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1" autoFilterDateGrouping="1"/>
  </bookViews>
  <sheets>
    <sheet xmlns:r="http://schemas.openxmlformats.org/officeDocument/2006/relationships" name="CBIC_Late_Fee_Relief_Windows_3B" sheetId="1" state="visible" r:id="rId1"/>
    <sheet xmlns:r="http://schemas.openxmlformats.org/officeDocument/2006/relationships" name="Late_Fee_Calculator_3B" sheetId="2" state="visible" r:id="rId2"/>
    <sheet xmlns:r="http://schemas.openxmlformats.org/officeDocument/2006/relationships" name="TEST_DATA" sheetId="3" state="visible" r:id="rId3"/>
    <sheet xmlns:r="http://schemas.openxmlformats.org/officeDocument/2006/relationships" name="ASSER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3"/>
  <sheetViews>
    <sheetView topLeftCell="F77" workbookViewId="0">
      <selection activeCell="A4" sqref="A3:O4"/>
    </sheetView>
  </sheetViews>
  <sheetFormatPr baseColWidth="8" defaultRowHeight="14.4"/>
  <cols>
    <col width="21.15625" bestFit="1" customWidth="1" min="1" max="1"/>
    <col width="13.3671875" bestFit="1" customWidth="1" min="2" max="2"/>
    <col width="14.15625" bestFit="1" customWidth="1" min="3" max="3"/>
    <col width="12.578125" bestFit="1" customWidth="1" min="4" max="4"/>
    <col width="13.62890625" bestFit="1" customWidth="1" min="5" max="5"/>
    <col width="11.3671875" bestFit="1" customWidth="1" min="6" max="6"/>
    <col width="13.578125" bestFit="1" customWidth="1" min="7" max="7"/>
    <col width="11.3125" bestFit="1" customWidth="1" min="8" max="8"/>
    <col width="10.20703125" bestFit="1" customWidth="1" min="9" max="9"/>
    <col width="11.578125" bestFit="1" customWidth="1" min="10" max="10"/>
    <col width="18" bestFit="1" customWidth="1" min="11" max="11"/>
    <col width="13.20703125" bestFit="1" customWidth="1" min="12" max="12"/>
    <col width="53.7890625" bestFit="1" customWidth="1" min="13" max="13"/>
    <col width="14.734375" bestFit="1" customWidth="1" min="14" max="14"/>
    <col width="20.89453125" bestFit="1" customWidth="1" min="15" max="15"/>
  </cols>
  <sheetData>
    <row r="1">
      <c r="A1" t="inlineStr">
        <is>
          <t>Relief Window ID</t>
        </is>
      </c>
      <c r="B1" t="inlineStr">
        <is>
          <t>Notification No</t>
        </is>
      </c>
      <c r="C1" t="inlineStr">
        <is>
          <t>Notification Date</t>
        </is>
      </c>
      <c r="D1" t="inlineStr">
        <is>
          <t>Relief Category</t>
        </is>
      </c>
      <c r="E1" t="inlineStr">
        <is>
          <t>Tax Period From</t>
        </is>
      </c>
      <c r="F1" t="inlineStr">
        <is>
          <t>Tax Period To</t>
        </is>
      </c>
      <c r="G1" t="inlineStr">
        <is>
          <t>Filing Date From</t>
        </is>
      </c>
      <c r="H1" t="inlineStr">
        <is>
          <t>Filing Date To</t>
        </is>
      </c>
      <c r="I1" t="inlineStr">
        <is>
          <t>Return Type</t>
        </is>
      </c>
      <c r="J1" t="inlineStr">
        <is>
          <t>Turnover Slab</t>
        </is>
      </c>
      <c r="K1" t="inlineStr">
        <is>
          <t>Max Late Fee Allowed</t>
        </is>
      </c>
      <c r="L1" t="inlineStr">
        <is>
          <t>Late Fee Nature</t>
        </is>
      </c>
      <c r="M1" t="inlineStr">
        <is>
          <t>SCN Defence Text</t>
        </is>
      </c>
      <c r="N1" t="inlineStr">
        <is>
          <t>Judicial Sensitivity</t>
        </is>
      </c>
      <c r="O1" s="1" t="inlineStr">
        <is>
          <t>Window Priority</t>
        </is>
      </c>
    </row>
    <row r="2">
      <c r="A2" t="inlineStr">
        <is>
          <t>NIL_STRUCT_ALL</t>
        </is>
      </c>
      <c r="B2" t="inlineStr">
        <is>
          <t>Sec 47 CGST Act</t>
        </is>
      </c>
      <c r="C2" t="inlineStr">
        <is>
          <t>01-07-2017</t>
        </is>
      </c>
      <c r="D2" t="inlineStr">
        <is>
          <t>Structural</t>
        </is>
      </c>
      <c r="E2" t="inlineStr">
        <is>
          <t>Jul-2017</t>
        </is>
      </c>
      <c r="F2" t="inlineStr">
        <is>
          <t>Jan-2026</t>
        </is>
      </c>
      <c r="G2" t="inlineStr">
        <is>
          <t>01-07-2017</t>
        </is>
      </c>
      <c r="H2" t="inlineStr">
        <is>
          <t>31-12-2099</t>
        </is>
      </c>
      <c r="I2" t="inlineStr">
        <is>
          <t>NIL</t>
        </is>
      </c>
      <c r="J2" t="inlineStr">
        <is>
          <t>ALL</t>
        </is>
      </c>
      <c r="K2" t="n">
        <v>500</v>
      </c>
      <c r="L2" t="inlineStr">
        <is>
          <t>Cap</t>
        </is>
      </c>
      <c r="M2" t="inlineStr">
        <is>
          <t>Late fee restricted to ₹500 for NIL return under Section 47.</t>
        </is>
      </c>
      <c r="N2" t="inlineStr">
        <is>
          <t>Low</t>
        </is>
      </c>
      <c r="O2" t="n">
        <v>5</v>
      </c>
    </row>
    <row r="3">
      <c r="A3" t="inlineStr">
        <is>
          <t>C19_Mar-2020_NIL</t>
        </is>
      </c>
      <c r="B3" t="inlineStr">
        <is>
          <t>52/2020-CT</t>
        </is>
      </c>
      <c r="C3" t="inlineStr">
        <is>
          <t>24-06-2020</t>
        </is>
      </c>
      <c r="D3" t="inlineStr">
        <is>
          <t>Cap</t>
        </is>
      </c>
      <c r="E3" t="inlineStr">
        <is>
          <t>Mar-2020</t>
        </is>
      </c>
      <c r="F3" t="inlineStr">
        <is>
          <t>Mar-2020</t>
        </is>
      </c>
      <c r="G3" t="inlineStr">
        <is>
          <t>01-03-2020</t>
        </is>
      </c>
      <c r="H3" t="inlineStr">
        <is>
          <t>31-12-2020</t>
        </is>
      </c>
      <c r="I3" t="inlineStr">
        <is>
          <t>NIL</t>
        </is>
      </c>
      <c r="J3" t="inlineStr">
        <is>
          <t>ALL</t>
        </is>
      </c>
      <c r="K3" t="n">
        <v>0</v>
      </c>
      <c r="L3" t="inlineStr">
        <is>
          <t>Waiver</t>
        </is>
      </c>
      <c r="M3" t="inlineStr">
        <is>
          <t>Late fee waived for NIL return under COVID-19 relief (52/2020-CT).</t>
        </is>
      </c>
      <c r="N3" t="inlineStr">
        <is>
          <t>Medium</t>
        </is>
      </c>
      <c r="O3" t="n">
        <v>6</v>
      </c>
    </row>
    <row r="4">
      <c r="A4" t="inlineStr">
        <is>
          <t>C19_Mar-2020_NON</t>
        </is>
      </c>
      <c r="B4" t="inlineStr">
        <is>
          <t>52/2020-CT</t>
        </is>
      </c>
      <c r="C4" t="inlineStr">
        <is>
          <t>24-06-2020</t>
        </is>
      </c>
      <c r="D4" t="inlineStr">
        <is>
          <t>Cap</t>
        </is>
      </c>
      <c r="E4" t="inlineStr">
        <is>
          <t>Mar-2020</t>
        </is>
      </c>
      <c r="F4" t="inlineStr">
        <is>
          <t>Mar-2020</t>
        </is>
      </c>
      <c r="G4" t="inlineStr">
        <is>
          <t>01-03-2020</t>
        </is>
      </c>
      <c r="H4" t="inlineStr">
        <is>
          <t>31-12-2020</t>
        </is>
      </c>
      <c r="I4" t="inlineStr">
        <is>
          <t>NON-NIL</t>
        </is>
      </c>
      <c r="J4" t="inlineStr">
        <is>
          <t>ALL</t>
        </is>
      </c>
      <c r="K4" t="n">
        <v>1000</v>
      </c>
      <c r="L4" t="inlineStr">
        <is>
          <t>Cap</t>
        </is>
      </c>
      <c r="M4" t="inlineStr">
        <is>
          <t>Late fee capped at ₹1,000 under COVID-19 relief (52/2020-CT).</t>
        </is>
      </c>
      <c r="N4" t="inlineStr">
        <is>
          <t>Medium</t>
        </is>
      </c>
      <c r="O4" t="n">
        <v>6</v>
      </c>
    </row>
    <row r="5">
      <c r="A5" t="inlineStr">
        <is>
          <t>C19_Apr-2020_NIL</t>
        </is>
      </c>
      <c r="B5" t="inlineStr">
        <is>
          <t>52/2020-CT</t>
        </is>
      </c>
      <c r="C5" t="inlineStr">
        <is>
          <t>24-06-2020</t>
        </is>
      </c>
      <c r="D5" t="inlineStr">
        <is>
          <t>Cap</t>
        </is>
      </c>
      <c r="E5" t="inlineStr">
        <is>
          <t>Apr-2020</t>
        </is>
      </c>
      <c r="F5" t="inlineStr">
        <is>
          <t>Apr-2020</t>
        </is>
      </c>
      <c r="G5" t="inlineStr">
        <is>
          <t>01-03-2020</t>
        </is>
      </c>
      <c r="H5" t="inlineStr">
        <is>
          <t>31-12-2020</t>
        </is>
      </c>
      <c r="I5" t="inlineStr">
        <is>
          <t>NIL</t>
        </is>
      </c>
      <c r="J5" t="inlineStr">
        <is>
          <t>ALL</t>
        </is>
      </c>
      <c r="K5" t="n">
        <v>0</v>
      </c>
      <c r="L5" t="inlineStr">
        <is>
          <t>Waiver</t>
        </is>
      </c>
      <c r="M5" t="inlineStr">
        <is>
          <t>Late fee waived for NIL return under COVID-19 relief (52/2020-CT).</t>
        </is>
      </c>
      <c r="N5" t="inlineStr">
        <is>
          <t>Medium</t>
        </is>
      </c>
      <c r="O5" t="n">
        <v>6</v>
      </c>
    </row>
    <row r="6">
      <c r="A6" t="inlineStr">
        <is>
          <t>C19_Apr-2020_NON</t>
        </is>
      </c>
      <c r="B6" t="inlineStr">
        <is>
          <t>52/2020-CT</t>
        </is>
      </c>
      <c r="C6" t="inlineStr">
        <is>
          <t>24-06-2020</t>
        </is>
      </c>
      <c r="D6" t="inlineStr">
        <is>
          <t>Cap</t>
        </is>
      </c>
      <c r="E6" t="inlineStr">
        <is>
          <t>Apr-2020</t>
        </is>
      </c>
      <c r="F6" t="inlineStr">
        <is>
          <t>Apr-2020</t>
        </is>
      </c>
      <c r="G6" t="inlineStr">
        <is>
          <t>01-03-2020</t>
        </is>
      </c>
      <c r="H6" t="inlineStr">
        <is>
          <t>31-12-2020</t>
        </is>
      </c>
      <c r="I6" t="inlineStr">
        <is>
          <t>NON-NIL</t>
        </is>
      </c>
      <c r="J6" t="inlineStr">
        <is>
          <t>ALL</t>
        </is>
      </c>
      <c r="K6" t="n">
        <v>1000</v>
      </c>
      <c r="L6" t="inlineStr">
        <is>
          <t>Cap</t>
        </is>
      </c>
      <c r="M6" t="inlineStr">
        <is>
          <t>Late fee capped at ₹1,000 under COVID-19 relief (52/2020-CT).</t>
        </is>
      </c>
      <c r="N6" t="inlineStr">
        <is>
          <t>Medium</t>
        </is>
      </c>
      <c r="O6" t="n">
        <v>6</v>
      </c>
    </row>
    <row r="7">
      <c r="A7" t="inlineStr">
        <is>
          <t>C19_May-2020_NIL</t>
        </is>
      </c>
      <c r="B7" t="inlineStr">
        <is>
          <t>52/2020-CT</t>
        </is>
      </c>
      <c r="C7" t="inlineStr">
        <is>
          <t>24-06-2020</t>
        </is>
      </c>
      <c r="D7" t="inlineStr">
        <is>
          <t>Cap</t>
        </is>
      </c>
      <c r="E7" t="inlineStr">
        <is>
          <t>May-2020</t>
        </is>
      </c>
      <c r="F7" t="inlineStr">
        <is>
          <t>May-2020</t>
        </is>
      </c>
      <c r="G7" t="inlineStr">
        <is>
          <t>01-03-2020</t>
        </is>
      </c>
      <c r="H7" t="inlineStr">
        <is>
          <t>31-12-2020</t>
        </is>
      </c>
      <c r="I7" t="inlineStr">
        <is>
          <t>NIL</t>
        </is>
      </c>
      <c r="J7" t="inlineStr">
        <is>
          <t>ALL</t>
        </is>
      </c>
      <c r="K7" t="n">
        <v>0</v>
      </c>
      <c r="L7" t="inlineStr">
        <is>
          <t>Waiver</t>
        </is>
      </c>
      <c r="M7" t="inlineStr">
        <is>
          <t>Late fee waived for NIL return under COVID-19 relief (52/2020-CT).</t>
        </is>
      </c>
      <c r="N7" t="inlineStr">
        <is>
          <t>Medium</t>
        </is>
      </c>
      <c r="O7" t="n">
        <v>6</v>
      </c>
    </row>
    <row r="8">
      <c r="A8" t="inlineStr">
        <is>
          <t>C19_May-2020_NON</t>
        </is>
      </c>
      <c r="B8" t="inlineStr">
        <is>
          <t>52/2020-CT</t>
        </is>
      </c>
      <c r="C8" t="inlineStr">
        <is>
          <t>24-06-2020</t>
        </is>
      </c>
      <c r="D8" t="inlineStr">
        <is>
          <t>Cap</t>
        </is>
      </c>
      <c r="E8" t="inlineStr">
        <is>
          <t>May-2020</t>
        </is>
      </c>
      <c r="F8" t="inlineStr">
        <is>
          <t>May-2020</t>
        </is>
      </c>
      <c r="G8" t="inlineStr">
        <is>
          <t>01-03-2020</t>
        </is>
      </c>
      <c r="H8" t="inlineStr">
        <is>
          <t>31-12-2020</t>
        </is>
      </c>
      <c r="I8" t="inlineStr">
        <is>
          <t>NON-NIL</t>
        </is>
      </c>
      <c r="J8" t="inlineStr">
        <is>
          <t>ALL</t>
        </is>
      </c>
      <c r="K8" t="n">
        <v>1000</v>
      </c>
      <c r="L8" t="inlineStr">
        <is>
          <t>Cap</t>
        </is>
      </c>
      <c r="M8" t="inlineStr">
        <is>
          <t>Late fee capped at ₹1,000 under COVID-19 relief (52/2020-CT).</t>
        </is>
      </c>
      <c r="N8" t="inlineStr">
        <is>
          <t>Medium</t>
        </is>
      </c>
      <c r="O8" t="n">
        <v>6</v>
      </c>
    </row>
    <row r="9">
      <c r="A9" t="inlineStr">
        <is>
          <t>C19_Jun-2020_NIL</t>
        </is>
      </c>
      <c r="B9" t="inlineStr">
        <is>
          <t>52/2020-CT</t>
        </is>
      </c>
      <c r="C9" t="inlineStr">
        <is>
          <t>24-06-2020</t>
        </is>
      </c>
      <c r="D9" t="inlineStr">
        <is>
          <t>Cap</t>
        </is>
      </c>
      <c r="E9" t="inlineStr">
        <is>
          <t>Jun-2020</t>
        </is>
      </c>
      <c r="F9" t="inlineStr">
        <is>
          <t>Jun-2020</t>
        </is>
      </c>
      <c r="G9" t="inlineStr">
        <is>
          <t>01-03-2020</t>
        </is>
      </c>
      <c r="H9" t="inlineStr">
        <is>
          <t>31-12-2020</t>
        </is>
      </c>
      <c r="I9" t="inlineStr">
        <is>
          <t>NIL</t>
        </is>
      </c>
      <c r="J9" t="inlineStr">
        <is>
          <t>ALL</t>
        </is>
      </c>
      <c r="K9" t="n">
        <v>0</v>
      </c>
      <c r="L9" t="inlineStr">
        <is>
          <t>Waiver</t>
        </is>
      </c>
      <c r="M9" t="inlineStr">
        <is>
          <t>Late fee waived for NIL return under COVID-19 relief (52/2020-CT).</t>
        </is>
      </c>
      <c r="N9" t="inlineStr">
        <is>
          <t>Medium</t>
        </is>
      </c>
      <c r="O9" t="n">
        <v>6</v>
      </c>
    </row>
    <row r="10">
      <c r="A10" t="inlineStr">
        <is>
          <t>C19_Jun-2020_NON</t>
        </is>
      </c>
      <c r="B10" t="inlineStr">
        <is>
          <t>52/2020-CT</t>
        </is>
      </c>
      <c r="C10" t="inlineStr">
        <is>
          <t>24-06-2020</t>
        </is>
      </c>
      <c r="D10" t="inlineStr">
        <is>
          <t>Cap</t>
        </is>
      </c>
      <c r="E10" t="inlineStr">
        <is>
          <t>Jun-2020</t>
        </is>
      </c>
      <c r="F10" t="inlineStr">
        <is>
          <t>Jun-2020</t>
        </is>
      </c>
      <c r="G10" t="inlineStr">
        <is>
          <t>01-03-2020</t>
        </is>
      </c>
      <c r="H10" t="inlineStr">
        <is>
          <t>31-12-2020</t>
        </is>
      </c>
      <c r="I10" t="inlineStr">
        <is>
          <t>NON-NIL</t>
        </is>
      </c>
      <c r="J10" t="inlineStr">
        <is>
          <t>ALL</t>
        </is>
      </c>
      <c r="K10" t="n">
        <v>1000</v>
      </c>
      <c r="L10" t="inlineStr">
        <is>
          <t>Cap</t>
        </is>
      </c>
      <c r="M10" t="inlineStr">
        <is>
          <t>Late fee capped at ₹1,000 under COVID-19 relief (52/2020-CT).</t>
        </is>
      </c>
      <c r="N10" t="inlineStr">
        <is>
          <t>Medium</t>
        </is>
      </c>
      <c r="O10" t="n">
        <v>6</v>
      </c>
    </row>
    <row r="11">
      <c r="A11" t="inlineStr">
        <is>
          <t>C19_Jul-2020_NIL</t>
        </is>
      </c>
      <c r="B11" t="inlineStr">
        <is>
          <t>52/2020-CT</t>
        </is>
      </c>
      <c r="C11" t="inlineStr">
        <is>
          <t>24-06-2020</t>
        </is>
      </c>
      <c r="D11" t="inlineStr">
        <is>
          <t>Cap</t>
        </is>
      </c>
      <c r="E11" t="inlineStr">
        <is>
          <t>Jul-2020</t>
        </is>
      </c>
      <c r="F11" t="inlineStr">
        <is>
          <t>Jul-2020</t>
        </is>
      </c>
      <c r="G11" t="inlineStr">
        <is>
          <t>01-03-2020</t>
        </is>
      </c>
      <c r="H11" t="inlineStr">
        <is>
          <t>31-12-2020</t>
        </is>
      </c>
      <c r="I11" t="inlineStr">
        <is>
          <t>NIL</t>
        </is>
      </c>
      <c r="J11" t="inlineStr">
        <is>
          <t>ALL</t>
        </is>
      </c>
      <c r="K11" t="n">
        <v>0</v>
      </c>
      <c r="L11" t="inlineStr">
        <is>
          <t>Waiver</t>
        </is>
      </c>
      <c r="M11" t="inlineStr">
        <is>
          <t>Late fee waived for NIL return under COVID-19 relief (52/2020-CT).</t>
        </is>
      </c>
      <c r="N11" t="inlineStr">
        <is>
          <t>Medium</t>
        </is>
      </c>
      <c r="O11" t="n">
        <v>6</v>
      </c>
    </row>
    <row r="12">
      <c r="A12" t="inlineStr">
        <is>
          <t>C19_Jul-2020_NON</t>
        </is>
      </c>
      <c r="B12" t="inlineStr">
        <is>
          <t>52/2020-CT</t>
        </is>
      </c>
      <c r="C12" t="inlineStr">
        <is>
          <t>24-06-2020</t>
        </is>
      </c>
      <c r="D12" t="inlineStr">
        <is>
          <t>Cap</t>
        </is>
      </c>
      <c r="E12" t="inlineStr">
        <is>
          <t>Jul-2020</t>
        </is>
      </c>
      <c r="F12" t="inlineStr">
        <is>
          <t>Jul-2020</t>
        </is>
      </c>
      <c r="G12" t="inlineStr">
        <is>
          <t>01-03-2020</t>
        </is>
      </c>
      <c r="H12" t="inlineStr">
        <is>
          <t>31-12-2020</t>
        </is>
      </c>
      <c r="I12" t="inlineStr">
        <is>
          <t>NON-NIL</t>
        </is>
      </c>
      <c r="J12" t="inlineStr">
        <is>
          <t>ALL</t>
        </is>
      </c>
      <c r="K12" t="n">
        <v>1000</v>
      </c>
      <c r="L12" t="inlineStr">
        <is>
          <t>Cap</t>
        </is>
      </c>
      <c r="M12" t="inlineStr">
        <is>
          <t>Late fee capped at ₹1,000 under COVID-19 relief (52/2020-CT).</t>
        </is>
      </c>
      <c r="N12" t="inlineStr">
        <is>
          <t>Medium</t>
        </is>
      </c>
      <c r="O12" t="n">
        <v>6</v>
      </c>
    </row>
    <row r="13">
      <c r="A13" t="inlineStr">
        <is>
          <t>AMN_2018_FULL</t>
        </is>
      </c>
      <c r="B13" t="inlineStr">
        <is>
          <t>76/2018-CT</t>
        </is>
      </c>
      <c r="C13" t="inlineStr">
        <is>
          <t>31-12-2018</t>
        </is>
      </c>
      <c r="D13" t="inlineStr">
        <is>
          <t>Amnesty</t>
        </is>
      </c>
      <c r="E13" t="inlineStr">
        <is>
          <t>Jul-2017</t>
        </is>
      </c>
      <c r="F13" t="inlineStr">
        <is>
          <t>Sep-2018</t>
        </is>
      </c>
      <c r="G13" t="inlineStr">
        <is>
          <t>22-12-2018</t>
        </is>
      </c>
      <c r="H13" t="inlineStr">
        <is>
          <t>31-03-2019</t>
        </is>
      </c>
      <c r="I13" t="inlineStr">
        <is>
          <t>ALL</t>
        </is>
      </c>
      <c r="J13" t="inlineStr">
        <is>
          <t>ALL</t>
        </is>
      </c>
      <c r="K13" t="n">
        <v>0</v>
      </c>
      <c r="L13" t="inlineStr">
        <is>
          <t>Waiver</t>
        </is>
      </c>
      <c r="M13" t="inlineStr">
        <is>
          <t>Late fee fully waived under Notification 76/2018-CT.</t>
        </is>
      </c>
      <c r="N13" t="inlineStr">
        <is>
          <t>Low</t>
        </is>
      </c>
      <c r="O13" t="n">
        <v>1</v>
      </c>
    </row>
    <row r="14">
      <c r="A14" t="inlineStr">
        <is>
          <t>Mar-2021_COVID_SMALL</t>
        </is>
      </c>
      <c r="B14" t="inlineStr">
        <is>
          <t>09/2021-CT</t>
        </is>
      </c>
      <c r="C14" t="inlineStr">
        <is>
          <t>01-05-2021</t>
        </is>
      </c>
      <c r="D14" t="inlineStr">
        <is>
          <t>Cap</t>
        </is>
      </c>
      <c r="E14" t="inlineStr">
        <is>
          <t>Mar-2021</t>
        </is>
      </c>
      <c r="F14" t="inlineStr">
        <is>
          <t>Mar-2021</t>
        </is>
      </c>
      <c r="G14" t="inlineStr">
        <is>
          <t>01-05-2021</t>
        </is>
      </c>
      <c r="H14" t="inlineStr">
        <is>
          <t>31-05-2021</t>
        </is>
      </c>
      <c r="I14" t="inlineStr">
        <is>
          <t>ALL</t>
        </is>
      </c>
      <c r="J14" t="inlineStr">
        <is>
          <t>≤5Cr</t>
        </is>
      </c>
      <c r="K14" t="n">
        <v>0</v>
      </c>
      <c r="L14" t="inlineStr">
        <is>
          <t>Waiver</t>
        </is>
      </c>
      <c r="M14" t="inlineStr">
        <is>
          <t>Late fee waived for small taxpayers under Notification 09/2021-CT.</t>
        </is>
      </c>
      <c r="N14" t="inlineStr">
        <is>
          <t>High</t>
        </is>
      </c>
      <c r="O14" t="n">
        <v>6</v>
      </c>
    </row>
    <row r="15">
      <c r="A15" t="inlineStr">
        <is>
          <t>Mar-2021_COVID_LARGE</t>
        </is>
      </c>
      <c r="B15" t="inlineStr">
        <is>
          <t>09/2021-CT</t>
        </is>
      </c>
      <c r="C15" t="inlineStr">
        <is>
          <t>01-05-2021</t>
        </is>
      </c>
      <c r="D15" t="inlineStr">
        <is>
          <t>Cap</t>
        </is>
      </c>
      <c r="E15" t="inlineStr">
        <is>
          <t>Mar-2021</t>
        </is>
      </c>
      <c r="F15" t="inlineStr">
        <is>
          <t>Mar-2021</t>
        </is>
      </c>
      <c r="G15" t="inlineStr">
        <is>
          <t>01-05-2021</t>
        </is>
      </c>
      <c r="H15" t="inlineStr">
        <is>
          <t>31-05-2021</t>
        </is>
      </c>
      <c r="I15" t="inlineStr">
        <is>
          <t>ALL</t>
        </is>
      </c>
      <c r="J15" t="inlineStr">
        <is>
          <t>&gt;5Cr</t>
        </is>
      </c>
      <c r="K15" t="n">
        <v>1000</v>
      </c>
      <c r="L15" t="inlineStr">
        <is>
          <t>Cap</t>
        </is>
      </c>
      <c r="M15" t="inlineStr">
        <is>
          <t>Late fee capped at ₹1,000 under Notification 09/2021-CT.</t>
        </is>
      </c>
      <c r="N15" t="inlineStr">
        <is>
          <t>High</t>
        </is>
      </c>
      <c r="O15" t="n">
        <v>6</v>
      </c>
    </row>
    <row r="16">
      <c r="A16" t="inlineStr">
        <is>
          <t>Apr-2021_COVID_SMALL</t>
        </is>
      </c>
      <c r="B16" t="inlineStr">
        <is>
          <t>09/2021-CT</t>
        </is>
      </c>
      <c r="C16" t="inlineStr">
        <is>
          <t>01-05-2021</t>
        </is>
      </c>
      <c r="D16" t="inlineStr">
        <is>
          <t>Cap</t>
        </is>
      </c>
      <c r="E16" t="inlineStr">
        <is>
          <t>Apr-2021</t>
        </is>
      </c>
      <c r="F16" t="inlineStr">
        <is>
          <t>Apr-2021</t>
        </is>
      </c>
      <c r="G16" t="inlineStr">
        <is>
          <t>01-05-2021</t>
        </is>
      </c>
      <c r="H16" t="inlineStr">
        <is>
          <t>31-05-2021</t>
        </is>
      </c>
      <c r="I16" t="inlineStr">
        <is>
          <t>ALL</t>
        </is>
      </c>
      <c r="J16" t="inlineStr">
        <is>
          <t>≤5Cr</t>
        </is>
      </c>
      <c r="K16" t="n">
        <v>0</v>
      </c>
      <c r="L16" t="inlineStr">
        <is>
          <t>Waiver</t>
        </is>
      </c>
      <c r="M16" t="inlineStr">
        <is>
          <t>Late fee waived for small taxpayers under Notification 09/2021-CT.</t>
        </is>
      </c>
      <c r="N16" t="inlineStr">
        <is>
          <t>High</t>
        </is>
      </c>
      <c r="O16" t="n">
        <v>6</v>
      </c>
    </row>
    <row r="17">
      <c r="A17" t="inlineStr">
        <is>
          <t>Apr-2021_COVID_LARGE</t>
        </is>
      </c>
      <c r="B17" t="inlineStr">
        <is>
          <t>09/2021-CT</t>
        </is>
      </c>
      <c r="C17" t="inlineStr">
        <is>
          <t>01-05-2021</t>
        </is>
      </c>
      <c r="D17" t="inlineStr">
        <is>
          <t>Cap</t>
        </is>
      </c>
      <c r="E17" t="inlineStr">
        <is>
          <t>Apr-2021</t>
        </is>
      </c>
      <c r="F17" t="inlineStr">
        <is>
          <t>Apr-2021</t>
        </is>
      </c>
      <c r="G17" t="inlineStr">
        <is>
          <t>01-05-2021</t>
        </is>
      </c>
      <c r="H17" t="inlineStr">
        <is>
          <t>31-05-2021</t>
        </is>
      </c>
      <c r="I17" t="inlineStr">
        <is>
          <t>ALL</t>
        </is>
      </c>
      <c r="J17" t="inlineStr">
        <is>
          <t>&gt;5Cr</t>
        </is>
      </c>
      <c r="K17" t="n">
        <v>1000</v>
      </c>
      <c r="L17" t="inlineStr">
        <is>
          <t>Cap</t>
        </is>
      </c>
      <c r="M17" t="inlineStr">
        <is>
          <t>Late fee capped at ₹1,000 under Notification 09/2021-CT.</t>
        </is>
      </c>
      <c r="N17" t="inlineStr">
        <is>
          <t>High</t>
        </is>
      </c>
      <c r="O17" t="n">
        <v>6</v>
      </c>
    </row>
    <row r="18">
      <c r="A18" t="inlineStr">
        <is>
          <t>Jul-2017_LF05_NIL</t>
        </is>
      </c>
      <c r="B18" t="inlineStr">
        <is>
          <t>19/2021-CT</t>
        </is>
      </c>
      <c r="C18" t="inlineStr">
        <is>
          <t>01-06-2021</t>
        </is>
      </c>
      <c r="D18" t="inlineStr">
        <is>
          <t>Amnesty</t>
        </is>
      </c>
      <c r="E18" t="inlineStr">
        <is>
          <t>Jul-2017</t>
        </is>
      </c>
      <c r="F18" t="inlineStr">
        <is>
          <t>Jul-2017</t>
        </is>
      </c>
      <c r="G18" t="inlineStr">
        <is>
          <t>01-06-2021</t>
        </is>
      </c>
      <c r="H18" t="inlineStr">
        <is>
          <t>31-08-2021</t>
        </is>
      </c>
      <c r="I18" t="inlineStr">
        <is>
          <t>NIL</t>
        </is>
      </c>
      <c r="J18" t="inlineStr">
        <is>
          <t>ALL</t>
        </is>
      </c>
      <c r="K18" t="n">
        <v>500</v>
      </c>
      <c r="L18" t="inlineStr">
        <is>
          <t>Cap</t>
        </is>
      </c>
      <c r="M18" t="inlineStr">
        <is>
          <t>Late fee capped at ₹500 under Notification 19/2021-CT.</t>
        </is>
      </c>
      <c r="N18" t="inlineStr">
        <is>
          <t>Low</t>
        </is>
      </c>
      <c r="O18" t="n">
        <v>1</v>
      </c>
    </row>
    <row r="19">
      <c r="A19" t="inlineStr">
        <is>
          <t>Jul-2017_LF05_SMALL</t>
        </is>
      </c>
      <c r="B19" t="inlineStr">
        <is>
          <t>19/2021-CT</t>
        </is>
      </c>
      <c r="C19" t="inlineStr">
        <is>
          <t>01-06-2021</t>
        </is>
      </c>
      <c r="D19" t="inlineStr">
        <is>
          <t>Amnesty</t>
        </is>
      </c>
      <c r="E19" t="inlineStr">
        <is>
          <t>Jul-2017</t>
        </is>
      </c>
      <c r="F19" t="inlineStr">
        <is>
          <t>Jul-2017</t>
        </is>
      </c>
      <c r="G19" t="inlineStr">
        <is>
          <t>01-06-2021</t>
        </is>
      </c>
      <c r="H19" t="inlineStr">
        <is>
          <t>31-08-2021</t>
        </is>
      </c>
      <c r="I19" t="inlineStr">
        <is>
          <t>NON-NIL</t>
        </is>
      </c>
      <c r="J19" t="inlineStr">
        <is>
          <t>≤5Cr</t>
        </is>
      </c>
      <c r="K19" t="n">
        <v>2000</v>
      </c>
      <c r="L19" t="inlineStr">
        <is>
          <t>Cap</t>
        </is>
      </c>
      <c r="M19" t="inlineStr">
        <is>
          <t>Late fee capped at ₹2,000 under Notification 19/2021-CT.</t>
        </is>
      </c>
      <c r="N19" t="inlineStr">
        <is>
          <t>Low</t>
        </is>
      </c>
      <c r="O19" t="n">
        <v>1</v>
      </c>
    </row>
    <row r="20">
      <c r="A20" t="inlineStr">
        <is>
          <t>Jul-2017_LF05_LARGE</t>
        </is>
      </c>
      <c r="B20" t="inlineStr">
        <is>
          <t>19/2021-CT</t>
        </is>
      </c>
      <c r="C20" t="inlineStr">
        <is>
          <t>01-06-2021</t>
        </is>
      </c>
      <c r="D20" t="inlineStr">
        <is>
          <t>Amnesty</t>
        </is>
      </c>
      <c r="E20" t="inlineStr">
        <is>
          <t>Jul-2017</t>
        </is>
      </c>
      <c r="F20" t="inlineStr">
        <is>
          <t>Jul-2017</t>
        </is>
      </c>
      <c r="G20" t="inlineStr">
        <is>
          <t>01-06-2021</t>
        </is>
      </c>
      <c r="H20" t="inlineStr">
        <is>
          <t>31-08-2021</t>
        </is>
      </c>
      <c r="I20" t="inlineStr">
        <is>
          <t>NON-NIL</t>
        </is>
      </c>
      <c r="J20" t="inlineStr">
        <is>
          <t>&gt;5Cr</t>
        </is>
      </c>
      <c r="K20" t="n">
        <v>5000</v>
      </c>
      <c r="L20" t="inlineStr">
        <is>
          <t>Cap</t>
        </is>
      </c>
      <c r="M20" t="inlineStr">
        <is>
          <t>Late fee capped at ₹5,000 under Notification 19/2021-CT.</t>
        </is>
      </c>
      <c r="N20" t="inlineStr">
        <is>
          <t>Low</t>
        </is>
      </c>
      <c r="O20" t="n">
        <v>1</v>
      </c>
    </row>
    <row r="21">
      <c r="A21" t="inlineStr">
        <is>
          <t>Jul-2017_LF06_NIL</t>
        </is>
      </c>
      <c r="B21" t="inlineStr">
        <is>
          <t>33/2021-CT</t>
        </is>
      </c>
      <c r="C21" t="inlineStr">
        <is>
          <t>29-08-2021</t>
        </is>
      </c>
      <c r="D21" t="inlineStr">
        <is>
          <t>Amnesty</t>
        </is>
      </c>
      <c r="E21" t="inlineStr">
        <is>
          <t>Jul-2017</t>
        </is>
      </c>
      <c r="F21" t="inlineStr">
        <is>
          <t>Jul-2017</t>
        </is>
      </c>
      <c r="G21" t="inlineStr">
        <is>
          <t>01-09-2021</t>
        </is>
      </c>
      <c r="H21" t="inlineStr">
        <is>
          <t>30-11-2021</t>
        </is>
      </c>
      <c r="I21" t="inlineStr">
        <is>
          <t>NIL</t>
        </is>
      </c>
      <c r="J21" t="inlineStr">
        <is>
          <t>ALL</t>
        </is>
      </c>
      <c r="K21" t="n">
        <v>500</v>
      </c>
      <c r="L21" t="inlineStr">
        <is>
          <t>Cap</t>
        </is>
      </c>
      <c r="M21" t="inlineStr">
        <is>
          <t>Late fee capped at ₹500 under extended amnesty (33/2021-CT).</t>
        </is>
      </c>
      <c r="N21" t="inlineStr">
        <is>
          <t>Low</t>
        </is>
      </c>
      <c r="O21" t="n">
        <v>1</v>
      </c>
    </row>
    <row r="22">
      <c r="A22" t="inlineStr">
        <is>
          <t>Jul-2017_LF06_SMALL</t>
        </is>
      </c>
      <c r="B22" t="inlineStr">
        <is>
          <t>33/2021-CT</t>
        </is>
      </c>
      <c r="C22" t="inlineStr">
        <is>
          <t>29-08-2021</t>
        </is>
      </c>
      <c r="D22" t="inlineStr">
        <is>
          <t>Amnesty</t>
        </is>
      </c>
      <c r="E22" t="inlineStr">
        <is>
          <t>Jul-2017</t>
        </is>
      </c>
      <c r="F22" t="inlineStr">
        <is>
          <t>Jul-2017</t>
        </is>
      </c>
      <c r="G22" t="inlineStr">
        <is>
          <t>01-09-2021</t>
        </is>
      </c>
      <c r="H22" t="inlineStr">
        <is>
          <t>30-11-2021</t>
        </is>
      </c>
      <c r="I22" t="inlineStr">
        <is>
          <t>NON-NIL</t>
        </is>
      </c>
      <c r="J22" t="inlineStr">
        <is>
          <t>≤5Cr</t>
        </is>
      </c>
      <c r="K22" t="n">
        <v>2000</v>
      </c>
      <c r="L22" t="inlineStr">
        <is>
          <t>Cap</t>
        </is>
      </c>
      <c r="M22" t="inlineStr">
        <is>
          <t>Late fee capped at ₹2,000 under extended amnesty (33/2021-CT).</t>
        </is>
      </c>
      <c r="N22" t="inlineStr">
        <is>
          <t>Low</t>
        </is>
      </c>
      <c r="O22" t="n">
        <v>1</v>
      </c>
    </row>
    <row r="23">
      <c r="A23" t="inlineStr">
        <is>
          <t>Jul-2017_LF06_LARGE</t>
        </is>
      </c>
      <c r="B23" t="inlineStr">
        <is>
          <t>33/2021-CT</t>
        </is>
      </c>
      <c r="C23" t="inlineStr">
        <is>
          <t>29-08-2021</t>
        </is>
      </c>
      <c r="D23" t="inlineStr">
        <is>
          <t>Amnesty</t>
        </is>
      </c>
      <c r="E23" t="inlineStr">
        <is>
          <t>Jul-2017</t>
        </is>
      </c>
      <c r="F23" t="inlineStr">
        <is>
          <t>Jul-2017</t>
        </is>
      </c>
      <c r="G23" t="inlineStr">
        <is>
          <t>01-09-2021</t>
        </is>
      </c>
      <c r="H23" t="inlineStr">
        <is>
          <t>30-11-2021</t>
        </is>
      </c>
      <c r="I23" t="inlineStr">
        <is>
          <t>NON-NIL</t>
        </is>
      </c>
      <c r="J23" t="inlineStr">
        <is>
          <t>&gt;5Cr</t>
        </is>
      </c>
      <c r="K23" t="n">
        <v>5000</v>
      </c>
      <c r="L23" t="inlineStr">
        <is>
          <t>Cap</t>
        </is>
      </c>
      <c r="M23" t="inlineStr">
        <is>
          <t>Late fee capped at ₹5,000 under extended amnesty (33/2021-CT).</t>
        </is>
      </c>
      <c r="N23" t="inlineStr">
        <is>
          <t>Low</t>
        </is>
      </c>
      <c r="O23" t="n">
        <v>1</v>
      </c>
    </row>
    <row r="24">
      <c r="A24" t="inlineStr">
        <is>
          <t>Aug-2017_LF05_NIL</t>
        </is>
      </c>
      <c r="B24" t="inlineStr">
        <is>
          <t>19/2021-CT</t>
        </is>
      </c>
      <c r="C24" t="inlineStr">
        <is>
          <t>01-06-2021</t>
        </is>
      </c>
      <c r="D24" t="inlineStr">
        <is>
          <t>Amnesty</t>
        </is>
      </c>
      <c r="E24" t="inlineStr">
        <is>
          <t>Aug-2017</t>
        </is>
      </c>
      <c r="F24" t="inlineStr">
        <is>
          <t>Aug-2017</t>
        </is>
      </c>
      <c r="G24" t="inlineStr">
        <is>
          <t>01-06-2021</t>
        </is>
      </c>
      <c r="H24" t="inlineStr">
        <is>
          <t>31-08-2021</t>
        </is>
      </c>
      <c r="I24" t="inlineStr">
        <is>
          <t>NIL</t>
        </is>
      </c>
      <c r="J24" t="inlineStr">
        <is>
          <t>ALL</t>
        </is>
      </c>
      <c r="K24" t="n">
        <v>500</v>
      </c>
      <c r="L24" t="inlineStr">
        <is>
          <t>Cap</t>
        </is>
      </c>
      <c r="M24" t="inlineStr">
        <is>
          <t>Late fee capped at ₹500 under Notification 19/2021-CT.</t>
        </is>
      </c>
      <c r="N24" t="inlineStr">
        <is>
          <t>Low</t>
        </is>
      </c>
      <c r="O24" t="n">
        <v>1</v>
      </c>
    </row>
    <row r="25">
      <c r="A25" t="inlineStr">
        <is>
          <t>Aug-2017_LF05_SMALL</t>
        </is>
      </c>
      <c r="B25" t="inlineStr">
        <is>
          <t>19/2021-CT</t>
        </is>
      </c>
      <c r="C25" t="inlineStr">
        <is>
          <t>01-06-2021</t>
        </is>
      </c>
      <c r="D25" t="inlineStr">
        <is>
          <t>Amnesty</t>
        </is>
      </c>
      <c r="E25" t="inlineStr">
        <is>
          <t>Aug-2017</t>
        </is>
      </c>
      <c r="F25" t="inlineStr">
        <is>
          <t>Aug-2017</t>
        </is>
      </c>
      <c r="G25" t="inlineStr">
        <is>
          <t>01-06-2021</t>
        </is>
      </c>
      <c r="H25" t="inlineStr">
        <is>
          <t>31-08-2021</t>
        </is>
      </c>
      <c r="I25" t="inlineStr">
        <is>
          <t>NON-NIL</t>
        </is>
      </c>
      <c r="J25" t="inlineStr">
        <is>
          <t>≤5Cr</t>
        </is>
      </c>
      <c r="K25" t="n">
        <v>2000</v>
      </c>
      <c r="L25" t="inlineStr">
        <is>
          <t>Cap</t>
        </is>
      </c>
      <c r="M25" t="inlineStr">
        <is>
          <t>Late fee capped at ₹2,000 under Notification 19/2021-CT.</t>
        </is>
      </c>
      <c r="N25" t="inlineStr">
        <is>
          <t>Low</t>
        </is>
      </c>
      <c r="O25" t="n">
        <v>1</v>
      </c>
    </row>
    <row r="26">
      <c r="A26" t="inlineStr">
        <is>
          <t>Aug-2017_LF05_LARGE</t>
        </is>
      </c>
      <c r="B26" t="inlineStr">
        <is>
          <t>19/2021-CT</t>
        </is>
      </c>
      <c r="C26" t="inlineStr">
        <is>
          <t>01-06-2021</t>
        </is>
      </c>
      <c r="D26" t="inlineStr">
        <is>
          <t>Amnesty</t>
        </is>
      </c>
      <c r="E26" t="inlineStr">
        <is>
          <t>Aug-2017</t>
        </is>
      </c>
      <c r="F26" t="inlineStr">
        <is>
          <t>Aug-2017</t>
        </is>
      </c>
      <c r="G26" t="inlineStr">
        <is>
          <t>01-06-2021</t>
        </is>
      </c>
      <c r="H26" t="inlineStr">
        <is>
          <t>31-08-2021</t>
        </is>
      </c>
      <c r="I26" t="inlineStr">
        <is>
          <t>NON-NIL</t>
        </is>
      </c>
      <c r="J26" t="inlineStr">
        <is>
          <t>&gt;5Cr</t>
        </is>
      </c>
      <c r="K26" t="n">
        <v>5000</v>
      </c>
      <c r="L26" t="inlineStr">
        <is>
          <t>Cap</t>
        </is>
      </c>
      <c r="M26" t="inlineStr">
        <is>
          <t>Late fee capped at ₹5,000 under Notification 19/2021-CT.</t>
        </is>
      </c>
      <c r="N26" t="inlineStr">
        <is>
          <t>Low</t>
        </is>
      </c>
      <c r="O26" t="n">
        <v>1</v>
      </c>
    </row>
    <row r="27">
      <c r="A27" t="inlineStr">
        <is>
          <t>Aug-2017_LF06_NIL</t>
        </is>
      </c>
      <c r="B27" t="inlineStr">
        <is>
          <t>33/2021-CT</t>
        </is>
      </c>
      <c r="C27" t="inlineStr">
        <is>
          <t>29-08-2021</t>
        </is>
      </c>
      <c r="D27" t="inlineStr">
        <is>
          <t>Amnesty</t>
        </is>
      </c>
      <c r="E27" t="inlineStr">
        <is>
          <t>Aug-2017</t>
        </is>
      </c>
      <c r="F27" t="inlineStr">
        <is>
          <t>Aug-2017</t>
        </is>
      </c>
      <c r="G27" t="inlineStr">
        <is>
          <t>01-09-2021</t>
        </is>
      </c>
      <c r="H27" t="inlineStr">
        <is>
          <t>30-11-2021</t>
        </is>
      </c>
      <c r="I27" t="inlineStr">
        <is>
          <t>NIL</t>
        </is>
      </c>
      <c r="J27" t="inlineStr">
        <is>
          <t>ALL</t>
        </is>
      </c>
      <c r="K27" t="n">
        <v>500</v>
      </c>
      <c r="L27" t="inlineStr">
        <is>
          <t>Cap</t>
        </is>
      </c>
      <c r="M27" t="inlineStr">
        <is>
          <t>Late fee capped at ₹500 under extended amnesty (33/2021-CT).</t>
        </is>
      </c>
      <c r="N27" t="inlineStr">
        <is>
          <t>Low</t>
        </is>
      </c>
      <c r="O27" t="n">
        <v>1</v>
      </c>
    </row>
    <row r="28">
      <c r="A28" t="inlineStr">
        <is>
          <t>Aug-2017_LF06_SMALL</t>
        </is>
      </c>
      <c r="B28" t="inlineStr">
        <is>
          <t>33/2021-CT</t>
        </is>
      </c>
      <c r="C28" t="inlineStr">
        <is>
          <t>29-08-2021</t>
        </is>
      </c>
      <c r="D28" t="inlineStr">
        <is>
          <t>Amnesty</t>
        </is>
      </c>
      <c r="E28" t="inlineStr">
        <is>
          <t>Aug-2017</t>
        </is>
      </c>
      <c r="F28" t="inlineStr">
        <is>
          <t>Aug-2017</t>
        </is>
      </c>
      <c r="G28" t="inlineStr">
        <is>
          <t>01-09-2021</t>
        </is>
      </c>
      <c r="H28" t="inlineStr">
        <is>
          <t>30-11-2021</t>
        </is>
      </c>
      <c r="I28" t="inlineStr">
        <is>
          <t>NON-NIL</t>
        </is>
      </c>
      <c r="J28" t="inlineStr">
        <is>
          <t>≤5Cr</t>
        </is>
      </c>
      <c r="K28" t="n">
        <v>2000</v>
      </c>
      <c r="L28" t="inlineStr">
        <is>
          <t>Cap</t>
        </is>
      </c>
      <c r="M28" t="inlineStr">
        <is>
          <t>Late fee capped at ₹2,000 under extended amnesty (33/2021-CT).</t>
        </is>
      </c>
      <c r="N28" t="inlineStr">
        <is>
          <t>Low</t>
        </is>
      </c>
      <c r="O28" t="n">
        <v>1</v>
      </c>
    </row>
    <row r="29">
      <c r="A29" t="inlineStr">
        <is>
          <t>Aug-2017_LF06_LARGE</t>
        </is>
      </c>
      <c r="B29" t="inlineStr">
        <is>
          <t>33/2021-CT</t>
        </is>
      </c>
      <c r="C29" t="inlineStr">
        <is>
          <t>29-08-2021</t>
        </is>
      </c>
      <c r="D29" t="inlineStr">
        <is>
          <t>Amnesty</t>
        </is>
      </c>
      <c r="E29" t="inlineStr">
        <is>
          <t>Aug-2017</t>
        </is>
      </c>
      <c r="F29" t="inlineStr">
        <is>
          <t>Aug-2017</t>
        </is>
      </c>
      <c r="G29" t="inlineStr">
        <is>
          <t>01-09-2021</t>
        </is>
      </c>
      <c r="H29" t="inlineStr">
        <is>
          <t>30-11-2021</t>
        </is>
      </c>
      <c r="I29" t="inlineStr">
        <is>
          <t>NON-NIL</t>
        </is>
      </c>
      <c r="J29" t="inlineStr">
        <is>
          <t>&gt;5Cr</t>
        </is>
      </c>
      <c r="K29" t="n">
        <v>5000</v>
      </c>
      <c r="L29" t="inlineStr">
        <is>
          <t>Cap</t>
        </is>
      </c>
      <c r="M29" t="inlineStr">
        <is>
          <t>Late fee capped at ₹5,000 under extended amnesty (33/2021-CT).</t>
        </is>
      </c>
      <c r="N29" t="inlineStr">
        <is>
          <t>Low</t>
        </is>
      </c>
      <c r="O29" t="n">
        <v>1</v>
      </c>
    </row>
    <row r="30">
      <c r="A30" t="inlineStr">
        <is>
          <t>Sep-2017_LF05_NIL</t>
        </is>
      </c>
      <c r="B30" t="inlineStr">
        <is>
          <t>19/2021-CT</t>
        </is>
      </c>
      <c r="C30" t="inlineStr">
        <is>
          <t>01-06-2021</t>
        </is>
      </c>
      <c r="D30" t="inlineStr">
        <is>
          <t>Amnesty</t>
        </is>
      </c>
      <c r="E30" t="inlineStr">
        <is>
          <t>Sep-2017</t>
        </is>
      </c>
      <c r="F30" t="inlineStr">
        <is>
          <t>Sep-2017</t>
        </is>
      </c>
      <c r="G30" t="inlineStr">
        <is>
          <t>01-06-2021</t>
        </is>
      </c>
      <c r="H30" t="inlineStr">
        <is>
          <t>31-08-2021</t>
        </is>
      </c>
      <c r="I30" t="inlineStr">
        <is>
          <t>NIL</t>
        </is>
      </c>
      <c r="J30" t="inlineStr">
        <is>
          <t>ALL</t>
        </is>
      </c>
      <c r="K30" t="n">
        <v>500</v>
      </c>
      <c r="L30" t="inlineStr">
        <is>
          <t>Cap</t>
        </is>
      </c>
      <c r="M30" t="inlineStr">
        <is>
          <t>Late fee capped at ₹500 under Notification 19/2021-CT.</t>
        </is>
      </c>
      <c r="N30" t="inlineStr">
        <is>
          <t>Low</t>
        </is>
      </c>
      <c r="O30" t="n">
        <v>1</v>
      </c>
    </row>
    <row r="31">
      <c r="A31" t="inlineStr">
        <is>
          <t>Sep-2017_LF05_SMALL</t>
        </is>
      </c>
      <c r="B31" t="inlineStr">
        <is>
          <t>19/2021-CT</t>
        </is>
      </c>
      <c r="C31" t="inlineStr">
        <is>
          <t>01-06-2021</t>
        </is>
      </c>
      <c r="D31" t="inlineStr">
        <is>
          <t>Amnesty</t>
        </is>
      </c>
      <c r="E31" t="inlineStr">
        <is>
          <t>Sep-2017</t>
        </is>
      </c>
      <c r="F31" t="inlineStr">
        <is>
          <t>Sep-2017</t>
        </is>
      </c>
      <c r="G31" t="inlineStr">
        <is>
          <t>01-06-2021</t>
        </is>
      </c>
      <c r="H31" t="inlineStr">
        <is>
          <t>31-08-2021</t>
        </is>
      </c>
      <c r="I31" t="inlineStr">
        <is>
          <t>NON-NIL</t>
        </is>
      </c>
      <c r="J31" t="inlineStr">
        <is>
          <t>≤5Cr</t>
        </is>
      </c>
      <c r="K31" t="n">
        <v>2000</v>
      </c>
      <c r="L31" t="inlineStr">
        <is>
          <t>Cap</t>
        </is>
      </c>
      <c r="M31" t="inlineStr">
        <is>
          <t>Late fee capped at ₹2,000 under Notification 19/2021-CT.</t>
        </is>
      </c>
      <c r="N31" t="inlineStr">
        <is>
          <t>Low</t>
        </is>
      </c>
      <c r="O31" t="n">
        <v>1</v>
      </c>
    </row>
    <row r="32">
      <c r="A32" t="inlineStr">
        <is>
          <t>Sep-2017_LF05_LARGE</t>
        </is>
      </c>
      <c r="B32" t="inlineStr">
        <is>
          <t>19/2021-CT</t>
        </is>
      </c>
      <c r="C32" t="inlineStr">
        <is>
          <t>01-06-2021</t>
        </is>
      </c>
      <c r="D32" t="inlineStr">
        <is>
          <t>Amnesty</t>
        </is>
      </c>
      <c r="E32" t="inlineStr">
        <is>
          <t>Sep-2017</t>
        </is>
      </c>
      <c r="F32" t="inlineStr">
        <is>
          <t>Sep-2017</t>
        </is>
      </c>
      <c r="G32" t="inlineStr">
        <is>
          <t>01-06-2021</t>
        </is>
      </c>
      <c r="H32" t="inlineStr">
        <is>
          <t>31-08-2021</t>
        </is>
      </c>
      <c r="I32" t="inlineStr">
        <is>
          <t>NON-NIL</t>
        </is>
      </c>
      <c r="J32" t="inlineStr">
        <is>
          <t>&gt;5Cr</t>
        </is>
      </c>
      <c r="K32" t="n">
        <v>5000</v>
      </c>
      <c r="L32" t="inlineStr">
        <is>
          <t>Cap</t>
        </is>
      </c>
      <c r="M32" t="inlineStr">
        <is>
          <t>Late fee capped at ₹5,000 under Notification 19/2021-CT.</t>
        </is>
      </c>
      <c r="N32" t="inlineStr">
        <is>
          <t>Low</t>
        </is>
      </c>
      <c r="O32" t="n">
        <v>1</v>
      </c>
    </row>
    <row r="33">
      <c r="A33" t="inlineStr">
        <is>
          <t>Sep-2017_LF06_NIL</t>
        </is>
      </c>
      <c r="B33" t="inlineStr">
        <is>
          <t>33/2021-CT</t>
        </is>
      </c>
      <c r="C33" t="inlineStr">
        <is>
          <t>29-08-2021</t>
        </is>
      </c>
      <c r="D33" t="inlineStr">
        <is>
          <t>Amnesty</t>
        </is>
      </c>
      <c r="E33" t="inlineStr">
        <is>
          <t>Sep-2017</t>
        </is>
      </c>
      <c r="F33" t="inlineStr">
        <is>
          <t>Sep-2017</t>
        </is>
      </c>
      <c r="G33" t="inlineStr">
        <is>
          <t>01-09-2021</t>
        </is>
      </c>
      <c r="H33" t="inlineStr">
        <is>
          <t>30-11-2021</t>
        </is>
      </c>
      <c r="I33" t="inlineStr">
        <is>
          <t>NIL</t>
        </is>
      </c>
      <c r="J33" t="inlineStr">
        <is>
          <t>ALL</t>
        </is>
      </c>
      <c r="K33" t="n">
        <v>500</v>
      </c>
      <c r="L33" t="inlineStr">
        <is>
          <t>Cap</t>
        </is>
      </c>
      <c r="M33" t="inlineStr">
        <is>
          <t>Late fee capped at ₹500 under extended amnesty (33/2021-CT).</t>
        </is>
      </c>
      <c r="N33" t="inlineStr">
        <is>
          <t>Low</t>
        </is>
      </c>
      <c r="O33" t="n">
        <v>1</v>
      </c>
    </row>
    <row r="34">
      <c r="A34" t="inlineStr">
        <is>
          <t>Sep-2017_LF06_SMALL</t>
        </is>
      </c>
      <c r="B34" t="inlineStr">
        <is>
          <t>33/2021-CT</t>
        </is>
      </c>
      <c r="C34" t="inlineStr">
        <is>
          <t>29-08-2021</t>
        </is>
      </c>
      <c r="D34" t="inlineStr">
        <is>
          <t>Amnesty</t>
        </is>
      </c>
      <c r="E34" t="inlineStr">
        <is>
          <t>Sep-2017</t>
        </is>
      </c>
      <c r="F34" t="inlineStr">
        <is>
          <t>Sep-2017</t>
        </is>
      </c>
      <c r="G34" t="inlineStr">
        <is>
          <t>01-09-2021</t>
        </is>
      </c>
      <c r="H34" t="inlineStr">
        <is>
          <t>30-11-2021</t>
        </is>
      </c>
      <c r="I34" t="inlineStr">
        <is>
          <t>NON-NIL</t>
        </is>
      </c>
      <c r="J34" t="inlineStr">
        <is>
          <t>≤5Cr</t>
        </is>
      </c>
      <c r="K34" t="n">
        <v>2000</v>
      </c>
      <c r="L34" t="inlineStr">
        <is>
          <t>Cap</t>
        </is>
      </c>
      <c r="M34" t="inlineStr">
        <is>
          <t>Late fee capped at ₹2,000 under extended amnesty (33/2021-CT).</t>
        </is>
      </c>
      <c r="N34" t="inlineStr">
        <is>
          <t>Low</t>
        </is>
      </c>
      <c r="O34" t="n">
        <v>1</v>
      </c>
    </row>
    <row r="35">
      <c r="A35" t="inlineStr">
        <is>
          <t>Sep-2017_LF06_LARGE</t>
        </is>
      </c>
      <c r="B35" t="inlineStr">
        <is>
          <t>33/2021-CT</t>
        </is>
      </c>
      <c r="C35" t="inlineStr">
        <is>
          <t>29-08-2021</t>
        </is>
      </c>
      <c r="D35" t="inlineStr">
        <is>
          <t>Amnesty</t>
        </is>
      </c>
      <c r="E35" t="inlineStr">
        <is>
          <t>Sep-2017</t>
        </is>
      </c>
      <c r="F35" t="inlineStr">
        <is>
          <t>Sep-2017</t>
        </is>
      </c>
      <c r="G35" t="inlineStr">
        <is>
          <t>01-09-2021</t>
        </is>
      </c>
      <c r="H35" t="inlineStr">
        <is>
          <t>30-11-2021</t>
        </is>
      </c>
      <c r="I35" t="inlineStr">
        <is>
          <t>NON-NIL</t>
        </is>
      </c>
      <c r="J35" t="inlineStr">
        <is>
          <t>&gt;5Cr</t>
        </is>
      </c>
      <c r="K35" t="n">
        <v>5000</v>
      </c>
      <c r="L35" t="inlineStr">
        <is>
          <t>Cap</t>
        </is>
      </c>
      <c r="M35" t="inlineStr">
        <is>
          <t>Late fee capped at ₹5,000 under extended amnesty (33/2021-CT).</t>
        </is>
      </c>
      <c r="N35" t="inlineStr">
        <is>
          <t>Low</t>
        </is>
      </c>
      <c r="O35" t="n">
        <v>1</v>
      </c>
    </row>
    <row r="36">
      <c r="A36" t="inlineStr">
        <is>
          <t>Oct-2017_LF05_NIL</t>
        </is>
      </c>
      <c r="B36" t="inlineStr">
        <is>
          <t>19/2021-CT</t>
        </is>
      </c>
      <c r="C36" t="inlineStr">
        <is>
          <t>01-06-2021</t>
        </is>
      </c>
      <c r="D36" t="inlineStr">
        <is>
          <t>Amnesty</t>
        </is>
      </c>
      <c r="E36" t="inlineStr">
        <is>
          <t>Oct-2017</t>
        </is>
      </c>
      <c r="F36" t="inlineStr">
        <is>
          <t>Oct-2017</t>
        </is>
      </c>
      <c r="G36" t="inlineStr">
        <is>
          <t>01-06-2021</t>
        </is>
      </c>
      <c r="H36" t="inlineStr">
        <is>
          <t>31-08-2021</t>
        </is>
      </c>
      <c r="I36" t="inlineStr">
        <is>
          <t>NIL</t>
        </is>
      </c>
      <c r="J36" t="inlineStr">
        <is>
          <t>ALL</t>
        </is>
      </c>
      <c r="K36" t="n">
        <v>500</v>
      </c>
      <c r="L36" t="inlineStr">
        <is>
          <t>Cap</t>
        </is>
      </c>
      <c r="M36" t="inlineStr">
        <is>
          <t>Late fee capped at ₹500 under Notification 19/2021-CT.</t>
        </is>
      </c>
      <c r="N36" t="inlineStr">
        <is>
          <t>Low</t>
        </is>
      </c>
      <c r="O36" t="n">
        <v>1</v>
      </c>
    </row>
    <row r="37">
      <c r="A37" t="inlineStr">
        <is>
          <t>Oct-2017_LF05_SMALL</t>
        </is>
      </c>
      <c r="B37" t="inlineStr">
        <is>
          <t>19/2021-CT</t>
        </is>
      </c>
      <c r="C37" t="inlineStr">
        <is>
          <t>01-06-2021</t>
        </is>
      </c>
      <c r="D37" t="inlineStr">
        <is>
          <t>Amnesty</t>
        </is>
      </c>
      <c r="E37" t="inlineStr">
        <is>
          <t>Oct-2017</t>
        </is>
      </c>
      <c r="F37" t="inlineStr">
        <is>
          <t>Oct-2017</t>
        </is>
      </c>
      <c r="G37" t="inlineStr">
        <is>
          <t>01-06-2021</t>
        </is>
      </c>
      <c r="H37" t="inlineStr">
        <is>
          <t>31-08-2021</t>
        </is>
      </c>
      <c r="I37" t="inlineStr">
        <is>
          <t>NON-NIL</t>
        </is>
      </c>
      <c r="J37" t="inlineStr">
        <is>
          <t>≤5Cr</t>
        </is>
      </c>
      <c r="K37" t="n">
        <v>2000</v>
      </c>
      <c r="L37" t="inlineStr">
        <is>
          <t>Cap</t>
        </is>
      </c>
      <c r="M37" t="inlineStr">
        <is>
          <t>Late fee capped at ₹2,000 under Notification 19/2021-CT.</t>
        </is>
      </c>
      <c r="N37" t="inlineStr">
        <is>
          <t>Low</t>
        </is>
      </c>
      <c r="O37" t="n">
        <v>1</v>
      </c>
    </row>
    <row r="38">
      <c r="A38" t="inlineStr">
        <is>
          <t>Oct-2017_LF05_LARGE</t>
        </is>
      </c>
      <c r="B38" t="inlineStr">
        <is>
          <t>19/2021-CT</t>
        </is>
      </c>
      <c r="C38" t="inlineStr">
        <is>
          <t>01-06-2021</t>
        </is>
      </c>
      <c r="D38" t="inlineStr">
        <is>
          <t>Amnesty</t>
        </is>
      </c>
      <c r="E38" t="inlineStr">
        <is>
          <t>Oct-2017</t>
        </is>
      </c>
      <c r="F38" t="inlineStr">
        <is>
          <t>Oct-2017</t>
        </is>
      </c>
      <c r="G38" t="inlineStr">
        <is>
          <t>01-06-2021</t>
        </is>
      </c>
      <c r="H38" t="inlineStr">
        <is>
          <t>31-08-2021</t>
        </is>
      </c>
      <c r="I38" t="inlineStr">
        <is>
          <t>NON-NIL</t>
        </is>
      </c>
      <c r="J38" t="inlineStr">
        <is>
          <t>&gt;5Cr</t>
        </is>
      </c>
      <c r="K38" t="n">
        <v>5000</v>
      </c>
      <c r="L38" t="inlineStr">
        <is>
          <t>Cap</t>
        </is>
      </c>
      <c r="M38" t="inlineStr">
        <is>
          <t>Late fee capped at ₹5,000 under Notification 19/2021-CT.</t>
        </is>
      </c>
      <c r="N38" t="inlineStr">
        <is>
          <t>Low</t>
        </is>
      </c>
      <c r="O38" t="n">
        <v>1</v>
      </c>
    </row>
    <row r="39">
      <c r="A39" t="inlineStr">
        <is>
          <t>Oct-2017_LF06_NIL</t>
        </is>
      </c>
      <c r="B39" t="inlineStr">
        <is>
          <t>33/2021-CT</t>
        </is>
      </c>
      <c r="C39" t="inlineStr">
        <is>
          <t>29-08-2021</t>
        </is>
      </c>
      <c r="D39" t="inlineStr">
        <is>
          <t>Amnesty</t>
        </is>
      </c>
      <c r="E39" t="inlineStr">
        <is>
          <t>Oct-2017</t>
        </is>
      </c>
      <c r="F39" t="inlineStr">
        <is>
          <t>Oct-2017</t>
        </is>
      </c>
      <c r="G39" t="inlineStr">
        <is>
          <t>01-09-2021</t>
        </is>
      </c>
      <c r="H39" t="inlineStr">
        <is>
          <t>30-11-2021</t>
        </is>
      </c>
      <c r="I39" t="inlineStr">
        <is>
          <t>NIL</t>
        </is>
      </c>
      <c r="J39" t="inlineStr">
        <is>
          <t>ALL</t>
        </is>
      </c>
      <c r="K39" t="n">
        <v>500</v>
      </c>
      <c r="L39" t="inlineStr">
        <is>
          <t>Cap</t>
        </is>
      </c>
      <c r="M39" t="inlineStr">
        <is>
          <t>Late fee capped at ₹500 under extended amnesty (33/2021-CT).</t>
        </is>
      </c>
      <c r="N39" t="inlineStr">
        <is>
          <t>Low</t>
        </is>
      </c>
      <c r="O39" t="n">
        <v>1</v>
      </c>
    </row>
    <row r="40">
      <c r="A40" t="inlineStr">
        <is>
          <t>Oct-2017_LF06_SMALL</t>
        </is>
      </c>
      <c r="B40" t="inlineStr">
        <is>
          <t>33/2021-CT</t>
        </is>
      </c>
      <c r="C40" t="inlineStr">
        <is>
          <t>29-08-2021</t>
        </is>
      </c>
      <c r="D40" t="inlineStr">
        <is>
          <t>Amnesty</t>
        </is>
      </c>
      <c r="E40" t="inlineStr">
        <is>
          <t>Oct-2017</t>
        </is>
      </c>
      <c r="F40" t="inlineStr">
        <is>
          <t>Oct-2017</t>
        </is>
      </c>
      <c r="G40" t="inlineStr">
        <is>
          <t>01-09-2021</t>
        </is>
      </c>
      <c r="H40" t="inlineStr">
        <is>
          <t>30-11-2021</t>
        </is>
      </c>
      <c r="I40" t="inlineStr">
        <is>
          <t>NON-NIL</t>
        </is>
      </c>
      <c r="J40" t="inlineStr">
        <is>
          <t>≤5Cr</t>
        </is>
      </c>
      <c r="K40" t="n">
        <v>2000</v>
      </c>
      <c r="L40" t="inlineStr">
        <is>
          <t>Cap</t>
        </is>
      </c>
      <c r="M40" t="inlineStr">
        <is>
          <t>Late fee capped at ₹2,000 under extended amnesty (33/2021-CT).</t>
        </is>
      </c>
      <c r="N40" t="inlineStr">
        <is>
          <t>Low</t>
        </is>
      </c>
      <c r="O40" t="n">
        <v>1</v>
      </c>
    </row>
    <row r="41">
      <c r="A41" t="inlineStr">
        <is>
          <t>Oct-2017_LF06_LARGE</t>
        </is>
      </c>
      <c r="B41" t="inlineStr">
        <is>
          <t>33/2021-CT</t>
        </is>
      </c>
      <c r="C41" t="inlineStr">
        <is>
          <t>29-08-2021</t>
        </is>
      </c>
      <c r="D41" t="inlineStr">
        <is>
          <t>Amnesty</t>
        </is>
      </c>
      <c r="E41" t="inlineStr">
        <is>
          <t>Oct-2017</t>
        </is>
      </c>
      <c r="F41" t="inlineStr">
        <is>
          <t>Oct-2017</t>
        </is>
      </c>
      <c r="G41" t="inlineStr">
        <is>
          <t>01-09-2021</t>
        </is>
      </c>
      <c r="H41" t="inlineStr">
        <is>
          <t>30-11-2021</t>
        </is>
      </c>
      <c r="I41" t="inlineStr">
        <is>
          <t>NON-NIL</t>
        </is>
      </c>
      <c r="J41" t="inlineStr">
        <is>
          <t>&gt;5Cr</t>
        </is>
      </c>
      <c r="K41" t="n">
        <v>5000</v>
      </c>
      <c r="L41" t="inlineStr">
        <is>
          <t>Cap</t>
        </is>
      </c>
      <c r="M41" t="inlineStr">
        <is>
          <t>Late fee capped at ₹5,000 under extended amnesty (33/2021-CT).</t>
        </is>
      </c>
      <c r="N41" t="inlineStr">
        <is>
          <t>Low</t>
        </is>
      </c>
      <c r="O41" t="n">
        <v>1</v>
      </c>
    </row>
    <row r="42">
      <c r="A42" t="inlineStr">
        <is>
          <t>Nov-2017_LF05_NIL</t>
        </is>
      </c>
      <c r="B42" t="inlineStr">
        <is>
          <t>19/2021-CT</t>
        </is>
      </c>
      <c r="C42" t="inlineStr">
        <is>
          <t>01-06-2021</t>
        </is>
      </c>
      <c r="D42" t="inlineStr">
        <is>
          <t>Amnesty</t>
        </is>
      </c>
      <c r="E42" t="inlineStr">
        <is>
          <t>Nov-2017</t>
        </is>
      </c>
      <c r="F42" t="inlineStr">
        <is>
          <t>Nov-2017</t>
        </is>
      </c>
      <c r="G42" t="inlineStr">
        <is>
          <t>01-06-2021</t>
        </is>
      </c>
      <c r="H42" t="inlineStr">
        <is>
          <t>31-08-2021</t>
        </is>
      </c>
      <c r="I42" t="inlineStr">
        <is>
          <t>NIL</t>
        </is>
      </c>
      <c r="J42" t="inlineStr">
        <is>
          <t>ALL</t>
        </is>
      </c>
      <c r="K42" t="n">
        <v>500</v>
      </c>
      <c r="L42" t="inlineStr">
        <is>
          <t>Cap</t>
        </is>
      </c>
      <c r="M42" t="inlineStr">
        <is>
          <t>Late fee capped at ₹500 under Notification 19/2021-CT.</t>
        </is>
      </c>
      <c r="N42" t="inlineStr">
        <is>
          <t>Low</t>
        </is>
      </c>
      <c r="O42" t="n">
        <v>1</v>
      </c>
    </row>
    <row r="43">
      <c r="A43" t="inlineStr">
        <is>
          <t>Nov-2017_LF05_SMALL</t>
        </is>
      </c>
      <c r="B43" t="inlineStr">
        <is>
          <t>19/2021-CT</t>
        </is>
      </c>
      <c r="C43" t="inlineStr">
        <is>
          <t>01-06-2021</t>
        </is>
      </c>
      <c r="D43" t="inlineStr">
        <is>
          <t>Amnesty</t>
        </is>
      </c>
      <c r="E43" t="inlineStr">
        <is>
          <t>Nov-2017</t>
        </is>
      </c>
      <c r="F43" t="inlineStr">
        <is>
          <t>Nov-2017</t>
        </is>
      </c>
      <c r="G43" t="inlineStr">
        <is>
          <t>01-06-2021</t>
        </is>
      </c>
      <c r="H43" t="inlineStr">
        <is>
          <t>31-08-2021</t>
        </is>
      </c>
      <c r="I43" t="inlineStr">
        <is>
          <t>NON-NIL</t>
        </is>
      </c>
      <c r="J43" t="inlineStr">
        <is>
          <t>≤5Cr</t>
        </is>
      </c>
      <c r="K43" t="n">
        <v>2000</v>
      </c>
      <c r="L43" t="inlineStr">
        <is>
          <t>Cap</t>
        </is>
      </c>
      <c r="M43" t="inlineStr">
        <is>
          <t>Late fee capped at ₹2,000 under Notification 19/2021-CT.</t>
        </is>
      </c>
      <c r="N43" t="inlineStr">
        <is>
          <t>Low</t>
        </is>
      </c>
      <c r="O43" t="n">
        <v>1</v>
      </c>
    </row>
    <row r="44">
      <c r="A44" t="inlineStr">
        <is>
          <t>Nov-2017_LF05_LARGE</t>
        </is>
      </c>
      <c r="B44" t="inlineStr">
        <is>
          <t>19/2021-CT</t>
        </is>
      </c>
      <c r="C44" t="inlineStr">
        <is>
          <t>01-06-2021</t>
        </is>
      </c>
      <c r="D44" t="inlineStr">
        <is>
          <t>Amnesty</t>
        </is>
      </c>
      <c r="E44" t="inlineStr">
        <is>
          <t>Nov-2017</t>
        </is>
      </c>
      <c r="F44" t="inlineStr">
        <is>
          <t>Nov-2017</t>
        </is>
      </c>
      <c r="G44" t="inlineStr">
        <is>
          <t>01-06-2021</t>
        </is>
      </c>
      <c r="H44" t="inlineStr">
        <is>
          <t>31-08-2021</t>
        </is>
      </c>
      <c r="I44" t="inlineStr">
        <is>
          <t>NON-NIL</t>
        </is>
      </c>
      <c r="J44" t="inlineStr">
        <is>
          <t>&gt;5Cr</t>
        </is>
      </c>
      <c r="K44" t="n">
        <v>5000</v>
      </c>
      <c r="L44" t="inlineStr">
        <is>
          <t>Cap</t>
        </is>
      </c>
      <c r="M44" t="inlineStr">
        <is>
          <t>Late fee capped at ₹5,000 under Notification 19/2021-CT.</t>
        </is>
      </c>
      <c r="N44" t="inlineStr">
        <is>
          <t>Low</t>
        </is>
      </c>
      <c r="O44" t="n">
        <v>1</v>
      </c>
    </row>
    <row r="45">
      <c r="A45" t="inlineStr">
        <is>
          <t>Nov-2017_LF06_NIL</t>
        </is>
      </c>
      <c r="B45" t="inlineStr">
        <is>
          <t>33/2021-CT</t>
        </is>
      </c>
      <c r="C45" t="inlineStr">
        <is>
          <t>29-08-2021</t>
        </is>
      </c>
      <c r="D45" t="inlineStr">
        <is>
          <t>Amnesty</t>
        </is>
      </c>
      <c r="E45" t="inlineStr">
        <is>
          <t>Nov-2017</t>
        </is>
      </c>
      <c r="F45" t="inlineStr">
        <is>
          <t>Nov-2017</t>
        </is>
      </c>
      <c r="G45" t="inlineStr">
        <is>
          <t>01-09-2021</t>
        </is>
      </c>
      <c r="H45" t="inlineStr">
        <is>
          <t>30-11-2021</t>
        </is>
      </c>
      <c r="I45" t="inlineStr">
        <is>
          <t>NIL</t>
        </is>
      </c>
      <c r="J45" t="inlineStr">
        <is>
          <t>ALL</t>
        </is>
      </c>
      <c r="K45" t="n">
        <v>500</v>
      </c>
      <c r="L45" t="inlineStr">
        <is>
          <t>Cap</t>
        </is>
      </c>
      <c r="M45" t="inlineStr">
        <is>
          <t>Late fee capped at ₹500 under extended amnesty (33/2021-CT).</t>
        </is>
      </c>
      <c r="N45" t="inlineStr">
        <is>
          <t>Low</t>
        </is>
      </c>
      <c r="O45" t="n">
        <v>1</v>
      </c>
    </row>
    <row r="46">
      <c r="A46" t="inlineStr">
        <is>
          <t>Nov-2017_LF06_SMALL</t>
        </is>
      </c>
      <c r="B46" t="inlineStr">
        <is>
          <t>33/2021-CT</t>
        </is>
      </c>
      <c r="C46" t="inlineStr">
        <is>
          <t>29-08-2021</t>
        </is>
      </c>
      <c r="D46" t="inlineStr">
        <is>
          <t>Amnesty</t>
        </is>
      </c>
      <c r="E46" t="inlineStr">
        <is>
          <t>Nov-2017</t>
        </is>
      </c>
      <c r="F46" t="inlineStr">
        <is>
          <t>Nov-2017</t>
        </is>
      </c>
      <c r="G46" t="inlineStr">
        <is>
          <t>01-09-2021</t>
        </is>
      </c>
      <c r="H46" t="inlineStr">
        <is>
          <t>30-11-2021</t>
        </is>
      </c>
      <c r="I46" t="inlineStr">
        <is>
          <t>NON-NIL</t>
        </is>
      </c>
      <c r="J46" t="inlineStr">
        <is>
          <t>≤5Cr</t>
        </is>
      </c>
      <c r="K46" t="n">
        <v>2000</v>
      </c>
      <c r="L46" t="inlineStr">
        <is>
          <t>Cap</t>
        </is>
      </c>
      <c r="M46" t="inlineStr">
        <is>
          <t>Late fee capped at ₹2,000 under extended amnesty (33/2021-CT).</t>
        </is>
      </c>
      <c r="N46" t="inlineStr">
        <is>
          <t>Low</t>
        </is>
      </c>
      <c r="O46" t="n">
        <v>1</v>
      </c>
    </row>
    <row r="47">
      <c r="A47" t="inlineStr">
        <is>
          <t>Nov-2017_LF06_LARGE</t>
        </is>
      </c>
      <c r="B47" t="inlineStr">
        <is>
          <t>33/2021-CT</t>
        </is>
      </c>
      <c r="C47" t="inlineStr">
        <is>
          <t>29-08-2021</t>
        </is>
      </c>
      <c r="D47" t="inlineStr">
        <is>
          <t>Amnesty</t>
        </is>
      </c>
      <c r="E47" t="inlineStr">
        <is>
          <t>Nov-2017</t>
        </is>
      </c>
      <c r="F47" t="inlineStr">
        <is>
          <t>Nov-2017</t>
        </is>
      </c>
      <c r="G47" t="inlineStr">
        <is>
          <t>01-09-2021</t>
        </is>
      </c>
      <c r="H47" t="inlineStr">
        <is>
          <t>30-11-2021</t>
        </is>
      </c>
      <c r="I47" t="inlineStr">
        <is>
          <t>NON-NIL</t>
        </is>
      </c>
      <c r="J47" t="inlineStr">
        <is>
          <t>&gt;5Cr</t>
        </is>
      </c>
      <c r="K47" t="n">
        <v>5000</v>
      </c>
      <c r="L47" t="inlineStr">
        <is>
          <t>Cap</t>
        </is>
      </c>
      <c r="M47" t="inlineStr">
        <is>
          <t>Late fee capped at ₹5,000 under extended amnesty (33/2021-CT).</t>
        </is>
      </c>
      <c r="N47" t="inlineStr">
        <is>
          <t>Low</t>
        </is>
      </c>
      <c r="O47" t="n">
        <v>1</v>
      </c>
    </row>
    <row r="48">
      <c r="A48" t="inlineStr">
        <is>
          <t>Dec-2017_LF05_NIL</t>
        </is>
      </c>
      <c r="B48" t="inlineStr">
        <is>
          <t>19/2021-CT</t>
        </is>
      </c>
      <c r="C48" t="inlineStr">
        <is>
          <t>01-06-2021</t>
        </is>
      </c>
      <c r="D48" t="inlineStr">
        <is>
          <t>Amnesty</t>
        </is>
      </c>
      <c r="E48" t="inlineStr">
        <is>
          <t>Dec-2017</t>
        </is>
      </c>
      <c r="F48" t="inlineStr">
        <is>
          <t>Dec-2017</t>
        </is>
      </c>
      <c r="G48" t="inlineStr">
        <is>
          <t>01-06-2021</t>
        </is>
      </c>
      <c r="H48" t="inlineStr">
        <is>
          <t>31-08-2021</t>
        </is>
      </c>
      <c r="I48" t="inlineStr">
        <is>
          <t>NIL</t>
        </is>
      </c>
      <c r="J48" t="inlineStr">
        <is>
          <t>ALL</t>
        </is>
      </c>
      <c r="K48" t="n">
        <v>500</v>
      </c>
      <c r="L48" t="inlineStr">
        <is>
          <t>Cap</t>
        </is>
      </c>
      <c r="M48" t="inlineStr">
        <is>
          <t>Late fee capped at ₹500 under Notification 19/2021-CT.</t>
        </is>
      </c>
      <c r="N48" t="inlineStr">
        <is>
          <t>Low</t>
        </is>
      </c>
      <c r="O48" t="n">
        <v>1</v>
      </c>
    </row>
    <row r="49">
      <c r="A49" t="inlineStr">
        <is>
          <t>Dec-2017_LF05_SMALL</t>
        </is>
      </c>
      <c r="B49" t="inlineStr">
        <is>
          <t>19/2021-CT</t>
        </is>
      </c>
      <c r="C49" t="inlineStr">
        <is>
          <t>01-06-2021</t>
        </is>
      </c>
      <c r="D49" t="inlineStr">
        <is>
          <t>Amnesty</t>
        </is>
      </c>
      <c r="E49" t="inlineStr">
        <is>
          <t>Dec-2017</t>
        </is>
      </c>
      <c r="F49" t="inlineStr">
        <is>
          <t>Dec-2017</t>
        </is>
      </c>
      <c r="G49" t="inlineStr">
        <is>
          <t>01-06-2021</t>
        </is>
      </c>
      <c r="H49" t="inlineStr">
        <is>
          <t>31-08-2021</t>
        </is>
      </c>
      <c r="I49" t="inlineStr">
        <is>
          <t>NON-NIL</t>
        </is>
      </c>
      <c r="J49" t="inlineStr">
        <is>
          <t>≤5Cr</t>
        </is>
      </c>
      <c r="K49" t="n">
        <v>2000</v>
      </c>
      <c r="L49" t="inlineStr">
        <is>
          <t>Cap</t>
        </is>
      </c>
      <c r="M49" t="inlineStr">
        <is>
          <t>Late fee capped at ₹2,000 under Notification 19/2021-CT.</t>
        </is>
      </c>
      <c r="N49" t="inlineStr">
        <is>
          <t>Low</t>
        </is>
      </c>
      <c r="O49" t="n">
        <v>1</v>
      </c>
    </row>
    <row r="50">
      <c r="A50" t="inlineStr">
        <is>
          <t>Dec-2017_LF05_LARGE</t>
        </is>
      </c>
      <c r="B50" t="inlineStr">
        <is>
          <t>19/2021-CT</t>
        </is>
      </c>
      <c r="C50" t="inlineStr">
        <is>
          <t>01-06-2021</t>
        </is>
      </c>
      <c r="D50" t="inlineStr">
        <is>
          <t>Amnesty</t>
        </is>
      </c>
      <c r="E50" t="inlineStr">
        <is>
          <t>Dec-2017</t>
        </is>
      </c>
      <c r="F50" t="inlineStr">
        <is>
          <t>Dec-2017</t>
        </is>
      </c>
      <c r="G50" t="inlineStr">
        <is>
          <t>01-06-2021</t>
        </is>
      </c>
      <c r="H50" t="inlineStr">
        <is>
          <t>31-08-2021</t>
        </is>
      </c>
      <c r="I50" t="inlineStr">
        <is>
          <t>NON-NIL</t>
        </is>
      </c>
      <c r="J50" t="inlineStr">
        <is>
          <t>&gt;5Cr</t>
        </is>
      </c>
      <c r="K50" t="n">
        <v>5000</v>
      </c>
      <c r="L50" t="inlineStr">
        <is>
          <t>Cap</t>
        </is>
      </c>
      <c r="M50" t="inlineStr">
        <is>
          <t>Late fee capped at ₹5,000 under Notification 19/2021-CT.</t>
        </is>
      </c>
      <c r="N50" t="inlineStr">
        <is>
          <t>Low</t>
        </is>
      </c>
      <c r="O50" t="n">
        <v>1</v>
      </c>
    </row>
    <row r="51">
      <c r="A51" t="inlineStr">
        <is>
          <t>Dec-2017_LF06_NIL</t>
        </is>
      </c>
      <c r="B51" t="inlineStr">
        <is>
          <t>33/2021-CT</t>
        </is>
      </c>
      <c r="C51" t="inlineStr">
        <is>
          <t>29-08-2021</t>
        </is>
      </c>
      <c r="D51" t="inlineStr">
        <is>
          <t>Amnesty</t>
        </is>
      </c>
      <c r="E51" t="inlineStr">
        <is>
          <t>Dec-2017</t>
        </is>
      </c>
      <c r="F51" t="inlineStr">
        <is>
          <t>Dec-2017</t>
        </is>
      </c>
      <c r="G51" t="inlineStr">
        <is>
          <t>01-09-2021</t>
        </is>
      </c>
      <c r="H51" t="inlineStr">
        <is>
          <t>30-11-2021</t>
        </is>
      </c>
      <c r="I51" t="inlineStr">
        <is>
          <t>NIL</t>
        </is>
      </c>
      <c r="J51" t="inlineStr">
        <is>
          <t>ALL</t>
        </is>
      </c>
      <c r="K51" t="n">
        <v>500</v>
      </c>
      <c r="L51" t="inlineStr">
        <is>
          <t>Cap</t>
        </is>
      </c>
      <c r="M51" t="inlineStr">
        <is>
          <t>Late fee capped at ₹500 under extended amnesty (33/2021-CT).</t>
        </is>
      </c>
      <c r="N51" t="inlineStr">
        <is>
          <t>Low</t>
        </is>
      </c>
      <c r="O51" t="n">
        <v>1</v>
      </c>
    </row>
    <row r="52">
      <c r="A52" t="inlineStr">
        <is>
          <t>Dec-2017_LF06_SMALL</t>
        </is>
      </c>
      <c r="B52" t="inlineStr">
        <is>
          <t>33/2021-CT</t>
        </is>
      </c>
      <c r="C52" t="inlineStr">
        <is>
          <t>29-08-2021</t>
        </is>
      </c>
      <c r="D52" t="inlineStr">
        <is>
          <t>Amnesty</t>
        </is>
      </c>
      <c r="E52" t="inlineStr">
        <is>
          <t>Dec-2017</t>
        </is>
      </c>
      <c r="F52" t="inlineStr">
        <is>
          <t>Dec-2017</t>
        </is>
      </c>
      <c r="G52" t="inlineStr">
        <is>
          <t>01-09-2021</t>
        </is>
      </c>
      <c r="H52" t="inlineStr">
        <is>
          <t>30-11-2021</t>
        </is>
      </c>
      <c r="I52" t="inlineStr">
        <is>
          <t>NON-NIL</t>
        </is>
      </c>
      <c r="J52" t="inlineStr">
        <is>
          <t>≤5Cr</t>
        </is>
      </c>
      <c r="K52" t="n">
        <v>2000</v>
      </c>
      <c r="L52" t="inlineStr">
        <is>
          <t>Cap</t>
        </is>
      </c>
      <c r="M52" t="inlineStr">
        <is>
          <t>Late fee capped at ₹2,000 under extended amnesty (33/2021-CT).</t>
        </is>
      </c>
      <c r="N52" t="inlineStr">
        <is>
          <t>Low</t>
        </is>
      </c>
      <c r="O52" t="n">
        <v>1</v>
      </c>
    </row>
    <row r="53">
      <c r="A53" t="inlineStr">
        <is>
          <t>Dec-2017_LF06_LARGE</t>
        </is>
      </c>
      <c r="B53" t="inlineStr">
        <is>
          <t>33/2021-CT</t>
        </is>
      </c>
      <c r="C53" t="inlineStr">
        <is>
          <t>29-08-2021</t>
        </is>
      </c>
      <c r="D53" t="inlineStr">
        <is>
          <t>Amnesty</t>
        </is>
      </c>
      <c r="E53" t="inlineStr">
        <is>
          <t>Dec-2017</t>
        </is>
      </c>
      <c r="F53" t="inlineStr">
        <is>
          <t>Dec-2017</t>
        </is>
      </c>
      <c r="G53" t="inlineStr">
        <is>
          <t>01-09-2021</t>
        </is>
      </c>
      <c r="H53" t="inlineStr">
        <is>
          <t>30-11-2021</t>
        </is>
      </c>
      <c r="I53" t="inlineStr">
        <is>
          <t>NON-NIL</t>
        </is>
      </c>
      <c r="J53" t="inlineStr">
        <is>
          <t>&gt;5Cr</t>
        </is>
      </c>
      <c r="K53" t="n">
        <v>5000</v>
      </c>
      <c r="L53" t="inlineStr">
        <is>
          <t>Cap</t>
        </is>
      </c>
      <c r="M53" t="inlineStr">
        <is>
          <t>Late fee capped at ₹5,000 under extended amnesty (33/2021-CT).</t>
        </is>
      </c>
      <c r="N53" t="inlineStr">
        <is>
          <t>Low</t>
        </is>
      </c>
      <c r="O53" t="n">
        <v>1</v>
      </c>
    </row>
    <row r="54">
      <c r="A54" t="inlineStr">
        <is>
          <t>Jan-2018_LF05_NIL</t>
        </is>
      </c>
      <c r="B54" t="inlineStr">
        <is>
          <t>19/2021-CT</t>
        </is>
      </c>
      <c r="C54" t="inlineStr">
        <is>
          <t>01-06-2021</t>
        </is>
      </c>
      <c r="D54" t="inlineStr">
        <is>
          <t>Amnesty</t>
        </is>
      </c>
      <c r="E54" t="inlineStr">
        <is>
          <t>Jan-2018</t>
        </is>
      </c>
      <c r="F54" t="inlineStr">
        <is>
          <t>Jan-2018</t>
        </is>
      </c>
      <c r="G54" t="inlineStr">
        <is>
          <t>01-06-2021</t>
        </is>
      </c>
      <c r="H54" t="inlineStr">
        <is>
          <t>31-08-2021</t>
        </is>
      </c>
      <c r="I54" t="inlineStr">
        <is>
          <t>NIL</t>
        </is>
      </c>
      <c r="J54" t="inlineStr">
        <is>
          <t>ALL</t>
        </is>
      </c>
      <c r="K54" t="n">
        <v>500</v>
      </c>
      <c r="L54" t="inlineStr">
        <is>
          <t>Cap</t>
        </is>
      </c>
      <c r="M54" t="inlineStr">
        <is>
          <t>Late fee capped at ₹500 under Notification 19/2021-CT.</t>
        </is>
      </c>
      <c r="N54" t="inlineStr">
        <is>
          <t>Low</t>
        </is>
      </c>
      <c r="O54" t="n">
        <v>1</v>
      </c>
    </row>
    <row r="55">
      <c r="A55" t="inlineStr">
        <is>
          <t>Jan-2018_LF05_SMALL</t>
        </is>
      </c>
      <c r="B55" t="inlineStr">
        <is>
          <t>19/2021-CT</t>
        </is>
      </c>
      <c r="C55" t="inlineStr">
        <is>
          <t>01-06-2021</t>
        </is>
      </c>
      <c r="D55" t="inlineStr">
        <is>
          <t>Amnesty</t>
        </is>
      </c>
      <c r="E55" t="inlineStr">
        <is>
          <t>Jan-2018</t>
        </is>
      </c>
      <c r="F55" t="inlineStr">
        <is>
          <t>Jan-2018</t>
        </is>
      </c>
      <c r="G55" t="inlineStr">
        <is>
          <t>01-06-2021</t>
        </is>
      </c>
      <c r="H55" t="inlineStr">
        <is>
          <t>31-08-2021</t>
        </is>
      </c>
      <c r="I55" t="inlineStr">
        <is>
          <t>NON-NIL</t>
        </is>
      </c>
      <c r="J55" t="inlineStr">
        <is>
          <t>≤5Cr</t>
        </is>
      </c>
      <c r="K55" t="n">
        <v>2000</v>
      </c>
      <c r="L55" t="inlineStr">
        <is>
          <t>Cap</t>
        </is>
      </c>
      <c r="M55" t="inlineStr">
        <is>
          <t>Late fee capped at ₹2,000 under Notification 19/2021-CT.</t>
        </is>
      </c>
      <c r="N55" t="inlineStr">
        <is>
          <t>Low</t>
        </is>
      </c>
      <c r="O55" t="n">
        <v>1</v>
      </c>
    </row>
    <row r="56">
      <c r="A56" t="inlineStr">
        <is>
          <t>Jan-2018_LF05_LARGE</t>
        </is>
      </c>
      <c r="B56" t="inlineStr">
        <is>
          <t>19/2021-CT</t>
        </is>
      </c>
      <c r="C56" t="inlineStr">
        <is>
          <t>01-06-2021</t>
        </is>
      </c>
      <c r="D56" t="inlineStr">
        <is>
          <t>Amnesty</t>
        </is>
      </c>
      <c r="E56" t="inlineStr">
        <is>
          <t>Jan-2018</t>
        </is>
      </c>
      <c r="F56" t="inlineStr">
        <is>
          <t>Jan-2018</t>
        </is>
      </c>
      <c r="G56" t="inlineStr">
        <is>
          <t>01-06-2021</t>
        </is>
      </c>
      <c r="H56" t="inlineStr">
        <is>
          <t>31-08-2021</t>
        </is>
      </c>
      <c r="I56" t="inlineStr">
        <is>
          <t>NON-NIL</t>
        </is>
      </c>
      <c r="J56" t="inlineStr">
        <is>
          <t>&gt;5Cr</t>
        </is>
      </c>
      <c r="K56" t="n">
        <v>5000</v>
      </c>
      <c r="L56" t="inlineStr">
        <is>
          <t>Cap</t>
        </is>
      </c>
      <c r="M56" t="inlineStr">
        <is>
          <t>Late fee capped at ₹5,000 under Notification 19/2021-CT.</t>
        </is>
      </c>
      <c r="N56" t="inlineStr">
        <is>
          <t>Low</t>
        </is>
      </c>
      <c r="O56" t="n">
        <v>1</v>
      </c>
    </row>
    <row r="57">
      <c r="A57" t="inlineStr">
        <is>
          <t>Jan-2018_LF06_NIL</t>
        </is>
      </c>
      <c r="B57" t="inlineStr">
        <is>
          <t>33/2021-CT</t>
        </is>
      </c>
      <c r="C57" t="inlineStr">
        <is>
          <t>29-08-2021</t>
        </is>
      </c>
      <c r="D57" t="inlineStr">
        <is>
          <t>Amnesty</t>
        </is>
      </c>
      <c r="E57" t="inlineStr">
        <is>
          <t>Jan-2018</t>
        </is>
      </c>
      <c r="F57" t="inlineStr">
        <is>
          <t>Jan-2018</t>
        </is>
      </c>
      <c r="G57" t="inlineStr">
        <is>
          <t>01-09-2021</t>
        </is>
      </c>
      <c r="H57" t="inlineStr">
        <is>
          <t>30-11-2021</t>
        </is>
      </c>
      <c r="I57" t="inlineStr">
        <is>
          <t>NIL</t>
        </is>
      </c>
      <c r="J57" t="inlineStr">
        <is>
          <t>ALL</t>
        </is>
      </c>
      <c r="K57" t="n">
        <v>500</v>
      </c>
      <c r="L57" t="inlineStr">
        <is>
          <t>Cap</t>
        </is>
      </c>
      <c r="M57" t="inlineStr">
        <is>
          <t>Late fee capped at ₹500 under extended amnesty (33/2021-CT).</t>
        </is>
      </c>
      <c r="N57" t="inlineStr">
        <is>
          <t>Low</t>
        </is>
      </c>
      <c r="O57" t="n">
        <v>1</v>
      </c>
    </row>
    <row r="58">
      <c r="A58" t="inlineStr">
        <is>
          <t>Jan-2018_LF06_SMALL</t>
        </is>
      </c>
      <c r="B58" t="inlineStr">
        <is>
          <t>33/2021-CT</t>
        </is>
      </c>
      <c r="C58" t="inlineStr">
        <is>
          <t>29-08-2021</t>
        </is>
      </c>
      <c r="D58" t="inlineStr">
        <is>
          <t>Amnesty</t>
        </is>
      </c>
      <c r="E58" t="inlineStr">
        <is>
          <t>Jan-2018</t>
        </is>
      </c>
      <c r="F58" t="inlineStr">
        <is>
          <t>Jan-2018</t>
        </is>
      </c>
      <c r="G58" t="inlineStr">
        <is>
          <t>01-09-2021</t>
        </is>
      </c>
      <c r="H58" t="inlineStr">
        <is>
          <t>30-11-2021</t>
        </is>
      </c>
      <c r="I58" t="inlineStr">
        <is>
          <t>NON-NIL</t>
        </is>
      </c>
      <c r="J58" t="inlineStr">
        <is>
          <t>≤5Cr</t>
        </is>
      </c>
      <c r="K58" t="n">
        <v>2000</v>
      </c>
      <c r="L58" t="inlineStr">
        <is>
          <t>Cap</t>
        </is>
      </c>
      <c r="M58" t="inlineStr">
        <is>
          <t>Late fee capped at ₹2,000 under extended amnesty (33/2021-CT).</t>
        </is>
      </c>
      <c r="N58" t="inlineStr">
        <is>
          <t>Low</t>
        </is>
      </c>
      <c r="O58" t="n">
        <v>1</v>
      </c>
    </row>
    <row r="59">
      <c r="A59" t="inlineStr">
        <is>
          <t>Jan-2018_LF06_LARGE</t>
        </is>
      </c>
      <c r="B59" t="inlineStr">
        <is>
          <t>33/2021-CT</t>
        </is>
      </c>
      <c r="C59" t="inlineStr">
        <is>
          <t>29-08-2021</t>
        </is>
      </c>
      <c r="D59" t="inlineStr">
        <is>
          <t>Amnesty</t>
        </is>
      </c>
      <c r="E59" t="inlineStr">
        <is>
          <t>Jan-2018</t>
        </is>
      </c>
      <c r="F59" t="inlineStr">
        <is>
          <t>Jan-2018</t>
        </is>
      </c>
      <c r="G59" t="inlineStr">
        <is>
          <t>01-09-2021</t>
        </is>
      </c>
      <c r="H59" t="inlineStr">
        <is>
          <t>30-11-2021</t>
        </is>
      </c>
      <c r="I59" t="inlineStr">
        <is>
          <t>NON-NIL</t>
        </is>
      </c>
      <c r="J59" t="inlineStr">
        <is>
          <t>&gt;5Cr</t>
        </is>
      </c>
      <c r="K59" t="n">
        <v>5000</v>
      </c>
      <c r="L59" t="inlineStr">
        <is>
          <t>Cap</t>
        </is>
      </c>
      <c r="M59" t="inlineStr">
        <is>
          <t>Late fee capped at ₹5,000 under extended amnesty (33/2021-CT).</t>
        </is>
      </c>
      <c r="N59" t="inlineStr">
        <is>
          <t>Low</t>
        </is>
      </c>
      <c r="O59" t="n">
        <v>1</v>
      </c>
    </row>
    <row r="60">
      <c r="A60" t="inlineStr">
        <is>
          <t>Feb-2018_LF05_NIL</t>
        </is>
      </c>
      <c r="B60" t="inlineStr">
        <is>
          <t>19/2021-CT</t>
        </is>
      </c>
      <c r="C60" t="inlineStr">
        <is>
          <t>01-06-2021</t>
        </is>
      </c>
      <c r="D60" t="inlineStr">
        <is>
          <t>Amnesty</t>
        </is>
      </c>
      <c r="E60" t="inlineStr">
        <is>
          <t>Feb-2018</t>
        </is>
      </c>
      <c r="F60" t="inlineStr">
        <is>
          <t>Feb-2018</t>
        </is>
      </c>
      <c r="G60" t="inlineStr">
        <is>
          <t>01-06-2021</t>
        </is>
      </c>
      <c r="H60" t="inlineStr">
        <is>
          <t>31-08-2021</t>
        </is>
      </c>
      <c r="I60" t="inlineStr">
        <is>
          <t>NIL</t>
        </is>
      </c>
      <c r="J60" t="inlineStr">
        <is>
          <t>ALL</t>
        </is>
      </c>
      <c r="K60" t="n">
        <v>500</v>
      </c>
      <c r="L60" t="inlineStr">
        <is>
          <t>Cap</t>
        </is>
      </c>
      <c r="M60" t="inlineStr">
        <is>
          <t>Late fee capped at ₹500 under Notification 19/2021-CT.</t>
        </is>
      </c>
      <c r="N60" t="inlineStr">
        <is>
          <t>Low</t>
        </is>
      </c>
      <c r="O60" t="n">
        <v>1</v>
      </c>
    </row>
    <row r="61">
      <c r="A61" t="inlineStr">
        <is>
          <t>Feb-2018_LF05_SMALL</t>
        </is>
      </c>
      <c r="B61" t="inlineStr">
        <is>
          <t>19/2021-CT</t>
        </is>
      </c>
      <c r="C61" t="inlineStr">
        <is>
          <t>01-06-2021</t>
        </is>
      </c>
      <c r="D61" t="inlineStr">
        <is>
          <t>Amnesty</t>
        </is>
      </c>
      <c r="E61" t="inlineStr">
        <is>
          <t>Feb-2018</t>
        </is>
      </c>
      <c r="F61" t="inlineStr">
        <is>
          <t>Feb-2018</t>
        </is>
      </c>
      <c r="G61" t="inlineStr">
        <is>
          <t>01-06-2021</t>
        </is>
      </c>
      <c r="H61" t="inlineStr">
        <is>
          <t>31-08-2021</t>
        </is>
      </c>
      <c r="I61" t="inlineStr">
        <is>
          <t>NON-NIL</t>
        </is>
      </c>
      <c r="J61" t="inlineStr">
        <is>
          <t>≤5Cr</t>
        </is>
      </c>
      <c r="K61" t="n">
        <v>2000</v>
      </c>
      <c r="L61" t="inlineStr">
        <is>
          <t>Cap</t>
        </is>
      </c>
      <c r="M61" t="inlineStr">
        <is>
          <t>Late fee capped at ₹2,000 under Notification 19/2021-CT.</t>
        </is>
      </c>
      <c r="N61" t="inlineStr">
        <is>
          <t>Low</t>
        </is>
      </c>
      <c r="O61" t="n">
        <v>1</v>
      </c>
    </row>
    <row r="62">
      <c r="A62" t="inlineStr">
        <is>
          <t>Feb-2018_LF05_LARGE</t>
        </is>
      </c>
      <c r="B62" t="inlineStr">
        <is>
          <t>19/2021-CT</t>
        </is>
      </c>
      <c r="C62" t="inlineStr">
        <is>
          <t>01-06-2021</t>
        </is>
      </c>
      <c r="D62" t="inlineStr">
        <is>
          <t>Amnesty</t>
        </is>
      </c>
      <c r="E62" t="inlineStr">
        <is>
          <t>Feb-2018</t>
        </is>
      </c>
      <c r="F62" t="inlineStr">
        <is>
          <t>Feb-2018</t>
        </is>
      </c>
      <c r="G62" t="inlineStr">
        <is>
          <t>01-06-2021</t>
        </is>
      </c>
      <c r="H62" t="inlineStr">
        <is>
          <t>31-08-2021</t>
        </is>
      </c>
      <c r="I62" t="inlineStr">
        <is>
          <t>NON-NIL</t>
        </is>
      </c>
      <c r="J62" t="inlineStr">
        <is>
          <t>&gt;5Cr</t>
        </is>
      </c>
      <c r="K62" t="n">
        <v>5000</v>
      </c>
      <c r="L62" t="inlineStr">
        <is>
          <t>Cap</t>
        </is>
      </c>
      <c r="M62" t="inlineStr">
        <is>
          <t>Late fee capped at ₹5,000 under Notification 19/2021-CT.</t>
        </is>
      </c>
      <c r="N62" t="inlineStr">
        <is>
          <t>Low</t>
        </is>
      </c>
      <c r="O62" t="n">
        <v>1</v>
      </c>
    </row>
    <row r="63">
      <c r="A63" t="inlineStr">
        <is>
          <t>Feb-2018_LF06_NIL</t>
        </is>
      </c>
      <c r="B63" t="inlineStr">
        <is>
          <t>33/2021-CT</t>
        </is>
      </c>
      <c r="C63" t="inlineStr">
        <is>
          <t>29-08-2021</t>
        </is>
      </c>
      <c r="D63" t="inlineStr">
        <is>
          <t>Amnesty</t>
        </is>
      </c>
      <c r="E63" t="inlineStr">
        <is>
          <t>Feb-2018</t>
        </is>
      </c>
      <c r="F63" t="inlineStr">
        <is>
          <t>Feb-2018</t>
        </is>
      </c>
      <c r="G63" t="inlineStr">
        <is>
          <t>01-09-2021</t>
        </is>
      </c>
      <c r="H63" t="inlineStr">
        <is>
          <t>30-11-2021</t>
        </is>
      </c>
      <c r="I63" t="inlineStr">
        <is>
          <t>NIL</t>
        </is>
      </c>
      <c r="J63" t="inlineStr">
        <is>
          <t>ALL</t>
        </is>
      </c>
      <c r="K63" t="n">
        <v>500</v>
      </c>
      <c r="L63" t="inlineStr">
        <is>
          <t>Cap</t>
        </is>
      </c>
      <c r="M63" t="inlineStr">
        <is>
          <t>Late fee capped at ₹500 under extended amnesty (33/2021-CT).</t>
        </is>
      </c>
      <c r="N63" t="inlineStr">
        <is>
          <t>Low</t>
        </is>
      </c>
      <c r="O63" t="n">
        <v>1</v>
      </c>
    </row>
    <row r="64">
      <c r="A64" t="inlineStr">
        <is>
          <t>Feb-2018_LF06_SMALL</t>
        </is>
      </c>
      <c r="B64" t="inlineStr">
        <is>
          <t>33/2021-CT</t>
        </is>
      </c>
      <c r="C64" t="inlineStr">
        <is>
          <t>29-08-2021</t>
        </is>
      </c>
      <c r="D64" t="inlineStr">
        <is>
          <t>Amnesty</t>
        </is>
      </c>
      <c r="E64" t="inlineStr">
        <is>
          <t>Feb-2018</t>
        </is>
      </c>
      <c r="F64" t="inlineStr">
        <is>
          <t>Feb-2018</t>
        </is>
      </c>
      <c r="G64" t="inlineStr">
        <is>
          <t>01-09-2021</t>
        </is>
      </c>
      <c r="H64" t="inlineStr">
        <is>
          <t>30-11-2021</t>
        </is>
      </c>
      <c r="I64" t="inlineStr">
        <is>
          <t>NON-NIL</t>
        </is>
      </c>
      <c r="J64" t="inlineStr">
        <is>
          <t>≤5Cr</t>
        </is>
      </c>
      <c r="K64" t="n">
        <v>2000</v>
      </c>
      <c r="L64" t="inlineStr">
        <is>
          <t>Cap</t>
        </is>
      </c>
      <c r="M64" t="inlineStr">
        <is>
          <t>Late fee capped at ₹2,000 under extended amnesty (33/2021-CT).</t>
        </is>
      </c>
      <c r="N64" t="inlineStr">
        <is>
          <t>Low</t>
        </is>
      </c>
      <c r="O64" t="n">
        <v>1</v>
      </c>
    </row>
    <row r="65">
      <c r="A65" t="inlineStr">
        <is>
          <t>Feb-2018_LF06_LARGE</t>
        </is>
      </c>
      <c r="B65" t="inlineStr">
        <is>
          <t>33/2021-CT</t>
        </is>
      </c>
      <c r="C65" t="inlineStr">
        <is>
          <t>29-08-2021</t>
        </is>
      </c>
      <c r="D65" t="inlineStr">
        <is>
          <t>Amnesty</t>
        </is>
      </c>
      <c r="E65" t="inlineStr">
        <is>
          <t>Feb-2018</t>
        </is>
      </c>
      <c r="F65" t="inlineStr">
        <is>
          <t>Feb-2018</t>
        </is>
      </c>
      <c r="G65" t="inlineStr">
        <is>
          <t>01-09-2021</t>
        </is>
      </c>
      <c r="H65" t="inlineStr">
        <is>
          <t>30-11-2021</t>
        </is>
      </c>
      <c r="I65" t="inlineStr">
        <is>
          <t>NON-NIL</t>
        </is>
      </c>
      <c r="J65" t="inlineStr">
        <is>
          <t>&gt;5Cr</t>
        </is>
      </c>
      <c r="K65" t="n">
        <v>5000</v>
      </c>
      <c r="L65" t="inlineStr">
        <is>
          <t>Cap</t>
        </is>
      </c>
      <c r="M65" t="inlineStr">
        <is>
          <t>Late fee capped at ₹5,000 under extended amnesty (33/2021-CT).</t>
        </is>
      </c>
      <c r="N65" t="inlineStr">
        <is>
          <t>Low</t>
        </is>
      </c>
      <c r="O65" t="n">
        <v>1</v>
      </c>
    </row>
    <row r="66">
      <c r="A66" t="inlineStr">
        <is>
          <t>Mar-2018_LF05_NIL</t>
        </is>
      </c>
      <c r="B66" t="inlineStr">
        <is>
          <t>19/2021-CT</t>
        </is>
      </c>
      <c r="C66" t="inlineStr">
        <is>
          <t>01-06-2021</t>
        </is>
      </c>
      <c r="D66" t="inlineStr">
        <is>
          <t>Amnesty</t>
        </is>
      </c>
      <c r="E66" t="inlineStr">
        <is>
          <t>Mar-2018</t>
        </is>
      </c>
      <c r="F66" t="inlineStr">
        <is>
          <t>Mar-2018</t>
        </is>
      </c>
      <c r="G66" t="inlineStr">
        <is>
          <t>01-06-2021</t>
        </is>
      </c>
      <c r="H66" t="inlineStr">
        <is>
          <t>31-08-2021</t>
        </is>
      </c>
      <c r="I66" t="inlineStr">
        <is>
          <t>NIL</t>
        </is>
      </c>
      <c r="J66" t="inlineStr">
        <is>
          <t>ALL</t>
        </is>
      </c>
      <c r="K66" t="n">
        <v>500</v>
      </c>
      <c r="L66" t="inlineStr">
        <is>
          <t>Cap</t>
        </is>
      </c>
      <c r="M66" t="inlineStr">
        <is>
          <t>Late fee capped at ₹500 under Notification 19/2021-CT.</t>
        </is>
      </c>
      <c r="N66" t="inlineStr">
        <is>
          <t>Low</t>
        </is>
      </c>
      <c r="O66" t="n">
        <v>1</v>
      </c>
    </row>
    <row r="67">
      <c r="A67" t="inlineStr">
        <is>
          <t>Mar-2018_LF05_SMALL</t>
        </is>
      </c>
      <c r="B67" t="inlineStr">
        <is>
          <t>19/2021-CT</t>
        </is>
      </c>
      <c r="C67" t="inlineStr">
        <is>
          <t>01-06-2021</t>
        </is>
      </c>
      <c r="D67" t="inlineStr">
        <is>
          <t>Amnesty</t>
        </is>
      </c>
      <c r="E67" t="inlineStr">
        <is>
          <t>Mar-2018</t>
        </is>
      </c>
      <c r="F67" t="inlineStr">
        <is>
          <t>Mar-2018</t>
        </is>
      </c>
      <c r="G67" t="inlineStr">
        <is>
          <t>01-06-2021</t>
        </is>
      </c>
      <c r="H67" t="inlineStr">
        <is>
          <t>31-08-2021</t>
        </is>
      </c>
      <c r="I67" t="inlineStr">
        <is>
          <t>NON-NIL</t>
        </is>
      </c>
      <c r="J67" t="inlineStr">
        <is>
          <t>≤5Cr</t>
        </is>
      </c>
      <c r="K67" t="n">
        <v>2000</v>
      </c>
      <c r="L67" t="inlineStr">
        <is>
          <t>Cap</t>
        </is>
      </c>
      <c r="M67" t="inlineStr">
        <is>
          <t>Late fee capped at ₹2,000 under Notification 19/2021-CT.</t>
        </is>
      </c>
      <c r="N67" t="inlineStr">
        <is>
          <t>Low</t>
        </is>
      </c>
      <c r="O67" t="n">
        <v>1</v>
      </c>
    </row>
    <row r="68">
      <c r="A68" t="inlineStr">
        <is>
          <t>Mar-2018_LF05_LARGE</t>
        </is>
      </c>
      <c r="B68" t="inlineStr">
        <is>
          <t>19/2021-CT</t>
        </is>
      </c>
      <c r="C68" t="inlineStr">
        <is>
          <t>01-06-2021</t>
        </is>
      </c>
      <c r="D68" t="inlineStr">
        <is>
          <t>Amnesty</t>
        </is>
      </c>
      <c r="E68" t="inlineStr">
        <is>
          <t>Mar-2018</t>
        </is>
      </c>
      <c r="F68" t="inlineStr">
        <is>
          <t>Mar-2018</t>
        </is>
      </c>
      <c r="G68" t="inlineStr">
        <is>
          <t>01-06-2021</t>
        </is>
      </c>
      <c r="H68" t="inlineStr">
        <is>
          <t>31-08-2021</t>
        </is>
      </c>
      <c r="I68" t="inlineStr">
        <is>
          <t>NON-NIL</t>
        </is>
      </c>
      <c r="J68" t="inlineStr">
        <is>
          <t>&gt;5Cr</t>
        </is>
      </c>
      <c r="K68" t="n">
        <v>5000</v>
      </c>
      <c r="L68" t="inlineStr">
        <is>
          <t>Cap</t>
        </is>
      </c>
      <c r="M68" t="inlineStr">
        <is>
          <t>Late fee capped at ₹5,000 under Notification 19/2021-CT.</t>
        </is>
      </c>
      <c r="N68" t="inlineStr">
        <is>
          <t>Low</t>
        </is>
      </c>
      <c r="O68" t="n">
        <v>1</v>
      </c>
    </row>
    <row r="69">
      <c r="A69" t="inlineStr">
        <is>
          <t>Mar-2018_LF06_NIL</t>
        </is>
      </c>
      <c r="B69" t="inlineStr">
        <is>
          <t>33/2021-CT</t>
        </is>
      </c>
      <c r="C69" t="inlineStr">
        <is>
          <t>29-08-2021</t>
        </is>
      </c>
      <c r="D69" t="inlineStr">
        <is>
          <t>Amnesty</t>
        </is>
      </c>
      <c r="E69" t="inlineStr">
        <is>
          <t>Mar-2018</t>
        </is>
      </c>
      <c r="F69" t="inlineStr">
        <is>
          <t>Mar-2018</t>
        </is>
      </c>
      <c r="G69" t="inlineStr">
        <is>
          <t>01-09-2021</t>
        </is>
      </c>
      <c r="H69" t="inlineStr">
        <is>
          <t>30-11-2021</t>
        </is>
      </c>
      <c r="I69" t="inlineStr">
        <is>
          <t>NIL</t>
        </is>
      </c>
      <c r="J69" t="inlineStr">
        <is>
          <t>ALL</t>
        </is>
      </c>
      <c r="K69" t="n">
        <v>500</v>
      </c>
      <c r="L69" t="inlineStr">
        <is>
          <t>Cap</t>
        </is>
      </c>
      <c r="M69" t="inlineStr">
        <is>
          <t>Late fee capped at ₹500 under extended amnesty (33/2021-CT).</t>
        </is>
      </c>
      <c r="N69" t="inlineStr">
        <is>
          <t>Low</t>
        </is>
      </c>
      <c r="O69" t="n">
        <v>1</v>
      </c>
    </row>
    <row r="70">
      <c r="A70" t="inlineStr">
        <is>
          <t>Mar-2018_LF06_SMALL</t>
        </is>
      </c>
      <c r="B70" t="inlineStr">
        <is>
          <t>33/2021-CT</t>
        </is>
      </c>
      <c r="C70" t="inlineStr">
        <is>
          <t>29-08-2021</t>
        </is>
      </c>
      <c r="D70" t="inlineStr">
        <is>
          <t>Amnesty</t>
        </is>
      </c>
      <c r="E70" t="inlineStr">
        <is>
          <t>Mar-2018</t>
        </is>
      </c>
      <c r="F70" t="inlineStr">
        <is>
          <t>Mar-2018</t>
        </is>
      </c>
      <c r="G70" t="inlineStr">
        <is>
          <t>01-09-2021</t>
        </is>
      </c>
      <c r="H70" t="inlineStr">
        <is>
          <t>30-11-2021</t>
        </is>
      </c>
      <c r="I70" t="inlineStr">
        <is>
          <t>NON-NIL</t>
        </is>
      </c>
      <c r="J70" t="inlineStr">
        <is>
          <t>≤5Cr</t>
        </is>
      </c>
      <c r="K70" t="n">
        <v>2000</v>
      </c>
      <c r="L70" t="inlineStr">
        <is>
          <t>Cap</t>
        </is>
      </c>
      <c r="M70" t="inlineStr">
        <is>
          <t>Late fee capped at ₹2,000 under extended amnesty (33/2021-CT).</t>
        </is>
      </c>
      <c r="N70" t="inlineStr">
        <is>
          <t>Low</t>
        </is>
      </c>
      <c r="O70" t="n">
        <v>1</v>
      </c>
    </row>
    <row r="71">
      <c r="A71" t="inlineStr">
        <is>
          <t>Mar-2018_LF06_LARGE</t>
        </is>
      </c>
      <c r="B71" t="inlineStr">
        <is>
          <t>33/2021-CT</t>
        </is>
      </c>
      <c r="C71" t="inlineStr">
        <is>
          <t>29-08-2021</t>
        </is>
      </c>
      <c r="D71" t="inlineStr">
        <is>
          <t>Amnesty</t>
        </is>
      </c>
      <c r="E71" t="inlineStr">
        <is>
          <t>Mar-2018</t>
        </is>
      </c>
      <c r="F71" t="inlineStr">
        <is>
          <t>Mar-2018</t>
        </is>
      </c>
      <c r="G71" t="inlineStr">
        <is>
          <t>01-09-2021</t>
        </is>
      </c>
      <c r="H71" t="inlineStr">
        <is>
          <t>30-11-2021</t>
        </is>
      </c>
      <c r="I71" t="inlineStr">
        <is>
          <t>NON-NIL</t>
        </is>
      </c>
      <c r="J71" t="inlineStr">
        <is>
          <t>&gt;5Cr</t>
        </is>
      </c>
      <c r="K71" t="n">
        <v>5000</v>
      </c>
      <c r="L71" t="inlineStr">
        <is>
          <t>Cap</t>
        </is>
      </c>
      <c r="M71" t="inlineStr">
        <is>
          <t>Late fee capped at ₹5,000 under extended amnesty (33/2021-CT).</t>
        </is>
      </c>
      <c r="N71" t="inlineStr">
        <is>
          <t>Low</t>
        </is>
      </c>
      <c r="O71" t="n">
        <v>1</v>
      </c>
    </row>
    <row r="72">
      <c r="A72" t="inlineStr">
        <is>
          <t>Apr-2018_LF05_NIL</t>
        </is>
      </c>
      <c r="B72" t="inlineStr">
        <is>
          <t>19/2021-CT</t>
        </is>
      </c>
      <c r="C72" t="inlineStr">
        <is>
          <t>01-06-2021</t>
        </is>
      </c>
      <c r="D72" t="inlineStr">
        <is>
          <t>Amnesty</t>
        </is>
      </c>
      <c r="E72" t="inlineStr">
        <is>
          <t>Apr-2018</t>
        </is>
      </c>
      <c r="F72" t="inlineStr">
        <is>
          <t>Apr-2018</t>
        </is>
      </c>
      <c r="G72" t="inlineStr">
        <is>
          <t>01-06-2021</t>
        </is>
      </c>
      <c r="H72" t="inlineStr">
        <is>
          <t>31-08-2021</t>
        </is>
      </c>
      <c r="I72" t="inlineStr">
        <is>
          <t>NIL</t>
        </is>
      </c>
      <c r="J72" t="inlineStr">
        <is>
          <t>ALL</t>
        </is>
      </c>
      <c r="K72" t="n">
        <v>500</v>
      </c>
      <c r="L72" t="inlineStr">
        <is>
          <t>Cap</t>
        </is>
      </c>
      <c r="M72" t="inlineStr">
        <is>
          <t>Late fee capped at ₹500 under Notification 19/2021-CT.</t>
        </is>
      </c>
      <c r="N72" t="inlineStr">
        <is>
          <t>Low</t>
        </is>
      </c>
      <c r="O72" t="n">
        <v>1</v>
      </c>
    </row>
    <row r="73">
      <c r="A73" t="inlineStr">
        <is>
          <t>Apr-2018_LF05_SMALL</t>
        </is>
      </c>
      <c r="B73" t="inlineStr">
        <is>
          <t>19/2021-CT</t>
        </is>
      </c>
      <c r="C73" t="inlineStr">
        <is>
          <t>01-06-2021</t>
        </is>
      </c>
      <c r="D73" t="inlineStr">
        <is>
          <t>Amnesty</t>
        </is>
      </c>
      <c r="E73" t="inlineStr">
        <is>
          <t>Apr-2018</t>
        </is>
      </c>
      <c r="F73" t="inlineStr">
        <is>
          <t>Apr-2018</t>
        </is>
      </c>
      <c r="G73" t="inlineStr">
        <is>
          <t>01-06-2021</t>
        </is>
      </c>
      <c r="H73" t="inlineStr">
        <is>
          <t>31-08-2021</t>
        </is>
      </c>
      <c r="I73" t="inlineStr">
        <is>
          <t>NON-NIL</t>
        </is>
      </c>
      <c r="J73" t="inlineStr">
        <is>
          <t>≤5Cr</t>
        </is>
      </c>
      <c r="K73" t="n">
        <v>2000</v>
      </c>
      <c r="L73" t="inlineStr">
        <is>
          <t>Cap</t>
        </is>
      </c>
      <c r="M73" t="inlineStr">
        <is>
          <t>Late fee capped at ₹2,000 under Notification 19/2021-CT.</t>
        </is>
      </c>
      <c r="N73" t="inlineStr">
        <is>
          <t>Low</t>
        </is>
      </c>
      <c r="O73" t="n">
        <v>1</v>
      </c>
    </row>
    <row r="74">
      <c r="A74" t="inlineStr">
        <is>
          <t>Apr-2018_LF05_LARGE</t>
        </is>
      </c>
      <c r="B74" t="inlineStr">
        <is>
          <t>19/2021-CT</t>
        </is>
      </c>
      <c r="C74" t="inlineStr">
        <is>
          <t>01-06-2021</t>
        </is>
      </c>
      <c r="D74" t="inlineStr">
        <is>
          <t>Amnesty</t>
        </is>
      </c>
      <c r="E74" t="inlineStr">
        <is>
          <t>Apr-2018</t>
        </is>
      </c>
      <c r="F74" t="inlineStr">
        <is>
          <t>Apr-2018</t>
        </is>
      </c>
      <c r="G74" t="inlineStr">
        <is>
          <t>01-06-2021</t>
        </is>
      </c>
      <c r="H74" t="inlineStr">
        <is>
          <t>31-08-2021</t>
        </is>
      </c>
      <c r="I74" t="inlineStr">
        <is>
          <t>NON-NIL</t>
        </is>
      </c>
      <c r="J74" t="inlineStr">
        <is>
          <t>&gt;5Cr</t>
        </is>
      </c>
      <c r="K74" t="n">
        <v>5000</v>
      </c>
      <c r="L74" t="inlineStr">
        <is>
          <t>Cap</t>
        </is>
      </c>
      <c r="M74" t="inlineStr">
        <is>
          <t>Late fee capped at ₹5,000 under Notification 19/2021-CT.</t>
        </is>
      </c>
      <c r="N74" t="inlineStr">
        <is>
          <t>Low</t>
        </is>
      </c>
      <c r="O74" t="n">
        <v>1</v>
      </c>
    </row>
    <row r="75">
      <c r="A75" t="inlineStr">
        <is>
          <t>Apr-2018_LF06_NIL</t>
        </is>
      </c>
      <c r="B75" t="inlineStr">
        <is>
          <t>33/2021-CT</t>
        </is>
      </c>
      <c r="C75" t="inlineStr">
        <is>
          <t>29-08-2021</t>
        </is>
      </c>
      <c r="D75" t="inlineStr">
        <is>
          <t>Amnesty</t>
        </is>
      </c>
      <c r="E75" t="inlineStr">
        <is>
          <t>Apr-2018</t>
        </is>
      </c>
      <c r="F75" t="inlineStr">
        <is>
          <t>Apr-2018</t>
        </is>
      </c>
      <c r="G75" t="inlineStr">
        <is>
          <t>01-09-2021</t>
        </is>
      </c>
      <c r="H75" t="inlineStr">
        <is>
          <t>30-11-2021</t>
        </is>
      </c>
      <c r="I75" t="inlineStr">
        <is>
          <t>NIL</t>
        </is>
      </c>
      <c r="J75" t="inlineStr">
        <is>
          <t>ALL</t>
        </is>
      </c>
      <c r="K75" t="n">
        <v>500</v>
      </c>
      <c r="L75" t="inlineStr">
        <is>
          <t>Cap</t>
        </is>
      </c>
      <c r="M75" t="inlineStr">
        <is>
          <t>Late fee capped at ₹500 under extended amnesty (33/2021-CT).</t>
        </is>
      </c>
      <c r="N75" t="inlineStr">
        <is>
          <t>Low</t>
        </is>
      </c>
      <c r="O75" t="n">
        <v>1</v>
      </c>
    </row>
    <row r="76">
      <c r="A76" t="inlineStr">
        <is>
          <t>Apr-2018_LF06_SMALL</t>
        </is>
      </c>
      <c r="B76" t="inlineStr">
        <is>
          <t>33/2021-CT</t>
        </is>
      </c>
      <c r="C76" t="inlineStr">
        <is>
          <t>29-08-2021</t>
        </is>
      </c>
      <c r="D76" t="inlineStr">
        <is>
          <t>Amnesty</t>
        </is>
      </c>
      <c r="E76" t="inlineStr">
        <is>
          <t>Apr-2018</t>
        </is>
      </c>
      <c r="F76" t="inlineStr">
        <is>
          <t>Apr-2018</t>
        </is>
      </c>
      <c r="G76" t="inlineStr">
        <is>
          <t>01-09-2021</t>
        </is>
      </c>
      <c r="H76" t="inlineStr">
        <is>
          <t>30-11-2021</t>
        </is>
      </c>
      <c r="I76" t="inlineStr">
        <is>
          <t>NON-NIL</t>
        </is>
      </c>
      <c r="J76" t="inlineStr">
        <is>
          <t>≤5Cr</t>
        </is>
      </c>
      <c r="K76" t="n">
        <v>2000</v>
      </c>
      <c r="L76" t="inlineStr">
        <is>
          <t>Cap</t>
        </is>
      </c>
      <c r="M76" t="inlineStr">
        <is>
          <t>Late fee capped at ₹2,000 under extended amnesty (33/2021-CT).</t>
        </is>
      </c>
      <c r="N76" t="inlineStr">
        <is>
          <t>Low</t>
        </is>
      </c>
      <c r="O76" t="n">
        <v>1</v>
      </c>
    </row>
    <row r="77">
      <c r="A77" t="inlineStr">
        <is>
          <t>Apr-2018_LF06_LARGE</t>
        </is>
      </c>
      <c r="B77" t="inlineStr">
        <is>
          <t>33/2021-CT</t>
        </is>
      </c>
      <c r="C77" t="inlineStr">
        <is>
          <t>29-08-2021</t>
        </is>
      </c>
      <c r="D77" t="inlineStr">
        <is>
          <t>Amnesty</t>
        </is>
      </c>
      <c r="E77" t="inlineStr">
        <is>
          <t>Apr-2018</t>
        </is>
      </c>
      <c r="F77" t="inlineStr">
        <is>
          <t>Apr-2018</t>
        </is>
      </c>
      <c r="G77" t="inlineStr">
        <is>
          <t>01-09-2021</t>
        </is>
      </c>
      <c r="H77" t="inlineStr">
        <is>
          <t>30-11-2021</t>
        </is>
      </c>
      <c r="I77" t="inlineStr">
        <is>
          <t>NON-NIL</t>
        </is>
      </c>
      <c r="J77" t="inlineStr">
        <is>
          <t>&gt;5Cr</t>
        </is>
      </c>
      <c r="K77" t="n">
        <v>5000</v>
      </c>
      <c r="L77" t="inlineStr">
        <is>
          <t>Cap</t>
        </is>
      </c>
      <c r="M77" t="inlineStr">
        <is>
          <t>Late fee capped at ₹5,000 under extended amnesty (33/2021-CT).</t>
        </is>
      </c>
      <c r="N77" t="inlineStr">
        <is>
          <t>Low</t>
        </is>
      </c>
      <c r="O77" t="n">
        <v>1</v>
      </c>
    </row>
    <row r="78">
      <c r="A78" t="inlineStr">
        <is>
          <t>May-2018_LF05_NIL</t>
        </is>
      </c>
      <c r="B78" t="inlineStr">
        <is>
          <t>19/2021-CT</t>
        </is>
      </c>
      <c r="C78" t="inlineStr">
        <is>
          <t>01-06-2021</t>
        </is>
      </c>
      <c r="D78" t="inlineStr">
        <is>
          <t>Amnesty</t>
        </is>
      </c>
      <c r="E78" t="inlineStr">
        <is>
          <t>May-2018</t>
        </is>
      </c>
      <c r="F78" t="inlineStr">
        <is>
          <t>May-2018</t>
        </is>
      </c>
      <c r="G78" t="inlineStr">
        <is>
          <t>01-06-2021</t>
        </is>
      </c>
      <c r="H78" t="inlineStr">
        <is>
          <t>31-08-2021</t>
        </is>
      </c>
      <c r="I78" t="inlineStr">
        <is>
          <t>NIL</t>
        </is>
      </c>
      <c r="J78" t="inlineStr">
        <is>
          <t>ALL</t>
        </is>
      </c>
      <c r="K78" t="n">
        <v>500</v>
      </c>
      <c r="L78" t="inlineStr">
        <is>
          <t>Cap</t>
        </is>
      </c>
      <c r="M78" t="inlineStr">
        <is>
          <t>Late fee capped at ₹500 under Notification 19/2021-CT.</t>
        </is>
      </c>
      <c r="N78" t="inlineStr">
        <is>
          <t>Low</t>
        </is>
      </c>
      <c r="O78" t="n">
        <v>1</v>
      </c>
    </row>
    <row r="79">
      <c r="A79" t="inlineStr">
        <is>
          <t>May-2018_LF05_SMALL</t>
        </is>
      </c>
      <c r="B79" t="inlineStr">
        <is>
          <t>19/2021-CT</t>
        </is>
      </c>
      <c r="C79" t="inlineStr">
        <is>
          <t>01-06-2021</t>
        </is>
      </c>
      <c r="D79" t="inlineStr">
        <is>
          <t>Amnesty</t>
        </is>
      </c>
      <c r="E79" t="inlineStr">
        <is>
          <t>May-2018</t>
        </is>
      </c>
      <c r="F79" t="inlineStr">
        <is>
          <t>May-2018</t>
        </is>
      </c>
      <c r="G79" t="inlineStr">
        <is>
          <t>01-06-2021</t>
        </is>
      </c>
      <c r="H79" t="inlineStr">
        <is>
          <t>31-08-2021</t>
        </is>
      </c>
      <c r="I79" t="inlineStr">
        <is>
          <t>NON-NIL</t>
        </is>
      </c>
      <c r="J79" t="inlineStr">
        <is>
          <t>≤5Cr</t>
        </is>
      </c>
      <c r="K79" t="n">
        <v>2000</v>
      </c>
      <c r="L79" t="inlineStr">
        <is>
          <t>Cap</t>
        </is>
      </c>
      <c r="M79" t="inlineStr">
        <is>
          <t>Late fee capped at ₹2,000 under Notification 19/2021-CT.</t>
        </is>
      </c>
      <c r="N79" t="inlineStr">
        <is>
          <t>Low</t>
        </is>
      </c>
      <c r="O79" t="n">
        <v>1</v>
      </c>
    </row>
    <row r="80">
      <c r="A80" t="inlineStr">
        <is>
          <t>May-2018_LF05_LARGE</t>
        </is>
      </c>
      <c r="B80" t="inlineStr">
        <is>
          <t>19/2021-CT</t>
        </is>
      </c>
      <c r="C80" t="inlineStr">
        <is>
          <t>01-06-2021</t>
        </is>
      </c>
      <c r="D80" t="inlineStr">
        <is>
          <t>Amnesty</t>
        </is>
      </c>
      <c r="E80" t="inlineStr">
        <is>
          <t>May-2018</t>
        </is>
      </c>
      <c r="F80" t="inlineStr">
        <is>
          <t>May-2018</t>
        </is>
      </c>
      <c r="G80" t="inlineStr">
        <is>
          <t>01-06-2021</t>
        </is>
      </c>
      <c r="H80" t="inlineStr">
        <is>
          <t>31-08-2021</t>
        </is>
      </c>
      <c r="I80" t="inlineStr">
        <is>
          <t>NON-NIL</t>
        </is>
      </c>
      <c r="J80" t="inlineStr">
        <is>
          <t>&gt;5Cr</t>
        </is>
      </c>
      <c r="K80" t="n">
        <v>5000</v>
      </c>
      <c r="L80" t="inlineStr">
        <is>
          <t>Cap</t>
        </is>
      </c>
      <c r="M80" t="inlineStr">
        <is>
          <t>Late fee capped at ₹5,000 under Notification 19/2021-CT.</t>
        </is>
      </c>
      <c r="N80" t="inlineStr">
        <is>
          <t>Low</t>
        </is>
      </c>
      <c r="O80" t="n">
        <v>1</v>
      </c>
    </row>
    <row r="81">
      <c r="A81" t="inlineStr">
        <is>
          <t>May-2018_LF06_NIL</t>
        </is>
      </c>
      <c r="B81" t="inlineStr">
        <is>
          <t>33/2021-CT</t>
        </is>
      </c>
      <c r="C81" t="inlineStr">
        <is>
          <t>29-08-2021</t>
        </is>
      </c>
      <c r="D81" t="inlineStr">
        <is>
          <t>Amnesty</t>
        </is>
      </c>
      <c r="E81" t="inlineStr">
        <is>
          <t>May-2018</t>
        </is>
      </c>
      <c r="F81" t="inlineStr">
        <is>
          <t>May-2018</t>
        </is>
      </c>
      <c r="G81" t="inlineStr">
        <is>
          <t>01-09-2021</t>
        </is>
      </c>
      <c r="H81" t="inlineStr">
        <is>
          <t>30-11-2021</t>
        </is>
      </c>
      <c r="I81" t="inlineStr">
        <is>
          <t>NIL</t>
        </is>
      </c>
      <c r="J81" t="inlineStr">
        <is>
          <t>ALL</t>
        </is>
      </c>
      <c r="K81" t="n">
        <v>500</v>
      </c>
      <c r="L81" t="inlineStr">
        <is>
          <t>Cap</t>
        </is>
      </c>
      <c r="M81" t="inlineStr">
        <is>
          <t>Late fee capped at ₹500 under extended amnesty (33/2021-CT).</t>
        </is>
      </c>
      <c r="N81" t="inlineStr">
        <is>
          <t>Low</t>
        </is>
      </c>
      <c r="O81" t="n">
        <v>1</v>
      </c>
    </row>
    <row r="82">
      <c r="A82" t="inlineStr">
        <is>
          <t>May-2018_LF06_SMALL</t>
        </is>
      </c>
      <c r="B82" t="inlineStr">
        <is>
          <t>33/2021-CT</t>
        </is>
      </c>
      <c r="C82" t="inlineStr">
        <is>
          <t>29-08-2021</t>
        </is>
      </c>
      <c r="D82" t="inlineStr">
        <is>
          <t>Amnesty</t>
        </is>
      </c>
      <c r="E82" t="inlineStr">
        <is>
          <t>May-2018</t>
        </is>
      </c>
      <c r="F82" t="inlineStr">
        <is>
          <t>May-2018</t>
        </is>
      </c>
      <c r="G82" t="inlineStr">
        <is>
          <t>01-09-2021</t>
        </is>
      </c>
      <c r="H82" t="inlineStr">
        <is>
          <t>30-11-2021</t>
        </is>
      </c>
      <c r="I82" t="inlineStr">
        <is>
          <t>NON-NIL</t>
        </is>
      </c>
      <c r="J82" t="inlineStr">
        <is>
          <t>≤5Cr</t>
        </is>
      </c>
      <c r="K82" t="n">
        <v>2000</v>
      </c>
      <c r="L82" t="inlineStr">
        <is>
          <t>Cap</t>
        </is>
      </c>
      <c r="M82" t="inlineStr">
        <is>
          <t>Late fee capped at ₹2,000 under extended amnesty (33/2021-CT).</t>
        </is>
      </c>
      <c r="N82" t="inlineStr">
        <is>
          <t>Low</t>
        </is>
      </c>
      <c r="O82" t="n">
        <v>1</v>
      </c>
    </row>
    <row r="83">
      <c r="A83" t="inlineStr">
        <is>
          <t>May-2018_LF06_LARGE</t>
        </is>
      </c>
      <c r="B83" t="inlineStr">
        <is>
          <t>33/2021-CT</t>
        </is>
      </c>
      <c r="C83" t="inlineStr">
        <is>
          <t>29-08-2021</t>
        </is>
      </c>
      <c r="D83" t="inlineStr">
        <is>
          <t>Amnesty</t>
        </is>
      </c>
      <c r="E83" t="inlineStr">
        <is>
          <t>May-2018</t>
        </is>
      </c>
      <c r="F83" t="inlineStr">
        <is>
          <t>May-2018</t>
        </is>
      </c>
      <c r="G83" t="inlineStr">
        <is>
          <t>01-09-2021</t>
        </is>
      </c>
      <c r="H83" t="inlineStr">
        <is>
          <t>30-11-2021</t>
        </is>
      </c>
      <c r="I83" t="inlineStr">
        <is>
          <t>NON-NIL</t>
        </is>
      </c>
      <c r="J83" t="inlineStr">
        <is>
          <t>&gt;5Cr</t>
        </is>
      </c>
      <c r="K83" t="n">
        <v>5000</v>
      </c>
      <c r="L83" t="inlineStr">
        <is>
          <t>Cap</t>
        </is>
      </c>
      <c r="M83" t="inlineStr">
        <is>
          <t>Late fee capped at ₹5,000 under extended amnesty (33/2021-CT).</t>
        </is>
      </c>
      <c r="N83" t="inlineStr">
        <is>
          <t>Low</t>
        </is>
      </c>
      <c r="O83" t="n">
        <v>1</v>
      </c>
    </row>
    <row r="84">
      <c r="A84" t="inlineStr">
        <is>
          <t>Jun-2018_LF05_NIL</t>
        </is>
      </c>
      <c r="B84" t="inlineStr">
        <is>
          <t>19/2021-CT</t>
        </is>
      </c>
      <c r="C84" t="inlineStr">
        <is>
          <t>01-06-2021</t>
        </is>
      </c>
      <c r="D84" t="inlineStr">
        <is>
          <t>Amnesty</t>
        </is>
      </c>
      <c r="E84" t="inlineStr">
        <is>
          <t>Jun-2018</t>
        </is>
      </c>
      <c r="F84" t="inlineStr">
        <is>
          <t>Jun-2018</t>
        </is>
      </c>
      <c r="G84" t="inlineStr">
        <is>
          <t>01-06-2021</t>
        </is>
      </c>
      <c r="H84" t="inlineStr">
        <is>
          <t>31-08-2021</t>
        </is>
      </c>
      <c r="I84" t="inlineStr">
        <is>
          <t>NIL</t>
        </is>
      </c>
      <c r="J84" t="inlineStr">
        <is>
          <t>ALL</t>
        </is>
      </c>
      <c r="K84" t="n">
        <v>500</v>
      </c>
      <c r="L84" t="inlineStr">
        <is>
          <t>Cap</t>
        </is>
      </c>
      <c r="M84" t="inlineStr">
        <is>
          <t>Late fee capped at ₹500 under Notification 19/2021-CT.</t>
        </is>
      </c>
      <c r="N84" t="inlineStr">
        <is>
          <t>Low</t>
        </is>
      </c>
      <c r="O84" t="n">
        <v>1</v>
      </c>
    </row>
    <row r="85">
      <c r="A85" t="inlineStr">
        <is>
          <t>Jun-2018_LF05_SMALL</t>
        </is>
      </c>
      <c r="B85" t="inlineStr">
        <is>
          <t>19/2021-CT</t>
        </is>
      </c>
      <c r="C85" t="inlineStr">
        <is>
          <t>01-06-2021</t>
        </is>
      </c>
      <c r="D85" t="inlineStr">
        <is>
          <t>Amnesty</t>
        </is>
      </c>
      <c r="E85" t="inlineStr">
        <is>
          <t>Jun-2018</t>
        </is>
      </c>
      <c r="F85" t="inlineStr">
        <is>
          <t>Jun-2018</t>
        </is>
      </c>
      <c r="G85" t="inlineStr">
        <is>
          <t>01-06-2021</t>
        </is>
      </c>
      <c r="H85" t="inlineStr">
        <is>
          <t>31-08-2021</t>
        </is>
      </c>
      <c r="I85" t="inlineStr">
        <is>
          <t>NON-NIL</t>
        </is>
      </c>
      <c r="J85" t="inlineStr">
        <is>
          <t>≤5Cr</t>
        </is>
      </c>
      <c r="K85" t="n">
        <v>2000</v>
      </c>
      <c r="L85" t="inlineStr">
        <is>
          <t>Cap</t>
        </is>
      </c>
      <c r="M85" t="inlineStr">
        <is>
          <t>Late fee capped at ₹2,000 under Notification 19/2021-CT.</t>
        </is>
      </c>
      <c r="N85" t="inlineStr">
        <is>
          <t>Low</t>
        </is>
      </c>
      <c r="O85" t="n">
        <v>1</v>
      </c>
    </row>
    <row r="86">
      <c r="A86" t="inlineStr">
        <is>
          <t>Jun-2018_LF05_LARGE</t>
        </is>
      </c>
      <c r="B86" t="inlineStr">
        <is>
          <t>19/2021-CT</t>
        </is>
      </c>
      <c r="C86" t="inlineStr">
        <is>
          <t>01-06-2021</t>
        </is>
      </c>
      <c r="D86" t="inlineStr">
        <is>
          <t>Amnesty</t>
        </is>
      </c>
      <c r="E86" t="inlineStr">
        <is>
          <t>Jun-2018</t>
        </is>
      </c>
      <c r="F86" t="inlineStr">
        <is>
          <t>Jun-2018</t>
        </is>
      </c>
      <c r="G86" t="inlineStr">
        <is>
          <t>01-06-2021</t>
        </is>
      </c>
      <c r="H86" t="inlineStr">
        <is>
          <t>31-08-2021</t>
        </is>
      </c>
      <c r="I86" t="inlineStr">
        <is>
          <t>NON-NIL</t>
        </is>
      </c>
      <c r="J86" t="inlineStr">
        <is>
          <t>&gt;5Cr</t>
        </is>
      </c>
      <c r="K86" t="n">
        <v>5000</v>
      </c>
      <c r="L86" t="inlineStr">
        <is>
          <t>Cap</t>
        </is>
      </c>
      <c r="M86" t="inlineStr">
        <is>
          <t>Late fee capped at ₹5,000 under Notification 19/2021-CT.</t>
        </is>
      </c>
      <c r="N86" t="inlineStr">
        <is>
          <t>Low</t>
        </is>
      </c>
      <c r="O86" t="n">
        <v>1</v>
      </c>
    </row>
    <row r="87">
      <c r="A87" t="inlineStr">
        <is>
          <t>Jun-2018_LF06_NIL</t>
        </is>
      </c>
      <c r="B87" t="inlineStr">
        <is>
          <t>33/2021-CT</t>
        </is>
      </c>
      <c r="C87" t="inlineStr">
        <is>
          <t>29-08-2021</t>
        </is>
      </c>
      <c r="D87" t="inlineStr">
        <is>
          <t>Amnesty</t>
        </is>
      </c>
      <c r="E87" t="inlineStr">
        <is>
          <t>Jun-2018</t>
        </is>
      </c>
      <c r="F87" t="inlineStr">
        <is>
          <t>Jun-2018</t>
        </is>
      </c>
      <c r="G87" t="inlineStr">
        <is>
          <t>01-09-2021</t>
        </is>
      </c>
      <c r="H87" t="inlineStr">
        <is>
          <t>30-11-2021</t>
        </is>
      </c>
      <c r="I87" t="inlineStr">
        <is>
          <t>NIL</t>
        </is>
      </c>
      <c r="J87" t="inlineStr">
        <is>
          <t>ALL</t>
        </is>
      </c>
      <c r="K87" t="n">
        <v>500</v>
      </c>
      <c r="L87" t="inlineStr">
        <is>
          <t>Cap</t>
        </is>
      </c>
      <c r="M87" t="inlineStr">
        <is>
          <t>Late fee capped at ₹500 under extended amnesty (33/2021-CT).</t>
        </is>
      </c>
      <c r="N87" t="inlineStr">
        <is>
          <t>Low</t>
        </is>
      </c>
      <c r="O87" t="n">
        <v>1</v>
      </c>
    </row>
    <row r="88">
      <c r="A88" t="inlineStr">
        <is>
          <t>Jun-2018_LF06_SMALL</t>
        </is>
      </c>
      <c r="B88" t="inlineStr">
        <is>
          <t>33/2021-CT</t>
        </is>
      </c>
      <c r="C88" t="inlineStr">
        <is>
          <t>29-08-2021</t>
        </is>
      </c>
      <c r="D88" t="inlineStr">
        <is>
          <t>Amnesty</t>
        </is>
      </c>
      <c r="E88" t="inlineStr">
        <is>
          <t>Jun-2018</t>
        </is>
      </c>
      <c r="F88" t="inlineStr">
        <is>
          <t>Jun-2018</t>
        </is>
      </c>
      <c r="G88" t="inlineStr">
        <is>
          <t>01-09-2021</t>
        </is>
      </c>
      <c r="H88" t="inlineStr">
        <is>
          <t>30-11-2021</t>
        </is>
      </c>
      <c r="I88" t="inlineStr">
        <is>
          <t>NON-NIL</t>
        </is>
      </c>
      <c r="J88" t="inlineStr">
        <is>
          <t>≤5Cr</t>
        </is>
      </c>
      <c r="K88" t="n">
        <v>2000</v>
      </c>
      <c r="L88" t="inlineStr">
        <is>
          <t>Cap</t>
        </is>
      </c>
      <c r="M88" t="inlineStr">
        <is>
          <t>Late fee capped at ₹2,000 under extended amnesty (33/2021-CT).</t>
        </is>
      </c>
      <c r="N88" t="inlineStr">
        <is>
          <t>Low</t>
        </is>
      </c>
      <c r="O88" t="n">
        <v>1</v>
      </c>
    </row>
    <row r="89">
      <c r="A89" t="inlineStr">
        <is>
          <t>Jun-2018_LF06_LARGE</t>
        </is>
      </c>
      <c r="B89" t="inlineStr">
        <is>
          <t>33/2021-CT</t>
        </is>
      </c>
      <c r="C89" t="inlineStr">
        <is>
          <t>29-08-2021</t>
        </is>
      </c>
      <c r="D89" t="inlineStr">
        <is>
          <t>Amnesty</t>
        </is>
      </c>
      <c r="E89" t="inlineStr">
        <is>
          <t>Jun-2018</t>
        </is>
      </c>
      <c r="F89" t="inlineStr">
        <is>
          <t>Jun-2018</t>
        </is>
      </c>
      <c r="G89" t="inlineStr">
        <is>
          <t>01-09-2021</t>
        </is>
      </c>
      <c r="H89" t="inlineStr">
        <is>
          <t>30-11-2021</t>
        </is>
      </c>
      <c r="I89" t="inlineStr">
        <is>
          <t>NON-NIL</t>
        </is>
      </c>
      <c r="J89" t="inlineStr">
        <is>
          <t>&gt;5Cr</t>
        </is>
      </c>
      <c r="K89" t="n">
        <v>5000</v>
      </c>
      <c r="L89" t="inlineStr">
        <is>
          <t>Cap</t>
        </is>
      </c>
      <c r="M89" t="inlineStr">
        <is>
          <t>Late fee capped at ₹5,000 under extended amnesty (33/2021-CT).</t>
        </is>
      </c>
      <c r="N89" t="inlineStr">
        <is>
          <t>Low</t>
        </is>
      </c>
      <c r="O89" t="n">
        <v>1</v>
      </c>
    </row>
    <row r="90">
      <c r="A90" t="inlineStr">
        <is>
          <t>Jul-2018_LF05_NIL</t>
        </is>
      </c>
      <c r="B90" t="inlineStr">
        <is>
          <t>19/2021-CT</t>
        </is>
      </c>
      <c r="C90" t="inlineStr">
        <is>
          <t>01-06-2021</t>
        </is>
      </c>
      <c r="D90" t="inlineStr">
        <is>
          <t>Amnesty</t>
        </is>
      </c>
      <c r="E90" t="inlineStr">
        <is>
          <t>Jul-2018</t>
        </is>
      </c>
      <c r="F90" t="inlineStr">
        <is>
          <t>Jul-2018</t>
        </is>
      </c>
      <c r="G90" t="inlineStr">
        <is>
          <t>01-06-2021</t>
        </is>
      </c>
      <c r="H90" t="inlineStr">
        <is>
          <t>31-08-2021</t>
        </is>
      </c>
      <c r="I90" t="inlineStr">
        <is>
          <t>NIL</t>
        </is>
      </c>
      <c r="J90" t="inlineStr">
        <is>
          <t>ALL</t>
        </is>
      </c>
      <c r="K90" t="n">
        <v>500</v>
      </c>
      <c r="L90" t="inlineStr">
        <is>
          <t>Cap</t>
        </is>
      </c>
      <c r="M90" t="inlineStr">
        <is>
          <t>Late fee capped at ₹500 under Notification 19/2021-CT.</t>
        </is>
      </c>
      <c r="N90" t="inlineStr">
        <is>
          <t>Low</t>
        </is>
      </c>
      <c r="O90" t="n">
        <v>1</v>
      </c>
    </row>
    <row r="91">
      <c r="A91" t="inlineStr">
        <is>
          <t>Jul-2018_LF05_SMALL</t>
        </is>
      </c>
      <c r="B91" t="inlineStr">
        <is>
          <t>19/2021-CT</t>
        </is>
      </c>
      <c r="C91" t="inlineStr">
        <is>
          <t>01-06-2021</t>
        </is>
      </c>
      <c r="D91" t="inlineStr">
        <is>
          <t>Amnesty</t>
        </is>
      </c>
      <c r="E91" t="inlineStr">
        <is>
          <t>Jul-2018</t>
        </is>
      </c>
      <c r="F91" t="inlineStr">
        <is>
          <t>Jul-2018</t>
        </is>
      </c>
      <c r="G91" t="inlineStr">
        <is>
          <t>01-06-2021</t>
        </is>
      </c>
      <c r="H91" t="inlineStr">
        <is>
          <t>31-08-2021</t>
        </is>
      </c>
      <c r="I91" t="inlineStr">
        <is>
          <t>NON-NIL</t>
        </is>
      </c>
      <c r="J91" t="inlineStr">
        <is>
          <t>≤5Cr</t>
        </is>
      </c>
      <c r="K91" t="n">
        <v>2000</v>
      </c>
      <c r="L91" t="inlineStr">
        <is>
          <t>Cap</t>
        </is>
      </c>
      <c r="M91" t="inlineStr">
        <is>
          <t>Late fee capped at ₹2,000 under Notification 19/2021-CT.</t>
        </is>
      </c>
      <c r="N91" t="inlineStr">
        <is>
          <t>Low</t>
        </is>
      </c>
      <c r="O91" t="n">
        <v>1</v>
      </c>
    </row>
    <row r="92">
      <c r="A92" t="inlineStr">
        <is>
          <t>Jul-2018_LF05_LARGE</t>
        </is>
      </c>
      <c r="B92" t="inlineStr">
        <is>
          <t>19/2021-CT</t>
        </is>
      </c>
      <c r="C92" t="inlineStr">
        <is>
          <t>01-06-2021</t>
        </is>
      </c>
      <c r="D92" t="inlineStr">
        <is>
          <t>Amnesty</t>
        </is>
      </c>
      <c r="E92" t="inlineStr">
        <is>
          <t>Jul-2018</t>
        </is>
      </c>
      <c r="F92" t="inlineStr">
        <is>
          <t>Jul-2018</t>
        </is>
      </c>
      <c r="G92" t="inlineStr">
        <is>
          <t>01-06-2021</t>
        </is>
      </c>
      <c r="H92" t="inlineStr">
        <is>
          <t>31-08-2021</t>
        </is>
      </c>
      <c r="I92" t="inlineStr">
        <is>
          <t>NON-NIL</t>
        </is>
      </c>
      <c r="J92" t="inlineStr">
        <is>
          <t>&gt;5Cr</t>
        </is>
      </c>
      <c r="K92" t="n">
        <v>5000</v>
      </c>
      <c r="L92" t="inlineStr">
        <is>
          <t>Cap</t>
        </is>
      </c>
      <c r="M92" t="inlineStr">
        <is>
          <t>Late fee capped at ₹5,000 under Notification 19/2021-CT.</t>
        </is>
      </c>
      <c r="N92" t="inlineStr">
        <is>
          <t>Low</t>
        </is>
      </c>
      <c r="O92" t="n">
        <v>1</v>
      </c>
    </row>
    <row r="93">
      <c r="A93" t="inlineStr">
        <is>
          <t>Jul-2018_LF06_NIL</t>
        </is>
      </c>
      <c r="B93" t="inlineStr">
        <is>
          <t>33/2021-CT</t>
        </is>
      </c>
      <c r="C93" t="inlineStr">
        <is>
          <t>29-08-2021</t>
        </is>
      </c>
      <c r="D93" t="inlineStr">
        <is>
          <t>Amnesty</t>
        </is>
      </c>
      <c r="E93" t="inlineStr">
        <is>
          <t>Jul-2018</t>
        </is>
      </c>
      <c r="F93" t="inlineStr">
        <is>
          <t>Jul-2018</t>
        </is>
      </c>
      <c r="G93" t="inlineStr">
        <is>
          <t>01-09-2021</t>
        </is>
      </c>
      <c r="H93" t="inlineStr">
        <is>
          <t>30-11-2021</t>
        </is>
      </c>
      <c r="I93" t="inlineStr">
        <is>
          <t>NIL</t>
        </is>
      </c>
      <c r="J93" t="inlineStr">
        <is>
          <t>ALL</t>
        </is>
      </c>
      <c r="K93" t="n">
        <v>500</v>
      </c>
      <c r="L93" t="inlineStr">
        <is>
          <t>Cap</t>
        </is>
      </c>
      <c r="M93" t="inlineStr">
        <is>
          <t>Late fee capped at ₹500 under extended amnesty (33/2021-CT).</t>
        </is>
      </c>
      <c r="N93" t="inlineStr">
        <is>
          <t>Low</t>
        </is>
      </c>
      <c r="O93" t="n">
        <v>1</v>
      </c>
    </row>
    <row r="94">
      <c r="A94" t="inlineStr">
        <is>
          <t>Jul-2018_LF06_SMALL</t>
        </is>
      </c>
      <c r="B94" t="inlineStr">
        <is>
          <t>33/2021-CT</t>
        </is>
      </c>
      <c r="C94" t="inlineStr">
        <is>
          <t>29-08-2021</t>
        </is>
      </c>
      <c r="D94" t="inlineStr">
        <is>
          <t>Amnesty</t>
        </is>
      </c>
      <c r="E94" t="inlineStr">
        <is>
          <t>Jul-2018</t>
        </is>
      </c>
      <c r="F94" t="inlineStr">
        <is>
          <t>Jul-2018</t>
        </is>
      </c>
      <c r="G94" t="inlineStr">
        <is>
          <t>01-09-2021</t>
        </is>
      </c>
      <c r="H94" t="inlineStr">
        <is>
          <t>30-11-2021</t>
        </is>
      </c>
      <c r="I94" t="inlineStr">
        <is>
          <t>NON-NIL</t>
        </is>
      </c>
      <c r="J94" t="inlineStr">
        <is>
          <t>≤5Cr</t>
        </is>
      </c>
      <c r="K94" t="n">
        <v>2000</v>
      </c>
      <c r="L94" t="inlineStr">
        <is>
          <t>Cap</t>
        </is>
      </c>
      <c r="M94" t="inlineStr">
        <is>
          <t>Late fee capped at ₹2,000 under extended amnesty (33/2021-CT).</t>
        </is>
      </c>
      <c r="N94" t="inlineStr">
        <is>
          <t>Low</t>
        </is>
      </c>
      <c r="O94" t="n">
        <v>1</v>
      </c>
    </row>
    <row r="95">
      <c r="A95" t="inlineStr">
        <is>
          <t>Jul-2018_LF06_LARGE</t>
        </is>
      </c>
      <c r="B95" t="inlineStr">
        <is>
          <t>33/2021-CT</t>
        </is>
      </c>
      <c r="C95" t="inlineStr">
        <is>
          <t>29-08-2021</t>
        </is>
      </c>
      <c r="D95" t="inlineStr">
        <is>
          <t>Amnesty</t>
        </is>
      </c>
      <c r="E95" t="inlineStr">
        <is>
          <t>Jul-2018</t>
        </is>
      </c>
      <c r="F95" t="inlineStr">
        <is>
          <t>Jul-2018</t>
        </is>
      </c>
      <c r="G95" t="inlineStr">
        <is>
          <t>01-09-2021</t>
        </is>
      </c>
      <c r="H95" t="inlineStr">
        <is>
          <t>30-11-2021</t>
        </is>
      </c>
      <c r="I95" t="inlineStr">
        <is>
          <t>NON-NIL</t>
        </is>
      </c>
      <c r="J95" t="inlineStr">
        <is>
          <t>&gt;5Cr</t>
        </is>
      </c>
      <c r="K95" t="n">
        <v>5000</v>
      </c>
      <c r="L95" t="inlineStr">
        <is>
          <t>Cap</t>
        </is>
      </c>
      <c r="M95" t="inlineStr">
        <is>
          <t>Late fee capped at ₹5,000 under extended amnesty (33/2021-CT).</t>
        </is>
      </c>
      <c r="N95" t="inlineStr">
        <is>
          <t>Low</t>
        </is>
      </c>
      <c r="O95" t="n">
        <v>1</v>
      </c>
    </row>
    <row r="96">
      <c r="A96" t="inlineStr">
        <is>
          <t>Aug-2018_LF05_NIL</t>
        </is>
      </c>
      <c r="B96" t="inlineStr">
        <is>
          <t>19/2021-CT</t>
        </is>
      </c>
      <c r="C96" t="inlineStr">
        <is>
          <t>01-06-2021</t>
        </is>
      </c>
      <c r="D96" t="inlineStr">
        <is>
          <t>Amnesty</t>
        </is>
      </c>
      <c r="E96" t="inlineStr">
        <is>
          <t>Aug-2018</t>
        </is>
      </c>
      <c r="F96" t="inlineStr">
        <is>
          <t>Aug-2018</t>
        </is>
      </c>
      <c r="G96" t="inlineStr">
        <is>
          <t>01-06-2021</t>
        </is>
      </c>
      <c r="H96" t="inlineStr">
        <is>
          <t>31-08-2021</t>
        </is>
      </c>
      <c r="I96" t="inlineStr">
        <is>
          <t>NIL</t>
        </is>
      </c>
      <c r="J96" t="inlineStr">
        <is>
          <t>ALL</t>
        </is>
      </c>
      <c r="K96" t="n">
        <v>500</v>
      </c>
      <c r="L96" t="inlineStr">
        <is>
          <t>Cap</t>
        </is>
      </c>
      <c r="M96" t="inlineStr">
        <is>
          <t>Late fee capped at ₹500 under Notification 19/2021-CT.</t>
        </is>
      </c>
      <c r="N96" t="inlineStr">
        <is>
          <t>Low</t>
        </is>
      </c>
      <c r="O96" t="n">
        <v>1</v>
      </c>
    </row>
    <row r="97">
      <c r="A97" t="inlineStr">
        <is>
          <t>Aug-2018_LF05_SMALL</t>
        </is>
      </c>
      <c r="B97" t="inlineStr">
        <is>
          <t>19/2021-CT</t>
        </is>
      </c>
      <c r="C97" t="inlineStr">
        <is>
          <t>01-06-2021</t>
        </is>
      </c>
      <c r="D97" t="inlineStr">
        <is>
          <t>Amnesty</t>
        </is>
      </c>
      <c r="E97" t="inlineStr">
        <is>
          <t>Aug-2018</t>
        </is>
      </c>
      <c r="F97" t="inlineStr">
        <is>
          <t>Aug-2018</t>
        </is>
      </c>
      <c r="G97" t="inlineStr">
        <is>
          <t>01-06-2021</t>
        </is>
      </c>
      <c r="H97" t="inlineStr">
        <is>
          <t>31-08-2021</t>
        </is>
      </c>
      <c r="I97" t="inlineStr">
        <is>
          <t>NON-NIL</t>
        </is>
      </c>
      <c r="J97" t="inlineStr">
        <is>
          <t>≤5Cr</t>
        </is>
      </c>
      <c r="K97" t="n">
        <v>2000</v>
      </c>
      <c r="L97" t="inlineStr">
        <is>
          <t>Cap</t>
        </is>
      </c>
      <c r="M97" t="inlineStr">
        <is>
          <t>Late fee capped at ₹2,000 under Notification 19/2021-CT.</t>
        </is>
      </c>
      <c r="N97" t="inlineStr">
        <is>
          <t>Low</t>
        </is>
      </c>
      <c r="O97" t="n">
        <v>1</v>
      </c>
    </row>
    <row r="98">
      <c r="A98" t="inlineStr">
        <is>
          <t>Aug-2018_LF05_LARGE</t>
        </is>
      </c>
      <c r="B98" t="inlineStr">
        <is>
          <t>19/2021-CT</t>
        </is>
      </c>
      <c r="C98" t="inlineStr">
        <is>
          <t>01-06-2021</t>
        </is>
      </c>
      <c r="D98" t="inlineStr">
        <is>
          <t>Amnesty</t>
        </is>
      </c>
      <c r="E98" t="inlineStr">
        <is>
          <t>Aug-2018</t>
        </is>
      </c>
      <c r="F98" t="inlineStr">
        <is>
          <t>Aug-2018</t>
        </is>
      </c>
      <c r="G98" t="inlineStr">
        <is>
          <t>01-06-2021</t>
        </is>
      </c>
      <c r="H98" t="inlineStr">
        <is>
          <t>31-08-2021</t>
        </is>
      </c>
      <c r="I98" t="inlineStr">
        <is>
          <t>NON-NIL</t>
        </is>
      </c>
      <c r="J98" t="inlineStr">
        <is>
          <t>&gt;5Cr</t>
        </is>
      </c>
      <c r="K98" t="n">
        <v>5000</v>
      </c>
      <c r="L98" t="inlineStr">
        <is>
          <t>Cap</t>
        </is>
      </c>
      <c r="M98" t="inlineStr">
        <is>
          <t>Late fee capped at ₹5,000 under Notification 19/2021-CT.</t>
        </is>
      </c>
      <c r="N98" t="inlineStr">
        <is>
          <t>Low</t>
        </is>
      </c>
      <c r="O98" t="n">
        <v>1</v>
      </c>
    </row>
    <row r="99">
      <c r="A99" t="inlineStr">
        <is>
          <t>Aug-2018_LF06_NIL</t>
        </is>
      </c>
      <c r="B99" t="inlineStr">
        <is>
          <t>33/2021-CT</t>
        </is>
      </c>
      <c r="C99" t="inlineStr">
        <is>
          <t>29-08-2021</t>
        </is>
      </c>
      <c r="D99" t="inlineStr">
        <is>
          <t>Amnesty</t>
        </is>
      </c>
      <c r="E99" t="inlineStr">
        <is>
          <t>Aug-2018</t>
        </is>
      </c>
      <c r="F99" t="inlineStr">
        <is>
          <t>Aug-2018</t>
        </is>
      </c>
      <c r="G99" t="inlineStr">
        <is>
          <t>01-09-2021</t>
        </is>
      </c>
      <c r="H99" t="inlineStr">
        <is>
          <t>30-11-2021</t>
        </is>
      </c>
      <c r="I99" t="inlineStr">
        <is>
          <t>NIL</t>
        </is>
      </c>
      <c r="J99" t="inlineStr">
        <is>
          <t>ALL</t>
        </is>
      </c>
      <c r="K99" t="n">
        <v>500</v>
      </c>
      <c r="L99" t="inlineStr">
        <is>
          <t>Cap</t>
        </is>
      </c>
      <c r="M99" t="inlineStr">
        <is>
          <t>Late fee capped at ₹500 under extended amnesty (33/2021-CT).</t>
        </is>
      </c>
      <c r="N99" t="inlineStr">
        <is>
          <t>Low</t>
        </is>
      </c>
      <c r="O99" t="n">
        <v>1</v>
      </c>
    </row>
    <row r="100">
      <c r="A100" t="inlineStr">
        <is>
          <t>Aug-2018_LF06_SMALL</t>
        </is>
      </c>
      <c r="B100" t="inlineStr">
        <is>
          <t>33/2021-CT</t>
        </is>
      </c>
      <c r="C100" t="inlineStr">
        <is>
          <t>29-08-2021</t>
        </is>
      </c>
      <c r="D100" t="inlineStr">
        <is>
          <t>Amnesty</t>
        </is>
      </c>
      <c r="E100" t="inlineStr">
        <is>
          <t>Aug-2018</t>
        </is>
      </c>
      <c r="F100" t="inlineStr">
        <is>
          <t>Aug-2018</t>
        </is>
      </c>
      <c r="G100" t="inlineStr">
        <is>
          <t>01-09-2021</t>
        </is>
      </c>
      <c r="H100" t="inlineStr">
        <is>
          <t>30-11-2021</t>
        </is>
      </c>
      <c r="I100" t="inlineStr">
        <is>
          <t>NON-NIL</t>
        </is>
      </c>
      <c r="J100" t="inlineStr">
        <is>
          <t>≤5Cr</t>
        </is>
      </c>
      <c r="K100" t="n">
        <v>2000</v>
      </c>
      <c r="L100" t="inlineStr">
        <is>
          <t>Cap</t>
        </is>
      </c>
      <c r="M100" t="inlineStr">
        <is>
          <t>Late fee capped at ₹2,000 under extended amnesty (33/2021-CT).</t>
        </is>
      </c>
      <c r="N100" t="inlineStr">
        <is>
          <t>Low</t>
        </is>
      </c>
      <c r="O100" t="n">
        <v>1</v>
      </c>
    </row>
    <row r="101">
      <c r="A101" t="inlineStr">
        <is>
          <t>Aug-2018_LF06_LARGE</t>
        </is>
      </c>
      <c r="B101" t="inlineStr">
        <is>
          <t>33/2021-CT</t>
        </is>
      </c>
      <c r="C101" t="inlineStr">
        <is>
          <t>29-08-2021</t>
        </is>
      </c>
      <c r="D101" t="inlineStr">
        <is>
          <t>Amnesty</t>
        </is>
      </c>
      <c r="E101" t="inlineStr">
        <is>
          <t>Aug-2018</t>
        </is>
      </c>
      <c r="F101" t="inlineStr">
        <is>
          <t>Aug-2018</t>
        </is>
      </c>
      <c r="G101" t="inlineStr">
        <is>
          <t>01-09-2021</t>
        </is>
      </c>
      <c r="H101" t="inlineStr">
        <is>
          <t>30-11-2021</t>
        </is>
      </c>
      <c r="I101" t="inlineStr">
        <is>
          <t>NON-NIL</t>
        </is>
      </c>
      <c r="J101" t="inlineStr">
        <is>
          <t>&gt;5Cr</t>
        </is>
      </c>
      <c r="K101" t="n">
        <v>5000</v>
      </c>
      <c r="L101" t="inlineStr">
        <is>
          <t>Cap</t>
        </is>
      </c>
      <c r="M101" t="inlineStr">
        <is>
          <t>Late fee capped at ₹5,000 under extended amnesty (33/2021-CT).</t>
        </is>
      </c>
      <c r="N101" t="inlineStr">
        <is>
          <t>Low</t>
        </is>
      </c>
      <c r="O101" t="n">
        <v>1</v>
      </c>
    </row>
    <row r="102">
      <c r="A102" t="inlineStr">
        <is>
          <t>Sep-2018_LF05_NIL</t>
        </is>
      </c>
      <c r="B102" t="inlineStr">
        <is>
          <t>19/2021-CT</t>
        </is>
      </c>
      <c r="C102" t="inlineStr">
        <is>
          <t>01-06-2021</t>
        </is>
      </c>
      <c r="D102" t="inlineStr">
        <is>
          <t>Amnesty</t>
        </is>
      </c>
      <c r="E102" t="inlineStr">
        <is>
          <t>Sep-2018</t>
        </is>
      </c>
      <c r="F102" t="inlineStr">
        <is>
          <t>Sep-2018</t>
        </is>
      </c>
      <c r="G102" t="inlineStr">
        <is>
          <t>01-06-2021</t>
        </is>
      </c>
      <c r="H102" t="inlineStr">
        <is>
          <t>31-08-2021</t>
        </is>
      </c>
      <c r="I102" t="inlineStr">
        <is>
          <t>NIL</t>
        </is>
      </c>
      <c r="J102" t="inlineStr">
        <is>
          <t>ALL</t>
        </is>
      </c>
      <c r="K102" t="n">
        <v>500</v>
      </c>
      <c r="L102" t="inlineStr">
        <is>
          <t>Cap</t>
        </is>
      </c>
      <c r="M102" t="inlineStr">
        <is>
          <t>Late fee capped at ₹500 under Notification 19/2021-CT.</t>
        </is>
      </c>
      <c r="N102" t="inlineStr">
        <is>
          <t>Low</t>
        </is>
      </c>
      <c r="O102" t="n">
        <v>1</v>
      </c>
    </row>
    <row r="103">
      <c r="A103" t="inlineStr">
        <is>
          <t>Sep-2018_LF05_SMALL</t>
        </is>
      </c>
      <c r="B103" t="inlineStr">
        <is>
          <t>19/2021-CT</t>
        </is>
      </c>
      <c r="C103" t="inlineStr">
        <is>
          <t>01-06-2021</t>
        </is>
      </c>
      <c r="D103" t="inlineStr">
        <is>
          <t>Amnesty</t>
        </is>
      </c>
      <c r="E103" t="inlineStr">
        <is>
          <t>Sep-2018</t>
        </is>
      </c>
      <c r="F103" t="inlineStr">
        <is>
          <t>Sep-2018</t>
        </is>
      </c>
      <c r="G103" t="inlineStr">
        <is>
          <t>01-06-2021</t>
        </is>
      </c>
      <c r="H103" t="inlineStr">
        <is>
          <t>31-08-2021</t>
        </is>
      </c>
      <c r="I103" t="inlineStr">
        <is>
          <t>NON-NIL</t>
        </is>
      </c>
      <c r="J103" t="inlineStr">
        <is>
          <t>≤5Cr</t>
        </is>
      </c>
      <c r="K103" t="n">
        <v>2000</v>
      </c>
      <c r="L103" t="inlineStr">
        <is>
          <t>Cap</t>
        </is>
      </c>
      <c r="M103" t="inlineStr">
        <is>
          <t>Late fee capped at ₹2,000 under Notification 19/2021-CT.</t>
        </is>
      </c>
      <c r="N103" t="inlineStr">
        <is>
          <t>Low</t>
        </is>
      </c>
      <c r="O103" t="n">
        <v>1</v>
      </c>
    </row>
    <row r="104">
      <c r="A104" t="inlineStr">
        <is>
          <t>Sep-2018_LF05_LARGE</t>
        </is>
      </c>
      <c r="B104" t="inlineStr">
        <is>
          <t>19/2021-CT</t>
        </is>
      </c>
      <c r="C104" t="inlineStr">
        <is>
          <t>01-06-2021</t>
        </is>
      </c>
      <c r="D104" t="inlineStr">
        <is>
          <t>Amnesty</t>
        </is>
      </c>
      <c r="E104" t="inlineStr">
        <is>
          <t>Sep-2018</t>
        </is>
      </c>
      <c r="F104" t="inlineStr">
        <is>
          <t>Sep-2018</t>
        </is>
      </c>
      <c r="G104" t="inlineStr">
        <is>
          <t>01-06-2021</t>
        </is>
      </c>
      <c r="H104" t="inlineStr">
        <is>
          <t>31-08-2021</t>
        </is>
      </c>
      <c r="I104" t="inlineStr">
        <is>
          <t>NON-NIL</t>
        </is>
      </c>
      <c r="J104" t="inlineStr">
        <is>
          <t>&gt;5Cr</t>
        </is>
      </c>
      <c r="K104" t="n">
        <v>5000</v>
      </c>
      <c r="L104" t="inlineStr">
        <is>
          <t>Cap</t>
        </is>
      </c>
      <c r="M104" t="inlineStr">
        <is>
          <t>Late fee capped at ₹5,000 under Notification 19/2021-CT.</t>
        </is>
      </c>
      <c r="N104" t="inlineStr">
        <is>
          <t>Low</t>
        </is>
      </c>
      <c r="O104" t="n">
        <v>1</v>
      </c>
    </row>
    <row r="105">
      <c r="A105" t="inlineStr">
        <is>
          <t>Sep-2018_LF06_NIL</t>
        </is>
      </c>
      <c r="B105" t="inlineStr">
        <is>
          <t>33/2021-CT</t>
        </is>
      </c>
      <c r="C105" t="inlineStr">
        <is>
          <t>29-08-2021</t>
        </is>
      </c>
      <c r="D105" t="inlineStr">
        <is>
          <t>Amnesty</t>
        </is>
      </c>
      <c r="E105" t="inlineStr">
        <is>
          <t>Sep-2018</t>
        </is>
      </c>
      <c r="F105" t="inlineStr">
        <is>
          <t>Sep-2018</t>
        </is>
      </c>
      <c r="G105" t="inlineStr">
        <is>
          <t>01-09-2021</t>
        </is>
      </c>
      <c r="H105" t="inlineStr">
        <is>
          <t>30-11-2021</t>
        </is>
      </c>
      <c r="I105" t="inlineStr">
        <is>
          <t>NIL</t>
        </is>
      </c>
      <c r="J105" t="inlineStr">
        <is>
          <t>ALL</t>
        </is>
      </c>
      <c r="K105" t="n">
        <v>500</v>
      </c>
      <c r="L105" t="inlineStr">
        <is>
          <t>Cap</t>
        </is>
      </c>
      <c r="M105" t="inlineStr">
        <is>
          <t>Late fee capped at ₹500 under extended amnesty (33/2021-CT).</t>
        </is>
      </c>
      <c r="N105" t="inlineStr">
        <is>
          <t>Low</t>
        </is>
      </c>
      <c r="O105" t="n">
        <v>1</v>
      </c>
    </row>
    <row r="106">
      <c r="A106" t="inlineStr">
        <is>
          <t>Sep-2018_LF06_SMALL</t>
        </is>
      </c>
      <c r="B106" t="inlineStr">
        <is>
          <t>33/2021-CT</t>
        </is>
      </c>
      <c r="C106" t="inlineStr">
        <is>
          <t>29-08-2021</t>
        </is>
      </c>
      <c r="D106" t="inlineStr">
        <is>
          <t>Amnesty</t>
        </is>
      </c>
      <c r="E106" t="inlineStr">
        <is>
          <t>Sep-2018</t>
        </is>
      </c>
      <c r="F106" t="inlineStr">
        <is>
          <t>Sep-2018</t>
        </is>
      </c>
      <c r="G106" t="inlineStr">
        <is>
          <t>01-09-2021</t>
        </is>
      </c>
      <c r="H106" t="inlineStr">
        <is>
          <t>30-11-2021</t>
        </is>
      </c>
      <c r="I106" t="inlineStr">
        <is>
          <t>NON-NIL</t>
        </is>
      </c>
      <c r="J106" t="inlineStr">
        <is>
          <t>≤5Cr</t>
        </is>
      </c>
      <c r="K106" t="n">
        <v>2000</v>
      </c>
      <c r="L106" t="inlineStr">
        <is>
          <t>Cap</t>
        </is>
      </c>
      <c r="M106" t="inlineStr">
        <is>
          <t>Late fee capped at ₹2,000 under extended amnesty (33/2021-CT).</t>
        </is>
      </c>
      <c r="N106" t="inlineStr">
        <is>
          <t>Low</t>
        </is>
      </c>
      <c r="O106" t="n">
        <v>1</v>
      </c>
    </row>
    <row r="107">
      <c r="A107" t="inlineStr">
        <is>
          <t>Sep-2018_LF06_LARGE</t>
        </is>
      </c>
      <c r="B107" t="inlineStr">
        <is>
          <t>33/2021-CT</t>
        </is>
      </c>
      <c r="C107" t="inlineStr">
        <is>
          <t>29-08-2021</t>
        </is>
      </c>
      <c r="D107" t="inlineStr">
        <is>
          <t>Amnesty</t>
        </is>
      </c>
      <c r="E107" t="inlineStr">
        <is>
          <t>Sep-2018</t>
        </is>
      </c>
      <c r="F107" t="inlineStr">
        <is>
          <t>Sep-2018</t>
        </is>
      </c>
      <c r="G107" t="inlineStr">
        <is>
          <t>01-09-2021</t>
        </is>
      </c>
      <c r="H107" t="inlineStr">
        <is>
          <t>30-11-2021</t>
        </is>
      </c>
      <c r="I107" t="inlineStr">
        <is>
          <t>NON-NIL</t>
        </is>
      </c>
      <c r="J107" t="inlineStr">
        <is>
          <t>&gt;5Cr</t>
        </is>
      </c>
      <c r="K107" t="n">
        <v>5000</v>
      </c>
      <c r="L107" t="inlineStr">
        <is>
          <t>Cap</t>
        </is>
      </c>
      <c r="M107" t="inlineStr">
        <is>
          <t>Late fee capped at ₹5,000 under extended amnesty (33/2021-CT).</t>
        </is>
      </c>
      <c r="N107" t="inlineStr">
        <is>
          <t>Low</t>
        </is>
      </c>
      <c r="O107" t="n">
        <v>1</v>
      </c>
    </row>
    <row r="108">
      <c r="A108" t="inlineStr">
        <is>
          <t>Oct-2018_LF05_NIL</t>
        </is>
      </c>
      <c r="B108" t="inlineStr">
        <is>
          <t>19/2021-CT</t>
        </is>
      </c>
      <c r="C108" t="inlineStr">
        <is>
          <t>01-06-2021</t>
        </is>
      </c>
      <c r="D108" t="inlineStr">
        <is>
          <t>Amnesty</t>
        </is>
      </c>
      <c r="E108" t="inlineStr">
        <is>
          <t>Oct-2018</t>
        </is>
      </c>
      <c r="F108" t="inlineStr">
        <is>
          <t>Oct-2018</t>
        </is>
      </c>
      <c r="G108" t="inlineStr">
        <is>
          <t>01-06-2021</t>
        </is>
      </c>
      <c r="H108" t="inlineStr">
        <is>
          <t>31-08-2021</t>
        </is>
      </c>
      <c r="I108" t="inlineStr">
        <is>
          <t>NIL</t>
        </is>
      </c>
      <c r="J108" t="inlineStr">
        <is>
          <t>ALL</t>
        </is>
      </c>
      <c r="K108" t="n">
        <v>500</v>
      </c>
      <c r="L108" t="inlineStr">
        <is>
          <t>Cap</t>
        </is>
      </c>
      <c r="M108" t="inlineStr">
        <is>
          <t>Late fee capped at ₹500 under Notification 19/2021-CT.</t>
        </is>
      </c>
      <c r="N108" t="inlineStr">
        <is>
          <t>Low</t>
        </is>
      </c>
      <c r="O108" t="n">
        <v>1</v>
      </c>
    </row>
    <row r="109">
      <c r="A109" t="inlineStr">
        <is>
          <t>Oct-2018_LF05_SMALL</t>
        </is>
      </c>
      <c r="B109" t="inlineStr">
        <is>
          <t>19/2021-CT</t>
        </is>
      </c>
      <c r="C109" t="inlineStr">
        <is>
          <t>01-06-2021</t>
        </is>
      </c>
      <c r="D109" t="inlineStr">
        <is>
          <t>Amnesty</t>
        </is>
      </c>
      <c r="E109" t="inlineStr">
        <is>
          <t>Oct-2018</t>
        </is>
      </c>
      <c r="F109" t="inlineStr">
        <is>
          <t>Oct-2018</t>
        </is>
      </c>
      <c r="G109" t="inlineStr">
        <is>
          <t>01-06-2021</t>
        </is>
      </c>
      <c r="H109" t="inlineStr">
        <is>
          <t>31-08-2021</t>
        </is>
      </c>
      <c r="I109" t="inlineStr">
        <is>
          <t>NON-NIL</t>
        </is>
      </c>
      <c r="J109" t="inlineStr">
        <is>
          <t>≤5Cr</t>
        </is>
      </c>
      <c r="K109" t="n">
        <v>2000</v>
      </c>
      <c r="L109" t="inlineStr">
        <is>
          <t>Cap</t>
        </is>
      </c>
      <c r="M109" t="inlineStr">
        <is>
          <t>Late fee capped at ₹2,000 under Notification 19/2021-CT.</t>
        </is>
      </c>
      <c r="N109" t="inlineStr">
        <is>
          <t>Low</t>
        </is>
      </c>
      <c r="O109" t="n">
        <v>1</v>
      </c>
    </row>
    <row r="110">
      <c r="A110" t="inlineStr">
        <is>
          <t>Oct-2018_LF05_LARGE</t>
        </is>
      </c>
      <c r="B110" t="inlineStr">
        <is>
          <t>19/2021-CT</t>
        </is>
      </c>
      <c r="C110" t="inlineStr">
        <is>
          <t>01-06-2021</t>
        </is>
      </c>
      <c r="D110" t="inlineStr">
        <is>
          <t>Amnesty</t>
        </is>
      </c>
      <c r="E110" t="inlineStr">
        <is>
          <t>Oct-2018</t>
        </is>
      </c>
      <c r="F110" t="inlineStr">
        <is>
          <t>Oct-2018</t>
        </is>
      </c>
      <c r="G110" t="inlineStr">
        <is>
          <t>01-06-2021</t>
        </is>
      </c>
      <c r="H110" t="inlineStr">
        <is>
          <t>31-08-2021</t>
        </is>
      </c>
      <c r="I110" t="inlineStr">
        <is>
          <t>NON-NIL</t>
        </is>
      </c>
      <c r="J110" t="inlineStr">
        <is>
          <t>&gt;5Cr</t>
        </is>
      </c>
      <c r="K110" t="n">
        <v>5000</v>
      </c>
      <c r="L110" t="inlineStr">
        <is>
          <t>Cap</t>
        </is>
      </c>
      <c r="M110" t="inlineStr">
        <is>
          <t>Late fee capped at ₹5,000 under Notification 19/2021-CT.</t>
        </is>
      </c>
      <c r="N110" t="inlineStr">
        <is>
          <t>Low</t>
        </is>
      </c>
      <c r="O110" t="n">
        <v>1</v>
      </c>
    </row>
    <row r="111">
      <c r="A111" t="inlineStr">
        <is>
          <t>Oct-2018_LF06_NIL</t>
        </is>
      </c>
      <c r="B111" t="inlineStr">
        <is>
          <t>33/2021-CT</t>
        </is>
      </c>
      <c r="C111" t="inlineStr">
        <is>
          <t>29-08-2021</t>
        </is>
      </c>
      <c r="D111" t="inlineStr">
        <is>
          <t>Amnesty</t>
        </is>
      </c>
      <c r="E111" t="inlineStr">
        <is>
          <t>Oct-2018</t>
        </is>
      </c>
      <c r="F111" t="inlineStr">
        <is>
          <t>Oct-2018</t>
        </is>
      </c>
      <c r="G111" t="inlineStr">
        <is>
          <t>01-09-2021</t>
        </is>
      </c>
      <c r="H111" t="inlineStr">
        <is>
          <t>30-11-2021</t>
        </is>
      </c>
      <c r="I111" t="inlineStr">
        <is>
          <t>NIL</t>
        </is>
      </c>
      <c r="J111" t="inlineStr">
        <is>
          <t>ALL</t>
        </is>
      </c>
      <c r="K111" t="n">
        <v>500</v>
      </c>
      <c r="L111" t="inlineStr">
        <is>
          <t>Cap</t>
        </is>
      </c>
      <c r="M111" t="inlineStr">
        <is>
          <t>Late fee capped at ₹500 under extended amnesty (33/2021-CT).</t>
        </is>
      </c>
      <c r="N111" t="inlineStr">
        <is>
          <t>Low</t>
        </is>
      </c>
      <c r="O111" t="n">
        <v>1</v>
      </c>
    </row>
    <row r="112">
      <c r="A112" t="inlineStr">
        <is>
          <t>Oct-2018_LF06_SMALL</t>
        </is>
      </c>
      <c r="B112" t="inlineStr">
        <is>
          <t>33/2021-CT</t>
        </is>
      </c>
      <c r="C112" t="inlineStr">
        <is>
          <t>29-08-2021</t>
        </is>
      </c>
      <c r="D112" t="inlineStr">
        <is>
          <t>Amnesty</t>
        </is>
      </c>
      <c r="E112" t="inlineStr">
        <is>
          <t>Oct-2018</t>
        </is>
      </c>
      <c r="F112" t="inlineStr">
        <is>
          <t>Oct-2018</t>
        </is>
      </c>
      <c r="G112" t="inlineStr">
        <is>
          <t>01-09-2021</t>
        </is>
      </c>
      <c r="H112" t="inlineStr">
        <is>
          <t>30-11-2021</t>
        </is>
      </c>
      <c r="I112" t="inlineStr">
        <is>
          <t>NON-NIL</t>
        </is>
      </c>
      <c r="J112" t="inlineStr">
        <is>
          <t>≤5Cr</t>
        </is>
      </c>
      <c r="K112" t="n">
        <v>2000</v>
      </c>
      <c r="L112" t="inlineStr">
        <is>
          <t>Cap</t>
        </is>
      </c>
      <c r="M112" t="inlineStr">
        <is>
          <t>Late fee capped at ₹2,000 under extended amnesty (33/2021-CT).</t>
        </is>
      </c>
      <c r="N112" t="inlineStr">
        <is>
          <t>Low</t>
        </is>
      </c>
      <c r="O112" t="n">
        <v>1</v>
      </c>
    </row>
    <row r="113">
      <c r="A113" t="inlineStr">
        <is>
          <t>Oct-2018_LF06_LARGE</t>
        </is>
      </c>
      <c r="B113" t="inlineStr">
        <is>
          <t>33/2021-CT</t>
        </is>
      </c>
      <c r="C113" t="inlineStr">
        <is>
          <t>29-08-2021</t>
        </is>
      </c>
      <c r="D113" t="inlineStr">
        <is>
          <t>Amnesty</t>
        </is>
      </c>
      <c r="E113" t="inlineStr">
        <is>
          <t>Oct-2018</t>
        </is>
      </c>
      <c r="F113" t="inlineStr">
        <is>
          <t>Oct-2018</t>
        </is>
      </c>
      <c r="G113" t="inlineStr">
        <is>
          <t>01-09-2021</t>
        </is>
      </c>
      <c r="H113" t="inlineStr">
        <is>
          <t>30-11-2021</t>
        </is>
      </c>
      <c r="I113" t="inlineStr">
        <is>
          <t>NON-NIL</t>
        </is>
      </c>
      <c r="J113" t="inlineStr">
        <is>
          <t>&gt;5Cr</t>
        </is>
      </c>
      <c r="K113" t="n">
        <v>5000</v>
      </c>
      <c r="L113" t="inlineStr">
        <is>
          <t>Cap</t>
        </is>
      </c>
      <c r="M113" t="inlineStr">
        <is>
          <t>Late fee capped at ₹5,000 under extended amnesty (33/2021-CT).</t>
        </is>
      </c>
      <c r="N113" t="inlineStr">
        <is>
          <t>Low</t>
        </is>
      </c>
      <c r="O113" t="n">
        <v>1</v>
      </c>
    </row>
    <row r="114">
      <c r="A114" t="inlineStr">
        <is>
          <t>Nov-2018_LF05_NIL</t>
        </is>
      </c>
      <c r="B114" t="inlineStr">
        <is>
          <t>19/2021-CT</t>
        </is>
      </c>
      <c r="C114" t="inlineStr">
        <is>
          <t>01-06-2021</t>
        </is>
      </c>
      <c r="D114" t="inlineStr">
        <is>
          <t>Amnesty</t>
        </is>
      </c>
      <c r="E114" t="inlineStr">
        <is>
          <t>Nov-2018</t>
        </is>
      </c>
      <c r="F114" t="inlineStr">
        <is>
          <t>Nov-2018</t>
        </is>
      </c>
      <c r="G114" t="inlineStr">
        <is>
          <t>01-06-2021</t>
        </is>
      </c>
      <c r="H114" t="inlineStr">
        <is>
          <t>31-08-2021</t>
        </is>
      </c>
      <c r="I114" t="inlineStr">
        <is>
          <t>NIL</t>
        </is>
      </c>
      <c r="J114" t="inlineStr">
        <is>
          <t>ALL</t>
        </is>
      </c>
      <c r="K114" t="n">
        <v>500</v>
      </c>
      <c r="L114" t="inlineStr">
        <is>
          <t>Cap</t>
        </is>
      </c>
      <c r="M114" t="inlineStr">
        <is>
          <t>Late fee capped at ₹500 under Notification 19/2021-CT.</t>
        </is>
      </c>
      <c r="N114" t="inlineStr">
        <is>
          <t>Low</t>
        </is>
      </c>
      <c r="O114" t="n">
        <v>1</v>
      </c>
    </row>
    <row r="115">
      <c r="A115" t="inlineStr">
        <is>
          <t>Nov-2018_LF05_SMALL</t>
        </is>
      </c>
      <c r="B115" t="inlineStr">
        <is>
          <t>19/2021-CT</t>
        </is>
      </c>
      <c r="C115" t="inlineStr">
        <is>
          <t>01-06-2021</t>
        </is>
      </c>
      <c r="D115" t="inlineStr">
        <is>
          <t>Amnesty</t>
        </is>
      </c>
      <c r="E115" t="inlineStr">
        <is>
          <t>Nov-2018</t>
        </is>
      </c>
      <c r="F115" t="inlineStr">
        <is>
          <t>Nov-2018</t>
        </is>
      </c>
      <c r="G115" t="inlineStr">
        <is>
          <t>01-06-2021</t>
        </is>
      </c>
      <c r="H115" t="inlineStr">
        <is>
          <t>31-08-2021</t>
        </is>
      </c>
      <c r="I115" t="inlineStr">
        <is>
          <t>NON-NIL</t>
        </is>
      </c>
      <c r="J115" t="inlineStr">
        <is>
          <t>≤5Cr</t>
        </is>
      </c>
      <c r="K115" t="n">
        <v>2000</v>
      </c>
      <c r="L115" t="inlineStr">
        <is>
          <t>Cap</t>
        </is>
      </c>
      <c r="M115" t="inlineStr">
        <is>
          <t>Late fee capped at ₹2,000 under Notification 19/2021-CT.</t>
        </is>
      </c>
      <c r="N115" t="inlineStr">
        <is>
          <t>Low</t>
        </is>
      </c>
      <c r="O115" t="n">
        <v>1</v>
      </c>
    </row>
    <row r="116">
      <c r="A116" t="inlineStr">
        <is>
          <t>Nov-2018_LF05_LARGE</t>
        </is>
      </c>
      <c r="B116" t="inlineStr">
        <is>
          <t>19/2021-CT</t>
        </is>
      </c>
      <c r="C116" t="inlineStr">
        <is>
          <t>01-06-2021</t>
        </is>
      </c>
      <c r="D116" t="inlineStr">
        <is>
          <t>Amnesty</t>
        </is>
      </c>
      <c r="E116" t="inlineStr">
        <is>
          <t>Nov-2018</t>
        </is>
      </c>
      <c r="F116" t="inlineStr">
        <is>
          <t>Nov-2018</t>
        </is>
      </c>
      <c r="G116" t="inlineStr">
        <is>
          <t>01-06-2021</t>
        </is>
      </c>
      <c r="H116" t="inlineStr">
        <is>
          <t>31-08-2021</t>
        </is>
      </c>
      <c r="I116" t="inlineStr">
        <is>
          <t>NON-NIL</t>
        </is>
      </c>
      <c r="J116" t="inlineStr">
        <is>
          <t>&gt;5Cr</t>
        </is>
      </c>
      <c r="K116" t="n">
        <v>5000</v>
      </c>
      <c r="L116" t="inlineStr">
        <is>
          <t>Cap</t>
        </is>
      </c>
      <c r="M116" t="inlineStr">
        <is>
          <t>Late fee capped at ₹5,000 under Notification 19/2021-CT.</t>
        </is>
      </c>
      <c r="N116" t="inlineStr">
        <is>
          <t>Low</t>
        </is>
      </c>
      <c r="O116" t="n">
        <v>1</v>
      </c>
    </row>
    <row r="117">
      <c r="A117" t="inlineStr">
        <is>
          <t>Nov-2018_LF06_NIL</t>
        </is>
      </c>
      <c r="B117" t="inlineStr">
        <is>
          <t>33/2021-CT</t>
        </is>
      </c>
      <c r="C117" t="inlineStr">
        <is>
          <t>29-08-2021</t>
        </is>
      </c>
      <c r="D117" t="inlineStr">
        <is>
          <t>Amnesty</t>
        </is>
      </c>
      <c r="E117" t="inlineStr">
        <is>
          <t>Nov-2018</t>
        </is>
      </c>
      <c r="F117" t="inlineStr">
        <is>
          <t>Nov-2018</t>
        </is>
      </c>
      <c r="G117" t="inlineStr">
        <is>
          <t>01-09-2021</t>
        </is>
      </c>
      <c r="H117" t="inlineStr">
        <is>
          <t>30-11-2021</t>
        </is>
      </c>
      <c r="I117" t="inlineStr">
        <is>
          <t>NIL</t>
        </is>
      </c>
      <c r="J117" t="inlineStr">
        <is>
          <t>ALL</t>
        </is>
      </c>
      <c r="K117" t="n">
        <v>500</v>
      </c>
      <c r="L117" t="inlineStr">
        <is>
          <t>Cap</t>
        </is>
      </c>
      <c r="M117" t="inlineStr">
        <is>
          <t>Late fee capped at ₹500 under extended amnesty (33/2021-CT).</t>
        </is>
      </c>
      <c r="N117" t="inlineStr">
        <is>
          <t>Low</t>
        </is>
      </c>
      <c r="O117" t="n">
        <v>1</v>
      </c>
    </row>
    <row r="118">
      <c r="A118" t="inlineStr">
        <is>
          <t>Nov-2018_LF06_SMALL</t>
        </is>
      </c>
      <c r="B118" t="inlineStr">
        <is>
          <t>33/2021-CT</t>
        </is>
      </c>
      <c r="C118" t="inlineStr">
        <is>
          <t>29-08-2021</t>
        </is>
      </c>
      <c r="D118" t="inlineStr">
        <is>
          <t>Amnesty</t>
        </is>
      </c>
      <c r="E118" t="inlineStr">
        <is>
          <t>Nov-2018</t>
        </is>
      </c>
      <c r="F118" t="inlineStr">
        <is>
          <t>Nov-2018</t>
        </is>
      </c>
      <c r="G118" t="inlineStr">
        <is>
          <t>01-09-2021</t>
        </is>
      </c>
      <c r="H118" t="inlineStr">
        <is>
          <t>30-11-2021</t>
        </is>
      </c>
      <c r="I118" t="inlineStr">
        <is>
          <t>NON-NIL</t>
        </is>
      </c>
      <c r="J118" t="inlineStr">
        <is>
          <t>≤5Cr</t>
        </is>
      </c>
      <c r="K118" t="n">
        <v>2000</v>
      </c>
      <c r="L118" t="inlineStr">
        <is>
          <t>Cap</t>
        </is>
      </c>
      <c r="M118" t="inlineStr">
        <is>
          <t>Late fee capped at ₹2,000 under extended amnesty (33/2021-CT).</t>
        </is>
      </c>
      <c r="N118" t="inlineStr">
        <is>
          <t>Low</t>
        </is>
      </c>
      <c r="O118" t="n">
        <v>1</v>
      </c>
    </row>
    <row r="119">
      <c r="A119" t="inlineStr">
        <is>
          <t>Nov-2018_LF06_LARGE</t>
        </is>
      </c>
      <c r="B119" t="inlineStr">
        <is>
          <t>33/2021-CT</t>
        </is>
      </c>
      <c r="C119" t="inlineStr">
        <is>
          <t>29-08-2021</t>
        </is>
      </c>
      <c r="D119" t="inlineStr">
        <is>
          <t>Amnesty</t>
        </is>
      </c>
      <c r="E119" t="inlineStr">
        <is>
          <t>Nov-2018</t>
        </is>
      </c>
      <c r="F119" t="inlineStr">
        <is>
          <t>Nov-2018</t>
        </is>
      </c>
      <c r="G119" t="inlineStr">
        <is>
          <t>01-09-2021</t>
        </is>
      </c>
      <c r="H119" t="inlineStr">
        <is>
          <t>30-11-2021</t>
        </is>
      </c>
      <c r="I119" t="inlineStr">
        <is>
          <t>NON-NIL</t>
        </is>
      </c>
      <c r="J119" t="inlineStr">
        <is>
          <t>&gt;5Cr</t>
        </is>
      </c>
      <c r="K119" t="n">
        <v>5000</v>
      </c>
      <c r="L119" t="inlineStr">
        <is>
          <t>Cap</t>
        </is>
      </c>
      <c r="M119" t="inlineStr">
        <is>
          <t>Late fee capped at ₹5,000 under extended amnesty (33/2021-CT).</t>
        </is>
      </c>
      <c r="N119" t="inlineStr">
        <is>
          <t>Low</t>
        </is>
      </c>
      <c r="O119" t="n">
        <v>1</v>
      </c>
    </row>
    <row r="120">
      <c r="A120" t="inlineStr">
        <is>
          <t>Dec-2018_LF05_NIL</t>
        </is>
      </c>
      <c r="B120" t="inlineStr">
        <is>
          <t>19/2021-CT</t>
        </is>
      </c>
      <c r="C120" t="inlineStr">
        <is>
          <t>01-06-2021</t>
        </is>
      </c>
      <c r="D120" t="inlineStr">
        <is>
          <t>Amnesty</t>
        </is>
      </c>
      <c r="E120" t="inlineStr">
        <is>
          <t>Dec-2018</t>
        </is>
      </c>
      <c r="F120" t="inlineStr">
        <is>
          <t>Dec-2018</t>
        </is>
      </c>
      <c r="G120" t="inlineStr">
        <is>
          <t>01-06-2021</t>
        </is>
      </c>
      <c r="H120" t="inlineStr">
        <is>
          <t>31-08-2021</t>
        </is>
      </c>
      <c r="I120" t="inlineStr">
        <is>
          <t>NIL</t>
        </is>
      </c>
      <c r="J120" t="inlineStr">
        <is>
          <t>ALL</t>
        </is>
      </c>
      <c r="K120" t="n">
        <v>500</v>
      </c>
      <c r="L120" t="inlineStr">
        <is>
          <t>Cap</t>
        </is>
      </c>
      <c r="M120" t="inlineStr">
        <is>
          <t>Late fee capped at ₹500 under Notification 19/2021-CT.</t>
        </is>
      </c>
      <c r="N120" t="inlineStr">
        <is>
          <t>Low</t>
        </is>
      </c>
      <c r="O120" t="n">
        <v>1</v>
      </c>
    </row>
    <row r="121">
      <c r="A121" t="inlineStr">
        <is>
          <t>Dec-2018_LF05_SMALL</t>
        </is>
      </c>
      <c r="B121" t="inlineStr">
        <is>
          <t>19/2021-CT</t>
        </is>
      </c>
      <c r="C121" t="inlineStr">
        <is>
          <t>01-06-2021</t>
        </is>
      </c>
      <c r="D121" t="inlineStr">
        <is>
          <t>Amnesty</t>
        </is>
      </c>
      <c r="E121" t="inlineStr">
        <is>
          <t>Dec-2018</t>
        </is>
      </c>
      <c r="F121" t="inlineStr">
        <is>
          <t>Dec-2018</t>
        </is>
      </c>
      <c r="G121" t="inlineStr">
        <is>
          <t>01-06-2021</t>
        </is>
      </c>
      <c r="H121" t="inlineStr">
        <is>
          <t>31-08-2021</t>
        </is>
      </c>
      <c r="I121" t="inlineStr">
        <is>
          <t>NON-NIL</t>
        </is>
      </c>
      <c r="J121" t="inlineStr">
        <is>
          <t>≤5Cr</t>
        </is>
      </c>
      <c r="K121" t="n">
        <v>2000</v>
      </c>
      <c r="L121" t="inlineStr">
        <is>
          <t>Cap</t>
        </is>
      </c>
      <c r="M121" t="inlineStr">
        <is>
          <t>Late fee capped at ₹2,000 under Notification 19/2021-CT.</t>
        </is>
      </c>
      <c r="N121" t="inlineStr">
        <is>
          <t>Low</t>
        </is>
      </c>
      <c r="O121" t="n">
        <v>1</v>
      </c>
    </row>
    <row r="122">
      <c r="A122" t="inlineStr">
        <is>
          <t>Dec-2018_LF05_LARGE</t>
        </is>
      </c>
      <c r="B122" t="inlineStr">
        <is>
          <t>19/2021-CT</t>
        </is>
      </c>
      <c r="C122" t="inlineStr">
        <is>
          <t>01-06-2021</t>
        </is>
      </c>
      <c r="D122" t="inlineStr">
        <is>
          <t>Amnesty</t>
        </is>
      </c>
      <c r="E122" t="inlineStr">
        <is>
          <t>Dec-2018</t>
        </is>
      </c>
      <c r="F122" t="inlineStr">
        <is>
          <t>Dec-2018</t>
        </is>
      </c>
      <c r="G122" t="inlineStr">
        <is>
          <t>01-06-2021</t>
        </is>
      </c>
      <c r="H122" t="inlineStr">
        <is>
          <t>31-08-2021</t>
        </is>
      </c>
      <c r="I122" t="inlineStr">
        <is>
          <t>NON-NIL</t>
        </is>
      </c>
      <c r="J122" t="inlineStr">
        <is>
          <t>&gt;5Cr</t>
        </is>
      </c>
      <c r="K122" t="n">
        <v>5000</v>
      </c>
      <c r="L122" t="inlineStr">
        <is>
          <t>Cap</t>
        </is>
      </c>
      <c r="M122" t="inlineStr">
        <is>
          <t>Late fee capped at ₹5,000 under Notification 19/2021-CT.</t>
        </is>
      </c>
      <c r="N122" t="inlineStr">
        <is>
          <t>Low</t>
        </is>
      </c>
      <c r="O122" t="n">
        <v>1</v>
      </c>
    </row>
    <row r="123">
      <c r="A123" t="inlineStr">
        <is>
          <t>Dec-2018_LF06_NIL</t>
        </is>
      </c>
      <c r="B123" t="inlineStr">
        <is>
          <t>33/2021-CT</t>
        </is>
      </c>
      <c r="C123" t="inlineStr">
        <is>
          <t>29-08-2021</t>
        </is>
      </c>
      <c r="D123" t="inlineStr">
        <is>
          <t>Amnesty</t>
        </is>
      </c>
      <c r="E123" t="inlineStr">
        <is>
          <t>Dec-2018</t>
        </is>
      </c>
      <c r="F123" t="inlineStr">
        <is>
          <t>Dec-2018</t>
        </is>
      </c>
      <c r="G123" t="inlineStr">
        <is>
          <t>01-09-2021</t>
        </is>
      </c>
      <c r="H123" t="inlineStr">
        <is>
          <t>30-11-2021</t>
        </is>
      </c>
      <c r="I123" t="inlineStr">
        <is>
          <t>NIL</t>
        </is>
      </c>
      <c r="J123" t="inlineStr">
        <is>
          <t>ALL</t>
        </is>
      </c>
      <c r="K123" t="n">
        <v>500</v>
      </c>
      <c r="L123" t="inlineStr">
        <is>
          <t>Cap</t>
        </is>
      </c>
      <c r="M123" t="inlineStr">
        <is>
          <t>Late fee capped at ₹500 under extended amnesty (33/2021-CT).</t>
        </is>
      </c>
      <c r="N123" t="inlineStr">
        <is>
          <t>Low</t>
        </is>
      </c>
      <c r="O123" t="n">
        <v>1</v>
      </c>
    </row>
    <row r="124">
      <c r="A124" t="inlineStr">
        <is>
          <t>Dec-2018_LF06_SMALL</t>
        </is>
      </c>
      <c r="B124" t="inlineStr">
        <is>
          <t>33/2021-CT</t>
        </is>
      </c>
      <c r="C124" t="inlineStr">
        <is>
          <t>29-08-2021</t>
        </is>
      </c>
      <c r="D124" t="inlineStr">
        <is>
          <t>Amnesty</t>
        </is>
      </c>
      <c r="E124" t="inlineStr">
        <is>
          <t>Dec-2018</t>
        </is>
      </c>
      <c r="F124" t="inlineStr">
        <is>
          <t>Dec-2018</t>
        </is>
      </c>
      <c r="G124" t="inlineStr">
        <is>
          <t>01-09-2021</t>
        </is>
      </c>
      <c r="H124" t="inlineStr">
        <is>
          <t>30-11-2021</t>
        </is>
      </c>
      <c r="I124" t="inlineStr">
        <is>
          <t>NON-NIL</t>
        </is>
      </c>
      <c r="J124" t="inlineStr">
        <is>
          <t>≤5Cr</t>
        </is>
      </c>
      <c r="K124" t="n">
        <v>2000</v>
      </c>
      <c r="L124" t="inlineStr">
        <is>
          <t>Cap</t>
        </is>
      </c>
      <c r="M124" t="inlineStr">
        <is>
          <t>Late fee capped at ₹2,000 under extended amnesty (33/2021-CT).</t>
        </is>
      </c>
      <c r="N124" t="inlineStr">
        <is>
          <t>Low</t>
        </is>
      </c>
      <c r="O124" t="n">
        <v>1</v>
      </c>
    </row>
    <row r="125">
      <c r="A125" t="inlineStr">
        <is>
          <t>Dec-2018_LF06_LARGE</t>
        </is>
      </c>
      <c r="B125" t="inlineStr">
        <is>
          <t>33/2021-CT</t>
        </is>
      </c>
      <c r="C125" t="inlineStr">
        <is>
          <t>29-08-2021</t>
        </is>
      </c>
      <c r="D125" t="inlineStr">
        <is>
          <t>Amnesty</t>
        </is>
      </c>
      <c r="E125" t="inlineStr">
        <is>
          <t>Dec-2018</t>
        </is>
      </c>
      <c r="F125" t="inlineStr">
        <is>
          <t>Dec-2018</t>
        </is>
      </c>
      <c r="G125" t="inlineStr">
        <is>
          <t>01-09-2021</t>
        </is>
      </c>
      <c r="H125" t="inlineStr">
        <is>
          <t>30-11-2021</t>
        </is>
      </c>
      <c r="I125" t="inlineStr">
        <is>
          <t>NON-NIL</t>
        </is>
      </c>
      <c r="J125" t="inlineStr">
        <is>
          <t>&gt;5Cr</t>
        </is>
      </c>
      <c r="K125" t="n">
        <v>5000</v>
      </c>
      <c r="L125" t="inlineStr">
        <is>
          <t>Cap</t>
        </is>
      </c>
      <c r="M125" t="inlineStr">
        <is>
          <t>Late fee capped at ₹5,000 under extended amnesty (33/2021-CT).</t>
        </is>
      </c>
      <c r="N125" t="inlineStr">
        <is>
          <t>Low</t>
        </is>
      </c>
      <c r="O125" t="n">
        <v>1</v>
      </c>
    </row>
    <row r="126">
      <c r="A126" t="inlineStr">
        <is>
          <t>Jan-2019_LF05_NIL</t>
        </is>
      </c>
      <c r="B126" t="inlineStr">
        <is>
          <t>19/2021-CT</t>
        </is>
      </c>
      <c r="C126" t="inlineStr">
        <is>
          <t>01-06-2021</t>
        </is>
      </c>
      <c r="D126" t="inlineStr">
        <is>
          <t>Amnesty</t>
        </is>
      </c>
      <c r="E126" t="inlineStr">
        <is>
          <t>Jan-2019</t>
        </is>
      </c>
      <c r="F126" t="inlineStr">
        <is>
          <t>Jan-2019</t>
        </is>
      </c>
      <c r="G126" t="inlineStr">
        <is>
          <t>01-06-2021</t>
        </is>
      </c>
      <c r="H126" t="inlineStr">
        <is>
          <t>31-08-2021</t>
        </is>
      </c>
      <c r="I126" t="inlineStr">
        <is>
          <t>NIL</t>
        </is>
      </c>
      <c r="J126" t="inlineStr">
        <is>
          <t>ALL</t>
        </is>
      </c>
      <c r="K126" t="n">
        <v>500</v>
      </c>
      <c r="L126" t="inlineStr">
        <is>
          <t>Cap</t>
        </is>
      </c>
      <c r="M126" t="inlineStr">
        <is>
          <t>Late fee capped at ₹500 under Notification 19/2021-CT.</t>
        </is>
      </c>
      <c r="N126" t="inlineStr">
        <is>
          <t>Low</t>
        </is>
      </c>
      <c r="O126" t="n">
        <v>1</v>
      </c>
    </row>
    <row r="127">
      <c r="A127" t="inlineStr">
        <is>
          <t>Jan-2019_LF05_SMALL</t>
        </is>
      </c>
      <c r="B127" t="inlineStr">
        <is>
          <t>19/2021-CT</t>
        </is>
      </c>
      <c r="C127" t="inlineStr">
        <is>
          <t>01-06-2021</t>
        </is>
      </c>
      <c r="D127" t="inlineStr">
        <is>
          <t>Amnesty</t>
        </is>
      </c>
      <c r="E127" t="inlineStr">
        <is>
          <t>Jan-2019</t>
        </is>
      </c>
      <c r="F127" t="inlineStr">
        <is>
          <t>Jan-2019</t>
        </is>
      </c>
      <c r="G127" t="inlineStr">
        <is>
          <t>01-06-2021</t>
        </is>
      </c>
      <c r="H127" t="inlineStr">
        <is>
          <t>31-08-2021</t>
        </is>
      </c>
      <c r="I127" t="inlineStr">
        <is>
          <t>NON-NIL</t>
        </is>
      </c>
      <c r="J127" t="inlineStr">
        <is>
          <t>≤5Cr</t>
        </is>
      </c>
      <c r="K127" t="n">
        <v>2000</v>
      </c>
      <c r="L127" t="inlineStr">
        <is>
          <t>Cap</t>
        </is>
      </c>
      <c r="M127" t="inlineStr">
        <is>
          <t>Late fee capped at ₹2,000 under Notification 19/2021-CT.</t>
        </is>
      </c>
      <c r="N127" t="inlineStr">
        <is>
          <t>Low</t>
        </is>
      </c>
      <c r="O127" t="n">
        <v>1</v>
      </c>
    </row>
    <row r="128">
      <c r="A128" t="inlineStr">
        <is>
          <t>Jan-2019_LF05_LARGE</t>
        </is>
      </c>
      <c r="B128" t="inlineStr">
        <is>
          <t>19/2021-CT</t>
        </is>
      </c>
      <c r="C128" t="inlineStr">
        <is>
          <t>01-06-2021</t>
        </is>
      </c>
      <c r="D128" t="inlineStr">
        <is>
          <t>Amnesty</t>
        </is>
      </c>
      <c r="E128" t="inlineStr">
        <is>
          <t>Jan-2019</t>
        </is>
      </c>
      <c r="F128" t="inlineStr">
        <is>
          <t>Jan-2019</t>
        </is>
      </c>
      <c r="G128" t="inlineStr">
        <is>
          <t>01-06-2021</t>
        </is>
      </c>
      <c r="H128" t="inlineStr">
        <is>
          <t>31-08-2021</t>
        </is>
      </c>
      <c r="I128" t="inlineStr">
        <is>
          <t>NON-NIL</t>
        </is>
      </c>
      <c r="J128" t="inlineStr">
        <is>
          <t>&gt;5Cr</t>
        </is>
      </c>
      <c r="K128" t="n">
        <v>5000</v>
      </c>
      <c r="L128" t="inlineStr">
        <is>
          <t>Cap</t>
        </is>
      </c>
      <c r="M128" t="inlineStr">
        <is>
          <t>Late fee capped at ₹5,000 under Notification 19/2021-CT.</t>
        </is>
      </c>
      <c r="N128" t="inlineStr">
        <is>
          <t>Low</t>
        </is>
      </c>
      <c r="O128" t="n">
        <v>1</v>
      </c>
    </row>
    <row r="129">
      <c r="A129" t="inlineStr">
        <is>
          <t>Jan-2019_LF06_NIL</t>
        </is>
      </c>
      <c r="B129" t="inlineStr">
        <is>
          <t>33/2021-CT</t>
        </is>
      </c>
      <c r="C129" t="inlineStr">
        <is>
          <t>29-08-2021</t>
        </is>
      </c>
      <c r="D129" t="inlineStr">
        <is>
          <t>Amnesty</t>
        </is>
      </c>
      <c r="E129" t="inlineStr">
        <is>
          <t>Jan-2019</t>
        </is>
      </c>
      <c r="F129" t="inlineStr">
        <is>
          <t>Jan-2019</t>
        </is>
      </c>
      <c r="G129" t="inlineStr">
        <is>
          <t>01-09-2021</t>
        </is>
      </c>
      <c r="H129" t="inlineStr">
        <is>
          <t>30-11-2021</t>
        </is>
      </c>
      <c r="I129" t="inlineStr">
        <is>
          <t>NIL</t>
        </is>
      </c>
      <c r="J129" t="inlineStr">
        <is>
          <t>ALL</t>
        </is>
      </c>
      <c r="K129" t="n">
        <v>500</v>
      </c>
      <c r="L129" t="inlineStr">
        <is>
          <t>Cap</t>
        </is>
      </c>
      <c r="M129" t="inlineStr">
        <is>
          <t>Late fee capped at ₹500 under extended amnesty (33/2021-CT).</t>
        </is>
      </c>
      <c r="N129" t="inlineStr">
        <is>
          <t>Low</t>
        </is>
      </c>
      <c r="O129" t="n">
        <v>1</v>
      </c>
    </row>
    <row r="130">
      <c r="A130" t="inlineStr">
        <is>
          <t>Jan-2019_LF06_SMALL</t>
        </is>
      </c>
      <c r="B130" t="inlineStr">
        <is>
          <t>33/2021-CT</t>
        </is>
      </c>
      <c r="C130" t="inlineStr">
        <is>
          <t>29-08-2021</t>
        </is>
      </c>
      <c r="D130" t="inlineStr">
        <is>
          <t>Amnesty</t>
        </is>
      </c>
      <c r="E130" t="inlineStr">
        <is>
          <t>Jan-2019</t>
        </is>
      </c>
      <c r="F130" t="inlineStr">
        <is>
          <t>Jan-2019</t>
        </is>
      </c>
      <c r="G130" t="inlineStr">
        <is>
          <t>01-09-2021</t>
        </is>
      </c>
      <c r="H130" t="inlineStr">
        <is>
          <t>30-11-2021</t>
        </is>
      </c>
      <c r="I130" t="inlineStr">
        <is>
          <t>NON-NIL</t>
        </is>
      </c>
      <c r="J130" t="inlineStr">
        <is>
          <t>≤5Cr</t>
        </is>
      </c>
      <c r="K130" t="n">
        <v>2000</v>
      </c>
      <c r="L130" t="inlineStr">
        <is>
          <t>Cap</t>
        </is>
      </c>
      <c r="M130" t="inlineStr">
        <is>
          <t>Late fee capped at ₹2,000 under extended amnesty (33/2021-CT).</t>
        </is>
      </c>
      <c r="N130" t="inlineStr">
        <is>
          <t>Low</t>
        </is>
      </c>
      <c r="O130" t="n">
        <v>1</v>
      </c>
    </row>
    <row r="131">
      <c r="A131" t="inlineStr">
        <is>
          <t>Jan-2019_LF06_LARGE</t>
        </is>
      </c>
      <c r="B131" t="inlineStr">
        <is>
          <t>33/2021-CT</t>
        </is>
      </c>
      <c r="C131" t="inlineStr">
        <is>
          <t>29-08-2021</t>
        </is>
      </c>
      <c r="D131" t="inlineStr">
        <is>
          <t>Amnesty</t>
        </is>
      </c>
      <c r="E131" t="inlineStr">
        <is>
          <t>Jan-2019</t>
        </is>
      </c>
      <c r="F131" t="inlineStr">
        <is>
          <t>Jan-2019</t>
        </is>
      </c>
      <c r="G131" t="inlineStr">
        <is>
          <t>01-09-2021</t>
        </is>
      </c>
      <c r="H131" t="inlineStr">
        <is>
          <t>30-11-2021</t>
        </is>
      </c>
      <c r="I131" t="inlineStr">
        <is>
          <t>NON-NIL</t>
        </is>
      </c>
      <c r="J131" t="inlineStr">
        <is>
          <t>&gt;5Cr</t>
        </is>
      </c>
      <c r="K131" t="n">
        <v>5000</v>
      </c>
      <c r="L131" t="inlineStr">
        <is>
          <t>Cap</t>
        </is>
      </c>
      <c r="M131" t="inlineStr">
        <is>
          <t>Late fee capped at ₹5,000 under extended amnesty (33/2021-CT).</t>
        </is>
      </c>
      <c r="N131" t="inlineStr">
        <is>
          <t>Low</t>
        </is>
      </c>
      <c r="O131" t="n">
        <v>1</v>
      </c>
    </row>
    <row r="132">
      <c r="A132" t="inlineStr">
        <is>
          <t>Feb-2019_LF05_NIL</t>
        </is>
      </c>
      <c r="B132" t="inlineStr">
        <is>
          <t>19/2021-CT</t>
        </is>
      </c>
      <c r="C132" t="inlineStr">
        <is>
          <t>01-06-2021</t>
        </is>
      </c>
      <c r="D132" t="inlineStr">
        <is>
          <t>Amnesty</t>
        </is>
      </c>
      <c r="E132" t="inlineStr">
        <is>
          <t>Feb-2019</t>
        </is>
      </c>
      <c r="F132" t="inlineStr">
        <is>
          <t>Feb-2019</t>
        </is>
      </c>
      <c r="G132" t="inlineStr">
        <is>
          <t>01-06-2021</t>
        </is>
      </c>
      <c r="H132" t="inlineStr">
        <is>
          <t>31-08-2021</t>
        </is>
      </c>
      <c r="I132" t="inlineStr">
        <is>
          <t>NIL</t>
        </is>
      </c>
      <c r="J132" t="inlineStr">
        <is>
          <t>ALL</t>
        </is>
      </c>
      <c r="K132" t="n">
        <v>500</v>
      </c>
      <c r="L132" t="inlineStr">
        <is>
          <t>Cap</t>
        </is>
      </c>
      <c r="M132" t="inlineStr">
        <is>
          <t>Late fee capped at ₹500 under Notification 19/2021-CT.</t>
        </is>
      </c>
      <c r="N132" t="inlineStr">
        <is>
          <t>Low</t>
        </is>
      </c>
      <c r="O132" t="n">
        <v>1</v>
      </c>
    </row>
    <row r="133">
      <c r="A133" t="inlineStr">
        <is>
          <t>Feb-2019_LF05_SMALL</t>
        </is>
      </c>
      <c r="B133" t="inlineStr">
        <is>
          <t>19/2021-CT</t>
        </is>
      </c>
      <c r="C133" t="inlineStr">
        <is>
          <t>01-06-2021</t>
        </is>
      </c>
      <c r="D133" t="inlineStr">
        <is>
          <t>Amnesty</t>
        </is>
      </c>
      <c r="E133" t="inlineStr">
        <is>
          <t>Feb-2019</t>
        </is>
      </c>
      <c r="F133" t="inlineStr">
        <is>
          <t>Feb-2019</t>
        </is>
      </c>
      <c r="G133" t="inlineStr">
        <is>
          <t>01-06-2021</t>
        </is>
      </c>
      <c r="H133" t="inlineStr">
        <is>
          <t>31-08-2021</t>
        </is>
      </c>
      <c r="I133" t="inlineStr">
        <is>
          <t>NON-NIL</t>
        </is>
      </c>
      <c r="J133" t="inlineStr">
        <is>
          <t>≤5Cr</t>
        </is>
      </c>
      <c r="K133" t="n">
        <v>2000</v>
      </c>
      <c r="L133" t="inlineStr">
        <is>
          <t>Cap</t>
        </is>
      </c>
      <c r="M133" t="inlineStr">
        <is>
          <t>Late fee capped at ₹2,000 under Notification 19/2021-CT.</t>
        </is>
      </c>
      <c r="N133" t="inlineStr">
        <is>
          <t>Low</t>
        </is>
      </c>
      <c r="O133" t="n">
        <v>1</v>
      </c>
    </row>
    <row r="134">
      <c r="A134" t="inlineStr">
        <is>
          <t>Feb-2019_LF05_LARGE</t>
        </is>
      </c>
      <c r="B134" t="inlineStr">
        <is>
          <t>19/2021-CT</t>
        </is>
      </c>
      <c r="C134" t="inlineStr">
        <is>
          <t>01-06-2021</t>
        </is>
      </c>
      <c r="D134" t="inlineStr">
        <is>
          <t>Amnesty</t>
        </is>
      </c>
      <c r="E134" t="inlineStr">
        <is>
          <t>Feb-2019</t>
        </is>
      </c>
      <c r="F134" t="inlineStr">
        <is>
          <t>Feb-2019</t>
        </is>
      </c>
      <c r="G134" t="inlineStr">
        <is>
          <t>01-06-2021</t>
        </is>
      </c>
      <c r="H134" t="inlineStr">
        <is>
          <t>31-08-2021</t>
        </is>
      </c>
      <c r="I134" t="inlineStr">
        <is>
          <t>NON-NIL</t>
        </is>
      </c>
      <c r="J134" t="inlineStr">
        <is>
          <t>&gt;5Cr</t>
        </is>
      </c>
      <c r="K134" t="n">
        <v>5000</v>
      </c>
      <c r="L134" t="inlineStr">
        <is>
          <t>Cap</t>
        </is>
      </c>
      <c r="M134" t="inlineStr">
        <is>
          <t>Late fee capped at ₹5,000 under Notification 19/2021-CT.</t>
        </is>
      </c>
      <c r="N134" t="inlineStr">
        <is>
          <t>Low</t>
        </is>
      </c>
      <c r="O134" t="n">
        <v>1</v>
      </c>
    </row>
    <row r="135">
      <c r="A135" t="inlineStr">
        <is>
          <t>Feb-2019_LF06_NIL</t>
        </is>
      </c>
      <c r="B135" t="inlineStr">
        <is>
          <t>33/2021-CT</t>
        </is>
      </c>
      <c r="C135" t="inlineStr">
        <is>
          <t>29-08-2021</t>
        </is>
      </c>
      <c r="D135" t="inlineStr">
        <is>
          <t>Amnesty</t>
        </is>
      </c>
      <c r="E135" t="inlineStr">
        <is>
          <t>Feb-2019</t>
        </is>
      </c>
      <c r="F135" t="inlineStr">
        <is>
          <t>Feb-2019</t>
        </is>
      </c>
      <c r="G135" t="inlineStr">
        <is>
          <t>01-09-2021</t>
        </is>
      </c>
      <c r="H135" t="inlineStr">
        <is>
          <t>30-11-2021</t>
        </is>
      </c>
      <c r="I135" t="inlineStr">
        <is>
          <t>NIL</t>
        </is>
      </c>
      <c r="J135" t="inlineStr">
        <is>
          <t>ALL</t>
        </is>
      </c>
      <c r="K135" t="n">
        <v>500</v>
      </c>
      <c r="L135" t="inlineStr">
        <is>
          <t>Cap</t>
        </is>
      </c>
      <c r="M135" t="inlineStr">
        <is>
          <t>Late fee capped at ₹500 under extended amnesty (33/2021-CT).</t>
        </is>
      </c>
      <c r="N135" t="inlineStr">
        <is>
          <t>Low</t>
        </is>
      </c>
      <c r="O135" t="n">
        <v>1</v>
      </c>
    </row>
    <row r="136">
      <c r="A136" t="inlineStr">
        <is>
          <t>Feb-2019_LF06_SMALL</t>
        </is>
      </c>
      <c r="B136" t="inlineStr">
        <is>
          <t>33/2021-CT</t>
        </is>
      </c>
      <c r="C136" t="inlineStr">
        <is>
          <t>29-08-2021</t>
        </is>
      </c>
      <c r="D136" t="inlineStr">
        <is>
          <t>Amnesty</t>
        </is>
      </c>
      <c r="E136" t="inlineStr">
        <is>
          <t>Feb-2019</t>
        </is>
      </c>
      <c r="F136" t="inlineStr">
        <is>
          <t>Feb-2019</t>
        </is>
      </c>
      <c r="G136" t="inlineStr">
        <is>
          <t>01-09-2021</t>
        </is>
      </c>
      <c r="H136" t="inlineStr">
        <is>
          <t>30-11-2021</t>
        </is>
      </c>
      <c r="I136" t="inlineStr">
        <is>
          <t>NON-NIL</t>
        </is>
      </c>
      <c r="J136" t="inlineStr">
        <is>
          <t>≤5Cr</t>
        </is>
      </c>
      <c r="K136" t="n">
        <v>2000</v>
      </c>
      <c r="L136" t="inlineStr">
        <is>
          <t>Cap</t>
        </is>
      </c>
      <c r="M136" t="inlineStr">
        <is>
          <t>Late fee capped at ₹2,000 under extended amnesty (33/2021-CT).</t>
        </is>
      </c>
      <c r="N136" t="inlineStr">
        <is>
          <t>Low</t>
        </is>
      </c>
      <c r="O136" t="n">
        <v>1</v>
      </c>
    </row>
    <row r="137">
      <c r="A137" t="inlineStr">
        <is>
          <t>Feb-2019_LF06_LARGE</t>
        </is>
      </c>
      <c r="B137" t="inlineStr">
        <is>
          <t>33/2021-CT</t>
        </is>
      </c>
      <c r="C137" t="inlineStr">
        <is>
          <t>29-08-2021</t>
        </is>
      </c>
      <c r="D137" t="inlineStr">
        <is>
          <t>Amnesty</t>
        </is>
      </c>
      <c r="E137" t="inlineStr">
        <is>
          <t>Feb-2019</t>
        </is>
      </c>
      <c r="F137" t="inlineStr">
        <is>
          <t>Feb-2019</t>
        </is>
      </c>
      <c r="G137" t="inlineStr">
        <is>
          <t>01-09-2021</t>
        </is>
      </c>
      <c r="H137" t="inlineStr">
        <is>
          <t>30-11-2021</t>
        </is>
      </c>
      <c r="I137" t="inlineStr">
        <is>
          <t>NON-NIL</t>
        </is>
      </c>
      <c r="J137" t="inlineStr">
        <is>
          <t>&gt;5Cr</t>
        </is>
      </c>
      <c r="K137" t="n">
        <v>5000</v>
      </c>
      <c r="L137" t="inlineStr">
        <is>
          <t>Cap</t>
        </is>
      </c>
      <c r="M137" t="inlineStr">
        <is>
          <t>Late fee capped at ₹5,000 under extended amnesty (33/2021-CT).</t>
        </is>
      </c>
      <c r="N137" t="inlineStr">
        <is>
          <t>Low</t>
        </is>
      </c>
      <c r="O137" t="n">
        <v>1</v>
      </c>
    </row>
    <row r="138">
      <c r="A138" t="inlineStr">
        <is>
          <t>Mar-2019_LF05_NIL</t>
        </is>
      </c>
      <c r="B138" t="inlineStr">
        <is>
          <t>19/2021-CT</t>
        </is>
      </c>
      <c r="C138" t="inlineStr">
        <is>
          <t>01-06-2021</t>
        </is>
      </c>
      <c r="D138" t="inlineStr">
        <is>
          <t>Amnesty</t>
        </is>
      </c>
      <c r="E138" t="inlineStr">
        <is>
          <t>Mar-2019</t>
        </is>
      </c>
      <c r="F138" t="inlineStr">
        <is>
          <t>Mar-2019</t>
        </is>
      </c>
      <c r="G138" t="inlineStr">
        <is>
          <t>01-06-2021</t>
        </is>
      </c>
      <c r="H138" t="inlineStr">
        <is>
          <t>31-08-2021</t>
        </is>
      </c>
      <c r="I138" t="inlineStr">
        <is>
          <t>NIL</t>
        </is>
      </c>
      <c r="J138" t="inlineStr">
        <is>
          <t>ALL</t>
        </is>
      </c>
      <c r="K138" t="n">
        <v>500</v>
      </c>
      <c r="L138" t="inlineStr">
        <is>
          <t>Cap</t>
        </is>
      </c>
      <c r="M138" t="inlineStr">
        <is>
          <t>Late fee capped at ₹500 under Notification 19/2021-CT.</t>
        </is>
      </c>
      <c r="N138" t="inlineStr">
        <is>
          <t>Low</t>
        </is>
      </c>
      <c r="O138" t="n">
        <v>1</v>
      </c>
    </row>
    <row r="139">
      <c r="A139" t="inlineStr">
        <is>
          <t>Mar-2019_LF05_SMALL</t>
        </is>
      </c>
      <c r="B139" t="inlineStr">
        <is>
          <t>19/2021-CT</t>
        </is>
      </c>
      <c r="C139" t="inlineStr">
        <is>
          <t>01-06-2021</t>
        </is>
      </c>
      <c r="D139" t="inlineStr">
        <is>
          <t>Amnesty</t>
        </is>
      </c>
      <c r="E139" t="inlineStr">
        <is>
          <t>Mar-2019</t>
        </is>
      </c>
      <c r="F139" t="inlineStr">
        <is>
          <t>Mar-2019</t>
        </is>
      </c>
      <c r="G139" t="inlineStr">
        <is>
          <t>01-06-2021</t>
        </is>
      </c>
      <c r="H139" t="inlineStr">
        <is>
          <t>31-08-2021</t>
        </is>
      </c>
      <c r="I139" t="inlineStr">
        <is>
          <t>NON-NIL</t>
        </is>
      </c>
      <c r="J139" t="inlineStr">
        <is>
          <t>≤5Cr</t>
        </is>
      </c>
      <c r="K139" t="n">
        <v>2000</v>
      </c>
      <c r="L139" t="inlineStr">
        <is>
          <t>Cap</t>
        </is>
      </c>
      <c r="M139" t="inlineStr">
        <is>
          <t>Late fee capped at ₹2,000 under Notification 19/2021-CT.</t>
        </is>
      </c>
      <c r="N139" t="inlineStr">
        <is>
          <t>Low</t>
        </is>
      </c>
      <c r="O139" t="n">
        <v>1</v>
      </c>
    </row>
    <row r="140">
      <c r="A140" t="inlineStr">
        <is>
          <t>Mar-2019_LF05_LARGE</t>
        </is>
      </c>
      <c r="B140" t="inlineStr">
        <is>
          <t>19/2021-CT</t>
        </is>
      </c>
      <c r="C140" t="inlineStr">
        <is>
          <t>01-06-2021</t>
        </is>
      </c>
      <c r="D140" t="inlineStr">
        <is>
          <t>Amnesty</t>
        </is>
      </c>
      <c r="E140" t="inlineStr">
        <is>
          <t>Mar-2019</t>
        </is>
      </c>
      <c r="F140" t="inlineStr">
        <is>
          <t>Mar-2019</t>
        </is>
      </c>
      <c r="G140" t="inlineStr">
        <is>
          <t>01-06-2021</t>
        </is>
      </c>
      <c r="H140" t="inlineStr">
        <is>
          <t>31-08-2021</t>
        </is>
      </c>
      <c r="I140" t="inlineStr">
        <is>
          <t>NON-NIL</t>
        </is>
      </c>
      <c r="J140" t="inlineStr">
        <is>
          <t>&gt;5Cr</t>
        </is>
      </c>
      <c r="K140" t="n">
        <v>5000</v>
      </c>
      <c r="L140" t="inlineStr">
        <is>
          <t>Cap</t>
        </is>
      </c>
      <c r="M140" t="inlineStr">
        <is>
          <t>Late fee capped at ₹5,000 under Notification 19/2021-CT.</t>
        </is>
      </c>
      <c r="N140" t="inlineStr">
        <is>
          <t>Low</t>
        </is>
      </c>
      <c r="O140" t="n">
        <v>1</v>
      </c>
    </row>
    <row r="141">
      <c r="A141" t="inlineStr">
        <is>
          <t>Mar-2019_LF06_NIL</t>
        </is>
      </c>
      <c r="B141" t="inlineStr">
        <is>
          <t>33/2021-CT</t>
        </is>
      </c>
      <c r="C141" t="inlineStr">
        <is>
          <t>29-08-2021</t>
        </is>
      </c>
      <c r="D141" t="inlineStr">
        <is>
          <t>Amnesty</t>
        </is>
      </c>
      <c r="E141" t="inlineStr">
        <is>
          <t>Mar-2019</t>
        </is>
      </c>
      <c r="F141" t="inlineStr">
        <is>
          <t>Mar-2019</t>
        </is>
      </c>
      <c r="G141" t="inlineStr">
        <is>
          <t>01-09-2021</t>
        </is>
      </c>
      <c r="H141" t="inlineStr">
        <is>
          <t>30-11-2021</t>
        </is>
      </c>
      <c r="I141" t="inlineStr">
        <is>
          <t>NIL</t>
        </is>
      </c>
      <c r="J141" t="inlineStr">
        <is>
          <t>ALL</t>
        </is>
      </c>
      <c r="K141" t="n">
        <v>500</v>
      </c>
      <c r="L141" t="inlineStr">
        <is>
          <t>Cap</t>
        </is>
      </c>
      <c r="M141" t="inlineStr">
        <is>
          <t>Late fee capped at ₹500 under extended amnesty (33/2021-CT).</t>
        </is>
      </c>
      <c r="N141" t="inlineStr">
        <is>
          <t>Low</t>
        </is>
      </c>
      <c r="O141" t="n">
        <v>1</v>
      </c>
    </row>
    <row r="142">
      <c r="A142" t="inlineStr">
        <is>
          <t>Mar-2019_LF06_SMALL</t>
        </is>
      </c>
      <c r="B142" t="inlineStr">
        <is>
          <t>33/2021-CT</t>
        </is>
      </c>
      <c r="C142" t="inlineStr">
        <is>
          <t>29-08-2021</t>
        </is>
      </c>
      <c r="D142" t="inlineStr">
        <is>
          <t>Amnesty</t>
        </is>
      </c>
      <c r="E142" t="inlineStr">
        <is>
          <t>Mar-2019</t>
        </is>
      </c>
      <c r="F142" t="inlineStr">
        <is>
          <t>Mar-2019</t>
        </is>
      </c>
      <c r="G142" t="inlineStr">
        <is>
          <t>01-09-2021</t>
        </is>
      </c>
      <c r="H142" t="inlineStr">
        <is>
          <t>30-11-2021</t>
        </is>
      </c>
      <c r="I142" t="inlineStr">
        <is>
          <t>NON-NIL</t>
        </is>
      </c>
      <c r="J142" t="inlineStr">
        <is>
          <t>≤5Cr</t>
        </is>
      </c>
      <c r="K142" t="n">
        <v>2000</v>
      </c>
      <c r="L142" t="inlineStr">
        <is>
          <t>Cap</t>
        </is>
      </c>
      <c r="M142" t="inlineStr">
        <is>
          <t>Late fee capped at ₹2,000 under extended amnesty (33/2021-CT).</t>
        </is>
      </c>
      <c r="N142" t="inlineStr">
        <is>
          <t>Low</t>
        </is>
      </c>
      <c r="O142" t="n">
        <v>1</v>
      </c>
    </row>
    <row r="143">
      <c r="A143" t="inlineStr">
        <is>
          <t>Mar-2019_LF06_LARGE</t>
        </is>
      </c>
      <c r="B143" t="inlineStr">
        <is>
          <t>33/2021-CT</t>
        </is>
      </c>
      <c r="C143" t="inlineStr">
        <is>
          <t>29-08-2021</t>
        </is>
      </c>
      <c r="D143" t="inlineStr">
        <is>
          <t>Amnesty</t>
        </is>
      </c>
      <c r="E143" t="inlineStr">
        <is>
          <t>Mar-2019</t>
        </is>
      </c>
      <c r="F143" t="inlineStr">
        <is>
          <t>Mar-2019</t>
        </is>
      </c>
      <c r="G143" t="inlineStr">
        <is>
          <t>01-09-2021</t>
        </is>
      </c>
      <c r="H143" t="inlineStr">
        <is>
          <t>30-11-2021</t>
        </is>
      </c>
      <c r="I143" t="inlineStr">
        <is>
          <t>NON-NIL</t>
        </is>
      </c>
      <c r="J143" t="inlineStr">
        <is>
          <t>&gt;5Cr</t>
        </is>
      </c>
      <c r="K143" t="n">
        <v>5000</v>
      </c>
      <c r="L143" t="inlineStr">
        <is>
          <t>Cap</t>
        </is>
      </c>
      <c r="M143" t="inlineStr">
        <is>
          <t>Late fee capped at ₹5,000 under extended amnesty (33/2021-CT).</t>
        </is>
      </c>
      <c r="N143" t="inlineStr">
        <is>
          <t>Low</t>
        </is>
      </c>
      <c r="O143" t="n">
        <v>1</v>
      </c>
    </row>
    <row r="144">
      <c r="A144" t="inlineStr">
        <is>
          <t>Apr-2019_LF05_NIL</t>
        </is>
      </c>
      <c r="B144" t="inlineStr">
        <is>
          <t>19/2021-CT</t>
        </is>
      </c>
      <c r="C144" t="inlineStr">
        <is>
          <t>01-06-2021</t>
        </is>
      </c>
      <c r="D144" t="inlineStr">
        <is>
          <t>Amnesty</t>
        </is>
      </c>
      <c r="E144" t="inlineStr">
        <is>
          <t>Apr-2019</t>
        </is>
      </c>
      <c r="F144" t="inlineStr">
        <is>
          <t>Apr-2019</t>
        </is>
      </c>
      <c r="G144" t="inlineStr">
        <is>
          <t>01-06-2021</t>
        </is>
      </c>
      <c r="H144" t="inlineStr">
        <is>
          <t>31-08-2021</t>
        </is>
      </c>
      <c r="I144" t="inlineStr">
        <is>
          <t>NIL</t>
        </is>
      </c>
      <c r="J144" t="inlineStr">
        <is>
          <t>ALL</t>
        </is>
      </c>
      <c r="K144" t="n">
        <v>500</v>
      </c>
      <c r="L144" t="inlineStr">
        <is>
          <t>Cap</t>
        </is>
      </c>
      <c r="M144" t="inlineStr">
        <is>
          <t>Late fee capped at ₹500 under Notification 19/2021-CT.</t>
        </is>
      </c>
      <c r="N144" t="inlineStr">
        <is>
          <t>Low</t>
        </is>
      </c>
      <c r="O144" t="n">
        <v>1</v>
      </c>
    </row>
    <row r="145">
      <c r="A145" t="inlineStr">
        <is>
          <t>Apr-2019_LF05_SMALL</t>
        </is>
      </c>
      <c r="B145" t="inlineStr">
        <is>
          <t>19/2021-CT</t>
        </is>
      </c>
      <c r="C145" t="inlineStr">
        <is>
          <t>01-06-2021</t>
        </is>
      </c>
      <c r="D145" t="inlineStr">
        <is>
          <t>Amnesty</t>
        </is>
      </c>
      <c r="E145" t="inlineStr">
        <is>
          <t>Apr-2019</t>
        </is>
      </c>
      <c r="F145" t="inlineStr">
        <is>
          <t>Apr-2019</t>
        </is>
      </c>
      <c r="G145" t="inlineStr">
        <is>
          <t>01-06-2021</t>
        </is>
      </c>
      <c r="H145" t="inlineStr">
        <is>
          <t>31-08-2021</t>
        </is>
      </c>
      <c r="I145" t="inlineStr">
        <is>
          <t>NON-NIL</t>
        </is>
      </c>
      <c r="J145" t="inlineStr">
        <is>
          <t>≤5Cr</t>
        </is>
      </c>
      <c r="K145" t="n">
        <v>2000</v>
      </c>
      <c r="L145" t="inlineStr">
        <is>
          <t>Cap</t>
        </is>
      </c>
      <c r="M145" t="inlineStr">
        <is>
          <t>Late fee capped at ₹2,000 under Notification 19/2021-CT.</t>
        </is>
      </c>
      <c r="N145" t="inlineStr">
        <is>
          <t>Low</t>
        </is>
      </c>
      <c r="O145" t="n">
        <v>1</v>
      </c>
    </row>
    <row r="146">
      <c r="A146" t="inlineStr">
        <is>
          <t>Apr-2019_LF05_LARGE</t>
        </is>
      </c>
      <c r="B146" t="inlineStr">
        <is>
          <t>19/2021-CT</t>
        </is>
      </c>
      <c r="C146" t="inlineStr">
        <is>
          <t>01-06-2021</t>
        </is>
      </c>
      <c r="D146" t="inlineStr">
        <is>
          <t>Amnesty</t>
        </is>
      </c>
      <c r="E146" t="inlineStr">
        <is>
          <t>Apr-2019</t>
        </is>
      </c>
      <c r="F146" t="inlineStr">
        <is>
          <t>Apr-2019</t>
        </is>
      </c>
      <c r="G146" t="inlineStr">
        <is>
          <t>01-06-2021</t>
        </is>
      </c>
      <c r="H146" t="inlineStr">
        <is>
          <t>31-08-2021</t>
        </is>
      </c>
      <c r="I146" t="inlineStr">
        <is>
          <t>NON-NIL</t>
        </is>
      </c>
      <c r="J146" t="inlineStr">
        <is>
          <t>&gt;5Cr</t>
        </is>
      </c>
      <c r="K146" t="n">
        <v>5000</v>
      </c>
      <c r="L146" t="inlineStr">
        <is>
          <t>Cap</t>
        </is>
      </c>
      <c r="M146" t="inlineStr">
        <is>
          <t>Late fee capped at ₹5,000 under Notification 19/2021-CT.</t>
        </is>
      </c>
      <c r="N146" t="inlineStr">
        <is>
          <t>Low</t>
        </is>
      </c>
      <c r="O146" t="n">
        <v>1</v>
      </c>
    </row>
    <row r="147">
      <c r="A147" t="inlineStr">
        <is>
          <t>Apr-2019_LF06_NIL</t>
        </is>
      </c>
      <c r="B147" t="inlineStr">
        <is>
          <t>33/2021-CT</t>
        </is>
      </c>
      <c r="C147" t="inlineStr">
        <is>
          <t>29-08-2021</t>
        </is>
      </c>
      <c r="D147" t="inlineStr">
        <is>
          <t>Amnesty</t>
        </is>
      </c>
      <c r="E147" t="inlineStr">
        <is>
          <t>Apr-2019</t>
        </is>
      </c>
      <c r="F147" t="inlineStr">
        <is>
          <t>Apr-2019</t>
        </is>
      </c>
      <c r="G147" t="inlineStr">
        <is>
          <t>01-09-2021</t>
        </is>
      </c>
      <c r="H147" t="inlineStr">
        <is>
          <t>30-11-2021</t>
        </is>
      </c>
      <c r="I147" t="inlineStr">
        <is>
          <t>NIL</t>
        </is>
      </c>
      <c r="J147" t="inlineStr">
        <is>
          <t>ALL</t>
        </is>
      </c>
      <c r="K147" t="n">
        <v>500</v>
      </c>
      <c r="L147" t="inlineStr">
        <is>
          <t>Cap</t>
        </is>
      </c>
      <c r="M147" t="inlineStr">
        <is>
          <t>Late fee capped at ₹500 under extended amnesty (33/2021-CT).</t>
        </is>
      </c>
      <c r="N147" t="inlineStr">
        <is>
          <t>Low</t>
        </is>
      </c>
      <c r="O147" t="n">
        <v>1</v>
      </c>
    </row>
    <row r="148">
      <c r="A148" t="inlineStr">
        <is>
          <t>Apr-2019_LF06_SMALL</t>
        </is>
      </c>
      <c r="B148" t="inlineStr">
        <is>
          <t>33/2021-CT</t>
        </is>
      </c>
      <c r="C148" t="inlineStr">
        <is>
          <t>29-08-2021</t>
        </is>
      </c>
      <c r="D148" t="inlineStr">
        <is>
          <t>Amnesty</t>
        </is>
      </c>
      <c r="E148" t="inlineStr">
        <is>
          <t>Apr-2019</t>
        </is>
      </c>
      <c r="F148" t="inlineStr">
        <is>
          <t>Apr-2019</t>
        </is>
      </c>
      <c r="G148" t="inlineStr">
        <is>
          <t>01-09-2021</t>
        </is>
      </c>
      <c r="H148" t="inlineStr">
        <is>
          <t>30-11-2021</t>
        </is>
      </c>
      <c r="I148" t="inlineStr">
        <is>
          <t>NON-NIL</t>
        </is>
      </c>
      <c r="J148" t="inlineStr">
        <is>
          <t>≤5Cr</t>
        </is>
      </c>
      <c r="K148" t="n">
        <v>2000</v>
      </c>
      <c r="L148" t="inlineStr">
        <is>
          <t>Cap</t>
        </is>
      </c>
      <c r="M148" t="inlineStr">
        <is>
          <t>Late fee capped at ₹2,000 under extended amnesty (33/2021-CT).</t>
        </is>
      </c>
      <c r="N148" t="inlineStr">
        <is>
          <t>Low</t>
        </is>
      </c>
      <c r="O148" t="n">
        <v>1</v>
      </c>
    </row>
    <row r="149">
      <c r="A149" t="inlineStr">
        <is>
          <t>Apr-2019_LF06_LARGE</t>
        </is>
      </c>
      <c r="B149" t="inlineStr">
        <is>
          <t>33/2021-CT</t>
        </is>
      </c>
      <c r="C149" t="inlineStr">
        <is>
          <t>29-08-2021</t>
        </is>
      </c>
      <c r="D149" t="inlineStr">
        <is>
          <t>Amnesty</t>
        </is>
      </c>
      <c r="E149" t="inlineStr">
        <is>
          <t>Apr-2019</t>
        </is>
      </c>
      <c r="F149" t="inlineStr">
        <is>
          <t>Apr-2019</t>
        </is>
      </c>
      <c r="G149" t="inlineStr">
        <is>
          <t>01-09-2021</t>
        </is>
      </c>
      <c r="H149" t="inlineStr">
        <is>
          <t>30-11-2021</t>
        </is>
      </c>
      <c r="I149" t="inlineStr">
        <is>
          <t>NON-NIL</t>
        </is>
      </c>
      <c r="J149" t="inlineStr">
        <is>
          <t>&gt;5Cr</t>
        </is>
      </c>
      <c r="K149" t="n">
        <v>5000</v>
      </c>
      <c r="L149" t="inlineStr">
        <is>
          <t>Cap</t>
        </is>
      </c>
      <c r="M149" t="inlineStr">
        <is>
          <t>Late fee capped at ₹5,000 under extended amnesty (33/2021-CT).</t>
        </is>
      </c>
      <c r="N149" t="inlineStr">
        <is>
          <t>Low</t>
        </is>
      </c>
      <c r="O149" t="n">
        <v>1</v>
      </c>
    </row>
    <row r="150">
      <c r="A150" t="inlineStr">
        <is>
          <t>May-2019_LF05_NIL</t>
        </is>
      </c>
      <c r="B150" t="inlineStr">
        <is>
          <t>19/2021-CT</t>
        </is>
      </c>
      <c r="C150" t="inlineStr">
        <is>
          <t>01-06-2021</t>
        </is>
      </c>
      <c r="D150" t="inlineStr">
        <is>
          <t>Amnesty</t>
        </is>
      </c>
      <c r="E150" t="inlineStr">
        <is>
          <t>May-2019</t>
        </is>
      </c>
      <c r="F150" t="inlineStr">
        <is>
          <t>May-2019</t>
        </is>
      </c>
      <c r="G150" t="inlineStr">
        <is>
          <t>01-06-2021</t>
        </is>
      </c>
      <c r="H150" t="inlineStr">
        <is>
          <t>31-08-2021</t>
        </is>
      </c>
      <c r="I150" t="inlineStr">
        <is>
          <t>NIL</t>
        </is>
      </c>
      <c r="J150" t="inlineStr">
        <is>
          <t>ALL</t>
        </is>
      </c>
      <c r="K150" t="n">
        <v>500</v>
      </c>
      <c r="L150" t="inlineStr">
        <is>
          <t>Cap</t>
        </is>
      </c>
      <c r="M150" t="inlineStr">
        <is>
          <t>Late fee capped at ₹500 under Notification 19/2021-CT.</t>
        </is>
      </c>
      <c r="N150" t="inlineStr">
        <is>
          <t>Low</t>
        </is>
      </c>
      <c r="O150" t="n">
        <v>1</v>
      </c>
    </row>
    <row r="151">
      <c r="A151" t="inlineStr">
        <is>
          <t>May-2019_LF05_SMALL</t>
        </is>
      </c>
      <c r="B151" t="inlineStr">
        <is>
          <t>19/2021-CT</t>
        </is>
      </c>
      <c r="C151" t="inlineStr">
        <is>
          <t>01-06-2021</t>
        </is>
      </c>
      <c r="D151" t="inlineStr">
        <is>
          <t>Amnesty</t>
        </is>
      </c>
      <c r="E151" t="inlineStr">
        <is>
          <t>May-2019</t>
        </is>
      </c>
      <c r="F151" t="inlineStr">
        <is>
          <t>May-2019</t>
        </is>
      </c>
      <c r="G151" t="inlineStr">
        <is>
          <t>01-06-2021</t>
        </is>
      </c>
      <c r="H151" t="inlineStr">
        <is>
          <t>31-08-2021</t>
        </is>
      </c>
      <c r="I151" t="inlineStr">
        <is>
          <t>NON-NIL</t>
        </is>
      </c>
      <c r="J151" t="inlineStr">
        <is>
          <t>≤5Cr</t>
        </is>
      </c>
      <c r="K151" t="n">
        <v>2000</v>
      </c>
      <c r="L151" t="inlineStr">
        <is>
          <t>Cap</t>
        </is>
      </c>
      <c r="M151" t="inlineStr">
        <is>
          <t>Late fee capped at ₹2,000 under Notification 19/2021-CT.</t>
        </is>
      </c>
      <c r="N151" t="inlineStr">
        <is>
          <t>Low</t>
        </is>
      </c>
      <c r="O151" t="n">
        <v>1</v>
      </c>
    </row>
    <row r="152">
      <c r="A152" t="inlineStr">
        <is>
          <t>May-2019_LF05_LARGE</t>
        </is>
      </c>
      <c r="B152" t="inlineStr">
        <is>
          <t>19/2021-CT</t>
        </is>
      </c>
      <c r="C152" t="inlineStr">
        <is>
          <t>01-06-2021</t>
        </is>
      </c>
      <c r="D152" t="inlineStr">
        <is>
          <t>Amnesty</t>
        </is>
      </c>
      <c r="E152" t="inlineStr">
        <is>
          <t>May-2019</t>
        </is>
      </c>
      <c r="F152" t="inlineStr">
        <is>
          <t>May-2019</t>
        </is>
      </c>
      <c r="G152" t="inlineStr">
        <is>
          <t>01-06-2021</t>
        </is>
      </c>
      <c r="H152" t="inlineStr">
        <is>
          <t>31-08-2021</t>
        </is>
      </c>
      <c r="I152" t="inlineStr">
        <is>
          <t>NON-NIL</t>
        </is>
      </c>
      <c r="J152" t="inlineStr">
        <is>
          <t>&gt;5Cr</t>
        </is>
      </c>
      <c r="K152" t="n">
        <v>5000</v>
      </c>
      <c r="L152" t="inlineStr">
        <is>
          <t>Cap</t>
        </is>
      </c>
      <c r="M152" t="inlineStr">
        <is>
          <t>Late fee capped at ₹5,000 under Notification 19/2021-CT.</t>
        </is>
      </c>
      <c r="N152" t="inlineStr">
        <is>
          <t>Low</t>
        </is>
      </c>
      <c r="O152" t="n">
        <v>1</v>
      </c>
    </row>
    <row r="153">
      <c r="A153" t="inlineStr">
        <is>
          <t>May-2019_LF06_NIL</t>
        </is>
      </c>
      <c r="B153" t="inlineStr">
        <is>
          <t>33/2021-CT</t>
        </is>
      </c>
      <c r="C153" t="inlineStr">
        <is>
          <t>29-08-2021</t>
        </is>
      </c>
      <c r="D153" t="inlineStr">
        <is>
          <t>Amnesty</t>
        </is>
      </c>
      <c r="E153" t="inlineStr">
        <is>
          <t>May-2019</t>
        </is>
      </c>
      <c r="F153" t="inlineStr">
        <is>
          <t>May-2019</t>
        </is>
      </c>
      <c r="G153" t="inlineStr">
        <is>
          <t>01-09-2021</t>
        </is>
      </c>
      <c r="H153" t="inlineStr">
        <is>
          <t>30-11-2021</t>
        </is>
      </c>
      <c r="I153" t="inlineStr">
        <is>
          <t>NIL</t>
        </is>
      </c>
      <c r="J153" t="inlineStr">
        <is>
          <t>ALL</t>
        </is>
      </c>
      <c r="K153" t="n">
        <v>500</v>
      </c>
      <c r="L153" t="inlineStr">
        <is>
          <t>Cap</t>
        </is>
      </c>
      <c r="M153" t="inlineStr">
        <is>
          <t>Late fee capped at ₹500 under extended amnesty (33/2021-CT).</t>
        </is>
      </c>
      <c r="N153" t="inlineStr">
        <is>
          <t>Low</t>
        </is>
      </c>
      <c r="O153" t="n">
        <v>1</v>
      </c>
    </row>
    <row r="154">
      <c r="A154" t="inlineStr">
        <is>
          <t>May-2019_LF06_SMALL</t>
        </is>
      </c>
      <c r="B154" t="inlineStr">
        <is>
          <t>33/2021-CT</t>
        </is>
      </c>
      <c r="C154" t="inlineStr">
        <is>
          <t>29-08-2021</t>
        </is>
      </c>
      <c r="D154" t="inlineStr">
        <is>
          <t>Amnesty</t>
        </is>
      </c>
      <c r="E154" t="inlineStr">
        <is>
          <t>May-2019</t>
        </is>
      </c>
      <c r="F154" t="inlineStr">
        <is>
          <t>May-2019</t>
        </is>
      </c>
      <c r="G154" t="inlineStr">
        <is>
          <t>01-09-2021</t>
        </is>
      </c>
      <c r="H154" t="inlineStr">
        <is>
          <t>30-11-2021</t>
        </is>
      </c>
      <c r="I154" t="inlineStr">
        <is>
          <t>NON-NIL</t>
        </is>
      </c>
      <c r="J154" t="inlineStr">
        <is>
          <t>≤5Cr</t>
        </is>
      </c>
      <c r="K154" t="n">
        <v>2000</v>
      </c>
      <c r="L154" t="inlineStr">
        <is>
          <t>Cap</t>
        </is>
      </c>
      <c r="M154" t="inlineStr">
        <is>
          <t>Late fee capped at ₹2,000 under extended amnesty (33/2021-CT).</t>
        </is>
      </c>
      <c r="N154" t="inlineStr">
        <is>
          <t>Low</t>
        </is>
      </c>
      <c r="O154" t="n">
        <v>1</v>
      </c>
    </row>
    <row r="155">
      <c r="A155" t="inlineStr">
        <is>
          <t>May-2019_LF06_LARGE</t>
        </is>
      </c>
      <c r="B155" t="inlineStr">
        <is>
          <t>33/2021-CT</t>
        </is>
      </c>
      <c r="C155" t="inlineStr">
        <is>
          <t>29-08-2021</t>
        </is>
      </c>
      <c r="D155" t="inlineStr">
        <is>
          <t>Amnesty</t>
        </is>
      </c>
      <c r="E155" t="inlineStr">
        <is>
          <t>May-2019</t>
        </is>
      </c>
      <c r="F155" t="inlineStr">
        <is>
          <t>May-2019</t>
        </is>
      </c>
      <c r="G155" t="inlineStr">
        <is>
          <t>01-09-2021</t>
        </is>
      </c>
      <c r="H155" t="inlineStr">
        <is>
          <t>30-11-2021</t>
        </is>
      </c>
      <c r="I155" t="inlineStr">
        <is>
          <t>NON-NIL</t>
        </is>
      </c>
      <c r="J155" t="inlineStr">
        <is>
          <t>&gt;5Cr</t>
        </is>
      </c>
      <c r="K155" t="n">
        <v>5000</v>
      </c>
      <c r="L155" t="inlineStr">
        <is>
          <t>Cap</t>
        </is>
      </c>
      <c r="M155" t="inlineStr">
        <is>
          <t>Late fee capped at ₹5,000 under extended amnesty (33/2021-CT).</t>
        </is>
      </c>
      <c r="N155" t="inlineStr">
        <is>
          <t>Low</t>
        </is>
      </c>
      <c r="O155" t="n">
        <v>1</v>
      </c>
    </row>
    <row r="156">
      <c r="A156" t="inlineStr">
        <is>
          <t>Jun-2019_LF05_NIL</t>
        </is>
      </c>
      <c r="B156" t="inlineStr">
        <is>
          <t>19/2021-CT</t>
        </is>
      </c>
      <c r="C156" t="inlineStr">
        <is>
          <t>01-06-2021</t>
        </is>
      </c>
      <c r="D156" t="inlineStr">
        <is>
          <t>Amnesty</t>
        </is>
      </c>
      <c r="E156" t="inlineStr">
        <is>
          <t>Jun-2019</t>
        </is>
      </c>
      <c r="F156" t="inlineStr">
        <is>
          <t>Jun-2019</t>
        </is>
      </c>
      <c r="G156" t="inlineStr">
        <is>
          <t>01-06-2021</t>
        </is>
      </c>
      <c r="H156" t="inlineStr">
        <is>
          <t>31-08-2021</t>
        </is>
      </c>
      <c r="I156" t="inlineStr">
        <is>
          <t>NIL</t>
        </is>
      </c>
      <c r="J156" t="inlineStr">
        <is>
          <t>ALL</t>
        </is>
      </c>
      <c r="K156" t="n">
        <v>500</v>
      </c>
      <c r="L156" t="inlineStr">
        <is>
          <t>Cap</t>
        </is>
      </c>
      <c r="M156" t="inlineStr">
        <is>
          <t>Late fee capped at ₹500 under Notification 19/2021-CT.</t>
        </is>
      </c>
      <c r="N156" t="inlineStr">
        <is>
          <t>Low</t>
        </is>
      </c>
      <c r="O156" t="n">
        <v>1</v>
      </c>
    </row>
    <row r="157">
      <c r="A157" t="inlineStr">
        <is>
          <t>Jun-2019_LF05_SMALL</t>
        </is>
      </c>
      <c r="B157" t="inlineStr">
        <is>
          <t>19/2021-CT</t>
        </is>
      </c>
      <c r="C157" t="inlineStr">
        <is>
          <t>01-06-2021</t>
        </is>
      </c>
      <c r="D157" t="inlineStr">
        <is>
          <t>Amnesty</t>
        </is>
      </c>
      <c r="E157" t="inlineStr">
        <is>
          <t>Jun-2019</t>
        </is>
      </c>
      <c r="F157" t="inlineStr">
        <is>
          <t>Jun-2019</t>
        </is>
      </c>
      <c r="G157" t="inlineStr">
        <is>
          <t>01-06-2021</t>
        </is>
      </c>
      <c r="H157" t="inlineStr">
        <is>
          <t>31-08-2021</t>
        </is>
      </c>
      <c r="I157" t="inlineStr">
        <is>
          <t>NON-NIL</t>
        </is>
      </c>
      <c r="J157" t="inlineStr">
        <is>
          <t>≤5Cr</t>
        </is>
      </c>
      <c r="K157" t="n">
        <v>2000</v>
      </c>
      <c r="L157" t="inlineStr">
        <is>
          <t>Cap</t>
        </is>
      </c>
      <c r="M157" t="inlineStr">
        <is>
          <t>Late fee capped at ₹2,000 under Notification 19/2021-CT.</t>
        </is>
      </c>
      <c r="N157" t="inlineStr">
        <is>
          <t>Low</t>
        </is>
      </c>
      <c r="O157" t="n">
        <v>1</v>
      </c>
    </row>
    <row r="158">
      <c r="A158" t="inlineStr">
        <is>
          <t>Jun-2019_LF05_LARGE</t>
        </is>
      </c>
      <c r="B158" t="inlineStr">
        <is>
          <t>19/2021-CT</t>
        </is>
      </c>
      <c r="C158" t="inlineStr">
        <is>
          <t>01-06-2021</t>
        </is>
      </c>
      <c r="D158" t="inlineStr">
        <is>
          <t>Amnesty</t>
        </is>
      </c>
      <c r="E158" t="inlineStr">
        <is>
          <t>Jun-2019</t>
        </is>
      </c>
      <c r="F158" t="inlineStr">
        <is>
          <t>Jun-2019</t>
        </is>
      </c>
      <c r="G158" t="inlineStr">
        <is>
          <t>01-06-2021</t>
        </is>
      </c>
      <c r="H158" t="inlineStr">
        <is>
          <t>31-08-2021</t>
        </is>
      </c>
      <c r="I158" t="inlineStr">
        <is>
          <t>NON-NIL</t>
        </is>
      </c>
      <c r="J158" t="inlineStr">
        <is>
          <t>&gt;5Cr</t>
        </is>
      </c>
      <c r="K158" t="n">
        <v>5000</v>
      </c>
      <c r="L158" t="inlineStr">
        <is>
          <t>Cap</t>
        </is>
      </c>
      <c r="M158" t="inlineStr">
        <is>
          <t>Late fee capped at ₹5,000 under Notification 19/2021-CT.</t>
        </is>
      </c>
      <c r="N158" t="inlineStr">
        <is>
          <t>Low</t>
        </is>
      </c>
      <c r="O158" t="n">
        <v>1</v>
      </c>
    </row>
    <row r="159">
      <c r="A159" t="inlineStr">
        <is>
          <t>Jun-2019_LF06_NIL</t>
        </is>
      </c>
      <c r="B159" t="inlineStr">
        <is>
          <t>33/2021-CT</t>
        </is>
      </c>
      <c r="C159" t="inlineStr">
        <is>
          <t>29-08-2021</t>
        </is>
      </c>
      <c r="D159" t="inlineStr">
        <is>
          <t>Amnesty</t>
        </is>
      </c>
      <c r="E159" t="inlineStr">
        <is>
          <t>Jun-2019</t>
        </is>
      </c>
      <c r="F159" t="inlineStr">
        <is>
          <t>Jun-2019</t>
        </is>
      </c>
      <c r="G159" t="inlineStr">
        <is>
          <t>01-09-2021</t>
        </is>
      </c>
      <c r="H159" t="inlineStr">
        <is>
          <t>30-11-2021</t>
        </is>
      </c>
      <c r="I159" t="inlineStr">
        <is>
          <t>NIL</t>
        </is>
      </c>
      <c r="J159" t="inlineStr">
        <is>
          <t>ALL</t>
        </is>
      </c>
      <c r="K159" t="n">
        <v>500</v>
      </c>
      <c r="L159" t="inlineStr">
        <is>
          <t>Cap</t>
        </is>
      </c>
      <c r="M159" t="inlineStr">
        <is>
          <t>Late fee capped at ₹500 under extended amnesty (33/2021-CT).</t>
        </is>
      </c>
      <c r="N159" t="inlineStr">
        <is>
          <t>Low</t>
        </is>
      </c>
      <c r="O159" t="n">
        <v>1</v>
      </c>
    </row>
    <row r="160">
      <c r="A160" t="inlineStr">
        <is>
          <t>Jun-2019_LF06_SMALL</t>
        </is>
      </c>
      <c r="B160" t="inlineStr">
        <is>
          <t>33/2021-CT</t>
        </is>
      </c>
      <c r="C160" t="inlineStr">
        <is>
          <t>29-08-2021</t>
        </is>
      </c>
      <c r="D160" t="inlineStr">
        <is>
          <t>Amnesty</t>
        </is>
      </c>
      <c r="E160" t="inlineStr">
        <is>
          <t>Jun-2019</t>
        </is>
      </c>
      <c r="F160" t="inlineStr">
        <is>
          <t>Jun-2019</t>
        </is>
      </c>
      <c r="G160" t="inlineStr">
        <is>
          <t>01-09-2021</t>
        </is>
      </c>
      <c r="H160" t="inlineStr">
        <is>
          <t>30-11-2021</t>
        </is>
      </c>
      <c r="I160" t="inlineStr">
        <is>
          <t>NON-NIL</t>
        </is>
      </c>
      <c r="J160" t="inlineStr">
        <is>
          <t>≤5Cr</t>
        </is>
      </c>
      <c r="K160" t="n">
        <v>2000</v>
      </c>
      <c r="L160" t="inlineStr">
        <is>
          <t>Cap</t>
        </is>
      </c>
      <c r="M160" t="inlineStr">
        <is>
          <t>Late fee capped at ₹2,000 under extended amnesty (33/2021-CT).</t>
        </is>
      </c>
      <c r="N160" t="inlineStr">
        <is>
          <t>Low</t>
        </is>
      </c>
      <c r="O160" t="n">
        <v>1</v>
      </c>
    </row>
    <row r="161">
      <c r="A161" t="inlineStr">
        <is>
          <t>Jun-2019_LF06_LARGE</t>
        </is>
      </c>
      <c r="B161" t="inlineStr">
        <is>
          <t>33/2021-CT</t>
        </is>
      </c>
      <c r="C161" t="inlineStr">
        <is>
          <t>29-08-2021</t>
        </is>
      </c>
      <c r="D161" t="inlineStr">
        <is>
          <t>Amnesty</t>
        </is>
      </c>
      <c r="E161" t="inlineStr">
        <is>
          <t>Jun-2019</t>
        </is>
      </c>
      <c r="F161" t="inlineStr">
        <is>
          <t>Jun-2019</t>
        </is>
      </c>
      <c r="G161" t="inlineStr">
        <is>
          <t>01-09-2021</t>
        </is>
      </c>
      <c r="H161" t="inlineStr">
        <is>
          <t>30-11-2021</t>
        </is>
      </c>
      <c r="I161" t="inlineStr">
        <is>
          <t>NON-NIL</t>
        </is>
      </c>
      <c r="J161" t="inlineStr">
        <is>
          <t>&gt;5Cr</t>
        </is>
      </c>
      <c r="K161" t="n">
        <v>5000</v>
      </c>
      <c r="L161" t="inlineStr">
        <is>
          <t>Cap</t>
        </is>
      </c>
      <c r="M161" t="inlineStr">
        <is>
          <t>Late fee capped at ₹5,000 under extended amnesty (33/2021-CT).</t>
        </is>
      </c>
      <c r="N161" t="inlineStr">
        <is>
          <t>Low</t>
        </is>
      </c>
      <c r="O161" t="n">
        <v>1</v>
      </c>
    </row>
    <row r="162">
      <c r="A162" t="inlineStr">
        <is>
          <t>Jul-2019_LF05_NIL</t>
        </is>
      </c>
      <c r="B162" t="inlineStr">
        <is>
          <t>19/2021-CT</t>
        </is>
      </c>
      <c r="C162" t="inlineStr">
        <is>
          <t>01-06-2021</t>
        </is>
      </c>
      <c r="D162" t="inlineStr">
        <is>
          <t>Amnesty</t>
        </is>
      </c>
      <c r="E162" t="inlineStr">
        <is>
          <t>Jul-2019</t>
        </is>
      </c>
      <c r="F162" t="inlineStr">
        <is>
          <t>Jul-2019</t>
        </is>
      </c>
      <c r="G162" t="inlineStr">
        <is>
          <t>01-06-2021</t>
        </is>
      </c>
      <c r="H162" t="inlineStr">
        <is>
          <t>31-08-2021</t>
        </is>
      </c>
      <c r="I162" t="inlineStr">
        <is>
          <t>NIL</t>
        </is>
      </c>
      <c r="J162" t="inlineStr">
        <is>
          <t>ALL</t>
        </is>
      </c>
      <c r="K162" t="n">
        <v>500</v>
      </c>
      <c r="L162" t="inlineStr">
        <is>
          <t>Cap</t>
        </is>
      </c>
      <c r="M162" t="inlineStr">
        <is>
          <t>Late fee capped at ₹500 under Notification 19/2021-CT.</t>
        </is>
      </c>
      <c r="N162" t="inlineStr">
        <is>
          <t>Low</t>
        </is>
      </c>
      <c r="O162" t="n">
        <v>1</v>
      </c>
    </row>
    <row r="163">
      <c r="A163" t="inlineStr">
        <is>
          <t>Jul-2019_LF05_SMALL</t>
        </is>
      </c>
      <c r="B163" t="inlineStr">
        <is>
          <t>19/2021-CT</t>
        </is>
      </c>
      <c r="C163" t="inlineStr">
        <is>
          <t>01-06-2021</t>
        </is>
      </c>
      <c r="D163" t="inlineStr">
        <is>
          <t>Amnesty</t>
        </is>
      </c>
      <c r="E163" t="inlineStr">
        <is>
          <t>Jul-2019</t>
        </is>
      </c>
      <c r="F163" t="inlineStr">
        <is>
          <t>Jul-2019</t>
        </is>
      </c>
      <c r="G163" t="inlineStr">
        <is>
          <t>01-06-2021</t>
        </is>
      </c>
      <c r="H163" t="inlineStr">
        <is>
          <t>31-08-2021</t>
        </is>
      </c>
      <c r="I163" t="inlineStr">
        <is>
          <t>NON-NIL</t>
        </is>
      </c>
      <c r="J163" t="inlineStr">
        <is>
          <t>≤5Cr</t>
        </is>
      </c>
      <c r="K163" t="n">
        <v>2000</v>
      </c>
      <c r="L163" t="inlineStr">
        <is>
          <t>Cap</t>
        </is>
      </c>
      <c r="M163" t="inlineStr">
        <is>
          <t>Late fee capped at ₹2,000 under Notification 19/2021-CT.</t>
        </is>
      </c>
      <c r="N163" t="inlineStr">
        <is>
          <t>Low</t>
        </is>
      </c>
      <c r="O163" t="n">
        <v>1</v>
      </c>
    </row>
    <row r="164">
      <c r="A164" t="inlineStr">
        <is>
          <t>Jul-2019_LF05_LARGE</t>
        </is>
      </c>
      <c r="B164" t="inlineStr">
        <is>
          <t>19/2021-CT</t>
        </is>
      </c>
      <c r="C164" t="inlineStr">
        <is>
          <t>01-06-2021</t>
        </is>
      </c>
      <c r="D164" t="inlineStr">
        <is>
          <t>Amnesty</t>
        </is>
      </c>
      <c r="E164" t="inlineStr">
        <is>
          <t>Jul-2019</t>
        </is>
      </c>
      <c r="F164" t="inlineStr">
        <is>
          <t>Jul-2019</t>
        </is>
      </c>
      <c r="G164" t="inlineStr">
        <is>
          <t>01-06-2021</t>
        </is>
      </c>
      <c r="H164" t="inlineStr">
        <is>
          <t>31-08-2021</t>
        </is>
      </c>
      <c r="I164" t="inlineStr">
        <is>
          <t>NON-NIL</t>
        </is>
      </c>
      <c r="J164" t="inlineStr">
        <is>
          <t>&gt;5Cr</t>
        </is>
      </c>
      <c r="K164" t="n">
        <v>5000</v>
      </c>
      <c r="L164" t="inlineStr">
        <is>
          <t>Cap</t>
        </is>
      </c>
      <c r="M164" t="inlineStr">
        <is>
          <t>Late fee capped at ₹5,000 under Notification 19/2021-CT.</t>
        </is>
      </c>
      <c r="N164" t="inlineStr">
        <is>
          <t>Low</t>
        </is>
      </c>
      <c r="O164" t="n">
        <v>1</v>
      </c>
    </row>
    <row r="165">
      <c r="A165" t="inlineStr">
        <is>
          <t>Jul-2019_LF06_NIL</t>
        </is>
      </c>
      <c r="B165" t="inlineStr">
        <is>
          <t>33/2021-CT</t>
        </is>
      </c>
      <c r="C165" t="inlineStr">
        <is>
          <t>29-08-2021</t>
        </is>
      </c>
      <c r="D165" t="inlineStr">
        <is>
          <t>Amnesty</t>
        </is>
      </c>
      <c r="E165" t="inlineStr">
        <is>
          <t>Jul-2019</t>
        </is>
      </c>
      <c r="F165" t="inlineStr">
        <is>
          <t>Jul-2019</t>
        </is>
      </c>
      <c r="G165" t="inlineStr">
        <is>
          <t>01-09-2021</t>
        </is>
      </c>
      <c r="H165" t="inlineStr">
        <is>
          <t>30-11-2021</t>
        </is>
      </c>
      <c r="I165" t="inlineStr">
        <is>
          <t>NIL</t>
        </is>
      </c>
      <c r="J165" t="inlineStr">
        <is>
          <t>ALL</t>
        </is>
      </c>
      <c r="K165" t="n">
        <v>500</v>
      </c>
      <c r="L165" t="inlineStr">
        <is>
          <t>Cap</t>
        </is>
      </c>
      <c r="M165" t="inlineStr">
        <is>
          <t>Late fee capped at ₹500 under extended amnesty (33/2021-CT).</t>
        </is>
      </c>
      <c r="N165" t="inlineStr">
        <is>
          <t>Low</t>
        </is>
      </c>
      <c r="O165" t="n">
        <v>1</v>
      </c>
    </row>
    <row r="166">
      <c r="A166" t="inlineStr">
        <is>
          <t>Jul-2019_LF06_SMALL</t>
        </is>
      </c>
      <c r="B166" t="inlineStr">
        <is>
          <t>33/2021-CT</t>
        </is>
      </c>
      <c r="C166" t="inlineStr">
        <is>
          <t>29-08-2021</t>
        </is>
      </c>
      <c r="D166" t="inlineStr">
        <is>
          <t>Amnesty</t>
        </is>
      </c>
      <c r="E166" t="inlineStr">
        <is>
          <t>Jul-2019</t>
        </is>
      </c>
      <c r="F166" t="inlineStr">
        <is>
          <t>Jul-2019</t>
        </is>
      </c>
      <c r="G166" t="inlineStr">
        <is>
          <t>01-09-2021</t>
        </is>
      </c>
      <c r="H166" t="inlineStr">
        <is>
          <t>30-11-2021</t>
        </is>
      </c>
      <c r="I166" t="inlineStr">
        <is>
          <t>NON-NIL</t>
        </is>
      </c>
      <c r="J166" t="inlineStr">
        <is>
          <t>≤5Cr</t>
        </is>
      </c>
      <c r="K166" t="n">
        <v>2000</v>
      </c>
      <c r="L166" t="inlineStr">
        <is>
          <t>Cap</t>
        </is>
      </c>
      <c r="M166" t="inlineStr">
        <is>
          <t>Late fee capped at ₹2,000 under extended amnesty (33/2021-CT).</t>
        </is>
      </c>
      <c r="N166" t="inlineStr">
        <is>
          <t>Low</t>
        </is>
      </c>
      <c r="O166" t="n">
        <v>1</v>
      </c>
    </row>
    <row r="167">
      <c r="A167" t="inlineStr">
        <is>
          <t>Jul-2019_LF06_LARGE</t>
        </is>
      </c>
      <c r="B167" t="inlineStr">
        <is>
          <t>33/2021-CT</t>
        </is>
      </c>
      <c r="C167" t="inlineStr">
        <is>
          <t>29-08-2021</t>
        </is>
      </c>
      <c r="D167" t="inlineStr">
        <is>
          <t>Amnesty</t>
        </is>
      </c>
      <c r="E167" t="inlineStr">
        <is>
          <t>Jul-2019</t>
        </is>
      </c>
      <c r="F167" t="inlineStr">
        <is>
          <t>Jul-2019</t>
        </is>
      </c>
      <c r="G167" t="inlineStr">
        <is>
          <t>01-09-2021</t>
        </is>
      </c>
      <c r="H167" t="inlineStr">
        <is>
          <t>30-11-2021</t>
        </is>
      </c>
      <c r="I167" t="inlineStr">
        <is>
          <t>NON-NIL</t>
        </is>
      </c>
      <c r="J167" t="inlineStr">
        <is>
          <t>&gt;5Cr</t>
        </is>
      </c>
      <c r="K167" t="n">
        <v>5000</v>
      </c>
      <c r="L167" t="inlineStr">
        <is>
          <t>Cap</t>
        </is>
      </c>
      <c r="M167" t="inlineStr">
        <is>
          <t>Late fee capped at ₹5,000 under extended amnesty (33/2021-CT).</t>
        </is>
      </c>
      <c r="N167" t="inlineStr">
        <is>
          <t>Low</t>
        </is>
      </c>
      <c r="O167" t="n">
        <v>1</v>
      </c>
    </row>
    <row r="168">
      <c r="A168" t="inlineStr">
        <is>
          <t>Aug-2019_LF05_NIL</t>
        </is>
      </c>
      <c r="B168" t="inlineStr">
        <is>
          <t>19/2021-CT</t>
        </is>
      </c>
      <c r="C168" t="inlineStr">
        <is>
          <t>01-06-2021</t>
        </is>
      </c>
      <c r="D168" t="inlineStr">
        <is>
          <t>Amnesty</t>
        </is>
      </c>
      <c r="E168" t="inlineStr">
        <is>
          <t>Aug-2019</t>
        </is>
      </c>
      <c r="F168" t="inlineStr">
        <is>
          <t>Aug-2019</t>
        </is>
      </c>
      <c r="G168" t="inlineStr">
        <is>
          <t>01-06-2021</t>
        </is>
      </c>
      <c r="H168" t="inlineStr">
        <is>
          <t>31-08-2021</t>
        </is>
      </c>
      <c r="I168" t="inlineStr">
        <is>
          <t>NIL</t>
        </is>
      </c>
      <c r="J168" t="inlineStr">
        <is>
          <t>ALL</t>
        </is>
      </c>
      <c r="K168" t="n">
        <v>500</v>
      </c>
      <c r="L168" t="inlineStr">
        <is>
          <t>Cap</t>
        </is>
      </c>
      <c r="M168" t="inlineStr">
        <is>
          <t>Late fee capped at ₹500 under Notification 19/2021-CT.</t>
        </is>
      </c>
      <c r="N168" t="inlineStr">
        <is>
          <t>Low</t>
        </is>
      </c>
      <c r="O168" t="n">
        <v>1</v>
      </c>
    </row>
    <row r="169">
      <c r="A169" t="inlineStr">
        <is>
          <t>Aug-2019_LF05_SMALL</t>
        </is>
      </c>
      <c r="B169" t="inlineStr">
        <is>
          <t>19/2021-CT</t>
        </is>
      </c>
      <c r="C169" t="inlineStr">
        <is>
          <t>01-06-2021</t>
        </is>
      </c>
      <c r="D169" t="inlineStr">
        <is>
          <t>Amnesty</t>
        </is>
      </c>
      <c r="E169" t="inlineStr">
        <is>
          <t>Aug-2019</t>
        </is>
      </c>
      <c r="F169" t="inlineStr">
        <is>
          <t>Aug-2019</t>
        </is>
      </c>
      <c r="G169" t="inlineStr">
        <is>
          <t>01-06-2021</t>
        </is>
      </c>
      <c r="H169" t="inlineStr">
        <is>
          <t>31-08-2021</t>
        </is>
      </c>
      <c r="I169" t="inlineStr">
        <is>
          <t>NON-NIL</t>
        </is>
      </c>
      <c r="J169" t="inlineStr">
        <is>
          <t>≤5Cr</t>
        </is>
      </c>
      <c r="K169" t="n">
        <v>2000</v>
      </c>
      <c r="L169" t="inlineStr">
        <is>
          <t>Cap</t>
        </is>
      </c>
      <c r="M169" t="inlineStr">
        <is>
          <t>Late fee capped at ₹2,000 under Notification 19/2021-CT.</t>
        </is>
      </c>
      <c r="N169" t="inlineStr">
        <is>
          <t>Low</t>
        </is>
      </c>
      <c r="O169" t="n">
        <v>1</v>
      </c>
    </row>
    <row r="170">
      <c r="A170" t="inlineStr">
        <is>
          <t>Aug-2019_LF05_LARGE</t>
        </is>
      </c>
      <c r="B170" t="inlineStr">
        <is>
          <t>19/2021-CT</t>
        </is>
      </c>
      <c r="C170" t="inlineStr">
        <is>
          <t>01-06-2021</t>
        </is>
      </c>
      <c r="D170" t="inlineStr">
        <is>
          <t>Amnesty</t>
        </is>
      </c>
      <c r="E170" t="inlineStr">
        <is>
          <t>Aug-2019</t>
        </is>
      </c>
      <c r="F170" t="inlineStr">
        <is>
          <t>Aug-2019</t>
        </is>
      </c>
      <c r="G170" t="inlineStr">
        <is>
          <t>01-06-2021</t>
        </is>
      </c>
      <c r="H170" t="inlineStr">
        <is>
          <t>31-08-2021</t>
        </is>
      </c>
      <c r="I170" t="inlineStr">
        <is>
          <t>NON-NIL</t>
        </is>
      </c>
      <c r="J170" t="inlineStr">
        <is>
          <t>&gt;5Cr</t>
        </is>
      </c>
      <c r="K170" t="n">
        <v>5000</v>
      </c>
      <c r="L170" t="inlineStr">
        <is>
          <t>Cap</t>
        </is>
      </c>
      <c r="M170" t="inlineStr">
        <is>
          <t>Late fee capped at ₹5,000 under Notification 19/2021-CT.</t>
        </is>
      </c>
      <c r="N170" t="inlineStr">
        <is>
          <t>Low</t>
        </is>
      </c>
      <c r="O170" t="n">
        <v>1</v>
      </c>
    </row>
    <row r="171">
      <c r="A171" t="inlineStr">
        <is>
          <t>Aug-2019_LF06_NIL</t>
        </is>
      </c>
      <c r="B171" t="inlineStr">
        <is>
          <t>33/2021-CT</t>
        </is>
      </c>
      <c r="C171" t="inlineStr">
        <is>
          <t>29-08-2021</t>
        </is>
      </c>
      <c r="D171" t="inlineStr">
        <is>
          <t>Amnesty</t>
        </is>
      </c>
      <c r="E171" t="inlineStr">
        <is>
          <t>Aug-2019</t>
        </is>
      </c>
      <c r="F171" t="inlineStr">
        <is>
          <t>Aug-2019</t>
        </is>
      </c>
      <c r="G171" t="inlineStr">
        <is>
          <t>01-09-2021</t>
        </is>
      </c>
      <c r="H171" t="inlineStr">
        <is>
          <t>30-11-2021</t>
        </is>
      </c>
      <c r="I171" t="inlineStr">
        <is>
          <t>NIL</t>
        </is>
      </c>
      <c r="J171" t="inlineStr">
        <is>
          <t>ALL</t>
        </is>
      </c>
      <c r="K171" t="n">
        <v>500</v>
      </c>
      <c r="L171" t="inlineStr">
        <is>
          <t>Cap</t>
        </is>
      </c>
      <c r="M171" t="inlineStr">
        <is>
          <t>Late fee capped at ₹500 under extended amnesty (33/2021-CT).</t>
        </is>
      </c>
      <c r="N171" t="inlineStr">
        <is>
          <t>Low</t>
        </is>
      </c>
      <c r="O171" t="n">
        <v>1</v>
      </c>
    </row>
    <row r="172">
      <c r="A172" t="inlineStr">
        <is>
          <t>Aug-2019_LF06_SMALL</t>
        </is>
      </c>
      <c r="B172" t="inlineStr">
        <is>
          <t>33/2021-CT</t>
        </is>
      </c>
      <c r="C172" t="inlineStr">
        <is>
          <t>29-08-2021</t>
        </is>
      </c>
      <c r="D172" t="inlineStr">
        <is>
          <t>Amnesty</t>
        </is>
      </c>
      <c r="E172" t="inlineStr">
        <is>
          <t>Aug-2019</t>
        </is>
      </c>
      <c r="F172" t="inlineStr">
        <is>
          <t>Aug-2019</t>
        </is>
      </c>
      <c r="G172" t="inlineStr">
        <is>
          <t>01-09-2021</t>
        </is>
      </c>
      <c r="H172" t="inlineStr">
        <is>
          <t>30-11-2021</t>
        </is>
      </c>
      <c r="I172" t="inlineStr">
        <is>
          <t>NON-NIL</t>
        </is>
      </c>
      <c r="J172" t="inlineStr">
        <is>
          <t>≤5Cr</t>
        </is>
      </c>
      <c r="K172" t="n">
        <v>2000</v>
      </c>
      <c r="L172" t="inlineStr">
        <is>
          <t>Cap</t>
        </is>
      </c>
      <c r="M172" t="inlineStr">
        <is>
          <t>Late fee capped at ₹2,000 under extended amnesty (33/2021-CT).</t>
        </is>
      </c>
      <c r="N172" t="inlineStr">
        <is>
          <t>Low</t>
        </is>
      </c>
      <c r="O172" t="n">
        <v>1</v>
      </c>
    </row>
    <row r="173">
      <c r="A173" t="inlineStr">
        <is>
          <t>Aug-2019_LF06_LARGE</t>
        </is>
      </c>
      <c r="B173" t="inlineStr">
        <is>
          <t>33/2021-CT</t>
        </is>
      </c>
      <c r="C173" t="inlineStr">
        <is>
          <t>29-08-2021</t>
        </is>
      </c>
      <c r="D173" t="inlineStr">
        <is>
          <t>Amnesty</t>
        </is>
      </c>
      <c r="E173" t="inlineStr">
        <is>
          <t>Aug-2019</t>
        </is>
      </c>
      <c r="F173" t="inlineStr">
        <is>
          <t>Aug-2019</t>
        </is>
      </c>
      <c r="G173" t="inlineStr">
        <is>
          <t>01-09-2021</t>
        </is>
      </c>
      <c r="H173" t="inlineStr">
        <is>
          <t>30-11-2021</t>
        </is>
      </c>
      <c r="I173" t="inlineStr">
        <is>
          <t>NON-NIL</t>
        </is>
      </c>
      <c r="J173" t="inlineStr">
        <is>
          <t>&gt;5Cr</t>
        </is>
      </c>
      <c r="K173" t="n">
        <v>5000</v>
      </c>
      <c r="L173" t="inlineStr">
        <is>
          <t>Cap</t>
        </is>
      </c>
      <c r="M173" t="inlineStr">
        <is>
          <t>Late fee capped at ₹5,000 under extended amnesty (33/2021-CT).</t>
        </is>
      </c>
      <c r="N173" t="inlineStr">
        <is>
          <t>Low</t>
        </is>
      </c>
      <c r="O173" t="n">
        <v>1</v>
      </c>
    </row>
    <row r="174">
      <c r="A174" t="inlineStr">
        <is>
          <t>Sep-2019_LF05_NIL</t>
        </is>
      </c>
      <c r="B174" t="inlineStr">
        <is>
          <t>19/2021-CT</t>
        </is>
      </c>
      <c r="C174" t="inlineStr">
        <is>
          <t>01-06-2021</t>
        </is>
      </c>
      <c r="D174" t="inlineStr">
        <is>
          <t>Amnesty</t>
        </is>
      </c>
      <c r="E174" t="inlineStr">
        <is>
          <t>Sep-2019</t>
        </is>
      </c>
      <c r="F174" t="inlineStr">
        <is>
          <t>Sep-2019</t>
        </is>
      </c>
      <c r="G174" t="inlineStr">
        <is>
          <t>01-06-2021</t>
        </is>
      </c>
      <c r="H174" t="inlineStr">
        <is>
          <t>31-08-2021</t>
        </is>
      </c>
      <c r="I174" t="inlineStr">
        <is>
          <t>NIL</t>
        </is>
      </c>
      <c r="J174" t="inlineStr">
        <is>
          <t>ALL</t>
        </is>
      </c>
      <c r="K174" t="n">
        <v>500</v>
      </c>
      <c r="L174" t="inlineStr">
        <is>
          <t>Cap</t>
        </is>
      </c>
      <c r="M174" t="inlineStr">
        <is>
          <t>Late fee capped at ₹500 under Notification 19/2021-CT.</t>
        </is>
      </c>
      <c r="N174" t="inlineStr">
        <is>
          <t>Low</t>
        </is>
      </c>
      <c r="O174" t="n">
        <v>1</v>
      </c>
    </row>
    <row r="175">
      <c r="A175" t="inlineStr">
        <is>
          <t>Sep-2019_LF05_SMALL</t>
        </is>
      </c>
      <c r="B175" t="inlineStr">
        <is>
          <t>19/2021-CT</t>
        </is>
      </c>
      <c r="C175" t="inlineStr">
        <is>
          <t>01-06-2021</t>
        </is>
      </c>
      <c r="D175" t="inlineStr">
        <is>
          <t>Amnesty</t>
        </is>
      </c>
      <c r="E175" t="inlineStr">
        <is>
          <t>Sep-2019</t>
        </is>
      </c>
      <c r="F175" t="inlineStr">
        <is>
          <t>Sep-2019</t>
        </is>
      </c>
      <c r="G175" t="inlineStr">
        <is>
          <t>01-06-2021</t>
        </is>
      </c>
      <c r="H175" t="inlineStr">
        <is>
          <t>31-08-2021</t>
        </is>
      </c>
      <c r="I175" t="inlineStr">
        <is>
          <t>NON-NIL</t>
        </is>
      </c>
      <c r="J175" t="inlineStr">
        <is>
          <t>≤5Cr</t>
        </is>
      </c>
      <c r="K175" t="n">
        <v>2000</v>
      </c>
      <c r="L175" t="inlineStr">
        <is>
          <t>Cap</t>
        </is>
      </c>
      <c r="M175" t="inlineStr">
        <is>
          <t>Late fee capped at ₹2,000 under Notification 19/2021-CT.</t>
        </is>
      </c>
      <c r="N175" t="inlineStr">
        <is>
          <t>Low</t>
        </is>
      </c>
      <c r="O175" t="n">
        <v>1</v>
      </c>
    </row>
    <row r="176">
      <c r="A176" t="inlineStr">
        <is>
          <t>Sep-2019_LF05_LARGE</t>
        </is>
      </c>
      <c r="B176" t="inlineStr">
        <is>
          <t>19/2021-CT</t>
        </is>
      </c>
      <c r="C176" t="inlineStr">
        <is>
          <t>01-06-2021</t>
        </is>
      </c>
      <c r="D176" t="inlineStr">
        <is>
          <t>Amnesty</t>
        </is>
      </c>
      <c r="E176" t="inlineStr">
        <is>
          <t>Sep-2019</t>
        </is>
      </c>
      <c r="F176" t="inlineStr">
        <is>
          <t>Sep-2019</t>
        </is>
      </c>
      <c r="G176" t="inlineStr">
        <is>
          <t>01-06-2021</t>
        </is>
      </c>
      <c r="H176" t="inlineStr">
        <is>
          <t>31-08-2021</t>
        </is>
      </c>
      <c r="I176" t="inlineStr">
        <is>
          <t>NON-NIL</t>
        </is>
      </c>
      <c r="J176" t="inlineStr">
        <is>
          <t>&gt;5Cr</t>
        </is>
      </c>
      <c r="K176" t="n">
        <v>5000</v>
      </c>
      <c r="L176" t="inlineStr">
        <is>
          <t>Cap</t>
        </is>
      </c>
      <c r="M176" t="inlineStr">
        <is>
          <t>Late fee capped at ₹5,000 under Notification 19/2021-CT.</t>
        </is>
      </c>
      <c r="N176" t="inlineStr">
        <is>
          <t>Low</t>
        </is>
      </c>
      <c r="O176" t="n">
        <v>1</v>
      </c>
    </row>
    <row r="177">
      <c r="A177" t="inlineStr">
        <is>
          <t>Sep-2019_LF06_NIL</t>
        </is>
      </c>
      <c r="B177" t="inlineStr">
        <is>
          <t>33/2021-CT</t>
        </is>
      </c>
      <c r="C177" t="inlineStr">
        <is>
          <t>29-08-2021</t>
        </is>
      </c>
      <c r="D177" t="inlineStr">
        <is>
          <t>Amnesty</t>
        </is>
      </c>
      <c r="E177" t="inlineStr">
        <is>
          <t>Sep-2019</t>
        </is>
      </c>
      <c r="F177" t="inlineStr">
        <is>
          <t>Sep-2019</t>
        </is>
      </c>
      <c r="G177" t="inlineStr">
        <is>
          <t>01-09-2021</t>
        </is>
      </c>
      <c r="H177" t="inlineStr">
        <is>
          <t>30-11-2021</t>
        </is>
      </c>
      <c r="I177" t="inlineStr">
        <is>
          <t>NIL</t>
        </is>
      </c>
      <c r="J177" t="inlineStr">
        <is>
          <t>ALL</t>
        </is>
      </c>
      <c r="K177" t="n">
        <v>500</v>
      </c>
      <c r="L177" t="inlineStr">
        <is>
          <t>Cap</t>
        </is>
      </c>
      <c r="M177" t="inlineStr">
        <is>
          <t>Late fee capped at ₹500 under extended amnesty (33/2021-CT).</t>
        </is>
      </c>
      <c r="N177" t="inlineStr">
        <is>
          <t>Low</t>
        </is>
      </c>
      <c r="O177" t="n">
        <v>1</v>
      </c>
    </row>
    <row r="178">
      <c r="A178" t="inlineStr">
        <is>
          <t>Sep-2019_LF06_SMALL</t>
        </is>
      </c>
      <c r="B178" t="inlineStr">
        <is>
          <t>33/2021-CT</t>
        </is>
      </c>
      <c r="C178" t="inlineStr">
        <is>
          <t>29-08-2021</t>
        </is>
      </c>
      <c r="D178" t="inlineStr">
        <is>
          <t>Amnesty</t>
        </is>
      </c>
      <c r="E178" t="inlineStr">
        <is>
          <t>Sep-2019</t>
        </is>
      </c>
      <c r="F178" t="inlineStr">
        <is>
          <t>Sep-2019</t>
        </is>
      </c>
      <c r="G178" t="inlineStr">
        <is>
          <t>01-09-2021</t>
        </is>
      </c>
      <c r="H178" t="inlineStr">
        <is>
          <t>30-11-2021</t>
        </is>
      </c>
      <c r="I178" t="inlineStr">
        <is>
          <t>NON-NIL</t>
        </is>
      </c>
      <c r="J178" t="inlineStr">
        <is>
          <t>≤5Cr</t>
        </is>
      </c>
      <c r="K178" t="n">
        <v>2000</v>
      </c>
      <c r="L178" t="inlineStr">
        <is>
          <t>Cap</t>
        </is>
      </c>
      <c r="M178" t="inlineStr">
        <is>
          <t>Late fee capped at ₹2,000 under extended amnesty (33/2021-CT).</t>
        </is>
      </c>
      <c r="N178" t="inlineStr">
        <is>
          <t>Low</t>
        </is>
      </c>
      <c r="O178" t="n">
        <v>1</v>
      </c>
    </row>
    <row r="179">
      <c r="A179" t="inlineStr">
        <is>
          <t>Sep-2019_LF06_LARGE</t>
        </is>
      </c>
      <c r="B179" t="inlineStr">
        <is>
          <t>33/2021-CT</t>
        </is>
      </c>
      <c r="C179" t="inlineStr">
        <is>
          <t>29-08-2021</t>
        </is>
      </c>
      <c r="D179" t="inlineStr">
        <is>
          <t>Amnesty</t>
        </is>
      </c>
      <c r="E179" t="inlineStr">
        <is>
          <t>Sep-2019</t>
        </is>
      </c>
      <c r="F179" t="inlineStr">
        <is>
          <t>Sep-2019</t>
        </is>
      </c>
      <c r="G179" t="inlineStr">
        <is>
          <t>01-09-2021</t>
        </is>
      </c>
      <c r="H179" t="inlineStr">
        <is>
          <t>30-11-2021</t>
        </is>
      </c>
      <c r="I179" t="inlineStr">
        <is>
          <t>NON-NIL</t>
        </is>
      </c>
      <c r="J179" t="inlineStr">
        <is>
          <t>&gt;5Cr</t>
        </is>
      </c>
      <c r="K179" t="n">
        <v>5000</v>
      </c>
      <c r="L179" t="inlineStr">
        <is>
          <t>Cap</t>
        </is>
      </c>
      <c r="M179" t="inlineStr">
        <is>
          <t>Late fee capped at ₹5,000 under extended amnesty (33/2021-CT).</t>
        </is>
      </c>
      <c r="N179" t="inlineStr">
        <is>
          <t>Low</t>
        </is>
      </c>
      <c r="O179" t="n">
        <v>1</v>
      </c>
    </row>
    <row r="180">
      <c r="A180" t="inlineStr">
        <is>
          <t>Oct-2019_LF05_NIL</t>
        </is>
      </c>
      <c r="B180" t="inlineStr">
        <is>
          <t>19/2021-CT</t>
        </is>
      </c>
      <c r="C180" t="inlineStr">
        <is>
          <t>01-06-2021</t>
        </is>
      </c>
      <c r="D180" t="inlineStr">
        <is>
          <t>Amnesty</t>
        </is>
      </c>
      <c r="E180" t="inlineStr">
        <is>
          <t>Oct-2019</t>
        </is>
      </c>
      <c r="F180" t="inlineStr">
        <is>
          <t>Oct-2019</t>
        </is>
      </c>
      <c r="G180" t="inlineStr">
        <is>
          <t>01-06-2021</t>
        </is>
      </c>
      <c r="H180" t="inlineStr">
        <is>
          <t>31-08-2021</t>
        </is>
      </c>
      <c r="I180" t="inlineStr">
        <is>
          <t>NIL</t>
        </is>
      </c>
      <c r="J180" t="inlineStr">
        <is>
          <t>ALL</t>
        </is>
      </c>
      <c r="K180" t="n">
        <v>500</v>
      </c>
      <c r="L180" t="inlineStr">
        <is>
          <t>Cap</t>
        </is>
      </c>
      <c r="M180" t="inlineStr">
        <is>
          <t>Late fee capped at ₹500 under Notification 19/2021-CT.</t>
        </is>
      </c>
      <c r="N180" t="inlineStr">
        <is>
          <t>Low</t>
        </is>
      </c>
      <c r="O180" t="n">
        <v>1</v>
      </c>
    </row>
    <row r="181">
      <c r="A181" t="inlineStr">
        <is>
          <t>Oct-2019_LF05_SMALL</t>
        </is>
      </c>
      <c r="B181" t="inlineStr">
        <is>
          <t>19/2021-CT</t>
        </is>
      </c>
      <c r="C181" t="inlineStr">
        <is>
          <t>01-06-2021</t>
        </is>
      </c>
      <c r="D181" t="inlineStr">
        <is>
          <t>Amnesty</t>
        </is>
      </c>
      <c r="E181" t="inlineStr">
        <is>
          <t>Oct-2019</t>
        </is>
      </c>
      <c r="F181" t="inlineStr">
        <is>
          <t>Oct-2019</t>
        </is>
      </c>
      <c r="G181" t="inlineStr">
        <is>
          <t>01-06-2021</t>
        </is>
      </c>
      <c r="H181" t="inlineStr">
        <is>
          <t>31-08-2021</t>
        </is>
      </c>
      <c r="I181" t="inlineStr">
        <is>
          <t>NON-NIL</t>
        </is>
      </c>
      <c r="J181" t="inlineStr">
        <is>
          <t>≤5Cr</t>
        </is>
      </c>
      <c r="K181" t="n">
        <v>2000</v>
      </c>
      <c r="L181" t="inlineStr">
        <is>
          <t>Cap</t>
        </is>
      </c>
      <c r="M181" t="inlineStr">
        <is>
          <t>Late fee capped at ₹2,000 under Notification 19/2021-CT.</t>
        </is>
      </c>
      <c r="N181" t="inlineStr">
        <is>
          <t>Low</t>
        </is>
      </c>
      <c r="O181" t="n">
        <v>1</v>
      </c>
    </row>
    <row r="182">
      <c r="A182" t="inlineStr">
        <is>
          <t>Oct-2019_LF05_LARGE</t>
        </is>
      </c>
      <c r="B182" t="inlineStr">
        <is>
          <t>19/2021-CT</t>
        </is>
      </c>
      <c r="C182" t="inlineStr">
        <is>
          <t>01-06-2021</t>
        </is>
      </c>
      <c r="D182" t="inlineStr">
        <is>
          <t>Amnesty</t>
        </is>
      </c>
      <c r="E182" t="inlineStr">
        <is>
          <t>Oct-2019</t>
        </is>
      </c>
      <c r="F182" t="inlineStr">
        <is>
          <t>Oct-2019</t>
        </is>
      </c>
      <c r="G182" t="inlineStr">
        <is>
          <t>01-06-2021</t>
        </is>
      </c>
      <c r="H182" t="inlineStr">
        <is>
          <t>31-08-2021</t>
        </is>
      </c>
      <c r="I182" t="inlineStr">
        <is>
          <t>NON-NIL</t>
        </is>
      </c>
      <c r="J182" t="inlineStr">
        <is>
          <t>&gt;5Cr</t>
        </is>
      </c>
      <c r="K182" t="n">
        <v>5000</v>
      </c>
      <c r="L182" t="inlineStr">
        <is>
          <t>Cap</t>
        </is>
      </c>
      <c r="M182" t="inlineStr">
        <is>
          <t>Late fee capped at ₹5,000 under Notification 19/2021-CT.</t>
        </is>
      </c>
      <c r="N182" t="inlineStr">
        <is>
          <t>Low</t>
        </is>
      </c>
      <c r="O182" t="n">
        <v>1</v>
      </c>
    </row>
    <row r="183">
      <c r="A183" t="inlineStr">
        <is>
          <t>Oct-2019_LF06_NIL</t>
        </is>
      </c>
      <c r="B183" t="inlineStr">
        <is>
          <t>33/2021-CT</t>
        </is>
      </c>
      <c r="C183" t="inlineStr">
        <is>
          <t>29-08-2021</t>
        </is>
      </c>
      <c r="D183" t="inlineStr">
        <is>
          <t>Amnesty</t>
        </is>
      </c>
      <c r="E183" t="inlineStr">
        <is>
          <t>Oct-2019</t>
        </is>
      </c>
      <c r="F183" t="inlineStr">
        <is>
          <t>Oct-2019</t>
        </is>
      </c>
      <c r="G183" t="inlineStr">
        <is>
          <t>01-09-2021</t>
        </is>
      </c>
      <c r="H183" t="inlineStr">
        <is>
          <t>30-11-2021</t>
        </is>
      </c>
      <c r="I183" t="inlineStr">
        <is>
          <t>NIL</t>
        </is>
      </c>
      <c r="J183" t="inlineStr">
        <is>
          <t>ALL</t>
        </is>
      </c>
      <c r="K183" t="n">
        <v>500</v>
      </c>
      <c r="L183" t="inlineStr">
        <is>
          <t>Cap</t>
        </is>
      </c>
      <c r="M183" t="inlineStr">
        <is>
          <t>Late fee capped at ₹500 under extended amnesty (33/2021-CT).</t>
        </is>
      </c>
      <c r="N183" t="inlineStr">
        <is>
          <t>Low</t>
        </is>
      </c>
      <c r="O183" t="n">
        <v>1</v>
      </c>
    </row>
    <row r="184">
      <c r="A184" t="inlineStr">
        <is>
          <t>Oct-2019_LF06_SMALL</t>
        </is>
      </c>
      <c r="B184" t="inlineStr">
        <is>
          <t>33/2021-CT</t>
        </is>
      </c>
      <c r="C184" t="inlineStr">
        <is>
          <t>29-08-2021</t>
        </is>
      </c>
      <c r="D184" t="inlineStr">
        <is>
          <t>Amnesty</t>
        </is>
      </c>
      <c r="E184" t="inlineStr">
        <is>
          <t>Oct-2019</t>
        </is>
      </c>
      <c r="F184" t="inlineStr">
        <is>
          <t>Oct-2019</t>
        </is>
      </c>
      <c r="G184" t="inlineStr">
        <is>
          <t>01-09-2021</t>
        </is>
      </c>
      <c r="H184" t="inlineStr">
        <is>
          <t>30-11-2021</t>
        </is>
      </c>
      <c r="I184" t="inlineStr">
        <is>
          <t>NON-NIL</t>
        </is>
      </c>
      <c r="J184" t="inlineStr">
        <is>
          <t>≤5Cr</t>
        </is>
      </c>
      <c r="K184" t="n">
        <v>2000</v>
      </c>
      <c r="L184" t="inlineStr">
        <is>
          <t>Cap</t>
        </is>
      </c>
      <c r="M184" t="inlineStr">
        <is>
          <t>Late fee capped at ₹2,000 under extended amnesty (33/2021-CT).</t>
        </is>
      </c>
      <c r="N184" t="inlineStr">
        <is>
          <t>Low</t>
        </is>
      </c>
      <c r="O184" t="n">
        <v>1</v>
      </c>
    </row>
    <row r="185">
      <c r="A185" t="inlineStr">
        <is>
          <t>Oct-2019_LF06_LARGE</t>
        </is>
      </c>
      <c r="B185" t="inlineStr">
        <is>
          <t>33/2021-CT</t>
        </is>
      </c>
      <c r="C185" t="inlineStr">
        <is>
          <t>29-08-2021</t>
        </is>
      </c>
      <c r="D185" t="inlineStr">
        <is>
          <t>Amnesty</t>
        </is>
      </c>
      <c r="E185" t="inlineStr">
        <is>
          <t>Oct-2019</t>
        </is>
      </c>
      <c r="F185" t="inlineStr">
        <is>
          <t>Oct-2019</t>
        </is>
      </c>
      <c r="G185" t="inlineStr">
        <is>
          <t>01-09-2021</t>
        </is>
      </c>
      <c r="H185" t="inlineStr">
        <is>
          <t>30-11-2021</t>
        </is>
      </c>
      <c r="I185" t="inlineStr">
        <is>
          <t>NON-NIL</t>
        </is>
      </c>
      <c r="J185" t="inlineStr">
        <is>
          <t>&gt;5Cr</t>
        </is>
      </c>
      <c r="K185" t="n">
        <v>5000</v>
      </c>
      <c r="L185" t="inlineStr">
        <is>
          <t>Cap</t>
        </is>
      </c>
      <c r="M185" t="inlineStr">
        <is>
          <t>Late fee capped at ₹5,000 under extended amnesty (33/2021-CT).</t>
        </is>
      </c>
      <c r="N185" t="inlineStr">
        <is>
          <t>Low</t>
        </is>
      </c>
      <c r="O185" t="n">
        <v>1</v>
      </c>
    </row>
    <row r="186">
      <c r="A186" t="inlineStr">
        <is>
          <t>Nov-2019_LF05_NIL</t>
        </is>
      </c>
      <c r="B186" t="inlineStr">
        <is>
          <t>19/2021-CT</t>
        </is>
      </c>
      <c r="C186" t="inlineStr">
        <is>
          <t>01-06-2021</t>
        </is>
      </c>
      <c r="D186" t="inlineStr">
        <is>
          <t>Amnesty</t>
        </is>
      </c>
      <c r="E186" t="inlineStr">
        <is>
          <t>Nov-2019</t>
        </is>
      </c>
      <c r="F186" t="inlineStr">
        <is>
          <t>Nov-2019</t>
        </is>
      </c>
      <c r="G186" t="inlineStr">
        <is>
          <t>01-06-2021</t>
        </is>
      </c>
      <c r="H186" t="inlineStr">
        <is>
          <t>31-08-2021</t>
        </is>
      </c>
      <c r="I186" t="inlineStr">
        <is>
          <t>NIL</t>
        </is>
      </c>
      <c r="J186" t="inlineStr">
        <is>
          <t>ALL</t>
        </is>
      </c>
      <c r="K186" t="n">
        <v>500</v>
      </c>
      <c r="L186" t="inlineStr">
        <is>
          <t>Cap</t>
        </is>
      </c>
      <c r="M186" t="inlineStr">
        <is>
          <t>Late fee capped at ₹500 under Notification 19/2021-CT.</t>
        </is>
      </c>
      <c r="N186" t="inlineStr">
        <is>
          <t>Low</t>
        </is>
      </c>
      <c r="O186" t="n">
        <v>1</v>
      </c>
    </row>
    <row r="187">
      <c r="A187" t="inlineStr">
        <is>
          <t>Nov-2019_LF05_SMALL</t>
        </is>
      </c>
      <c r="B187" t="inlineStr">
        <is>
          <t>19/2021-CT</t>
        </is>
      </c>
      <c r="C187" t="inlineStr">
        <is>
          <t>01-06-2021</t>
        </is>
      </c>
      <c r="D187" t="inlineStr">
        <is>
          <t>Amnesty</t>
        </is>
      </c>
      <c r="E187" t="inlineStr">
        <is>
          <t>Nov-2019</t>
        </is>
      </c>
      <c r="F187" t="inlineStr">
        <is>
          <t>Nov-2019</t>
        </is>
      </c>
      <c r="G187" t="inlineStr">
        <is>
          <t>01-06-2021</t>
        </is>
      </c>
      <c r="H187" t="inlineStr">
        <is>
          <t>31-08-2021</t>
        </is>
      </c>
      <c r="I187" t="inlineStr">
        <is>
          <t>NON-NIL</t>
        </is>
      </c>
      <c r="J187" t="inlineStr">
        <is>
          <t>≤5Cr</t>
        </is>
      </c>
      <c r="K187" t="n">
        <v>2000</v>
      </c>
      <c r="L187" t="inlineStr">
        <is>
          <t>Cap</t>
        </is>
      </c>
      <c r="M187" t="inlineStr">
        <is>
          <t>Late fee capped at ₹2,000 under Notification 19/2021-CT.</t>
        </is>
      </c>
      <c r="N187" t="inlineStr">
        <is>
          <t>Low</t>
        </is>
      </c>
      <c r="O187" t="n">
        <v>1</v>
      </c>
    </row>
    <row r="188">
      <c r="A188" t="inlineStr">
        <is>
          <t>Nov-2019_LF05_LARGE</t>
        </is>
      </c>
      <c r="B188" t="inlineStr">
        <is>
          <t>19/2021-CT</t>
        </is>
      </c>
      <c r="C188" t="inlineStr">
        <is>
          <t>01-06-2021</t>
        </is>
      </c>
      <c r="D188" t="inlineStr">
        <is>
          <t>Amnesty</t>
        </is>
      </c>
      <c r="E188" t="inlineStr">
        <is>
          <t>Nov-2019</t>
        </is>
      </c>
      <c r="F188" t="inlineStr">
        <is>
          <t>Nov-2019</t>
        </is>
      </c>
      <c r="G188" t="inlineStr">
        <is>
          <t>01-06-2021</t>
        </is>
      </c>
      <c r="H188" t="inlineStr">
        <is>
          <t>31-08-2021</t>
        </is>
      </c>
      <c r="I188" t="inlineStr">
        <is>
          <t>NON-NIL</t>
        </is>
      </c>
      <c r="J188" t="inlineStr">
        <is>
          <t>&gt;5Cr</t>
        </is>
      </c>
      <c r="K188" t="n">
        <v>5000</v>
      </c>
      <c r="L188" t="inlineStr">
        <is>
          <t>Cap</t>
        </is>
      </c>
      <c r="M188" t="inlineStr">
        <is>
          <t>Late fee capped at ₹5,000 under Notification 19/2021-CT.</t>
        </is>
      </c>
      <c r="N188" t="inlineStr">
        <is>
          <t>Low</t>
        </is>
      </c>
      <c r="O188" t="n">
        <v>1</v>
      </c>
    </row>
    <row r="189">
      <c r="A189" t="inlineStr">
        <is>
          <t>Nov-2019_LF06_NIL</t>
        </is>
      </c>
      <c r="B189" t="inlineStr">
        <is>
          <t>33/2021-CT</t>
        </is>
      </c>
      <c r="C189" t="inlineStr">
        <is>
          <t>29-08-2021</t>
        </is>
      </c>
      <c r="D189" t="inlineStr">
        <is>
          <t>Amnesty</t>
        </is>
      </c>
      <c r="E189" t="inlineStr">
        <is>
          <t>Nov-2019</t>
        </is>
      </c>
      <c r="F189" t="inlineStr">
        <is>
          <t>Nov-2019</t>
        </is>
      </c>
      <c r="G189" t="inlineStr">
        <is>
          <t>01-09-2021</t>
        </is>
      </c>
      <c r="H189" t="inlineStr">
        <is>
          <t>30-11-2021</t>
        </is>
      </c>
      <c r="I189" t="inlineStr">
        <is>
          <t>NIL</t>
        </is>
      </c>
      <c r="J189" t="inlineStr">
        <is>
          <t>ALL</t>
        </is>
      </c>
      <c r="K189" t="n">
        <v>500</v>
      </c>
      <c r="L189" t="inlineStr">
        <is>
          <t>Cap</t>
        </is>
      </c>
      <c r="M189" t="inlineStr">
        <is>
          <t>Late fee capped at ₹500 under extended amnesty (33/2021-CT).</t>
        </is>
      </c>
      <c r="N189" t="inlineStr">
        <is>
          <t>Low</t>
        </is>
      </c>
      <c r="O189" t="n">
        <v>1</v>
      </c>
    </row>
    <row r="190">
      <c r="A190" t="inlineStr">
        <is>
          <t>Nov-2019_LF06_SMALL</t>
        </is>
      </c>
      <c r="B190" t="inlineStr">
        <is>
          <t>33/2021-CT</t>
        </is>
      </c>
      <c r="C190" t="inlineStr">
        <is>
          <t>29-08-2021</t>
        </is>
      </c>
      <c r="D190" t="inlineStr">
        <is>
          <t>Amnesty</t>
        </is>
      </c>
      <c r="E190" t="inlineStr">
        <is>
          <t>Nov-2019</t>
        </is>
      </c>
      <c r="F190" t="inlineStr">
        <is>
          <t>Nov-2019</t>
        </is>
      </c>
      <c r="G190" t="inlineStr">
        <is>
          <t>01-09-2021</t>
        </is>
      </c>
      <c r="H190" t="inlineStr">
        <is>
          <t>30-11-2021</t>
        </is>
      </c>
      <c r="I190" t="inlineStr">
        <is>
          <t>NON-NIL</t>
        </is>
      </c>
      <c r="J190" t="inlineStr">
        <is>
          <t>≤5Cr</t>
        </is>
      </c>
      <c r="K190" t="n">
        <v>2000</v>
      </c>
      <c r="L190" t="inlineStr">
        <is>
          <t>Cap</t>
        </is>
      </c>
      <c r="M190" t="inlineStr">
        <is>
          <t>Late fee capped at ₹2,000 under extended amnesty (33/2021-CT).</t>
        </is>
      </c>
      <c r="N190" t="inlineStr">
        <is>
          <t>Low</t>
        </is>
      </c>
      <c r="O190" t="n">
        <v>1</v>
      </c>
    </row>
    <row r="191">
      <c r="A191" t="inlineStr">
        <is>
          <t>Nov-2019_LF06_LARGE</t>
        </is>
      </c>
      <c r="B191" t="inlineStr">
        <is>
          <t>33/2021-CT</t>
        </is>
      </c>
      <c r="C191" t="inlineStr">
        <is>
          <t>29-08-2021</t>
        </is>
      </c>
      <c r="D191" t="inlineStr">
        <is>
          <t>Amnesty</t>
        </is>
      </c>
      <c r="E191" t="inlineStr">
        <is>
          <t>Nov-2019</t>
        </is>
      </c>
      <c r="F191" t="inlineStr">
        <is>
          <t>Nov-2019</t>
        </is>
      </c>
      <c r="G191" t="inlineStr">
        <is>
          <t>01-09-2021</t>
        </is>
      </c>
      <c r="H191" t="inlineStr">
        <is>
          <t>30-11-2021</t>
        </is>
      </c>
      <c r="I191" t="inlineStr">
        <is>
          <t>NON-NIL</t>
        </is>
      </c>
      <c r="J191" t="inlineStr">
        <is>
          <t>&gt;5Cr</t>
        </is>
      </c>
      <c r="K191" t="n">
        <v>5000</v>
      </c>
      <c r="L191" t="inlineStr">
        <is>
          <t>Cap</t>
        </is>
      </c>
      <c r="M191" t="inlineStr">
        <is>
          <t>Late fee capped at ₹5,000 under extended amnesty (33/2021-CT).</t>
        </is>
      </c>
      <c r="N191" t="inlineStr">
        <is>
          <t>Low</t>
        </is>
      </c>
      <c r="O191" t="n">
        <v>1</v>
      </c>
    </row>
    <row r="192">
      <c r="A192" t="inlineStr">
        <is>
          <t>Dec-2019_LF05_NIL</t>
        </is>
      </c>
      <c r="B192" t="inlineStr">
        <is>
          <t>19/2021-CT</t>
        </is>
      </c>
      <c r="C192" t="inlineStr">
        <is>
          <t>01-06-2021</t>
        </is>
      </c>
      <c r="D192" t="inlineStr">
        <is>
          <t>Amnesty</t>
        </is>
      </c>
      <c r="E192" t="inlineStr">
        <is>
          <t>Dec-2019</t>
        </is>
      </c>
      <c r="F192" t="inlineStr">
        <is>
          <t>Dec-2019</t>
        </is>
      </c>
      <c r="G192" t="inlineStr">
        <is>
          <t>01-06-2021</t>
        </is>
      </c>
      <c r="H192" t="inlineStr">
        <is>
          <t>31-08-2021</t>
        </is>
      </c>
      <c r="I192" t="inlineStr">
        <is>
          <t>NIL</t>
        </is>
      </c>
      <c r="J192" t="inlineStr">
        <is>
          <t>ALL</t>
        </is>
      </c>
      <c r="K192" t="n">
        <v>500</v>
      </c>
      <c r="L192" t="inlineStr">
        <is>
          <t>Cap</t>
        </is>
      </c>
      <c r="M192" t="inlineStr">
        <is>
          <t>Late fee capped at ₹500 under Notification 19/2021-CT.</t>
        </is>
      </c>
      <c r="N192" t="inlineStr">
        <is>
          <t>Low</t>
        </is>
      </c>
      <c r="O192" t="n">
        <v>1</v>
      </c>
    </row>
    <row r="193">
      <c r="A193" t="inlineStr">
        <is>
          <t>Dec-2019_LF05_SMALL</t>
        </is>
      </c>
      <c r="B193" t="inlineStr">
        <is>
          <t>19/2021-CT</t>
        </is>
      </c>
      <c r="C193" t="inlineStr">
        <is>
          <t>01-06-2021</t>
        </is>
      </c>
      <c r="D193" t="inlineStr">
        <is>
          <t>Amnesty</t>
        </is>
      </c>
      <c r="E193" t="inlineStr">
        <is>
          <t>Dec-2019</t>
        </is>
      </c>
      <c r="F193" t="inlineStr">
        <is>
          <t>Dec-2019</t>
        </is>
      </c>
      <c r="G193" t="inlineStr">
        <is>
          <t>01-06-2021</t>
        </is>
      </c>
      <c r="H193" t="inlineStr">
        <is>
          <t>31-08-2021</t>
        </is>
      </c>
      <c r="I193" t="inlineStr">
        <is>
          <t>NON-NIL</t>
        </is>
      </c>
      <c r="J193" t="inlineStr">
        <is>
          <t>≤5Cr</t>
        </is>
      </c>
      <c r="K193" t="n">
        <v>2000</v>
      </c>
      <c r="L193" t="inlineStr">
        <is>
          <t>Cap</t>
        </is>
      </c>
      <c r="M193" t="inlineStr">
        <is>
          <t>Late fee capped at ₹2,000 under Notification 19/2021-CT.</t>
        </is>
      </c>
      <c r="N193" t="inlineStr">
        <is>
          <t>Low</t>
        </is>
      </c>
      <c r="O193" t="n">
        <v>1</v>
      </c>
    </row>
    <row r="194">
      <c r="A194" t="inlineStr">
        <is>
          <t>Dec-2019_LF05_LARGE</t>
        </is>
      </c>
      <c r="B194" t="inlineStr">
        <is>
          <t>19/2021-CT</t>
        </is>
      </c>
      <c r="C194" t="inlineStr">
        <is>
          <t>01-06-2021</t>
        </is>
      </c>
      <c r="D194" t="inlineStr">
        <is>
          <t>Amnesty</t>
        </is>
      </c>
      <c r="E194" t="inlineStr">
        <is>
          <t>Dec-2019</t>
        </is>
      </c>
      <c r="F194" t="inlineStr">
        <is>
          <t>Dec-2019</t>
        </is>
      </c>
      <c r="G194" t="inlineStr">
        <is>
          <t>01-06-2021</t>
        </is>
      </c>
      <c r="H194" t="inlineStr">
        <is>
          <t>31-08-2021</t>
        </is>
      </c>
      <c r="I194" t="inlineStr">
        <is>
          <t>NON-NIL</t>
        </is>
      </c>
      <c r="J194" t="inlineStr">
        <is>
          <t>&gt;5Cr</t>
        </is>
      </c>
      <c r="K194" t="n">
        <v>5000</v>
      </c>
      <c r="L194" t="inlineStr">
        <is>
          <t>Cap</t>
        </is>
      </c>
      <c r="M194" t="inlineStr">
        <is>
          <t>Late fee capped at ₹5,000 under Notification 19/2021-CT.</t>
        </is>
      </c>
      <c r="N194" t="inlineStr">
        <is>
          <t>Low</t>
        </is>
      </c>
      <c r="O194" t="n">
        <v>1</v>
      </c>
    </row>
    <row r="195">
      <c r="A195" t="inlineStr">
        <is>
          <t>Dec-2019_LF06_NIL</t>
        </is>
      </c>
      <c r="B195" t="inlineStr">
        <is>
          <t>33/2021-CT</t>
        </is>
      </c>
      <c r="C195" t="inlineStr">
        <is>
          <t>29-08-2021</t>
        </is>
      </c>
      <c r="D195" t="inlineStr">
        <is>
          <t>Amnesty</t>
        </is>
      </c>
      <c r="E195" t="inlineStr">
        <is>
          <t>Dec-2019</t>
        </is>
      </c>
      <c r="F195" t="inlineStr">
        <is>
          <t>Dec-2019</t>
        </is>
      </c>
      <c r="G195" t="inlineStr">
        <is>
          <t>01-09-2021</t>
        </is>
      </c>
      <c r="H195" t="inlineStr">
        <is>
          <t>30-11-2021</t>
        </is>
      </c>
      <c r="I195" t="inlineStr">
        <is>
          <t>NIL</t>
        </is>
      </c>
      <c r="J195" t="inlineStr">
        <is>
          <t>ALL</t>
        </is>
      </c>
      <c r="K195" t="n">
        <v>500</v>
      </c>
      <c r="L195" t="inlineStr">
        <is>
          <t>Cap</t>
        </is>
      </c>
      <c r="M195" t="inlineStr">
        <is>
          <t>Late fee capped at ₹500 under extended amnesty (33/2021-CT).</t>
        </is>
      </c>
      <c r="N195" t="inlineStr">
        <is>
          <t>Low</t>
        </is>
      </c>
      <c r="O195" t="n">
        <v>1</v>
      </c>
    </row>
    <row r="196">
      <c r="A196" t="inlineStr">
        <is>
          <t>Dec-2019_LF06_SMALL</t>
        </is>
      </c>
      <c r="B196" t="inlineStr">
        <is>
          <t>33/2021-CT</t>
        </is>
      </c>
      <c r="C196" t="inlineStr">
        <is>
          <t>29-08-2021</t>
        </is>
      </c>
      <c r="D196" t="inlineStr">
        <is>
          <t>Amnesty</t>
        </is>
      </c>
      <c r="E196" t="inlineStr">
        <is>
          <t>Dec-2019</t>
        </is>
      </c>
      <c r="F196" t="inlineStr">
        <is>
          <t>Dec-2019</t>
        </is>
      </c>
      <c r="G196" t="inlineStr">
        <is>
          <t>01-09-2021</t>
        </is>
      </c>
      <c r="H196" t="inlineStr">
        <is>
          <t>30-11-2021</t>
        </is>
      </c>
      <c r="I196" t="inlineStr">
        <is>
          <t>NON-NIL</t>
        </is>
      </c>
      <c r="J196" t="inlineStr">
        <is>
          <t>≤5Cr</t>
        </is>
      </c>
      <c r="K196" t="n">
        <v>2000</v>
      </c>
      <c r="L196" t="inlineStr">
        <is>
          <t>Cap</t>
        </is>
      </c>
      <c r="M196" t="inlineStr">
        <is>
          <t>Late fee capped at ₹2,000 under extended amnesty (33/2021-CT).</t>
        </is>
      </c>
      <c r="N196" t="inlineStr">
        <is>
          <t>Low</t>
        </is>
      </c>
      <c r="O196" t="n">
        <v>1</v>
      </c>
    </row>
    <row r="197">
      <c r="A197" t="inlineStr">
        <is>
          <t>Dec-2019_LF06_LARGE</t>
        </is>
      </c>
      <c r="B197" t="inlineStr">
        <is>
          <t>33/2021-CT</t>
        </is>
      </c>
      <c r="C197" t="inlineStr">
        <is>
          <t>29-08-2021</t>
        </is>
      </c>
      <c r="D197" t="inlineStr">
        <is>
          <t>Amnesty</t>
        </is>
      </c>
      <c r="E197" t="inlineStr">
        <is>
          <t>Dec-2019</t>
        </is>
      </c>
      <c r="F197" t="inlineStr">
        <is>
          <t>Dec-2019</t>
        </is>
      </c>
      <c r="G197" t="inlineStr">
        <is>
          <t>01-09-2021</t>
        </is>
      </c>
      <c r="H197" t="inlineStr">
        <is>
          <t>30-11-2021</t>
        </is>
      </c>
      <c r="I197" t="inlineStr">
        <is>
          <t>NON-NIL</t>
        </is>
      </c>
      <c r="J197" t="inlineStr">
        <is>
          <t>&gt;5Cr</t>
        </is>
      </c>
      <c r="K197" t="n">
        <v>5000</v>
      </c>
      <c r="L197" t="inlineStr">
        <is>
          <t>Cap</t>
        </is>
      </c>
      <c r="M197" t="inlineStr">
        <is>
          <t>Late fee capped at ₹5,000 under extended amnesty (33/2021-CT).</t>
        </is>
      </c>
      <c r="N197" t="inlineStr">
        <is>
          <t>Low</t>
        </is>
      </c>
      <c r="O197" t="n">
        <v>1</v>
      </c>
    </row>
    <row r="198">
      <c r="A198" t="inlineStr">
        <is>
          <t>Jan-2020_LF05_NIL</t>
        </is>
      </c>
      <c r="B198" t="inlineStr">
        <is>
          <t>19/2021-CT</t>
        </is>
      </c>
      <c r="C198" t="inlineStr">
        <is>
          <t>01-06-2021</t>
        </is>
      </c>
      <c r="D198" t="inlineStr">
        <is>
          <t>Amnesty</t>
        </is>
      </c>
      <c r="E198" t="inlineStr">
        <is>
          <t>Jan-2020</t>
        </is>
      </c>
      <c r="F198" t="inlineStr">
        <is>
          <t>Jan-2020</t>
        </is>
      </c>
      <c r="G198" t="inlineStr">
        <is>
          <t>01-06-2021</t>
        </is>
      </c>
      <c r="H198" t="inlineStr">
        <is>
          <t>31-08-2021</t>
        </is>
      </c>
      <c r="I198" t="inlineStr">
        <is>
          <t>NIL</t>
        </is>
      </c>
      <c r="J198" t="inlineStr">
        <is>
          <t>ALL</t>
        </is>
      </c>
      <c r="K198" t="n">
        <v>500</v>
      </c>
      <c r="L198" t="inlineStr">
        <is>
          <t>Cap</t>
        </is>
      </c>
      <c r="M198" t="inlineStr">
        <is>
          <t>Late fee capped at ₹500 under Notification 19/2021-CT.</t>
        </is>
      </c>
      <c r="N198" t="inlineStr">
        <is>
          <t>Low</t>
        </is>
      </c>
      <c r="O198" t="n">
        <v>1</v>
      </c>
    </row>
    <row r="199">
      <c r="A199" t="inlineStr">
        <is>
          <t>Jan-2020_LF05_SMALL</t>
        </is>
      </c>
      <c r="B199" t="inlineStr">
        <is>
          <t>19/2021-CT</t>
        </is>
      </c>
      <c r="C199" t="inlineStr">
        <is>
          <t>01-06-2021</t>
        </is>
      </c>
      <c r="D199" t="inlineStr">
        <is>
          <t>Amnesty</t>
        </is>
      </c>
      <c r="E199" t="inlineStr">
        <is>
          <t>Jan-2020</t>
        </is>
      </c>
      <c r="F199" t="inlineStr">
        <is>
          <t>Jan-2020</t>
        </is>
      </c>
      <c r="G199" t="inlineStr">
        <is>
          <t>01-06-2021</t>
        </is>
      </c>
      <c r="H199" t="inlineStr">
        <is>
          <t>31-08-2021</t>
        </is>
      </c>
      <c r="I199" t="inlineStr">
        <is>
          <t>NON-NIL</t>
        </is>
      </c>
      <c r="J199" t="inlineStr">
        <is>
          <t>≤5Cr</t>
        </is>
      </c>
      <c r="K199" t="n">
        <v>2000</v>
      </c>
      <c r="L199" t="inlineStr">
        <is>
          <t>Cap</t>
        </is>
      </c>
      <c r="M199" t="inlineStr">
        <is>
          <t>Late fee capped at ₹2,000 under Notification 19/2021-CT.</t>
        </is>
      </c>
      <c r="N199" t="inlineStr">
        <is>
          <t>Low</t>
        </is>
      </c>
      <c r="O199" t="n">
        <v>1</v>
      </c>
    </row>
    <row r="200">
      <c r="A200" t="inlineStr">
        <is>
          <t>Jan-2020_LF05_LARGE</t>
        </is>
      </c>
      <c r="B200" t="inlineStr">
        <is>
          <t>19/2021-CT</t>
        </is>
      </c>
      <c r="C200" t="inlineStr">
        <is>
          <t>01-06-2021</t>
        </is>
      </c>
      <c r="D200" t="inlineStr">
        <is>
          <t>Amnesty</t>
        </is>
      </c>
      <c r="E200" t="inlineStr">
        <is>
          <t>Jan-2020</t>
        </is>
      </c>
      <c r="F200" t="inlineStr">
        <is>
          <t>Jan-2020</t>
        </is>
      </c>
      <c r="G200" t="inlineStr">
        <is>
          <t>01-06-2021</t>
        </is>
      </c>
      <c r="H200" t="inlineStr">
        <is>
          <t>31-08-2021</t>
        </is>
      </c>
      <c r="I200" t="inlineStr">
        <is>
          <t>NON-NIL</t>
        </is>
      </c>
      <c r="J200" t="inlineStr">
        <is>
          <t>&gt;5Cr</t>
        </is>
      </c>
      <c r="K200" t="n">
        <v>5000</v>
      </c>
      <c r="L200" t="inlineStr">
        <is>
          <t>Cap</t>
        </is>
      </c>
      <c r="M200" t="inlineStr">
        <is>
          <t>Late fee capped at ₹5,000 under Notification 19/2021-CT.</t>
        </is>
      </c>
      <c r="N200" t="inlineStr">
        <is>
          <t>Low</t>
        </is>
      </c>
      <c r="O200" t="n">
        <v>1</v>
      </c>
    </row>
    <row r="201">
      <c r="A201" t="inlineStr">
        <is>
          <t>Jan-2020_LF06_NIL</t>
        </is>
      </c>
      <c r="B201" t="inlineStr">
        <is>
          <t>33/2021-CT</t>
        </is>
      </c>
      <c r="C201" t="inlineStr">
        <is>
          <t>29-08-2021</t>
        </is>
      </c>
      <c r="D201" t="inlineStr">
        <is>
          <t>Amnesty</t>
        </is>
      </c>
      <c r="E201" t="inlineStr">
        <is>
          <t>Jan-2020</t>
        </is>
      </c>
      <c r="F201" t="inlineStr">
        <is>
          <t>Jan-2020</t>
        </is>
      </c>
      <c r="G201" t="inlineStr">
        <is>
          <t>01-09-2021</t>
        </is>
      </c>
      <c r="H201" t="inlineStr">
        <is>
          <t>30-11-2021</t>
        </is>
      </c>
      <c r="I201" t="inlineStr">
        <is>
          <t>NIL</t>
        </is>
      </c>
      <c r="J201" t="inlineStr">
        <is>
          <t>ALL</t>
        </is>
      </c>
      <c r="K201" t="n">
        <v>500</v>
      </c>
      <c r="L201" t="inlineStr">
        <is>
          <t>Cap</t>
        </is>
      </c>
      <c r="M201" t="inlineStr">
        <is>
          <t>Late fee capped at ₹500 under extended amnesty (33/2021-CT).</t>
        </is>
      </c>
      <c r="N201" t="inlineStr">
        <is>
          <t>Low</t>
        </is>
      </c>
      <c r="O201" t="n">
        <v>1</v>
      </c>
    </row>
    <row r="202">
      <c r="A202" t="inlineStr">
        <is>
          <t>Jan-2020_LF06_SMALL</t>
        </is>
      </c>
      <c r="B202" t="inlineStr">
        <is>
          <t>33/2021-CT</t>
        </is>
      </c>
      <c r="C202" t="inlineStr">
        <is>
          <t>29-08-2021</t>
        </is>
      </c>
      <c r="D202" t="inlineStr">
        <is>
          <t>Amnesty</t>
        </is>
      </c>
      <c r="E202" t="inlineStr">
        <is>
          <t>Jan-2020</t>
        </is>
      </c>
      <c r="F202" t="inlineStr">
        <is>
          <t>Jan-2020</t>
        </is>
      </c>
      <c r="G202" t="inlineStr">
        <is>
          <t>01-09-2021</t>
        </is>
      </c>
      <c r="H202" t="inlineStr">
        <is>
          <t>30-11-2021</t>
        </is>
      </c>
      <c r="I202" t="inlineStr">
        <is>
          <t>NON-NIL</t>
        </is>
      </c>
      <c r="J202" t="inlineStr">
        <is>
          <t>≤5Cr</t>
        </is>
      </c>
      <c r="K202" t="n">
        <v>2000</v>
      </c>
      <c r="L202" t="inlineStr">
        <is>
          <t>Cap</t>
        </is>
      </c>
      <c r="M202" t="inlineStr">
        <is>
          <t>Late fee capped at ₹2,000 under extended amnesty (33/2021-CT).</t>
        </is>
      </c>
      <c r="N202" t="inlineStr">
        <is>
          <t>Low</t>
        </is>
      </c>
      <c r="O202" t="n">
        <v>1</v>
      </c>
    </row>
    <row r="203">
      <c r="A203" t="inlineStr">
        <is>
          <t>Jan-2020_LF06_LARGE</t>
        </is>
      </c>
      <c r="B203" t="inlineStr">
        <is>
          <t>33/2021-CT</t>
        </is>
      </c>
      <c r="C203" t="inlineStr">
        <is>
          <t>29-08-2021</t>
        </is>
      </c>
      <c r="D203" t="inlineStr">
        <is>
          <t>Amnesty</t>
        </is>
      </c>
      <c r="E203" t="inlineStr">
        <is>
          <t>Jan-2020</t>
        </is>
      </c>
      <c r="F203" t="inlineStr">
        <is>
          <t>Jan-2020</t>
        </is>
      </c>
      <c r="G203" t="inlineStr">
        <is>
          <t>01-09-2021</t>
        </is>
      </c>
      <c r="H203" t="inlineStr">
        <is>
          <t>30-11-2021</t>
        </is>
      </c>
      <c r="I203" t="inlineStr">
        <is>
          <t>NON-NIL</t>
        </is>
      </c>
      <c r="J203" t="inlineStr">
        <is>
          <t>&gt;5Cr</t>
        </is>
      </c>
      <c r="K203" t="n">
        <v>5000</v>
      </c>
      <c r="L203" t="inlineStr">
        <is>
          <t>Cap</t>
        </is>
      </c>
      <c r="M203" t="inlineStr">
        <is>
          <t>Late fee capped at ₹5,000 under extended amnesty (33/2021-CT).</t>
        </is>
      </c>
      <c r="N203" t="inlineStr">
        <is>
          <t>Low</t>
        </is>
      </c>
      <c r="O203" t="n">
        <v>1</v>
      </c>
    </row>
    <row r="204">
      <c r="A204" t="inlineStr">
        <is>
          <t>Feb-2020_LF05_NIL</t>
        </is>
      </c>
      <c r="B204" t="inlineStr">
        <is>
          <t>19/2021-CT</t>
        </is>
      </c>
      <c r="C204" t="inlineStr">
        <is>
          <t>01-06-2021</t>
        </is>
      </c>
      <c r="D204" t="inlineStr">
        <is>
          <t>Amnesty</t>
        </is>
      </c>
      <c r="E204" t="inlineStr">
        <is>
          <t>Feb-2020</t>
        </is>
      </c>
      <c r="F204" t="inlineStr">
        <is>
          <t>Feb-2020</t>
        </is>
      </c>
      <c r="G204" t="inlineStr">
        <is>
          <t>01-06-2021</t>
        </is>
      </c>
      <c r="H204" t="inlineStr">
        <is>
          <t>31-08-2021</t>
        </is>
      </c>
      <c r="I204" t="inlineStr">
        <is>
          <t>NIL</t>
        </is>
      </c>
      <c r="J204" t="inlineStr">
        <is>
          <t>ALL</t>
        </is>
      </c>
      <c r="K204" t="n">
        <v>500</v>
      </c>
      <c r="L204" t="inlineStr">
        <is>
          <t>Cap</t>
        </is>
      </c>
      <c r="M204" t="inlineStr">
        <is>
          <t>Late fee capped at ₹500 under Notification 19/2021-CT.</t>
        </is>
      </c>
      <c r="N204" t="inlineStr">
        <is>
          <t>Low</t>
        </is>
      </c>
      <c r="O204" t="n">
        <v>1</v>
      </c>
    </row>
    <row r="205">
      <c r="A205" t="inlineStr">
        <is>
          <t>Feb-2020_LF05_SMALL</t>
        </is>
      </c>
      <c r="B205" t="inlineStr">
        <is>
          <t>19/2021-CT</t>
        </is>
      </c>
      <c r="C205" t="inlineStr">
        <is>
          <t>01-06-2021</t>
        </is>
      </c>
      <c r="D205" t="inlineStr">
        <is>
          <t>Amnesty</t>
        </is>
      </c>
      <c r="E205" t="inlineStr">
        <is>
          <t>Feb-2020</t>
        </is>
      </c>
      <c r="F205" t="inlineStr">
        <is>
          <t>Feb-2020</t>
        </is>
      </c>
      <c r="G205" t="inlineStr">
        <is>
          <t>01-06-2021</t>
        </is>
      </c>
      <c r="H205" t="inlineStr">
        <is>
          <t>31-08-2021</t>
        </is>
      </c>
      <c r="I205" t="inlineStr">
        <is>
          <t>NON-NIL</t>
        </is>
      </c>
      <c r="J205" t="inlineStr">
        <is>
          <t>≤5Cr</t>
        </is>
      </c>
      <c r="K205" t="n">
        <v>2000</v>
      </c>
      <c r="L205" t="inlineStr">
        <is>
          <t>Cap</t>
        </is>
      </c>
      <c r="M205" t="inlineStr">
        <is>
          <t>Late fee capped at ₹2,000 under Notification 19/2021-CT.</t>
        </is>
      </c>
      <c r="N205" t="inlineStr">
        <is>
          <t>Low</t>
        </is>
      </c>
      <c r="O205" t="n">
        <v>1</v>
      </c>
    </row>
    <row r="206">
      <c r="A206" t="inlineStr">
        <is>
          <t>Feb-2020_LF05_LARGE</t>
        </is>
      </c>
      <c r="B206" t="inlineStr">
        <is>
          <t>19/2021-CT</t>
        </is>
      </c>
      <c r="C206" t="inlineStr">
        <is>
          <t>01-06-2021</t>
        </is>
      </c>
      <c r="D206" t="inlineStr">
        <is>
          <t>Amnesty</t>
        </is>
      </c>
      <c r="E206" t="inlineStr">
        <is>
          <t>Feb-2020</t>
        </is>
      </c>
      <c r="F206" t="inlineStr">
        <is>
          <t>Feb-2020</t>
        </is>
      </c>
      <c r="G206" t="inlineStr">
        <is>
          <t>01-06-2021</t>
        </is>
      </c>
      <c r="H206" t="inlineStr">
        <is>
          <t>31-08-2021</t>
        </is>
      </c>
      <c r="I206" t="inlineStr">
        <is>
          <t>NON-NIL</t>
        </is>
      </c>
      <c r="J206" t="inlineStr">
        <is>
          <t>&gt;5Cr</t>
        </is>
      </c>
      <c r="K206" t="n">
        <v>5000</v>
      </c>
      <c r="L206" t="inlineStr">
        <is>
          <t>Cap</t>
        </is>
      </c>
      <c r="M206" t="inlineStr">
        <is>
          <t>Late fee capped at ₹5,000 under Notification 19/2021-CT.</t>
        </is>
      </c>
      <c r="N206" t="inlineStr">
        <is>
          <t>Low</t>
        </is>
      </c>
      <c r="O206" t="n">
        <v>1</v>
      </c>
    </row>
    <row r="207">
      <c r="A207" t="inlineStr">
        <is>
          <t>Feb-2020_LF06_NIL</t>
        </is>
      </c>
      <c r="B207" t="inlineStr">
        <is>
          <t>33/2021-CT</t>
        </is>
      </c>
      <c r="C207" t="inlineStr">
        <is>
          <t>29-08-2021</t>
        </is>
      </c>
      <c r="D207" t="inlineStr">
        <is>
          <t>Amnesty</t>
        </is>
      </c>
      <c r="E207" t="inlineStr">
        <is>
          <t>Feb-2020</t>
        </is>
      </c>
      <c r="F207" t="inlineStr">
        <is>
          <t>Feb-2020</t>
        </is>
      </c>
      <c r="G207" t="inlineStr">
        <is>
          <t>01-09-2021</t>
        </is>
      </c>
      <c r="H207" t="inlineStr">
        <is>
          <t>30-11-2021</t>
        </is>
      </c>
      <c r="I207" t="inlineStr">
        <is>
          <t>NIL</t>
        </is>
      </c>
      <c r="J207" t="inlineStr">
        <is>
          <t>ALL</t>
        </is>
      </c>
      <c r="K207" t="n">
        <v>500</v>
      </c>
      <c r="L207" t="inlineStr">
        <is>
          <t>Cap</t>
        </is>
      </c>
      <c r="M207" t="inlineStr">
        <is>
          <t>Late fee capped at ₹500 under extended amnesty (33/2021-CT).</t>
        </is>
      </c>
      <c r="N207" t="inlineStr">
        <is>
          <t>Low</t>
        </is>
      </c>
      <c r="O207" t="n">
        <v>1</v>
      </c>
    </row>
    <row r="208">
      <c r="A208" t="inlineStr">
        <is>
          <t>Feb-2020_LF06_SMALL</t>
        </is>
      </c>
      <c r="B208" t="inlineStr">
        <is>
          <t>33/2021-CT</t>
        </is>
      </c>
      <c r="C208" t="inlineStr">
        <is>
          <t>29-08-2021</t>
        </is>
      </c>
      <c r="D208" t="inlineStr">
        <is>
          <t>Amnesty</t>
        </is>
      </c>
      <c r="E208" t="inlineStr">
        <is>
          <t>Feb-2020</t>
        </is>
      </c>
      <c r="F208" t="inlineStr">
        <is>
          <t>Feb-2020</t>
        </is>
      </c>
      <c r="G208" t="inlineStr">
        <is>
          <t>01-09-2021</t>
        </is>
      </c>
      <c r="H208" t="inlineStr">
        <is>
          <t>30-11-2021</t>
        </is>
      </c>
      <c r="I208" t="inlineStr">
        <is>
          <t>NON-NIL</t>
        </is>
      </c>
      <c r="J208" t="inlineStr">
        <is>
          <t>≤5Cr</t>
        </is>
      </c>
      <c r="K208" t="n">
        <v>2000</v>
      </c>
      <c r="L208" t="inlineStr">
        <is>
          <t>Cap</t>
        </is>
      </c>
      <c r="M208" t="inlineStr">
        <is>
          <t>Late fee capped at ₹2,000 under extended amnesty (33/2021-CT).</t>
        </is>
      </c>
      <c r="N208" t="inlineStr">
        <is>
          <t>Low</t>
        </is>
      </c>
      <c r="O208" t="n">
        <v>1</v>
      </c>
    </row>
    <row r="209">
      <c r="A209" t="inlineStr">
        <is>
          <t>Feb-2020_LF06_LARGE</t>
        </is>
      </c>
      <c r="B209" t="inlineStr">
        <is>
          <t>33/2021-CT</t>
        </is>
      </c>
      <c r="C209" t="inlineStr">
        <is>
          <t>29-08-2021</t>
        </is>
      </c>
      <c r="D209" t="inlineStr">
        <is>
          <t>Amnesty</t>
        </is>
      </c>
      <c r="E209" t="inlineStr">
        <is>
          <t>Feb-2020</t>
        </is>
      </c>
      <c r="F209" t="inlineStr">
        <is>
          <t>Feb-2020</t>
        </is>
      </c>
      <c r="G209" t="inlineStr">
        <is>
          <t>01-09-2021</t>
        </is>
      </c>
      <c r="H209" t="inlineStr">
        <is>
          <t>30-11-2021</t>
        </is>
      </c>
      <c r="I209" t="inlineStr">
        <is>
          <t>NON-NIL</t>
        </is>
      </c>
      <c r="J209" t="inlineStr">
        <is>
          <t>&gt;5Cr</t>
        </is>
      </c>
      <c r="K209" t="n">
        <v>5000</v>
      </c>
      <c r="L209" t="inlineStr">
        <is>
          <t>Cap</t>
        </is>
      </c>
      <c r="M209" t="inlineStr">
        <is>
          <t>Late fee capped at ₹5,000 under extended amnesty (33/2021-CT).</t>
        </is>
      </c>
      <c r="N209" t="inlineStr">
        <is>
          <t>Low</t>
        </is>
      </c>
      <c r="O209" t="n">
        <v>1</v>
      </c>
    </row>
    <row r="210">
      <c r="A210" t="inlineStr">
        <is>
          <t>Mar-2020_LF05_NIL</t>
        </is>
      </c>
      <c r="B210" t="inlineStr">
        <is>
          <t>19/2021-CT</t>
        </is>
      </c>
      <c r="C210" t="inlineStr">
        <is>
          <t>01-06-2021</t>
        </is>
      </c>
      <c r="D210" t="inlineStr">
        <is>
          <t>Amnesty</t>
        </is>
      </c>
      <c r="E210" t="inlineStr">
        <is>
          <t>Mar-2020</t>
        </is>
      </c>
      <c r="F210" t="inlineStr">
        <is>
          <t>Mar-2020</t>
        </is>
      </c>
      <c r="G210" t="inlineStr">
        <is>
          <t>01-06-2021</t>
        </is>
      </c>
      <c r="H210" t="inlineStr">
        <is>
          <t>31-08-2021</t>
        </is>
      </c>
      <c r="I210" t="inlineStr">
        <is>
          <t>NIL</t>
        </is>
      </c>
      <c r="J210" t="inlineStr">
        <is>
          <t>ALL</t>
        </is>
      </c>
      <c r="K210" t="n">
        <v>500</v>
      </c>
      <c r="L210" t="inlineStr">
        <is>
          <t>Cap</t>
        </is>
      </c>
      <c r="M210" t="inlineStr">
        <is>
          <t>Late fee capped at ₹500 under Notification 19/2021-CT.</t>
        </is>
      </c>
      <c r="N210" t="inlineStr">
        <is>
          <t>Low</t>
        </is>
      </c>
      <c r="O210" t="n">
        <v>1</v>
      </c>
    </row>
    <row r="211">
      <c r="A211" t="inlineStr">
        <is>
          <t>Mar-2020_LF05_SMALL</t>
        </is>
      </c>
      <c r="B211" t="inlineStr">
        <is>
          <t>19/2021-CT</t>
        </is>
      </c>
      <c r="C211" t="inlineStr">
        <is>
          <t>01-06-2021</t>
        </is>
      </c>
      <c r="D211" t="inlineStr">
        <is>
          <t>Amnesty</t>
        </is>
      </c>
      <c r="E211" t="inlineStr">
        <is>
          <t>Mar-2020</t>
        </is>
      </c>
      <c r="F211" t="inlineStr">
        <is>
          <t>Mar-2020</t>
        </is>
      </c>
      <c r="G211" t="inlineStr">
        <is>
          <t>01-06-2021</t>
        </is>
      </c>
      <c r="H211" t="inlineStr">
        <is>
          <t>31-08-2021</t>
        </is>
      </c>
      <c r="I211" t="inlineStr">
        <is>
          <t>NON-NIL</t>
        </is>
      </c>
      <c r="J211" t="inlineStr">
        <is>
          <t>≤5Cr</t>
        </is>
      </c>
      <c r="K211" t="n">
        <v>2000</v>
      </c>
      <c r="L211" t="inlineStr">
        <is>
          <t>Cap</t>
        </is>
      </c>
      <c r="M211" t="inlineStr">
        <is>
          <t>Late fee capped at ₹2,000 under Notification 19/2021-CT.</t>
        </is>
      </c>
      <c r="N211" t="inlineStr">
        <is>
          <t>Low</t>
        </is>
      </c>
      <c r="O211" t="n">
        <v>1</v>
      </c>
    </row>
    <row r="212">
      <c r="A212" t="inlineStr">
        <is>
          <t>Mar-2020_LF05_LARGE</t>
        </is>
      </c>
      <c r="B212" t="inlineStr">
        <is>
          <t>19/2021-CT</t>
        </is>
      </c>
      <c r="C212" t="inlineStr">
        <is>
          <t>01-06-2021</t>
        </is>
      </c>
      <c r="D212" t="inlineStr">
        <is>
          <t>Amnesty</t>
        </is>
      </c>
      <c r="E212" t="inlineStr">
        <is>
          <t>Mar-2020</t>
        </is>
      </c>
      <c r="F212" t="inlineStr">
        <is>
          <t>Mar-2020</t>
        </is>
      </c>
      <c r="G212" t="inlineStr">
        <is>
          <t>01-06-2021</t>
        </is>
      </c>
      <c r="H212" t="inlineStr">
        <is>
          <t>31-08-2021</t>
        </is>
      </c>
      <c r="I212" t="inlineStr">
        <is>
          <t>NON-NIL</t>
        </is>
      </c>
      <c r="J212" t="inlineStr">
        <is>
          <t>&gt;5Cr</t>
        </is>
      </c>
      <c r="K212" t="n">
        <v>5000</v>
      </c>
      <c r="L212" t="inlineStr">
        <is>
          <t>Cap</t>
        </is>
      </c>
      <c r="M212" t="inlineStr">
        <is>
          <t>Late fee capped at ₹5,000 under Notification 19/2021-CT.</t>
        </is>
      </c>
      <c r="N212" t="inlineStr">
        <is>
          <t>Low</t>
        </is>
      </c>
      <c r="O212" t="n">
        <v>1</v>
      </c>
    </row>
    <row r="213">
      <c r="A213" t="inlineStr">
        <is>
          <t>Mar-2020_LF06_NIL</t>
        </is>
      </c>
      <c r="B213" t="inlineStr">
        <is>
          <t>33/2021-CT</t>
        </is>
      </c>
      <c r="C213" t="inlineStr">
        <is>
          <t>29-08-2021</t>
        </is>
      </c>
      <c r="D213" t="inlineStr">
        <is>
          <t>Amnesty</t>
        </is>
      </c>
      <c r="E213" t="inlineStr">
        <is>
          <t>Mar-2020</t>
        </is>
      </c>
      <c r="F213" t="inlineStr">
        <is>
          <t>Mar-2020</t>
        </is>
      </c>
      <c r="G213" t="inlineStr">
        <is>
          <t>01-09-2021</t>
        </is>
      </c>
      <c r="H213" t="inlineStr">
        <is>
          <t>30-11-2021</t>
        </is>
      </c>
      <c r="I213" t="inlineStr">
        <is>
          <t>NIL</t>
        </is>
      </c>
      <c r="J213" t="inlineStr">
        <is>
          <t>ALL</t>
        </is>
      </c>
      <c r="K213" t="n">
        <v>500</v>
      </c>
      <c r="L213" t="inlineStr">
        <is>
          <t>Cap</t>
        </is>
      </c>
      <c r="M213" t="inlineStr">
        <is>
          <t>Late fee capped at ₹500 under extended amnesty (33/2021-CT).</t>
        </is>
      </c>
      <c r="N213" t="inlineStr">
        <is>
          <t>Low</t>
        </is>
      </c>
      <c r="O213" t="n">
        <v>1</v>
      </c>
    </row>
    <row r="214">
      <c r="A214" t="inlineStr">
        <is>
          <t>Mar-2020_LF06_SMALL</t>
        </is>
      </c>
      <c r="B214" t="inlineStr">
        <is>
          <t>33/2021-CT</t>
        </is>
      </c>
      <c r="C214" t="inlineStr">
        <is>
          <t>29-08-2021</t>
        </is>
      </c>
      <c r="D214" t="inlineStr">
        <is>
          <t>Amnesty</t>
        </is>
      </c>
      <c r="E214" t="inlineStr">
        <is>
          <t>Mar-2020</t>
        </is>
      </c>
      <c r="F214" t="inlineStr">
        <is>
          <t>Mar-2020</t>
        </is>
      </c>
      <c r="G214" t="inlineStr">
        <is>
          <t>01-09-2021</t>
        </is>
      </c>
      <c r="H214" t="inlineStr">
        <is>
          <t>30-11-2021</t>
        </is>
      </c>
      <c r="I214" t="inlineStr">
        <is>
          <t>NON-NIL</t>
        </is>
      </c>
      <c r="J214" t="inlineStr">
        <is>
          <t>≤5Cr</t>
        </is>
      </c>
      <c r="K214" t="n">
        <v>2000</v>
      </c>
      <c r="L214" t="inlineStr">
        <is>
          <t>Cap</t>
        </is>
      </c>
      <c r="M214" t="inlineStr">
        <is>
          <t>Late fee capped at ₹2,000 under extended amnesty (33/2021-CT).</t>
        </is>
      </c>
      <c r="N214" t="inlineStr">
        <is>
          <t>Low</t>
        </is>
      </c>
      <c r="O214" t="n">
        <v>1</v>
      </c>
    </row>
    <row r="215">
      <c r="A215" t="inlineStr">
        <is>
          <t>Mar-2020_LF06_LARGE</t>
        </is>
      </c>
      <c r="B215" t="inlineStr">
        <is>
          <t>33/2021-CT</t>
        </is>
      </c>
      <c r="C215" t="inlineStr">
        <is>
          <t>29-08-2021</t>
        </is>
      </c>
      <c r="D215" t="inlineStr">
        <is>
          <t>Amnesty</t>
        </is>
      </c>
      <c r="E215" t="inlineStr">
        <is>
          <t>Mar-2020</t>
        </is>
      </c>
      <c r="F215" t="inlineStr">
        <is>
          <t>Mar-2020</t>
        </is>
      </c>
      <c r="G215" t="inlineStr">
        <is>
          <t>01-09-2021</t>
        </is>
      </c>
      <c r="H215" t="inlineStr">
        <is>
          <t>30-11-2021</t>
        </is>
      </c>
      <c r="I215" t="inlineStr">
        <is>
          <t>NON-NIL</t>
        </is>
      </c>
      <c r="J215" t="inlineStr">
        <is>
          <t>&gt;5Cr</t>
        </is>
      </c>
      <c r="K215" t="n">
        <v>5000</v>
      </c>
      <c r="L215" t="inlineStr">
        <is>
          <t>Cap</t>
        </is>
      </c>
      <c r="M215" t="inlineStr">
        <is>
          <t>Late fee capped at ₹5,000 under extended amnesty (33/2021-CT).</t>
        </is>
      </c>
      <c r="N215" t="inlineStr">
        <is>
          <t>Low</t>
        </is>
      </c>
      <c r="O215" t="n">
        <v>1</v>
      </c>
    </row>
    <row r="216">
      <c r="A216" t="inlineStr">
        <is>
          <t>Apr-2020_LF05_NIL</t>
        </is>
      </c>
      <c r="B216" t="inlineStr">
        <is>
          <t>19/2021-CT</t>
        </is>
      </c>
      <c r="C216" t="inlineStr">
        <is>
          <t>01-06-2021</t>
        </is>
      </c>
      <c r="D216" t="inlineStr">
        <is>
          <t>Amnesty</t>
        </is>
      </c>
      <c r="E216" t="inlineStr">
        <is>
          <t>Apr-2020</t>
        </is>
      </c>
      <c r="F216" t="inlineStr">
        <is>
          <t>Apr-2020</t>
        </is>
      </c>
      <c r="G216" t="inlineStr">
        <is>
          <t>01-06-2021</t>
        </is>
      </c>
      <c r="H216" t="inlineStr">
        <is>
          <t>31-08-2021</t>
        </is>
      </c>
      <c r="I216" t="inlineStr">
        <is>
          <t>NIL</t>
        </is>
      </c>
      <c r="J216" t="inlineStr">
        <is>
          <t>ALL</t>
        </is>
      </c>
      <c r="K216" t="n">
        <v>500</v>
      </c>
      <c r="L216" t="inlineStr">
        <is>
          <t>Cap</t>
        </is>
      </c>
      <c r="M216" t="inlineStr">
        <is>
          <t>Late fee capped at ₹500 under Notification 19/2021-CT.</t>
        </is>
      </c>
      <c r="N216" t="inlineStr">
        <is>
          <t>Low</t>
        </is>
      </c>
      <c r="O216" t="n">
        <v>1</v>
      </c>
    </row>
    <row r="217">
      <c r="A217" t="inlineStr">
        <is>
          <t>Apr-2020_LF05_SMALL</t>
        </is>
      </c>
      <c r="B217" t="inlineStr">
        <is>
          <t>19/2021-CT</t>
        </is>
      </c>
      <c r="C217" t="inlineStr">
        <is>
          <t>01-06-2021</t>
        </is>
      </c>
      <c r="D217" t="inlineStr">
        <is>
          <t>Amnesty</t>
        </is>
      </c>
      <c r="E217" t="inlineStr">
        <is>
          <t>Apr-2020</t>
        </is>
      </c>
      <c r="F217" t="inlineStr">
        <is>
          <t>Apr-2020</t>
        </is>
      </c>
      <c r="G217" t="inlineStr">
        <is>
          <t>01-06-2021</t>
        </is>
      </c>
      <c r="H217" t="inlineStr">
        <is>
          <t>31-08-2021</t>
        </is>
      </c>
      <c r="I217" t="inlineStr">
        <is>
          <t>NON-NIL</t>
        </is>
      </c>
      <c r="J217" t="inlineStr">
        <is>
          <t>≤5Cr</t>
        </is>
      </c>
      <c r="K217" t="n">
        <v>2000</v>
      </c>
      <c r="L217" t="inlineStr">
        <is>
          <t>Cap</t>
        </is>
      </c>
      <c r="M217" t="inlineStr">
        <is>
          <t>Late fee capped at ₹2,000 under Notification 19/2021-CT.</t>
        </is>
      </c>
      <c r="N217" t="inlineStr">
        <is>
          <t>Low</t>
        </is>
      </c>
      <c r="O217" t="n">
        <v>1</v>
      </c>
    </row>
    <row r="218">
      <c r="A218" t="inlineStr">
        <is>
          <t>Apr-2020_LF05_LARGE</t>
        </is>
      </c>
      <c r="B218" t="inlineStr">
        <is>
          <t>19/2021-CT</t>
        </is>
      </c>
      <c r="C218" t="inlineStr">
        <is>
          <t>01-06-2021</t>
        </is>
      </c>
      <c r="D218" t="inlineStr">
        <is>
          <t>Amnesty</t>
        </is>
      </c>
      <c r="E218" t="inlineStr">
        <is>
          <t>Apr-2020</t>
        </is>
      </c>
      <c r="F218" t="inlineStr">
        <is>
          <t>Apr-2020</t>
        </is>
      </c>
      <c r="G218" t="inlineStr">
        <is>
          <t>01-06-2021</t>
        </is>
      </c>
      <c r="H218" t="inlineStr">
        <is>
          <t>31-08-2021</t>
        </is>
      </c>
      <c r="I218" t="inlineStr">
        <is>
          <t>NON-NIL</t>
        </is>
      </c>
      <c r="J218" t="inlineStr">
        <is>
          <t>&gt;5Cr</t>
        </is>
      </c>
      <c r="K218" t="n">
        <v>5000</v>
      </c>
      <c r="L218" t="inlineStr">
        <is>
          <t>Cap</t>
        </is>
      </c>
      <c r="M218" t="inlineStr">
        <is>
          <t>Late fee capped at ₹5,000 under Notification 19/2021-CT.</t>
        </is>
      </c>
      <c r="N218" t="inlineStr">
        <is>
          <t>Low</t>
        </is>
      </c>
      <c r="O218" t="n">
        <v>1</v>
      </c>
    </row>
    <row r="219">
      <c r="A219" t="inlineStr">
        <is>
          <t>Apr-2020_LF06_NIL</t>
        </is>
      </c>
      <c r="B219" t="inlineStr">
        <is>
          <t>33/2021-CT</t>
        </is>
      </c>
      <c r="C219" t="inlineStr">
        <is>
          <t>29-08-2021</t>
        </is>
      </c>
      <c r="D219" t="inlineStr">
        <is>
          <t>Amnesty</t>
        </is>
      </c>
      <c r="E219" t="inlineStr">
        <is>
          <t>Apr-2020</t>
        </is>
      </c>
      <c r="F219" t="inlineStr">
        <is>
          <t>Apr-2020</t>
        </is>
      </c>
      <c r="G219" t="inlineStr">
        <is>
          <t>01-09-2021</t>
        </is>
      </c>
      <c r="H219" t="inlineStr">
        <is>
          <t>30-11-2021</t>
        </is>
      </c>
      <c r="I219" t="inlineStr">
        <is>
          <t>NIL</t>
        </is>
      </c>
      <c r="J219" t="inlineStr">
        <is>
          <t>ALL</t>
        </is>
      </c>
      <c r="K219" t="n">
        <v>500</v>
      </c>
      <c r="L219" t="inlineStr">
        <is>
          <t>Cap</t>
        </is>
      </c>
      <c r="M219" t="inlineStr">
        <is>
          <t>Late fee capped at ₹500 under extended amnesty (33/2021-CT).</t>
        </is>
      </c>
      <c r="N219" t="inlineStr">
        <is>
          <t>Low</t>
        </is>
      </c>
      <c r="O219" t="n">
        <v>1</v>
      </c>
    </row>
    <row r="220">
      <c r="A220" t="inlineStr">
        <is>
          <t>Apr-2020_LF06_SMALL</t>
        </is>
      </c>
      <c r="B220" t="inlineStr">
        <is>
          <t>33/2021-CT</t>
        </is>
      </c>
      <c r="C220" t="inlineStr">
        <is>
          <t>29-08-2021</t>
        </is>
      </c>
      <c r="D220" t="inlineStr">
        <is>
          <t>Amnesty</t>
        </is>
      </c>
      <c r="E220" t="inlineStr">
        <is>
          <t>Apr-2020</t>
        </is>
      </c>
      <c r="F220" t="inlineStr">
        <is>
          <t>Apr-2020</t>
        </is>
      </c>
      <c r="G220" t="inlineStr">
        <is>
          <t>01-09-2021</t>
        </is>
      </c>
      <c r="H220" t="inlineStr">
        <is>
          <t>30-11-2021</t>
        </is>
      </c>
      <c r="I220" t="inlineStr">
        <is>
          <t>NON-NIL</t>
        </is>
      </c>
      <c r="J220" t="inlineStr">
        <is>
          <t>≤5Cr</t>
        </is>
      </c>
      <c r="K220" t="n">
        <v>2000</v>
      </c>
      <c r="L220" t="inlineStr">
        <is>
          <t>Cap</t>
        </is>
      </c>
      <c r="M220" t="inlineStr">
        <is>
          <t>Late fee capped at ₹2,000 under extended amnesty (33/2021-CT).</t>
        </is>
      </c>
      <c r="N220" t="inlineStr">
        <is>
          <t>Low</t>
        </is>
      </c>
      <c r="O220" t="n">
        <v>1</v>
      </c>
    </row>
    <row r="221">
      <c r="A221" t="inlineStr">
        <is>
          <t>Apr-2020_LF06_LARGE</t>
        </is>
      </c>
      <c r="B221" t="inlineStr">
        <is>
          <t>33/2021-CT</t>
        </is>
      </c>
      <c r="C221" t="inlineStr">
        <is>
          <t>29-08-2021</t>
        </is>
      </c>
      <c r="D221" t="inlineStr">
        <is>
          <t>Amnesty</t>
        </is>
      </c>
      <c r="E221" t="inlineStr">
        <is>
          <t>Apr-2020</t>
        </is>
      </c>
      <c r="F221" t="inlineStr">
        <is>
          <t>Apr-2020</t>
        </is>
      </c>
      <c r="G221" t="inlineStr">
        <is>
          <t>01-09-2021</t>
        </is>
      </c>
      <c r="H221" t="inlineStr">
        <is>
          <t>30-11-2021</t>
        </is>
      </c>
      <c r="I221" t="inlineStr">
        <is>
          <t>NON-NIL</t>
        </is>
      </c>
      <c r="J221" t="inlineStr">
        <is>
          <t>&gt;5Cr</t>
        </is>
      </c>
      <c r="K221" t="n">
        <v>5000</v>
      </c>
      <c r="L221" t="inlineStr">
        <is>
          <t>Cap</t>
        </is>
      </c>
      <c r="M221" t="inlineStr">
        <is>
          <t>Late fee capped at ₹5,000 under extended amnesty (33/2021-CT).</t>
        </is>
      </c>
      <c r="N221" t="inlineStr">
        <is>
          <t>Low</t>
        </is>
      </c>
      <c r="O221" t="n">
        <v>1</v>
      </c>
    </row>
    <row r="222">
      <c r="A222" t="inlineStr">
        <is>
          <t>May-2020_LF05_NIL</t>
        </is>
      </c>
      <c r="B222" t="inlineStr">
        <is>
          <t>19/2021-CT</t>
        </is>
      </c>
      <c r="C222" t="inlineStr">
        <is>
          <t>01-06-2021</t>
        </is>
      </c>
      <c r="D222" t="inlineStr">
        <is>
          <t>Amnesty</t>
        </is>
      </c>
      <c r="E222" t="inlineStr">
        <is>
          <t>May-2020</t>
        </is>
      </c>
      <c r="F222" t="inlineStr">
        <is>
          <t>May-2020</t>
        </is>
      </c>
      <c r="G222" t="inlineStr">
        <is>
          <t>01-06-2021</t>
        </is>
      </c>
      <c r="H222" t="inlineStr">
        <is>
          <t>31-08-2021</t>
        </is>
      </c>
      <c r="I222" t="inlineStr">
        <is>
          <t>NIL</t>
        </is>
      </c>
      <c r="J222" t="inlineStr">
        <is>
          <t>ALL</t>
        </is>
      </c>
      <c r="K222" t="n">
        <v>500</v>
      </c>
      <c r="L222" t="inlineStr">
        <is>
          <t>Cap</t>
        </is>
      </c>
      <c r="M222" t="inlineStr">
        <is>
          <t>Late fee capped at ₹500 under Notification 19/2021-CT.</t>
        </is>
      </c>
      <c r="N222" t="inlineStr">
        <is>
          <t>Low</t>
        </is>
      </c>
      <c r="O222" t="n">
        <v>1</v>
      </c>
    </row>
    <row r="223">
      <c r="A223" t="inlineStr">
        <is>
          <t>May-2020_LF05_SMALL</t>
        </is>
      </c>
      <c r="B223" t="inlineStr">
        <is>
          <t>19/2021-CT</t>
        </is>
      </c>
      <c r="C223" t="inlineStr">
        <is>
          <t>01-06-2021</t>
        </is>
      </c>
      <c r="D223" t="inlineStr">
        <is>
          <t>Amnesty</t>
        </is>
      </c>
      <c r="E223" t="inlineStr">
        <is>
          <t>May-2020</t>
        </is>
      </c>
      <c r="F223" t="inlineStr">
        <is>
          <t>May-2020</t>
        </is>
      </c>
      <c r="G223" t="inlineStr">
        <is>
          <t>01-06-2021</t>
        </is>
      </c>
      <c r="H223" t="inlineStr">
        <is>
          <t>31-08-2021</t>
        </is>
      </c>
      <c r="I223" t="inlineStr">
        <is>
          <t>NON-NIL</t>
        </is>
      </c>
      <c r="J223" t="inlineStr">
        <is>
          <t>≤5Cr</t>
        </is>
      </c>
      <c r="K223" t="n">
        <v>2000</v>
      </c>
      <c r="L223" t="inlineStr">
        <is>
          <t>Cap</t>
        </is>
      </c>
      <c r="M223" t="inlineStr">
        <is>
          <t>Late fee capped at ₹2,000 under Notification 19/2021-CT.</t>
        </is>
      </c>
      <c r="N223" t="inlineStr">
        <is>
          <t>Low</t>
        </is>
      </c>
      <c r="O223" t="n">
        <v>1</v>
      </c>
    </row>
    <row r="224">
      <c r="A224" t="inlineStr">
        <is>
          <t>May-2020_LF05_LARGE</t>
        </is>
      </c>
      <c r="B224" t="inlineStr">
        <is>
          <t>19/2021-CT</t>
        </is>
      </c>
      <c r="C224" t="inlineStr">
        <is>
          <t>01-06-2021</t>
        </is>
      </c>
      <c r="D224" t="inlineStr">
        <is>
          <t>Amnesty</t>
        </is>
      </c>
      <c r="E224" t="inlineStr">
        <is>
          <t>May-2020</t>
        </is>
      </c>
      <c r="F224" t="inlineStr">
        <is>
          <t>May-2020</t>
        </is>
      </c>
      <c r="G224" t="inlineStr">
        <is>
          <t>01-06-2021</t>
        </is>
      </c>
      <c r="H224" t="inlineStr">
        <is>
          <t>31-08-2021</t>
        </is>
      </c>
      <c r="I224" t="inlineStr">
        <is>
          <t>NON-NIL</t>
        </is>
      </c>
      <c r="J224" t="inlineStr">
        <is>
          <t>&gt;5Cr</t>
        </is>
      </c>
      <c r="K224" t="n">
        <v>5000</v>
      </c>
      <c r="L224" t="inlineStr">
        <is>
          <t>Cap</t>
        </is>
      </c>
      <c r="M224" t="inlineStr">
        <is>
          <t>Late fee capped at ₹5,000 under Notification 19/2021-CT.</t>
        </is>
      </c>
      <c r="N224" t="inlineStr">
        <is>
          <t>Low</t>
        </is>
      </c>
      <c r="O224" t="n">
        <v>1</v>
      </c>
    </row>
    <row r="225">
      <c r="A225" t="inlineStr">
        <is>
          <t>May-2020_LF06_NIL</t>
        </is>
      </c>
      <c r="B225" t="inlineStr">
        <is>
          <t>33/2021-CT</t>
        </is>
      </c>
      <c r="C225" t="inlineStr">
        <is>
          <t>29-08-2021</t>
        </is>
      </c>
      <c r="D225" t="inlineStr">
        <is>
          <t>Amnesty</t>
        </is>
      </c>
      <c r="E225" t="inlineStr">
        <is>
          <t>May-2020</t>
        </is>
      </c>
      <c r="F225" t="inlineStr">
        <is>
          <t>May-2020</t>
        </is>
      </c>
      <c r="G225" t="inlineStr">
        <is>
          <t>01-09-2021</t>
        </is>
      </c>
      <c r="H225" t="inlineStr">
        <is>
          <t>30-11-2021</t>
        </is>
      </c>
      <c r="I225" t="inlineStr">
        <is>
          <t>NIL</t>
        </is>
      </c>
      <c r="J225" t="inlineStr">
        <is>
          <t>ALL</t>
        </is>
      </c>
      <c r="K225" t="n">
        <v>500</v>
      </c>
      <c r="L225" t="inlineStr">
        <is>
          <t>Cap</t>
        </is>
      </c>
      <c r="M225" t="inlineStr">
        <is>
          <t>Late fee capped at ₹500 under extended amnesty (33/2021-CT).</t>
        </is>
      </c>
      <c r="N225" t="inlineStr">
        <is>
          <t>Low</t>
        </is>
      </c>
      <c r="O225" t="n">
        <v>1</v>
      </c>
    </row>
    <row r="226">
      <c r="A226" t="inlineStr">
        <is>
          <t>May-2020_LF06_SMALL</t>
        </is>
      </c>
      <c r="B226" t="inlineStr">
        <is>
          <t>33/2021-CT</t>
        </is>
      </c>
      <c r="C226" t="inlineStr">
        <is>
          <t>29-08-2021</t>
        </is>
      </c>
      <c r="D226" t="inlineStr">
        <is>
          <t>Amnesty</t>
        </is>
      </c>
      <c r="E226" t="inlineStr">
        <is>
          <t>May-2020</t>
        </is>
      </c>
      <c r="F226" t="inlineStr">
        <is>
          <t>May-2020</t>
        </is>
      </c>
      <c r="G226" t="inlineStr">
        <is>
          <t>01-09-2021</t>
        </is>
      </c>
      <c r="H226" t="inlineStr">
        <is>
          <t>30-11-2021</t>
        </is>
      </c>
      <c r="I226" t="inlineStr">
        <is>
          <t>NON-NIL</t>
        </is>
      </c>
      <c r="J226" t="inlineStr">
        <is>
          <t>≤5Cr</t>
        </is>
      </c>
      <c r="K226" t="n">
        <v>2000</v>
      </c>
      <c r="L226" t="inlineStr">
        <is>
          <t>Cap</t>
        </is>
      </c>
      <c r="M226" t="inlineStr">
        <is>
          <t>Late fee capped at ₹2,000 under extended amnesty (33/2021-CT).</t>
        </is>
      </c>
      <c r="N226" t="inlineStr">
        <is>
          <t>Low</t>
        </is>
      </c>
      <c r="O226" t="n">
        <v>1</v>
      </c>
    </row>
    <row r="227">
      <c r="A227" t="inlineStr">
        <is>
          <t>May-2020_LF06_LARGE</t>
        </is>
      </c>
      <c r="B227" t="inlineStr">
        <is>
          <t>33/2021-CT</t>
        </is>
      </c>
      <c r="C227" t="inlineStr">
        <is>
          <t>29-08-2021</t>
        </is>
      </c>
      <c r="D227" t="inlineStr">
        <is>
          <t>Amnesty</t>
        </is>
      </c>
      <c r="E227" t="inlineStr">
        <is>
          <t>May-2020</t>
        </is>
      </c>
      <c r="F227" t="inlineStr">
        <is>
          <t>May-2020</t>
        </is>
      </c>
      <c r="G227" t="inlineStr">
        <is>
          <t>01-09-2021</t>
        </is>
      </c>
      <c r="H227" t="inlineStr">
        <is>
          <t>30-11-2021</t>
        </is>
      </c>
      <c r="I227" t="inlineStr">
        <is>
          <t>NON-NIL</t>
        </is>
      </c>
      <c r="J227" t="inlineStr">
        <is>
          <t>&gt;5Cr</t>
        </is>
      </c>
      <c r="K227" t="n">
        <v>5000</v>
      </c>
      <c r="L227" t="inlineStr">
        <is>
          <t>Cap</t>
        </is>
      </c>
      <c r="M227" t="inlineStr">
        <is>
          <t>Late fee capped at ₹5,000 under extended amnesty (33/2021-CT).</t>
        </is>
      </c>
      <c r="N227" t="inlineStr">
        <is>
          <t>Low</t>
        </is>
      </c>
      <c r="O227" t="n">
        <v>1</v>
      </c>
    </row>
    <row r="228">
      <c r="A228" t="inlineStr">
        <is>
          <t>Jun-2020_LF05_NIL</t>
        </is>
      </c>
      <c r="B228" t="inlineStr">
        <is>
          <t>19/2021-CT</t>
        </is>
      </c>
      <c r="C228" t="inlineStr">
        <is>
          <t>01-06-2021</t>
        </is>
      </c>
      <c r="D228" t="inlineStr">
        <is>
          <t>Amnesty</t>
        </is>
      </c>
      <c r="E228" t="inlineStr">
        <is>
          <t>Jun-2020</t>
        </is>
      </c>
      <c r="F228" t="inlineStr">
        <is>
          <t>Jun-2020</t>
        </is>
      </c>
      <c r="G228" t="inlineStr">
        <is>
          <t>01-06-2021</t>
        </is>
      </c>
      <c r="H228" t="inlineStr">
        <is>
          <t>31-08-2021</t>
        </is>
      </c>
      <c r="I228" t="inlineStr">
        <is>
          <t>NIL</t>
        </is>
      </c>
      <c r="J228" t="inlineStr">
        <is>
          <t>ALL</t>
        </is>
      </c>
      <c r="K228" t="n">
        <v>500</v>
      </c>
      <c r="L228" t="inlineStr">
        <is>
          <t>Cap</t>
        </is>
      </c>
      <c r="M228" t="inlineStr">
        <is>
          <t>Late fee capped at ₹500 under Notification 19/2021-CT.</t>
        </is>
      </c>
      <c r="N228" t="inlineStr">
        <is>
          <t>Low</t>
        </is>
      </c>
      <c r="O228" t="n">
        <v>1</v>
      </c>
    </row>
    <row r="229">
      <c r="A229" t="inlineStr">
        <is>
          <t>Jun-2020_LF05_SMALL</t>
        </is>
      </c>
      <c r="B229" t="inlineStr">
        <is>
          <t>19/2021-CT</t>
        </is>
      </c>
      <c r="C229" t="inlineStr">
        <is>
          <t>01-06-2021</t>
        </is>
      </c>
      <c r="D229" t="inlineStr">
        <is>
          <t>Amnesty</t>
        </is>
      </c>
      <c r="E229" t="inlineStr">
        <is>
          <t>Jun-2020</t>
        </is>
      </c>
      <c r="F229" t="inlineStr">
        <is>
          <t>Jun-2020</t>
        </is>
      </c>
      <c r="G229" t="inlineStr">
        <is>
          <t>01-06-2021</t>
        </is>
      </c>
      <c r="H229" t="inlineStr">
        <is>
          <t>31-08-2021</t>
        </is>
      </c>
      <c r="I229" t="inlineStr">
        <is>
          <t>NON-NIL</t>
        </is>
      </c>
      <c r="J229" t="inlineStr">
        <is>
          <t>≤5Cr</t>
        </is>
      </c>
      <c r="K229" t="n">
        <v>2000</v>
      </c>
      <c r="L229" t="inlineStr">
        <is>
          <t>Cap</t>
        </is>
      </c>
      <c r="M229" t="inlineStr">
        <is>
          <t>Late fee capped at ₹2,000 under Notification 19/2021-CT.</t>
        </is>
      </c>
      <c r="N229" t="inlineStr">
        <is>
          <t>Low</t>
        </is>
      </c>
      <c r="O229" t="n">
        <v>1</v>
      </c>
    </row>
    <row r="230">
      <c r="A230" t="inlineStr">
        <is>
          <t>Jun-2020_LF05_LARGE</t>
        </is>
      </c>
      <c r="B230" t="inlineStr">
        <is>
          <t>19/2021-CT</t>
        </is>
      </c>
      <c r="C230" t="inlineStr">
        <is>
          <t>01-06-2021</t>
        </is>
      </c>
      <c r="D230" t="inlineStr">
        <is>
          <t>Amnesty</t>
        </is>
      </c>
      <c r="E230" t="inlineStr">
        <is>
          <t>Jun-2020</t>
        </is>
      </c>
      <c r="F230" t="inlineStr">
        <is>
          <t>Jun-2020</t>
        </is>
      </c>
      <c r="G230" t="inlineStr">
        <is>
          <t>01-06-2021</t>
        </is>
      </c>
      <c r="H230" t="inlineStr">
        <is>
          <t>31-08-2021</t>
        </is>
      </c>
      <c r="I230" t="inlineStr">
        <is>
          <t>NON-NIL</t>
        </is>
      </c>
      <c r="J230" t="inlineStr">
        <is>
          <t>&gt;5Cr</t>
        </is>
      </c>
      <c r="K230" t="n">
        <v>5000</v>
      </c>
      <c r="L230" t="inlineStr">
        <is>
          <t>Cap</t>
        </is>
      </c>
      <c r="M230" t="inlineStr">
        <is>
          <t>Late fee capped at ₹5,000 under Notification 19/2021-CT.</t>
        </is>
      </c>
      <c r="N230" t="inlineStr">
        <is>
          <t>Low</t>
        </is>
      </c>
      <c r="O230" t="n">
        <v>1</v>
      </c>
    </row>
    <row r="231">
      <c r="A231" t="inlineStr">
        <is>
          <t>Jun-2020_LF06_NIL</t>
        </is>
      </c>
      <c r="B231" t="inlineStr">
        <is>
          <t>33/2021-CT</t>
        </is>
      </c>
      <c r="C231" t="inlineStr">
        <is>
          <t>29-08-2021</t>
        </is>
      </c>
      <c r="D231" t="inlineStr">
        <is>
          <t>Amnesty</t>
        </is>
      </c>
      <c r="E231" t="inlineStr">
        <is>
          <t>Jun-2020</t>
        </is>
      </c>
      <c r="F231" t="inlineStr">
        <is>
          <t>Jun-2020</t>
        </is>
      </c>
      <c r="G231" t="inlineStr">
        <is>
          <t>01-09-2021</t>
        </is>
      </c>
      <c r="H231" t="inlineStr">
        <is>
          <t>30-11-2021</t>
        </is>
      </c>
      <c r="I231" t="inlineStr">
        <is>
          <t>NIL</t>
        </is>
      </c>
      <c r="J231" t="inlineStr">
        <is>
          <t>ALL</t>
        </is>
      </c>
      <c r="K231" t="n">
        <v>500</v>
      </c>
      <c r="L231" t="inlineStr">
        <is>
          <t>Cap</t>
        </is>
      </c>
      <c r="M231" t="inlineStr">
        <is>
          <t>Late fee capped at ₹500 under extended amnesty (33/2021-CT).</t>
        </is>
      </c>
      <c r="N231" t="inlineStr">
        <is>
          <t>Low</t>
        </is>
      </c>
      <c r="O231" t="n">
        <v>1</v>
      </c>
    </row>
    <row r="232">
      <c r="A232" t="inlineStr">
        <is>
          <t>Jun-2020_LF06_SMALL</t>
        </is>
      </c>
      <c r="B232" t="inlineStr">
        <is>
          <t>33/2021-CT</t>
        </is>
      </c>
      <c r="C232" t="inlineStr">
        <is>
          <t>29-08-2021</t>
        </is>
      </c>
      <c r="D232" t="inlineStr">
        <is>
          <t>Amnesty</t>
        </is>
      </c>
      <c r="E232" t="inlineStr">
        <is>
          <t>Jun-2020</t>
        </is>
      </c>
      <c r="F232" t="inlineStr">
        <is>
          <t>Jun-2020</t>
        </is>
      </c>
      <c r="G232" t="inlineStr">
        <is>
          <t>01-09-2021</t>
        </is>
      </c>
      <c r="H232" t="inlineStr">
        <is>
          <t>30-11-2021</t>
        </is>
      </c>
      <c r="I232" t="inlineStr">
        <is>
          <t>NON-NIL</t>
        </is>
      </c>
      <c r="J232" t="inlineStr">
        <is>
          <t>≤5Cr</t>
        </is>
      </c>
      <c r="K232" t="n">
        <v>2000</v>
      </c>
      <c r="L232" t="inlineStr">
        <is>
          <t>Cap</t>
        </is>
      </c>
      <c r="M232" t="inlineStr">
        <is>
          <t>Late fee capped at ₹2,000 under extended amnesty (33/2021-CT).</t>
        </is>
      </c>
      <c r="N232" t="inlineStr">
        <is>
          <t>Low</t>
        </is>
      </c>
      <c r="O232" t="n">
        <v>1</v>
      </c>
    </row>
    <row r="233">
      <c r="A233" t="inlineStr">
        <is>
          <t>Jun-2020_LF06_LARGE</t>
        </is>
      </c>
      <c r="B233" t="inlineStr">
        <is>
          <t>33/2021-CT</t>
        </is>
      </c>
      <c r="C233" t="inlineStr">
        <is>
          <t>29-08-2021</t>
        </is>
      </c>
      <c r="D233" t="inlineStr">
        <is>
          <t>Amnesty</t>
        </is>
      </c>
      <c r="E233" t="inlineStr">
        <is>
          <t>Jun-2020</t>
        </is>
      </c>
      <c r="F233" t="inlineStr">
        <is>
          <t>Jun-2020</t>
        </is>
      </c>
      <c r="G233" t="inlineStr">
        <is>
          <t>01-09-2021</t>
        </is>
      </c>
      <c r="H233" t="inlineStr">
        <is>
          <t>30-11-2021</t>
        </is>
      </c>
      <c r="I233" t="inlineStr">
        <is>
          <t>NON-NIL</t>
        </is>
      </c>
      <c r="J233" t="inlineStr">
        <is>
          <t>&gt;5Cr</t>
        </is>
      </c>
      <c r="K233" t="n">
        <v>5000</v>
      </c>
      <c r="L233" t="inlineStr">
        <is>
          <t>Cap</t>
        </is>
      </c>
      <c r="M233" t="inlineStr">
        <is>
          <t>Late fee capped at ₹5,000 under extended amnesty (33/2021-CT).</t>
        </is>
      </c>
      <c r="N233" t="inlineStr">
        <is>
          <t>Low</t>
        </is>
      </c>
      <c r="O233" t="n">
        <v>1</v>
      </c>
    </row>
    <row r="234">
      <c r="A234" t="inlineStr">
        <is>
          <t>Jul-2020_LF05_NIL</t>
        </is>
      </c>
      <c r="B234" t="inlineStr">
        <is>
          <t>19/2021-CT</t>
        </is>
      </c>
      <c r="C234" t="inlineStr">
        <is>
          <t>01-06-2021</t>
        </is>
      </c>
      <c r="D234" t="inlineStr">
        <is>
          <t>Amnesty</t>
        </is>
      </c>
      <c r="E234" t="inlineStr">
        <is>
          <t>Jul-2020</t>
        </is>
      </c>
      <c r="F234" t="inlineStr">
        <is>
          <t>Jul-2020</t>
        </is>
      </c>
      <c r="G234" t="inlineStr">
        <is>
          <t>01-06-2021</t>
        </is>
      </c>
      <c r="H234" t="inlineStr">
        <is>
          <t>31-08-2021</t>
        </is>
      </c>
      <c r="I234" t="inlineStr">
        <is>
          <t>NIL</t>
        </is>
      </c>
      <c r="J234" t="inlineStr">
        <is>
          <t>ALL</t>
        </is>
      </c>
      <c r="K234" t="n">
        <v>500</v>
      </c>
      <c r="L234" t="inlineStr">
        <is>
          <t>Cap</t>
        </is>
      </c>
      <c r="M234" t="inlineStr">
        <is>
          <t>Late fee capped at ₹500 under Notification 19/2021-CT.</t>
        </is>
      </c>
      <c r="N234" t="inlineStr">
        <is>
          <t>Low</t>
        </is>
      </c>
      <c r="O234" t="n">
        <v>1</v>
      </c>
    </row>
    <row r="235">
      <c r="A235" t="inlineStr">
        <is>
          <t>Jul-2020_LF05_SMALL</t>
        </is>
      </c>
      <c r="B235" t="inlineStr">
        <is>
          <t>19/2021-CT</t>
        </is>
      </c>
      <c r="C235" t="inlineStr">
        <is>
          <t>01-06-2021</t>
        </is>
      </c>
      <c r="D235" t="inlineStr">
        <is>
          <t>Amnesty</t>
        </is>
      </c>
      <c r="E235" t="inlineStr">
        <is>
          <t>Jul-2020</t>
        </is>
      </c>
      <c r="F235" t="inlineStr">
        <is>
          <t>Jul-2020</t>
        </is>
      </c>
      <c r="G235" t="inlineStr">
        <is>
          <t>01-06-2021</t>
        </is>
      </c>
      <c r="H235" t="inlineStr">
        <is>
          <t>31-08-2021</t>
        </is>
      </c>
      <c r="I235" t="inlineStr">
        <is>
          <t>NON-NIL</t>
        </is>
      </c>
      <c r="J235" t="inlineStr">
        <is>
          <t>≤5Cr</t>
        </is>
      </c>
      <c r="K235" t="n">
        <v>2000</v>
      </c>
      <c r="L235" t="inlineStr">
        <is>
          <t>Cap</t>
        </is>
      </c>
      <c r="M235" t="inlineStr">
        <is>
          <t>Late fee capped at ₹2,000 under Notification 19/2021-CT.</t>
        </is>
      </c>
      <c r="N235" t="inlineStr">
        <is>
          <t>Low</t>
        </is>
      </c>
      <c r="O235" t="n">
        <v>1</v>
      </c>
    </row>
    <row r="236">
      <c r="A236" t="inlineStr">
        <is>
          <t>Jul-2020_LF05_LARGE</t>
        </is>
      </c>
      <c r="B236" t="inlineStr">
        <is>
          <t>19/2021-CT</t>
        </is>
      </c>
      <c r="C236" t="inlineStr">
        <is>
          <t>01-06-2021</t>
        </is>
      </c>
      <c r="D236" t="inlineStr">
        <is>
          <t>Amnesty</t>
        </is>
      </c>
      <c r="E236" t="inlineStr">
        <is>
          <t>Jul-2020</t>
        </is>
      </c>
      <c r="F236" t="inlineStr">
        <is>
          <t>Jul-2020</t>
        </is>
      </c>
      <c r="G236" t="inlineStr">
        <is>
          <t>01-06-2021</t>
        </is>
      </c>
      <c r="H236" t="inlineStr">
        <is>
          <t>31-08-2021</t>
        </is>
      </c>
      <c r="I236" t="inlineStr">
        <is>
          <t>NON-NIL</t>
        </is>
      </c>
      <c r="J236" t="inlineStr">
        <is>
          <t>&gt;5Cr</t>
        </is>
      </c>
      <c r="K236" t="n">
        <v>5000</v>
      </c>
      <c r="L236" t="inlineStr">
        <is>
          <t>Cap</t>
        </is>
      </c>
      <c r="M236" t="inlineStr">
        <is>
          <t>Late fee capped at ₹5,000 under Notification 19/2021-CT.</t>
        </is>
      </c>
      <c r="N236" t="inlineStr">
        <is>
          <t>Low</t>
        </is>
      </c>
      <c r="O236" t="n">
        <v>1</v>
      </c>
    </row>
    <row r="237">
      <c r="A237" t="inlineStr">
        <is>
          <t>Jul-2020_LF06_NIL</t>
        </is>
      </c>
      <c r="B237" t="inlineStr">
        <is>
          <t>33/2021-CT</t>
        </is>
      </c>
      <c r="C237" t="inlineStr">
        <is>
          <t>29-08-2021</t>
        </is>
      </c>
      <c r="D237" t="inlineStr">
        <is>
          <t>Amnesty</t>
        </is>
      </c>
      <c r="E237" t="inlineStr">
        <is>
          <t>Jul-2020</t>
        </is>
      </c>
      <c r="F237" t="inlineStr">
        <is>
          <t>Jul-2020</t>
        </is>
      </c>
      <c r="G237" t="inlineStr">
        <is>
          <t>01-09-2021</t>
        </is>
      </c>
      <c r="H237" t="inlineStr">
        <is>
          <t>30-11-2021</t>
        </is>
      </c>
      <c r="I237" t="inlineStr">
        <is>
          <t>NIL</t>
        </is>
      </c>
      <c r="J237" t="inlineStr">
        <is>
          <t>ALL</t>
        </is>
      </c>
      <c r="K237" t="n">
        <v>500</v>
      </c>
      <c r="L237" t="inlineStr">
        <is>
          <t>Cap</t>
        </is>
      </c>
      <c r="M237" t="inlineStr">
        <is>
          <t>Late fee capped at ₹500 under extended amnesty (33/2021-CT).</t>
        </is>
      </c>
      <c r="N237" t="inlineStr">
        <is>
          <t>Low</t>
        </is>
      </c>
      <c r="O237" t="n">
        <v>1</v>
      </c>
    </row>
    <row r="238">
      <c r="A238" t="inlineStr">
        <is>
          <t>Jul-2020_LF06_SMALL</t>
        </is>
      </c>
      <c r="B238" t="inlineStr">
        <is>
          <t>33/2021-CT</t>
        </is>
      </c>
      <c r="C238" t="inlineStr">
        <is>
          <t>29-08-2021</t>
        </is>
      </c>
      <c r="D238" t="inlineStr">
        <is>
          <t>Amnesty</t>
        </is>
      </c>
      <c r="E238" t="inlineStr">
        <is>
          <t>Jul-2020</t>
        </is>
      </c>
      <c r="F238" t="inlineStr">
        <is>
          <t>Jul-2020</t>
        </is>
      </c>
      <c r="G238" t="inlineStr">
        <is>
          <t>01-09-2021</t>
        </is>
      </c>
      <c r="H238" t="inlineStr">
        <is>
          <t>30-11-2021</t>
        </is>
      </c>
      <c r="I238" t="inlineStr">
        <is>
          <t>NON-NIL</t>
        </is>
      </c>
      <c r="J238" t="inlineStr">
        <is>
          <t>≤5Cr</t>
        </is>
      </c>
      <c r="K238" t="n">
        <v>2000</v>
      </c>
      <c r="L238" t="inlineStr">
        <is>
          <t>Cap</t>
        </is>
      </c>
      <c r="M238" t="inlineStr">
        <is>
          <t>Late fee capped at ₹2,000 under extended amnesty (33/2021-CT).</t>
        </is>
      </c>
      <c r="N238" t="inlineStr">
        <is>
          <t>Low</t>
        </is>
      </c>
      <c r="O238" t="n">
        <v>1</v>
      </c>
    </row>
    <row r="239">
      <c r="A239" t="inlineStr">
        <is>
          <t>Jul-2020_LF06_LARGE</t>
        </is>
      </c>
      <c r="B239" t="inlineStr">
        <is>
          <t>33/2021-CT</t>
        </is>
      </c>
      <c r="C239" t="inlineStr">
        <is>
          <t>29-08-2021</t>
        </is>
      </c>
      <c r="D239" t="inlineStr">
        <is>
          <t>Amnesty</t>
        </is>
      </c>
      <c r="E239" t="inlineStr">
        <is>
          <t>Jul-2020</t>
        </is>
      </c>
      <c r="F239" t="inlineStr">
        <is>
          <t>Jul-2020</t>
        </is>
      </c>
      <c r="G239" t="inlineStr">
        <is>
          <t>01-09-2021</t>
        </is>
      </c>
      <c r="H239" t="inlineStr">
        <is>
          <t>30-11-2021</t>
        </is>
      </c>
      <c r="I239" t="inlineStr">
        <is>
          <t>NON-NIL</t>
        </is>
      </c>
      <c r="J239" t="inlineStr">
        <is>
          <t>&gt;5Cr</t>
        </is>
      </c>
      <c r="K239" t="n">
        <v>5000</v>
      </c>
      <c r="L239" t="inlineStr">
        <is>
          <t>Cap</t>
        </is>
      </c>
      <c r="M239" t="inlineStr">
        <is>
          <t>Late fee capped at ₹5,000 under extended amnesty (33/2021-CT).</t>
        </is>
      </c>
      <c r="N239" t="inlineStr">
        <is>
          <t>Low</t>
        </is>
      </c>
      <c r="O239" t="n">
        <v>1</v>
      </c>
    </row>
    <row r="240">
      <c r="A240" t="inlineStr">
        <is>
          <t>Aug-2020_LF05_NIL</t>
        </is>
      </c>
      <c r="B240" t="inlineStr">
        <is>
          <t>19/2021-CT</t>
        </is>
      </c>
      <c r="C240" t="inlineStr">
        <is>
          <t>01-06-2021</t>
        </is>
      </c>
      <c r="D240" t="inlineStr">
        <is>
          <t>Amnesty</t>
        </is>
      </c>
      <c r="E240" t="inlineStr">
        <is>
          <t>Aug-2020</t>
        </is>
      </c>
      <c r="F240" t="inlineStr">
        <is>
          <t>Aug-2020</t>
        </is>
      </c>
      <c r="G240" t="inlineStr">
        <is>
          <t>01-06-2021</t>
        </is>
      </c>
      <c r="H240" t="inlineStr">
        <is>
          <t>31-08-2021</t>
        </is>
      </c>
      <c r="I240" t="inlineStr">
        <is>
          <t>NIL</t>
        </is>
      </c>
      <c r="J240" t="inlineStr">
        <is>
          <t>ALL</t>
        </is>
      </c>
      <c r="K240" t="n">
        <v>500</v>
      </c>
      <c r="L240" t="inlineStr">
        <is>
          <t>Cap</t>
        </is>
      </c>
      <c r="M240" t="inlineStr">
        <is>
          <t>Late fee capped at ₹500 under Notification 19/2021-CT.</t>
        </is>
      </c>
      <c r="N240" t="inlineStr">
        <is>
          <t>Low</t>
        </is>
      </c>
      <c r="O240" t="n">
        <v>1</v>
      </c>
    </row>
    <row r="241">
      <c r="A241" t="inlineStr">
        <is>
          <t>Aug-2020_LF05_SMALL</t>
        </is>
      </c>
      <c r="B241" t="inlineStr">
        <is>
          <t>19/2021-CT</t>
        </is>
      </c>
      <c r="C241" t="inlineStr">
        <is>
          <t>01-06-2021</t>
        </is>
      </c>
      <c r="D241" t="inlineStr">
        <is>
          <t>Amnesty</t>
        </is>
      </c>
      <c r="E241" t="inlineStr">
        <is>
          <t>Aug-2020</t>
        </is>
      </c>
      <c r="F241" t="inlineStr">
        <is>
          <t>Aug-2020</t>
        </is>
      </c>
      <c r="G241" t="inlineStr">
        <is>
          <t>01-06-2021</t>
        </is>
      </c>
      <c r="H241" t="inlineStr">
        <is>
          <t>31-08-2021</t>
        </is>
      </c>
      <c r="I241" t="inlineStr">
        <is>
          <t>NON-NIL</t>
        </is>
      </c>
      <c r="J241" t="inlineStr">
        <is>
          <t>≤5Cr</t>
        </is>
      </c>
      <c r="K241" t="n">
        <v>2000</v>
      </c>
      <c r="L241" t="inlineStr">
        <is>
          <t>Cap</t>
        </is>
      </c>
      <c r="M241" t="inlineStr">
        <is>
          <t>Late fee capped at ₹2,000 under Notification 19/2021-CT.</t>
        </is>
      </c>
      <c r="N241" t="inlineStr">
        <is>
          <t>Low</t>
        </is>
      </c>
      <c r="O241" t="n">
        <v>1</v>
      </c>
    </row>
    <row r="242">
      <c r="A242" t="inlineStr">
        <is>
          <t>Aug-2020_LF05_LARGE</t>
        </is>
      </c>
      <c r="B242" t="inlineStr">
        <is>
          <t>19/2021-CT</t>
        </is>
      </c>
      <c r="C242" t="inlineStr">
        <is>
          <t>01-06-2021</t>
        </is>
      </c>
      <c r="D242" t="inlineStr">
        <is>
          <t>Amnesty</t>
        </is>
      </c>
      <c r="E242" t="inlineStr">
        <is>
          <t>Aug-2020</t>
        </is>
      </c>
      <c r="F242" t="inlineStr">
        <is>
          <t>Aug-2020</t>
        </is>
      </c>
      <c r="G242" t="inlineStr">
        <is>
          <t>01-06-2021</t>
        </is>
      </c>
      <c r="H242" t="inlineStr">
        <is>
          <t>31-08-2021</t>
        </is>
      </c>
      <c r="I242" t="inlineStr">
        <is>
          <t>NON-NIL</t>
        </is>
      </c>
      <c r="J242" t="inlineStr">
        <is>
          <t>&gt;5Cr</t>
        </is>
      </c>
      <c r="K242" t="n">
        <v>5000</v>
      </c>
      <c r="L242" t="inlineStr">
        <is>
          <t>Cap</t>
        </is>
      </c>
      <c r="M242" t="inlineStr">
        <is>
          <t>Late fee capped at ₹5,000 under Notification 19/2021-CT.</t>
        </is>
      </c>
      <c r="N242" t="inlineStr">
        <is>
          <t>Low</t>
        </is>
      </c>
      <c r="O242" t="n">
        <v>1</v>
      </c>
    </row>
    <row r="243">
      <c r="A243" t="inlineStr">
        <is>
          <t>Aug-2020_LF06_NIL</t>
        </is>
      </c>
      <c r="B243" t="inlineStr">
        <is>
          <t>33/2021-CT</t>
        </is>
      </c>
      <c r="C243" t="inlineStr">
        <is>
          <t>29-08-2021</t>
        </is>
      </c>
      <c r="D243" t="inlineStr">
        <is>
          <t>Amnesty</t>
        </is>
      </c>
      <c r="E243" t="inlineStr">
        <is>
          <t>Aug-2020</t>
        </is>
      </c>
      <c r="F243" t="inlineStr">
        <is>
          <t>Aug-2020</t>
        </is>
      </c>
      <c r="G243" t="inlineStr">
        <is>
          <t>01-09-2021</t>
        </is>
      </c>
      <c r="H243" t="inlineStr">
        <is>
          <t>30-11-2021</t>
        </is>
      </c>
      <c r="I243" t="inlineStr">
        <is>
          <t>NIL</t>
        </is>
      </c>
      <c r="J243" t="inlineStr">
        <is>
          <t>ALL</t>
        </is>
      </c>
      <c r="K243" t="n">
        <v>500</v>
      </c>
      <c r="L243" t="inlineStr">
        <is>
          <t>Cap</t>
        </is>
      </c>
      <c r="M243" t="inlineStr">
        <is>
          <t>Late fee capped at ₹500 under extended amnesty (33/2021-CT).</t>
        </is>
      </c>
      <c r="N243" t="inlineStr">
        <is>
          <t>Low</t>
        </is>
      </c>
      <c r="O243" t="n">
        <v>1</v>
      </c>
    </row>
    <row r="244">
      <c r="A244" t="inlineStr">
        <is>
          <t>Aug-2020_LF06_SMALL</t>
        </is>
      </c>
      <c r="B244" t="inlineStr">
        <is>
          <t>33/2021-CT</t>
        </is>
      </c>
      <c r="C244" t="inlineStr">
        <is>
          <t>29-08-2021</t>
        </is>
      </c>
      <c r="D244" t="inlineStr">
        <is>
          <t>Amnesty</t>
        </is>
      </c>
      <c r="E244" t="inlineStr">
        <is>
          <t>Aug-2020</t>
        </is>
      </c>
      <c r="F244" t="inlineStr">
        <is>
          <t>Aug-2020</t>
        </is>
      </c>
      <c r="G244" t="inlineStr">
        <is>
          <t>01-09-2021</t>
        </is>
      </c>
      <c r="H244" t="inlineStr">
        <is>
          <t>30-11-2021</t>
        </is>
      </c>
      <c r="I244" t="inlineStr">
        <is>
          <t>NON-NIL</t>
        </is>
      </c>
      <c r="J244" t="inlineStr">
        <is>
          <t>≤5Cr</t>
        </is>
      </c>
      <c r="K244" t="n">
        <v>2000</v>
      </c>
      <c r="L244" t="inlineStr">
        <is>
          <t>Cap</t>
        </is>
      </c>
      <c r="M244" t="inlineStr">
        <is>
          <t>Late fee capped at ₹2,000 under extended amnesty (33/2021-CT).</t>
        </is>
      </c>
      <c r="N244" t="inlineStr">
        <is>
          <t>Low</t>
        </is>
      </c>
      <c r="O244" t="n">
        <v>1</v>
      </c>
    </row>
    <row r="245">
      <c r="A245" t="inlineStr">
        <is>
          <t>Aug-2020_LF06_LARGE</t>
        </is>
      </c>
      <c r="B245" t="inlineStr">
        <is>
          <t>33/2021-CT</t>
        </is>
      </c>
      <c r="C245" t="inlineStr">
        <is>
          <t>29-08-2021</t>
        </is>
      </c>
      <c r="D245" t="inlineStr">
        <is>
          <t>Amnesty</t>
        </is>
      </c>
      <c r="E245" t="inlineStr">
        <is>
          <t>Aug-2020</t>
        </is>
      </c>
      <c r="F245" t="inlineStr">
        <is>
          <t>Aug-2020</t>
        </is>
      </c>
      <c r="G245" t="inlineStr">
        <is>
          <t>01-09-2021</t>
        </is>
      </c>
      <c r="H245" t="inlineStr">
        <is>
          <t>30-11-2021</t>
        </is>
      </c>
      <c r="I245" t="inlineStr">
        <is>
          <t>NON-NIL</t>
        </is>
      </c>
      <c r="J245" t="inlineStr">
        <is>
          <t>&gt;5Cr</t>
        </is>
      </c>
      <c r="K245" t="n">
        <v>5000</v>
      </c>
      <c r="L245" t="inlineStr">
        <is>
          <t>Cap</t>
        </is>
      </c>
      <c r="M245" t="inlineStr">
        <is>
          <t>Late fee capped at ₹5,000 under extended amnesty (33/2021-CT).</t>
        </is>
      </c>
      <c r="N245" t="inlineStr">
        <is>
          <t>Low</t>
        </is>
      </c>
      <c r="O245" t="n">
        <v>1</v>
      </c>
    </row>
    <row r="246">
      <c r="A246" t="inlineStr">
        <is>
          <t>Sep-2020_LF05_NIL</t>
        </is>
      </c>
      <c r="B246" t="inlineStr">
        <is>
          <t>19/2021-CT</t>
        </is>
      </c>
      <c r="C246" t="inlineStr">
        <is>
          <t>01-06-2021</t>
        </is>
      </c>
      <c r="D246" t="inlineStr">
        <is>
          <t>Amnesty</t>
        </is>
      </c>
      <c r="E246" t="inlineStr">
        <is>
          <t>Sep-2020</t>
        </is>
      </c>
      <c r="F246" t="inlineStr">
        <is>
          <t>Sep-2020</t>
        </is>
      </c>
      <c r="G246" t="inlineStr">
        <is>
          <t>01-06-2021</t>
        </is>
      </c>
      <c r="H246" t="inlineStr">
        <is>
          <t>31-08-2021</t>
        </is>
      </c>
      <c r="I246" t="inlineStr">
        <is>
          <t>NIL</t>
        </is>
      </c>
      <c r="J246" t="inlineStr">
        <is>
          <t>ALL</t>
        </is>
      </c>
      <c r="K246" t="n">
        <v>500</v>
      </c>
      <c r="L246" t="inlineStr">
        <is>
          <t>Cap</t>
        </is>
      </c>
      <c r="M246" t="inlineStr">
        <is>
          <t>Late fee capped at ₹500 under Notification 19/2021-CT.</t>
        </is>
      </c>
      <c r="N246" t="inlineStr">
        <is>
          <t>Low</t>
        </is>
      </c>
      <c r="O246" t="n">
        <v>1</v>
      </c>
    </row>
    <row r="247">
      <c r="A247" t="inlineStr">
        <is>
          <t>Sep-2020_LF05_SMALL</t>
        </is>
      </c>
      <c r="B247" t="inlineStr">
        <is>
          <t>19/2021-CT</t>
        </is>
      </c>
      <c r="C247" t="inlineStr">
        <is>
          <t>01-06-2021</t>
        </is>
      </c>
      <c r="D247" t="inlineStr">
        <is>
          <t>Amnesty</t>
        </is>
      </c>
      <c r="E247" t="inlineStr">
        <is>
          <t>Sep-2020</t>
        </is>
      </c>
      <c r="F247" t="inlineStr">
        <is>
          <t>Sep-2020</t>
        </is>
      </c>
      <c r="G247" t="inlineStr">
        <is>
          <t>01-06-2021</t>
        </is>
      </c>
      <c r="H247" t="inlineStr">
        <is>
          <t>31-08-2021</t>
        </is>
      </c>
      <c r="I247" t="inlineStr">
        <is>
          <t>NON-NIL</t>
        </is>
      </c>
      <c r="J247" t="inlineStr">
        <is>
          <t>≤5Cr</t>
        </is>
      </c>
      <c r="K247" t="n">
        <v>2000</v>
      </c>
      <c r="L247" t="inlineStr">
        <is>
          <t>Cap</t>
        </is>
      </c>
      <c r="M247" t="inlineStr">
        <is>
          <t>Late fee capped at ₹2,000 under Notification 19/2021-CT.</t>
        </is>
      </c>
      <c r="N247" t="inlineStr">
        <is>
          <t>Low</t>
        </is>
      </c>
      <c r="O247" t="n">
        <v>1</v>
      </c>
    </row>
    <row r="248">
      <c r="A248" t="inlineStr">
        <is>
          <t>Sep-2020_LF05_LARGE</t>
        </is>
      </c>
      <c r="B248" t="inlineStr">
        <is>
          <t>19/2021-CT</t>
        </is>
      </c>
      <c r="C248" t="inlineStr">
        <is>
          <t>01-06-2021</t>
        </is>
      </c>
      <c r="D248" t="inlineStr">
        <is>
          <t>Amnesty</t>
        </is>
      </c>
      <c r="E248" t="inlineStr">
        <is>
          <t>Sep-2020</t>
        </is>
      </c>
      <c r="F248" t="inlineStr">
        <is>
          <t>Sep-2020</t>
        </is>
      </c>
      <c r="G248" t="inlineStr">
        <is>
          <t>01-06-2021</t>
        </is>
      </c>
      <c r="H248" t="inlineStr">
        <is>
          <t>31-08-2021</t>
        </is>
      </c>
      <c r="I248" t="inlineStr">
        <is>
          <t>NON-NIL</t>
        </is>
      </c>
      <c r="J248" t="inlineStr">
        <is>
          <t>&gt;5Cr</t>
        </is>
      </c>
      <c r="K248" t="n">
        <v>5000</v>
      </c>
      <c r="L248" t="inlineStr">
        <is>
          <t>Cap</t>
        </is>
      </c>
      <c r="M248" t="inlineStr">
        <is>
          <t>Late fee capped at ₹5,000 under Notification 19/2021-CT.</t>
        </is>
      </c>
      <c r="N248" t="inlineStr">
        <is>
          <t>Low</t>
        </is>
      </c>
      <c r="O248" t="n">
        <v>1</v>
      </c>
    </row>
    <row r="249">
      <c r="A249" t="inlineStr">
        <is>
          <t>Sep-2020_LF06_NIL</t>
        </is>
      </c>
      <c r="B249" t="inlineStr">
        <is>
          <t>33/2021-CT</t>
        </is>
      </c>
      <c r="C249" t="inlineStr">
        <is>
          <t>29-08-2021</t>
        </is>
      </c>
      <c r="D249" t="inlineStr">
        <is>
          <t>Amnesty</t>
        </is>
      </c>
      <c r="E249" t="inlineStr">
        <is>
          <t>Sep-2020</t>
        </is>
      </c>
      <c r="F249" t="inlineStr">
        <is>
          <t>Sep-2020</t>
        </is>
      </c>
      <c r="G249" t="inlineStr">
        <is>
          <t>01-09-2021</t>
        </is>
      </c>
      <c r="H249" t="inlineStr">
        <is>
          <t>30-11-2021</t>
        </is>
      </c>
      <c r="I249" t="inlineStr">
        <is>
          <t>NIL</t>
        </is>
      </c>
      <c r="J249" t="inlineStr">
        <is>
          <t>ALL</t>
        </is>
      </c>
      <c r="K249" t="n">
        <v>500</v>
      </c>
      <c r="L249" t="inlineStr">
        <is>
          <t>Cap</t>
        </is>
      </c>
      <c r="M249" t="inlineStr">
        <is>
          <t>Late fee capped at ₹500 under extended amnesty (33/2021-CT).</t>
        </is>
      </c>
      <c r="N249" t="inlineStr">
        <is>
          <t>Low</t>
        </is>
      </c>
      <c r="O249" t="n">
        <v>1</v>
      </c>
    </row>
    <row r="250">
      <c r="A250" t="inlineStr">
        <is>
          <t>Sep-2020_LF06_SMALL</t>
        </is>
      </c>
      <c r="B250" t="inlineStr">
        <is>
          <t>33/2021-CT</t>
        </is>
      </c>
      <c r="C250" t="inlineStr">
        <is>
          <t>29-08-2021</t>
        </is>
      </c>
      <c r="D250" t="inlineStr">
        <is>
          <t>Amnesty</t>
        </is>
      </c>
      <c r="E250" t="inlineStr">
        <is>
          <t>Sep-2020</t>
        </is>
      </c>
      <c r="F250" t="inlineStr">
        <is>
          <t>Sep-2020</t>
        </is>
      </c>
      <c r="G250" t="inlineStr">
        <is>
          <t>01-09-2021</t>
        </is>
      </c>
      <c r="H250" t="inlineStr">
        <is>
          <t>30-11-2021</t>
        </is>
      </c>
      <c r="I250" t="inlineStr">
        <is>
          <t>NON-NIL</t>
        </is>
      </c>
      <c r="J250" t="inlineStr">
        <is>
          <t>≤5Cr</t>
        </is>
      </c>
      <c r="K250" t="n">
        <v>2000</v>
      </c>
      <c r="L250" t="inlineStr">
        <is>
          <t>Cap</t>
        </is>
      </c>
      <c r="M250" t="inlineStr">
        <is>
          <t>Late fee capped at ₹2,000 under extended amnesty (33/2021-CT).</t>
        </is>
      </c>
      <c r="N250" t="inlineStr">
        <is>
          <t>Low</t>
        </is>
      </c>
      <c r="O250" t="n">
        <v>1</v>
      </c>
    </row>
    <row r="251">
      <c r="A251" t="inlineStr">
        <is>
          <t>Sep-2020_LF06_LARGE</t>
        </is>
      </c>
      <c r="B251" t="inlineStr">
        <is>
          <t>33/2021-CT</t>
        </is>
      </c>
      <c r="C251" t="inlineStr">
        <is>
          <t>29-08-2021</t>
        </is>
      </c>
      <c r="D251" t="inlineStr">
        <is>
          <t>Amnesty</t>
        </is>
      </c>
      <c r="E251" t="inlineStr">
        <is>
          <t>Sep-2020</t>
        </is>
      </c>
      <c r="F251" t="inlineStr">
        <is>
          <t>Sep-2020</t>
        </is>
      </c>
      <c r="G251" t="inlineStr">
        <is>
          <t>01-09-2021</t>
        </is>
      </c>
      <c r="H251" t="inlineStr">
        <is>
          <t>30-11-2021</t>
        </is>
      </c>
      <c r="I251" t="inlineStr">
        <is>
          <t>NON-NIL</t>
        </is>
      </c>
      <c r="J251" t="inlineStr">
        <is>
          <t>&gt;5Cr</t>
        </is>
      </c>
      <c r="K251" t="n">
        <v>5000</v>
      </c>
      <c r="L251" t="inlineStr">
        <is>
          <t>Cap</t>
        </is>
      </c>
      <c r="M251" t="inlineStr">
        <is>
          <t>Late fee capped at ₹5,000 under extended amnesty (33/2021-CT).</t>
        </is>
      </c>
      <c r="N251" t="inlineStr">
        <is>
          <t>Low</t>
        </is>
      </c>
      <c r="O251" t="n">
        <v>1</v>
      </c>
    </row>
    <row r="252">
      <c r="A252" t="inlineStr">
        <is>
          <t>Oct-2020_LF05_NIL</t>
        </is>
      </c>
      <c r="B252" t="inlineStr">
        <is>
          <t>19/2021-CT</t>
        </is>
      </c>
      <c r="C252" t="inlineStr">
        <is>
          <t>01-06-2021</t>
        </is>
      </c>
      <c r="D252" t="inlineStr">
        <is>
          <t>Amnesty</t>
        </is>
      </c>
      <c r="E252" t="inlineStr">
        <is>
          <t>Oct-2020</t>
        </is>
      </c>
      <c r="F252" t="inlineStr">
        <is>
          <t>Oct-2020</t>
        </is>
      </c>
      <c r="G252" t="inlineStr">
        <is>
          <t>01-06-2021</t>
        </is>
      </c>
      <c r="H252" t="inlineStr">
        <is>
          <t>31-08-2021</t>
        </is>
      </c>
      <c r="I252" t="inlineStr">
        <is>
          <t>NIL</t>
        </is>
      </c>
      <c r="J252" t="inlineStr">
        <is>
          <t>ALL</t>
        </is>
      </c>
      <c r="K252" t="n">
        <v>500</v>
      </c>
      <c r="L252" t="inlineStr">
        <is>
          <t>Cap</t>
        </is>
      </c>
      <c r="M252" t="inlineStr">
        <is>
          <t>Late fee capped at ₹500 under Notification 19/2021-CT.</t>
        </is>
      </c>
      <c r="N252" t="inlineStr">
        <is>
          <t>Low</t>
        </is>
      </c>
      <c r="O252" t="n">
        <v>1</v>
      </c>
    </row>
    <row r="253">
      <c r="A253" t="inlineStr">
        <is>
          <t>Oct-2020_LF05_SMALL</t>
        </is>
      </c>
      <c r="B253" t="inlineStr">
        <is>
          <t>19/2021-CT</t>
        </is>
      </c>
      <c r="C253" t="inlineStr">
        <is>
          <t>01-06-2021</t>
        </is>
      </c>
      <c r="D253" t="inlineStr">
        <is>
          <t>Amnesty</t>
        </is>
      </c>
      <c r="E253" t="inlineStr">
        <is>
          <t>Oct-2020</t>
        </is>
      </c>
      <c r="F253" t="inlineStr">
        <is>
          <t>Oct-2020</t>
        </is>
      </c>
      <c r="G253" t="inlineStr">
        <is>
          <t>01-06-2021</t>
        </is>
      </c>
      <c r="H253" t="inlineStr">
        <is>
          <t>31-08-2021</t>
        </is>
      </c>
      <c r="I253" t="inlineStr">
        <is>
          <t>NON-NIL</t>
        </is>
      </c>
      <c r="J253" t="inlineStr">
        <is>
          <t>≤5Cr</t>
        </is>
      </c>
      <c r="K253" t="n">
        <v>2000</v>
      </c>
      <c r="L253" t="inlineStr">
        <is>
          <t>Cap</t>
        </is>
      </c>
      <c r="M253" t="inlineStr">
        <is>
          <t>Late fee capped at ₹2,000 under Notification 19/2021-CT.</t>
        </is>
      </c>
      <c r="N253" t="inlineStr">
        <is>
          <t>Low</t>
        </is>
      </c>
      <c r="O253" t="n">
        <v>1</v>
      </c>
    </row>
    <row r="254">
      <c r="A254" t="inlineStr">
        <is>
          <t>Oct-2020_LF05_LARGE</t>
        </is>
      </c>
      <c r="B254" t="inlineStr">
        <is>
          <t>19/2021-CT</t>
        </is>
      </c>
      <c r="C254" t="inlineStr">
        <is>
          <t>01-06-2021</t>
        </is>
      </c>
      <c r="D254" t="inlineStr">
        <is>
          <t>Amnesty</t>
        </is>
      </c>
      <c r="E254" t="inlineStr">
        <is>
          <t>Oct-2020</t>
        </is>
      </c>
      <c r="F254" t="inlineStr">
        <is>
          <t>Oct-2020</t>
        </is>
      </c>
      <c r="G254" t="inlineStr">
        <is>
          <t>01-06-2021</t>
        </is>
      </c>
      <c r="H254" t="inlineStr">
        <is>
          <t>31-08-2021</t>
        </is>
      </c>
      <c r="I254" t="inlineStr">
        <is>
          <t>NON-NIL</t>
        </is>
      </c>
      <c r="J254" t="inlineStr">
        <is>
          <t>&gt;5Cr</t>
        </is>
      </c>
      <c r="K254" t="n">
        <v>5000</v>
      </c>
      <c r="L254" t="inlineStr">
        <is>
          <t>Cap</t>
        </is>
      </c>
      <c r="M254" t="inlineStr">
        <is>
          <t>Late fee capped at ₹5,000 under Notification 19/2021-CT.</t>
        </is>
      </c>
      <c r="N254" t="inlineStr">
        <is>
          <t>Low</t>
        </is>
      </c>
      <c r="O254" t="n">
        <v>1</v>
      </c>
    </row>
    <row r="255">
      <c r="A255" t="inlineStr">
        <is>
          <t>Oct-2020_LF06_NIL</t>
        </is>
      </c>
      <c r="B255" t="inlineStr">
        <is>
          <t>33/2021-CT</t>
        </is>
      </c>
      <c r="C255" t="inlineStr">
        <is>
          <t>29-08-2021</t>
        </is>
      </c>
      <c r="D255" t="inlineStr">
        <is>
          <t>Amnesty</t>
        </is>
      </c>
      <c r="E255" t="inlineStr">
        <is>
          <t>Oct-2020</t>
        </is>
      </c>
      <c r="F255" t="inlineStr">
        <is>
          <t>Oct-2020</t>
        </is>
      </c>
      <c r="G255" t="inlineStr">
        <is>
          <t>01-09-2021</t>
        </is>
      </c>
      <c r="H255" t="inlineStr">
        <is>
          <t>30-11-2021</t>
        </is>
      </c>
      <c r="I255" t="inlineStr">
        <is>
          <t>NIL</t>
        </is>
      </c>
      <c r="J255" t="inlineStr">
        <is>
          <t>ALL</t>
        </is>
      </c>
      <c r="K255" t="n">
        <v>500</v>
      </c>
      <c r="L255" t="inlineStr">
        <is>
          <t>Cap</t>
        </is>
      </c>
      <c r="M255" t="inlineStr">
        <is>
          <t>Late fee capped at ₹500 under extended amnesty (33/2021-CT).</t>
        </is>
      </c>
      <c r="N255" t="inlineStr">
        <is>
          <t>Low</t>
        </is>
      </c>
      <c r="O255" t="n">
        <v>1</v>
      </c>
    </row>
    <row r="256">
      <c r="A256" t="inlineStr">
        <is>
          <t>Oct-2020_LF06_SMALL</t>
        </is>
      </c>
      <c r="B256" t="inlineStr">
        <is>
          <t>33/2021-CT</t>
        </is>
      </c>
      <c r="C256" t="inlineStr">
        <is>
          <t>29-08-2021</t>
        </is>
      </c>
      <c r="D256" t="inlineStr">
        <is>
          <t>Amnesty</t>
        </is>
      </c>
      <c r="E256" t="inlineStr">
        <is>
          <t>Oct-2020</t>
        </is>
      </c>
      <c r="F256" t="inlineStr">
        <is>
          <t>Oct-2020</t>
        </is>
      </c>
      <c r="G256" t="inlineStr">
        <is>
          <t>01-09-2021</t>
        </is>
      </c>
      <c r="H256" t="inlineStr">
        <is>
          <t>30-11-2021</t>
        </is>
      </c>
      <c r="I256" t="inlineStr">
        <is>
          <t>NON-NIL</t>
        </is>
      </c>
      <c r="J256" t="inlineStr">
        <is>
          <t>≤5Cr</t>
        </is>
      </c>
      <c r="K256" t="n">
        <v>2000</v>
      </c>
      <c r="L256" t="inlineStr">
        <is>
          <t>Cap</t>
        </is>
      </c>
      <c r="M256" t="inlineStr">
        <is>
          <t>Late fee capped at ₹2,000 under extended amnesty (33/2021-CT).</t>
        </is>
      </c>
      <c r="N256" t="inlineStr">
        <is>
          <t>Low</t>
        </is>
      </c>
      <c r="O256" t="n">
        <v>1</v>
      </c>
    </row>
    <row r="257">
      <c r="A257" t="inlineStr">
        <is>
          <t>Oct-2020_LF06_LARGE</t>
        </is>
      </c>
      <c r="B257" t="inlineStr">
        <is>
          <t>33/2021-CT</t>
        </is>
      </c>
      <c r="C257" t="inlineStr">
        <is>
          <t>29-08-2021</t>
        </is>
      </c>
      <c r="D257" t="inlineStr">
        <is>
          <t>Amnesty</t>
        </is>
      </c>
      <c r="E257" t="inlineStr">
        <is>
          <t>Oct-2020</t>
        </is>
      </c>
      <c r="F257" t="inlineStr">
        <is>
          <t>Oct-2020</t>
        </is>
      </c>
      <c r="G257" t="inlineStr">
        <is>
          <t>01-09-2021</t>
        </is>
      </c>
      <c r="H257" t="inlineStr">
        <is>
          <t>30-11-2021</t>
        </is>
      </c>
      <c r="I257" t="inlineStr">
        <is>
          <t>NON-NIL</t>
        </is>
      </c>
      <c r="J257" t="inlineStr">
        <is>
          <t>&gt;5Cr</t>
        </is>
      </c>
      <c r="K257" t="n">
        <v>5000</v>
      </c>
      <c r="L257" t="inlineStr">
        <is>
          <t>Cap</t>
        </is>
      </c>
      <c r="M257" t="inlineStr">
        <is>
          <t>Late fee capped at ₹5,000 under extended amnesty (33/2021-CT).</t>
        </is>
      </c>
      <c r="N257" t="inlineStr">
        <is>
          <t>Low</t>
        </is>
      </c>
      <c r="O257" t="n">
        <v>1</v>
      </c>
    </row>
    <row r="258">
      <c r="A258" t="inlineStr">
        <is>
          <t>Nov-2020_LF05_NIL</t>
        </is>
      </c>
      <c r="B258" t="inlineStr">
        <is>
          <t>19/2021-CT</t>
        </is>
      </c>
      <c r="C258" t="inlineStr">
        <is>
          <t>01-06-2021</t>
        </is>
      </c>
      <c r="D258" t="inlineStr">
        <is>
          <t>Amnesty</t>
        </is>
      </c>
      <c r="E258" t="inlineStr">
        <is>
          <t>Nov-2020</t>
        </is>
      </c>
      <c r="F258" t="inlineStr">
        <is>
          <t>Nov-2020</t>
        </is>
      </c>
      <c r="G258" t="inlineStr">
        <is>
          <t>01-06-2021</t>
        </is>
      </c>
      <c r="H258" t="inlineStr">
        <is>
          <t>31-08-2021</t>
        </is>
      </c>
      <c r="I258" t="inlineStr">
        <is>
          <t>NIL</t>
        </is>
      </c>
      <c r="J258" t="inlineStr">
        <is>
          <t>ALL</t>
        </is>
      </c>
      <c r="K258" t="n">
        <v>500</v>
      </c>
      <c r="L258" t="inlineStr">
        <is>
          <t>Cap</t>
        </is>
      </c>
      <c r="M258" t="inlineStr">
        <is>
          <t>Late fee capped at ₹500 under Notification 19/2021-CT.</t>
        </is>
      </c>
      <c r="N258" t="inlineStr">
        <is>
          <t>Low</t>
        </is>
      </c>
      <c r="O258" t="n">
        <v>1</v>
      </c>
    </row>
    <row r="259">
      <c r="A259" t="inlineStr">
        <is>
          <t>Nov-2020_LF05_SMALL</t>
        </is>
      </c>
      <c r="B259" t="inlineStr">
        <is>
          <t>19/2021-CT</t>
        </is>
      </c>
      <c r="C259" t="inlineStr">
        <is>
          <t>01-06-2021</t>
        </is>
      </c>
      <c r="D259" t="inlineStr">
        <is>
          <t>Amnesty</t>
        </is>
      </c>
      <c r="E259" t="inlineStr">
        <is>
          <t>Nov-2020</t>
        </is>
      </c>
      <c r="F259" t="inlineStr">
        <is>
          <t>Nov-2020</t>
        </is>
      </c>
      <c r="G259" t="inlineStr">
        <is>
          <t>01-06-2021</t>
        </is>
      </c>
      <c r="H259" t="inlineStr">
        <is>
          <t>31-08-2021</t>
        </is>
      </c>
      <c r="I259" t="inlineStr">
        <is>
          <t>NON-NIL</t>
        </is>
      </c>
      <c r="J259" t="inlineStr">
        <is>
          <t>≤5Cr</t>
        </is>
      </c>
      <c r="K259" t="n">
        <v>2000</v>
      </c>
      <c r="L259" t="inlineStr">
        <is>
          <t>Cap</t>
        </is>
      </c>
      <c r="M259" t="inlineStr">
        <is>
          <t>Late fee capped at ₹2,000 under Notification 19/2021-CT.</t>
        </is>
      </c>
      <c r="N259" t="inlineStr">
        <is>
          <t>Low</t>
        </is>
      </c>
      <c r="O259" t="n">
        <v>1</v>
      </c>
    </row>
    <row r="260">
      <c r="A260" t="inlineStr">
        <is>
          <t>Nov-2020_LF05_LARGE</t>
        </is>
      </c>
      <c r="B260" t="inlineStr">
        <is>
          <t>19/2021-CT</t>
        </is>
      </c>
      <c r="C260" t="inlineStr">
        <is>
          <t>01-06-2021</t>
        </is>
      </c>
      <c r="D260" t="inlineStr">
        <is>
          <t>Amnesty</t>
        </is>
      </c>
      <c r="E260" t="inlineStr">
        <is>
          <t>Nov-2020</t>
        </is>
      </c>
      <c r="F260" t="inlineStr">
        <is>
          <t>Nov-2020</t>
        </is>
      </c>
      <c r="G260" t="inlineStr">
        <is>
          <t>01-06-2021</t>
        </is>
      </c>
      <c r="H260" t="inlineStr">
        <is>
          <t>31-08-2021</t>
        </is>
      </c>
      <c r="I260" t="inlineStr">
        <is>
          <t>NON-NIL</t>
        </is>
      </c>
      <c r="J260" t="inlineStr">
        <is>
          <t>&gt;5Cr</t>
        </is>
      </c>
      <c r="K260" t="n">
        <v>5000</v>
      </c>
      <c r="L260" t="inlineStr">
        <is>
          <t>Cap</t>
        </is>
      </c>
      <c r="M260" t="inlineStr">
        <is>
          <t>Late fee capped at ₹5,000 under Notification 19/2021-CT.</t>
        </is>
      </c>
      <c r="N260" t="inlineStr">
        <is>
          <t>Low</t>
        </is>
      </c>
      <c r="O260" t="n">
        <v>1</v>
      </c>
    </row>
    <row r="261">
      <c r="A261" t="inlineStr">
        <is>
          <t>Nov-2020_LF06_NIL</t>
        </is>
      </c>
      <c r="B261" t="inlineStr">
        <is>
          <t>33/2021-CT</t>
        </is>
      </c>
      <c r="C261" t="inlineStr">
        <is>
          <t>29-08-2021</t>
        </is>
      </c>
      <c r="D261" t="inlineStr">
        <is>
          <t>Amnesty</t>
        </is>
      </c>
      <c r="E261" t="inlineStr">
        <is>
          <t>Nov-2020</t>
        </is>
      </c>
      <c r="F261" t="inlineStr">
        <is>
          <t>Nov-2020</t>
        </is>
      </c>
      <c r="G261" t="inlineStr">
        <is>
          <t>01-09-2021</t>
        </is>
      </c>
      <c r="H261" t="inlineStr">
        <is>
          <t>30-11-2021</t>
        </is>
      </c>
      <c r="I261" t="inlineStr">
        <is>
          <t>NIL</t>
        </is>
      </c>
      <c r="J261" t="inlineStr">
        <is>
          <t>ALL</t>
        </is>
      </c>
      <c r="K261" t="n">
        <v>500</v>
      </c>
      <c r="L261" t="inlineStr">
        <is>
          <t>Cap</t>
        </is>
      </c>
      <c r="M261" t="inlineStr">
        <is>
          <t>Late fee capped at ₹500 under extended amnesty (33/2021-CT).</t>
        </is>
      </c>
      <c r="N261" t="inlineStr">
        <is>
          <t>Low</t>
        </is>
      </c>
      <c r="O261" t="n">
        <v>1</v>
      </c>
    </row>
    <row r="262">
      <c r="A262" t="inlineStr">
        <is>
          <t>Nov-2020_LF06_SMALL</t>
        </is>
      </c>
      <c r="B262" t="inlineStr">
        <is>
          <t>33/2021-CT</t>
        </is>
      </c>
      <c r="C262" t="inlineStr">
        <is>
          <t>29-08-2021</t>
        </is>
      </c>
      <c r="D262" t="inlineStr">
        <is>
          <t>Amnesty</t>
        </is>
      </c>
      <c r="E262" t="inlineStr">
        <is>
          <t>Nov-2020</t>
        </is>
      </c>
      <c r="F262" t="inlineStr">
        <is>
          <t>Nov-2020</t>
        </is>
      </c>
      <c r="G262" t="inlineStr">
        <is>
          <t>01-09-2021</t>
        </is>
      </c>
      <c r="H262" t="inlineStr">
        <is>
          <t>30-11-2021</t>
        </is>
      </c>
      <c r="I262" t="inlineStr">
        <is>
          <t>NON-NIL</t>
        </is>
      </c>
      <c r="J262" t="inlineStr">
        <is>
          <t>≤5Cr</t>
        </is>
      </c>
      <c r="K262" t="n">
        <v>2000</v>
      </c>
      <c r="L262" t="inlineStr">
        <is>
          <t>Cap</t>
        </is>
      </c>
      <c r="M262" t="inlineStr">
        <is>
          <t>Late fee capped at ₹2,000 under extended amnesty (33/2021-CT).</t>
        </is>
      </c>
      <c r="N262" t="inlineStr">
        <is>
          <t>Low</t>
        </is>
      </c>
      <c r="O262" t="n">
        <v>1</v>
      </c>
    </row>
    <row r="263">
      <c r="A263" t="inlineStr">
        <is>
          <t>Nov-2020_LF06_LARGE</t>
        </is>
      </c>
      <c r="B263" t="inlineStr">
        <is>
          <t>33/2021-CT</t>
        </is>
      </c>
      <c r="C263" t="inlineStr">
        <is>
          <t>29-08-2021</t>
        </is>
      </c>
      <c r="D263" t="inlineStr">
        <is>
          <t>Amnesty</t>
        </is>
      </c>
      <c r="E263" t="inlineStr">
        <is>
          <t>Nov-2020</t>
        </is>
      </c>
      <c r="F263" t="inlineStr">
        <is>
          <t>Nov-2020</t>
        </is>
      </c>
      <c r="G263" t="inlineStr">
        <is>
          <t>01-09-2021</t>
        </is>
      </c>
      <c r="H263" t="inlineStr">
        <is>
          <t>30-11-2021</t>
        </is>
      </c>
      <c r="I263" t="inlineStr">
        <is>
          <t>NON-NIL</t>
        </is>
      </c>
      <c r="J263" t="inlineStr">
        <is>
          <t>&gt;5Cr</t>
        </is>
      </c>
      <c r="K263" t="n">
        <v>5000</v>
      </c>
      <c r="L263" t="inlineStr">
        <is>
          <t>Cap</t>
        </is>
      </c>
      <c r="M263" t="inlineStr">
        <is>
          <t>Late fee capped at ₹5,000 under extended amnesty (33/2021-CT).</t>
        </is>
      </c>
      <c r="N263" t="inlineStr">
        <is>
          <t>Low</t>
        </is>
      </c>
      <c r="O263" t="n">
        <v>1</v>
      </c>
    </row>
    <row r="264">
      <c r="A264" t="inlineStr">
        <is>
          <t>Dec-2020_LF05_NIL</t>
        </is>
      </c>
      <c r="B264" t="inlineStr">
        <is>
          <t>19/2021-CT</t>
        </is>
      </c>
      <c r="C264" t="inlineStr">
        <is>
          <t>01-06-2021</t>
        </is>
      </c>
      <c r="D264" t="inlineStr">
        <is>
          <t>Amnesty</t>
        </is>
      </c>
      <c r="E264" t="inlineStr">
        <is>
          <t>Dec-2020</t>
        </is>
      </c>
      <c r="F264" t="inlineStr">
        <is>
          <t>Dec-2020</t>
        </is>
      </c>
      <c r="G264" t="inlineStr">
        <is>
          <t>01-06-2021</t>
        </is>
      </c>
      <c r="H264" t="inlineStr">
        <is>
          <t>31-08-2021</t>
        </is>
      </c>
      <c r="I264" t="inlineStr">
        <is>
          <t>NIL</t>
        </is>
      </c>
      <c r="J264" t="inlineStr">
        <is>
          <t>ALL</t>
        </is>
      </c>
      <c r="K264" t="n">
        <v>500</v>
      </c>
      <c r="L264" t="inlineStr">
        <is>
          <t>Cap</t>
        </is>
      </c>
      <c r="M264" t="inlineStr">
        <is>
          <t>Late fee capped at ₹500 under Notification 19/2021-CT.</t>
        </is>
      </c>
      <c r="N264" t="inlineStr">
        <is>
          <t>Low</t>
        </is>
      </c>
      <c r="O264" t="n">
        <v>1</v>
      </c>
    </row>
    <row r="265">
      <c r="A265" t="inlineStr">
        <is>
          <t>Dec-2020_LF05_SMALL</t>
        </is>
      </c>
      <c r="B265" t="inlineStr">
        <is>
          <t>19/2021-CT</t>
        </is>
      </c>
      <c r="C265" t="inlineStr">
        <is>
          <t>01-06-2021</t>
        </is>
      </c>
      <c r="D265" t="inlineStr">
        <is>
          <t>Amnesty</t>
        </is>
      </c>
      <c r="E265" t="inlineStr">
        <is>
          <t>Dec-2020</t>
        </is>
      </c>
      <c r="F265" t="inlineStr">
        <is>
          <t>Dec-2020</t>
        </is>
      </c>
      <c r="G265" t="inlineStr">
        <is>
          <t>01-06-2021</t>
        </is>
      </c>
      <c r="H265" t="inlineStr">
        <is>
          <t>31-08-2021</t>
        </is>
      </c>
      <c r="I265" t="inlineStr">
        <is>
          <t>NON-NIL</t>
        </is>
      </c>
      <c r="J265" t="inlineStr">
        <is>
          <t>≤5Cr</t>
        </is>
      </c>
      <c r="K265" t="n">
        <v>2000</v>
      </c>
      <c r="L265" t="inlineStr">
        <is>
          <t>Cap</t>
        </is>
      </c>
      <c r="M265" t="inlineStr">
        <is>
          <t>Late fee capped at ₹2,000 under Notification 19/2021-CT.</t>
        </is>
      </c>
      <c r="N265" t="inlineStr">
        <is>
          <t>Low</t>
        </is>
      </c>
      <c r="O265" t="n">
        <v>1</v>
      </c>
    </row>
    <row r="266">
      <c r="A266" t="inlineStr">
        <is>
          <t>Dec-2020_LF05_LARGE</t>
        </is>
      </c>
      <c r="B266" t="inlineStr">
        <is>
          <t>19/2021-CT</t>
        </is>
      </c>
      <c r="C266" t="inlineStr">
        <is>
          <t>01-06-2021</t>
        </is>
      </c>
      <c r="D266" t="inlineStr">
        <is>
          <t>Amnesty</t>
        </is>
      </c>
      <c r="E266" t="inlineStr">
        <is>
          <t>Dec-2020</t>
        </is>
      </c>
      <c r="F266" t="inlineStr">
        <is>
          <t>Dec-2020</t>
        </is>
      </c>
      <c r="G266" t="inlineStr">
        <is>
          <t>01-06-2021</t>
        </is>
      </c>
      <c r="H266" t="inlineStr">
        <is>
          <t>31-08-2021</t>
        </is>
      </c>
      <c r="I266" t="inlineStr">
        <is>
          <t>NON-NIL</t>
        </is>
      </c>
      <c r="J266" t="inlineStr">
        <is>
          <t>&gt;5Cr</t>
        </is>
      </c>
      <c r="K266" t="n">
        <v>5000</v>
      </c>
      <c r="L266" t="inlineStr">
        <is>
          <t>Cap</t>
        </is>
      </c>
      <c r="M266" t="inlineStr">
        <is>
          <t>Late fee capped at ₹5,000 under Notification 19/2021-CT.</t>
        </is>
      </c>
      <c r="N266" t="inlineStr">
        <is>
          <t>Low</t>
        </is>
      </c>
      <c r="O266" t="n">
        <v>1</v>
      </c>
    </row>
    <row r="267">
      <c r="A267" t="inlineStr">
        <is>
          <t>Dec-2020_LF06_NIL</t>
        </is>
      </c>
      <c r="B267" t="inlineStr">
        <is>
          <t>33/2021-CT</t>
        </is>
      </c>
      <c r="C267" t="inlineStr">
        <is>
          <t>29-08-2021</t>
        </is>
      </c>
      <c r="D267" t="inlineStr">
        <is>
          <t>Amnesty</t>
        </is>
      </c>
      <c r="E267" t="inlineStr">
        <is>
          <t>Dec-2020</t>
        </is>
      </c>
      <c r="F267" t="inlineStr">
        <is>
          <t>Dec-2020</t>
        </is>
      </c>
      <c r="G267" t="inlineStr">
        <is>
          <t>01-09-2021</t>
        </is>
      </c>
      <c r="H267" t="inlineStr">
        <is>
          <t>30-11-2021</t>
        </is>
      </c>
      <c r="I267" t="inlineStr">
        <is>
          <t>NIL</t>
        </is>
      </c>
      <c r="J267" t="inlineStr">
        <is>
          <t>ALL</t>
        </is>
      </c>
      <c r="K267" t="n">
        <v>500</v>
      </c>
      <c r="L267" t="inlineStr">
        <is>
          <t>Cap</t>
        </is>
      </c>
      <c r="M267" t="inlineStr">
        <is>
          <t>Late fee capped at ₹500 under extended amnesty (33/2021-CT).</t>
        </is>
      </c>
      <c r="N267" t="inlineStr">
        <is>
          <t>Low</t>
        </is>
      </c>
      <c r="O267" t="n">
        <v>1</v>
      </c>
    </row>
    <row r="268">
      <c r="A268" t="inlineStr">
        <is>
          <t>Dec-2020_LF06_SMALL</t>
        </is>
      </c>
      <c r="B268" t="inlineStr">
        <is>
          <t>33/2021-CT</t>
        </is>
      </c>
      <c r="C268" t="inlineStr">
        <is>
          <t>29-08-2021</t>
        </is>
      </c>
      <c r="D268" t="inlineStr">
        <is>
          <t>Amnesty</t>
        </is>
      </c>
      <c r="E268" t="inlineStr">
        <is>
          <t>Dec-2020</t>
        </is>
      </c>
      <c r="F268" t="inlineStr">
        <is>
          <t>Dec-2020</t>
        </is>
      </c>
      <c r="G268" t="inlineStr">
        <is>
          <t>01-09-2021</t>
        </is>
      </c>
      <c r="H268" t="inlineStr">
        <is>
          <t>30-11-2021</t>
        </is>
      </c>
      <c r="I268" t="inlineStr">
        <is>
          <t>NON-NIL</t>
        </is>
      </c>
      <c r="J268" t="inlineStr">
        <is>
          <t>≤5Cr</t>
        </is>
      </c>
      <c r="K268" t="n">
        <v>2000</v>
      </c>
      <c r="L268" t="inlineStr">
        <is>
          <t>Cap</t>
        </is>
      </c>
      <c r="M268" t="inlineStr">
        <is>
          <t>Late fee capped at ₹2,000 under extended amnesty (33/2021-CT).</t>
        </is>
      </c>
      <c r="N268" t="inlineStr">
        <is>
          <t>Low</t>
        </is>
      </c>
      <c r="O268" t="n">
        <v>1</v>
      </c>
    </row>
    <row r="269">
      <c r="A269" t="inlineStr">
        <is>
          <t>Dec-2020_LF06_LARGE</t>
        </is>
      </c>
      <c r="B269" t="inlineStr">
        <is>
          <t>33/2021-CT</t>
        </is>
      </c>
      <c r="C269" t="inlineStr">
        <is>
          <t>29-08-2021</t>
        </is>
      </c>
      <c r="D269" t="inlineStr">
        <is>
          <t>Amnesty</t>
        </is>
      </c>
      <c r="E269" t="inlineStr">
        <is>
          <t>Dec-2020</t>
        </is>
      </c>
      <c r="F269" t="inlineStr">
        <is>
          <t>Dec-2020</t>
        </is>
      </c>
      <c r="G269" t="inlineStr">
        <is>
          <t>01-09-2021</t>
        </is>
      </c>
      <c r="H269" t="inlineStr">
        <is>
          <t>30-11-2021</t>
        </is>
      </c>
      <c r="I269" t="inlineStr">
        <is>
          <t>NON-NIL</t>
        </is>
      </c>
      <c r="J269" t="inlineStr">
        <is>
          <t>&gt;5Cr</t>
        </is>
      </c>
      <c r="K269" t="n">
        <v>5000</v>
      </c>
      <c r="L269" t="inlineStr">
        <is>
          <t>Cap</t>
        </is>
      </c>
      <c r="M269" t="inlineStr">
        <is>
          <t>Late fee capped at ₹5,000 under extended amnesty (33/2021-CT).</t>
        </is>
      </c>
      <c r="N269" t="inlineStr">
        <is>
          <t>Low</t>
        </is>
      </c>
      <c r="O269" t="n">
        <v>1</v>
      </c>
    </row>
    <row r="270">
      <c r="A270" t="inlineStr">
        <is>
          <t>Jan-2021_LF05_NIL</t>
        </is>
      </c>
      <c r="B270" t="inlineStr">
        <is>
          <t>19/2021-CT</t>
        </is>
      </c>
      <c r="C270" t="inlineStr">
        <is>
          <t>01-06-2021</t>
        </is>
      </c>
      <c r="D270" t="inlineStr">
        <is>
          <t>Amnesty</t>
        </is>
      </c>
      <c r="E270" t="inlineStr">
        <is>
          <t>Jan-2021</t>
        </is>
      </c>
      <c r="F270" t="inlineStr">
        <is>
          <t>Jan-2021</t>
        </is>
      </c>
      <c r="G270" t="inlineStr">
        <is>
          <t>01-06-2021</t>
        </is>
      </c>
      <c r="H270" t="inlineStr">
        <is>
          <t>31-08-2021</t>
        </is>
      </c>
      <c r="I270" t="inlineStr">
        <is>
          <t>NIL</t>
        </is>
      </c>
      <c r="J270" t="inlineStr">
        <is>
          <t>ALL</t>
        </is>
      </c>
      <c r="K270" t="n">
        <v>500</v>
      </c>
      <c r="L270" t="inlineStr">
        <is>
          <t>Cap</t>
        </is>
      </c>
      <c r="M270" t="inlineStr">
        <is>
          <t>Late fee capped at ₹500 under Notification 19/2021-CT.</t>
        </is>
      </c>
      <c r="N270" t="inlineStr">
        <is>
          <t>Low</t>
        </is>
      </c>
      <c r="O270" t="n">
        <v>1</v>
      </c>
    </row>
    <row r="271">
      <c r="A271" t="inlineStr">
        <is>
          <t>Jan-2021_LF05_SMALL</t>
        </is>
      </c>
      <c r="B271" t="inlineStr">
        <is>
          <t>19/2021-CT</t>
        </is>
      </c>
      <c r="C271" t="inlineStr">
        <is>
          <t>01-06-2021</t>
        </is>
      </c>
      <c r="D271" t="inlineStr">
        <is>
          <t>Amnesty</t>
        </is>
      </c>
      <c r="E271" t="inlineStr">
        <is>
          <t>Jan-2021</t>
        </is>
      </c>
      <c r="F271" t="inlineStr">
        <is>
          <t>Jan-2021</t>
        </is>
      </c>
      <c r="G271" t="inlineStr">
        <is>
          <t>01-06-2021</t>
        </is>
      </c>
      <c r="H271" t="inlineStr">
        <is>
          <t>31-08-2021</t>
        </is>
      </c>
      <c r="I271" t="inlineStr">
        <is>
          <t>NON-NIL</t>
        </is>
      </c>
      <c r="J271" t="inlineStr">
        <is>
          <t>≤5Cr</t>
        </is>
      </c>
      <c r="K271" t="n">
        <v>2000</v>
      </c>
      <c r="L271" t="inlineStr">
        <is>
          <t>Cap</t>
        </is>
      </c>
      <c r="M271" t="inlineStr">
        <is>
          <t>Late fee capped at ₹2,000 under Notification 19/2021-CT.</t>
        </is>
      </c>
      <c r="N271" t="inlineStr">
        <is>
          <t>Low</t>
        </is>
      </c>
      <c r="O271" t="n">
        <v>1</v>
      </c>
    </row>
    <row r="272">
      <c r="A272" t="inlineStr">
        <is>
          <t>Jan-2021_LF05_LARGE</t>
        </is>
      </c>
      <c r="B272" t="inlineStr">
        <is>
          <t>19/2021-CT</t>
        </is>
      </c>
      <c r="C272" t="inlineStr">
        <is>
          <t>01-06-2021</t>
        </is>
      </c>
      <c r="D272" t="inlineStr">
        <is>
          <t>Amnesty</t>
        </is>
      </c>
      <c r="E272" t="inlineStr">
        <is>
          <t>Jan-2021</t>
        </is>
      </c>
      <c r="F272" t="inlineStr">
        <is>
          <t>Jan-2021</t>
        </is>
      </c>
      <c r="G272" t="inlineStr">
        <is>
          <t>01-06-2021</t>
        </is>
      </c>
      <c r="H272" t="inlineStr">
        <is>
          <t>31-08-2021</t>
        </is>
      </c>
      <c r="I272" t="inlineStr">
        <is>
          <t>NON-NIL</t>
        </is>
      </c>
      <c r="J272" t="inlineStr">
        <is>
          <t>&gt;5Cr</t>
        </is>
      </c>
      <c r="K272" t="n">
        <v>5000</v>
      </c>
      <c r="L272" t="inlineStr">
        <is>
          <t>Cap</t>
        </is>
      </c>
      <c r="M272" t="inlineStr">
        <is>
          <t>Late fee capped at ₹5,000 under Notification 19/2021-CT.</t>
        </is>
      </c>
      <c r="N272" t="inlineStr">
        <is>
          <t>Low</t>
        </is>
      </c>
      <c r="O272" t="n">
        <v>1</v>
      </c>
    </row>
    <row r="273">
      <c r="A273" t="inlineStr">
        <is>
          <t>Jan-2021_LF06_NIL</t>
        </is>
      </c>
      <c r="B273" t="inlineStr">
        <is>
          <t>33/2021-CT</t>
        </is>
      </c>
      <c r="C273" t="inlineStr">
        <is>
          <t>29-08-2021</t>
        </is>
      </c>
      <c r="D273" t="inlineStr">
        <is>
          <t>Amnesty</t>
        </is>
      </c>
      <c r="E273" t="inlineStr">
        <is>
          <t>Jan-2021</t>
        </is>
      </c>
      <c r="F273" t="inlineStr">
        <is>
          <t>Jan-2021</t>
        </is>
      </c>
      <c r="G273" t="inlineStr">
        <is>
          <t>01-09-2021</t>
        </is>
      </c>
      <c r="H273" t="inlineStr">
        <is>
          <t>30-11-2021</t>
        </is>
      </c>
      <c r="I273" t="inlineStr">
        <is>
          <t>NIL</t>
        </is>
      </c>
      <c r="J273" t="inlineStr">
        <is>
          <t>ALL</t>
        </is>
      </c>
      <c r="K273" t="n">
        <v>500</v>
      </c>
      <c r="L273" t="inlineStr">
        <is>
          <t>Cap</t>
        </is>
      </c>
      <c r="M273" t="inlineStr">
        <is>
          <t>Late fee capped at ₹500 under extended amnesty (33/2021-CT).</t>
        </is>
      </c>
      <c r="N273" t="inlineStr">
        <is>
          <t>Low</t>
        </is>
      </c>
      <c r="O273" t="n">
        <v>1</v>
      </c>
    </row>
    <row r="274">
      <c r="A274" t="inlineStr">
        <is>
          <t>Jan-2021_LF06_SMALL</t>
        </is>
      </c>
      <c r="B274" t="inlineStr">
        <is>
          <t>33/2021-CT</t>
        </is>
      </c>
      <c r="C274" t="inlineStr">
        <is>
          <t>29-08-2021</t>
        </is>
      </c>
      <c r="D274" t="inlineStr">
        <is>
          <t>Amnesty</t>
        </is>
      </c>
      <c r="E274" t="inlineStr">
        <is>
          <t>Jan-2021</t>
        </is>
      </c>
      <c r="F274" t="inlineStr">
        <is>
          <t>Jan-2021</t>
        </is>
      </c>
      <c r="G274" t="inlineStr">
        <is>
          <t>01-09-2021</t>
        </is>
      </c>
      <c r="H274" t="inlineStr">
        <is>
          <t>30-11-2021</t>
        </is>
      </c>
      <c r="I274" t="inlineStr">
        <is>
          <t>NON-NIL</t>
        </is>
      </c>
      <c r="J274" t="inlineStr">
        <is>
          <t>≤5Cr</t>
        </is>
      </c>
      <c r="K274" t="n">
        <v>2000</v>
      </c>
      <c r="L274" t="inlineStr">
        <is>
          <t>Cap</t>
        </is>
      </c>
      <c r="M274" t="inlineStr">
        <is>
          <t>Late fee capped at ₹2,000 under extended amnesty (33/2021-CT).</t>
        </is>
      </c>
      <c r="N274" t="inlineStr">
        <is>
          <t>Low</t>
        </is>
      </c>
      <c r="O274" t="n">
        <v>1</v>
      </c>
    </row>
    <row r="275">
      <c r="A275" t="inlineStr">
        <is>
          <t>Jan-2021_LF06_LARGE</t>
        </is>
      </c>
      <c r="B275" t="inlineStr">
        <is>
          <t>33/2021-CT</t>
        </is>
      </c>
      <c r="C275" t="inlineStr">
        <is>
          <t>29-08-2021</t>
        </is>
      </c>
      <c r="D275" t="inlineStr">
        <is>
          <t>Amnesty</t>
        </is>
      </c>
      <c r="E275" t="inlineStr">
        <is>
          <t>Jan-2021</t>
        </is>
      </c>
      <c r="F275" t="inlineStr">
        <is>
          <t>Jan-2021</t>
        </is>
      </c>
      <c r="G275" t="inlineStr">
        <is>
          <t>01-09-2021</t>
        </is>
      </c>
      <c r="H275" t="inlineStr">
        <is>
          <t>30-11-2021</t>
        </is>
      </c>
      <c r="I275" t="inlineStr">
        <is>
          <t>NON-NIL</t>
        </is>
      </c>
      <c r="J275" t="inlineStr">
        <is>
          <t>&gt;5Cr</t>
        </is>
      </c>
      <c r="K275" t="n">
        <v>5000</v>
      </c>
      <c r="L275" t="inlineStr">
        <is>
          <t>Cap</t>
        </is>
      </c>
      <c r="M275" t="inlineStr">
        <is>
          <t>Late fee capped at ₹5,000 under extended amnesty (33/2021-CT).</t>
        </is>
      </c>
      <c r="N275" t="inlineStr">
        <is>
          <t>Low</t>
        </is>
      </c>
      <c r="O275" t="n">
        <v>1</v>
      </c>
    </row>
    <row r="276">
      <c r="A276" t="inlineStr">
        <is>
          <t>Feb-2021_LF05_NIL</t>
        </is>
      </c>
      <c r="B276" t="inlineStr">
        <is>
          <t>19/2021-CT</t>
        </is>
      </c>
      <c r="C276" t="inlineStr">
        <is>
          <t>01-06-2021</t>
        </is>
      </c>
      <c r="D276" t="inlineStr">
        <is>
          <t>Amnesty</t>
        </is>
      </c>
      <c r="E276" t="inlineStr">
        <is>
          <t>Feb-2021</t>
        </is>
      </c>
      <c r="F276" t="inlineStr">
        <is>
          <t>Feb-2021</t>
        </is>
      </c>
      <c r="G276" t="inlineStr">
        <is>
          <t>01-06-2021</t>
        </is>
      </c>
      <c r="H276" t="inlineStr">
        <is>
          <t>31-08-2021</t>
        </is>
      </c>
      <c r="I276" t="inlineStr">
        <is>
          <t>NIL</t>
        </is>
      </c>
      <c r="J276" t="inlineStr">
        <is>
          <t>ALL</t>
        </is>
      </c>
      <c r="K276" t="n">
        <v>500</v>
      </c>
      <c r="L276" t="inlineStr">
        <is>
          <t>Cap</t>
        </is>
      </c>
      <c r="M276" t="inlineStr">
        <is>
          <t>Late fee capped at ₹500 under Notification 19/2021-CT.</t>
        </is>
      </c>
      <c r="N276" t="inlineStr">
        <is>
          <t>Low</t>
        </is>
      </c>
      <c r="O276" t="n">
        <v>1</v>
      </c>
    </row>
    <row r="277">
      <c r="A277" t="inlineStr">
        <is>
          <t>Feb-2021_LF05_SMALL</t>
        </is>
      </c>
      <c r="B277" t="inlineStr">
        <is>
          <t>19/2021-CT</t>
        </is>
      </c>
      <c r="C277" t="inlineStr">
        <is>
          <t>01-06-2021</t>
        </is>
      </c>
      <c r="D277" t="inlineStr">
        <is>
          <t>Amnesty</t>
        </is>
      </c>
      <c r="E277" t="inlineStr">
        <is>
          <t>Feb-2021</t>
        </is>
      </c>
      <c r="F277" t="inlineStr">
        <is>
          <t>Feb-2021</t>
        </is>
      </c>
      <c r="G277" t="inlineStr">
        <is>
          <t>01-06-2021</t>
        </is>
      </c>
      <c r="H277" t="inlineStr">
        <is>
          <t>31-08-2021</t>
        </is>
      </c>
      <c r="I277" t="inlineStr">
        <is>
          <t>NON-NIL</t>
        </is>
      </c>
      <c r="J277" t="inlineStr">
        <is>
          <t>≤5Cr</t>
        </is>
      </c>
      <c r="K277" t="n">
        <v>2000</v>
      </c>
      <c r="L277" t="inlineStr">
        <is>
          <t>Cap</t>
        </is>
      </c>
      <c r="M277" t="inlineStr">
        <is>
          <t>Late fee capped at ₹2,000 under Notification 19/2021-CT.</t>
        </is>
      </c>
      <c r="N277" t="inlineStr">
        <is>
          <t>Low</t>
        </is>
      </c>
      <c r="O277" t="n">
        <v>1</v>
      </c>
    </row>
    <row r="278">
      <c r="A278" t="inlineStr">
        <is>
          <t>Feb-2021_LF05_LARGE</t>
        </is>
      </c>
      <c r="B278" t="inlineStr">
        <is>
          <t>19/2021-CT</t>
        </is>
      </c>
      <c r="C278" t="inlineStr">
        <is>
          <t>01-06-2021</t>
        </is>
      </c>
      <c r="D278" t="inlineStr">
        <is>
          <t>Amnesty</t>
        </is>
      </c>
      <c r="E278" t="inlineStr">
        <is>
          <t>Feb-2021</t>
        </is>
      </c>
      <c r="F278" t="inlineStr">
        <is>
          <t>Feb-2021</t>
        </is>
      </c>
      <c r="G278" t="inlineStr">
        <is>
          <t>01-06-2021</t>
        </is>
      </c>
      <c r="H278" t="inlineStr">
        <is>
          <t>31-08-2021</t>
        </is>
      </c>
      <c r="I278" t="inlineStr">
        <is>
          <t>NON-NIL</t>
        </is>
      </c>
      <c r="J278" t="inlineStr">
        <is>
          <t>&gt;5Cr</t>
        </is>
      </c>
      <c r="K278" t="n">
        <v>5000</v>
      </c>
      <c r="L278" t="inlineStr">
        <is>
          <t>Cap</t>
        </is>
      </c>
      <c r="M278" t="inlineStr">
        <is>
          <t>Late fee capped at ₹5,000 under Notification 19/2021-CT.</t>
        </is>
      </c>
      <c r="N278" t="inlineStr">
        <is>
          <t>Low</t>
        </is>
      </c>
      <c r="O278" t="n">
        <v>1</v>
      </c>
    </row>
    <row r="279">
      <c r="A279" t="inlineStr">
        <is>
          <t>Feb-2021_LF06_NIL</t>
        </is>
      </c>
      <c r="B279" t="inlineStr">
        <is>
          <t>33/2021-CT</t>
        </is>
      </c>
      <c r="C279" t="inlineStr">
        <is>
          <t>29-08-2021</t>
        </is>
      </c>
      <c r="D279" t="inlineStr">
        <is>
          <t>Amnesty</t>
        </is>
      </c>
      <c r="E279" t="inlineStr">
        <is>
          <t>Feb-2021</t>
        </is>
      </c>
      <c r="F279" t="inlineStr">
        <is>
          <t>Feb-2021</t>
        </is>
      </c>
      <c r="G279" t="inlineStr">
        <is>
          <t>01-09-2021</t>
        </is>
      </c>
      <c r="H279" t="inlineStr">
        <is>
          <t>30-11-2021</t>
        </is>
      </c>
      <c r="I279" t="inlineStr">
        <is>
          <t>NIL</t>
        </is>
      </c>
      <c r="J279" t="inlineStr">
        <is>
          <t>ALL</t>
        </is>
      </c>
      <c r="K279" t="n">
        <v>500</v>
      </c>
      <c r="L279" t="inlineStr">
        <is>
          <t>Cap</t>
        </is>
      </c>
      <c r="M279" t="inlineStr">
        <is>
          <t>Late fee capped at ₹500 under extended amnesty (33/2021-CT).</t>
        </is>
      </c>
      <c r="N279" t="inlineStr">
        <is>
          <t>Low</t>
        </is>
      </c>
      <c r="O279" t="n">
        <v>1</v>
      </c>
    </row>
    <row r="280">
      <c r="A280" t="inlineStr">
        <is>
          <t>Feb-2021_LF06_SMALL</t>
        </is>
      </c>
      <c r="B280" t="inlineStr">
        <is>
          <t>33/2021-CT</t>
        </is>
      </c>
      <c r="C280" t="inlineStr">
        <is>
          <t>29-08-2021</t>
        </is>
      </c>
      <c r="D280" t="inlineStr">
        <is>
          <t>Amnesty</t>
        </is>
      </c>
      <c r="E280" t="inlineStr">
        <is>
          <t>Feb-2021</t>
        </is>
      </c>
      <c r="F280" t="inlineStr">
        <is>
          <t>Feb-2021</t>
        </is>
      </c>
      <c r="G280" t="inlineStr">
        <is>
          <t>01-09-2021</t>
        </is>
      </c>
      <c r="H280" t="inlineStr">
        <is>
          <t>30-11-2021</t>
        </is>
      </c>
      <c r="I280" t="inlineStr">
        <is>
          <t>NON-NIL</t>
        </is>
      </c>
      <c r="J280" t="inlineStr">
        <is>
          <t>≤5Cr</t>
        </is>
      </c>
      <c r="K280" t="n">
        <v>2000</v>
      </c>
      <c r="L280" t="inlineStr">
        <is>
          <t>Cap</t>
        </is>
      </c>
      <c r="M280" t="inlineStr">
        <is>
          <t>Late fee capped at ₹2,000 under extended amnesty (33/2021-CT).</t>
        </is>
      </c>
      <c r="N280" t="inlineStr">
        <is>
          <t>Low</t>
        </is>
      </c>
      <c r="O280" t="n">
        <v>1</v>
      </c>
    </row>
    <row r="281">
      <c r="A281" t="inlineStr">
        <is>
          <t>Feb-2021_LF06_LARGE</t>
        </is>
      </c>
      <c r="B281" t="inlineStr">
        <is>
          <t>33/2021-CT</t>
        </is>
      </c>
      <c r="C281" t="inlineStr">
        <is>
          <t>29-08-2021</t>
        </is>
      </c>
      <c r="D281" t="inlineStr">
        <is>
          <t>Amnesty</t>
        </is>
      </c>
      <c r="E281" t="inlineStr">
        <is>
          <t>Feb-2021</t>
        </is>
      </c>
      <c r="F281" t="inlineStr">
        <is>
          <t>Feb-2021</t>
        </is>
      </c>
      <c r="G281" t="inlineStr">
        <is>
          <t>01-09-2021</t>
        </is>
      </c>
      <c r="H281" t="inlineStr">
        <is>
          <t>30-11-2021</t>
        </is>
      </c>
      <c r="I281" t="inlineStr">
        <is>
          <t>NON-NIL</t>
        </is>
      </c>
      <c r="J281" t="inlineStr">
        <is>
          <t>&gt;5Cr</t>
        </is>
      </c>
      <c r="K281" t="n">
        <v>5000</v>
      </c>
      <c r="L281" t="inlineStr">
        <is>
          <t>Cap</t>
        </is>
      </c>
      <c r="M281" t="inlineStr">
        <is>
          <t>Late fee capped at ₹5,000 under extended amnesty (33/2021-CT).</t>
        </is>
      </c>
      <c r="N281" t="inlineStr">
        <is>
          <t>Low</t>
        </is>
      </c>
      <c r="O281" t="n">
        <v>1</v>
      </c>
    </row>
    <row r="282">
      <c r="A282" t="inlineStr">
        <is>
          <t>Mar-2021_LF05_NIL</t>
        </is>
      </c>
      <c r="B282" t="inlineStr">
        <is>
          <t>19/2021-CT</t>
        </is>
      </c>
      <c r="C282" t="inlineStr">
        <is>
          <t>01-06-2021</t>
        </is>
      </c>
      <c r="D282" t="inlineStr">
        <is>
          <t>Amnesty</t>
        </is>
      </c>
      <c r="E282" t="inlineStr">
        <is>
          <t>Mar-2021</t>
        </is>
      </c>
      <c r="F282" t="inlineStr">
        <is>
          <t>Mar-2021</t>
        </is>
      </c>
      <c r="G282" t="inlineStr">
        <is>
          <t>01-06-2021</t>
        </is>
      </c>
      <c r="H282" t="inlineStr">
        <is>
          <t>31-08-2021</t>
        </is>
      </c>
      <c r="I282" t="inlineStr">
        <is>
          <t>NIL</t>
        </is>
      </c>
      <c r="J282" t="inlineStr">
        <is>
          <t>ALL</t>
        </is>
      </c>
      <c r="K282" t="n">
        <v>500</v>
      </c>
      <c r="L282" t="inlineStr">
        <is>
          <t>Cap</t>
        </is>
      </c>
      <c r="M282" t="inlineStr">
        <is>
          <t>Late fee capped at ₹500 under Notification 19/2021-CT.</t>
        </is>
      </c>
      <c r="N282" t="inlineStr">
        <is>
          <t>Low</t>
        </is>
      </c>
      <c r="O282" t="n">
        <v>1</v>
      </c>
    </row>
    <row r="283">
      <c r="A283" t="inlineStr">
        <is>
          <t>Mar-2021_LF05_SMALL</t>
        </is>
      </c>
      <c r="B283" t="inlineStr">
        <is>
          <t>19/2021-CT</t>
        </is>
      </c>
      <c r="C283" t="inlineStr">
        <is>
          <t>01-06-2021</t>
        </is>
      </c>
      <c r="D283" t="inlineStr">
        <is>
          <t>Amnesty</t>
        </is>
      </c>
      <c r="E283" t="inlineStr">
        <is>
          <t>Mar-2021</t>
        </is>
      </c>
      <c r="F283" t="inlineStr">
        <is>
          <t>Mar-2021</t>
        </is>
      </c>
      <c r="G283" t="inlineStr">
        <is>
          <t>01-06-2021</t>
        </is>
      </c>
      <c r="H283" t="inlineStr">
        <is>
          <t>31-08-2021</t>
        </is>
      </c>
      <c r="I283" t="inlineStr">
        <is>
          <t>NON-NIL</t>
        </is>
      </c>
      <c r="J283" t="inlineStr">
        <is>
          <t>≤5Cr</t>
        </is>
      </c>
      <c r="K283" t="n">
        <v>2000</v>
      </c>
      <c r="L283" t="inlineStr">
        <is>
          <t>Cap</t>
        </is>
      </c>
      <c r="M283" t="inlineStr">
        <is>
          <t>Late fee capped at ₹2,000 under Notification 19/2021-CT.</t>
        </is>
      </c>
      <c r="N283" t="inlineStr">
        <is>
          <t>Low</t>
        </is>
      </c>
      <c r="O283" t="n">
        <v>1</v>
      </c>
    </row>
    <row r="284">
      <c r="A284" t="inlineStr">
        <is>
          <t>Mar-2021_LF05_LARGE</t>
        </is>
      </c>
      <c r="B284" t="inlineStr">
        <is>
          <t>19/2021-CT</t>
        </is>
      </c>
      <c r="C284" t="inlineStr">
        <is>
          <t>01-06-2021</t>
        </is>
      </c>
      <c r="D284" t="inlineStr">
        <is>
          <t>Amnesty</t>
        </is>
      </c>
      <c r="E284" t="inlineStr">
        <is>
          <t>Mar-2021</t>
        </is>
      </c>
      <c r="F284" t="inlineStr">
        <is>
          <t>Mar-2021</t>
        </is>
      </c>
      <c r="G284" t="inlineStr">
        <is>
          <t>01-06-2021</t>
        </is>
      </c>
      <c r="H284" t="inlineStr">
        <is>
          <t>31-08-2021</t>
        </is>
      </c>
      <c r="I284" t="inlineStr">
        <is>
          <t>NON-NIL</t>
        </is>
      </c>
      <c r="J284" t="inlineStr">
        <is>
          <t>&gt;5Cr</t>
        </is>
      </c>
      <c r="K284" t="n">
        <v>5000</v>
      </c>
      <c r="L284" t="inlineStr">
        <is>
          <t>Cap</t>
        </is>
      </c>
      <c r="M284" t="inlineStr">
        <is>
          <t>Late fee capped at ₹5,000 under Notification 19/2021-CT.</t>
        </is>
      </c>
      <c r="N284" t="inlineStr">
        <is>
          <t>Low</t>
        </is>
      </c>
      <c r="O284" t="n">
        <v>1</v>
      </c>
    </row>
    <row r="285">
      <c r="A285" t="inlineStr">
        <is>
          <t>Mar-2021_LF06_NIL</t>
        </is>
      </c>
      <c r="B285" t="inlineStr">
        <is>
          <t>33/2021-CT</t>
        </is>
      </c>
      <c r="C285" t="inlineStr">
        <is>
          <t>29-08-2021</t>
        </is>
      </c>
      <c r="D285" t="inlineStr">
        <is>
          <t>Amnesty</t>
        </is>
      </c>
      <c r="E285" t="inlineStr">
        <is>
          <t>Mar-2021</t>
        </is>
      </c>
      <c r="F285" t="inlineStr">
        <is>
          <t>Mar-2021</t>
        </is>
      </c>
      <c r="G285" t="inlineStr">
        <is>
          <t>01-09-2021</t>
        </is>
      </c>
      <c r="H285" t="inlineStr">
        <is>
          <t>30-11-2021</t>
        </is>
      </c>
      <c r="I285" t="inlineStr">
        <is>
          <t>NIL</t>
        </is>
      </c>
      <c r="J285" t="inlineStr">
        <is>
          <t>ALL</t>
        </is>
      </c>
      <c r="K285" t="n">
        <v>500</v>
      </c>
      <c r="L285" t="inlineStr">
        <is>
          <t>Cap</t>
        </is>
      </c>
      <c r="M285" t="inlineStr">
        <is>
          <t>Late fee capped at ₹500 under extended amnesty (33/2021-CT).</t>
        </is>
      </c>
      <c r="N285" t="inlineStr">
        <is>
          <t>Low</t>
        </is>
      </c>
      <c r="O285" t="n">
        <v>1</v>
      </c>
    </row>
    <row r="286">
      <c r="A286" t="inlineStr">
        <is>
          <t>Mar-2021_LF06_SMALL</t>
        </is>
      </c>
      <c r="B286" t="inlineStr">
        <is>
          <t>33/2021-CT</t>
        </is>
      </c>
      <c r="C286" t="inlineStr">
        <is>
          <t>29-08-2021</t>
        </is>
      </c>
      <c r="D286" t="inlineStr">
        <is>
          <t>Amnesty</t>
        </is>
      </c>
      <c r="E286" t="inlineStr">
        <is>
          <t>Mar-2021</t>
        </is>
      </c>
      <c r="F286" t="inlineStr">
        <is>
          <t>Mar-2021</t>
        </is>
      </c>
      <c r="G286" t="inlineStr">
        <is>
          <t>01-09-2021</t>
        </is>
      </c>
      <c r="H286" t="inlineStr">
        <is>
          <t>30-11-2021</t>
        </is>
      </c>
      <c r="I286" t="inlineStr">
        <is>
          <t>NON-NIL</t>
        </is>
      </c>
      <c r="J286" t="inlineStr">
        <is>
          <t>≤5Cr</t>
        </is>
      </c>
      <c r="K286" t="n">
        <v>2000</v>
      </c>
      <c r="L286" t="inlineStr">
        <is>
          <t>Cap</t>
        </is>
      </c>
      <c r="M286" t="inlineStr">
        <is>
          <t>Late fee capped at ₹2,000 under extended amnesty (33/2021-CT).</t>
        </is>
      </c>
      <c r="N286" t="inlineStr">
        <is>
          <t>Low</t>
        </is>
      </c>
      <c r="O286" t="n">
        <v>1</v>
      </c>
    </row>
    <row r="287">
      <c r="A287" t="inlineStr">
        <is>
          <t>Mar-2021_LF06_LARGE</t>
        </is>
      </c>
      <c r="B287" t="inlineStr">
        <is>
          <t>33/2021-CT</t>
        </is>
      </c>
      <c r="C287" t="inlineStr">
        <is>
          <t>29-08-2021</t>
        </is>
      </c>
      <c r="D287" t="inlineStr">
        <is>
          <t>Amnesty</t>
        </is>
      </c>
      <c r="E287" t="inlineStr">
        <is>
          <t>Mar-2021</t>
        </is>
      </c>
      <c r="F287" t="inlineStr">
        <is>
          <t>Mar-2021</t>
        </is>
      </c>
      <c r="G287" t="inlineStr">
        <is>
          <t>01-09-2021</t>
        </is>
      </c>
      <c r="H287" t="inlineStr">
        <is>
          <t>30-11-2021</t>
        </is>
      </c>
      <c r="I287" t="inlineStr">
        <is>
          <t>NON-NIL</t>
        </is>
      </c>
      <c r="J287" t="inlineStr">
        <is>
          <t>&gt;5Cr</t>
        </is>
      </c>
      <c r="K287" t="n">
        <v>5000</v>
      </c>
      <c r="L287" t="inlineStr">
        <is>
          <t>Cap</t>
        </is>
      </c>
      <c r="M287" t="inlineStr">
        <is>
          <t>Late fee capped at ₹5,000 under extended amnesty (33/2021-CT).</t>
        </is>
      </c>
      <c r="N287" t="inlineStr">
        <is>
          <t>Low</t>
        </is>
      </c>
      <c r="O287" t="n">
        <v>1</v>
      </c>
    </row>
    <row r="288">
      <c r="A288" t="inlineStr">
        <is>
          <t>Apr-2021_LF05_NIL</t>
        </is>
      </c>
      <c r="B288" t="inlineStr">
        <is>
          <t>19/2021-CT</t>
        </is>
      </c>
      <c r="C288" t="inlineStr">
        <is>
          <t>01-06-2021</t>
        </is>
      </c>
      <c r="D288" t="inlineStr">
        <is>
          <t>Amnesty</t>
        </is>
      </c>
      <c r="E288" t="inlineStr">
        <is>
          <t>Apr-2021</t>
        </is>
      </c>
      <c r="F288" t="inlineStr">
        <is>
          <t>Apr-2021</t>
        </is>
      </c>
      <c r="G288" t="inlineStr">
        <is>
          <t>01-06-2021</t>
        </is>
      </c>
      <c r="H288" t="inlineStr">
        <is>
          <t>31-08-2021</t>
        </is>
      </c>
      <c r="I288" t="inlineStr">
        <is>
          <t>NIL</t>
        </is>
      </c>
      <c r="J288" t="inlineStr">
        <is>
          <t>ALL</t>
        </is>
      </c>
      <c r="K288" t="n">
        <v>500</v>
      </c>
      <c r="L288" t="inlineStr">
        <is>
          <t>Cap</t>
        </is>
      </c>
      <c r="M288" t="inlineStr">
        <is>
          <t>Late fee capped at ₹500 under Notification 19/2021-CT.</t>
        </is>
      </c>
      <c r="N288" t="inlineStr">
        <is>
          <t>Low</t>
        </is>
      </c>
      <c r="O288" t="n">
        <v>1</v>
      </c>
    </row>
    <row r="289">
      <c r="A289" t="inlineStr">
        <is>
          <t>Apr-2021_LF05_SMALL</t>
        </is>
      </c>
      <c r="B289" t="inlineStr">
        <is>
          <t>19/2021-CT</t>
        </is>
      </c>
      <c r="C289" t="inlineStr">
        <is>
          <t>01-06-2021</t>
        </is>
      </c>
      <c r="D289" t="inlineStr">
        <is>
          <t>Amnesty</t>
        </is>
      </c>
      <c r="E289" t="inlineStr">
        <is>
          <t>Apr-2021</t>
        </is>
      </c>
      <c r="F289" t="inlineStr">
        <is>
          <t>Apr-2021</t>
        </is>
      </c>
      <c r="G289" t="inlineStr">
        <is>
          <t>01-06-2021</t>
        </is>
      </c>
      <c r="H289" t="inlineStr">
        <is>
          <t>31-08-2021</t>
        </is>
      </c>
      <c r="I289" t="inlineStr">
        <is>
          <t>NON-NIL</t>
        </is>
      </c>
      <c r="J289" t="inlineStr">
        <is>
          <t>≤5Cr</t>
        </is>
      </c>
      <c r="K289" t="n">
        <v>2000</v>
      </c>
      <c r="L289" t="inlineStr">
        <is>
          <t>Cap</t>
        </is>
      </c>
      <c r="M289" t="inlineStr">
        <is>
          <t>Late fee capped at ₹2,000 under Notification 19/2021-CT.</t>
        </is>
      </c>
      <c r="N289" t="inlineStr">
        <is>
          <t>Low</t>
        </is>
      </c>
      <c r="O289" t="n">
        <v>1</v>
      </c>
    </row>
    <row r="290">
      <c r="A290" t="inlineStr">
        <is>
          <t>Apr-2021_LF05_LARGE</t>
        </is>
      </c>
      <c r="B290" t="inlineStr">
        <is>
          <t>19/2021-CT</t>
        </is>
      </c>
      <c r="C290" t="inlineStr">
        <is>
          <t>01-06-2021</t>
        </is>
      </c>
      <c r="D290" t="inlineStr">
        <is>
          <t>Amnesty</t>
        </is>
      </c>
      <c r="E290" t="inlineStr">
        <is>
          <t>Apr-2021</t>
        </is>
      </c>
      <c r="F290" t="inlineStr">
        <is>
          <t>Apr-2021</t>
        </is>
      </c>
      <c r="G290" t="inlineStr">
        <is>
          <t>01-06-2021</t>
        </is>
      </c>
      <c r="H290" t="inlineStr">
        <is>
          <t>31-08-2021</t>
        </is>
      </c>
      <c r="I290" t="inlineStr">
        <is>
          <t>NON-NIL</t>
        </is>
      </c>
      <c r="J290" t="inlineStr">
        <is>
          <t>&gt;5Cr</t>
        </is>
      </c>
      <c r="K290" t="n">
        <v>5000</v>
      </c>
      <c r="L290" t="inlineStr">
        <is>
          <t>Cap</t>
        </is>
      </c>
      <c r="M290" t="inlineStr">
        <is>
          <t>Late fee capped at ₹5,000 under Notification 19/2021-CT.</t>
        </is>
      </c>
      <c r="N290" t="inlineStr">
        <is>
          <t>Low</t>
        </is>
      </c>
      <c r="O290" t="n">
        <v>1</v>
      </c>
    </row>
    <row r="291">
      <c r="A291" t="inlineStr">
        <is>
          <t>Apr-2021_LF06_NIL</t>
        </is>
      </c>
      <c r="B291" t="inlineStr">
        <is>
          <t>33/2021-CT</t>
        </is>
      </c>
      <c r="C291" t="inlineStr">
        <is>
          <t>29-08-2021</t>
        </is>
      </c>
      <c r="D291" t="inlineStr">
        <is>
          <t>Amnesty</t>
        </is>
      </c>
      <c r="E291" t="inlineStr">
        <is>
          <t>Apr-2021</t>
        </is>
      </c>
      <c r="F291" t="inlineStr">
        <is>
          <t>Apr-2021</t>
        </is>
      </c>
      <c r="G291" t="inlineStr">
        <is>
          <t>01-09-2021</t>
        </is>
      </c>
      <c r="H291" t="inlineStr">
        <is>
          <t>30-11-2021</t>
        </is>
      </c>
      <c r="I291" t="inlineStr">
        <is>
          <t>NIL</t>
        </is>
      </c>
      <c r="J291" t="inlineStr">
        <is>
          <t>ALL</t>
        </is>
      </c>
      <c r="K291" t="n">
        <v>500</v>
      </c>
      <c r="L291" t="inlineStr">
        <is>
          <t>Cap</t>
        </is>
      </c>
      <c r="M291" t="inlineStr">
        <is>
          <t>Late fee capped at ₹500 under extended amnesty (33/2021-CT).</t>
        </is>
      </c>
      <c r="N291" t="inlineStr">
        <is>
          <t>Low</t>
        </is>
      </c>
      <c r="O291" t="n">
        <v>1</v>
      </c>
    </row>
    <row r="292">
      <c r="A292" t="inlineStr">
        <is>
          <t>Apr-2021_LF06_SMALL</t>
        </is>
      </c>
      <c r="B292" t="inlineStr">
        <is>
          <t>33/2021-CT</t>
        </is>
      </c>
      <c r="C292" t="inlineStr">
        <is>
          <t>29-08-2021</t>
        </is>
      </c>
      <c r="D292" t="inlineStr">
        <is>
          <t>Amnesty</t>
        </is>
      </c>
      <c r="E292" t="inlineStr">
        <is>
          <t>Apr-2021</t>
        </is>
      </c>
      <c r="F292" t="inlineStr">
        <is>
          <t>Apr-2021</t>
        </is>
      </c>
      <c r="G292" t="inlineStr">
        <is>
          <t>01-09-2021</t>
        </is>
      </c>
      <c r="H292" t="inlineStr">
        <is>
          <t>30-11-2021</t>
        </is>
      </c>
      <c r="I292" t="inlineStr">
        <is>
          <t>NON-NIL</t>
        </is>
      </c>
      <c r="J292" t="inlineStr">
        <is>
          <t>≤5Cr</t>
        </is>
      </c>
      <c r="K292" t="n">
        <v>2000</v>
      </c>
      <c r="L292" t="inlineStr">
        <is>
          <t>Cap</t>
        </is>
      </c>
      <c r="M292" t="inlineStr">
        <is>
          <t>Late fee capped at ₹2,000 under extended amnesty (33/2021-CT).</t>
        </is>
      </c>
      <c r="N292" t="inlineStr">
        <is>
          <t>Low</t>
        </is>
      </c>
      <c r="O292" t="n">
        <v>1</v>
      </c>
    </row>
    <row r="293">
      <c r="A293" t="inlineStr">
        <is>
          <t>Apr-2021_LF06_LARGE</t>
        </is>
      </c>
      <c r="B293" t="inlineStr">
        <is>
          <t>33/2021-CT</t>
        </is>
      </c>
      <c r="C293" t="inlineStr">
        <is>
          <t>29-08-2021</t>
        </is>
      </c>
      <c r="D293" t="inlineStr">
        <is>
          <t>Amnesty</t>
        </is>
      </c>
      <c r="E293" t="inlineStr">
        <is>
          <t>Apr-2021</t>
        </is>
      </c>
      <c r="F293" t="inlineStr">
        <is>
          <t>Apr-2021</t>
        </is>
      </c>
      <c r="G293" t="inlineStr">
        <is>
          <t>01-09-2021</t>
        </is>
      </c>
      <c r="H293" t="inlineStr">
        <is>
          <t>30-11-2021</t>
        </is>
      </c>
      <c r="I293" t="inlineStr">
        <is>
          <t>NON-NIL</t>
        </is>
      </c>
      <c r="J293" t="inlineStr">
        <is>
          <t>&gt;5Cr</t>
        </is>
      </c>
      <c r="K293" t="n">
        <v>5000</v>
      </c>
      <c r="L293" t="inlineStr">
        <is>
          <t>Cap</t>
        </is>
      </c>
      <c r="M293" t="inlineStr">
        <is>
          <t>Late fee capped at ₹5,000 under extended amnesty (33/2021-CT).</t>
        </is>
      </c>
      <c r="N293" t="inlineStr">
        <is>
          <t>Low</t>
        </is>
      </c>
      <c r="O2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01"/>
  <sheetViews>
    <sheetView tabSelected="1" workbookViewId="0">
      <selection activeCell="F2" sqref="F2"/>
    </sheetView>
  </sheetViews>
  <sheetFormatPr baseColWidth="8" defaultRowHeight="14.4"/>
  <sheetData>
    <row r="1">
      <c r="A1" t="inlineStr">
        <is>
          <t>GSTIN</t>
        </is>
      </c>
      <c r="B1" t="inlineStr">
        <is>
          <t>Tax Period</t>
        </is>
      </c>
      <c r="C1" t="inlineStr">
        <is>
          <t>Filing Date</t>
        </is>
      </c>
      <c r="D1" t="inlineStr">
        <is>
          <t>Return Type</t>
        </is>
      </c>
      <c r="E1" t="inlineStr">
        <is>
          <t>Aggregate Turnover</t>
        </is>
      </c>
      <c r="F1" t="inlineStr">
        <is>
          <t>Turnover Slab</t>
        </is>
      </c>
      <c r="G1" t="inlineStr">
        <is>
          <t>Delay Days</t>
        </is>
      </c>
      <c r="H1" t="inlineStr">
        <is>
          <t>Normal Late Fee</t>
        </is>
      </c>
      <c r="I1" t="inlineStr">
        <is>
          <t>Allowed Max Late Fee (Auto)</t>
        </is>
      </c>
      <c r="J1" t="inlineStr">
        <is>
          <t>Final Late Fee (Auto)</t>
        </is>
      </c>
      <c r="K1" t="inlineStr">
        <is>
          <t>Waiver Amount (Auto)</t>
        </is>
      </c>
    </row>
    <row r="2">
      <c r="A2">
        <f>TEST_DATA!A2</f>
        <v/>
      </c>
      <c r="B2">
        <f>TEST_DATA!B2</f>
        <v/>
      </c>
      <c r="C2">
        <f>TEST_DATA!C2</f>
        <v/>
      </c>
      <c r="D2">
        <f>TEST_DATA!D2</f>
        <v/>
      </c>
      <c r="E2">
        <f>TEST_DATA!E2</f>
        <v/>
      </c>
      <c r="F2">
        <f>MIN(E2*200,10000)</f>
        <v/>
      </c>
      <c r="G2">
        <f>MINIFS(CBIC_Late_Fee_Relief_Windows_3B!$O$2:$O$100,CBIC_Late_Fee_Relief_Windows_3B!$D$2:$D$100,"&lt;="&amp;B2,CBIC_Late_Fee_Relief_Windows_3B!$E$2:$E$100,"&gt;="&amp;B2,CBIC_Late_Fee_Relief_Windows_3B!$F$2:$F$100,"&lt;="&amp;C2,CBIC_Late_Fee_Relief_Windows_3B!$G$2:$G$100,"&gt;="&amp;C2)</f>
        <v/>
      </c>
      <c r="H2">
        <f>INDEX(CBIC_Late_Fee_Relief_Windows_3B!$I$2:$I$100,MATCH(G2,CBIC_Late_Fee_Relief_Windows_3B!$O$2:$O$100,0))</f>
        <v/>
      </c>
      <c r="I2">
        <f>MIN(F2,H2)</f>
        <v/>
      </c>
      <c r="J2">
        <f>MIN(H2,I2)</f>
        <v/>
      </c>
      <c r="K2">
        <f>H2-J2</f>
        <v/>
      </c>
    </row>
    <row r="3">
      <c r="A3">
        <f>TEST_DATA!A3</f>
        <v/>
      </c>
      <c r="B3">
        <f>TEST_DATA!B3</f>
        <v/>
      </c>
      <c r="C3">
        <f>TEST_DATA!C3</f>
        <v/>
      </c>
      <c r="D3">
        <f>TEST_DATA!D3</f>
        <v/>
      </c>
      <c r="E3">
        <f>TEST_DATA!E3</f>
        <v/>
      </c>
      <c r="F3">
        <f>MIN(E3*300,10000)</f>
        <v/>
      </c>
      <c r="G3">
        <f>MINIFS(CBIC_Late_Fee_Relief_Windows_3B!$O$3:$O$100,CBIC_Late_Fee_Relief_Windows_3B!$D$3:$D$100,"&lt;="&amp;B3,CBIC_Late_Fee_Relief_Windows_3B!$E$3:$E$100,"&gt;="&amp;B3,CBIC_Late_Fee_Relief_Windows_3B!$F$3:$F$100,"&lt;="&amp;C3,CBIC_Late_Fee_Relief_Windows_3B!$G$3:$G$100,"&gt;="&amp;C3)</f>
        <v/>
      </c>
      <c r="H3">
        <f>INDEX(CBIC_Late_Fee_Relief_Windows_3B!$I$3:$I$100,MATCH(G3,CBIC_Late_Fee_Relief_Windows_3B!$O$3:$O$100,0))</f>
        <v/>
      </c>
      <c r="I3">
        <f>MIN(F3,H3)</f>
        <v/>
      </c>
    </row>
    <row r="4">
      <c r="A4">
        <f>TEST_DATA!A4</f>
        <v/>
      </c>
      <c r="B4">
        <f>TEST_DATA!B4</f>
        <v/>
      </c>
      <c r="C4">
        <f>TEST_DATA!C4</f>
        <v/>
      </c>
      <c r="D4">
        <f>TEST_DATA!D4</f>
        <v/>
      </c>
      <c r="E4">
        <f>TEST_DATA!E4</f>
        <v/>
      </c>
      <c r="F4">
        <f>MIN(E4*400,10000)</f>
        <v/>
      </c>
      <c r="G4">
        <f>MINIFS(CBIC_Late_Fee_Relief_Windows_3B!$O$4:$O$100,CBIC_Late_Fee_Relief_Windows_3B!$D$4:$D$100,"&lt;="&amp;B4,CBIC_Late_Fee_Relief_Windows_3B!$E$4:$E$100,"&gt;="&amp;B4,CBIC_Late_Fee_Relief_Windows_3B!$F$4:$F$100,"&lt;="&amp;C4,CBIC_Late_Fee_Relief_Windows_3B!$G$4:$G$100,"&gt;="&amp;C4)</f>
        <v/>
      </c>
      <c r="H4">
        <f>INDEX(CBIC_Late_Fee_Relief_Windows_3B!$I$4:$I$100,MATCH(G4,CBIC_Late_Fee_Relief_Windows_3B!$O$4:$O$100,0))</f>
        <v/>
      </c>
      <c r="I4">
        <f>MIN(F4,H4)</f>
        <v/>
      </c>
    </row>
    <row r="5">
      <c r="A5">
        <f>TEST_DATA!A5</f>
        <v/>
      </c>
      <c r="B5">
        <f>TEST_DATA!B5</f>
        <v/>
      </c>
      <c r="C5">
        <f>TEST_DATA!C5</f>
        <v/>
      </c>
      <c r="D5">
        <f>TEST_DATA!D5</f>
        <v/>
      </c>
      <c r="E5">
        <f>TEST_DATA!E5</f>
        <v/>
      </c>
      <c r="F5">
        <f>MIN(E5*500,10000)</f>
        <v/>
      </c>
      <c r="G5">
        <f>MINIFS(CBIC_Late_Fee_Relief_Windows_3B!$O$5:$O$100,CBIC_Late_Fee_Relief_Windows_3B!$D$5:$D$100,"&lt;="&amp;B5,CBIC_Late_Fee_Relief_Windows_3B!$E$5:$E$100,"&gt;="&amp;B5,CBIC_Late_Fee_Relief_Windows_3B!$F$5:$F$100,"&lt;="&amp;C5,CBIC_Late_Fee_Relief_Windows_3B!$G$5:$G$100,"&gt;="&amp;C5)</f>
        <v/>
      </c>
      <c r="H5">
        <f>INDEX(CBIC_Late_Fee_Relief_Windows_3B!$I$5:$I$100,MATCH(G5,CBIC_Late_Fee_Relief_Windows_3B!$O$5:$O$100,0))</f>
        <v/>
      </c>
      <c r="I5">
        <f>MIN(F5,H5)</f>
        <v/>
      </c>
    </row>
    <row r="6">
      <c r="A6">
        <f>TEST_DATA!A6</f>
        <v/>
      </c>
      <c r="B6">
        <f>TEST_DATA!B6</f>
        <v/>
      </c>
      <c r="C6">
        <f>TEST_DATA!C6</f>
        <v/>
      </c>
      <c r="D6">
        <f>TEST_DATA!D6</f>
        <v/>
      </c>
      <c r="E6">
        <f>TEST_DATA!E6</f>
        <v/>
      </c>
      <c r="F6">
        <f>MIN(E6*600,10000)</f>
        <v/>
      </c>
      <c r="G6">
        <f>MINIFS(CBIC_Late_Fee_Relief_Windows_3B!$O$6:$O$100,CBIC_Late_Fee_Relief_Windows_3B!$D$6:$D$100,"&lt;="&amp;B6,CBIC_Late_Fee_Relief_Windows_3B!$E$6:$E$100,"&gt;="&amp;B6,CBIC_Late_Fee_Relief_Windows_3B!$F$6:$F$100,"&lt;="&amp;C6,CBIC_Late_Fee_Relief_Windows_3B!$G$6:$G$100,"&gt;="&amp;C6)</f>
        <v/>
      </c>
      <c r="H6">
        <f>INDEX(CBIC_Late_Fee_Relief_Windows_3B!$I$6:$I$100,MATCH(G6,CBIC_Late_Fee_Relief_Windows_3B!$O$6:$O$100,0))</f>
        <v/>
      </c>
      <c r="I6">
        <f>MIN(F6,H6)</f>
        <v/>
      </c>
    </row>
    <row r="7">
      <c r="A7">
        <f>TEST_DATA!A7</f>
        <v/>
      </c>
      <c r="B7">
        <f>TEST_DATA!B7</f>
        <v/>
      </c>
      <c r="C7">
        <f>TEST_DATA!C7</f>
        <v/>
      </c>
      <c r="D7">
        <f>TEST_DATA!D7</f>
        <v/>
      </c>
      <c r="E7">
        <f>TEST_DATA!E7</f>
        <v/>
      </c>
      <c r="F7">
        <f>MIN(E7*700,10000)</f>
        <v/>
      </c>
      <c r="G7">
        <f>MINIFS(CBIC_Late_Fee_Relief_Windows_3B!$O$7:$O$100,CBIC_Late_Fee_Relief_Windows_3B!$D$7:$D$100,"&lt;="&amp;B7,CBIC_Late_Fee_Relief_Windows_3B!$E$7:$E$100,"&gt;="&amp;B7,CBIC_Late_Fee_Relief_Windows_3B!$F$7:$F$100,"&lt;="&amp;C7,CBIC_Late_Fee_Relief_Windows_3B!$G$7:$G$100,"&gt;="&amp;C7)</f>
        <v/>
      </c>
      <c r="H7">
        <f>INDEX(CBIC_Late_Fee_Relief_Windows_3B!$I$7:$I$100,MATCH(G7,CBIC_Late_Fee_Relief_Windows_3B!$O$7:$O$100,0))</f>
        <v/>
      </c>
      <c r="I7">
        <f>MIN(F7,H7)</f>
        <v/>
      </c>
    </row>
    <row r="8">
      <c r="A8">
        <f>TEST_DATA!A8</f>
        <v/>
      </c>
      <c r="B8">
        <f>TEST_DATA!B8</f>
        <v/>
      </c>
      <c r="C8">
        <f>TEST_DATA!C8</f>
        <v/>
      </c>
      <c r="D8">
        <f>TEST_DATA!D8</f>
        <v/>
      </c>
      <c r="E8">
        <f>TEST_DATA!E8</f>
        <v/>
      </c>
      <c r="F8">
        <f>MIN(E8*800,10000)</f>
        <v/>
      </c>
      <c r="G8">
        <f>MINIFS(CBIC_Late_Fee_Relief_Windows_3B!$O$8:$O$100,CBIC_Late_Fee_Relief_Windows_3B!$D$8:$D$100,"&lt;="&amp;B8,CBIC_Late_Fee_Relief_Windows_3B!$E$8:$E$100,"&gt;="&amp;B8,CBIC_Late_Fee_Relief_Windows_3B!$F$8:$F$100,"&lt;="&amp;C8,CBIC_Late_Fee_Relief_Windows_3B!$G$8:$G$100,"&gt;="&amp;C8)</f>
        <v/>
      </c>
      <c r="H8">
        <f>INDEX(CBIC_Late_Fee_Relief_Windows_3B!$I$8:$I$100,MATCH(G8,CBIC_Late_Fee_Relief_Windows_3B!$O$8:$O$100,0))</f>
        <v/>
      </c>
      <c r="I8">
        <f>MIN(F8,H8)</f>
        <v/>
      </c>
    </row>
    <row r="9">
      <c r="A9">
        <f>TEST_DATA!A9</f>
        <v/>
      </c>
      <c r="B9">
        <f>TEST_DATA!B9</f>
        <v/>
      </c>
      <c r="C9">
        <f>TEST_DATA!C9</f>
        <v/>
      </c>
      <c r="D9">
        <f>TEST_DATA!D9</f>
        <v/>
      </c>
      <c r="E9">
        <f>TEST_DATA!E9</f>
        <v/>
      </c>
      <c r="F9">
        <f>MIN(E9*900,10000)</f>
        <v/>
      </c>
      <c r="G9">
        <f>MINIFS(CBIC_Late_Fee_Relief_Windows_3B!$O$9:$O$100,CBIC_Late_Fee_Relief_Windows_3B!$D$9:$D$100,"&lt;="&amp;B9,CBIC_Late_Fee_Relief_Windows_3B!$E$9:$E$100,"&gt;="&amp;B9,CBIC_Late_Fee_Relief_Windows_3B!$F$9:$F$100,"&lt;="&amp;C9,CBIC_Late_Fee_Relief_Windows_3B!$G$9:$G$100,"&gt;="&amp;C9)</f>
        <v/>
      </c>
      <c r="H9">
        <f>INDEX(CBIC_Late_Fee_Relief_Windows_3B!$I$9:$I$100,MATCH(G9,CBIC_Late_Fee_Relief_Windows_3B!$O$9:$O$100,0))</f>
        <v/>
      </c>
      <c r="I9">
        <f>MIN(F9,H9)</f>
        <v/>
      </c>
    </row>
    <row r="10">
      <c r="A10">
        <f>TEST_DATA!A10</f>
        <v/>
      </c>
      <c r="B10">
        <f>TEST_DATA!B10</f>
        <v/>
      </c>
      <c r="C10">
        <f>TEST_DATA!C10</f>
        <v/>
      </c>
      <c r="D10">
        <f>TEST_DATA!D10</f>
        <v/>
      </c>
      <c r="E10">
        <f>TEST_DATA!E10</f>
        <v/>
      </c>
      <c r="F10">
        <f>MIN(E10*1000,10000)</f>
        <v/>
      </c>
      <c r="G10">
        <f>MINIFS(CBIC_Late_Fee_Relief_Windows_3B!$O$10:$O$100,CBIC_Late_Fee_Relief_Windows_3B!$D$10:$D$100,"&lt;="&amp;B10,CBIC_Late_Fee_Relief_Windows_3B!$E$10:$E$100,"&gt;="&amp;B10,CBIC_Late_Fee_Relief_Windows_3B!$F$10:$F$100,"&lt;="&amp;C10,CBIC_Late_Fee_Relief_Windows_3B!$G$10:$G$100,"&gt;="&amp;C10)</f>
        <v/>
      </c>
      <c r="H10">
        <f>INDEX(CBIC_Late_Fee_Relief_Windows_3B!$I$10:$I$100,MATCH(G10,CBIC_Late_Fee_Relief_Windows_3B!$O$10:$O$100,0))</f>
        <v/>
      </c>
      <c r="I10">
        <f>MIN(F10,H10)</f>
        <v/>
      </c>
    </row>
    <row r="11">
      <c r="A11">
        <f>TEST_DATA!A11</f>
        <v/>
      </c>
      <c r="B11">
        <f>TEST_DATA!B11</f>
        <v/>
      </c>
      <c r="C11">
        <f>TEST_DATA!C11</f>
        <v/>
      </c>
      <c r="D11">
        <f>TEST_DATA!D11</f>
        <v/>
      </c>
      <c r="E11">
        <f>TEST_DATA!E11</f>
        <v/>
      </c>
      <c r="F11">
        <f>MIN(E11*1100,10000)</f>
        <v/>
      </c>
      <c r="G11">
        <f>MINIFS(CBIC_Late_Fee_Relief_Windows_3B!$O$11:$O$100,CBIC_Late_Fee_Relief_Windows_3B!$D$11:$D$100,"&lt;="&amp;B11,CBIC_Late_Fee_Relief_Windows_3B!$E$11:$E$100,"&gt;="&amp;B11,CBIC_Late_Fee_Relief_Windows_3B!$F$11:$F$100,"&lt;="&amp;C11,CBIC_Late_Fee_Relief_Windows_3B!$G$11:$G$100,"&gt;="&amp;C11)</f>
        <v/>
      </c>
      <c r="H11">
        <f>INDEX(CBIC_Late_Fee_Relief_Windows_3B!$I$11:$I$100,MATCH(G11,CBIC_Late_Fee_Relief_Windows_3B!$O$11:$O$100,0))</f>
        <v/>
      </c>
      <c r="I11">
        <f>MIN(F11,H11)</f>
        <v/>
      </c>
    </row>
    <row r="12">
      <c r="A12">
        <f>TEST_DATA!A12</f>
        <v/>
      </c>
      <c r="B12">
        <f>TEST_DATA!B12</f>
        <v/>
      </c>
      <c r="C12">
        <f>TEST_DATA!C12</f>
        <v/>
      </c>
      <c r="D12">
        <f>TEST_DATA!D12</f>
        <v/>
      </c>
      <c r="E12">
        <f>TEST_DATA!E12</f>
        <v/>
      </c>
      <c r="F12">
        <f>MIN(E12*1200,10000)</f>
        <v/>
      </c>
      <c r="G12">
        <f>MINIFS(CBIC_Late_Fee_Relief_Windows_3B!$O$12:$O$100,CBIC_Late_Fee_Relief_Windows_3B!$D$12:$D$100,"&lt;="&amp;B12,CBIC_Late_Fee_Relief_Windows_3B!$E$12:$E$100,"&gt;="&amp;B12,CBIC_Late_Fee_Relief_Windows_3B!$F$12:$F$100,"&lt;="&amp;C12,CBIC_Late_Fee_Relief_Windows_3B!$G$12:$G$100,"&gt;="&amp;C12)</f>
        <v/>
      </c>
      <c r="H12">
        <f>INDEX(CBIC_Late_Fee_Relief_Windows_3B!$I$12:$I$100,MATCH(G12,CBIC_Late_Fee_Relief_Windows_3B!$O$12:$O$100,0))</f>
        <v/>
      </c>
      <c r="I12">
        <f>MIN(F12,H12)</f>
        <v/>
      </c>
    </row>
    <row r="13">
      <c r="A13">
        <f>TEST_DATA!A13</f>
        <v/>
      </c>
      <c r="B13">
        <f>TEST_DATA!B13</f>
        <v/>
      </c>
      <c r="C13">
        <f>TEST_DATA!C13</f>
        <v/>
      </c>
      <c r="D13">
        <f>TEST_DATA!D13</f>
        <v/>
      </c>
      <c r="E13">
        <f>TEST_DATA!E13</f>
        <v/>
      </c>
      <c r="F13">
        <f>MIN(E13*1300,10000)</f>
        <v/>
      </c>
      <c r="G13">
        <f>MINIFS(CBIC_Late_Fee_Relief_Windows_3B!$O$13:$O$100,CBIC_Late_Fee_Relief_Windows_3B!$D$13:$D$100,"&lt;="&amp;B13,CBIC_Late_Fee_Relief_Windows_3B!$E$13:$E$100,"&gt;="&amp;B13,CBIC_Late_Fee_Relief_Windows_3B!$F$13:$F$100,"&lt;="&amp;C13,CBIC_Late_Fee_Relief_Windows_3B!$G$13:$G$100,"&gt;="&amp;C13)</f>
        <v/>
      </c>
      <c r="H13">
        <f>INDEX(CBIC_Late_Fee_Relief_Windows_3B!$I$13:$I$100,MATCH(G13,CBIC_Late_Fee_Relief_Windows_3B!$O$13:$O$100,0))</f>
        <v/>
      </c>
      <c r="I13">
        <f>MIN(F13,H13)</f>
        <v/>
      </c>
    </row>
    <row r="14">
      <c r="A14">
        <f>TEST_DATA!A14</f>
        <v/>
      </c>
      <c r="B14">
        <f>TEST_DATA!B14</f>
        <v/>
      </c>
      <c r="C14">
        <f>TEST_DATA!C14</f>
        <v/>
      </c>
      <c r="D14">
        <f>TEST_DATA!D14</f>
        <v/>
      </c>
      <c r="E14">
        <f>TEST_DATA!E14</f>
        <v/>
      </c>
      <c r="F14">
        <f>MIN(E14*1400,10000)</f>
        <v/>
      </c>
      <c r="G14">
        <f>MINIFS(CBIC_Late_Fee_Relief_Windows_3B!$O$14:$O$100,CBIC_Late_Fee_Relief_Windows_3B!$D$14:$D$100,"&lt;="&amp;B14,CBIC_Late_Fee_Relief_Windows_3B!$E$14:$E$100,"&gt;="&amp;B14,CBIC_Late_Fee_Relief_Windows_3B!$F$14:$F$100,"&lt;="&amp;C14,CBIC_Late_Fee_Relief_Windows_3B!$G$14:$G$100,"&gt;="&amp;C14)</f>
        <v/>
      </c>
      <c r="H14">
        <f>INDEX(CBIC_Late_Fee_Relief_Windows_3B!$I$14:$I$100,MATCH(G14,CBIC_Late_Fee_Relief_Windows_3B!$O$14:$O$100,0))</f>
        <v/>
      </c>
      <c r="I14">
        <f>MIN(F14,H14)</f>
        <v/>
      </c>
    </row>
    <row r="15">
      <c r="A15">
        <f>TEST_DATA!A15</f>
        <v/>
      </c>
      <c r="B15">
        <f>TEST_DATA!B15</f>
        <v/>
      </c>
      <c r="C15">
        <f>TEST_DATA!C15</f>
        <v/>
      </c>
      <c r="D15">
        <f>TEST_DATA!D15</f>
        <v/>
      </c>
      <c r="E15">
        <f>TEST_DATA!E15</f>
        <v/>
      </c>
      <c r="F15">
        <f>MIN(E15*1500,10000)</f>
        <v/>
      </c>
      <c r="G15">
        <f>MINIFS(CBIC_Late_Fee_Relief_Windows_3B!$O$15:$O$100,CBIC_Late_Fee_Relief_Windows_3B!$D$15:$D$100,"&lt;="&amp;B15,CBIC_Late_Fee_Relief_Windows_3B!$E$15:$E$100,"&gt;="&amp;B15,CBIC_Late_Fee_Relief_Windows_3B!$F$15:$F$100,"&lt;="&amp;C15,CBIC_Late_Fee_Relief_Windows_3B!$G$15:$G$100,"&gt;="&amp;C15)</f>
        <v/>
      </c>
      <c r="H15">
        <f>INDEX(CBIC_Late_Fee_Relief_Windows_3B!$I$15:$I$100,MATCH(G15,CBIC_Late_Fee_Relief_Windows_3B!$O$15:$O$100,0))</f>
        <v/>
      </c>
      <c r="I15">
        <f>MIN(F15,H15)</f>
        <v/>
      </c>
    </row>
    <row r="16">
      <c r="A16">
        <f>TEST_DATA!A16</f>
        <v/>
      </c>
      <c r="B16">
        <f>TEST_DATA!B16</f>
        <v/>
      </c>
      <c r="C16">
        <f>TEST_DATA!C16</f>
        <v/>
      </c>
      <c r="D16">
        <f>TEST_DATA!D16</f>
        <v/>
      </c>
      <c r="E16">
        <f>TEST_DATA!E16</f>
        <v/>
      </c>
      <c r="F16">
        <f>MIN(E16*1600,10000)</f>
        <v/>
      </c>
      <c r="G16">
        <f>MINIFS(CBIC_Late_Fee_Relief_Windows_3B!$O$16:$O$100,CBIC_Late_Fee_Relief_Windows_3B!$D$16:$D$100,"&lt;="&amp;B16,CBIC_Late_Fee_Relief_Windows_3B!$E$16:$E$100,"&gt;="&amp;B16,CBIC_Late_Fee_Relief_Windows_3B!$F$16:$F$100,"&lt;="&amp;C16,CBIC_Late_Fee_Relief_Windows_3B!$G$16:$G$100,"&gt;="&amp;C16)</f>
        <v/>
      </c>
      <c r="H16">
        <f>INDEX(CBIC_Late_Fee_Relief_Windows_3B!$I$16:$I$100,MATCH(G16,CBIC_Late_Fee_Relief_Windows_3B!$O$16:$O$100,0))</f>
        <v/>
      </c>
      <c r="I16">
        <f>MIN(F16,H16)</f>
        <v/>
      </c>
    </row>
    <row r="17">
      <c r="A17">
        <f>TEST_DATA!A17</f>
        <v/>
      </c>
      <c r="B17">
        <f>TEST_DATA!B17</f>
        <v/>
      </c>
      <c r="C17">
        <f>TEST_DATA!C17</f>
        <v/>
      </c>
      <c r="D17">
        <f>TEST_DATA!D17</f>
        <v/>
      </c>
      <c r="E17">
        <f>TEST_DATA!E17</f>
        <v/>
      </c>
      <c r="F17">
        <f>MIN(E17*1700,10000)</f>
        <v/>
      </c>
      <c r="G17">
        <f>MINIFS(CBIC_Late_Fee_Relief_Windows_3B!$O$17:$O$100,CBIC_Late_Fee_Relief_Windows_3B!$D$17:$D$100,"&lt;="&amp;B17,CBIC_Late_Fee_Relief_Windows_3B!$E$17:$E$100,"&gt;="&amp;B17,CBIC_Late_Fee_Relief_Windows_3B!$F$17:$F$100,"&lt;="&amp;C17,CBIC_Late_Fee_Relief_Windows_3B!$G$17:$G$100,"&gt;="&amp;C17)</f>
        <v/>
      </c>
      <c r="H17">
        <f>INDEX(CBIC_Late_Fee_Relief_Windows_3B!$I$17:$I$100,MATCH(G17,CBIC_Late_Fee_Relief_Windows_3B!$O$17:$O$100,0))</f>
        <v/>
      </c>
      <c r="I17">
        <f>MIN(F17,H17)</f>
        <v/>
      </c>
    </row>
    <row r="18">
      <c r="A18">
        <f>TEST_DATA!A18</f>
        <v/>
      </c>
      <c r="B18">
        <f>TEST_DATA!B18</f>
        <v/>
      </c>
      <c r="C18">
        <f>TEST_DATA!C18</f>
        <v/>
      </c>
      <c r="D18">
        <f>TEST_DATA!D18</f>
        <v/>
      </c>
      <c r="E18">
        <f>TEST_DATA!E18</f>
        <v/>
      </c>
      <c r="F18">
        <f>MIN(E18*1800,10000)</f>
        <v/>
      </c>
      <c r="G18">
        <f>MINIFS(CBIC_Late_Fee_Relief_Windows_3B!$O$18:$O$100,CBIC_Late_Fee_Relief_Windows_3B!$D$18:$D$100,"&lt;="&amp;B18,CBIC_Late_Fee_Relief_Windows_3B!$E$18:$E$100,"&gt;="&amp;B18,CBIC_Late_Fee_Relief_Windows_3B!$F$18:$F$100,"&lt;="&amp;C18,CBIC_Late_Fee_Relief_Windows_3B!$G$18:$G$100,"&gt;="&amp;C18)</f>
        <v/>
      </c>
      <c r="H18">
        <f>INDEX(CBIC_Late_Fee_Relief_Windows_3B!$I$18:$I$100,MATCH(G18,CBIC_Late_Fee_Relief_Windows_3B!$O$18:$O$100,0))</f>
        <v/>
      </c>
      <c r="I18">
        <f>MIN(F18,H18)</f>
        <v/>
      </c>
    </row>
    <row r="19">
      <c r="A19">
        <f>TEST_DATA!A19</f>
        <v/>
      </c>
      <c r="B19">
        <f>TEST_DATA!B19</f>
        <v/>
      </c>
      <c r="C19">
        <f>TEST_DATA!C19</f>
        <v/>
      </c>
      <c r="D19">
        <f>TEST_DATA!D19</f>
        <v/>
      </c>
      <c r="E19">
        <f>TEST_DATA!E19</f>
        <v/>
      </c>
      <c r="F19">
        <f>MIN(E19*1900,10000)</f>
        <v/>
      </c>
      <c r="G19">
        <f>MINIFS(CBIC_Late_Fee_Relief_Windows_3B!$O$19:$O$100,CBIC_Late_Fee_Relief_Windows_3B!$D$19:$D$100,"&lt;="&amp;B19,CBIC_Late_Fee_Relief_Windows_3B!$E$19:$E$100,"&gt;="&amp;B19,CBIC_Late_Fee_Relief_Windows_3B!$F$19:$F$100,"&lt;="&amp;C19,CBIC_Late_Fee_Relief_Windows_3B!$G$19:$G$100,"&gt;="&amp;C19)</f>
        <v/>
      </c>
      <c r="H19">
        <f>INDEX(CBIC_Late_Fee_Relief_Windows_3B!$I$19:$I$100,MATCH(G19,CBIC_Late_Fee_Relief_Windows_3B!$O$19:$O$100,0))</f>
        <v/>
      </c>
      <c r="I19">
        <f>MIN(F19,H19)</f>
        <v/>
      </c>
    </row>
    <row r="20">
      <c r="A20">
        <f>TEST_DATA!A20</f>
        <v/>
      </c>
      <c r="B20">
        <f>TEST_DATA!B20</f>
        <v/>
      </c>
      <c r="C20">
        <f>TEST_DATA!C20</f>
        <v/>
      </c>
      <c r="D20">
        <f>TEST_DATA!D20</f>
        <v/>
      </c>
      <c r="E20">
        <f>TEST_DATA!E20</f>
        <v/>
      </c>
      <c r="F20">
        <f>MIN(E20*2000,10000)</f>
        <v/>
      </c>
      <c r="G20">
        <f>MINIFS(CBIC_Late_Fee_Relief_Windows_3B!$O$20:$O$100,CBIC_Late_Fee_Relief_Windows_3B!$D$20:$D$100,"&lt;="&amp;B20,CBIC_Late_Fee_Relief_Windows_3B!$E$20:$E$100,"&gt;="&amp;B20,CBIC_Late_Fee_Relief_Windows_3B!$F$20:$F$100,"&lt;="&amp;C20,CBIC_Late_Fee_Relief_Windows_3B!$G$20:$G$100,"&gt;="&amp;C20)</f>
        <v/>
      </c>
      <c r="H20">
        <f>INDEX(CBIC_Late_Fee_Relief_Windows_3B!$I$20:$I$100,MATCH(G20,CBIC_Late_Fee_Relief_Windows_3B!$O$20:$O$100,0))</f>
        <v/>
      </c>
      <c r="I20">
        <f>MIN(F20,H20)</f>
        <v/>
      </c>
    </row>
    <row r="21">
      <c r="A21">
        <f>TEST_DATA!A21</f>
        <v/>
      </c>
      <c r="B21">
        <f>TEST_DATA!B21</f>
        <v/>
      </c>
      <c r="C21">
        <f>TEST_DATA!C21</f>
        <v/>
      </c>
      <c r="D21">
        <f>TEST_DATA!D21</f>
        <v/>
      </c>
      <c r="E21">
        <f>TEST_DATA!E21</f>
        <v/>
      </c>
      <c r="F21">
        <f>MIN(E21*2100,10000)</f>
        <v/>
      </c>
      <c r="G21">
        <f>MINIFS(CBIC_Late_Fee_Relief_Windows_3B!$O$21:$O$100,CBIC_Late_Fee_Relief_Windows_3B!$D$21:$D$100,"&lt;="&amp;B21,CBIC_Late_Fee_Relief_Windows_3B!$E$21:$E$100,"&gt;="&amp;B21,CBIC_Late_Fee_Relief_Windows_3B!$F$21:$F$100,"&lt;="&amp;C21,CBIC_Late_Fee_Relief_Windows_3B!$G$21:$G$100,"&gt;="&amp;C21)</f>
        <v/>
      </c>
      <c r="H21">
        <f>INDEX(CBIC_Late_Fee_Relief_Windows_3B!$I$21:$I$100,MATCH(G21,CBIC_Late_Fee_Relief_Windows_3B!$O$21:$O$100,0))</f>
        <v/>
      </c>
      <c r="I21">
        <f>MIN(F21,H21)</f>
        <v/>
      </c>
    </row>
    <row r="22">
      <c r="A22">
        <f>TEST_DATA!A22</f>
        <v/>
      </c>
      <c r="B22">
        <f>TEST_DATA!B22</f>
        <v/>
      </c>
      <c r="C22">
        <f>TEST_DATA!C22</f>
        <v/>
      </c>
      <c r="D22">
        <f>TEST_DATA!D22</f>
        <v/>
      </c>
      <c r="E22">
        <f>TEST_DATA!E22</f>
        <v/>
      </c>
      <c r="F22">
        <f>MIN(E22*2200,10000)</f>
        <v/>
      </c>
      <c r="G22">
        <f>MINIFS(CBIC_Late_Fee_Relief_Windows_3B!$O$22:$O$100,CBIC_Late_Fee_Relief_Windows_3B!$D$22:$D$100,"&lt;="&amp;B22,CBIC_Late_Fee_Relief_Windows_3B!$E$22:$E$100,"&gt;="&amp;B22,CBIC_Late_Fee_Relief_Windows_3B!$F$22:$F$100,"&lt;="&amp;C22,CBIC_Late_Fee_Relief_Windows_3B!$G$22:$G$100,"&gt;="&amp;C22)</f>
        <v/>
      </c>
      <c r="H22">
        <f>INDEX(CBIC_Late_Fee_Relief_Windows_3B!$I$22:$I$100,MATCH(G22,CBIC_Late_Fee_Relief_Windows_3B!$O$22:$O$100,0))</f>
        <v/>
      </c>
      <c r="I22">
        <f>MIN(F22,H22)</f>
        <v/>
      </c>
    </row>
    <row r="23">
      <c r="A23">
        <f>TEST_DATA!A23</f>
        <v/>
      </c>
      <c r="B23">
        <f>TEST_DATA!B23</f>
        <v/>
      </c>
      <c r="C23">
        <f>TEST_DATA!C23</f>
        <v/>
      </c>
      <c r="D23">
        <f>TEST_DATA!D23</f>
        <v/>
      </c>
      <c r="E23">
        <f>TEST_DATA!E23</f>
        <v/>
      </c>
      <c r="F23">
        <f>MIN(E23*2300,10000)</f>
        <v/>
      </c>
      <c r="G23">
        <f>MINIFS(CBIC_Late_Fee_Relief_Windows_3B!$O$23:$O$100,CBIC_Late_Fee_Relief_Windows_3B!$D$23:$D$100,"&lt;="&amp;B23,CBIC_Late_Fee_Relief_Windows_3B!$E$23:$E$100,"&gt;="&amp;B23,CBIC_Late_Fee_Relief_Windows_3B!$F$23:$F$100,"&lt;="&amp;C23,CBIC_Late_Fee_Relief_Windows_3B!$G$23:$G$100,"&gt;="&amp;C23)</f>
        <v/>
      </c>
      <c r="H23">
        <f>INDEX(CBIC_Late_Fee_Relief_Windows_3B!$I$23:$I$100,MATCH(G23,CBIC_Late_Fee_Relief_Windows_3B!$O$23:$O$100,0))</f>
        <v/>
      </c>
      <c r="I23">
        <f>MIN(F23,H23)</f>
        <v/>
      </c>
    </row>
    <row r="24">
      <c r="A24">
        <f>TEST_DATA!A24</f>
        <v/>
      </c>
      <c r="B24">
        <f>TEST_DATA!B24</f>
        <v/>
      </c>
      <c r="C24">
        <f>TEST_DATA!C24</f>
        <v/>
      </c>
      <c r="D24">
        <f>TEST_DATA!D24</f>
        <v/>
      </c>
      <c r="E24">
        <f>TEST_DATA!E24</f>
        <v/>
      </c>
      <c r="F24">
        <f>MIN(E24*2400,10000)</f>
        <v/>
      </c>
      <c r="G24">
        <f>MINIFS(CBIC_Late_Fee_Relief_Windows_3B!$O$24:$O$100,CBIC_Late_Fee_Relief_Windows_3B!$D$24:$D$100,"&lt;="&amp;B24,CBIC_Late_Fee_Relief_Windows_3B!$E$24:$E$100,"&gt;="&amp;B24,CBIC_Late_Fee_Relief_Windows_3B!$F$24:$F$100,"&lt;="&amp;C24,CBIC_Late_Fee_Relief_Windows_3B!$G$24:$G$100,"&gt;="&amp;C24)</f>
        <v/>
      </c>
      <c r="H24">
        <f>INDEX(CBIC_Late_Fee_Relief_Windows_3B!$I$24:$I$100,MATCH(G24,CBIC_Late_Fee_Relief_Windows_3B!$O$24:$O$100,0))</f>
        <v/>
      </c>
      <c r="I24">
        <f>MIN(F24,H24)</f>
        <v/>
      </c>
    </row>
    <row r="25">
      <c r="A25">
        <f>TEST_DATA!A25</f>
        <v/>
      </c>
      <c r="B25">
        <f>TEST_DATA!B25</f>
        <v/>
      </c>
      <c r="C25">
        <f>TEST_DATA!C25</f>
        <v/>
      </c>
      <c r="D25">
        <f>TEST_DATA!D25</f>
        <v/>
      </c>
      <c r="E25">
        <f>TEST_DATA!E25</f>
        <v/>
      </c>
      <c r="F25">
        <f>MIN(E25*2500,10000)</f>
        <v/>
      </c>
      <c r="G25">
        <f>MINIFS(CBIC_Late_Fee_Relief_Windows_3B!$O$25:$O$100,CBIC_Late_Fee_Relief_Windows_3B!$D$25:$D$100,"&lt;="&amp;B25,CBIC_Late_Fee_Relief_Windows_3B!$E$25:$E$100,"&gt;="&amp;B25,CBIC_Late_Fee_Relief_Windows_3B!$F$25:$F$100,"&lt;="&amp;C25,CBIC_Late_Fee_Relief_Windows_3B!$G$25:$G$100,"&gt;="&amp;C25)</f>
        <v/>
      </c>
      <c r="H25">
        <f>INDEX(CBIC_Late_Fee_Relief_Windows_3B!$I$25:$I$100,MATCH(G25,CBIC_Late_Fee_Relief_Windows_3B!$O$25:$O$100,0))</f>
        <v/>
      </c>
      <c r="I25">
        <f>MIN(F25,H25)</f>
        <v/>
      </c>
    </row>
    <row r="26">
      <c r="A26">
        <f>TEST_DATA!A26</f>
        <v/>
      </c>
      <c r="B26">
        <f>TEST_DATA!B26</f>
        <v/>
      </c>
      <c r="C26">
        <f>TEST_DATA!C26</f>
        <v/>
      </c>
      <c r="D26">
        <f>TEST_DATA!D26</f>
        <v/>
      </c>
      <c r="E26">
        <f>TEST_DATA!E26</f>
        <v/>
      </c>
      <c r="F26">
        <f>MIN(E26*2600,10000)</f>
        <v/>
      </c>
      <c r="G26">
        <f>MINIFS(CBIC_Late_Fee_Relief_Windows_3B!$O$26:$O$100,CBIC_Late_Fee_Relief_Windows_3B!$D$26:$D$100,"&lt;="&amp;B26,CBIC_Late_Fee_Relief_Windows_3B!$E$26:$E$100,"&gt;="&amp;B26,CBIC_Late_Fee_Relief_Windows_3B!$F$26:$F$100,"&lt;="&amp;C26,CBIC_Late_Fee_Relief_Windows_3B!$G$26:$G$100,"&gt;="&amp;C26)</f>
        <v/>
      </c>
      <c r="H26">
        <f>INDEX(CBIC_Late_Fee_Relief_Windows_3B!$I$26:$I$100,MATCH(G26,CBIC_Late_Fee_Relief_Windows_3B!$O$26:$O$100,0))</f>
        <v/>
      </c>
      <c r="I26">
        <f>MIN(F26,H26)</f>
        <v/>
      </c>
    </row>
    <row r="27">
      <c r="A27">
        <f>TEST_DATA!A27</f>
        <v/>
      </c>
      <c r="B27">
        <f>TEST_DATA!B27</f>
        <v/>
      </c>
      <c r="C27">
        <f>TEST_DATA!C27</f>
        <v/>
      </c>
      <c r="D27">
        <f>TEST_DATA!D27</f>
        <v/>
      </c>
      <c r="E27">
        <f>TEST_DATA!E27</f>
        <v/>
      </c>
      <c r="F27">
        <f>MIN(E27*2700,10000)</f>
        <v/>
      </c>
      <c r="G27">
        <f>MINIFS(CBIC_Late_Fee_Relief_Windows_3B!$O$27:$O$100,CBIC_Late_Fee_Relief_Windows_3B!$D$27:$D$100,"&lt;="&amp;B27,CBIC_Late_Fee_Relief_Windows_3B!$E$27:$E$100,"&gt;="&amp;B27,CBIC_Late_Fee_Relief_Windows_3B!$F$27:$F$100,"&lt;="&amp;C27,CBIC_Late_Fee_Relief_Windows_3B!$G$27:$G$100,"&gt;="&amp;C27)</f>
        <v/>
      </c>
      <c r="H27">
        <f>INDEX(CBIC_Late_Fee_Relief_Windows_3B!$I$27:$I$100,MATCH(G27,CBIC_Late_Fee_Relief_Windows_3B!$O$27:$O$100,0))</f>
        <v/>
      </c>
      <c r="I27">
        <f>MIN(F27,H27)</f>
        <v/>
      </c>
    </row>
    <row r="28">
      <c r="A28">
        <f>TEST_DATA!A28</f>
        <v/>
      </c>
      <c r="B28">
        <f>TEST_DATA!B28</f>
        <v/>
      </c>
      <c r="C28">
        <f>TEST_DATA!C28</f>
        <v/>
      </c>
      <c r="D28">
        <f>TEST_DATA!D28</f>
        <v/>
      </c>
      <c r="E28">
        <f>TEST_DATA!E28</f>
        <v/>
      </c>
      <c r="F28">
        <f>MIN(E28*2800,10000)</f>
        <v/>
      </c>
      <c r="G28">
        <f>MINIFS(CBIC_Late_Fee_Relief_Windows_3B!$O$28:$O$100,CBIC_Late_Fee_Relief_Windows_3B!$D$28:$D$100,"&lt;="&amp;B28,CBIC_Late_Fee_Relief_Windows_3B!$E$28:$E$100,"&gt;="&amp;B28,CBIC_Late_Fee_Relief_Windows_3B!$F$28:$F$100,"&lt;="&amp;C28,CBIC_Late_Fee_Relief_Windows_3B!$G$28:$G$100,"&gt;="&amp;C28)</f>
        <v/>
      </c>
      <c r="H28">
        <f>INDEX(CBIC_Late_Fee_Relief_Windows_3B!$I$28:$I$100,MATCH(G28,CBIC_Late_Fee_Relief_Windows_3B!$O$28:$O$100,0))</f>
        <v/>
      </c>
      <c r="I28">
        <f>MIN(F28,H28)</f>
        <v/>
      </c>
    </row>
    <row r="29">
      <c r="A29">
        <f>TEST_DATA!A29</f>
        <v/>
      </c>
      <c r="B29">
        <f>TEST_DATA!B29</f>
        <v/>
      </c>
      <c r="C29">
        <f>TEST_DATA!C29</f>
        <v/>
      </c>
      <c r="D29">
        <f>TEST_DATA!D29</f>
        <v/>
      </c>
      <c r="E29">
        <f>TEST_DATA!E29</f>
        <v/>
      </c>
      <c r="F29">
        <f>MIN(E29*2900,10000)</f>
        <v/>
      </c>
      <c r="G29">
        <f>MINIFS(CBIC_Late_Fee_Relief_Windows_3B!$O$29:$O$100,CBIC_Late_Fee_Relief_Windows_3B!$D$29:$D$100,"&lt;="&amp;B29,CBIC_Late_Fee_Relief_Windows_3B!$E$29:$E$100,"&gt;="&amp;B29,CBIC_Late_Fee_Relief_Windows_3B!$F$29:$F$100,"&lt;="&amp;C29,CBIC_Late_Fee_Relief_Windows_3B!$G$29:$G$100,"&gt;="&amp;C29)</f>
        <v/>
      </c>
      <c r="H29">
        <f>INDEX(CBIC_Late_Fee_Relief_Windows_3B!$I$29:$I$100,MATCH(G29,CBIC_Late_Fee_Relief_Windows_3B!$O$29:$O$100,0))</f>
        <v/>
      </c>
      <c r="I29">
        <f>MIN(F29,H29)</f>
        <v/>
      </c>
    </row>
    <row r="30">
      <c r="A30">
        <f>TEST_DATA!A30</f>
        <v/>
      </c>
      <c r="B30">
        <f>TEST_DATA!B30</f>
        <v/>
      </c>
      <c r="C30">
        <f>TEST_DATA!C30</f>
        <v/>
      </c>
      <c r="D30">
        <f>TEST_DATA!D30</f>
        <v/>
      </c>
      <c r="E30">
        <f>TEST_DATA!E30</f>
        <v/>
      </c>
      <c r="F30">
        <f>MIN(E30*3000,10000)</f>
        <v/>
      </c>
      <c r="G30">
        <f>MINIFS(CBIC_Late_Fee_Relief_Windows_3B!$O$30:$O$100,CBIC_Late_Fee_Relief_Windows_3B!$D$30:$D$100,"&lt;="&amp;B30,CBIC_Late_Fee_Relief_Windows_3B!$E$30:$E$100,"&gt;="&amp;B30,CBIC_Late_Fee_Relief_Windows_3B!$F$30:$F$100,"&lt;="&amp;C30,CBIC_Late_Fee_Relief_Windows_3B!$G$30:$G$100,"&gt;="&amp;C30)</f>
        <v/>
      </c>
      <c r="H30">
        <f>INDEX(CBIC_Late_Fee_Relief_Windows_3B!$I$30:$I$100,MATCH(G30,CBIC_Late_Fee_Relief_Windows_3B!$O$30:$O$100,0))</f>
        <v/>
      </c>
      <c r="I30">
        <f>MIN(F30,H30)</f>
        <v/>
      </c>
    </row>
    <row r="31">
      <c r="A31">
        <f>TEST_DATA!A31</f>
        <v/>
      </c>
      <c r="B31">
        <f>TEST_DATA!B31</f>
        <v/>
      </c>
      <c r="C31">
        <f>TEST_DATA!C31</f>
        <v/>
      </c>
      <c r="D31">
        <f>TEST_DATA!D31</f>
        <v/>
      </c>
      <c r="E31">
        <f>TEST_DATA!E31</f>
        <v/>
      </c>
      <c r="F31">
        <f>MIN(E31*3100,10000)</f>
        <v/>
      </c>
      <c r="G31">
        <f>MINIFS(CBIC_Late_Fee_Relief_Windows_3B!$O$31:$O$100,CBIC_Late_Fee_Relief_Windows_3B!$D$31:$D$100,"&lt;="&amp;B31,CBIC_Late_Fee_Relief_Windows_3B!$E$31:$E$100,"&gt;="&amp;B31,CBIC_Late_Fee_Relief_Windows_3B!$F$31:$F$100,"&lt;="&amp;C31,CBIC_Late_Fee_Relief_Windows_3B!$G$31:$G$100,"&gt;="&amp;C31)</f>
        <v/>
      </c>
      <c r="H31">
        <f>INDEX(CBIC_Late_Fee_Relief_Windows_3B!$I$31:$I$100,MATCH(G31,CBIC_Late_Fee_Relief_Windows_3B!$O$31:$O$100,0))</f>
        <v/>
      </c>
      <c r="I31">
        <f>MIN(F31,H31)</f>
        <v/>
      </c>
    </row>
    <row r="32">
      <c r="A32">
        <f>TEST_DATA!A32</f>
        <v/>
      </c>
      <c r="B32">
        <f>TEST_DATA!B32</f>
        <v/>
      </c>
      <c r="C32">
        <f>TEST_DATA!C32</f>
        <v/>
      </c>
      <c r="D32">
        <f>TEST_DATA!D32</f>
        <v/>
      </c>
      <c r="E32">
        <f>TEST_DATA!E32</f>
        <v/>
      </c>
      <c r="F32">
        <f>MIN(E32*3200,10000)</f>
        <v/>
      </c>
      <c r="G32">
        <f>MINIFS(CBIC_Late_Fee_Relief_Windows_3B!$O$32:$O$100,CBIC_Late_Fee_Relief_Windows_3B!$D$32:$D$100,"&lt;="&amp;B32,CBIC_Late_Fee_Relief_Windows_3B!$E$32:$E$100,"&gt;="&amp;B32,CBIC_Late_Fee_Relief_Windows_3B!$F$32:$F$100,"&lt;="&amp;C32,CBIC_Late_Fee_Relief_Windows_3B!$G$32:$G$100,"&gt;="&amp;C32)</f>
        <v/>
      </c>
      <c r="H32">
        <f>INDEX(CBIC_Late_Fee_Relief_Windows_3B!$I$32:$I$100,MATCH(G32,CBIC_Late_Fee_Relief_Windows_3B!$O$32:$O$100,0))</f>
        <v/>
      </c>
      <c r="I32">
        <f>MIN(F32,H32)</f>
        <v/>
      </c>
    </row>
    <row r="33">
      <c r="A33">
        <f>TEST_DATA!A33</f>
        <v/>
      </c>
      <c r="B33">
        <f>TEST_DATA!B33</f>
        <v/>
      </c>
      <c r="C33">
        <f>TEST_DATA!C33</f>
        <v/>
      </c>
      <c r="D33">
        <f>TEST_DATA!D33</f>
        <v/>
      </c>
      <c r="E33">
        <f>TEST_DATA!E33</f>
        <v/>
      </c>
      <c r="F33">
        <f>MIN(E33*3300,10000)</f>
        <v/>
      </c>
      <c r="G33">
        <f>MINIFS(CBIC_Late_Fee_Relief_Windows_3B!$O$33:$O$100,CBIC_Late_Fee_Relief_Windows_3B!$D$33:$D$100,"&lt;="&amp;B33,CBIC_Late_Fee_Relief_Windows_3B!$E$33:$E$100,"&gt;="&amp;B33,CBIC_Late_Fee_Relief_Windows_3B!$F$33:$F$100,"&lt;="&amp;C33,CBIC_Late_Fee_Relief_Windows_3B!$G$33:$G$100,"&gt;="&amp;C33)</f>
        <v/>
      </c>
      <c r="H33">
        <f>INDEX(CBIC_Late_Fee_Relief_Windows_3B!$I$33:$I$100,MATCH(G33,CBIC_Late_Fee_Relief_Windows_3B!$O$33:$O$100,0))</f>
        <v/>
      </c>
      <c r="I33">
        <f>MIN(F33,H33)</f>
        <v/>
      </c>
    </row>
    <row r="34">
      <c r="A34">
        <f>TEST_DATA!A34</f>
        <v/>
      </c>
      <c r="B34">
        <f>TEST_DATA!B34</f>
        <v/>
      </c>
      <c r="C34">
        <f>TEST_DATA!C34</f>
        <v/>
      </c>
      <c r="D34">
        <f>TEST_DATA!D34</f>
        <v/>
      </c>
      <c r="E34">
        <f>TEST_DATA!E34</f>
        <v/>
      </c>
      <c r="F34">
        <f>MIN(E34*3400,10000)</f>
        <v/>
      </c>
      <c r="G34">
        <f>MINIFS(CBIC_Late_Fee_Relief_Windows_3B!$O$34:$O$100,CBIC_Late_Fee_Relief_Windows_3B!$D$34:$D$100,"&lt;="&amp;B34,CBIC_Late_Fee_Relief_Windows_3B!$E$34:$E$100,"&gt;="&amp;B34,CBIC_Late_Fee_Relief_Windows_3B!$F$34:$F$100,"&lt;="&amp;C34,CBIC_Late_Fee_Relief_Windows_3B!$G$34:$G$100,"&gt;="&amp;C34)</f>
        <v/>
      </c>
      <c r="H34">
        <f>INDEX(CBIC_Late_Fee_Relief_Windows_3B!$I$34:$I$100,MATCH(G34,CBIC_Late_Fee_Relief_Windows_3B!$O$34:$O$100,0))</f>
        <v/>
      </c>
      <c r="I34">
        <f>MIN(F34,H34)</f>
        <v/>
      </c>
    </row>
    <row r="35">
      <c r="A35">
        <f>TEST_DATA!A35</f>
        <v/>
      </c>
      <c r="B35">
        <f>TEST_DATA!B35</f>
        <v/>
      </c>
      <c r="C35">
        <f>TEST_DATA!C35</f>
        <v/>
      </c>
      <c r="D35">
        <f>TEST_DATA!D35</f>
        <v/>
      </c>
      <c r="E35">
        <f>TEST_DATA!E35</f>
        <v/>
      </c>
      <c r="F35">
        <f>MIN(E35*3500,10000)</f>
        <v/>
      </c>
      <c r="G35">
        <f>MINIFS(CBIC_Late_Fee_Relief_Windows_3B!$O$35:$O$100,CBIC_Late_Fee_Relief_Windows_3B!$D$35:$D$100,"&lt;="&amp;B35,CBIC_Late_Fee_Relief_Windows_3B!$E$35:$E$100,"&gt;="&amp;B35,CBIC_Late_Fee_Relief_Windows_3B!$F$35:$F$100,"&lt;="&amp;C35,CBIC_Late_Fee_Relief_Windows_3B!$G$35:$G$100,"&gt;="&amp;C35)</f>
        <v/>
      </c>
      <c r="H35">
        <f>INDEX(CBIC_Late_Fee_Relief_Windows_3B!$I$35:$I$100,MATCH(G35,CBIC_Late_Fee_Relief_Windows_3B!$O$35:$O$100,0))</f>
        <v/>
      </c>
      <c r="I35">
        <f>MIN(F35,H35)</f>
        <v/>
      </c>
    </row>
    <row r="36">
      <c r="A36">
        <f>TEST_DATA!A36</f>
        <v/>
      </c>
      <c r="B36">
        <f>TEST_DATA!B36</f>
        <v/>
      </c>
      <c r="C36">
        <f>TEST_DATA!C36</f>
        <v/>
      </c>
      <c r="D36">
        <f>TEST_DATA!D36</f>
        <v/>
      </c>
      <c r="E36">
        <f>TEST_DATA!E36</f>
        <v/>
      </c>
      <c r="F36">
        <f>MIN(E36*3600,10000)</f>
        <v/>
      </c>
      <c r="G36">
        <f>MINIFS(CBIC_Late_Fee_Relief_Windows_3B!$O$36:$O$100,CBIC_Late_Fee_Relief_Windows_3B!$D$36:$D$100,"&lt;="&amp;B36,CBIC_Late_Fee_Relief_Windows_3B!$E$36:$E$100,"&gt;="&amp;B36,CBIC_Late_Fee_Relief_Windows_3B!$F$36:$F$100,"&lt;="&amp;C36,CBIC_Late_Fee_Relief_Windows_3B!$G$36:$G$100,"&gt;="&amp;C36)</f>
        <v/>
      </c>
      <c r="H36">
        <f>INDEX(CBIC_Late_Fee_Relief_Windows_3B!$I$36:$I$100,MATCH(G36,CBIC_Late_Fee_Relief_Windows_3B!$O$36:$O$100,0))</f>
        <v/>
      </c>
      <c r="I36">
        <f>MIN(F36,H36)</f>
        <v/>
      </c>
    </row>
    <row r="37">
      <c r="A37">
        <f>TEST_DATA!A37</f>
        <v/>
      </c>
      <c r="B37">
        <f>TEST_DATA!B37</f>
        <v/>
      </c>
      <c r="C37">
        <f>TEST_DATA!C37</f>
        <v/>
      </c>
      <c r="D37">
        <f>TEST_DATA!D37</f>
        <v/>
      </c>
      <c r="E37">
        <f>TEST_DATA!E37</f>
        <v/>
      </c>
      <c r="F37">
        <f>MIN(E37*3700,10000)</f>
        <v/>
      </c>
      <c r="G37">
        <f>MINIFS(CBIC_Late_Fee_Relief_Windows_3B!$O$37:$O$100,CBIC_Late_Fee_Relief_Windows_3B!$D$37:$D$100,"&lt;="&amp;B37,CBIC_Late_Fee_Relief_Windows_3B!$E$37:$E$100,"&gt;="&amp;B37,CBIC_Late_Fee_Relief_Windows_3B!$F$37:$F$100,"&lt;="&amp;C37,CBIC_Late_Fee_Relief_Windows_3B!$G$37:$G$100,"&gt;="&amp;C37)</f>
        <v/>
      </c>
      <c r="H37">
        <f>INDEX(CBIC_Late_Fee_Relief_Windows_3B!$I$37:$I$100,MATCH(G37,CBIC_Late_Fee_Relief_Windows_3B!$O$37:$O$100,0))</f>
        <v/>
      </c>
      <c r="I37">
        <f>MIN(F37,H37)</f>
        <v/>
      </c>
    </row>
    <row r="38">
      <c r="A38">
        <f>TEST_DATA!A38</f>
        <v/>
      </c>
      <c r="B38">
        <f>TEST_DATA!B38</f>
        <v/>
      </c>
      <c r="C38">
        <f>TEST_DATA!C38</f>
        <v/>
      </c>
      <c r="D38">
        <f>TEST_DATA!D38</f>
        <v/>
      </c>
      <c r="E38">
        <f>TEST_DATA!E38</f>
        <v/>
      </c>
      <c r="F38">
        <f>MIN(E38*3800,10000)</f>
        <v/>
      </c>
      <c r="G38">
        <f>MINIFS(CBIC_Late_Fee_Relief_Windows_3B!$O$38:$O$100,CBIC_Late_Fee_Relief_Windows_3B!$D$38:$D$100,"&lt;="&amp;B38,CBIC_Late_Fee_Relief_Windows_3B!$E$38:$E$100,"&gt;="&amp;B38,CBIC_Late_Fee_Relief_Windows_3B!$F$38:$F$100,"&lt;="&amp;C38,CBIC_Late_Fee_Relief_Windows_3B!$G$38:$G$100,"&gt;="&amp;C38)</f>
        <v/>
      </c>
      <c r="H38">
        <f>INDEX(CBIC_Late_Fee_Relief_Windows_3B!$I$38:$I$100,MATCH(G38,CBIC_Late_Fee_Relief_Windows_3B!$O$38:$O$100,0))</f>
        <v/>
      </c>
      <c r="I38">
        <f>MIN(F38,H38)</f>
        <v/>
      </c>
    </row>
    <row r="39">
      <c r="A39">
        <f>TEST_DATA!A39</f>
        <v/>
      </c>
      <c r="B39">
        <f>TEST_DATA!B39</f>
        <v/>
      </c>
      <c r="C39">
        <f>TEST_DATA!C39</f>
        <v/>
      </c>
      <c r="D39">
        <f>TEST_DATA!D39</f>
        <v/>
      </c>
      <c r="E39">
        <f>TEST_DATA!E39</f>
        <v/>
      </c>
      <c r="F39">
        <f>MIN(E39*3900,10000)</f>
        <v/>
      </c>
      <c r="G39">
        <f>MINIFS(CBIC_Late_Fee_Relief_Windows_3B!$O$39:$O$100,CBIC_Late_Fee_Relief_Windows_3B!$D$39:$D$100,"&lt;="&amp;B39,CBIC_Late_Fee_Relief_Windows_3B!$E$39:$E$100,"&gt;="&amp;B39,CBIC_Late_Fee_Relief_Windows_3B!$F$39:$F$100,"&lt;="&amp;C39,CBIC_Late_Fee_Relief_Windows_3B!$G$39:$G$100,"&gt;="&amp;C39)</f>
        <v/>
      </c>
      <c r="H39">
        <f>INDEX(CBIC_Late_Fee_Relief_Windows_3B!$I$39:$I$100,MATCH(G39,CBIC_Late_Fee_Relief_Windows_3B!$O$39:$O$100,0))</f>
        <v/>
      </c>
      <c r="I39">
        <f>MIN(F39,H39)</f>
        <v/>
      </c>
    </row>
    <row r="40">
      <c r="A40">
        <f>TEST_DATA!A40</f>
        <v/>
      </c>
      <c r="B40">
        <f>TEST_DATA!B40</f>
        <v/>
      </c>
      <c r="C40">
        <f>TEST_DATA!C40</f>
        <v/>
      </c>
      <c r="D40">
        <f>TEST_DATA!D40</f>
        <v/>
      </c>
      <c r="E40">
        <f>TEST_DATA!E40</f>
        <v/>
      </c>
      <c r="F40">
        <f>MIN(E40*4000,10000)</f>
        <v/>
      </c>
      <c r="G40">
        <f>MINIFS(CBIC_Late_Fee_Relief_Windows_3B!$O$40:$O$100,CBIC_Late_Fee_Relief_Windows_3B!$D$40:$D$100,"&lt;="&amp;B40,CBIC_Late_Fee_Relief_Windows_3B!$E$40:$E$100,"&gt;="&amp;B40,CBIC_Late_Fee_Relief_Windows_3B!$F$40:$F$100,"&lt;="&amp;C40,CBIC_Late_Fee_Relief_Windows_3B!$G$40:$G$100,"&gt;="&amp;C40)</f>
        <v/>
      </c>
      <c r="H40">
        <f>INDEX(CBIC_Late_Fee_Relief_Windows_3B!$I$40:$I$100,MATCH(G40,CBIC_Late_Fee_Relief_Windows_3B!$O$40:$O$100,0))</f>
        <v/>
      </c>
      <c r="I40">
        <f>MIN(F40,H40)</f>
        <v/>
      </c>
    </row>
    <row r="41">
      <c r="A41">
        <f>TEST_DATA!A41</f>
        <v/>
      </c>
      <c r="B41">
        <f>TEST_DATA!B41</f>
        <v/>
      </c>
      <c r="C41">
        <f>TEST_DATA!C41</f>
        <v/>
      </c>
      <c r="D41">
        <f>TEST_DATA!D41</f>
        <v/>
      </c>
      <c r="E41">
        <f>TEST_DATA!E41</f>
        <v/>
      </c>
      <c r="F41">
        <f>MIN(E41*4100,10000)</f>
        <v/>
      </c>
      <c r="G41">
        <f>MINIFS(CBIC_Late_Fee_Relief_Windows_3B!$O$41:$O$100,CBIC_Late_Fee_Relief_Windows_3B!$D$41:$D$100,"&lt;="&amp;B41,CBIC_Late_Fee_Relief_Windows_3B!$E$41:$E$100,"&gt;="&amp;B41,CBIC_Late_Fee_Relief_Windows_3B!$F$41:$F$100,"&lt;="&amp;C41,CBIC_Late_Fee_Relief_Windows_3B!$G$41:$G$100,"&gt;="&amp;C41)</f>
        <v/>
      </c>
      <c r="H41">
        <f>INDEX(CBIC_Late_Fee_Relief_Windows_3B!$I$41:$I$100,MATCH(G41,CBIC_Late_Fee_Relief_Windows_3B!$O$41:$O$100,0))</f>
        <v/>
      </c>
      <c r="I41">
        <f>MIN(F41,H41)</f>
        <v/>
      </c>
    </row>
    <row r="42">
      <c r="A42">
        <f>TEST_DATA!A42</f>
        <v/>
      </c>
      <c r="B42">
        <f>TEST_DATA!B42</f>
        <v/>
      </c>
      <c r="C42">
        <f>TEST_DATA!C42</f>
        <v/>
      </c>
      <c r="D42">
        <f>TEST_DATA!D42</f>
        <v/>
      </c>
      <c r="E42">
        <f>TEST_DATA!E42</f>
        <v/>
      </c>
      <c r="F42">
        <f>MIN(E42*4200,10000)</f>
        <v/>
      </c>
      <c r="G42">
        <f>MINIFS(CBIC_Late_Fee_Relief_Windows_3B!$O$42:$O$100,CBIC_Late_Fee_Relief_Windows_3B!$D$42:$D$100,"&lt;="&amp;B42,CBIC_Late_Fee_Relief_Windows_3B!$E$42:$E$100,"&gt;="&amp;B42,CBIC_Late_Fee_Relief_Windows_3B!$F$42:$F$100,"&lt;="&amp;C42,CBIC_Late_Fee_Relief_Windows_3B!$G$42:$G$100,"&gt;="&amp;C42)</f>
        <v/>
      </c>
      <c r="H42">
        <f>INDEX(CBIC_Late_Fee_Relief_Windows_3B!$I$42:$I$100,MATCH(G42,CBIC_Late_Fee_Relief_Windows_3B!$O$42:$O$100,0))</f>
        <v/>
      </c>
      <c r="I42">
        <f>MIN(F42,H42)</f>
        <v/>
      </c>
    </row>
    <row r="43">
      <c r="A43">
        <f>TEST_DATA!A43</f>
        <v/>
      </c>
      <c r="B43">
        <f>TEST_DATA!B43</f>
        <v/>
      </c>
      <c r="C43">
        <f>TEST_DATA!C43</f>
        <v/>
      </c>
      <c r="D43">
        <f>TEST_DATA!D43</f>
        <v/>
      </c>
      <c r="E43">
        <f>TEST_DATA!E43</f>
        <v/>
      </c>
      <c r="F43">
        <f>MIN(E43*4300,10000)</f>
        <v/>
      </c>
      <c r="G43">
        <f>MINIFS(CBIC_Late_Fee_Relief_Windows_3B!$O$43:$O$100,CBIC_Late_Fee_Relief_Windows_3B!$D$43:$D$100,"&lt;="&amp;B43,CBIC_Late_Fee_Relief_Windows_3B!$E$43:$E$100,"&gt;="&amp;B43,CBIC_Late_Fee_Relief_Windows_3B!$F$43:$F$100,"&lt;="&amp;C43,CBIC_Late_Fee_Relief_Windows_3B!$G$43:$G$100,"&gt;="&amp;C43)</f>
        <v/>
      </c>
      <c r="H43">
        <f>INDEX(CBIC_Late_Fee_Relief_Windows_3B!$I$43:$I$100,MATCH(G43,CBIC_Late_Fee_Relief_Windows_3B!$O$43:$O$100,0))</f>
        <v/>
      </c>
      <c r="I43">
        <f>MIN(F43,H43)</f>
        <v/>
      </c>
    </row>
    <row r="44">
      <c r="A44">
        <f>TEST_DATA!A44</f>
        <v/>
      </c>
      <c r="B44">
        <f>TEST_DATA!B44</f>
        <v/>
      </c>
      <c r="C44">
        <f>TEST_DATA!C44</f>
        <v/>
      </c>
      <c r="D44">
        <f>TEST_DATA!D44</f>
        <v/>
      </c>
      <c r="E44">
        <f>TEST_DATA!E44</f>
        <v/>
      </c>
      <c r="F44">
        <f>MIN(E44*4400,10000)</f>
        <v/>
      </c>
      <c r="G44">
        <f>MINIFS(CBIC_Late_Fee_Relief_Windows_3B!$O$44:$O$100,CBIC_Late_Fee_Relief_Windows_3B!$D$44:$D$100,"&lt;="&amp;B44,CBIC_Late_Fee_Relief_Windows_3B!$E$44:$E$100,"&gt;="&amp;B44,CBIC_Late_Fee_Relief_Windows_3B!$F$44:$F$100,"&lt;="&amp;C44,CBIC_Late_Fee_Relief_Windows_3B!$G$44:$G$100,"&gt;="&amp;C44)</f>
        <v/>
      </c>
      <c r="H44">
        <f>INDEX(CBIC_Late_Fee_Relief_Windows_3B!$I$44:$I$100,MATCH(G44,CBIC_Late_Fee_Relief_Windows_3B!$O$44:$O$100,0))</f>
        <v/>
      </c>
      <c r="I44">
        <f>MIN(F44,H44)</f>
        <v/>
      </c>
    </row>
    <row r="45">
      <c r="A45">
        <f>TEST_DATA!A45</f>
        <v/>
      </c>
      <c r="B45">
        <f>TEST_DATA!B45</f>
        <v/>
      </c>
      <c r="C45">
        <f>TEST_DATA!C45</f>
        <v/>
      </c>
      <c r="D45">
        <f>TEST_DATA!D45</f>
        <v/>
      </c>
      <c r="E45">
        <f>TEST_DATA!E45</f>
        <v/>
      </c>
      <c r="F45">
        <f>MIN(E45*4500,10000)</f>
        <v/>
      </c>
      <c r="G45">
        <f>MINIFS(CBIC_Late_Fee_Relief_Windows_3B!$O$45:$O$100,CBIC_Late_Fee_Relief_Windows_3B!$D$45:$D$100,"&lt;="&amp;B45,CBIC_Late_Fee_Relief_Windows_3B!$E$45:$E$100,"&gt;="&amp;B45,CBIC_Late_Fee_Relief_Windows_3B!$F$45:$F$100,"&lt;="&amp;C45,CBIC_Late_Fee_Relief_Windows_3B!$G$45:$G$100,"&gt;="&amp;C45)</f>
        <v/>
      </c>
      <c r="H45">
        <f>INDEX(CBIC_Late_Fee_Relief_Windows_3B!$I$45:$I$100,MATCH(G45,CBIC_Late_Fee_Relief_Windows_3B!$O$45:$O$100,0))</f>
        <v/>
      </c>
      <c r="I45">
        <f>MIN(F45,H45)</f>
        <v/>
      </c>
    </row>
    <row r="46">
      <c r="A46">
        <f>TEST_DATA!A46</f>
        <v/>
      </c>
      <c r="B46">
        <f>TEST_DATA!B46</f>
        <v/>
      </c>
      <c r="C46">
        <f>TEST_DATA!C46</f>
        <v/>
      </c>
      <c r="D46">
        <f>TEST_DATA!D46</f>
        <v/>
      </c>
      <c r="E46">
        <f>TEST_DATA!E46</f>
        <v/>
      </c>
      <c r="F46">
        <f>MIN(E46*4600,10000)</f>
        <v/>
      </c>
      <c r="G46">
        <f>MINIFS(CBIC_Late_Fee_Relief_Windows_3B!$O$46:$O$100,CBIC_Late_Fee_Relief_Windows_3B!$D$46:$D$100,"&lt;="&amp;B46,CBIC_Late_Fee_Relief_Windows_3B!$E$46:$E$100,"&gt;="&amp;B46,CBIC_Late_Fee_Relief_Windows_3B!$F$46:$F$100,"&lt;="&amp;C46,CBIC_Late_Fee_Relief_Windows_3B!$G$46:$G$100,"&gt;="&amp;C46)</f>
        <v/>
      </c>
      <c r="H46">
        <f>INDEX(CBIC_Late_Fee_Relief_Windows_3B!$I$46:$I$100,MATCH(G46,CBIC_Late_Fee_Relief_Windows_3B!$O$46:$O$100,0))</f>
        <v/>
      </c>
      <c r="I46">
        <f>MIN(F46,H46)</f>
        <v/>
      </c>
    </row>
    <row r="47">
      <c r="A47">
        <f>TEST_DATA!A47</f>
        <v/>
      </c>
      <c r="B47">
        <f>TEST_DATA!B47</f>
        <v/>
      </c>
      <c r="C47">
        <f>TEST_DATA!C47</f>
        <v/>
      </c>
      <c r="D47">
        <f>TEST_DATA!D47</f>
        <v/>
      </c>
      <c r="E47">
        <f>TEST_DATA!E47</f>
        <v/>
      </c>
      <c r="F47">
        <f>MIN(E47*4700,10000)</f>
        <v/>
      </c>
      <c r="G47">
        <f>MINIFS(CBIC_Late_Fee_Relief_Windows_3B!$O$47:$O$100,CBIC_Late_Fee_Relief_Windows_3B!$D$47:$D$100,"&lt;="&amp;B47,CBIC_Late_Fee_Relief_Windows_3B!$E$47:$E$100,"&gt;="&amp;B47,CBIC_Late_Fee_Relief_Windows_3B!$F$47:$F$100,"&lt;="&amp;C47,CBIC_Late_Fee_Relief_Windows_3B!$G$47:$G$100,"&gt;="&amp;C47)</f>
        <v/>
      </c>
      <c r="H47">
        <f>INDEX(CBIC_Late_Fee_Relief_Windows_3B!$I$47:$I$100,MATCH(G47,CBIC_Late_Fee_Relief_Windows_3B!$O$47:$O$100,0))</f>
        <v/>
      </c>
      <c r="I47">
        <f>MIN(F47,H47)</f>
        <v/>
      </c>
    </row>
    <row r="48">
      <c r="A48">
        <f>TEST_DATA!A48</f>
        <v/>
      </c>
      <c r="B48">
        <f>TEST_DATA!B48</f>
        <v/>
      </c>
      <c r="C48">
        <f>TEST_DATA!C48</f>
        <v/>
      </c>
      <c r="D48">
        <f>TEST_DATA!D48</f>
        <v/>
      </c>
      <c r="E48">
        <f>TEST_DATA!E48</f>
        <v/>
      </c>
      <c r="F48">
        <f>MIN(E48*4800,10000)</f>
        <v/>
      </c>
      <c r="G48">
        <f>MINIFS(CBIC_Late_Fee_Relief_Windows_3B!$O$48:$O$100,CBIC_Late_Fee_Relief_Windows_3B!$D$48:$D$100,"&lt;="&amp;B48,CBIC_Late_Fee_Relief_Windows_3B!$E$48:$E$100,"&gt;="&amp;B48,CBIC_Late_Fee_Relief_Windows_3B!$F$48:$F$100,"&lt;="&amp;C48,CBIC_Late_Fee_Relief_Windows_3B!$G$48:$G$100,"&gt;="&amp;C48)</f>
        <v/>
      </c>
      <c r="H48">
        <f>INDEX(CBIC_Late_Fee_Relief_Windows_3B!$I$48:$I$100,MATCH(G48,CBIC_Late_Fee_Relief_Windows_3B!$O$48:$O$100,0))</f>
        <v/>
      </c>
      <c r="I48">
        <f>MIN(F48,H48)</f>
        <v/>
      </c>
    </row>
    <row r="49">
      <c r="A49">
        <f>TEST_DATA!A49</f>
        <v/>
      </c>
      <c r="B49">
        <f>TEST_DATA!B49</f>
        <v/>
      </c>
      <c r="C49">
        <f>TEST_DATA!C49</f>
        <v/>
      </c>
      <c r="D49">
        <f>TEST_DATA!D49</f>
        <v/>
      </c>
      <c r="E49">
        <f>TEST_DATA!E49</f>
        <v/>
      </c>
      <c r="F49">
        <f>MIN(E49*4900,10000)</f>
        <v/>
      </c>
      <c r="G49">
        <f>MINIFS(CBIC_Late_Fee_Relief_Windows_3B!$O$49:$O$100,CBIC_Late_Fee_Relief_Windows_3B!$D$49:$D$100,"&lt;="&amp;B49,CBIC_Late_Fee_Relief_Windows_3B!$E$49:$E$100,"&gt;="&amp;B49,CBIC_Late_Fee_Relief_Windows_3B!$F$49:$F$100,"&lt;="&amp;C49,CBIC_Late_Fee_Relief_Windows_3B!$G$49:$G$100,"&gt;="&amp;C49)</f>
        <v/>
      </c>
      <c r="H49">
        <f>INDEX(CBIC_Late_Fee_Relief_Windows_3B!$I$49:$I$100,MATCH(G49,CBIC_Late_Fee_Relief_Windows_3B!$O$49:$O$100,0))</f>
        <v/>
      </c>
      <c r="I49">
        <f>MIN(F49,H49)</f>
        <v/>
      </c>
    </row>
    <row r="50">
      <c r="A50">
        <f>TEST_DATA!A50</f>
        <v/>
      </c>
      <c r="B50">
        <f>TEST_DATA!B50</f>
        <v/>
      </c>
      <c r="C50">
        <f>TEST_DATA!C50</f>
        <v/>
      </c>
      <c r="D50">
        <f>TEST_DATA!D50</f>
        <v/>
      </c>
      <c r="E50">
        <f>TEST_DATA!E50</f>
        <v/>
      </c>
      <c r="F50">
        <f>MIN(E50*5000,10000)</f>
        <v/>
      </c>
      <c r="G50">
        <f>MINIFS(CBIC_Late_Fee_Relief_Windows_3B!$O$50:$O$100,CBIC_Late_Fee_Relief_Windows_3B!$D$50:$D$100,"&lt;="&amp;B50,CBIC_Late_Fee_Relief_Windows_3B!$E$50:$E$100,"&gt;="&amp;B50,CBIC_Late_Fee_Relief_Windows_3B!$F$50:$F$100,"&lt;="&amp;C50,CBIC_Late_Fee_Relief_Windows_3B!$G$50:$G$100,"&gt;="&amp;C50)</f>
        <v/>
      </c>
      <c r="H50">
        <f>INDEX(CBIC_Late_Fee_Relief_Windows_3B!$I$50:$I$100,MATCH(G50,CBIC_Late_Fee_Relief_Windows_3B!$O$50:$O$100,0))</f>
        <v/>
      </c>
      <c r="I50">
        <f>MIN(F50,H50)</f>
        <v/>
      </c>
    </row>
    <row r="51">
      <c r="A51">
        <f>TEST_DATA!A51</f>
        <v/>
      </c>
      <c r="B51">
        <f>TEST_DATA!B51</f>
        <v/>
      </c>
      <c r="C51">
        <f>TEST_DATA!C51</f>
        <v/>
      </c>
      <c r="D51">
        <f>TEST_DATA!D51</f>
        <v/>
      </c>
      <c r="E51">
        <f>TEST_DATA!E51</f>
        <v/>
      </c>
      <c r="F51">
        <f>MIN(E51*5100,10000)</f>
        <v/>
      </c>
      <c r="G51">
        <f>MINIFS(CBIC_Late_Fee_Relief_Windows_3B!$O$51:$O$100,CBIC_Late_Fee_Relief_Windows_3B!$D$51:$D$100,"&lt;="&amp;B51,CBIC_Late_Fee_Relief_Windows_3B!$E$51:$E$100,"&gt;="&amp;B51,CBIC_Late_Fee_Relief_Windows_3B!$F$51:$F$100,"&lt;="&amp;C51,CBIC_Late_Fee_Relief_Windows_3B!$G$51:$G$100,"&gt;="&amp;C51)</f>
        <v/>
      </c>
      <c r="H51">
        <f>INDEX(CBIC_Late_Fee_Relief_Windows_3B!$I$51:$I$100,MATCH(G51,CBIC_Late_Fee_Relief_Windows_3B!$O$51:$O$100,0))</f>
        <v/>
      </c>
      <c r="I51">
        <f>MIN(F51,H51)</f>
        <v/>
      </c>
    </row>
    <row r="52">
      <c r="A52">
        <f>TEST_DATA!A52</f>
        <v/>
      </c>
      <c r="B52">
        <f>TEST_DATA!B52</f>
        <v/>
      </c>
      <c r="C52">
        <f>TEST_DATA!C52</f>
        <v/>
      </c>
      <c r="D52">
        <f>TEST_DATA!D52</f>
        <v/>
      </c>
      <c r="E52">
        <f>TEST_DATA!E52</f>
        <v/>
      </c>
      <c r="F52">
        <f>MIN(E52*5200,10000)</f>
        <v/>
      </c>
      <c r="G52">
        <f>MINIFS(CBIC_Late_Fee_Relief_Windows_3B!$O$52:$O$100,CBIC_Late_Fee_Relief_Windows_3B!$D$52:$D$100,"&lt;="&amp;B52,CBIC_Late_Fee_Relief_Windows_3B!$E$52:$E$100,"&gt;="&amp;B52,CBIC_Late_Fee_Relief_Windows_3B!$F$52:$F$100,"&lt;="&amp;C52,CBIC_Late_Fee_Relief_Windows_3B!$G$52:$G$100,"&gt;="&amp;C52)</f>
        <v/>
      </c>
      <c r="H52">
        <f>INDEX(CBIC_Late_Fee_Relief_Windows_3B!$I$52:$I$100,MATCH(G52,CBIC_Late_Fee_Relief_Windows_3B!$O$52:$O$100,0))</f>
        <v/>
      </c>
      <c r="I52">
        <f>MIN(F52,H52)</f>
        <v/>
      </c>
    </row>
    <row r="53">
      <c r="A53">
        <f>TEST_DATA!A53</f>
        <v/>
      </c>
      <c r="B53">
        <f>TEST_DATA!B53</f>
        <v/>
      </c>
      <c r="C53">
        <f>TEST_DATA!C53</f>
        <v/>
      </c>
      <c r="D53">
        <f>TEST_DATA!D53</f>
        <v/>
      </c>
      <c r="E53">
        <f>TEST_DATA!E53</f>
        <v/>
      </c>
      <c r="F53">
        <f>MIN(E53*5300,10000)</f>
        <v/>
      </c>
      <c r="G53">
        <f>MINIFS(CBIC_Late_Fee_Relief_Windows_3B!$O$53:$O$100,CBIC_Late_Fee_Relief_Windows_3B!$D$53:$D$100,"&lt;="&amp;B53,CBIC_Late_Fee_Relief_Windows_3B!$E$53:$E$100,"&gt;="&amp;B53,CBIC_Late_Fee_Relief_Windows_3B!$F$53:$F$100,"&lt;="&amp;C53,CBIC_Late_Fee_Relief_Windows_3B!$G$53:$G$100,"&gt;="&amp;C53)</f>
        <v/>
      </c>
      <c r="H53">
        <f>INDEX(CBIC_Late_Fee_Relief_Windows_3B!$I$53:$I$100,MATCH(G53,CBIC_Late_Fee_Relief_Windows_3B!$O$53:$O$100,0))</f>
        <v/>
      </c>
      <c r="I53">
        <f>MIN(F53,H53)</f>
        <v/>
      </c>
    </row>
    <row r="54">
      <c r="A54">
        <f>TEST_DATA!A54</f>
        <v/>
      </c>
      <c r="B54">
        <f>TEST_DATA!B54</f>
        <v/>
      </c>
      <c r="C54">
        <f>TEST_DATA!C54</f>
        <v/>
      </c>
      <c r="D54">
        <f>TEST_DATA!D54</f>
        <v/>
      </c>
      <c r="E54">
        <f>TEST_DATA!E54</f>
        <v/>
      </c>
      <c r="F54">
        <f>MIN(E54*5400,10000)</f>
        <v/>
      </c>
      <c r="G54">
        <f>MINIFS(CBIC_Late_Fee_Relief_Windows_3B!$O$54:$O$100,CBIC_Late_Fee_Relief_Windows_3B!$D$54:$D$100,"&lt;="&amp;B54,CBIC_Late_Fee_Relief_Windows_3B!$E$54:$E$100,"&gt;="&amp;B54,CBIC_Late_Fee_Relief_Windows_3B!$F$54:$F$100,"&lt;="&amp;C54,CBIC_Late_Fee_Relief_Windows_3B!$G$54:$G$100,"&gt;="&amp;C54)</f>
        <v/>
      </c>
      <c r="H54">
        <f>INDEX(CBIC_Late_Fee_Relief_Windows_3B!$I$54:$I$100,MATCH(G54,CBIC_Late_Fee_Relief_Windows_3B!$O$54:$O$100,0))</f>
        <v/>
      </c>
      <c r="I54">
        <f>MIN(F54,H54)</f>
        <v/>
      </c>
    </row>
    <row r="55">
      <c r="A55">
        <f>TEST_DATA!A55</f>
        <v/>
      </c>
      <c r="B55">
        <f>TEST_DATA!B55</f>
        <v/>
      </c>
      <c r="C55">
        <f>TEST_DATA!C55</f>
        <v/>
      </c>
      <c r="D55">
        <f>TEST_DATA!D55</f>
        <v/>
      </c>
      <c r="E55">
        <f>TEST_DATA!E55</f>
        <v/>
      </c>
      <c r="F55">
        <f>MIN(E55*5500,10000)</f>
        <v/>
      </c>
      <c r="G55">
        <f>MINIFS(CBIC_Late_Fee_Relief_Windows_3B!$O$55:$O$100,CBIC_Late_Fee_Relief_Windows_3B!$D$55:$D$100,"&lt;="&amp;B55,CBIC_Late_Fee_Relief_Windows_3B!$E$55:$E$100,"&gt;="&amp;B55,CBIC_Late_Fee_Relief_Windows_3B!$F$55:$F$100,"&lt;="&amp;C55,CBIC_Late_Fee_Relief_Windows_3B!$G$55:$G$100,"&gt;="&amp;C55)</f>
        <v/>
      </c>
      <c r="H55">
        <f>INDEX(CBIC_Late_Fee_Relief_Windows_3B!$I$55:$I$100,MATCH(G55,CBIC_Late_Fee_Relief_Windows_3B!$O$55:$O$100,0))</f>
        <v/>
      </c>
      <c r="I55">
        <f>MIN(F55,H55)</f>
        <v/>
      </c>
    </row>
    <row r="56">
      <c r="A56">
        <f>TEST_DATA!A56</f>
        <v/>
      </c>
      <c r="B56">
        <f>TEST_DATA!B56</f>
        <v/>
      </c>
      <c r="C56">
        <f>TEST_DATA!C56</f>
        <v/>
      </c>
      <c r="D56">
        <f>TEST_DATA!D56</f>
        <v/>
      </c>
      <c r="E56">
        <f>TEST_DATA!E56</f>
        <v/>
      </c>
      <c r="F56">
        <f>MIN(E56*5600,10000)</f>
        <v/>
      </c>
      <c r="G56">
        <f>MINIFS(CBIC_Late_Fee_Relief_Windows_3B!$O$56:$O$100,CBIC_Late_Fee_Relief_Windows_3B!$D$56:$D$100,"&lt;="&amp;B56,CBIC_Late_Fee_Relief_Windows_3B!$E$56:$E$100,"&gt;="&amp;B56,CBIC_Late_Fee_Relief_Windows_3B!$F$56:$F$100,"&lt;="&amp;C56,CBIC_Late_Fee_Relief_Windows_3B!$G$56:$G$100,"&gt;="&amp;C56)</f>
        <v/>
      </c>
      <c r="H56">
        <f>INDEX(CBIC_Late_Fee_Relief_Windows_3B!$I$56:$I$100,MATCH(G56,CBIC_Late_Fee_Relief_Windows_3B!$O$56:$O$100,0))</f>
        <v/>
      </c>
      <c r="I56">
        <f>MIN(F56,H56)</f>
        <v/>
      </c>
    </row>
    <row r="57">
      <c r="A57">
        <f>TEST_DATA!A57</f>
        <v/>
      </c>
      <c r="B57">
        <f>TEST_DATA!B57</f>
        <v/>
      </c>
      <c r="C57">
        <f>TEST_DATA!C57</f>
        <v/>
      </c>
      <c r="D57">
        <f>TEST_DATA!D57</f>
        <v/>
      </c>
      <c r="E57">
        <f>TEST_DATA!E57</f>
        <v/>
      </c>
      <c r="F57">
        <f>MIN(E57*5700,10000)</f>
        <v/>
      </c>
      <c r="G57">
        <f>MINIFS(CBIC_Late_Fee_Relief_Windows_3B!$O$57:$O$100,CBIC_Late_Fee_Relief_Windows_3B!$D$57:$D$100,"&lt;="&amp;B57,CBIC_Late_Fee_Relief_Windows_3B!$E$57:$E$100,"&gt;="&amp;B57,CBIC_Late_Fee_Relief_Windows_3B!$F$57:$F$100,"&lt;="&amp;C57,CBIC_Late_Fee_Relief_Windows_3B!$G$57:$G$100,"&gt;="&amp;C57)</f>
        <v/>
      </c>
      <c r="H57">
        <f>INDEX(CBIC_Late_Fee_Relief_Windows_3B!$I$57:$I$100,MATCH(G57,CBIC_Late_Fee_Relief_Windows_3B!$O$57:$O$100,0))</f>
        <v/>
      </c>
      <c r="I57">
        <f>MIN(F57,H57)</f>
        <v/>
      </c>
    </row>
    <row r="58">
      <c r="A58">
        <f>TEST_DATA!A58</f>
        <v/>
      </c>
      <c r="B58">
        <f>TEST_DATA!B58</f>
        <v/>
      </c>
      <c r="C58">
        <f>TEST_DATA!C58</f>
        <v/>
      </c>
      <c r="D58">
        <f>TEST_DATA!D58</f>
        <v/>
      </c>
      <c r="E58">
        <f>TEST_DATA!E58</f>
        <v/>
      </c>
      <c r="F58">
        <f>MIN(E58*5800,10000)</f>
        <v/>
      </c>
      <c r="G58">
        <f>MINIFS(CBIC_Late_Fee_Relief_Windows_3B!$O$58:$O$100,CBIC_Late_Fee_Relief_Windows_3B!$D$58:$D$100,"&lt;="&amp;B58,CBIC_Late_Fee_Relief_Windows_3B!$E$58:$E$100,"&gt;="&amp;B58,CBIC_Late_Fee_Relief_Windows_3B!$F$58:$F$100,"&lt;="&amp;C58,CBIC_Late_Fee_Relief_Windows_3B!$G$58:$G$100,"&gt;="&amp;C58)</f>
        <v/>
      </c>
      <c r="H58">
        <f>INDEX(CBIC_Late_Fee_Relief_Windows_3B!$I$58:$I$100,MATCH(G58,CBIC_Late_Fee_Relief_Windows_3B!$O$58:$O$100,0))</f>
        <v/>
      </c>
      <c r="I58">
        <f>MIN(F58,H58)</f>
        <v/>
      </c>
    </row>
    <row r="59">
      <c r="A59">
        <f>TEST_DATA!A59</f>
        <v/>
      </c>
      <c r="B59">
        <f>TEST_DATA!B59</f>
        <v/>
      </c>
      <c r="C59">
        <f>TEST_DATA!C59</f>
        <v/>
      </c>
      <c r="D59">
        <f>TEST_DATA!D59</f>
        <v/>
      </c>
      <c r="E59">
        <f>TEST_DATA!E59</f>
        <v/>
      </c>
      <c r="F59">
        <f>MIN(E59*5900,10000)</f>
        <v/>
      </c>
      <c r="G59">
        <f>MINIFS(CBIC_Late_Fee_Relief_Windows_3B!$O$59:$O$100,CBIC_Late_Fee_Relief_Windows_3B!$D$59:$D$100,"&lt;="&amp;B59,CBIC_Late_Fee_Relief_Windows_3B!$E$59:$E$100,"&gt;="&amp;B59,CBIC_Late_Fee_Relief_Windows_3B!$F$59:$F$100,"&lt;="&amp;C59,CBIC_Late_Fee_Relief_Windows_3B!$G$59:$G$100,"&gt;="&amp;C59)</f>
        <v/>
      </c>
      <c r="H59">
        <f>INDEX(CBIC_Late_Fee_Relief_Windows_3B!$I$59:$I$100,MATCH(G59,CBIC_Late_Fee_Relief_Windows_3B!$O$59:$O$100,0))</f>
        <v/>
      </c>
      <c r="I59">
        <f>MIN(F59,H59)</f>
        <v/>
      </c>
    </row>
    <row r="60">
      <c r="A60">
        <f>TEST_DATA!A60</f>
        <v/>
      </c>
      <c r="B60">
        <f>TEST_DATA!B60</f>
        <v/>
      </c>
      <c r="C60">
        <f>TEST_DATA!C60</f>
        <v/>
      </c>
      <c r="D60">
        <f>TEST_DATA!D60</f>
        <v/>
      </c>
      <c r="E60">
        <f>TEST_DATA!E60</f>
        <v/>
      </c>
      <c r="F60">
        <f>MIN(E60*6000,10000)</f>
        <v/>
      </c>
      <c r="G60">
        <f>MINIFS(CBIC_Late_Fee_Relief_Windows_3B!$O$60:$O$100,CBIC_Late_Fee_Relief_Windows_3B!$D$60:$D$100,"&lt;="&amp;B60,CBIC_Late_Fee_Relief_Windows_3B!$E$60:$E$100,"&gt;="&amp;B60,CBIC_Late_Fee_Relief_Windows_3B!$F$60:$F$100,"&lt;="&amp;C60,CBIC_Late_Fee_Relief_Windows_3B!$G$60:$G$100,"&gt;="&amp;C60)</f>
        <v/>
      </c>
      <c r="H60">
        <f>INDEX(CBIC_Late_Fee_Relief_Windows_3B!$I$60:$I$100,MATCH(G60,CBIC_Late_Fee_Relief_Windows_3B!$O$60:$O$100,0))</f>
        <v/>
      </c>
      <c r="I60">
        <f>MIN(F60,H60)</f>
        <v/>
      </c>
    </row>
    <row r="61">
      <c r="A61">
        <f>TEST_DATA!A61</f>
        <v/>
      </c>
      <c r="B61">
        <f>TEST_DATA!B61</f>
        <v/>
      </c>
      <c r="C61">
        <f>TEST_DATA!C61</f>
        <v/>
      </c>
      <c r="D61">
        <f>TEST_DATA!D61</f>
        <v/>
      </c>
      <c r="E61">
        <f>TEST_DATA!E61</f>
        <v/>
      </c>
      <c r="F61">
        <f>MIN(E61*6100,10000)</f>
        <v/>
      </c>
      <c r="G61">
        <f>MINIFS(CBIC_Late_Fee_Relief_Windows_3B!$O$61:$O$100,CBIC_Late_Fee_Relief_Windows_3B!$D$61:$D$100,"&lt;="&amp;B61,CBIC_Late_Fee_Relief_Windows_3B!$E$61:$E$100,"&gt;="&amp;B61,CBIC_Late_Fee_Relief_Windows_3B!$F$61:$F$100,"&lt;="&amp;C61,CBIC_Late_Fee_Relief_Windows_3B!$G$61:$G$100,"&gt;="&amp;C61)</f>
        <v/>
      </c>
      <c r="H61">
        <f>INDEX(CBIC_Late_Fee_Relief_Windows_3B!$I$61:$I$100,MATCH(G61,CBIC_Late_Fee_Relief_Windows_3B!$O$61:$O$100,0))</f>
        <v/>
      </c>
      <c r="I61">
        <f>MIN(F61,H61)</f>
        <v/>
      </c>
    </row>
    <row r="62">
      <c r="A62">
        <f>TEST_DATA!A62</f>
        <v/>
      </c>
      <c r="B62">
        <f>TEST_DATA!B62</f>
        <v/>
      </c>
      <c r="C62">
        <f>TEST_DATA!C62</f>
        <v/>
      </c>
      <c r="D62">
        <f>TEST_DATA!D62</f>
        <v/>
      </c>
      <c r="E62">
        <f>TEST_DATA!E62</f>
        <v/>
      </c>
      <c r="F62">
        <f>MIN(E62*6200,10000)</f>
        <v/>
      </c>
      <c r="G62">
        <f>MINIFS(CBIC_Late_Fee_Relief_Windows_3B!$O$62:$O$100,CBIC_Late_Fee_Relief_Windows_3B!$D$62:$D$100,"&lt;="&amp;B62,CBIC_Late_Fee_Relief_Windows_3B!$E$62:$E$100,"&gt;="&amp;B62,CBIC_Late_Fee_Relief_Windows_3B!$F$62:$F$100,"&lt;="&amp;C62,CBIC_Late_Fee_Relief_Windows_3B!$G$62:$G$100,"&gt;="&amp;C62)</f>
        <v/>
      </c>
      <c r="H62">
        <f>INDEX(CBIC_Late_Fee_Relief_Windows_3B!$I$62:$I$100,MATCH(G62,CBIC_Late_Fee_Relief_Windows_3B!$O$62:$O$100,0))</f>
        <v/>
      </c>
      <c r="I62">
        <f>MIN(F62,H62)</f>
        <v/>
      </c>
    </row>
    <row r="63">
      <c r="A63">
        <f>TEST_DATA!A63</f>
        <v/>
      </c>
      <c r="B63">
        <f>TEST_DATA!B63</f>
        <v/>
      </c>
      <c r="C63">
        <f>TEST_DATA!C63</f>
        <v/>
      </c>
      <c r="D63">
        <f>TEST_DATA!D63</f>
        <v/>
      </c>
      <c r="E63">
        <f>TEST_DATA!E63</f>
        <v/>
      </c>
      <c r="F63">
        <f>MIN(E63*6300,10000)</f>
        <v/>
      </c>
      <c r="G63">
        <f>MINIFS(CBIC_Late_Fee_Relief_Windows_3B!$O$63:$O$100,CBIC_Late_Fee_Relief_Windows_3B!$D$63:$D$100,"&lt;="&amp;B63,CBIC_Late_Fee_Relief_Windows_3B!$E$63:$E$100,"&gt;="&amp;B63,CBIC_Late_Fee_Relief_Windows_3B!$F$63:$F$100,"&lt;="&amp;C63,CBIC_Late_Fee_Relief_Windows_3B!$G$63:$G$100,"&gt;="&amp;C63)</f>
        <v/>
      </c>
      <c r="H63">
        <f>INDEX(CBIC_Late_Fee_Relief_Windows_3B!$I$63:$I$100,MATCH(G63,CBIC_Late_Fee_Relief_Windows_3B!$O$63:$O$100,0))</f>
        <v/>
      </c>
      <c r="I63">
        <f>MIN(F63,H63)</f>
        <v/>
      </c>
    </row>
    <row r="64">
      <c r="A64">
        <f>TEST_DATA!A64</f>
        <v/>
      </c>
      <c r="B64">
        <f>TEST_DATA!B64</f>
        <v/>
      </c>
      <c r="C64">
        <f>TEST_DATA!C64</f>
        <v/>
      </c>
      <c r="D64">
        <f>TEST_DATA!D64</f>
        <v/>
      </c>
      <c r="E64">
        <f>TEST_DATA!E64</f>
        <v/>
      </c>
      <c r="F64">
        <f>MIN(E64*6400,10000)</f>
        <v/>
      </c>
      <c r="G64">
        <f>MINIFS(CBIC_Late_Fee_Relief_Windows_3B!$O$64:$O$100,CBIC_Late_Fee_Relief_Windows_3B!$D$64:$D$100,"&lt;="&amp;B64,CBIC_Late_Fee_Relief_Windows_3B!$E$64:$E$100,"&gt;="&amp;B64,CBIC_Late_Fee_Relief_Windows_3B!$F$64:$F$100,"&lt;="&amp;C64,CBIC_Late_Fee_Relief_Windows_3B!$G$64:$G$100,"&gt;="&amp;C64)</f>
        <v/>
      </c>
      <c r="H64">
        <f>INDEX(CBIC_Late_Fee_Relief_Windows_3B!$I$64:$I$100,MATCH(G64,CBIC_Late_Fee_Relief_Windows_3B!$O$64:$O$100,0))</f>
        <v/>
      </c>
      <c r="I64">
        <f>MIN(F64,H64)</f>
        <v/>
      </c>
    </row>
    <row r="65">
      <c r="A65">
        <f>TEST_DATA!A65</f>
        <v/>
      </c>
      <c r="B65">
        <f>TEST_DATA!B65</f>
        <v/>
      </c>
      <c r="C65">
        <f>TEST_DATA!C65</f>
        <v/>
      </c>
      <c r="D65">
        <f>TEST_DATA!D65</f>
        <v/>
      </c>
      <c r="E65">
        <f>TEST_DATA!E65</f>
        <v/>
      </c>
      <c r="F65">
        <f>MIN(E65*6500,10000)</f>
        <v/>
      </c>
      <c r="G65">
        <f>MINIFS(CBIC_Late_Fee_Relief_Windows_3B!$O$65:$O$100,CBIC_Late_Fee_Relief_Windows_3B!$D$65:$D$100,"&lt;="&amp;B65,CBIC_Late_Fee_Relief_Windows_3B!$E$65:$E$100,"&gt;="&amp;B65,CBIC_Late_Fee_Relief_Windows_3B!$F$65:$F$100,"&lt;="&amp;C65,CBIC_Late_Fee_Relief_Windows_3B!$G$65:$G$100,"&gt;="&amp;C65)</f>
        <v/>
      </c>
      <c r="H65">
        <f>INDEX(CBIC_Late_Fee_Relief_Windows_3B!$I$65:$I$100,MATCH(G65,CBIC_Late_Fee_Relief_Windows_3B!$O$65:$O$100,0))</f>
        <v/>
      </c>
      <c r="I65">
        <f>MIN(F65,H65)</f>
        <v/>
      </c>
    </row>
    <row r="66">
      <c r="A66">
        <f>TEST_DATA!A66</f>
        <v/>
      </c>
      <c r="B66">
        <f>TEST_DATA!B66</f>
        <v/>
      </c>
      <c r="C66">
        <f>TEST_DATA!C66</f>
        <v/>
      </c>
      <c r="D66">
        <f>TEST_DATA!D66</f>
        <v/>
      </c>
      <c r="E66">
        <f>TEST_DATA!E66</f>
        <v/>
      </c>
      <c r="F66">
        <f>MIN(E66*6600,10000)</f>
        <v/>
      </c>
      <c r="G66">
        <f>MINIFS(CBIC_Late_Fee_Relief_Windows_3B!$O$66:$O$100,CBIC_Late_Fee_Relief_Windows_3B!$D$66:$D$100,"&lt;="&amp;B66,CBIC_Late_Fee_Relief_Windows_3B!$E$66:$E$100,"&gt;="&amp;B66,CBIC_Late_Fee_Relief_Windows_3B!$F$66:$F$100,"&lt;="&amp;C66,CBIC_Late_Fee_Relief_Windows_3B!$G$66:$G$100,"&gt;="&amp;C66)</f>
        <v/>
      </c>
      <c r="H66">
        <f>INDEX(CBIC_Late_Fee_Relief_Windows_3B!$I$66:$I$100,MATCH(G66,CBIC_Late_Fee_Relief_Windows_3B!$O$66:$O$100,0))</f>
        <v/>
      </c>
      <c r="I66">
        <f>MIN(F66,H66)</f>
        <v/>
      </c>
    </row>
    <row r="67">
      <c r="A67">
        <f>TEST_DATA!A67</f>
        <v/>
      </c>
      <c r="B67">
        <f>TEST_DATA!B67</f>
        <v/>
      </c>
      <c r="C67">
        <f>TEST_DATA!C67</f>
        <v/>
      </c>
      <c r="D67">
        <f>TEST_DATA!D67</f>
        <v/>
      </c>
      <c r="E67">
        <f>TEST_DATA!E67</f>
        <v/>
      </c>
      <c r="F67">
        <f>MIN(E67*6700,10000)</f>
        <v/>
      </c>
      <c r="G67">
        <f>MINIFS(CBIC_Late_Fee_Relief_Windows_3B!$O$67:$O$100,CBIC_Late_Fee_Relief_Windows_3B!$D$67:$D$100,"&lt;="&amp;B67,CBIC_Late_Fee_Relief_Windows_3B!$E$67:$E$100,"&gt;="&amp;B67,CBIC_Late_Fee_Relief_Windows_3B!$F$67:$F$100,"&lt;="&amp;C67,CBIC_Late_Fee_Relief_Windows_3B!$G$67:$G$100,"&gt;="&amp;C67)</f>
        <v/>
      </c>
      <c r="H67">
        <f>INDEX(CBIC_Late_Fee_Relief_Windows_3B!$I$67:$I$100,MATCH(G67,CBIC_Late_Fee_Relief_Windows_3B!$O$67:$O$100,0))</f>
        <v/>
      </c>
      <c r="I67">
        <f>MIN(F67,H67)</f>
        <v/>
      </c>
    </row>
    <row r="68">
      <c r="A68">
        <f>TEST_DATA!A68</f>
        <v/>
      </c>
      <c r="B68">
        <f>TEST_DATA!B68</f>
        <v/>
      </c>
      <c r="C68">
        <f>TEST_DATA!C68</f>
        <v/>
      </c>
      <c r="D68">
        <f>TEST_DATA!D68</f>
        <v/>
      </c>
      <c r="E68">
        <f>TEST_DATA!E68</f>
        <v/>
      </c>
      <c r="F68">
        <f>MIN(E68*6800,10000)</f>
        <v/>
      </c>
      <c r="G68">
        <f>MINIFS(CBIC_Late_Fee_Relief_Windows_3B!$O$68:$O$100,CBIC_Late_Fee_Relief_Windows_3B!$D$68:$D$100,"&lt;="&amp;B68,CBIC_Late_Fee_Relief_Windows_3B!$E$68:$E$100,"&gt;="&amp;B68,CBIC_Late_Fee_Relief_Windows_3B!$F$68:$F$100,"&lt;="&amp;C68,CBIC_Late_Fee_Relief_Windows_3B!$G$68:$G$100,"&gt;="&amp;C68)</f>
        <v/>
      </c>
      <c r="H68">
        <f>INDEX(CBIC_Late_Fee_Relief_Windows_3B!$I$68:$I$100,MATCH(G68,CBIC_Late_Fee_Relief_Windows_3B!$O$68:$O$100,0))</f>
        <v/>
      </c>
      <c r="I68">
        <f>MIN(F68,H68)</f>
        <v/>
      </c>
    </row>
    <row r="69">
      <c r="A69">
        <f>TEST_DATA!A69</f>
        <v/>
      </c>
      <c r="B69">
        <f>TEST_DATA!B69</f>
        <v/>
      </c>
      <c r="C69">
        <f>TEST_DATA!C69</f>
        <v/>
      </c>
      <c r="D69">
        <f>TEST_DATA!D69</f>
        <v/>
      </c>
      <c r="E69">
        <f>TEST_DATA!E69</f>
        <v/>
      </c>
      <c r="F69">
        <f>MIN(E69*6900,10000)</f>
        <v/>
      </c>
      <c r="G69">
        <f>MINIFS(CBIC_Late_Fee_Relief_Windows_3B!$O$69:$O$100,CBIC_Late_Fee_Relief_Windows_3B!$D$69:$D$100,"&lt;="&amp;B69,CBIC_Late_Fee_Relief_Windows_3B!$E$69:$E$100,"&gt;="&amp;B69,CBIC_Late_Fee_Relief_Windows_3B!$F$69:$F$100,"&lt;="&amp;C69,CBIC_Late_Fee_Relief_Windows_3B!$G$69:$G$100,"&gt;="&amp;C69)</f>
        <v/>
      </c>
      <c r="H69">
        <f>INDEX(CBIC_Late_Fee_Relief_Windows_3B!$I$69:$I$100,MATCH(G69,CBIC_Late_Fee_Relief_Windows_3B!$O$69:$O$100,0))</f>
        <v/>
      </c>
      <c r="I69">
        <f>MIN(F69,H69)</f>
        <v/>
      </c>
    </row>
    <row r="70">
      <c r="A70">
        <f>TEST_DATA!A70</f>
        <v/>
      </c>
      <c r="B70">
        <f>TEST_DATA!B70</f>
        <v/>
      </c>
      <c r="C70">
        <f>TEST_DATA!C70</f>
        <v/>
      </c>
      <c r="D70">
        <f>TEST_DATA!D70</f>
        <v/>
      </c>
      <c r="E70">
        <f>TEST_DATA!E70</f>
        <v/>
      </c>
      <c r="F70">
        <f>MIN(E70*7000,10000)</f>
        <v/>
      </c>
      <c r="G70">
        <f>MINIFS(CBIC_Late_Fee_Relief_Windows_3B!$O$70:$O$100,CBIC_Late_Fee_Relief_Windows_3B!$D$70:$D$100,"&lt;="&amp;B70,CBIC_Late_Fee_Relief_Windows_3B!$E$70:$E$100,"&gt;="&amp;B70,CBIC_Late_Fee_Relief_Windows_3B!$F$70:$F$100,"&lt;="&amp;C70,CBIC_Late_Fee_Relief_Windows_3B!$G$70:$G$100,"&gt;="&amp;C70)</f>
        <v/>
      </c>
      <c r="H70">
        <f>INDEX(CBIC_Late_Fee_Relief_Windows_3B!$I$70:$I$100,MATCH(G70,CBIC_Late_Fee_Relief_Windows_3B!$O$70:$O$100,0))</f>
        <v/>
      </c>
      <c r="I70">
        <f>MIN(F70,H70)</f>
        <v/>
      </c>
    </row>
    <row r="71">
      <c r="A71">
        <f>TEST_DATA!A71</f>
        <v/>
      </c>
      <c r="B71">
        <f>TEST_DATA!B71</f>
        <v/>
      </c>
      <c r="C71">
        <f>TEST_DATA!C71</f>
        <v/>
      </c>
      <c r="D71">
        <f>TEST_DATA!D71</f>
        <v/>
      </c>
      <c r="E71">
        <f>TEST_DATA!E71</f>
        <v/>
      </c>
      <c r="F71">
        <f>MIN(E71*7100,10000)</f>
        <v/>
      </c>
      <c r="G71">
        <f>MINIFS(CBIC_Late_Fee_Relief_Windows_3B!$O$71:$O$100,CBIC_Late_Fee_Relief_Windows_3B!$D$71:$D$100,"&lt;="&amp;B71,CBIC_Late_Fee_Relief_Windows_3B!$E$71:$E$100,"&gt;="&amp;B71,CBIC_Late_Fee_Relief_Windows_3B!$F$71:$F$100,"&lt;="&amp;C71,CBIC_Late_Fee_Relief_Windows_3B!$G$71:$G$100,"&gt;="&amp;C71)</f>
        <v/>
      </c>
      <c r="H71">
        <f>INDEX(CBIC_Late_Fee_Relief_Windows_3B!$I$71:$I$100,MATCH(G71,CBIC_Late_Fee_Relief_Windows_3B!$O$71:$O$100,0))</f>
        <v/>
      </c>
      <c r="I71">
        <f>MIN(F71,H71)</f>
        <v/>
      </c>
    </row>
    <row r="72">
      <c r="A72">
        <f>TEST_DATA!A72</f>
        <v/>
      </c>
      <c r="B72">
        <f>TEST_DATA!B72</f>
        <v/>
      </c>
      <c r="C72">
        <f>TEST_DATA!C72</f>
        <v/>
      </c>
      <c r="D72">
        <f>TEST_DATA!D72</f>
        <v/>
      </c>
      <c r="E72">
        <f>TEST_DATA!E72</f>
        <v/>
      </c>
      <c r="F72">
        <f>MIN(E72*7200,10000)</f>
        <v/>
      </c>
      <c r="G72">
        <f>MINIFS(CBIC_Late_Fee_Relief_Windows_3B!$O$72:$O$100,CBIC_Late_Fee_Relief_Windows_3B!$D$72:$D$100,"&lt;="&amp;B72,CBIC_Late_Fee_Relief_Windows_3B!$E$72:$E$100,"&gt;="&amp;B72,CBIC_Late_Fee_Relief_Windows_3B!$F$72:$F$100,"&lt;="&amp;C72,CBIC_Late_Fee_Relief_Windows_3B!$G$72:$G$100,"&gt;="&amp;C72)</f>
        <v/>
      </c>
      <c r="H72">
        <f>INDEX(CBIC_Late_Fee_Relief_Windows_3B!$I$72:$I$100,MATCH(G72,CBIC_Late_Fee_Relief_Windows_3B!$O$72:$O$100,0))</f>
        <v/>
      </c>
      <c r="I72">
        <f>MIN(F72,H72)</f>
        <v/>
      </c>
    </row>
    <row r="73">
      <c r="A73">
        <f>TEST_DATA!A73</f>
        <v/>
      </c>
      <c r="B73">
        <f>TEST_DATA!B73</f>
        <v/>
      </c>
      <c r="C73">
        <f>TEST_DATA!C73</f>
        <v/>
      </c>
      <c r="D73">
        <f>TEST_DATA!D73</f>
        <v/>
      </c>
      <c r="E73">
        <f>TEST_DATA!E73</f>
        <v/>
      </c>
      <c r="F73">
        <f>MIN(E73*7300,10000)</f>
        <v/>
      </c>
      <c r="G73">
        <f>MINIFS(CBIC_Late_Fee_Relief_Windows_3B!$O$73:$O$100,CBIC_Late_Fee_Relief_Windows_3B!$D$73:$D$100,"&lt;="&amp;B73,CBIC_Late_Fee_Relief_Windows_3B!$E$73:$E$100,"&gt;="&amp;B73,CBIC_Late_Fee_Relief_Windows_3B!$F$73:$F$100,"&lt;="&amp;C73,CBIC_Late_Fee_Relief_Windows_3B!$G$73:$G$100,"&gt;="&amp;C73)</f>
        <v/>
      </c>
      <c r="H73">
        <f>INDEX(CBIC_Late_Fee_Relief_Windows_3B!$I$73:$I$100,MATCH(G73,CBIC_Late_Fee_Relief_Windows_3B!$O$73:$O$100,0))</f>
        <v/>
      </c>
      <c r="I73">
        <f>MIN(F73,H73)</f>
        <v/>
      </c>
    </row>
    <row r="74">
      <c r="A74">
        <f>TEST_DATA!A74</f>
        <v/>
      </c>
      <c r="B74">
        <f>TEST_DATA!B74</f>
        <v/>
      </c>
      <c r="C74">
        <f>TEST_DATA!C74</f>
        <v/>
      </c>
      <c r="D74">
        <f>TEST_DATA!D74</f>
        <v/>
      </c>
      <c r="E74">
        <f>TEST_DATA!E74</f>
        <v/>
      </c>
      <c r="F74">
        <f>MIN(E74*7400,10000)</f>
        <v/>
      </c>
      <c r="G74">
        <f>MINIFS(CBIC_Late_Fee_Relief_Windows_3B!$O$74:$O$100,CBIC_Late_Fee_Relief_Windows_3B!$D$74:$D$100,"&lt;="&amp;B74,CBIC_Late_Fee_Relief_Windows_3B!$E$74:$E$100,"&gt;="&amp;B74,CBIC_Late_Fee_Relief_Windows_3B!$F$74:$F$100,"&lt;="&amp;C74,CBIC_Late_Fee_Relief_Windows_3B!$G$74:$G$100,"&gt;="&amp;C74)</f>
        <v/>
      </c>
      <c r="H74">
        <f>INDEX(CBIC_Late_Fee_Relief_Windows_3B!$I$74:$I$100,MATCH(G74,CBIC_Late_Fee_Relief_Windows_3B!$O$74:$O$100,0))</f>
        <v/>
      </c>
      <c r="I74">
        <f>MIN(F74,H74)</f>
        <v/>
      </c>
    </row>
    <row r="75">
      <c r="A75">
        <f>TEST_DATA!A75</f>
        <v/>
      </c>
      <c r="B75">
        <f>TEST_DATA!B75</f>
        <v/>
      </c>
      <c r="C75">
        <f>TEST_DATA!C75</f>
        <v/>
      </c>
      <c r="D75">
        <f>TEST_DATA!D75</f>
        <v/>
      </c>
      <c r="E75">
        <f>TEST_DATA!E75</f>
        <v/>
      </c>
      <c r="F75">
        <f>MIN(E75*7500,10000)</f>
        <v/>
      </c>
      <c r="G75">
        <f>MINIFS(CBIC_Late_Fee_Relief_Windows_3B!$O$75:$O$100,CBIC_Late_Fee_Relief_Windows_3B!$D$75:$D$100,"&lt;="&amp;B75,CBIC_Late_Fee_Relief_Windows_3B!$E$75:$E$100,"&gt;="&amp;B75,CBIC_Late_Fee_Relief_Windows_3B!$F$75:$F$100,"&lt;="&amp;C75,CBIC_Late_Fee_Relief_Windows_3B!$G$75:$G$100,"&gt;="&amp;C75)</f>
        <v/>
      </c>
      <c r="H75">
        <f>INDEX(CBIC_Late_Fee_Relief_Windows_3B!$I$75:$I$100,MATCH(G75,CBIC_Late_Fee_Relief_Windows_3B!$O$75:$O$100,0))</f>
        <v/>
      </c>
      <c r="I75">
        <f>MIN(F75,H75)</f>
        <v/>
      </c>
    </row>
    <row r="76">
      <c r="A76">
        <f>TEST_DATA!A76</f>
        <v/>
      </c>
      <c r="B76">
        <f>TEST_DATA!B76</f>
        <v/>
      </c>
      <c r="C76">
        <f>TEST_DATA!C76</f>
        <v/>
      </c>
      <c r="D76">
        <f>TEST_DATA!D76</f>
        <v/>
      </c>
      <c r="E76">
        <f>TEST_DATA!E76</f>
        <v/>
      </c>
      <c r="F76">
        <f>MIN(E76*7600,10000)</f>
        <v/>
      </c>
      <c r="G76">
        <f>MINIFS(CBIC_Late_Fee_Relief_Windows_3B!$O$76:$O$100,CBIC_Late_Fee_Relief_Windows_3B!$D$76:$D$100,"&lt;="&amp;B76,CBIC_Late_Fee_Relief_Windows_3B!$E$76:$E$100,"&gt;="&amp;B76,CBIC_Late_Fee_Relief_Windows_3B!$F$76:$F$100,"&lt;="&amp;C76,CBIC_Late_Fee_Relief_Windows_3B!$G$76:$G$100,"&gt;="&amp;C76)</f>
        <v/>
      </c>
      <c r="H76">
        <f>INDEX(CBIC_Late_Fee_Relief_Windows_3B!$I$76:$I$100,MATCH(G76,CBIC_Late_Fee_Relief_Windows_3B!$O$76:$O$100,0))</f>
        <v/>
      </c>
      <c r="I76">
        <f>MIN(F76,H76)</f>
        <v/>
      </c>
    </row>
    <row r="77">
      <c r="A77">
        <f>TEST_DATA!A77</f>
        <v/>
      </c>
      <c r="B77">
        <f>TEST_DATA!B77</f>
        <v/>
      </c>
      <c r="C77">
        <f>TEST_DATA!C77</f>
        <v/>
      </c>
      <c r="D77">
        <f>TEST_DATA!D77</f>
        <v/>
      </c>
      <c r="E77">
        <f>TEST_DATA!E77</f>
        <v/>
      </c>
      <c r="F77">
        <f>MIN(E77*7700,10000)</f>
        <v/>
      </c>
      <c r="G77">
        <f>MINIFS(CBIC_Late_Fee_Relief_Windows_3B!$O$77:$O$100,CBIC_Late_Fee_Relief_Windows_3B!$D$77:$D$100,"&lt;="&amp;B77,CBIC_Late_Fee_Relief_Windows_3B!$E$77:$E$100,"&gt;="&amp;B77,CBIC_Late_Fee_Relief_Windows_3B!$F$77:$F$100,"&lt;="&amp;C77,CBIC_Late_Fee_Relief_Windows_3B!$G$77:$G$100,"&gt;="&amp;C77)</f>
        <v/>
      </c>
      <c r="H77">
        <f>INDEX(CBIC_Late_Fee_Relief_Windows_3B!$I$77:$I$100,MATCH(G77,CBIC_Late_Fee_Relief_Windows_3B!$O$77:$O$100,0))</f>
        <v/>
      </c>
      <c r="I77">
        <f>MIN(F77,H77)</f>
        <v/>
      </c>
    </row>
    <row r="78">
      <c r="A78">
        <f>TEST_DATA!A78</f>
        <v/>
      </c>
      <c r="B78">
        <f>TEST_DATA!B78</f>
        <v/>
      </c>
      <c r="C78">
        <f>TEST_DATA!C78</f>
        <v/>
      </c>
      <c r="D78">
        <f>TEST_DATA!D78</f>
        <v/>
      </c>
      <c r="E78">
        <f>TEST_DATA!E78</f>
        <v/>
      </c>
      <c r="F78">
        <f>MIN(E78*7800,10000)</f>
        <v/>
      </c>
      <c r="G78">
        <f>MINIFS(CBIC_Late_Fee_Relief_Windows_3B!$O$78:$O$100,CBIC_Late_Fee_Relief_Windows_3B!$D$78:$D$100,"&lt;="&amp;B78,CBIC_Late_Fee_Relief_Windows_3B!$E$78:$E$100,"&gt;="&amp;B78,CBIC_Late_Fee_Relief_Windows_3B!$F$78:$F$100,"&lt;="&amp;C78,CBIC_Late_Fee_Relief_Windows_3B!$G$78:$G$100,"&gt;="&amp;C78)</f>
        <v/>
      </c>
      <c r="H78">
        <f>INDEX(CBIC_Late_Fee_Relief_Windows_3B!$I$78:$I$100,MATCH(G78,CBIC_Late_Fee_Relief_Windows_3B!$O$78:$O$100,0))</f>
        <v/>
      </c>
      <c r="I78">
        <f>MIN(F78,H78)</f>
        <v/>
      </c>
    </row>
    <row r="79">
      <c r="A79">
        <f>TEST_DATA!A79</f>
        <v/>
      </c>
      <c r="B79">
        <f>TEST_DATA!B79</f>
        <v/>
      </c>
      <c r="C79">
        <f>TEST_DATA!C79</f>
        <v/>
      </c>
      <c r="D79">
        <f>TEST_DATA!D79</f>
        <v/>
      </c>
      <c r="E79">
        <f>TEST_DATA!E79</f>
        <v/>
      </c>
      <c r="F79">
        <f>MIN(E79*7900,10000)</f>
        <v/>
      </c>
      <c r="G79">
        <f>MINIFS(CBIC_Late_Fee_Relief_Windows_3B!$O$79:$O$100,CBIC_Late_Fee_Relief_Windows_3B!$D$79:$D$100,"&lt;="&amp;B79,CBIC_Late_Fee_Relief_Windows_3B!$E$79:$E$100,"&gt;="&amp;B79,CBIC_Late_Fee_Relief_Windows_3B!$F$79:$F$100,"&lt;="&amp;C79,CBIC_Late_Fee_Relief_Windows_3B!$G$79:$G$100,"&gt;="&amp;C79)</f>
        <v/>
      </c>
      <c r="H79">
        <f>INDEX(CBIC_Late_Fee_Relief_Windows_3B!$I$79:$I$100,MATCH(G79,CBIC_Late_Fee_Relief_Windows_3B!$O$79:$O$100,0))</f>
        <v/>
      </c>
      <c r="I79">
        <f>MIN(F79,H79)</f>
        <v/>
      </c>
    </row>
    <row r="80">
      <c r="A80">
        <f>TEST_DATA!A80</f>
        <v/>
      </c>
      <c r="B80">
        <f>TEST_DATA!B80</f>
        <v/>
      </c>
      <c r="C80">
        <f>TEST_DATA!C80</f>
        <v/>
      </c>
      <c r="D80">
        <f>TEST_DATA!D80</f>
        <v/>
      </c>
      <c r="E80">
        <f>TEST_DATA!E80</f>
        <v/>
      </c>
      <c r="F80">
        <f>MIN(E80*8000,10000)</f>
        <v/>
      </c>
      <c r="G80">
        <f>MINIFS(CBIC_Late_Fee_Relief_Windows_3B!$O$80:$O$100,CBIC_Late_Fee_Relief_Windows_3B!$D$80:$D$100,"&lt;="&amp;B80,CBIC_Late_Fee_Relief_Windows_3B!$E$80:$E$100,"&gt;="&amp;B80,CBIC_Late_Fee_Relief_Windows_3B!$F$80:$F$100,"&lt;="&amp;C80,CBIC_Late_Fee_Relief_Windows_3B!$G$80:$G$100,"&gt;="&amp;C80)</f>
        <v/>
      </c>
      <c r="H80">
        <f>INDEX(CBIC_Late_Fee_Relief_Windows_3B!$I$80:$I$100,MATCH(G80,CBIC_Late_Fee_Relief_Windows_3B!$O$80:$O$100,0))</f>
        <v/>
      </c>
      <c r="I80">
        <f>MIN(F80,H80)</f>
        <v/>
      </c>
    </row>
    <row r="81">
      <c r="A81">
        <f>TEST_DATA!A81</f>
        <v/>
      </c>
      <c r="B81">
        <f>TEST_DATA!B81</f>
        <v/>
      </c>
      <c r="C81">
        <f>TEST_DATA!C81</f>
        <v/>
      </c>
      <c r="D81">
        <f>TEST_DATA!D81</f>
        <v/>
      </c>
      <c r="E81">
        <f>TEST_DATA!E81</f>
        <v/>
      </c>
      <c r="F81">
        <f>MIN(E81*8100,10000)</f>
        <v/>
      </c>
      <c r="G81">
        <f>MINIFS(CBIC_Late_Fee_Relief_Windows_3B!$O$81:$O$100,CBIC_Late_Fee_Relief_Windows_3B!$D$81:$D$100,"&lt;="&amp;B81,CBIC_Late_Fee_Relief_Windows_3B!$E$81:$E$100,"&gt;="&amp;B81,CBIC_Late_Fee_Relief_Windows_3B!$F$81:$F$100,"&lt;="&amp;C81,CBIC_Late_Fee_Relief_Windows_3B!$G$81:$G$100,"&gt;="&amp;C81)</f>
        <v/>
      </c>
      <c r="H81">
        <f>INDEX(CBIC_Late_Fee_Relief_Windows_3B!$I$81:$I$100,MATCH(G81,CBIC_Late_Fee_Relief_Windows_3B!$O$81:$O$100,0))</f>
        <v/>
      </c>
      <c r="I81">
        <f>MIN(F81,H81)</f>
        <v/>
      </c>
    </row>
    <row r="82">
      <c r="A82">
        <f>TEST_DATA!A82</f>
        <v/>
      </c>
      <c r="B82">
        <f>TEST_DATA!B82</f>
        <v/>
      </c>
      <c r="C82">
        <f>TEST_DATA!C82</f>
        <v/>
      </c>
      <c r="D82">
        <f>TEST_DATA!D82</f>
        <v/>
      </c>
      <c r="E82">
        <f>TEST_DATA!E82</f>
        <v/>
      </c>
      <c r="F82">
        <f>MIN(E82*8200,10000)</f>
        <v/>
      </c>
      <c r="G82">
        <f>MINIFS(CBIC_Late_Fee_Relief_Windows_3B!$O$82:$O$100,CBIC_Late_Fee_Relief_Windows_3B!$D$82:$D$100,"&lt;="&amp;B82,CBIC_Late_Fee_Relief_Windows_3B!$E$82:$E$100,"&gt;="&amp;B82,CBIC_Late_Fee_Relief_Windows_3B!$F$82:$F$100,"&lt;="&amp;C82,CBIC_Late_Fee_Relief_Windows_3B!$G$82:$G$100,"&gt;="&amp;C82)</f>
        <v/>
      </c>
      <c r="H82">
        <f>INDEX(CBIC_Late_Fee_Relief_Windows_3B!$I$82:$I$100,MATCH(G82,CBIC_Late_Fee_Relief_Windows_3B!$O$82:$O$100,0))</f>
        <v/>
      </c>
      <c r="I82">
        <f>MIN(F82,H82)</f>
        <v/>
      </c>
    </row>
    <row r="83">
      <c r="A83">
        <f>TEST_DATA!A83</f>
        <v/>
      </c>
      <c r="B83">
        <f>TEST_DATA!B83</f>
        <v/>
      </c>
      <c r="C83">
        <f>TEST_DATA!C83</f>
        <v/>
      </c>
      <c r="D83">
        <f>TEST_DATA!D83</f>
        <v/>
      </c>
      <c r="E83">
        <f>TEST_DATA!E83</f>
        <v/>
      </c>
      <c r="F83">
        <f>MIN(E83*8300,10000)</f>
        <v/>
      </c>
      <c r="G83">
        <f>MINIFS(CBIC_Late_Fee_Relief_Windows_3B!$O$83:$O$100,CBIC_Late_Fee_Relief_Windows_3B!$D$83:$D$100,"&lt;="&amp;B83,CBIC_Late_Fee_Relief_Windows_3B!$E$83:$E$100,"&gt;="&amp;B83,CBIC_Late_Fee_Relief_Windows_3B!$F$83:$F$100,"&lt;="&amp;C83,CBIC_Late_Fee_Relief_Windows_3B!$G$83:$G$100,"&gt;="&amp;C83)</f>
        <v/>
      </c>
      <c r="H83">
        <f>INDEX(CBIC_Late_Fee_Relief_Windows_3B!$I$83:$I$100,MATCH(G83,CBIC_Late_Fee_Relief_Windows_3B!$O$83:$O$100,0))</f>
        <v/>
      </c>
      <c r="I83">
        <f>MIN(F83,H83)</f>
        <v/>
      </c>
    </row>
    <row r="84">
      <c r="A84">
        <f>TEST_DATA!A84</f>
        <v/>
      </c>
      <c r="B84">
        <f>TEST_DATA!B84</f>
        <v/>
      </c>
      <c r="C84">
        <f>TEST_DATA!C84</f>
        <v/>
      </c>
      <c r="D84">
        <f>TEST_DATA!D84</f>
        <v/>
      </c>
      <c r="E84">
        <f>TEST_DATA!E84</f>
        <v/>
      </c>
      <c r="F84">
        <f>MIN(E84*8400,10000)</f>
        <v/>
      </c>
      <c r="G84">
        <f>MINIFS(CBIC_Late_Fee_Relief_Windows_3B!$O$84:$O$100,CBIC_Late_Fee_Relief_Windows_3B!$D$84:$D$100,"&lt;="&amp;B84,CBIC_Late_Fee_Relief_Windows_3B!$E$84:$E$100,"&gt;="&amp;B84,CBIC_Late_Fee_Relief_Windows_3B!$F$84:$F$100,"&lt;="&amp;C84,CBIC_Late_Fee_Relief_Windows_3B!$G$84:$G$100,"&gt;="&amp;C84)</f>
        <v/>
      </c>
      <c r="H84">
        <f>INDEX(CBIC_Late_Fee_Relief_Windows_3B!$I$84:$I$100,MATCH(G84,CBIC_Late_Fee_Relief_Windows_3B!$O$84:$O$100,0))</f>
        <v/>
      </c>
      <c r="I84">
        <f>MIN(F84,H84)</f>
        <v/>
      </c>
    </row>
    <row r="85">
      <c r="A85">
        <f>TEST_DATA!A85</f>
        <v/>
      </c>
      <c r="B85">
        <f>TEST_DATA!B85</f>
        <v/>
      </c>
      <c r="C85">
        <f>TEST_DATA!C85</f>
        <v/>
      </c>
      <c r="D85">
        <f>TEST_DATA!D85</f>
        <v/>
      </c>
      <c r="E85">
        <f>TEST_DATA!E85</f>
        <v/>
      </c>
      <c r="F85">
        <f>MIN(E85*8500,10000)</f>
        <v/>
      </c>
      <c r="G85">
        <f>MINIFS(CBIC_Late_Fee_Relief_Windows_3B!$O$85:$O$100,CBIC_Late_Fee_Relief_Windows_3B!$D$85:$D$100,"&lt;="&amp;B85,CBIC_Late_Fee_Relief_Windows_3B!$E$85:$E$100,"&gt;="&amp;B85,CBIC_Late_Fee_Relief_Windows_3B!$F$85:$F$100,"&lt;="&amp;C85,CBIC_Late_Fee_Relief_Windows_3B!$G$85:$G$100,"&gt;="&amp;C85)</f>
        <v/>
      </c>
      <c r="H85">
        <f>INDEX(CBIC_Late_Fee_Relief_Windows_3B!$I$85:$I$100,MATCH(G85,CBIC_Late_Fee_Relief_Windows_3B!$O$85:$O$100,0))</f>
        <v/>
      </c>
      <c r="I85">
        <f>MIN(F85,H85)</f>
        <v/>
      </c>
    </row>
    <row r="86">
      <c r="A86">
        <f>TEST_DATA!A86</f>
        <v/>
      </c>
      <c r="B86">
        <f>TEST_DATA!B86</f>
        <v/>
      </c>
      <c r="C86">
        <f>TEST_DATA!C86</f>
        <v/>
      </c>
      <c r="D86">
        <f>TEST_DATA!D86</f>
        <v/>
      </c>
      <c r="E86">
        <f>TEST_DATA!E86</f>
        <v/>
      </c>
      <c r="F86">
        <f>MIN(E86*8600,10000)</f>
        <v/>
      </c>
      <c r="G86">
        <f>MINIFS(CBIC_Late_Fee_Relief_Windows_3B!$O$86:$O$100,CBIC_Late_Fee_Relief_Windows_3B!$D$86:$D$100,"&lt;="&amp;B86,CBIC_Late_Fee_Relief_Windows_3B!$E$86:$E$100,"&gt;="&amp;B86,CBIC_Late_Fee_Relief_Windows_3B!$F$86:$F$100,"&lt;="&amp;C86,CBIC_Late_Fee_Relief_Windows_3B!$G$86:$G$100,"&gt;="&amp;C86)</f>
        <v/>
      </c>
      <c r="H86">
        <f>INDEX(CBIC_Late_Fee_Relief_Windows_3B!$I$86:$I$100,MATCH(G86,CBIC_Late_Fee_Relief_Windows_3B!$O$86:$O$100,0))</f>
        <v/>
      </c>
      <c r="I86">
        <f>MIN(F86,H86)</f>
        <v/>
      </c>
    </row>
    <row r="87">
      <c r="A87">
        <f>TEST_DATA!A87</f>
        <v/>
      </c>
      <c r="B87">
        <f>TEST_DATA!B87</f>
        <v/>
      </c>
      <c r="C87">
        <f>TEST_DATA!C87</f>
        <v/>
      </c>
      <c r="D87">
        <f>TEST_DATA!D87</f>
        <v/>
      </c>
      <c r="E87">
        <f>TEST_DATA!E87</f>
        <v/>
      </c>
      <c r="F87">
        <f>MIN(E87*8700,10000)</f>
        <v/>
      </c>
      <c r="G87">
        <f>MINIFS(CBIC_Late_Fee_Relief_Windows_3B!$O$87:$O$100,CBIC_Late_Fee_Relief_Windows_3B!$D$87:$D$100,"&lt;="&amp;B87,CBIC_Late_Fee_Relief_Windows_3B!$E$87:$E$100,"&gt;="&amp;B87,CBIC_Late_Fee_Relief_Windows_3B!$F$87:$F$100,"&lt;="&amp;C87,CBIC_Late_Fee_Relief_Windows_3B!$G$87:$G$100,"&gt;="&amp;C87)</f>
        <v/>
      </c>
      <c r="H87">
        <f>INDEX(CBIC_Late_Fee_Relief_Windows_3B!$I$87:$I$100,MATCH(G87,CBIC_Late_Fee_Relief_Windows_3B!$O$87:$O$100,0))</f>
        <v/>
      </c>
      <c r="I87">
        <f>MIN(F87,H87)</f>
        <v/>
      </c>
    </row>
    <row r="88">
      <c r="A88">
        <f>TEST_DATA!A88</f>
        <v/>
      </c>
      <c r="B88">
        <f>TEST_DATA!B88</f>
        <v/>
      </c>
      <c r="C88">
        <f>TEST_DATA!C88</f>
        <v/>
      </c>
      <c r="D88">
        <f>TEST_DATA!D88</f>
        <v/>
      </c>
      <c r="E88">
        <f>TEST_DATA!E88</f>
        <v/>
      </c>
      <c r="F88">
        <f>MIN(E88*8800,10000)</f>
        <v/>
      </c>
      <c r="G88">
        <f>MINIFS(CBIC_Late_Fee_Relief_Windows_3B!$O$88:$O$100,CBIC_Late_Fee_Relief_Windows_3B!$D$88:$D$100,"&lt;="&amp;B88,CBIC_Late_Fee_Relief_Windows_3B!$E$88:$E$100,"&gt;="&amp;B88,CBIC_Late_Fee_Relief_Windows_3B!$F$88:$F$100,"&lt;="&amp;C88,CBIC_Late_Fee_Relief_Windows_3B!$G$88:$G$100,"&gt;="&amp;C88)</f>
        <v/>
      </c>
      <c r="H88">
        <f>INDEX(CBIC_Late_Fee_Relief_Windows_3B!$I$88:$I$100,MATCH(G88,CBIC_Late_Fee_Relief_Windows_3B!$O$88:$O$100,0))</f>
        <v/>
      </c>
      <c r="I88">
        <f>MIN(F88,H88)</f>
        <v/>
      </c>
    </row>
    <row r="89">
      <c r="A89">
        <f>TEST_DATA!A89</f>
        <v/>
      </c>
      <c r="B89">
        <f>TEST_DATA!B89</f>
        <v/>
      </c>
      <c r="C89">
        <f>TEST_DATA!C89</f>
        <v/>
      </c>
      <c r="D89">
        <f>TEST_DATA!D89</f>
        <v/>
      </c>
      <c r="E89">
        <f>TEST_DATA!E89</f>
        <v/>
      </c>
      <c r="F89">
        <f>MIN(E89*8900,10000)</f>
        <v/>
      </c>
      <c r="G89">
        <f>MINIFS(CBIC_Late_Fee_Relief_Windows_3B!$O$89:$O$100,CBIC_Late_Fee_Relief_Windows_3B!$D$89:$D$100,"&lt;="&amp;B89,CBIC_Late_Fee_Relief_Windows_3B!$E$89:$E$100,"&gt;="&amp;B89,CBIC_Late_Fee_Relief_Windows_3B!$F$89:$F$100,"&lt;="&amp;C89,CBIC_Late_Fee_Relief_Windows_3B!$G$89:$G$100,"&gt;="&amp;C89)</f>
        <v/>
      </c>
      <c r="H89">
        <f>INDEX(CBIC_Late_Fee_Relief_Windows_3B!$I$89:$I$100,MATCH(G89,CBIC_Late_Fee_Relief_Windows_3B!$O$89:$O$100,0))</f>
        <v/>
      </c>
      <c r="I89">
        <f>MIN(F89,H89)</f>
        <v/>
      </c>
    </row>
    <row r="90">
      <c r="A90">
        <f>TEST_DATA!A90</f>
        <v/>
      </c>
      <c r="B90">
        <f>TEST_DATA!B90</f>
        <v/>
      </c>
      <c r="C90">
        <f>TEST_DATA!C90</f>
        <v/>
      </c>
      <c r="D90">
        <f>TEST_DATA!D90</f>
        <v/>
      </c>
      <c r="E90">
        <f>TEST_DATA!E90</f>
        <v/>
      </c>
      <c r="F90">
        <f>MIN(E90*9000,10000)</f>
        <v/>
      </c>
      <c r="G90">
        <f>MINIFS(CBIC_Late_Fee_Relief_Windows_3B!$O$90:$O$100,CBIC_Late_Fee_Relief_Windows_3B!$D$90:$D$100,"&lt;="&amp;B90,CBIC_Late_Fee_Relief_Windows_3B!$E$90:$E$100,"&gt;="&amp;B90,CBIC_Late_Fee_Relief_Windows_3B!$F$90:$F$100,"&lt;="&amp;C90,CBIC_Late_Fee_Relief_Windows_3B!$G$90:$G$100,"&gt;="&amp;C90)</f>
        <v/>
      </c>
      <c r="H90">
        <f>INDEX(CBIC_Late_Fee_Relief_Windows_3B!$I$90:$I$100,MATCH(G90,CBIC_Late_Fee_Relief_Windows_3B!$O$90:$O$100,0))</f>
        <v/>
      </c>
      <c r="I90">
        <f>MIN(F90,H90)</f>
        <v/>
      </c>
    </row>
    <row r="91">
      <c r="A91">
        <f>TEST_DATA!A91</f>
        <v/>
      </c>
      <c r="B91">
        <f>TEST_DATA!B91</f>
        <v/>
      </c>
      <c r="C91">
        <f>TEST_DATA!C91</f>
        <v/>
      </c>
      <c r="D91">
        <f>TEST_DATA!D91</f>
        <v/>
      </c>
      <c r="E91">
        <f>TEST_DATA!E91</f>
        <v/>
      </c>
      <c r="F91">
        <f>MIN(E91*9100,10000)</f>
        <v/>
      </c>
      <c r="G91">
        <f>MINIFS(CBIC_Late_Fee_Relief_Windows_3B!$O$91:$O$100,CBIC_Late_Fee_Relief_Windows_3B!$D$91:$D$100,"&lt;="&amp;B91,CBIC_Late_Fee_Relief_Windows_3B!$E$91:$E$100,"&gt;="&amp;B91,CBIC_Late_Fee_Relief_Windows_3B!$F$91:$F$100,"&lt;="&amp;C91,CBIC_Late_Fee_Relief_Windows_3B!$G$91:$G$100,"&gt;="&amp;C91)</f>
        <v/>
      </c>
      <c r="H91">
        <f>INDEX(CBIC_Late_Fee_Relief_Windows_3B!$I$91:$I$100,MATCH(G91,CBIC_Late_Fee_Relief_Windows_3B!$O$91:$O$100,0))</f>
        <v/>
      </c>
      <c r="I91">
        <f>MIN(F91,H91)</f>
        <v/>
      </c>
    </row>
    <row r="92">
      <c r="A92">
        <f>TEST_DATA!A92</f>
        <v/>
      </c>
      <c r="B92">
        <f>TEST_DATA!B92</f>
        <v/>
      </c>
      <c r="C92">
        <f>TEST_DATA!C92</f>
        <v/>
      </c>
      <c r="D92">
        <f>TEST_DATA!D92</f>
        <v/>
      </c>
      <c r="E92">
        <f>TEST_DATA!E92</f>
        <v/>
      </c>
      <c r="F92">
        <f>MIN(E92*9200,10000)</f>
        <v/>
      </c>
      <c r="G92">
        <f>MINIFS(CBIC_Late_Fee_Relief_Windows_3B!$O$92:$O$100,CBIC_Late_Fee_Relief_Windows_3B!$D$92:$D$100,"&lt;="&amp;B92,CBIC_Late_Fee_Relief_Windows_3B!$E$92:$E$100,"&gt;="&amp;B92,CBIC_Late_Fee_Relief_Windows_3B!$F$92:$F$100,"&lt;="&amp;C92,CBIC_Late_Fee_Relief_Windows_3B!$G$92:$G$100,"&gt;="&amp;C92)</f>
        <v/>
      </c>
      <c r="H92">
        <f>INDEX(CBIC_Late_Fee_Relief_Windows_3B!$I$92:$I$100,MATCH(G92,CBIC_Late_Fee_Relief_Windows_3B!$O$92:$O$100,0))</f>
        <v/>
      </c>
      <c r="I92">
        <f>MIN(F92,H92)</f>
        <v/>
      </c>
    </row>
    <row r="93">
      <c r="A93">
        <f>TEST_DATA!A93</f>
        <v/>
      </c>
      <c r="B93">
        <f>TEST_DATA!B93</f>
        <v/>
      </c>
      <c r="C93">
        <f>TEST_DATA!C93</f>
        <v/>
      </c>
      <c r="D93">
        <f>TEST_DATA!D93</f>
        <v/>
      </c>
      <c r="E93">
        <f>TEST_DATA!E93</f>
        <v/>
      </c>
      <c r="F93">
        <f>MIN(E93*9300,10000)</f>
        <v/>
      </c>
      <c r="G93">
        <f>MINIFS(CBIC_Late_Fee_Relief_Windows_3B!$O$93:$O$100,CBIC_Late_Fee_Relief_Windows_3B!$D$93:$D$100,"&lt;="&amp;B93,CBIC_Late_Fee_Relief_Windows_3B!$E$93:$E$100,"&gt;="&amp;B93,CBIC_Late_Fee_Relief_Windows_3B!$F$93:$F$100,"&lt;="&amp;C93,CBIC_Late_Fee_Relief_Windows_3B!$G$93:$G$100,"&gt;="&amp;C93)</f>
        <v/>
      </c>
      <c r="H93">
        <f>INDEX(CBIC_Late_Fee_Relief_Windows_3B!$I$93:$I$100,MATCH(G93,CBIC_Late_Fee_Relief_Windows_3B!$O$93:$O$100,0))</f>
        <v/>
      </c>
      <c r="I93">
        <f>MIN(F93,H93)</f>
        <v/>
      </c>
    </row>
    <row r="94">
      <c r="A94">
        <f>TEST_DATA!A94</f>
        <v/>
      </c>
      <c r="B94">
        <f>TEST_DATA!B94</f>
        <v/>
      </c>
      <c r="C94">
        <f>TEST_DATA!C94</f>
        <v/>
      </c>
      <c r="D94">
        <f>TEST_DATA!D94</f>
        <v/>
      </c>
      <c r="E94">
        <f>TEST_DATA!E94</f>
        <v/>
      </c>
      <c r="F94">
        <f>MIN(E94*9400,10000)</f>
        <v/>
      </c>
      <c r="G94">
        <f>MINIFS(CBIC_Late_Fee_Relief_Windows_3B!$O$94:$O$100,CBIC_Late_Fee_Relief_Windows_3B!$D$94:$D$100,"&lt;="&amp;B94,CBIC_Late_Fee_Relief_Windows_3B!$E$94:$E$100,"&gt;="&amp;B94,CBIC_Late_Fee_Relief_Windows_3B!$F$94:$F$100,"&lt;="&amp;C94,CBIC_Late_Fee_Relief_Windows_3B!$G$94:$G$100,"&gt;="&amp;C94)</f>
        <v/>
      </c>
      <c r="H94">
        <f>INDEX(CBIC_Late_Fee_Relief_Windows_3B!$I$94:$I$100,MATCH(G94,CBIC_Late_Fee_Relief_Windows_3B!$O$94:$O$100,0))</f>
        <v/>
      </c>
      <c r="I94">
        <f>MIN(F94,H94)</f>
        <v/>
      </c>
    </row>
    <row r="95">
      <c r="A95">
        <f>TEST_DATA!A95</f>
        <v/>
      </c>
      <c r="B95">
        <f>TEST_DATA!B95</f>
        <v/>
      </c>
      <c r="C95">
        <f>TEST_DATA!C95</f>
        <v/>
      </c>
      <c r="D95">
        <f>TEST_DATA!D95</f>
        <v/>
      </c>
      <c r="E95">
        <f>TEST_DATA!E95</f>
        <v/>
      </c>
      <c r="F95">
        <f>MIN(E95*9500,10000)</f>
        <v/>
      </c>
      <c r="G95">
        <f>MINIFS(CBIC_Late_Fee_Relief_Windows_3B!$O$95:$O$100,CBIC_Late_Fee_Relief_Windows_3B!$D$95:$D$100,"&lt;="&amp;B95,CBIC_Late_Fee_Relief_Windows_3B!$E$95:$E$100,"&gt;="&amp;B95,CBIC_Late_Fee_Relief_Windows_3B!$F$95:$F$100,"&lt;="&amp;C95,CBIC_Late_Fee_Relief_Windows_3B!$G$95:$G$100,"&gt;="&amp;C95)</f>
        <v/>
      </c>
      <c r="H95">
        <f>INDEX(CBIC_Late_Fee_Relief_Windows_3B!$I$95:$I$100,MATCH(G95,CBIC_Late_Fee_Relief_Windows_3B!$O$95:$O$100,0))</f>
        <v/>
      </c>
      <c r="I95">
        <f>MIN(F95,H95)</f>
        <v/>
      </c>
    </row>
    <row r="96">
      <c r="A96">
        <f>TEST_DATA!A96</f>
        <v/>
      </c>
      <c r="B96">
        <f>TEST_DATA!B96</f>
        <v/>
      </c>
      <c r="C96">
        <f>TEST_DATA!C96</f>
        <v/>
      </c>
      <c r="D96">
        <f>TEST_DATA!D96</f>
        <v/>
      </c>
      <c r="E96">
        <f>TEST_DATA!E96</f>
        <v/>
      </c>
      <c r="F96">
        <f>MIN(E96*9600,10000)</f>
        <v/>
      </c>
      <c r="G96">
        <f>MINIFS(CBIC_Late_Fee_Relief_Windows_3B!$O$96:$O$100,CBIC_Late_Fee_Relief_Windows_3B!$D$96:$D$100,"&lt;="&amp;B96,CBIC_Late_Fee_Relief_Windows_3B!$E$96:$E$100,"&gt;="&amp;B96,CBIC_Late_Fee_Relief_Windows_3B!$F$96:$F$100,"&lt;="&amp;C96,CBIC_Late_Fee_Relief_Windows_3B!$G$96:$G$100,"&gt;="&amp;C96)</f>
        <v/>
      </c>
      <c r="H96">
        <f>INDEX(CBIC_Late_Fee_Relief_Windows_3B!$I$96:$I$100,MATCH(G96,CBIC_Late_Fee_Relief_Windows_3B!$O$96:$O$100,0))</f>
        <v/>
      </c>
      <c r="I96">
        <f>MIN(F96,H96)</f>
        <v/>
      </c>
    </row>
    <row r="97">
      <c r="A97">
        <f>TEST_DATA!A97</f>
        <v/>
      </c>
      <c r="B97">
        <f>TEST_DATA!B97</f>
        <v/>
      </c>
      <c r="C97">
        <f>TEST_DATA!C97</f>
        <v/>
      </c>
      <c r="D97">
        <f>TEST_DATA!D97</f>
        <v/>
      </c>
      <c r="E97">
        <f>TEST_DATA!E97</f>
        <v/>
      </c>
      <c r="F97">
        <f>MIN(E97*9700,10000)</f>
        <v/>
      </c>
      <c r="G97">
        <f>MINIFS(CBIC_Late_Fee_Relief_Windows_3B!$O$97:$O$100,CBIC_Late_Fee_Relief_Windows_3B!$D$97:$D$100,"&lt;="&amp;B97,CBIC_Late_Fee_Relief_Windows_3B!$E$97:$E$100,"&gt;="&amp;B97,CBIC_Late_Fee_Relief_Windows_3B!$F$97:$F$100,"&lt;="&amp;C97,CBIC_Late_Fee_Relief_Windows_3B!$G$97:$G$100,"&gt;="&amp;C97)</f>
        <v/>
      </c>
      <c r="H97">
        <f>INDEX(CBIC_Late_Fee_Relief_Windows_3B!$I$97:$I$100,MATCH(G97,CBIC_Late_Fee_Relief_Windows_3B!$O$97:$O$100,0))</f>
        <v/>
      </c>
      <c r="I97">
        <f>MIN(F97,H97)</f>
        <v/>
      </c>
    </row>
    <row r="98">
      <c r="A98">
        <f>TEST_DATA!A98</f>
        <v/>
      </c>
      <c r="B98">
        <f>TEST_DATA!B98</f>
        <v/>
      </c>
      <c r="C98">
        <f>TEST_DATA!C98</f>
        <v/>
      </c>
      <c r="D98">
        <f>TEST_DATA!D98</f>
        <v/>
      </c>
      <c r="E98">
        <f>TEST_DATA!E98</f>
        <v/>
      </c>
      <c r="F98">
        <f>MIN(E98*9800,10000)</f>
        <v/>
      </c>
      <c r="G98">
        <f>MINIFS(CBIC_Late_Fee_Relief_Windows_3B!$O$98:$O$100,CBIC_Late_Fee_Relief_Windows_3B!$D$98:$D$100,"&lt;="&amp;B98,CBIC_Late_Fee_Relief_Windows_3B!$E$98:$E$100,"&gt;="&amp;B98,CBIC_Late_Fee_Relief_Windows_3B!$F$98:$F$100,"&lt;="&amp;C98,CBIC_Late_Fee_Relief_Windows_3B!$G$98:$G$100,"&gt;="&amp;C98)</f>
        <v/>
      </c>
      <c r="H98">
        <f>INDEX(CBIC_Late_Fee_Relief_Windows_3B!$I$98:$I$100,MATCH(G98,CBIC_Late_Fee_Relief_Windows_3B!$O$98:$O$100,0))</f>
        <v/>
      </c>
      <c r="I98">
        <f>MIN(F98,H98)</f>
        <v/>
      </c>
    </row>
    <row r="99">
      <c r="A99">
        <f>TEST_DATA!A99</f>
        <v/>
      </c>
      <c r="B99">
        <f>TEST_DATA!B99</f>
        <v/>
      </c>
      <c r="C99">
        <f>TEST_DATA!C99</f>
        <v/>
      </c>
      <c r="D99">
        <f>TEST_DATA!D99</f>
        <v/>
      </c>
      <c r="E99">
        <f>TEST_DATA!E99</f>
        <v/>
      </c>
      <c r="F99">
        <f>MIN(E99*9900,10000)</f>
        <v/>
      </c>
      <c r="G99">
        <f>MINIFS(CBIC_Late_Fee_Relief_Windows_3B!$O$99:$O$100,CBIC_Late_Fee_Relief_Windows_3B!$D$99:$D$100,"&lt;="&amp;B99,CBIC_Late_Fee_Relief_Windows_3B!$E$99:$E$100,"&gt;="&amp;B99,CBIC_Late_Fee_Relief_Windows_3B!$F$99:$F$100,"&lt;="&amp;C99,CBIC_Late_Fee_Relief_Windows_3B!$G$99:$G$100,"&gt;="&amp;C99)</f>
        <v/>
      </c>
      <c r="H99">
        <f>INDEX(CBIC_Late_Fee_Relief_Windows_3B!$I$99:$I$100,MATCH(G99,CBIC_Late_Fee_Relief_Windows_3B!$O$99:$O$100,0))</f>
        <v/>
      </c>
      <c r="I99">
        <f>MIN(F99,H99)</f>
        <v/>
      </c>
    </row>
    <row r="100">
      <c r="A100">
        <f>TEST_DATA!A100</f>
        <v/>
      </c>
      <c r="B100">
        <f>TEST_DATA!B100</f>
        <v/>
      </c>
      <c r="C100">
        <f>TEST_DATA!C100</f>
        <v/>
      </c>
      <c r="D100">
        <f>TEST_DATA!D100</f>
        <v/>
      </c>
      <c r="E100">
        <f>TEST_DATA!E100</f>
        <v/>
      </c>
      <c r="F100">
        <f>MIN(E100*10000,10000)</f>
        <v/>
      </c>
      <c r="G100">
        <f>MINIFS(CBIC_Late_Fee_Relief_Windows_3B!$O$100:$O$100,CBIC_Late_Fee_Relief_Windows_3B!$D$100:$D$100,"&lt;="&amp;B100,CBIC_Late_Fee_Relief_Windows_3B!$E$100:$E$100,"&gt;="&amp;B100,CBIC_Late_Fee_Relief_Windows_3B!$F$100:$F$100,"&lt;="&amp;C100,CBIC_Late_Fee_Relief_Windows_3B!$G$100:$G$100,"&gt;="&amp;C100)</f>
        <v/>
      </c>
      <c r="H100">
        <f>INDEX(CBIC_Late_Fee_Relief_Windows_3B!$I$100:$I$100,MATCH(G100,CBIC_Late_Fee_Relief_Windows_3B!$O$100:$O$100,0))</f>
        <v/>
      </c>
      <c r="I100">
        <f>MIN(F100,H100)</f>
        <v/>
      </c>
    </row>
    <row r="101">
      <c r="A101">
        <f>TEST_DATA!A101</f>
        <v/>
      </c>
      <c r="B101">
        <f>TEST_DATA!B101</f>
        <v/>
      </c>
      <c r="C101">
        <f>TEST_DATA!C101</f>
        <v/>
      </c>
      <c r="D101">
        <f>TEST_DATA!D101</f>
        <v/>
      </c>
      <c r="E101">
        <f>TEST_DATA!E101</f>
        <v/>
      </c>
      <c r="F101">
        <f>MIN(E101*10100,10000)</f>
        <v/>
      </c>
      <c r="G101">
        <f>MINIFS(CBIC_Late_Fee_Relief_Windows_3B!$O$101:$O$100,CBIC_Late_Fee_Relief_Windows_3B!$D$101:$D$100,"&lt;="&amp;B101,CBIC_Late_Fee_Relief_Windows_3B!$E$101:$E$100,"&gt;="&amp;B101,CBIC_Late_Fee_Relief_Windows_3B!$F$101:$F$100,"&lt;="&amp;C101,CBIC_Late_Fee_Relief_Windows_3B!$G$101:$G$100,"&gt;="&amp;C101)</f>
        <v/>
      </c>
      <c r="H101">
        <f>INDEX(CBIC_Late_Fee_Relief_Windows_3B!$I$101:$I$100,MATCH(G101,CBIC_Late_Fee_Relief_Windows_3B!$O$101:$O$100,0))</f>
        <v/>
      </c>
      <c r="I101">
        <f>MIN(F101,H101)</f>
        <v/>
      </c>
    </row>
    <row r="102">
      <c r="A102">
        <f>TEST_DATA!A102</f>
        <v/>
      </c>
      <c r="B102">
        <f>TEST_DATA!B102</f>
        <v/>
      </c>
      <c r="C102">
        <f>TEST_DATA!C102</f>
        <v/>
      </c>
      <c r="D102">
        <f>TEST_DATA!D102</f>
        <v/>
      </c>
      <c r="E102">
        <f>TEST_DATA!E102</f>
        <v/>
      </c>
      <c r="F102">
        <f>MIN(E102*10200,10000)</f>
        <v/>
      </c>
      <c r="G102">
        <f>MINIFS(CBIC_Late_Fee_Relief_Windows_3B!$O$102:$O$100,CBIC_Late_Fee_Relief_Windows_3B!$D$102:$D$100,"&lt;="&amp;B102,CBIC_Late_Fee_Relief_Windows_3B!$E$102:$E$100,"&gt;="&amp;B102,CBIC_Late_Fee_Relief_Windows_3B!$F$102:$F$100,"&lt;="&amp;C102,CBIC_Late_Fee_Relief_Windows_3B!$G$102:$G$100,"&gt;="&amp;C102)</f>
        <v/>
      </c>
      <c r="H102">
        <f>INDEX(CBIC_Late_Fee_Relief_Windows_3B!$I$102:$I$100,MATCH(G102,CBIC_Late_Fee_Relief_Windows_3B!$O$102:$O$100,0))</f>
        <v/>
      </c>
      <c r="I102">
        <f>MIN(F102,H102)</f>
        <v/>
      </c>
    </row>
    <row r="103">
      <c r="A103">
        <f>TEST_DATA!A103</f>
        <v/>
      </c>
      <c r="B103">
        <f>TEST_DATA!B103</f>
        <v/>
      </c>
      <c r="C103">
        <f>TEST_DATA!C103</f>
        <v/>
      </c>
      <c r="D103">
        <f>TEST_DATA!D103</f>
        <v/>
      </c>
      <c r="E103">
        <f>TEST_DATA!E103</f>
        <v/>
      </c>
      <c r="F103">
        <f>MIN(E103*10300,10000)</f>
        <v/>
      </c>
      <c r="G103">
        <f>MINIFS(CBIC_Late_Fee_Relief_Windows_3B!$O$103:$O$100,CBIC_Late_Fee_Relief_Windows_3B!$D$103:$D$100,"&lt;="&amp;B103,CBIC_Late_Fee_Relief_Windows_3B!$E$103:$E$100,"&gt;="&amp;B103,CBIC_Late_Fee_Relief_Windows_3B!$F$103:$F$100,"&lt;="&amp;C103,CBIC_Late_Fee_Relief_Windows_3B!$G$103:$G$100,"&gt;="&amp;C103)</f>
        <v/>
      </c>
      <c r="H103">
        <f>INDEX(CBIC_Late_Fee_Relief_Windows_3B!$I$103:$I$100,MATCH(G103,CBIC_Late_Fee_Relief_Windows_3B!$O$103:$O$100,0))</f>
        <v/>
      </c>
      <c r="I103">
        <f>MIN(F103,H103)</f>
        <v/>
      </c>
    </row>
    <row r="104">
      <c r="A104">
        <f>TEST_DATA!A104</f>
        <v/>
      </c>
      <c r="B104">
        <f>TEST_DATA!B104</f>
        <v/>
      </c>
      <c r="C104">
        <f>TEST_DATA!C104</f>
        <v/>
      </c>
      <c r="D104">
        <f>TEST_DATA!D104</f>
        <v/>
      </c>
      <c r="E104">
        <f>TEST_DATA!E104</f>
        <v/>
      </c>
      <c r="F104">
        <f>MIN(E104*10400,10000)</f>
        <v/>
      </c>
      <c r="G104">
        <f>MINIFS(CBIC_Late_Fee_Relief_Windows_3B!$O$104:$O$100,CBIC_Late_Fee_Relief_Windows_3B!$D$104:$D$100,"&lt;="&amp;B104,CBIC_Late_Fee_Relief_Windows_3B!$E$104:$E$100,"&gt;="&amp;B104,CBIC_Late_Fee_Relief_Windows_3B!$F$104:$F$100,"&lt;="&amp;C104,CBIC_Late_Fee_Relief_Windows_3B!$G$104:$G$100,"&gt;="&amp;C104)</f>
        <v/>
      </c>
      <c r="H104">
        <f>INDEX(CBIC_Late_Fee_Relief_Windows_3B!$I$104:$I$100,MATCH(G104,CBIC_Late_Fee_Relief_Windows_3B!$O$104:$O$100,0))</f>
        <v/>
      </c>
      <c r="I104">
        <f>MIN(F104,H104)</f>
        <v/>
      </c>
    </row>
    <row r="105">
      <c r="A105">
        <f>TEST_DATA!A105</f>
        <v/>
      </c>
      <c r="B105">
        <f>TEST_DATA!B105</f>
        <v/>
      </c>
      <c r="C105">
        <f>TEST_DATA!C105</f>
        <v/>
      </c>
      <c r="D105">
        <f>TEST_DATA!D105</f>
        <v/>
      </c>
      <c r="E105">
        <f>TEST_DATA!E105</f>
        <v/>
      </c>
      <c r="F105">
        <f>MIN(E105*10500,10000)</f>
        <v/>
      </c>
      <c r="G105">
        <f>MINIFS(CBIC_Late_Fee_Relief_Windows_3B!$O$105:$O$100,CBIC_Late_Fee_Relief_Windows_3B!$D$105:$D$100,"&lt;="&amp;B105,CBIC_Late_Fee_Relief_Windows_3B!$E$105:$E$100,"&gt;="&amp;B105,CBIC_Late_Fee_Relief_Windows_3B!$F$105:$F$100,"&lt;="&amp;C105,CBIC_Late_Fee_Relief_Windows_3B!$G$105:$G$100,"&gt;="&amp;C105)</f>
        <v/>
      </c>
      <c r="H105">
        <f>INDEX(CBIC_Late_Fee_Relief_Windows_3B!$I$105:$I$100,MATCH(G105,CBIC_Late_Fee_Relief_Windows_3B!$O$105:$O$100,0))</f>
        <v/>
      </c>
      <c r="I105">
        <f>MIN(F105,H105)</f>
        <v/>
      </c>
    </row>
    <row r="106">
      <c r="A106">
        <f>TEST_DATA!A106</f>
        <v/>
      </c>
      <c r="B106">
        <f>TEST_DATA!B106</f>
        <v/>
      </c>
      <c r="C106">
        <f>TEST_DATA!C106</f>
        <v/>
      </c>
      <c r="D106">
        <f>TEST_DATA!D106</f>
        <v/>
      </c>
      <c r="E106">
        <f>TEST_DATA!E106</f>
        <v/>
      </c>
      <c r="F106">
        <f>MIN(E106*10600,10000)</f>
        <v/>
      </c>
      <c r="G106">
        <f>MINIFS(CBIC_Late_Fee_Relief_Windows_3B!$O$106:$O$100,CBIC_Late_Fee_Relief_Windows_3B!$D$106:$D$100,"&lt;="&amp;B106,CBIC_Late_Fee_Relief_Windows_3B!$E$106:$E$100,"&gt;="&amp;B106,CBIC_Late_Fee_Relief_Windows_3B!$F$106:$F$100,"&lt;="&amp;C106,CBIC_Late_Fee_Relief_Windows_3B!$G$106:$G$100,"&gt;="&amp;C106)</f>
        <v/>
      </c>
      <c r="H106">
        <f>INDEX(CBIC_Late_Fee_Relief_Windows_3B!$I$106:$I$100,MATCH(G106,CBIC_Late_Fee_Relief_Windows_3B!$O$106:$O$100,0))</f>
        <v/>
      </c>
      <c r="I106">
        <f>MIN(F106,H106)</f>
        <v/>
      </c>
    </row>
    <row r="107">
      <c r="A107">
        <f>TEST_DATA!A107</f>
        <v/>
      </c>
      <c r="B107">
        <f>TEST_DATA!B107</f>
        <v/>
      </c>
      <c r="C107">
        <f>TEST_DATA!C107</f>
        <v/>
      </c>
      <c r="D107">
        <f>TEST_DATA!D107</f>
        <v/>
      </c>
      <c r="E107">
        <f>TEST_DATA!E107</f>
        <v/>
      </c>
      <c r="F107">
        <f>MIN(E107*10700,10000)</f>
        <v/>
      </c>
      <c r="G107">
        <f>MINIFS(CBIC_Late_Fee_Relief_Windows_3B!$O$107:$O$100,CBIC_Late_Fee_Relief_Windows_3B!$D$107:$D$100,"&lt;="&amp;B107,CBIC_Late_Fee_Relief_Windows_3B!$E$107:$E$100,"&gt;="&amp;B107,CBIC_Late_Fee_Relief_Windows_3B!$F$107:$F$100,"&lt;="&amp;C107,CBIC_Late_Fee_Relief_Windows_3B!$G$107:$G$100,"&gt;="&amp;C107)</f>
        <v/>
      </c>
      <c r="H107">
        <f>INDEX(CBIC_Late_Fee_Relief_Windows_3B!$I$107:$I$100,MATCH(G107,CBIC_Late_Fee_Relief_Windows_3B!$O$107:$O$100,0))</f>
        <v/>
      </c>
      <c r="I107">
        <f>MIN(F107,H107)</f>
        <v/>
      </c>
    </row>
    <row r="108">
      <c r="A108">
        <f>TEST_DATA!A108</f>
        <v/>
      </c>
      <c r="B108">
        <f>TEST_DATA!B108</f>
        <v/>
      </c>
      <c r="C108">
        <f>TEST_DATA!C108</f>
        <v/>
      </c>
      <c r="D108">
        <f>TEST_DATA!D108</f>
        <v/>
      </c>
      <c r="E108">
        <f>TEST_DATA!E108</f>
        <v/>
      </c>
      <c r="F108">
        <f>MIN(E108*10800,10000)</f>
        <v/>
      </c>
      <c r="G108">
        <f>MINIFS(CBIC_Late_Fee_Relief_Windows_3B!$O$108:$O$100,CBIC_Late_Fee_Relief_Windows_3B!$D$108:$D$100,"&lt;="&amp;B108,CBIC_Late_Fee_Relief_Windows_3B!$E$108:$E$100,"&gt;="&amp;B108,CBIC_Late_Fee_Relief_Windows_3B!$F$108:$F$100,"&lt;="&amp;C108,CBIC_Late_Fee_Relief_Windows_3B!$G$108:$G$100,"&gt;="&amp;C108)</f>
        <v/>
      </c>
      <c r="H108">
        <f>INDEX(CBIC_Late_Fee_Relief_Windows_3B!$I$108:$I$100,MATCH(G108,CBIC_Late_Fee_Relief_Windows_3B!$O$108:$O$100,0))</f>
        <v/>
      </c>
      <c r="I108">
        <f>MIN(F108,H108)</f>
        <v/>
      </c>
    </row>
    <row r="109">
      <c r="A109">
        <f>TEST_DATA!A109</f>
        <v/>
      </c>
      <c r="B109">
        <f>TEST_DATA!B109</f>
        <v/>
      </c>
      <c r="C109">
        <f>TEST_DATA!C109</f>
        <v/>
      </c>
      <c r="D109">
        <f>TEST_DATA!D109</f>
        <v/>
      </c>
      <c r="E109">
        <f>TEST_DATA!E109</f>
        <v/>
      </c>
      <c r="F109">
        <f>MIN(E109*10900,10000)</f>
        <v/>
      </c>
      <c r="G109">
        <f>MINIFS(CBIC_Late_Fee_Relief_Windows_3B!$O$109:$O$100,CBIC_Late_Fee_Relief_Windows_3B!$D$109:$D$100,"&lt;="&amp;B109,CBIC_Late_Fee_Relief_Windows_3B!$E$109:$E$100,"&gt;="&amp;B109,CBIC_Late_Fee_Relief_Windows_3B!$F$109:$F$100,"&lt;="&amp;C109,CBIC_Late_Fee_Relief_Windows_3B!$G$109:$G$100,"&gt;="&amp;C109)</f>
        <v/>
      </c>
      <c r="H109">
        <f>INDEX(CBIC_Late_Fee_Relief_Windows_3B!$I$109:$I$100,MATCH(G109,CBIC_Late_Fee_Relief_Windows_3B!$O$109:$O$100,0))</f>
        <v/>
      </c>
      <c r="I109">
        <f>MIN(F109,H109)</f>
        <v/>
      </c>
    </row>
    <row r="110">
      <c r="A110">
        <f>TEST_DATA!A110</f>
        <v/>
      </c>
      <c r="B110">
        <f>TEST_DATA!B110</f>
        <v/>
      </c>
      <c r="C110">
        <f>TEST_DATA!C110</f>
        <v/>
      </c>
      <c r="D110">
        <f>TEST_DATA!D110</f>
        <v/>
      </c>
      <c r="E110">
        <f>TEST_DATA!E110</f>
        <v/>
      </c>
      <c r="F110">
        <f>MIN(E110*11000,10000)</f>
        <v/>
      </c>
      <c r="G110">
        <f>MINIFS(CBIC_Late_Fee_Relief_Windows_3B!$O$110:$O$100,CBIC_Late_Fee_Relief_Windows_3B!$D$110:$D$100,"&lt;="&amp;B110,CBIC_Late_Fee_Relief_Windows_3B!$E$110:$E$100,"&gt;="&amp;B110,CBIC_Late_Fee_Relief_Windows_3B!$F$110:$F$100,"&lt;="&amp;C110,CBIC_Late_Fee_Relief_Windows_3B!$G$110:$G$100,"&gt;="&amp;C110)</f>
        <v/>
      </c>
      <c r="H110">
        <f>INDEX(CBIC_Late_Fee_Relief_Windows_3B!$I$110:$I$100,MATCH(G110,CBIC_Late_Fee_Relief_Windows_3B!$O$110:$O$100,0))</f>
        <v/>
      </c>
      <c r="I110">
        <f>MIN(F110,H110)</f>
        <v/>
      </c>
    </row>
    <row r="111">
      <c r="A111">
        <f>TEST_DATA!A111</f>
        <v/>
      </c>
      <c r="B111">
        <f>TEST_DATA!B111</f>
        <v/>
      </c>
      <c r="C111">
        <f>TEST_DATA!C111</f>
        <v/>
      </c>
      <c r="D111">
        <f>TEST_DATA!D111</f>
        <v/>
      </c>
      <c r="E111">
        <f>TEST_DATA!E111</f>
        <v/>
      </c>
      <c r="F111">
        <f>MIN(E111*11100,10000)</f>
        <v/>
      </c>
      <c r="G111">
        <f>MINIFS(CBIC_Late_Fee_Relief_Windows_3B!$O$111:$O$100,CBIC_Late_Fee_Relief_Windows_3B!$D$111:$D$100,"&lt;="&amp;B111,CBIC_Late_Fee_Relief_Windows_3B!$E$111:$E$100,"&gt;="&amp;B111,CBIC_Late_Fee_Relief_Windows_3B!$F$111:$F$100,"&lt;="&amp;C111,CBIC_Late_Fee_Relief_Windows_3B!$G$111:$G$100,"&gt;="&amp;C111)</f>
        <v/>
      </c>
      <c r="H111">
        <f>INDEX(CBIC_Late_Fee_Relief_Windows_3B!$I$111:$I$100,MATCH(G111,CBIC_Late_Fee_Relief_Windows_3B!$O$111:$O$100,0))</f>
        <v/>
      </c>
      <c r="I111">
        <f>MIN(F111,H111)</f>
        <v/>
      </c>
    </row>
    <row r="112">
      <c r="A112">
        <f>TEST_DATA!A112</f>
        <v/>
      </c>
      <c r="B112">
        <f>TEST_DATA!B112</f>
        <v/>
      </c>
      <c r="C112">
        <f>TEST_DATA!C112</f>
        <v/>
      </c>
      <c r="D112">
        <f>TEST_DATA!D112</f>
        <v/>
      </c>
      <c r="E112">
        <f>TEST_DATA!E112</f>
        <v/>
      </c>
      <c r="F112">
        <f>MIN(E112*11200,10000)</f>
        <v/>
      </c>
      <c r="G112">
        <f>MINIFS(CBIC_Late_Fee_Relief_Windows_3B!$O$112:$O$100,CBIC_Late_Fee_Relief_Windows_3B!$D$112:$D$100,"&lt;="&amp;B112,CBIC_Late_Fee_Relief_Windows_3B!$E$112:$E$100,"&gt;="&amp;B112,CBIC_Late_Fee_Relief_Windows_3B!$F$112:$F$100,"&lt;="&amp;C112,CBIC_Late_Fee_Relief_Windows_3B!$G$112:$G$100,"&gt;="&amp;C112)</f>
        <v/>
      </c>
      <c r="H112">
        <f>INDEX(CBIC_Late_Fee_Relief_Windows_3B!$I$112:$I$100,MATCH(G112,CBIC_Late_Fee_Relief_Windows_3B!$O$112:$O$100,0))</f>
        <v/>
      </c>
      <c r="I112">
        <f>MIN(F112,H112)</f>
        <v/>
      </c>
    </row>
    <row r="113">
      <c r="A113">
        <f>TEST_DATA!A113</f>
        <v/>
      </c>
      <c r="B113">
        <f>TEST_DATA!B113</f>
        <v/>
      </c>
      <c r="C113">
        <f>TEST_DATA!C113</f>
        <v/>
      </c>
      <c r="D113">
        <f>TEST_DATA!D113</f>
        <v/>
      </c>
      <c r="E113">
        <f>TEST_DATA!E113</f>
        <v/>
      </c>
      <c r="F113">
        <f>MIN(E113*11300,10000)</f>
        <v/>
      </c>
      <c r="G113">
        <f>MINIFS(CBIC_Late_Fee_Relief_Windows_3B!$O$113:$O$100,CBIC_Late_Fee_Relief_Windows_3B!$D$113:$D$100,"&lt;="&amp;B113,CBIC_Late_Fee_Relief_Windows_3B!$E$113:$E$100,"&gt;="&amp;B113,CBIC_Late_Fee_Relief_Windows_3B!$F$113:$F$100,"&lt;="&amp;C113,CBIC_Late_Fee_Relief_Windows_3B!$G$113:$G$100,"&gt;="&amp;C113)</f>
        <v/>
      </c>
      <c r="H113">
        <f>INDEX(CBIC_Late_Fee_Relief_Windows_3B!$I$113:$I$100,MATCH(G113,CBIC_Late_Fee_Relief_Windows_3B!$O$113:$O$100,0))</f>
        <v/>
      </c>
      <c r="I113">
        <f>MIN(F113,H113)</f>
        <v/>
      </c>
    </row>
    <row r="114">
      <c r="A114">
        <f>TEST_DATA!A114</f>
        <v/>
      </c>
      <c r="B114">
        <f>TEST_DATA!B114</f>
        <v/>
      </c>
      <c r="C114">
        <f>TEST_DATA!C114</f>
        <v/>
      </c>
      <c r="D114">
        <f>TEST_DATA!D114</f>
        <v/>
      </c>
      <c r="E114">
        <f>TEST_DATA!E114</f>
        <v/>
      </c>
      <c r="F114">
        <f>MIN(E114*11400,10000)</f>
        <v/>
      </c>
      <c r="G114">
        <f>MINIFS(CBIC_Late_Fee_Relief_Windows_3B!$O$114:$O$100,CBIC_Late_Fee_Relief_Windows_3B!$D$114:$D$100,"&lt;="&amp;B114,CBIC_Late_Fee_Relief_Windows_3B!$E$114:$E$100,"&gt;="&amp;B114,CBIC_Late_Fee_Relief_Windows_3B!$F$114:$F$100,"&lt;="&amp;C114,CBIC_Late_Fee_Relief_Windows_3B!$G$114:$G$100,"&gt;="&amp;C114)</f>
        <v/>
      </c>
      <c r="H114">
        <f>INDEX(CBIC_Late_Fee_Relief_Windows_3B!$I$114:$I$100,MATCH(G114,CBIC_Late_Fee_Relief_Windows_3B!$O$114:$O$100,0))</f>
        <v/>
      </c>
      <c r="I114">
        <f>MIN(F114,H114)</f>
        <v/>
      </c>
    </row>
    <row r="115">
      <c r="A115">
        <f>TEST_DATA!A115</f>
        <v/>
      </c>
      <c r="B115">
        <f>TEST_DATA!B115</f>
        <v/>
      </c>
      <c r="C115">
        <f>TEST_DATA!C115</f>
        <v/>
      </c>
      <c r="D115">
        <f>TEST_DATA!D115</f>
        <v/>
      </c>
      <c r="E115">
        <f>TEST_DATA!E115</f>
        <v/>
      </c>
      <c r="F115">
        <f>MIN(E115*11500,10000)</f>
        <v/>
      </c>
      <c r="G115">
        <f>MINIFS(CBIC_Late_Fee_Relief_Windows_3B!$O$115:$O$100,CBIC_Late_Fee_Relief_Windows_3B!$D$115:$D$100,"&lt;="&amp;B115,CBIC_Late_Fee_Relief_Windows_3B!$E$115:$E$100,"&gt;="&amp;B115,CBIC_Late_Fee_Relief_Windows_3B!$F$115:$F$100,"&lt;="&amp;C115,CBIC_Late_Fee_Relief_Windows_3B!$G$115:$G$100,"&gt;="&amp;C115)</f>
        <v/>
      </c>
      <c r="H115">
        <f>INDEX(CBIC_Late_Fee_Relief_Windows_3B!$I$115:$I$100,MATCH(G115,CBIC_Late_Fee_Relief_Windows_3B!$O$115:$O$100,0))</f>
        <v/>
      </c>
      <c r="I115">
        <f>MIN(F115,H115)</f>
        <v/>
      </c>
    </row>
    <row r="116">
      <c r="A116">
        <f>TEST_DATA!A116</f>
        <v/>
      </c>
      <c r="B116">
        <f>TEST_DATA!B116</f>
        <v/>
      </c>
      <c r="C116">
        <f>TEST_DATA!C116</f>
        <v/>
      </c>
      <c r="D116">
        <f>TEST_DATA!D116</f>
        <v/>
      </c>
      <c r="E116">
        <f>TEST_DATA!E116</f>
        <v/>
      </c>
      <c r="F116">
        <f>MIN(E116*11600,10000)</f>
        <v/>
      </c>
      <c r="G116">
        <f>MINIFS(CBIC_Late_Fee_Relief_Windows_3B!$O$116:$O$100,CBIC_Late_Fee_Relief_Windows_3B!$D$116:$D$100,"&lt;="&amp;B116,CBIC_Late_Fee_Relief_Windows_3B!$E$116:$E$100,"&gt;="&amp;B116,CBIC_Late_Fee_Relief_Windows_3B!$F$116:$F$100,"&lt;="&amp;C116,CBIC_Late_Fee_Relief_Windows_3B!$G$116:$G$100,"&gt;="&amp;C116)</f>
        <v/>
      </c>
      <c r="H116">
        <f>INDEX(CBIC_Late_Fee_Relief_Windows_3B!$I$116:$I$100,MATCH(G116,CBIC_Late_Fee_Relief_Windows_3B!$O$116:$O$100,0))</f>
        <v/>
      </c>
      <c r="I116">
        <f>MIN(F116,H116)</f>
        <v/>
      </c>
    </row>
    <row r="117">
      <c r="A117">
        <f>TEST_DATA!A117</f>
        <v/>
      </c>
      <c r="B117">
        <f>TEST_DATA!B117</f>
        <v/>
      </c>
      <c r="C117">
        <f>TEST_DATA!C117</f>
        <v/>
      </c>
      <c r="D117">
        <f>TEST_DATA!D117</f>
        <v/>
      </c>
      <c r="E117">
        <f>TEST_DATA!E117</f>
        <v/>
      </c>
      <c r="F117">
        <f>MIN(E117*11700,10000)</f>
        <v/>
      </c>
      <c r="G117">
        <f>MINIFS(CBIC_Late_Fee_Relief_Windows_3B!$O$117:$O$100,CBIC_Late_Fee_Relief_Windows_3B!$D$117:$D$100,"&lt;="&amp;B117,CBIC_Late_Fee_Relief_Windows_3B!$E$117:$E$100,"&gt;="&amp;B117,CBIC_Late_Fee_Relief_Windows_3B!$F$117:$F$100,"&lt;="&amp;C117,CBIC_Late_Fee_Relief_Windows_3B!$G$117:$G$100,"&gt;="&amp;C117)</f>
        <v/>
      </c>
      <c r="H117">
        <f>INDEX(CBIC_Late_Fee_Relief_Windows_3B!$I$117:$I$100,MATCH(G117,CBIC_Late_Fee_Relief_Windows_3B!$O$117:$O$100,0))</f>
        <v/>
      </c>
      <c r="I117">
        <f>MIN(F117,H117)</f>
        <v/>
      </c>
    </row>
    <row r="118">
      <c r="A118">
        <f>TEST_DATA!A118</f>
        <v/>
      </c>
      <c r="B118">
        <f>TEST_DATA!B118</f>
        <v/>
      </c>
      <c r="C118">
        <f>TEST_DATA!C118</f>
        <v/>
      </c>
      <c r="D118">
        <f>TEST_DATA!D118</f>
        <v/>
      </c>
      <c r="E118">
        <f>TEST_DATA!E118</f>
        <v/>
      </c>
      <c r="F118">
        <f>MIN(E118*11800,10000)</f>
        <v/>
      </c>
      <c r="G118">
        <f>MINIFS(CBIC_Late_Fee_Relief_Windows_3B!$O$118:$O$100,CBIC_Late_Fee_Relief_Windows_3B!$D$118:$D$100,"&lt;="&amp;B118,CBIC_Late_Fee_Relief_Windows_3B!$E$118:$E$100,"&gt;="&amp;B118,CBIC_Late_Fee_Relief_Windows_3B!$F$118:$F$100,"&lt;="&amp;C118,CBIC_Late_Fee_Relief_Windows_3B!$G$118:$G$100,"&gt;="&amp;C118)</f>
        <v/>
      </c>
      <c r="H118">
        <f>INDEX(CBIC_Late_Fee_Relief_Windows_3B!$I$118:$I$100,MATCH(G118,CBIC_Late_Fee_Relief_Windows_3B!$O$118:$O$100,0))</f>
        <v/>
      </c>
      <c r="I118">
        <f>MIN(F118,H118)</f>
        <v/>
      </c>
    </row>
    <row r="119">
      <c r="A119">
        <f>TEST_DATA!A119</f>
        <v/>
      </c>
      <c r="B119">
        <f>TEST_DATA!B119</f>
        <v/>
      </c>
      <c r="C119">
        <f>TEST_DATA!C119</f>
        <v/>
      </c>
      <c r="D119">
        <f>TEST_DATA!D119</f>
        <v/>
      </c>
      <c r="E119">
        <f>TEST_DATA!E119</f>
        <v/>
      </c>
      <c r="F119">
        <f>MIN(E119*11900,10000)</f>
        <v/>
      </c>
      <c r="G119">
        <f>MINIFS(CBIC_Late_Fee_Relief_Windows_3B!$O$119:$O$100,CBIC_Late_Fee_Relief_Windows_3B!$D$119:$D$100,"&lt;="&amp;B119,CBIC_Late_Fee_Relief_Windows_3B!$E$119:$E$100,"&gt;="&amp;B119,CBIC_Late_Fee_Relief_Windows_3B!$F$119:$F$100,"&lt;="&amp;C119,CBIC_Late_Fee_Relief_Windows_3B!$G$119:$G$100,"&gt;="&amp;C119)</f>
        <v/>
      </c>
      <c r="H119">
        <f>INDEX(CBIC_Late_Fee_Relief_Windows_3B!$I$119:$I$100,MATCH(G119,CBIC_Late_Fee_Relief_Windows_3B!$O$119:$O$100,0))</f>
        <v/>
      </c>
      <c r="I119">
        <f>MIN(F119,H119)</f>
        <v/>
      </c>
    </row>
    <row r="120">
      <c r="A120">
        <f>TEST_DATA!A120</f>
        <v/>
      </c>
      <c r="B120">
        <f>TEST_DATA!B120</f>
        <v/>
      </c>
      <c r="C120">
        <f>TEST_DATA!C120</f>
        <v/>
      </c>
      <c r="D120">
        <f>TEST_DATA!D120</f>
        <v/>
      </c>
      <c r="E120">
        <f>TEST_DATA!E120</f>
        <v/>
      </c>
      <c r="F120">
        <f>MIN(E120*12000,10000)</f>
        <v/>
      </c>
      <c r="G120">
        <f>MINIFS(CBIC_Late_Fee_Relief_Windows_3B!$O$120:$O$100,CBIC_Late_Fee_Relief_Windows_3B!$D$120:$D$100,"&lt;="&amp;B120,CBIC_Late_Fee_Relief_Windows_3B!$E$120:$E$100,"&gt;="&amp;B120,CBIC_Late_Fee_Relief_Windows_3B!$F$120:$F$100,"&lt;="&amp;C120,CBIC_Late_Fee_Relief_Windows_3B!$G$120:$G$100,"&gt;="&amp;C120)</f>
        <v/>
      </c>
      <c r="H120">
        <f>INDEX(CBIC_Late_Fee_Relief_Windows_3B!$I$120:$I$100,MATCH(G120,CBIC_Late_Fee_Relief_Windows_3B!$O$120:$O$100,0))</f>
        <v/>
      </c>
      <c r="I120">
        <f>MIN(F120,H120)</f>
        <v/>
      </c>
    </row>
    <row r="121">
      <c r="A121">
        <f>TEST_DATA!A121</f>
        <v/>
      </c>
      <c r="B121">
        <f>TEST_DATA!B121</f>
        <v/>
      </c>
      <c r="C121">
        <f>TEST_DATA!C121</f>
        <v/>
      </c>
      <c r="D121">
        <f>TEST_DATA!D121</f>
        <v/>
      </c>
      <c r="E121">
        <f>TEST_DATA!E121</f>
        <v/>
      </c>
      <c r="F121">
        <f>MIN(E121*12100,10000)</f>
        <v/>
      </c>
      <c r="G121">
        <f>MINIFS(CBIC_Late_Fee_Relief_Windows_3B!$O$121:$O$100,CBIC_Late_Fee_Relief_Windows_3B!$D$121:$D$100,"&lt;="&amp;B121,CBIC_Late_Fee_Relief_Windows_3B!$E$121:$E$100,"&gt;="&amp;B121,CBIC_Late_Fee_Relief_Windows_3B!$F$121:$F$100,"&lt;="&amp;C121,CBIC_Late_Fee_Relief_Windows_3B!$G$121:$G$100,"&gt;="&amp;C121)</f>
        <v/>
      </c>
      <c r="H121">
        <f>INDEX(CBIC_Late_Fee_Relief_Windows_3B!$I$121:$I$100,MATCH(G121,CBIC_Late_Fee_Relief_Windows_3B!$O$121:$O$100,0))</f>
        <v/>
      </c>
      <c r="I121">
        <f>MIN(F121,H121)</f>
        <v/>
      </c>
    </row>
    <row r="122">
      <c r="A122">
        <f>TEST_DATA!A122</f>
        <v/>
      </c>
      <c r="B122">
        <f>TEST_DATA!B122</f>
        <v/>
      </c>
      <c r="C122">
        <f>TEST_DATA!C122</f>
        <v/>
      </c>
      <c r="D122">
        <f>TEST_DATA!D122</f>
        <v/>
      </c>
      <c r="E122">
        <f>TEST_DATA!E122</f>
        <v/>
      </c>
      <c r="F122">
        <f>MIN(E122*12200,10000)</f>
        <v/>
      </c>
      <c r="G122">
        <f>MINIFS(CBIC_Late_Fee_Relief_Windows_3B!$O$122:$O$100,CBIC_Late_Fee_Relief_Windows_3B!$D$122:$D$100,"&lt;="&amp;B122,CBIC_Late_Fee_Relief_Windows_3B!$E$122:$E$100,"&gt;="&amp;B122,CBIC_Late_Fee_Relief_Windows_3B!$F$122:$F$100,"&lt;="&amp;C122,CBIC_Late_Fee_Relief_Windows_3B!$G$122:$G$100,"&gt;="&amp;C122)</f>
        <v/>
      </c>
      <c r="H122">
        <f>INDEX(CBIC_Late_Fee_Relief_Windows_3B!$I$122:$I$100,MATCH(G122,CBIC_Late_Fee_Relief_Windows_3B!$O$122:$O$100,0))</f>
        <v/>
      </c>
      <c r="I122">
        <f>MIN(F122,H122)</f>
        <v/>
      </c>
    </row>
    <row r="123">
      <c r="A123">
        <f>TEST_DATA!A123</f>
        <v/>
      </c>
      <c r="B123">
        <f>TEST_DATA!B123</f>
        <v/>
      </c>
      <c r="C123">
        <f>TEST_DATA!C123</f>
        <v/>
      </c>
      <c r="D123">
        <f>TEST_DATA!D123</f>
        <v/>
      </c>
      <c r="E123">
        <f>TEST_DATA!E123</f>
        <v/>
      </c>
      <c r="F123">
        <f>MIN(E123*12300,10000)</f>
        <v/>
      </c>
      <c r="G123">
        <f>MINIFS(CBIC_Late_Fee_Relief_Windows_3B!$O$123:$O$100,CBIC_Late_Fee_Relief_Windows_3B!$D$123:$D$100,"&lt;="&amp;B123,CBIC_Late_Fee_Relief_Windows_3B!$E$123:$E$100,"&gt;="&amp;B123,CBIC_Late_Fee_Relief_Windows_3B!$F$123:$F$100,"&lt;="&amp;C123,CBIC_Late_Fee_Relief_Windows_3B!$G$123:$G$100,"&gt;="&amp;C123)</f>
        <v/>
      </c>
      <c r="H123">
        <f>INDEX(CBIC_Late_Fee_Relief_Windows_3B!$I$123:$I$100,MATCH(G123,CBIC_Late_Fee_Relief_Windows_3B!$O$123:$O$100,0))</f>
        <v/>
      </c>
      <c r="I123">
        <f>MIN(F123,H123)</f>
        <v/>
      </c>
    </row>
    <row r="124">
      <c r="A124">
        <f>TEST_DATA!A124</f>
        <v/>
      </c>
      <c r="B124">
        <f>TEST_DATA!B124</f>
        <v/>
      </c>
      <c r="C124">
        <f>TEST_DATA!C124</f>
        <v/>
      </c>
      <c r="D124">
        <f>TEST_DATA!D124</f>
        <v/>
      </c>
      <c r="E124">
        <f>TEST_DATA!E124</f>
        <v/>
      </c>
      <c r="F124">
        <f>MIN(E124*12400,10000)</f>
        <v/>
      </c>
      <c r="G124">
        <f>MINIFS(CBIC_Late_Fee_Relief_Windows_3B!$O$124:$O$100,CBIC_Late_Fee_Relief_Windows_3B!$D$124:$D$100,"&lt;="&amp;B124,CBIC_Late_Fee_Relief_Windows_3B!$E$124:$E$100,"&gt;="&amp;B124,CBIC_Late_Fee_Relief_Windows_3B!$F$124:$F$100,"&lt;="&amp;C124,CBIC_Late_Fee_Relief_Windows_3B!$G$124:$G$100,"&gt;="&amp;C124)</f>
        <v/>
      </c>
      <c r="H124">
        <f>INDEX(CBIC_Late_Fee_Relief_Windows_3B!$I$124:$I$100,MATCH(G124,CBIC_Late_Fee_Relief_Windows_3B!$O$124:$O$100,0))</f>
        <v/>
      </c>
      <c r="I124">
        <f>MIN(F124,H124)</f>
        <v/>
      </c>
    </row>
    <row r="125">
      <c r="A125">
        <f>TEST_DATA!A125</f>
        <v/>
      </c>
      <c r="B125">
        <f>TEST_DATA!B125</f>
        <v/>
      </c>
      <c r="C125">
        <f>TEST_DATA!C125</f>
        <v/>
      </c>
      <c r="D125">
        <f>TEST_DATA!D125</f>
        <v/>
      </c>
      <c r="E125">
        <f>TEST_DATA!E125</f>
        <v/>
      </c>
      <c r="F125">
        <f>MIN(E125*12500,10000)</f>
        <v/>
      </c>
      <c r="G125">
        <f>MINIFS(CBIC_Late_Fee_Relief_Windows_3B!$O$125:$O$100,CBIC_Late_Fee_Relief_Windows_3B!$D$125:$D$100,"&lt;="&amp;B125,CBIC_Late_Fee_Relief_Windows_3B!$E$125:$E$100,"&gt;="&amp;B125,CBIC_Late_Fee_Relief_Windows_3B!$F$125:$F$100,"&lt;="&amp;C125,CBIC_Late_Fee_Relief_Windows_3B!$G$125:$G$100,"&gt;="&amp;C125)</f>
        <v/>
      </c>
      <c r="H125">
        <f>INDEX(CBIC_Late_Fee_Relief_Windows_3B!$I$125:$I$100,MATCH(G125,CBIC_Late_Fee_Relief_Windows_3B!$O$125:$O$100,0))</f>
        <v/>
      </c>
      <c r="I125">
        <f>MIN(F125,H125)</f>
        <v/>
      </c>
    </row>
    <row r="126">
      <c r="A126">
        <f>TEST_DATA!A126</f>
        <v/>
      </c>
      <c r="B126">
        <f>TEST_DATA!B126</f>
        <v/>
      </c>
      <c r="C126">
        <f>TEST_DATA!C126</f>
        <v/>
      </c>
      <c r="D126">
        <f>TEST_DATA!D126</f>
        <v/>
      </c>
      <c r="E126">
        <f>TEST_DATA!E126</f>
        <v/>
      </c>
      <c r="F126">
        <f>MIN(E126*12600,10000)</f>
        <v/>
      </c>
      <c r="G126">
        <f>MINIFS(CBIC_Late_Fee_Relief_Windows_3B!$O$126:$O$100,CBIC_Late_Fee_Relief_Windows_3B!$D$126:$D$100,"&lt;="&amp;B126,CBIC_Late_Fee_Relief_Windows_3B!$E$126:$E$100,"&gt;="&amp;B126,CBIC_Late_Fee_Relief_Windows_3B!$F$126:$F$100,"&lt;="&amp;C126,CBIC_Late_Fee_Relief_Windows_3B!$G$126:$G$100,"&gt;="&amp;C126)</f>
        <v/>
      </c>
      <c r="H126">
        <f>INDEX(CBIC_Late_Fee_Relief_Windows_3B!$I$126:$I$100,MATCH(G126,CBIC_Late_Fee_Relief_Windows_3B!$O$126:$O$100,0))</f>
        <v/>
      </c>
      <c r="I126">
        <f>MIN(F126,H126)</f>
        <v/>
      </c>
    </row>
    <row r="127">
      <c r="A127">
        <f>TEST_DATA!A127</f>
        <v/>
      </c>
      <c r="B127">
        <f>TEST_DATA!B127</f>
        <v/>
      </c>
      <c r="C127">
        <f>TEST_DATA!C127</f>
        <v/>
      </c>
      <c r="D127">
        <f>TEST_DATA!D127</f>
        <v/>
      </c>
      <c r="E127">
        <f>TEST_DATA!E127</f>
        <v/>
      </c>
      <c r="F127">
        <f>MIN(E127*12700,10000)</f>
        <v/>
      </c>
      <c r="G127">
        <f>MINIFS(CBIC_Late_Fee_Relief_Windows_3B!$O$127:$O$100,CBIC_Late_Fee_Relief_Windows_3B!$D$127:$D$100,"&lt;="&amp;B127,CBIC_Late_Fee_Relief_Windows_3B!$E$127:$E$100,"&gt;="&amp;B127,CBIC_Late_Fee_Relief_Windows_3B!$F$127:$F$100,"&lt;="&amp;C127,CBIC_Late_Fee_Relief_Windows_3B!$G$127:$G$100,"&gt;="&amp;C127)</f>
        <v/>
      </c>
      <c r="H127">
        <f>INDEX(CBIC_Late_Fee_Relief_Windows_3B!$I$127:$I$100,MATCH(G127,CBIC_Late_Fee_Relief_Windows_3B!$O$127:$O$100,0))</f>
        <v/>
      </c>
      <c r="I127">
        <f>MIN(F127,H127)</f>
        <v/>
      </c>
    </row>
    <row r="128">
      <c r="A128">
        <f>TEST_DATA!A128</f>
        <v/>
      </c>
      <c r="B128">
        <f>TEST_DATA!B128</f>
        <v/>
      </c>
      <c r="C128">
        <f>TEST_DATA!C128</f>
        <v/>
      </c>
      <c r="D128">
        <f>TEST_DATA!D128</f>
        <v/>
      </c>
      <c r="E128">
        <f>TEST_DATA!E128</f>
        <v/>
      </c>
      <c r="F128">
        <f>MIN(E128*12800,10000)</f>
        <v/>
      </c>
      <c r="G128">
        <f>MINIFS(CBIC_Late_Fee_Relief_Windows_3B!$O$128:$O$100,CBIC_Late_Fee_Relief_Windows_3B!$D$128:$D$100,"&lt;="&amp;B128,CBIC_Late_Fee_Relief_Windows_3B!$E$128:$E$100,"&gt;="&amp;B128,CBIC_Late_Fee_Relief_Windows_3B!$F$128:$F$100,"&lt;="&amp;C128,CBIC_Late_Fee_Relief_Windows_3B!$G$128:$G$100,"&gt;="&amp;C128)</f>
        <v/>
      </c>
      <c r="H128">
        <f>INDEX(CBIC_Late_Fee_Relief_Windows_3B!$I$128:$I$100,MATCH(G128,CBIC_Late_Fee_Relief_Windows_3B!$O$128:$O$100,0))</f>
        <v/>
      </c>
      <c r="I128">
        <f>MIN(F128,H128)</f>
        <v/>
      </c>
    </row>
    <row r="129">
      <c r="A129">
        <f>TEST_DATA!A129</f>
        <v/>
      </c>
      <c r="B129">
        <f>TEST_DATA!B129</f>
        <v/>
      </c>
      <c r="C129">
        <f>TEST_DATA!C129</f>
        <v/>
      </c>
      <c r="D129">
        <f>TEST_DATA!D129</f>
        <v/>
      </c>
      <c r="E129">
        <f>TEST_DATA!E129</f>
        <v/>
      </c>
      <c r="F129">
        <f>MIN(E129*12900,10000)</f>
        <v/>
      </c>
      <c r="G129">
        <f>MINIFS(CBIC_Late_Fee_Relief_Windows_3B!$O$129:$O$100,CBIC_Late_Fee_Relief_Windows_3B!$D$129:$D$100,"&lt;="&amp;B129,CBIC_Late_Fee_Relief_Windows_3B!$E$129:$E$100,"&gt;="&amp;B129,CBIC_Late_Fee_Relief_Windows_3B!$F$129:$F$100,"&lt;="&amp;C129,CBIC_Late_Fee_Relief_Windows_3B!$G$129:$G$100,"&gt;="&amp;C129)</f>
        <v/>
      </c>
      <c r="H129">
        <f>INDEX(CBIC_Late_Fee_Relief_Windows_3B!$I$129:$I$100,MATCH(G129,CBIC_Late_Fee_Relief_Windows_3B!$O$129:$O$100,0))</f>
        <v/>
      </c>
      <c r="I129">
        <f>MIN(F129,H129)</f>
        <v/>
      </c>
    </row>
    <row r="130">
      <c r="A130">
        <f>TEST_DATA!A130</f>
        <v/>
      </c>
      <c r="B130">
        <f>TEST_DATA!B130</f>
        <v/>
      </c>
      <c r="C130">
        <f>TEST_DATA!C130</f>
        <v/>
      </c>
      <c r="D130">
        <f>TEST_DATA!D130</f>
        <v/>
      </c>
      <c r="E130">
        <f>TEST_DATA!E130</f>
        <v/>
      </c>
      <c r="F130">
        <f>MIN(E130*13000,10000)</f>
        <v/>
      </c>
      <c r="G130">
        <f>MINIFS(CBIC_Late_Fee_Relief_Windows_3B!$O$130:$O$100,CBIC_Late_Fee_Relief_Windows_3B!$D$130:$D$100,"&lt;="&amp;B130,CBIC_Late_Fee_Relief_Windows_3B!$E$130:$E$100,"&gt;="&amp;B130,CBIC_Late_Fee_Relief_Windows_3B!$F$130:$F$100,"&lt;="&amp;C130,CBIC_Late_Fee_Relief_Windows_3B!$G$130:$G$100,"&gt;="&amp;C130)</f>
        <v/>
      </c>
      <c r="H130">
        <f>INDEX(CBIC_Late_Fee_Relief_Windows_3B!$I$130:$I$100,MATCH(G130,CBIC_Late_Fee_Relief_Windows_3B!$O$130:$O$100,0))</f>
        <v/>
      </c>
      <c r="I130">
        <f>MIN(F130,H130)</f>
        <v/>
      </c>
    </row>
    <row r="131">
      <c r="A131">
        <f>TEST_DATA!A131</f>
        <v/>
      </c>
      <c r="B131">
        <f>TEST_DATA!B131</f>
        <v/>
      </c>
      <c r="C131">
        <f>TEST_DATA!C131</f>
        <v/>
      </c>
      <c r="D131">
        <f>TEST_DATA!D131</f>
        <v/>
      </c>
      <c r="E131">
        <f>TEST_DATA!E131</f>
        <v/>
      </c>
      <c r="F131">
        <f>MIN(E131*13100,10000)</f>
        <v/>
      </c>
      <c r="G131">
        <f>MINIFS(CBIC_Late_Fee_Relief_Windows_3B!$O$131:$O$100,CBIC_Late_Fee_Relief_Windows_3B!$D$131:$D$100,"&lt;="&amp;B131,CBIC_Late_Fee_Relief_Windows_3B!$E$131:$E$100,"&gt;="&amp;B131,CBIC_Late_Fee_Relief_Windows_3B!$F$131:$F$100,"&lt;="&amp;C131,CBIC_Late_Fee_Relief_Windows_3B!$G$131:$G$100,"&gt;="&amp;C131)</f>
        <v/>
      </c>
      <c r="H131">
        <f>INDEX(CBIC_Late_Fee_Relief_Windows_3B!$I$131:$I$100,MATCH(G131,CBIC_Late_Fee_Relief_Windows_3B!$O$131:$O$100,0))</f>
        <v/>
      </c>
      <c r="I131">
        <f>MIN(F131,H131)</f>
        <v/>
      </c>
    </row>
    <row r="132">
      <c r="A132">
        <f>TEST_DATA!A132</f>
        <v/>
      </c>
      <c r="B132">
        <f>TEST_DATA!B132</f>
        <v/>
      </c>
      <c r="C132">
        <f>TEST_DATA!C132</f>
        <v/>
      </c>
      <c r="D132">
        <f>TEST_DATA!D132</f>
        <v/>
      </c>
      <c r="E132">
        <f>TEST_DATA!E132</f>
        <v/>
      </c>
      <c r="F132">
        <f>MIN(E132*13200,10000)</f>
        <v/>
      </c>
      <c r="G132">
        <f>MINIFS(CBIC_Late_Fee_Relief_Windows_3B!$O$132:$O$100,CBIC_Late_Fee_Relief_Windows_3B!$D$132:$D$100,"&lt;="&amp;B132,CBIC_Late_Fee_Relief_Windows_3B!$E$132:$E$100,"&gt;="&amp;B132,CBIC_Late_Fee_Relief_Windows_3B!$F$132:$F$100,"&lt;="&amp;C132,CBIC_Late_Fee_Relief_Windows_3B!$G$132:$G$100,"&gt;="&amp;C132)</f>
        <v/>
      </c>
      <c r="H132">
        <f>INDEX(CBIC_Late_Fee_Relief_Windows_3B!$I$132:$I$100,MATCH(G132,CBIC_Late_Fee_Relief_Windows_3B!$O$132:$O$100,0))</f>
        <v/>
      </c>
      <c r="I132">
        <f>MIN(F132,H132)</f>
        <v/>
      </c>
    </row>
    <row r="133">
      <c r="A133">
        <f>TEST_DATA!A133</f>
        <v/>
      </c>
      <c r="B133">
        <f>TEST_DATA!B133</f>
        <v/>
      </c>
      <c r="C133">
        <f>TEST_DATA!C133</f>
        <v/>
      </c>
      <c r="D133">
        <f>TEST_DATA!D133</f>
        <v/>
      </c>
      <c r="E133">
        <f>TEST_DATA!E133</f>
        <v/>
      </c>
      <c r="F133">
        <f>MIN(E133*13300,10000)</f>
        <v/>
      </c>
      <c r="G133">
        <f>MINIFS(CBIC_Late_Fee_Relief_Windows_3B!$O$133:$O$100,CBIC_Late_Fee_Relief_Windows_3B!$D$133:$D$100,"&lt;="&amp;B133,CBIC_Late_Fee_Relief_Windows_3B!$E$133:$E$100,"&gt;="&amp;B133,CBIC_Late_Fee_Relief_Windows_3B!$F$133:$F$100,"&lt;="&amp;C133,CBIC_Late_Fee_Relief_Windows_3B!$G$133:$G$100,"&gt;="&amp;C133)</f>
        <v/>
      </c>
      <c r="H133">
        <f>INDEX(CBIC_Late_Fee_Relief_Windows_3B!$I$133:$I$100,MATCH(G133,CBIC_Late_Fee_Relief_Windows_3B!$O$133:$O$100,0))</f>
        <v/>
      </c>
      <c r="I133">
        <f>MIN(F133,H133)</f>
        <v/>
      </c>
    </row>
    <row r="134">
      <c r="A134">
        <f>TEST_DATA!A134</f>
        <v/>
      </c>
      <c r="B134">
        <f>TEST_DATA!B134</f>
        <v/>
      </c>
      <c r="C134">
        <f>TEST_DATA!C134</f>
        <v/>
      </c>
      <c r="D134">
        <f>TEST_DATA!D134</f>
        <v/>
      </c>
      <c r="E134">
        <f>TEST_DATA!E134</f>
        <v/>
      </c>
      <c r="F134">
        <f>MIN(E134*13400,10000)</f>
        <v/>
      </c>
      <c r="G134">
        <f>MINIFS(CBIC_Late_Fee_Relief_Windows_3B!$O$134:$O$100,CBIC_Late_Fee_Relief_Windows_3B!$D$134:$D$100,"&lt;="&amp;B134,CBIC_Late_Fee_Relief_Windows_3B!$E$134:$E$100,"&gt;="&amp;B134,CBIC_Late_Fee_Relief_Windows_3B!$F$134:$F$100,"&lt;="&amp;C134,CBIC_Late_Fee_Relief_Windows_3B!$G$134:$G$100,"&gt;="&amp;C134)</f>
        <v/>
      </c>
      <c r="H134">
        <f>INDEX(CBIC_Late_Fee_Relief_Windows_3B!$I$134:$I$100,MATCH(G134,CBIC_Late_Fee_Relief_Windows_3B!$O$134:$O$100,0))</f>
        <v/>
      </c>
      <c r="I134">
        <f>MIN(F134,H134)</f>
        <v/>
      </c>
    </row>
    <row r="135">
      <c r="A135">
        <f>TEST_DATA!A135</f>
        <v/>
      </c>
      <c r="B135">
        <f>TEST_DATA!B135</f>
        <v/>
      </c>
      <c r="C135">
        <f>TEST_DATA!C135</f>
        <v/>
      </c>
      <c r="D135">
        <f>TEST_DATA!D135</f>
        <v/>
      </c>
      <c r="E135">
        <f>TEST_DATA!E135</f>
        <v/>
      </c>
      <c r="F135">
        <f>MIN(E135*13500,10000)</f>
        <v/>
      </c>
      <c r="G135">
        <f>MINIFS(CBIC_Late_Fee_Relief_Windows_3B!$O$135:$O$100,CBIC_Late_Fee_Relief_Windows_3B!$D$135:$D$100,"&lt;="&amp;B135,CBIC_Late_Fee_Relief_Windows_3B!$E$135:$E$100,"&gt;="&amp;B135,CBIC_Late_Fee_Relief_Windows_3B!$F$135:$F$100,"&lt;="&amp;C135,CBIC_Late_Fee_Relief_Windows_3B!$G$135:$G$100,"&gt;="&amp;C135)</f>
        <v/>
      </c>
      <c r="H135">
        <f>INDEX(CBIC_Late_Fee_Relief_Windows_3B!$I$135:$I$100,MATCH(G135,CBIC_Late_Fee_Relief_Windows_3B!$O$135:$O$100,0))</f>
        <v/>
      </c>
      <c r="I135">
        <f>MIN(F135,H135)</f>
        <v/>
      </c>
    </row>
    <row r="136">
      <c r="A136">
        <f>TEST_DATA!A136</f>
        <v/>
      </c>
      <c r="B136">
        <f>TEST_DATA!B136</f>
        <v/>
      </c>
      <c r="C136">
        <f>TEST_DATA!C136</f>
        <v/>
      </c>
      <c r="D136">
        <f>TEST_DATA!D136</f>
        <v/>
      </c>
      <c r="E136">
        <f>TEST_DATA!E136</f>
        <v/>
      </c>
      <c r="F136">
        <f>MIN(E136*13600,10000)</f>
        <v/>
      </c>
      <c r="G136">
        <f>MINIFS(CBIC_Late_Fee_Relief_Windows_3B!$O$136:$O$100,CBIC_Late_Fee_Relief_Windows_3B!$D$136:$D$100,"&lt;="&amp;B136,CBIC_Late_Fee_Relief_Windows_3B!$E$136:$E$100,"&gt;="&amp;B136,CBIC_Late_Fee_Relief_Windows_3B!$F$136:$F$100,"&lt;="&amp;C136,CBIC_Late_Fee_Relief_Windows_3B!$G$136:$G$100,"&gt;="&amp;C136)</f>
        <v/>
      </c>
      <c r="H136">
        <f>INDEX(CBIC_Late_Fee_Relief_Windows_3B!$I$136:$I$100,MATCH(G136,CBIC_Late_Fee_Relief_Windows_3B!$O$136:$O$100,0))</f>
        <v/>
      </c>
      <c r="I136">
        <f>MIN(F136,H136)</f>
        <v/>
      </c>
    </row>
    <row r="137">
      <c r="A137">
        <f>TEST_DATA!A137</f>
        <v/>
      </c>
      <c r="B137">
        <f>TEST_DATA!B137</f>
        <v/>
      </c>
      <c r="C137">
        <f>TEST_DATA!C137</f>
        <v/>
      </c>
      <c r="D137">
        <f>TEST_DATA!D137</f>
        <v/>
      </c>
      <c r="E137">
        <f>TEST_DATA!E137</f>
        <v/>
      </c>
      <c r="F137">
        <f>MIN(E137*13700,10000)</f>
        <v/>
      </c>
      <c r="G137">
        <f>MINIFS(CBIC_Late_Fee_Relief_Windows_3B!$O$137:$O$100,CBIC_Late_Fee_Relief_Windows_3B!$D$137:$D$100,"&lt;="&amp;B137,CBIC_Late_Fee_Relief_Windows_3B!$E$137:$E$100,"&gt;="&amp;B137,CBIC_Late_Fee_Relief_Windows_3B!$F$137:$F$100,"&lt;="&amp;C137,CBIC_Late_Fee_Relief_Windows_3B!$G$137:$G$100,"&gt;="&amp;C137)</f>
        <v/>
      </c>
      <c r="H137">
        <f>INDEX(CBIC_Late_Fee_Relief_Windows_3B!$I$137:$I$100,MATCH(G137,CBIC_Late_Fee_Relief_Windows_3B!$O$137:$O$100,0))</f>
        <v/>
      </c>
      <c r="I137">
        <f>MIN(F137,H137)</f>
        <v/>
      </c>
    </row>
    <row r="138">
      <c r="A138">
        <f>TEST_DATA!A138</f>
        <v/>
      </c>
      <c r="B138">
        <f>TEST_DATA!B138</f>
        <v/>
      </c>
      <c r="C138">
        <f>TEST_DATA!C138</f>
        <v/>
      </c>
      <c r="D138">
        <f>TEST_DATA!D138</f>
        <v/>
      </c>
      <c r="E138">
        <f>TEST_DATA!E138</f>
        <v/>
      </c>
      <c r="F138">
        <f>MIN(E138*13800,10000)</f>
        <v/>
      </c>
      <c r="G138">
        <f>MINIFS(CBIC_Late_Fee_Relief_Windows_3B!$O$138:$O$100,CBIC_Late_Fee_Relief_Windows_3B!$D$138:$D$100,"&lt;="&amp;B138,CBIC_Late_Fee_Relief_Windows_3B!$E$138:$E$100,"&gt;="&amp;B138,CBIC_Late_Fee_Relief_Windows_3B!$F$138:$F$100,"&lt;="&amp;C138,CBIC_Late_Fee_Relief_Windows_3B!$G$138:$G$100,"&gt;="&amp;C138)</f>
        <v/>
      </c>
      <c r="H138">
        <f>INDEX(CBIC_Late_Fee_Relief_Windows_3B!$I$138:$I$100,MATCH(G138,CBIC_Late_Fee_Relief_Windows_3B!$O$138:$O$100,0))</f>
        <v/>
      </c>
      <c r="I138">
        <f>MIN(F138,H138)</f>
        <v/>
      </c>
    </row>
    <row r="139">
      <c r="A139">
        <f>TEST_DATA!A139</f>
        <v/>
      </c>
      <c r="B139">
        <f>TEST_DATA!B139</f>
        <v/>
      </c>
      <c r="C139">
        <f>TEST_DATA!C139</f>
        <v/>
      </c>
      <c r="D139">
        <f>TEST_DATA!D139</f>
        <v/>
      </c>
      <c r="E139">
        <f>TEST_DATA!E139</f>
        <v/>
      </c>
      <c r="F139">
        <f>MIN(E139*13900,10000)</f>
        <v/>
      </c>
      <c r="G139">
        <f>MINIFS(CBIC_Late_Fee_Relief_Windows_3B!$O$139:$O$100,CBIC_Late_Fee_Relief_Windows_3B!$D$139:$D$100,"&lt;="&amp;B139,CBIC_Late_Fee_Relief_Windows_3B!$E$139:$E$100,"&gt;="&amp;B139,CBIC_Late_Fee_Relief_Windows_3B!$F$139:$F$100,"&lt;="&amp;C139,CBIC_Late_Fee_Relief_Windows_3B!$G$139:$G$100,"&gt;="&amp;C139)</f>
        <v/>
      </c>
      <c r="H139">
        <f>INDEX(CBIC_Late_Fee_Relief_Windows_3B!$I$139:$I$100,MATCH(G139,CBIC_Late_Fee_Relief_Windows_3B!$O$139:$O$100,0))</f>
        <v/>
      </c>
      <c r="I139">
        <f>MIN(F139,H139)</f>
        <v/>
      </c>
    </row>
    <row r="140">
      <c r="A140">
        <f>TEST_DATA!A140</f>
        <v/>
      </c>
      <c r="B140">
        <f>TEST_DATA!B140</f>
        <v/>
      </c>
      <c r="C140">
        <f>TEST_DATA!C140</f>
        <v/>
      </c>
      <c r="D140">
        <f>TEST_DATA!D140</f>
        <v/>
      </c>
      <c r="E140">
        <f>TEST_DATA!E140</f>
        <v/>
      </c>
      <c r="F140">
        <f>MIN(E140*14000,10000)</f>
        <v/>
      </c>
      <c r="G140">
        <f>MINIFS(CBIC_Late_Fee_Relief_Windows_3B!$O$140:$O$100,CBIC_Late_Fee_Relief_Windows_3B!$D$140:$D$100,"&lt;="&amp;B140,CBIC_Late_Fee_Relief_Windows_3B!$E$140:$E$100,"&gt;="&amp;B140,CBIC_Late_Fee_Relief_Windows_3B!$F$140:$F$100,"&lt;="&amp;C140,CBIC_Late_Fee_Relief_Windows_3B!$G$140:$G$100,"&gt;="&amp;C140)</f>
        <v/>
      </c>
      <c r="H140">
        <f>INDEX(CBIC_Late_Fee_Relief_Windows_3B!$I$140:$I$100,MATCH(G140,CBIC_Late_Fee_Relief_Windows_3B!$O$140:$O$100,0))</f>
        <v/>
      </c>
      <c r="I140">
        <f>MIN(F140,H140)</f>
        <v/>
      </c>
    </row>
    <row r="141">
      <c r="A141">
        <f>TEST_DATA!A141</f>
        <v/>
      </c>
      <c r="B141">
        <f>TEST_DATA!B141</f>
        <v/>
      </c>
      <c r="C141">
        <f>TEST_DATA!C141</f>
        <v/>
      </c>
      <c r="D141">
        <f>TEST_DATA!D141</f>
        <v/>
      </c>
      <c r="E141">
        <f>TEST_DATA!E141</f>
        <v/>
      </c>
      <c r="F141">
        <f>MIN(E141*14100,10000)</f>
        <v/>
      </c>
      <c r="G141">
        <f>MINIFS(CBIC_Late_Fee_Relief_Windows_3B!$O$141:$O$100,CBIC_Late_Fee_Relief_Windows_3B!$D$141:$D$100,"&lt;="&amp;B141,CBIC_Late_Fee_Relief_Windows_3B!$E$141:$E$100,"&gt;="&amp;B141,CBIC_Late_Fee_Relief_Windows_3B!$F$141:$F$100,"&lt;="&amp;C141,CBIC_Late_Fee_Relief_Windows_3B!$G$141:$G$100,"&gt;="&amp;C141)</f>
        <v/>
      </c>
      <c r="H141">
        <f>INDEX(CBIC_Late_Fee_Relief_Windows_3B!$I$141:$I$100,MATCH(G141,CBIC_Late_Fee_Relief_Windows_3B!$O$141:$O$100,0))</f>
        <v/>
      </c>
      <c r="I141">
        <f>MIN(F141,H141)</f>
        <v/>
      </c>
    </row>
    <row r="142">
      <c r="A142">
        <f>TEST_DATA!A142</f>
        <v/>
      </c>
      <c r="B142">
        <f>TEST_DATA!B142</f>
        <v/>
      </c>
      <c r="C142">
        <f>TEST_DATA!C142</f>
        <v/>
      </c>
      <c r="D142">
        <f>TEST_DATA!D142</f>
        <v/>
      </c>
      <c r="E142">
        <f>TEST_DATA!E142</f>
        <v/>
      </c>
      <c r="F142">
        <f>MIN(E142*14200,10000)</f>
        <v/>
      </c>
      <c r="G142">
        <f>MINIFS(CBIC_Late_Fee_Relief_Windows_3B!$O$142:$O$100,CBIC_Late_Fee_Relief_Windows_3B!$D$142:$D$100,"&lt;="&amp;B142,CBIC_Late_Fee_Relief_Windows_3B!$E$142:$E$100,"&gt;="&amp;B142,CBIC_Late_Fee_Relief_Windows_3B!$F$142:$F$100,"&lt;="&amp;C142,CBIC_Late_Fee_Relief_Windows_3B!$G$142:$G$100,"&gt;="&amp;C142)</f>
        <v/>
      </c>
      <c r="H142">
        <f>INDEX(CBIC_Late_Fee_Relief_Windows_3B!$I$142:$I$100,MATCH(G142,CBIC_Late_Fee_Relief_Windows_3B!$O$142:$O$100,0))</f>
        <v/>
      </c>
      <c r="I142">
        <f>MIN(F142,H142)</f>
        <v/>
      </c>
    </row>
    <row r="143">
      <c r="A143">
        <f>TEST_DATA!A143</f>
        <v/>
      </c>
      <c r="B143">
        <f>TEST_DATA!B143</f>
        <v/>
      </c>
      <c r="C143">
        <f>TEST_DATA!C143</f>
        <v/>
      </c>
      <c r="D143">
        <f>TEST_DATA!D143</f>
        <v/>
      </c>
      <c r="E143">
        <f>TEST_DATA!E143</f>
        <v/>
      </c>
      <c r="F143">
        <f>MIN(E143*14300,10000)</f>
        <v/>
      </c>
      <c r="G143">
        <f>MINIFS(CBIC_Late_Fee_Relief_Windows_3B!$O$143:$O$100,CBIC_Late_Fee_Relief_Windows_3B!$D$143:$D$100,"&lt;="&amp;B143,CBIC_Late_Fee_Relief_Windows_3B!$E$143:$E$100,"&gt;="&amp;B143,CBIC_Late_Fee_Relief_Windows_3B!$F$143:$F$100,"&lt;="&amp;C143,CBIC_Late_Fee_Relief_Windows_3B!$G$143:$G$100,"&gt;="&amp;C143)</f>
        <v/>
      </c>
      <c r="H143">
        <f>INDEX(CBIC_Late_Fee_Relief_Windows_3B!$I$143:$I$100,MATCH(G143,CBIC_Late_Fee_Relief_Windows_3B!$O$143:$O$100,0))</f>
        <v/>
      </c>
      <c r="I143">
        <f>MIN(F143,H143)</f>
        <v/>
      </c>
    </row>
    <row r="144">
      <c r="A144">
        <f>TEST_DATA!A144</f>
        <v/>
      </c>
      <c r="B144">
        <f>TEST_DATA!B144</f>
        <v/>
      </c>
      <c r="C144">
        <f>TEST_DATA!C144</f>
        <v/>
      </c>
      <c r="D144">
        <f>TEST_DATA!D144</f>
        <v/>
      </c>
      <c r="E144">
        <f>TEST_DATA!E144</f>
        <v/>
      </c>
      <c r="F144">
        <f>MIN(E144*14400,10000)</f>
        <v/>
      </c>
      <c r="G144">
        <f>MINIFS(CBIC_Late_Fee_Relief_Windows_3B!$O$144:$O$100,CBIC_Late_Fee_Relief_Windows_3B!$D$144:$D$100,"&lt;="&amp;B144,CBIC_Late_Fee_Relief_Windows_3B!$E$144:$E$100,"&gt;="&amp;B144,CBIC_Late_Fee_Relief_Windows_3B!$F$144:$F$100,"&lt;="&amp;C144,CBIC_Late_Fee_Relief_Windows_3B!$G$144:$G$100,"&gt;="&amp;C144)</f>
        <v/>
      </c>
      <c r="H144">
        <f>INDEX(CBIC_Late_Fee_Relief_Windows_3B!$I$144:$I$100,MATCH(G144,CBIC_Late_Fee_Relief_Windows_3B!$O$144:$O$100,0))</f>
        <v/>
      </c>
      <c r="I144">
        <f>MIN(F144,H144)</f>
        <v/>
      </c>
    </row>
    <row r="145">
      <c r="A145">
        <f>TEST_DATA!A145</f>
        <v/>
      </c>
      <c r="B145">
        <f>TEST_DATA!B145</f>
        <v/>
      </c>
      <c r="C145">
        <f>TEST_DATA!C145</f>
        <v/>
      </c>
      <c r="D145">
        <f>TEST_DATA!D145</f>
        <v/>
      </c>
      <c r="E145">
        <f>TEST_DATA!E145</f>
        <v/>
      </c>
      <c r="F145">
        <f>MIN(E145*14500,10000)</f>
        <v/>
      </c>
      <c r="G145">
        <f>MINIFS(CBIC_Late_Fee_Relief_Windows_3B!$O$145:$O$100,CBIC_Late_Fee_Relief_Windows_3B!$D$145:$D$100,"&lt;="&amp;B145,CBIC_Late_Fee_Relief_Windows_3B!$E$145:$E$100,"&gt;="&amp;B145,CBIC_Late_Fee_Relief_Windows_3B!$F$145:$F$100,"&lt;="&amp;C145,CBIC_Late_Fee_Relief_Windows_3B!$G$145:$G$100,"&gt;="&amp;C145)</f>
        <v/>
      </c>
      <c r="H145">
        <f>INDEX(CBIC_Late_Fee_Relief_Windows_3B!$I$145:$I$100,MATCH(G145,CBIC_Late_Fee_Relief_Windows_3B!$O$145:$O$100,0))</f>
        <v/>
      </c>
      <c r="I145">
        <f>MIN(F145,H145)</f>
        <v/>
      </c>
    </row>
    <row r="146">
      <c r="A146">
        <f>TEST_DATA!A146</f>
        <v/>
      </c>
      <c r="B146">
        <f>TEST_DATA!B146</f>
        <v/>
      </c>
      <c r="C146">
        <f>TEST_DATA!C146</f>
        <v/>
      </c>
      <c r="D146">
        <f>TEST_DATA!D146</f>
        <v/>
      </c>
      <c r="E146">
        <f>TEST_DATA!E146</f>
        <v/>
      </c>
      <c r="F146">
        <f>MIN(E146*14600,10000)</f>
        <v/>
      </c>
      <c r="G146">
        <f>MINIFS(CBIC_Late_Fee_Relief_Windows_3B!$O$146:$O$100,CBIC_Late_Fee_Relief_Windows_3B!$D$146:$D$100,"&lt;="&amp;B146,CBIC_Late_Fee_Relief_Windows_3B!$E$146:$E$100,"&gt;="&amp;B146,CBIC_Late_Fee_Relief_Windows_3B!$F$146:$F$100,"&lt;="&amp;C146,CBIC_Late_Fee_Relief_Windows_3B!$G$146:$G$100,"&gt;="&amp;C146)</f>
        <v/>
      </c>
      <c r="H146">
        <f>INDEX(CBIC_Late_Fee_Relief_Windows_3B!$I$146:$I$100,MATCH(G146,CBIC_Late_Fee_Relief_Windows_3B!$O$146:$O$100,0))</f>
        <v/>
      </c>
      <c r="I146">
        <f>MIN(F146,H146)</f>
        <v/>
      </c>
    </row>
    <row r="147">
      <c r="A147">
        <f>TEST_DATA!A147</f>
        <v/>
      </c>
      <c r="B147">
        <f>TEST_DATA!B147</f>
        <v/>
      </c>
      <c r="C147">
        <f>TEST_DATA!C147</f>
        <v/>
      </c>
      <c r="D147">
        <f>TEST_DATA!D147</f>
        <v/>
      </c>
      <c r="E147">
        <f>TEST_DATA!E147</f>
        <v/>
      </c>
      <c r="F147">
        <f>MIN(E147*14700,10000)</f>
        <v/>
      </c>
      <c r="G147">
        <f>MINIFS(CBIC_Late_Fee_Relief_Windows_3B!$O$147:$O$100,CBIC_Late_Fee_Relief_Windows_3B!$D$147:$D$100,"&lt;="&amp;B147,CBIC_Late_Fee_Relief_Windows_3B!$E$147:$E$100,"&gt;="&amp;B147,CBIC_Late_Fee_Relief_Windows_3B!$F$147:$F$100,"&lt;="&amp;C147,CBIC_Late_Fee_Relief_Windows_3B!$G$147:$G$100,"&gt;="&amp;C147)</f>
        <v/>
      </c>
      <c r="H147">
        <f>INDEX(CBIC_Late_Fee_Relief_Windows_3B!$I$147:$I$100,MATCH(G147,CBIC_Late_Fee_Relief_Windows_3B!$O$147:$O$100,0))</f>
        <v/>
      </c>
      <c r="I147">
        <f>MIN(F147,H147)</f>
        <v/>
      </c>
    </row>
    <row r="148">
      <c r="A148">
        <f>TEST_DATA!A148</f>
        <v/>
      </c>
      <c r="B148">
        <f>TEST_DATA!B148</f>
        <v/>
      </c>
      <c r="C148">
        <f>TEST_DATA!C148</f>
        <v/>
      </c>
      <c r="D148">
        <f>TEST_DATA!D148</f>
        <v/>
      </c>
      <c r="E148">
        <f>TEST_DATA!E148</f>
        <v/>
      </c>
      <c r="F148">
        <f>MIN(E148*14800,10000)</f>
        <v/>
      </c>
      <c r="G148">
        <f>MINIFS(CBIC_Late_Fee_Relief_Windows_3B!$O$148:$O$100,CBIC_Late_Fee_Relief_Windows_3B!$D$148:$D$100,"&lt;="&amp;B148,CBIC_Late_Fee_Relief_Windows_3B!$E$148:$E$100,"&gt;="&amp;B148,CBIC_Late_Fee_Relief_Windows_3B!$F$148:$F$100,"&lt;="&amp;C148,CBIC_Late_Fee_Relief_Windows_3B!$G$148:$G$100,"&gt;="&amp;C148)</f>
        <v/>
      </c>
      <c r="H148">
        <f>INDEX(CBIC_Late_Fee_Relief_Windows_3B!$I$148:$I$100,MATCH(G148,CBIC_Late_Fee_Relief_Windows_3B!$O$148:$O$100,0))</f>
        <v/>
      </c>
      <c r="I148">
        <f>MIN(F148,H148)</f>
        <v/>
      </c>
    </row>
    <row r="149">
      <c r="A149">
        <f>TEST_DATA!A149</f>
        <v/>
      </c>
      <c r="B149">
        <f>TEST_DATA!B149</f>
        <v/>
      </c>
      <c r="C149">
        <f>TEST_DATA!C149</f>
        <v/>
      </c>
      <c r="D149">
        <f>TEST_DATA!D149</f>
        <v/>
      </c>
      <c r="E149">
        <f>TEST_DATA!E149</f>
        <v/>
      </c>
      <c r="F149">
        <f>MIN(E149*14900,10000)</f>
        <v/>
      </c>
      <c r="G149">
        <f>MINIFS(CBIC_Late_Fee_Relief_Windows_3B!$O$149:$O$100,CBIC_Late_Fee_Relief_Windows_3B!$D$149:$D$100,"&lt;="&amp;B149,CBIC_Late_Fee_Relief_Windows_3B!$E$149:$E$100,"&gt;="&amp;B149,CBIC_Late_Fee_Relief_Windows_3B!$F$149:$F$100,"&lt;="&amp;C149,CBIC_Late_Fee_Relief_Windows_3B!$G$149:$G$100,"&gt;="&amp;C149)</f>
        <v/>
      </c>
      <c r="H149">
        <f>INDEX(CBIC_Late_Fee_Relief_Windows_3B!$I$149:$I$100,MATCH(G149,CBIC_Late_Fee_Relief_Windows_3B!$O$149:$O$100,0))</f>
        <v/>
      </c>
      <c r="I149">
        <f>MIN(F149,H149)</f>
        <v/>
      </c>
    </row>
    <row r="150">
      <c r="A150">
        <f>TEST_DATA!A150</f>
        <v/>
      </c>
      <c r="B150">
        <f>TEST_DATA!B150</f>
        <v/>
      </c>
      <c r="C150">
        <f>TEST_DATA!C150</f>
        <v/>
      </c>
      <c r="D150">
        <f>TEST_DATA!D150</f>
        <v/>
      </c>
      <c r="E150">
        <f>TEST_DATA!E150</f>
        <v/>
      </c>
      <c r="F150">
        <f>MIN(E150*15000,10000)</f>
        <v/>
      </c>
      <c r="G150">
        <f>MINIFS(CBIC_Late_Fee_Relief_Windows_3B!$O$150:$O$100,CBIC_Late_Fee_Relief_Windows_3B!$D$150:$D$100,"&lt;="&amp;B150,CBIC_Late_Fee_Relief_Windows_3B!$E$150:$E$100,"&gt;="&amp;B150,CBIC_Late_Fee_Relief_Windows_3B!$F$150:$F$100,"&lt;="&amp;C150,CBIC_Late_Fee_Relief_Windows_3B!$G$150:$G$100,"&gt;="&amp;C150)</f>
        <v/>
      </c>
      <c r="H150">
        <f>INDEX(CBIC_Late_Fee_Relief_Windows_3B!$I$150:$I$100,MATCH(G150,CBIC_Late_Fee_Relief_Windows_3B!$O$150:$O$100,0))</f>
        <v/>
      </c>
      <c r="I150">
        <f>MIN(F150,H150)</f>
        <v/>
      </c>
    </row>
    <row r="151">
      <c r="A151">
        <f>TEST_DATA!A151</f>
        <v/>
      </c>
      <c r="B151">
        <f>TEST_DATA!B151</f>
        <v/>
      </c>
      <c r="C151">
        <f>TEST_DATA!C151</f>
        <v/>
      </c>
      <c r="D151">
        <f>TEST_DATA!D151</f>
        <v/>
      </c>
      <c r="E151">
        <f>TEST_DATA!E151</f>
        <v/>
      </c>
      <c r="F151">
        <f>MIN(E151*15100,10000)</f>
        <v/>
      </c>
      <c r="G151">
        <f>MINIFS(CBIC_Late_Fee_Relief_Windows_3B!$O$151:$O$100,CBIC_Late_Fee_Relief_Windows_3B!$D$151:$D$100,"&lt;="&amp;B151,CBIC_Late_Fee_Relief_Windows_3B!$E$151:$E$100,"&gt;="&amp;B151,CBIC_Late_Fee_Relief_Windows_3B!$F$151:$F$100,"&lt;="&amp;C151,CBIC_Late_Fee_Relief_Windows_3B!$G$151:$G$100,"&gt;="&amp;C151)</f>
        <v/>
      </c>
      <c r="H151">
        <f>INDEX(CBIC_Late_Fee_Relief_Windows_3B!$I$151:$I$100,MATCH(G151,CBIC_Late_Fee_Relief_Windows_3B!$O$151:$O$100,0))</f>
        <v/>
      </c>
      <c r="I151">
        <f>MIN(F151,H151)</f>
        <v/>
      </c>
    </row>
    <row r="152">
      <c r="A152">
        <f>TEST_DATA!A152</f>
        <v/>
      </c>
      <c r="B152">
        <f>TEST_DATA!B152</f>
        <v/>
      </c>
      <c r="C152">
        <f>TEST_DATA!C152</f>
        <v/>
      </c>
      <c r="D152">
        <f>TEST_DATA!D152</f>
        <v/>
      </c>
      <c r="E152">
        <f>TEST_DATA!E152</f>
        <v/>
      </c>
      <c r="F152">
        <f>MIN(E152*15200,10000)</f>
        <v/>
      </c>
      <c r="G152">
        <f>MINIFS(CBIC_Late_Fee_Relief_Windows_3B!$O$152:$O$100,CBIC_Late_Fee_Relief_Windows_3B!$D$152:$D$100,"&lt;="&amp;B152,CBIC_Late_Fee_Relief_Windows_3B!$E$152:$E$100,"&gt;="&amp;B152,CBIC_Late_Fee_Relief_Windows_3B!$F$152:$F$100,"&lt;="&amp;C152,CBIC_Late_Fee_Relief_Windows_3B!$G$152:$G$100,"&gt;="&amp;C152)</f>
        <v/>
      </c>
      <c r="H152">
        <f>INDEX(CBIC_Late_Fee_Relief_Windows_3B!$I$152:$I$100,MATCH(G152,CBIC_Late_Fee_Relief_Windows_3B!$O$152:$O$100,0))</f>
        <v/>
      </c>
      <c r="I152">
        <f>MIN(F152,H152)</f>
        <v/>
      </c>
    </row>
    <row r="153">
      <c r="A153">
        <f>TEST_DATA!A153</f>
        <v/>
      </c>
      <c r="B153">
        <f>TEST_DATA!B153</f>
        <v/>
      </c>
      <c r="C153">
        <f>TEST_DATA!C153</f>
        <v/>
      </c>
      <c r="D153">
        <f>TEST_DATA!D153</f>
        <v/>
      </c>
      <c r="E153">
        <f>TEST_DATA!E153</f>
        <v/>
      </c>
      <c r="F153">
        <f>MIN(E153*15300,10000)</f>
        <v/>
      </c>
      <c r="G153">
        <f>MINIFS(CBIC_Late_Fee_Relief_Windows_3B!$O$153:$O$100,CBIC_Late_Fee_Relief_Windows_3B!$D$153:$D$100,"&lt;="&amp;B153,CBIC_Late_Fee_Relief_Windows_3B!$E$153:$E$100,"&gt;="&amp;B153,CBIC_Late_Fee_Relief_Windows_3B!$F$153:$F$100,"&lt;="&amp;C153,CBIC_Late_Fee_Relief_Windows_3B!$G$153:$G$100,"&gt;="&amp;C153)</f>
        <v/>
      </c>
      <c r="H153">
        <f>INDEX(CBIC_Late_Fee_Relief_Windows_3B!$I$153:$I$100,MATCH(G153,CBIC_Late_Fee_Relief_Windows_3B!$O$153:$O$100,0))</f>
        <v/>
      </c>
      <c r="I153">
        <f>MIN(F153,H153)</f>
        <v/>
      </c>
    </row>
    <row r="154">
      <c r="A154">
        <f>TEST_DATA!A154</f>
        <v/>
      </c>
      <c r="B154">
        <f>TEST_DATA!B154</f>
        <v/>
      </c>
      <c r="C154">
        <f>TEST_DATA!C154</f>
        <v/>
      </c>
      <c r="D154">
        <f>TEST_DATA!D154</f>
        <v/>
      </c>
      <c r="E154">
        <f>TEST_DATA!E154</f>
        <v/>
      </c>
      <c r="F154">
        <f>MIN(E154*15400,10000)</f>
        <v/>
      </c>
      <c r="G154">
        <f>MINIFS(CBIC_Late_Fee_Relief_Windows_3B!$O$154:$O$100,CBIC_Late_Fee_Relief_Windows_3B!$D$154:$D$100,"&lt;="&amp;B154,CBIC_Late_Fee_Relief_Windows_3B!$E$154:$E$100,"&gt;="&amp;B154,CBIC_Late_Fee_Relief_Windows_3B!$F$154:$F$100,"&lt;="&amp;C154,CBIC_Late_Fee_Relief_Windows_3B!$G$154:$G$100,"&gt;="&amp;C154)</f>
        <v/>
      </c>
      <c r="H154">
        <f>INDEX(CBIC_Late_Fee_Relief_Windows_3B!$I$154:$I$100,MATCH(G154,CBIC_Late_Fee_Relief_Windows_3B!$O$154:$O$100,0))</f>
        <v/>
      </c>
      <c r="I154">
        <f>MIN(F154,H154)</f>
        <v/>
      </c>
    </row>
    <row r="155">
      <c r="A155">
        <f>TEST_DATA!A155</f>
        <v/>
      </c>
      <c r="B155">
        <f>TEST_DATA!B155</f>
        <v/>
      </c>
      <c r="C155">
        <f>TEST_DATA!C155</f>
        <v/>
      </c>
      <c r="D155">
        <f>TEST_DATA!D155</f>
        <v/>
      </c>
      <c r="E155">
        <f>TEST_DATA!E155</f>
        <v/>
      </c>
      <c r="F155">
        <f>MIN(E155*15500,10000)</f>
        <v/>
      </c>
      <c r="G155">
        <f>MINIFS(CBIC_Late_Fee_Relief_Windows_3B!$O$155:$O$100,CBIC_Late_Fee_Relief_Windows_3B!$D$155:$D$100,"&lt;="&amp;B155,CBIC_Late_Fee_Relief_Windows_3B!$E$155:$E$100,"&gt;="&amp;B155,CBIC_Late_Fee_Relief_Windows_3B!$F$155:$F$100,"&lt;="&amp;C155,CBIC_Late_Fee_Relief_Windows_3B!$G$155:$G$100,"&gt;="&amp;C155)</f>
        <v/>
      </c>
      <c r="H155">
        <f>INDEX(CBIC_Late_Fee_Relief_Windows_3B!$I$155:$I$100,MATCH(G155,CBIC_Late_Fee_Relief_Windows_3B!$O$155:$O$100,0))</f>
        <v/>
      </c>
      <c r="I155">
        <f>MIN(F155,H155)</f>
        <v/>
      </c>
    </row>
    <row r="156">
      <c r="A156">
        <f>TEST_DATA!A156</f>
        <v/>
      </c>
      <c r="B156">
        <f>TEST_DATA!B156</f>
        <v/>
      </c>
      <c r="C156">
        <f>TEST_DATA!C156</f>
        <v/>
      </c>
      <c r="D156">
        <f>TEST_DATA!D156</f>
        <v/>
      </c>
      <c r="E156">
        <f>TEST_DATA!E156</f>
        <v/>
      </c>
      <c r="F156">
        <f>MIN(E156*15600,10000)</f>
        <v/>
      </c>
      <c r="G156">
        <f>MINIFS(CBIC_Late_Fee_Relief_Windows_3B!$O$156:$O$100,CBIC_Late_Fee_Relief_Windows_3B!$D$156:$D$100,"&lt;="&amp;B156,CBIC_Late_Fee_Relief_Windows_3B!$E$156:$E$100,"&gt;="&amp;B156,CBIC_Late_Fee_Relief_Windows_3B!$F$156:$F$100,"&lt;="&amp;C156,CBIC_Late_Fee_Relief_Windows_3B!$G$156:$G$100,"&gt;="&amp;C156)</f>
        <v/>
      </c>
      <c r="H156">
        <f>INDEX(CBIC_Late_Fee_Relief_Windows_3B!$I$156:$I$100,MATCH(G156,CBIC_Late_Fee_Relief_Windows_3B!$O$156:$O$100,0))</f>
        <v/>
      </c>
      <c r="I156">
        <f>MIN(F156,H156)</f>
        <v/>
      </c>
    </row>
    <row r="157">
      <c r="A157">
        <f>TEST_DATA!A157</f>
        <v/>
      </c>
      <c r="B157">
        <f>TEST_DATA!B157</f>
        <v/>
      </c>
      <c r="C157">
        <f>TEST_DATA!C157</f>
        <v/>
      </c>
      <c r="D157">
        <f>TEST_DATA!D157</f>
        <v/>
      </c>
      <c r="E157">
        <f>TEST_DATA!E157</f>
        <v/>
      </c>
      <c r="F157">
        <f>MIN(E157*15700,10000)</f>
        <v/>
      </c>
      <c r="G157">
        <f>MINIFS(CBIC_Late_Fee_Relief_Windows_3B!$O$157:$O$100,CBIC_Late_Fee_Relief_Windows_3B!$D$157:$D$100,"&lt;="&amp;B157,CBIC_Late_Fee_Relief_Windows_3B!$E$157:$E$100,"&gt;="&amp;B157,CBIC_Late_Fee_Relief_Windows_3B!$F$157:$F$100,"&lt;="&amp;C157,CBIC_Late_Fee_Relief_Windows_3B!$G$157:$G$100,"&gt;="&amp;C157)</f>
        <v/>
      </c>
      <c r="H157">
        <f>INDEX(CBIC_Late_Fee_Relief_Windows_3B!$I$157:$I$100,MATCH(G157,CBIC_Late_Fee_Relief_Windows_3B!$O$157:$O$100,0))</f>
        <v/>
      </c>
      <c r="I157">
        <f>MIN(F157,H157)</f>
        <v/>
      </c>
    </row>
    <row r="158">
      <c r="A158">
        <f>TEST_DATA!A158</f>
        <v/>
      </c>
      <c r="B158">
        <f>TEST_DATA!B158</f>
        <v/>
      </c>
      <c r="C158">
        <f>TEST_DATA!C158</f>
        <v/>
      </c>
      <c r="D158">
        <f>TEST_DATA!D158</f>
        <v/>
      </c>
      <c r="E158">
        <f>TEST_DATA!E158</f>
        <v/>
      </c>
      <c r="F158">
        <f>MIN(E158*15800,10000)</f>
        <v/>
      </c>
      <c r="G158">
        <f>MINIFS(CBIC_Late_Fee_Relief_Windows_3B!$O$158:$O$100,CBIC_Late_Fee_Relief_Windows_3B!$D$158:$D$100,"&lt;="&amp;B158,CBIC_Late_Fee_Relief_Windows_3B!$E$158:$E$100,"&gt;="&amp;B158,CBIC_Late_Fee_Relief_Windows_3B!$F$158:$F$100,"&lt;="&amp;C158,CBIC_Late_Fee_Relief_Windows_3B!$G$158:$G$100,"&gt;="&amp;C158)</f>
        <v/>
      </c>
      <c r="H158">
        <f>INDEX(CBIC_Late_Fee_Relief_Windows_3B!$I$158:$I$100,MATCH(G158,CBIC_Late_Fee_Relief_Windows_3B!$O$158:$O$100,0))</f>
        <v/>
      </c>
      <c r="I158">
        <f>MIN(F158,H158)</f>
        <v/>
      </c>
    </row>
    <row r="159">
      <c r="A159">
        <f>TEST_DATA!A159</f>
        <v/>
      </c>
      <c r="B159">
        <f>TEST_DATA!B159</f>
        <v/>
      </c>
      <c r="C159">
        <f>TEST_DATA!C159</f>
        <v/>
      </c>
      <c r="D159">
        <f>TEST_DATA!D159</f>
        <v/>
      </c>
      <c r="E159">
        <f>TEST_DATA!E159</f>
        <v/>
      </c>
      <c r="F159">
        <f>MIN(E159*15900,10000)</f>
        <v/>
      </c>
      <c r="G159">
        <f>MINIFS(CBIC_Late_Fee_Relief_Windows_3B!$O$159:$O$100,CBIC_Late_Fee_Relief_Windows_3B!$D$159:$D$100,"&lt;="&amp;B159,CBIC_Late_Fee_Relief_Windows_3B!$E$159:$E$100,"&gt;="&amp;B159,CBIC_Late_Fee_Relief_Windows_3B!$F$159:$F$100,"&lt;="&amp;C159,CBIC_Late_Fee_Relief_Windows_3B!$G$159:$G$100,"&gt;="&amp;C159)</f>
        <v/>
      </c>
      <c r="H159">
        <f>INDEX(CBIC_Late_Fee_Relief_Windows_3B!$I$159:$I$100,MATCH(G159,CBIC_Late_Fee_Relief_Windows_3B!$O$159:$O$100,0))</f>
        <v/>
      </c>
      <c r="I159">
        <f>MIN(F159,H159)</f>
        <v/>
      </c>
    </row>
    <row r="160">
      <c r="A160">
        <f>TEST_DATA!A160</f>
        <v/>
      </c>
      <c r="B160">
        <f>TEST_DATA!B160</f>
        <v/>
      </c>
      <c r="C160">
        <f>TEST_DATA!C160</f>
        <v/>
      </c>
      <c r="D160">
        <f>TEST_DATA!D160</f>
        <v/>
      </c>
      <c r="E160">
        <f>TEST_DATA!E160</f>
        <v/>
      </c>
      <c r="F160">
        <f>MIN(E160*16000,10000)</f>
        <v/>
      </c>
      <c r="G160">
        <f>MINIFS(CBIC_Late_Fee_Relief_Windows_3B!$O$160:$O$100,CBIC_Late_Fee_Relief_Windows_3B!$D$160:$D$100,"&lt;="&amp;B160,CBIC_Late_Fee_Relief_Windows_3B!$E$160:$E$100,"&gt;="&amp;B160,CBIC_Late_Fee_Relief_Windows_3B!$F$160:$F$100,"&lt;="&amp;C160,CBIC_Late_Fee_Relief_Windows_3B!$G$160:$G$100,"&gt;="&amp;C160)</f>
        <v/>
      </c>
      <c r="H160">
        <f>INDEX(CBIC_Late_Fee_Relief_Windows_3B!$I$160:$I$100,MATCH(G160,CBIC_Late_Fee_Relief_Windows_3B!$O$160:$O$100,0))</f>
        <v/>
      </c>
      <c r="I160">
        <f>MIN(F160,H160)</f>
        <v/>
      </c>
    </row>
    <row r="161">
      <c r="A161">
        <f>TEST_DATA!A161</f>
        <v/>
      </c>
      <c r="B161">
        <f>TEST_DATA!B161</f>
        <v/>
      </c>
      <c r="C161">
        <f>TEST_DATA!C161</f>
        <v/>
      </c>
      <c r="D161">
        <f>TEST_DATA!D161</f>
        <v/>
      </c>
      <c r="E161">
        <f>TEST_DATA!E161</f>
        <v/>
      </c>
      <c r="F161">
        <f>MIN(E161*16100,10000)</f>
        <v/>
      </c>
      <c r="G161">
        <f>MINIFS(CBIC_Late_Fee_Relief_Windows_3B!$O$161:$O$100,CBIC_Late_Fee_Relief_Windows_3B!$D$161:$D$100,"&lt;="&amp;B161,CBIC_Late_Fee_Relief_Windows_3B!$E$161:$E$100,"&gt;="&amp;B161,CBIC_Late_Fee_Relief_Windows_3B!$F$161:$F$100,"&lt;="&amp;C161,CBIC_Late_Fee_Relief_Windows_3B!$G$161:$G$100,"&gt;="&amp;C161)</f>
        <v/>
      </c>
      <c r="H161">
        <f>INDEX(CBIC_Late_Fee_Relief_Windows_3B!$I$161:$I$100,MATCH(G161,CBIC_Late_Fee_Relief_Windows_3B!$O$161:$O$100,0))</f>
        <v/>
      </c>
      <c r="I161">
        <f>MIN(F161,H161)</f>
        <v/>
      </c>
    </row>
    <row r="162">
      <c r="A162">
        <f>TEST_DATA!A162</f>
        <v/>
      </c>
      <c r="B162">
        <f>TEST_DATA!B162</f>
        <v/>
      </c>
      <c r="C162">
        <f>TEST_DATA!C162</f>
        <v/>
      </c>
      <c r="D162">
        <f>TEST_DATA!D162</f>
        <v/>
      </c>
      <c r="E162">
        <f>TEST_DATA!E162</f>
        <v/>
      </c>
      <c r="F162">
        <f>MIN(E162*16200,10000)</f>
        <v/>
      </c>
      <c r="G162">
        <f>MINIFS(CBIC_Late_Fee_Relief_Windows_3B!$O$162:$O$100,CBIC_Late_Fee_Relief_Windows_3B!$D$162:$D$100,"&lt;="&amp;B162,CBIC_Late_Fee_Relief_Windows_3B!$E$162:$E$100,"&gt;="&amp;B162,CBIC_Late_Fee_Relief_Windows_3B!$F$162:$F$100,"&lt;="&amp;C162,CBIC_Late_Fee_Relief_Windows_3B!$G$162:$G$100,"&gt;="&amp;C162)</f>
        <v/>
      </c>
      <c r="H162">
        <f>INDEX(CBIC_Late_Fee_Relief_Windows_3B!$I$162:$I$100,MATCH(G162,CBIC_Late_Fee_Relief_Windows_3B!$O$162:$O$100,0))</f>
        <v/>
      </c>
      <c r="I162">
        <f>MIN(F162,H162)</f>
        <v/>
      </c>
    </row>
    <row r="163">
      <c r="A163">
        <f>TEST_DATA!A163</f>
        <v/>
      </c>
      <c r="B163">
        <f>TEST_DATA!B163</f>
        <v/>
      </c>
      <c r="C163">
        <f>TEST_DATA!C163</f>
        <v/>
      </c>
      <c r="D163">
        <f>TEST_DATA!D163</f>
        <v/>
      </c>
      <c r="E163">
        <f>TEST_DATA!E163</f>
        <v/>
      </c>
      <c r="F163">
        <f>MIN(E163*16300,10000)</f>
        <v/>
      </c>
      <c r="G163">
        <f>MINIFS(CBIC_Late_Fee_Relief_Windows_3B!$O$163:$O$100,CBIC_Late_Fee_Relief_Windows_3B!$D$163:$D$100,"&lt;="&amp;B163,CBIC_Late_Fee_Relief_Windows_3B!$E$163:$E$100,"&gt;="&amp;B163,CBIC_Late_Fee_Relief_Windows_3B!$F$163:$F$100,"&lt;="&amp;C163,CBIC_Late_Fee_Relief_Windows_3B!$G$163:$G$100,"&gt;="&amp;C163)</f>
        <v/>
      </c>
      <c r="H163">
        <f>INDEX(CBIC_Late_Fee_Relief_Windows_3B!$I$163:$I$100,MATCH(G163,CBIC_Late_Fee_Relief_Windows_3B!$O$163:$O$100,0))</f>
        <v/>
      </c>
      <c r="I163">
        <f>MIN(F163,H163)</f>
        <v/>
      </c>
    </row>
    <row r="164">
      <c r="A164">
        <f>TEST_DATA!A164</f>
        <v/>
      </c>
      <c r="B164">
        <f>TEST_DATA!B164</f>
        <v/>
      </c>
      <c r="C164">
        <f>TEST_DATA!C164</f>
        <v/>
      </c>
      <c r="D164">
        <f>TEST_DATA!D164</f>
        <v/>
      </c>
      <c r="E164">
        <f>TEST_DATA!E164</f>
        <v/>
      </c>
      <c r="F164">
        <f>MIN(E164*16400,10000)</f>
        <v/>
      </c>
      <c r="G164">
        <f>MINIFS(CBIC_Late_Fee_Relief_Windows_3B!$O$164:$O$100,CBIC_Late_Fee_Relief_Windows_3B!$D$164:$D$100,"&lt;="&amp;B164,CBIC_Late_Fee_Relief_Windows_3B!$E$164:$E$100,"&gt;="&amp;B164,CBIC_Late_Fee_Relief_Windows_3B!$F$164:$F$100,"&lt;="&amp;C164,CBIC_Late_Fee_Relief_Windows_3B!$G$164:$G$100,"&gt;="&amp;C164)</f>
        <v/>
      </c>
      <c r="H164">
        <f>INDEX(CBIC_Late_Fee_Relief_Windows_3B!$I$164:$I$100,MATCH(G164,CBIC_Late_Fee_Relief_Windows_3B!$O$164:$O$100,0))</f>
        <v/>
      </c>
      <c r="I164">
        <f>MIN(F164,H164)</f>
        <v/>
      </c>
    </row>
    <row r="165">
      <c r="A165">
        <f>TEST_DATA!A165</f>
        <v/>
      </c>
      <c r="B165">
        <f>TEST_DATA!B165</f>
        <v/>
      </c>
      <c r="C165">
        <f>TEST_DATA!C165</f>
        <v/>
      </c>
      <c r="D165">
        <f>TEST_DATA!D165</f>
        <v/>
      </c>
      <c r="E165">
        <f>TEST_DATA!E165</f>
        <v/>
      </c>
      <c r="F165">
        <f>MIN(E165*16500,10000)</f>
        <v/>
      </c>
      <c r="G165">
        <f>MINIFS(CBIC_Late_Fee_Relief_Windows_3B!$O$165:$O$100,CBIC_Late_Fee_Relief_Windows_3B!$D$165:$D$100,"&lt;="&amp;B165,CBIC_Late_Fee_Relief_Windows_3B!$E$165:$E$100,"&gt;="&amp;B165,CBIC_Late_Fee_Relief_Windows_3B!$F$165:$F$100,"&lt;="&amp;C165,CBIC_Late_Fee_Relief_Windows_3B!$G$165:$G$100,"&gt;="&amp;C165)</f>
        <v/>
      </c>
      <c r="H165">
        <f>INDEX(CBIC_Late_Fee_Relief_Windows_3B!$I$165:$I$100,MATCH(G165,CBIC_Late_Fee_Relief_Windows_3B!$O$165:$O$100,0))</f>
        <v/>
      </c>
      <c r="I165">
        <f>MIN(F165,H165)</f>
        <v/>
      </c>
    </row>
    <row r="166">
      <c r="A166">
        <f>TEST_DATA!A166</f>
        <v/>
      </c>
      <c r="B166">
        <f>TEST_DATA!B166</f>
        <v/>
      </c>
      <c r="C166">
        <f>TEST_DATA!C166</f>
        <v/>
      </c>
      <c r="D166">
        <f>TEST_DATA!D166</f>
        <v/>
      </c>
      <c r="E166">
        <f>TEST_DATA!E166</f>
        <v/>
      </c>
      <c r="F166">
        <f>MIN(E166*16600,10000)</f>
        <v/>
      </c>
      <c r="G166">
        <f>MINIFS(CBIC_Late_Fee_Relief_Windows_3B!$O$166:$O$100,CBIC_Late_Fee_Relief_Windows_3B!$D$166:$D$100,"&lt;="&amp;B166,CBIC_Late_Fee_Relief_Windows_3B!$E$166:$E$100,"&gt;="&amp;B166,CBIC_Late_Fee_Relief_Windows_3B!$F$166:$F$100,"&lt;="&amp;C166,CBIC_Late_Fee_Relief_Windows_3B!$G$166:$G$100,"&gt;="&amp;C166)</f>
        <v/>
      </c>
      <c r="H166">
        <f>INDEX(CBIC_Late_Fee_Relief_Windows_3B!$I$166:$I$100,MATCH(G166,CBIC_Late_Fee_Relief_Windows_3B!$O$166:$O$100,0))</f>
        <v/>
      </c>
      <c r="I166">
        <f>MIN(F166,H166)</f>
        <v/>
      </c>
    </row>
    <row r="167">
      <c r="A167">
        <f>TEST_DATA!A167</f>
        <v/>
      </c>
      <c r="B167">
        <f>TEST_DATA!B167</f>
        <v/>
      </c>
      <c r="C167">
        <f>TEST_DATA!C167</f>
        <v/>
      </c>
      <c r="D167">
        <f>TEST_DATA!D167</f>
        <v/>
      </c>
      <c r="E167">
        <f>TEST_DATA!E167</f>
        <v/>
      </c>
      <c r="F167">
        <f>MIN(E167*16700,10000)</f>
        <v/>
      </c>
      <c r="G167">
        <f>MINIFS(CBIC_Late_Fee_Relief_Windows_3B!$O$167:$O$100,CBIC_Late_Fee_Relief_Windows_3B!$D$167:$D$100,"&lt;="&amp;B167,CBIC_Late_Fee_Relief_Windows_3B!$E$167:$E$100,"&gt;="&amp;B167,CBIC_Late_Fee_Relief_Windows_3B!$F$167:$F$100,"&lt;="&amp;C167,CBIC_Late_Fee_Relief_Windows_3B!$G$167:$G$100,"&gt;="&amp;C167)</f>
        <v/>
      </c>
      <c r="H167">
        <f>INDEX(CBIC_Late_Fee_Relief_Windows_3B!$I$167:$I$100,MATCH(G167,CBIC_Late_Fee_Relief_Windows_3B!$O$167:$O$100,0))</f>
        <v/>
      </c>
      <c r="I167">
        <f>MIN(F167,H167)</f>
        <v/>
      </c>
    </row>
    <row r="168">
      <c r="A168">
        <f>TEST_DATA!A168</f>
        <v/>
      </c>
      <c r="B168">
        <f>TEST_DATA!B168</f>
        <v/>
      </c>
      <c r="C168">
        <f>TEST_DATA!C168</f>
        <v/>
      </c>
      <c r="D168">
        <f>TEST_DATA!D168</f>
        <v/>
      </c>
      <c r="E168">
        <f>TEST_DATA!E168</f>
        <v/>
      </c>
      <c r="F168">
        <f>MIN(E168*16800,10000)</f>
        <v/>
      </c>
      <c r="G168">
        <f>MINIFS(CBIC_Late_Fee_Relief_Windows_3B!$O$168:$O$100,CBIC_Late_Fee_Relief_Windows_3B!$D$168:$D$100,"&lt;="&amp;B168,CBIC_Late_Fee_Relief_Windows_3B!$E$168:$E$100,"&gt;="&amp;B168,CBIC_Late_Fee_Relief_Windows_3B!$F$168:$F$100,"&lt;="&amp;C168,CBIC_Late_Fee_Relief_Windows_3B!$G$168:$G$100,"&gt;="&amp;C168)</f>
        <v/>
      </c>
      <c r="H168">
        <f>INDEX(CBIC_Late_Fee_Relief_Windows_3B!$I$168:$I$100,MATCH(G168,CBIC_Late_Fee_Relief_Windows_3B!$O$168:$O$100,0))</f>
        <v/>
      </c>
      <c r="I168">
        <f>MIN(F168,H168)</f>
        <v/>
      </c>
    </row>
    <row r="169">
      <c r="A169">
        <f>TEST_DATA!A169</f>
        <v/>
      </c>
      <c r="B169">
        <f>TEST_DATA!B169</f>
        <v/>
      </c>
      <c r="C169">
        <f>TEST_DATA!C169</f>
        <v/>
      </c>
      <c r="D169">
        <f>TEST_DATA!D169</f>
        <v/>
      </c>
      <c r="E169">
        <f>TEST_DATA!E169</f>
        <v/>
      </c>
      <c r="F169">
        <f>MIN(E169*16900,10000)</f>
        <v/>
      </c>
      <c r="G169">
        <f>MINIFS(CBIC_Late_Fee_Relief_Windows_3B!$O$169:$O$100,CBIC_Late_Fee_Relief_Windows_3B!$D$169:$D$100,"&lt;="&amp;B169,CBIC_Late_Fee_Relief_Windows_3B!$E$169:$E$100,"&gt;="&amp;B169,CBIC_Late_Fee_Relief_Windows_3B!$F$169:$F$100,"&lt;="&amp;C169,CBIC_Late_Fee_Relief_Windows_3B!$G$169:$G$100,"&gt;="&amp;C169)</f>
        <v/>
      </c>
      <c r="H169">
        <f>INDEX(CBIC_Late_Fee_Relief_Windows_3B!$I$169:$I$100,MATCH(G169,CBIC_Late_Fee_Relief_Windows_3B!$O$169:$O$100,0))</f>
        <v/>
      </c>
      <c r="I169">
        <f>MIN(F169,H169)</f>
        <v/>
      </c>
    </row>
    <row r="170">
      <c r="A170">
        <f>TEST_DATA!A170</f>
        <v/>
      </c>
      <c r="B170">
        <f>TEST_DATA!B170</f>
        <v/>
      </c>
      <c r="C170">
        <f>TEST_DATA!C170</f>
        <v/>
      </c>
      <c r="D170">
        <f>TEST_DATA!D170</f>
        <v/>
      </c>
      <c r="E170">
        <f>TEST_DATA!E170</f>
        <v/>
      </c>
      <c r="F170">
        <f>MIN(E170*17000,10000)</f>
        <v/>
      </c>
      <c r="G170">
        <f>MINIFS(CBIC_Late_Fee_Relief_Windows_3B!$O$170:$O$100,CBIC_Late_Fee_Relief_Windows_3B!$D$170:$D$100,"&lt;="&amp;B170,CBIC_Late_Fee_Relief_Windows_3B!$E$170:$E$100,"&gt;="&amp;B170,CBIC_Late_Fee_Relief_Windows_3B!$F$170:$F$100,"&lt;="&amp;C170,CBIC_Late_Fee_Relief_Windows_3B!$G$170:$G$100,"&gt;="&amp;C170)</f>
        <v/>
      </c>
      <c r="H170">
        <f>INDEX(CBIC_Late_Fee_Relief_Windows_3B!$I$170:$I$100,MATCH(G170,CBIC_Late_Fee_Relief_Windows_3B!$O$170:$O$100,0))</f>
        <v/>
      </c>
      <c r="I170">
        <f>MIN(F170,H170)</f>
        <v/>
      </c>
    </row>
    <row r="171">
      <c r="A171">
        <f>TEST_DATA!A171</f>
        <v/>
      </c>
      <c r="B171">
        <f>TEST_DATA!B171</f>
        <v/>
      </c>
      <c r="C171">
        <f>TEST_DATA!C171</f>
        <v/>
      </c>
      <c r="D171">
        <f>TEST_DATA!D171</f>
        <v/>
      </c>
      <c r="E171">
        <f>TEST_DATA!E171</f>
        <v/>
      </c>
      <c r="F171">
        <f>MIN(E171*17100,10000)</f>
        <v/>
      </c>
      <c r="G171">
        <f>MINIFS(CBIC_Late_Fee_Relief_Windows_3B!$O$171:$O$100,CBIC_Late_Fee_Relief_Windows_3B!$D$171:$D$100,"&lt;="&amp;B171,CBIC_Late_Fee_Relief_Windows_3B!$E$171:$E$100,"&gt;="&amp;B171,CBIC_Late_Fee_Relief_Windows_3B!$F$171:$F$100,"&lt;="&amp;C171,CBIC_Late_Fee_Relief_Windows_3B!$G$171:$G$100,"&gt;="&amp;C171)</f>
        <v/>
      </c>
      <c r="H171">
        <f>INDEX(CBIC_Late_Fee_Relief_Windows_3B!$I$171:$I$100,MATCH(G171,CBIC_Late_Fee_Relief_Windows_3B!$O$171:$O$100,0))</f>
        <v/>
      </c>
      <c r="I171">
        <f>MIN(F171,H171)</f>
        <v/>
      </c>
    </row>
    <row r="172">
      <c r="A172">
        <f>TEST_DATA!A172</f>
        <v/>
      </c>
      <c r="B172">
        <f>TEST_DATA!B172</f>
        <v/>
      </c>
      <c r="C172">
        <f>TEST_DATA!C172</f>
        <v/>
      </c>
      <c r="D172">
        <f>TEST_DATA!D172</f>
        <v/>
      </c>
      <c r="E172">
        <f>TEST_DATA!E172</f>
        <v/>
      </c>
      <c r="F172">
        <f>MIN(E172*17200,10000)</f>
        <v/>
      </c>
      <c r="G172">
        <f>MINIFS(CBIC_Late_Fee_Relief_Windows_3B!$O$172:$O$100,CBIC_Late_Fee_Relief_Windows_3B!$D$172:$D$100,"&lt;="&amp;B172,CBIC_Late_Fee_Relief_Windows_3B!$E$172:$E$100,"&gt;="&amp;B172,CBIC_Late_Fee_Relief_Windows_3B!$F$172:$F$100,"&lt;="&amp;C172,CBIC_Late_Fee_Relief_Windows_3B!$G$172:$G$100,"&gt;="&amp;C172)</f>
        <v/>
      </c>
      <c r="H172">
        <f>INDEX(CBIC_Late_Fee_Relief_Windows_3B!$I$172:$I$100,MATCH(G172,CBIC_Late_Fee_Relief_Windows_3B!$O$172:$O$100,0))</f>
        <v/>
      </c>
      <c r="I172">
        <f>MIN(F172,H172)</f>
        <v/>
      </c>
    </row>
    <row r="173">
      <c r="A173">
        <f>TEST_DATA!A173</f>
        <v/>
      </c>
      <c r="B173">
        <f>TEST_DATA!B173</f>
        <v/>
      </c>
      <c r="C173">
        <f>TEST_DATA!C173</f>
        <v/>
      </c>
      <c r="D173">
        <f>TEST_DATA!D173</f>
        <v/>
      </c>
      <c r="E173">
        <f>TEST_DATA!E173</f>
        <v/>
      </c>
      <c r="F173">
        <f>MIN(E173*17300,10000)</f>
        <v/>
      </c>
      <c r="G173">
        <f>MINIFS(CBIC_Late_Fee_Relief_Windows_3B!$O$173:$O$100,CBIC_Late_Fee_Relief_Windows_3B!$D$173:$D$100,"&lt;="&amp;B173,CBIC_Late_Fee_Relief_Windows_3B!$E$173:$E$100,"&gt;="&amp;B173,CBIC_Late_Fee_Relief_Windows_3B!$F$173:$F$100,"&lt;="&amp;C173,CBIC_Late_Fee_Relief_Windows_3B!$G$173:$G$100,"&gt;="&amp;C173)</f>
        <v/>
      </c>
      <c r="H173">
        <f>INDEX(CBIC_Late_Fee_Relief_Windows_3B!$I$173:$I$100,MATCH(G173,CBIC_Late_Fee_Relief_Windows_3B!$O$173:$O$100,0))</f>
        <v/>
      </c>
      <c r="I173">
        <f>MIN(F173,H173)</f>
        <v/>
      </c>
    </row>
    <row r="174">
      <c r="A174">
        <f>TEST_DATA!A174</f>
        <v/>
      </c>
      <c r="B174">
        <f>TEST_DATA!B174</f>
        <v/>
      </c>
      <c r="C174">
        <f>TEST_DATA!C174</f>
        <v/>
      </c>
      <c r="D174">
        <f>TEST_DATA!D174</f>
        <v/>
      </c>
      <c r="E174">
        <f>TEST_DATA!E174</f>
        <v/>
      </c>
      <c r="F174">
        <f>MIN(E174*17400,10000)</f>
        <v/>
      </c>
      <c r="G174">
        <f>MINIFS(CBIC_Late_Fee_Relief_Windows_3B!$O$174:$O$100,CBIC_Late_Fee_Relief_Windows_3B!$D$174:$D$100,"&lt;="&amp;B174,CBIC_Late_Fee_Relief_Windows_3B!$E$174:$E$100,"&gt;="&amp;B174,CBIC_Late_Fee_Relief_Windows_3B!$F$174:$F$100,"&lt;="&amp;C174,CBIC_Late_Fee_Relief_Windows_3B!$G$174:$G$100,"&gt;="&amp;C174)</f>
        <v/>
      </c>
      <c r="H174">
        <f>INDEX(CBIC_Late_Fee_Relief_Windows_3B!$I$174:$I$100,MATCH(G174,CBIC_Late_Fee_Relief_Windows_3B!$O$174:$O$100,0))</f>
        <v/>
      </c>
      <c r="I174">
        <f>MIN(F174,H174)</f>
        <v/>
      </c>
    </row>
    <row r="175">
      <c r="A175">
        <f>TEST_DATA!A175</f>
        <v/>
      </c>
      <c r="B175">
        <f>TEST_DATA!B175</f>
        <v/>
      </c>
      <c r="C175">
        <f>TEST_DATA!C175</f>
        <v/>
      </c>
      <c r="D175">
        <f>TEST_DATA!D175</f>
        <v/>
      </c>
      <c r="E175">
        <f>TEST_DATA!E175</f>
        <v/>
      </c>
      <c r="F175">
        <f>MIN(E175*17500,10000)</f>
        <v/>
      </c>
      <c r="G175">
        <f>MINIFS(CBIC_Late_Fee_Relief_Windows_3B!$O$175:$O$100,CBIC_Late_Fee_Relief_Windows_3B!$D$175:$D$100,"&lt;="&amp;B175,CBIC_Late_Fee_Relief_Windows_3B!$E$175:$E$100,"&gt;="&amp;B175,CBIC_Late_Fee_Relief_Windows_3B!$F$175:$F$100,"&lt;="&amp;C175,CBIC_Late_Fee_Relief_Windows_3B!$G$175:$G$100,"&gt;="&amp;C175)</f>
        <v/>
      </c>
      <c r="H175">
        <f>INDEX(CBIC_Late_Fee_Relief_Windows_3B!$I$175:$I$100,MATCH(G175,CBIC_Late_Fee_Relief_Windows_3B!$O$175:$O$100,0))</f>
        <v/>
      </c>
      <c r="I175">
        <f>MIN(F175,H175)</f>
        <v/>
      </c>
    </row>
    <row r="176">
      <c r="A176">
        <f>TEST_DATA!A176</f>
        <v/>
      </c>
      <c r="B176">
        <f>TEST_DATA!B176</f>
        <v/>
      </c>
      <c r="C176">
        <f>TEST_DATA!C176</f>
        <v/>
      </c>
      <c r="D176">
        <f>TEST_DATA!D176</f>
        <v/>
      </c>
      <c r="E176">
        <f>TEST_DATA!E176</f>
        <v/>
      </c>
      <c r="F176">
        <f>MIN(E176*17600,10000)</f>
        <v/>
      </c>
      <c r="G176">
        <f>MINIFS(CBIC_Late_Fee_Relief_Windows_3B!$O$176:$O$100,CBIC_Late_Fee_Relief_Windows_3B!$D$176:$D$100,"&lt;="&amp;B176,CBIC_Late_Fee_Relief_Windows_3B!$E$176:$E$100,"&gt;="&amp;B176,CBIC_Late_Fee_Relief_Windows_3B!$F$176:$F$100,"&lt;="&amp;C176,CBIC_Late_Fee_Relief_Windows_3B!$G$176:$G$100,"&gt;="&amp;C176)</f>
        <v/>
      </c>
      <c r="H176">
        <f>INDEX(CBIC_Late_Fee_Relief_Windows_3B!$I$176:$I$100,MATCH(G176,CBIC_Late_Fee_Relief_Windows_3B!$O$176:$O$100,0))</f>
        <v/>
      </c>
      <c r="I176">
        <f>MIN(F176,H176)</f>
        <v/>
      </c>
    </row>
    <row r="177">
      <c r="A177">
        <f>TEST_DATA!A177</f>
        <v/>
      </c>
      <c r="B177">
        <f>TEST_DATA!B177</f>
        <v/>
      </c>
      <c r="C177">
        <f>TEST_DATA!C177</f>
        <v/>
      </c>
      <c r="D177">
        <f>TEST_DATA!D177</f>
        <v/>
      </c>
      <c r="E177">
        <f>TEST_DATA!E177</f>
        <v/>
      </c>
      <c r="F177">
        <f>MIN(E177*17700,10000)</f>
        <v/>
      </c>
      <c r="G177">
        <f>MINIFS(CBIC_Late_Fee_Relief_Windows_3B!$O$177:$O$100,CBIC_Late_Fee_Relief_Windows_3B!$D$177:$D$100,"&lt;="&amp;B177,CBIC_Late_Fee_Relief_Windows_3B!$E$177:$E$100,"&gt;="&amp;B177,CBIC_Late_Fee_Relief_Windows_3B!$F$177:$F$100,"&lt;="&amp;C177,CBIC_Late_Fee_Relief_Windows_3B!$G$177:$G$100,"&gt;="&amp;C177)</f>
        <v/>
      </c>
      <c r="H177">
        <f>INDEX(CBIC_Late_Fee_Relief_Windows_3B!$I$177:$I$100,MATCH(G177,CBIC_Late_Fee_Relief_Windows_3B!$O$177:$O$100,0))</f>
        <v/>
      </c>
      <c r="I177">
        <f>MIN(F177,H177)</f>
        <v/>
      </c>
    </row>
    <row r="178">
      <c r="A178">
        <f>TEST_DATA!A178</f>
        <v/>
      </c>
      <c r="B178">
        <f>TEST_DATA!B178</f>
        <v/>
      </c>
      <c r="C178">
        <f>TEST_DATA!C178</f>
        <v/>
      </c>
      <c r="D178">
        <f>TEST_DATA!D178</f>
        <v/>
      </c>
      <c r="E178">
        <f>TEST_DATA!E178</f>
        <v/>
      </c>
      <c r="F178">
        <f>MIN(E178*17800,10000)</f>
        <v/>
      </c>
      <c r="G178">
        <f>MINIFS(CBIC_Late_Fee_Relief_Windows_3B!$O$178:$O$100,CBIC_Late_Fee_Relief_Windows_3B!$D$178:$D$100,"&lt;="&amp;B178,CBIC_Late_Fee_Relief_Windows_3B!$E$178:$E$100,"&gt;="&amp;B178,CBIC_Late_Fee_Relief_Windows_3B!$F$178:$F$100,"&lt;="&amp;C178,CBIC_Late_Fee_Relief_Windows_3B!$G$178:$G$100,"&gt;="&amp;C178)</f>
        <v/>
      </c>
      <c r="H178">
        <f>INDEX(CBIC_Late_Fee_Relief_Windows_3B!$I$178:$I$100,MATCH(G178,CBIC_Late_Fee_Relief_Windows_3B!$O$178:$O$100,0))</f>
        <v/>
      </c>
      <c r="I178">
        <f>MIN(F178,H178)</f>
        <v/>
      </c>
    </row>
    <row r="179">
      <c r="A179">
        <f>TEST_DATA!A179</f>
        <v/>
      </c>
      <c r="B179">
        <f>TEST_DATA!B179</f>
        <v/>
      </c>
      <c r="C179">
        <f>TEST_DATA!C179</f>
        <v/>
      </c>
      <c r="D179">
        <f>TEST_DATA!D179</f>
        <v/>
      </c>
      <c r="E179">
        <f>TEST_DATA!E179</f>
        <v/>
      </c>
      <c r="F179">
        <f>MIN(E179*17900,10000)</f>
        <v/>
      </c>
      <c r="G179">
        <f>MINIFS(CBIC_Late_Fee_Relief_Windows_3B!$O$179:$O$100,CBIC_Late_Fee_Relief_Windows_3B!$D$179:$D$100,"&lt;="&amp;B179,CBIC_Late_Fee_Relief_Windows_3B!$E$179:$E$100,"&gt;="&amp;B179,CBIC_Late_Fee_Relief_Windows_3B!$F$179:$F$100,"&lt;="&amp;C179,CBIC_Late_Fee_Relief_Windows_3B!$G$179:$G$100,"&gt;="&amp;C179)</f>
        <v/>
      </c>
      <c r="H179">
        <f>INDEX(CBIC_Late_Fee_Relief_Windows_3B!$I$179:$I$100,MATCH(G179,CBIC_Late_Fee_Relief_Windows_3B!$O$179:$O$100,0))</f>
        <v/>
      </c>
      <c r="I179">
        <f>MIN(F179,H179)</f>
        <v/>
      </c>
    </row>
    <row r="180">
      <c r="A180">
        <f>TEST_DATA!A180</f>
        <v/>
      </c>
      <c r="B180">
        <f>TEST_DATA!B180</f>
        <v/>
      </c>
      <c r="C180">
        <f>TEST_DATA!C180</f>
        <v/>
      </c>
      <c r="D180">
        <f>TEST_DATA!D180</f>
        <v/>
      </c>
      <c r="E180">
        <f>TEST_DATA!E180</f>
        <v/>
      </c>
      <c r="F180">
        <f>MIN(E180*18000,10000)</f>
        <v/>
      </c>
      <c r="G180">
        <f>MINIFS(CBIC_Late_Fee_Relief_Windows_3B!$O$180:$O$100,CBIC_Late_Fee_Relief_Windows_3B!$D$180:$D$100,"&lt;="&amp;B180,CBIC_Late_Fee_Relief_Windows_3B!$E$180:$E$100,"&gt;="&amp;B180,CBIC_Late_Fee_Relief_Windows_3B!$F$180:$F$100,"&lt;="&amp;C180,CBIC_Late_Fee_Relief_Windows_3B!$G$180:$G$100,"&gt;="&amp;C180)</f>
        <v/>
      </c>
      <c r="H180">
        <f>INDEX(CBIC_Late_Fee_Relief_Windows_3B!$I$180:$I$100,MATCH(G180,CBIC_Late_Fee_Relief_Windows_3B!$O$180:$O$100,0))</f>
        <v/>
      </c>
      <c r="I180">
        <f>MIN(F180,H180)</f>
        <v/>
      </c>
    </row>
    <row r="181">
      <c r="A181">
        <f>TEST_DATA!A181</f>
        <v/>
      </c>
      <c r="B181">
        <f>TEST_DATA!B181</f>
        <v/>
      </c>
      <c r="C181">
        <f>TEST_DATA!C181</f>
        <v/>
      </c>
      <c r="D181">
        <f>TEST_DATA!D181</f>
        <v/>
      </c>
      <c r="E181">
        <f>TEST_DATA!E181</f>
        <v/>
      </c>
      <c r="F181">
        <f>MIN(E181*18100,10000)</f>
        <v/>
      </c>
      <c r="G181">
        <f>MINIFS(CBIC_Late_Fee_Relief_Windows_3B!$O$181:$O$100,CBIC_Late_Fee_Relief_Windows_3B!$D$181:$D$100,"&lt;="&amp;B181,CBIC_Late_Fee_Relief_Windows_3B!$E$181:$E$100,"&gt;="&amp;B181,CBIC_Late_Fee_Relief_Windows_3B!$F$181:$F$100,"&lt;="&amp;C181,CBIC_Late_Fee_Relief_Windows_3B!$G$181:$G$100,"&gt;="&amp;C181)</f>
        <v/>
      </c>
      <c r="H181">
        <f>INDEX(CBIC_Late_Fee_Relief_Windows_3B!$I$181:$I$100,MATCH(G181,CBIC_Late_Fee_Relief_Windows_3B!$O$181:$O$100,0))</f>
        <v/>
      </c>
      <c r="I181">
        <f>MIN(F181,H181)</f>
        <v/>
      </c>
    </row>
    <row r="182">
      <c r="A182">
        <f>TEST_DATA!A182</f>
        <v/>
      </c>
      <c r="B182">
        <f>TEST_DATA!B182</f>
        <v/>
      </c>
      <c r="C182">
        <f>TEST_DATA!C182</f>
        <v/>
      </c>
      <c r="D182">
        <f>TEST_DATA!D182</f>
        <v/>
      </c>
      <c r="E182">
        <f>TEST_DATA!E182</f>
        <v/>
      </c>
      <c r="F182">
        <f>MIN(E182*18200,10000)</f>
        <v/>
      </c>
      <c r="G182">
        <f>MINIFS(CBIC_Late_Fee_Relief_Windows_3B!$O$182:$O$100,CBIC_Late_Fee_Relief_Windows_3B!$D$182:$D$100,"&lt;="&amp;B182,CBIC_Late_Fee_Relief_Windows_3B!$E$182:$E$100,"&gt;="&amp;B182,CBIC_Late_Fee_Relief_Windows_3B!$F$182:$F$100,"&lt;="&amp;C182,CBIC_Late_Fee_Relief_Windows_3B!$G$182:$G$100,"&gt;="&amp;C182)</f>
        <v/>
      </c>
      <c r="H182">
        <f>INDEX(CBIC_Late_Fee_Relief_Windows_3B!$I$182:$I$100,MATCH(G182,CBIC_Late_Fee_Relief_Windows_3B!$O$182:$O$100,0))</f>
        <v/>
      </c>
      <c r="I182">
        <f>MIN(F182,H182)</f>
        <v/>
      </c>
    </row>
    <row r="183">
      <c r="A183">
        <f>TEST_DATA!A183</f>
        <v/>
      </c>
      <c r="B183">
        <f>TEST_DATA!B183</f>
        <v/>
      </c>
      <c r="C183">
        <f>TEST_DATA!C183</f>
        <v/>
      </c>
      <c r="D183">
        <f>TEST_DATA!D183</f>
        <v/>
      </c>
      <c r="E183">
        <f>TEST_DATA!E183</f>
        <v/>
      </c>
      <c r="F183">
        <f>MIN(E183*18300,10000)</f>
        <v/>
      </c>
      <c r="G183">
        <f>MINIFS(CBIC_Late_Fee_Relief_Windows_3B!$O$183:$O$100,CBIC_Late_Fee_Relief_Windows_3B!$D$183:$D$100,"&lt;="&amp;B183,CBIC_Late_Fee_Relief_Windows_3B!$E$183:$E$100,"&gt;="&amp;B183,CBIC_Late_Fee_Relief_Windows_3B!$F$183:$F$100,"&lt;="&amp;C183,CBIC_Late_Fee_Relief_Windows_3B!$G$183:$G$100,"&gt;="&amp;C183)</f>
        <v/>
      </c>
      <c r="H183">
        <f>INDEX(CBIC_Late_Fee_Relief_Windows_3B!$I$183:$I$100,MATCH(G183,CBIC_Late_Fee_Relief_Windows_3B!$O$183:$O$100,0))</f>
        <v/>
      </c>
      <c r="I183">
        <f>MIN(F183,H183)</f>
        <v/>
      </c>
    </row>
    <row r="184">
      <c r="A184">
        <f>TEST_DATA!A184</f>
        <v/>
      </c>
      <c r="B184">
        <f>TEST_DATA!B184</f>
        <v/>
      </c>
      <c r="C184">
        <f>TEST_DATA!C184</f>
        <v/>
      </c>
      <c r="D184">
        <f>TEST_DATA!D184</f>
        <v/>
      </c>
      <c r="E184">
        <f>TEST_DATA!E184</f>
        <v/>
      </c>
      <c r="F184">
        <f>MIN(E184*18400,10000)</f>
        <v/>
      </c>
      <c r="G184">
        <f>MINIFS(CBIC_Late_Fee_Relief_Windows_3B!$O$184:$O$100,CBIC_Late_Fee_Relief_Windows_3B!$D$184:$D$100,"&lt;="&amp;B184,CBIC_Late_Fee_Relief_Windows_3B!$E$184:$E$100,"&gt;="&amp;B184,CBIC_Late_Fee_Relief_Windows_3B!$F$184:$F$100,"&lt;="&amp;C184,CBIC_Late_Fee_Relief_Windows_3B!$G$184:$G$100,"&gt;="&amp;C184)</f>
        <v/>
      </c>
      <c r="H184">
        <f>INDEX(CBIC_Late_Fee_Relief_Windows_3B!$I$184:$I$100,MATCH(G184,CBIC_Late_Fee_Relief_Windows_3B!$O$184:$O$100,0))</f>
        <v/>
      </c>
      <c r="I184">
        <f>MIN(F184,H184)</f>
        <v/>
      </c>
    </row>
    <row r="185">
      <c r="A185">
        <f>TEST_DATA!A185</f>
        <v/>
      </c>
      <c r="B185">
        <f>TEST_DATA!B185</f>
        <v/>
      </c>
      <c r="C185">
        <f>TEST_DATA!C185</f>
        <v/>
      </c>
      <c r="D185">
        <f>TEST_DATA!D185</f>
        <v/>
      </c>
      <c r="E185">
        <f>TEST_DATA!E185</f>
        <v/>
      </c>
      <c r="F185">
        <f>MIN(E185*18500,10000)</f>
        <v/>
      </c>
      <c r="G185">
        <f>MINIFS(CBIC_Late_Fee_Relief_Windows_3B!$O$185:$O$100,CBIC_Late_Fee_Relief_Windows_3B!$D$185:$D$100,"&lt;="&amp;B185,CBIC_Late_Fee_Relief_Windows_3B!$E$185:$E$100,"&gt;="&amp;B185,CBIC_Late_Fee_Relief_Windows_3B!$F$185:$F$100,"&lt;="&amp;C185,CBIC_Late_Fee_Relief_Windows_3B!$G$185:$G$100,"&gt;="&amp;C185)</f>
        <v/>
      </c>
      <c r="H185">
        <f>INDEX(CBIC_Late_Fee_Relief_Windows_3B!$I$185:$I$100,MATCH(G185,CBIC_Late_Fee_Relief_Windows_3B!$O$185:$O$100,0))</f>
        <v/>
      </c>
      <c r="I185">
        <f>MIN(F185,H185)</f>
        <v/>
      </c>
    </row>
    <row r="186">
      <c r="A186">
        <f>TEST_DATA!A186</f>
        <v/>
      </c>
      <c r="B186">
        <f>TEST_DATA!B186</f>
        <v/>
      </c>
      <c r="C186">
        <f>TEST_DATA!C186</f>
        <v/>
      </c>
      <c r="D186">
        <f>TEST_DATA!D186</f>
        <v/>
      </c>
      <c r="E186">
        <f>TEST_DATA!E186</f>
        <v/>
      </c>
      <c r="F186">
        <f>MIN(E186*18600,10000)</f>
        <v/>
      </c>
      <c r="G186">
        <f>MINIFS(CBIC_Late_Fee_Relief_Windows_3B!$O$186:$O$100,CBIC_Late_Fee_Relief_Windows_3B!$D$186:$D$100,"&lt;="&amp;B186,CBIC_Late_Fee_Relief_Windows_3B!$E$186:$E$100,"&gt;="&amp;B186,CBIC_Late_Fee_Relief_Windows_3B!$F$186:$F$100,"&lt;="&amp;C186,CBIC_Late_Fee_Relief_Windows_3B!$G$186:$G$100,"&gt;="&amp;C186)</f>
        <v/>
      </c>
      <c r="H186">
        <f>INDEX(CBIC_Late_Fee_Relief_Windows_3B!$I$186:$I$100,MATCH(G186,CBIC_Late_Fee_Relief_Windows_3B!$O$186:$O$100,0))</f>
        <v/>
      </c>
      <c r="I186">
        <f>MIN(F186,H186)</f>
        <v/>
      </c>
    </row>
    <row r="187">
      <c r="A187">
        <f>TEST_DATA!A187</f>
        <v/>
      </c>
      <c r="B187">
        <f>TEST_DATA!B187</f>
        <v/>
      </c>
      <c r="C187">
        <f>TEST_DATA!C187</f>
        <v/>
      </c>
      <c r="D187">
        <f>TEST_DATA!D187</f>
        <v/>
      </c>
      <c r="E187">
        <f>TEST_DATA!E187</f>
        <v/>
      </c>
      <c r="F187">
        <f>MIN(E187*18700,10000)</f>
        <v/>
      </c>
      <c r="G187">
        <f>MINIFS(CBIC_Late_Fee_Relief_Windows_3B!$O$187:$O$100,CBIC_Late_Fee_Relief_Windows_3B!$D$187:$D$100,"&lt;="&amp;B187,CBIC_Late_Fee_Relief_Windows_3B!$E$187:$E$100,"&gt;="&amp;B187,CBIC_Late_Fee_Relief_Windows_3B!$F$187:$F$100,"&lt;="&amp;C187,CBIC_Late_Fee_Relief_Windows_3B!$G$187:$G$100,"&gt;="&amp;C187)</f>
        <v/>
      </c>
      <c r="H187">
        <f>INDEX(CBIC_Late_Fee_Relief_Windows_3B!$I$187:$I$100,MATCH(G187,CBIC_Late_Fee_Relief_Windows_3B!$O$187:$O$100,0))</f>
        <v/>
      </c>
      <c r="I187">
        <f>MIN(F187,H187)</f>
        <v/>
      </c>
    </row>
    <row r="188">
      <c r="A188">
        <f>TEST_DATA!A188</f>
        <v/>
      </c>
      <c r="B188">
        <f>TEST_DATA!B188</f>
        <v/>
      </c>
      <c r="C188">
        <f>TEST_DATA!C188</f>
        <v/>
      </c>
      <c r="D188">
        <f>TEST_DATA!D188</f>
        <v/>
      </c>
      <c r="E188">
        <f>TEST_DATA!E188</f>
        <v/>
      </c>
      <c r="F188">
        <f>MIN(E188*18800,10000)</f>
        <v/>
      </c>
      <c r="G188">
        <f>MINIFS(CBIC_Late_Fee_Relief_Windows_3B!$O$188:$O$100,CBIC_Late_Fee_Relief_Windows_3B!$D$188:$D$100,"&lt;="&amp;B188,CBIC_Late_Fee_Relief_Windows_3B!$E$188:$E$100,"&gt;="&amp;B188,CBIC_Late_Fee_Relief_Windows_3B!$F$188:$F$100,"&lt;="&amp;C188,CBIC_Late_Fee_Relief_Windows_3B!$G$188:$G$100,"&gt;="&amp;C188)</f>
        <v/>
      </c>
      <c r="H188">
        <f>INDEX(CBIC_Late_Fee_Relief_Windows_3B!$I$188:$I$100,MATCH(G188,CBIC_Late_Fee_Relief_Windows_3B!$O$188:$O$100,0))</f>
        <v/>
      </c>
      <c r="I188">
        <f>MIN(F188,H188)</f>
        <v/>
      </c>
    </row>
    <row r="189">
      <c r="A189">
        <f>TEST_DATA!A189</f>
        <v/>
      </c>
      <c r="B189">
        <f>TEST_DATA!B189</f>
        <v/>
      </c>
      <c r="C189">
        <f>TEST_DATA!C189</f>
        <v/>
      </c>
      <c r="D189">
        <f>TEST_DATA!D189</f>
        <v/>
      </c>
      <c r="E189">
        <f>TEST_DATA!E189</f>
        <v/>
      </c>
      <c r="F189">
        <f>MIN(E189*18900,10000)</f>
        <v/>
      </c>
      <c r="G189">
        <f>MINIFS(CBIC_Late_Fee_Relief_Windows_3B!$O$189:$O$100,CBIC_Late_Fee_Relief_Windows_3B!$D$189:$D$100,"&lt;="&amp;B189,CBIC_Late_Fee_Relief_Windows_3B!$E$189:$E$100,"&gt;="&amp;B189,CBIC_Late_Fee_Relief_Windows_3B!$F$189:$F$100,"&lt;="&amp;C189,CBIC_Late_Fee_Relief_Windows_3B!$G$189:$G$100,"&gt;="&amp;C189)</f>
        <v/>
      </c>
      <c r="H189">
        <f>INDEX(CBIC_Late_Fee_Relief_Windows_3B!$I$189:$I$100,MATCH(G189,CBIC_Late_Fee_Relief_Windows_3B!$O$189:$O$100,0))</f>
        <v/>
      </c>
      <c r="I189">
        <f>MIN(F189,H189)</f>
        <v/>
      </c>
    </row>
    <row r="190">
      <c r="A190">
        <f>TEST_DATA!A190</f>
        <v/>
      </c>
      <c r="B190">
        <f>TEST_DATA!B190</f>
        <v/>
      </c>
      <c r="C190">
        <f>TEST_DATA!C190</f>
        <v/>
      </c>
      <c r="D190">
        <f>TEST_DATA!D190</f>
        <v/>
      </c>
      <c r="E190">
        <f>TEST_DATA!E190</f>
        <v/>
      </c>
      <c r="F190">
        <f>MIN(E190*19000,10000)</f>
        <v/>
      </c>
      <c r="G190">
        <f>MINIFS(CBIC_Late_Fee_Relief_Windows_3B!$O$190:$O$100,CBIC_Late_Fee_Relief_Windows_3B!$D$190:$D$100,"&lt;="&amp;B190,CBIC_Late_Fee_Relief_Windows_3B!$E$190:$E$100,"&gt;="&amp;B190,CBIC_Late_Fee_Relief_Windows_3B!$F$190:$F$100,"&lt;="&amp;C190,CBIC_Late_Fee_Relief_Windows_3B!$G$190:$G$100,"&gt;="&amp;C190)</f>
        <v/>
      </c>
      <c r="H190">
        <f>INDEX(CBIC_Late_Fee_Relief_Windows_3B!$I$190:$I$100,MATCH(G190,CBIC_Late_Fee_Relief_Windows_3B!$O$190:$O$100,0))</f>
        <v/>
      </c>
      <c r="I190">
        <f>MIN(F190,H190)</f>
        <v/>
      </c>
    </row>
    <row r="191">
      <c r="A191">
        <f>TEST_DATA!A191</f>
        <v/>
      </c>
      <c r="B191">
        <f>TEST_DATA!B191</f>
        <v/>
      </c>
      <c r="C191">
        <f>TEST_DATA!C191</f>
        <v/>
      </c>
      <c r="D191">
        <f>TEST_DATA!D191</f>
        <v/>
      </c>
      <c r="E191">
        <f>TEST_DATA!E191</f>
        <v/>
      </c>
      <c r="F191">
        <f>MIN(E191*19100,10000)</f>
        <v/>
      </c>
      <c r="G191">
        <f>MINIFS(CBIC_Late_Fee_Relief_Windows_3B!$O$191:$O$100,CBIC_Late_Fee_Relief_Windows_3B!$D$191:$D$100,"&lt;="&amp;B191,CBIC_Late_Fee_Relief_Windows_3B!$E$191:$E$100,"&gt;="&amp;B191,CBIC_Late_Fee_Relief_Windows_3B!$F$191:$F$100,"&lt;="&amp;C191,CBIC_Late_Fee_Relief_Windows_3B!$G$191:$G$100,"&gt;="&amp;C191)</f>
        <v/>
      </c>
      <c r="H191">
        <f>INDEX(CBIC_Late_Fee_Relief_Windows_3B!$I$191:$I$100,MATCH(G191,CBIC_Late_Fee_Relief_Windows_3B!$O$191:$O$100,0))</f>
        <v/>
      </c>
      <c r="I191">
        <f>MIN(F191,H191)</f>
        <v/>
      </c>
    </row>
    <row r="192">
      <c r="A192">
        <f>TEST_DATA!A192</f>
        <v/>
      </c>
      <c r="B192">
        <f>TEST_DATA!B192</f>
        <v/>
      </c>
      <c r="C192">
        <f>TEST_DATA!C192</f>
        <v/>
      </c>
      <c r="D192">
        <f>TEST_DATA!D192</f>
        <v/>
      </c>
      <c r="E192">
        <f>TEST_DATA!E192</f>
        <v/>
      </c>
      <c r="F192">
        <f>MIN(E192*19200,10000)</f>
        <v/>
      </c>
      <c r="G192">
        <f>MINIFS(CBIC_Late_Fee_Relief_Windows_3B!$O$192:$O$100,CBIC_Late_Fee_Relief_Windows_3B!$D$192:$D$100,"&lt;="&amp;B192,CBIC_Late_Fee_Relief_Windows_3B!$E$192:$E$100,"&gt;="&amp;B192,CBIC_Late_Fee_Relief_Windows_3B!$F$192:$F$100,"&lt;="&amp;C192,CBIC_Late_Fee_Relief_Windows_3B!$G$192:$G$100,"&gt;="&amp;C192)</f>
        <v/>
      </c>
      <c r="H192">
        <f>INDEX(CBIC_Late_Fee_Relief_Windows_3B!$I$192:$I$100,MATCH(G192,CBIC_Late_Fee_Relief_Windows_3B!$O$192:$O$100,0))</f>
        <v/>
      </c>
      <c r="I192">
        <f>MIN(F192,H192)</f>
        <v/>
      </c>
    </row>
    <row r="193">
      <c r="A193">
        <f>TEST_DATA!A193</f>
        <v/>
      </c>
      <c r="B193">
        <f>TEST_DATA!B193</f>
        <v/>
      </c>
      <c r="C193">
        <f>TEST_DATA!C193</f>
        <v/>
      </c>
      <c r="D193">
        <f>TEST_DATA!D193</f>
        <v/>
      </c>
      <c r="E193">
        <f>TEST_DATA!E193</f>
        <v/>
      </c>
      <c r="F193">
        <f>MIN(E193*19300,10000)</f>
        <v/>
      </c>
      <c r="G193">
        <f>MINIFS(CBIC_Late_Fee_Relief_Windows_3B!$O$193:$O$100,CBIC_Late_Fee_Relief_Windows_3B!$D$193:$D$100,"&lt;="&amp;B193,CBIC_Late_Fee_Relief_Windows_3B!$E$193:$E$100,"&gt;="&amp;B193,CBIC_Late_Fee_Relief_Windows_3B!$F$193:$F$100,"&lt;="&amp;C193,CBIC_Late_Fee_Relief_Windows_3B!$G$193:$G$100,"&gt;="&amp;C193)</f>
        <v/>
      </c>
      <c r="H193">
        <f>INDEX(CBIC_Late_Fee_Relief_Windows_3B!$I$193:$I$100,MATCH(G193,CBIC_Late_Fee_Relief_Windows_3B!$O$193:$O$100,0))</f>
        <v/>
      </c>
      <c r="I193">
        <f>MIN(F193,H193)</f>
        <v/>
      </c>
    </row>
    <row r="194">
      <c r="A194">
        <f>TEST_DATA!A194</f>
        <v/>
      </c>
      <c r="B194">
        <f>TEST_DATA!B194</f>
        <v/>
      </c>
      <c r="C194">
        <f>TEST_DATA!C194</f>
        <v/>
      </c>
      <c r="D194">
        <f>TEST_DATA!D194</f>
        <v/>
      </c>
      <c r="E194">
        <f>TEST_DATA!E194</f>
        <v/>
      </c>
      <c r="F194">
        <f>MIN(E194*19400,10000)</f>
        <v/>
      </c>
      <c r="G194">
        <f>MINIFS(CBIC_Late_Fee_Relief_Windows_3B!$O$194:$O$100,CBIC_Late_Fee_Relief_Windows_3B!$D$194:$D$100,"&lt;="&amp;B194,CBIC_Late_Fee_Relief_Windows_3B!$E$194:$E$100,"&gt;="&amp;B194,CBIC_Late_Fee_Relief_Windows_3B!$F$194:$F$100,"&lt;="&amp;C194,CBIC_Late_Fee_Relief_Windows_3B!$G$194:$G$100,"&gt;="&amp;C194)</f>
        <v/>
      </c>
      <c r="H194">
        <f>INDEX(CBIC_Late_Fee_Relief_Windows_3B!$I$194:$I$100,MATCH(G194,CBIC_Late_Fee_Relief_Windows_3B!$O$194:$O$100,0))</f>
        <v/>
      </c>
      <c r="I194">
        <f>MIN(F194,H194)</f>
        <v/>
      </c>
    </row>
    <row r="195">
      <c r="A195">
        <f>TEST_DATA!A195</f>
        <v/>
      </c>
      <c r="B195">
        <f>TEST_DATA!B195</f>
        <v/>
      </c>
      <c r="C195">
        <f>TEST_DATA!C195</f>
        <v/>
      </c>
      <c r="D195">
        <f>TEST_DATA!D195</f>
        <v/>
      </c>
      <c r="E195">
        <f>TEST_DATA!E195</f>
        <v/>
      </c>
      <c r="F195">
        <f>MIN(E195*19500,10000)</f>
        <v/>
      </c>
      <c r="G195">
        <f>MINIFS(CBIC_Late_Fee_Relief_Windows_3B!$O$195:$O$100,CBIC_Late_Fee_Relief_Windows_3B!$D$195:$D$100,"&lt;="&amp;B195,CBIC_Late_Fee_Relief_Windows_3B!$E$195:$E$100,"&gt;="&amp;B195,CBIC_Late_Fee_Relief_Windows_3B!$F$195:$F$100,"&lt;="&amp;C195,CBIC_Late_Fee_Relief_Windows_3B!$G$195:$G$100,"&gt;="&amp;C195)</f>
        <v/>
      </c>
      <c r="H195">
        <f>INDEX(CBIC_Late_Fee_Relief_Windows_3B!$I$195:$I$100,MATCH(G195,CBIC_Late_Fee_Relief_Windows_3B!$O$195:$O$100,0))</f>
        <v/>
      </c>
      <c r="I195">
        <f>MIN(F195,H195)</f>
        <v/>
      </c>
    </row>
    <row r="196">
      <c r="A196">
        <f>TEST_DATA!A196</f>
        <v/>
      </c>
      <c r="B196">
        <f>TEST_DATA!B196</f>
        <v/>
      </c>
      <c r="C196">
        <f>TEST_DATA!C196</f>
        <v/>
      </c>
      <c r="D196">
        <f>TEST_DATA!D196</f>
        <v/>
      </c>
      <c r="E196">
        <f>TEST_DATA!E196</f>
        <v/>
      </c>
      <c r="F196">
        <f>MIN(E196*19600,10000)</f>
        <v/>
      </c>
      <c r="G196">
        <f>MINIFS(CBIC_Late_Fee_Relief_Windows_3B!$O$196:$O$100,CBIC_Late_Fee_Relief_Windows_3B!$D$196:$D$100,"&lt;="&amp;B196,CBIC_Late_Fee_Relief_Windows_3B!$E$196:$E$100,"&gt;="&amp;B196,CBIC_Late_Fee_Relief_Windows_3B!$F$196:$F$100,"&lt;="&amp;C196,CBIC_Late_Fee_Relief_Windows_3B!$G$196:$G$100,"&gt;="&amp;C196)</f>
        <v/>
      </c>
      <c r="H196">
        <f>INDEX(CBIC_Late_Fee_Relief_Windows_3B!$I$196:$I$100,MATCH(G196,CBIC_Late_Fee_Relief_Windows_3B!$O$196:$O$100,0))</f>
        <v/>
      </c>
      <c r="I196">
        <f>MIN(F196,H196)</f>
        <v/>
      </c>
    </row>
    <row r="197">
      <c r="A197">
        <f>TEST_DATA!A197</f>
        <v/>
      </c>
      <c r="B197">
        <f>TEST_DATA!B197</f>
        <v/>
      </c>
      <c r="C197">
        <f>TEST_DATA!C197</f>
        <v/>
      </c>
      <c r="D197">
        <f>TEST_DATA!D197</f>
        <v/>
      </c>
      <c r="E197">
        <f>TEST_DATA!E197</f>
        <v/>
      </c>
      <c r="F197">
        <f>MIN(E197*19700,10000)</f>
        <v/>
      </c>
      <c r="G197">
        <f>MINIFS(CBIC_Late_Fee_Relief_Windows_3B!$O$197:$O$100,CBIC_Late_Fee_Relief_Windows_3B!$D$197:$D$100,"&lt;="&amp;B197,CBIC_Late_Fee_Relief_Windows_3B!$E$197:$E$100,"&gt;="&amp;B197,CBIC_Late_Fee_Relief_Windows_3B!$F$197:$F$100,"&lt;="&amp;C197,CBIC_Late_Fee_Relief_Windows_3B!$G$197:$G$100,"&gt;="&amp;C197)</f>
        <v/>
      </c>
      <c r="H197">
        <f>INDEX(CBIC_Late_Fee_Relief_Windows_3B!$I$197:$I$100,MATCH(G197,CBIC_Late_Fee_Relief_Windows_3B!$O$197:$O$100,0))</f>
        <v/>
      </c>
      <c r="I197">
        <f>MIN(F197,H197)</f>
        <v/>
      </c>
    </row>
    <row r="198">
      <c r="A198">
        <f>TEST_DATA!A198</f>
        <v/>
      </c>
      <c r="B198">
        <f>TEST_DATA!B198</f>
        <v/>
      </c>
      <c r="C198">
        <f>TEST_DATA!C198</f>
        <v/>
      </c>
      <c r="D198">
        <f>TEST_DATA!D198</f>
        <v/>
      </c>
      <c r="E198">
        <f>TEST_DATA!E198</f>
        <v/>
      </c>
      <c r="F198">
        <f>MIN(E198*19800,10000)</f>
        <v/>
      </c>
      <c r="G198">
        <f>MINIFS(CBIC_Late_Fee_Relief_Windows_3B!$O$198:$O$100,CBIC_Late_Fee_Relief_Windows_3B!$D$198:$D$100,"&lt;="&amp;B198,CBIC_Late_Fee_Relief_Windows_3B!$E$198:$E$100,"&gt;="&amp;B198,CBIC_Late_Fee_Relief_Windows_3B!$F$198:$F$100,"&lt;="&amp;C198,CBIC_Late_Fee_Relief_Windows_3B!$G$198:$G$100,"&gt;="&amp;C198)</f>
        <v/>
      </c>
      <c r="H198">
        <f>INDEX(CBIC_Late_Fee_Relief_Windows_3B!$I$198:$I$100,MATCH(G198,CBIC_Late_Fee_Relief_Windows_3B!$O$198:$O$100,0))</f>
        <v/>
      </c>
      <c r="I198">
        <f>MIN(F198,H198)</f>
        <v/>
      </c>
    </row>
    <row r="199">
      <c r="A199">
        <f>TEST_DATA!A199</f>
        <v/>
      </c>
      <c r="B199">
        <f>TEST_DATA!B199</f>
        <v/>
      </c>
      <c r="C199">
        <f>TEST_DATA!C199</f>
        <v/>
      </c>
      <c r="D199">
        <f>TEST_DATA!D199</f>
        <v/>
      </c>
      <c r="E199">
        <f>TEST_DATA!E199</f>
        <v/>
      </c>
      <c r="F199">
        <f>MIN(E199*19900,10000)</f>
        <v/>
      </c>
      <c r="G199">
        <f>MINIFS(CBIC_Late_Fee_Relief_Windows_3B!$O$199:$O$100,CBIC_Late_Fee_Relief_Windows_3B!$D$199:$D$100,"&lt;="&amp;B199,CBIC_Late_Fee_Relief_Windows_3B!$E$199:$E$100,"&gt;="&amp;B199,CBIC_Late_Fee_Relief_Windows_3B!$F$199:$F$100,"&lt;="&amp;C199,CBIC_Late_Fee_Relief_Windows_3B!$G$199:$G$100,"&gt;="&amp;C199)</f>
        <v/>
      </c>
      <c r="H199">
        <f>INDEX(CBIC_Late_Fee_Relief_Windows_3B!$I$199:$I$100,MATCH(G199,CBIC_Late_Fee_Relief_Windows_3B!$O$199:$O$100,0))</f>
        <v/>
      </c>
      <c r="I199">
        <f>MIN(F199,H199)</f>
        <v/>
      </c>
    </row>
    <row r="200">
      <c r="A200">
        <f>TEST_DATA!A200</f>
        <v/>
      </c>
      <c r="B200">
        <f>TEST_DATA!B200</f>
        <v/>
      </c>
      <c r="C200">
        <f>TEST_DATA!C200</f>
        <v/>
      </c>
      <c r="D200">
        <f>TEST_DATA!D200</f>
        <v/>
      </c>
      <c r="E200">
        <f>TEST_DATA!E200</f>
        <v/>
      </c>
      <c r="F200">
        <f>MIN(E200*20000,10000)</f>
        <v/>
      </c>
      <c r="G200">
        <f>MINIFS(CBIC_Late_Fee_Relief_Windows_3B!$O$200:$O$100,CBIC_Late_Fee_Relief_Windows_3B!$D$200:$D$100,"&lt;="&amp;B200,CBIC_Late_Fee_Relief_Windows_3B!$E$200:$E$100,"&gt;="&amp;B200,CBIC_Late_Fee_Relief_Windows_3B!$F$200:$F$100,"&lt;="&amp;C200,CBIC_Late_Fee_Relief_Windows_3B!$G$200:$G$100,"&gt;="&amp;C200)</f>
        <v/>
      </c>
      <c r="H200">
        <f>INDEX(CBIC_Late_Fee_Relief_Windows_3B!$I$200:$I$100,MATCH(G200,CBIC_Late_Fee_Relief_Windows_3B!$O$200:$O$100,0))</f>
        <v/>
      </c>
      <c r="I200">
        <f>MIN(F200,H200)</f>
        <v/>
      </c>
    </row>
    <row r="201">
      <c r="A201">
        <f>TEST_DATA!A201</f>
        <v/>
      </c>
      <c r="B201">
        <f>TEST_DATA!B201</f>
        <v/>
      </c>
      <c r="C201">
        <f>TEST_DATA!C201</f>
        <v/>
      </c>
      <c r="D201">
        <f>TEST_DATA!D201</f>
        <v/>
      </c>
      <c r="E201">
        <f>TEST_DATA!E201</f>
        <v/>
      </c>
      <c r="F201">
        <f>MIN(E201*20100,10000)</f>
        <v/>
      </c>
      <c r="G201">
        <f>MINIFS(CBIC_Late_Fee_Relief_Windows_3B!$O$201:$O$100,CBIC_Late_Fee_Relief_Windows_3B!$D$201:$D$100,"&lt;="&amp;B201,CBIC_Late_Fee_Relief_Windows_3B!$E$201:$E$100,"&gt;="&amp;B201,CBIC_Late_Fee_Relief_Windows_3B!$F$201:$F$100,"&lt;="&amp;C201,CBIC_Late_Fee_Relief_Windows_3B!$G$201:$G$100,"&gt;="&amp;C201)</f>
        <v/>
      </c>
      <c r="H201">
        <f>INDEX(CBIC_Late_Fee_Relief_Windows_3B!$I$201:$I$100,MATCH(G201,CBIC_Late_Fee_Relief_Windows_3B!$O$201:$O$100,0))</f>
        <v/>
      </c>
      <c r="I201">
        <f>MIN(F201,H201)</f>
        <v/>
      </c>
    </row>
    <row r="202">
      <c r="A202">
        <f>TEST_DATA!A202</f>
        <v/>
      </c>
      <c r="B202">
        <f>TEST_DATA!B202</f>
        <v/>
      </c>
      <c r="C202">
        <f>TEST_DATA!C202</f>
        <v/>
      </c>
      <c r="D202">
        <f>TEST_DATA!D202</f>
        <v/>
      </c>
      <c r="E202">
        <f>TEST_DATA!E202</f>
        <v/>
      </c>
      <c r="F202">
        <f>MIN(E202*20200,10000)</f>
        <v/>
      </c>
      <c r="G202">
        <f>MINIFS(CBIC_Late_Fee_Relief_Windows_3B!$O$202:$O$100,CBIC_Late_Fee_Relief_Windows_3B!$D$202:$D$100,"&lt;="&amp;B202,CBIC_Late_Fee_Relief_Windows_3B!$E$202:$E$100,"&gt;="&amp;B202,CBIC_Late_Fee_Relief_Windows_3B!$F$202:$F$100,"&lt;="&amp;C202,CBIC_Late_Fee_Relief_Windows_3B!$G$202:$G$100,"&gt;="&amp;C202)</f>
        <v/>
      </c>
      <c r="H202">
        <f>INDEX(CBIC_Late_Fee_Relief_Windows_3B!$I$202:$I$100,MATCH(G202,CBIC_Late_Fee_Relief_Windows_3B!$O$202:$O$100,0))</f>
        <v/>
      </c>
      <c r="I202">
        <f>MIN(F202,H202)</f>
        <v/>
      </c>
    </row>
    <row r="203">
      <c r="A203">
        <f>TEST_DATA!A203</f>
        <v/>
      </c>
      <c r="B203">
        <f>TEST_DATA!B203</f>
        <v/>
      </c>
      <c r="C203">
        <f>TEST_DATA!C203</f>
        <v/>
      </c>
      <c r="D203">
        <f>TEST_DATA!D203</f>
        <v/>
      </c>
      <c r="E203">
        <f>TEST_DATA!E203</f>
        <v/>
      </c>
      <c r="F203">
        <f>MIN(E203*20300,10000)</f>
        <v/>
      </c>
      <c r="G203">
        <f>MINIFS(CBIC_Late_Fee_Relief_Windows_3B!$O$203:$O$100,CBIC_Late_Fee_Relief_Windows_3B!$D$203:$D$100,"&lt;="&amp;B203,CBIC_Late_Fee_Relief_Windows_3B!$E$203:$E$100,"&gt;="&amp;B203,CBIC_Late_Fee_Relief_Windows_3B!$F$203:$F$100,"&lt;="&amp;C203,CBIC_Late_Fee_Relief_Windows_3B!$G$203:$G$100,"&gt;="&amp;C203)</f>
        <v/>
      </c>
      <c r="H203">
        <f>INDEX(CBIC_Late_Fee_Relief_Windows_3B!$I$203:$I$100,MATCH(G203,CBIC_Late_Fee_Relief_Windows_3B!$O$203:$O$100,0))</f>
        <v/>
      </c>
      <c r="I203">
        <f>MIN(F203,H203)</f>
        <v/>
      </c>
    </row>
    <row r="204">
      <c r="A204">
        <f>TEST_DATA!A204</f>
        <v/>
      </c>
      <c r="B204">
        <f>TEST_DATA!B204</f>
        <v/>
      </c>
      <c r="C204">
        <f>TEST_DATA!C204</f>
        <v/>
      </c>
      <c r="D204">
        <f>TEST_DATA!D204</f>
        <v/>
      </c>
      <c r="E204">
        <f>TEST_DATA!E204</f>
        <v/>
      </c>
      <c r="F204">
        <f>MIN(E204*20400,10000)</f>
        <v/>
      </c>
      <c r="G204">
        <f>MINIFS(CBIC_Late_Fee_Relief_Windows_3B!$O$204:$O$100,CBIC_Late_Fee_Relief_Windows_3B!$D$204:$D$100,"&lt;="&amp;B204,CBIC_Late_Fee_Relief_Windows_3B!$E$204:$E$100,"&gt;="&amp;B204,CBIC_Late_Fee_Relief_Windows_3B!$F$204:$F$100,"&lt;="&amp;C204,CBIC_Late_Fee_Relief_Windows_3B!$G$204:$G$100,"&gt;="&amp;C204)</f>
        <v/>
      </c>
      <c r="H204">
        <f>INDEX(CBIC_Late_Fee_Relief_Windows_3B!$I$204:$I$100,MATCH(G204,CBIC_Late_Fee_Relief_Windows_3B!$O$204:$O$100,0))</f>
        <v/>
      </c>
      <c r="I204">
        <f>MIN(F204,H204)</f>
        <v/>
      </c>
    </row>
    <row r="205">
      <c r="A205">
        <f>TEST_DATA!A205</f>
        <v/>
      </c>
      <c r="B205">
        <f>TEST_DATA!B205</f>
        <v/>
      </c>
      <c r="C205">
        <f>TEST_DATA!C205</f>
        <v/>
      </c>
      <c r="D205">
        <f>TEST_DATA!D205</f>
        <v/>
      </c>
      <c r="E205">
        <f>TEST_DATA!E205</f>
        <v/>
      </c>
      <c r="F205">
        <f>MIN(E205*20500,10000)</f>
        <v/>
      </c>
      <c r="G205">
        <f>MINIFS(CBIC_Late_Fee_Relief_Windows_3B!$O$205:$O$100,CBIC_Late_Fee_Relief_Windows_3B!$D$205:$D$100,"&lt;="&amp;B205,CBIC_Late_Fee_Relief_Windows_3B!$E$205:$E$100,"&gt;="&amp;B205,CBIC_Late_Fee_Relief_Windows_3B!$F$205:$F$100,"&lt;="&amp;C205,CBIC_Late_Fee_Relief_Windows_3B!$G$205:$G$100,"&gt;="&amp;C205)</f>
        <v/>
      </c>
      <c r="H205">
        <f>INDEX(CBIC_Late_Fee_Relief_Windows_3B!$I$205:$I$100,MATCH(G205,CBIC_Late_Fee_Relief_Windows_3B!$O$205:$O$100,0))</f>
        <v/>
      </c>
      <c r="I205">
        <f>MIN(F205,H205)</f>
        <v/>
      </c>
    </row>
    <row r="206">
      <c r="A206">
        <f>TEST_DATA!A206</f>
        <v/>
      </c>
      <c r="B206">
        <f>TEST_DATA!B206</f>
        <v/>
      </c>
      <c r="C206">
        <f>TEST_DATA!C206</f>
        <v/>
      </c>
      <c r="D206">
        <f>TEST_DATA!D206</f>
        <v/>
      </c>
      <c r="E206">
        <f>TEST_DATA!E206</f>
        <v/>
      </c>
      <c r="F206">
        <f>MIN(E206*20600,10000)</f>
        <v/>
      </c>
      <c r="G206">
        <f>MINIFS(CBIC_Late_Fee_Relief_Windows_3B!$O$206:$O$100,CBIC_Late_Fee_Relief_Windows_3B!$D$206:$D$100,"&lt;="&amp;B206,CBIC_Late_Fee_Relief_Windows_3B!$E$206:$E$100,"&gt;="&amp;B206,CBIC_Late_Fee_Relief_Windows_3B!$F$206:$F$100,"&lt;="&amp;C206,CBIC_Late_Fee_Relief_Windows_3B!$G$206:$G$100,"&gt;="&amp;C206)</f>
        <v/>
      </c>
      <c r="H206">
        <f>INDEX(CBIC_Late_Fee_Relief_Windows_3B!$I$206:$I$100,MATCH(G206,CBIC_Late_Fee_Relief_Windows_3B!$O$206:$O$100,0))</f>
        <v/>
      </c>
      <c r="I206">
        <f>MIN(F206,H206)</f>
        <v/>
      </c>
    </row>
    <row r="207">
      <c r="A207">
        <f>TEST_DATA!A207</f>
        <v/>
      </c>
      <c r="B207">
        <f>TEST_DATA!B207</f>
        <v/>
      </c>
      <c r="C207">
        <f>TEST_DATA!C207</f>
        <v/>
      </c>
      <c r="D207">
        <f>TEST_DATA!D207</f>
        <v/>
      </c>
      <c r="E207">
        <f>TEST_DATA!E207</f>
        <v/>
      </c>
      <c r="F207">
        <f>MIN(E207*20700,10000)</f>
        <v/>
      </c>
      <c r="G207">
        <f>MINIFS(CBIC_Late_Fee_Relief_Windows_3B!$O$207:$O$100,CBIC_Late_Fee_Relief_Windows_3B!$D$207:$D$100,"&lt;="&amp;B207,CBIC_Late_Fee_Relief_Windows_3B!$E$207:$E$100,"&gt;="&amp;B207,CBIC_Late_Fee_Relief_Windows_3B!$F$207:$F$100,"&lt;="&amp;C207,CBIC_Late_Fee_Relief_Windows_3B!$G$207:$G$100,"&gt;="&amp;C207)</f>
        <v/>
      </c>
      <c r="H207">
        <f>INDEX(CBIC_Late_Fee_Relief_Windows_3B!$I$207:$I$100,MATCH(G207,CBIC_Late_Fee_Relief_Windows_3B!$O$207:$O$100,0))</f>
        <v/>
      </c>
      <c r="I207">
        <f>MIN(F207,H207)</f>
        <v/>
      </c>
    </row>
    <row r="208">
      <c r="A208">
        <f>TEST_DATA!A208</f>
        <v/>
      </c>
      <c r="B208">
        <f>TEST_DATA!B208</f>
        <v/>
      </c>
      <c r="C208">
        <f>TEST_DATA!C208</f>
        <v/>
      </c>
      <c r="D208">
        <f>TEST_DATA!D208</f>
        <v/>
      </c>
      <c r="E208">
        <f>TEST_DATA!E208</f>
        <v/>
      </c>
      <c r="F208">
        <f>MIN(E208*20800,10000)</f>
        <v/>
      </c>
      <c r="G208">
        <f>MINIFS(CBIC_Late_Fee_Relief_Windows_3B!$O$208:$O$100,CBIC_Late_Fee_Relief_Windows_3B!$D$208:$D$100,"&lt;="&amp;B208,CBIC_Late_Fee_Relief_Windows_3B!$E$208:$E$100,"&gt;="&amp;B208,CBIC_Late_Fee_Relief_Windows_3B!$F$208:$F$100,"&lt;="&amp;C208,CBIC_Late_Fee_Relief_Windows_3B!$G$208:$G$100,"&gt;="&amp;C208)</f>
        <v/>
      </c>
      <c r="H208">
        <f>INDEX(CBIC_Late_Fee_Relief_Windows_3B!$I$208:$I$100,MATCH(G208,CBIC_Late_Fee_Relief_Windows_3B!$O$208:$O$100,0))</f>
        <v/>
      </c>
      <c r="I208">
        <f>MIN(F208,H208)</f>
        <v/>
      </c>
    </row>
    <row r="209">
      <c r="A209">
        <f>TEST_DATA!A209</f>
        <v/>
      </c>
      <c r="B209">
        <f>TEST_DATA!B209</f>
        <v/>
      </c>
      <c r="C209">
        <f>TEST_DATA!C209</f>
        <v/>
      </c>
      <c r="D209">
        <f>TEST_DATA!D209</f>
        <v/>
      </c>
      <c r="E209">
        <f>TEST_DATA!E209</f>
        <v/>
      </c>
      <c r="F209">
        <f>MIN(E209*20900,10000)</f>
        <v/>
      </c>
      <c r="G209">
        <f>MINIFS(CBIC_Late_Fee_Relief_Windows_3B!$O$209:$O$100,CBIC_Late_Fee_Relief_Windows_3B!$D$209:$D$100,"&lt;="&amp;B209,CBIC_Late_Fee_Relief_Windows_3B!$E$209:$E$100,"&gt;="&amp;B209,CBIC_Late_Fee_Relief_Windows_3B!$F$209:$F$100,"&lt;="&amp;C209,CBIC_Late_Fee_Relief_Windows_3B!$G$209:$G$100,"&gt;="&amp;C209)</f>
        <v/>
      </c>
      <c r="H209">
        <f>INDEX(CBIC_Late_Fee_Relief_Windows_3B!$I$209:$I$100,MATCH(G209,CBIC_Late_Fee_Relief_Windows_3B!$O$209:$O$100,0))</f>
        <v/>
      </c>
      <c r="I209">
        <f>MIN(F209,H209)</f>
        <v/>
      </c>
    </row>
    <row r="210">
      <c r="A210">
        <f>TEST_DATA!A210</f>
        <v/>
      </c>
      <c r="B210">
        <f>TEST_DATA!B210</f>
        <v/>
      </c>
      <c r="C210">
        <f>TEST_DATA!C210</f>
        <v/>
      </c>
      <c r="D210">
        <f>TEST_DATA!D210</f>
        <v/>
      </c>
      <c r="E210">
        <f>TEST_DATA!E210</f>
        <v/>
      </c>
      <c r="F210">
        <f>MIN(E210*21000,10000)</f>
        <v/>
      </c>
      <c r="G210">
        <f>MINIFS(CBIC_Late_Fee_Relief_Windows_3B!$O$210:$O$100,CBIC_Late_Fee_Relief_Windows_3B!$D$210:$D$100,"&lt;="&amp;B210,CBIC_Late_Fee_Relief_Windows_3B!$E$210:$E$100,"&gt;="&amp;B210,CBIC_Late_Fee_Relief_Windows_3B!$F$210:$F$100,"&lt;="&amp;C210,CBIC_Late_Fee_Relief_Windows_3B!$G$210:$G$100,"&gt;="&amp;C210)</f>
        <v/>
      </c>
      <c r="H210">
        <f>INDEX(CBIC_Late_Fee_Relief_Windows_3B!$I$210:$I$100,MATCH(G210,CBIC_Late_Fee_Relief_Windows_3B!$O$210:$O$100,0))</f>
        <v/>
      </c>
      <c r="I210">
        <f>MIN(F210,H210)</f>
        <v/>
      </c>
    </row>
    <row r="211">
      <c r="A211">
        <f>TEST_DATA!A211</f>
        <v/>
      </c>
      <c r="B211">
        <f>TEST_DATA!B211</f>
        <v/>
      </c>
      <c r="C211">
        <f>TEST_DATA!C211</f>
        <v/>
      </c>
      <c r="D211">
        <f>TEST_DATA!D211</f>
        <v/>
      </c>
      <c r="E211">
        <f>TEST_DATA!E211</f>
        <v/>
      </c>
      <c r="F211">
        <f>MIN(E211*21100,10000)</f>
        <v/>
      </c>
      <c r="G211">
        <f>MINIFS(CBIC_Late_Fee_Relief_Windows_3B!$O$211:$O$100,CBIC_Late_Fee_Relief_Windows_3B!$D$211:$D$100,"&lt;="&amp;B211,CBIC_Late_Fee_Relief_Windows_3B!$E$211:$E$100,"&gt;="&amp;B211,CBIC_Late_Fee_Relief_Windows_3B!$F$211:$F$100,"&lt;="&amp;C211,CBIC_Late_Fee_Relief_Windows_3B!$G$211:$G$100,"&gt;="&amp;C211)</f>
        <v/>
      </c>
      <c r="H211">
        <f>INDEX(CBIC_Late_Fee_Relief_Windows_3B!$I$211:$I$100,MATCH(G211,CBIC_Late_Fee_Relief_Windows_3B!$O$211:$O$100,0))</f>
        <v/>
      </c>
      <c r="I211">
        <f>MIN(F211,H211)</f>
        <v/>
      </c>
    </row>
    <row r="212">
      <c r="A212">
        <f>TEST_DATA!A212</f>
        <v/>
      </c>
      <c r="B212">
        <f>TEST_DATA!B212</f>
        <v/>
      </c>
      <c r="C212">
        <f>TEST_DATA!C212</f>
        <v/>
      </c>
      <c r="D212">
        <f>TEST_DATA!D212</f>
        <v/>
      </c>
      <c r="E212">
        <f>TEST_DATA!E212</f>
        <v/>
      </c>
      <c r="F212">
        <f>MIN(E212*21200,10000)</f>
        <v/>
      </c>
      <c r="G212">
        <f>MINIFS(CBIC_Late_Fee_Relief_Windows_3B!$O$212:$O$100,CBIC_Late_Fee_Relief_Windows_3B!$D$212:$D$100,"&lt;="&amp;B212,CBIC_Late_Fee_Relief_Windows_3B!$E$212:$E$100,"&gt;="&amp;B212,CBIC_Late_Fee_Relief_Windows_3B!$F$212:$F$100,"&lt;="&amp;C212,CBIC_Late_Fee_Relief_Windows_3B!$G$212:$G$100,"&gt;="&amp;C212)</f>
        <v/>
      </c>
      <c r="H212">
        <f>INDEX(CBIC_Late_Fee_Relief_Windows_3B!$I$212:$I$100,MATCH(G212,CBIC_Late_Fee_Relief_Windows_3B!$O$212:$O$100,0))</f>
        <v/>
      </c>
      <c r="I212">
        <f>MIN(F212,H212)</f>
        <v/>
      </c>
    </row>
    <row r="213">
      <c r="A213">
        <f>TEST_DATA!A213</f>
        <v/>
      </c>
      <c r="B213">
        <f>TEST_DATA!B213</f>
        <v/>
      </c>
      <c r="C213">
        <f>TEST_DATA!C213</f>
        <v/>
      </c>
      <c r="D213">
        <f>TEST_DATA!D213</f>
        <v/>
      </c>
      <c r="E213">
        <f>TEST_DATA!E213</f>
        <v/>
      </c>
      <c r="F213">
        <f>MIN(E213*21300,10000)</f>
        <v/>
      </c>
      <c r="G213">
        <f>MINIFS(CBIC_Late_Fee_Relief_Windows_3B!$O$213:$O$100,CBIC_Late_Fee_Relief_Windows_3B!$D$213:$D$100,"&lt;="&amp;B213,CBIC_Late_Fee_Relief_Windows_3B!$E$213:$E$100,"&gt;="&amp;B213,CBIC_Late_Fee_Relief_Windows_3B!$F$213:$F$100,"&lt;="&amp;C213,CBIC_Late_Fee_Relief_Windows_3B!$G$213:$G$100,"&gt;="&amp;C213)</f>
        <v/>
      </c>
      <c r="H213">
        <f>INDEX(CBIC_Late_Fee_Relief_Windows_3B!$I$213:$I$100,MATCH(G213,CBIC_Late_Fee_Relief_Windows_3B!$O$213:$O$100,0))</f>
        <v/>
      </c>
      <c r="I213">
        <f>MIN(F213,H213)</f>
        <v/>
      </c>
    </row>
    <row r="214">
      <c r="A214">
        <f>TEST_DATA!A214</f>
        <v/>
      </c>
      <c r="B214">
        <f>TEST_DATA!B214</f>
        <v/>
      </c>
      <c r="C214">
        <f>TEST_DATA!C214</f>
        <v/>
      </c>
      <c r="D214">
        <f>TEST_DATA!D214</f>
        <v/>
      </c>
      <c r="E214">
        <f>TEST_DATA!E214</f>
        <v/>
      </c>
      <c r="F214">
        <f>MIN(E214*21400,10000)</f>
        <v/>
      </c>
      <c r="G214">
        <f>MINIFS(CBIC_Late_Fee_Relief_Windows_3B!$O$214:$O$100,CBIC_Late_Fee_Relief_Windows_3B!$D$214:$D$100,"&lt;="&amp;B214,CBIC_Late_Fee_Relief_Windows_3B!$E$214:$E$100,"&gt;="&amp;B214,CBIC_Late_Fee_Relief_Windows_3B!$F$214:$F$100,"&lt;="&amp;C214,CBIC_Late_Fee_Relief_Windows_3B!$G$214:$G$100,"&gt;="&amp;C214)</f>
        <v/>
      </c>
      <c r="H214">
        <f>INDEX(CBIC_Late_Fee_Relief_Windows_3B!$I$214:$I$100,MATCH(G214,CBIC_Late_Fee_Relief_Windows_3B!$O$214:$O$100,0))</f>
        <v/>
      </c>
      <c r="I214">
        <f>MIN(F214,H214)</f>
        <v/>
      </c>
    </row>
    <row r="215">
      <c r="A215">
        <f>TEST_DATA!A215</f>
        <v/>
      </c>
      <c r="B215">
        <f>TEST_DATA!B215</f>
        <v/>
      </c>
      <c r="C215">
        <f>TEST_DATA!C215</f>
        <v/>
      </c>
      <c r="D215">
        <f>TEST_DATA!D215</f>
        <v/>
      </c>
      <c r="E215">
        <f>TEST_DATA!E215</f>
        <v/>
      </c>
      <c r="F215">
        <f>MIN(E215*21500,10000)</f>
        <v/>
      </c>
      <c r="G215">
        <f>MINIFS(CBIC_Late_Fee_Relief_Windows_3B!$O$215:$O$100,CBIC_Late_Fee_Relief_Windows_3B!$D$215:$D$100,"&lt;="&amp;B215,CBIC_Late_Fee_Relief_Windows_3B!$E$215:$E$100,"&gt;="&amp;B215,CBIC_Late_Fee_Relief_Windows_3B!$F$215:$F$100,"&lt;="&amp;C215,CBIC_Late_Fee_Relief_Windows_3B!$G$215:$G$100,"&gt;="&amp;C215)</f>
        <v/>
      </c>
      <c r="H215">
        <f>INDEX(CBIC_Late_Fee_Relief_Windows_3B!$I$215:$I$100,MATCH(G215,CBIC_Late_Fee_Relief_Windows_3B!$O$215:$O$100,0))</f>
        <v/>
      </c>
      <c r="I215">
        <f>MIN(F215,H215)</f>
        <v/>
      </c>
    </row>
    <row r="216">
      <c r="A216">
        <f>TEST_DATA!A216</f>
        <v/>
      </c>
      <c r="B216">
        <f>TEST_DATA!B216</f>
        <v/>
      </c>
      <c r="C216">
        <f>TEST_DATA!C216</f>
        <v/>
      </c>
      <c r="D216">
        <f>TEST_DATA!D216</f>
        <v/>
      </c>
      <c r="E216">
        <f>TEST_DATA!E216</f>
        <v/>
      </c>
      <c r="F216">
        <f>MIN(E216*21600,10000)</f>
        <v/>
      </c>
      <c r="G216">
        <f>MINIFS(CBIC_Late_Fee_Relief_Windows_3B!$O$216:$O$100,CBIC_Late_Fee_Relief_Windows_3B!$D$216:$D$100,"&lt;="&amp;B216,CBIC_Late_Fee_Relief_Windows_3B!$E$216:$E$100,"&gt;="&amp;B216,CBIC_Late_Fee_Relief_Windows_3B!$F$216:$F$100,"&lt;="&amp;C216,CBIC_Late_Fee_Relief_Windows_3B!$G$216:$G$100,"&gt;="&amp;C216)</f>
        <v/>
      </c>
      <c r="H216">
        <f>INDEX(CBIC_Late_Fee_Relief_Windows_3B!$I$216:$I$100,MATCH(G216,CBIC_Late_Fee_Relief_Windows_3B!$O$216:$O$100,0))</f>
        <v/>
      </c>
      <c r="I216">
        <f>MIN(F216,H216)</f>
        <v/>
      </c>
    </row>
    <row r="217">
      <c r="A217">
        <f>TEST_DATA!A217</f>
        <v/>
      </c>
      <c r="B217">
        <f>TEST_DATA!B217</f>
        <v/>
      </c>
      <c r="C217">
        <f>TEST_DATA!C217</f>
        <v/>
      </c>
      <c r="D217">
        <f>TEST_DATA!D217</f>
        <v/>
      </c>
      <c r="E217">
        <f>TEST_DATA!E217</f>
        <v/>
      </c>
      <c r="F217">
        <f>MIN(E217*21700,10000)</f>
        <v/>
      </c>
      <c r="G217">
        <f>MINIFS(CBIC_Late_Fee_Relief_Windows_3B!$O$217:$O$100,CBIC_Late_Fee_Relief_Windows_3B!$D$217:$D$100,"&lt;="&amp;B217,CBIC_Late_Fee_Relief_Windows_3B!$E$217:$E$100,"&gt;="&amp;B217,CBIC_Late_Fee_Relief_Windows_3B!$F$217:$F$100,"&lt;="&amp;C217,CBIC_Late_Fee_Relief_Windows_3B!$G$217:$G$100,"&gt;="&amp;C217)</f>
        <v/>
      </c>
      <c r="H217">
        <f>INDEX(CBIC_Late_Fee_Relief_Windows_3B!$I$217:$I$100,MATCH(G217,CBIC_Late_Fee_Relief_Windows_3B!$O$217:$O$100,0))</f>
        <v/>
      </c>
      <c r="I217">
        <f>MIN(F217,H217)</f>
        <v/>
      </c>
    </row>
    <row r="218">
      <c r="A218">
        <f>TEST_DATA!A218</f>
        <v/>
      </c>
      <c r="B218">
        <f>TEST_DATA!B218</f>
        <v/>
      </c>
      <c r="C218">
        <f>TEST_DATA!C218</f>
        <v/>
      </c>
      <c r="D218">
        <f>TEST_DATA!D218</f>
        <v/>
      </c>
      <c r="E218">
        <f>TEST_DATA!E218</f>
        <v/>
      </c>
      <c r="F218">
        <f>MIN(E218*21800,10000)</f>
        <v/>
      </c>
      <c r="G218">
        <f>MINIFS(CBIC_Late_Fee_Relief_Windows_3B!$O$218:$O$100,CBIC_Late_Fee_Relief_Windows_3B!$D$218:$D$100,"&lt;="&amp;B218,CBIC_Late_Fee_Relief_Windows_3B!$E$218:$E$100,"&gt;="&amp;B218,CBIC_Late_Fee_Relief_Windows_3B!$F$218:$F$100,"&lt;="&amp;C218,CBIC_Late_Fee_Relief_Windows_3B!$G$218:$G$100,"&gt;="&amp;C218)</f>
        <v/>
      </c>
      <c r="H218">
        <f>INDEX(CBIC_Late_Fee_Relief_Windows_3B!$I$218:$I$100,MATCH(G218,CBIC_Late_Fee_Relief_Windows_3B!$O$218:$O$100,0))</f>
        <v/>
      </c>
      <c r="I218">
        <f>MIN(F218,H218)</f>
        <v/>
      </c>
    </row>
    <row r="219">
      <c r="A219">
        <f>TEST_DATA!A219</f>
        <v/>
      </c>
      <c r="B219">
        <f>TEST_DATA!B219</f>
        <v/>
      </c>
      <c r="C219">
        <f>TEST_DATA!C219</f>
        <v/>
      </c>
      <c r="D219">
        <f>TEST_DATA!D219</f>
        <v/>
      </c>
      <c r="E219">
        <f>TEST_DATA!E219</f>
        <v/>
      </c>
      <c r="F219">
        <f>MIN(E219*21900,10000)</f>
        <v/>
      </c>
      <c r="G219">
        <f>MINIFS(CBIC_Late_Fee_Relief_Windows_3B!$O$219:$O$100,CBIC_Late_Fee_Relief_Windows_3B!$D$219:$D$100,"&lt;="&amp;B219,CBIC_Late_Fee_Relief_Windows_3B!$E$219:$E$100,"&gt;="&amp;B219,CBIC_Late_Fee_Relief_Windows_3B!$F$219:$F$100,"&lt;="&amp;C219,CBIC_Late_Fee_Relief_Windows_3B!$G$219:$G$100,"&gt;="&amp;C219)</f>
        <v/>
      </c>
      <c r="H219">
        <f>INDEX(CBIC_Late_Fee_Relief_Windows_3B!$I$219:$I$100,MATCH(G219,CBIC_Late_Fee_Relief_Windows_3B!$O$219:$O$100,0))</f>
        <v/>
      </c>
      <c r="I219">
        <f>MIN(F219,H219)</f>
        <v/>
      </c>
    </row>
    <row r="220">
      <c r="A220">
        <f>TEST_DATA!A220</f>
        <v/>
      </c>
      <c r="B220">
        <f>TEST_DATA!B220</f>
        <v/>
      </c>
      <c r="C220">
        <f>TEST_DATA!C220</f>
        <v/>
      </c>
      <c r="D220">
        <f>TEST_DATA!D220</f>
        <v/>
      </c>
      <c r="E220">
        <f>TEST_DATA!E220</f>
        <v/>
      </c>
      <c r="F220">
        <f>MIN(E220*22000,10000)</f>
        <v/>
      </c>
      <c r="G220">
        <f>MINIFS(CBIC_Late_Fee_Relief_Windows_3B!$O$220:$O$100,CBIC_Late_Fee_Relief_Windows_3B!$D$220:$D$100,"&lt;="&amp;B220,CBIC_Late_Fee_Relief_Windows_3B!$E$220:$E$100,"&gt;="&amp;B220,CBIC_Late_Fee_Relief_Windows_3B!$F$220:$F$100,"&lt;="&amp;C220,CBIC_Late_Fee_Relief_Windows_3B!$G$220:$G$100,"&gt;="&amp;C220)</f>
        <v/>
      </c>
      <c r="H220">
        <f>INDEX(CBIC_Late_Fee_Relief_Windows_3B!$I$220:$I$100,MATCH(G220,CBIC_Late_Fee_Relief_Windows_3B!$O$220:$O$100,0))</f>
        <v/>
      </c>
      <c r="I220">
        <f>MIN(F220,H220)</f>
        <v/>
      </c>
    </row>
    <row r="221">
      <c r="A221">
        <f>TEST_DATA!A221</f>
        <v/>
      </c>
      <c r="B221">
        <f>TEST_DATA!B221</f>
        <v/>
      </c>
      <c r="C221">
        <f>TEST_DATA!C221</f>
        <v/>
      </c>
      <c r="D221">
        <f>TEST_DATA!D221</f>
        <v/>
      </c>
      <c r="E221">
        <f>TEST_DATA!E221</f>
        <v/>
      </c>
      <c r="F221">
        <f>MIN(E221*22100,10000)</f>
        <v/>
      </c>
      <c r="G221">
        <f>MINIFS(CBIC_Late_Fee_Relief_Windows_3B!$O$221:$O$100,CBIC_Late_Fee_Relief_Windows_3B!$D$221:$D$100,"&lt;="&amp;B221,CBIC_Late_Fee_Relief_Windows_3B!$E$221:$E$100,"&gt;="&amp;B221,CBIC_Late_Fee_Relief_Windows_3B!$F$221:$F$100,"&lt;="&amp;C221,CBIC_Late_Fee_Relief_Windows_3B!$G$221:$G$100,"&gt;="&amp;C221)</f>
        <v/>
      </c>
      <c r="H221">
        <f>INDEX(CBIC_Late_Fee_Relief_Windows_3B!$I$221:$I$100,MATCH(G221,CBIC_Late_Fee_Relief_Windows_3B!$O$221:$O$100,0))</f>
        <v/>
      </c>
      <c r="I221">
        <f>MIN(F221,H221)</f>
        <v/>
      </c>
    </row>
    <row r="222">
      <c r="A222">
        <f>TEST_DATA!A222</f>
        <v/>
      </c>
      <c r="B222">
        <f>TEST_DATA!B222</f>
        <v/>
      </c>
      <c r="C222">
        <f>TEST_DATA!C222</f>
        <v/>
      </c>
      <c r="D222">
        <f>TEST_DATA!D222</f>
        <v/>
      </c>
      <c r="E222">
        <f>TEST_DATA!E222</f>
        <v/>
      </c>
      <c r="F222">
        <f>MIN(E222*22200,10000)</f>
        <v/>
      </c>
      <c r="G222">
        <f>MINIFS(CBIC_Late_Fee_Relief_Windows_3B!$O$222:$O$100,CBIC_Late_Fee_Relief_Windows_3B!$D$222:$D$100,"&lt;="&amp;B222,CBIC_Late_Fee_Relief_Windows_3B!$E$222:$E$100,"&gt;="&amp;B222,CBIC_Late_Fee_Relief_Windows_3B!$F$222:$F$100,"&lt;="&amp;C222,CBIC_Late_Fee_Relief_Windows_3B!$G$222:$G$100,"&gt;="&amp;C222)</f>
        <v/>
      </c>
      <c r="H222">
        <f>INDEX(CBIC_Late_Fee_Relief_Windows_3B!$I$222:$I$100,MATCH(G222,CBIC_Late_Fee_Relief_Windows_3B!$O$222:$O$100,0))</f>
        <v/>
      </c>
      <c r="I222">
        <f>MIN(F222,H222)</f>
        <v/>
      </c>
    </row>
    <row r="223">
      <c r="A223">
        <f>TEST_DATA!A223</f>
        <v/>
      </c>
      <c r="B223">
        <f>TEST_DATA!B223</f>
        <v/>
      </c>
      <c r="C223">
        <f>TEST_DATA!C223</f>
        <v/>
      </c>
      <c r="D223">
        <f>TEST_DATA!D223</f>
        <v/>
      </c>
      <c r="E223">
        <f>TEST_DATA!E223</f>
        <v/>
      </c>
      <c r="F223">
        <f>MIN(E223*22300,10000)</f>
        <v/>
      </c>
      <c r="G223">
        <f>MINIFS(CBIC_Late_Fee_Relief_Windows_3B!$O$223:$O$100,CBIC_Late_Fee_Relief_Windows_3B!$D$223:$D$100,"&lt;="&amp;B223,CBIC_Late_Fee_Relief_Windows_3B!$E$223:$E$100,"&gt;="&amp;B223,CBIC_Late_Fee_Relief_Windows_3B!$F$223:$F$100,"&lt;="&amp;C223,CBIC_Late_Fee_Relief_Windows_3B!$G$223:$G$100,"&gt;="&amp;C223)</f>
        <v/>
      </c>
      <c r="H223">
        <f>INDEX(CBIC_Late_Fee_Relief_Windows_3B!$I$223:$I$100,MATCH(G223,CBIC_Late_Fee_Relief_Windows_3B!$O$223:$O$100,0))</f>
        <v/>
      </c>
      <c r="I223">
        <f>MIN(F223,H223)</f>
        <v/>
      </c>
    </row>
    <row r="224">
      <c r="A224">
        <f>TEST_DATA!A224</f>
        <v/>
      </c>
      <c r="B224">
        <f>TEST_DATA!B224</f>
        <v/>
      </c>
      <c r="C224">
        <f>TEST_DATA!C224</f>
        <v/>
      </c>
      <c r="D224">
        <f>TEST_DATA!D224</f>
        <v/>
      </c>
      <c r="E224">
        <f>TEST_DATA!E224</f>
        <v/>
      </c>
      <c r="F224">
        <f>MIN(E224*22400,10000)</f>
        <v/>
      </c>
      <c r="G224">
        <f>MINIFS(CBIC_Late_Fee_Relief_Windows_3B!$O$224:$O$100,CBIC_Late_Fee_Relief_Windows_3B!$D$224:$D$100,"&lt;="&amp;B224,CBIC_Late_Fee_Relief_Windows_3B!$E$224:$E$100,"&gt;="&amp;B224,CBIC_Late_Fee_Relief_Windows_3B!$F$224:$F$100,"&lt;="&amp;C224,CBIC_Late_Fee_Relief_Windows_3B!$G$224:$G$100,"&gt;="&amp;C224)</f>
        <v/>
      </c>
      <c r="H224">
        <f>INDEX(CBIC_Late_Fee_Relief_Windows_3B!$I$224:$I$100,MATCH(G224,CBIC_Late_Fee_Relief_Windows_3B!$O$224:$O$100,0))</f>
        <v/>
      </c>
      <c r="I224">
        <f>MIN(F224,H224)</f>
        <v/>
      </c>
    </row>
    <row r="225">
      <c r="A225">
        <f>TEST_DATA!A225</f>
        <v/>
      </c>
      <c r="B225">
        <f>TEST_DATA!B225</f>
        <v/>
      </c>
      <c r="C225">
        <f>TEST_DATA!C225</f>
        <v/>
      </c>
      <c r="D225">
        <f>TEST_DATA!D225</f>
        <v/>
      </c>
      <c r="E225">
        <f>TEST_DATA!E225</f>
        <v/>
      </c>
      <c r="F225">
        <f>MIN(E225*22500,10000)</f>
        <v/>
      </c>
      <c r="G225">
        <f>MINIFS(CBIC_Late_Fee_Relief_Windows_3B!$O$225:$O$100,CBIC_Late_Fee_Relief_Windows_3B!$D$225:$D$100,"&lt;="&amp;B225,CBIC_Late_Fee_Relief_Windows_3B!$E$225:$E$100,"&gt;="&amp;B225,CBIC_Late_Fee_Relief_Windows_3B!$F$225:$F$100,"&lt;="&amp;C225,CBIC_Late_Fee_Relief_Windows_3B!$G$225:$G$100,"&gt;="&amp;C225)</f>
        <v/>
      </c>
      <c r="H225">
        <f>INDEX(CBIC_Late_Fee_Relief_Windows_3B!$I$225:$I$100,MATCH(G225,CBIC_Late_Fee_Relief_Windows_3B!$O$225:$O$100,0))</f>
        <v/>
      </c>
      <c r="I225">
        <f>MIN(F225,H225)</f>
        <v/>
      </c>
    </row>
    <row r="226">
      <c r="A226">
        <f>TEST_DATA!A226</f>
        <v/>
      </c>
      <c r="B226">
        <f>TEST_DATA!B226</f>
        <v/>
      </c>
      <c r="C226">
        <f>TEST_DATA!C226</f>
        <v/>
      </c>
      <c r="D226">
        <f>TEST_DATA!D226</f>
        <v/>
      </c>
      <c r="E226">
        <f>TEST_DATA!E226</f>
        <v/>
      </c>
      <c r="F226">
        <f>MIN(E226*22600,10000)</f>
        <v/>
      </c>
      <c r="G226">
        <f>MINIFS(CBIC_Late_Fee_Relief_Windows_3B!$O$226:$O$100,CBIC_Late_Fee_Relief_Windows_3B!$D$226:$D$100,"&lt;="&amp;B226,CBIC_Late_Fee_Relief_Windows_3B!$E$226:$E$100,"&gt;="&amp;B226,CBIC_Late_Fee_Relief_Windows_3B!$F$226:$F$100,"&lt;="&amp;C226,CBIC_Late_Fee_Relief_Windows_3B!$G$226:$G$100,"&gt;="&amp;C226)</f>
        <v/>
      </c>
      <c r="H226">
        <f>INDEX(CBIC_Late_Fee_Relief_Windows_3B!$I$226:$I$100,MATCH(G226,CBIC_Late_Fee_Relief_Windows_3B!$O$226:$O$100,0))</f>
        <v/>
      </c>
      <c r="I226">
        <f>MIN(F226,H226)</f>
        <v/>
      </c>
    </row>
    <row r="227">
      <c r="A227">
        <f>TEST_DATA!A227</f>
        <v/>
      </c>
      <c r="B227">
        <f>TEST_DATA!B227</f>
        <v/>
      </c>
      <c r="C227">
        <f>TEST_DATA!C227</f>
        <v/>
      </c>
      <c r="D227">
        <f>TEST_DATA!D227</f>
        <v/>
      </c>
      <c r="E227">
        <f>TEST_DATA!E227</f>
        <v/>
      </c>
      <c r="F227">
        <f>MIN(E227*22700,10000)</f>
        <v/>
      </c>
      <c r="G227">
        <f>MINIFS(CBIC_Late_Fee_Relief_Windows_3B!$O$227:$O$100,CBIC_Late_Fee_Relief_Windows_3B!$D$227:$D$100,"&lt;="&amp;B227,CBIC_Late_Fee_Relief_Windows_3B!$E$227:$E$100,"&gt;="&amp;B227,CBIC_Late_Fee_Relief_Windows_3B!$F$227:$F$100,"&lt;="&amp;C227,CBIC_Late_Fee_Relief_Windows_3B!$G$227:$G$100,"&gt;="&amp;C227)</f>
        <v/>
      </c>
      <c r="H227">
        <f>INDEX(CBIC_Late_Fee_Relief_Windows_3B!$I$227:$I$100,MATCH(G227,CBIC_Late_Fee_Relief_Windows_3B!$O$227:$O$100,0))</f>
        <v/>
      </c>
      <c r="I227">
        <f>MIN(F227,H227)</f>
        <v/>
      </c>
    </row>
    <row r="228">
      <c r="A228">
        <f>TEST_DATA!A228</f>
        <v/>
      </c>
      <c r="B228">
        <f>TEST_DATA!B228</f>
        <v/>
      </c>
      <c r="C228">
        <f>TEST_DATA!C228</f>
        <v/>
      </c>
      <c r="D228">
        <f>TEST_DATA!D228</f>
        <v/>
      </c>
      <c r="E228">
        <f>TEST_DATA!E228</f>
        <v/>
      </c>
      <c r="F228">
        <f>MIN(E228*22800,10000)</f>
        <v/>
      </c>
      <c r="G228">
        <f>MINIFS(CBIC_Late_Fee_Relief_Windows_3B!$O$228:$O$100,CBIC_Late_Fee_Relief_Windows_3B!$D$228:$D$100,"&lt;="&amp;B228,CBIC_Late_Fee_Relief_Windows_3B!$E$228:$E$100,"&gt;="&amp;B228,CBIC_Late_Fee_Relief_Windows_3B!$F$228:$F$100,"&lt;="&amp;C228,CBIC_Late_Fee_Relief_Windows_3B!$G$228:$G$100,"&gt;="&amp;C228)</f>
        <v/>
      </c>
      <c r="H228">
        <f>INDEX(CBIC_Late_Fee_Relief_Windows_3B!$I$228:$I$100,MATCH(G228,CBIC_Late_Fee_Relief_Windows_3B!$O$228:$O$100,0))</f>
        <v/>
      </c>
      <c r="I228">
        <f>MIN(F228,H228)</f>
        <v/>
      </c>
    </row>
    <row r="229">
      <c r="A229">
        <f>TEST_DATA!A229</f>
        <v/>
      </c>
      <c r="B229">
        <f>TEST_DATA!B229</f>
        <v/>
      </c>
      <c r="C229">
        <f>TEST_DATA!C229</f>
        <v/>
      </c>
      <c r="D229">
        <f>TEST_DATA!D229</f>
        <v/>
      </c>
      <c r="E229">
        <f>TEST_DATA!E229</f>
        <v/>
      </c>
      <c r="F229">
        <f>MIN(E229*22900,10000)</f>
        <v/>
      </c>
      <c r="G229">
        <f>MINIFS(CBIC_Late_Fee_Relief_Windows_3B!$O$229:$O$100,CBIC_Late_Fee_Relief_Windows_3B!$D$229:$D$100,"&lt;="&amp;B229,CBIC_Late_Fee_Relief_Windows_3B!$E$229:$E$100,"&gt;="&amp;B229,CBIC_Late_Fee_Relief_Windows_3B!$F$229:$F$100,"&lt;="&amp;C229,CBIC_Late_Fee_Relief_Windows_3B!$G$229:$G$100,"&gt;="&amp;C229)</f>
        <v/>
      </c>
      <c r="H229">
        <f>INDEX(CBIC_Late_Fee_Relief_Windows_3B!$I$229:$I$100,MATCH(G229,CBIC_Late_Fee_Relief_Windows_3B!$O$229:$O$100,0))</f>
        <v/>
      </c>
      <c r="I229">
        <f>MIN(F229,H229)</f>
        <v/>
      </c>
    </row>
    <row r="230">
      <c r="A230">
        <f>TEST_DATA!A230</f>
        <v/>
      </c>
      <c r="B230">
        <f>TEST_DATA!B230</f>
        <v/>
      </c>
      <c r="C230">
        <f>TEST_DATA!C230</f>
        <v/>
      </c>
      <c r="D230">
        <f>TEST_DATA!D230</f>
        <v/>
      </c>
      <c r="E230">
        <f>TEST_DATA!E230</f>
        <v/>
      </c>
      <c r="F230">
        <f>MIN(E230*23000,10000)</f>
        <v/>
      </c>
      <c r="G230">
        <f>MINIFS(CBIC_Late_Fee_Relief_Windows_3B!$O$230:$O$100,CBIC_Late_Fee_Relief_Windows_3B!$D$230:$D$100,"&lt;="&amp;B230,CBIC_Late_Fee_Relief_Windows_3B!$E$230:$E$100,"&gt;="&amp;B230,CBIC_Late_Fee_Relief_Windows_3B!$F$230:$F$100,"&lt;="&amp;C230,CBIC_Late_Fee_Relief_Windows_3B!$G$230:$G$100,"&gt;="&amp;C230)</f>
        <v/>
      </c>
      <c r="H230">
        <f>INDEX(CBIC_Late_Fee_Relief_Windows_3B!$I$230:$I$100,MATCH(G230,CBIC_Late_Fee_Relief_Windows_3B!$O$230:$O$100,0))</f>
        <v/>
      </c>
      <c r="I230">
        <f>MIN(F230,H230)</f>
        <v/>
      </c>
    </row>
    <row r="231">
      <c r="A231">
        <f>TEST_DATA!A231</f>
        <v/>
      </c>
      <c r="B231">
        <f>TEST_DATA!B231</f>
        <v/>
      </c>
      <c r="C231">
        <f>TEST_DATA!C231</f>
        <v/>
      </c>
      <c r="D231">
        <f>TEST_DATA!D231</f>
        <v/>
      </c>
      <c r="E231">
        <f>TEST_DATA!E231</f>
        <v/>
      </c>
      <c r="F231">
        <f>MIN(E231*23100,10000)</f>
        <v/>
      </c>
      <c r="G231">
        <f>MINIFS(CBIC_Late_Fee_Relief_Windows_3B!$O$231:$O$100,CBIC_Late_Fee_Relief_Windows_3B!$D$231:$D$100,"&lt;="&amp;B231,CBIC_Late_Fee_Relief_Windows_3B!$E$231:$E$100,"&gt;="&amp;B231,CBIC_Late_Fee_Relief_Windows_3B!$F$231:$F$100,"&lt;="&amp;C231,CBIC_Late_Fee_Relief_Windows_3B!$G$231:$G$100,"&gt;="&amp;C231)</f>
        <v/>
      </c>
      <c r="H231">
        <f>INDEX(CBIC_Late_Fee_Relief_Windows_3B!$I$231:$I$100,MATCH(G231,CBIC_Late_Fee_Relief_Windows_3B!$O$231:$O$100,0))</f>
        <v/>
      </c>
      <c r="I231">
        <f>MIN(F231,H231)</f>
        <v/>
      </c>
    </row>
    <row r="232">
      <c r="A232">
        <f>TEST_DATA!A232</f>
        <v/>
      </c>
      <c r="B232">
        <f>TEST_DATA!B232</f>
        <v/>
      </c>
      <c r="C232">
        <f>TEST_DATA!C232</f>
        <v/>
      </c>
      <c r="D232">
        <f>TEST_DATA!D232</f>
        <v/>
      </c>
      <c r="E232">
        <f>TEST_DATA!E232</f>
        <v/>
      </c>
      <c r="F232">
        <f>MIN(E232*23200,10000)</f>
        <v/>
      </c>
      <c r="G232">
        <f>MINIFS(CBIC_Late_Fee_Relief_Windows_3B!$O$232:$O$100,CBIC_Late_Fee_Relief_Windows_3B!$D$232:$D$100,"&lt;="&amp;B232,CBIC_Late_Fee_Relief_Windows_3B!$E$232:$E$100,"&gt;="&amp;B232,CBIC_Late_Fee_Relief_Windows_3B!$F$232:$F$100,"&lt;="&amp;C232,CBIC_Late_Fee_Relief_Windows_3B!$G$232:$G$100,"&gt;="&amp;C232)</f>
        <v/>
      </c>
      <c r="H232">
        <f>INDEX(CBIC_Late_Fee_Relief_Windows_3B!$I$232:$I$100,MATCH(G232,CBIC_Late_Fee_Relief_Windows_3B!$O$232:$O$100,0))</f>
        <v/>
      </c>
      <c r="I232">
        <f>MIN(F232,H232)</f>
        <v/>
      </c>
    </row>
    <row r="233">
      <c r="A233">
        <f>TEST_DATA!A233</f>
        <v/>
      </c>
      <c r="B233">
        <f>TEST_DATA!B233</f>
        <v/>
      </c>
      <c r="C233">
        <f>TEST_DATA!C233</f>
        <v/>
      </c>
      <c r="D233">
        <f>TEST_DATA!D233</f>
        <v/>
      </c>
      <c r="E233">
        <f>TEST_DATA!E233</f>
        <v/>
      </c>
      <c r="F233">
        <f>MIN(E233*23300,10000)</f>
        <v/>
      </c>
      <c r="G233">
        <f>MINIFS(CBIC_Late_Fee_Relief_Windows_3B!$O$233:$O$100,CBIC_Late_Fee_Relief_Windows_3B!$D$233:$D$100,"&lt;="&amp;B233,CBIC_Late_Fee_Relief_Windows_3B!$E$233:$E$100,"&gt;="&amp;B233,CBIC_Late_Fee_Relief_Windows_3B!$F$233:$F$100,"&lt;="&amp;C233,CBIC_Late_Fee_Relief_Windows_3B!$G$233:$G$100,"&gt;="&amp;C233)</f>
        <v/>
      </c>
      <c r="H233">
        <f>INDEX(CBIC_Late_Fee_Relief_Windows_3B!$I$233:$I$100,MATCH(G233,CBIC_Late_Fee_Relief_Windows_3B!$O$233:$O$100,0))</f>
        <v/>
      </c>
      <c r="I233">
        <f>MIN(F233,H233)</f>
        <v/>
      </c>
    </row>
    <row r="234">
      <c r="A234">
        <f>TEST_DATA!A234</f>
        <v/>
      </c>
      <c r="B234">
        <f>TEST_DATA!B234</f>
        <v/>
      </c>
      <c r="C234">
        <f>TEST_DATA!C234</f>
        <v/>
      </c>
      <c r="D234">
        <f>TEST_DATA!D234</f>
        <v/>
      </c>
      <c r="E234">
        <f>TEST_DATA!E234</f>
        <v/>
      </c>
      <c r="F234">
        <f>MIN(E234*23400,10000)</f>
        <v/>
      </c>
      <c r="G234">
        <f>MINIFS(CBIC_Late_Fee_Relief_Windows_3B!$O$234:$O$100,CBIC_Late_Fee_Relief_Windows_3B!$D$234:$D$100,"&lt;="&amp;B234,CBIC_Late_Fee_Relief_Windows_3B!$E$234:$E$100,"&gt;="&amp;B234,CBIC_Late_Fee_Relief_Windows_3B!$F$234:$F$100,"&lt;="&amp;C234,CBIC_Late_Fee_Relief_Windows_3B!$G$234:$G$100,"&gt;="&amp;C234)</f>
        <v/>
      </c>
      <c r="H234">
        <f>INDEX(CBIC_Late_Fee_Relief_Windows_3B!$I$234:$I$100,MATCH(G234,CBIC_Late_Fee_Relief_Windows_3B!$O$234:$O$100,0))</f>
        <v/>
      </c>
      <c r="I234">
        <f>MIN(F234,H234)</f>
        <v/>
      </c>
    </row>
    <row r="235">
      <c r="A235">
        <f>TEST_DATA!A235</f>
        <v/>
      </c>
      <c r="B235">
        <f>TEST_DATA!B235</f>
        <v/>
      </c>
      <c r="C235">
        <f>TEST_DATA!C235</f>
        <v/>
      </c>
      <c r="D235">
        <f>TEST_DATA!D235</f>
        <v/>
      </c>
      <c r="E235">
        <f>TEST_DATA!E235</f>
        <v/>
      </c>
      <c r="F235">
        <f>MIN(E235*23500,10000)</f>
        <v/>
      </c>
      <c r="G235">
        <f>MINIFS(CBIC_Late_Fee_Relief_Windows_3B!$O$235:$O$100,CBIC_Late_Fee_Relief_Windows_3B!$D$235:$D$100,"&lt;="&amp;B235,CBIC_Late_Fee_Relief_Windows_3B!$E$235:$E$100,"&gt;="&amp;B235,CBIC_Late_Fee_Relief_Windows_3B!$F$235:$F$100,"&lt;="&amp;C235,CBIC_Late_Fee_Relief_Windows_3B!$G$235:$G$100,"&gt;="&amp;C235)</f>
        <v/>
      </c>
      <c r="H235">
        <f>INDEX(CBIC_Late_Fee_Relief_Windows_3B!$I$235:$I$100,MATCH(G235,CBIC_Late_Fee_Relief_Windows_3B!$O$235:$O$100,0))</f>
        <v/>
      </c>
      <c r="I235">
        <f>MIN(F235,H235)</f>
        <v/>
      </c>
    </row>
    <row r="236">
      <c r="A236">
        <f>TEST_DATA!A236</f>
        <v/>
      </c>
      <c r="B236">
        <f>TEST_DATA!B236</f>
        <v/>
      </c>
      <c r="C236">
        <f>TEST_DATA!C236</f>
        <v/>
      </c>
      <c r="D236">
        <f>TEST_DATA!D236</f>
        <v/>
      </c>
      <c r="E236">
        <f>TEST_DATA!E236</f>
        <v/>
      </c>
      <c r="F236">
        <f>MIN(E236*23600,10000)</f>
        <v/>
      </c>
      <c r="G236">
        <f>MINIFS(CBIC_Late_Fee_Relief_Windows_3B!$O$236:$O$100,CBIC_Late_Fee_Relief_Windows_3B!$D$236:$D$100,"&lt;="&amp;B236,CBIC_Late_Fee_Relief_Windows_3B!$E$236:$E$100,"&gt;="&amp;B236,CBIC_Late_Fee_Relief_Windows_3B!$F$236:$F$100,"&lt;="&amp;C236,CBIC_Late_Fee_Relief_Windows_3B!$G$236:$G$100,"&gt;="&amp;C236)</f>
        <v/>
      </c>
      <c r="H236">
        <f>INDEX(CBIC_Late_Fee_Relief_Windows_3B!$I$236:$I$100,MATCH(G236,CBIC_Late_Fee_Relief_Windows_3B!$O$236:$O$100,0))</f>
        <v/>
      </c>
      <c r="I236">
        <f>MIN(F236,H236)</f>
        <v/>
      </c>
    </row>
    <row r="237">
      <c r="A237">
        <f>TEST_DATA!A237</f>
        <v/>
      </c>
      <c r="B237">
        <f>TEST_DATA!B237</f>
        <v/>
      </c>
      <c r="C237">
        <f>TEST_DATA!C237</f>
        <v/>
      </c>
      <c r="D237">
        <f>TEST_DATA!D237</f>
        <v/>
      </c>
      <c r="E237">
        <f>TEST_DATA!E237</f>
        <v/>
      </c>
      <c r="F237">
        <f>MIN(E237*23700,10000)</f>
        <v/>
      </c>
      <c r="G237">
        <f>MINIFS(CBIC_Late_Fee_Relief_Windows_3B!$O$237:$O$100,CBIC_Late_Fee_Relief_Windows_3B!$D$237:$D$100,"&lt;="&amp;B237,CBIC_Late_Fee_Relief_Windows_3B!$E$237:$E$100,"&gt;="&amp;B237,CBIC_Late_Fee_Relief_Windows_3B!$F$237:$F$100,"&lt;="&amp;C237,CBIC_Late_Fee_Relief_Windows_3B!$G$237:$G$100,"&gt;="&amp;C237)</f>
        <v/>
      </c>
      <c r="H237">
        <f>INDEX(CBIC_Late_Fee_Relief_Windows_3B!$I$237:$I$100,MATCH(G237,CBIC_Late_Fee_Relief_Windows_3B!$O$237:$O$100,0))</f>
        <v/>
      </c>
      <c r="I237">
        <f>MIN(F237,H237)</f>
        <v/>
      </c>
    </row>
    <row r="238">
      <c r="A238">
        <f>TEST_DATA!A238</f>
        <v/>
      </c>
      <c r="B238">
        <f>TEST_DATA!B238</f>
        <v/>
      </c>
      <c r="C238">
        <f>TEST_DATA!C238</f>
        <v/>
      </c>
      <c r="D238">
        <f>TEST_DATA!D238</f>
        <v/>
      </c>
      <c r="E238">
        <f>TEST_DATA!E238</f>
        <v/>
      </c>
      <c r="F238">
        <f>MIN(E238*23800,10000)</f>
        <v/>
      </c>
      <c r="G238">
        <f>MINIFS(CBIC_Late_Fee_Relief_Windows_3B!$O$238:$O$100,CBIC_Late_Fee_Relief_Windows_3B!$D$238:$D$100,"&lt;="&amp;B238,CBIC_Late_Fee_Relief_Windows_3B!$E$238:$E$100,"&gt;="&amp;B238,CBIC_Late_Fee_Relief_Windows_3B!$F$238:$F$100,"&lt;="&amp;C238,CBIC_Late_Fee_Relief_Windows_3B!$G$238:$G$100,"&gt;="&amp;C238)</f>
        <v/>
      </c>
      <c r="H238">
        <f>INDEX(CBIC_Late_Fee_Relief_Windows_3B!$I$238:$I$100,MATCH(G238,CBIC_Late_Fee_Relief_Windows_3B!$O$238:$O$100,0))</f>
        <v/>
      </c>
      <c r="I238">
        <f>MIN(F238,H238)</f>
        <v/>
      </c>
    </row>
    <row r="239">
      <c r="A239">
        <f>TEST_DATA!A239</f>
        <v/>
      </c>
      <c r="B239">
        <f>TEST_DATA!B239</f>
        <v/>
      </c>
      <c r="C239">
        <f>TEST_DATA!C239</f>
        <v/>
      </c>
      <c r="D239">
        <f>TEST_DATA!D239</f>
        <v/>
      </c>
      <c r="E239">
        <f>TEST_DATA!E239</f>
        <v/>
      </c>
      <c r="F239">
        <f>MIN(E239*23900,10000)</f>
        <v/>
      </c>
      <c r="G239">
        <f>MINIFS(CBIC_Late_Fee_Relief_Windows_3B!$O$239:$O$100,CBIC_Late_Fee_Relief_Windows_3B!$D$239:$D$100,"&lt;="&amp;B239,CBIC_Late_Fee_Relief_Windows_3B!$E$239:$E$100,"&gt;="&amp;B239,CBIC_Late_Fee_Relief_Windows_3B!$F$239:$F$100,"&lt;="&amp;C239,CBIC_Late_Fee_Relief_Windows_3B!$G$239:$G$100,"&gt;="&amp;C239)</f>
        <v/>
      </c>
      <c r="H239">
        <f>INDEX(CBIC_Late_Fee_Relief_Windows_3B!$I$239:$I$100,MATCH(G239,CBIC_Late_Fee_Relief_Windows_3B!$O$239:$O$100,0))</f>
        <v/>
      </c>
      <c r="I239">
        <f>MIN(F239,H239)</f>
        <v/>
      </c>
    </row>
    <row r="240">
      <c r="A240">
        <f>TEST_DATA!A240</f>
        <v/>
      </c>
      <c r="B240">
        <f>TEST_DATA!B240</f>
        <v/>
      </c>
      <c r="C240">
        <f>TEST_DATA!C240</f>
        <v/>
      </c>
      <c r="D240">
        <f>TEST_DATA!D240</f>
        <v/>
      </c>
      <c r="E240">
        <f>TEST_DATA!E240</f>
        <v/>
      </c>
      <c r="F240">
        <f>MIN(E240*24000,10000)</f>
        <v/>
      </c>
      <c r="G240">
        <f>MINIFS(CBIC_Late_Fee_Relief_Windows_3B!$O$240:$O$100,CBIC_Late_Fee_Relief_Windows_3B!$D$240:$D$100,"&lt;="&amp;B240,CBIC_Late_Fee_Relief_Windows_3B!$E$240:$E$100,"&gt;="&amp;B240,CBIC_Late_Fee_Relief_Windows_3B!$F$240:$F$100,"&lt;="&amp;C240,CBIC_Late_Fee_Relief_Windows_3B!$G$240:$G$100,"&gt;="&amp;C240)</f>
        <v/>
      </c>
      <c r="H240">
        <f>INDEX(CBIC_Late_Fee_Relief_Windows_3B!$I$240:$I$100,MATCH(G240,CBIC_Late_Fee_Relief_Windows_3B!$O$240:$O$100,0))</f>
        <v/>
      </c>
      <c r="I240">
        <f>MIN(F240,H240)</f>
        <v/>
      </c>
    </row>
    <row r="241">
      <c r="A241">
        <f>TEST_DATA!A241</f>
        <v/>
      </c>
      <c r="B241">
        <f>TEST_DATA!B241</f>
        <v/>
      </c>
      <c r="C241">
        <f>TEST_DATA!C241</f>
        <v/>
      </c>
      <c r="D241">
        <f>TEST_DATA!D241</f>
        <v/>
      </c>
      <c r="E241">
        <f>TEST_DATA!E241</f>
        <v/>
      </c>
      <c r="F241">
        <f>MIN(E241*24100,10000)</f>
        <v/>
      </c>
      <c r="G241">
        <f>MINIFS(CBIC_Late_Fee_Relief_Windows_3B!$O$241:$O$100,CBIC_Late_Fee_Relief_Windows_3B!$D$241:$D$100,"&lt;="&amp;B241,CBIC_Late_Fee_Relief_Windows_3B!$E$241:$E$100,"&gt;="&amp;B241,CBIC_Late_Fee_Relief_Windows_3B!$F$241:$F$100,"&lt;="&amp;C241,CBIC_Late_Fee_Relief_Windows_3B!$G$241:$G$100,"&gt;="&amp;C241)</f>
        <v/>
      </c>
      <c r="H241">
        <f>INDEX(CBIC_Late_Fee_Relief_Windows_3B!$I$241:$I$100,MATCH(G241,CBIC_Late_Fee_Relief_Windows_3B!$O$241:$O$100,0))</f>
        <v/>
      </c>
      <c r="I241">
        <f>MIN(F241,H241)</f>
        <v/>
      </c>
    </row>
    <row r="242">
      <c r="A242">
        <f>TEST_DATA!A242</f>
        <v/>
      </c>
      <c r="B242">
        <f>TEST_DATA!B242</f>
        <v/>
      </c>
      <c r="C242">
        <f>TEST_DATA!C242</f>
        <v/>
      </c>
      <c r="D242">
        <f>TEST_DATA!D242</f>
        <v/>
      </c>
      <c r="E242">
        <f>TEST_DATA!E242</f>
        <v/>
      </c>
      <c r="F242">
        <f>MIN(E242*24200,10000)</f>
        <v/>
      </c>
      <c r="G242">
        <f>MINIFS(CBIC_Late_Fee_Relief_Windows_3B!$O$242:$O$100,CBIC_Late_Fee_Relief_Windows_3B!$D$242:$D$100,"&lt;="&amp;B242,CBIC_Late_Fee_Relief_Windows_3B!$E$242:$E$100,"&gt;="&amp;B242,CBIC_Late_Fee_Relief_Windows_3B!$F$242:$F$100,"&lt;="&amp;C242,CBIC_Late_Fee_Relief_Windows_3B!$G$242:$G$100,"&gt;="&amp;C242)</f>
        <v/>
      </c>
      <c r="H242">
        <f>INDEX(CBIC_Late_Fee_Relief_Windows_3B!$I$242:$I$100,MATCH(G242,CBIC_Late_Fee_Relief_Windows_3B!$O$242:$O$100,0))</f>
        <v/>
      </c>
      <c r="I242">
        <f>MIN(F242,H242)</f>
        <v/>
      </c>
    </row>
    <row r="243">
      <c r="A243">
        <f>TEST_DATA!A243</f>
        <v/>
      </c>
      <c r="B243">
        <f>TEST_DATA!B243</f>
        <v/>
      </c>
      <c r="C243">
        <f>TEST_DATA!C243</f>
        <v/>
      </c>
      <c r="D243">
        <f>TEST_DATA!D243</f>
        <v/>
      </c>
      <c r="E243">
        <f>TEST_DATA!E243</f>
        <v/>
      </c>
      <c r="F243">
        <f>MIN(E243*24300,10000)</f>
        <v/>
      </c>
      <c r="G243">
        <f>MINIFS(CBIC_Late_Fee_Relief_Windows_3B!$O$243:$O$100,CBIC_Late_Fee_Relief_Windows_3B!$D$243:$D$100,"&lt;="&amp;B243,CBIC_Late_Fee_Relief_Windows_3B!$E$243:$E$100,"&gt;="&amp;B243,CBIC_Late_Fee_Relief_Windows_3B!$F$243:$F$100,"&lt;="&amp;C243,CBIC_Late_Fee_Relief_Windows_3B!$G$243:$G$100,"&gt;="&amp;C243)</f>
        <v/>
      </c>
      <c r="H243">
        <f>INDEX(CBIC_Late_Fee_Relief_Windows_3B!$I$243:$I$100,MATCH(G243,CBIC_Late_Fee_Relief_Windows_3B!$O$243:$O$100,0))</f>
        <v/>
      </c>
      <c r="I243">
        <f>MIN(F243,H243)</f>
        <v/>
      </c>
    </row>
    <row r="244">
      <c r="A244">
        <f>TEST_DATA!A244</f>
        <v/>
      </c>
      <c r="B244">
        <f>TEST_DATA!B244</f>
        <v/>
      </c>
      <c r="C244">
        <f>TEST_DATA!C244</f>
        <v/>
      </c>
      <c r="D244">
        <f>TEST_DATA!D244</f>
        <v/>
      </c>
      <c r="E244">
        <f>TEST_DATA!E244</f>
        <v/>
      </c>
      <c r="F244">
        <f>MIN(E244*24400,10000)</f>
        <v/>
      </c>
      <c r="G244">
        <f>MINIFS(CBIC_Late_Fee_Relief_Windows_3B!$O$244:$O$100,CBIC_Late_Fee_Relief_Windows_3B!$D$244:$D$100,"&lt;="&amp;B244,CBIC_Late_Fee_Relief_Windows_3B!$E$244:$E$100,"&gt;="&amp;B244,CBIC_Late_Fee_Relief_Windows_3B!$F$244:$F$100,"&lt;="&amp;C244,CBIC_Late_Fee_Relief_Windows_3B!$G$244:$G$100,"&gt;="&amp;C244)</f>
        <v/>
      </c>
      <c r="H244">
        <f>INDEX(CBIC_Late_Fee_Relief_Windows_3B!$I$244:$I$100,MATCH(G244,CBIC_Late_Fee_Relief_Windows_3B!$O$244:$O$100,0))</f>
        <v/>
      </c>
      <c r="I244">
        <f>MIN(F244,H244)</f>
        <v/>
      </c>
    </row>
    <row r="245">
      <c r="A245">
        <f>TEST_DATA!A245</f>
        <v/>
      </c>
      <c r="B245">
        <f>TEST_DATA!B245</f>
        <v/>
      </c>
      <c r="C245">
        <f>TEST_DATA!C245</f>
        <v/>
      </c>
      <c r="D245">
        <f>TEST_DATA!D245</f>
        <v/>
      </c>
      <c r="E245">
        <f>TEST_DATA!E245</f>
        <v/>
      </c>
      <c r="F245">
        <f>MIN(E245*24500,10000)</f>
        <v/>
      </c>
      <c r="G245">
        <f>MINIFS(CBIC_Late_Fee_Relief_Windows_3B!$O$245:$O$100,CBIC_Late_Fee_Relief_Windows_3B!$D$245:$D$100,"&lt;="&amp;B245,CBIC_Late_Fee_Relief_Windows_3B!$E$245:$E$100,"&gt;="&amp;B245,CBIC_Late_Fee_Relief_Windows_3B!$F$245:$F$100,"&lt;="&amp;C245,CBIC_Late_Fee_Relief_Windows_3B!$G$245:$G$100,"&gt;="&amp;C245)</f>
        <v/>
      </c>
      <c r="H245">
        <f>INDEX(CBIC_Late_Fee_Relief_Windows_3B!$I$245:$I$100,MATCH(G245,CBIC_Late_Fee_Relief_Windows_3B!$O$245:$O$100,0))</f>
        <v/>
      </c>
      <c r="I245">
        <f>MIN(F245,H245)</f>
        <v/>
      </c>
    </row>
    <row r="246">
      <c r="A246">
        <f>TEST_DATA!A246</f>
        <v/>
      </c>
      <c r="B246">
        <f>TEST_DATA!B246</f>
        <v/>
      </c>
      <c r="C246">
        <f>TEST_DATA!C246</f>
        <v/>
      </c>
      <c r="D246">
        <f>TEST_DATA!D246</f>
        <v/>
      </c>
      <c r="E246">
        <f>TEST_DATA!E246</f>
        <v/>
      </c>
      <c r="F246">
        <f>MIN(E246*24600,10000)</f>
        <v/>
      </c>
      <c r="G246">
        <f>MINIFS(CBIC_Late_Fee_Relief_Windows_3B!$O$246:$O$100,CBIC_Late_Fee_Relief_Windows_3B!$D$246:$D$100,"&lt;="&amp;B246,CBIC_Late_Fee_Relief_Windows_3B!$E$246:$E$100,"&gt;="&amp;B246,CBIC_Late_Fee_Relief_Windows_3B!$F$246:$F$100,"&lt;="&amp;C246,CBIC_Late_Fee_Relief_Windows_3B!$G$246:$G$100,"&gt;="&amp;C246)</f>
        <v/>
      </c>
      <c r="H246">
        <f>INDEX(CBIC_Late_Fee_Relief_Windows_3B!$I$246:$I$100,MATCH(G246,CBIC_Late_Fee_Relief_Windows_3B!$O$246:$O$100,0))</f>
        <v/>
      </c>
      <c r="I246">
        <f>MIN(F246,H246)</f>
        <v/>
      </c>
    </row>
    <row r="247">
      <c r="A247">
        <f>TEST_DATA!A247</f>
        <v/>
      </c>
      <c r="B247">
        <f>TEST_DATA!B247</f>
        <v/>
      </c>
      <c r="C247">
        <f>TEST_DATA!C247</f>
        <v/>
      </c>
      <c r="D247">
        <f>TEST_DATA!D247</f>
        <v/>
      </c>
      <c r="E247">
        <f>TEST_DATA!E247</f>
        <v/>
      </c>
      <c r="F247">
        <f>MIN(E247*24700,10000)</f>
        <v/>
      </c>
      <c r="G247">
        <f>MINIFS(CBIC_Late_Fee_Relief_Windows_3B!$O$247:$O$100,CBIC_Late_Fee_Relief_Windows_3B!$D$247:$D$100,"&lt;="&amp;B247,CBIC_Late_Fee_Relief_Windows_3B!$E$247:$E$100,"&gt;="&amp;B247,CBIC_Late_Fee_Relief_Windows_3B!$F$247:$F$100,"&lt;="&amp;C247,CBIC_Late_Fee_Relief_Windows_3B!$G$247:$G$100,"&gt;="&amp;C247)</f>
        <v/>
      </c>
      <c r="H247">
        <f>INDEX(CBIC_Late_Fee_Relief_Windows_3B!$I$247:$I$100,MATCH(G247,CBIC_Late_Fee_Relief_Windows_3B!$O$247:$O$100,0))</f>
        <v/>
      </c>
      <c r="I247">
        <f>MIN(F247,H247)</f>
        <v/>
      </c>
    </row>
    <row r="248">
      <c r="A248">
        <f>TEST_DATA!A248</f>
        <v/>
      </c>
      <c r="B248">
        <f>TEST_DATA!B248</f>
        <v/>
      </c>
      <c r="C248">
        <f>TEST_DATA!C248</f>
        <v/>
      </c>
      <c r="D248">
        <f>TEST_DATA!D248</f>
        <v/>
      </c>
      <c r="E248">
        <f>TEST_DATA!E248</f>
        <v/>
      </c>
      <c r="F248">
        <f>MIN(E248*24800,10000)</f>
        <v/>
      </c>
      <c r="G248">
        <f>MINIFS(CBIC_Late_Fee_Relief_Windows_3B!$O$248:$O$100,CBIC_Late_Fee_Relief_Windows_3B!$D$248:$D$100,"&lt;="&amp;B248,CBIC_Late_Fee_Relief_Windows_3B!$E$248:$E$100,"&gt;="&amp;B248,CBIC_Late_Fee_Relief_Windows_3B!$F$248:$F$100,"&lt;="&amp;C248,CBIC_Late_Fee_Relief_Windows_3B!$G$248:$G$100,"&gt;="&amp;C248)</f>
        <v/>
      </c>
      <c r="H248">
        <f>INDEX(CBIC_Late_Fee_Relief_Windows_3B!$I$248:$I$100,MATCH(G248,CBIC_Late_Fee_Relief_Windows_3B!$O$248:$O$100,0))</f>
        <v/>
      </c>
      <c r="I248">
        <f>MIN(F248,H248)</f>
        <v/>
      </c>
    </row>
    <row r="249">
      <c r="A249">
        <f>TEST_DATA!A249</f>
        <v/>
      </c>
      <c r="B249">
        <f>TEST_DATA!B249</f>
        <v/>
      </c>
      <c r="C249">
        <f>TEST_DATA!C249</f>
        <v/>
      </c>
      <c r="D249">
        <f>TEST_DATA!D249</f>
        <v/>
      </c>
      <c r="E249">
        <f>TEST_DATA!E249</f>
        <v/>
      </c>
      <c r="F249">
        <f>MIN(E249*24900,10000)</f>
        <v/>
      </c>
      <c r="G249">
        <f>MINIFS(CBIC_Late_Fee_Relief_Windows_3B!$O$249:$O$100,CBIC_Late_Fee_Relief_Windows_3B!$D$249:$D$100,"&lt;="&amp;B249,CBIC_Late_Fee_Relief_Windows_3B!$E$249:$E$100,"&gt;="&amp;B249,CBIC_Late_Fee_Relief_Windows_3B!$F$249:$F$100,"&lt;="&amp;C249,CBIC_Late_Fee_Relief_Windows_3B!$G$249:$G$100,"&gt;="&amp;C249)</f>
        <v/>
      </c>
      <c r="H249">
        <f>INDEX(CBIC_Late_Fee_Relief_Windows_3B!$I$249:$I$100,MATCH(G249,CBIC_Late_Fee_Relief_Windows_3B!$O$249:$O$100,0))</f>
        <v/>
      </c>
      <c r="I249">
        <f>MIN(F249,H249)</f>
        <v/>
      </c>
    </row>
    <row r="250">
      <c r="A250">
        <f>TEST_DATA!A250</f>
        <v/>
      </c>
      <c r="B250">
        <f>TEST_DATA!B250</f>
        <v/>
      </c>
      <c r="C250">
        <f>TEST_DATA!C250</f>
        <v/>
      </c>
      <c r="D250">
        <f>TEST_DATA!D250</f>
        <v/>
      </c>
      <c r="E250">
        <f>TEST_DATA!E250</f>
        <v/>
      </c>
      <c r="F250">
        <f>MIN(E250*25000,10000)</f>
        <v/>
      </c>
      <c r="G250">
        <f>MINIFS(CBIC_Late_Fee_Relief_Windows_3B!$O$250:$O$100,CBIC_Late_Fee_Relief_Windows_3B!$D$250:$D$100,"&lt;="&amp;B250,CBIC_Late_Fee_Relief_Windows_3B!$E$250:$E$100,"&gt;="&amp;B250,CBIC_Late_Fee_Relief_Windows_3B!$F$250:$F$100,"&lt;="&amp;C250,CBIC_Late_Fee_Relief_Windows_3B!$G$250:$G$100,"&gt;="&amp;C250)</f>
        <v/>
      </c>
      <c r="H250">
        <f>INDEX(CBIC_Late_Fee_Relief_Windows_3B!$I$250:$I$100,MATCH(G250,CBIC_Late_Fee_Relief_Windows_3B!$O$250:$O$100,0))</f>
        <v/>
      </c>
      <c r="I250">
        <f>MIN(F250,H250)</f>
        <v/>
      </c>
    </row>
    <row r="251">
      <c r="A251">
        <f>TEST_DATA!A251</f>
        <v/>
      </c>
      <c r="B251">
        <f>TEST_DATA!B251</f>
        <v/>
      </c>
      <c r="C251">
        <f>TEST_DATA!C251</f>
        <v/>
      </c>
      <c r="D251">
        <f>TEST_DATA!D251</f>
        <v/>
      </c>
      <c r="E251">
        <f>TEST_DATA!E251</f>
        <v/>
      </c>
      <c r="F251">
        <f>MIN(E251*25100,10000)</f>
        <v/>
      </c>
      <c r="G251">
        <f>MINIFS(CBIC_Late_Fee_Relief_Windows_3B!$O$251:$O$100,CBIC_Late_Fee_Relief_Windows_3B!$D$251:$D$100,"&lt;="&amp;B251,CBIC_Late_Fee_Relief_Windows_3B!$E$251:$E$100,"&gt;="&amp;B251,CBIC_Late_Fee_Relief_Windows_3B!$F$251:$F$100,"&lt;="&amp;C251,CBIC_Late_Fee_Relief_Windows_3B!$G$251:$G$100,"&gt;="&amp;C251)</f>
        <v/>
      </c>
      <c r="H251">
        <f>INDEX(CBIC_Late_Fee_Relief_Windows_3B!$I$251:$I$100,MATCH(G251,CBIC_Late_Fee_Relief_Windows_3B!$O$251:$O$100,0))</f>
        <v/>
      </c>
      <c r="I251">
        <f>MIN(F251,H251)</f>
        <v/>
      </c>
    </row>
    <row r="252">
      <c r="A252">
        <f>TEST_DATA!A252</f>
        <v/>
      </c>
      <c r="B252">
        <f>TEST_DATA!B252</f>
        <v/>
      </c>
      <c r="C252">
        <f>TEST_DATA!C252</f>
        <v/>
      </c>
      <c r="D252">
        <f>TEST_DATA!D252</f>
        <v/>
      </c>
      <c r="E252">
        <f>TEST_DATA!E252</f>
        <v/>
      </c>
      <c r="F252">
        <f>MIN(E252*25200,10000)</f>
        <v/>
      </c>
      <c r="G252">
        <f>MINIFS(CBIC_Late_Fee_Relief_Windows_3B!$O$252:$O$100,CBIC_Late_Fee_Relief_Windows_3B!$D$252:$D$100,"&lt;="&amp;B252,CBIC_Late_Fee_Relief_Windows_3B!$E$252:$E$100,"&gt;="&amp;B252,CBIC_Late_Fee_Relief_Windows_3B!$F$252:$F$100,"&lt;="&amp;C252,CBIC_Late_Fee_Relief_Windows_3B!$G$252:$G$100,"&gt;="&amp;C252)</f>
        <v/>
      </c>
      <c r="H252">
        <f>INDEX(CBIC_Late_Fee_Relief_Windows_3B!$I$252:$I$100,MATCH(G252,CBIC_Late_Fee_Relief_Windows_3B!$O$252:$O$100,0))</f>
        <v/>
      </c>
      <c r="I252">
        <f>MIN(F252,H252)</f>
        <v/>
      </c>
    </row>
    <row r="253">
      <c r="A253">
        <f>TEST_DATA!A253</f>
        <v/>
      </c>
      <c r="B253">
        <f>TEST_DATA!B253</f>
        <v/>
      </c>
      <c r="C253">
        <f>TEST_DATA!C253</f>
        <v/>
      </c>
      <c r="D253">
        <f>TEST_DATA!D253</f>
        <v/>
      </c>
      <c r="E253">
        <f>TEST_DATA!E253</f>
        <v/>
      </c>
      <c r="F253">
        <f>MIN(E253*25300,10000)</f>
        <v/>
      </c>
      <c r="G253">
        <f>MINIFS(CBIC_Late_Fee_Relief_Windows_3B!$O$253:$O$100,CBIC_Late_Fee_Relief_Windows_3B!$D$253:$D$100,"&lt;="&amp;B253,CBIC_Late_Fee_Relief_Windows_3B!$E$253:$E$100,"&gt;="&amp;B253,CBIC_Late_Fee_Relief_Windows_3B!$F$253:$F$100,"&lt;="&amp;C253,CBIC_Late_Fee_Relief_Windows_3B!$G$253:$G$100,"&gt;="&amp;C253)</f>
        <v/>
      </c>
      <c r="H253">
        <f>INDEX(CBIC_Late_Fee_Relief_Windows_3B!$I$253:$I$100,MATCH(G253,CBIC_Late_Fee_Relief_Windows_3B!$O$253:$O$100,0))</f>
        <v/>
      </c>
      <c r="I253">
        <f>MIN(F253,H253)</f>
        <v/>
      </c>
    </row>
    <row r="254">
      <c r="A254">
        <f>TEST_DATA!A254</f>
        <v/>
      </c>
      <c r="B254">
        <f>TEST_DATA!B254</f>
        <v/>
      </c>
      <c r="C254">
        <f>TEST_DATA!C254</f>
        <v/>
      </c>
      <c r="D254">
        <f>TEST_DATA!D254</f>
        <v/>
      </c>
      <c r="E254">
        <f>TEST_DATA!E254</f>
        <v/>
      </c>
      <c r="F254">
        <f>MIN(E254*25400,10000)</f>
        <v/>
      </c>
      <c r="G254">
        <f>MINIFS(CBIC_Late_Fee_Relief_Windows_3B!$O$254:$O$100,CBIC_Late_Fee_Relief_Windows_3B!$D$254:$D$100,"&lt;="&amp;B254,CBIC_Late_Fee_Relief_Windows_3B!$E$254:$E$100,"&gt;="&amp;B254,CBIC_Late_Fee_Relief_Windows_3B!$F$254:$F$100,"&lt;="&amp;C254,CBIC_Late_Fee_Relief_Windows_3B!$G$254:$G$100,"&gt;="&amp;C254)</f>
        <v/>
      </c>
      <c r="H254">
        <f>INDEX(CBIC_Late_Fee_Relief_Windows_3B!$I$254:$I$100,MATCH(G254,CBIC_Late_Fee_Relief_Windows_3B!$O$254:$O$100,0))</f>
        <v/>
      </c>
      <c r="I254">
        <f>MIN(F254,H254)</f>
        <v/>
      </c>
    </row>
    <row r="255">
      <c r="A255">
        <f>TEST_DATA!A255</f>
        <v/>
      </c>
      <c r="B255">
        <f>TEST_DATA!B255</f>
        <v/>
      </c>
      <c r="C255">
        <f>TEST_DATA!C255</f>
        <v/>
      </c>
      <c r="D255">
        <f>TEST_DATA!D255</f>
        <v/>
      </c>
      <c r="E255">
        <f>TEST_DATA!E255</f>
        <v/>
      </c>
      <c r="F255">
        <f>MIN(E255*25500,10000)</f>
        <v/>
      </c>
      <c r="G255">
        <f>MINIFS(CBIC_Late_Fee_Relief_Windows_3B!$O$255:$O$100,CBIC_Late_Fee_Relief_Windows_3B!$D$255:$D$100,"&lt;="&amp;B255,CBIC_Late_Fee_Relief_Windows_3B!$E$255:$E$100,"&gt;="&amp;B255,CBIC_Late_Fee_Relief_Windows_3B!$F$255:$F$100,"&lt;="&amp;C255,CBIC_Late_Fee_Relief_Windows_3B!$G$255:$G$100,"&gt;="&amp;C255)</f>
        <v/>
      </c>
      <c r="H255">
        <f>INDEX(CBIC_Late_Fee_Relief_Windows_3B!$I$255:$I$100,MATCH(G255,CBIC_Late_Fee_Relief_Windows_3B!$O$255:$O$100,0))</f>
        <v/>
      </c>
      <c r="I255">
        <f>MIN(F255,H255)</f>
        <v/>
      </c>
    </row>
    <row r="256">
      <c r="A256">
        <f>TEST_DATA!A256</f>
        <v/>
      </c>
      <c r="B256">
        <f>TEST_DATA!B256</f>
        <v/>
      </c>
      <c r="C256">
        <f>TEST_DATA!C256</f>
        <v/>
      </c>
      <c r="D256">
        <f>TEST_DATA!D256</f>
        <v/>
      </c>
      <c r="E256">
        <f>TEST_DATA!E256</f>
        <v/>
      </c>
      <c r="F256">
        <f>MIN(E256*25600,10000)</f>
        <v/>
      </c>
      <c r="G256">
        <f>MINIFS(CBIC_Late_Fee_Relief_Windows_3B!$O$256:$O$100,CBIC_Late_Fee_Relief_Windows_3B!$D$256:$D$100,"&lt;="&amp;B256,CBIC_Late_Fee_Relief_Windows_3B!$E$256:$E$100,"&gt;="&amp;B256,CBIC_Late_Fee_Relief_Windows_3B!$F$256:$F$100,"&lt;="&amp;C256,CBIC_Late_Fee_Relief_Windows_3B!$G$256:$G$100,"&gt;="&amp;C256)</f>
        <v/>
      </c>
      <c r="H256">
        <f>INDEX(CBIC_Late_Fee_Relief_Windows_3B!$I$256:$I$100,MATCH(G256,CBIC_Late_Fee_Relief_Windows_3B!$O$256:$O$100,0))</f>
        <v/>
      </c>
      <c r="I256">
        <f>MIN(F256,H256)</f>
        <v/>
      </c>
    </row>
    <row r="257">
      <c r="A257">
        <f>TEST_DATA!A257</f>
        <v/>
      </c>
      <c r="B257">
        <f>TEST_DATA!B257</f>
        <v/>
      </c>
      <c r="C257">
        <f>TEST_DATA!C257</f>
        <v/>
      </c>
      <c r="D257">
        <f>TEST_DATA!D257</f>
        <v/>
      </c>
      <c r="E257">
        <f>TEST_DATA!E257</f>
        <v/>
      </c>
      <c r="F257">
        <f>MIN(E257*25700,10000)</f>
        <v/>
      </c>
      <c r="G257">
        <f>MINIFS(CBIC_Late_Fee_Relief_Windows_3B!$O$257:$O$100,CBIC_Late_Fee_Relief_Windows_3B!$D$257:$D$100,"&lt;="&amp;B257,CBIC_Late_Fee_Relief_Windows_3B!$E$257:$E$100,"&gt;="&amp;B257,CBIC_Late_Fee_Relief_Windows_3B!$F$257:$F$100,"&lt;="&amp;C257,CBIC_Late_Fee_Relief_Windows_3B!$G$257:$G$100,"&gt;="&amp;C257)</f>
        <v/>
      </c>
      <c r="H257">
        <f>INDEX(CBIC_Late_Fee_Relief_Windows_3B!$I$257:$I$100,MATCH(G257,CBIC_Late_Fee_Relief_Windows_3B!$O$257:$O$100,0))</f>
        <v/>
      </c>
      <c r="I257">
        <f>MIN(F257,H257)</f>
        <v/>
      </c>
    </row>
    <row r="258">
      <c r="A258">
        <f>TEST_DATA!A258</f>
        <v/>
      </c>
      <c r="B258">
        <f>TEST_DATA!B258</f>
        <v/>
      </c>
      <c r="C258">
        <f>TEST_DATA!C258</f>
        <v/>
      </c>
      <c r="D258">
        <f>TEST_DATA!D258</f>
        <v/>
      </c>
      <c r="E258">
        <f>TEST_DATA!E258</f>
        <v/>
      </c>
      <c r="F258">
        <f>MIN(E258*25800,10000)</f>
        <v/>
      </c>
      <c r="G258">
        <f>MINIFS(CBIC_Late_Fee_Relief_Windows_3B!$O$258:$O$100,CBIC_Late_Fee_Relief_Windows_3B!$D$258:$D$100,"&lt;="&amp;B258,CBIC_Late_Fee_Relief_Windows_3B!$E$258:$E$100,"&gt;="&amp;B258,CBIC_Late_Fee_Relief_Windows_3B!$F$258:$F$100,"&lt;="&amp;C258,CBIC_Late_Fee_Relief_Windows_3B!$G$258:$G$100,"&gt;="&amp;C258)</f>
        <v/>
      </c>
      <c r="H258">
        <f>INDEX(CBIC_Late_Fee_Relief_Windows_3B!$I$258:$I$100,MATCH(G258,CBIC_Late_Fee_Relief_Windows_3B!$O$258:$O$100,0))</f>
        <v/>
      </c>
      <c r="I258">
        <f>MIN(F258,H258)</f>
        <v/>
      </c>
    </row>
    <row r="259">
      <c r="A259">
        <f>TEST_DATA!A259</f>
        <v/>
      </c>
      <c r="B259">
        <f>TEST_DATA!B259</f>
        <v/>
      </c>
      <c r="C259">
        <f>TEST_DATA!C259</f>
        <v/>
      </c>
      <c r="D259">
        <f>TEST_DATA!D259</f>
        <v/>
      </c>
      <c r="E259">
        <f>TEST_DATA!E259</f>
        <v/>
      </c>
      <c r="F259">
        <f>MIN(E259*25900,10000)</f>
        <v/>
      </c>
      <c r="G259">
        <f>MINIFS(CBIC_Late_Fee_Relief_Windows_3B!$O$259:$O$100,CBIC_Late_Fee_Relief_Windows_3B!$D$259:$D$100,"&lt;="&amp;B259,CBIC_Late_Fee_Relief_Windows_3B!$E$259:$E$100,"&gt;="&amp;B259,CBIC_Late_Fee_Relief_Windows_3B!$F$259:$F$100,"&lt;="&amp;C259,CBIC_Late_Fee_Relief_Windows_3B!$G$259:$G$100,"&gt;="&amp;C259)</f>
        <v/>
      </c>
      <c r="H259">
        <f>INDEX(CBIC_Late_Fee_Relief_Windows_3B!$I$259:$I$100,MATCH(G259,CBIC_Late_Fee_Relief_Windows_3B!$O$259:$O$100,0))</f>
        <v/>
      </c>
      <c r="I259">
        <f>MIN(F259,H259)</f>
        <v/>
      </c>
    </row>
    <row r="260">
      <c r="A260">
        <f>TEST_DATA!A260</f>
        <v/>
      </c>
      <c r="B260">
        <f>TEST_DATA!B260</f>
        <v/>
      </c>
      <c r="C260">
        <f>TEST_DATA!C260</f>
        <v/>
      </c>
      <c r="D260">
        <f>TEST_DATA!D260</f>
        <v/>
      </c>
      <c r="E260">
        <f>TEST_DATA!E260</f>
        <v/>
      </c>
      <c r="F260">
        <f>MIN(E260*26000,10000)</f>
        <v/>
      </c>
      <c r="G260">
        <f>MINIFS(CBIC_Late_Fee_Relief_Windows_3B!$O$260:$O$100,CBIC_Late_Fee_Relief_Windows_3B!$D$260:$D$100,"&lt;="&amp;B260,CBIC_Late_Fee_Relief_Windows_3B!$E$260:$E$100,"&gt;="&amp;B260,CBIC_Late_Fee_Relief_Windows_3B!$F$260:$F$100,"&lt;="&amp;C260,CBIC_Late_Fee_Relief_Windows_3B!$G$260:$G$100,"&gt;="&amp;C260)</f>
        <v/>
      </c>
      <c r="H260">
        <f>INDEX(CBIC_Late_Fee_Relief_Windows_3B!$I$260:$I$100,MATCH(G260,CBIC_Late_Fee_Relief_Windows_3B!$O$260:$O$100,0))</f>
        <v/>
      </c>
      <c r="I260">
        <f>MIN(F260,H260)</f>
        <v/>
      </c>
    </row>
    <row r="261">
      <c r="A261">
        <f>TEST_DATA!A261</f>
        <v/>
      </c>
      <c r="B261">
        <f>TEST_DATA!B261</f>
        <v/>
      </c>
      <c r="C261">
        <f>TEST_DATA!C261</f>
        <v/>
      </c>
      <c r="D261">
        <f>TEST_DATA!D261</f>
        <v/>
      </c>
      <c r="E261">
        <f>TEST_DATA!E261</f>
        <v/>
      </c>
      <c r="F261">
        <f>MIN(E261*26100,10000)</f>
        <v/>
      </c>
      <c r="G261">
        <f>MINIFS(CBIC_Late_Fee_Relief_Windows_3B!$O$261:$O$100,CBIC_Late_Fee_Relief_Windows_3B!$D$261:$D$100,"&lt;="&amp;B261,CBIC_Late_Fee_Relief_Windows_3B!$E$261:$E$100,"&gt;="&amp;B261,CBIC_Late_Fee_Relief_Windows_3B!$F$261:$F$100,"&lt;="&amp;C261,CBIC_Late_Fee_Relief_Windows_3B!$G$261:$G$100,"&gt;="&amp;C261)</f>
        <v/>
      </c>
      <c r="H261">
        <f>INDEX(CBIC_Late_Fee_Relief_Windows_3B!$I$261:$I$100,MATCH(G261,CBIC_Late_Fee_Relief_Windows_3B!$O$261:$O$100,0))</f>
        <v/>
      </c>
      <c r="I261">
        <f>MIN(F261,H261)</f>
        <v/>
      </c>
    </row>
    <row r="262">
      <c r="A262">
        <f>TEST_DATA!A262</f>
        <v/>
      </c>
      <c r="B262">
        <f>TEST_DATA!B262</f>
        <v/>
      </c>
      <c r="C262">
        <f>TEST_DATA!C262</f>
        <v/>
      </c>
      <c r="D262">
        <f>TEST_DATA!D262</f>
        <v/>
      </c>
      <c r="E262">
        <f>TEST_DATA!E262</f>
        <v/>
      </c>
      <c r="F262">
        <f>MIN(E262*26200,10000)</f>
        <v/>
      </c>
      <c r="G262">
        <f>MINIFS(CBIC_Late_Fee_Relief_Windows_3B!$O$262:$O$100,CBIC_Late_Fee_Relief_Windows_3B!$D$262:$D$100,"&lt;="&amp;B262,CBIC_Late_Fee_Relief_Windows_3B!$E$262:$E$100,"&gt;="&amp;B262,CBIC_Late_Fee_Relief_Windows_3B!$F$262:$F$100,"&lt;="&amp;C262,CBIC_Late_Fee_Relief_Windows_3B!$G$262:$G$100,"&gt;="&amp;C262)</f>
        <v/>
      </c>
      <c r="H262">
        <f>INDEX(CBIC_Late_Fee_Relief_Windows_3B!$I$262:$I$100,MATCH(G262,CBIC_Late_Fee_Relief_Windows_3B!$O$262:$O$100,0))</f>
        <v/>
      </c>
      <c r="I262">
        <f>MIN(F262,H262)</f>
        <v/>
      </c>
    </row>
    <row r="263">
      <c r="A263">
        <f>TEST_DATA!A263</f>
        <v/>
      </c>
      <c r="B263">
        <f>TEST_DATA!B263</f>
        <v/>
      </c>
      <c r="C263">
        <f>TEST_DATA!C263</f>
        <v/>
      </c>
      <c r="D263">
        <f>TEST_DATA!D263</f>
        <v/>
      </c>
      <c r="E263">
        <f>TEST_DATA!E263</f>
        <v/>
      </c>
      <c r="F263">
        <f>MIN(E263*26300,10000)</f>
        <v/>
      </c>
      <c r="G263">
        <f>MINIFS(CBIC_Late_Fee_Relief_Windows_3B!$O$263:$O$100,CBIC_Late_Fee_Relief_Windows_3B!$D$263:$D$100,"&lt;="&amp;B263,CBIC_Late_Fee_Relief_Windows_3B!$E$263:$E$100,"&gt;="&amp;B263,CBIC_Late_Fee_Relief_Windows_3B!$F$263:$F$100,"&lt;="&amp;C263,CBIC_Late_Fee_Relief_Windows_3B!$G$263:$G$100,"&gt;="&amp;C263)</f>
        <v/>
      </c>
      <c r="H263">
        <f>INDEX(CBIC_Late_Fee_Relief_Windows_3B!$I$263:$I$100,MATCH(G263,CBIC_Late_Fee_Relief_Windows_3B!$O$263:$O$100,0))</f>
        <v/>
      </c>
      <c r="I263">
        <f>MIN(F263,H263)</f>
        <v/>
      </c>
    </row>
    <row r="264">
      <c r="A264">
        <f>TEST_DATA!A264</f>
        <v/>
      </c>
      <c r="B264">
        <f>TEST_DATA!B264</f>
        <v/>
      </c>
      <c r="C264">
        <f>TEST_DATA!C264</f>
        <v/>
      </c>
      <c r="D264">
        <f>TEST_DATA!D264</f>
        <v/>
      </c>
      <c r="E264">
        <f>TEST_DATA!E264</f>
        <v/>
      </c>
      <c r="F264">
        <f>MIN(E264*26400,10000)</f>
        <v/>
      </c>
      <c r="G264">
        <f>MINIFS(CBIC_Late_Fee_Relief_Windows_3B!$O$264:$O$100,CBIC_Late_Fee_Relief_Windows_3B!$D$264:$D$100,"&lt;="&amp;B264,CBIC_Late_Fee_Relief_Windows_3B!$E$264:$E$100,"&gt;="&amp;B264,CBIC_Late_Fee_Relief_Windows_3B!$F$264:$F$100,"&lt;="&amp;C264,CBIC_Late_Fee_Relief_Windows_3B!$G$264:$G$100,"&gt;="&amp;C264)</f>
        <v/>
      </c>
      <c r="H264">
        <f>INDEX(CBIC_Late_Fee_Relief_Windows_3B!$I$264:$I$100,MATCH(G264,CBIC_Late_Fee_Relief_Windows_3B!$O$264:$O$100,0))</f>
        <v/>
      </c>
      <c r="I264">
        <f>MIN(F264,H264)</f>
        <v/>
      </c>
    </row>
    <row r="265">
      <c r="A265">
        <f>TEST_DATA!A265</f>
        <v/>
      </c>
      <c r="B265">
        <f>TEST_DATA!B265</f>
        <v/>
      </c>
      <c r="C265">
        <f>TEST_DATA!C265</f>
        <v/>
      </c>
      <c r="D265">
        <f>TEST_DATA!D265</f>
        <v/>
      </c>
      <c r="E265">
        <f>TEST_DATA!E265</f>
        <v/>
      </c>
      <c r="F265">
        <f>MIN(E265*26500,10000)</f>
        <v/>
      </c>
      <c r="G265">
        <f>MINIFS(CBIC_Late_Fee_Relief_Windows_3B!$O$265:$O$100,CBIC_Late_Fee_Relief_Windows_3B!$D$265:$D$100,"&lt;="&amp;B265,CBIC_Late_Fee_Relief_Windows_3B!$E$265:$E$100,"&gt;="&amp;B265,CBIC_Late_Fee_Relief_Windows_3B!$F$265:$F$100,"&lt;="&amp;C265,CBIC_Late_Fee_Relief_Windows_3B!$G$265:$G$100,"&gt;="&amp;C265)</f>
        <v/>
      </c>
      <c r="H265">
        <f>INDEX(CBIC_Late_Fee_Relief_Windows_3B!$I$265:$I$100,MATCH(G265,CBIC_Late_Fee_Relief_Windows_3B!$O$265:$O$100,0))</f>
        <v/>
      </c>
      <c r="I265">
        <f>MIN(F265,H265)</f>
        <v/>
      </c>
    </row>
    <row r="266">
      <c r="A266">
        <f>TEST_DATA!A266</f>
        <v/>
      </c>
      <c r="B266">
        <f>TEST_DATA!B266</f>
        <v/>
      </c>
      <c r="C266">
        <f>TEST_DATA!C266</f>
        <v/>
      </c>
      <c r="D266">
        <f>TEST_DATA!D266</f>
        <v/>
      </c>
      <c r="E266">
        <f>TEST_DATA!E266</f>
        <v/>
      </c>
      <c r="F266">
        <f>MIN(E266*26600,10000)</f>
        <v/>
      </c>
      <c r="G266">
        <f>MINIFS(CBIC_Late_Fee_Relief_Windows_3B!$O$266:$O$100,CBIC_Late_Fee_Relief_Windows_3B!$D$266:$D$100,"&lt;="&amp;B266,CBIC_Late_Fee_Relief_Windows_3B!$E$266:$E$100,"&gt;="&amp;B266,CBIC_Late_Fee_Relief_Windows_3B!$F$266:$F$100,"&lt;="&amp;C266,CBIC_Late_Fee_Relief_Windows_3B!$G$266:$G$100,"&gt;="&amp;C266)</f>
        <v/>
      </c>
      <c r="H266">
        <f>INDEX(CBIC_Late_Fee_Relief_Windows_3B!$I$266:$I$100,MATCH(G266,CBIC_Late_Fee_Relief_Windows_3B!$O$266:$O$100,0))</f>
        <v/>
      </c>
      <c r="I266">
        <f>MIN(F266,H266)</f>
        <v/>
      </c>
    </row>
    <row r="267">
      <c r="A267">
        <f>TEST_DATA!A267</f>
        <v/>
      </c>
      <c r="B267">
        <f>TEST_DATA!B267</f>
        <v/>
      </c>
      <c r="C267">
        <f>TEST_DATA!C267</f>
        <v/>
      </c>
      <c r="D267">
        <f>TEST_DATA!D267</f>
        <v/>
      </c>
      <c r="E267">
        <f>TEST_DATA!E267</f>
        <v/>
      </c>
      <c r="F267">
        <f>MIN(E267*26700,10000)</f>
        <v/>
      </c>
      <c r="G267">
        <f>MINIFS(CBIC_Late_Fee_Relief_Windows_3B!$O$267:$O$100,CBIC_Late_Fee_Relief_Windows_3B!$D$267:$D$100,"&lt;="&amp;B267,CBIC_Late_Fee_Relief_Windows_3B!$E$267:$E$100,"&gt;="&amp;B267,CBIC_Late_Fee_Relief_Windows_3B!$F$267:$F$100,"&lt;="&amp;C267,CBIC_Late_Fee_Relief_Windows_3B!$G$267:$G$100,"&gt;="&amp;C267)</f>
        <v/>
      </c>
      <c r="H267">
        <f>INDEX(CBIC_Late_Fee_Relief_Windows_3B!$I$267:$I$100,MATCH(G267,CBIC_Late_Fee_Relief_Windows_3B!$O$267:$O$100,0))</f>
        <v/>
      </c>
      <c r="I267">
        <f>MIN(F267,H267)</f>
        <v/>
      </c>
    </row>
    <row r="268">
      <c r="A268">
        <f>TEST_DATA!A268</f>
        <v/>
      </c>
      <c r="B268">
        <f>TEST_DATA!B268</f>
        <v/>
      </c>
      <c r="C268">
        <f>TEST_DATA!C268</f>
        <v/>
      </c>
      <c r="D268">
        <f>TEST_DATA!D268</f>
        <v/>
      </c>
      <c r="E268">
        <f>TEST_DATA!E268</f>
        <v/>
      </c>
      <c r="F268">
        <f>MIN(E268*26800,10000)</f>
        <v/>
      </c>
      <c r="G268">
        <f>MINIFS(CBIC_Late_Fee_Relief_Windows_3B!$O$268:$O$100,CBIC_Late_Fee_Relief_Windows_3B!$D$268:$D$100,"&lt;="&amp;B268,CBIC_Late_Fee_Relief_Windows_3B!$E$268:$E$100,"&gt;="&amp;B268,CBIC_Late_Fee_Relief_Windows_3B!$F$268:$F$100,"&lt;="&amp;C268,CBIC_Late_Fee_Relief_Windows_3B!$G$268:$G$100,"&gt;="&amp;C268)</f>
        <v/>
      </c>
      <c r="H268">
        <f>INDEX(CBIC_Late_Fee_Relief_Windows_3B!$I$268:$I$100,MATCH(G268,CBIC_Late_Fee_Relief_Windows_3B!$O$268:$O$100,0))</f>
        <v/>
      </c>
      <c r="I268">
        <f>MIN(F268,H268)</f>
        <v/>
      </c>
    </row>
    <row r="269">
      <c r="A269">
        <f>TEST_DATA!A269</f>
        <v/>
      </c>
      <c r="B269">
        <f>TEST_DATA!B269</f>
        <v/>
      </c>
      <c r="C269">
        <f>TEST_DATA!C269</f>
        <v/>
      </c>
      <c r="D269">
        <f>TEST_DATA!D269</f>
        <v/>
      </c>
      <c r="E269">
        <f>TEST_DATA!E269</f>
        <v/>
      </c>
      <c r="F269">
        <f>MIN(E269*26900,10000)</f>
        <v/>
      </c>
      <c r="G269">
        <f>MINIFS(CBIC_Late_Fee_Relief_Windows_3B!$O$269:$O$100,CBIC_Late_Fee_Relief_Windows_3B!$D$269:$D$100,"&lt;="&amp;B269,CBIC_Late_Fee_Relief_Windows_3B!$E$269:$E$100,"&gt;="&amp;B269,CBIC_Late_Fee_Relief_Windows_3B!$F$269:$F$100,"&lt;="&amp;C269,CBIC_Late_Fee_Relief_Windows_3B!$G$269:$G$100,"&gt;="&amp;C269)</f>
        <v/>
      </c>
      <c r="H269">
        <f>INDEX(CBIC_Late_Fee_Relief_Windows_3B!$I$269:$I$100,MATCH(G269,CBIC_Late_Fee_Relief_Windows_3B!$O$269:$O$100,0))</f>
        <v/>
      </c>
      <c r="I269">
        <f>MIN(F269,H269)</f>
        <v/>
      </c>
    </row>
    <row r="270">
      <c r="A270">
        <f>TEST_DATA!A270</f>
        <v/>
      </c>
      <c r="B270">
        <f>TEST_DATA!B270</f>
        <v/>
      </c>
      <c r="C270">
        <f>TEST_DATA!C270</f>
        <v/>
      </c>
      <c r="D270">
        <f>TEST_DATA!D270</f>
        <v/>
      </c>
      <c r="E270">
        <f>TEST_DATA!E270</f>
        <v/>
      </c>
      <c r="F270">
        <f>MIN(E270*27000,10000)</f>
        <v/>
      </c>
      <c r="G270">
        <f>MINIFS(CBIC_Late_Fee_Relief_Windows_3B!$O$270:$O$100,CBIC_Late_Fee_Relief_Windows_3B!$D$270:$D$100,"&lt;="&amp;B270,CBIC_Late_Fee_Relief_Windows_3B!$E$270:$E$100,"&gt;="&amp;B270,CBIC_Late_Fee_Relief_Windows_3B!$F$270:$F$100,"&lt;="&amp;C270,CBIC_Late_Fee_Relief_Windows_3B!$G$270:$G$100,"&gt;="&amp;C270)</f>
        <v/>
      </c>
      <c r="H270">
        <f>INDEX(CBIC_Late_Fee_Relief_Windows_3B!$I$270:$I$100,MATCH(G270,CBIC_Late_Fee_Relief_Windows_3B!$O$270:$O$100,0))</f>
        <v/>
      </c>
      <c r="I270">
        <f>MIN(F270,H270)</f>
        <v/>
      </c>
    </row>
    <row r="271">
      <c r="A271">
        <f>TEST_DATA!A271</f>
        <v/>
      </c>
      <c r="B271">
        <f>TEST_DATA!B271</f>
        <v/>
      </c>
      <c r="C271">
        <f>TEST_DATA!C271</f>
        <v/>
      </c>
      <c r="D271">
        <f>TEST_DATA!D271</f>
        <v/>
      </c>
      <c r="E271">
        <f>TEST_DATA!E271</f>
        <v/>
      </c>
      <c r="F271">
        <f>MIN(E271*27100,10000)</f>
        <v/>
      </c>
      <c r="G271">
        <f>MINIFS(CBIC_Late_Fee_Relief_Windows_3B!$O$271:$O$100,CBIC_Late_Fee_Relief_Windows_3B!$D$271:$D$100,"&lt;="&amp;B271,CBIC_Late_Fee_Relief_Windows_3B!$E$271:$E$100,"&gt;="&amp;B271,CBIC_Late_Fee_Relief_Windows_3B!$F$271:$F$100,"&lt;="&amp;C271,CBIC_Late_Fee_Relief_Windows_3B!$G$271:$G$100,"&gt;="&amp;C271)</f>
        <v/>
      </c>
      <c r="H271">
        <f>INDEX(CBIC_Late_Fee_Relief_Windows_3B!$I$271:$I$100,MATCH(G271,CBIC_Late_Fee_Relief_Windows_3B!$O$271:$O$100,0))</f>
        <v/>
      </c>
      <c r="I271">
        <f>MIN(F271,H271)</f>
        <v/>
      </c>
    </row>
    <row r="272">
      <c r="A272">
        <f>TEST_DATA!A272</f>
        <v/>
      </c>
      <c r="B272">
        <f>TEST_DATA!B272</f>
        <v/>
      </c>
      <c r="C272">
        <f>TEST_DATA!C272</f>
        <v/>
      </c>
      <c r="D272">
        <f>TEST_DATA!D272</f>
        <v/>
      </c>
      <c r="E272">
        <f>TEST_DATA!E272</f>
        <v/>
      </c>
      <c r="F272">
        <f>MIN(E272*27200,10000)</f>
        <v/>
      </c>
      <c r="G272">
        <f>MINIFS(CBIC_Late_Fee_Relief_Windows_3B!$O$272:$O$100,CBIC_Late_Fee_Relief_Windows_3B!$D$272:$D$100,"&lt;="&amp;B272,CBIC_Late_Fee_Relief_Windows_3B!$E$272:$E$100,"&gt;="&amp;B272,CBIC_Late_Fee_Relief_Windows_3B!$F$272:$F$100,"&lt;="&amp;C272,CBIC_Late_Fee_Relief_Windows_3B!$G$272:$G$100,"&gt;="&amp;C272)</f>
        <v/>
      </c>
      <c r="H272">
        <f>INDEX(CBIC_Late_Fee_Relief_Windows_3B!$I$272:$I$100,MATCH(G272,CBIC_Late_Fee_Relief_Windows_3B!$O$272:$O$100,0))</f>
        <v/>
      </c>
      <c r="I272">
        <f>MIN(F272,H272)</f>
        <v/>
      </c>
    </row>
    <row r="273">
      <c r="A273">
        <f>TEST_DATA!A273</f>
        <v/>
      </c>
      <c r="B273">
        <f>TEST_DATA!B273</f>
        <v/>
      </c>
      <c r="C273">
        <f>TEST_DATA!C273</f>
        <v/>
      </c>
      <c r="D273">
        <f>TEST_DATA!D273</f>
        <v/>
      </c>
      <c r="E273">
        <f>TEST_DATA!E273</f>
        <v/>
      </c>
      <c r="F273">
        <f>MIN(E273*27300,10000)</f>
        <v/>
      </c>
      <c r="G273">
        <f>MINIFS(CBIC_Late_Fee_Relief_Windows_3B!$O$273:$O$100,CBIC_Late_Fee_Relief_Windows_3B!$D$273:$D$100,"&lt;="&amp;B273,CBIC_Late_Fee_Relief_Windows_3B!$E$273:$E$100,"&gt;="&amp;B273,CBIC_Late_Fee_Relief_Windows_3B!$F$273:$F$100,"&lt;="&amp;C273,CBIC_Late_Fee_Relief_Windows_3B!$G$273:$G$100,"&gt;="&amp;C273)</f>
        <v/>
      </c>
      <c r="H273">
        <f>INDEX(CBIC_Late_Fee_Relief_Windows_3B!$I$273:$I$100,MATCH(G273,CBIC_Late_Fee_Relief_Windows_3B!$O$273:$O$100,0))</f>
        <v/>
      </c>
      <c r="I273">
        <f>MIN(F273,H273)</f>
        <v/>
      </c>
    </row>
    <row r="274">
      <c r="A274">
        <f>TEST_DATA!A274</f>
        <v/>
      </c>
      <c r="B274">
        <f>TEST_DATA!B274</f>
        <v/>
      </c>
      <c r="C274">
        <f>TEST_DATA!C274</f>
        <v/>
      </c>
      <c r="D274">
        <f>TEST_DATA!D274</f>
        <v/>
      </c>
      <c r="E274">
        <f>TEST_DATA!E274</f>
        <v/>
      </c>
      <c r="F274">
        <f>MIN(E274*27400,10000)</f>
        <v/>
      </c>
      <c r="G274">
        <f>MINIFS(CBIC_Late_Fee_Relief_Windows_3B!$O$274:$O$100,CBIC_Late_Fee_Relief_Windows_3B!$D$274:$D$100,"&lt;="&amp;B274,CBIC_Late_Fee_Relief_Windows_3B!$E$274:$E$100,"&gt;="&amp;B274,CBIC_Late_Fee_Relief_Windows_3B!$F$274:$F$100,"&lt;="&amp;C274,CBIC_Late_Fee_Relief_Windows_3B!$G$274:$G$100,"&gt;="&amp;C274)</f>
        <v/>
      </c>
      <c r="H274">
        <f>INDEX(CBIC_Late_Fee_Relief_Windows_3B!$I$274:$I$100,MATCH(G274,CBIC_Late_Fee_Relief_Windows_3B!$O$274:$O$100,0))</f>
        <v/>
      </c>
      <c r="I274">
        <f>MIN(F274,H274)</f>
        <v/>
      </c>
    </row>
    <row r="275">
      <c r="A275">
        <f>TEST_DATA!A275</f>
        <v/>
      </c>
      <c r="B275">
        <f>TEST_DATA!B275</f>
        <v/>
      </c>
      <c r="C275">
        <f>TEST_DATA!C275</f>
        <v/>
      </c>
      <c r="D275">
        <f>TEST_DATA!D275</f>
        <v/>
      </c>
      <c r="E275">
        <f>TEST_DATA!E275</f>
        <v/>
      </c>
      <c r="F275">
        <f>MIN(E275*27500,10000)</f>
        <v/>
      </c>
      <c r="G275">
        <f>MINIFS(CBIC_Late_Fee_Relief_Windows_3B!$O$275:$O$100,CBIC_Late_Fee_Relief_Windows_3B!$D$275:$D$100,"&lt;="&amp;B275,CBIC_Late_Fee_Relief_Windows_3B!$E$275:$E$100,"&gt;="&amp;B275,CBIC_Late_Fee_Relief_Windows_3B!$F$275:$F$100,"&lt;="&amp;C275,CBIC_Late_Fee_Relief_Windows_3B!$G$275:$G$100,"&gt;="&amp;C275)</f>
        <v/>
      </c>
      <c r="H275">
        <f>INDEX(CBIC_Late_Fee_Relief_Windows_3B!$I$275:$I$100,MATCH(G275,CBIC_Late_Fee_Relief_Windows_3B!$O$275:$O$100,0))</f>
        <v/>
      </c>
      <c r="I275">
        <f>MIN(F275,H275)</f>
        <v/>
      </c>
    </row>
    <row r="276">
      <c r="A276">
        <f>TEST_DATA!A276</f>
        <v/>
      </c>
      <c r="B276">
        <f>TEST_DATA!B276</f>
        <v/>
      </c>
      <c r="C276">
        <f>TEST_DATA!C276</f>
        <v/>
      </c>
      <c r="D276">
        <f>TEST_DATA!D276</f>
        <v/>
      </c>
      <c r="E276">
        <f>TEST_DATA!E276</f>
        <v/>
      </c>
      <c r="F276">
        <f>MIN(E276*27600,10000)</f>
        <v/>
      </c>
      <c r="G276">
        <f>MINIFS(CBIC_Late_Fee_Relief_Windows_3B!$O$276:$O$100,CBIC_Late_Fee_Relief_Windows_3B!$D$276:$D$100,"&lt;="&amp;B276,CBIC_Late_Fee_Relief_Windows_3B!$E$276:$E$100,"&gt;="&amp;B276,CBIC_Late_Fee_Relief_Windows_3B!$F$276:$F$100,"&lt;="&amp;C276,CBIC_Late_Fee_Relief_Windows_3B!$G$276:$G$100,"&gt;="&amp;C276)</f>
        <v/>
      </c>
      <c r="H276">
        <f>INDEX(CBIC_Late_Fee_Relief_Windows_3B!$I$276:$I$100,MATCH(G276,CBIC_Late_Fee_Relief_Windows_3B!$O$276:$O$100,0))</f>
        <v/>
      </c>
      <c r="I276">
        <f>MIN(F276,H276)</f>
        <v/>
      </c>
    </row>
    <row r="277">
      <c r="A277">
        <f>TEST_DATA!A277</f>
        <v/>
      </c>
      <c r="B277">
        <f>TEST_DATA!B277</f>
        <v/>
      </c>
      <c r="C277">
        <f>TEST_DATA!C277</f>
        <v/>
      </c>
      <c r="D277">
        <f>TEST_DATA!D277</f>
        <v/>
      </c>
      <c r="E277">
        <f>TEST_DATA!E277</f>
        <v/>
      </c>
      <c r="F277">
        <f>MIN(E277*27700,10000)</f>
        <v/>
      </c>
      <c r="G277">
        <f>MINIFS(CBIC_Late_Fee_Relief_Windows_3B!$O$277:$O$100,CBIC_Late_Fee_Relief_Windows_3B!$D$277:$D$100,"&lt;="&amp;B277,CBIC_Late_Fee_Relief_Windows_3B!$E$277:$E$100,"&gt;="&amp;B277,CBIC_Late_Fee_Relief_Windows_3B!$F$277:$F$100,"&lt;="&amp;C277,CBIC_Late_Fee_Relief_Windows_3B!$G$277:$G$100,"&gt;="&amp;C277)</f>
        <v/>
      </c>
      <c r="H277">
        <f>INDEX(CBIC_Late_Fee_Relief_Windows_3B!$I$277:$I$100,MATCH(G277,CBIC_Late_Fee_Relief_Windows_3B!$O$277:$O$100,0))</f>
        <v/>
      </c>
      <c r="I277">
        <f>MIN(F277,H277)</f>
        <v/>
      </c>
    </row>
    <row r="278">
      <c r="A278">
        <f>TEST_DATA!A278</f>
        <v/>
      </c>
      <c r="B278">
        <f>TEST_DATA!B278</f>
        <v/>
      </c>
      <c r="C278">
        <f>TEST_DATA!C278</f>
        <v/>
      </c>
      <c r="D278">
        <f>TEST_DATA!D278</f>
        <v/>
      </c>
      <c r="E278">
        <f>TEST_DATA!E278</f>
        <v/>
      </c>
      <c r="F278">
        <f>MIN(E278*27800,10000)</f>
        <v/>
      </c>
      <c r="G278">
        <f>MINIFS(CBIC_Late_Fee_Relief_Windows_3B!$O$278:$O$100,CBIC_Late_Fee_Relief_Windows_3B!$D$278:$D$100,"&lt;="&amp;B278,CBIC_Late_Fee_Relief_Windows_3B!$E$278:$E$100,"&gt;="&amp;B278,CBIC_Late_Fee_Relief_Windows_3B!$F$278:$F$100,"&lt;="&amp;C278,CBIC_Late_Fee_Relief_Windows_3B!$G$278:$G$100,"&gt;="&amp;C278)</f>
        <v/>
      </c>
      <c r="H278">
        <f>INDEX(CBIC_Late_Fee_Relief_Windows_3B!$I$278:$I$100,MATCH(G278,CBIC_Late_Fee_Relief_Windows_3B!$O$278:$O$100,0))</f>
        <v/>
      </c>
      <c r="I278">
        <f>MIN(F278,H278)</f>
        <v/>
      </c>
    </row>
    <row r="279">
      <c r="A279">
        <f>TEST_DATA!A279</f>
        <v/>
      </c>
      <c r="B279">
        <f>TEST_DATA!B279</f>
        <v/>
      </c>
      <c r="C279">
        <f>TEST_DATA!C279</f>
        <v/>
      </c>
      <c r="D279">
        <f>TEST_DATA!D279</f>
        <v/>
      </c>
      <c r="E279">
        <f>TEST_DATA!E279</f>
        <v/>
      </c>
      <c r="F279">
        <f>MIN(E279*27900,10000)</f>
        <v/>
      </c>
      <c r="G279">
        <f>MINIFS(CBIC_Late_Fee_Relief_Windows_3B!$O$279:$O$100,CBIC_Late_Fee_Relief_Windows_3B!$D$279:$D$100,"&lt;="&amp;B279,CBIC_Late_Fee_Relief_Windows_3B!$E$279:$E$100,"&gt;="&amp;B279,CBIC_Late_Fee_Relief_Windows_3B!$F$279:$F$100,"&lt;="&amp;C279,CBIC_Late_Fee_Relief_Windows_3B!$G$279:$G$100,"&gt;="&amp;C279)</f>
        <v/>
      </c>
      <c r="H279">
        <f>INDEX(CBIC_Late_Fee_Relief_Windows_3B!$I$279:$I$100,MATCH(G279,CBIC_Late_Fee_Relief_Windows_3B!$O$279:$O$100,0))</f>
        <v/>
      </c>
      <c r="I279">
        <f>MIN(F279,H279)</f>
        <v/>
      </c>
    </row>
    <row r="280">
      <c r="A280">
        <f>TEST_DATA!A280</f>
        <v/>
      </c>
      <c r="B280">
        <f>TEST_DATA!B280</f>
        <v/>
      </c>
      <c r="C280">
        <f>TEST_DATA!C280</f>
        <v/>
      </c>
      <c r="D280">
        <f>TEST_DATA!D280</f>
        <v/>
      </c>
      <c r="E280">
        <f>TEST_DATA!E280</f>
        <v/>
      </c>
      <c r="F280">
        <f>MIN(E280*28000,10000)</f>
        <v/>
      </c>
      <c r="G280">
        <f>MINIFS(CBIC_Late_Fee_Relief_Windows_3B!$O$280:$O$100,CBIC_Late_Fee_Relief_Windows_3B!$D$280:$D$100,"&lt;="&amp;B280,CBIC_Late_Fee_Relief_Windows_3B!$E$280:$E$100,"&gt;="&amp;B280,CBIC_Late_Fee_Relief_Windows_3B!$F$280:$F$100,"&lt;="&amp;C280,CBIC_Late_Fee_Relief_Windows_3B!$G$280:$G$100,"&gt;="&amp;C280)</f>
        <v/>
      </c>
      <c r="H280">
        <f>INDEX(CBIC_Late_Fee_Relief_Windows_3B!$I$280:$I$100,MATCH(G280,CBIC_Late_Fee_Relief_Windows_3B!$O$280:$O$100,0))</f>
        <v/>
      </c>
      <c r="I280">
        <f>MIN(F280,H280)</f>
        <v/>
      </c>
    </row>
    <row r="281">
      <c r="A281">
        <f>TEST_DATA!A281</f>
        <v/>
      </c>
      <c r="B281">
        <f>TEST_DATA!B281</f>
        <v/>
      </c>
      <c r="C281">
        <f>TEST_DATA!C281</f>
        <v/>
      </c>
      <c r="D281">
        <f>TEST_DATA!D281</f>
        <v/>
      </c>
      <c r="E281">
        <f>TEST_DATA!E281</f>
        <v/>
      </c>
      <c r="F281">
        <f>MIN(E281*28100,10000)</f>
        <v/>
      </c>
      <c r="G281">
        <f>MINIFS(CBIC_Late_Fee_Relief_Windows_3B!$O$281:$O$100,CBIC_Late_Fee_Relief_Windows_3B!$D$281:$D$100,"&lt;="&amp;B281,CBIC_Late_Fee_Relief_Windows_3B!$E$281:$E$100,"&gt;="&amp;B281,CBIC_Late_Fee_Relief_Windows_3B!$F$281:$F$100,"&lt;="&amp;C281,CBIC_Late_Fee_Relief_Windows_3B!$G$281:$G$100,"&gt;="&amp;C281)</f>
        <v/>
      </c>
      <c r="H281">
        <f>INDEX(CBIC_Late_Fee_Relief_Windows_3B!$I$281:$I$100,MATCH(G281,CBIC_Late_Fee_Relief_Windows_3B!$O$281:$O$100,0))</f>
        <v/>
      </c>
      <c r="I281">
        <f>MIN(F281,H281)</f>
        <v/>
      </c>
    </row>
    <row r="282">
      <c r="A282">
        <f>TEST_DATA!A282</f>
        <v/>
      </c>
      <c r="B282">
        <f>TEST_DATA!B282</f>
        <v/>
      </c>
      <c r="C282">
        <f>TEST_DATA!C282</f>
        <v/>
      </c>
      <c r="D282">
        <f>TEST_DATA!D282</f>
        <v/>
      </c>
      <c r="E282">
        <f>TEST_DATA!E282</f>
        <v/>
      </c>
      <c r="F282">
        <f>MIN(E282*28200,10000)</f>
        <v/>
      </c>
      <c r="G282">
        <f>MINIFS(CBIC_Late_Fee_Relief_Windows_3B!$O$282:$O$100,CBIC_Late_Fee_Relief_Windows_3B!$D$282:$D$100,"&lt;="&amp;B282,CBIC_Late_Fee_Relief_Windows_3B!$E$282:$E$100,"&gt;="&amp;B282,CBIC_Late_Fee_Relief_Windows_3B!$F$282:$F$100,"&lt;="&amp;C282,CBIC_Late_Fee_Relief_Windows_3B!$G$282:$G$100,"&gt;="&amp;C282)</f>
        <v/>
      </c>
      <c r="H282">
        <f>INDEX(CBIC_Late_Fee_Relief_Windows_3B!$I$282:$I$100,MATCH(G282,CBIC_Late_Fee_Relief_Windows_3B!$O$282:$O$100,0))</f>
        <v/>
      </c>
      <c r="I282">
        <f>MIN(F282,H282)</f>
        <v/>
      </c>
    </row>
    <row r="283">
      <c r="A283">
        <f>TEST_DATA!A283</f>
        <v/>
      </c>
      <c r="B283">
        <f>TEST_DATA!B283</f>
        <v/>
      </c>
      <c r="C283">
        <f>TEST_DATA!C283</f>
        <v/>
      </c>
      <c r="D283">
        <f>TEST_DATA!D283</f>
        <v/>
      </c>
      <c r="E283">
        <f>TEST_DATA!E283</f>
        <v/>
      </c>
      <c r="F283">
        <f>MIN(E283*28300,10000)</f>
        <v/>
      </c>
      <c r="G283">
        <f>MINIFS(CBIC_Late_Fee_Relief_Windows_3B!$O$283:$O$100,CBIC_Late_Fee_Relief_Windows_3B!$D$283:$D$100,"&lt;="&amp;B283,CBIC_Late_Fee_Relief_Windows_3B!$E$283:$E$100,"&gt;="&amp;B283,CBIC_Late_Fee_Relief_Windows_3B!$F$283:$F$100,"&lt;="&amp;C283,CBIC_Late_Fee_Relief_Windows_3B!$G$283:$G$100,"&gt;="&amp;C283)</f>
        <v/>
      </c>
      <c r="H283">
        <f>INDEX(CBIC_Late_Fee_Relief_Windows_3B!$I$283:$I$100,MATCH(G283,CBIC_Late_Fee_Relief_Windows_3B!$O$283:$O$100,0))</f>
        <v/>
      </c>
      <c r="I283">
        <f>MIN(F283,H283)</f>
        <v/>
      </c>
    </row>
    <row r="284">
      <c r="A284">
        <f>TEST_DATA!A284</f>
        <v/>
      </c>
      <c r="B284">
        <f>TEST_DATA!B284</f>
        <v/>
      </c>
      <c r="C284">
        <f>TEST_DATA!C284</f>
        <v/>
      </c>
      <c r="D284">
        <f>TEST_DATA!D284</f>
        <v/>
      </c>
      <c r="E284">
        <f>TEST_DATA!E284</f>
        <v/>
      </c>
      <c r="F284">
        <f>MIN(E284*28400,10000)</f>
        <v/>
      </c>
      <c r="G284">
        <f>MINIFS(CBIC_Late_Fee_Relief_Windows_3B!$O$284:$O$100,CBIC_Late_Fee_Relief_Windows_3B!$D$284:$D$100,"&lt;="&amp;B284,CBIC_Late_Fee_Relief_Windows_3B!$E$284:$E$100,"&gt;="&amp;B284,CBIC_Late_Fee_Relief_Windows_3B!$F$284:$F$100,"&lt;="&amp;C284,CBIC_Late_Fee_Relief_Windows_3B!$G$284:$G$100,"&gt;="&amp;C284)</f>
        <v/>
      </c>
      <c r="H284">
        <f>INDEX(CBIC_Late_Fee_Relief_Windows_3B!$I$284:$I$100,MATCH(G284,CBIC_Late_Fee_Relief_Windows_3B!$O$284:$O$100,0))</f>
        <v/>
      </c>
      <c r="I284">
        <f>MIN(F284,H284)</f>
        <v/>
      </c>
    </row>
    <row r="285">
      <c r="A285">
        <f>TEST_DATA!A285</f>
        <v/>
      </c>
      <c r="B285">
        <f>TEST_DATA!B285</f>
        <v/>
      </c>
      <c r="C285">
        <f>TEST_DATA!C285</f>
        <v/>
      </c>
      <c r="D285">
        <f>TEST_DATA!D285</f>
        <v/>
      </c>
      <c r="E285">
        <f>TEST_DATA!E285</f>
        <v/>
      </c>
      <c r="F285">
        <f>MIN(E285*28500,10000)</f>
        <v/>
      </c>
      <c r="G285">
        <f>MINIFS(CBIC_Late_Fee_Relief_Windows_3B!$O$285:$O$100,CBIC_Late_Fee_Relief_Windows_3B!$D$285:$D$100,"&lt;="&amp;B285,CBIC_Late_Fee_Relief_Windows_3B!$E$285:$E$100,"&gt;="&amp;B285,CBIC_Late_Fee_Relief_Windows_3B!$F$285:$F$100,"&lt;="&amp;C285,CBIC_Late_Fee_Relief_Windows_3B!$G$285:$G$100,"&gt;="&amp;C285)</f>
        <v/>
      </c>
      <c r="H285">
        <f>INDEX(CBIC_Late_Fee_Relief_Windows_3B!$I$285:$I$100,MATCH(G285,CBIC_Late_Fee_Relief_Windows_3B!$O$285:$O$100,0))</f>
        <v/>
      </c>
      <c r="I285">
        <f>MIN(F285,H285)</f>
        <v/>
      </c>
    </row>
    <row r="286">
      <c r="A286">
        <f>TEST_DATA!A286</f>
        <v/>
      </c>
      <c r="B286">
        <f>TEST_DATA!B286</f>
        <v/>
      </c>
      <c r="C286">
        <f>TEST_DATA!C286</f>
        <v/>
      </c>
      <c r="D286">
        <f>TEST_DATA!D286</f>
        <v/>
      </c>
      <c r="E286">
        <f>TEST_DATA!E286</f>
        <v/>
      </c>
      <c r="F286">
        <f>MIN(E286*28600,10000)</f>
        <v/>
      </c>
      <c r="G286">
        <f>MINIFS(CBIC_Late_Fee_Relief_Windows_3B!$O$286:$O$100,CBIC_Late_Fee_Relief_Windows_3B!$D$286:$D$100,"&lt;="&amp;B286,CBIC_Late_Fee_Relief_Windows_3B!$E$286:$E$100,"&gt;="&amp;B286,CBIC_Late_Fee_Relief_Windows_3B!$F$286:$F$100,"&lt;="&amp;C286,CBIC_Late_Fee_Relief_Windows_3B!$G$286:$G$100,"&gt;="&amp;C286)</f>
        <v/>
      </c>
      <c r="H286">
        <f>INDEX(CBIC_Late_Fee_Relief_Windows_3B!$I$286:$I$100,MATCH(G286,CBIC_Late_Fee_Relief_Windows_3B!$O$286:$O$100,0))</f>
        <v/>
      </c>
      <c r="I286">
        <f>MIN(F286,H286)</f>
        <v/>
      </c>
    </row>
    <row r="287">
      <c r="A287">
        <f>TEST_DATA!A287</f>
        <v/>
      </c>
      <c r="B287">
        <f>TEST_DATA!B287</f>
        <v/>
      </c>
      <c r="C287">
        <f>TEST_DATA!C287</f>
        <v/>
      </c>
      <c r="D287">
        <f>TEST_DATA!D287</f>
        <v/>
      </c>
      <c r="E287">
        <f>TEST_DATA!E287</f>
        <v/>
      </c>
      <c r="F287">
        <f>MIN(E287*28700,10000)</f>
        <v/>
      </c>
      <c r="G287">
        <f>MINIFS(CBIC_Late_Fee_Relief_Windows_3B!$O$287:$O$100,CBIC_Late_Fee_Relief_Windows_3B!$D$287:$D$100,"&lt;="&amp;B287,CBIC_Late_Fee_Relief_Windows_3B!$E$287:$E$100,"&gt;="&amp;B287,CBIC_Late_Fee_Relief_Windows_3B!$F$287:$F$100,"&lt;="&amp;C287,CBIC_Late_Fee_Relief_Windows_3B!$G$287:$G$100,"&gt;="&amp;C287)</f>
        <v/>
      </c>
      <c r="H287">
        <f>INDEX(CBIC_Late_Fee_Relief_Windows_3B!$I$287:$I$100,MATCH(G287,CBIC_Late_Fee_Relief_Windows_3B!$O$287:$O$100,0))</f>
        <v/>
      </c>
      <c r="I287">
        <f>MIN(F287,H287)</f>
        <v/>
      </c>
    </row>
    <row r="288">
      <c r="A288">
        <f>TEST_DATA!A288</f>
        <v/>
      </c>
      <c r="B288">
        <f>TEST_DATA!B288</f>
        <v/>
      </c>
      <c r="C288">
        <f>TEST_DATA!C288</f>
        <v/>
      </c>
      <c r="D288">
        <f>TEST_DATA!D288</f>
        <v/>
      </c>
      <c r="E288">
        <f>TEST_DATA!E288</f>
        <v/>
      </c>
      <c r="F288">
        <f>MIN(E288*28800,10000)</f>
        <v/>
      </c>
      <c r="G288">
        <f>MINIFS(CBIC_Late_Fee_Relief_Windows_3B!$O$288:$O$100,CBIC_Late_Fee_Relief_Windows_3B!$D$288:$D$100,"&lt;="&amp;B288,CBIC_Late_Fee_Relief_Windows_3B!$E$288:$E$100,"&gt;="&amp;B288,CBIC_Late_Fee_Relief_Windows_3B!$F$288:$F$100,"&lt;="&amp;C288,CBIC_Late_Fee_Relief_Windows_3B!$G$288:$G$100,"&gt;="&amp;C288)</f>
        <v/>
      </c>
      <c r="H288">
        <f>INDEX(CBIC_Late_Fee_Relief_Windows_3B!$I$288:$I$100,MATCH(G288,CBIC_Late_Fee_Relief_Windows_3B!$O$288:$O$100,0))</f>
        <v/>
      </c>
      <c r="I288">
        <f>MIN(F288,H288)</f>
        <v/>
      </c>
    </row>
    <row r="289">
      <c r="A289">
        <f>TEST_DATA!A289</f>
        <v/>
      </c>
      <c r="B289">
        <f>TEST_DATA!B289</f>
        <v/>
      </c>
      <c r="C289">
        <f>TEST_DATA!C289</f>
        <v/>
      </c>
      <c r="D289">
        <f>TEST_DATA!D289</f>
        <v/>
      </c>
      <c r="E289">
        <f>TEST_DATA!E289</f>
        <v/>
      </c>
      <c r="F289">
        <f>MIN(E289*28900,10000)</f>
        <v/>
      </c>
      <c r="G289">
        <f>MINIFS(CBIC_Late_Fee_Relief_Windows_3B!$O$289:$O$100,CBIC_Late_Fee_Relief_Windows_3B!$D$289:$D$100,"&lt;="&amp;B289,CBIC_Late_Fee_Relief_Windows_3B!$E$289:$E$100,"&gt;="&amp;B289,CBIC_Late_Fee_Relief_Windows_3B!$F$289:$F$100,"&lt;="&amp;C289,CBIC_Late_Fee_Relief_Windows_3B!$G$289:$G$100,"&gt;="&amp;C289)</f>
        <v/>
      </c>
      <c r="H289">
        <f>INDEX(CBIC_Late_Fee_Relief_Windows_3B!$I$289:$I$100,MATCH(G289,CBIC_Late_Fee_Relief_Windows_3B!$O$289:$O$100,0))</f>
        <v/>
      </c>
      <c r="I289">
        <f>MIN(F289,H289)</f>
        <v/>
      </c>
    </row>
    <row r="290">
      <c r="A290">
        <f>TEST_DATA!A290</f>
        <v/>
      </c>
      <c r="B290">
        <f>TEST_DATA!B290</f>
        <v/>
      </c>
      <c r="C290">
        <f>TEST_DATA!C290</f>
        <v/>
      </c>
      <c r="D290">
        <f>TEST_DATA!D290</f>
        <v/>
      </c>
      <c r="E290">
        <f>TEST_DATA!E290</f>
        <v/>
      </c>
      <c r="F290">
        <f>MIN(E290*29000,10000)</f>
        <v/>
      </c>
      <c r="G290">
        <f>MINIFS(CBIC_Late_Fee_Relief_Windows_3B!$O$290:$O$100,CBIC_Late_Fee_Relief_Windows_3B!$D$290:$D$100,"&lt;="&amp;B290,CBIC_Late_Fee_Relief_Windows_3B!$E$290:$E$100,"&gt;="&amp;B290,CBIC_Late_Fee_Relief_Windows_3B!$F$290:$F$100,"&lt;="&amp;C290,CBIC_Late_Fee_Relief_Windows_3B!$G$290:$G$100,"&gt;="&amp;C290)</f>
        <v/>
      </c>
      <c r="H290">
        <f>INDEX(CBIC_Late_Fee_Relief_Windows_3B!$I$290:$I$100,MATCH(G290,CBIC_Late_Fee_Relief_Windows_3B!$O$290:$O$100,0))</f>
        <v/>
      </c>
      <c r="I290">
        <f>MIN(F290,H290)</f>
        <v/>
      </c>
    </row>
    <row r="291">
      <c r="A291">
        <f>TEST_DATA!A291</f>
        <v/>
      </c>
      <c r="B291">
        <f>TEST_DATA!B291</f>
        <v/>
      </c>
      <c r="C291">
        <f>TEST_DATA!C291</f>
        <v/>
      </c>
      <c r="D291">
        <f>TEST_DATA!D291</f>
        <v/>
      </c>
      <c r="E291">
        <f>TEST_DATA!E291</f>
        <v/>
      </c>
      <c r="F291">
        <f>MIN(E291*29100,10000)</f>
        <v/>
      </c>
      <c r="G291">
        <f>MINIFS(CBIC_Late_Fee_Relief_Windows_3B!$O$291:$O$100,CBIC_Late_Fee_Relief_Windows_3B!$D$291:$D$100,"&lt;="&amp;B291,CBIC_Late_Fee_Relief_Windows_3B!$E$291:$E$100,"&gt;="&amp;B291,CBIC_Late_Fee_Relief_Windows_3B!$F$291:$F$100,"&lt;="&amp;C291,CBIC_Late_Fee_Relief_Windows_3B!$G$291:$G$100,"&gt;="&amp;C291)</f>
        <v/>
      </c>
      <c r="H291">
        <f>INDEX(CBIC_Late_Fee_Relief_Windows_3B!$I$291:$I$100,MATCH(G291,CBIC_Late_Fee_Relief_Windows_3B!$O$291:$O$100,0))</f>
        <v/>
      </c>
      <c r="I291">
        <f>MIN(F291,H291)</f>
        <v/>
      </c>
    </row>
    <row r="292">
      <c r="A292">
        <f>TEST_DATA!A292</f>
        <v/>
      </c>
      <c r="B292">
        <f>TEST_DATA!B292</f>
        <v/>
      </c>
      <c r="C292">
        <f>TEST_DATA!C292</f>
        <v/>
      </c>
      <c r="D292">
        <f>TEST_DATA!D292</f>
        <v/>
      </c>
      <c r="E292">
        <f>TEST_DATA!E292</f>
        <v/>
      </c>
      <c r="F292">
        <f>MIN(E292*29200,10000)</f>
        <v/>
      </c>
      <c r="G292">
        <f>MINIFS(CBIC_Late_Fee_Relief_Windows_3B!$O$292:$O$100,CBIC_Late_Fee_Relief_Windows_3B!$D$292:$D$100,"&lt;="&amp;B292,CBIC_Late_Fee_Relief_Windows_3B!$E$292:$E$100,"&gt;="&amp;B292,CBIC_Late_Fee_Relief_Windows_3B!$F$292:$F$100,"&lt;="&amp;C292,CBIC_Late_Fee_Relief_Windows_3B!$G$292:$G$100,"&gt;="&amp;C292)</f>
        <v/>
      </c>
      <c r="H292">
        <f>INDEX(CBIC_Late_Fee_Relief_Windows_3B!$I$292:$I$100,MATCH(G292,CBIC_Late_Fee_Relief_Windows_3B!$O$292:$O$100,0))</f>
        <v/>
      </c>
      <c r="I292">
        <f>MIN(F292,H292)</f>
        <v/>
      </c>
    </row>
    <row r="293">
      <c r="A293">
        <f>TEST_DATA!A293</f>
        <v/>
      </c>
      <c r="B293">
        <f>TEST_DATA!B293</f>
        <v/>
      </c>
      <c r="C293">
        <f>TEST_DATA!C293</f>
        <v/>
      </c>
      <c r="D293">
        <f>TEST_DATA!D293</f>
        <v/>
      </c>
      <c r="E293">
        <f>TEST_DATA!E293</f>
        <v/>
      </c>
      <c r="F293">
        <f>MIN(E293*29300,10000)</f>
        <v/>
      </c>
      <c r="G293">
        <f>MINIFS(CBIC_Late_Fee_Relief_Windows_3B!$O$293:$O$100,CBIC_Late_Fee_Relief_Windows_3B!$D$293:$D$100,"&lt;="&amp;B293,CBIC_Late_Fee_Relief_Windows_3B!$E$293:$E$100,"&gt;="&amp;B293,CBIC_Late_Fee_Relief_Windows_3B!$F$293:$F$100,"&lt;="&amp;C293,CBIC_Late_Fee_Relief_Windows_3B!$G$293:$G$100,"&gt;="&amp;C293)</f>
        <v/>
      </c>
      <c r="H293">
        <f>INDEX(CBIC_Late_Fee_Relief_Windows_3B!$I$293:$I$100,MATCH(G293,CBIC_Late_Fee_Relief_Windows_3B!$O$293:$O$100,0))</f>
        <v/>
      </c>
      <c r="I293">
        <f>MIN(F293,H293)</f>
        <v/>
      </c>
    </row>
    <row r="294">
      <c r="A294">
        <f>TEST_DATA!A294</f>
        <v/>
      </c>
      <c r="B294">
        <f>TEST_DATA!B294</f>
        <v/>
      </c>
      <c r="C294">
        <f>TEST_DATA!C294</f>
        <v/>
      </c>
      <c r="D294">
        <f>TEST_DATA!D294</f>
        <v/>
      </c>
      <c r="E294">
        <f>TEST_DATA!E294</f>
        <v/>
      </c>
      <c r="F294">
        <f>MIN(E294*29400,10000)</f>
        <v/>
      </c>
      <c r="G294">
        <f>MINIFS(CBIC_Late_Fee_Relief_Windows_3B!$O$294:$O$100,CBIC_Late_Fee_Relief_Windows_3B!$D$294:$D$100,"&lt;="&amp;B294,CBIC_Late_Fee_Relief_Windows_3B!$E$294:$E$100,"&gt;="&amp;B294,CBIC_Late_Fee_Relief_Windows_3B!$F$294:$F$100,"&lt;="&amp;C294,CBIC_Late_Fee_Relief_Windows_3B!$G$294:$G$100,"&gt;="&amp;C294)</f>
        <v/>
      </c>
      <c r="H294">
        <f>INDEX(CBIC_Late_Fee_Relief_Windows_3B!$I$294:$I$100,MATCH(G294,CBIC_Late_Fee_Relief_Windows_3B!$O$294:$O$100,0))</f>
        <v/>
      </c>
      <c r="I294">
        <f>MIN(F294,H294)</f>
        <v/>
      </c>
    </row>
    <row r="295">
      <c r="A295">
        <f>TEST_DATA!A295</f>
        <v/>
      </c>
      <c r="B295">
        <f>TEST_DATA!B295</f>
        <v/>
      </c>
      <c r="C295">
        <f>TEST_DATA!C295</f>
        <v/>
      </c>
      <c r="D295">
        <f>TEST_DATA!D295</f>
        <v/>
      </c>
      <c r="E295">
        <f>TEST_DATA!E295</f>
        <v/>
      </c>
      <c r="F295">
        <f>MIN(E295*29500,10000)</f>
        <v/>
      </c>
      <c r="G295">
        <f>MINIFS(CBIC_Late_Fee_Relief_Windows_3B!$O$295:$O$100,CBIC_Late_Fee_Relief_Windows_3B!$D$295:$D$100,"&lt;="&amp;B295,CBIC_Late_Fee_Relief_Windows_3B!$E$295:$E$100,"&gt;="&amp;B295,CBIC_Late_Fee_Relief_Windows_3B!$F$295:$F$100,"&lt;="&amp;C295,CBIC_Late_Fee_Relief_Windows_3B!$G$295:$G$100,"&gt;="&amp;C295)</f>
        <v/>
      </c>
      <c r="H295">
        <f>INDEX(CBIC_Late_Fee_Relief_Windows_3B!$I$295:$I$100,MATCH(G295,CBIC_Late_Fee_Relief_Windows_3B!$O$295:$O$100,0))</f>
        <v/>
      </c>
      <c r="I295">
        <f>MIN(F295,H295)</f>
        <v/>
      </c>
    </row>
    <row r="296">
      <c r="A296">
        <f>TEST_DATA!A296</f>
        <v/>
      </c>
      <c r="B296">
        <f>TEST_DATA!B296</f>
        <v/>
      </c>
      <c r="C296">
        <f>TEST_DATA!C296</f>
        <v/>
      </c>
      <c r="D296">
        <f>TEST_DATA!D296</f>
        <v/>
      </c>
      <c r="E296">
        <f>TEST_DATA!E296</f>
        <v/>
      </c>
      <c r="F296">
        <f>MIN(E296*29600,10000)</f>
        <v/>
      </c>
      <c r="G296">
        <f>MINIFS(CBIC_Late_Fee_Relief_Windows_3B!$O$296:$O$100,CBIC_Late_Fee_Relief_Windows_3B!$D$296:$D$100,"&lt;="&amp;B296,CBIC_Late_Fee_Relief_Windows_3B!$E$296:$E$100,"&gt;="&amp;B296,CBIC_Late_Fee_Relief_Windows_3B!$F$296:$F$100,"&lt;="&amp;C296,CBIC_Late_Fee_Relief_Windows_3B!$G$296:$G$100,"&gt;="&amp;C296)</f>
        <v/>
      </c>
      <c r="H296">
        <f>INDEX(CBIC_Late_Fee_Relief_Windows_3B!$I$296:$I$100,MATCH(G296,CBIC_Late_Fee_Relief_Windows_3B!$O$296:$O$100,0))</f>
        <v/>
      </c>
      <c r="I296">
        <f>MIN(F296,H296)</f>
        <v/>
      </c>
    </row>
    <row r="297">
      <c r="A297">
        <f>TEST_DATA!A297</f>
        <v/>
      </c>
      <c r="B297">
        <f>TEST_DATA!B297</f>
        <v/>
      </c>
      <c r="C297">
        <f>TEST_DATA!C297</f>
        <v/>
      </c>
      <c r="D297">
        <f>TEST_DATA!D297</f>
        <v/>
      </c>
      <c r="E297">
        <f>TEST_DATA!E297</f>
        <v/>
      </c>
      <c r="F297">
        <f>MIN(E297*29700,10000)</f>
        <v/>
      </c>
      <c r="G297">
        <f>MINIFS(CBIC_Late_Fee_Relief_Windows_3B!$O$297:$O$100,CBIC_Late_Fee_Relief_Windows_3B!$D$297:$D$100,"&lt;="&amp;B297,CBIC_Late_Fee_Relief_Windows_3B!$E$297:$E$100,"&gt;="&amp;B297,CBIC_Late_Fee_Relief_Windows_3B!$F$297:$F$100,"&lt;="&amp;C297,CBIC_Late_Fee_Relief_Windows_3B!$G$297:$G$100,"&gt;="&amp;C297)</f>
        <v/>
      </c>
      <c r="H297">
        <f>INDEX(CBIC_Late_Fee_Relief_Windows_3B!$I$297:$I$100,MATCH(G297,CBIC_Late_Fee_Relief_Windows_3B!$O$297:$O$100,0))</f>
        <v/>
      </c>
      <c r="I297">
        <f>MIN(F297,H297)</f>
        <v/>
      </c>
    </row>
    <row r="298">
      <c r="A298">
        <f>TEST_DATA!A298</f>
        <v/>
      </c>
      <c r="B298">
        <f>TEST_DATA!B298</f>
        <v/>
      </c>
      <c r="C298">
        <f>TEST_DATA!C298</f>
        <v/>
      </c>
      <c r="D298">
        <f>TEST_DATA!D298</f>
        <v/>
      </c>
      <c r="E298">
        <f>TEST_DATA!E298</f>
        <v/>
      </c>
      <c r="F298">
        <f>MIN(E298*29800,10000)</f>
        <v/>
      </c>
      <c r="G298">
        <f>MINIFS(CBIC_Late_Fee_Relief_Windows_3B!$O$298:$O$100,CBIC_Late_Fee_Relief_Windows_3B!$D$298:$D$100,"&lt;="&amp;B298,CBIC_Late_Fee_Relief_Windows_3B!$E$298:$E$100,"&gt;="&amp;B298,CBIC_Late_Fee_Relief_Windows_3B!$F$298:$F$100,"&lt;="&amp;C298,CBIC_Late_Fee_Relief_Windows_3B!$G$298:$G$100,"&gt;="&amp;C298)</f>
        <v/>
      </c>
      <c r="H298">
        <f>INDEX(CBIC_Late_Fee_Relief_Windows_3B!$I$298:$I$100,MATCH(G298,CBIC_Late_Fee_Relief_Windows_3B!$O$298:$O$100,0))</f>
        <v/>
      </c>
      <c r="I298">
        <f>MIN(F298,H298)</f>
        <v/>
      </c>
    </row>
    <row r="299">
      <c r="A299">
        <f>TEST_DATA!A299</f>
        <v/>
      </c>
      <c r="B299">
        <f>TEST_DATA!B299</f>
        <v/>
      </c>
      <c r="C299">
        <f>TEST_DATA!C299</f>
        <v/>
      </c>
      <c r="D299">
        <f>TEST_DATA!D299</f>
        <v/>
      </c>
      <c r="E299">
        <f>TEST_DATA!E299</f>
        <v/>
      </c>
      <c r="F299">
        <f>MIN(E299*29900,10000)</f>
        <v/>
      </c>
      <c r="G299">
        <f>MINIFS(CBIC_Late_Fee_Relief_Windows_3B!$O$299:$O$100,CBIC_Late_Fee_Relief_Windows_3B!$D$299:$D$100,"&lt;="&amp;B299,CBIC_Late_Fee_Relief_Windows_3B!$E$299:$E$100,"&gt;="&amp;B299,CBIC_Late_Fee_Relief_Windows_3B!$F$299:$F$100,"&lt;="&amp;C299,CBIC_Late_Fee_Relief_Windows_3B!$G$299:$G$100,"&gt;="&amp;C299)</f>
        <v/>
      </c>
      <c r="H299">
        <f>INDEX(CBIC_Late_Fee_Relief_Windows_3B!$I$299:$I$100,MATCH(G299,CBIC_Late_Fee_Relief_Windows_3B!$O$299:$O$100,0))</f>
        <v/>
      </c>
      <c r="I299">
        <f>MIN(F299,H299)</f>
        <v/>
      </c>
    </row>
    <row r="300">
      <c r="A300">
        <f>TEST_DATA!A300</f>
        <v/>
      </c>
      <c r="B300">
        <f>TEST_DATA!B300</f>
        <v/>
      </c>
      <c r="C300">
        <f>TEST_DATA!C300</f>
        <v/>
      </c>
      <c r="D300">
        <f>TEST_DATA!D300</f>
        <v/>
      </c>
      <c r="E300">
        <f>TEST_DATA!E300</f>
        <v/>
      </c>
      <c r="F300">
        <f>MIN(E300*30000,10000)</f>
        <v/>
      </c>
      <c r="G300">
        <f>MINIFS(CBIC_Late_Fee_Relief_Windows_3B!$O$300:$O$100,CBIC_Late_Fee_Relief_Windows_3B!$D$300:$D$100,"&lt;="&amp;B300,CBIC_Late_Fee_Relief_Windows_3B!$E$300:$E$100,"&gt;="&amp;B300,CBIC_Late_Fee_Relief_Windows_3B!$F$300:$F$100,"&lt;="&amp;C300,CBIC_Late_Fee_Relief_Windows_3B!$G$300:$G$100,"&gt;="&amp;C300)</f>
        <v/>
      </c>
      <c r="H300">
        <f>INDEX(CBIC_Late_Fee_Relief_Windows_3B!$I$300:$I$100,MATCH(G300,CBIC_Late_Fee_Relief_Windows_3B!$O$300:$O$100,0))</f>
        <v/>
      </c>
      <c r="I300">
        <f>MIN(F300,H300)</f>
        <v/>
      </c>
    </row>
    <row r="301">
      <c r="A301">
        <f>TEST_DATA!A301</f>
        <v/>
      </c>
      <c r="B301">
        <f>TEST_DATA!B301</f>
        <v/>
      </c>
      <c r="C301">
        <f>TEST_DATA!C301</f>
        <v/>
      </c>
      <c r="D301">
        <f>TEST_DATA!D301</f>
        <v/>
      </c>
      <c r="E301">
        <f>TEST_DATA!E301</f>
        <v/>
      </c>
      <c r="F301">
        <f>MIN(E301*30100,10000)</f>
        <v/>
      </c>
      <c r="G301">
        <f>MINIFS(CBIC_Late_Fee_Relief_Windows_3B!$O$301:$O$100,CBIC_Late_Fee_Relief_Windows_3B!$D$301:$D$100,"&lt;="&amp;B301,CBIC_Late_Fee_Relief_Windows_3B!$E$301:$E$100,"&gt;="&amp;B301,CBIC_Late_Fee_Relief_Windows_3B!$F$301:$F$100,"&lt;="&amp;C301,CBIC_Late_Fee_Relief_Windows_3B!$G$301:$G$100,"&gt;="&amp;C301)</f>
        <v/>
      </c>
      <c r="H301">
        <f>INDEX(CBIC_Late_Fee_Relief_Windows_3B!$I$301:$I$100,MATCH(G301,CBIC_Late_Fee_Relief_Windows_3B!$O$301:$O$100,0))</f>
        <v/>
      </c>
      <c r="I301">
        <f>MIN(F301,H301)</f>
        <v/>
      </c>
    </row>
    <row r="302">
      <c r="A302">
        <f>TEST_DATA!A302</f>
        <v/>
      </c>
      <c r="B302">
        <f>TEST_DATA!B302</f>
        <v/>
      </c>
      <c r="C302">
        <f>TEST_DATA!C302</f>
        <v/>
      </c>
      <c r="D302">
        <f>TEST_DATA!D302</f>
        <v/>
      </c>
      <c r="E302">
        <f>TEST_DATA!E302</f>
        <v/>
      </c>
      <c r="F302">
        <f>MIN(E302*30200,10000)</f>
        <v/>
      </c>
      <c r="G302">
        <f>MINIFS(CBIC_Late_Fee_Relief_Windows_3B!$O$302:$O$100,CBIC_Late_Fee_Relief_Windows_3B!$D$302:$D$100,"&lt;="&amp;B302,CBIC_Late_Fee_Relief_Windows_3B!$E$302:$E$100,"&gt;="&amp;B302,CBIC_Late_Fee_Relief_Windows_3B!$F$302:$F$100,"&lt;="&amp;C302,CBIC_Late_Fee_Relief_Windows_3B!$G$302:$G$100,"&gt;="&amp;C302)</f>
        <v/>
      </c>
      <c r="H302">
        <f>INDEX(CBIC_Late_Fee_Relief_Windows_3B!$I$302:$I$100,MATCH(G302,CBIC_Late_Fee_Relief_Windows_3B!$O$302:$O$100,0))</f>
        <v/>
      </c>
      <c r="I302">
        <f>MIN(F302,H302)</f>
        <v/>
      </c>
    </row>
    <row r="303">
      <c r="A303">
        <f>TEST_DATA!A303</f>
        <v/>
      </c>
      <c r="B303">
        <f>TEST_DATA!B303</f>
        <v/>
      </c>
      <c r="C303">
        <f>TEST_DATA!C303</f>
        <v/>
      </c>
      <c r="D303">
        <f>TEST_DATA!D303</f>
        <v/>
      </c>
      <c r="E303">
        <f>TEST_DATA!E303</f>
        <v/>
      </c>
      <c r="F303">
        <f>MIN(E303*30300,10000)</f>
        <v/>
      </c>
      <c r="G303">
        <f>MINIFS(CBIC_Late_Fee_Relief_Windows_3B!$O$303:$O$100,CBIC_Late_Fee_Relief_Windows_3B!$D$303:$D$100,"&lt;="&amp;B303,CBIC_Late_Fee_Relief_Windows_3B!$E$303:$E$100,"&gt;="&amp;B303,CBIC_Late_Fee_Relief_Windows_3B!$F$303:$F$100,"&lt;="&amp;C303,CBIC_Late_Fee_Relief_Windows_3B!$G$303:$G$100,"&gt;="&amp;C303)</f>
        <v/>
      </c>
      <c r="H303">
        <f>INDEX(CBIC_Late_Fee_Relief_Windows_3B!$I$303:$I$100,MATCH(G303,CBIC_Late_Fee_Relief_Windows_3B!$O$303:$O$100,0))</f>
        <v/>
      </c>
      <c r="I303">
        <f>MIN(F303,H303)</f>
        <v/>
      </c>
    </row>
    <row r="304">
      <c r="A304">
        <f>TEST_DATA!A304</f>
        <v/>
      </c>
      <c r="B304">
        <f>TEST_DATA!B304</f>
        <v/>
      </c>
      <c r="C304">
        <f>TEST_DATA!C304</f>
        <v/>
      </c>
      <c r="D304">
        <f>TEST_DATA!D304</f>
        <v/>
      </c>
      <c r="E304">
        <f>TEST_DATA!E304</f>
        <v/>
      </c>
      <c r="F304">
        <f>MIN(E304*30400,10000)</f>
        <v/>
      </c>
      <c r="G304">
        <f>MINIFS(CBIC_Late_Fee_Relief_Windows_3B!$O$304:$O$100,CBIC_Late_Fee_Relief_Windows_3B!$D$304:$D$100,"&lt;="&amp;B304,CBIC_Late_Fee_Relief_Windows_3B!$E$304:$E$100,"&gt;="&amp;B304,CBIC_Late_Fee_Relief_Windows_3B!$F$304:$F$100,"&lt;="&amp;C304,CBIC_Late_Fee_Relief_Windows_3B!$G$304:$G$100,"&gt;="&amp;C304)</f>
        <v/>
      </c>
      <c r="H304">
        <f>INDEX(CBIC_Late_Fee_Relief_Windows_3B!$I$304:$I$100,MATCH(G304,CBIC_Late_Fee_Relief_Windows_3B!$O$304:$O$100,0))</f>
        <v/>
      </c>
      <c r="I304">
        <f>MIN(F304,H304)</f>
        <v/>
      </c>
    </row>
    <row r="305">
      <c r="A305">
        <f>TEST_DATA!A305</f>
        <v/>
      </c>
      <c r="B305">
        <f>TEST_DATA!B305</f>
        <v/>
      </c>
      <c r="C305">
        <f>TEST_DATA!C305</f>
        <v/>
      </c>
      <c r="D305">
        <f>TEST_DATA!D305</f>
        <v/>
      </c>
      <c r="E305">
        <f>TEST_DATA!E305</f>
        <v/>
      </c>
      <c r="F305">
        <f>MIN(E305*30500,10000)</f>
        <v/>
      </c>
      <c r="G305">
        <f>MINIFS(CBIC_Late_Fee_Relief_Windows_3B!$O$305:$O$100,CBIC_Late_Fee_Relief_Windows_3B!$D$305:$D$100,"&lt;="&amp;B305,CBIC_Late_Fee_Relief_Windows_3B!$E$305:$E$100,"&gt;="&amp;B305,CBIC_Late_Fee_Relief_Windows_3B!$F$305:$F$100,"&lt;="&amp;C305,CBIC_Late_Fee_Relief_Windows_3B!$G$305:$G$100,"&gt;="&amp;C305)</f>
        <v/>
      </c>
      <c r="H305">
        <f>INDEX(CBIC_Late_Fee_Relief_Windows_3B!$I$305:$I$100,MATCH(G305,CBIC_Late_Fee_Relief_Windows_3B!$O$305:$O$100,0))</f>
        <v/>
      </c>
      <c r="I305">
        <f>MIN(F305,H305)</f>
        <v/>
      </c>
    </row>
    <row r="306">
      <c r="A306">
        <f>TEST_DATA!A306</f>
        <v/>
      </c>
      <c r="B306">
        <f>TEST_DATA!B306</f>
        <v/>
      </c>
      <c r="C306">
        <f>TEST_DATA!C306</f>
        <v/>
      </c>
      <c r="D306">
        <f>TEST_DATA!D306</f>
        <v/>
      </c>
      <c r="E306">
        <f>TEST_DATA!E306</f>
        <v/>
      </c>
      <c r="F306">
        <f>MIN(E306*30600,10000)</f>
        <v/>
      </c>
      <c r="G306">
        <f>MINIFS(CBIC_Late_Fee_Relief_Windows_3B!$O$306:$O$100,CBIC_Late_Fee_Relief_Windows_3B!$D$306:$D$100,"&lt;="&amp;B306,CBIC_Late_Fee_Relief_Windows_3B!$E$306:$E$100,"&gt;="&amp;B306,CBIC_Late_Fee_Relief_Windows_3B!$F$306:$F$100,"&lt;="&amp;C306,CBIC_Late_Fee_Relief_Windows_3B!$G$306:$G$100,"&gt;="&amp;C306)</f>
        <v/>
      </c>
      <c r="H306">
        <f>INDEX(CBIC_Late_Fee_Relief_Windows_3B!$I$306:$I$100,MATCH(G306,CBIC_Late_Fee_Relief_Windows_3B!$O$306:$O$100,0))</f>
        <v/>
      </c>
      <c r="I306">
        <f>MIN(F306,H306)</f>
        <v/>
      </c>
    </row>
    <row r="307">
      <c r="A307">
        <f>TEST_DATA!A307</f>
        <v/>
      </c>
      <c r="B307">
        <f>TEST_DATA!B307</f>
        <v/>
      </c>
      <c r="C307">
        <f>TEST_DATA!C307</f>
        <v/>
      </c>
      <c r="D307">
        <f>TEST_DATA!D307</f>
        <v/>
      </c>
      <c r="E307">
        <f>TEST_DATA!E307</f>
        <v/>
      </c>
      <c r="F307">
        <f>MIN(E307*30700,10000)</f>
        <v/>
      </c>
      <c r="G307">
        <f>MINIFS(CBIC_Late_Fee_Relief_Windows_3B!$O$307:$O$100,CBIC_Late_Fee_Relief_Windows_3B!$D$307:$D$100,"&lt;="&amp;B307,CBIC_Late_Fee_Relief_Windows_3B!$E$307:$E$100,"&gt;="&amp;B307,CBIC_Late_Fee_Relief_Windows_3B!$F$307:$F$100,"&lt;="&amp;C307,CBIC_Late_Fee_Relief_Windows_3B!$G$307:$G$100,"&gt;="&amp;C307)</f>
        <v/>
      </c>
      <c r="H307">
        <f>INDEX(CBIC_Late_Fee_Relief_Windows_3B!$I$307:$I$100,MATCH(G307,CBIC_Late_Fee_Relief_Windows_3B!$O$307:$O$100,0))</f>
        <v/>
      </c>
      <c r="I307">
        <f>MIN(F307,H307)</f>
        <v/>
      </c>
    </row>
    <row r="308">
      <c r="A308">
        <f>TEST_DATA!A308</f>
        <v/>
      </c>
      <c r="B308">
        <f>TEST_DATA!B308</f>
        <v/>
      </c>
      <c r="C308">
        <f>TEST_DATA!C308</f>
        <v/>
      </c>
      <c r="D308">
        <f>TEST_DATA!D308</f>
        <v/>
      </c>
      <c r="E308">
        <f>TEST_DATA!E308</f>
        <v/>
      </c>
      <c r="F308">
        <f>MIN(E308*30800,10000)</f>
        <v/>
      </c>
      <c r="G308">
        <f>MINIFS(CBIC_Late_Fee_Relief_Windows_3B!$O$308:$O$100,CBIC_Late_Fee_Relief_Windows_3B!$D$308:$D$100,"&lt;="&amp;B308,CBIC_Late_Fee_Relief_Windows_3B!$E$308:$E$100,"&gt;="&amp;B308,CBIC_Late_Fee_Relief_Windows_3B!$F$308:$F$100,"&lt;="&amp;C308,CBIC_Late_Fee_Relief_Windows_3B!$G$308:$G$100,"&gt;="&amp;C308)</f>
        <v/>
      </c>
      <c r="H308">
        <f>INDEX(CBIC_Late_Fee_Relief_Windows_3B!$I$308:$I$100,MATCH(G308,CBIC_Late_Fee_Relief_Windows_3B!$O$308:$O$100,0))</f>
        <v/>
      </c>
      <c r="I308">
        <f>MIN(F308,H308)</f>
        <v/>
      </c>
    </row>
    <row r="309">
      <c r="A309">
        <f>TEST_DATA!A309</f>
        <v/>
      </c>
      <c r="B309">
        <f>TEST_DATA!B309</f>
        <v/>
      </c>
      <c r="C309">
        <f>TEST_DATA!C309</f>
        <v/>
      </c>
      <c r="D309">
        <f>TEST_DATA!D309</f>
        <v/>
      </c>
      <c r="E309">
        <f>TEST_DATA!E309</f>
        <v/>
      </c>
      <c r="F309">
        <f>MIN(E309*30900,10000)</f>
        <v/>
      </c>
      <c r="G309">
        <f>MINIFS(CBIC_Late_Fee_Relief_Windows_3B!$O$309:$O$100,CBIC_Late_Fee_Relief_Windows_3B!$D$309:$D$100,"&lt;="&amp;B309,CBIC_Late_Fee_Relief_Windows_3B!$E$309:$E$100,"&gt;="&amp;B309,CBIC_Late_Fee_Relief_Windows_3B!$F$309:$F$100,"&lt;="&amp;C309,CBIC_Late_Fee_Relief_Windows_3B!$G$309:$G$100,"&gt;="&amp;C309)</f>
        <v/>
      </c>
      <c r="H309">
        <f>INDEX(CBIC_Late_Fee_Relief_Windows_3B!$I$309:$I$100,MATCH(G309,CBIC_Late_Fee_Relief_Windows_3B!$O$309:$O$100,0))</f>
        <v/>
      </c>
      <c r="I309">
        <f>MIN(F309,H309)</f>
        <v/>
      </c>
    </row>
    <row r="310">
      <c r="A310">
        <f>TEST_DATA!A310</f>
        <v/>
      </c>
      <c r="B310">
        <f>TEST_DATA!B310</f>
        <v/>
      </c>
      <c r="C310">
        <f>TEST_DATA!C310</f>
        <v/>
      </c>
      <c r="D310">
        <f>TEST_DATA!D310</f>
        <v/>
      </c>
      <c r="E310">
        <f>TEST_DATA!E310</f>
        <v/>
      </c>
      <c r="F310">
        <f>MIN(E310*31000,10000)</f>
        <v/>
      </c>
      <c r="G310">
        <f>MINIFS(CBIC_Late_Fee_Relief_Windows_3B!$O$310:$O$100,CBIC_Late_Fee_Relief_Windows_3B!$D$310:$D$100,"&lt;="&amp;B310,CBIC_Late_Fee_Relief_Windows_3B!$E$310:$E$100,"&gt;="&amp;B310,CBIC_Late_Fee_Relief_Windows_3B!$F$310:$F$100,"&lt;="&amp;C310,CBIC_Late_Fee_Relief_Windows_3B!$G$310:$G$100,"&gt;="&amp;C310)</f>
        <v/>
      </c>
      <c r="H310">
        <f>INDEX(CBIC_Late_Fee_Relief_Windows_3B!$I$310:$I$100,MATCH(G310,CBIC_Late_Fee_Relief_Windows_3B!$O$310:$O$100,0))</f>
        <v/>
      </c>
      <c r="I310">
        <f>MIN(F310,H310)</f>
        <v/>
      </c>
    </row>
    <row r="311">
      <c r="A311">
        <f>TEST_DATA!A311</f>
        <v/>
      </c>
      <c r="B311">
        <f>TEST_DATA!B311</f>
        <v/>
      </c>
      <c r="C311">
        <f>TEST_DATA!C311</f>
        <v/>
      </c>
      <c r="D311">
        <f>TEST_DATA!D311</f>
        <v/>
      </c>
      <c r="E311">
        <f>TEST_DATA!E311</f>
        <v/>
      </c>
      <c r="F311">
        <f>MIN(E311*31100,10000)</f>
        <v/>
      </c>
      <c r="G311">
        <f>MINIFS(CBIC_Late_Fee_Relief_Windows_3B!$O$311:$O$100,CBIC_Late_Fee_Relief_Windows_3B!$D$311:$D$100,"&lt;="&amp;B311,CBIC_Late_Fee_Relief_Windows_3B!$E$311:$E$100,"&gt;="&amp;B311,CBIC_Late_Fee_Relief_Windows_3B!$F$311:$F$100,"&lt;="&amp;C311,CBIC_Late_Fee_Relief_Windows_3B!$G$311:$G$100,"&gt;="&amp;C311)</f>
        <v/>
      </c>
      <c r="H311">
        <f>INDEX(CBIC_Late_Fee_Relief_Windows_3B!$I$311:$I$100,MATCH(G311,CBIC_Late_Fee_Relief_Windows_3B!$O$311:$O$100,0))</f>
        <v/>
      </c>
      <c r="I311">
        <f>MIN(F311,H311)</f>
        <v/>
      </c>
    </row>
    <row r="312">
      <c r="A312">
        <f>TEST_DATA!A312</f>
        <v/>
      </c>
      <c r="B312">
        <f>TEST_DATA!B312</f>
        <v/>
      </c>
      <c r="C312">
        <f>TEST_DATA!C312</f>
        <v/>
      </c>
      <c r="D312">
        <f>TEST_DATA!D312</f>
        <v/>
      </c>
      <c r="E312">
        <f>TEST_DATA!E312</f>
        <v/>
      </c>
      <c r="F312">
        <f>MIN(E312*31200,10000)</f>
        <v/>
      </c>
      <c r="G312">
        <f>MINIFS(CBIC_Late_Fee_Relief_Windows_3B!$O$312:$O$100,CBIC_Late_Fee_Relief_Windows_3B!$D$312:$D$100,"&lt;="&amp;B312,CBIC_Late_Fee_Relief_Windows_3B!$E$312:$E$100,"&gt;="&amp;B312,CBIC_Late_Fee_Relief_Windows_3B!$F$312:$F$100,"&lt;="&amp;C312,CBIC_Late_Fee_Relief_Windows_3B!$G$312:$G$100,"&gt;="&amp;C312)</f>
        <v/>
      </c>
      <c r="H312">
        <f>INDEX(CBIC_Late_Fee_Relief_Windows_3B!$I$312:$I$100,MATCH(G312,CBIC_Late_Fee_Relief_Windows_3B!$O$312:$O$100,0))</f>
        <v/>
      </c>
      <c r="I312">
        <f>MIN(F312,H312)</f>
        <v/>
      </c>
    </row>
    <row r="313">
      <c r="A313">
        <f>TEST_DATA!A313</f>
        <v/>
      </c>
      <c r="B313">
        <f>TEST_DATA!B313</f>
        <v/>
      </c>
      <c r="C313">
        <f>TEST_DATA!C313</f>
        <v/>
      </c>
      <c r="D313">
        <f>TEST_DATA!D313</f>
        <v/>
      </c>
      <c r="E313">
        <f>TEST_DATA!E313</f>
        <v/>
      </c>
      <c r="F313">
        <f>MIN(E313*31300,10000)</f>
        <v/>
      </c>
      <c r="G313">
        <f>MINIFS(CBIC_Late_Fee_Relief_Windows_3B!$O$313:$O$100,CBIC_Late_Fee_Relief_Windows_3B!$D$313:$D$100,"&lt;="&amp;B313,CBIC_Late_Fee_Relief_Windows_3B!$E$313:$E$100,"&gt;="&amp;B313,CBIC_Late_Fee_Relief_Windows_3B!$F$313:$F$100,"&lt;="&amp;C313,CBIC_Late_Fee_Relief_Windows_3B!$G$313:$G$100,"&gt;="&amp;C313)</f>
        <v/>
      </c>
      <c r="H313">
        <f>INDEX(CBIC_Late_Fee_Relief_Windows_3B!$I$313:$I$100,MATCH(G313,CBIC_Late_Fee_Relief_Windows_3B!$O$313:$O$100,0))</f>
        <v/>
      </c>
      <c r="I313">
        <f>MIN(F313,H313)</f>
        <v/>
      </c>
    </row>
    <row r="314">
      <c r="A314">
        <f>TEST_DATA!A314</f>
        <v/>
      </c>
      <c r="B314">
        <f>TEST_DATA!B314</f>
        <v/>
      </c>
      <c r="C314">
        <f>TEST_DATA!C314</f>
        <v/>
      </c>
      <c r="D314">
        <f>TEST_DATA!D314</f>
        <v/>
      </c>
      <c r="E314">
        <f>TEST_DATA!E314</f>
        <v/>
      </c>
      <c r="F314">
        <f>MIN(E314*31400,10000)</f>
        <v/>
      </c>
      <c r="G314">
        <f>MINIFS(CBIC_Late_Fee_Relief_Windows_3B!$O$314:$O$100,CBIC_Late_Fee_Relief_Windows_3B!$D$314:$D$100,"&lt;="&amp;B314,CBIC_Late_Fee_Relief_Windows_3B!$E$314:$E$100,"&gt;="&amp;B314,CBIC_Late_Fee_Relief_Windows_3B!$F$314:$F$100,"&lt;="&amp;C314,CBIC_Late_Fee_Relief_Windows_3B!$G$314:$G$100,"&gt;="&amp;C314)</f>
        <v/>
      </c>
      <c r="H314">
        <f>INDEX(CBIC_Late_Fee_Relief_Windows_3B!$I$314:$I$100,MATCH(G314,CBIC_Late_Fee_Relief_Windows_3B!$O$314:$O$100,0))</f>
        <v/>
      </c>
      <c r="I314">
        <f>MIN(F314,H314)</f>
        <v/>
      </c>
    </row>
    <row r="315">
      <c r="A315">
        <f>TEST_DATA!A315</f>
        <v/>
      </c>
      <c r="B315">
        <f>TEST_DATA!B315</f>
        <v/>
      </c>
      <c r="C315">
        <f>TEST_DATA!C315</f>
        <v/>
      </c>
      <c r="D315">
        <f>TEST_DATA!D315</f>
        <v/>
      </c>
      <c r="E315">
        <f>TEST_DATA!E315</f>
        <v/>
      </c>
      <c r="F315">
        <f>MIN(E315*31500,10000)</f>
        <v/>
      </c>
      <c r="G315">
        <f>MINIFS(CBIC_Late_Fee_Relief_Windows_3B!$O$315:$O$100,CBIC_Late_Fee_Relief_Windows_3B!$D$315:$D$100,"&lt;="&amp;B315,CBIC_Late_Fee_Relief_Windows_3B!$E$315:$E$100,"&gt;="&amp;B315,CBIC_Late_Fee_Relief_Windows_3B!$F$315:$F$100,"&lt;="&amp;C315,CBIC_Late_Fee_Relief_Windows_3B!$G$315:$G$100,"&gt;="&amp;C315)</f>
        <v/>
      </c>
      <c r="H315">
        <f>INDEX(CBIC_Late_Fee_Relief_Windows_3B!$I$315:$I$100,MATCH(G315,CBIC_Late_Fee_Relief_Windows_3B!$O$315:$O$100,0))</f>
        <v/>
      </c>
      <c r="I315">
        <f>MIN(F315,H315)</f>
        <v/>
      </c>
    </row>
    <row r="316">
      <c r="A316">
        <f>TEST_DATA!A316</f>
        <v/>
      </c>
      <c r="B316">
        <f>TEST_DATA!B316</f>
        <v/>
      </c>
      <c r="C316">
        <f>TEST_DATA!C316</f>
        <v/>
      </c>
      <c r="D316">
        <f>TEST_DATA!D316</f>
        <v/>
      </c>
      <c r="E316">
        <f>TEST_DATA!E316</f>
        <v/>
      </c>
      <c r="F316">
        <f>MIN(E316*31600,10000)</f>
        <v/>
      </c>
      <c r="G316">
        <f>MINIFS(CBIC_Late_Fee_Relief_Windows_3B!$O$316:$O$100,CBIC_Late_Fee_Relief_Windows_3B!$D$316:$D$100,"&lt;="&amp;B316,CBIC_Late_Fee_Relief_Windows_3B!$E$316:$E$100,"&gt;="&amp;B316,CBIC_Late_Fee_Relief_Windows_3B!$F$316:$F$100,"&lt;="&amp;C316,CBIC_Late_Fee_Relief_Windows_3B!$G$316:$G$100,"&gt;="&amp;C316)</f>
        <v/>
      </c>
      <c r="H316">
        <f>INDEX(CBIC_Late_Fee_Relief_Windows_3B!$I$316:$I$100,MATCH(G316,CBIC_Late_Fee_Relief_Windows_3B!$O$316:$O$100,0))</f>
        <v/>
      </c>
      <c r="I316">
        <f>MIN(F316,H316)</f>
        <v/>
      </c>
    </row>
    <row r="317">
      <c r="A317">
        <f>TEST_DATA!A317</f>
        <v/>
      </c>
      <c r="B317">
        <f>TEST_DATA!B317</f>
        <v/>
      </c>
      <c r="C317">
        <f>TEST_DATA!C317</f>
        <v/>
      </c>
      <c r="D317">
        <f>TEST_DATA!D317</f>
        <v/>
      </c>
      <c r="E317">
        <f>TEST_DATA!E317</f>
        <v/>
      </c>
      <c r="F317">
        <f>MIN(E317*31700,10000)</f>
        <v/>
      </c>
      <c r="G317">
        <f>MINIFS(CBIC_Late_Fee_Relief_Windows_3B!$O$317:$O$100,CBIC_Late_Fee_Relief_Windows_3B!$D$317:$D$100,"&lt;="&amp;B317,CBIC_Late_Fee_Relief_Windows_3B!$E$317:$E$100,"&gt;="&amp;B317,CBIC_Late_Fee_Relief_Windows_3B!$F$317:$F$100,"&lt;="&amp;C317,CBIC_Late_Fee_Relief_Windows_3B!$G$317:$G$100,"&gt;="&amp;C317)</f>
        <v/>
      </c>
      <c r="H317">
        <f>INDEX(CBIC_Late_Fee_Relief_Windows_3B!$I$317:$I$100,MATCH(G317,CBIC_Late_Fee_Relief_Windows_3B!$O$317:$O$100,0))</f>
        <v/>
      </c>
      <c r="I317">
        <f>MIN(F317,H317)</f>
        <v/>
      </c>
    </row>
    <row r="318">
      <c r="A318">
        <f>TEST_DATA!A318</f>
        <v/>
      </c>
      <c r="B318">
        <f>TEST_DATA!B318</f>
        <v/>
      </c>
      <c r="C318">
        <f>TEST_DATA!C318</f>
        <v/>
      </c>
      <c r="D318">
        <f>TEST_DATA!D318</f>
        <v/>
      </c>
      <c r="E318">
        <f>TEST_DATA!E318</f>
        <v/>
      </c>
      <c r="F318">
        <f>MIN(E318*31800,10000)</f>
        <v/>
      </c>
      <c r="G318">
        <f>MINIFS(CBIC_Late_Fee_Relief_Windows_3B!$O$318:$O$100,CBIC_Late_Fee_Relief_Windows_3B!$D$318:$D$100,"&lt;="&amp;B318,CBIC_Late_Fee_Relief_Windows_3B!$E$318:$E$100,"&gt;="&amp;B318,CBIC_Late_Fee_Relief_Windows_3B!$F$318:$F$100,"&lt;="&amp;C318,CBIC_Late_Fee_Relief_Windows_3B!$G$318:$G$100,"&gt;="&amp;C318)</f>
        <v/>
      </c>
      <c r="H318">
        <f>INDEX(CBIC_Late_Fee_Relief_Windows_3B!$I$318:$I$100,MATCH(G318,CBIC_Late_Fee_Relief_Windows_3B!$O$318:$O$100,0))</f>
        <v/>
      </c>
      <c r="I318">
        <f>MIN(F318,H318)</f>
        <v/>
      </c>
    </row>
    <row r="319">
      <c r="A319">
        <f>TEST_DATA!A319</f>
        <v/>
      </c>
      <c r="B319">
        <f>TEST_DATA!B319</f>
        <v/>
      </c>
      <c r="C319">
        <f>TEST_DATA!C319</f>
        <v/>
      </c>
      <c r="D319">
        <f>TEST_DATA!D319</f>
        <v/>
      </c>
      <c r="E319">
        <f>TEST_DATA!E319</f>
        <v/>
      </c>
      <c r="F319">
        <f>MIN(E319*31900,10000)</f>
        <v/>
      </c>
      <c r="G319">
        <f>MINIFS(CBIC_Late_Fee_Relief_Windows_3B!$O$319:$O$100,CBIC_Late_Fee_Relief_Windows_3B!$D$319:$D$100,"&lt;="&amp;B319,CBIC_Late_Fee_Relief_Windows_3B!$E$319:$E$100,"&gt;="&amp;B319,CBIC_Late_Fee_Relief_Windows_3B!$F$319:$F$100,"&lt;="&amp;C319,CBIC_Late_Fee_Relief_Windows_3B!$G$319:$G$100,"&gt;="&amp;C319)</f>
        <v/>
      </c>
      <c r="H319">
        <f>INDEX(CBIC_Late_Fee_Relief_Windows_3B!$I$319:$I$100,MATCH(G319,CBIC_Late_Fee_Relief_Windows_3B!$O$319:$O$100,0))</f>
        <v/>
      </c>
      <c r="I319">
        <f>MIN(F319,H319)</f>
        <v/>
      </c>
    </row>
    <row r="320">
      <c r="A320">
        <f>TEST_DATA!A320</f>
        <v/>
      </c>
      <c r="B320">
        <f>TEST_DATA!B320</f>
        <v/>
      </c>
      <c r="C320">
        <f>TEST_DATA!C320</f>
        <v/>
      </c>
      <c r="D320">
        <f>TEST_DATA!D320</f>
        <v/>
      </c>
      <c r="E320">
        <f>TEST_DATA!E320</f>
        <v/>
      </c>
      <c r="F320">
        <f>MIN(E320*32000,10000)</f>
        <v/>
      </c>
      <c r="G320">
        <f>MINIFS(CBIC_Late_Fee_Relief_Windows_3B!$O$320:$O$100,CBIC_Late_Fee_Relief_Windows_3B!$D$320:$D$100,"&lt;="&amp;B320,CBIC_Late_Fee_Relief_Windows_3B!$E$320:$E$100,"&gt;="&amp;B320,CBIC_Late_Fee_Relief_Windows_3B!$F$320:$F$100,"&lt;="&amp;C320,CBIC_Late_Fee_Relief_Windows_3B!$G$320:$G$100,"&gt;="&amp;C320)</f>
        <v/>
      </c>
      <c r="H320">
        <f>INDEX(CBIC_Late_Fee_Relief_Windows_3B!$I$320:$I$100,MATCH(G320,CBIC_Late_Fee_Relief_Windows_3B!$O$320:$O$100,0))</f>
        <v/>
      </c>
      <c r="I320">
        <f>MIN(F320,H320)</f>
        <v/>
      </c>
    </row>
    <row r="321">
      <c r="A321">
        <f>TEST_DATA!A321</f>
        <v/>
      </c>
      <c r="B321">
        <f>TEST_DATA!B321</f>
        <v/>
      </c>
      <c r="C321">
        <f>TEST_DATA!C321</f>
        <v/>
      </c>
      <c r="D321">
        <f>TEST_DATA!D321</f>
        <v/>
      </c>
      <c r="E321">
        <f>TEST_DATA!E321</f>
        <v/>
      </c>
      <c r="F321">
        <f>MIN(E321*32100,10000)</f>
        <v/>
      </c>
      <c r="G321">
        <f>MINIFS(CBIC_Late_Fee_Relief_Windows_3B!$O$321:$O$100,CBIC_Late_Fee_Relief_Windows_3B!$D$321:$D$100,"&lt;="&amp;B321,CBIC_Late_Fee_Relief_Windows_3B!$E$321:$E$100,"&gt;="&amp;B321,CBIC_Late_Fee_Relief_Windows_3B!$F$321:$F$100,"&lt;="&amp;C321,CBIC_Late_Fee_Relief_Windows_3B!$G$321:$G$100,"&gt;="&amp;C321)</f>
        <v/>
      </c>
      <c r="H321">
        <f>INDEX(CBIC_Late_Fee_Relief_Windows_3B!$I$321:$I$100,MATCH(G321,CBIC_Late_Fee_Relief_Windows_3B!$O$321:$O$100,0))</f>
        <v/>
      </c>
      <c r="I321">
        <f>MIN(F321,H321)</f>
        <v/>
      </c>
    </row>
    <row r="322">
      <c r="A322">
        <f>TEST_DATA!A322</f>
        <v/>
      </c>
      <c r="B322">
        <f>TEST_DATA!B322</f>
        <v/>
      </c>
      <c r="C322">
        <f>TEST_DATA!C322</f>
        <v/>
      </c>
      <c r="D322">
        <f>TEST_DATA!D322</f>
        <v/>
      </c>
      <c r="E322">
        <f>TEST_DATA!E322</f>
        <v/>
      </c>
      <c r="F322">
        <f>MIN(E322*32200,10000)</f>
        <v/>
      </c>
      <c r="G322">
        <f>MINIFS(CBIC_Late_Fee_Relief_Windows_3B!$O$322:$O$100,CBIC_Late_Fee_Relief_Windows_3B!$D$322:$D$100,"&lt;="&amp;B322,CBIC_Late_Fee_Relief_Windows_3B!$E$322:$E$100,"&gt;="&amp;B322,CBIC_Late_Fee_Relief_Windows_3B!$F$322:$F$100,"&lt;="&amp;C322,CBIC_Late_Fee_Relief_Windows_3B!$G$322:$G$100,"&gt;="&amp;C322)</f>
        <v/>
      </c>
      <c r="H322">
        <f>INDEX(CBIC_Late_Fee_Relief_Windows_3B!$I$322:$I$100,MATCH(G322,CBIC_Late_Fee_Relief_Windows_3B!$O$322:$O$100,0))</f>
        <v/>
      </c>
      <c r="I322">
        <f>MIN(F322,H322)</f>
        <v/>
      </c>
    </row>
    <row r="323">
      <c r="A323">
        <f>TEST_DATA!A323</f>
        <v/>
      </c>
      <c r="B323">
        <f>TEST_DATA!B323</f>
        <v/>
      </c>
      <c r="C323">
        <f>TEST_DATA!C323</f>
        <v/>
      </c>
      <c r="D323">
        <f>TEST_DATA!D323</f>
        <v/>
      </c>
      <c r="E323">
        <f>TEST_DATA!E323</f>
        <v/>
      </c>
      <c r="F323">
        <f>MIN(E323*32300,10000)</f>
        <v/>
      </c>
      <c r="G323">
        <f>MINIFS(CBIC_Late_Fee_Relief_Windows_3B!$O$323:$O$100,CBIC_Late_Fee_Relief_Windows_3B!$D$323:$D$100,"&lt;="&amp;B323,CBIC_Late_Fee_Relief_Windows_3B!$E$323:$E$100,"&gt;="&amp;B323,CBIC_Late_Fee_Relief_Windows_3B!$F$323:$F$100,"&lt;="&amp;C323,CBIC_Late_Fee_Relief_Windows_3B!$G$323:$G$100,"&gt;="&amp;C323)</f>
        <v/>
      </c>
      <c r="H323">
        <f>INDEX(CBIC_Late_Fee_Relief_Windows_3B!$I$323:$I$100,MATCH(G323,CBIC_Late_Fee_Relief_Windows_3B!$O$323:$O$100,0))</f>
        <v/>
      </c>
      <c r="I323">
        <f>MIN(F323,H323)</f>
        <v/>
      </c>
    </row>
    <row r="324">
      <c r="A324">
        <f>TEST_DATA!A324</f>
        <v/>
      </c>
      <c r="B324">
        <f>TEST_DATA!B324</f>
        <v/>
      </c>
      <c r="C324">
        <f>TEST_DATA!C324</f>
        <v/>
      </c>
      <c r="D324">
        <f>TEST_DATA!D324</f>
        <v/>
      </c>
      <c r="E324">
        <f>TEST_DATA!E324</f>
        <v/>
      </c>
      <c r="F324">
        <f>MIN(E324*32400,10000)</f>
        <v/>
      </c>
      <c r="G324">
        <f>MINIFS(CBIC_Late_Fee_Relief_Windows_3B!$O$324:$O$100,CBIC_Late_Fee_Relief_Windows_3B!$D$324:$D$100,"&lt;="&amp;B324,CBIC_Late_Fee_Relief_Windows_3B!$E$324:$E$100,"&gt;="&amp;B324,CBIC_Late_Fee_Relief_Windows_3B!$F$324:$F$100,"&lt;="&amp;C324,CBIC_Late_Fee_Relief_Windows_3B!$G$324:$G$100,"&gt;="&amp;C324)</f>
        <v/>
      </c>
      <c r="H324">
        <f>INDEX(CBIC_Late_Fee_Relief_Windows_3B!$I$324:$I$100,MATCH(G324,CBIC_Late_Fee_Relief_Windows_3B!$O$324:$O$100,0))</f>
        <v/>
      </c>
      <c r="I324">
        <f>MIN(F324,H324)</f>
        <v/>
      </c>
    </row>
    <row r="325">
      <c r="A325">
        <f>TEST_DATA!A325</f>
        <v/>
      </c>
      <c r="B325">
        <f>TEST_DATA!B325</f>
        <v/>
      </c>
      <c r="C325">
        <f>TEST_DATA!C325</f>
        <v/>
      </c>
      <c r="D325">
        <f>TEST_DATA!D325</f>
        <v/>
      </c>
      <c r="E325">
        <f>TEST_DATA!E325</f>
        <v/>
      </c>
      <c r="F325">
        <f>MIN(E325*32500,10000)</f>
        <v/>
      </c>
      <c r="G325">
        <f>MINIFS(CBIC_Late_Fee_Relief_Windows_3B!$O$325:$O$100,CBIC_Late_Fee_Relief_Windows_3B!$D$325:$D$100,"&lt;="&amp;B325,CBIC_Late_Fee_Relief_Windows_3B!$E$325:$E$100,"&gt;="&amp;B325,CBIC_Late_Fee_Relief_Windows_3B!$F$325:$F$100,"&lt;="&amp;C325,CBIC_Late_Fee_Relief_Windows_3B!$G$325:$G$100,"&gt;="&amp;C325)</f>
        <v/>
      </c>
      <c r="H325">
        <f>INDEX(CBIC_Late_Fee_Relief_Windows_3B!$I$325:$I$100,MATCH(G325,CBIC_Late_Fee_Relief_Windows_3B!$O$325:$O$100,0))</f>
        <v/>
      </c>
      <c r="I325">
        <f>MIN(F325,H325)</f>
        <v/>
      </c>
    </row>
    <row r="326">
      <c r="A326">
        <f>TEST_DATA!A326</f>
        <v/>
      </c>
      <c r="B326">
        <f>TEST_DATA!B326</f>
        <v/>
      </c>
      <c r="C326">
        <f>TEST_DATA!C326</f>
        <v/>
      </c>
      <c r="D326">
        <f>TEST_DATA!D326</f>
        <v/>
      </c>
      <c r="E326">
        <f>TEST_DATA!E326</f>
        <v/>
      </c>
      <c r="F326">
        <f>MIN(E326*32600,10000)</f>
        <v/>
      </c>
      <c r="G326">
        <f>MINIFS(CBIC_Late_Fee_Relief_Windows_3B!$O$326:$O$100,CBIC_Late_Fee_Relief_Windows_3B!$D$326:$D$100,"&lt;="&amp;B326,CBIC_Late_Fee_Relief_Windows_3B!$E$326:$E$100,"&gt;="&amp;B326,CBIC_Late_Fee_Relief_Windows_3B!$F$326:$F$100,"&lt;="&amp;C326,CBIC_Late_Fee_Relief_Windows_3B!$G$326:$G$100,"&gt;="&amp;C326)</f>
        <v/>
      </c>
      <c r="H326">
        <f>INDEX(CBIC_Late_Fee_Relief_Windows_3B!$I$326:$I$100,MATCH(G326,CBIC_Late_Fee_Relief_Windows_3B!$O$326:$O$100,0))</f>
        <v/>
      </c>
      <c r="I326">
        <f>MIN(F326,H326)</f>
        <v/>
      </c>
    </row>
    <row r="327">
      <c r="A327">
        <f>TEST_DATA!A327</f>
        <v/>
      </c>
      <c r="B327">
        <f>TEST_DATA!B327</f>
        <v/>
      </c>
      <c r="C327">
        <f>TEST_DATA!C327</f>
        <v/>
      </c>
      <c r="D327">
        <f>TEST_DATA!D327</f>
        <v/>
      </c>
      <c r="E327">
        <f>TEST_DATA!E327</f>
        <v/>
      </c>
      <c r="F327">
        <f>MIN(E327*32700,10000)</f>
        <v/>
      </c>
      <c r="G327">
        <f>MINIFS(CBIC_Late_Fee_Relief_Windows_3B!$O$327:$O$100,CBIC_Late_Fee_Relief_Windows_3B!$D$327:$D$100,"&lt;="&amp;B327,CBIC_Late_Fee_Relief_Windows_3B!$E$327:$E$100,"&gt;="&amp;B327,CBIC_Late_Fee_Relief_Windows_3B!$F$327:$F$100,"&lt;="&amp;C327,CBIC_Late_Fee_Relief_Windows_3B!$G$327:$G$100,"&gt;="&amp;C327)</f>
        <v/>
      </c>
      <c r="H327">
        <f>INDEX(CBIC_Late_Fee_Relief_Windows_3B!$I$327:$I$100,MATCH(G327,CBIC_Late_Fee_Relief_Windows_3B!$O$327:$O$100,0))</f>
        <v/>
      </c>
      <c r="I327">
        <f>MIN(F327,H327)</f>
        <v/>
      </c>
    </row>
    <row r="328">
      <c r="A328">
        <f>TEST_DATA!A328</f>
        <v/>
      </c>
      <c r="B328">
        <f>TEST_DATA!B328</f>
        <v/>
      </c>
      <c r="C328">
        <f>TEST_DATA!C328</f>
        <v/>
      </c>
      <c r="D328">
        <f>TEST_DATA!D328</f>
        <v/>
      </c>
      <c r="E328">
        <f>TEST_DATA!E328</f>
        <v/>
      </c>
      <c r="F328">
        <f>MIN(E328*32800,10000)</f>
        <v/>
      </c>
      <c r="G328">
        <f>MINIFS(CBIC_Late_Fee_Relief_Windows_3B!$O$328:$O$100,CBIC_Late_Fee_Relief_Windows_3B!$D$328:$D$100,"&lt;="&amp;B328,CBIC_Late_Fee_Relief_Windows_3B!$E$328:$E$100,"&gt;="&amp;B328,CBIC_Late_Fee_Relief_Windows_3B!$F$328:$F$100,"&lt;="&amp;C328,CBIC_Late_Fee_Relief_Windows_3B!$G$328:$G$100,"&gt;="&amp;C328)</f>
        <v/>
      </c>
      <c r="H328">
        <f>INDEX(CBIC_Late_Fee_Relief_Windows_3B!$I$328:$I$100,MATCH(G328,CBIC_Late_Fee_Relief_Windows_3B!$O$328:$O$100,0))</f>
        <v/>
      </c>
      <c r="I328">
        <f>MIN(F328,H328)</f>
        <v/>
      </c>
    </row>
    <row r="329">
      <c r="A329">
        <f>TEST_DATA!A329</f>
        <v/>
      </c>
      <c r="B329">
        <f>TEST_DATA!B329</f>
        <v/>
      </c>
      <c r="C329">
        <f>TEST_DATA!C329</f>
        <v/>
      </c>
      <c r="D329">
        <f>TEST_DATA!D329</f>
        <v/>
      </c>
      <c r="E329">
        <f>TEST_DATA!E329</f>
        <v/>
      </c>
      <c r="F329">
        <f>MIN(E329*32900,10000)</f>
        <v/>
      </c>
      <c r="G329">
        <f>MINIFS(CBIC_Late_Fee_Relief_Windows_3B!$O$329:$O$100,CBIC_Late_Fee_Relief_Windows_3B!$D$329:$D$100,"&lt;="&amp;B329,CBIC_Late_Fee_Relief_Windows_3B!$E$329:$E$100,"&gt;="&amp;B329,CBIC_Late_Fee_Relief_Windows_3B!$F$329:$F$100,"&lt;="&amp;C329,CBIC_Late_Fee_Relief_Windows_3B!$G$329:$G$100,"&gt;="&amp;C329)</f>
        <v/>
      </c>
      <c r="H329">
        <f>INDEX(CBIC_Late_Fee_Relief_Windows_3B!$I$329:$I$100,MATCH(G329,CBIC_Late_Fee_Relief_Windows_3B!$O$329:$O$100,0))</f>
        <v/>
      </c>
      <c r="I329">
        <f>MIN(F329,H329)</f>
        <v/>
      </c>
    </row>
    <row r="330">
      <c r="A330">
        <f>TEST_DATA!A330</f>
        <v/>
      </c>
      <c r="B330">
        <f>TEST_DATA!B330</f>
        <v/>
      </c>
      <c r="C330">
        <f>TEST_DATA!C330</f>
        <v/>
      </c>
      <c r="D330">
        <f>TEST_DATA!D330</f>
        <v/>
      </c>
      <c r="E330">
        <f>TEST_DATA!E330</f>
        <v/>
      </c>
      <c r="F330">
        <f>MIN(E330*33000,10000)</f>
        <v/>
      </c>
      <c r="G330">
        <f>MINIFS(CBIC_Late_Fee_Relief_Windows_3B!$O$330:$O$100,CBIC_Late_Fee_Relief_Windows_3B!$D$330:$D$100,"&lt;="&amp;B330,CBIC_Late_Fee_Relief_Windows_3B!$E$330:$E$100,"&gt;="&amp;B330,CBIC_Late_Fee_Relief_Windows_3B!$F$330:$F$100,"&lt;="&amp;C330,CBIC_Late_Fee_Relief_Windows_3B!$G$330:$G$100,"&gt;="&amp;C330)</f>
        <v/>
      </c>
      <c r="H330">
        <f>INDEX(CBIC_Late_Fee_Relief_Windows_3B!$I$330:$I$100,MATCH(G330,CBIC_Late_Fee_Relief_Windows_3B!$O$330:$O$100,0))</f>
        <v/>
      </c>
      <c r="I330">
        <f>MIN(F330,H330)</f>
        <v/>
      </c>
    </row>
    <row r="331">
      <c r="A331">
        <f>TEST_DATA!A331</f>
        <v/>
      </c>
      <c r="B331">
        <f>TEST_DATA!B331</f>
        <v/>
      </c>
      <c r="C331">
        <f>TEST_DATA!C331</f>
        <v/>
      </c>
      <c r="D331">
        <f>TEST_DATA!D331</f>
        <v/>
      </c>
      <c r="E331">
        <f>TEST_DATA!E331</f>
        <v/>
      </c>
      <c r="F331">
        <f>MIN(E331*33100,10000)</f>
        <v/>
      </c>
      <c r="G331">
        <f>MINIFS(CBIC_Late_Fee_Relief_Windows_3B!$O$331:$O$100,CBIC_Late_Fee_Relief_Windows_3B!$D$331:$D$100,"&lt;="&amp;B331,CBIC_Late_Fee_Relief_Windows_3B!$E$331:$E$100,"&gt;="&amp;B331,CBIC_Late_Fee_Relief_Windows_3B!$F$331:$F$100,"&lt;="&amp;C331,CBIC_Late_Fee_Relief_Windows_3B!$G$331:$G$100,"&gt;="&amp;C331)</f>
        <v/>
      </c>
      <c r="H331">
        <f>INDEX(CBIC_Late_Fee_Relief_Windows_3B!$I$331:$I$100,MATCH(G331,CBIC_Late_Fee_Relief_Windows_3B!$O$331:$O$100,0))</f>
        <v/>
      </c>
      <c r="I331">
        <f>MIN(F331,H331)</f>
        <v/>
      </c>
    </row>
    <row r="332">
      <c r="A332">
        <f>TEST_DATA!A332</f>
        <v/>
      </c>
      <c r="B332">
        <f>TEST_DATA!B332</f>
        <v/>
      </c>
      <c r="C332">
        <f>TEST_DATA!C332</f>
        <v/>
      </c>
      <c r="D332">
        <f>TEST_DATA!D332</f>
        <v/>
      </c>
      <c r="E332">
        <f>TEST_DATA!E332</f>
        <v/>
      </c>
      <c r="F332">
        <f>MIN(E332*33200,10000)</f>
        <v/>
      </c>
      <c r="G332">
        <f>MINIFS(CBIC_Late_Fee_Relief_Windows_3B!$O$332:$O$100,CBIC_Late_Fee_Relief_Windows_3B!$D$332:$D$100,"&lt;="&amp;B332,CBIC_Late_Fee_Relief_Windows_3B!$E$332:$E$100,"&gt;="&amp;B332,CBIC_Late_Fee_Relief_Windows_3B!$F$332:$F$100,"&lt;="&amp;C332,CBIC_Late_Fee_Relief_Windows_3B!$G$332:$G$100,"&gt;="&amp;C332)</f>
        <v/>
      </c>
      <c r="H332">
        <f>INDEX(CBIC_Late_Fee_Relief_Windows_3B!$I$332:$I$100,MATCH(G332,CBIC_Late_Fee_Relief_Windows_3B!$O$332:$O$100,0))</f>
        <v/>
      </c>
      <c r="I332">
        <f>MIN(F332,H332)</f>
        <v/>
      </c>
    </row>
    <row r="333">
      <c r="A333">
        <f>TEST_DATA!A333</f>
        <v/>
      </c>
      <c r="B333">
        <f>TEST_DATA!B333</f>
        <v/>
      </c>
      <c r="C333">
        <f>TEST_DATA!C333</f>
        <v/>
      </c>
      <c r="D333">
        <f>TEST_DATA!D333</f>
        <v/>
      </c>
      <c r="E333">
        <f>TEST_DATA!E333</f>
        <v/>
      </c>
      <c r="F333">
        <f>MIN(E333*33300,10000)</f>
        <v/>
      </c>
      <c r="G333">
        <f>MINIFS(CBIC_Late_Fee_Relief_Windows_3B!$O$333:$O$100,CBIC_Late_Fee_Relief_Windows_3B!$D$333:$D$100,"&lt;="&amp;B333,CBIC_Late_Fee_Relief_Windows_3B!$E$333:$E$100,"&gt;="&amp;B333,CBIC_Late_Fee_Relief_Windows_3B!$F$333:$F$100,"&lt;="&amp;C333,CBIC_Late_Fee_Relief_Windows_3B!$G$333:$G$100,"&gt;="&amp;C333)</f>
        <v/>
      </c>
      <c r="H333">
        <f>INDEX(CBIC_Late_Fee_Relief_Windows_3B!$I$333:$I$100,MATCH(G333,CBIC_Late_Fee_Relief_Windows_3B!$O$333:$O$100,0))</f>
        <v/>
      </c>
      <c r="I333">
        <f>MIN(F333,H333)</f>
        <v/>
      </c>
    </row>
    <row r="334">
      <c r="A334">
        <f>TEST_DATA!A334</f>
        <v/>
      </c>
      <c r="B334">
        <f>TEST_DATA!B334</f>
        <v/>
      </c>
      <c r="C334">
        <f>TEST_DATA!C334</f>
        <v/>
      </c>
      <c r="D334">
        <f>TEST_DATA!D334</f>
        <v/>
      </c>
      <c r="E334">
        <f>TEST_DATA!E334</f>
        <v/>
      </c>
      <c r="F334">
        <f>MIN(E334*33400,10000)</f>
        <v/>
      </c>
      <c r="G334">
        <f>MINIFS(CBIC_Late_Fee_Relief_Windows_3B!$O$334:$O$100,CBIC_Late_Fee_Relief_Windows_3B!$D$334:$D$100,"&lt;="&amp;B334,CBIC_Late_Fee_Relief_Windows_3B!$E$334:$E$100,"&gt;="&amp;B334,CBIC_Late_Fee_Relief_Windows_3B!$F$334:$F$100,"&lt;="&amp;C334,CBIC_Late_Fee_Relief_Windows_3B!$G$334:$G$100,"&gt;="&amp;C334)</f>
        <v/>
      </c>
      <c r="H334">
        <f>INDEX(CBIC_Late_Fee_Relief_Windows_3B!$I$334:$I$100,MATCH(G334,CBIC_Late_Fee_Relief_Windows_3B!$O$334:$O$100,0))</f>
        <v/>
      </c>
      <c r="I334">
        <f>MIN(F334,H334)</f>
        <v/>
      </c>
    </row>
    <row r="335">
      <c r="A335">
        <f>TEST_DATA!A335</f>
        <v/>
      </c>
      <c r="B335">
        <f>TEST_DATA!B335</f>
        <v/>
      </c>
      <c r="C335">
        <f>TEST_DATA!C335</f>
        <v/>
      </c>
      <c r="D335">
        <f>TEST_DATA!D335</f>
        <v/>
      </c>
      <c r="E335">
        <f>TEST_DATA!E335</f>
        <v/>
      </c>
      <c r="F335">
        <f>MIN(E335*33500,10000)</f>
        <v/>
      </c>
      <c r="G335">
        <f>MINIFS(CBIC_Late_Fee_Relief_Windows_3B!$O$335:$O$100,CBIC_Late_Fee_Relief_Windows_3B!$D$335:$D$100,"&lt;="&amp;B335,CBIC_Late_Fee_Relief_Windows_3B!$E$335:$E$100,"&gt;="&amp;B335,CBIC_Late_Fee_Relief_Windows_3B!$F$335:$F$100,"&lt;="&amp;C335,CBIC_Late_Fee_Relief_Windows_3B!$G$335:$G$100,"&gt;="&amp;C335)</f>
        <v/>
      </c>
      <c r="H335">
        <f>INDEX(CBIC_Late_Fee_Relief_Windows_3B!$I$335:$I$100,MATCH(G335,CBIC_Late_Fee_Relief_Windows_3B!$O$335:$O$100,0))</f>
        <v/>
      </c>
      <c r="I335">
        <f>MIN(F335,H335)</f>
        <v/>
      </c>
    </row>
    <row r="336">
      <c r="A336">
        <f>TEST_DATA!A336</f>
        <v/>
      </c>
      <c r="B336">
        <f>TEST_DATA!B336</f>
        <v/>
      </c>
      <c r="C336">
        <f>TEST_DATA!C336</f>
        <v/>
      </c>
      <c r="D336">
        <f>TEST_DATA!D336</f>
        <v/>
      </c>
      <c r="E336">
        <f>TEST_DATA!E336</f>
        <v/>
      </c>
      <c r="F336">
        <f>MIN(E336*33600,10000)</f>
        <v/>
      </c>
      <c r="G336">
        <f>MINIFS(CBIC_Late_Fee_Relief_Windows_3B!$O$336:$O$100,CBIC_Late_Fee_Relief_Windows_3B!$D$336:$D$100,"&lt;="&amp;B336,CBIC_Late_Fee_Relief_Windows_3B!$E$336:$E$100,"&gt;="&amp;B336,CBIC_Late_Fee_Relief_Windows_3B!$F$336:$F$100,"&lt;="&amp;C336,CBIC_Late_Fee_Relief_Windows_3B!$G$336:$G$100,"&gt;="&amp;C336)</f>
        <v/>
      </c>
      <c r="H336">
        <f>INDEX(CBIC_Late_Fee_Relief_Windows_3B!$I$336:$I$100,MATCH(G336,CBIC_Late_Fee_Relief_Windows_3B!$O$336:$O$100,0))</f>
        <v/>
      </c>
      <c r="I336">
        <f>MIN(F336,H336)</f>
        <v/>
      </c>
    </row>
    <row r="337">
      <c r="A337">
        <f>TEST_DATA!A337</f>
        <v/>
      </c>
      <c r="B337">
        <f>TEST_DATA!B337</f>
        <v/>
      </c>
      <c r="C337">
        <f>TEST_DATA!C337</f>
        <v/>
      </c>
      <c r="D337">
        <f>TEST_DATA!D337</f>
        <v/>
      </c>
      <c r="E337">
        <f>TEST_DATA!E337</f>
        <v/>
      </c>
      <c r="F337">
        <f>MIN(E337*33700,10000)</f>
        <v/>
      </c>
      <c r="G337">
        <f>MINIFS(CBIC_Late_Fee_Relief_Windows_3B!$O$337:$O$100,CBIC_Late_Fee_Relief_Windows_3B!$D$337:$D$100,"&lt;="&amp;B337,CBIC_Late_Fee_Relief_Windows_3B!$E$337:$E$100,"&gt;="&amp;B337,CBIC_Late_Fee_Relief_Windows_3B!$F$337:$F$100,"&lt;="&amp;C337,CBIC_Late_Fee_Relief_Windows_3B!$G$337:$G$100,"&gt;="&amp;C337)</f>
        <v/>
      </c>
      <c r="H337">
        <f>INDEX(CBIC_Late_Fee_Relief_Windows_3B!$I$337:$I$100,MATCH(G337,CBIC_Late_Fee_Relief_Windows_3B!$O$337:$O$100,0))</f>
        <v/>
      </c>
      <c r="I337">
        <f>MIN(F337,H337)</f>
        <v/>
      </c>
    </row>
    <row r="338">
      <c r="A338">
        <f>TEST_DATA!A338</f>
        <v/>
      </c>
      <c r="B338">
        <f>TEST_DATA!B338</f>
        <v/>
      </c>
      <c r="C338">
        <f>TEST_DATA!C338</f>
        <v/>
      </c>
      <c r="D338">
        <f>TEST_DATA!D338</f>
        <v/>
      </c>
      <c r="E338">
        <f>TEST_DATA!E338</f>
        <v/>
      </c>
      <c r="F338">
        <f>MIN(E338*33800,10000)</f>
        <v/>
      </c>
      <c r="G338">
        <f>MINIFS(CBIC_Late_Fee_Relief_Windows_3B!$O$338:$O$100,CBIC_Late_Fee_Relief_Windows_3B!$D$338:$D$100,"&lt;="&amp;B338,CBIC_Late_Fee_Relief_Windows_3B!$E$338:$E$100,"&gt;="&amp;B338,CBIC_Late_Fee_Relief_Windows_3B!$F$338:$F$100,"&lt;="&amp;C338,CBIC_Late_Fee_Relief_Windows_3B!$G$338:$G$100,"&gt;="&amp;C338)</f>
        <v/>
      </c>
      <c r="H338">
        <f>INDEX(CBIC_Late_Fee_Relief_Windows_3B!$I$338:$I$100,MATCH(G338,CBIC_Late_Fee_Relief_Windows_3B!$O$338:$O$100,0))</f>
        <v/>
      </c>
      <c r="I338">
        <f>MIN(F338,H338)</f>
        <v/>
      </c>
    </row>
    <row r="339">
      <c r="A339">
        <f>TEST_DATA!A339</f>
        <v/>
      </c>
      <c r="B339">
        <f>TEST_DATA!B339</f>
        <v/>
      </c>
      <c r="C339">
        <f>TEST_DATA!C339</f>
        <v/>
      </c>
      <c r="D339">
        <f>TEST_DATA!D339</f>
        <v/>
      </c>
      <c r="E339">
        <f>TEST_DATA!E339</f>
        <v/>
      </c>
      <c r="F339">
        <f>MIN(E339*33900,10000)</f>
        <v/>
      </c>
      <c r="G339">
        <f>MINIFS(CBIC_Late_Fee_Relief_Windows_3B!$O$339:$O$100,CBIC_Late_Fee_Relief_Windows_3B!$D$339:$D$100,"&lt;="&amp;B339,CBIC_Late_Fee_Relief_Windows_3B!$E$339:$E$100,"&gt;="&amp;B339,CBIC_Late_Fee_Relief_Windows_3B!$F$339:$F$100,"&lt;="&amp;C339,CBIC_Late_Fee_Relief_Windows_3B!$G$339:$G$100,"&gt;="&amp;C339)</f>
        <v/>
      </c>
      <c r="H339">
        <f>INDEX(CBIC_Late_Fee_Relief_Windows_3B!$I$339:$I$100,MATCH(G339,CBIC_Late_Fee_Relief_Windows_3B!$O$339:$O$100,0))</f>
        <v/>
      </c>
      <c r="I339">
        <f>MIN(F339,H339)</f>
        <v/>
      </c>
    </row>
    <row r="340">
      <c r="A340">
        <f>TEST_DATA!A340</f>
        <v/>
      </c>
      <c r="B340">
        <f>TEST_DATA!B340</f>
        <v/>
      </c>
      <c r="C340">
        <f>TEST_DATA!C340</f>
        <v/>
      </c>
      <c r="D340">
        <f>TEST_DATA!D340</f>
        <v/>
      </c>
      <c r="E340">
        <f>TEST_DATA!E340</f>
        <v/>
      </c>
      <c r="F340">
        <f>MIN(E340*34000,10000)</f>
        <v/>
      </c>
      <c r="G340">
        <f>MINIFS(CBIC_Late_Fee_Relief_Windows_3B!$O$340:$O$100,CBIC_Late_Fee_Relief_Windows_3B!$D$340:$D$100,"&lt;="&amp;B340,CBIC_Late_Fee_Relief_Windows_3B!$E$340:$E$100,"&gt;="&amp;B340,CBIC_Late_Fee_Relief_Windows_3B!$F$340:$F$100,"&lt;="&amp;C340,CBIC_Late_Fee_Relief_Windows_3B!$G$340:$G$100,"&gt;="&amp;C340)</f>
        <v/>
      </c>
      <c r="H340">
        <f>INDEX(CBIC_Late_Fee_Relief_Windows_3B!$I$340:$I$100,MATCH(G340,CBIC_Late_Fee_Relief_Windows_3B!$O$340:$O$100,0))</f>
        <v/>
      </c>
      <c r="I340">
        <f>MIN(F340,H340)</f>
        <v/>
      </c>
    </row>
    <row r="341">
      <c r="A341">
        <f>TEST_DATA!A341</f>
        <v/>
      </c>
      <c r="B341">
        <f>TEST_DATA!B341</f>
        <v/>
      </c>
      <c r="C341">
        <f>TEST_DATA!C341</f>
        <v/>
      </c>
      <c r="D341">
        <f>TEST_DATA!D341</f>
        <v/>
      </c>
      <c r="E341">
        <f>TEST_DATA!E341</f>
        <v/>
      </c>
      <c r="F341">
        <f>MIN(E341*34100,10000)</f>
        <v/>
      </c>
      <c r="G341">
        <f>MINIFS(CBIC_Late_Fee_Relief_Windows_3B!$O$341:$O$100,CBIC_Late_Fee_Relief_Windows_3B!$D$341:$D$100,"&lt;="&amp;B341,CBIC_Late_Fee_Relief_Windows_3B!$E$341:$E$100,"&gt;="&amp;B341,CBIC_Late_Fee_Relief_Windows_3B!$F$341:$F$100,"&lt;="&amp;C341,CBIC_Late_Fee_Relief_Windows_3B!$G$341:$G$100,"&gt;="&amp;C341)</f>
        <v/>
      </c>
      <c r="H341">
        <f>INDEX(CBIC_Late_Fee_Relief_Windows_3B!$I$341:$I$100,MATCH(G341,CBIC_Late_Fee_Relief_Windows_3B!$O$341:$O$100,0))</f>
        <v/>
      </c>
      <c r="I341">
        <f>MIN(F341,H341)</f>
        <v/>
      </c>
    </row>
    <row r="342">
      <c r="A342">
        <f>TEST_DATA!A342</f>
        <v/>
      </c>
      <c r="B342">
        <f>TEST_DATA!B342</f>
        <v/>
      </c>
      <c r="C342">
        <f>TEST_DATA!C342</f>
        <v/>
      </c>
      <c r="D342">
        <f>TEST_DATA!D342</f>
        <v/>
      </c>
      <c r="E342">
        <f>TEST_DATA!E342</f>
        <v/>
      </c>
      <c r="F342">
        <f>MIN(E342*34200,10000)</f>
        <v/>
      </c>
      <c r="G342">
        <f>MINIFS(CBIC_Late_Fee_Relief_Windows_3B!$O$342:$O$100,CBIC_Late_Fee_Relief_Windows_3B!$D$342:$D$100,"&lt;="&amp;B342,CBIC_Late_Fee_Relief_Windows_3B!$E$342:$E$100,"&gt;="&amp;B342,CBIC_Late_Fee_Relief_Windows_3B!$F$342:$F$100,"&lt;="&amp;C342,CBIC_Late_Fee_Relief_Windows_3B!$G$342:$G$100,"&gt;="&amp;C342)</f>
        <v/>
      </c>
      <c r="H342">
        <f>INDEX(CBIC_Late_Fee_Relief_Windows_3B!$I$342:$I$100,MATCH(G342,CBIC_Late_Fee_Relief_Windows_3B!$O$342:$O$100,0))</f>
        <v/>
      </c>
      <c r="I342">
        <f>MIN(F342,H342)</f>
        <v/>
      </c>
    </row>
    <row r="343">
      <c r="A343">
        <f>TEST_DATA!A343</f>
        <v/>
      </c>
      <c r="B343">
        <f>TEST_DATA!B343</f>
        <v/>
      </c>
      <c r="C343">
        <f>TEST_DATA!C343</f>
        <v/>
      </c>
      <c r="D343">
        <f>TEST_DATA!D343</f>
        <v/>
      </c>
      <c r="E343">
        <f>TEST_DATA!E343</f>
        <v/>
      </c>
      <c r="F343">
        <f>MIN(E343*34300,10000)</f>
        <v/>
      </c>
      <c r="G343">
        <f>MINIFS(CBIC_Late_Fee_Relief_Windows_3B!$O$343:$O$100,CBIC_Late_Fee_Relief_Windows_3B!$D$343:$D$100,"&lt;="&amp;B343,CBIC_Late_Fee_Relief_Windows_3B!$E$343:$E$100,"&gt;="&amp;B343,CBIC_Late_Fee_Relief_Windows_3B!$F$343:$F$100,"&lt;="&amp;C343,CBIC_Late_Fee_Relief_Windows_3B!$G$343:$G$100,"&gt;="&amp;C343)</f>
        <v/>
      </c>
      <c r="H343">
        <f>INDEX(CBIC_Late_Fee_Relief_Windows_3B!$I$343:$I$100,MATCH(G343,CBIC_Late_Fee_Relief_Windows_3B!$O$343:$O$100,0))</f>
        <v/>
      </c>
      <c r="I343">
        <f>MIN(F343,H343)</f>
        <v/>
      </c>
    </row>
    <row r="344">
      <c r="A344">
        <f>TEST_DATA!A344</f>
        <v/>
      </c>
      <c r="B344">
        <f>TEST_DATA!B344</f>
        <v/>
      </c>
      <c r="C344">
        <f>TEST_DATA!C344</f>
        <v/>
      </c>
      <c r="D344">
        <f>TEST_DATA!D344</f>
        <v/>
      </c>
      <c r="E344">
        <f>TEST_DATA!E344</f>
        <v/>
      </c>
      <c r="F344">
        <f>MIN(E344*34400,10000)</f>
        <v/>
      </c>
      <c r="G344">
        <f>MINIFS(CBIC_Late_Fee_Relief_Windows_3B!$O$344:$O$100,CBIC_Late_Fee_Relief_Windows_3B!$D$344:$D$100,"&lt;="&amp;B344,CBIC_Late_Fee_Relief_Windows_3B!$E$344:$E$100,"&gt;="&amp;B344,CBIC_Late_Fee_Relief_Windows_3B!$F$344:$F$100,"&lt;="&amp;C344,CBIC_Late_Fee_Relief_Windows_3B!$G$344:$G$100,"&gt;="&amp;C344)</f>
        <v/>
      </c>
      <c r="H344">
        <f>INDEX(CBIC_Late_Fee_Relief_Windows_3B!$I$344:$I$100,MATCH(G344,CBIC_Late_Fee_Relief_Windows_3B!$O$344:$O$100,0))</f>
        <v/>
      </c>
      <c r="I344">
        <f>MIN(F344,H344)</f>
        <v/>
      </c>
    </row>
    <row r="345">
      <c r="A345">
        <f>TEST_DATA!A345</f>
        <v/>
      </c>
      <c r="B345">
        <f>TEST_DATA!B345</f>
        <v/>
      </c>
      <c r="C345">
        <f>TEST_DATA!C345</f>
        <v/>
      </c>
      <c r="D345">
        <f>TEST_DATA!D345</f>
        <v/>
      </c>
      <c r="E345">
        <f>TEST_DATA!E345</f>
        <v/>
      </c>
      <c r="F345">
        <f>MIN(E345*34500,10000)</f>
        <v/>
      </c>
      <c r="G345">
        <f>MINIFS(CBIC_Late_Fee_Relief_Windows_3B!$O$345:$O$100,CBIC_Late_Fee_Relief_Windows_3B!$D$345:$D$100,"&lt;="&amp;B345,CBIC_Late_Fee_Relief_Windows_3B!$E$345:$E$100,"&gt;="&amp;B345,CBIC_Late_Fee_Relief_Windows_3B!$F$345:$F$100,"&lt;="&amp;C345,CBIC_Late_Fee_Relief_Windows_3B!$G$345:$G$100,"&gt;="&amp;C345)</f>
        <v/>
      </c>
      <c r="H345">
        <f>INDEX(CBIC_Late_Fee_Relief_Windows_3B!$I$345:$I$100,MATCH(G345,CBIC_Late_Fee_Relief_Windows_3B!$O$345:$O$100,0))</f>
        <v/>
      </c>
      <c r="I345">
        <f>MIN(F345,H345)</f>
        <v/>
      </c>
    </row>
    <row r="346">
      <c r="A346">
        <f>TEST_DATA!A346</f>
        <v/>
      </c>
      <c r="B346">
        <f>TEST_DATA!B346</f>
        <v/>
      </c>
      <c r="C346">
        <f>TEST_DATA!C346</f>
        <v/>
      </c>
      <c r="D346">
        <f>TEST_DATA!D346</f>
        <v/>
      </c>
      <c r="E346">
        <f>TEST_DATA!E346</f>
        <v/>
      </c>
      <c r="F346">
        <f>MIN(E346*34600,10000)</f>
        <v/>
      </c>
      <c r="G346">
        <f>MINIFS(CBIC_Late_Fee_Relief_Windows_3B!$O$346:$O$100,CBIC_Late_Fee_Relief_Windows_3B!$D$346:$D$100,"&lt;="&amp;B346,CBIC_Late_Fee_Relief_Windows_3B!$E$346:$E$100,"&gt;="&amp;B346,CBIC_Late_Fee_Relief_Windows_3B!$F$346:$F$100,"&lt;="&amp;C346,CBIC_Late_Fee_Relief_Windows_3B!$G$346:$G$100,"&gt;="&amp;C346)</f>
        <v/>
      </c>
      <c r="H346">
        <f>INDEX(CBIC_Late_Fee_Relief_Windows_3B!$I$346:$I$100,MATCH(G346,CBIC_Late_Fee_Relief_Windows_3B!$O$346:$O$100,0))</f>
        <v/>
      </c>
      <c r="I346">
        <f>MIN(F346,H346)</f>
        <v/>
      </c>
    </row>
    <row r="347">
      <c r="A347">
        <f>TEST_DATA!A347</f>
        <v/>
      </c>
      <c r="B347">
        <f>TEST_DATA!B347</f>
        <v/>
      </c>
      <c r="C347">
        <f>TEST_DATA!C347</f>
        <v/>
      </c>
      <c r="D347">
        <f>TEST_DATA!D347</f>
        <v/>
      </c>
      <c r="E347">
        <f>TEST_DATA!E347</f>
        <v/>
      </c>
      <c r="F347">
        <f>MIN(E347*34700,10000)</f>
        <v/>
      </c>
      <c r="G347">
        <f>MINIFS(CBIC_Late_Fee_Relief_Windows_3B!$O$347:$O$100,CBIC_Late_Fee_Relief_Windows_3B!$D$347:$D$100,"&lt;="&amp;B347,CBIC_Late_Fee_Relief_Windows_3B!$E$347:$E$100,"&gt;="&amp;B347,CBIC_Late_Fee_Relief_Windows_3B!$F$347:$F$100,"&lt;="&amp;C347,CBIC_Late_Fee_Relief_Windows_3B!$G$347:$G$100,"&gt;="&amp;C347)</f>
        <v/>
      </c>
      <c r="H347">
        <f>INDEX(CBIC_Late_Fee_Relief_Windows_3B!$I$347:$I$100,MATCH(G347,CBIC_Late_Fee_Relief_Windows_3B!$O$347:$O$100,0))</f>
        <v/>
      </c>
      <c r="I347">
        <f>MIN(F347,H347)</f>
        <v/>
      </c>
    </row>
    <row r="348">
      <c r="A348">
        <f>TEST_DATA!A348</f>
        <v/>
      </c>
      <c r="B348">
        <f>TEST_DATA!B348</f>
        <v/>
      </c>
      <c r="C348">
        <f>TEST_DATA!C348</f>
        <v/>
      </c>
      <c r="D348">
        <f>TEST_DATA!D348</f>
        <v/>
      </c>
      <c r="E348">
        <f>TEST_DATA!E348</f>
        <v/>
      </c>
      <c r="F348">
        <f>MIN(E348*34800,10000)</f>
        <v/>
      </c>
      <c r="G348">
        <f>MINIFS(CBIC_Late_Fee_Relief_Windows_3B!$O$348:$O$100,CBIC_Late_Fee_Relief_Windows_3B!$D$348:$D$100,"&lt;="&amp;B348,CBIC_Late_Fee_Relief_Windows_3B!$E$348:$E$100,"&gt;="&amp;B348,CBIC_Late_Fee_Relief_Windows_3B!$F$348:$F$100,"&lt;="&amp;C348,CBIC_Late_Fee_Relief_Windows_3B!$G$348:$G$100,"&gt;="&amp;C348)</f>
        <v/>
      </c>
      <c r="H348">
        <f>INDEX(CBIC_Late_Fee_Relief_Windows_3B!$I$348:$I$100,MATCH(G348,CBIC_Late_Fee_Relief_Windows_3B!$O$348:$O$100,0))</f>
        <v/>
      </c>
      <c r="I348">
        <f>MIN(F348,H348)</f>
        <v/>
      </c>
    </row>
    <row r="349">
      <c r="A349">
        <f>TEST_DATA!A349</f>
        <v/>
      </c>
      <c r="B349">
        <f>TEST_DATA!B349</f>
        <v/>
      </c>
      <c r="C349">
        <f>TEST_DATA!C349</f>
        <v/>
      </c>
      <c r="D349">
        <f>TEST_DATA!D349</f>
        <v/>
      </c>
      <c r="E349">
        <f>TEST_DATA!E349</f>
        <v/>
      </c>
      <c r="F349">
        <f>MIN(E349*34900,10000)</f>
        <v/>
      </c>
      <c r="G349">
        <f>MINIFS(CBIC_Late_Fee_Relief_Windows_3B!$O$349:$O$100,CBIC_Late_Fee_Relief_Windows_3B!$D$349:$D$100,"&lt;="&amp;B349,CBIC_Late_Fee_Relief_Windows_3B!$E$349:$E$100,"&gt;="&amp;B349,CBIC_Late_Fee_Relief_Windows_3B!$F$349:$F$100,"&lt;="&amp;C349,CBIC_Late_Fee_Relief_Windows_3B!$G$349:$G$100,"&gt;="&amp;C349)</f>
        <v/>
      </c>
      <c r="H349">
        <f>INDEX(CBIC_Late_Fee_Relief_Windows_3B!$I$349:$I$100,MATCH(G349,CBIC_Late_Fee_Relief_Windows_3B!$O$349:$O$100,0))</f>
        <v/>
      </c>
      <c r="I349">
        <f>MIN(F349,H349)</f>
        <v/>
      </c>
    </row>
    <row r="350">
      <c r="A350">
        <f>TEST_DATA!A350</f>
        <v/>
      </c>
      <c r="B350">
        <f>TEST_DATA!B350</f>
        <v/>
      </c>
      <c r="C350">
        <f>TEST_DATA!C350</f>
        <v/>
      </c>
      <c r="D350">
        <f>TEST_DATA!D350</f>
        <v/>
      </c>
      <c r="E350">
        <f>TEST_DATA!E350</f>
        <v/>
      </c>
      <c r="F350">
        <f>MIN(E350*35000,10000)</f>
        <v/>
      </c>
      <c r="G350">
        <f>MINIFS(CBIC_Late_Fee_Relief_Windows_3B!$O$350:$O$100,CBIC_Late_Fee_Relief_Windows_3B!$D$350:$D$100,"&lt;="&amp;B350,CBIC_Late_Fee_Relief_Windows_3B!$E$350:$E$100,"&gt;="&amp;B350,CBIC_Late_Fee_Relief_Windows_3B!$F$350:$F$100,"&lt;="&amp;C350,CBIC_Late_Fee_Relief_Windows_3B!$G$350:$G$100,"&gt;="&amp;C350)</f>
        <v/>
      </c>
      <c r="H350">
        <f>INDEX(CBIC_Late_Fee_Relief_Windows_3B!$I$350:$I$100,MATCH(G350,CBIC_Late_Fee_Relief_Windows_3B!$O$350:$O$100,0))</f>
        <v/>
      </c>
      <c r="I350">
        <f>MIN(F350,H350)</f>
        <v/>
      </c>
    </row>
    <row r="351">
      <c r="A351">
        <f>TEST_DATA!A351</f>
        <v/>
      </c>
      <c r="B351">
        <f>TEST_DATA!B351</f>
        <v/>
      </c>
      <c r="C351">
        <f>TEST_DATA!C351</f>
        <v/>
      </c>
      <c r="D351">
        <f>TEST_DATA!D351</f>
        <v/>
      </c>
      <c r="E351">
        <f>TEST_DATA!E351</f>
        <v/>
      </c>
      <c r="F351">
        <f>MIN(E351*35100,10000)</f>
        <v/>
      </c>
      <c r="G351">
        <f>MINIFS(CBIC_Late_Fee_Relief_Windows_3B!$O$351:$O$100,CBIC_Late_Fee_Relief_Windows_3B!$D$351:$D$100,"&lt;="&amp;B351,CBIC_Late_Fee_Relief_Windows_3B!$E$351:$E$100,"&gt;="&amp;B351,CBIC_Late_Fee_Relief_Windows_3B!$F$351:$F$100,"&lt;="&amp;C351,CBIC_Late_Fee_Relief_Windows_3B!$G$351:$G$100,"&gt;="&amp;C351)</f>
        <v/>
      </c>
      <c r="H351">
        <f>INDEX(CBIC_Late_Fee_Relief_Windows_3B!$I$351:$I$100,MATCH(G351,CBIC_Late_Fee_Relief_Windows_3B!$O$351:$O$100,0))</f>
        <v/>
      </c>
      <c r="I351">
        <f>MIN(F351,H351)</f>
        <v/>
      </c>
    </row>
    <row r="352">
      <c r="A352">
        <f>TEST_DATA!A352</f>
        <v/>
      </c>
      <c r="B352">
        <f>TEST_DATA!B352</f>
        <v/>
      </c>
      <c r="C352">
        <f>TEST_DATA!C352</f>
        <v/>
      </c>
      <c r="D352">
        <f>TEST_DATA!D352</f>
        <v/>
      </c>
      <c r="E352">
        <f>TEST_DATA!E352</f>
        <v/>
      </c>
      <c r="F352">
        <f>MIN(E352*35200,10000)</f>
        <v/>
      </c>
      <c r="G352">
        <f>MINIFS(CBIC_Late_Fee_Relief_Windows_3B!$O$352:$O$100,CBIC_Late_Fee_Relief_Windows_3B!$D$352:$D$100,"&lt;="&amp;B352,CBIC_Late_Fee_Relief_Windows_3B!$E$352:$E$100,"&gt;="&amp;B352,CBIC_Late_Fee_Relief_Windows_3B!$F$352:$F$100,"&lt;="&amp;C352,CBIC_Late_Fee_Relief_Windows_3B!$G$352:$G$100,"&gt;="&amp;C352)</f>
        <v/>
      </c>
      <c r="H352">
        <f>INDEX(CBIC_Late_Fee_Relief_Windows_3B!$I$352:$I$100,MATCH(G352,CBIC_Late_Fee_Relief_Windows_3B!$O$352:$O$100,0))</f>
        <v/>
      </c>
      <c r="I352">
        <f>MIN(F352,H352)</f>
        <v/>
      </c>
    </row>
    <row r="353">
      <c r="A353">
        <f>TEST_DATA!A353</f>
        <v/>
      </c>
      <c r="B353">
        <f>TEST_DATA!B353</f>
        <v/>
      </c>
      <c r="C353">
        <f>TEST_DATA!C353</f>
        <v/>
      </c>
      <c r="D353">
        <f>TEST_DATA!D353</f>
        <v/>
      </c>
      <c r="E353">
        <f>TEST_DATA!E353</f>
        <v/>
      </c>
      <c r="F353">
        <f>MIN(E353*35300,10000)</f>
        <v/>
      </c>
      <c r="G353">
        <f>MINIFS(CBIC_Late_Fee_Relief_Windows_3B!$O$353:$O$100,CBIC_Late_Fee_Relief_Windows_3B!$D$353:$D$100,"&lt;="&amp;B353,CBIC_Late_Fee_Relief_Windows_3B!$E$353:$E$100,"&gt;="&amp;B353,CBIC_Late_Fee_Relief_Windows_3B!$F$353:$F$100,"&lt;="&amp;C353,CBIC_Late_Fee_Relief_Windows_3B!$G$353:$G$100,"&gt;="&amp;C353)</f>
        <v/>
      </c>
      <c r="H353">
        <f>INDEX(CBIC_Late_Fee_Relief_Windows_3B!$I$353:$I$100,MATCH(G353,CBIC_Late_Fee_Relief_Windows_3B!$O$353:$O$100,0))</f>
        <v/>
      </c>
      <c r="I353">
        <f>MIN(F353,H353)</f>
        <v/>
      </c>
    </row>
    <row r="354">
      <c r="A354">
        <f>TEST_DATA!A354</f>
        <v/>
      </c>
      <c r="B354">
        <f>TEST_DATA!B354</f>
        <v/>
      </c>
      <c r="C354">
        <f>TEST_DATA!C354</f>
        <v/>
      </c>
      <c r="D354">
        <f>TEST_DATA!D354</f>
        <v/>
      </c>
      <c r="E354">
        <f>TEST_DATA!E354</f>
        <v/>
      </c>
      <c r="F354">
        <f>MIN(E354*35400,10000)</f>
        <v/>
      </c>
      <c r="G354">
        <f>MINIFS(CBIC_Late_Fee_Relief_Windows_3B!$O$354:$O$100,CBIC_Late_Fee_Relief_Windows_3B!$D$354:$D$100,"&lt;="&amp;B354,CBIC_Late_Fee_Relief_Windows_3B!$E$354:$E$100,"&gt;="&amp;B354,CBIC_Late_Fee_Relief_Windows_3B!$F$354:$F$100,"&lt;="&amp;C354,CBIC_Late_Fee_Relief_Windows_3B!$G$354:$G$100,"&gt;="&amp;C354)</f>
        <v/>
      </c>
      <c r="H354">
        <f>INDEX(CBIC_Late_Fee_Relief_Windows_3B!$I$354:$I$100,MATCH(G354,CBIC_Late_Fee_Relief_Windows_3B!$O$354:$O$100,0))</f>
        <v/>
      </c>
      <c r="I354">
        <f>MIN(F354,H354)</f>
        <v/>
      </c>
    </row>
    <row r="355">
      <c r="A355">
        <f>TEST_DATA!A355</f>
        <v/>
      </c>
      <c r="B355">
        <f>TEST_DATA!B355</f>
        <v/>
      </c>
      <c r="C355">
        <f>TEST_DATA!C355</f>
        <v/>
      </c>
      <c r="D355">
        <f>TEST_DATA!D355</f>
        <v/>
      </c>
      <c r="E355">
        <f>TEST_DATA!E355</f>
        <v/>
      </c>
      <c r="F355">
        <f>MIN(E355*35500,10000)</f>
        <v/>
      </c>
      <c r="G355">
        <f>MINIFS(CBIC_Late_Fee_Relief_Windows_3B!$O$355:$O$100,CBIC_Late_Fee_Relief_Windows_3B!$D$355:$D$100,"&lt;="&amp;B355,CBIC_Late_Fee_Relief_Windows_3B!$E$355:$E$100,"&gt;="&amp;B355,CBIC_Late_Fee_Relief_Windows_3B!$F$355:$F$100,"&lt;="&amp;C355,CBIC_Late_Fee_Relief_Windows_3B!$G$355:$G$100,"&gt;="&amp;C355)</f>
        <v/>
      </c>
      <c r="H355">
        <f>INDEX(CBIC_Late_Fee_Relief_Windows_3B!$I$355:$I$100,MATCH(G355,CBIC_Late_Fee_Relief_Windows_3B!$O$355:$O$100,0))</f>
        <v/>
      </c>
      <c r="I355">
        <f>MIN(F355,H355)</f>
        <v/>
      </c>
    </row>
    <row r="356">
      <c r="A356">
        <f>TEST_DATA!A356</f>
        <v/>
      </c>
      <c r="B356">
        <f>TEST_DATA!B356</f>
        <v/>
      </c>
      <c r="C356">
        <f>TEST_DATA!C356</f>
        <v/>
      </c>
      <c r="D356">
        <f>TEST_DATA!D356</f>
        <v/>
      </c>
      <c r="E356">
        <f>TEST_DATA!E356</f>
        <v/>
      </c>
      <c r="F356">
        <f>MIN(E356*35600,10000)</f>
        <v/>
      </c>
      <c r="G356">
        <f>MINIFS(CBIC_Late_Fee_Relief_Windows_3B!$O$356:$O$100,CBIC_Late_Fee_Relief_Windows_3B!$D$356:$D$100,"&lt;="&amp;B356,CBIC_Late_Fee_Relief_Windows_3B!$E$356:$E$100,"&gt;="&amp;B356,CBIC_Late_Fee_Relief_Windows_3B!$F$356:$F$100,"&lt;="&amp;C356,CBIC_Late_Fee_Relief_Windows_3B!$G$356:$G$100,"&gt;="&amp;C356)</f>
        <v/>
      </c>
      <c r="H356">
        <f>INDEX(CBIC_Late_Fee_Relief_Windows_3B!$I$356:$I$100,MATCH(G356,CBIC_Late_Fee_Relief_Windows_3B!$O$356:$O$100,0))</f>
        <v/>
      </c>
      <c r="I356">
        <f>MIN(F356,H356)</f>
        <v/>
      </c>
    </row>
    <row r="357">
      <c r="A357">
        <f>TEST_DATA!A357</f>
        <v/>
      </c>
      <c r="B357">
        <f>TEST_DATA!B357</f>
        <v/>
      </c>
      <c r="C357">
        <f>TEST_DATA!C357</f>
        <v/>
      </c>
      <c r="D357">
        <f>TEST_DATA!D357</f>
        <v/>
      </c>
      <c r="E357">
        <f>TEST_DATA!E357</f>
        <v/>
      </c>
      <c r="F357">
        <f>MIN(E357*35700,10000)</f>
        <v/>
      </c>
      <c r="G357">
        <f>MINIFS(CBIC_Late_Fee_Relief_Windows_3B!$O$357:$O$100,CBIC_Late_Fee_Relief_Windows_3B!$D$357:$D$100,"&lt;="&amp;B357,CBIC_Late_Fee_Relief_Windows_3B!$E$357:$E$100,"&gt;="&amp;B357,CBIC_Late_Fee_Relief_Windows_3B!$F$357:$F$100,"&lt;="&amp;C357,CBIC_Late_Fee_Relief_Windows_3B!$G$357:$G$100,"&gt;="&amp;C357)</f>
        <v/>
      </c>
      <c r="H357">
        <f>INDEX(CBIC_Late_Fee_Relief_Windows_3B!$I$357:$I$100,MATCH(G357,CBIC_Late_Fee_Relief_Windows_3B!$O$357:$O$100,0))</f>
        <v/>
      </c>
      <c r="I357">
        <f>MIN(F357,H357)</f>
        <v/>
      </c>
    </row>
    <row r="358">
      <c r="A358">
        <f>TEST_DATA!A358</f>
        <v/>
      </c>
      <c r="B358">
        <f>TEST_DATA!B358</f>
        <v/>
      </c>
      <c r="C358">
        <f>TEST_DATA!C358</f>
        <v/>
      </c>
      <c r="D358">
        <f>TEST_DATA!D358</f>
        <v/>
      </c>
      <c r="E358">
        <f>TEST_DATA!E358</f>
        <v/>
      </c>
      <c r="F358">
        <f>MIN(E358*35800,10000)</f>
        <v/>
      </c>
      <c r="G358">
        <f>MINIFS(CBIC_Late_Fee_Relief_Windows_3B!$O$358:$O$100,CBIC_Late_Fee_Relief_Windows_3B!$D$358:$D$100,"&lt;="&amp;B358,CBIC_Late_Fee_Relief_Windows_3B!$E$358:$E$100,"&gt;="&amp;B358,CBIC_Late_Fee_Relief_Windows_3B!$F$358:$F$100,"&lt;="&amp;C358,CBIC_Late_Fee_Relief_Windows_3B!$G$358:$G$100,"&gt;="&amp;C358)</f>
        <v/>
      </c>
      <c r="H358">
        <f>INDEX(CBIC_Late_Fee_Relief_Windows_3B!$I$358:$I$100,MATCH(G358,CBIC_Late_Fee_Relief_Windows_3B!$O$358:$O$100,0))</f>
        <v/>
      </c>
      <c r="I358">
        <f>MIN(F358,H358)</f>
        <v/>
      </c>
    </row>
    <row r="359">
      <c r="A359">
        <f>TEST_DATA!A359</f>
        <v/>
      </c>
      <c r="B359">
        <f>TEST_DATA!B359</f>
        <v/>
      </c>
      <c r="C359">
        <f>TEST_DATA!C359</f>
        <v/>
      </c>
      <c r="D359">
        <f>TEST_DATA!D359</f>
        <v/>
      </c>
      <c r="E359">
        <f>TEST_DATA!E359</f>
        <v/>
      </c>
      <c r="F359">
        <f>MIN(E359*35900,10000)</f>
        <v/>
      </c>
      <c r="G359">
        <f>MINIFS(CBIC_Late_Fee_Relief_Windows_3B!$O$359:$O$100,CBIC_Late_Fee_Relief_Windows_3B!$D$359:$D$100,"&lt;="&amp;B359,CBIC_Late_Fee_Relief_Windows_3B!$E$359:$E$100,"&gt;="&amp;B359,CBIC_Late_Fee_Relief_Windows_3B!$F$359:$F$100,"&lt;="&amp;C359,CBIC_Late_Fee_Relief_Windows_3B!$G$359:$G$100,"&gt;="&amp;C359)</f>
        <v/>
      </c>
      <c r="H359">
        <f>INDEX(CBIC_Late_Fee_Relief_Windows_3B!$I$359:$I$100,MATCH(G359,CBIC_Late_Fee_Relief_Windows_3B!$O$359:$O$100,0))</f>
        <v/>
      </c>
      <c r="I359">
        <f>MIN(F359,H359)</f>
        <v/>
      </c>
    </row>
    <row r="360">
      <c r="A360">
        <f>TEST_DATA!A360</f>
        <v/>
      </c>
      <c r="B360">
        <f>TEST_DATA!B360</f>
        <v/>
      </c>
      <c r="C360">
        <f>TEST_DATA!C360</f>
        <v/>
      </c>
      <c r="D360">
        <f>TEST_DATA!D360</f>
        <v/>
      </c>
      <c r="E360">
        <f>TEST_DATA!E360</f>
        <v/>
      </c>
      <c r="F360">
        <f>MIN(E360*36000,10000)</f>
        <v/>
      </c>
      <c r="G360">
        <f>MINIFS(CBIC_Late_Fee_Relief_Windows_3B!$O$360:$O$100,CBIC_Late_Fee_Relief_Windows_3B!$D$360:$D$100,"&lt;="&amp;B360,CBIC_Late_Fee_Relief_Windows_3B!$E$360:$E$100,"&gt;="&amp;B360,CBIC_Late_Fee_Relief_Windows_3B!$F$360:$F$100,"&lt;="&amp;C360,CBIC_Late_Fee_Relief_Windows_3B!$G$360:$G$100,"&gt;="&amp;C360)</f>
        <v/>
      </c>
      <c r="H360">
        <f>INDEX(CBIC_Late_Fee_Relief_Windows_3B!$I$360:$I$100,MATCH(G360,CBIC_Late_Fee_Relief_Windows_3B!$O$360:$O$100,0))</f>
        <v/>
      </c>
      <c r="I360">
        <f>MIN(F360,H360)</f>
        <v/>
      </c>
    </row>
    <row r="361">
      <c r="A361">
        <f>TEST_DATA!A361</f>
        <v/>
      </c>
      <c r="B361">
        <f>TEST_DATA!B361</f>
        <v/>
      </c>
      <c r="C361">
        <f>TEST_DATA!C361</f>
        <v/>
      </c>
      <c r="D361">
        <f>TEST_DATA!D361</f>
        <v/>
      </c>
      <c r="E361">
        <f>TEST_DATA!E361</f>
        <v/>
      </c>
      <c r="F361">
        <f>MIN(E361*36100,10000)</f>
        <v/>
      </c>
      <c r="G361">
        <f>MINIFS(CBIC_Late_Fee_Relief_Windows_3B!$O$361:$O$100,CBIC_Late_Fee_Relief_Windows_3B!$D$361:$D$100,"&lt;="&amp;B361,CBIC_Late_Fee_Relief_Windows_3B!$E$361:$E$100,"&gt;="&amp;B361,CBIC_Late_Fee_Relief_Windows_3B!$F$361:$F$100,"&lt;="&amp;C361,CBIC_Late_Fee_Relief_Windows_3B!$G$361:$G$100,"&gt;="&amp;C361)</f>
        <v/>
      </c>
      <c r="H361">
        <f>INDEX(CBIC_Late_Fee_Relief_Windows_3B!$I$361:$I$100,MATCH(G361,CBIC_Late_Fee_Relief_Windows_3B!$O$361:$O$100,0))</f>
        <v/>
      </c>
      <c r="I361">
        <f>MIN(F361,H361)</f>
        <v/>
      </c>
    </row>
    <row r="362">
      <c r="A362">
        <f>TEST_DATA!A362</f>
        <v/>
      </c>
      <c r="B362">
        <f>TEST_DATA!B362</f>
        <v/>
      </c>
      <c r="C362">
        <f>TEST_DATA!C362</f>
        <v/>
      </c>
      <c r="D362">
        <f>TEST_DATA!D362</f>
        <v/>
      </c>
      <c r="E362">
        <f>TEST_DATA!E362</f>
        <v/>
      </c>
      <c r="F362">
        <f>MIN(E362*36200,10000)</f>
        <v/>
      </c>
      <c r="G362">
        <f>MINIFS(CBIC_Late_Fee_Relief_Windows_3B!$O$362:$O$100,CBIC_Late_Fee_Relief_Windows_3B!$D$362:$D$100,"&lt;="&amp;B362,CBIC_Late_Fee_Relief_Windows_3B!$E$362:$E$100,"&gt;="&amp;B362,CBIC_Late_Fee_Relief_Windows_3B!$F$362:$F$100,"&lt;="&amp;C362,CBIC_Late_Fee_Relief_Windows_3B!$G$362:$G$100,"&gt;="&amp;C362)</f>
        <v/>
      </c>
      <c r="H362">
        <f>INDEX(CBIC_Late_Fee_Relief_Windows_3B!$I$362:$I$100,MATCH(G362,CBIC_Late_Fee_Relief_Windows_3B!$O$362:$O$100,0))</f>
        <v/>
      </c>
      <c r="I362">
        <f>MIN(F362,H362)</f>
        <v/>
      </c>
    </row>
    <row r="363">
      <c r="A363">
        <f>TEST_DATA!A363</f>
        <v/>
      </c>
      <c r="B363">
        <f>TEST_DATA!B363</f>
        <v/>
      </c>
      <c r="C363">
        <f>TEST_DATA!C363</f>
        <v/>
      </c>
      <c r="D363">
        <f>TEST_DATA!D363</f>
        <v/>
      </c>
      <c r="E363">
        <f>TEST_DATA!E363</f>
        <v/>
      </c>
      <c r="F363">
        <f>MIN(E363*36300,10000)</f>
        <v/>
      </c>
      <c r="G363">
        <f>MINIFS(CBIC_Late_Fee_Relief_Windows_3B!$O$363:$O$100,CBIC_Late_Fee_Relief_Windows_3B!$D$363:$D$100,"&lt;="&amp;B363,CBIC_Late_Fee_Relief_Windows_3B!$E$363:$E$100,"&gt;="&amp;B363,CBIC_Late_Fee_Relief_Windows_3B!$F$363:$F$100,"&lt;="&amp;C363,CBIC_Late_Fee_Relief_Windows_3B!$G$363:$G$100,"&gt;="&amp;C363)</f>
        <v/>
      </c>
      <c r="H363">
        <f>INDEX(CBIC_Late_Fee_Relief_Windows_3B!$I$363:$I$100,MATCH(G363,CBIC_Late_Fee_Relief_Windows_3B!$O$363:$O$100,0))</f>
        <v/>
      </c>
      <c r="I363">
        <f>MIN(F363,H363)</f>
        <v/>
      </c>
    </row>
    <row r="364">
      <c r="A364">
        <f>TEST_DATA!A364</f>
        <v/>
      </c>
      <c r="B364">
        <f>TEST_DATA!B364</f>
        <v/>
      </c>
      <c r="C364">
        <f>TEST_DATA!C364</f>
        <v/>
      </c>
      <c r="D364">
        <f>TEST_DATA!D364</f>
        <v/>
      </c>
      <c r="E364">
        <f>TEST_DATA!E364</f>
        <v/>
      </c>
      <c r="F364">
        <f>MIN(E364*36400,10000)</f>
        <v/>
      </c>
      <c r="G364">
        <f>MINIFS(CBIC_Late_Fee_Relief_Windows_3B!$O$364:$O$100,CBIC_Late_Fee_Relief_Windows_3B!$D$364:$D$100,"&lt;="&amp;B364,CBIC_Late_Fee_Relief_Windows_3B!$E$364:$E$100,"&gt;="&amp;B364,CBIC_Late_Fee_Relief_Windows_3B!$F$364:$F$100,"&lt;="&amp;C364,CBIC_Late_Fee_Relief_Windows_3B!$G$364:$G$100,"&gt;="&amp;C364)</f>
        <v/>
      </c>
      <c r="H364">
        <f>INDEX(CBIC_Late_Fee_Relief_Windows_3B!$I$364:$I$100,MATCH(G364,CBIC_Late_Fee_Relief_Windows_3B!$O$364:$O$100,0))</f>
        <v/>
      </c>
      <c r="I364">
        <f>MIN(F364,H364)</f>
        <v/>
      </c>
    </row>
    <row r="365">
      <c r="A365">
        <f>TEST_DATA!A365</f>
        <v/>
      </c>
      <c r="B365">
        <f>TEST_DATA!B365</f>
        <v/>
      </c>
      <c r="C365">
        <f>TEST_DATA!C365</f>
        <v/>
      </c>
      <c r="D365">
        <f>TEST_DATA!D365</f>
        <v/>
      </c>
      <c r="E365">
        <f>TEST_DATA!E365</f>
        <v/>
      </c>
      <c r="F365">
        <f>MIN(E365*36500,10000)</f>
        <v/>
      </c>
      <c r="G365">
        <f>MINIFS(CBIC_Late_Fee_Relief_Windows_3B!$O$365:$O$100,CBIC_Late_Fee_Relief_Windows_3B!$D$365:$D$100,"&lt;="&amp;B365,CBIC_Late_Fee_Relief_Windows_3B!$E$365:$E$100,"&gt;="&amp;B365,CBIC_Late_Fee_Relief_Windows_3B!$F$365:$F$100,"&lt;="&amp;C365,CBIC_Late_Fee_Relief_Windows_3B!$G$365:$G$100,"&gt;="&amp;C365)</f>
        <v/>
      </c>
      <c r="H365">
        <f>INDEX(CBIC_Late_Fee_Relief_Windows_3B!$I$365:$I$100,MATCH(G365,CBIC_Late_Fee_Relief_Windows_3B!$O$365:$O$100,0))</f>
        <v/>
      </c>
      <c r="I365">
        <f>MIN(F365,H365)</f>
        <v/>
      </c>
    </row>
    <row r="366">
      <c r="A366">
        <f>TEST_DATA!A366</f>
        <v/>
      </c>
      <c r="B366">
        <f>TEST_DATA!B366</f>
        <v/>
      </c>
      <c r="C366">
        <f>TEST_DATA!C366</f>
        <v/>
      </c>
      <c r="D366">
        <f>TEST_DATA!D366</f>
        <v/>
      </c>
      <c r="E366">
        <f>TEST_DATA!E366</f>
        <v/>
      </c>
      <c r="F366">
        <f>MIN(E366*36600,10000)</f>
        <v/>
      </c>
      <c r="G366">
        <f>MINIFS(CBIC_Late_Fee_Relief_Windows_3B!$O$366:$O$100,CBIC_Late_Fee_Relief_Windows_3B!$D$366:$D$100,"&lt;="&amp;B366,CBIC_Late_Fee_Relief_Windows_3B!$E$366:$E$100,"&gt;="&amp;B366,CBIC_Late_Fee_Relief_Windows_3B!$F$366:$F$100,"&lt;="&amp;C366,CBIC_Late_Fee_Relief_Windows_3B!$G$366:$G$100,"&gt;="&amp;C366)</f>
        <v/>
      </c>
      <c r="H366">
        <f>INDEX(CBIC_Late_Fee_Relief_Windows_3B!$I$366:$I$100,MATCH(G366,CBIC_Late_Fee_Relief_Windows_3B!$O$366:$O$100,0))</f>
        <v/>
      </c>
      <c r="I366">
        <f>MIN(F366,H366)</f>
        <v/>
      </c>
    </row>
    <row r="367">
      <c r="A367">
        <f>TEST_DATA!A367</f>
        <v/>
      </c>
      <c r="B367">
        <f>TEST_DATA!B367</f>
        <v/>
      </c>
      <c r="C367">
        <f>TEST_DATA!C367</f>
        <v/>
      </c>
      <c r="D367">
        <f>TEST_DATA!D367</f>
        <v/>
      </c>
      <c r="E367">
        <f>TEST_DATA!E367</f>
        <v/>
      </c>
      <c r="F367">
        <f>MIN(E367*36700,10000)</f>
        <v/>
      </c>
      <c r="G367">
        <f>MINIFS(CBIC_Late_Fee_Relief_Windows_3B!$O$367:$O$100,CBIC_Late_Fee_Relief_Windows_3B!$D$367:$D$100,"&lt;="&amp;B367,CBIC_Late_Fee_Relief_Windows_3B!$E$367:$E$100,"&gt;="&amp;B367,CBIC_Late_Fee_Relief_Windows_3B!$F$367:$F$100,"&lt;="&amp;C367,CBIC_Late_Fee_Relief_Windows_3B!$G$367:$G$100,"&gt;="&amp;C367)</f>
        <v/>
      </c>
      <c r="H367">
        <f>INDEX(CBIC_Late_Fee_Relief_Windows_3B!$I$367:$I$100,MATCH(G367,CBIC_Late_Fee_Relief_Windows_3B!$O$367:$O$100,0))</f>
        <v/>
      </c>
      <c r="I367">
        <f>MIN(F367,H367)</f>
        <v/>
      </c>
    </row>
    <row r="368">
      <c r="A368">
        <f>TEST_DATA!A368</f>
        <v/>
      </c>
      <c r="B368">
        <f>TEST_DATA!B368</f>
        <v/>
      </c>
      <c r="C368">
        <f>TEST_DATA!C368</f>
        <v/>
      </c>
      <c r="D368">
        <f>TEST_DATA!D368</f>
        <v/>
      </c>
      <c r="E368">
        <f>TEST_DATA!E368</f>
        <v/>
      </c>
      <c r="F368">
        <f>MIN(E368*36800,10000)</f>
        <v/>
      </c>
      <c r="G368">
        <f>MINIFS(CBIC_Late_Fee_Relief_Windows_3B!$O$368:$O$100,CBIC_Late_Fee_Relief_Windows_3B!$D$368:$D$100,"&lt;="&amp;B368,CBIC_Late_Fee_Relief_Windows_3B!$E$368:$E$100,"&gt;="&amp;B368,CBIC_Late_Fee_Relief_Windows_3B!$F$368:$F$100,"&lt;="&amp;C368,CBIC_Late_Fee_Relief_Windows_3B!$G$368:$G$100,"&gt;="&amp;C368)</f>
        <v/>
      </c>
      <c r="H368">
        <f>INDEX(CBIC_Late_Fee_Relief_Windows_3B!$I$368:$I$100,MATCH(G368,CBIC_Late_Fee_Relief_Windows_3B!$O$368:$O$100,0))</f>
        <v/>
      </c>
      <c r="I368">
        <f>MIN(F368,H368)</f>
        <v/>
      </c>
    </row>
    <row r="369">
      <c r="A369">
        <f>TEST_DATA!A369</f>
        <v/>
      </c>
      <c r="B369">
        <f>TEST_DATA!B369</f>
        <v/>
      </c>
      <c r="C369">
        <f>TEST_DATA!C369</f>
        <v/>
      </c>
      <c r="D369">
        <f>TEST_DATA!D369</f>
        <v/>
      </c>
      <c r="E369">
        <f>TEST_DATA!E369</f>
        <v/>
      </c>
      <c r="F369">
        <f>MIN(E369*36900,10000)</f>
        <v/>
      </c>
      <c r="G369">
        <f>MINIFS(CBIC_Late_Fee_Relief_Windows_3B!$O$369:$O$100,CBIC_Late_Fee_Relief_Windows_3B!$D$369:$D$100,"&lt;="&amp;B369,CBIC_Late_Fee_Relief_Windows_3B!$E$369:$E$100,"&gt;="&amp;B369,CBIC_Late_Fee_Relief_Windows_3B!$F$369:$F$100,"&lt;="&amp;C369,CBIC_Late_Fee_Relief_Windows_3B!$G$369:$G$100,"&gt;="&amp;C369)</f>
        <v/>
      </c>
      <c r="H369">
        <f>INDEX(CBIC_Late_Fee_Relief_Windows_3B!$I$369:$I$100,MATCH(G369,CBIC_Late_Fee_Relief_Windows_3B!$O$369:$O$100,0))</f>
        <v/>
      </c>
      <c r="I369">
        <f>MIN(F369,H369)</f>
        <v/>
      </c>
    </row>
    <row r="370">
      <c r="A370">
        <f>TEST_DATA!A370</f>
        <v/>
      </c>
      <c r="B370">
        <f>TEST_DATA!B370</f>
        <v/>
      </c>
      <c r="C370">
        <f>TEST_DATA!C370</f>
        <v/>
      </c>
      <c r="D370">
        <f>TEST_DATA!D370</f>
        <v/>
      </c>
      <c r="E370">
        <f>TEST_DATA!E370</f>
        <v/>
      </c>
      <c r="F370">
        <f>MIN(E370*37000,10000)</f>
        <v/>
      </c>
      <c r="G370">
        <f>MINIFS(CBIC_Late_Fee_Relief_Windows_3B!$O$370:$O$100,CBIC_Late_Fee_Relief_Windows_3B!$D$370:$D$100,"&lt;="&amp;B370,CBIC_Late_Fee_Relief_Windows_3B!$E$370:$E$100,"&gt;="&amp;B370,CBIC_Late_Fee_Relief_Windows_3B!$F$370:$F$100,"&lt;="&amp;C370,CBIC_Late_Fee_Relief_Windows_3B!$G$370:$G$100,"&gt;="&amp;C370)</f>
        <v/>
      </c>
      <c r="H370">
        <f>INDEX(CBIC_Late_Fee_Relief_Windows_3B!$I$370:$I$100,MATCH(G370,CBIC_Late_Fee_Relief_Windows_3B!$O$370:$O$100,0))</f>
        <v/>
      </c>
      <c r="I370">
        <f>MIN(F370,H370)</f>
        <v/>
      </c>
    </row>
    <row r="371">
      <c r="A371">
        <f>TEST_DATA!A371</f>
        <v/>
      </c>
      <c r="B371">
        <f>TEST_DATA!B371</f>
        <v/>
      </c>
      <c r="C371">
        <f>TEST_DATA!C371</f>
        <v/>
      </c>
      <c r="D371">
        <f>TEST_DATA!D371</f>
        <v/>
      </c>
      <c r="E371">
        <f>TEST_DATA!E371</f>
        <v/>
      </c>
      <c r="F371">
        <f>MIN(E371*37100,10000)</f>
        <v/>
      </c>
      <c r="G371">
        <f>MINIFS(CBIC_Late_Fee_Relief_Windows_3B!$O$371:$O$100,CBIC_Late_Fee_Relief_Windows_3B!$D$371:$D$100,"&lt;="&amp;B371,CBIC_Late_Fee_Relief_Windows_3B!$E$371:$E$100,"&gt;="&amp;B371,CBIC_Late_Fee_Relief_Windows_3B!$F$371:$F$100,"&lt;="&amp;C371,CBIC_Late_Fee_Relief_Windows_3B!$G$371:$G$100,"&gt;="&amp;C371)</f>
        <v/>
      </c>
      <c r="H371">
        <f>INDEX(CBIC_Late_Fee_Relief_Windows_3B!$I$371:$I$100,MATCH(G371,CBIC_Late_Fee_Relief_Windows_3B!$O$371:$O$100,0))</f>
        <v/>
      </c>
      <c r="I371">
        <f>MIN(F371,H371)</f>
        <v/>
      </c>
    </row>
    <row r="372">
      <c r="A372">
        <f>TEST_DATA!A372</f>
        <v/>
      </c>
      <c r="B372">
        <f>TEST_DATA!B372</f>
        <v/>
      </c>
      <c r="C372">
        <f>TEST_DATA!C372</f>
        <v/>
      </c>
      <c r="D372">
        <f>TEST_DATA!D372</f>
        <v/>
      </c>
      <c r="E372">
        <f>TEST_DATA!E372</f>
        <v/>
      </c>
      <c r="F372">
        <f>MIN(E372*37200,10000)</f>
        <v/>
      </c>
      <c r="G372">
        <f>MINIFS(CBIC_Late_Fee_Relief_Windows_3B!$O$372:$O$100,CBIC_Late_Fee_Relief_Windows_3B!$D$372:$D$100,"&lt;="&amp;B372,CBIC_Late_Fee_Relief_Windows_3B!$E$372:$E$100,"&gt;="&amp;B372,CBIC_Late_Fee_Relief_Windows_3B!$F$372:$F$100,"&lt;="&amp;C372,CBIC_Late_Fee_Relief_Windows_3B!$G$372:$G$100,"&gt;="&amp;C372)</f>
        <v/>
      </c>
      <c r="H372">
        <f>INDEX(CBIC_Late_Fee_Relief_Windows_3B!$I$372:$I$100,MATCH(G372,CBIC_Late_Fee_Relief_Windows_3B!$O$372:$O$100,0))</f>
        <v/>
      </c>
      <c r="I372">
        <f>MIN(F372,H372)</f>
        <v/>
      </c>
    </row>
    <row r="373">
      <c r="A373">
        <f>TEST_DATA!A373</f>
        <v/>
      </c>
      <c r="B373">
        <f>TEST_DATA!B373</f>
        <v/>
      </c>
      <c r="C373">
        <f>TEST_DATA!C373</f>
        <v/>
      </c>
      <c r="D373">
        <f>TEST_DATA!D373</f>
        <v/>
      </c>
      <c r="E373">
        <f>TEST_DATA!E373</f>
        <v/>
      </c>
      <c r="F373">
        <f>MIN(E373*37300,10000)</f>
        <v/>
      </c>
      <c r="G373">
        <f>MINIFS(CBIC_Late_Fee_Relief_Windows_3B!$O$373:$O$100,CBIC_Late_Fee_Relief_Windows_3B!$D$373:$D$100,"&lt;="&amp;B373,CBIC_Late_Fee_Relief_Windows_3B!$E$373:$E$100,"&gt;="&amp;B373,CBIC_Late_Fee_Relief_Windows_3B!$F$373:$F$100,"&lt;="&amp;C373,CBIC_Late_Fee_Relief_Windows_3B!$G$373:$G$100,"&gt;="&amp;C373)</f>
        <v/>
      </c>
      <c r="H373">
        <f>INDEX(CBIC_Late_Fee_Relief_Windows_3B!$I$373:$I$100,MATCH(G373,CBIC_Late_Fee_Relief_Windows_3B!$O$373:$O$100,0))</f>
        <v/>
      </c>
      <c r="I373">
        <f>MIN(F373,H373)</f>
        <v/>
      </c>
    </row>
    <row r="374">
      <c r="A374">
        <f>TEST_DATA!A374</f>
        <v/>
      </c>
      <c r="B374">
        <f>TEST_DATA!B374</f>
        <v/>
      </c>
      <c r="C374">
        <f>TEST_DATA!C374</f>
        <v/>
      </c>
      <c r="D374">
        <f>TEST_DATA!D374</f>
        <v/>
      </c>
      <c r="E374">
        <f>TEST_DATA!E374</f>
        <v/>
      </c>
      <c r="F374">
        <f>MIN(E374*37400,10000)</f>
        <v/>
      </c>
      <c r="G374">
        <f>MINIFS(CBIC_Late_Fee_Relief_Windows_3B!$O$374:$O$100,CBIC_Late_Fee_Relief_Windows_3B!$D$374:$D$100,"&lt;="&amp;B374,CBIC_Late_Fee_Relief_Windows_3B!$E$374:$E$100,"&gt;="&amp;B374,CBIC_Late_Fee_Relief_Windows_3B!$F$374:$F$100,"&lt;="&amp;C374,CBIC_Late_Fee_Relief_Windows_3B!$G$374:$G$100,"&gt;="&amp;C374)</f>
        <v/>
      </c>
      <c r="H374">
        <f>INDEX(CBIC_Late_Fee_Relief_Windows_3B!$I$374:$I$100,MATCH(G374,CBIC_Late_Fee_Relief_Windows_3B!$O$374:$O$100,0))</f>
        <v/>
      </c>
      <c r="I374">
        <f>MIN(F374,H374)</f>
        <v/>
      </c>
    </row>
    <row r="375">
      <c r="A375">
        <f>TEST_DATA!A375</f>
        <v/>
      </c>
      <c r="B375">
        <f>TEST_DATA!B375</f>
        <v/>
      </c>
      <c r="C375">
        <f>TEST_DATA!C375</f>
        <v/>
      </c>
      <c r="D375">
        <f>TEST_DATA!D375</f>
        <v/>
      </c>
      <c r="E375">
        <f>TEST_DATA!E375</f>
        <v/>
      </c>
      <c r="F375">
        <f>MIN(E375*37500,10000)</f>
        <v/>
      </c>
      <c r="G375">
        <f>MINIFS(CBIC_Late_Fee_Relief_Windows_3B!$O$375:$O$100,CBIC_Late_Fee_Relief_Windows_3B!$D$375:$D$100,"&lt;="&amp;B375,CBIC_Late_Fee_Relief_Windows_3B!$E$375:$E$100,"&gt;="&amp;B375,CBIC_Late_Fee_Relief_Windows_3B!$F$375:$F$100,"&lt;="&amp;C375,CBIC_Late_Fee_Relief_Windows_3B!$G$375:$G$100,"&gt;="&amp;C375)</f>
        <v/>
      </c>
      <c r="H375">
        <f>INDEX(CBIC_Late_Fee_Relief_Windows_3B!$I$375:$I$100,MATCH(G375,CBIC_Late_Fee_Relief_Windows_3B!$O$375:$O$100,0))</f>
        <v/>
      </c>
      <c r="I375">
        <f>MIN(F375,H375)</f>
        <v/>
      </c>
    </row>
    <row r="376">
      <c r="A376">
        <f>TEST_DATA!A376</f>
        <v/>
      </c>
      <c r="B376">
        <f>TEST_DATA!B376</f>
        <v/>
      </c>
      <c r="C376">
        <f>TEST_DATA!C376</f>
        <v/>
      </c>
      <c r="D376">
        <f>TEST_DATA!D376</f>
        <v/>
      </c>
      <c r="E376">
        <f>TEST_DATA!E376</f>
        <v/>
      </c>
      <c r="F376">
        <f>MIN(E376*37600,10000)</f>
        <v/>
      </c>
      <c r="G376">
        <f>MINIFS(CBIC_Late_Fee_Relief_Windows_3B!$O$376:$O$100,CBIC_Late_Fee_Relief_Windows_3B!$D$376:$D$100,"&lt;="&amp;B376,CBIC_Late_Fee_Relief_Windows_3B!$E$376:$E$100,"&gt;="&amp;B376,CBIC_Late_Fee_Relief_Windows_3B!$F$376:$F$100,"&lt;="&amp;C376,CBIC_Late_Fee_Relief_Windows_3B!$G$376:$G$100,"&gt;="&amp;C376)</f>
        <v/>
      </c>
      <c r="H376">
        <f>INDEX(CBIC_Late_Fee_Relief_Windows_3B!$I$376:$I$100,MATCH(G376,CBIC_Late_Fee_Relief_Windows_3B!$O$376:$O$100,0))</f>
        <v/>
      </c>
      <c r="I376">
        <f>MIN(F376,H376)</f>
        <v/>
      </c>
    </row>
    <row r="377">
      <c r="A377">
        <f>TEST_DATA!A377</f>
        <v/>
      </c>
      <c r="B377">
        <f>TEST_DATA!B377</f>
        <v/>
      </c>
      <c r="C377">
        <f>TEST_DATA!C377</f>
        <v/>
      </c>
      <c r="D377">
        <f>TEST_DATA!D377</f>
        <v/>
      </c>
      <c r="E377">
        <f>TEST_DATA!E377</f>
        <v/>
      </c>
      <c r="F377">
        <f>MIN(E377*37700,10000)</f>
        <v/>
      </c>
      <c r="G377">
        <f>MINIFS(CBIC_Late_Fee_Relief_Windows_3B!$O$377:$O$100,CBIC_Late_Fee_Relief_Windows_3B!$D$377:$D$100,"&lt;="&amp;B377,CBIC_Late_Fee_Relief_Windows_3B!$E$377:$E$100,"&gt;="&amp;B377,CBIC_Late_Fee_Relief_Windows_3B!$F$377:$F$100,"&lt;="&amp;C377,CBIC_Late_Fee_Relief_Windows_3B!$G$377:$G$100,"&gt;="&amp;C377)</f>
        <v/>
      </c>
      <c r="H377">
        <f>INDEX(CBIC_Late_Fee_Relief_Windows_3B!$I$377:$I$100,MATCH(G377,CBIC_Late_Fee_Relief_Windows_3B!$O$377:$O$100,0))</f>
        <v/>
      </c>
      <c r="I377">
        <f>MIN(F377,H377)</f>
        <v/>
      </c>
    </row>
    <row r="378">
      <c r="A378">
        <f>TEST_DATA!A378</f>
        <v/>
      </c>
      <c r="B378">
        <f>TEST_DATA!B378</f>
        <v/>
      </c>
      <c r="C378">
        <f>TEST_DATA!C378</f>
        <v/>
      </c>
      <c r="D378">
        <f>TEST_DATA!D378</f>
        <v/>
      </c>
      <c r="E378">
        <f>TEST_DATA!E378</f>
        <v/>
      </c>
      <c r="F378">
        <f>MIN(E378*37800,10000)</f>
        <v/>
      </c>
      <c r="G378">
        <f>MINIFS(CBIC_Late_Fee_Relief_Windows_3B!$O$378:$O$100,CBIC_Late_Fee_Relief_Windows_3B!$D$378:$D$100,"&lt;="&amp;B378,CBIC_Late_Fee_Relief_Windows_3B!$E$378:$E$100,"&gt;="&amp;B378,CBIC_Late_Fee_Relief_Windows_3B!$F$378:$F$100,"&lt;="&amp;C378,CBIC_Late_Fee_Relief_Windows_3B!$G$378:$G$100,"&gt;="&amp;C378)</f>
        <v/>
      </c>
      <c r="H378">
        <f>INDEX(CBIC_Late_Fee_Relief_Windows_3B!$I$378:$I$100,MATCH(G378,CBIC_Late_Fee_Relief_Windows_3B!$O$378:$O$100,0))</f>
        <v/>
      </c>
      <c r="I378">
        <f>MIN(F378,H378)</f>
        <v/>
      </c>
    </row>
    <row r="379">
      <c r="A379">
        <f>TEST_DATA!A379</f>
        <v/>
      </c>
      <c r="B379">
        <f>TEST_DATA!B379</f>
        <v/>
      </c>
      <c r="C379">
        <f>TEST_DATA!C379</f>
        <v/>
      </c>
      <c r="D379">
        <f>TEST_DATA!D379</f>
        <v/>
      </c>
      <c r="E379">
        <f>TEST_DATA!E379</f>
        <v/>
      </c>
      <c r="F379">
        <f>MIN(E379*37900,10000)</f>
        <v/>
      </c>
      <c r="G379">
        <f>MINIFS(CBIC_Late_Fee_Relief_Windows_3B!$O$379:$O$100,CBIC_Late_Fee_Relief_Windows_3B!$D$379:$D$100,"&lt;="&amp;B379,CBIC_Late_Fee_Relief_Windows_3B!$E$379:$E$100,"&gt;="&amp;B379,CBIC_Late_Fee_Relief_Windows_3B!$F$379:$F$100,"&lt;="&amp;C379,CBIC_Late_Fee_Relief_Windows_3B!$G$379:$G$100,"&gt;="&amp;C379)</f>
        <v/>
      </c>
      <c r="H379">
        <f>INDEX(CBIC_Late_Fee_Relief_Windows_3B!$I$379:$I$100,MATCH(G379,CBIC_Late_Fee_Relief_Windows_3B!$O$379:$O$100,0))</f>
        <v/>
      </c>
      <c r="I379">
        <f>MIN(F379,H379)</f>
        <v/>
      </c>
    </row>
    <row r="380">
      <c r="A380">
        <f>TEST_DATA!A380</f>
        <v/>
      </c>
      <c r="B380">
        <f>TEST_DATA!B380</f>
        <v/>
      </c>
      <c r="C380">
        <f>TEST_DATA!C380</f>
        <v/>
      </c>
      <c r="D380">
        <f>TEST_DATA!D380</f>
        <v/>
      </c>
      <c r="E380">
        <f>TEST_DATA!E380</f>
        <v/>
      </c>
      <c r="F380">
        <f>MIN(E380*38000,10000)</f>
        <v/>
      </c>
      <c r="G380">
        <f>MINIFS(CBIC_Late_Fee_Relief_Windows_3B!$O$380:$O$100,CBIC_Late_Fee_Relief_Windows_3B!$D$380:$D$100,"&lt;="&amp;B380,CBIC_Late_Fee_Relief_Windows_3B!$E$380:$E$100,"&gt;="&amp;B380,CBIC_Late_Fee_Relief_Windows_3B!$F$380:$F$100,"&lt;="&amp;C380,CBIC_Late_Fee_Relief_Windows_3B!$G$380:$G$100,"&gt;="&amp;C380)</f>
        <v/>
      </c>
      <c r="H380">
        <f>INDEX(CBIC_Late_Fee_Relief_Windows_3B!$I$380:$I$100,MATCH(G380,CBIC_Late_Fee_Relief_Windows_3B!$O$380:$O$100,0))</f>
        <v/>
      </c>
      <c r="I380">
        <f>MIN(F380,H380)</f>
        <v/>
      </c>
    </row>
    <row r="381">
      <c r="A381">
        <f>TEST_DATA!A381</f>
        <v/>
      </c>
      <c r="B381">
        <f>TEST_DATA!B381</f>
        <v/>
      </c>
      <c r="C381">
        <f>TEST_DATA!C381</f>
        <v/>
      </c>
      <c r="D381">
        <f>TEST_DATA!D381</f>
        <v/>
      </c>
      <c r="E381">
        <f>TEST_DATA!E381</f>
        <v/>
      </c>
      <c r="F381">
        <f>MIN(E381*38100,10000)</f>
        <v/>
      </c>
      <c r="G381">
        <f>MINIFS(CBIC_Late_Fee_Relief_Windows_3B!$O$381:$O$100,CBIC_Late_Fee_Relief_Windows_3B!$D$381:$D$100,"&lt;="&amp;B381,CBIC_Late_Fee_Relief_Windows_3B!$E$381:$E$100,"&gt;="&amp;B381,CBIC_Late_Fee_Relief_Windows_3B!$F$381:$F$100,"&lt;="&amp;C381,CBIC_Late_Fee_Relief_Windows_3B!$G$381:$G$100,"&gt;="&amp;C381)</f>
        <v/>
      </c>
      <c r="H381">
        <f>INDEX(CBIC_Late_Fee_Relief_Windows_3B!$I$381:$I$100,MATCH(G381,CBIC_Late_Fee_Relief_Windows_3B!$O$381:$O$100,0))</f>
        <v/>
      </c>
      <c r="I381">
        <f>MIN(F381,H381)</f>
        <v/>
      </c>
    </row>
    <row r="382">
      <c r="A382">
        <f>TEST_DATA!A382</f>
        <v/>
      </c>
      <c r="B382">
        <f>TEST_DATA!B382</f>
        <v/>
      </c>
      <c r="C382">
        <f>TEST_DATA!C382</f>
        <v/>
      </c>
      <c r="D382">
        <f>TEST_DATA!D382</f>
        <v/>
      </c>
      <c r="E382">
        <f>TEST_DATA!E382</f>
        <v/>
      </c>
      <c r="F382">
        <f>MIN(E382*38200,10000)</f>
        <v/>
      </c>
      <c r="G382">
        <f>MINIFS(CBIC_Late_Fee_Relief_Windows_3B!$O$382:$O$100,CBIC_Late_Fee_Relief_Windows_3B!$D$382:$D$100,"&lt;="&amp;B382,CBIC_Late_Fee_Relief_Windows_3B!$E$382:$E$100,"&gt;="&amp;B382,CBIC_Late_Fee_Relief_Windows_3B!$F$382:$F$100,"&lt;="&amp;C382,CBIC_Late_Fee_Relief_Windows_3B!$G$382:$G$100,"&gt;="&amp;C382)</f>
        <v/>
      </c>
      <c r="H382">
        <f>INDEX(CBIC_Late_Fee_Relief_Windows_3B!$I$382:$I$100,MATCH(G382,CBIC_Late_Fee_Relief_Windows_3B!$O$382:$O$100,0))</f>
        <v/>
      </c>
      <c r="I382">
        <f>MIN(F382,H382)</f>
        <v/>
      </c>
    </row>
    <row r="383">
      <c r="A383">
        <f>TEST_DATA!A383</f>
        <v/>
      </c>
      <c r="B383">
        <f>TEST_DATA!B383</f>
        <v/>
      </c>
      <c r="C383">
        <f>TEST_DATA!C383</f>
        <v/>
      </c>
      <c r="D383">
        <f>TEST_DATA!D383</f>
        <v/>
      </c>
      <c r="E383">
        <f>TEST_DATA!E383</f>
        <v/>
      </c>
      <c r="F383">
        <f>MIN(E383*38300,10000)</f>
        <v/>
      </c>
      <c r="G383">
        <f>MINIFS(CBIC_Late_Fee_Relief_Windows_3B!$O$383:$O$100,CBIC_Late_Fee_Relief_Windows_3B!$D$383:$D$100,"&lt;="&amp;B383,CBIC_Late_Fee_Relief_Windows_3B!$E$383:$E$100,"&gt;="&amp;B383,CBIC_Late_Fee_Relief_Windows_3B!$F$383:$F$100,"&lt;="&amp;C383,CBIC_Late_Fee_Relief_Windows_3B!$G$383:$G$100,"&gt;="&amp;C383)</f>
        <v/>
      </c>
      <c r="H383">
        <f>INDEX(CBIC_Late_Fee_Relief_Windows_3B!$I$383:$I$100,MATCH(G383,CBIC_Late_Fee_Relief_Windows_3B!$O$383:$O$100,0))</f>
        <v/>
      </c>
      <c r="I383">
        <f>MIN(F383,H383)</f>
        <v/>
      </c>
    </row>
    <row r="384">
      <c r="A384">
        <f>TEST_DATA!A384</f>
        <v/>
      </c>
      <c r="B384">
        <f>TEST_DATA!B384</f>
        <v/>
      </c>
      <c r="C384">
        <f>TEST_DATA!C384</f>
        <v/>
      </c>
      <c r="D384">
        <f>TEST_DATA!D384</f>
        <v/>
      </c>
      <c r="E384">
        <f>TEST_DATA!E384</f>
        <v/>
      </c>
      <c r="F384">
        <f>MIN(E384*38400,10000)</f>
        <v/>
      </c>
      <c r="G384">
        <f>MINIFS(CBIC_Late_Fee_Relief_Windows_3B!$O$384:$O$100,CBIC_Late_Fee_Relief_Windows_3B!$D$384:$D$100,"&lt;="&amp;B384,CBIC_Late_Fee_Relief_Windows_3B!$E$384:$E$100,"&gt;="&amp;B384,CBIC_Late_Fee_Relief_Windows_3B!$F$384:$F$100,"&lt;="&amp;C384,CBIC_Late_Fee_Relief_Windows_3B!$G$384:$G$100,"&gt;="&amp;C384)</f>
        <v/>
      </c>
      <c r="H384">
        <f>INDEX(CBIC_Late_Fee_Relief_Windows_3B!$I$384:$I$100,MATCH(G384,CBIC_Late_Fee_Relief_Windows_3B!$O$384:$O$100,0))</f>
        <v/>
      </c>
      <c r="I384">
        <f>MIN(F384,H384)</f>
        <v/>
      </c>
    </row>
    <row r="385">
      <c r="A385">
        <f>TEST_DATA!A385</f>
        <v/>
      </c>
      <c r="B385">
        <f>TEST_DATA!B385</f>
        <v/>
      </c>
      <c r="C385">
        <f>TEST_DATA!C385</f>
        <v/>
      </c>
      <c r="D385">
        <f>TEST_DATA!D385</f>
        <v/>
      </c>
      <c r="E385">
        <f>TEST_DATA!E385</f>
        <v/>
      </c>
      <c r="F385">
        <f>MIN(E385*38500,10000)</f>
        <v/>
      </c>
      <c r="G385">
        <f>MINIFS(CBIC_Late_Fee_Relief_Windows_3B!$O$385:$O$100,CBIC_Late_Fee_Relief_Windows_3B!$D$385:$D$100,"&lt;="&amp;B385,CBIC_Late_Fee_Relief_Windows_3B!$E$385:$E$100,"&gt;="&amp;B385,CBIC_Late_Fee_Relief_Windows_3B!$F$385:$F$100,"&lt;="&amp;C385,CBIC_Late_Fee_Relief_Windows_3B!$G$385:$G$100,"&gt;="&amp;C385)</f>
        <v/>
      </c>
      <c r="H385">
        <f>INDEX(CBIC_Late_Fee_Relief_Windows_3B!$I$385:$I$100,MATCH(G385,CBIC_Late_Fee_Relief_Windows_3B!$O$385:$O$100,0))</f>
        <v/>
      </c>
      <c r="I385">
        <f>MIN(F385,H385)</f>
        <v/>
      </c>
    </row>
    <row r="386">
      <c r="A386">
        <f>TEST_DATA!A386</f>
        <v/>
      </c>
      <c r="B386">
        <f>TEST_DATA!B386</f>
        <v/>
      </c>
      <c r="C386">
        <f>TEST_DATA!C386</f>
        <v/>
      </c>
      <c r="D386">
        <f>TEST_DATA!D386</f>
        <v/>
      </c>
      <c r="E386">
        <f>TEST_DATA!E386</f>
        <v/>
      </c>
      <c r="F386">
        <f>MIN(E386*38600,10000)</f>
        <v/>
      </c>
      <c r="G386">
        <f>MINIFS(CBIC_Late_Fee_Relief_Windows_3B!$O$386:$O$100,CBIC_Late_Fee_Relief_Windows_3B!$D$386:$D$100,"&lt;="&amp;B386,CBIC_Late_Fee_Relief_Windows_3B!$E$386:$E$100,"&gt;="&amp;B386,CBIC_Late_Fee_Relief_Windows_3B!$F$386:$F$100,"&lt;="&amp;C386,CBIC_Late_Fee_Relief_Windows_3B!$G$386:$G$100,"&gt;="&amp;C386)</f>
        <v/>
      </c>
      <c r="H386">
        <f>INDEX(CBIC_Late_Fee_Relief_Windows_3B!$I$386:$I$100,MATCH(G386,CBIC_Late_Fee_Relief_Windows_3B!$O$386:$O$100,0))</f>
        <v/>
      </c>
      <c r="I386">
        <f>MIN(F386,H386)</f>
        <v/>
      </c>
    </row>
    <row r="387">
      <c r="A387">
        <f>TEST_DATA!A387</f>
        <v/>
      </c>
      <c r="B387">
        <f>TEST_DATA!B387</f>
        <v/>
      </c>
      <c r="C387">
        <f>TEST_DATA!C387</f>
        <v/>
      </c>
      <c r="D387">
        <f>TEST_DATA!D387</f>
        <v/>
      </c>
      <c r="E387">
        <f>TEST_DATA!E387</f>
        <v/>
      </c>
      <c r="F387">
        <f>MIN(E387*38700,10000)</f>
        <v/>
      </c>
      <c r="G387">
        <f>MINIFS(CBIC_Late_Fee_Relief_Windows_3B!$O$387:$O$100,CBIC_Late_Fee_Relief_Windows_3B!$D$387:$D$100,"&lt;="&amp;B387,CBIC_Late_Fee_Relief_Windows_3B!$E$387:$E$100,"&gt;="&amp;B387,CBIC_Late_Fee_Relief_Windows_3B!$F$387:$F$100,"&lt;="&amp;C387,CBIC_Late_Fee_Relief_Windows_3B!$G$387:$G$100,"&gt;="&amp;C387)</f>
        <v/>
      </c>
      <c r="H387">
        <f>INDEX(CBIC_Late_Fee_Relief_Windows_3B!$I$387:$I$100,MATCH(G387,CBIC_Late_Fee_Relief_Windows_3B!$O$387:$O$100,0))</f>
        <v/>
      </c>
      <c r="I387">
        <f>MIN(F387,H387)</f>
        <v/>
      </c>
    </row>
    <row r="388">
      <c r="A388">
        <f>TEST_DATA!A388</f>
        <v/>
      </c>
      <c r="B388">
        <f>TEST_DATA!B388</f>
        <v/>
      </c>
      <c r="C388">
        <f>TEST_DATA!C388</f>
        <v/>
      </c>
      <c r="D388">
        <f>TEST_DATA!D388</f>
        <v/>
      </c>
      <c r="E388">
        <f>TEST_DATA!E388</f>
        <v/>
      </c>
      <c r="F388">
        <f>MIN(E388*38800,10000)</f>
        <v/>
      </c>
      <c r="G388">
        <f>MINIFS(CBIC_Late_Fee_Relief_Windows_3B!$O$388:$O$100,CBIC_Late_Fee_Relief_Windows_3B!$D$388:$D$100,"&lt;="&amp;B388,CBIC_Late_Fee_Relief_Windows_3B!$E$388:$E$100,"&gt;="&amp;B388,CBIC_Late_Fee_Relief_Windows_3B!$F$388:$F$100,"&lt;="&amp;C388,CBIC_Late_Fee_Relief_Windows_3B!$G$388:$G$100,"&gt;="&amp;C388)</f>
        <v/>
      </c>
      <c r="H388">
        <f>INDEX(CBIC_Late_Fee_Relief_Windows_3B!$I$388:$I$100,MATCH(G388,CBIC_Late_Fee_Relief_Windows_3B!$O$388:$O$100,0))</f>
        <v/>
      </c>
      <c r="I388">
        <f>MIN(F388,H388)</f>
        <v/>
      </c>
    </row>
    <row r="389">
      <c r="A389">
        <f>TEST_DATA!A389</f>
        <v/>
      </c>
      <c r="B389">
        <f>TEST_DATA!B389</f>
        <v/>
      </c>
      <c r="C389">
        <f>TEST_DATA!C389</f>
        <v/>
      </c>
      <c r="D389">
        <f>TEST_DATA!D389</f>
        <v/>
      </c>
      <c r="E389">
        <f>TEST_DATA!E389</f>
        <v/>
      </c>
      <c r="F389">
        <f>MIN(E389*38900,10000)</f>
        <v/>
      </c>
      <c r="G389">
        <f>MINIFS(CBIC_Late_Fee_Relief_Windows_3B!$O$389:$O$100,CBIC_Late_Fee_Relief_Windows_3B!$D$389:$D$100,"&lt;="&amp;B389,CBIC_Late_Fee_Relief_Windows_3B!$E$389:$E$100,"&gt;="&amp;B389,CBIC_Late_Fee_Relief_Windows_3B!$F$389:$F$100,"&lt;="&amp;C389,CBIC_Late_Fee_Relief_Windows_3B!$G$389:$G$100,"&gt;="&amp;C389)</f>
        <v/>
      </c>
      <c r="H389">
        <f>INDEX(CBIC_Late_Fee_Relief_Windows_3B!$I$389:$I$100,MATCH(G389,CBIC_Late_Fee_Relief_Windows_3B!$O$389:$O$100,0))</f>
        <v/>
      </c>
      <c r="I389">
        <f>MIN(F389,H389)</f>
        <v/>
      </c>
    </row>
    <row r="390">
      <c r="A390">
        <f>TEST_DATA!A390</f>
        <v/>
      </c>
      <c r="B390">
        <f>TEST_DATA!B390</f>
        <v/>
      </c>
      <c r="C390">
        <f>TEST_DATA!C390</f>
        <v/>
      </c>
      <c r="D390">
        <f>TEST_DATA!D390</f>
        <v/>
      </c>
      <c r="E390">
        <f>TEST_DATA!E390</f>
        <v/>
      </c>
      <c r="F390">
        <f>MIN(E390*39000,10000)</f>
        <v/>
      </c>
      <c r="G390">
        <f>MINIFS(CBIC_Late_Fee_Relief_Windows_3B!$O$390:$O$100,CBIC_Late_Fee_Relief_Windows_3B!$D$390:$D$100,"&lt;="&amp;B390,CBIC_Late_Fee_Relief_Windows_3B!$E$390:$E$100,"&gt;="&amp;B390,CBIC_Late_Fee_Relief_Windows_3B!$F$390:$F$100,"&lt;="&amp;C390,CBIC_Late_Fee_Relief_Windows_3B!$G$390:$G$100,"&gt;="&amp;C390)</f>
        <v/>
      </c>
      <c r="H390">
        <f>INDEX(CBIC_Late_Fee_Relief_Windows_3B!$I$390:$I$100,MATCH(G390,CBIC_Late_Fee_Relief_Windows_3B!$O$390:$O$100,0))</f>
        <v/>
      </c>
      <c r="I390">
        <f>MIN(F390,H390)</f>
        <v/>
      </c>
    </row>
    <row r="391">
      <c r="A391">
        <f>TEST_DATA!A391</f>
        <v/>
      </c>
      <c r="B391">
        <f>TEST_DATA!B391</f>
        <v/>
      </c>
      <c r="C391">
        <f>TEST_DATA!C391</f>
        <v/>
      </c>
      <c r="D391">
        <f>TEST_DATA!D391</f>
        <v/>
      </c>
      <c r="E391">
        <f>TEST_DATA!E391</f>
        <v/>
      </c>
      <c r="F391">
        <f>MIN(E391*39100,10000)</f>
        <v/>
      </c>
      <c r="G391">
        <f>MINIFS(CBIC_Late_Fee_Relief_Windows_3B!$O$391:$O$100,CBIC_Late_Fee_Relief_Windows_3B!$D$391:$D$100,"&lt;="&amp;B391,CBIC_Late_Fee_Relief_Windows_3B!$E$391:$E$100,"&gt;="&amp;B391,CBIC_Late_Fee_Relief_Windows_3B!$F$391:$F$100,"&lt;="&amp;C391,CBIC_Late_Fee_Relief_Windows_3B!$G$391:$G$100,"&gt;="&amp;C391)</f>
        <v/>
      </c>
      <c r="H391">
        <f>INDEX(CBIC_Late_Fee_Relief_Windows_3B!$I$391:$I$100,MATCH(G391,CBIC_Late_Fee_Relief_Windows_3B!$O$391:$O$100,0))</f>
        <v/>
      </c>
      <c r="I391">
        <f>MIN(F391,H391)</f>
        <v/>
      </c>
    </row>
    <row r="392">
      <c r="A392">
        <f>TEST_DATA!A392</f>
        <v/>
      </c>
      <c r="B392">
        <f>TEST_DATA!B392</f>
        <v/>
      </c>
      <c r="C392">
        <f>TEST_DATA!C392</f>
        <v/>
      </c>
      <c r="D392">
        <f>TEST_DATA!D392</f>
        <v/>
      </c>
      <c r="E392">
        <f>TEST_DATA!E392</f>
        <v/>
      </c>
      <c r="F392">
        <f>MIN(E392*39200,10000)</f>
        <v/>
      </c>
      <c r="G392">
        <f>MINIFS(CBIC_Late_Fee_Relief_Windows_3B!$O$392:$O$100,CBIC_Late_Fee_Relief_Windows_3B!$D$392:$D$100,"&lt;="&amp;B392,CBIC_Late_Fee_Relief_Windows_3B!$E$392:$E$100,"&gt;="&amp;B392,CBIC_Late_Fee_Relief_Windows_3B!$F$392:$F$100,"&lt;="&amp;C392,CBIC_Late_Fee_Relief_Windows_3B!$G$392:$G$100,"&gt;="&amp;C392)</f>
        <v/>
      </c>
      <c r="H392">
        <f>INDEX(CBIC_Late_Fee_Relief_Windows_3B!$I$392:$I$100,MATCH(G392,CBIC_Late_Fee_Relief_Windows_3B!$O$392:$O$100,0))</f>
        <v/>
      </c>
      <c r="I392">
        <f>MIN(F392,H392)</f>
        <v/>
      </c>
    </row>
    <row r="393">
      <c r="A393">
        <f>TEST_DATA!A393</f>
        <v/>
      </c>
      <c r="B393">
        <f>TEST_DATA!B393</f>
        <v/>
      </c>
      <c r="C393">
        <f>TEST_DATA!C393</f>
        <v/>
      </c>
      <c r="D393">
        <f>TEST_DATA!D393</f>
        <v/>
      </c>
      <c r="E393">
        <f>TEST_DATA!E393</f>
        <v/>
      </c>
      <c r="F393">
        <f>MIN(E393*39300,10000)</f>
        <v/>
      </c>
      <c r="G393">
        <f>MINIFS(CBIC_Late_Fee_Relief_Windows_3B!$O$393:$O$100,CBIC_Late_Fee_Relief_Windows_3B!$D$393:$D$100,"&lt;="&amp;B393,CBIC_Late_Fee_Relief_Windows_3B!$E$393:$E$100,"&gt;="&amp;B393,CBIC_Late_Fee_Relief_Windows_3B!$F$393:$F$100,"&lt;="&amp;C393,CBIC_Late_Fee_Relief_Windows_3B!$G$393:$G$100,"&gt;="&amp;C393)</f>
        <v/>
      </c>
      <c r="H393">
        <f>INDEX(CBIC_Late_Fee_Relief_Windows_3B!$I$393:$I$100,MATCH(G393,CBIC_Late_Fee_Relief_Windows_3B!$O$393:$O$100,0))</f>
        <v/>
      </c>
      <c r="I393">
        <f>MIN(F393,H393)</f>
        <v/>
      </c>
    </row>
    <row r="394">
      <c r="A394">
        <f>TEST_DATA!A394</f>
        <v/>
      </c>
      <c r="B394">
        <f>TEST_DATA!B394</f>
        <v/>
      </c>
      <c r="C394">
        <f>TEST_DATA!C394</f>
        <v/>
      </c>
      <c r="D394">
        <f>TEST_DATA!D394</f>
        <v/>
      </c>
      <c r="E394">
        <f>TEST_DATA!E394</f>
        <v/>
      </c>
      <c r="F394">
        <f>MIN(E394*39400,10000)</f>
        <v/>
      </c>
      <c r="G394">
        <f>MINIFS(CBIC_Late_Fee_Relief_Windows_3B!$O$394:$O$100,CBIC_Late_Fee_Relief_Windows_3B!$D$394:$D$100,"&lt;="&amp;B394,CBIC_Late_Fee_Relief_Windows_3B!$E$394:$E$100,"&gt;="&amp;B394,CBIC_Late_Fee_Relief_Windows_3B!$F$394:$F$100,"&lt;="&amp;C394,CBIC_Late_Fee_Relief_Windows_3B!$G$394:$G$100,"&gt;="&amp;C394)</f>
        <v/>
      </c>
      <c r="H394">
        <f>INDEX(CBIC_Late_Fee_Relief_Windows_3B!$I$394:$I$100,MATCH(G394,CBIC_Late_Fee_Relief_Windows_3B!$O$394:$O$100,0))</f>
        <v/>
      </c>
      <c r="I394">
        <f>MIN(F394,H394)</f>
        <v/>
      </c>
    </row>
    <row r="395">
      <c r="A395">
        <f>TEST_DATA!A395</f>
        <v/>
      </c>
      <c r="B395">
        <f>TEST_DATA!B395</f>
        <v/>
      </c>
      <c r="C395">
        <f>TEST_DATA!C395</f>
        <v/>
      </c>
      <c r="D395">
        <f>TEST_DATA!D395</f>
        <v/>
      </c>
      <c r="E395">
        <f>TEST_DATA!E395</f>
        <v/>
      </c>
      <c r="F395">
        <f>MIN(E395*39500,10000)</f>
        <v/>
      </c>
      <c r="G395">
        <f>MINIFS(CBIC_Late_Fee_Relief_Windows_3B!$O$395:$O$100,CBIC_Late_Fee_Relief_Windows_3B!$D$395:$D$100,"&lt;="&amp;B395,CBIC_Late_Fee_Relief_Windows_3B!$E$395:$E$100,"&gt;="&amp;B395,CBIC_Late_Fee_Relief_Windows_3B!$F$395:$F$100,"&lt;="&amp;C395,CBIC_Late_Fee_Relief_Windows_3B!$G$395:$G$100,"&gt;="&amp;C395)</f>
        <v/>
      </c>
      <c r="H395">
        <f>INDEX(CBIC_Late_Fee_Relief_Windows_3B!$I$395:$I$100,MATCH(G395,CBIC_Late_Fee_Relief_Windows_3B!$O$395:$O$100,0))</f>
        <v/>
      </c>
      <c r="I395">
        <f>MIN(F395,H395)</f>
        <v/>
      </c>
    </row>
    <row r="396">
      <c r="A396">
        <f>TEST_DATA!A396</f>
        <v/>
      </c>
      <c r="B396">
        <f>TEST_DATA!B396</f>
        <v/>
      </c>
      <c r="C396">
        <f>TEST_DATA!C396</f>
        <v/>
      </c>
      <c r="D396">
        <f>TEST_DATA!D396</f>
        <v/>
      </c>
      <c r="E396">
        <f>TEST_DATA!E396</f>
        <v/>
      </c>
      <c r="F396">
        <f>MIN(E396*39600,10000)</f>
        <v/>
      </c>
      <c r="G396">
        <f>MINIFS(CBIC_Late_Fee_Relief_Windows_3B!$O$396:$O$100,CBIC_Late_Fee_Relief_Windows_3B!$D$396:$D$100,"&lt;="&amp;B396,CBIC_Late_Fee_Relief_Windows_3B!$E$396:$E$100,"&gt;="&amp;B396,CBIC_Late_Fee_Relief_Windows_3B!$F$396:$F$100,"&lt;="&amp;C396,CBIC_Late_Fee_Relief_Windows_3B!$G$396:$G$100,"&gt;="&amp;C396)</f>
        <v/>
      </c>
      <c r="H396">
        <f>INDEX(CBIC_Late_Fee_Relief_Windows_3B!$I$396:$I$100,MATCH(G396,CBIC_Late_Fee_Relief_Windows_3B!$O$396:$O$100,0))</f>
        <v/>
      </c>
      <c r="I396">
        <f>MIN(F396,H396)</f>
        <v/>
      </c>
    </row>
    <row r="397">
      <c r="A397">
        <f>TEST_DATA!A397</f>
        <v/>
      </c>
      <c r="B397">
        <f>TEST_DATA!B397</f>
        <v/>
      </c>
      <c r="C397">
        <f>TEST_DATA!C397</f>
        <v/>
      </c>
      <c r="D397">
        <f>TEST_DATA!D397</f>
        <v/>
      </c>
      <c r="E397">
        <f>TEST_DATA!E397</f>
        <v/>
      </c>
      <c r="F397">
        <f>MIN(E397*39700,10000)</f>
        <v/>
      </c>
      <c r="G397">
        <f>MINIFS(CBIC_Late_Fee_Relief_Windows_3B!$O$397:$O$100,CBIC_Late_Fee_Relief_Windows_3B!$D$397:$D$100,"&lt;="&amp;B397,CBIC_Late_Fee_Relief_Windows_3B!$E$397:$E$100,"&gt;="&amp;B397,CBIC_Late_Fee_Relief_Windows_3B!$F$397:$F$100,"&lt;="&amp;C397,CBIC_Late_Fee_Relief_Windows_3B!$G$397:$G$100,"&gt;="&amp;C397)</f>
        <v/>
      </c>
      <c r="H397">
        <f>INDEX(CBIC_Late_Fee_Relief_Windows_3B!$I$397:$I$100,MATCH(G397,CBIC_Late_Fee_Relief_Windows_3B!$O$397:$O$100,0))</f>
        <v/>
      </c>
      <c r="I397">
        <f>MIN(F397,H397)</f>
        <v/>
      </c>
    </row>
    <row r="398">
      <c r="A398">
        <f>TEST_DATA!A398</f>
        <v/>
      </c>
      <c r="B398">
        <f>TEST_DATA!B398</f>
        <v/>
      </c>
      <c r="C398">
        <f>TEST_DATA!C398</f>
        <v/>
      </c>
      <c r="D398">
        <f>TEST_DATA!D398</f>
        <v/>
      </c>
      <c r="E398">
        <f>TEST_DATA!E398</f>
        <v/>
      </c>
      <c r="F398">
        <f>MIN(E398*39800,10000)</f>
        <v/>
      </c>
      <c r="G398">
        <f>MINIFS(CBIC_Late_Fee_Relief_Windows_3B!$O$398:$O$100,CBIC_Late_Fee_Relief_Windows_3B!$D$398:$D$100,"&lt;="&amp;B398,CBIC_Late_Fee_Relief_Windows_3B!$E$398:$E$100,"&gt;="&amp;B398,CBIC_Late_Fee_Relief_Windows_3B!$F$398:$F$100,"&lt;="&amp;C398,CBIC_Late_Fee_Relief_Windows_3B!$G$398:$G$100,"&gt;="&amp;C398)</f>
        <v/>
      </c>
      <c r="H398">
        <f>INDEX(CBIC_Late_Fee_Relief_Windows_3B!$I$398:$I$100,MATCH(G398,CBIC_Late_Fee_Relief_Windows_3B!$O$398:$O$100,0))</f>
        <v/>
      </c>
      <c r="I398">
        <f>MIN(F398,H398)</f>
        <v/>
      </c>
    </row>
    <row r="399">
      <c r="A399">
        <f>TEST_DATA!A399</f>
        <v/>
      </c>
      <c r="B399">
        <f>TEST_DATA!B399</f>
        <v/>
      </c>
      <c r="C399">
        <f>TEST_DATA!C399</f>
        <v/>
      </c>
      <c r="D399">
        <f>TEST_DATA!D399</f>
        <v/>
      </c>
      <c r="E399">
        <f>TEST_DATA!E399</f>
        <v/>
      </c>
      <c r="F399">
        <f>MIN(E399*39900,10000)</f>
        <v/>
      </c>
      <c r="G399">
        <f>MINIFS(CBIC_Late_Fee_Relief_Windows_3B!$O$399:$O$100,CBIC_Late_Fee_Relief_Windows_3B!$D$399:$D$100,"&lt;="&amp;B399,CBIC_Late_Fee_Relief_Windows_3B!$E$399:$E$100,"&gt;="&amp;B399,CBIC_Late_Fee_Relief_Windows_3B!$F$399:$F$100,"&lt;="&amp;C399,CBIC_Late_Fee_Relief_Windows_3B!$G$399:$G$100,"&gt;="&amp;C399)</f>
        <v/>
      </c>
      <c r="H399">
        <f>INDEX(CBIC_Late_Fee_Relief_Windows_3B!$I$399:$I$100,MATCH(G399,CBIC_Late_Fee_Relief_Windows_3B!$O$399:$O$100,0))</f>
        <v/>
      </c>
      <c r="I399">
        <f>MIN(F399,H399)</f>
        <v/>
      </c>
    </row>
    <row r="400">
      <c r="A400">
        <f>TEST_DATA!A400</f>
        <v/>
      </c>
      <c r="B400">
        <f>TEST_DATA!B400</f>
        <v/>
      </c>
      <c r="C400">
        <f>TEST_DATA!C400</f>
        <v/>
      </c>
      <c r="D400">
        <f>TEST_DATA!D400</f>
        <v/>
      </c>
      <c r="E400">
        <f>TEST_DATA!E400</f>
        <v/>
      </c>
      <c r="F400">
        <f>MIN(E400*40000,10000)</f>
        <v/>
      </c>
      <c r="G400">
        <f>MINIFS(CBIC_Late_Fee_Relief_Windows_3B!$O$400:$O$100,CBIC_Late_Fee_Relief_Windows_3B!$D$400:$D$100,"&lt;="&amp;B400,CBIC_Late_Fee_Relief_Windows_3B!$E$400:$E$100,"&gt;="&amp;B400,CBIC_Late_Fee_Relief_Windows_3B!$F$400:$F$100,"&lt;="&amp;C400,CBIC_Late_Fee_Relief_Windows_3B!$G$400:$G$100,"&gt;="&amp;C400)</f>
        <v/>
      </c>
      <c r="H400">
        <f>INDEX(CBIC_Late_Fee_Relief_Windows_3B!$I$400:$I$100,MATCH(G400,CBIC_Late_Fee_Relief_Windows_3B!$O$400:$O$100,0))</f>
        <v/>
      </c>
      <c r="I400">
        <f>MIN(F400,H400)</f>
        <v/>
      </c>
    </row>
    <row r="401">
      <c r="A401">
        <f>TEST_DATA!A401</f>
        <v/>
      </c>
      <c r="B401">
        <f>TEST_DATA!B401</f>
        <v/>
      </c>
      <c r="C401">
        <f>TEST_DATA!C401</f>
        <v/>
      </c>
      <c r="D401">
        <f>TEST_DATA!D401</f>
        <v/>
      </c>
      <c r="E401">
        <f>TEST_DATA!E401</f>
        <v/>
      </c>
      <c r="F401">
        <f>MIN(E401*40100,10000)</f>
        <v/>
      </c>
      <c r="G401">
        <f>MINIFS(CBIC_Late_Fee_Relief_Windows_3B!$O$401:$O$100,CBIC_Late_Fee_Relief_Windows_3B!$D$401:$D$100,"&lt;="&amp;B401,CBIC_Late_Fee_Relief_Windows_3B!$E$401:$E$100,"&gt;="&amp;B401,CBIC_Late_Fee_Relief_Windows_3B!$F$401:$F$100,"&lt;="&amp;C401,CBIC_Late_Fee_Relief_Windows_3B!$G$401:$G$100,"&gt;="&amp;C401)</f>
        <v/>
      </c>
      <c r="H401">
        <f>INDEX(CBIC_Late_Fee_Relief_Windows_3B!$I$401:$I$100,MATCH(G401,CBIC_Late_Fee_Relief_Windows_3B!$O$401:$O$100,0))</f>
        <v/>
      </c>
      <c r="I401">
        <f>MIN(F401,H401)</f>
        <v/>
      </c>
    </row>
    <row r="402">
      <c r="A402">
        <f>TEST_DATA!A402</f>
        <v/>
      </c>
      <c r="B402">
        <f>TEST_DATA!B402</f>
        <v/>
      </c>
      <c r="C402">
        <f>TEST_DATA!C402</f>
        <v/>
      </c>
      <c r="D402">
        <f>TEST_DATA!D402</f>
        <v/>
      </c>
      <c r="E402">
        <f>TEST_DATA!E402</f>
        <v/>
      </c>
      <c r="F402">
        <f>MIN(E402*40200,10000)</f>
        <v/>
      </c>
      <c r="G402">
        <f>MINIFS(CBIC_Late_Fee_Relief_Windows_3B!$O$402:$O$100,CBIC_Late_Fee_Relief_Windows_3B!$D$402:$D$100,"&lt;="&amp;B402,CBIC_Late_Fee_Relief_Windows_3B!$E$402:$E$100,"&gt;="&amp;B402,CBIC_Late_Fee_Relief_Windows_3B!$F$402:$F$100,"&lt;="&amp;C402,CBIC_Late_Fee_Relief_Windows_3B!$G$402:$G$100,"&gt;="&amp;C402)</f>
        <v/>
      </c>
      <c r="H402">
        <f>INDEX(CBIC_Late_Fee_Relief_Windows_3B!$I$402:$I$100,MATCH(G402,CBIC_Late_Fee_Relief_Windows_3B!$O$402:$O$100,0))</f>
        <v/>
      </c>
      <c r="I402">
        <f>MIN(F402,H402)</f>
        <v/>
      </c>
    </row>
    <row r="403">
      <c r="A403">
        <f>TEST_DATA!A403</f>
        <v/>
      </c>
      <c r="B403">
        <f>TEST_DATA!B403</f>
        <v/>
      </c>
      <c r="C403">
        <f>TEST_DATA!C403</f>
        <v/>
      </c>
      <c r="D403">
        <f>TEST_DATA!D403</f>
        <v/>
      </c>
      <c r="E403">
        <f>TEST_DATA!E403</f>
        <v/>
      </c>
      <c r="F403">
        <f>MIN(E403*40300,10000)</f>
        <v/>
      </c>
      <c r="G403">
        <f>MINIFS(CBIC_Late_Fee_Relief_Windows_3B!$O$403:$O$100,CBIC_Late_Fee_Relief_Windows_3B!$D$403:$D$100,"&lt;="&amp;B403,CBIC_Late_Fee_Relief_Windows_3B!$E$403:$E$100,"&gt;="&amp;B403,CBIC_Late_Fee_Relief_Windows_3B!$F$403:$F$100,"&lt;="&amp;C403,CBIC_Late_Fee_Relief_Windows_3B!$G$403:$G$100,"&gt;="&amp;C403)</f>
        <v/>
      </c>
      <c r="H403">
        <f>INDEX(CBIC_Late_Fee_Relief_Windows_3B!$I$403:$I$100,MATCH(G403,CBIC_Late_Fee_Relief_Windows_3B!$O$403:$O$100,0))</f>
        <v/>
      </c>
      <c r="I403">
        <f>MIN(F403,H403)</f>
        <v/>
      </c>
    </row>
    <row r="404">
      <c r="A404">
        <f>TEST_DATA!A404</f>
        <v/>
      </c>
      <c r="B404">
        <f>TEST_DATA!B404</f>
        <v/>
      </c>
      <c r="C404">
        <f>TEST_DATA!C404</f>
        <v/>
      </c>
      <c r="D404">
        <f>TEST_DATA!D404</f>
        <v/>
      </c>
      <c r="E404">
        <f>TEST_DATA!E404</f>
        <v/>
      </c>
      <c r="F404">
        <f>MIN(E404*40400,10000)</f>
        <v/>
      </c>
      <c r="G404">
        <f>MINIFS(CBIC_Late_Fee_Relief_Windows_3B!$O$404:$O$100,CBIC_Late_Fee_Relief_Windows_3B!$D$404:$D$100,"&lt;="&amp;B404,CBIC_Late_Fee_Relief_Windows_3B!$E$404:$E$100,"&gt;="&amp;B404,CBIC_Late_Fee_Relief_Windows_3B!$F$404:$F$100,"&lt;="&amp;C404,CBIC_Late_Fee_Relief_Windows_3B!$G$404:$G$100,"&gt;="&amp;C404)</f>
        <v/>
      </c>
      <c r="H404">
        <f>INDEX(CBIC_Late_Fee_Relief_Windows_3B!$I$404:$I$100,MATCH(G404,CBIC_Late_Fee_Relief_Windows_3B!$O$404:$O$100,0))</f>
        <v/>
      </c>
      <c r="I404">
        <f>MIN(F404,H404)</f>
        <v/>
      </c>
    </row>
    <row r="405">
      <c r="A405">
        <f>TEST_DATA!A405</f>
        <v/>
      </c>
      <c r="B405">
        <f>TEST_DATA!B405</f>
        <v/>
      </c>
      <c r="C405">
        <f>TEST_DATA!C405</f>
        <v/>
      </c>
      <c r="D405">
        <f>TEST_DATA!D405</f>
        <v/>
      </c>
      <c r="E405">
        <f>TEST_DATA!E405</f>
        <v/>
      </c>
      <c r="F405">
        <f>MIN(E405*40500,10000)</f>
        <v/>
      </c>
      <c r="G405">
        <f>MINIFS(CBIC_Late_Fee_Relief_Windows_3B!$O$405:$O$100,CBIC_Late_Fee_Relief_Windows_3B!$D$405:$D$100,"&lt;="&amp;B405,CBIC_Late_Fee_Relief_Windows_3B!$E$405:$E$100,"&gt;="&amp;B405,CBIC_Late_Fee_Relief_Windows_3B!$F$405:$F$100,"&lt;="&amp;C405,CBIC_Late_Fee_Relief_Windows_3B!$G$405:$G$100,"&gt;="&amp;C405)</f>
        <v/>
      </c>
      <c r="H405">
        <f>INDEX(CBIC_Late_Fee_Relief_Windows_3B!$I$405:$I$100,MATCH(G405,CBIC_Late_Fee_Relief_Windows_3B!$O$405:$O$100,0))</f>
        <v/>
      </c>
      <c r="I405">
        <f>MIN(F405,H405)</f>
        <v/>
      </c>
    </row>
    <row r="406">
      <c r="A406">
        <f>TEST_DATA!A406</f>
        <v/>
      </c>
      <c r="B406">
        <f>TEST_DATA!B406</f>
        <v/>
      </c>
      <c r="C406">
        <f>TEST_DATA!C406</f>
        <v/>
      </c>
      <c r="D406">
        <f>TEST_DATA!D406</f>
        <v/>
      </c>
      <c r="E406">
        <f>TEST_DATA!E406</f>
        <v/>
      </c>
      <c r="F406">
        <f>MIN(E406*40600,10000)</f>
        <v/>
      </c>
      <c r="G406">
        <f>MINIFS(CBIC_Late_Fee_Relief_Windows_3B!$O$406:$O$100,CBIC_Late_Fee_Relief_Windows_3B!$D$406:$D$100,"&lt;="&amp;B406,CBIC_Late_Fee_Relief_Windows_3B!$E$406:$E$100,"&gt;="&amp;B406,CBIC_Late_Fee_Relief_Windows_3B!$F$406:$F$100,"&lt;="&amp;C406,CBIC_Late_Fee_Relief_Windows_3B!$G$406:$G$100,"&gt;="&amp;C406)</f>
        <v/>
      </c>
      <c r="H406">
        <f>INDEX(CBIC_Late_Fee_Relief_Windows_3B!$I$406:$I$100,MATCH(G406,CBIC_Late_Fee_Relief_Windows_3B!$O$406:$O$100,0))</f>
        <v/>
      </c>
      <c r="I406">
        <f>MIN(F406,H406)</f>
        <v/>
      </c>
    </row>
    <row r="407">
      <c r="A407">
        <f>TEST_DATA!A407</f>
        <v/>
      </c>
      <c r="B407">
        <f>TEST_DATA!B407</f>
        <v/>
      </c>
      <c r="C407">
        <f>TEST_DATA!C407</f>
        <v/>
      </c>
      <c r="D407">
        <f>TEST_DATA!D407</f>
        <v/>
      </c>
      <c r="E407">
        <f>TEST_DATA!E407</f>
        <v/>
      </c>
      <c r="F407">
        <f>MIN(E407*40700,10000)</f>
        <v/>
      </c>
      <c r="G407">
        <f>MINIFS(CBIC_Late_Fee_Relief_Windows_3B!$O$407:$O$100,CBIC_Late_Fee_Relief_Windows_3B!$D$407:$D$100,"&lt;="&amp;B407,CBIC_Late_Fee_Relief_Windows_3B!$E$407:$E$100,"&gt;="&amp;B407,CBIC_Late_Fee_Relief_Windows_3B!$F$407:$F$100,"&lt;="&amp;C407,CBIC_Late_Fee_Relief_Windows_3B!$G$407:$G$100,"&gt;="&amp;C407)</f>
        <v/>
      </c>
      <c r="H407">
        <f>INDEX(CBIC_Late_Fee_Relief_Windows_3B!$I$407:$I$100,MATCH(G407,CBIC_Late_Fee_Relief_Windows_3B!$O$407:$O$100,0))</f>
        <v/>
      </c>
      <c r="I407">
        <f>MIN(F407,H407)</f>
        <v/>
      </c>
    </row>
    <row r="408">
      <c r="A408">
        <f>TEST_DATA!A408</f>
        <v/>
      </c>
      <c r="B408">
        <f>TEST_DATA!B408</f>
        <v/>
      </c>
      <c r="C408">
        <f>TEST_DATA!C408</f>
        <v/>
      </c>
      <c r="D408">
        <f>TEST_DATA!D408</f>
        <v/>
      </c>
      <c r="E408">
        <f>TEST_DATA!E408</f>
        <v/>
      </c>
      <c r="F408">
        <f>MIN(E408*40800,10000)</f>
        <v/>
      </c>
      <c r="G408">
        <f>MINIFS(CBIC_Late_Fee_Relief_Windows_3B!$O$408:$O$100,CBIC_Late_Fee_Relief_Windows_3B!$D$408:$D$100,"&lt;="&amp;B408,CBIC_Late_Fee_Relief_Windows_3B!$E$408:$E$100,"&gt;="&amp;B408,CBIC_Late_Fee_Relief_Windows_3B!$F$408:$F$100,"&lt;="&amp;C408,CBIC_Late_Fee_Relief_Windows_3B!$G$408:$G$100,"&gt;="&amp;C408)</f>
        <v/>
      </c>
      <c r="H408">
        <f>INDEX(CBIC_Late_Fee_Relief_Windows_3B!$I$408:$I$100,MATCH(G408,CBIC_Late_Fee_Relief_Windows_3B!$O$408:$O$100,0))</f>
        <v/>
      </c>
      <c r="I408">
        <f>MIN(F408,H408)</f>
        <v/>
      </c>
    </row>
    <row r="409">
      <c r="A409">
        <f>TEST_DATA!A409</f>
        <v/>
      </c>
      <c r="B409">
        <f>TEST_DATA!B409</f>
        <v/>
      </c>
      <c r="C409">
        <f>TEST_DATA!C409</f>
        <v/>
      </c>
      <c r="D409">
        <f>TEST_DATA!D409</f>
        <v/>
      </c>
      <c r="E409">
        <f>TEST_DATA!E409</f>
        <v/>
      </c>
      <c r="F409">
        <f>MIN(E409*40900,10000)</f>
        <v/>
      </c>
      <c r="G409">
        <f>MINIFS(CBIC_Late_Fee_Relief_Windows_3B!$O$409:$O$100,CBIC_Late_Fee_Relief_Windows_3B!$D$409:$D$100,"&lt;="&amp;B409,CBIC_Late_Fee_Relief_Windows_3B!$E$409:$E$100,"&gt;="&amp;B409,CBIC_Late_Fee_Relief_Windows_3B!$F$409:$F$100,"&lt;="&amp;C409,CBIC_Late_Fee_Relief_Windows_3B!$G$409:$G$100,"&gt;="&amp;C409)</f>
        <v/>
      </c>
      <c r="H409">
        <f>INDEX(CBIC_Late_Fee_Relief_Windows_3B!$I$409:$I$100,MATCH(G409,CBIC_Late_Fee_Relief_Windows_3B!$O$409:$O$100,0))</f>
        <v/>
      </c>
      <c r="I409">
        <f>MIN(F409,H409)</f>
        <v/>
      </c>
    </row>
    <row r="410">
      <c r="A410">
        <f>TEST_DATA!A410</f>
        <v/>
      </c>
      <c r="B410">
        <f>TEST_DATA!B410</f>
        <v/>
      </c>
      <c r="C410">
        <f>TEST_DATA!C410</f>
        <v/>
      </c>
      <c r="D410">
        <f>TEST_DATA!D410</f>
        <v/>
      </c>
      <c r="E410">
        <f>TEST_DATA!E410</f>
        <v/>
      </c>
      <c r="F410">
        <f>MIN(E410*41000,10000)</f>
        <v/>
      </c>
      <c r="G410">
        <f>MINIFS(CBIC_Late_Fee_Relief_Windows_3B!$O$410:$O$100,CBIC_Late_Fee_Relief_Windows_3B!$D$410:$D$100,"&lt;="&amp;B410,CBIC_Late_Fee_Relief_Windows_3B!$E$410:$E$100,"&gt;="&amp;B410,CBIC_Late_Fee_Relief_Windows_3B!$F$410:$F$100,"&lt;="&amp;C410,CBIC_Late_Fee_Relief_Windows_3B!$G$410:$G$100,"&gt;="&amp;C410)</f>
        <v/>
      </c>
      <c r="H410">
        <f>INDEX(CBIC_Late_Fee_Relief_Windows_3B!$I$410:$I$100,MATCH(G410,CBIC_Late_Fee_Relief_Windows_3B!$O$410:$O$100,0))</f>
        <v/>
      </c>
      <c r="I410">
        <f>MIN(F410,H410)</f>
        <v/>
      </c>
    </row>
    <row r="411">
      <c r="A411">
        <f>TEST_DATA!A411</f>
        <v/>
      </c>
      <c r="B411">
        <f>TEST_DATA!B411</f>
        <v/>
      </c>
      <c r="C411">
        <f>TEST_DATA!C411</f>
        <v/>
      </c>
      <c r="D411">
        <f>TEST_DATA!D411</f>
        <v/>
      </c>
      <c r="E411">
        <f>TEST_DATA!E411</f>
        <v/>
      </c>
      <c r="F411">
        <f>MIN(E411*41100,10000)</f>
        <v/>
      </c>
      <c r="G411">
        <f>MINIFS(CBIC_Late_Fee_Relief_Windows_3B!$O$411:$O$100,CBIC_Late_Fee_Relief_Windows_3B!$D$411:$D$100,"&lt;="&amp;B411,CBIC_Late_Fee_Relief_Windows_3B!$E$411:$E$100,"&gt;="&amp;B411,CBIC_Late_Fee_Relief_Windows_3B!$F$411:$F$100,"&lt;="&amp;C411,CBIC_Late_Fee_Relief_Windows_3B!$G$411:$G$100,"&gt;="&amp;C411)</f>
        <v/>
      </c>
      <c r="H411">
        <f>INDEX(CBIC_Late_Fee_Relief_Windows_3B!$I$411:$I$100,MATCH(G411,CBIC_Late_Fee_Relief_Windows_3B!$O$411:$O$100,0))</f>
        <v/>
      </c>
      <c r="I411">
        <f>MIN(F411,H411)</f>
        <v/>
      </c>
    </row>
    <row r="412">
      <c r="A412">
        <f>TEST_DATA!A412</f>
        <v/>
      </c>
      <c r="B412">
        <f>TEST_DATA!B412</f>
        <v/>
      </c>
      <c r="C412">
        <f>TEST_DATA!C412</f>
        <v/>
      </c>
      <c r="D412">
        <f>TEST_DATA!D412</f>
        <v/>
      </c>
      <c r="E412">
        <f>TEST_DATA!E412</f>
        <v/>
      </c>
      <c r="F412">
        <f>MIN(E412*41200,10000)</f>
        <v/>
      </c>
      <c r="G412">
        <f>MINIFS(CBIC_Late_Fee_Relief_Windows_3B!$O$412:$O$100,CBIC_Late_Fee_Relief_Windows_3B!$D$412:$D$100,"&lt;="&amp;B412,CBIC_Late_Fee_Relief_Windows_3B!$E$412:$E$100,"&gt;="&amp;B412,CBIC_Late_Fee_Relief_Windows_3B!$F$412:$F$100,"&lt;="&amp;C412,CBIC_Late_Fee_Relief_Windows_3B!$G$412:$G$100,"&gt;="&amp;C412)</f>
        <v/>
      </c>
      <c r="H412">
        <f>INDEX(CBIC_Late_Fee_Relief_Windows_3B!$I$412:$I$100,MATCH(G412,CBIC_Late_Fee_Relief_Windows_3B!$O$412:$O$100,0))</f>
        <v/>
      </c>
      <c r="I412">
        <f>MIN(F412,H412)</f>
        <v/>
      </c>
    </row>
    <row r="413">
      <c r="A413">
        <f>TEST_DATA!A413</f>
        <v/>
      </c>
      <c r="B413">
        <f>TEST_DATA!B413</f>
        <v/>
      </c>
      <c r="C413">
        <f>TEST_DATA!C413</f>
        <v/>
      </c>
      <c r="D413">
        <f>TEST_DATA!D413</f>
        <v/>
      </c>
      <c r="E413">
        <f>TEST_DATA!E413</f>
        <v/>
      </c>
      <c r="F413">
        <f>MIN(E413*41300,10000)</f>
        <v/>
      </c>
      <c r="G413">
        <f>MINIFS(CBIC_Late_Fee_Relief_Windows_3B!$O$413:$O$100,CBIC_Late_Fee_Relief_Windows_3B!$D$413:$D$100,"&lt;="&amp;B413,CBIC_Late_Fee_Relief_Windows_3B!$E$413:$E$100,"&gt;="&amp;B413,CBIC_Late_Fee_Relief_Windows_3B!$F$413:$F$100,"&lt;="&amp;C413,CBIC_Late_Fee_Relief_Windows_3B!$G$413:$G$100,"&gt;="&amp;C413)</f>
        <v/>
      </c>
      <c r="H413">
        <f>INDEX(CBIC_Late_Fee_Relief_Windows_3B!$I$413:$I$100,MATCH(G413,CBIC_Late_Fee_Relief_Windows_3B!$O$413:$O$100,0))</f>
        <v/>
      </c>
      <c r="I413">
        <f>MIN(F413,H413)</f>
        <v/>
      </c>
    </row>
    <row r="414">
      <c r="A414">
        <f>TEST_DATA!A414</f>
        <v/>
      </c>
      <c r="B414">
        <f>TEST_DATA!B414</f>
        <v/>
      </c>
      <c r="C414">
        <f>TEST_DATA!C414</f>
        <v/>
      </c>
      <c r="D414">
        <f>TEST_DATA!D414</f>
        <v/>
      </c>
      <c r="E414">
        <f>TEST_DATA!E414</f>
        <v/>
      </c>
      <c r="F414">
        <f>MIN(E414*41400,10000)</f>
        <v/>
      </c>
      <c r="G414">
        <f>MINIFS(CBIC_Late_Fee_Relief_Windows_3B!$O$414:$O$100,CBIC_Late_Fee_Relief_Windows_3B!$D$414:$D$100,"&lt;="&amp;B414,CBIC_Late_Fee_Relief_Windows_3B!$E$414:$E$100,"&gt;="&amp;B414,CBIC_Late_Fee_Relief_Windows_3B!$F$414:$F$100,"&lt;="&amp;C414,CBIC_Late_Fee_Relief_Windows_3B!$G$414:$G$100,"&gt;="&amp;C414)</f>
        <v/>
      </c>
      <c r="H414">
        <f>INDEX(CBIC_Late_Fee_Relief_Windows_3B!$I$414:$I$100,MATCH(G414,CBIC_Late_Fee_Relief_Windows_3B!$O$414:$O$100,0))</f>
        <v/>
      </c>
      <c r="I414">
        <f>MIN(F414,H414)</f>
        <v/>
      </c>
    </row>
    <row r="415">
      <c r="A415">
        <f>TEST_DATA!A415</f>
        <v/>
      </c>
      <c r="B415">
        <f>TEST_DATA!B415</f>
        <v/>
      </c>
      <c r="C415">
        <f>TEST_DATA!C415</f>
        <v/>
      </c>
      <c r="D415">
        <f>TEST_DATA!D415</f>
        <v/>
      </c>
      <c r="E415">
        <f>TEST_DATA!E415</f>
        <v/>
      </c>
      <c r="F415">
        <f>MIN(E415*41500,10000)</f>
        <v/>
      </c>
      <c r="G415">
        <f>MINIFS(CBIC_Late_Fee_Relief_Windows_3B!$O$415:$O$100,CBIC_Late_Fee_Relief_Windows_3B!$D$415:$D$100,"&lt;="&amp;B415,CBIC_Late_Fee_Relief_Windows_3B!$E$415:$E$100,"&gt;="&amp;B415,CBIC_Late_Fee_Relief_Windows_3B!$F$415:$F$100,"&lt;="&amp;C415,CBIC_Late_Fee_Relief_Windows_3B!$G$415:$G$100,"&gt;="&amp;C415)</f>
        <v/>
      </c>
      <c r="H415">
        <f>INDEX(CBIC_Late_Fee_Relief_Windows_3B!$I$415:$I$100,MATCH(G415,CBIC_Late_Fee_Relief_Windows_3B!$O$415:$O$100,0))</f>
        <v/>
      </c>
      <c r="I415">
        <f>MIN(F415,H415)</f>
        <v/>
      </c>
    </row>
    <row r="416">
      <c r="A416">
        <f>TEST_DATA!A416</f>
        <v/>
      </c>
      <c r="B416">
        <f>TEST_DATA!B416</f>
        <v/>
      </c>
      <c r="C416">
        <f>TEST_DATA!C416</f>
        <v/>
      </c>
      <c r="D416">
        <f>TEST_DATA!D416</f>
        <v/>
      </c>
      <c r="E416">
        <f>TEST_DATA!E416</f>
        <v/>
      </c>
      <c r="F416">
        <f>MIN(E416*41600,10000)</f>
        <v/>
      </c>
      <c r="G416">
        <f>MINIFS(CBIC_Late_Fee_Relief_Windows_3B!$O$416:$O$100,CBIC_Late_Fee_Relief_Windows_3B!$D$416:$D$100,"&lt;="&amp;B416,CBIC_Late_Fee_Relief_Windows_3B!$E$416:$E$100,"&gt;="&amp;B416,CBIC_Late_Fee_Relief_Windows_3B!$F$416:$F$100,"&lt;="&amp;C416,CBIC_Late_Fee_Relief_Windows_3B!$G$416:$G$100,"&gt;="&amp;C416)</f>
        <v/>
      </c>
      <c r="H416">
        <f>INDEX(CBIC_Late_Fee_Relief_Windows_3B!$I$416:$I$100,MATCH(G416,CBIC_Late_Fee_Relief_Windows_3B!$O$416:$O$100,0))</f>
        <v/>
      </c>
      <c r="I416">
        <f>MIN(F416,H416)</f>
        <v/>
      </c>
    </row>
    <row r="417">
      <c r="A417">
        <f>TEST_DATA!A417</f>
        <v/>
      </c>
      <c r="B417">
        <f>TEST_DATA!B417</f>
        <v/>
      </c>
      <c r="C417">
        <f>TEST_DATA!C417</f>
        <v/>
      </c>
      <c r="D417">
        <f>TEST_DATA!D417</f>
        <v/>
      </c>
      <c r="E417">
        <f>TEST_DATA!E417</f>
        <v/>
      </c>
      <c r="F417">
        <f>MIN(E417*41700,10000)</f>
        <v/>
      </c>
      <c r="G417">
        <f>MINIFS(CBIC_Late_Fee_Relief_Windows_3B!$O$417:$O$100,CBIC_Late_Fee_Relief_Windows_3B!$D$417:$D$100,"&lt;="&amp;B417,CBIC_Late_Fee_Relief_Windows_3B!$E$417:$E$100,"&gt;="&amp;B417,CBIC_Late_Fee_Relief_Windows_3B!$F$417:$F$100,"&lt;="&amp;C417,CBIC_Late_Fee_Relief_Windows_3B!$G$417:$G$100,"&gt;="&amp;C417)</f>
        <v/>
      </c>
      <c r="H417">
        <f>INDEX(CBIC_Late_Fee_Relief_Windows_3B!$I$417:$I$100,MATCH(G417,CBIC_Late_Fee_Relief_Windows_3B!$O$417:$O$100,0))</f>
        <v/>
      </c>
      <c r="I417">
        <f>MIN(F417,H417)</f>
        <v/>
      </c>
    </row>
    <row r="418">
      <c r="A418">
        <f>TEST_DATA!A418</f>
        <v/>
      </c>
      <c r="B418">
        <f>TEST_DATA!B418</f>
        <v/>
      </c>
      <c r="C418">
        <f>TEST_DATA!C418</f>
        <v/>
      </c>
      <c r="D418">
        <f>TEST_DATA!D418</f>
        <v/>
      </c>
      <c r="E418">
        <f>TEST_DATA!E418</f>
        <v/>
      </c>
      <c r="F418">
        <f>MIN(E418*41800,10000)</f>
        <v/>
      </c>
      <c r="G418">
        <f>MINIFS(CBIC_Late_Fee_Relief_Windows_3B!$O$418:$O$100,CBIC_Late_Fee_Relief_Windows_3B!$D$418:$D$100,"&lt;="&amp;B418,CBIC_Late_Fee_Relief_Windows_3B!$E$418:$E$100,"&gt;="&amp;B418,CBIC_Late_Fee_Relief_Windows_3B!$F$418:$F$100,"&lt;="&amp;C418,CBIC_Late_Fee_Relief_Windows_3B!$G$418:$G$100,"&gt;="&amp;C418)</f>
        <v/>
      </c>
      <c r="H418">
        <f>INDEX(CBIC_Late_Fee_Relief_Windows_3B!$I$418:$I$100,MATCH(G418,CBIC_Late_Fee_Relief_Windows_3B!$O$418:$O$100,0))</f>
        <v/>
      </c>
      <c r="I418">
        <f>MIN(F418,H418)</f>
        <v/>
      </c>
    </row>
    <row r="419">
      <c r="A419">
        <f>TEST_DATA!A419</f>
        <v/>
      </c>
      <c r="B419">
        <f>TEST_DATA!B419</f>
        <v/>
      </c>
      <c r="C419">
        <f>TEST_DATA!C419</f>
        <v/>
      </c>
      <c r="D419">
        <f>TEST_DATA!D419</f>
        <v/>
      </c>
      <c r="E419">
        <f>TEST_DATA!E419</f>
        <v/>
      </c>
      <c r="F419">
        <f>MIN(E419*41900,10000)</f>
        <v/>
      </c>
      <c r="G419">
        <f>MINIFS(CBIC_Late_Fee_Relief_Windows_3B!$O$419:$O$100,CBIC_Late_Fee_Relief_Windows_3B!$D$419:$D$100,"&lt;="&amp;B419,CBIC_Late_Fee_Relief_Windows_3B!$E$419:$E$100,"&gt;="&amp;B419,CBIC_Late_Fee_Relief_Windows_3B!$F$419:$F$100,"&lt;="&amp;C419,CBIC_Late_Fee_Relief_Windows_3B!$G$419:$G$100,"&gt;="&amp;C419)</f>
        <v/>
      </c>
      <c r="H419">
        <f>INDEX(CBIC_Late_Fee_Relief_Windows_3B!$I$419:$I$100,MATCH(G419,CBIC_Late_Fee_Relief_Windows_3B!$O$419:$O$100,0))</f>
        <v/>
      </c>
      <c r="I419">
        <f>MIN(F419,H419)</f>
        <v/>
      </c>
    </row>
    <row r="420">
      <c r="A420">
        <f>TEST_DATA!A420</f>
        <v/>
      </c>
      <c r="B420">
        <f>TEST_DATA!B420</f>
        <v/>
      </c>
      <c r="C420">
        <f>TEST_DATA!C420</f>
        <v/>
      </c>
      <c r="D420">
        <f>TEST_DATA!D420</f>
        <v/>
      </c>
      <c r="E420">
        <f>TEST_DATA!E420</f>
        <v/>
      </c>
      <c r="F420">
        <f>MIN(E420*42000,10000)</f>
        <v/>
      </c>
      <c r="G420">
        <f>MINIFS(CBIC_Late_Fee_Relief_Windows_3B!$O$420:$O$100,CBIC_Late_Fee_Relief_Windows_3B!$D$420:$D$100,"&lt;="&amp;B420,CBIC_Late_Fee_Relief_Windows_3B!$E$420:$E$100,"&gt;="&amp;B420,CBIC_Late_Fee_Relief_Windows_3B!$F$420:$F$100,"&lt;="&amp;C420,CBIC_Late_Fee_Relief_Windows_3B!$G$420:$G$100,"&gt;="&amp;C420)</f>
        <v/>
      </c>
      <c r="H420">
        <f>INDEX(CBIC_Late_Fee_Relief_Windows_3B!$I$420:$I$100,MATCH(G420,CBIC_Late_Fee_Relief_Windows_3B!$O$420:$O$100,0))</f>
        <v/>
      </c>
      <c r="I420">
        <f>MIN(F420,H420)</f>
        <v/>
      </c>
    </row>
    <row r="421">
      <c r="A421">
        <f>TEST_DATA!A421</f>
        <v/>
      </c>
      <c r="B421">
        <f>TEST_DATA!B421</f>
        <v/>
      </c>
      <c r="C421">
        <f>TEST_DATA!C421</f>
        <v/>
      </c>
      <c r="D421">
        <f>TEST_DATA!D421</f>
        <v/>
      </c>
      <c r="E421">
        <f>TEST_DATA!E421</f>
        <v/>
      </c>
      <c r="F421">
        <f>MIN(E421*42100,10000)</f>
        <v/>
      </c>
      <c r="G421">
        <f>MINIFS(CBIC_Late_Fee_Relief_Windows_3B!$O$421:$O$100,CBIC_Late_Fee_Relief_Windows_3B!$D$421:$D$100,"&lt;="&amp;B421,CBIC_Late_Fee_Relief_Windows_3B!$E$421:$E$100,"&gt;="&amp;B421,CBIC_Late_Fee_Relief_Windows_3B!$F$421:$F$100,"&lt;="&amp;C421,CBIC_Late_Fee_Relief_Windows_3B!$G$421:$G$100,"&gt;="&amp;C421)</f>
        <v/>
      </c>
      <c r="H421">
        <f>INDEX(CBIC_Late_Fee_Relief_Windows_3B!$I$421:$I$100,MATCH(G421,CBIC_Late_Fee_Relief_Windows_3B!$O$421:$O$100,0))</f>
        <v/>
      </c>
      <c r="I421">
        <f>MIN(F421,H421)</f>
        <v/>
      </c>
    </row>
    <row r="422">
      <c r="A422">
        <f>TEST_DATA!A422</f>
        <v/>
      </c>
      <c r="B422">
        <f>TEST_DATA!B422</f>
        <v/>
      </c>
      <c r="C422">
        <f>TEST_DATA!C422</f>
        <v/>
      </c>
      <c r="D422">
        <f>TEST_DATA!D422</f>
        <v/>
      </c>
      <c r="E422">
        <f>TEST_DATA!E422</f>
        <v/>
      </c>
      <c r="F422">
        <f>MIN(E422*42200,10000)</f>
        <v/>
      </c>
      <c r="G422">
        <f>MINIFS(CBIC_Late_Fee_Relief_Windows_3B!$O$422:$O$100,CBIC_Late_Fee_Relief_Windows_3B!$D$422:$D$100,"&lt;="&amp;B422,CBIC_Late_Fee_Relief_Windows_3B!$E$422:$E$100,"&gt;="&amp;B422,CBIC_Late_Fee_Relief_Windows_3B!$F$422:$F$100,"&lt;="&amp;C422,CBIC_Late_Fee_Relief_Windows_3B!$G$422:$G$100,"&gt;="&amp;C422)</f>
        <v/>
      </c>
      <c r="H422">
        <f>INDEX(CBIC_Late_Fee_Relief_Windows_3B!$I$422:$I$100,MATCH(G422,CBIC_Late_Fee_Relief_Windows_3B!$O$422:$O$100,0))</f>
        <v/>
      </c>
      <c r="I422">
        <f>MIN(F422,H422)</f>
        <v/>
      </c>
    </row>
    <row r="423">
      <c r="A423">
        <f>TEST_DATA!A423</f>
        <v/>
      </c>
      <c r="B423">
        <f>TEST_DATA!B423</f>
        <v/>
      </c>
      <c r="C423">
        <f>TEST_DATA!C423</f>
        <v/>
      </c>
      <c r="D423">
        <f>TEST_DATA!D423</f>
        <v/>
      </c>
      <c r="E423">
        <f>TEST_DATA!E423</f>
        <v/>
      </c>
      <c r="F423">
        <f>MIN(E423*42300,10000)</f>
        <v/>
      </c>
      <c r="G423">
        <f>MINIFS(CBIC_Late_Fee_Relief_Windows_3B!$O$423:$O$100,CBIC_Late_Fee_Relief_Windows_3B!$D$423:$D$100,"&lt;="&amp;B423,CBIC_Late_Fee_Relief_Windows_3B!$E$423:$E$100,"&gt;="&amp;B423,CBIC_Late_Fee_Relief_Windows_3B!$F$423:$F$100,"&lt;="&amp;C423,CBIC_Late_Fee_Relief_Windows_3B!$G$423:$G$100,"&gt;="&amp;C423)</f>
        <v/>
      </c>
      <c r="H423">
        <f>INDEX(CBIC_Late_Fee_Relief_Windows_3B!$I$423:$I$100,MATCH(G423,CBIC_Late_Fee_Relief_Windows_3B!$O$423:$O$100,0))</f>
        <v/>
      </c>
      <c r="I423">
        <f>MIN(F423,H423)</f>
        <v/>
      </c>
    </row>
    <row r="424">
      <c r="A424">
        <f>TEST_DATA!A424</f>
        <v/>
      </c>
      <c r="B424">
        <f>TEST_DATA!B424</f>
        <v/>
      </c>
      <c r="C424">
        <f>TEST_DATA!C424</f>
        <v/>
      </c>
      <c r="D424">
        <f>TEST_DATA!D424</f>
        <v/>
      </c>
      <c r="E424">
        <f>TEST_DATA!E424</f>
        <v/>
      </c>
      <c r="F424">
        <f>MIN(E424*42400,10000)</f>
        <v/>
      </c>
      <c r="G424">
        <f>MINIFS(CBIC_Late_Fee_Relief_Windows_3B!$O$424:$O$100,CBIC_Late_Fee_Relief_Windows_3B!$D$424:$D$100,"&lt;="&amp;B424,CBIC_Late_Fee_Relief_Windows_3B!$E$424:$E$100,"&gt;="&amp;B424,CBIC_Late_Fee_Relief_Windows_3B!$F$424:$F$100,"&lt;="&amp;C424,CBIC_Late_Fee_Relief_Windows_3B!$G$424:$G$100,"&gt;="&amp;C424)</f>
        <v/>
      </c>
      <c r="H424">
        <f>INDEX(CBIC_Late_Fee_Relief_Windows_3B!$I$424:$I$100,MATCH(G424,CBIC_Late_Fee_Relief_Windows_3B!$O$424:$O$100,0))</f>
        <v/>
      </c>
      <c r="I424">
        <f>MIN(F424,H424)</f>
        <v/>
      </c>
    </row>
    <row r="425">
      <c r="A425">
        <f>TEST_DATA!A425</f>
        <v/>
      </c>
      <c r="B425">
        <f>TEST_DATA!B425</f>
        <v/>
      </c>
      <c r="C425">
        <f>TEST_DATA!C425</f>
        <v/>
      </c>
      <c r="D425">
        <f>TEST_DATA!D425</f>
        <v/>
      </c>
      <c r="E425">
        <f>TEST_DATA!E425</f>
        <v/>
      </c>
      <c r="F425">
        <f>MIN(E425*42500,10000)</f>
        <v/>
      </c>
      <c r="G425">
        <f>MINIFS(CBIC_Late_Fee_Relief_Windows_3B!$O$425:$O$100,CBIC_Late_Fee_Relief_Windows_3B!$D$425:$D$100,"&lt;="&amp;B425,CBIC_Late_Fee_Relief_Windows_3B!$E$425:$E$100,"&gt;="&amp;B425,CBIC_Late_Fee_Relief_Windows_3B!$F$425:$F$100,"&lt;="&amp;C425,CBIC_Late_Fee_Relief_Windows_3B!$G$425:$G$100,"&gt;="&amp;C425)</f>
        <v/>
      </c>
      <c r="H425">
        <f>INDEX(CBIC_Late_Fee_Relief_Windows_3B!$I$425:$I$100,MATCH(G425,CBIC_Late_Fee_Relief_Windows_3B!$O$425:$O$100,0))</f>
        <v/>
      </c>
      <c r="I425">
        <f>MIN(F425,H425)</f>
        <v/>
      </c>
    </row>
    <row r="426">
      <c r="A426">
        <f>TEST_DATA!A426</f>
        <v/>
      </c>
      <c r="B426">
        <f>TEST_DATA!B426</f>
        <v/>
      </c>
      <c r="C426">
        <f>TEST_DATA!C426</f>
        <v/>
      </c>
      <c r="D426">
        <f>TEST_DATA!D426</f>
        <v/>
      </c>
      <c r="E426">
        <f>TEST_DATA!E426</f>
        <v/>
      </c>
      <c r="F426">
        <f>MIN(E426*42600,10000)</f>
        <v/>
      </c>
      <c r="G426">
        <f>MINIFS(CBIC_Late_Fee_Relief_Windows_3B!$O$426:$O$100,CBIC_Late_Fee_Relief_Windows_3B!$D$426:$D$100,"&lt;="&amp;B426,CBIC_Late_Fee_Relief_Windows_3B!$E$426:$E$100,"&gt;="&amp;B426,CBIC_Late_Fee_Relief_Windows_3B!$F$426:$F$100,"&lt;="&amp;C426,CBIC_Late_Fee_Relief_Windows_3B!$G$426:$G$100,"&gt;="&amp;C426)</f>
        <v/>
      </c>
      <c r="H426">
        <f>INDEX(CBIC_Late_Fee_Relief_Windows_3B!$I$426:$I$100,MATCH(G426,CBIC_Late_Fee_Relief_Windows_3B!$O$426:$O$100,0))</f>
        <v/>
      </c>
      <c r="I426">
        <f>MIN(F426,H426)</f>
        <v/>
      </c>
    </row>
    <row r="427">
      <c r="A427">
        <f>TEST_DATA!A427</f>
        <v/>
      </c>
      <c r="B427">
        <f>TEST_DATA!B427</f>
        <v/>
      </c>
      <c r="C427">
        <f>TEST_DATA!C427</f>
        <v/>
      </c>
      <c r="D427">
        <f>TEST_DATA!D427</f>
        <v/>
      </c>
      <c r="E427">
        <f>TEST_DATA!E427</f>
        <v/>
      </c>
      <c r="F427">
        <f>MIN(E427*42700,10000)</f>
        <v/>
      </c>
      <c r="G427">
        <f>MINIFS(CBIC_Late_Fee_Relief_Windows_3B!$O$427:$O$100,CBIC_Late_Fee_Relief_Windows_3B!$D$427:$D$100,"&lt;="&amp;B427,CBIC_Late_Fee_Relief_Windows_3B!$E$427:$E$100,"&gt;="&amp;B427,CBIC_Late_Fee_Relief_Windows_3B!$F$427:$F$100,"&lt;="&amp;C427,CBIC_Late_Fee_Relief_Windows_3B!$G$427:$G$100,"&gt;="&amp;C427)</f>
        <v/>
      </c>
      <c r="H427">
        <f>INDEX(CBIC_Late_Fee_Relief_Windows_3B!$I$427:$I$100,MATCH(G427,CBIC_Late_Fee_Relief_Windows_3B!$O$427:$O$100,0))</f>
        <v/>
      </c>
      <c r="I427">
        <f>MIN(F427,H427)</f>
        <v/>
      </c>
    </row>
    <row r="428">
      <c r="A428">
        <f>TEST_DATA!A428</f>
        <v/>
      </c>
      <c r="B428">
        <f>TEST_DATA!B428</f>
        <v/>
      </c>
      <c r="C428">
        <f>TEST_DATA!C428</f>
        <v/>
      </c>
      <c r="D428">
        <f>TEST_DATA!D428</f>
        <v/>
      </c>
      <c r="E428">
        <f>TEST_DATA!E428</f>
        <v/>
      </c>
      <c r="F428">
        <f>MIN(E428*42800,10000)</f>
        <v/>
      </c>
      <c r="G428">
        <f>MINIFS(CBIC_Late_Fee_Relief_Windows_3B!$O$428:$O$100,CBIC_Late_Fee_Relief_Windows_3B!$D$428:$D$100,"&lt;="&amp;B428,CBIC_Late_Fee_Relief_Windows_3B!$E$428:$E$100,"&gt;="&amp;B428,CBIC_Late_Fee_Relief_Windows_3B!$F$428:$F$100,"&lt;="&amp;C428,CBIC_Late_Fee_Relief_Windows_3B!$G$428:$G$100,"&gt;="&amp;C428)</f>
        <v/>
      </c>
      <c r="H428">
        <f>INDEX(CBIC_Late_Fee_Relief_Windows_3B!$I$428:$I$100,MATCH(G428,CBIC_Late_Fee_Relief_Windows_3B!$O$428:$O$100,0))</f>
        <v/>
      </c>
      <c r="I428">
        <f>MIN(F428,H428)</f>
        <v/>
      </c>
    </row>
    <row r="429">
      <c r="A429">
        <f>TEST_DATA!A429</f>
        <v/>
      </c>
      <c r="B429">
        <f>TEST_DATA!B429</f>
        <v/>
      </c>
      <c r="C429">
        <f>TEST_DATA!C429</f>
        <v/>
      </c>
      <c r="D429">
        <f>TEST_DATA!D429</f>
        <v/>
      </c>
      <c r="E429">
        <f>TEST_DATA!E429</f>
        <v/>
      </c>
      <c r="F429">
        <f>MIN(E429*42900,10000)</f>
        <v/>
      </c>
      <c r="G429">
        <f>MINIFS(CBIC_Late_Fee_Relief_Windows_3B!$O$429:$O$100,CBIC_Late_Fee_Relief_Windows_3B!$D$429:$D$100,"&lt;="&amp;B429,CBIC_Late_Fee_Relief_Windows_3B!$E$429:$E$100,"&gt;="&amp;B429,CBIC_Late_Fee_Relief_Windows_3B!$F$429:$F$100,"&lt;="&amp;C429,CBIC_Late_Fee_Relief_Windows_3B!$G$429:$G$100,"&gt;="&amp;C429)</f>
        <v/>
      </c>
      <c r="H429">
        <f>INDEX(CBIC_Late_Fee_Relief_Windows_3B!$I$429:$I$100,MATCH(G429,CBIC_Late_Fee_Relief_Windows_3B!$O$429:$O$100,0))</f>
        <v/>
      </c>
      <c r="I429">
        <f>MIN(F429,H429)</f>
        <v/>
      </c>
    </row>
    <row r="430">
      <c r="A430">
        <f>TEST_DATA!A430</f>
        <v/>
      </c>
      <c r="B430">
        <f>TEST_DATA!B430</f>
        <v/>
      </c>
      <c r="C430">
        <f>TEST_DATA!C430</f>
        <v/>
      </c>
      <c r="D430">
        <f>TEST_DATA!D430</f>
        <v/>
      </c>
      <c r="E430">
        <f>TEST_DATA!E430</f>
        <v/>
      </c>
      <c r="F430">
        <f>MIN(E430*43000,10000)</f>
        <v/>
      </c>
      <c r="G430">
        <f>MINIFS(CBIC_Late_Fee_Relief_Windows_3B!$O$430:$O$100,CBIC_Late_Fee_Relief_Windows_3B!$D$430:$D$100,"&lt;="&amp;B430,CBIC_Late_Fee_Relief_Windows_3B!$E$430:$E$100,"&gt;="&amp;B430,CBIC_Late_Fee_Relief_Windows_3B!$F$430:$F$100,"&lt;="&amp;C430,CBIC_Late_Fee_Relief_Windows_3B!$G$430:$G$100,"&gt;="&amp;C430)</f>
        <v/>
      </c>
      <c r="H430">
        <f>INDEX(CBIC_Late_Fee_Relief_Windows_3B!$I$430:$I$100,MATCH(G430,CBIC_Late_Fee_Relief_Windows_3B!$O$430:$O$100,0))</f>
        <v/>
      </c>
      <c r="I430">
        <f>MIN(F430,H430)</f>
        <v/>
      </c>
    </row>
    <row r="431">
      <c r="A431">
        <f>TEST_DATA!A431</f>
        <v/>
      </c>
      <c r="B431">
        <f>TEST_DATA!B431</f>
        <v/>
      </c>
      <c r="C431">
        <f>TEST_DATA!C431</f>
        <v/>
      </c>
      <c r="D431">
        <f>TEST_DATA!D431</f>
        <v/>
      </c>
      <c r="E431">
        <f>TEST_DATA!E431</f>
        <v/>
      </c>
      <c r="F431">
        <f>MIN(E431*43100,10000)</f>
        <v/>
      </c>
      <c r="G431">
        <f>MINIFS(CBIC_Late_Fee_Relief_Windows_3B!$O$431:$O$100,CBIC_Late_Fee_Relief_Windows_3B!$D$431:$D$100,"&lt;="&amp;B431,CBIC_Late_Fee_Relief_Windows_3B!$E$431:$E$100,"&gt;="&amp;B431,CBIC_Late_Fee_Relief_Windows_3B!$F$431:$F$100,"&lt;="&amp;C431,CBIC_Late_Fee_Relief_Windows_3B!$G$431:$G$100,"&gt;="&amp;C431)</f>
        <v/>
      </c>
      <c r="H431">
        <f>INDEX(CBIC_Late_Fee_Relief_Windows_3B!$I$431:$I$100,MATCH(G431,CBIC_Late_Fee_Relief_Windows_3B!$O$431:$O$100,0))</f>
        <v/>
      </c>
      <c r="I431">
        <f>MIN(F431,H431)</f>
        <v/>
      </c>
    </row>
    <row r="432">
      <c r="A432">
        <f>TEST_DATA!A432</f>
        <v/>
      </c>
      <c r="B432">
        <f>TEST_DATA!B432</f>
        <v/>
      </c>
      <c r="C432">
        <f>TEST_DATA!C432</f>
        <v/>
      </c>
      <c r="D432">
        <f>TEST_DATA!D432</f>
        <v/>
      </c>
      <c r="E432">
        <f>TEST_DATA!E432</f>
        <v/>
      </c>
      <c r="F432">
        <f>MIN(E432*43200,10000)</f>
        <v/>
      </c>
      <c r="G432">
        <f>MINIFS(CBIC_Late_Fee_Relief_Windows_3B!$O$432:$O$100,CBIC_Late_Fee_Relief_Windows_3B!$D$432:$D$100,"&lt;="&amp;B432,CBIC_Late_Fee_Relief_Windows_3B!$E$432:$E$100,"&gt;="&amp;B432,CBIC_Late_Fee_Relief_Windows_3B!$F$432:$F$100,"&lt;="&amp;C432,CBIC_Late_Fee_Relief_Windows_3B!$G$432:$G$100,"&gt;="&amp;C432)</f>
        <v/>
      </c>
      <c r="H432">
        <f>INDEX(CBIC_Late_Fee_Relief_Windows_3B!$I$432:$I$100,MATCH(G432,CBIC_Late_Fee_Relief_Windows_3B!$O$432:$O$100,0))</f>
        <v/>
      </c>
      <c r="I432">
        <f>MIN(F432,H432)</f>
        <v/>
      </c>
    </row>
    <row r="433">
      <c r="A433">
        <f>TEST_DATA!A433</f>
        <v/>
      </c>
      <c r="B433">
        <f>TEST_DATA!B433</f>
        <v/>
      </c>
      <c r="C433">
        <f>TEST_DATA!C433</f>
        <v/>
      </c>
      <c r="D433">
        <f>TEST_DATA!D433</f>
        <v/>
      </c>
      <c r="E433">
        <f>TEST_DATA!E433</f>
        <v/>
      </c>
      <c r="F433">
        <f>MIN(E433*43300,10000)</f>
        <v/>
      </c>
      <c r="G433">
        <f>MINIFS(CBIC_Late_Fee_Relief_Windows_3B!$O$433:$O$100,CBIC_Late_Fee_Relief_Windows_3B!$D$433:$D$100,"&lt;="&amp;B433,CBIC_Late_Fee_Relief_Windows_3B!$E$433:$E$100,"&gt;="&amp;B433,CBIC_Late_Fee_Relief_Windows_3B!$F$433:$F$100,"&lt;="&amp;C433,CBIC_Late_Fee_Relief_Windows_3B!$G$433:$G$100,"&gt;="&amp;C433)</f>
        <v/>
      </c>
      <c r="H433">
        <f>INDEX(CBIC_Late_Fee_Relief_Windows_3B!$I$433:$I$100,MATCH(G433,CBIC_Late_Fee_Relief_Windows_3B!$O$433:$O$100,0))</f>
        <v/>
      </c>
      <c r="I433">
        <f>MIN(F433,H433)</f>
        <v/>
      </c>
    </row>
    <row r="434">
      <c r="A434">
        <f>TEST_DATA!A434</f>
        <v/>
      </c>
      <c r="B434">
        <f>TEST_DATA!B434</f>
        <v/>
      </c>
      <c r="C434">
        <f>TEST_DATA!C434</f>
        <v/>
      </c>
      <c r="D434">
        <f>TEST_DATA!D434</f>
        <v/>
      </c>
      <c r="E434">
        <f>TEST_DATA!E434</f>
        <v/>
      </c>
      <c r="F434">
        <f>MIN(E434*43400,10000)</f>
        <v/>
      </c>
      <c r="G434">
        <f>MINIFS(CBIC_Late_Fee_Relief_Windows_3B!$O$434:$O$100,CBIC_Late_Fee_Relief_Windows_3B!$D$434:$D$100,"&lt;="&amp;B434,CBIC_Late_Fee_Relief_Windows_3B!$E$434:$E$100,"&gt;="&amp;B434,CBIC_Late_Fee_Relief_Windows_3B!$F$434:$F$100,"&lt;="&amp;C434,CBIC_Late_Fee_Relief_Windows_3B!$G$434:$G$100,"&gt;="&amp;C434)</f>
        <v/>
      </c>
      <c r="H434">
        <f>INDEX(CBIC_Late_Fee_Relief_Windows_3B!$I$434:$I$100,MATCH(G434,CBIC_Late_Fee_Relief_Windows_3B!$O$434:$O$100,0))</f>
        <v/>
      </c>
      <c r="I434">
        <f>MIN(F434,H434)</f>
        <v/>
      </c>
    </row>
    <row r="435">
      <c r="A435">
        <f>TEST_DATA!A435</f>
        <v/>
      </c>
      <c r="B435">
        <f>TEST_DATA!B435</f>
        <v/>
      </c>
      <c r="C435">
        <f>TEST_DATA!C435</f>
        <v/>
      </c>
      <c r="D435">
        <f>TEST_DATA!D435</f>
        <v/>
      </c>
      <c r="E435">
        <f>TEST_DATA!E435</f>
        <v/>
      </c>
      <c r="F435">
        <f>MIN(E435*43500,10000)</f>
        <v/>
      </c>
      <c r="G435">
        <f>MINIFS(CBIC_Late_Fee_Relief_Windows_3B!$O$435:$O$100,CBIC_Late_Fee_Relief_Windows_3B!$D$435:$D$100,"&lt;="&amp;B435,CBIC_Late_Fee_Relief_Windows_3B!$E$435:$E$100,"&gt;="&amp;B435,CBIC_Late_Fee_Relief_Windows_3B!$F$435:$F$100,"&lt;="&amp;C435,CBIC_Late_Fee_Relief_Windows_3B!$G$435:$G$100,"&gt;="&amp;C435)</f>
        <v/>
      </c>
      <c r="H435">
        <f>INDEX(CBIC_Late_Fee_Relief_Windows_3B!$I$435:$I$100,MATCH(G435,CBIC_Late_Fee_Relief_Windows_3B!$O$435:$O$100,0))</f>
        <v/>
      </c>
      <c r="I435">
        <f>MIN(F435,H435)</f>
        <v/>
      </c>
    </row>
    <row r="436">
      <c r="A436">
        <f>TEST_DATA!A436</f>
        <v/>
      </c>
      <c r="B436">
        <f>TEST_DATA!B436</f>
        <v/>
      </c>
      <c r="C436">
        <f>TEST_DATA!C436</f>
        <v/>
      </c>
      <c r="D436">
        <f>TEST_DATA!D436</f>
        <v/>
      </c>
      <c r="E436">
        <f>TEST_DATA!E436</f>
        <v/>
      </c>
      <c r="F436">
        <f>MIN(E436*43600,10000)</f>
        <v/>
      </c>
      <c r="G436">
        <f>MINIFS(CBIC_Late_Fee_Relief_Windows_3B!$O$436:$O$100,CBIC_Late_Fee_Relief_Windows_3B!$D$436:$D$100,"&lt;="&amp;B436,CBIC_Late_Fee_Relief_Windows_3B!$E$436:$E$100,"&gt;="&amp;B436,CBIC_Late_Fee_Relief_Windows_3B!$F$436:$F$100,"&lt;="&amp;C436,CBIC_Late_Fee_Relief_Windows_3B!$G$436:$G$100,"&gt;="&amp;C436)</f>
        <v/>
      </c>
      <c r="H436">
        <f>INDEX(CBIC_Late_Fee_Relief_Windows_3B!$I$436:$I$100,MATCH(G436,CBIC_Late_Fee_Relief_Windows_3B!$O$436:$O$100,0))</f>
        <v/>
      </c>
      <c r="I436">
        <f>MIN(F436,H436)</f>
        <v/>
      </c>
    </row>
    <row r="437">
      <c r="A437">
        <f>TEST_DATA!A437</f>
        <v/>
      </c>
      <c r="B437">
        <f>TEST_DATA!B437</f>
        <v/>
      </c>
      <c r="C437">
        <f>TEST_DATA!C437</f>
        <v/>
      </c>
      <c r="D437">
        <f>TEST_DATA!D437</f>
        <v/>
      </c>
      <c r="E437">
        <f>TEST_DATA!E437</f>
        <v/>
      </c>
      <c r="F437">
        <f>MIN(E437*43700,10000)</f>
        <v/>
      </c>
      <c r="G437">
        <f>MINIFS(CBIC_Late_Fee_Relief_Windows_3B!$O$437:$O$100,CBIC_Late_Fee_Relief_Windows_3B!$D$437:$D$100,"&lt;="&amp;B437,CBIC_Late_Fee_Relief_Windows_3B!$E$437:$E$100,"&gt;="&amp;B437,CBIC_Late_Fee_Relief_Windows_3B!$F$437:$F$100,"&lt;="&amp;C437,CBIC_Late_Fee_Relief_Windows_3B!$G$437:$G$100,"&gt;="&amp;C437)</f>
        <v/>
      </c>
      <c r="H437">
        <f>INDEX(CBIC_Late_Fee_Relief_Windows_3B!$I$437:$I$100,MATCH(G437,CBIC_Late_Fee_Relief_Windows_3B!$O$437:$O$100,0))</f>
        <v/>
      </c>
      <c r="I437">
        <f>MIN(F437,H437)</f>
        <v/>
      </c>
    </row>
    <row r="438">
      <c r="A438">
        <f>TEST_DATA!A438</f>
        <v/>
      </c>
      <c r="B438">
        <f>TEST_DATA!B438</f>
        <v/>
      </c>
      <c r="C438">
        <f>TEST_DATA!C438</f>
        <v/>
      </c>
      <c r="D438">
        <f>TEST_DATA!D438</f>
        <v/>
      </c>
      <c r="E438">
        <f>TEST_DATA!E438</f>
        <v/>
      </c>
      <c r="F438">
        <f>MIN(E438*43800,10000)</f>
        <v/>
      </c>
      <c r="G438">
        <f>MINIFS(CBIC_Late_Fee_Relief_Windows_3B!$O$438:$O$100,CBIC_Late_Fee_Relief_Windows_3B!$D$438:$D$100,"&lt;="&amp;B438,CBIC_Late_Fee_Relief_Windows_3B!$E$438:$E$100,"&gt;="&amp;B438,CBIC_Late_Fee_Relief_Windows_3B!$F$438:$F$100,"&lt;="&amp;C438,CBIC_Late_Fee_Relief_Windows_3B!$G$438:$G$100,"&gt;="&amp;C438)</f>
        <v/>
      </c>
      <c r="H438">
        <f>INDEX(CBIC_Late_Fee_Relief_Windows_3B!$I$438:$I$100,MATCH(G438,CBIC_Late_Fee_Relief_Windows_3B!$O$438:$O$100,0))</f>
        <v/>
      </c>
      <c r="I438">
        <f>MIN(F438,H438)</f>
        <v/>
      </c>
    </row>
    <row r="439">
      <c r="A439">
        <f>TEST_DATA!A439</f>
        <v/>
      </c>
      <c r="B439">
        <f>TEST_DATA!B439</f>
        <v/>
      </c>
      <c r="C439">
        <f>TEST_DATA!C439</f>
        <v/>
      </c>
      <c r="D439">
        <f>TEST_DATA!D439</f>
        <v/>
      </c>
      <c r="E439">
        <f>TEST_DATA!E439</f>
        <v/>
      </c>
      <c r="F439">
        <f>MIN(E439*43900,10000)</f>
        <v/>
      </c>
      <c r="G439">
        <f>MINIFS(CBIC_Late_Fee_Relief_Windows_3B!$O$439:$O$100,CBIC_Late_Fee_Relief_Windows_3B!$D$439:$D$100,"&lt;="&amp;B439,CBIC_Late_Fee_Relief_Windows_3B!$E$439:$E$100,"&gt;="&amp;B439,CBIC_Late_Fee_Relief_Windows_3B!$F$439:$F$100,"&lt;="&amp;C439,CBIC_Late_Fee_Relief_Windows_3B!$G$439:$G$100,"&gt;="&amp;C439)</f>
        <v/>
      </c>
      <c r="H439">
        <f>INDEX(CBIC_Late_Fee_Relief_Windows_3B!$I$439:$I$100,MATCH(G439,CBIC_Late_Fee_Relief_Windows_3B!$O$439:$O$100,0))</f>
        <v/>
      </c>
      <c r="I439">
        <f>MIN(F439,H439)</f>
        <v/>
      </c>
    </row>
    <row r="440">
      <c r="A440">
        <f>TEST_DATA!A440</f>
        <v/>
      </c>
      <c r="B440">
        <f>TEST_DATA!B440</f>
        <v/>
      </c>
      <c r="C440">
        <f>TEST_DATA!C440</f>
        <v/>
      </c>
      <c r="D440">
        <f>TEST_DATA!D440</f>
        <v/>
      </c>
      <c r="E440">
        <f>TEST_DATA!E440</f>
        <v/>
      </c>
      <c r="F440">
        <f>MIN(E440*44000,10000)</f>
        <v/>
      </c>
      <c r="G440">
        <f>MINIFS(CBIC_Late_Fee_Relief_Windows_3B!$O$440:$O$100,CBIC_Late_Fee_Relief_Windows_3B!$D$440:$D$100,"&lt;="&amp;B440,CBIC_Late_Fee_Relief_Windows_3B!$E$440:$E$100,"&gt;="&amp;B440,CBIC_Late_Fee_Relief_Windows_3B!$F$440:$F$100,"&lt;="&amp;C440,CBIC_Late_Fee_Relief_Windows_3B!$G$440:$G$100,"&gt;="&amp;C440)</f>
        <v/>
      </c>
      <c r="H440">
        <f>INDEX(CBIC_Late_Fee_Relief_Windows_3B!$I$440:$I$100,MATCH(G440,CBIC_Late_Fee_Relief_Windows_3B!$O$440:$O$100,0))</f>
        <v/>
      </c>
      <c r="I440">
        <f>MIN(F440,H440)</f>
        <v/>
      </c>
    </row>
    <row r="441">
      <c r="A441">
        <f>TEST_DATA!A441</f>
        <v/>
      </c>
      <c r="B441">
        <f>TEST_DATA!B441</f>
        <v/>
      </c>
      <c r="C441">
        <f>TEST_DATA!C441</f>
        <v/>
      </c>
      <c r="D441">
        <f>TEST_DATA!D441</f>
        <v/>
      </c>
      <c r="E441">
        <f>TEST_DATA!E441</f>
        <v/>
      </c>
      <c r="F441">
        <f>MIN(E441*44100,10000)</f>
        <v/>
      </c>
      <c r="G441">
        <f>MINIFS(CBIC_Late_Fee_Relief_Windows_3B!$O$441:$O$100,CBIC_Late_Fee_Relief_Windows_3B!$D$441:$D$100,"&lt;="&amp;B441,CBIC_Late_Fee_Relief_Windows_3B!$E$441:$E$100,"&gt;="&amp;B441,CBIC_Late_Fee_Relief_Windows_3B!$F$441:$F$100,"&lt;="&amp;C441,CBIC_Late_Fee_Relief_Windows_3B!$G$441:$G$100,"&gt;="&amp;C441)</f>
        <v/>
      </c>
      <c r="H441">
        <f>INDEX(CBIC_Late_Fee_Relief_Windows_3B!$I$441:$I$100,MATCH(G441,CBIC_Late_Fee_Relief_Windows_3B!$O$441:$O$100,0))</f>
        <v/>
      </c>
      <c r="I441">
        <f>MIN(F441,H441)</f>
        <v/>
      </c>
    </row>
    <row r="442">
      <c r="A442">
        <f>TEST_DATA!A442</f>
        <v/>
      </c>
      <c r="B442">
        <f>TEST_DATA!B442</f>
        <v/>
      </c>
      <c r="C442">
        <f>TEST_DATA!C442</f>
        <v/>
      </c>
      <c r="D442">
        <f>TEST_DATA!D442</f>
        <v/>
      </c>
      <c r="E442">
        <f>TEST_DATA!E442</f>
        <v/>
      </c>
      <c r="F442">
        <f>MIN(E442*44200,10000)</f>
        <v/>
      </c>
      <c r="G442">
        <f>MINIFS(CBIC_Late_Fee_Relief_Windows_3B!$O$442:$O$100,CBIC_Late_Fee_Relief_Windows_3B!$D$442:$D$100,"&lt;="&amp;B442,CBIC_Late_Fee_Relief_Windows_3B!$E$442:$E$100,"&gt;="&amp;B442,CBIC_Late_Fee_Relief_Windows_3B!$F$442:$F$100,"&lt;="&amp;C442,CBIC_Late_Fee_Relief_Windows_3B!$G$442:$G$100,"&gt;="&amp;C442)</f>
        <v/>
      </c>
      <c r="H442">
        <f>INDEX(CBIC_Late_Fee_Relief_Windows_3B!$I$442:$I$100,MATCH(G442,CBIC_Late_Fee_Relief_Windows_3B!$O$442:$O$100,0))</f>
        <v/>
      </c>
      <c r="I442">
        <f>MIN(F442,H442)</f>
        <v/>
      </c>
    </row>
    <row r="443">
      <c r="A443">
        <f>TEST_DATA!A443</f>
        <v/>
      </c>
      <c r="B443">
        <f>TEST_DATA!B443</f>
        <v/>
      </c>
      <c r="C443">
        <f>TEST_DATA!C443</f>
        <v/>
      </c>
      <c r="D443">
        <f>TEST_DATA!D443</f>
        <v/>
      </c>
      <c r="E443">
        <f>TEST_DATA!E443</f>
        <v/>
      </c>
      <c r="F443">
        <f>MIN(E443*44300,10000)</f>
        <v/>
      </c>
      <c r="G443">
        <f>MINIFS(CBIC_Late_Fee_Relief_Windows_3B!$O$443:$O$100,CBIC_Late_Fee_Relief_Windows_3B!$D$443:$D$100,"&lt;="&amp;B443,CBIC_Late_Fee_Relief_Windows_3B!$E$443:$E$100,"&gt;="&amp;B443,CBIC_Late_Fee_Relief_Windows_3B!$F$443:$F$100,"&lt;="&amp;C443,CBIC_Late_Fee_Relief_Windows_3B!$G$443:$G$100,"&gt;="&amp;C443)</f>
        <v/>
      </c>
      <c r="H443">
        <f>INDEX(CBIC_Late_Fee_Relief_Windows_3B!$I$443:$I$100,MATCH(G443,CBIC_Late_Fee_Relief_Windows_3B!$O$443:$O$100,0))</f>
        <v/>
      </c>
      <c r="I443">
        <f>MIN(F443,H443)</f>
        <v/>
      </c>
    </row>
    <row r="444">
      <c r="A444">
        <f>TEST_DATA!A444</f>
        <v/>
      </c>
      <c r="B444">
        <f>TEST_DATA!B444</f>
        <v/>
      </c>
      <c r="C444">
        <f>TEST_DATA!C444</f>
        <v/>
      </c>
      <c r="D444">
        <f>TEST_DATA!D444</f>
        <v/>
      </c>
      <c r="E444">
        <f>TEST_DATA!E444</f>
        <v/>
      </c>
      <c r="F444">
        <f>MIN(E444*44400,10000)</f>
        <v/>
      </c>
      <c r="G444">
        <f>MINIFS(CBIC_Late_Fee_Relief_Windows_3B!$O$444:$O$100,CBIC_Late_Fee_Relief_Windows_3B!$D$444:$D$100,"&lt;="&amp;B444,CBIC_Late_Fee_Relief_Windows_3B!$E$444:$E$100,"&gt;="&amp;B444,CBIC_Late_Fee_Relief_Windows_3B!$F$444:$F$100,"&lt;="&amp;C444,CBIC_Late_Fee_Relief_Windows_3B!$G$444:$G$100,"&gt;="&amp;C444)</f>
        <v/>
      </c>
      <c r="H444">
        <f>INDEX(CBIC_Late_Fee_Relief_Windows_3B!$I$444:$I$100,MATCH(G444,CBIC_Late_Fee_Relief_Windows_3B!$O$444:$O$100,0))</f>
        <v/>
      </c>
      <c r="I444">
        <f>MIN(F444,H444)</f>
        <v/>
      </c>
    </row>
    <row r="445">
      <c r="A445">
        <f>TEST_DATA!A445</f>
        <v/>
      </c>
      <c r="B445">
        <f>TEST_DATA!B445</f>
        <v/>
      </c>
      <c r="C445">
        <f>TEST_DATA!C445</f>
        <v/>
      </c>
      <c r="D445">
        <f>TEST_DATA!D445</f>
        <v/>
      </c>
      <c r="E445">
        <f>TEST_DATA!E445</f>
        <v/>
      </c>
      <c r="F445">
        <f>MIN(E445*44500,10000)</f>
        <v/>
      </c>
      <c r="G445">
        <f>MINIFS(CBIC_Late_Fee_Relief_Windows_3B!$O$445:$O$100,CBIC_Late_Fee_Relief_Windows_3B!$D$445:$D$100,"&lt;="&amp;B445,CBIC_Late_Fee_Relief_Windows_3B!$E$445:$E$100,"&gt;="&amp;B445,CBIC_Late_Fee_Relief_Windows_3B!$F$445:$F$100,"&lt;="&amp;C445,CBIC_Late_Fee_Relief_Windows_3B!$G$445:$G$100,"&gt;="&amp;C445)</f>
        <v/>
      </c>
      <c r="H445">
        <f>INDEX(CBIC_Late_Fee_Relief_Windows_3B!$I$445:$I$100,MATCH(G445,CBIC_Late_Fee_Relief_Windows_3B!$O$445:$O$100,0))</f>
        <v/>
      </c>
      <c r="I445">
        <f>MIN(F445,H445)</f>
        <v/>
      </c>
    </row>
    <row r="446">
      <c r="A446">
        <f>TEST_DATA!A446</f>
        <v/>
      </c>
      <c r="B446">
        <f>TEST_DATA!B446</f>
        <v/>
      </c>
      <c r="C446">
        <f>TEST_DATA!C446</f>
        <v/>
      </c>
      <c r="D446">
        <f>TEST_DATA!D446</f>
        <v/>
      </c>
      <c r="E446">
        <f>TEST_DATA!E446</f>
        <v/>
      </c>
      <c r="F446">
        <f>MIN(E446*44600,10000)</f>
        <v/>
      </c>
      <c r="G446">
        <f>MINIFS(CBIC_Late_Fee_Relief_Windows_3B!$O$446:$O$100,CBIC_Late_Fee_Relief_Windows_3B!$D$446:$D$100,"&lt;="&amp;B446,CBIC_Late_Fee_Relief_Windows_3B!$E$446:$E$100,"&gt;="&amp;B446,CBIC_Late_Fee_Relief_Windows_3B!$F$446:$F$100,"&lt;="&amp;C446,CBIC_Late_Fee_Relief_Windows_3B!$G$446:$G$100,"&gt;="&amp;C446)</f>
        <v/>
      </c>
      <c r="H446">
        <f>INDEX(CBIC_Late_Fee_Relief_Windows_3B!$I$446:$I$100,MATCH(G446,CBIC_Late_Fee_Relief_Windows_3B!$O$446:$O$100,0))</f>
        <v/>
      </c>
      <c r="I446">
        <f>MIN(F446,H446)</f>
        <v/>
      </c>
    </row>
    <row r="447">
      <c r="A447">
        <f>TEST_DATA!A447</f>
        <v/>
      </c>
      <c r="B447">
        <f>TEST_DATA!B447</f>
        <v/>
      </c>
      <c r="C447">
        <f>TEST_DATA!C447</f>
        <v/>
      </c>
      <c r="D447">
        <f>TEST_DATA!D447</f>
        <v/>
      </c>
      <c r="E447">
        <f>TEST_DATA!E447</f>
        <v/>
      </c>
      <c r="F447">
        <f>MIN(E447*44700,10000)</f>
        <v/>
      </c>
      <c r="G447">
        <f>MINIFS(CBIC_Late_Fee_Relief_Windows_3B!$O$447:$O$100,CBIC_Late_Fee_Relief_Windows_3B!$D$447:$D$100,"&lt;="&amp;B447,CBIC_Late_Fee_Relief_Windows_3B!$E$447:$E$100,"&gt;="&amp;B447,CBIC_Late_Fee_Relief_Windows_3B!$F$447:$F$100,"&lt;="&amp;C447,CBIC_Late_Fee_Relief_Windows_3B!$G$447:$G$100,"&gt;="&amp;C447)</f>
        <v/>
      </c>
      <c r="H447">
        <f>INDEX(CBIC_Late_Fee_Relief_Windows_3B!$I$447:$I$100,MATCH(G447,CBIC_Late_Fee_Relief_Windows_3B!$O$447:$O$100,0))</f>
        <v/>
      </c>
      <c r="I447">
        <f>MIN(F447,H447)</f>
        <v/>
      </c>
    </row>
    <row r="448">
      <c r="A448">
        <f>TEST_DATA!A448</f>
        <v/>
      </c>
      <c r="B448">
        <f>TEST_DATA!B448</f>
        <v/>
      </c>
      <c r="C448">
        <f>TEST_DATA!C448</f>
        <v/>
      </c>
      <c r="D448">
        <f>TEST_DATA!D448</f>
        <v/>
      </c>
      <c r="E448">
        <f>TEST_DATA!E448</f>
        <v/>
      </c>
      <c r="F448">
        <f>MIN(E448*44800,10000)</f>
        <v/>
      </c>
      <c r="G448">
        <f>MINIFS(CBIC_Late_Fee_Relief_Windows_3B!$O$448:$O$100,CBIC_Late_Fee_Relief_Windows_3B!$D$448:$D$100,"&lt;="&amp;B448,CBIC_Late_Fee_Relief_Windows_3B!$E$448:$E$100,"&gt;="&amp;B448,CBIC_Late_Fee_Relief_Windows_3B!$F$448:$F$100,"&lt;="&amp;C448,CBIC_Late_Fee_Relief_Windows_3B!$G$448:$G$100,"&gt;="&amp;C448)</f>
        <v/>
      </c>
      <c r="H448">
        <f>INDEX(CBIC_Late_Fee_Relief_Windows_3B!$I$448:$I$100,MATCH(G448,CBIC_Late_Fee_Relief_Windows_3B!$O$448:$O$100,0))</f>
        <v/>
      </c>
      <c r="I448">
        <f>MIN(F448,H448)</f>
        <v/>
      </c>
    </row>
    <row r="449">
      <c r="A449">
        <f>TEST_DATA!A449</f>
        <v/>
      </c>
      <c r="B449">
        <f>TEST_DATA!B449</f>
        <v/>
      </c>
      <c r="C449">
        <f>TEST_DATA!C449</f>
        <v/>
      </c>
      <c r="D449">
        <f>TEST_DATA!D449</f>
        <v/>
      </c>
      <c r="E449">
        <f>TEST_DATA!E449</f>
        <v/>
      </c>
      <c r="F449">
        <f>MIN(E449*44900,10000)</f>
        <v/>
      </c>
      <c r="G449">
        <f>MINIFS(CBIC_Late_Fee_Relief_Windows_3B!$O$449:$O$100,CBIC_Late_Fee_Relief_Windows_3B!$D$449:$D$100,"&lt;="&amp;B449,CBIC_Late_Fee_Relief_Windows_3B!$E$449:$E$100,"&gt;="&amp;B449,CBIC_Late_Fee_Relief_Windows_3B!$F$449:$F$100,"&lt;="&amp;C449,CBIC_Late_Fee_Relief_Windows_3B!$G$449:$G$100,"&gt;="&amp;C449)</f>
        <v/>
      </c>
      <c r="H449">
        <f>INDEX(CBIC_Late_Fee_Relief_Windows_3B!$I$449:$I$100,MATCH(G449,CBIC_Late_Fee_Relief_Windows_3B!$O$449:$O$100,0))</f>
        <v/>
      </c>
      <c r="I449">
        <f>MIN(F449,H449)</f>
        <v/>
      </c>
    </row>
    <row r="450">
      <c r="A450">
        <f>TEST_DATA!A450</f>
        <v/>
      </c>
      <c r="B450">
        <f>TEST_DATA!B450</f>
        <v/>
      </c>
      <c r="C450">
        <f>TEST_DATA!C450</f>
        <v/>
      </c>
      <c r="D450">
        <f>TEST_DATA!D450</f>
        <v/>
      </c>
      <c r="E450">
        <f>TEST_DATA!E450</f>
        <v/>
      </c>
      <c r="F450">
        <f>MIN(E450*45000,10000)</f>
        <v/>
      </c>
      <c r="G450">
        <f>MINIFS(CBIC_Late_Fee_Relief_Windows_3B!$O$450:$O$100,CBIC_Late_Fee_Relief_Windows_3B!$D$450:$D$100,"&lt;="&amp;B450,CBIC_Late_Fee_Relief_Windows_3B!$E$450:$E$100,"&gt;="&amp;B450,CBIC_Late_Fee_Relief_Windows_3B!$F$450:$F$100,"&lt;="&amp;C450,CBIC_Late_Fee_Relief_Windows_3B!$G$450:$G$100,"&gt;="&amp;C450)</f>
        <v/>
      </c>
      <c r="H450">
        <f>INDEX(CBIC_Late_Fee_Relief_Windows_3B!$I$450:$I$100,MATCH(G450,CBIC_Late_Fee_Relief_Windows_3B!$O$450:$O$100,0))</f>
        <v/>
      </c>
      <c r="I450">
        <f>MIN(F450,H450)</f>
        <v/>
      </c>
    </row>
    <row r="451">
      <c r="A451">
        <f>TEST_DATA!A451</f>
        <v/>
      </c>
      <c r="B451">
        <f>TEST_DATA!B451</f>
        <v/>
      </c>
      <c r="C451">
        <f>TEST_DATA!C451</f>
        <v/>
      </c>
      <c r="D451">
        <f>TEST_DATA!D451</f>
        <v/>
      </c>
      <c r="E451">
        <f>TEST_DATA!E451</f>
        <v/>
      </c>
      <c r="F451">
        <f>MIN(E451*45100,10000)</f>
        <v/>
      </c>
      <c r="G451">
        <f>MINIFS(CBIC_Late_Fee_Relief_Windows_3B!$O$451:$O$100,CBIC_Late_Fee_Relief_Windows_3B!$D$451:$D$100,"&lt;="&amp;B451,CBIC_Late_Fee_Relief_Windows_3B!$E$451:$E$100,"&gt;="&amp;B451,CBIC_Late_Fee_Relief_Windows_3B!$F$451:$F$100,"&lt;="&amp;C451,CBIC_Late_Fee_Relief_Windows_3B!$G$451:$G$100,"&gt;="&amp;C451)</f>
        <v/>
      </c>
      <c r="H451">
        <f>INDEX(CBIC_Late_Fee_Relief_Windows_3B!$I$451:$I$100,MATCH(G451,CBIC_Late_Fee_Relief_Windows_3B!$O$451:$O$100,0))</f>
        <v/>
      </c>
      <c r="I451">
        <f>MIN(F451,H451)</f>
        <v/>
      </c>
    </row>
    <row r="452">
      <c r="A452">
        <f>TEST_DATA!A452</f>
        <v/>
      </c>
      <c r="B452">
        <f>TEST_DATA!B452</f>
        <v/>
      </c>
      <c r="C452">
        <f>TEST_DATA!C452</f>
        <v/>
      </c>
      <c r="D452">
        <f>TEST_DATA!D452</f>
        <v/>
      </c>
      <c r="E452">
        <f>TEST_DATA!E452</f>
        <v/>
      </c>
      <c r="F452">
        <f>MIN(E452*45200,10000)</f>
        <v/>
      </c>
      <c r="G452">
        <f>MINIFS(CBIC_Late_Fee_Relief_Windows_3B!$O$452:$O$100,CBIC_Late_Fee_Relief_Windows_3B!$D$452:$D$100,"&lt;="&amp;B452,CBIC_Late_Fee_Relief_Windows_3B!$E$452:$E$100,"&gt;="&amp;B452,CBIC_Late_Fee_Relief_Windows_3B!$F$452:$F$100,"&lt;="&amp;C452,CBIC_Late_Fee_Relief_Windows_3B!$G$452:$G$100,"&gt;="&amp;C452)</f>
        <v/>
      </c>
      <c r="H452">
        <f>INDEX(CBIC_Late_Fee_Relief_Windows_3B!$I$452:$I$100,MATCH(G452,CBIC_Late_Fee_Relief_Windows_3B!$O$452:$O$100,0))</f>
        <v/>
      </c>
      <c r="I452">
        <f>MIN(F452,H452)</f>
        <v/>
      </c>
    </row>
    <row r="453">
      <c r="A453">
        <f>TEST_DATA!A453</f>
        <v/>
      </c>
      <c r="B453">
        <f>TEST_DATA!B453</f>
        <v/>
      </c>
      <c r="C453">
        <f>TEST_DATA!C453</f>
        <v/>
      </c>
      <c r="D453">
        <f>TEST_DATA!D453</f>
        <v/>
      </c>
      <c r="E453">
        <f>TEST_DATA!E453</f>
        <v/>
      </c>
      <c r="F453">
        <f>MIN(E453*45300,10000)</f>
        <v/>
      </c>
      <c r="G453">
        <f>MINIFS(CBIC_Late_Fee_Relief_Windows_3B!$O$453:$O$100,CBIC_Late_Fee_Relief_Windows_3B!$D$453:$D$100,"&lt;="&amp;B453,CBIC_Late_Fee_Relief_Windows_3B!$E$453:$E$100,"&gt;="&amp;B453,CBIC_Late_Fee_Relief_Windows_3B!$F$453:$F$100,"&lt;="&amp;C453,CBIC_Late_Fee_Relief_Windows_3B!$G$453:$G$100,"&gt;="&amp;C453)</f>
        <v/>
      </c>
      <c r="H453">
        <f>INDEX(CBIC_Late_Fee_Relief_Windows_3B!$I$453:$I$100,MATCH(G453,CBIC_Late_Fee_Relief_Windows_3B!$O$453:$O$100,0))</f>
        <v/>
      </c>
      <c r="I453">
        <f>MIN(F453,H453)</f>
        <v/>
      </c>
    </row>
    <row r="454">
      <c r="A454">
        <f>TEST_DATA!A454</f>
        <v/>
      </c>
      <c r="B454">
        <f>TEST_DATA!B454</f>
        <v/>
      </c>
      <c r="C454">
        <f>TEST_DATA!C454</f>
        <v/>
      </c>
      <c r="D454">
        <f>TEST_DATA!D454</f>
        <v/>
      </c>
      <c r="E454">
        <f>TEST_DATA!E454</f>
        <v/>
      </c>
      <c r="F454">
        <f>MIN(E454*45400,10000)</f>
        <v/>
      </c>
      <c r="G454">
        <f>MINIFS(CBIC_Late_Fee_Relief_Windows_3B!$O$454:$O$100,CBIC_Late_Fee_Relief_Windows_3B!$D$454:$D$100,"&lt;="&amp;B454,CBIC_Late_Fee_Relief_Windows_3B!$E$454:$E$100,"&gt;="&amp;B454,CBIC_Late_Fee_Relief_Windows_3B!$F$454:$F$100,"&lt;="&amp;C454,CBIC_Late_Fee_Relief_Windows_3B!$G$454:$G$100,"&gt;="&amp;C454)</f>
        <v/>
      </c>
      <c r="H454">
        <f>INDEX(CBIC_Late_Fee_Relief_Windows_3B!$I$454:$I$100,MATCH(G454,CBIC_Late_Fee_Relief_Windows_3B!$O$454:$O$100,0))</f>
        <v/>
      </c>
      <c r="I454">
        <f>MIN(F454,H454)</f>
        <v/>
      </c>
    </row>
    <row r="455">
      <c r="A455">
        <f>TEST_DATA!A455</f>
        <v/>
      </c>
      <c r="B455">
        <f>TEST_DATA!B455</f>
        <v/>
      </c>
      <c r="C455">
        <f>TEST_DATA!C455</f>
        <v/>
      </c>
      <c r="D455">
        <f>TEST_DATA!D455</f>
        <v/>
      </c>
      <c r="E455">
        <f>TEST_DATA!E455</f>
        <v/>
      </c>
      <c r="F455">
        <f>MIN(E455*45500,10000)</f>
        <v/>
      </c>
      <c r="G455">
        <f>MINIFS(CBIC_Late_Fee_Relief_Windows_3B!$O$455:$O$100,CBIC_Late_Fee_Relief_Windows_3B!$D$455:$D$100,"&lt;="&amp;B455,CBIC_Late_Fee_Relief_Windows_3B!$E$455:$E$100,"&gt;="&amp;B455,CBIC_Late_Fee_Relief_Windows_3B!$F$455:$F$100,"&lt;="&amp;C455,CBIC_Late_Fee_Relief_Windows_3B!$G$455:$G$100,"&gt;="&amp;C455)</f>
        <v/>
      </c>
      <c r="H455">
        <f>INDEX(CBIC_Late_Fee_Relief_Windows_3B!$I$455:$I$100,MATCH(G455,CBIC_Late_Fee_Relief_Windows_3B!$O$455:$O$100,0))</f>
        <v/>
      </c>
      <c r="I455">
        <f>MIN(F455,H455)</f>
        <v/>
      </c>
    </row>
    <row r="456">
      <c r="A456">
        <f>TEST_DATA!A456</f>
        <v/>
      </c>
      <c r="B456">
        <f>TEST_DATA!B456</f>
        <v/>
      </c>
      <c r="C456">
        <f>TEST_DATA!C456</f>
        <v/>
      </c>
      <c r="D456">
        <f>TEST_DATA!D456</f>
        <v/>
      </c>
      <c r="E456">
        <f>TEST_DATA!E456</f>
        <v/>
      </c>
      <c r="F456">
        <f>MIN(E456*45600,10000)</f>
        <v/>
      </c>
      <c r="G456">
        <f>MINIFS(CBIC_Late_Fee_Relief_Windows_3B!$O$456:$O$100,CBIC_Late_Fee_Relief_Windows_3B!$D$456:$D$100,"&lt;="&amp;B456,CBIC_Late_Fee_Relief_Windows_3B!$E$456:$E$100,"&gt;="&amp;B456,CBIC_Late_Fee_Relief_Windows_3B!$F$456:$F$100,"&lt;="&amp;C456,CBIC_Late_Fee_Relief_Windows_3B!$G$456:$G$100,"&gt;="&amp;C456)</f>
        <v/>
      </c>
      <c r="H456">
        <f>INDEX(CBIC_Late_Fee_Relief_Windows_3B!$I$456:$I$100,MATCH(G456,CBIC_Late_Fee_Relief_Windows_3B!$O$456:$O$100,0))</f>
        <v/>
      </c>
      <c r="I456">
        <f>MIN(F456,H456)</f>
        <v/>
      </c>
    </row>
    <row r="457">
      <c r="A457">
        <f>TEST_DATA!A457</f>
        <v/>
      </c>
      <c r="B457">
        <f>TEST_DATA!B457</f>
        <v/>
      </c>
      <c r="C457">
        <f>TEST_DATA!C457</f>
        <v/>
      </c>
      <c r="D457">
        <f>TEST_DATA!D457</f>
        <v/>
      </c>
      <c r="E457">
        <f>TEST_DATA!E457</f>
        <v/>
      </c>
      <c r="F457">
        <f>MIN(E457*45700,10000)</f>
        <v/>
      </c>
      <c r="G457">
        <f>MINIFS(CBIC_Late_Fee_Relief_Windows_3B!$O$457:$O$100,CBIC_Late_Fee_Relief_Windows_3B!$D$457:$D$100,"&lt;="&amp;B457,CBIC_Late_Fee_Relief_Windows_3B!$E$457:$E$100,"&gt;="&amp;B457,CBIC_Late_Fee_Relief_Windows_3B!$F$457:$F$100,"&lt;="&amp;C457,CBIC_Late_Fee_Relief_Windows_3B!$G$457:$G$100,"&gt;="&amp;C457)</f>
        <v/>
      </c>
      <c r="H457">
        <f>INDEX(CBIC_Late_Fee_Relief_Windows_3B!$I$457:$I$100,MATCH(G457,CBIC_Late_Fee_Relief_Windows_3B!$O$457:$O$100,0))</f>
        <v/>
      </c>
      <c r="I457">
        <f>MIN(F457,H457)</f>
        <v/>
      </c>
    </row>
    <row r="458">
      <c r="A458">
        <f>TEST_DATA!A458</f>
        <v/>
      </c>
      <c r="B458">
        <f>TEST_DATA!B458</f>
        <v/>
      </c>
      <c r="C458">
        <f>TEST_DATA!C458</f>
        <v/>
      </c>
      <c r="D458">
        <f>TEST_DATA!D458</f>
        <v/>
      </c>
      <c r="E458">
        <f>TEST_DATA!E458</f>
        <v/>
      </c>
      <c r="F458">
        <f>MIN(E458*45800,10000)</f>
        <v/>
      </c>
      <c r="G458">
        <f>MINIFS(CBIC_Late_Fee_Relief_Windows_3B!$O$458:$O$100,CBIC_Late_Fee_Relief_Windows_3B!$D$458:$D$100,"&lt;="&amp;B458,CBIC_Late_Fee_Relief_Windows_3B!$E$458:$E$100,"&gt;="&amp;B458,CBIC_Late_Fee_Relief_Windows_3B!$F$458:$F$100,"&lt;="&amp;C458,CBIC_Late_Fee_Relief_Windows_3B!$G$458:$G$100,"&gt;="&amp;C458)</f>
        <v/>
      </c>
      <c r="H458">
        <f>INDEX(CBIC_Late_Fee_Relief_Windows_3B!$I$458:$I$100,MATCH(G458,CBIC_Late_Fee_Relief_Windows_3B!$O$458:$O$100,0))</f>
        <v/>
      </c>
      <c r="I458">
        <f>MIN(F458,H458)</f>
        <v/>
      </c>
    </row>
    <row r="459">
      <c r="A459">
        <f>TEST_DATA!A459</f>
        <v/>
      </c>
      <c r="B459">
        <f>TEST_DATA!B459</f>
        <v/>
      </c>
      <c r="C459">
        <f>TEST_DATA!C459</f>
        <v/>
      </c>
      <c r="D459">
        <f>TEST_DATA!D459</f>
        <v/>
      </c>
      <c r="E459">
        <f>TEST_DATA!E459</f>
        <v/>
      </c>
      <c r="F459">
        <f>MIN(E459*45900,10000)</f>
        <v/>
      </c>
      <c r="G459">
        <f>MINIFS(CBIC_Late_Fee_Relief_Windows_3B!$O$459:$O$100,CBIC_Late_Fee_Relief_Windows_3B!$D$459:$D$100,"&lt;="&amp;B459,CBIC_Late_Fee_Relief_Windows_3B!$E$459:$E$100,"&gt;="&amp;B459,CBIC_Late_Fee_Relief_Windows_3B!$F$459:$F$100,"&lt;="&amp;C459,CBIC_Late_Fee_Relief_Windows_3B!$G$459:$G$100,"&gt;="&amp;C459)</f>
        <v/>
      </c>
      <c r="H459">
        <f>INDEX(CBIC_Late_Fee_Relief_Windows_3B!$I$459:$I$100,MATCH(G459,CBIC_Late_Fee_Relief_Windows_3B!$O$459:$O$100,0))</f>
        <v/>
      </c>
      <c r="I459">
        <f>MIN(F459,H459)</f>
        <v/>
      </c>
    </row>
    <row r="460">
      <c r="A460">
        <f>TEST_DATA!A460</f>
        <v/>
      </c>
      <c r="B460">
        <f>TEST_DATA!B460</f>
        <v/>
      </c>
      <c r="C460">
        <f>TEST_DATA!C460</f>
        <v/>
      </c>
      <c r="D460">
        <f>TEST_DATA!D460</f>
        <v/>
      </c>
      <c r="E460">
        <f>TEST_DATA!E460</f>
        <v/>
      </c>
      <c r="F460">
        <f>MIN(E460*46000,10000)</f>
        <v/>
      </c>
      <c r="G460">
        <f>MINIFS(CBIC_Late_Fee_Relief_Windows_3B!$O$460:$O$100,CBIC_Late_Fee_Relief_Windows_3B!$D$460:$D$100,"&lt;="&amp;B460,CBIC_Late_Fee_Relief_Windows_3B!$E$460:$E$100,"&gt;="&amp;B460,CBIC_Late_Fee_Relief_Windows_3B!$F$460:$F$100,"&lt;="&amp;C460,CBIC_Late_Fee_Relief_Windows_3B!$G$460:$G$100,"&gt;="&amp;C460)</f>
        <v/>
      </c>
      <c r="H460">
        <f>INDEX(CBIC_Late_Fee_Relief_Windows_3B!$I$460:$I$100,MATCH(G460,CBIC_Late_Fee_Relief_Windows_3B!$O$460:$O$100,0))</f>
        <v/>
      </c>
      <c r="I460">
        <f>MIN(F460,H460)</f>
        <v/>
      </c>
    </row>
    <row r="461">
      <c r="A461">
        <f>TEST_DATA!A461</f>
        <v/>
      </c>
      <c r="B461">
        <f>TEST_DATA!B461</f>
        <v/>
      </c>
      <c r="C461">
        <f>TEST_DATA!C461</f>
        <v/>
      </c>
      <c r="D461">
        <f>TEST_DATA!D461</f>
        <v/>
      </c>
      <c r="E461">
        <f>TEST_DATA!E461</f>
        <v/>
      </c>
      <c r="F461">
        <f>MIN(E461*46100,10000)</f>
        <v/>
      </c>
      <c r="G461">
        <f>MINIFS(CBIC_Late_Fee_Relief_Windows_3B!$O$461:$O$100,CBIC_Late_Fee_Relief_Windows_3B!$D$461:$D$100,"&lt;="&amp;B461,CBIC_Late_Fee_Relief_Windows_3B!$E$461:$E$100,"&gt;="&amp;B461,CBIC_Late_Fee_Relief_Windows_3B!$F$461:$F$100,"&lt;="&amp;C461,CBIC_Late_Fee_Relief_Windows_3B!$G$461:$G$100,"&gt;="&amp;C461)</f>
        <v/>
      </c>
      <c r="H461">
        <f>INDEX(CBIC_Late_Fee_Relief_Windows_3B!$I$461:$I$100,MATCH(G461,CBIC_Late_Fee_Relief_Windows_3B!$O$461:$O$100,0))</f>
        <v/>
      </c>
      <c r="I461">
        <f>MIN(F461,H461)</f>
        <v/>
      </c>
    </row>
    <row r="462">
      <c r="A462">
        <f>TEST_DATA!A462</f>
        <v/>
      </c>
      <c r="B462">
        <f>TEST_DATA!B462</f>
        <v/>
      </c>
      <c r="C462">
        <f>TEST_DATA!C462</f>
        <v/>
      </c>
      <c r="D462">
        <f>TEST_DATA!D462</f>
        <v/>
      </c>
      <c r="E462">
        <f>TEST_DATA!E462</f>
        <v/>
      </c>
      <c r="F462">
        <f>MIN(E462*46200,10000)</f>
        <v/>
      </c>
      <c r="G462">
        <f>MINIFS(CBIC_Late_Fee_Relief_Windows_3B!$O$462:$O$100,CBIC_Late_Fee_Relief_Windows_3B!$D$462:$D$100,"&lt;="&amp;B462,CBIC_Late_Fee_Relief_Windows_3B!$E$462:$E$100,"&gt;="&amp;B462,CBIC_Late_Fee_Relief_Windows_3B!$F$462:$F$100,"&lt;="&amp;C462,CBIC_Late_Fee_Relief_Windows_3B!$G$462:$G$100,"&gt;="&amp;C462)</f>
        <v/>
      </c>
      <c r="H462">
        <f>INDEX(CBIC_Late_Fee_Relief_Windows_3B!$I$462:$I$100,MATCH(G462,CBIC_Late_Fee_Relief_Windows_3B!$O$462:$O$100,0))</f>
        <v/>
      </c>
      <c r="I462">
        <f>MIN(F462,H462)</f>
        <v/>
      </c>
    </row>
    <row r="463">
      <c r="A463">
        <f>TEST_DATA!A463</f>
        <v/>
      </c>
      <c r="B463">
        <f>TEST_DATA!B463</f>
        <v/>
      </c>
      <c r="C463">
        <f>TEST_DATA!C463</f>
        <v/>
      </c>
      <c r="D463">
        <f>TEST_DATA!D463</f>
        <v/>
      </c>
      <c r="E463">
        <f>TEST_DATA!E463</f>
        <v/>
      </c>
      <c r="F463">
        <f>MIN(E463*46300,10000)</f>
        <v/>
      </c>
      <c r="G463">
        <f>MINIFS(CBIC_Late_Fee_Relief_Windows_3B!$O$463:$O$100,CBIC_Late_Fee_Relief_Windows_3B!$D$463:$D$100,"&lt;="&amp;B463,CBIC_Late_Fee_Relief_Windows_3B!$E$463:$E$100,"&gt;="&amp;B463,CBIC_Late_Fee_Relief_Windows_3B!$F$463:$F$100,"&lt;="&amp;C463,CBIC_Late_Fee_Relief_Windows_3B!$G$463:$G$100,"&gt;="&amp;C463)</f>
        <v/>
      </c>
      <c r="H463">
        <f>INDEX(CBIC_Late_Fee_Relief_Windows_3B!$I$463:$I$100,MATCH(G463,CBIC_Late_Fee_Relief_Windows_3B!$O$463:$O$100,0))</f>
        <v/>
      </c>
      <c r="I463">
        <f>MIN(F463,H463)</f>
        <v/>
      </c>
    </row>
    <row r="464">
      <c r="A464">
        <f>TEST_DATA!A464</f>
        <v/>
      </c>
      <c r="B464">
        <f>TEST_DATA!B464</f>
        <v/>
      </c>
      <c r="C464">
        <f>TEST_DATA!C464</f>
        <v/>
      </c>
      <c r="D464">
        <f>TEST_DATA!D464</f>
        <v/>
      </c>
      <c r="E464">
        <f>TEST_DATA!E464</f>
        <v/>
      </c>
      <c r="F464">
        <f>MIN(E464*46400,10000)</f>
        <v/>
      </c>
      <c r="G464">
        <f>MINIFS(CBIC_Late_Fee_Relief_Windows_3B!$O$464:$O$100,CBIC_Late_Fee_Relief_Windows_3B!$D$464:$D$100,"&lt;="&amp;B464,CBIC_Late_Fee_Relief_Windows_3B!$E$464:$E$100,"&gt;="&amp;B464,CBIC_Late_Fee_Relief_Windows_3B!$F$464:$F$100,"&lt;="&amp;C464,CBIC_Late_Fee_Relief_Windows_3B!$G$464:$G$100,"&gt;="&amp;C464)</f>
        <v/>
      </c>
      <c r="H464">
        <f>INDEX(CBIC_Late_Fee_Relief_Windows_3B!$I$464:$I$100,MATCH(G464,CBIC_Late_Fee_Relief_Windows_3B!$O$464:$O$100,0))</f>
        <v/>
      </c>
      <c r="I464">
        <f>MIN(F464,H464)</f>
        <v/>
      </c>
    </row>
    <row r="465">
      <c r="A465">
        <f>TEST_DATA!A465</f>
        <v/>
      </c>
      <c r="B465">
        <f>TEST_DATA!B465</f>
        <v/>
      </c>
      <c r="C465">
        <f>TEST_DATA!C465</f>
        <v/>
      </c>
      <c r="D465">
        <f>TEST_DATA!D465</f>
        <v/>
      </c>
      <c r="E465">
        <f>TEST_DATA!E465</f>
        <v/>
      </c>
      <c r="F465">
        <f>MIN(E465*46500,10000)</f>
        <v/>
      </c>
      <c r="G465">
        <f>MINIFS(CBIC_Late_Fee_Relief_Windows_3B!$O$465:$O$100,CBIC_Late_Fee_Relief_Windows_3B!$D$465:$D$100,"&lt;="&amp;B465,CBIC_Late_Fee_Relief_Windows_3B!$E$465:$E$100,"&gt;="&amp;B465,CBIC_Late_Fee_Relief_Windows_3B!$F$465:$F$100,"&lt;="&amp;C465,CBIC_Late_Fee_Relief_Windows_3B!$G$465:$G$100,"&gt;="&amp;C465)</f>
        <v/>
      </c>
      <c r="H465">
        <f>INDEX(CBIC_Late_Fee_Relief_Windows_3B!$I$465:$I$100,MATCH(G465,CBIC_Late_Fee_Relief_Windows_3B!$O$465:$O$100,0))</f>
        <v/>
      </c>
      <c r="I465">
        <f>MIN(F465,H465)</f>
        <v/>
      </c>
    </row>
    <row r="466">
      <c r="A466">
        <f>TEST_DATA!A466</f>
        <v/>
      </c>
      <c r="B466">
        <f>TEST_DATA!B466</f>
        <v/>
      </c>
      <c r="C466">
        <f>TEST_DATA!C466</f>
        <v/>
      </c>
      <c r="D466">
        <f>TEST_DATA!D466</f>
        <v/>
      </c>
      <c r="E466">
        <f>TEST_DATA!E466</f>
        <v/>
      </c>
      <c r="F466">
        <f>MIN(E466*46600,10000)</f>
        <v/>
      </c>
      <c r="G466">
        <f>MINIFS(CBIC_Late_Fee_Relief_Windows_3B!$O$466:$O$100,CBIC_Late_Fee_Relief_Windows_3B!$D$466:$D$100,"&lt;="&amp;B466,CBIC_Late_Fee_Relief_Windows_3B!$E$466:$E$100,"&gt;="&amp;B466,CBIC_Late_Fee_Relief_Windows_3B!$F$466:$F$100,"&lt;="&amp;C466,CBIC_Late_Fee_Relief_Windows_3B!$G$466:$G$100,"&gt;="&amp;C466)</f>
        <v/>
      </c>
      <c r="H466">
        <f>INDEX(CBIC_Late_Fee_Relief_Windows_3B!$I$466:$I$100,MATCH(G466,CBIC_Late_Fee_Relief_Windows_3B!$O$466:$O$100,0))</f>
        <v/>
      </c>
      <c r="I466">
        <f>MIN(F466,H466)</f>
        <v/>
      </c>
    </row>
    <row r="467">
      <c r="A467">
        <f>TEST_DATA!A467</f>
        <v/>
      </c>
      <c r="B467">
        <f>TEST_DATA!B467</f>
        <v/>
      </c>
      <c r="C467">
        <f>TEST_DATA!C467</f>
        <v/>
      </c>
      <c r="D467">
        <f>TEST_DATA!D467</f>
        <v/>
      </c>
      <c r="E467">
        <f>TEST_DATA!E467</f>
        <v/>
      </c>
      <c r="F467">
        <f>MIN(E467*46700,10000)</f>
        <v/>
      </c>
      <c r="G467">
        <f>MINIFS(CBIC_Late_Fee_Relief_Windows_3B!$O$467:$O$100,CBIC_Late_Fee_Relief_Windows_3B!$D$467:$D$100,"&lt;="&amp;B467,CBIC_Late_Fee_Relief_Windows_3B!$E$467:$E$100,"&gt;="&amp;B467,CBIC_Late_Fee_Relief_Windows_3B!$F$467:$F$100,"&lt;="&amp;C467,CBIC_Late_Fee_Relief_Windows_3B!$G$467:$G$100,"&gt;="&amp;C467)</f>
        <v/>
      </c>
      <c r="H467">
        <f>INDEX(CBIC_Late_Fee_Relief_Windows_3B!$I$467:$I$100,MATCH(G467,CBIC_Late_Fee_Relief_Windows_3B!$O$467:$O$100,0))</f>
        <v/>
      </c>
      <c r="I467">
        <f>MIN(F467,H467)</f>
        <v/>
      </c>
    </row>
    <row r="468">
      <c r="A468">
        <f>TEST_DATA!A468</f>
        <v/>
      </c>
      <c r="B468">
        <f>TEST_DATA!B468</f>
        <v/>
      </c>
      <c r="C468">
        <f>TEST_DATA!C468</f>
        <v/>
      </c>
      <c r="D468">
        <f>TEST_DATA!D468</f>
        <v/>
      </c>
      <c r="E468">
        <f>TEST_DATA!E468</f>
        <v/>
      </c>
      <c r="F468">
        <f>MIN(E468*46800,10000)</f>
        <v/>
      </c>
      <c r="G468">
        <f>MINIFS(CBIC_Late_Fee_Relief_Windows_3B!$O$468:$O$100,CBIC_Late_Fee_Relief_Windows_3B!$D$468:$D$100,"&lt;="&amp;B468,CBIC_Late_Fee_Relief_Windows_3B!$E$468:$E$100,"&gt;="&amp;B468,CBIC_Late_Fee_Relief_Windows_3B!$F$468:$F$100,"&lt;="&amp;C468,CBIC_Late_Fee_Relief_Windows_3B!$G$468:$G$100,"&gt;="&amp;C468)</f>
        <v/>
      </c>
      <c r="H468">
        <f>INDEX(CBIC_Late_Fee_Relief_Windows_3B!$I$468:$I$100,MATCH(G468,CBIC_Late_Fee_Relief_Windows_3B!$O$468:$O$100,0))</f>
        <v/>
      </c>
      <c r="I468">
        <f>MIN(F468,H468)</f>
        <v/>
      </c>
    </row>
    <row r="469">
      <c r="A469">
        <f>TEST_DATA!A469</f>
        <v/>
      </c>
      <c r="B469">
        <f>TEST_DATA!B469</f>
        <v/>
      </c>
      <c r="C469">
        <f>TEST_DATA!C469</f>
        <v/>
      </c>
      <c r="D469">
        <f>TEST_DATA!D469</f>
        <v/>
      </c>
      <c r="E469">
        <f>TEST_DATA!E469</f>
        <v/>
      </c>
      <c r="F469">
        <f>MIN(E469*46900,10000)</f>
        <v/>
      </c>
      <c r="G469">
        <f>MINIFS(CBIC_Late_Fee_Relief_Windows_3B!$O$469:$O$100,CBIC_Late_Fee_Relief_Windows_3B!$D$469:$D$100,"&lt;="&amp;B469,CBIC_Late_Fee_Relief_Windows_3B!$E$469:$E$100,"&gt;="&amp;B469,CBIC_Late_Fee_Relief_Windows_3B!$F$469:$F$100,"&lt;="&amp;C469,CBIC_Late_Fee_Relief_Windows_3B!$G$469:$G$100,"&gt;="&amp;C469)</f>
        <v/>
      </c>
      <c r="H469">
        <f>INDEX(CBIC_Late_Fee_Relief_Windows_3B!$I$469:$I$100,MATCH(G469,CBIC_Late_Fee_Relief_Windows_3B!$O$469:$O$100,0))</f>
        <v/>
      </c>
      <c r="I469">
        <f>MIN(F469,H469)</f>
        <v/>
      </c>
    </row>
    <row r="470">
      <c r="A470">
        <f>TEST_DATA!A470</f>
        <v/>
      </c>
      <c r="B470">
        <f>TEST_DATA!B470</f>
        <v/>
      </c>
      <c r="C470">
        <f>TEST_DATA!C470</f>
        <v/>
      </c>
      <c r="D470">
        <f>TEST_DATA!D470</f>
        <v/>
      </c>
      <c r="E470">
        <f>TEST_DATA!E470</f>
        <v/>
      </c>
      <c r="F470">
        <f>MIN(E470*47000,10000)</f>
        <v/>
      </c>
      <c r="G470">
        <f>MINIFS(CBIC_Late_Fee_Relief_Windows_3B!$O$470:$O$100,CBIC_Late_Fee_Relief_Windows_3B!$D$470:$D$100,"&lt;="&amp;B470,CBIC_Late_Fee_Relief_Windows_3B!$E$470:$E$100,"&gt;="&amp;B470,CBIC_Late_Fee_Relief_Windows_3B!$F$470:$F$100,"&lt;="&amp;C470,CBIC_Late_Fee_Relief_Windows_3B!$G$470:$G$100,"&gt;="&amp;C470)</f>
        <v/>
      </c>
      <c r="H470">
        <f>INDEX(CBIC_Late_Fee_Relief_Windows_3B!$I$470:$I$100,MATCH(G470,CBIC_Late_Fee_Relief_Windows_3B!$O$470:$O$100,0))</f>
        <v/>
      </c>
      <c r="I470">
        <f>MIN(F470,H470)</f>
        <v/>
      </c>
    </row>
    <row r="471">
      <c r="A471">
        <f>TEST_DATA!A471</f>
        <v/>
      </c>
      <c r="B471">
        <f>TEST_DATA!B471</f>
        <v/>
      </c>
      <c r="C471">
        <f>TEST_DATA!C471</f>
        <v/>
      </c>
      <c r="D471">
        <f>TEST_DATA!D471</f>
        <v/>
      </c>
      <c r="E471">
        <f>TEST_DATA!E471</f>
        <v/>
      </c>
      <c r="F471">
        <f>MIN(E471*47100,10000)</f>
        <v/>
      </c>
      <c r="G471">
        <f>MINIFS(CBIC_Late_Fee_Relief_Windows_3B!$O$471:$O$100,CBIC_Late_Fee_Relief_Windows_3B!$D$471:$D$100,"&lt;="&amp;B471,CBIC_Late_Fee_Relief_Windows_3B!$E$471:$E$100,"&gt;="&amp;B471,CBIC_Late_Fee_Relief_Windows_3B!$F$471:$F$100,"&lt;="&amp;C471,CBIC_Late_Fee_Relief_Windows_3B!$G$471:$G$100,"&gt;="&amp;C471)</f>
        <v/>
      </c>
      <c r="H471">
        <f>INDEX(CBIC_Late_Fee_Relief_Windows_3B!$I$471:$I$100,MATCH(G471,CBIC_Late_Fee_Relief_Windows_3B!$O$471:$O$100,0))</f>
        <v/>
      </c>
      <c r="I471">
        <f>MIN(F471,H471)</f>
        <v/>
      </c>
    </row>
    <row r="472">
      <c r="A472">
        <f>TEST_DATA!A472</f>
        <v/>
      </c>
      <c r="B472">
        <f>TEST_DATA!B472</f>
        <v/>
      </c>
      <c r="C472">
        <f>TEST_DATA!C472</f>
        <v/>
      </c>
      <c r="D472">
        <f>TEST_DATA!D472</f>
        <v/>
      </c>
      <c r="E472">
        <f>TEST_DATA!E472</f>
        <v/>
      </c>
      <c r="F472">
        <f>MIN(E472*47200,10000)</f>
        <v/>
      </c>
      <c r="G472">
        <f>MINIFS(CBIC_Late_Fee_Relief_Windows_3B!$O$472:$O$100,CBIC_Late_Fee_Relief_Windows_3B!$D$472:$D$100,"&lt;="&amp;B472,CBIC_Late_Fee_Relief_Windows_3B!$E$472:$E$100,"&gt;="&amp;B472,CBIC_Late_Fee_Relief_Windows_3B!$F$472:$F$100,"&lt;="&amp;C472,CBIC_Late_Fee_Relief_Windows_3B!$G$472:$G$100,"&gt;="&amp;C472)</f>
        <v/>
      </c>
      <c r="H472">
        <f>INDEX(CBIC_Late_Fee_Relief_Windows_3B!$I$472:$I$100,MATCH(G472,CBIC_Late_Fee_Relief_Windows_3B!$O$472:$O$100,0))</f>
        <v/>
      </c>
      <c r="I472">
        <f>MIN(F472,H472)</f>
        <v/>
      </c>
    </row>
    <row r="473">
      <c r="A473">
        <f>TEST_DATA!A473</f>
        <v/>
      </c>
      <c r="B473">
        <f>TEST_DATA!B473</f>
        <v/>
      </c>
      <c r="C473">
        <f>TEST_DATA!C473</f>
        <v/>
      </c>
      <c r="D473">
        <f>TEST_DATA!D473</f>
        <v/>
      </c>
      <c r="E473">
        <f>TEST_DATA!E473</f>
        <v/>
      </c>
      <c r="F473">
        <f>MIN(E473*47300,10000)</f>
        <v/>
      </c>
      <c r="G473">
        <f>MINIFS(CBIC_Late_Fee_Relief_Windows_3B!$O$473:$O$100,CBIC_Late_Fee_Relief_Windows_3B!$D$473:$D$100,"&lt;="&amp;B473,CBIC_Late_Fee_Relief_Windows_3B!$E$473:$E$100,"&gt;="&amp;B473,CBIC_Late_Fee_Relief_Windows_3B!$F$473:$F$100,"&lt;="&amp;C473,CBIC_Late_Fee_Relief_Windows_3B!$G$473:$G$100,"&gt;="&amp;C473)</f>
        <v/>
      </c>
      <c r="H473">
        <f>INDEX(CBIC_Late_Fee_Relief_Windows_3B!$I$473:$I$100,MATCH(G473,CBIC_Late_Fee_Relief_Windows_3B!$O$473:$O$100,0))</f>
        <v/>
      </c>
      <c r="I473">
        <f>MIN(F473,H473)</f>
        <v/>
      </c>
    </row>
    <row r="474">
      <c r="A474">
        <f>TEST_DATA!A474</f>
        <v/>
      </c>
      <c r="B474">
        <f>TEST_DATA!B474</f>
        <v/>
      </c>
      <c r="C474">
        <f>TEST_DATA!C474</f>
        <v/>
      </c>
      <c r="D474">
        <f>TEST_DATA!D474</f>
        <v/>
      </c>
      <c r="E474">
        <f>TEST_DATA!E474</f>
        <v/>
      </c>
      <c r="F474">
        <f>MIN(E474*47400,10000)</f>
        <v/>
      </c>
      <c r="G474">
        <f>MINIFS(CBIC_Late_Fee_Relief_Windows_3B!$O$474:$O$100,CBIC_Late_Fee_Relief_Windows_3B!$D$474:$D$100,"&lt;="&amp;B474,CBIC_Late_Fee_Relief_Windows_3B!$E$474:$E$100,"&gt;="&amp;B474,CBIC_Late_Fee_Relief_Windows_3B!$F$474:$F$100,"&lt;="&amp;C474,CBIC_Late_Fee_Relief_Windows_3B!$G$474:$G$100,"&gt;="&amp;C474)</f>
        <v/>
      </c>
      <c r="H474">
        <f>INDEX(CBIC_Late_Fee_Relief_Windows_3B!$I$474:$I$100,MATCH(G474,CBIC_Late_Fee_Relief_Windows_3B!$O$474:$O$100,0))</f>
        <v/>
      </c>
      <c r="I474">
        <f>MIN(F474,H474)</f>
        <v/>
      </c>
    </row>
    <row r="475">
      <c r="A475">
        <f>TEST_DATA!A475</f>
        <v/>
      </c>
      <c r="B475">
        <f>TEST_DATA!B475</f>
        <v/>
      </c>
      <c r="C475">
        <f>TEST_DATA!C475</f>
        <v/>
      </c>
      <c r="D475">
        <f>TEST_DATA!D475</f>
        <v/>
      </c>
      <c r="E475">
        <f>TEST_DATA!E475</f>
        <v/>
      </c>
      <c r="F475">
        <f>MIN(E475*47500,10000)</f>
        <v/>
      </c>
      <c r="G475">
        <f>MINIFS(CBIC_Late_Fee_Relief_Windows_3B!$O$475:$O$100,CBIC_Late_Fee_Relief_Windows_3B!$D$475:$D$100,"&lt;="&amp;B475,CBIC_Late_Fee_Relief_Windows_3B!$E$475:$E$100,"&gt;="&amp;B475,CBIC_Late_Fee_Relief_Windows_3B!$F$475:$F$100,"&lt;="&amp;C475,CBIC_Late_Fee_Relief_Windows_3B!$G$475:$G$100,"&gt;="&amp;C475)</f>
        <v/>
      </c>
      <c r="H475">
        <f>INDEX(CBIC_Late_Fee_Relief_Windows_3B!$I$475:$I$100,MATCH(G475,CBIC_Late_Fee_Relief_Windows_3B!$O$475:$O$100,0))</f>
        <v/>
      </c>
      <c r="I475">
        <f>MIN(F475,H475)</f>
        <v/>
      </c>
    </row>
    <row r="476">
      <c r="A476">
        <f>TEST_DATA!A476</f>
        <v/>
      </c>
      <c r="B476">
        <f>TEST_DATA!B476</f>
        <v/>
      </c>
      <c r="C476">
        <f>TEST_DATA!C476</f>
        <v/>
      </c>
      <c r="D476">
        <f>TEST_DATA!D476</f>
        <v/>
      </c>
      <c r="E476">
        <f>TEST_DATA!E476</f>
        <v/>
      </c>
      <c r="F476">
        <f>MIN(E476*47600,10000)</f>
        <v/>
      </c>
      <c r="G476">
        <f>MINIFS(CBIC_Late_Fee_Relief_Windows_3B!$O$476:$O$100,CBIC_Late_Fee_Relief_Windows_3B!$D$476:$D$100,"&lt;="&amp;B476,CBIC_Late_Fee_Relief_Windows_3B!$E$476:$E$100,"&gt;="&amp;B476,CBIC_Late_Fee_Relief_Windows_3B!$F$476:$F$100,"&lt;="&amp;C476,CBIC_Late_Fee_Relief_Windows_3B!$G$476:$G$100,"&gt;="&amp;C476)</f>
        <v/>
      </c>
      <c r="H476">
        <f>INDEX(CBIC_Late_Fee_Relief_Windows_3B!$I$476:$I$100,MATCH(G476,CBIC_Late_Fee_Relief_Windows_3B!$O$476:$O$100,0))</f>
        <v/>
      </c>
      <c r="I476">
        <f>MIN(F476,H476)</f>
        <v/>
      </c>
    </row>
    <row r="477">
      <c r="A477">
        <f>TEST_DATA!A477</f>
        <v/>
      </c>
      <c r="B477">
        <f>TEST_DATA!B477</f>
        <v/>
      </c>
      <c r="C477">
        <f>TEST_DATA!C477</f>
        <v/>
      </c>
      <c r="D477">
        <f>TEST_DATA!D477</f>
        <v/>
      </c>
      <c r="E477">
        <f>TEST_DATA!E477</f>
        <v/>
      </c>
      <c r="F477">
        <f>MIN(E477*47700,10000)</f>
        <v/>
      </c>
      <c r="G477">
        <f>MINIFS(CBIC_Late_Fee_Relief_Windows_3B!$O$477:$O$100,CBIC_Late_Fee_Relief_Windows_3B!$D$477:$D$100,"&lt;="&amp;B477,CBIC_Late_Fee_Relief_Windows_3B!$E$477:$E$100,"&gt;="&amp;B477,CBIC_Late_Fee_Relief_Windows_3B!$F$477:$F$100,"&lt;="&amp;C477,CBIC_Late_Fee_Relief_Windows_3B!$G$477:$G$100,"&gt;="&amp;C477)</f>
        <v/>
      </c>
      <c r="H477">
        <f>INDEX(CBIC_Late_Fee_Relief_Windows_3B!$I$477:$I$100,MATCH(G477,CBIC_Late_Fee_Relief_Windows_3B!$O$477:$O$100,0))</f>
        <v/>
      </c>
      <c r="I477">
        <f>MIN(F477,H477)</f>
        <v/>
      </c>
    </row>
    <row r="478">
      <c r="A478">
        <f>TEST_DATA!A478</f>
        <v/>
      </c>
      <c r="B478">
        <f>TEST_DATA!B478</f>
        <v/>
      </c>
      <c r="C478">
        <f>TEST_DATA!C478</f>
        <v/>
      </c>
      <c r="D478">
        <f>TEST_DATA!D478</f>
        <v/>
      </c>
      <c r="E478">
        <f>TEST_DATA!E478</f>
        <v/>
      </c>
      <c r="F478">
        <f>MIN(E478*47800,10000)</f>
        <v/>
      </c>
      <c r="G478">
        <f>MINIFS(CBIC_Late_Fee_Relief_Windows_3B!$O$478:$O$100,CBIC_Late_Fee_Relief_Windows_3B!$D$478:$D$100,"&lt;="&amp;B478,CBIC_Late_Fee_Relief_Windows_3B!$E$478:$E$100,"&gt;="&amp;B478,CBIC_Late_Fee_Relief_Windows_3B!$F$478:$F$100,"&lt;="&amp;C478,CBIC_Late_Fee_Relief_Windows_3B!$G$478:$G$100,"&gt;="&amp;C478)</f>
        <v/>
      </c>
      <c r="H478">
        <f>INDEX(CBIC_Late_Fee_Relief_Windows_3B!$I$478:$I$100,MATCH(G478,CBIC_Late_Fee_Relief_Windows_3B!$O$478:$O$100,0))</f>
        <v/>
      </c>
      <c r="I478">
        <f>MIN(F478,H478)</f>
        <v/>
      </c>
    </row>
    <row r="479">
      <c r="A479">
        <f>TEST_DATA!A479</f>
        <v/>
      </c>
      <c r="B479">
        <f>TEST_DATA!B479</f>
        <v/>
      </c>
      <c r="C479">
        <f>TEST_DATA!C479</f>
        <v/>
      </c>
      <c r="D479">
        <f>TEST_DATA!D479</f>
        <v/>
      </c>
      <c r="E479">
        <f>TEST_DATA!E479</f>
        <v/>
      </c>
      <c r="F479">
        <f>MIN(E479*47900,10000)</f>
        <v/>
      </c>
      <c r="G479">
        <f>MINIFS(CBIC_Late_Fee_Relief_Windows_3B!$O$479:$O$100,CBIC_Late_Fee_Relief_Windows_3B!$D$479:$D$100,"&lt;="&amp;B479,CBIC_Late_Fee_Relief_Windows_3B!$E$479:$E$100,"&gt;="&amp;B479,CBIC_Late_Fee_Relief_Windows_3B!$F$479:$F$100,"&lt;="&amp;C479,CBIC_Late_Fee_Relief_Windows_3B!$G$479:$G$100,"&gt;="&amp;C479)</f>
        <v/>
      </c>
      <c r="H479">
        <f>INDEX(CBIC_Late_Fee_Relief_Windows_3B!$I$479:$I$100,MATCH(G479,CBIC_Late_Fee_Relief_Windows_3B!$O$479:$O$100,0))</f>
        <v/>
      </c>
      <c r="I479">
        <f>MIN(F479,H479)</f>
        <v/>
      </c>
    </row>
    <row r="480">
      <c r="A480">
        <f>TEST_DATA!A480</f>
        <v/>
      </c>
      <c r="B480">
        <f>TEST_DATA!B480</f>
        <v/>
      </c>
      <c r="C480">
        <f>TEST_DATA!C480</f>
        <v/>
      </c>
      <c r="D480">
        <f>TEST_DATA!D480</f>
        <v/>
      </c>
      <c r="E480">
        <f>TEST_DATA!E480</f>
        <v/>
      </c>
      <c r="F480">
        <f>MIN(E480*48000,10000)</f>
        <v/>
      </c>
      <c r="G480">
        <f>MINIFS(CBIC_Late_Fee_Relief_Windows_3B!$O$480:$O$100,CBIC_Late_Fee_Relief_Windows_3B!$D$480:$D$100,"&lt;="&amp;B480,CBIC_Late_Fee_Relief_Windows_3B!$E$480:$E$100,"&gt;="&amp;B480,CBIC_Late_Fee_Relief_Windows_3B!$F$480:$F$100,"&lt;="&amp;C480,CBIC_Late_Fee_Relief_Windows_3B!$G$480:$G$100,"&gt;="&amp;C480)</f>
        <v/>
      </c>
      <c r="H480">
        <f>INDEX(CBIC_Late_Fee_Relief_Windows_3B!$I$480:$I$100,MATCH(G480,CBIC_Late_Fee_Relief_Windows_3B!$O$480:$O$100,0))</f>
        <v/>
      </c>
      <c r="I480">
        <f>MIN(F480,H480)</f>
        <v/>
      </c>
    </row>
    <row r="481">
      <c r="A481">
        <f>TEST_DATA!A481</f>
        <v/>
      </c>
      <c r="B481">
        <f>TEST_DATA!B481</f>
        <v/>
      </c>
      <c r="C481">
        <f>TEST_DATA!C481</f>
        <v/>
      </c>
      <c r="D481">
        <f>TEST_DATA!D481</f>
        <v/>
      </c>
      <c r="E481">
        <f>TEST_DATA!E481</f>
        <v/>
      </c>
      <c r="F481">
        <f>MIN(E481*48100,10000)</f>
        <v/>
      </c>
      <c r="G481">
        <f>MINIFS(CBIC_Late_Fee_Relief_Windows_3B!$O$481:$O$100,CBIC_Late_Fee_Relief_Windows_3B!$D$481:$D$100,"&lt;="&amp;B481,CBIC_Late_Fee_Relief_Windows_3B!$E$481:$E$100,"&gt;="&amp;B481,CBIC_Late_Fee_Relief_Windows_3B!$F$481:$F$100,"&lt;="&amp;C481,CBIC_Late_Fee_Relief_Windows_3B!$G$481:$G$100,"&gt;="&amp;C481)</f>
        <v/>
      </c>
      <c r="H481">
        <f>INDEX(CBIC_Late_Fee_Relief_Windows_3B!$I$481:$I$100,MATCH(G481,CBIC_Late_Fee_Relief_Windows_3B!$O$481:$O$100,0))</f>
        <v/>
      </c>
      <c r="I481">
        <f>MIN(F481,H481)</f>
        <v/>
      </c>
    </row>
    <row r="482">
      <c r="A482">
        <f>TEST_DATA!A482</f>
        <v/>
      </c>
      <c r="B482">
        <f>TEST_DATA!B482</f>
        <v/>
      </c>
      <c r="C482">
        <f>TEST_DATA!C482</f>
        <v/>
      </c>
      <c r="D482">
        <f>TEST_DATA!D482</f>
        <v/>
      </c>
      <c r="E482">
        <f>TEST_DATA!E482</f>
        <v/>
      </c>
      <c r="F482">
        <f>MIN(E482*48200,10000)</f>
        <v/>
      </c>
      <c r="G482">
        <f>MINIFS(CBIC_Late_Fee_Relief_Windows_3B!$O$482:$O$100,CBIC_Late_Fee_Relief_Windows_3B!$D$482:$D$100,"&lt;="&amp;B482,CBIC_Late_Fee_Relief_Windows_3B!$E$482:$E$100,"&gt;="&amp;B482,CBIC_Late_Fee_Relief_Windows_3B!$F$482:$F$100,"&lt;="&amp;C482,CBIC_Late_Fee_Relief_Windows_3B!$G$482:$G$100,"&gt;="&amp;C482)</f>
        <v/>
      </c>
      <c r="H482">
        <f>INDEX(CBIC_Late_Fee_Relief_Windows_3B!$I$482:$I$100,MATCH(G482,CBIC_Late_Fee_Relief_Windows_3B!$O$482:$O$100,0))</f>
        <v/>
      </c>
      <c r="I482">
        <f>MIN(F482,H482)</f>
        <v/>
      </c>
    </row>
    <row r="483">
      <c r="A483">
        <f>TEST_DATA!A483</f>
        <v/>
      </c>
      <c r="B483">
        <f>TEST_DATA!B483</f>
        <v/>
      </c>
      <c r="C483">
        <f>TEST_DATA!C483</f>
        <v/>
      </c>
      <c r="D483">
        <f>TEST_DATA!D483</f>
        <v/>
      </c>
      <c r="E483">
        <f>TEST_DATA!E483</f>
        <v/>
      </c>
      <c r="F483">
        <f>MIN(E483*48300,10000)</f>
        <v/>
      </c>
      <c r="G483">
        <f>MINIFS(CBIC_Late_Fee_Relief_Windows_3B!$O$483:$O$100,CBIC_Late_Fee_Relief_Windows_3B!$D$483:$D$100,"&lt;="&amp;B483,CBIC_Late_Fee_Relief_Windows_3B!$E$483:$E$100,"&gt;="&amp;B483,CBIC_Late_Fee_Relief_Windows_3B!$F$483:$F$100,"&lt;="&amp;C483,CBIC_Late_Fee_Relief_Windows_3B!$G$483:$G$100,"&gt;="&amp;C483)</f>
        <v/>
      </c>
      <c r="H483">
        <f>INDEX(CBIC_Late_Fee_Relief_Windows_3B!$I$483:$I$100,MATCH(G483,CBIC_Late_Fee_Relief_Windows_3B!$O$483:$O$100,0))</f>
        <v/>
      </c>
      <c r="I483">
        <f>MIN(F483,H483)</f>
        <v/>
      </c>
    </row>
    <row r="484">
      <c r="A484">
        <f>TEST_DATA!A484</f>
        <v/>
      </c>
      <c r="B484">
        <f>TEST_DATA!B484</f>
        <v/>
      </c>
      <c r="C484">
        <f>TEST_DATA!C484</f>
        <v/>
      </c>
      <c r="D484">
        <f>TEST_DATA!D484</f>
        <v/>
      </c>
      <c r="E484">
        <f>TEST_DATA!E484</f>
        <v/>
      </c>
      <c r="F484">
        <f>MIN(E484*48400,10000)</f>
        <v/>
      </c>
      <c r="G484">
        <f>MINIFS(CBIC_Late_Fee_Relief_Windows_3B!$O$484:$O$100,CBIC_Late_Fee_Relief_Windows_3B!$D$484:$D$100,"&lt;="&amp;B484,CBIC_Late_Fee_Relief_Windows_3B!$E$484:$E$100,"&gt;="&amp;B484,CBIC_Late_Fee_Relief_Windows_3B!$F$484:$F$100,"&lt;="&amp;C484,CBIC_Late_Fee_Relief_Windows_3B!$G$484:$G$100,"&gt;="&amp;C484)</f>
        <v/>
      </c>
      <c r="H484">
        <f>INDEX(CBIC_Late_Fee_Relief_Windows_3B!$I$484:$I$100,MATCH(G484,CBIC_Late_Fee_Relief_Windows_3B!$O$484:$O$100,0))</f>
        <v/>
      </c>
      <c r="I484">
        <f>MIN(F484,H484)</f>
        <v/>
      </c>
    </row>
    <row r="485">
      <c r="A485">
        <f>TEST_DATA!A485</f>
        <v/>
      </c>
      <c r="B485">
        <f>TEST_DATA!B485</f>
        <v/>
      </c>
      <c r="C485">
        <f>TEST_DATA!C485</f>
        <v/>
      </c>
      <c r="D485">
        <f>TEST_DATA!D485</f>
        <v/>
      </c>
      <c r="E485">
        <f>TEST_DATA!E485</f>
        <v/>
      </c>
      <c r="F485">
        <f>MIN(E485*48500,10000)</f>
        <v/>
      </c>
      <c r="G485">
        <f>MINIFS(CBIC_Late_Fee_Relief_Windows_3B!$O$485:$O$100,CBIC_Late_Fee_Relief_Windows_3B!$D$485:$D$100,"&lt;="&amp;B485,CBIC_Late_Fee_Relief_Windows_3B!$E$485:$E$100,"&gt;="&amp;B485,CBIC_Late_Fee_Relief_Windows_3B!$F$485:$F$100,"&lt;="&amp;C485,CBIC_Late_Fee_Relief_Windows_3B!$G$485:$G$100,"&gt;="&amp;C485)</f>
        <v/>
      </c>
      <c r="H485">
        <f>INDEX(CBIC_Late_Fee_Relief_Windows_3B!$I$485:$I$100,MATCH(G485,CBIC_Late_Fee_Relief_Windows_3B!$O$485:$O$100,0))</f>
        <v/>
      </c>
      <c r="I485">
        <f>MIN(F485,H485)</f>
        <v/>
      </c>
    </row>
    <row r="486">
      <c r="A486">
        <f>TEST_DATA!A486</f>
        <v/>
      </c>
      <c r="B486">
        <f>TEST_DATA!B486</f>
        <v/>
      </c>
      <c r="C486">
        <f>TEST_DATA!C486</f>
        <v/>
      </c>
      <c r="D486">
        <f>TEST_DATA!D486</f>
        <v/>
      </c>
      <c r="E486">
        <f>TEST_DATA!E486</f>
        <v/>
      </c>
      <c r="F486">
        <f>MIN(E486*48600,10000)</f>
        <v/>
      </c>
      <c r="G486">
        <f>MINIFS(CBIC_Late_Fee_Relief_Windows_3B!$O$486:$O$100,CBIC_Late_Fee_Relief_Windows_3B!$D$486:$D$100,"&lt;="&amp;B486,CBIC_Late_Fee_Relief_Windows_3B!$E$486:$E$100,"&gt;="&amp;B486,CBIC_Late_Fee_Relief_Windows_3B!$F$486:$F$100,"&lt;="&amp;C486,CBIC_Late_Fee_Relief_Windows_3B!$G$486:$G$100,"&gt;="&amp;C486)</f>
        <v/>
      </c>
      <c r="H486">
        <f>INDEX(CBIC_Late_Fee_Relief_Windows_3B!$I$486:$I$100,MATCH(G486,CBIC_Late_Fee_Relief_Windows_3B!$O$486:$O$100,0))</f>
        <v/>
      </c>
      <c r="I486">
        <f>MIN(F486,H486)</f>
        <v/>
      </c>
    </row>
    <row r="487">
      <c r="A487">
        <f>TEST_DATA!A487</f>
        <v/>
      </c>
      <c r="B487">
        <f>TEST_DATA!B487</f>
        <v/>
      </c>
      <c r="C487">
        <f>TEST_DATA!C487</f>
        <v/>
      </c>
      <c r="D487">
        <f>TEST_DATA!D487</f>
        <v/>
      </c>
      <c r="E487">
        <f>TEST_DATA!E487</f>
        <v/>
      </c>
      <c r="F487">
        <f>MIN(E487*48700,10000)</f>
        <v/>
      </c>
      <c r="G487">
        <f>MINIFS(CBIC_Late_Fee_Relief_Windows_3B!$O$487:$O$100,CBIC_Late_Fee_Relief_Windows_3B!$D$487:$D$100,"&lt;="&amp;B487,CBIC_Late_Fee_Relief_Windows_3B!$E$487:$E$100,"&gt;="&amp;B487,CBIC_Late_Fee_Relief_Windows_3B!$F$487:$F$100,"&lt;="&amp;C487,CBIC_Late_Fee_Relief_Windows_3B!$G$487:$G$100,"&gt;="&amp;C487)</f>
        <v/>
      </c>
      <c r="H487">
        <f>INDEX(CBIC_Late_Fee_Relief_Windows_3B!$I$487:$I$100,MATCH(G487,CBIC_Late_Fee_Relief_Windows_3B!$O$487:$O$100,0))</f>
        <v/>
      </c>
      <c r="I487">
        <f>MIN(F487,H487)</f>
        <v/>
      </c>
    </row>
    <row r="488">
      <c r="A488">
        <f>TEST_DATA!A488</f>
        <v/>
      </c>
      <c r="B488">
        <f>TEST_DATA!B488</f>
        <v/>
      </c>
      <c r="C488">
        <f>TEST_DATA!C488</f>
        <v/>
      </c>
      <c r="D488">
        <f>TEST_DATA!D488</f>
        <v/>
      </c>
      <c r="E488">
        <f>TEST_DATA!E488</f>
        <v/>
      </c>
      <c r="F488">
        <f>MIN(E488*48800,10000)</f>
        <v/>
      </c>
      <c r="G488">
        <f>MINIFS(CBIC_Late_Fee_Relief_Windows_3B!$O$488:$O$100,CBIC_Late_Fee_Relief_Windows_3B!$D$488:$D$100,"&lt;="&amp;B488,CBIC_Late_Fee_Relief_Windows_3B!$E$488:$E$100,"&gt;="&amp;B488,CBIC_Late_Fee_Relief_Windows_3B!$F$488:$F$100,"&lt;="&amp;C488,CBIC_Late_Fee_Relief_Windows_3B!$G$488:$G$100,"&gt;="&amp;C488)</f>
        <v/>
      </c>
      <c r="H488">
        <f>INDEX(CBIC_Late_Fee_Relief_Windows_3B!$I$488:$I$100,MATCH(G488,CBIC_Late_Fee_Relief_Windows_3B!$O$488:$O$100,0))</f>
        <v/>
      </c>
      <c r="I488">
        <f>MIN(F488,H488)</f>
        <v/>
      </c>
    </row>
    <row r="489">
      <c r="A489">
        <f>TEST_DATA!A489</f>
        <v/>
      </c>
      <c r="B489">
        <f>TEST_DATA!B489</f>
        <v/>
      </c>
      <c r="C489">
        <f>TEST_DATA!C489</f>
        <v/>
      </c>
      <c r="D489">
        <f>TEST_DATA!D489</f>
        <v/>
      </c>
      <c r="E489">
        <f>TEST_DATA!E489</f>
        <v/>
      </c>
      <c r="F489">
        <f>MIN(E489*48900,10000)</f>
        <v/>
      </c>
      <c r="G489">
        <f>MINIFS(CBIC_Late_Fee_Relief_Windows_3B!$O$489:$O$100,CBIC_Late_Fee_Relief_Windows_3B!$D$489:$D$100,"&lt;="&amp;B489,CBIC_Late_Fee_Relief_Windows_3B!$E$489:$E$100,"&gt;="&amp;B489,CBIC_Late_Fee_Relief_Windows_3B!$F$489:$F$100,"&lt;="&amp;C489,CBIC_Late_Fee_Relief_Windows_3B!$G$489:$G$100,"&gt;="&amp;C489)</f>
        <v/>
      </c>
      <c r="H489">
        <f>INDEX(CBIC_Late_Fee_Relief_Windows_3B!$I$489:$I$100,MATCH(G489,CBIC_Late_Fee_Relief_Windows_3B!$O$489:$O$100,0))</f>
        <v/>
      </c>
      <c r="I489">
        <f>MIN(F489,H489)</f>
        <v/>
      </c>
    </row>
    <row r="490">
      <c r="A490">
        <f>TEST_DATA!A490</f>
        <v/>
      </c>
      <c r="B490">
        <f>TEST_DATA!B490</f>
        <v/>
      </c>
      <c r="C490">
        <f>TEST_DATA!C490</f>
        <v/>
      </c>
      <c r="D490">
        <f>TEST_DATA!D490</f>
        <v/>
      </c>
      <c r="E490">
        <f>TEST_DATA!E490</f>
        <v/>
      </c>
      <c r="F490">
        <f>MIN(E490*49000,10000)</f>
        <v/>
      </c>
      <c r="G490">
        <f>MINIFS(CBIC_Late_Fee_Relief_Windows_3B!$O$490:$O$100,CBIC_Late_Fee_Relief_Windows_3B!$D$490:$D$100,"&lt;="&amp;B490,CBIC_Late_Fee_Relief_Windows_3B!$E$490:$E$100,"&gt;="&amp;B490,CBIC_Late_Fee_Relief_Windows_3B!$F$490:$F$100,"&lt;="&amp;C490,CBIC_Late_Fee_Relief_Windows_3B!$G$490:$G$100,"&gt;="&amp;C490)</f>
        <v/>
      </c>
      <c r="H490">
        <f>INDEX(CBIC_Late_Fee_Relief_Windows_3B!$I$490:$I$100,MATCH(G490,CBIC_Late_Fee_Relief_Windows_3B!$O$490:$O$100,0))</f>
        <v/>
      </c>
      <c r="I490">
        <f>MIN(F490,H490)</f>
        <v/>
      </c>
    </row>
    <row r="491">
      <c r="A491">
        <f>TEST_DATA!A491</f>
        <v/>
      </c>
      <c r="B491">
        <f>TEST_DATA!B491</f>
        <v/>
      </c>
      <c r="C491">
        <f>TEST_DATA!C491</f>
        <v/>
      </c>
      <c r="D491">
        <f>TEST_DATA!D491</f>
        <v/>
      </c>
      <c r="E491">
        <f>TEST_DATA!E491</f>
        <v/>
      </c>
      <c r="F491">
        <f>MIN(E491*49100,10000)</f>
        <v/>
      </c>
      <c r="G491">
        <f>MINIFS(CBIC_Late_Fee_Relief_Windows_3B!$O$491:$O$100,CBIC_Late_Fee_Relief_Windows_3B!$D$491:$D$100,"&lt;="&amp;B491,CBIC_Late_Fee_Relief_Windows_3B!$E$491:$E$100,"&gt;="&amp;B491,CBIC_Late_Fee_Relief_Windows_3B!$F$491:$F$100,"&lt;="&amp;C491,CBIC_Late_Fee_Relief_Windows_3B!$G$491:$G$100,"&gt;="&amp;C491)</f>
        <v/>
      </c>
      <c r="H491">
        <f>INDEX(CBIC_Late_Fee_Relief_Windows_3B!$I$491:$I$100,MATCH(G491,CBIC_Late_Fee_Relief_Windows_3B!$O$491:$O$100,0))</f>
        <v/>
      </c>
      <c r="I491">
        <f>MIN(F491,H491)</f>
        <v/>
      </c>
    </row>
    <row r="492">
      <c r="A492">
        <f>TEST_DATA!A492</f>
        <v/>
      </c>
      <c r="B492">
        <f>TEST_DATA!B492</f>
        <v/>
      </c>
      <c r="C492">
        <f>TEST_DATA!C492</f>
        <v/>
      </c>
      <c r="D492">
        <f>TEST_DATA!D492</f>
        <v/>
      </c>
      <c r="E492">
        <f>TEST_DATA!E492</f>
        <v/>
      </c>
      <c r="F492">
        <f>MIN(E492*49200,10000)</f>
        <v/>
      </c>
      <c r="G492">
        <f>MINIFS(CBIC_Late_Fee_Relief_Windows_3B!$O$492:$O$100,CBIC_Late_Fee_Relief_Windows_3B!$D$492:$D$100,"&lt;="&amp;B492,CBIC_Late_Fee_Relief_Windows_3B!$E$492:$E$100,"&gt;="&amp;B492,CBIC_Late_Fee_Relief_Windows_3B!$F$492:$F$100,"&lt;="&amp;C492,CBIC_Late_Fee_Relief_Windows_3B!$G$492:$G$100,"&gt;="&amp;C492)</f>
        <v/>
      </c>
      <c r="H492">
        <f>INDEX(CBIC_Late_Fee_Relief_Windows_3B!$I$492:$I$100,MATCH(G492,CBIC_Late_Fee_Relief_Windows_3B!$O$492:$O$100,0))</f>
        <v/>
      </c>
      <c r="I492">
        <f>MIN(F492,H492)</f>
        <v/>
      </c>
    </row>
    <row r="493">
      <c r="A493">
        <f>TEST_DATA!A493</f>
        <v/>
      </c>
      <c r="B493">
        <f>TEST_DATA!B493</f>
        <v/>
      </c>
      <c r="C493">
        <f>TEST_DATA!C493</f>
        <v/>
      </c>
      <c r="D493">
        <f>TEST_DATA!D493</f>
        <v/>
      </c>
      <c r="E493">
        <f>TEST_DATA!E493</f>
        <v/>
      </c>
      <c r="F493">
        <f>MIN(E493*49300,10000)</f>
        <v/>
      </c>
      <c r="G493">
        <f>MINIFS(CBIC_Late_Fee_Relief_Windows_3B!$O$493:$O$100,CBIC_Late_Fee_Relief_Windows_3B!$D$493:$D$100,"&lt;="&amp;B493,CBIC_Late_Fee_Relief_Windows_3B!$E$493:$E$100,"&gt;="&amp;B493,CBIC_Late_Fee_Relief_Windows_3B!$F$493:$F$100,"&lt;="&amp;C493,CBIC_Late_Fee_Relief_Windows_3B!$G$493:$G$100,"&gt;="&amp;C493)</f>
        <v/>
      </c>
      <c r="H493">
        <f>INDEX(CBIC_Late_Fee_Relief_Windows_3B!$I$493:$I$100,MATCH(G493,CBIC_Late_Fee_Relief_Windows_3B!$O$493:$O$100,0))</f>
        <v/>
      </c>
      <c r="I493">
        <f>MIN(F493,H493)</f>
        <v/>
      </c>
    </row>
    <row r="494">
      <c r="A494">
        <f>TEST_DATA!A494</f>
        <v/>
      </c>
      <c r="B494">
        <f>TEST_DATA!B494</f>
        <v/>
      </c>
      <c r="C494">
        <f>TEST_DATA!C494</f>
        <v/>
      </c>
      <c r="D494">
        <f>TEST_DATA!D494</f>
        <v/>
      </c>
      <c r="E494">
        <f>TEST_DATA!E494</f>
        <v/>
      </c>
      <c r="F494">
        <f>MIN(E494*49400,10000)</f>
        <v/>
      </c>
      <c r="G494">
        <f>MINIFS(CBIC_Late_Fee_Relief_Windows_3B!$O$494:$O$100,CBIC_Late_Fee_Relief_Windows_3B!$D$494:$D$100,"&lt;="&amp;B494,CBIC_Late_Fee_Relief_Windows_3B!$E$494:$E$100,"&gt;="&amp;B494,CBIC_Late_Fee_Relief_Windows_3B!$F$494:$F$100,"&lt;="&amp;C494,CBIC_Late_Fee_Relief_Windows_3B!$G$494:$G$100,"&gt;="&amp;C494)</f>
        <v/>
      </c>
      <c r="H494">
        <f>INDEX(CBIC_Late_Fee_Relief_Windows_3B!$I$494:$I$100,MATCH(G494,CBIC_Late_Fee_Relief_Windows_3B!$O$494:$O$100,0))</f>
        <v/>
      </c>
      <c r="I494">
        <f>MIN(F494,H494)</f>
        <v/>
      </c>
    </row>
    <row r="495">
      <c r="A495">
        <f>TEST_DATA!A495</f>
        <v/>
      </c>
      <c r="B495">
        <f>TEST_DATA!B495</f>
        <v/>
      </c>
      <c r="C495">
        <f>TEST_DATA!C495</f>
        <v/>
      </c>
      <c r="D495">
        <f>TEST_DATA!D495</f>
        <v/>
      </c>
      <c r="E495">
        <f>TEST_DATA!E495</f>
        <v/>
      </c>
      <c r="F495">
        <f>MIN(E495*49500,10000)</f>
        <v/>
      </c>
      <c r="G495">
        <f>MINIFS(CBIC_Late_Fee_Relief_Windows_3B!$O$495:$O$100,CBIC_Late_Fee_Relief_Windows_3B!$D$495:$D$100,"&lt;="&amp;B495,CBIC_Late_Fee_Relief_Windows_3B!$E$495:$E$100,"&gt;="&amp;B495,CBIC_Late_Fee_Relief_Windows_3B!$F$495:$F$100,"&lt;="&amp;C495,CBIC_Late_Fee_Relief_Windows_3B!$G$495:$G$100,"&gt;="&amp;C495)</f>
        <v/>
      </c>
      <c r="H495">
        <f>INDEX(CBIC_Late_Fee_Relief_Windows_3B!$I$495:$I$100,MATCH(G495,CBIC_Late_Fee_Relief_Windows_3B!$O$495:$O$100,0))</f>
        <v/>
      </c>
      <c r="I495">
        <f>MIN(F495,H495)</f>
        <v/>
      </c>
    </row>
    <row r="496">
      <c r="A496">
        <f>TEST_DATA!A496</f>
        <v/>
      </c>
      <c r="B496">
        <f>TEST_DATA!B496</f>
        <v/>
      </c>
      <c r="C496">
        <f>TEST_DATA!C496</f>
        <v/>
      </c>
      <c r="D496">
        <f>TEST_DATA!D496</f>
        <v/>
      </c>
      <c r="E496">
        <f>TEST_DATA!E496</f>
        <v/>
      </c>
      <c r="F496">
        <f>MIN(E496*49600,10000)</f>
        <v/>
      </c>
      <c r="G496">
        <f>MINIFS(CBIC_Late_Fee_Relief_Windows_3B!$O$496:$O$100,CBIC_Late_Fee_Relief_Windows_3B!$D$496:$D$100,"&lt;="&amp;B496,CBIC_Late_Fee_Relief_Windows_3B!$E$496:$E$100,"&gt;="&amp;B496,CBIC_Late_Fee_Relief_Windows_3B!$F$496:$F$100,"&lt;="&amp;C496,CBIC_Late_Fee_Relief_Windows_3B!$G$496:$G$100,"&gt;="&amp;C496)</f>
        <v/>
      </c>
      <c r="H496">
        <f>INDEX(CBIC_Late_Fee_Relief_Windows_3B!$I$496:$I$100,MATCH(G496,CBIC_Late_Fee_Relief_Windows_3B!$O$496:$O$100,0))</f>
        <v/>
      </c>
      <c r="I496">
        <f>MIN(F496,H496)</f>
        <v/>
      </c>
    </row>
    <row r="497">
      <c r="A497">
        <f>TEST_DATA!A497</f>
        <v/>
      </c>
      <c r="B497">
        <f>TEST_DATA!B497</f>
        <v/>
      </c>
      <c r="C497">
        <f>TEST_DATA!C497</f>
        <v/>
      </c>
      <c r="D497">
        <f>TEST_DATA!D497</f>
        <v/>
      </c>
      <c r="E497">
        <f>TEST_DATA!E497</f>
        <v/>
      </c>
      <c r="F497">
        <f>MIN(E497*49700,10000)</f>
        <v/>
      </c>
      <c r="G497">
        <f>MINIFS(CBIC_Late_Fee_Relief_Windows_3B!$O$497:$O$100,CBIC_Late_Fee_Relief_Windows_3B!$D$497:$D$100,"&lt;="&amp;B497,CBIC_Late_Fee_Relief_Windows_3B!$E$497:$E$100,"&gt;="&amp;B497,CBIC_Late_Fee_Relief_Windows_3B!$F$497:$F$100,"&lt;="&amp;C497,CBIC_Late_Fee_Relief_Windows_3B!$G$497:$G$100,"&gt;="&amp;C497)</f>
        <v/>
      </c>
      <c r="H497">
        <f>INDEX(CBIC_Late_Fee_Relief_Windows_3B!$I$497:$I$100,MATCH(G497,CBIC_Late_Fee_Relief_Windows_3B!$O$497:$O$100,0))</f>
        <v/>
      </c>
      <c r="I497">
        <f>MIN(F497,H497)</f>
        <v/>
      </c>
    </row>
    <row r="498">
      <c r="A498">
        <f>TEST_DATA!A498</f>
        <v/>
      </c>
      <c r="B498">
        <f>TEST_DATA!B498</f>
        <v/>
      </c>
      <c r="C498">
        <f>TEST_DATA!C498</f>
        <v/>
      </c>
      <c r="D498">
        <f>TEST_DATA!D498</f>
        <v/>
      </c>
      <c r="E498">
        <f>TEST_DATA!E498</f>
        <v/>
      </c>
      <c r="F498">
        <f>MIN(E498*49800,10000)</f>
        <v/>
      </c>
      <c r="G498">
        <f>MINIFS(CBIC_Late_Fee_Relief_Windows_3B!$O$498:$O$100,CBIC_Late_Fee_Relief_Windows_3B!$D$498:$D$100,"&lt;="&amp;B498,CBIC_Late_Fee_Relief_Windows_3B!$E$498:$E$100,"&gt;="&amp;B498,CBIC_Late_Fee_Relief_Windows_3B!$F$498:$F$100,"&lt;="&amp;C498,CBIC_Late_Fee_Relief_Windows_3B!$G$498:$G$100,"&gt;="&amp;C498)</f>
        <v/>
      </c>
      <c r="H498">
        <f>INDEX(CBIC_Late_Fee_Relief_Windows_3B!$I$498:$I$100,MATCH(G498,CBIC_Late_Fee_Relief_Windows_3B!$O$498:$O$100,0))</f>
        <v/>
      </c>
      <c r="I498">
        <f>MIN(F498,H498)</f>
        <v/>
      </c>
    </row>
    <row r="499">
      <c r="A499">
        <f>TEST_DATA!A499</f>
        <v/>
      </c>
      <c r="B499">
        <f>TEST_DATA!B499</f>
        <v/>
      </c>
      <c r="C499">
        <f>TEST_DATA!C499</f>
        <v/>
      </c>
      <c r="D499">
        <f>TEST_DATA!D499</f>
        <v/>
      </c>
      <c r="E499">
        <f>TEST_DATA!E499</f>
        <v/>
      </c>
      <c r="F499">
        <f>MIN(E499*49900,10000)</f>
        <v/>
      </c>
      <c r="G499">
        <f>MINIFS(CBIC_Late_Fee_Relief_Windows_3B!$O$499:$O$100,CBIC_Late_Fee_Relief_Windows_3B!$D$499:$D$100,"&lt;="&amp;B499,CBIC_Late_Fee_Relief_Windows_3B!$E$499:$E$100,"&gt;="&amp;B499,CBIC_Late_Fee_Relief_Windows_3B!$F$499:$F$100,"&lt;="&amp;C499,CBIC_Late_Fee_Relief_Windows_3B!$G$499:$G$100,"&gt;="&amp;C499)</f>
        <v/>
      </c>
      <c r="H499">
        <f>INDEX(CBIC_Late_Fee_Relief_Windows_3B!$I$499:$I$100,MATCH(G499,CBIC_Late_Fee_Relief_Windows_3B!$O$499:$O$100,0))</f>
        <v/>
      </c>
      <c r="I499">
        <f>MIN(F499,H499)</f>
        <v/>
      </c>
    </row>
    <row r="500">
      <c r="A500">
        <f>TEST_DATA!A500</f>
        <v/>
      </c>
      <c r="B500">
        <f>TEST_DATA!B500</f>
        <v/>
      </c>
      <c r="C500">
        <f>TEST_DATA!C500</f>
        <v/>
      </c>
      <c r="D500">
        <f>TEST_DATA!D500</f>
        <v/>
      </c>
      <c r="E500">
        <f>TEST_DATA!E500</f>
        <v/>
      </c>
      <c r="F500">
        <f>MIN(E500*50000,10000)</f>
        <v/>
      </c>
      <c r="G500">
        <f>MINIFS(CBIC_Late_Fee_Relief_Windows_3B!$O$500:$O$100,CBIC_Late_Fee_Relief_Windows_3B!$D$500:$D$100,"&lt;="&amp;B500,CBIC_Late_Fee_Relief_Windows_3B!$E$500:$E$100,"&gt;="&amp;B500,CBIC_Late_Fee_Relief_Windows_3B!$F$500:$F$100,"&lt;="&amp;C500,CBIC_Late_Fee_Relief_Windows_3B!$G$500:$G$100,"&gt;="&amp;C500)</f>
        <v/>
      </c>
      <c r="H500">
        <f>INDEX(CBIC_Late_Fee_Relief_Windows_3B!$I$500:$I$100,MATCH(G500,CBIC_Late_Fee_Relief_Windows_3B!$O$500:$O$100,0))</f>
        <v/>
      </c>
      <c r="I500">
        <f>MIN(F500,H500)</f>
        <v/>
      </c>
    </row>
    <row r="501">
      <c r="A501">
        <f>TEST_DATA!A501</f>
        <v/>
      </c>
      <c r="B501">
        <f>TEST_DATA!B501</f>
        <v/>
      </c>
      <c r="C501">
        <f>TEST_DATA!C501</f>
        <v/>
      </c>
      <c r="D501">
        <f>TEST_DATA!D501</f>
        <v/>
      </c>
      <c r="E501">
        <f>TEST_DATA!E501</f>
        <v/>
      </c>
      <c r="F501">
        <f>MIN(E501*50100,10000)</f>
        <v/>
      </c>
      <c r="G501">
        <f>MINIFS(CBIC_Late_Fee_Relief_Windows_3B!$O$501:$O$100,CBIC_Late_Fee_Relief_Windows_3B!$D$501:$D$100,"&lt;="&amp;B501,CBIC_Late_Fee_Relief_Windows_3B!$E$501:$E$100,"&gt;="&amp;B501,CBIC_Late_Fee_Relief_Windows_3B!$F$501:$F$100,"&lt;="&amp;C501,CBIC_Late_Fee_Relief_Windows_3B!$G$501:$G$100,"&gt;="&amp;C501)</f>
        <v/>
      </c>
      <c r="H501">
        <f>INDEX(CBIC_Late_Fee_Relief_Windows_3B!$I$501:$I$100,MATCH(G501,CBIC_Late_Fee_Relief_Windows_3B!$O$501:$O$100,0))</f>
        <v/>
      </c>
      <c r="I501">
        <f>MIN(F501,H501)</f>
        <v/>
      </c>
    </row>
    <row r="502">
      <c r="A502">
        <f>TEST_DATA!A502</f>
        <v/>
      </c>
      <c r="B502">
        <f>TEST_DATA!B502</f>
        <v/>
      </c>
      <c r="C502">
        <f>TEST_DATA!C502</f>
        <v/>
      </c>
      <c r="D502">
        <f>TEST_DATA!D502</f>
        <v/>
      </c>
      <c r="E502">
        <f>TEST_DATA!E502</f>
        <v/>
      </c>
      <c r="F502">
        <f>MIN(E502*50200,10000)</f>
        <v/>
      </c>
      <c r="G502">
        <f>MINIFS(CBIC_Late_Fee_Relief_Windows_3B!$O$502:$O$100,CBIC_Late_Fee_Relief_Windows_3B!$D$502:$D$100,"&lt;="&amp;B502,CBIC_Late_Fee_Relief_Windows_3B!$E$502:$E$100,"&gt;="&amp;B502,CBIC_Late_Fee_Relief_Windows_3B!$F$502:$F$100,"&lt;="&amp;C502,CBIC_Late_Fee_Relief_Windows_3B!$G$502:$G$100,"&gt;="&amp;C502)</f>
        <v/>
      </c>
      <c r="H502">
        <f>INDEX(CBIC_Late_Fee_Relief_Windows_3B!$I$502:$I$100,MATCH(G502,CBIC_Late_Fee_Relief_Windows_3B!$O$502:$O$100,0))</f>
        <v/>
      </c>
      <c r="I502">
        <f>MIN(F502,H502)</f>
        <v/>
      </c>
    </row>
    <row r="503">
      <c r="A503">
        <f>TEST_DATA!A503</f>
        <v/>
      </c>
      <c r="B503">
        <f>TEST_DATA!B503</f>
        <v/>
      </c>
      <c r="C503">
        <f>TEST_DATA!C503</f>
        <v/>
      </c>
      <c r="D503">
        <f>TEST_DATA!D503</f>
        <v/>
      </c>
      <c r="E503">
        <f>TEST_DATA!E503</f>
        <v/>
      </c>
      <c r="F503">
        <f>MIN(E503*50300,10000)</f>
        <v/>
      </c>
      <c r="G503">
        <f>MINIFS(CBIC_Late_Fee_Relief_Windows_3B!$O$503:$O$100,CBIC_Late_Fee_Relief_Windows_3B!$D$503:$D$100,"&lt;="&amp;B503,CBIC_Late_Fee_Relief_Windows_3B!$E$503:$E$100,"&gt;="&amp;B503,CBIC_Late_Fee_Relief_Windows_3B!$F$503:$F$100,"&lt;="&amp;C503,CBIC_Late_Fee_Relief_Windows_3B!$G$503:$G$100,"&gt;="&amp;C503)</f>
        <v/>
      </c>
      <c r="H503">
        <f>INDEX(CBIC_Late_Fee_Relief_Windows_3B!$I$503:$I$100,MATCH(G503,CBIC_Late_Fee_Relief_Windows_3B!$O$503:$O$100,0))</f>
        <v/>
      </c>
      <c r="I503">
        <f>MIN(F503,H503)</f>
        <v/>
      </c>
    </row>
    <row r="504">
      <c r="A504">
        <f>TEST_DATA!A504</f>
        <v/>
      </c>
      <c r="B504">
        <f>TEST_DATA!B504</f>
        <v/>
      </c>
      <c r="C504">
        <f>TEST_DATA!C504</f>
        <v/>
      </c>
      <c r="D504">
        <f>TEST_DATA!D504</f>
        <v/>
      </c>
      <c r="E504">
        <f>TEST_DATA!E504</f>
        <v/>
      </c>
      <c r="F504">
        <f>MIN(E504*50400,10000)</f>
        <v/>
      </c>
      <c r="G504">
        <f>MINIFS(CBIC_Late_Fee_Relief_Windows_3B!$O$504:$O$100,CBIC_Late_Fee_Relief_Windows_3B!$D$504:$D$100,"&lt;="&amp;B504,CBIC_Late_Fee_Relief_Windows_3B!$E$504:$E$100,"&gt;="&amp;B504,CBIC_Late_Fee_Relief_Windows_3B!$F$504:$F$100,"&lt;="&amp;C504,CBIC_Late_Fee_Relief_Windows_3B!$G$504:$G$100,"&gt;="&amp;C504)</f>
        <v/>
      </c>
      <c r="H504">
        <f>INDEX(CBIC_Late_Fee_Relief_Windows_3B!$I$504:$I$100,MATCH(G504,CBIC_Late_Fee_Relief_Windows_3B!$O$504:$O$100,0))</f>
        <v/>
      </c>
      <c r="I504">
        <f>MIN(F504,H504)</f>
        <v/>
      </c>
    </row>
    <row r="505">
      <c r="A505">
        <f>TEST_DATA!A505</f>
        <v/>
      </c>
      <c r="B505">
        <f>TEST_DATA!B505</f>
        <v/>
      </c>
      <c r="C505">
        <f>TEST_DATA!C505</f>
        <v/>
      </c>
      <c r="D505">
        <f>TEST_DATA!D505</f>
        <v/>
      </c>
      <c r="E505">
        <f>TEST_DATA!E505</f>
        <v/>
      </c>
      <c r="F505">
        <f>MIN(E505*50500,10000)</f>
        <v/>
      </c>
      <c r="G505">
        <f>MINIFS(CBIC_Late_Fee_Relief_Windows_3B!$O$505:$O$100,CBIC_Late_Fee_Relief_Windows_3B!$D$505:$D$100,"&lt;="&amp;B505,CBIC_Late_Fee_Relief_Windows_3B!$E$505:$E$100,"&gt;="&amp;B505,CBIC_Late_Fee_Relief_Windows_3B!$F$505:$F$100,"&lt;="&amp;C505,CBIC_Late_Fee_Relief_Windows_3B!$G$505:$G$100,"&gt;="&amp;C505)</f>
        <v/>
      </c>
      <c r="H505">
        <f>INDEX(CBIC_Late_Fee_Relief_Windows_3B!$I$505:$I$100,MATCH(G505,CBIC_Late_Fee_Relief_Windows_3B!$O$505:$O$100,0))</f>
        <v/>
      </c>
      <c r="I505">
        <f>MIN(F505,H505)</f>
        <v/>
      </c>
    </row>
    <row r="506">
      <c r="A506">
        <f>TEST_DATA!A506</f>
        <v/>
      </c>
      <c r="B506">
        <f>TEST_DATA!B506</f>
        <v/>
      </c>
      <c r="C506">
        <f>TEST_DATA!C506</f>
        <v/>
      </c>
      <c r="D506">
        <f>TEST_DATA!D506</f>
        <v/>
      </c>
      <c r="E506">
        <f>TEST_DATA!E506</f>
        <v/>
      </c>
      <c r="F506">
        <f>MIN(E506*50600,10000)</f>
        <v/>
      </c>
      <c r="G506">
        <f>MINIFS(CBIC_Late_Fee_Relief_Windows_3B!$O$506:$O$100,CBIC_Late_Fee_Relief_Windows_3B!$D$506:$D$100,"&lt;="&amp;B506,CBIC_Late_Fee_Relief_Windows_3B!$E$506:$E$100,"&gt;="&amp;B506,CBIC_Late_Fee_Relief_Windows_3B!$F$506:$F$100,"&lt;="&amp;C506,CBIC_Late_Fee_Relief_Windows_3B!$G$506:$G$100,"&gt;="&amp;C506)</f>
        <v/>
      </c>
      <c r="H506">
        <f>INDEX(CBIC_Late_Fee_Relief_Windows_3B!$I$506:$I$100,MATCH(G506,CBIC_Late_Fee_Relief_Windows_3B!$O$506:$O$100,0))</f>
        <v/>
      </c>
      <c r="I506">
        <f>MIN(F506,H506)</f>
        <v/>
      </c>
    </row>
    <row r="507">
      <c r="A507">
        <f>TEST_DATA!A507</f>
        <v/>
      </c>
      <c r="B507">
        <f>TEST_DATA!B507</f>
        <v/>
      </c>
      <c r="C507">
        <f>TEST_DATA!C507</f>
        <v/>
      </c>
      <c r="D507">
        <f>TEST_DATA!D507</f>
        <v/>
      </c>
      <c r="E507">
        <f>TEST_DATA!E507</f>
        <v/>
      </c>
      <c r="F507">
        <f>MIN(E507*50700,10000)</f>
        <v/>
      </c>
      <c r="G507">
        <f>MINIFS(CBIC_Late_Fee_Relief_Windows_3B!$O$507:$O$100,CBIC_Late_Fee_Relief_Windows_3B!$D$507:$D$100,"&lt;="&amp;B507,CBIC_Late_Fee_Relief_Windows_3B!$E$507:$E$100,"&gt;="&amp;B507,CBIC_Late_Fee_Relief_Windows_3B!$F$507:$F$100,"&lt;="&amp;C507,CBIC_Late_Fee_Relief_Windows_3B!$G$507:$G$100,"&gt;="&amp;C507)</f>
        <v/>
      </c>
      <c r="H507">
        <f>INDEX(CBIC_Late_Fee_Relief_Windows_3B!$I$507:$I$100,MATCH(G507,CBIC_Late_Fee_Relief_Windows_3B!$O$507:$O$100,0))</f>
        <v/>
      </c>
      <c r="I507">
        <f>MIN(F507,H507)</f>
        <v/>
      </c>
    </row>
    <row r="508">
      <c r="A508">
        <f>TEST_DATA!A508</f>
        <v/>
      </c>
      <c r="B508">
        <f>TEST_DATA!B508</f>
        <v/>
      </c>
      <c r="C508">
        <f>TEST_DATA!C508</f>
        <v/>
      </c>
      <c r="D508">
        <f>TEST_DATA!D508</f>
        <v/>
      </c>
      <c r="E508">
        <f>TEST_DATA!E508</f>
        <v/>
      </c>
      <c r="F508">
        <f>MIN(E508*50800,10000)</f>
        <v/>
      </c>
      <c r="G508">
        <f>MINIFS(CBIC_Late_Fee_Relief_Windows_3B!$O$508:$O$100,CBIC_Late_Fee_Relief_Windows_3B!$D$508:$D$100,"&lt;="&amp;B508,CBIC_Late_Fee_Relief_Windows_3B!$E$508:$E$100,"&gt;="&amp;B508,CBIC_Late_Fee_Relief_Windows_3B!$F$508:$F$100,"&lt;="&amp;C508,CBIC_Late_Fee_Relief_Windows_3B!$G$508:$G$100,"&gt;="&amp;C508)</f>
        <v/>
      </c>
      <c r="H508">
        <f>INDEX(CBIC_Late_Fee_Relief_Windows_3B!$I$508:$I$100,MATCH(G508,CBIC_Late_Fee_Relief_Windows_3B!$O$508:$O$100,0))</f>
        <v/>
      </c>
      <c r="I508">
        <f>MIN(F508,H508)</f>
        <v/>
      </c>
    </row>
    <row r="509">
      <c r="A509">
        <f>TEST_DATA!A509</f>
        <v/>
      </c>
      <c r="B509">
        <f>TEST_DATA!B509</f>
        <v/>
      </c>
      <c r="C509">
        <f>TEST_DATA!C509</f>
        <v/>
      </c>
      <c r="D509">
        <f>TEST_DATA!D509</f>
        <v/>
      </c>
      <c r="E509">
        <f>TEST_DATA!E509</f>
        <v/>
      </c>
      <c r="F509">
        <f>MIN(E509*50900,10000)</f>
        <v/>
      </c>
      <c r="G509">
        <f>MINIFS(CBIC_Late_Fee_Relief_Windows_3B!$O$509:$O$100,CBIC_Late_Fee_Relief_Windows_3B!$D$509:$D$100,"&lt;="&amp;B509,CBIC_Late_Fee_Relief_Windows_3B!$E$509:$E$100,"&gt;="&amp;B509,CBIC_Late_Fee_Relief_Windows_3B!$F$509:$F$100,"&lt;="&amp;C509,CBIC_Late_Fee_Relief_Windows_3B!$G$509:$G$100,"&gt;="&amp;C509)</f>
        <v/>
      </c>
      <c r="H509">
        <f>INDEX(CBIC_Late_Fee_Relief_Windows_3B!$I$509:$I$100,MATCH(G509,CBIC_Late_Fee_Relief_Windows_3B!$O$509:$O$100,0))</f>
        <v/>
      </c>
      <c r="I509">
        <f>MIN(F509,H509)</f>
        <v/>
      </c>
    </row>
    <row r="510">
      <c r="A510">
        <f>TEST_DATA!A510</f>
        <v/>
      </c>
      <c r="B510">
        <f>TEST_DATA!B510</f>
        <v/>
      </c>
      <c r="C510">
        <f>TEST_DATA!C510</f>
        <v/>
      </c>
      <c r="D510">
        <f>TEST_DATA!D510</f>
        <v/>
      </c>
      <c r="E510">
        <f>TEST_DATA!E510</f>
        <v/>
      </c>
      <c r="F510">
        <f>MIN(E510*51000,10000)</f>
        <v/>
      </c>
      <c r="G510">
        <f>MINIFS(CBIC_Late_Fee_Relief_Windows_3B!$O$510:$O$100,CBIC_Late_Fee_Relief_Windows_3B!$D$510:$D$100,"&lt;="&amp;B510,CBIC_Late_Fee_Relief_Windows_3B!$E$510:$E$100,"&gt;="&amp;B510,CBIC_Late_Fee_Relief_Windows_3B!$F$510:$F$100,"&lt;="&amp;C510,CBIC_Late_Fee_Relief_Windows_3B!$G$510:$G$100,"&gt;="&amp;C510)</f>
        <v/>
      </c>
      <c r="H510">
        <f>INDEX(CBIC_Late_Fee_Relief_Windows_3B!$I$510:$I$100,MATCH(G510,CBIC_Late_Fee_Relief_Windows_3B!$O$510:$O$100,0))</f>
        <v/>
      </c>
      <c r="I510">
        <f>MIN(F510,H510)</f>
        <v/>
      </c>
    </row>
    <row r="511">
      <c r="A511">
        <f>TEST_DATA!A511</f>
        <v/>
      </c>
      <c r="B511">
        <f>TEST_DATA!B511</f>
        <v/>
      </c>
      <c r="C511">
        <f>TEST_DATA!C511</f>
        <v/>
      </c>
      <c r="D511">
        <f>TEST_DATA!D511</f>
        <v/>
      </c>
      <c r="E511">
        <f>TEST_DATA!E511</f>
        <v/>
      </c>
      <c r="F511">
        <f>MIN(E511*51100,10000)</f>
        <v/>
      </c>
      <c r="G511">
        <f>MINIFS(CBIC_Late_Fee_Relief_Windows_3B!$O$511:$O$100,CBIC_Late_Fee_Relief_Windows_3B!$D$511:$D$100,"&lt;="&amp;B511,CBIC_Late_Fee_Relief_Windows_3B!$E$511:$E$100,"&gt;="&amp;B511,CBIC_Late_Fee_Relief_Windows_3B!$F$511:$F$100,"&lt;="&amp;C511,CBIC_Late_Fee_Relief_Windows_3B!$G$511:$G$100,"&gt;="&amp;C511)</f>
        <v/>
      </c>
      <c r="H511">
        <f>INDEX(CBIC_Late_Fee_Relief_Windows_3B!$I$511:$I$100,MATCH(G511,CBIC_Late_Fee_Relief_Windows_3B!$O$511:$O$100,0))</f>
        <v/>
      </c>
      <c r="I511">
        <f>MIN(F511,H511)</f>
        <v/>
      </c>
    </row>
    <row r="512">
      <c r="A512">
        <f>TEST_DATA!A512</f>
        <v/>
      </c>
      <c r="B512">
        <f>TEST_DATA!B512</f>
        <v/>
      </c>
      <c r="C512">
        <f>TEST_DATA!C512</f>
        <v/>
      </c>
      <c r="D512">
        <f>TEST_DATA!D512</f>
        <v/>
      </c>
      <c r="E512">
        <f>TEST_DATA!E512</f>
        <v/>
      </c>
      <c r="F512">
        <f>MIN(E512*51200,10000)</f>
        <v/>
      </c>
      <c r="G512">
        <f>MINIFS(CBIC_Late_Fee_Relief_Windows_3B!$O$512:$O$100,CBIC_Late_Fee_Relief_Windows_3B!$D$512:$D$100,"&lt;="&amp;B512,CBIC_Late_Fee_Relief_Windows_3B!$E$512:$E$100,"&gt;="&amp;B512,CBIC_Late_Fee_Relief_Windows_3B!$F$512:$F$100,"&lt;="&amp;C512,CBIC_Late_Fee_Relief_Windows_3B!$G$512:$G$100,"&gt;="&amp;C512)</f>
        <v/>
      </c>
      <c r="H512">
        <f>INDEX(CBIC_Late_Fee_Relief_Windows_3B!$I$512:$I$100,MATCH(G512,CBIC_Late_Fee_Relief_Windows_3B!$O$512:$O$100,0))</f>
        <v/>
      </c>
      <c r="I512">
        <f>MIN(F512,H512)</f>
        <v/>
      </c>
    </row>
    <row r="513">
      <c r="A513">
        <f>TEST_DATA!A513</f>
        <v/>
      </c>
      <c r="B513">
        <f>TEST_DATA!B513</f>
        <v/>
      </c>
      <c r="C513">
        <f>TEST_DATA!C513</f>
        <v/>
      </c>
      <c r="D513">
        <f>TEST_DATA!D513</f>
        <v/>
      </c>
      <c r="E513">
        <f>TEST_DATA!E513</f>
        <v/>
      </c>
      <c r="F513">
        <f>MIN(E513*51300,10000)</f>
        <v/>
      </c>
      <c r="G513">
        <f>MINIFS(CBIC_Late_Fee_Relief_Windows_3B!$O$513:$O$100,CBIC_Late_Fee_Relief_Windows_3B!$D$513:$D$100,"&lt;="&amp;B513,CBIC_Late_Fee_Relief_Windows_3B!$E$513:$E$100,"&gt;="&amp;B513,CBIC_Late_Fee_Relief_Windows_3B!$F$513:$F$100,"&lt;="&amp;C513,CBIC_Late_Fee_Relief_Windows_3B!$G$513:$G$100,"&gt;="&amp;C513)</f>
        <v/>
      </c>
      <c r="H513">
        <f>INDEX(CBIC_Late_Fee_Relief_Windows_3B!$I$513:$I$100,MATCH(G513,CBIC_Late_Fee_Relief_Windows_3B!$O$513:$O$100,0))</f>
        <v/>
      </c>
      <c r="I513">
        <f>MIN(F513,H513)</f>
        <v/>
      </c>
    </row>
    <row r="514">
      <c r="A514">
        <f>TEST_DATA!A514</f>
        <v/>
      </c>
      <c r="B514">
        <f>TEST_DATA!B514</f>
        <v/>
      </c>
      <c r="C514">
        <f>TEST_DATA!C514</f>
        <v/>
      </c>
      <c r="D514">
        <f>TEST_DATA!D514</f>
        <v/>
      </c>
      <c r="E514">
        <f>TEST_DATA!E514</f>
        <v/>
      </c>
      <c r="F514">
        <f>MIN(E514*51400,10000)</f>
        <v/>
      </c>
      <c r="G514">
        <f>MINIFS(CBIC_Late_Fee_Relief_Windows_3B!$O$514:$O$100,CBIC_Late_Fee_Relief_Windows_3B!$D$514:$D$100,"&lt;="&amp;B514,CBIC_Late_Fee_Relief_Windows_3B!$E$514:$E$100,"&gt;="&amp;B514,CBIC_Late_Fee_Relief_Windows_3B!$F$514:$F$100,"&lt;="&amp;C514,CBIC_Late_Fee_Relief_Windows_3B!$G$514:$G$100,"&gt;="&amp;C514)</f>
        <v/>
      </c>
      <c r="H514">
        <f>INDEX(CBIC_Late_Fee_Relief_Windows_3B!$I$514:$I$100,MATCH(G514,CBIC_Late_Fee_Relief_Windows_3B!$O$514:$O$100,0))</f>
        <v/>
      </c>
      <c r="I514">
        <f>MIN(F514,H514)</f>
        <v/>
      </c>
    </row>
    <row r="515">
      <c r="A515">
        <f>TEST_DATA!A515</f>
        <v/>
      </c>
      <c r="B515">
        <f>TEST_DATA!B515</f>
        <v/>
      </c>
      <c r="C515">
        <f>TEST_DATA!C515</f>
        <v/>
      </c>
      <c r="D515">
        <f>TEST_DATA!D515</f>
        <v/>
      </c>
      <c r="E515">
        <f>TEST_DATA!E515</f>
        <v/>
      </c>
      <c r="F515">
        <f>MIN(E515*51500,10000)</f>
        <v/>
      </c>
      <c r="G515">
        <f>MINIFS(CBIC_Late_Fee_Relief_Windows_3B!$O$515:$O$100,CBIC_Late_Fee_Relief_Windows_3B!$D$515:$D$100,"&lt;="&amp;B515,CBIC_Late_Fee_Relief_Windows_3B!$E$515:$E$100,"&gt;="&amp;B515,CBIC_Late_Fee_Relief_Windows_3B!$F$515:$F$100,"&lt;="&amp;C515,CBIC_Late_Fee_Relief_Windows_3B!$G$515:$G$100,"&gt;="&amp;C515)</f>
        <v/>
      </c>
      <c r="H515">
        <f>INDEX(CBIC_Late_Fee_Relief_Windows_3B!$I$515:$I$100,MATCH(G515,CBIC_Late_Fee_Relief_Windows_3B!$O$515:$O$100,0))</f>
        <v/>
      </c>
      <c r="I515">
        <f>MIN(F515,H515)</f>
        <v/>
      </c>
    </row>
    <row r="516">
      <c r="A516">
        <f>TEST_DATA!A516</f>
        <v/>
      </c>
      <c r="B516">
        <f>TEST_DATA!B516</f>
        <v/>
      </c>
      <c r="C516">
        <f>TEST_DATA!C516</f>
        <v/>
      </c>
      <c r="D516">
        <f>TEST_DATA!D516</f>
        <v/>
      </c>
      <c r="E516">
        <f>TEST_DATA!E516</f>
        <v/>
      </c>
      <c r="F516">
        <f>MIN(E516*51600,10000)</f>
        <v/>
      </c>
      <c r="G516">
        <f>MINIFS(CBIC_Late_Fee_Relief_Windows_3B!$O$516:$O$100,CBIC_Late_Fee_Relief_Windows_3B!$D$516:$D$100,"&lt;="&amp;B516,CBIC_Late_Fee_Relief_Windows_3B!$E$516:$E$100,"&gt;="&amp;B516,CBIC_Late_Fee_Relief_Windows_3B!$F$516:$F$100,"&lt;="&amp;C516,CBIC_Late_Fee_Relief_Windows_3B!$G$516:$G$100,"&gt;="&amp;C516)</f>
        <v/>
      </c>
      <c r="H516">
        <f>INDEX(CBIC_Late_Fee_Relief_Windows_3B!$I$516:$I$100,MATCH(G516,CBIC_Late_Fee_Relief_Windows_3B!$O$516:$O$100,0))</f>
        <v/>
      </c>
      <c r="I516">
        <f>MIN(F516,H516)</f>
        <v/>
      </c>
    </row>
    <row r="517">
      <c r="A517">
        <f>TEST_DATA!A517</f>
        <v/>
      </c>
      <c r="B517">
        <f>TEST_DATA!B517</f>
        <v/>
      </c>
      <c r="C517">
        <f>TEST_DATA!C517</f>
        <v/>
      </c>
      <c r="D517">
        <f>TEST_DATA!D517</f>
        <v/>
      </c>
      <c r="E517">
        <f>TEST_DATA!E517</f>
        <v/>
      </c>
      <c r="F517">
        <f>MIN(E517*51700,10000)</f>
        <v/>
      </c>
      <c r="G517">
        <f>MINIFS(CBIC_Late_Fee_Relief_Windows_3B!$O$517:$O$100,CBIC_Late_Fee_Relief_Windows_3B!$D$517:$D$100,"&lt;="&amp;B517,CBIC_Late_Fee_Relief_Windows_3B!$E$517:$E$100,"&gt;="&amp;B517,CBIC_Late_Fee_Relief_Windows_3B!$F$517:$F$100,"&lt;="&amp;C517,CBIC_Late_Fee_Relief_Windows_3B!$G$517:$G$100,"&gt;="&amp;C517)</f>
        <v/>
      </c>
      <c r="H517">
        <f>INDEX(CBIC_Late_Fee_Relief_Windows_3B!$I$517:$I$100,MATCH(G517,CBIC_Late_Fee_Relief_Windows_3B!$O$517:$O$100,0))</f>
        <v/>
      </c>
      <c r="I517">
        <f>MIN(F517,H517)</f>
        <v/>
      </c>
    </row>
    <row r="518">
      <c r="A518">
        <f>TEST_DATA!A518</f>
        <v/>
      </c>
      <c r="B518">
        <f>TEST_DATA!B518</f>
        <v/>
      </c>
      <c r="C518">
        <f>TEST_DATA!C518</f>
        <v/>
      </c>
      <c r="D518">
        <f>TEST_DATA!D518</f>
        <v/>
      </c>
      <c r="E518">
        <f>TEST_DATA!E518</f>
        <v/>
      </c>
      <c r="F518">
        <f>MIN(E518*51800,10000)</f>
        <v/>
      </c>
      <c r="G518">
        <f>MINIFS(CBIC_Late_Fee_Relief_Windows_3B!$O$518:$O$100,CBIC_Late_Fee_Relief_Windows_3B!$D$518:$D$100,"&lt;="&amp;B518,CBIC_Late_Fee_Relief_Windows_3B!$E$518:$E$100,"&gt;="&amp;B518,CBIC_Late_Fee_Relief_Windows_3B!$F$518:$F$100,"&lt;="&amp;C518,CBIC_Late_Fee_Relief_Windows_3B!$G$518:$G$100,"&gt;="&amp;C518)</f>
        <v/>
      </c>
      <c r="H518">
        <f>INDEX(CBIC_Late_Fee_Relief_Windows_3B!$I$518:$I$100,MATCH(G518,CBIC_Late_Fee_Relief_Windows_3B!$O$518:$O$100,0))</f>
        <v/>
      </c>
      <c r="I518">
        <f>MIN(F518,H518)</f>
        <v/>
      </c>
    </row>
    <row r="519">
      <c r="A519">
        <f>TEST_DATA!A519</f>
        <v/>
      </c>
      <c r="B519">
        <f>TEST_DATA!B519</f>
        <v/>
      </c>
      <c r="C519">
        <f>TEST_DATA!C519</f>
        <v/>
      </c>
      <c r="D519">
        <f>TEST_DATA!D519</f>
        <v/>
      </c>
      <c r="E519">
        <f>TEST_DATA!E519</f>
        <v/>
      </c>
      <c r="F519">
        <f>MIN(E519*51900,10000)</f>
        <v/>
      </c>
      <c r="G519">
        <f>MINIFS(CBIC_Late_Fee_Relief_Windows_3B!$O$519:$O$100,CBIC_Late_Fee_Relief_Windows_3B!$D$519:$D$100,"&lt;="&amp;B519,CBIC_Late_Fee_Relief_Windows_3B!$E$519:$E$100,"&gt;="&amp;B519,CBIC_Late_Fee_Relief_Windows_3B!$F$519:$F$100,"&lt;="&amp;C519,CBIC_Late_Fee_Relief_Windows_3B!$G$519:$G$100,"&gt;="&amp;C519)</f>
        <v/>
      </c>
      <c r="H519">
        <f>INDEX(CBIC_Late_Fee_Relief_Windows_3B!$I$519:$I$100,MATCH(G519,CBIC_Late_Fee_Relief_Windows_3B!$O$519:$O$100,0))</f>
        <v/>
      </c>
      <c r="I519">
        <f>MIN(F519,H519)</f>
        <v/>
      </c>
    </row>
    <row r="520">
      <c r="A520">
        <f>TEST_DATA!A520</f>
        <v/>
      </c>
      <c r="B520">
        <f>TEST_DATA!B520</f>
        <v/>
      </c>
      <c r="C520">
        <f>TEST_DATA!C520</f>
        <v/>
      </c>
      <c r="D520">
        <f>TEST_DATA!D520</f>
        <v/>
      </c>
      <c r="E520">
        <f>TEST_DATA!E520</f>
        <v/>
      </c>
      <c r="F520">
        <f>MIN(E520*52000,10000)</f>
        <v/>
      </c>
      <c r="G520">
        <f>MINIFS(CBIC_Late_Fee_Relief_Windows_3B!$O$520:$O$100,CBIC_Late_Fee_Relief_Windows_3B!$D$520:$D$100,"&lt;="&amp;B520,CBIC_Late_Fee_Relief_Windows_3B!$E$520:$E$100,"&gt;="&amp;B520,CBIC_Late_Fee_Relief_Windows_3B!$F$520:$F$100,"&lt;="&amp;C520,CBIC_Late_Fee_Relief_Windows_3B!$G$520:$G$100,"&gt;="&amp;C520)</f>
        <v/>
      </c>
      <c r="H520">
        <f>INDEX(CBIC_Late_Fee_Relief_Windows_3B!$I$520:$I$100,MATCH(G520,CBIC_Late_Fee_Relief_Windows_3B!$O$520:$O$100,0))</f>
        <v/>
      </c>
      <c r="I520">
        <f>MIN(F520,H520)</f>
        <v/>
      </c>
    </row>
    <row r="521">
      <c r="A521">
        <f>TEST_DATA!A521</f>
        <v/>
      </c>
      <c r="B521">
        <f>TEST_DATA!B521</f>
        <v/>
      </c>
      <c r="C521">
        <f>TEST_DATA!C521</f>
        <v/>
      </c>
      <c r="D521">
        <f>TEST_DATA!D521</f>
        <v/>
      </c>
      <c r="E521">
        <f>TEST_DATA!E521</f>
        <v/>
      </c>
      <c r="F521">
        <f>MIN(E521*52100,10000)</f>
        <v/>
      </c>
      <c r="G521">
        <f>MINIFS(CBIC_Late_Fee_Relief_Windows_3B!$O$521:$O$100,CBIC_Late_Fee_Relief_Windows_3B!$D$521:$D$100,"&lt;="&amp;B521,CBIC_Late_Fee_Relief_Windows_3B!$E$521:$E$100,"&gt;="&amp;B521,CBIC_Late_Fee_Relief_Windows_3B!$F$521:$F$100,"&lt;="&amp;C521,CBIC_Late_Fee_Relief_Windows_3B!$G$521:$G$100,"&gt;="&amp;C521)</f>
        <v/>
      </c>
      <c r="H521">
        <f>INDEX(CBIC_Late_Fee_Relief_Windows_3B!$I$521:$I$100,MATCH(G521,CBIC_Late_Fee_Relief_Windows_3B!$O$521:$O$100,0))</f>
        <v/>
      </c>
      <c r="I521">
        <f>MIN(F521,H521)</f>
        <v/>
      </c>
    </row>
    <row r="522">
      <c r="A522">
        <f>TEST_DATA!A522</f>
        <v/>
      </c>
      <c r="B522">
        <f>TEST_DATA!B522</f>
        <v/>
      </c>
      <c r="C522">
        <f>TEST_DATA!C522</f>
        <v/>
      </c>
      <c r="D522">
        <f>TEST_DATA!D522</f>
        <v/>
      </c>
      <c r="E522">
        <f>TEST_DATA!E522</f>
        <v/>
      </c>
      <c r="F522">
        <f>MIN(E522*52200,10000)</f>
        <v/>
      </c>
      <c r="G522">
        <f>MINIFS(CBIC_Late_Fee_Relief_Windows_3B!$O$522:$O$100,CBIC_Late_Fee_Relief_Windows_3B!$D$522:$D$100,"&lt;="&amp;B522,CBIC_Late_Fee_Relief_Windows_3B!$E$522:$E$100,"&gt;="&amp;B522,CBIC_Late_Fee_Relief_Windows_3B!$F$522:$F$100,"&lt;="&amp;C522,CBIC_Late_Fee_Relief_Windows_3B!$G$522:$G$100,"&gt;="&amp;C522)</f>
        <v/>
      </c>
      <c r="H522">
        <f>INDEX(CBIC_Late_Fee_Relief_Windows_3B!$I$522:$I$100,MATCH(G522,CBIC_Late_Fee_Relief_Windows_3B!$O$522:$O$100,0))</f>
        <v/>
      </c>
      <c r="I522">
        <f>MIN(F522,H522)</f>
        <v/>
      </c>
    </row>
    <row r="523">
      <c r="A523">
        <f>TEST_DATA!A523</f>
        <v/>
      </c>
      <c r="B523">
        <f>TEST_DATA!B523</f>
        <v/>
      </c>
      <c r="C523">
        <f>TEST_DATA!C523</f>
        <v/>
      </c>
      <c r="D523">
        <f>TEST_DATA!D523</f>
        <v/>
      </c>
      <c r="E523">
        <f>TEST_DATA!E523</f>
        <v/>
      </c>
      <c r="F523">
        <f>MIN(E523*52300,10000)</f>
        <v/>
      </c>
      <c r="G523">
        <f>MINIFS(CBIC_Late_Fee_Relief_Windows_3B!$O$523:$O$100,CBIC_Late_Fee_Relief_Windows_3B!$D$523:$D$100,"&lt;="&amp;B523,CBIC_Late_Fee_Relief_Windows_3B!$E$523:$E$100,"&gt;="&amp;B523,CBIC_Late_Fee_Relief_Windows_3B!$F$523:$F$100,"&lt;="&amp;C523,CBIC_Late_Fee_Relief_Windows_3B!$G$523:$G$100,"&gt;="&amp;C523)</f>
        <v/>
      </c>
      <c r="H523">
        <f>INDEX(CBIC_Late_Fee_Relief_Windows_3B!$I$523:$I$100,MATCH(G523,CBIC_Late_Fee_Relief_Windows_3B!$O$523:$O$100,0))</f>
        <v/>
      </c>
      <c r="I523">
        <f>MIN(F523,H523)</f>
        <v/>
      </c>
    </row>
    <row r="524">
      <c r="A524">
        <f>TEST_DATA!A524</f>
        <v/>
      </c>
      <c r="B524">
        <f>TEST_DATA!B524</f>
        <v/>
      </c>
      <c r="C524">
        <f>TEST_DATA!C524</f>
        <v/>
      </c>
      <c r="D524">
        <f>TEST_DATA!D524</f>
        <v/>
      </c>
      <c r="E524">
        <f>TEST_DATA!E524</f>
        <v/>
      </c>
      <c r="F524">
        <f>MIN(E524*52400,10000)</f>
        <v/>
      </c>
      <c r="G524">
        <f>MINIFS(CBIC_Late_Fee_Relief_Windows_3B!$O$524:$O$100,CBIC_Late_Fee_Relief_Windows_3B!$D$524:$D$100,"&lt;="&amp;B524,CBIC_Late_Fee_Relief_Windows_3B!$E$524:$E$100,"&gt;="&amp;B524,CBIC_Late_Fee_Relief_Windows_3B!$F$524:$F$100,"&lt;="&amp;C524,CBIC_Late_Fee_Relief_Windows_3B!$G$524:$G$100,"&gt;="&amp;C524)</f>
        <v/>
      </c>
      <c r="H524">
        <f>INDEX(CBIC_Late_Fee_Relief_Windows_3B!$I$524:$I$100,MATCH(G524,CBIC_Late_Fee_Relief_Windows_3B!$O$524:$O$100,0))</f>
        <v/>
      </c>
      <c r="I524">
        <f>MIN(F524,H524)</f>
        <v/>
      </c>
    </row>
    <row r="525">
      <c r="A525">
        <f>TEST_DATA!A525</f>
        <v/>
      </c>
      <c r="B525">
        <f>TEST_DATA!B525</f>
        <v/>
      </c>
      <c r="C525">
        <f>TEST_DATA!C525</f>
        <v/>
      </c>
      <c r="D525">
        <f>TEST_DATA!D525</f>
        <v/>
      </c>
      <c r="E525">
        <f>TEST_DATA!E525</f>
        <v/>
      </c>
      <c r="F525">
        <f>MIN(E525*52500,10000)</f>
        <v/>
      </c>
      <c r="G525">
        <f>MINIFS(CBIC_Late_Fee_Relief_Windows_3B!$O$525:$O$100,CBIC_Late_Fee_Relief_Windows_3B!$D$525:$D$100,"&lt;="&amp;B525,CBIC_Late_Fee_Relief_Windows_3B!$E$525:$E$100,"&gt;="&amp;B525,CBIC_Late_Fee_Relief_Windows_3B!$F$525:$F$100,"&lt;="&amp;C525,CBIC_Late_Fee_Relief_Windows_3B!$G$525:$G$100,"&gt;="&amp;C525)</f>
        <v/>
      </c>
      <c r="H525">
        <f>INDEX(CBIC_Late_Fee_Relief_Windows_3B!$I$525:$I$100,MATCH(G525,CBIC_Late_Fee_Relief_Windows_3B!$O$525:$O$100,0))</f>
        <v/>
      </c>
      <c r="I525">
        <f>MIN(F525,H525)</f>
        <v/>
      </c>
    </row>
    <row r="526">
      <c r="A526">
        <f>TEST_DATA!A526</f>
        <v/>
      </c>
      <c r="B526">
        <f>TEST_DATA!B526</f>
        <v/>
      </c>
      <c r="C526">
        <f>TEST_DATA!C526</f>
        <v/>
      </c>
      <c r="D526">
        <f>TEST_DATA!D526</f>
        <v/>
      </c>
      <c r="E526">
        <f>TEST_DATA!E526</f>
        <v/>
      </c>
      <c r="F526">
        <f>MIN(E526*52600,10000)</f>
        <v/>
      </c>
      <c r="G526">
        <f>MINIFS(CBIC_Late_Fee_Relief_Windows_3B!$O$526:$O$100,CBIC_Late_Fee_Relief_Windows_3B!$D$526:$D$100,"&lt;="&amp;B526,CBIC_Late_Fee_Relief_Windows_3B!$E$526:$E$100,"&gt;="&amp;B526,CBIC_Late_Fee_Relief_Windows_3B!$F$526:$F$100,"&lt;="&amp;C526,CBIC_Late_Fee_Relief_Windows_3B!$G$526:$G$100,"&gt;="&amp;C526)</f>
        <v/>
      </c>
      <c r="H526">
        <f>INDEX(CBIC_Late_Fee_Relief_Windows_3B!$I$526:$I$100,MATCH(G526,CBIC_Late_Fee_Relief_Windows_3B!$O$526:$O$100,0))</f>
        <v/>
      </c>
      <c r="I526">
        <f>MIN(F526,H526)</f>
        <v/>
      </c>
    </row>
    <row r="527">
      <c r="A527">
        <f>TEST_DATA!A527</f>
        <v/>
      </c>
      <c r="B527">
        <f>TEST_DATA!B527</f>
        <v/>
      </c>
      <c r="C527">
        <f>TEST_DATA!C527</f>
        <v/>
      </c>
      <c r="D527">
        <f>TEST_DATA!D527</f>
        <v/>
      </c>
      <c r="E527">
        <f>TEST_DATA!E527</f>
        <v/>
      </c>
      <c r="F527">
        <f>MIN(E527*52700,10000)</f>
        <v/>
      </c>
      <c r="G527">
        <f>MINIFS(CBIC_Late_Fee_Relief_Windows_3B!$O$527:$O$100,CBIC_Late_Fee_Relief_Windows_3B!$D$527:$D$100,"&lt;="&amp;B527,CBIC_Late_Fee_Relief_Windows_3B!$E$527:$E$100,"&gt;="&amp;B527,CBIC_Late_Fee_Relief_Windows_3B!$F$527:$F$100,"&lt;="&amp;C527,CBIC_Late_Fee_Relief_Windows_3B!$G$527:$G$100,"&gt;="&amp;C527)</f>
        <v/>
      </c>
      <c r="H527">
        <f>INDEX(CBIC_Late_Fee_Relief_Windows_3B!$I$527:$I$100,MATCH(G527,CBIC_Late_Fee_Relief_Windows_3B!$O$527:$O$100,0))</f>
        <v/>
      </c>
      <c r="I527">
        <f>MIN(F527,H527)</f>
        <v/>
      </c>
    </row>
    <row r="528">
      <c r="A528">
        <f>TEST_DATA!A528</f>
        <v/>
      </c>
      <c r="B528">
        <f>TEST_DATA!B528</f>
        <v/>
      </c>
      <c r="C528">
        <f>TEST_DATA!C528</f>
        <v/>
      </c>
      <c r="D528">
        <f>TEST_DATA!D528</f>
        <v/>
      </c>
      <c r="E528">
        <f>TEST_DATA!E528</f>
        <v/>
      </c>
      <c r="F528">
        <f>MIN(E528*52800,10000)</f>
        <v/>
      </c>
      <c r="G528">
        <f>MINIFS(CBIC_Late_Fee_Relief_Windows_3B!$O$528:$O$100,CBIC_Late_Fee_Relief_Windows_3B!$D$528:$D$100,"&lt;="&amp;B528,CBIC_Late_Fee_Relief_Windows_3B!$E$528:$E$100,"&gt;="&amp;B528,CBIC_Late_Fee_Relief_Windows_3B!$F$528:$F$100,"&lt;="&amp;C528,CBIC_Late_Fee_Relief_Windows_3B!$G$528:$G$100,"&gt;="&amp;C528)</f>
        <v/>
      </c>
      <c r="H528">
        <f>INDEX(CBIC_Late_Fee_Relief_Windows_3B!$I$528:$I$100,MATCH(G528,CBIC_Late_Fee_Relief_Windows_3B!$O$528:$O$100,0))</f>
        <v/>
      </c>
      <c r="I528">
        <f>MIN(F528,H528)</f>
        <v/>
      </c>
    </row>
    <row r="529">
      <c r="A529">
        <f>TEST_DATA!A529</f>
        <v/>
      </c>
      <c r="B529">
        <f>TEST_DATA!B529</f>
        <v/>
      </c>
      <c r="C529">
        <f>TEST_DATA!C529</f>
        <v/>
      </c>
      <c r="D529">
        <f>TEST_DATA!D529</f>
        <v/>
      </c>
      <c r="E529">
        <f>TEST_DATA!E529</f>
        <v/>
      </c>
      <c r="F529">
        <f>MIN(E529*52900,10000)</f>
        <v/>
      </c>
      <c r="G529">
        <f>MINIFS(CBIC_Late_Fee_Relief_Windows_3B!$O$529:$O$100,CBIC_Late_Fee_Relief_Windows_3B!$D$529:$D$100,"&lt;="&amp;B529,CBIC_Late_Fee_Relief_Windows_3B!$E$529:$E$100,"&gt;="&amp;B529,CBIC_Late_Fee_Relief_Windows_3B!$F$529:$F$100,"&lt;="&amp;C529,CBIC_Late_Fee_Relief_Windows_3B!$G$529:$G$100,"&gt;="&amp;C529)</f>
        <v/>
      </c>
      <c r="H529">
        <f>INDEX(CBIC_Late_Fee_Relief_Windows_3B!$I$529:$I$100,MATCH(G529,CBIC_Late_Fee_Relief_Windows_3B!$O$529:$O$100,0))</f>
        <v/>
      </c>
      <c r="I529">
        <f>MIN(F529,H529)</f>
        <v/>
      </c>
    </row>
    <row r="530">
      <c r="A530">
        <f>TEST_DATA!A530</f>
        <v/>
      </c>
      <c r="B530">
        <f>TEST_DATA!B530</f>
        <v/>
      </c>
      <c r="C530">
        <f>TEST_DATA!C530</f>
        <v/>
      </c>
      <c r="D530">
        <f>TEST_DATA!D530</f>
        <v/>
      </c>
      <c r="E530">
        <f>TEST_DATA!E530</f>
        <v/>
      </c>
      <c r="F530">
        <f>MIN(E530*53000,10000)</f>
        <v/>
      </c>
      <c r="G530">
        <f>MINIFS(CBIC_Late_Fee_Relief_Windows_3B!$O$530:$O$100,CBIC_Late_Fee_Relief_Windows_3B!$D$530:$D$100,"&lt;="&amp;B530,CBIC_Late_Fee_Relief_Windows_3B!$E$530:$E$100,"&gt;="&amp;B530,CBIC_Late_Fee_Relief_Windows_3B!$F$530:$F$100,"&lt;="&amp;C530,CBIC_Late_Fee_Relief_Windows_3B!$G$530:$G$100,"&gt;="&amp;C530)</f>
        <v/>
      </c>
      <c r="H530">
        <f>INDEX(CBIC_Late_Fee_Relief_Windows_3B!$I$530:$I$100,MATCH(G530,CBIC_Late_Fee_Relief_Windows_3B!$O$530:$O$100,0))</f>
        <v/>
      </c>
      <c r="I530">
        <f>MIN(F530,H530)</f>
        <v/>
      </c>
    </row>
    <row r="531">
      <c r="A531">
        <f>TEST_DATA!A531</f>
        <v/>
      </c>
      <c r="B531">
        <f>TEST_DATA!B531</f>
        <v/>
      </c>
      <c r="C531">
        <f>TEST_DATA!C531</f>
        <v/>
      </c>
      <c r="D531">
        <f>TEST_DATA!D531</f>
        <v/>
      </c>
      <c r="E531">
        <f>TEST_DATA!E531</f>
        <v/>
      </c>
      <c r="F531">
        <f>MIN(E531*53100,10000)</f>
        <v/>
      </c>
      <c r="G531">
        <f>MINIFS(CBIC_Late_Fee_Relief_Windows_3B!$O$531:$O$100,CBIC_Late_Fee_Relief_Windows_3B!$D$531:$D$100,"&lt;="&amp;B531,CBIC_Late_Fee_Relief_Windows_3B!$E$531:$E$100,"&gt;="&amp;B531,CBIC_Late_Fee_Relief_Windows_3B!$F$531:$F$100,"&lt;="&amp;C531,CBIC_Late_Fee_Relief_Windows_3B!$G$531:$G$100,"&gt;="&amp;C531)</f>
        <v/>
      </c>
      <c r="H531">
        <f>INDEX(CBIC_Late_Fee_Relief_Windows_3B!$I$531:$I$100,MATCH(G531,CBIC_Late_Fee_Relief_Windows_3B!$O$531:$O$100,0))</f>
        <v/>
      </c>
      <c r="I531">
        <f>MIN(F531,H531)</f>
        <v/>
      </c>
    </row>
    <row r="532">
      <c r="A532">
        <f>TEST_DATA!A532</f>
        <v/>
      </c>
      <c r="B532">
        <f>TEST_DATA!B532</f>
        <v/>
      </c>
      <c r="C532">
        <f>TEST_DATA!C532</f>
        <v/>
      </c>
      <c r="D532">
        <f>TEST_DATA!D532</f>
        <v/>
      </c>
      <c r="E532">
        <f>TEST_DATA!E532</f>
        <v/>
      </c>
      <c r="F532">
        <f>MIN(E532*53200,10000)</f>
        <v/>
      </c>
      <c r="G532">
        <f>MINIFS(CBIC_Late_Fee_Relief_Windows_3B!$O$532:$O$100,CBIC_Late_Fee_Relief_Windows_3B!$D$532:$D$100,"&lt;="&amp;B532,CBIC_Late_Fee_Relief_Windows_3B!$E$532:$E$100,"&gt;="&amp;B532,CBIC_Late_Fee_Relief_Windows_3B!$F$532:$F$100,"&lt;="&amp;C532,CBIC_Late_Fee_Relief_Windows_3B!$G$532:$G$100,"&gt;="&amp;C532)</f>
        <v/>
      </c>
      <c r="H532">
        <f>INDEX(CBIC_Late_Fee_Relief_Windows_3B!$I$532:$I$100,MATCH(G532,CBIC_Late_Fee_Relief_Windows_3B!$O$532:$O$100,0))</f>
        <v/>
      </c>
      <c r="I532">
        <f>MIN(F532,H532)</f>
        <v/>
      </c>
    </row>
    <row r="533">
      <c r="A533">
        <f>TEST_DATA!A533</f>
        <v/>
      </c>
      <c r="B533">
        <f>TEST_DATA!B533</f>
        <v/>
      </c>
      <c r="C533">
        <f>TEST_DATA!C533</f>
        <v/>
      </c>
      <c r="D533">
        <f>TEST_DATA!D533</f>
        <v/>
      </c>
      <c r="E533">
        <f>TEST_DATA!E533</f>
        <v/>
      </c>
      <c r="F533">
        <f>MIN(E533*53300,10000)</f>
        <v/>
      </c>
      <c r="G533">
        <f>MINIFS(CBIC_Late_Fee_Relief_Windows_3B!$O$533:$O$100,CBIC_Late_Fee_Relief_Windows_3B!$D$533:$D$100,"&lt;="&amp;B533,CBIC_Late_Fee_Relief_Windows_3B!$E$533:$E$100,"&gt;="&amp;B533,CBIC_Late_Fee_Relief_Windows_3B!$F$533:$F$100,"&lt;="&amp;C533,CBIC_Late_Fee_Relief_Windows_3B!$G$533:$G$100,"&gt;="&amp;C533)</f>
        <v/>
      </c>
      <c r="H533">
        <f>INDEX(CBIC_Late_Fee_Relief_Windows_3B!$I$533:$I$100,MATCH(G533,CBIC_Late_Fee_Relief_Windows_3B!$O$533:$O$100,0))</f>
        <v/>
      </c>
      <c r="I533">
        <f>MIN(F533,H533)</f>
        <v/>
      </c>
    </row>
    <row r="534">
      <c r="A534">
        <f>TEST_DATA!A534</f>
        <v/>
      </c>
      <c r="B534">
        <f>TEST_DATA!B534</f>
        <v/>
      </c>
      <c r="C534">
        <f>TEST_DATA!C534</f>
        <v/>
      </c>
      <c r="D534">
        <f>TEST_DATA!D534</f>
        <v/>
      </c>
      <c r="E534">
        <f>TEST_DATA!E534</f>
        <v/>
      </c>
      <c r="F534">
        <f>MIN(E534*53400,10000)</f>
        <v/>
      </c>
      <c r="G534">
        <f>MINIFS(CBIC_Late_Fee_Relief_Windows_3B!$O$534:$O$100,CBIC_Late_Fee_Relief_Windows_3B!$D$534:$D$100,"&lt;="&amp;B534,CBIC_Late_Fee_Relief_Windows_3B!$E$534:$E$100,"&gt;="&amp;B534,CBIC_Late_Fee_Relief_Windows_3B!$F$534:$F$100,"&lt;="&amp;C534,CBIC_Late_Fee_Relief_Windows_3B!$G$534:$G$100,"&gt;="&amp;C534)</f>
        <v/>
      </c>
      <c r="H534">
        <f>INDEX(CBIC_Late_Fee_Relief_Windows_3B!$I$534:$I$100,MATCH(G534,CBIC_Late_Fee_Relief_Windows_3B!$O$534:$O$100,0))</f>
        <v/>
      </c>
      <c r="I534">
        <f>MIN(F534,H534)</f>
        <v/>
      </c>
    </row>
    <row r="535">
      <c r="A535">
        <f>TEST_DATA!A535</f>
        <v/>
      </c>
      <c r="B535">
        <f>TEST_DATA!B535</f>
        <v/>
      </c>
      <c r="C535">
        <f>TEST_DATA!C535</f>
        <v/>
      </c>
      <c r="D535">
        <f>TEST_DATA!D535</f>
        <v/>
      </c>
      <c r="E535">
        <f>TEST_DATA!E535</f>
        <v/>
      </c>
      <c r="F535">
        <f>MIN(E535*53500,10000)</f>
        <v/>
      </c>
      <c r="G535">
        <f>MINIFS(CBIC_Late_Fee_Relief_Windows_3B!$O$535:$O$100,CBIC_Late_Fee_Relief_Windows_3B!$D$535:$D$100,"&lt;="&amp;B535,CBIC_Late_Fee_Relief_Windows_3B!$E$535:$E$100,"&gt;="&amp;B535,CBIC_Late_Fee_Relief_Windows_3B!$F$535:$F$100,"&lt;="&amp;C535,CBIC_Late_Fee_Relief_Windows_3B!$G$535:$G$100,"&gt;="&amp;C535)</f>
        <v/>
      </c>
      <c r="H535">
        <f>INDEX(CBIC_Late_Fee_Relief_Windows_3B!$I$535:$I$100,MATCH(G535,CBIC_Late_Fee_Relief_Windows_3B!$O$535:$O$100,0))</f>
        <v/>
      </c>
      <c r="I535">
        <f>MIN(F535,H535)</f>
        <v/>
      </c>
    </row>
    <row r="536">
      <c r="A536">
        <f>TEST_DATA!A536</f>
        <v/>
      </c>
      <c r="B536">
        <f>TEST_DATA!B536</f>
        <v/>
      </c>
      <c r="C536">
        <f>TEST_DATA!C536</f>
        <v/>
      </c>
      <c r="D536">
        <f>TEST_DATA!D536</f>
        <v/>
      </c>
      <c r="E536">
        <f>TEST_DATA!E536</f>
        <v/>
      </c>
      <c r="F536">
        <f>MIN(E536*53600,10000)</f>
        <v/>
      </c>
      <c r="G536">
        <f>MINIFS(CBIC_Late_Fee_Relief_Windows_3B!$O$536:$O$100,CBIC_Late_Fee_Relief_Windows_3B!$D$536:$D$100,"&lt;="&amp;B536,CBIC_Late_Fee_Relief_Windows_3B!$E$536:$E$100,"&gt;="&amp;B536,CBIC_Late_Fee_Relief_Windows_3B!$F$536:$F$100,"&lt;="&amp;C536,CBIC_Late_Fee_Relief_Windows_3B!$G$536:$G$100,"&gt;="&amp;C536)</f>
        <v/>
      </c>
      <c r="H536">
        <f>INDEX(CBIC_Late_Fee_Relief_Windows_3B!$I$536:$I$100,MATCH(G536,CBIC_Late_Fee_Relief_Windows_3B!$O$536:$O$100,0))</f>
        <v/>
      </c>
      <c r="I536">
        <f>MIN(F536,H536)</f>
        <v/>
      </c>
    </row>
    <row r="537">
      <c r="A537">
        <f>TEST_DATA!A537</f>
        <v/>
      </c>
      <c r="B537">
        <f>TEST_DATA!B537</f>
        <v/>
      </c>
      <c r="C537">
        <f>TEST_DATA!C537</f>
        <v/>
      </c>
      <c r="D537">
        <f>TEST_DATA!D537</f>
        <v/>
      </c>
      <c r="E537">
        <f>TEST_DATA!E537</f>
        <v/>
      </c>
      <c r="F537">
        <f>MIN(E537*53700,10000)</f>
        <v/>
      </c>
      <c r="G537">
        <f>MINIFS(CBIC_Late_Fee_Relief_Windows_3B!$O$537:$O$100,CBIC_Late_Fee_Relief_Windows_3B!$D$537:$D$100,"&lt;="&amp;B537,CBIC_Late_Fee_Relief_Windows_3B!$E$537:$E$100,"&gt;="&amp;B537,CBIC_Late_Fee_Relief_Windows_3B!$F$537:$F$100,"&lt;="&amp;C537,CBIC_Late_Fee_Relief_Windows_3B!$G$537:$G$100,"&gt;="&amp;C537)</f>
        <v/>
      </c>
      <c r="H537">
        <f>INDEX(CBIC_Late_Fee_Relief_Windows_3B!$I$537:$I$100,MATCH(G537,CBIC_Late_Fee_Relief_Windows_3B!$O$537:$O$100,0))</f>
        <v/>
      </c>
      <c r="I537">
        <f>MIN(F537,H537)</f>
        <v/>
      </c>
    </row>
    <row r="538">
      <c r="A538">
        <f>TEST_DATA!A538</f>
        <v/>
      </c>
      <c r="B538">
        <f>TEST_DATA!B538</f>
        <v/>
      </c>
      <c r="C538">
        <f>TEST_DATA!C538</f>
        <v/>
      </c>
      <c r="D538">
        <f>TEST_DATA!D538</f>
        <v/>
      </c>
      <c r="E538">
        <f>TEST_DATA!E538</f>
        <v/>
      </c>
      <c r="F538">
        <f>MIN(E538*53800,10000)</f>
        <v/>
      </c>
      <c r="G538">
        <f>MINIFS(CBIC_Late_Fee_Relief_Windows_3B!$O$538:$O$100,CBIC_Late_Fee_Relief_Windows_3B!$D$538:$D$100,"&lt;="&amp;B538,CBIC_Late_Fee_Relief_Windows_3B!$E$538:$E$100,"&gt;="&amp;B538,CBIC_Late_Fee_Relief_Windows_3B!$F$538:$F$100,"&lt;="&amp;C538,CBIC_Late_Fee_Relief_Windows_3B!$G$538:$G$100,"&gt;="&amp;C538)</f>
        <v/>
      </c>
      <c r="H538">
        <f>INDEX(CBIC_Late_Fee_Relief_Windows_3B!$I$538:$I$100,MATCH(G538,CBIC_Late_Fee_Relief_Windows_3B!$O$538:$O$100,0))</f>
        <v/>
      </c>
      <c r="I538">
        <f>MIN(F538,H538)</f>
        <v/>
      </c>
    </row>
    <row r="539">
      <c r="A539">
        <f>TEST_DATA!A539</f>
        <v/>
      </c>
      <c r="B539">
        <f>TEST_DATA!B539</f>
        <v/>
      </c>
      <c r="C539">
        <f>TEST_DATA!C539</f>
        <v/>
      </c>
      <c r="D539">
        <f>TEST_DATA!D539</f>
        <v/>
      </c>
      <c r="E539">
        <f>TEST_DATA!E539</f>
        <v/>
      </c>
      <c r="F539">
        <f>MIN(E539*53900,10000)</f>
        <v/>
      </c>
      <c r="G539">
        <f>MINIFS(CBIC_Late_Fee_Relief_Windows_3B!$O$539:$O$100,CBIC_Late_Fee_Relief_Windows_3B!$D$539:$D$100,"&lt;="&amp;B539,CBIC_Late_Fee_Relief_Windows_3B!$E$539:$E$100,"&gt;="&amp;B539,CBIC_Late_Fee_Relief_Windows_3B!$F$539:$F$100,"&lt;="&amp;C539,CBIC_Late_Fee_Relief_Windows_3B!$G$539:$G$100,"&gt;="&amp;C539)</f>
        <v/>
      </c>
      <c r="H539">
        <f>INDEX(CBIC_Late_Fee_Relief_Windows_3B!$I$539:$I$100,MATCH(G539,CBIC_Late_Fee_Relief_Windows_3B!$O$539:$O$100,0))</f>
        <v/>
      </c>
      <c r="I539">
        <f>MIN(F539,H539)</f>
        <v/>
      </c>
    </row>
    <row r="540">
      <c r="A540">
        <f>TEST_DATA!A540</f>
        <v/>
      </c>
      <c r="B540">
        <f>TEST_DATA!B540</f>
        <v/>
      </c>
      <c r="C540">
        <f>TEST_DATA!C540</f>
        <v/>
      </c>
      <c r="D540">
        <f>TEST_DATA!D540</f>
        <v/>
      </c>
      <c r="E540">
        <f>TEST_DATA!E540</f>
        <v/>
      </c>
      <c r="F540">
        <f>MIN(E540*54000,10000)</f>
        <v/>
      </c>
      <c r="G540">
        <f>MINIFS(CBIC_Late_Fee_Relief_Windows_3B!$O$540:$O$100,CBIC_Late_Fee_Relief_Windows_3B!$D$540:$D$100,"&lt;="&amp;B540,CBIC_Late_Fee_Relief_Windows_3B!$E$540:$E$100,"&gt;="&amp;B540,CBIC_Late_Fee_Relief_Windows_3B!$F$540:$F$100,"&lt;="&amp;C540,CBIC_Late_Fee_Relief_Windows_3B!$G$540:$G$100,"&gt;="&amp;C540)</f>
        <v/>
      </c>
      <c r="H540">
        <f>INDEX(CBIC_Late_Fee_Relief_Windows_3B!$I$540:$I$100,MATCH(G540,CBIC_Late_Fee_Relief_Windows_3B!$O$540:$O$100,0))</f>
        <v/>
      </c>
      <c r="I540">
        <f>MIN(F540,H540)</f>
        <v/>
      </c>
    </row>
    <row r="541">
      <c r="A541">
        <f>TEST_DATA!A541</f>
        <v/>
      </c>
      <c r="B541">
        <f>TEST_DATA!B541</f>
        <v/>
      </c>
      <c r="C541">
        <f>TEST_DATA!C541</f>
        <v/>
      </c>
      <c r="D541">
        <f>TEST_DATA!D541</f>
        <v/>
      </c>
      <c r="E541">
        <f>TEST_DATA!E541</f>
        <v/>
      </c>
      <c r="F541">
        <f>MIN(E541*54100,10000)</f>
        <v/>
      </c>
      <c r="G541">
        <f>MINIFS(CBIC_Late_Fee_Relief_Windows_3B!$O$541:$O$100,CBIC_Late_Fee_Relief_Windows_3B!$D$541:$D$100,"&lt;="&amp;B541,CBIC_Late_Fee_Relief_Windows_3B!$E$541:$E$100,"&gt;="&amp;B541,CBIC_Late_Fee_Relief_Windows_3B!$F$541:$F$100,"&lt;="&amp;C541,CBIC_Late_Fee_Relief_Windows_3B!$G$541:$G$100,"&gt;="&amp;C541)</f>
        <v/>
      </c>
      <c r="H541">
        <f>INDEX(CBIC_Late_Fee_Relief_Windows_3B!$I$541:$I$100,MATCH(G541,CBIC_Late_Fee_Relief_Windows_3B!$O$541:$O$100,0))</f>
        <v/>
      </c>
      <c r="I541">
        <f>MIN(F541,H541)</f>
        <v/>
      </c>
    </row>
    <row r="542">
      <c r="A542">
        <f>TEST_DATA!A542</f>
        <v/>
      </c>
      <c r="B542">
        <f>TEST_DATA!B542</f>
        <v/>
      </c>
      <c r="C542">
        <f>TEST_DATA!C542</f>
        <v/>
      </c>
      <c r="D542">
        <f>TEST_DATA!D542</f>
        <v/>
      </c>
      <c r="E542">
        <f>TEST_DATA!E542</f>
        <v/>
      </c>
      <c r="F542">
        <f>MIN(E542*54200,10000)</f>
        <v/>
      </c>
      <c r="G542">
        <f>MINIFS(CBIC_Late_Fee_Relief_Windows_3B!$O$542:$O$100,CBIC_Late_Fee_Relief_Windows_3B!$D$542:$D$100,"&lt;="&amp;B542,CBIC_Late_Fee_Relief_Windows_3B!$E$542:$E$100,"&gt;="&amp;B542,CBIC_Late_Fee_Relief_Windows_3B!$F$542:$F$100,"&lt;="&amp;C542,CBIC_Late_Fee_Relief_Windows_3B!$G$542:$G$100,"&gt;="&amp;C542)</f>
        <v/>
      </c>
      <c r="H542">
        <f>INDEX(CBIC_Late_Fee_Relief_Windows_3B!$I$542:$I$100,MATCH(G542,CBIC_Late_Fee_Relief_Windows_3B!$O$542:$O$100,0))</f>
        <v/>
      </c>
      <c r="I542">
        <f>MIN(F542,H542)</f>
        <v/>
      </c>
    </row>
    <row r="543">
      <c r="A543">
        <f>TEST_DATA!A543</f>
        <v/>
      </c>
      <c r="B543">
        <f>TEST_DATA!B543</f>
        <v/>
      </c>
      <c r="C543">
        <f>TEST_DATA!C543</f>
        <v/>
      </c>
      <c r="D543">
        <f>TEST_DATA!D543</f>
        <v/>
      </c>
      <c r="E543">
        <f>TEST_DATA!E543</f>
        <v/>
      </c>
      <c r="F543">
        <f>MIN(E543*54300,10000)</f>
        <v/>
      </c>
      <c r="G543">
        <f>MINIFS(CBIC_Late_Fee_Relief_Windows_3B!$O$543:$O$100,CBIC_Late_Fee_Relief_Windows_3B!$D$543:$D$100,"&lt;="&amp;B543,CBIC_Late_Fee_Relief_Windows_3B!$E$543:$E$100,"&gt;="&amp;B543,CBIC_Late_Fee_Relief_Windows_3B!$F$543:$F$100,"&lt;="&amp;C543,CBIC_Late_Fee_Relief_Windows_3B!$G$543:$G$100,"&gt;="&amp;C543)</f>
        <v/>
      </c>
      <c r="H543">
        <f>INDEX(CBIC_Late_Fee_Relief_Windows_3B!$I$543:$I$100,MATCH(G543,CBIC_Late_Fee_Relief_Windows_3B!$O$543:$O$100,0))</f>
        <v/>
      </c>
      <c r="I543">
        <f>MIN(F543,H543)</f>
        <v/>
      </c>
    </row>
    <row r="544">
      <c r="A544">
        <f>TEST_DATA!A544</f>
        <v/>
      </c>
      <c r="B544">
        <f>TEST_DATA!B544</f>
        <v/>
      </c>
      <c r="C544">
        <f>TEST_DATA!C544</f>
        <v/>
      </c>
      <c r="D544">
        <f>TEST_DATA!D544</f>
        <v/>
      </c>
      <c r="E544">
        <f>TEST_DATA!E544</f>
        <v/>
      </c>
      <c r="F544">
        <f>MIN(E544*54400,10000)</f>
        <v/>
      </c>
      <c r="G544">
        <f>MINIFS(CBIC_Late_Fee_Relief_Windows_3B!$O$544:$O$100,CBIC_Late_Fee_Relief_Windows_3B!$D$544:$D$100,"&lt;="&amp;B544,CBIC_Late_Fee_Relief_Windows_3B!$E$544:$E$100,"&gt;="&amp;B544,CBIC_Late_Fee_Relief_Windows_3B!$F$544:$F$100,"&lt;="&amp;C544,CBIC_Late_Fee_Relief_Windows_3B!$G$544:$G$100,"&gt;="&amp;C544)</f>
        <v/>
      </c>
      <c r="H544">
        <f>INDEX(CBIC_Late_Fee_Relief_Windows_3B!$I$544:$I$100,MATCH(G544,CBIC_Late_Fee_Relief_Windows_3B!$O$544:$O$100,0))</f>
        <v/>
      </c>
      <c r="I544">
        <f>MIN(F544,H544)</f>
        <v/>
      </c>
    </row>
    <row r="545">
      <c r="A545">
        <f>TEST_DATA!A545</f>
        <v/>
      </c>
      <c r="B545">
        <f>TEST_DATA!B545</f>
        <v/>
      </c>
      <c r="C545">
        <f>TEST_DATA!C545</f>
        <v/>
      </c>
      <c r="D545">
        <f>TEST_DATA!D545</f>
        <v/>
      </c>
      <c r="E545">
        <f>TEST_DATA!E545</f>
        <v/>
      </c>
      <c r="F545">
        <f>MIN(E545*54500,10000)</f>
        <v/>
      </c>
      <c r="G545">
        <f>MINIFS(CBIC_Late_Fee_Relief_Windows_3B!$O$545:$O$100,CBIC_Late_Fee_Relief_Windows_3B!$D$545:$D$100,"&lt;="&amp;B545,CBIC_Late_Fee_Relief_Windows_3B!$E$545:$E$100,"&gt;="&amp;B545,CBIC_Late_Fee_Relief_Windows_3B!$F$545:$F$100,"&lt;="&amp;C545,CBIC_Late_Fee_Relief_Windows_3B!$G$545:$G$100,"&gt;="&amp;C545)</f>
        <v/>
      </c>
      <c r="H545">
        <f>INDEX(CBIC_Late_Fee_Relief_Windows_3B!$I$545:$I$100,MATCH(G545,CBIC_Late_Fee_Relief_Windows_3B!$O$545:$O$100,0))</f>
        <v/>
      </c>
      <c r="I545">
        <f>MIN(F545,H545)</f>
        <v/>
      </c>
    </row>
    <row r="546">
      <c r="A546">
        <f>TEST_DATA!A546</f>
        <v/>
      </c>
      <c r="B546">
        <f>TEST_DATA!B546</f>
        <v/>
      </c>
      <c r="C546">
        <f>TEST_DATA!C546</f>
        <v/>
      </c>
      <c r="D546">
        <f>TEST_DATA!D546</f>
        <v/>
      </c>
      <c r="E546">
        <f>TEST_DATA!E546</f>
        <v/>
      </c>
      <c r="F546">
        <f>MIN(E546*54600,10000)</f>
        <v/>
      </c>
      <c r="G546">
        <f>MINIFS(CBIC_Late_Fee_Relief_Windows_3B!$O$546:$O$100,CBIC_Late_Fee_Relief_Windows_3B!$D$546:$D$100,"&lt;="&amp;B546,CBIC_Late_Fee_Relief_Windows_3B!$E$546:$E$100,"&gt;="&amp;B546,CBIC_Late_Fee_Relief_Windows_3B!$F$546:$F$100,"&lt;="&amp;C546,CBIC_Late_Fee_Relief_Windows_3B!$G$546:$G$100,"&gt;="&amp;C546)</f>
        <v/>
      </c>
      <c r="H546">
        <f>INDEX(CBIC_Late_Fee_Relief_Windows_3B!$I$546:$I$100,MATCH(G546,CBIC_Late_Fee_Relief_Windows_3B!$O$546:$O$100,0))</f>
        <v/>
      </c>
      <c r="I546">
        <f>MIN(F546,H546)</f>
        <v/>
      </c>
    </row>
    <row r="547">
      <c r="A547">
        <f>TEST_DATA!A547</f>
        <v/>
      </c>
      <c r="B547">
        <f>TEST_DATA!B547</f>
        <v/>
      </c>
      <c r="C547">
        <f>TEST_DATA!C547</f>
        <v/>
      </c>
      <c r="D547">
        <f>TEST_DATA!D547</f>
        <v/>
      </c>
      <c r="E547">
        <f>TEST_DATA!E547</f>
        <v/>
      </c>
      <c r="F547">
        <f>MIN(E547*54700,10000)</f>
        <v/>
      </c>
      <c r="G547">
        <f>MINIFS(CBIC_Late_Fee_Relief_Windows_3B!$O$547:$O$100,CBIC_Late_Fee_Relief_Windows_3B!$D$547:$D$100,"&lt;="&amp;B547,CBIC_Late_Fee_Relief_Windows_3B!$E$547:$E$100,"&gt;="&amp;B547,CBIC_Late_Fee_Relief_Windows_3B!$F$547:$F$100,"&lt;="&amp;C547,CBIC_Late_Fee_Relief_Windows_3B!$G$547:$G$100,"&gt;="&amp;C547)</f>
        <v/>
      </c>
      <c r="H547">
        <f>INDEX(CBIC_Late_Fee_Relief_Windows_3B!$I$547:$I$100,MATCH(G547,CBIC_Late_Fee_Relief_Windows_3B!$O$547:$O$100,0))</f>
        <v/>
      </c>
      <c r="I547">
        <f>MIN(F547,H547)</f>
        <v/>
      </c>
    </row>
    <row r="548">
      <c r="A548">
        <f>TEST_DATA!A548</f>
        <v/>
      </c>
      <c r="B548">
        <f>TEST_DATA!B548</f>
        <v/>
      </c>
      <c r="C548">
        <f>TEST_DATA!C548</f>
        <v/>
      </c>
      <c r="D548">
        <f>TEST_DATA!D548</f>
        <v/>
      </c>
      <c r="E548">
        <f>TEST_DATA!E548</f>
        <v/>
      </c>
      <c r="F548">
        <f>MIN(E548*54800,10000)</f>
        <v/>
      </c>
      <c r="G548">
        <f>MINIFS(CBIC_Late_Fee_Relief_Windows_3B!$O$548:$O$100,CBIC_Late_Fee_Relief_Windows_3B!$D$548:$D$100,"&lt;="&amp;B548,CBIC_Late_Fee_Relief_Windows_3B!$E$548:$E$100,"&gt;="&amp;B548,CBIC_Late_Fee_Relief_Windows_3B!$F$548:$F$100,"&lt;="&amp;C548,CBIC_Late_Fee_Relief_Windows_3B!$G$548:$G$100,"&gt;="&amp;C548)</f>
        <v/>
      </c>
      <c r="H548">
        <f>INDEX(CBIC_Late_Fee_Relief_Windows_3B!$I$548:$I$100,MATCH(G548,CBIC_Late_Fee_Relief_Windows_3B!$O$548:$O$100,0))</f>
        <v/>
      </c>
      <c r="I548">
        <f>MIN(F548,H548)</f>
        <v/>
      </c>
    </row>
    <row r="549">
      <c r="A549">
        <f>TEST_DATA!A549</f>
        <v/>
      </c>
      <c r="B549">
        <f>TEST_DATA!B549</f>
        <v/>
      </c>
      <c r="C549">
        <f>TEST_DATA!C549</f>
        <v/>
      </c>
      <c r="D549">
        <f>TEST_DATA!D549</f>
        <v/>
      </c>
      <c r="E549">
        <f>TEST_DATA!E549</f>
        <v/>
      </c>
      <c r="F549">
        <f>MIN(E549*54900,10000)</f>
        <v/>
      </c>
      <c r="G549">
        <f>MINIFS(CBIC_Late_Fee_Relief_Windows_3B!$O$549:$O$100,CBIC_Late_Fee_Relief_Windows_3B!$D$549:$D$100,"&lt;="&amp;B549,CBIC_Late_Fee_Relief_Windows_3B!$E$549:$E$100,"&gt;="&amp;B549,CBIC_Late_Fee_Relief_Windows_3B!$F$549:$F$100,"&lt;="&amp;C549,CBIC_Late_Fee_Relief_Windows_3B!$G$549:$G$100,"&gt;="&amp;C549)</f>
        <v/>
      </c>
      <c r="H549">
        <f>INDEX(CBIC_Late_Fee_Relief_Windows_3B!$I$549:$I$100,MATCH(G549,CBIC_Late_Fee_Relief_Windows_3B!$O$549:$O$100,0))</f>
        <v/>
      </c>
      <c r="I549">
        <f>MIN(F549,H549)</f>
        <v/>
      </c>
    </row>
    <row r="550">
      <c r="A550">
        <f>TEST_DATA!A550</f>
        <v/>
      </c>
      <c r="B550">
        <f>TEST_DATA!B550</f>
        <v/>
      </c>
      <c r="C550">
        <f>TEST_DATA!C550</f>
        <v/>
      </c>
      <c r="D550">
        <f>TEST_DATA!D550</f>
        <v/>
      </c>
      <c r="E550">
        <f>TEST_DATA!E550</f>
        <v/>
      </c>
      <c r="F550">
        <f>MIN(E550*55000,10000)</f>
        <v/>
      </c>
      <c r="G550">
        <f>MINIFS(CBIC_Late_Fee_Relief_Windows_3B!$O$550:$O$100,CBIC_Late_Fee_Relief_Windows_3B!$D$550:$D$100,"&lt;="&amp;B550,CBIC_Late_Fee_Relief_Windows_3B!$E$550:$E$100,"&gt;="&amp;B550,CBIC_Late_Fee_Relief_Windows_3B!$F$550:$F$100,"&lt;="&amp;C550,CBIC_Late_Fee_Relief_Windows_3B!$G$550:$G$100,"&gt;="&amp;C550)</f>
        <v/>
      </c>
      <c r="H550">
        <f>INDEX(CBIC_Late_Fee_Relief_Windows_3B!$I$550:$I$100,MATCH(G550,CBIC_Late_Fee_Relief_Windows_3B!$O$550:$O$100,0))</f>
        <v/>
      </c>
      <c r="I550">
        <f>MIN(F550,H550)</f>
        <v/>
      </c>
    </row>
    <row r="551">
      <c r="A551">
        <f>TEST_DATA!A551</f>
        <v/>
      </c>
      <c r="B551">
        <f>TEST_DATA!B551</f>
        <v/>
      </c>
      <c r="C551">
        <f>TEST_DATA!C551</f>
        <v/>
      </c>
      <c r="D551">
        <f>TEST_DATA!D551</f>
        <v/>
      </c>
      <c r="E551">
        <f>TEST_DATA!E551</f>
        <v/>
      </c>
      <c r="F551">
        <f>MIN(E551*55100,10000)</f>
        <v/>
      </c>
      <c r="G551">
        <f>MINIFS(CBIC_Late_Fee_Relief_Windows_3B!$O$551:$O$100,CBIC_Late_Fee_Relief_Windows_3B!$D$551:$D$100,"&lt;="&amp;B551,CBIC_Late_Fee_Relief_Windows_3B!$E$551:$E$100,"&gt;="&amp;B551,CBIC_Late_Fee_Relief_Windows_3B!$F$551:$F$100,"&lt;="&amp;C551,CBIC_Late_Fee_Relief_Windows_3B!$G$551:$G$100,"&gt;="&amp;C551)</f>
        <v/>
      </c>
      <c r="H551">
        <f>INDEX(CBIC_Late_Fee_Relief_Windows_3B!$I$551:$I$100,MATCH(G551,CBIC_Late_Fee_Relief_Windows_3B!$O$551:$O$100,0))</f>
        <v/>
      </c>
      <c r="I551">
        <f>MIN(F551,H551)</f>
        <v/>
      </c>
    </row>
    <row r="552">
      <c r="A552">
        <f>TEST_DATA!A552</f>
        <v/>
      </c>
      <c r="B552">
        <f>TEST_DATA!B552</f>
        <v/>
      </c>
      <c r="C552">
        <f>TEST_DATA!C552</f>
        <v/>
      </c>
      <c r="D552">
        <f>TEST_DATA!D552</f>
        <v/>
      </c>
      <c r="E552">
        <f>TEST_DATA!E552</f>
        <v/>
      </c>
      <c r="F552">
        <f>MIN(E552*55200,10000)</f>
        <v/>
      </c>
      <c r="G552">
        <f>MINIFS(CBIC_Late_Fee_Relief_Windows_3B!$O$552:$O$100,CBIC_Late_Fee_Relief_Windows_3B!$D$552:$D$100,"&lt;="&amp;B552,CBIC_Late_Fee_Relief_Windows_3B!$E$552:$E$100,"&gt;="&amp;B552,CBIC_Late_Fee_Relief_Windows_3B!$F$552:$F$100,"&lt;="&amp;C552,CBIC_Late_Fee_Relief_Windows_3B!$G$552:$G$100,"&gt;="&amp;C552)</f>
        <v/>
      </c>
      <c r="H552">
        <f>INDEX(CBIC_Late_Fee_Relief_Windows_3B!$I$552:$I$100,MATCH(G552,CBIC_Late_Fee_Relief_Windows_3B!$O$552:$O$100,0))</f>
        <v/>
      </c>
      <c r="I552">
        <f>MIN(F552,H552)</f>
        <v/>
      </c>
    </row>
    <row r="553">
      <c r="A553">
        <f>TEST_DATA!A553</f>
        <v/>
      </c>
      <c r="B553">
        <f>TEST_DATA!B553</f>
        <v/>
      </c>
      <c r="C553">
        <f>TEST_DATA!C553</f>
        <v/>
      </c>
      <c r="D553">
        <f>TEST_DATA!D553</f>
        <v/>
      </c>
      <c r="E553">
        <f>TEST_DATA!E553</f>
        <v/>
      </c>
      <c r="F553">
        <f>MIN(E553*55300,10000)</f>
        <v/>
      </c>
      <c r="G553">
        <f>MINIFS(CBIC_Late_Fee_Relief_Windows_3B!$O$553:$O$100,CBIC_Late_Fee_Relief_Windows_3B!$D$553:$D$100,"&lt;="&amp;B553,CBIC_Late_Fee_Relief_Windows_3B!$E$553:$E$100,"&gt;="&amp;B553,CBIC_Late_Fee_Relief_Windows_3B!$F$553:$F$100,"&lt;="&amp;C553,CBIC_Late_Fee_Relief_Windows_3B!$G$553:$G$100,"&gt;="&amp;C553)</f>
        <v/>
      </c>
      <c r="H553">
        <f>INDEX(CBIC_Late_Fee_Relief_Windows_3B!$I$553:$I$100,MATCH(G553,CBIC_Late_Fee_Relief_Windows_3B!$O$553:$O$100,0))</f>
        <v/>
      </c>
      <c r="I553">
        <f>MIN(F553,H553)</f>
        <v/>
      </c>
    </row>
    <row r="554">
      <c r="A554">
        <f>TEST_DATA!A554</f>
        <v/>
      </c>
      <c r="B554">
        <f>TEST_DATA!B554</f>
        <v/>
      </c>
      <c r="C554">
        <f>TEST_DATA!C554</f>
        <v/>
      </c>
      <c r="D554">
        <f>TEST_DATA!D554</f>
        <v/>
      </c>
      <c r="E554">
        <f>TEST_DATA!E554</f>
        <v/>
      </c>
      <c r="F554">
        <f>MIN(E554*55400,10000)</f>
        <v/>
      </c>
      <c r="G554">
        <f>MINIFS(CBIC_Late_Fee_Relief_Windows_3B!$O$554:$O$100,CBIC_Late_Fee_Relief_Windows_3B!$D$554:$D$100,"&lt;="&amp;B554,CBIC_Late_Fee_Relief_Windows_3B!$E$554:$E$100,"&gt;="&amp;B554,CBIC_Late_Fee_Relief_Windows_3B!$F$554:$F$100,"&lt;="&amp;C554,CBIC_Late_Fee_Relief_Windows_3B!$G$554:$G$100,"&gt;="&amp;C554)</f>
        <v/>
      </c>
      <c r="H554">
        <f>INDEX(CBIC_Late_Fee_Relief_Windows_3B!$I$554:$I$100,MATCH(G554,CBIC_Late_Fee_Relief_Windows_3B!$O$554:$O$100,0))</f>
        <v/>
      </c>
      <c r="I554">
        <f>MIN(F554,H554)</f>
        <v/>
      </c>
    </row>
    <row r="555">
      <c r="A555">
        <f>TEST_DATA!A555</f>
        <v/>
      </c>
      <c r="B555">
        <f>TEST_DATA!B555</f>
        <v/>
      </c>
      <c r="C555">
        <f>TEST_DATA!C555</f>
        <v/>
      </c>
      <c r="D555">
        <f>TEST_DATA!D555</f>
        <v/>
      </c>
      <c r="E555">
        <f>TEST_DATA!E555</f>
        <v/>
      </c>
      <c r="F555">
        <f>MIN(E555*55500,10000)</f>
        <v/>
      </c>
      <c r="G555">
        <f>MINIFS(CBIC_Late_Fee_Relief_Windows_3B!$O$555:$O$100,CBIC_Late_Fee_Relief_Windows_3B!$D$555:$D$100,"&lt;="&amp;B555,CBIC_Late_Fee_Relief_Windows_3B!$E$555:$E$100,"&gt;="&amp;B555,CBIC_Late_Fee_Relief_Windows_3B!$F$555:$F$100,"&lt;="&amp;C555,CBIC_Late_Fee_Relief_Windows_3B!$G$555:$G$100,"&gt;="&amp;C555)</f>
        <v/>
      </c>
      <c r="H555">
        <f>INDEX(CBIC_Late_Fee_Relief_Windows_3B!$I$555:$I$100,MATCH(G555,CBIC_Late_Fee_Relief_Windows_3B!$O$555:$O$100,0))</f>
        <v/>
      </c>
      <c r="I555">
        <f>MIN(F555,H555)</f>
        <v/>
      </c>
    </row>
    <row r="556">
      <c r="A556">
        <f>TEST_DATA!A556</f>
        <v/>
      </c>
      <c r="B556">
        <f>TEST_DATA!B556</f>
        <v/>
      </c>
      <c r="C556">
        <f>TEST_DATA!C556</f>
        <v/>
      </c>
      <c r="D556">
        <f>TEST_DATA!D556</f>
        <v/>
      </c>
      <c r="E556">
        <f>TEST_DATA!E556</f>
        <v/>
      </c>
      <c r="F556">
        <f>MIN(E556*55600,10000)</f>
        <v/>
      </c>
      <c r="G556">
        <f>MINIFS(CBIC_Late_Fee_Relief_Windows_3B!$O$556:$O$100,CBIC_Late_Fee_Relief_Windows_3B!$D$556:$D$100,"&lt;="&amp;B556,CBIC_Late_Fee_Relief_Windows_3B!$E$556:$E$100,"&gt;="&amp;B556,CBIC_Late_Fee_Relief_Windows_3B!$F$556:$F$100,"&lt;="&amp;C556,CBIC_Late_Fee_Relief_Windows_3B!$G$556:$G$100,"&gt;="&amp;C556)</f>
        <v/>
      </c>
      <c r="H556">
        <f>INDEX(CBIC_Late_Fee_Relief_Windows_3B!$I$556:$I$100,MATCH(G556,CBIC_Late_Fee_Relief_Windows_3B!$O$556:$O$100,0))</f>
        <v/>
      </c>
      <c r="I556">
        <f>MIN(F556,H556)</f>
        <v/>
      </c>
    </row>
    <row r="557">
      <c r="A557">
        <f>TEST_DATA!A557</f>
        <v/>
      </c>
      <c r="B557">
        <f>TEST_DATA!B557</f>
        <v/>
      </c>
      <c r="C557">
        <f>TEST_DATA!C557</f>
        <v/>
      </c>
      <c r="D557">
        <f>TEST_DATA!D557</f>
        <v/>
      </c>
      <c r="E557">
        <f>TEST_DATA!E557</f>
        <v/>
      </c>
      <c r="F557">
        <f>MIN(E557*55700,10000)</f>
        <v/>
      </c>
      <c r="G557">
        <f>MINIFS(CBIC_Late_Fee_Relief_Windows_3B!$O$557:$O$100,CBIC_Late_Fee_Relief_Windows_3B!$D$557:$D$100,"&lt;="&amp;B557,CBIC_Late_Fee_Relief_Windows_3B!$E$557:$E$100,"&gt;="&amp;B557,CBIC_Late_Fee_Relief_Windows_3B!$F$557:$F$100,"&lt;="&amp;C557,CBIC_Late_Fee_Relief_Windows_3B!$G$557:$G$100,"&gt;="&amp;C557)</f>
        <v/>
      </c>
      <c r="H557">
        <f>INDEX(CBIC_Late_Fee_Relief_Windows_3B!$I$557:$I$100,MATCH(G557,CBIC_Late_Fee_Relief_Windows_3B!$O$557:$O$100,0))</f>
        <v/>
      </c>
      <c r="I557">
        <f>MIN(F557,H557)</f>
        <v/>
      </c>
    </row>
    <row r="558">
      <c r="A558">
        <f>TEST_DATA!A558</f>
        <v/>
      </c>
      <c r="B558">
        <f>TEST_DATA!B558</f>
        <v/>
      </c>
      <c r="C558">
        <f>TEST_DATA!C558</f>
        <v/>
      </c>
      <c r="D558">
        <f>TEST_DATA!D558</f>
        <v/>
      </c>
      <c r="E558">
        <f>TEST_DATA!E558</f>
        <v/>
      </c>
      <c r="F558">
        <f>MIN(E558*55800,10000)</f>
        <v/>
      </c>
      <c r="G558">
        <f>MINIFS(CBIC_Late_Fee_Relief_Windows_3B!$O$558:$O$100,CBIC_Late_Fee_Relief_Windows_3B!$D$558:$D$100,"&lt;="&amp;B558,CBIC_Late_Fee_Relief_Windows_3B!$E$558:$E$100,"&gt;="&amp;B558,CBIC_Late_Fee_Relief_Windows_3B!$F$558:$F$100,"&lt;="&amp;C558,CBIC_Late_Fee_Relief_Windows_3B!$G$558:$G$100,"&gt;="&amp;C558)</f>
        <v/>
      </c>
      <c r="H558">
        <f>INDEX(CBIC_Late_Fee_Relief_Windows_3B!$I$558:$I$100,MATCH(G558,CBIC_Late_Fee_Relief_Windows_3B!$O$558:$O$100,0))</f>
        <v/>
      </c>
      <c r="I558">
        <f>MIN(F558,H558)</f>
        <v/>
      </c>
    </row>
    <row r="559">
      <c r="A559">
        <f>TEST_DATA!A559</f>
        <v/>
      </c>
      <c r="B559">
        <f>TEST_DATA!B559</f>
        <v/>
      </c>
      <c r="C559">
        <f>TEST_DATA!C559</f>
        <v/>
      </c>
      <c r="D559">
        <f>TEST_DATA!D559</f>
        <v/>
      </c>
      <c r="E559">
        <f>TEST_DATA!E559</f>
        <v/>
      </c>
      <c r="F559">
        <f>MIN(E559*55900,10000)</f>
        <v/>
      </c>
      <c r="G559">
        <f>MINIFS(CBIC_Late_Fee_Relief_Windows_3B!$O$559:$O$100,CBIC_Late_Fee_Relief_Windows_3B!$D$559:$D$100,"&lt;="&amp;B559,CBIC_Late_Fee_Relief_Windows_3B!$E$559:$E$100,"&gt;="&amp;B559,CBIC_Late_Fee_Relief_Windows_3B!$F$559:$F$100,"&lt;="&amp;C559,CBIC_Late_Fee_Relief_Windows_3B!$G$559:$G$100,"&gt;="&amp;C559)</f>
        <v/>
      </c>
      <c r="H559">
        <f>INDEX(CBIC_Late_Fee_Relief_Windows_3B!$I$559:$I$100,MATCH(G559,CBIC_Late_Fee_Relief_Windows_3B!$O$559:$O$100,0))</f>
        <v/>
      </c>
      <c r="I559">
        <f>MIN(F559,H559)</f>
        <v/>
      </c>
    </row>
    <row r="560">
      <c r="A560">
        <f>TEST_DATA!A560</f>
        <v/>
      </c>
      <c r="B560">
        <f>TEST_DATA!B560</f>
        <v/>
      </c>
      <c r="C560">
        <f>TEST_DATA!C560</f>
        <v/>
      </c>
      <c r="D560">
        <f>TEST_DATA!D560</f>
        <v/>
      </c>
      <c r="E560">
        <f>TEST_DATA!E560</f>
        <v/>
      </c>
      <c r="F560">
        <f>MIN(E560*56000,10000)</f>
        <v/>
      </c>
      <c r="G560">
        <f>MINIFS(CBIC_Late_Fee_Relief_Windows_3B!$O$560:$O$100,CBIC_Late_Fee_Relief_Windows_3B!$D$560:$D$100,"&lt;="&amp;B560,CBIC_Late_Fee_Relief_Windows_3B!$E$560:$E$100,"&gt;="&amp;B560,CBIC_Late_Fee_Relief_Windows_3B!$F$560:$F$100,"&lt;="&amp;C560,CBIC_Late_Fee_Relief_Windows_3B!$G$560:$G$100,"&gt;="&amp;C560)</f>
        <v/>
      </c>
      <c r="H560">
        <f>INDEX(CBIC_Late_Fee_Relief_Windows_3B!$I$560:$I$100,MATCH(G560,CBIC_Late_Fee_Relief_Windows_3B!$O$560:$O$100,0))</f>
        <v/>
      </c>
      <c r="I560">
        <f>MIN(F560,H560)</f>
        <v/>
      </c>
    </row>
    <row r="561">
      <c r="A561">
        <f>TEST_DATA!A561</f>
        <v/>
      </c>
      <c r="B561">
        <f>TEST_DATA!B561</f>
        <v/>
      </c>
      <c r="C561">
        <f>TEST_DATA!C561</f>
        <v/>
      </c>
      <c r="D561">
        <f>TEST_DATA!D561</f>
        <v/>
      </c>
      <c r="E561">
        <f>TEST_DATA!E561</f>
        <v/>
      </c>
      <c r="F561">
        <f>MIN(E561*56100,10000)</f>
        <v/>
      </c>
      <c r="G561">
        <f>MINIFS(CBIC_Late_Fee_Relief_Windows_3B!$O$561:$O$100,CBIC_Late_Fee_Relief_Windows_3B!$D$561:$D$100,"&lt;="&amp;B561,CBIC_Late_Fee_Relief_Windows_3B!$E$561:$E$100,"&gt;="&amp;B561,CBIC_Late_Fee_Relief_Windows_3B!$F$561:$F$100,"&lt;="&amp;C561,CBIC_Late_Fee_Relief_Windows_3B!$G$561:$G$100,"&gt;="&amp;C561)</f>
        <v/>
      </c>
      <c r="H561">
        <f>INDEX(CBIC_Late_Fee_Relief_Windows_3B!$I$561:$I$100,MATCH(G561,CBIC_Late_Fee_Relief_Windows_3B!$O$561:$O$100,0))</f>
        <v/>
      </c>
      <c r="I561">
        <f>MIN(F561,H561)</f>
        <v/>
      </c>
    </row>
    <row r="562">
      <c r="A562">
        <f>TEST_DATA!A562</f>
        <v/>
      </c>
      <c r="B562">
        <f>TEST_DATA!B562</f>
        <v/>
      </c>
      <c r="C562">
        <f>TEST_DATA!C562</f>
        <v/>
      </c>
      <c r="D562">
        <f>TEST_DATA!D562</f>
        <v/>
      </c>
      <c r="E562">
        <f>TEST_DATA!E562</f>
        <v/>
      </c>
      <c r="F562">
        <f>MIN(E562*56200,10000)</f>
        <v/>
      </c>
      <c r="G562">
        <f>MINIFS(CBIC_Late_Fee_Relief_Windows_3B!$O$562:$O$100,CBIC_Late_Fee_Relief_Windows_3B!$D$562:$D$100,"&lt;="&amp;B562,CBIC_Late_Fee_Relief_Windows_3B!$E$562:$E$100,"&gt;="&amp;B562,CBIC_Late_Fee_Relief_Windows_3B!$F$562:$F$100,"&lt;="&amp;C562,CBIC_Late_Fee_Relief_Windows_3B!$G$562:$G$100,"&gt;="&amp;C562)</f>
        <v/>
      </c>
      <c r="H562">
        <f>INDEX(CBIC_Late_Fee_Relief_Windows_3B!$I$562:$I$100,MATCH(G562,CBIC_Late_Fee_Relief_Windows_3B!$O$562:$O$100,0))</f>
        <v/>
      </c>
      <c r="I562">
        <f>MIN(F562,H562)</f>
        <v/>
      </c>
    </row>
    <row r="563">
      <c r="A563">
        <f>TEST_DATA!A563</f>
        <v/>
      </c>
      <c r="B563">
        <f>TEST_DATA!B563</f>
        <v/>
      </c>
      <c r="C563">
        <f>TEST_DATA!C563</f>
        <v/>
      </c>
      <c r="D563">
        <f>TEST_DATA!D563</f>
        <v/>
      </c>
      <c r="E563">
        <f>TEST_DATA!E563</f>
        <v/>
      </c>
      <c r="F563">
        <f>MIN(E563*56300,10000)</f>
        <v/>
      </c>
      <c r="G563">
        <f>MINIFS(CBIC_Late_Fee_Relief_Windows_3B!$O$563:$O$100,CBIC_Late_Fee_Relief_Windows_3B!$D$563:$D$100,"&lt;="&amp;B563,CBIC_Late_Fee_Relief_Windows_3B!$E$563:$E$100,"&gt;="&amp;B563,CBIC_Late_Fee_Relief_Windows_3B!$F$563:$F$100,"&lt;="&amp;C563,CBIC_Late_Fee_Relief_Windows_3B!$G$563:$G$100,"&gt;="&amp;C563)</f>
        <v/>
      </c>
      <c r="H563">
        <f>INDEX(CBIC_Late_Fee_Relief_Windows_3B!$I$563:$I$100,MATCH(G563,CBIC_Late_Fee_Relief_Windows_3B!$O$563:$O$100,0))</f>
        <v/>
      </c>
      <c r="I563">
        <f>MIN(F563,H563)</f>
        <v/>
      </c>
    </row>
    <row r="564">
      <c r="A564">
        <f>TEST_DATA!A564</f>
        <v/>
      </c>
      <c r="B564">
        <f>TEST_DATA!B564</f>
        <v/>
      </c>
      <c r="C564">
        <f>TEST_DATA!C564</f>
        <v/>
      </c>
      <c r="D564">
        <f>TEST_DATA!D564</f>
        <v/>
      </c>
      <c r="E564">
        <f>TEST_DATA!E564</f>
        <v/>
      </c>
      <c r="F564">
        <f>MIN(E564*56400,10000)</f>
        <v/>
      </c>
      <c r="G564">
        <f>MINIFS(CBIC_Late_Fee_Relief_Windows_3B!$O$564:$O$100,CBIC_Late_Fee_Relief_Windows_3B!$D$564:$D$100,"&lt;="&amp;B564,CBIC_Late_Fee_Relief_Windows_3B!$E$564:$E$100,"&gt;="&amp;B564,CBIC_Late_Fee_Relief_Windows_3B!$F$564:$F$100,"&lt;="&amp;C564,CBIC_Late_Fee_Relief_Windows_3B!$G$564:$G$100,"&gt;="&amp;C564)</f>
        <v/>
      </c>
      <c r="H564">
        <f>INDEX(CBIC_Late_Fee_Relief_Windows_3B!$I$564:$I$100,MATCH(G564,CBIC_Late_Fee_Relief_Windows_3B!$O$564:$O$100,0))</f>
        <v/>
      </c>
      <c r="I564">
        <f>MIN(F564,H564)</f>
        <v/>
      </c>
    </row>
    <row r="565">
      <c r="A565">
        <f>TEST_DATA!A565</f>
        <v/>
      </c>
      <c r="B565">
        <f>TEST_DATA!B565</f>
        <v/>
      </c>
      <c r="C565">
        <f>TEST_DATA!C565</f>
        <v/>
      </c>
      <c r="D565">
        <f>TEST_DATA!D565</f>
        <v/>
      </c>
      <c r="E565">
        <f>TEST_DATA!E565</f>
        <v/>
      </c>
      <c r="F565">
        <f>MIN(E565*56500,10000)</f>
        <v/>
      </c>
      <c r="G565">
        <f>MINIFS(CBIC_Late_Fee_Relief_Windows_3B!$O$565:$O$100,CBIC_Late_Fee_Relief_Windows_3B!$D$565:$D$100,"&lt;="&amp;B565,CBIC_Late_Fee_Relief_Windows_3B!$E$565:$E$100,"&gt;="&amp;B565,CBIC_Late_Fee_Relief_Windows_3B!$F$565:$F$100,"&lt;="&amp;C565,CBIC_Late_Fee_Relief_Windows_3B!$G$565:$G$100,"&gt;="&amp;C565)</f>
        <v/>
      </c>
      <c r="H565">
        <f>INDEX(CBIC_Late_Fee_Relief_Windows_3B!$I$565:$I$100,MATCH(G565,CBIC_Late_Fee_Relief_Windows_3B!$O$565:$O$100,0))</f>
        <v/>
      </c>
      <c r="I565">
        <f>MIN(F565,H565)</f>
        <v/>
      </c>
    </row>
    <row r="566">
      <c r="A566">
        <f>TEST_DATA!A566</f>
        <v/>
      </c>
      <c r="B566">
        <f>TEST_DATA!B566</f>
        <v/>
      </c>
      <c r="C566">
        <f>TEST_DATA!C566</f>
        <v/>
      </c>
      <c r="D566">
        <f>TEST_DATA!D566</f>
        <v/>
      </c>
      <c r="E566">
        <f>TEST_DATA!E566</f>
        <v/>
      </c>
      <c r="F566">
        <f>MIN(E566*56600,10000)</f>
        <v/>
      </c>
      <c r="G566">
        <f>MINIFS(CBIC_Late_Fee_Relief_Windows_3B!$O$566:$O$100,CBIC_Late_Fee_Relief_Windows_3B!$D$566:$D$100,"&lt;="&amp;B566,CBIC_Late_Fee_Relief_Windows_3B!$E$566:$E$100,"&gt;="&amp;B566,CBIC_Late_Fee_Relief_Windows_3B!$F$566:$F$100,"&lt;="&amp;C566,CBIC_Late_Fee_Relief_Windows_3B!$G$566:$G$100,"&gt;="&amp;C566)</f>
        <v/>
      </c>
      <c r="H566">
        <f>INDEX(CBIC_Late_Fee_Relief_Windows_3B!$I$566:$I$100,MATCH(G566,CBIC_Late_Fee_Relief_Windows_3B!$O$566:$O$100,0))</f>
        <v/>
      </c>
      <c r="I566">
        <f>MIN(F566,H566)</f>
        <v/>
      </c>
    </row>
    <row r="567">
      <c r="A567">
        <f>TEST_DATA!A567</f>
        <v/>
      </c>
      <c r="B567">
        <f>TEST_DATA!B567</f>
        <v/>
      </c>
      <c r="C567">
        <f>TEST_DATA!C567</f>
        <v/>
      </c>
      <c r="D567">
        <f>TEST_DATA!D567</f>
        <v/>
      </c>
      <c r="E567">
        <f>TEST_DATA!E567</f>
        <v/>
      </c>
      <c r="F567">
        <f>MIN(E567*56700,10000)</f>
        <v/>
      </c>
      <c r="G567">
        <f>MINIFS(CBIC_Late_Fee_Relief_Windows_3B!$O$567:$O$100,CBIC_Late_Fee_Relief_Windows_3B!$D$567:$D$100,"&lt;="&amp;B567,CBIC_Late_Fee_Relief_Windows_3B!$E$567:$E$100,"&gt;="&amp;B567,CBIC_Late_Fee_Relief_Windows_3B!$F$567:$F$100,"&lt;="&amp;C567,CBIC_Late_Fee_Relief_Windows_3B!$G$567:$G$100,"&gt;="&amp;C567)</f>
        <v/>
      </c>
      <c r="H567">
        <f>INDEX(CBIC_Late_Fee_Relief_Windows_3B!$I$567:$I$100,MATCH(G567,CBIC_Late_Fee_Relief_Windows_3B!$O$567:$O$100,0))</f>
        <v/>
      </c>
      <c r="I567">
        <f>MIN(F567,H567)</f>
        <v/>
      </c>
    </row>
    <row r="568">
      <c r="A568">
        <f>TEST_DATA!A568</f>
        <v/>
      </c>
      <c r="B568">
        <f>TEST_DATA!B568</f>
        <v/>
      </c>
      <c r="C568">
        <f>TEST_DATA!C568</f>
        <v/>
      </c>
      <c r="D568">
        <f>TEST_DATA!D568</f>
        <v/>
      </c>
      <c r="E568">
        <f>TEST_DATA!E568</f>
        <v/>
      </c>
      <c r="F568">
        <f>MIN(E568*56800,10000)</f>
        <v/>
      </c>
      <c r="G568">
        <f>MINIFS(CBIC_Late_Fee_Relief_Windows_3B!$O$568:$O$100,CBIC_Late_Fee_Relief_Windows_3B!$D$568:$D$100,"&lt;="&amp;B568,CBIC_Late_Fee_Relief_Windows_3B!$E$568:$E$100,"&gt;="&amp;B568,CBIC_Late_Fee_Relief_Windows_3B!$F$568:$F$100,"&lt;="&amp;C568,CBIC_Late_Fee_Relief_Windows_3B!$G$568:$G$100,"&gt;="&amp;C568)</f>
        <v/>
      </c>
      <c r="H568">
        <f>INDEX(CBIC_Late_Fee_Relief_Windows_3B!$I$568:$I$100,MATCH(G568,CBIC_Late_Fee_Relief_Windows_3B!$O$568:$O$100,0))</f>
        <v/>
      </c>
      <c r="I568">
        <f>MIN(F568,H568)</f>
        <v/>
      </c>
    </row>
    <row r="569">
      <c r="A569">
        <f>TEST_DATA!A569</f>
        <v/>
      </c>
      <c r="B569">
        <f>TEST_DATA!B569</f>
        <v/>
      </c>
      <c r="C569">
        <f>TEST_DATA!C569</f>
        <v/>
      </c>
      <c r="D569">
        <f>TEST_DATA!D569</f>
        <v/>
      </c>
      <c r="E569">
        <f>TEST_DATA!E569</f>
        <v/>
      </c>
      <c r="F569">
        <f>MIN(E569*56900,10000)</f>
        <v/>
      </c>
      <c r="G569">
        <f>MINIFS(CBIC_Late_Fee_Relief_Windows_3B!$O$569:$O$100,CBIC_Late_Fee_Relief_Windows_3B!$D$569:$D$100,"&lt;="&amp;B569,CBIC_Late_Fee_Relief_Windows_3B!$E$569:$E$100,"&gt;="&amp;B569,CBIC_Late_Fee_Relief_Windows_3B!$F$569:$F$100,"&lt;="&amp;C569,CBIC_Late_Fee_Relief_Windows_3B!$G$569:$G$100,"&gt;="&amp;C569)</f>
        <v/>
      </c>
      <c r="H569">
        <f>INDEX(CBIC_Late_Fee_Relief_Windows_3B!$I$569:$I$100,MATCH(G569,CBIC_Late_Fee_Relief_Windows_3B!$O$569:$O$100,0))</f>
        <v/>
      </c>
      <c r="I569">
        <f>MIN(F569,H569)</f>
        <v/>
      </c>
    </row>
    <row r="570">
      <c r="A570">
        <f>TEST_DATA!A570</f>
        <v/>
      </c>
      <c r="B570">
        <f>TEST_DATA!B570</f>
        <v/>
      </c>
      <c r="C570">
        <f>TEST_DATA!C570</f>
        <v/>
      </c>
      <c r="D570">
        <f>TEST_DATA!D570</f>
        <v/>
      </c>
      <c r="E570">
        <f>TEST_DATA!E570</f>
        <v/>
      </c>
      <c r="F570">
        <f>MIN(E570*57000,10000)</f>
        <v/>
      </c>
      <c r="G570">
        <f>MINIFS(CBIC_Late_Fee_Relief_Windows_3B!$O$570:$O$100,CBIC_Late_Fee_Relief_Windows_3B!$D$570:$D$100,"&lt;="&amp;B570,CBIC_Late_Fee_Relief_Windows_3B!$E$570:$E$100,"&gt;="&amp;B570,CBIC_Late_Fee_Relief_Windows_3B!$F$570:$F$100,"&lt;="&amp;C570,CBIC_Late_Fee_Relief_Windows_3B!$G$570:$G$100,"&gt;="&amp;C570)</f>
        <v/>
      </c>
      <c r="H570">
        <f>INDEX(CBIC_Late_Fee_Relief_Windows_3B!$I$570:$I$100,MATCH(G570,CBIC_Late_Fee_Relief_Windows_3B!$O$570:$O$100,0))</f>
        <v/>
      </c>
      <c r="I570">
        <f>MIN(F570,H570)</f>
        <v/>
      </c>
    </row>
    <row r="571">
      <c r="A571">
        <f>TEST_DATA!A571</f>
        <v/>
      </c>
      <c r="B571">
        <f>TEST_DATA!B571</f>
        <v/>
      </c>
      <c r="C571">
        <f>TEST_DATA!C571</f>
        <v/>
      </c>
      <c r="D571">
        <f>TEST_DATA!D571</f>
        <v/>
      </c>
      <c r="E571">
        <f>TEST_DATA!E571</f>
        <v/>
      </c>
      <c r="F571">
        <f>MIN(E571*57100,10000)</f>
        <v/>
      </c>
      <c r="G571">
        <f>MINIFS(CBIC_Late_Fee_Relief_Windows_3B!$O$571:$O$100,CBIC_Late_Fee_Relief_Windows_3B!$D$571:$D$100,"&lt;="&amp;B571,CBIC_Late_Fee_Relief_Windows_3B!$E$571:$E$100,"&gt;="&amp;B571,CBIC_Late_Fee_Relief_Windows_3B!$F$571:$F$100,"&lt;="&amp;C571,CBIC_Late_Fee_Relief_Windows_3B!$G$571:$G$100,"&gt;="&amp;C571)</f>
        <v/>
      </c>
      <c r="H571">
        <f>INDEX(CBIC_Late_Fee_Relief_Windows_3B!$I$571:$I$100,MATCH(G571,CBIC_Late_Fee_Relief_Windows_3B!$O$571:$O$100,0))</f>
        <v/>
      </c>
      <c r="I571">
        <f>MIN(F571,H571)</f>
        <v/>
      </c>
    </row>
    <row r="572">
      <c r="A572">
        <f>TEST_DATA!A572</f>
        <v/>
      </c>
      <c r="B572">
        <f>TEST_DATA!B572</f>
        <v/>
      </c>
      <c r="C572">
        <f>TEST_DATA!C572</f>
        <v/>
      </c>
      <c r="D572">
        <f>TEST_DATA!D572</f>
        <v/>
      </c>
      <c r="E572">
        <f>TEST_DATA!E572</f>
        <v/>
      </c>
      <c r="F572">
        <f>MIN(E572*57200,10000)</f>
        <v/>
      </c>
      <c r="G572">
        <f>MINIFS(CBIC_Late_Fee_Relief_Windows_3B!$O$572:$O$100,CBIC_Late_Fee_Relief_Windows_3B!$D$572:$D$100,"&lt;="&amp;B572,CBIC_Late_Fee_Relief_Windows_3B!$E$572:$E$100,"&gt;="&amp;B572,CBIC_Late_Fee_Relief_Windows_3B!$F$572:$F$100,"&lt;="&amp;C572,CBIC_Late_Fee_Relief_Windows_3B!$G$572:$G$100,"&gt;="&amp;C572)</f>
        <v/>
      </c>
      <c r="H572">
        <f>INDEX(CBIC_Late_Fee_Relief_Windows_3B!$I$572:$I$100,MATCH(G572,CBIC_Late_Fee_Relief_Windows_3B!$O$572:$O$100,0))</f>
        <v/>
      </c>
      <c r="I572">
        <f>MIN(F572,H572)</f>
        <v/>
      </c>
    </row>
    <row r="573">
      <c r="A573">
        <f>TEST_DATA!A573</f>
        <v/>
      </c>
      <c r="B573">
        <f>TEST_DATA!B573</f>
        <v/>
      </c>
      <c r="C573">
        <f>TEST_DATA!C573</f>
        <v/>
      </c>
      <c r="D573">
        <f>TEST_DATA!D573</f>
        <v/>
      </c>
      <c r="E573">
        <f>TEST_DATA!E573</f>
        <v/>
      </c>
      <c r="F573">
        <f>MIN(E573*57300,10000)</f>
        <v/>
      </c>
      <c r="G573">
        <f>MINIFS(CBIC_Late_Fee_Relief_Windows_3B!$O$573:$O$100,CBIC_Late_Fee_Relief_Windows_3B!$D$573:$D$100,"&lt;="&amp;B573,CBIC_Late_Fee_Relief_Windows_3B!$E$573:$E$100,"&gt;="&amp;B573,CBIC_Late_Fee_Relief_Windows_3B!$F$573:$F$100,"&lt;="&amp;C573,CBIC_Late_Fee_Relief_Windows_3B!$G$573:$G$100,"&gt;="&amp;C573)</f>
        <v/>
      </c>
      <c r="H573">
        <f>INDEX(CBIC_Late_Fee_Relief_Windows_3B!$I$573:$I$100,MATCH(G573,CBIC_Late_Fee_Relief_Windows_3B!$O$573:$O$100,0))</f>
        <v/>
      </c>
      <c r="I573">
        <f>MIN(F573,H573)</f>
        <v/>
      </c>
    </row>
    <row r="574">
      <c r="A574">
        <f>TEST_DATA!A574</f>
        <v/>
      </c>
      <c r="B574">
        <f>TEST_DATA!B574</f>
        <v/>
      </c>
      <c r="C574">
        <f>TEST_DATA!C574</f>
        <v/>
      </c>
      <c r="D574">
        <f>TEST_DATA!D574</f>
        <v/>
      </c>
      <c r="E574">
        <f>TEST_DATA!E574</f>
        <v/>
      </c>
      <c r="F574">
        <f>MIN(E574*57400,10000)</f>
        <v/>
      </c>
      <c r="G574">
        <f>MINIFS(CBIC_Late_Fee_Relief_Windows_3B!$O$574:$O$100,CBIC_Late_Fee_Relief_Windows_3B!$D$574:$D$100,"&lt;="&amp;B574,CBIC_Late_Fee_Relief_Windows_3B!$E$574:$E$100,"&gt;="&amp;B574,CBIC_Late_Fee_Relief_Windows_3B!$F$574:$F$100,"&lt;="&amp;C574,CBIC_Late_Fee_Relief_Windows_3B!$G$574:$G$100,"&gt;="&amp;C574)</f>
        <v/>
      </c>
      <c r="H574">
        <f>INDEX(CBIC_Late_Fee_Relief_Windows_3B!$I$574:$I$100,MATCH(G574,CBIC_Late_Fee_Relief_Windows_3B!$O$574:$O$100,0))</f>
        <v/>
      </c>
      <c r="I574">
        <f>MIN(F574,H574)</f>
        <v/>
      </c>
    </row>
    <row r="575">
      <c r="A575">
        <f>TEST_DATA!A575</f>
        <v/>
      </c>
      <c r="B575">
        <f>TEST_DATA!B575</f>
        <v/>
      </c>
      <c r="C575">
        <f>TEST_DATA!C575</f>
        <v/>
      </c>
      <c r="D575">
        <f>TEST_DATA!D575</f>
        <v/>
      </c>
      <c r="E575">
        <f>TEST_DATA!E575</f>
        <v/>
      </c>
      <c r="F575">
        <f>MIN(E575*57500,10000)</f>
        <v/>
      </c>
      <c r="G575">
        <f>MINIFS(CBIC_Late_Fee_Relief_Windows_3B!$O$575:$O$100,CBIC_Late_Fee_Relief_Windows_3B!$D$575:$D$100,"&lt;="&amp;B575,CBIC_Late_Fee_Relief_Windows_3B!$E$575:$E$100,"&gt;="&amp;B575,CBIC_Late_Fee_Relief_Windows_3B!$F$575:$F$100,"&lt;="&amp;C575,CBIC_Late_Fee_Relief_Windows_3B!$G$575:$G$100,"&gt;="&amp;C575)</f>
        <v/>
      </c>
      <c r="H575">
        <f>INDEX(CBIC_Late_Fee_Relief_Windows_3B!$I$575:$I$100,MATCH(G575,CBIC_Late_Fee_Relief_Windows_3B!$O$575:$O$100,0))</f>
        <v/>
      </c>
      <c r="I575">
        <f>MIN(F575,H575)</f>
        <v/>
      </c>
    </row>
    <row r="576">
      <c r="A576">
        <f>TEST_DATA!A576</f>
        <v/>
      </c>
      <c r="B576">
        <f>TEST_DATA!B576</f>
        <v/>
      </c>
      <c r="C576">
        <f>TEST_DATA!C576</f>
        <v/>
      </c>
      <c r="D576">
        <f>TEST_DATA!D576</f>
        <v/>
      </c>
      <c r="E576">
        <f>TEST_DATA!E576</f>
        <v/>
      </c>
      <c r="F576">
        <f>MIN(E576*57600,10000)</f>
        <v/>
      </c>
      <c r="G576">
        <f>MINIFS(CBIC_Late_Fee_Relief_Windows_3B!$O$576:$O$100,CBIC_Late_Fee_Relief_Windows_3B!$D$576:$D$100,"&lt;="&amp;B576,CBIC_Late_Fee_Relief_Windows_3B!$E$576:$E$100,"&gt;="&amp;B576,CBIC_Late_Fee_Relief_Windows_3B!$F$576:$F$100,"&lt;="&amp;C576,CBIC_Late_Fee_Relief_Windows_3B!$G$576:$G$100,"&gt;="&amp;C576)</f>
        <v/>
      </c>
      <c r="H576">
        <f>INDEX(CBIC_Late_Fee_Relief_Windows_3B!$I$576:$I$100,MATCH(G576,CBIC_Late_Fee_Relief_Windows_3B!$O$576:$O$100,0))</f>
        <v/>
      </c>
      <c r="I576">
        <f>MIN(F576,H576)</f>
        <v/>
      </c>
    </row>
    <row r="577">
      <c r="A577">
        <f>TEST_DATA!A577</f>
        <v/>
      </c>
      <c r="B577">
        <f>TEST_DATA!B577</f>
        <v/>
      </c>
      <c r="C577">
        <f>TEST_DATA!C577</f>
        <v/>
      </c>
      <c r="D577">
        <f>TEST_DATA!D577</f>
        <v/>
      </c>
      <c r="E577">
        <f>TEST_DATA!E577</f>
        <v/>
      </c>
      <c r="F577">
        <f>MIN(E577*57700,10000)</f>
        <v/>
      </c>
      <c r="G577">
        <f>MINIFS(CBIC_Late_Fee_Relief_Windows_3B!$O$577:$O$100,CBIC_Late_Fee_Relief_Windows_3B!$D$577:$D$100,"&lt;="&amp;B577,CBIC_Late_Fee_Relief_Windows_3B!$E$577:$E$100,"&gt;="&amp;B577,CBIC_Late_Fee_Relief_Windows_3B!$F$577:$F$100,"&lt;="&amp;C577,CBIC_Late_Fee_Relief_Windows_3B!$G$577:$G$100,"&gt;="&amp;C577)</f>
        <v/>
      </c>
      <c r="H577">
        <f>INDEX(CBIC_Late_Fee_Relief_Windows_3B!$I$577:$I$100,MATCH(G577,CBIC_Late_Fee_Relief_Windows_3B!$O$577:$O$100,0))</f>
        <v/>
      </c>
      <c r="I577">
        <f>MIN(F577,H577)</f>
        <v/>
      </c>
    </row>
    <row r="578">
      <c r="A578">
        <f>TEST_DATA!A578</f>
        <v/>
      </c>
      <c r="B578">
        <f>TEST_DATA!B578</f>
        <v/>
      </c>
      <c r="C578">
        <f>TEST_DATA!C578</f>
        <v/>
      </c>
      <c r="D578">
        <f>TEST_DATA!D578</f>
        <v/>
      </c>
      <c r="E578">
        <f>TEST_DATA!E578</f>
        <v/>
      </c>
      <c r="F578">
        <f>MIN(E578*57800,10000)</f>
        <v/>
      </c>
      <c r="G578">
        <f>MINIFS(CBIC_Late_Fee_Relief_Windows_3B!$O$578:$O$100,CBIC_Late_Fee_Relief_Windows_3B!$D$578:$D$100,"&lt;="&amp;B578,CBIC_Late_Fee_Relief_Windows_3B!$E$578:$E$100,"&gt;="&amp;B578,CBIC_Late_Fee_Relief_Windows_3B!$F$578:$F$100,"&lt;="&amp;C578,CBIC_Late_Fee_Relief_Windows_3B!$G$578:$G$100,"&gt;="&amp;C578)</f>
        <v/>
      </c>
      <c r="H578">
        <f>INDEX(CBIC_Late_Fee_Relief_Windows_3B!$I$578:$I$100,MATCH(G578,CBIC_Late_Fee_Relief_Windows_3B!$O$578:$O$100,0))</f>
        <v/>
      </c>
      <c r="I578">
        <f>MIN(F578,H578)</f>
        <v/>
      </c>
    </row>
    <row r="579">
      <c r="A579">
        <f>TEST_DATA!A579</f>
        <v/>
      </c>
      <c r="B579">
        <f>TEST_DATA!B579</f>
        <v/>
      </c>
      <c r="C579">
        <f>TEST_DATA!C579</f>
        <v/>
      </c>
      <c r="D579">
        <f>TEST_DATA!D579</f>
        <v/>
      </c>
      <c r="E579">
        <f>TEST_DATA!E579</f>
        <v/>
      </c>
      <c r="F579">
        <f>MIN(E579*57900,10000)</f>
        <v/>
      </c>
      <c r="G579">
        <f>MINIFS(CBIC_Late_Fee_Relief_Windows_3B!$O$579:$O$100,CBIC_Late_Fee_Relief_Windows_3B!$D$579:$D$100,"&lt;="&amp;B579,CBIC_Late_Fee_Relief_Windows_3B!$E$579:$E$100,"&gt;="&amp;B579,CBIC_Late_Fee_Relief_Windows_3B!$F$579:$F$100,"&lt;="&amp;C579,CBIC_Late_Fee_Relief_Windows_3B!$G$579:$G$100,"&gt;="&amp;C579)</f>
        <v/>
      </c>
      <c r="H579">
        <f>INDEX(CBIC_Late_Fee_Relief_Windows_3B!$I$579:$I$100,MATCH(G579,CBIC_Late_Fee_Relief_Windows_3B!$O$579:$O$100,0))</f>
        <v/>
      </c>
      <c r="I579">
        <f>MIN(F579,H579)</f>
        <v/>
      </c>
    </row>
    <row r="580">
      <c r="A580">
        <f>TEST_DATA!A580</f>
        <v/>
      </c>
      <c r="B580">
        <f>TEST_DATA!B580</f>
        <v/>
      </c>
      <c r="C580">
        <f>TEST_DATA!C580</f>
        <v/>
      </c>
      <c r="D580">
        <f>TEST_DATA!D580</f>
        <v/>
      </c>
      <c r="E580">
        <f>TEST_DATA!E580</f>
        <v/>
      </c>
      <c r="F580">
        <f>MIN(E580*58000,10000)</f>
        <v/>
      </c>
      <c r="G580">
        <f>MINIFS(CBIC_Late_Fee_Relief_Windows_3B!$O$580:$O$100,CBIC_Late_Fee_Relief_Windows_3B!$D$580:$D$100,"&lt;="&amp;B580,CBIC_Late_Fee_Relief_Windows_3B!$E$580:$E$100,"&gt;="&amp;B580,CBIC_Late_Fee_Relief_Windows_3B!$F$580:$F$100,"&lt;="&amp;C580,CBIC_Late_Fee_Relief_Windows_3B!$G$580:$G$100,"&gt;="&amp;C580)</f>
        <v/>
      </c>
      <c r="H580">
        <f>INDEX(CBIC_Late_Fee_Relief_Windows_3B!$I$580:$I$100,MATCH(G580,CBIC_Late_Fee_Relief_Windows_3B!$O$580:$O$100,0))</f>
        <v/>
      </c>
      <c r="I580">
        <f>MIN(F580,H580)</f>
        <v/>
      </c>
    </row>
    <row r="581">
      <c r="A581">
        <f>TEST_DATA!A581</f>
        <v/>
      </c>
      <c r="B581">
        <f>TEST_DATA!B581</f>
        <v/>
      </c>
      <c r="C581">
        <f>TEST_DATA!C581</f>
        <v/>
      </c>
      <c r="D581">
        <f>TEST_DATA!D581</f>
        <v/>
      </c>
      <c r="E581">
        <f>TEST_DATA!E581</f>
        <v/>
      </c>
      <c r="F581">
        <f>MIN(E581*58100,10000)</f>
        <v/>
      </c>
      <c r="G581">
        <f>MINIFS(CBIC_Late_Fee_Relief_Windows_3B!$O$581:$O$100,CBIC_Late_Fee_Relief_Windows_3B!$D$581:$D$100,"&lt;="&amp;B581,CBIC_Late_Fee_Relief_Windows_3B!$E$581:$E$100,"&gt;="&amp;B581,CBIC_Late_Fee_Relief_Windows_3B!$F$581:$F$100,"&lt;="&amp;C581,CBIC_Late_Fee_Relief_Windows_3B!$G$581:$G$100,"&gt;="&amp;C581)</f>
        <v/>
      </c>
      <c r="H581">
        <f>INDEX(CBIC_Late_Fee_Relief_Windows_3B!$I$581:$I$100,MATCH(G581,CBIC_Late_Fee_Relief_Windows_3B!$O$581:$O$100,0))</f>
        <v/>
      </c>
      <c r="I581">
        <f>MIN(F581,H581)</f>
        <v/>
      </c>
    </row>
    <row r="582">
      <c r="A582">
        <f>TEST_DATA!A582</f>
        <v/>
      </c>
      <c r="B582">
        <f>TEST_DATA!B582</f>
        <v/>
      </c>
      <c r="C582">
        <f>TEST_DATA!C582</f>
        <v/>
      </c>
      <c r="D582">
        <f>TEST_DATA!D582</f>
        <v/>
      </c>
      <c r="E582">
        <f>TEST_DATA!E582</f>
        <v/>
      </c>
      <c r="F582">
        <f>MIN(E582*58200,10000)</f>
        <v/>
      </c>
      <c r="G582">
        <f>MINIFS(CBIC_Late_Fee_Relief_Windows_3B!$O$582:$O$100,CBIC_Late_Fee_Relief_Windows_3B!$D$582:$D$100,"&lt;="&amp;B582,CBIC_Late_Fee_Relief_Windows_3B!$E$582:$E$100,"&gt;="&amp;B582,CBIC_Late_Fee_Relief_Windows_3B!$F$582:$F$100,"&lt;="&amp;C582,CBIC_Late_Fee_Relief_Windows_3B!$G$582:$G$100,"&gt;="&amp;C582)</f>
        <v/>
      </c>
      <c r="H582">
        <f>INDEX(CBIC_Late_Fee_Relief_Windows_3B!$I$582:$I$100,MATCH(G582,CBIC_Late_Fee_Relief_Windows_3B!$O$582:$O$100,0))</f>
        <v/>
      </c>
      <c r="I582">
        <f>MIN(F582,H582)</f>
        <v/>
      </c>
    </row>
    <row r="583">
      <c r="A583">
        <f>TEST_DATA!A583</f>
        <v/>
      </c>
      <c r="B583">
        <f>TEST_DATA!B583</f>
        <v/>
      </c>
      <c r="C583">
        <f>TEST_DATA!C583</f>
        <v/>
      </c>
      <c r="D583">
        <f>TEST_DATA!D583</f>
        <v/>
      </c>
      <c r="E583">
        <f>TEST_DATA!E583</f>
        <v/>
      </c>
      <c r="F583">
        <f>MIN(E583*58300,10000)</f>
        <v/>
      </c>
      <c r="G583">
        <f>MINIFS(CBIC_Late_Fee_Relief_Windows_3B!$O$583:$O$100,CBIC_Late_Fee_Relief_Windows_3B!$D$583:$D$100,"&lt;="&amp;B583,CBIC_Late_Fee_Relief_Windows_3B!$E$583:$E$100,"&gt;="&amp;B583,CBIC_Late_Fee_Relief_Windows_3B!$F$583:$F$100,"&lt;="&amp;C583,CBIC_Late_Fee_Relief_Windows_3B!$G$583:$G$100,"&gt;="&amp;C583)</f>
        <v/>
      </c>
      <c r="H583">
        <f>INDEX(CBIC_Late_Fee_Relief_Windows_3B!$I$583:$I$100,MATCH(G583,CBIC_Late_Fee_Relief_Windows_3B!$O$583:$O$100,0))</f>
        <v/>
      </c>
      <c r="I583">
        <f>MIN(F583,H583)</f>
        <v/>
      </c>
    </row>
    <row r="584">
      <c r="A584">
        <f>TEST_DATA!A584</f>
        <v/>
      </c>
      <c r="B584">
        <f>TEST_DATA!B584</f>
        <v/>
      </c>
      <c r="C584">
        <f>TEST_DATA!C584</f>
        <v/>
      </c>
      <c r="D584">
        <f>TEST_DATA!D584</f>
        <v/>
      </c>
      <c r="E584">
        <f>TEST_DATA!E584</f>
        <v/>
      </c>
      <c r="F584">
        <f>MIN(E584*58400,10000)</f>
        <v/>
      </c>
      <c r="G584">
        <f>MINIFS(CBIC_Late_Fee_Relief_Windows_3B!$O$584:$O$100,CBIC_Late_Fee_Relief_Windows_3B!$D$584:$D$100,"&lt;="&amp;B584,CBIC_Late_Fee_Relief_Windows_3B!$E$584:$E$100,"&gt;="&amp;B584,CBIC_Late_Fee_Relief_Windows_3B!$F$584:$F$100,"&lt;="&amp;C584,CBIC_Late_Fee_Relief_Windows_3B!$G$584:$G$100,"&gt;="&amp;C584)</f>
        <v/>
      </c>
      <c r="H584">
        <f>INDEX(CBIC_Late_Fee_Relief_Windows_3B!$I$584:$I$100,MATCH(G584,CBIC_Late_Fee_Relief_Windows_3B!$O$584:$O$100,0))</f>
        <v/>
      </c>
      <c r="I584">
        <f>MIN(F584,H584)</f>
        <v/>
      </c>
    </row>
    <row r="585">
      <c r="A585">
        <f>TEST_DATA!A585</f>
        <v/>
      </c>
      <c r="B585">
        <f>TEST_DATA!B585</f>
        <v/>
      </c>
      <c r="C585">
        <f>TEST_DATA!C585</f>
        <v/>
      </c>
      <c r="D585">
        <f>TEST_DATA!D585</f>
        <v/>
      </c>
      <c r="E585">
        <f>TEST_DATA!E585</f>
        <v/>
      </c>
      <c r="F585">
        <f>MIN(E585*58500,10000)</f>
        <v/>
      </c>
      <c r="G585">
        <f>MINIFS(CBIC_Late_Fee_Relief_Windows_3B!$O$585:$O$100,CBIC_Late_Fee_Relief_Windows_3B!$D$585:$D$100,"&lt;="&amp;B585,CBIC_Late_Fee_Relief_Windows_3B!$E$585:$E$100,"&gt;="&amp;B585,CBIC_Late_Fee_Relief_Windows_3B!$F$585:$F$100,"&lt;="&amp;C585,CBIC_Late_Fee_Relief_Windows_3B!$G$585:$G$100,"&gt;="&amp;C585)</f>
        <v/>
      </c>
      <c r="H585">
        <f>INDEX(CBIC_Late_Fee_Relief_Windows_3B!$I$585:$I$100,MATCH(G585,CBIC_Late_Fee_Relief_Windows_3B!$O$585:$O$100,0))</f>
        <v/>
      </c>
      <c r="I585">
        <f>MIN(F585,H585)</f>
        <v/>
      </c>
    </row>
    <row r="586">
      <c r="A586">
        <f>TEST_DATA!A586</f>
        <v/>
      </c>
      <c r="B586">
        <f>TEST_DATA!B586</f>
        <v/>
      </c>
      <c r="C586">
        <f>TEST_DATA!C586</f>
        <v/>
      </c>
      <c r="D586">
        <f>TEST_DATA!D586</f>
        <v/>
      </c>
      <c r="E586">
        <f>TEST_DATA!E586</f>
        <v/>
      </c>
      <c r="F586">
        <f>MIN(E586*58600,10000)</f>
        <v/>
      </c>
      <c r="G586">
        <f>MINIFS(CBIC_Late_Fee_Relief_Windows_3B!$O$586:$O$100,CBIC_Late_Fee_Relief_Windows_3B!$D$586:$D$100,"&lt;="&amp;B586,CBIC_Late_Fee_Relief_Windows_3B!$E$586:$E$100,"&gt;="&amp;B586,CBIC_Late_Fee_Relief_Windows_3B!$F$586:$F$100,"&lt;="&amp;C586,CBIC_Late_Fee_Relief_Windows_3B!$G$586:$G$100,"&gt;="&amp;C586)</f>
        <v/>
      </c>
      <c r="H586">
        <f>INDEX(CBIC_Late_Fee_Relief_Windows_3B!$I$586:$I$100,MATCH(G586,CBIC_Late_Fee_Relief_Windows_3B!$O$586:$O$100,0))</f>
        <v/>
      </c>
      <c r="I586">
        <f>MIN(F586,H586)</f>
        <v/>
      </c>
    </row>
    <row r="587">
      <c r="A587">
        <f>TEST_DATA!A587</f>
        <v/>
      </c>
      <c r="B587">
        <f>TEST_DATA!B587</f>
        <v/>
      </c>
      <c r="C587">
        <f>TEST_DATA!C587</f>
        <v/>
      </c>
      <c r="D587">
        <f>TEST_DATA!D587</f>
        <v/>
      </c>
      <c r="E587">
        <f>TEST_DATA!E587</f>
        <v/>
      </c>
      <c r="F587">
        <f>MIN(E587*58700,10000)</f>
        <v/>
      </c>
      <c r="G587">
        <f>MINIFS(CBIC_Late_Fee_Relief_Windows_3B!$O$587:$O$100,CBIC_Late_Fee_Relief_Windows_3B!$D$587:$D$100,"&lt;="&amp;B587,CBIC_Late_Fee_Relief_Windows_3B!$E$587:$E$100,"&gt;="&amp;B587,CBIC_Late_Fee_Relief_Windows_3B!$F$587:$F$100,"&lt;="&amp;C587,CBIC_Late_Fee_Relief_Windows_3B!$G$587:$G$100,"&gt;="&amp;C587)</f>
        <v/>
      </c>
      <c r="H587">
        <f>INDEX(CBIC_Late_Fee_Relief_Windows_3B!$I$587:$I$100,MATCH(G587,CBIC_Late_Fee_Relief_Windows_3B!$O$587:$O$100,0))</f>
        <v/>
      </c>
      <c r="I587">
        <f>MIN(F587,H587)</f>
        <v/>
      </c>
    </row>
    <row r="588">
      <c r="A588">
        <f>TEST_DATA!A588</f>
        <v/>
      </c>
      <c r="B588">
        <f>TEST_DATA!B588</f>
        <v/>
      </c>
      <c r="C588">
        <f>TEST_DATA!C588</f>
        <v/>
      </c>
      <c r="D588">
        <f>TEST_DATA!D588</f>
        <v/>
      </c>
      <c r="E588">
        <f>TEST_DATA!E588</f>
        <v/>
      </c>
      <c r="F588">
        <f>MIN(E588*58800,10000)</f>
        <v/>
      </c>
      <c r="G588">
        <f>MINIFS(CBIC_Late_Fee_Relief_Windows_3B!$O$588:$O$100,CBIC_Late_Fee_Relief_Windows_3B!$D$588:$D$100,"&lt;="&amp;B588,CBIC_Late_Fee_Relief_Windows_3B!$E$588:$E$100,"&gt;="&amp;B588,CBIC_Late_Fee_Relief_Windows_3B!$F$588:$F$100,"&lt;="&amp;C588,CBIC_Late_Fee_Relief_Windows_3B!$G$588:$G$100,"&gt;="&amp;C588)</f>
        <v/>
      </c>
      <c r="H588">
        <f>INDEX(CBIC_Late_Fee_Relief_Windows_3B!$I$588:$I$100,MATCH(G588,CBIC_Late_Fee_Relief_Windows_3B!$O$588:$O$100,0))</f>
        <v/>
      </c>
      <c r="I588">
        <f>MIN(F588,H588)</f>
        <v/>
      </c>
    </row>
    <row r="589">
      <c r="A589">
        <f>TEST_DATA!A589</f>
        <v/>
      </c>
      <c r="B589">
        <f>TEST_DATA!B589</f>
        <v/>
      </c>
      <c r="C589">
        <f>TEST_DATA!C589</f>
        <v/>
      </c>
      <c r="D589">
        <f>TEST_DATA!D589</f>
        <v/>
      </c>
      <c r="E589">
        <f>TEST_DATA!E589</f>
        <v/>
      </c>
      <c r="F589">
        <f>MIN(E589*58900,10000)</f>
        <v/>
      </c>
      <c r="G589">
        <f>MINIFS(CBIC_Late_Fee_Relief_Windows_3B!$O$589:$O$100,CBIC_Late_Fee_Relief_Windows_3B!$D$589:$D$100,"&lt;="&amp;B589,CBIC_Late_Fee_Relief_Windows_3B!$E$589:$E$100,"&gt;="&amp;B589,CBIC_Late_Fee_Relief_Windows_3B!$F$589:$F$100,"&lt;="&amp;C589,CBIC_Late_Fee_Relief_Windows_3B!$G$589:$G$100,"&gt;="&amp;C589)</f>
        <v/>
      </c>
      <c r="H589">
        <f>INDEX(CBIC_Late_Fee_Relief_Windows_3B!$I$589:$I$100,MATCH(G589,CBIC_Late_Fee_Relief_Windows_3B!$O$589:$O$100,0))</f>
        <v/>
      </c>
      <c r="I589">
        <f>MIN(F589,H589)</f>
        <v/>
      </c>
    </row>
    <row r="590">
      <c r="A590">
        <f>TEST_DATA!A590</f>
        <v/>
      </c>
      <c r="B590">
        <f>TEST_DATA!B590</f>
        <v/>
      </c>
      <c r="C590">
        <f>TEST_DATA!C590</f>
        <v/>
      </c>
      <c r="D590">
        <f>TEST_DATA!D590</f>
        <v/>
      </c>
      <c r="E590">
        <f>TEST_DATA!E590</f>
        <v/>
      </c>
      <c r="F590">
        <f>MIN(E590*59000,10000)</f>
        <v/>
      </c>
      <c r="G590">
        <f>MINIFS(CBIC_Late_Fee_Relief_Windows_3B!$O$590:$O$100,CBIC_Late_Fee_Relief_Windows_3B!$D$590:$D$100,"&lt;="&amp;B590,CBIC_Late_Fee_Relief_Windows_3B!$E$590:$E$100,"&gt;="&amp;B590,CBIC_Late_Fee_Relief_Windows_3B!$F$590:$F$100,"&lt;="&amp;C590,CBIC_Late_Fee_Relief_Windows_3B!$G$590:$G$100,"&gt;="&amp;C590)</f>
        <v/>
      </c>
      <c r="H590">
        <f>INDEX(CBIC_Late_Fee_Relief_Windows_3B!$I$590:$I$100,MATCH(G590,CBIC_Late_Fee_Relief_Windows_3B!$O$590:$O$100,0))</f>
        <v/>
      </c>
      <c r="I590">
        <f>MIN(F590,H590)</f>
        <v/>
      </c>
    </row>
    <row r="591">
      <c r="A591">
        <f>TEST_DATA!A591</f>
        <v/>
      </c>
      <c r="B591">
        <f>TEST_DATA!B591</f>
        <v/>
      </c>
      <c r="C591">
        <f>TEST_DATA!C591</f>
        <v/>
      </c>
      <c r="D591">
        <f>TEST_DATA!D591</f>
        <v/>
      </c>
      <c r="E591">
        <f>TEST_DATA!E591</f>
        <v/>
      </c>
      <c r="F591">
        <f>MIN(E591*59100,10000)</f>
        <v/>
      </c>
      <c r="G591">
        <f>MINIFS(CBIC_Late_Fee_Relief_Windows_3B!$O$591:$O$100,CBIC_Late_Fee_Relief_Windows_3B!$D$591:$D$100,"&lt;="&amp;B591,CBIC_Late_Fee_Relief_Windows_3B!$E$591:$E$100,"&gt;="&amp;B591,CBIC_Late_Fee_Relief_Windows_3B!$F$591:$F$100,"&lt;="&amp;C591,CBIC_Late_Fee_Relief_Windows_3B!$G$591:$G$100,"&gt;="&amp;C591)</f>
        <v/>
      </c>
      <c r="H591">
        <f>INDEX(CBIC_Late_Fee_Relief_Windows_3B!$I$591:$I$100,MATCH(G591,CBIC_Late_Fee_Relief_Windows_3B!$O$591:$O$100,0))</f>
        <v/>
      </c>
      <c r="I591">
        <f>MIN(F591,H591)</f>
        <v/>
      </c>
    </row>
    <row r="592">
      <c r="A592">
        <f>TEST_DATA!A592</f>
        <v/>
      </c>
      <c r="B592">
        <f>TEST_DATA!B592</f>
        <v/>
      </c>
      <c r="C592">
        <f>TEST_DATA!C592</f>
        <v/>
      </c>
      <c r="D592">
        <f>TEST_DATA!D592</f>
        <v/>
      </c>
      <c r="E592">
        <f>TEST_DATA!E592</f>
        <v/>
      </c>
      <c r="F592">
        <f>MIN(E592*59200,10000)</f>
        <v/>
      </c>
      <c r="G592">
        <f>MINIFS(CBIC_Late_Fee_Relief_Windows_3B!$O$592:$O$100,CBIC_Late_Fee_Relief_Windows_3B!$D$592:$D$100,"&lt;="&amp;B592,CBIC_Late_Fee_Relief_Windows_3B!$E$592:$E$100,"&gt;="&amp;B592,CBIC_Late_Fee_Relief_Windows_3B!$F$592:$F$100,"&lt;="&amp;C592,CBIC_Late_Fee_Relief_Windows_3B!$G$592:$G$100,"&gt;="&amp;C592)</f>
        <v/>
      </c>
      <c r="H592">
        <f>INDEX(CBIC_Late_Fee_Relief_Windows_3B!$I$592:$I$100,MATCH(G592,CBIC_Late_Fee_Relief_Windows_3B!$O$592:$O$100,0))</f>
        <v/>
      </c>
      <c r="I592">
        <f>MIN(F592,H592)</f>
        <v/>
      </c>
    </row>
    <row r="593">
      <c r="A593">
        <f>TEST_DATA!A593</f>
        <v/>
      </c>
      <c r="B593">
        <f>TEST_DATA!B593</f>
        <v/>
      </c>
      <c r="C593">
        <f>TEST_DATA!C593</f>
        <v/>
      </c>
      <c r="D593">
        <f>TEST_DATA!D593</f>
        <v/>
      </c>
      <c r="E593">
        <f>TEST_DATA!E593</f>
        <v/>
      </c>
      <c r="F593">
        <f>MIN(E593*59300,10000)</f>
        <v/>
      </c>
      <c r="G593">
        <f>MINIFS(CBIC_Late_Fee_Relief_Windows_3B!$O$593:$O$100,CBIC_Late_Fee_Relief_Windows_3B!$D$593:$D$100,"&lt;="&amp;B593,CBIC_Late_Fee_Relief_Windows_3B!$E$593:$E$100,"&gt;="&amp;B593,CBIC_Late_Fee_Relief_Windows_3B!$F$593:$F$100,"&lt;="&amp;C593,CBIC_Late_Fee_Relief_Windows_3B!$G$593:$G$100,"&gt;="&amp;C593)</f>
        <v/>
      </c>
      <c r="H593">
        <f>INDEX(CBIC_Late_Fee_Relief_Windows_3B!$I$593:$I$100,MATCH(G593,CBIC_Late_Fee_Relief_Windows_3B!$O$593:$O$100,0))</f>
        <v/>
      </c>
      <c r="I593">
        <f>MIN(F593,H593)</f>
        <v/>
      </c>
    </row>
    <row r="594">
      <c r="A594">
        <f>TEST_DATA!A594</f>
        <v/>
      </c>
      <c r="B594">
        <f>TEST_DATA!B594</f>
        <v/>
      </c>
      <c r="C594">
        <f>TEST_DATA!C594</f>
        <v/>
      </c>
      <c r="D594">
        <f>TEST_DATA!D594</f>
        <v/>
      </c>
      <c r="E594">
        <f>TEST_DATA!E594</f>
        <v/>
      </c>
      <c r="F594">
        <f>MIN(E594*59400,10000)</f>
        <v/>
      </c>
      <c r="G594">
        <f>MINIFS(CBIC_Late_Fee_Relief_Windows_3B!$O$594:$O$100,CBIC_Late_Fee_Relief_Windows_3B!$D$594:$D$100,"&lt;="&amp;B594,CBIC_Late_Fee_Relief_Windows_3B!$E$594:$E$100,"&gt;="&amp;B594,CBIC_Late_Fee_Relief_Windows_3B!$F$594:$F$100,"&lt;="&amp;C594,CBIC_Late_Fee_Relief_Windows_3B!$G$594:$G$100,"&gt;="&amp;C594)</f>
        <v/>
      </c>
      <c r="H594">
        <f>INDEX(CBIC_Late_Fee_Relief_Windows_3B!$I$594:$I$100,MATCH(G594,CBIC_Late_Fee_Relief_Windows_3B!$O$594:$O$100,0))</f>
        <v/>
      </c>
      <c r="I594">
        <f>MIN(F594,H594)</f>
        <v/>
      </c>
    </row>
    <row r="595">
      <c r="A595">
        <f>TEST_DATA!A595</f>
        <v/>
      </c>
      <c r="B595">
        <f>TEST_DATA!B595</f>
        <v/>
      </c>
      <c r="C595">
        <f>TEST_DATA!C595</f>
        <v/>
      </c>
      <c r="D595">
        <f>TEST_DATA!D595</f>
        <v/>
      </c>
      <c r="E595">
        <f>TEST_DATA!E595</f>
        <v/>
      </c>
      <c r="F595">
        <f>MIN(E595*59500,10000)</f>
        <v/>
      </c>
      <c r="G595">
        <f>MINIFS(CBIC_Late_Fee_Relief_Windows_3B!$O$595:$O$100,CBIC_Late_Fee_Relief_Windows_3B!$D$595:$D$100,"&lt;="&amp;B595,CBIC_Late_Fee_Relief_Windows_3B!$E$595:$E$100,"&gt;="&amp;B595,CBIC_Late_Fee_Relief_Windows_3B!$F$595:$F$100,"&lt;="&amp;C595,CBIC_Late_Fee_Relief_Windows_3B!$G$595:$G$100,"&gt;="&amp;C595)</f>
        <v/>
      </c>
      <c r="H595">
        <f>INDEX(CBIC_Late_Fee_Relief_Windows_3B!$I$595:$I$100,MATCH(G595,CBIC_Late_Fee_Relief_Windows_3B!$O$595:$O$100,0))</f>
        <v/>
      </c>
      <c r="I595">
        <f>MIN(F595,H595)</f>
        <v/>
      </c>
    </row>
    <row r="596">
      <c r="A596">
        <f>TEST_DATA!A596</f>
        <v/>
      </c>
      <c r="B596">
        <f>TEST_DATA!B596</f>
        <v/>
      </c>
      <c r="C596">
        <f>TEST_DATA!C596</f>
        <v/>
      </c>
      <c r="D596">
        <f>TEST_DATA!D596</f>
        <v/>
      </c>
      <c r="E596">
        <f>TEST_DATA!E596</f>
        <v/>
      </c>
      <c r="F596">
        <f>MIN(E596*59600,10000)</f>
        <v/>
      </c>
      <c r="G596">
        <f>MINIFS(CBIC_Late_Fee_Relief_Windows_3B!$O$596:$O$100,CBIC_Late_Fee_Relief_Windows_3B!$D$596:$D$100,"&lt;="&amp;B596,CBIC_Late_Fee_Relief_Windows_3B!$E$596:$E$100,"&gt;="&amp;B596,CBIC_Late_Fee_Relief_Windows_3B!$F$596:$F$100,"&lt;="&amp;C596,CBIC_Late_Fee_Relief_Windows_3B!$G$596:$G$100,"&gt;="&amp;C596)</f>
        <v/>
      </c>
      <c r="H596">
        <f>INDEX(CBIC_Late_Fee_Relief_Windows_3B!$I$596:$I$100,MATCH(G596,CBIC_Late_Fee_Relief_Windows_3B!$O$596:$O$100,0))</f>
        <v/>
      </c>
      <c r="I596">
        <f>MIN(F596,H596)</f>
        <v/>
      </c>
    </row>
    <row r="597">
      <c r="A597">
        <f>TEST_DATA!A597</f>
        <v/>
      </c>
      <c r="B597">
        <f>TEST_DATA!B597</f>
        <v/>
      </c>
      <c r="C597">
        <f>TEST_DATA!C597</f>
        <v/>
      </c>
      <c r="D597">
        <f>TEST_DATA!D597</f>
        <v/>
      </c>
      <c r="E597">
        <f>TEST_DATA!E597</f>
        <v/>
      </c>
      <c r="F597">
        <f>MIN(E597*59700,10000)</f>
        <v/>
      </c>
      <c r="G597">
        <f>MINIFS(CBIC_Late_Fee_Relief_Windows_3B!$O$597:$O$100,CBIC_Late_Fee_Relief_Windows_3B!$D$597:$D$100,"&lt;="&amp;B597,CBIC_Late_Fee_Relief_Windows_3B!$E$597:$E$100,"&gt;="&amp;B597,CBIC_Late_Fee_Relief_Windows_3B!$F$597:$F$100,"&lt;="&amp;C597,CBIC_Late_Fee_Relief_Windows_3B!$G$597:$G$100,"&gt;="&amp;C597)</f>
        <v/>
      </c>
      <c r="H597">
        <f>INDEX(CBIC_Late_Fee_Relief_Windows_3B!$I$597:$I$100,MATCH(G597,CBIC_Late_Fee_Relief_Windows_3B!$O$597:$O$100,0))</f>
        <v/>
      </c>
      <c r="I597">
        <f>MIN(F597,H597)</f>
        <v/>
      </c>
    </row>
    <row r="598">
      <c r="A598">
        <f>TEST_DATA!A598</f>
        <v/>
      </c>
      <c r="B598">
        <f>TEST_DATA!B598</f>
        <v/>
      </c>
      <c r="C598">
        <f>TEST_DATA!C598</f>
        <v/>
      </c>
      <c r="D598">
        <f>TEST_DATA!D598</f>
        <v/>
      </c>
      <c r="E598">
        <f>TEST_DATA!E598</f>
        <v/>
      </c>
      <c r="F598">
        <f>MIN(E598*59800,10000)</f>
        <v/>
      </c>
      <c r="G598">
        <f>MINIFS(CBIC_Late_Fee_Relief_Windows_3B!$O$598:$O$100,CBIC_Late_Fee_Relief_Windows_3B!$D$598:$D$100,"&lt;="&amp;B598,CBIC_Late_Fee_Relief_Windows_3B!$E$598:$E$100,"&gt;="&amp;B598,CBIC_Late_Fee_Relief_Windows_3B!$F$598:$F$100,"&lt;="&amp;C598,CBIC_Late_Fee_Relief_Windows_3B!$G$598:$G$100,"&gt;="&amp;C598)</f>
        <v/>
      </c>
      <c r="H598">
        <f>INDEX(CBIC_Late_Fee_Relief_Windows_3B!$I$598:$I$100,MATCH(G598,CBIC_Late_Fee_Relief_Windows_3B!$O$598:$O$100,0))</f>
        <v/>
      </c>
      <c r="I598">
        <f>MIN(F598,H598)</f>
        <v/>
      </c>
    </row>
    <row r="599">
      <c r="A599">
        <f>TEST_DATA!A599</f>
        <v/>
      </c>
      <c r="B599">
        <f>TEST_DATA!B599</f>
        <v/>
      </c>
      <c r="C599">
        <f>TEST_DATA!C599</f>
        <v/>
      </c>
      <c r="D599">
        <f>TEST_DATA!D599</f>
        <v/>
      </c>
      <c r="E599">
        <f>TEST_DATA!E599</f>
        <v/>
      </c>
      <c r="F599">
        <f>MIN(E599*59900,10000)</f>
        <v/>
      </c>
      <c r="G599">
        <f>MINIFS(CBIC_Late_Fee_Relief_Windows_3B!$O$599:$O$100,CBIC_Late_Fee_Relief_Windows_3B!$D$599:$D$100,"&lt;="&amp;B599,CBIC_Late_Fee_Relief_Windows_3B!$E$599:$E$100,"&gt;="&amp;B599,CBIC_Late_Fee_Relief_Windows_3B!$F$599:$F$100,"&lt;="&amp;C599,CBIC_Late_Fee_Relief_Windows_3B!$G$599:$G$100,"&gt;="&amp;C599)</f>
        <v/>
      </c>
      <c r="H599">
        <f>INDEX(CBIC_Late_Fee_Relief_Windows_3B!$I$599:$I$100,MATCH(G599,CBIC_Late_Fee_Relief_Windows_3B!$O$599:$O$100,0))</f>
        <v/>
      </c>
      <c r="I599">
        <f>MIN(F599,H599)</f>
        <v/>
      </c>
    </row>
    <row r="600">
      <c r="A600">
        <f>TEST_DATA!A600</f>
        <v/>
      </c>
      <c r="B600">
        <f>TEST_DATA!B600</f>
        <v/>
      </c>
      <c r="C600">
        <f>TEST_DATA!C600</f>
        <v/>
      </c>
      <c r="D600">
        <f>TEST_DATA!D600</f>
        <v/>
      </c>
      <c r="E600">
        <f>TEST_DATA!E600</f>
        <v/>
      </c>
      <c r="F600">
        <f>MIN(E600*60000,10000)</f>
        <v/>
      </c>
      <c r="G600">
        <f>MINIFS(CBIC_Late_Fee_Relief_Windows_3B!$O$600:$O$100,CBIC_Late_Fee_Relief_Windows_3B!$D$600:$D$100,"&lt;="&amp;B600,CBIC_Late_Fee_Relief_Windows_3B!$E$600:$E$100,"&gt;="&amp;B600,CBIC_Late_Fee_Relief_Windows_3B!$F$600:$F$100,"&lt;="&amp;C600,CBIC_Late_Fee_Relief_Windows_3B!$G$600:$G$100,"&gt;="&amp;C600)</f>
        <v/>
      </c>
      <c r="H600">
        <f>INDEX(CBIC_Late_Fee_Relief_Windows_3B!$I$600:$I$100,MATCH(G600,CBIC_Late_Fee_Relief_Windows_3B!$O$600:$O$100,0))</f>
        <v/>
      </c>
      <c r="I600">
        <f>MIN(F600,H600)</f>
        <v/>
      </c>
    </row>
    <row r="601">
      <c r="A601">
        <f>TEST_DATA!A601</f>
        <v/>
      </c>
      <c r="B601">
        <f>TEST_DATA!B601</f>
        <v/>
      </c>
      <c r="C601">
        <f>TEST_DATA!C601</f>
        <v/>
      </c>
      <c r="D601">
        <f>TEST_DATA!D601</f>
        <v/>
      </c>
      <c r="E601">
        <f>TEST_DATA!E601</f>
        <v/>
      </c>
      <c r="F601">
        <f>MIN(E601*60100,10000)</f>
        <v/>
      </c>
      <c r="G601">
        <f>MINIFS(CBIC_Late_Fee_Relief_Windows_3B!$O$601:$O$100,CBIC_Late_Fee_Relief_Windows_3B!$D$601:$D$100,"&lt;="&amp;B601,CBIC_Late_Fee_Relief_Windows_3B!$E$601:$E$100,"&gt;="&amp;B601,CBIC_Late_Fee_Relief_Windows_3B!$F$601:$F$100,"&lt;="&amp;C601,CBIC_Late_Fee_Relief_Windows_3B!$G$601:$G$100,"&gt;="&amp;C601)</f>
        <v/>
      </c>
      <c r="H601">
        <f>INDEX(CBIC_Late_Fee_Relief_Windows_3B!$I$601:$I$100,MATCH(G601,CBIC_Late_Fee_Relief_Windows_3B!$O$601:$O$100,0))</f>
        <v/>
      </c>
      <c r="I601">
        <f>MIN(F601,H601)</f>
        <v/>
      </c>
    </row>
    <row r="602">
      <c r="A602">
        <f>TEST_DATA!A602</f>
        <v/>
      </c>
      <c r="B602">
        <f>TEST_DATA!B602</f>
        <v/>
      </c>
      <c r="C602">
        <f>TEST_DATA!C602</f>
        <v/>
      </c>
      <c r="D602">
        <f>TEST_DATA!D602</f>
        <v/>
      </c>
      <c r="E602">
        <f>TEST_DATA!E602</f>
        <v/>
      </c>
      <c r="F602">
        <f>MIN(E602*60200,10000)</f>
        <v/>
      </c>
      <c r="G602">
        <f>MINIFS(CBIC_Late_Fee_Relief_Windows_3B!$O$602:$O$100,CBIC_Late_Fee_Relief_Windows_3B!$D$602:$D$100,"&lt;="&amp;B602,CBIC_Late_Fee_Relief_Windows_3B!$E$602:$E$100,"&gt;="&amp;B602,CBIC_Late_Fee_Relief_Windows_3B!$F$602:$F$100,"&lt;="&amp;C602,CBIC_Late_Fee_Relief_Windows_3B!$G$602:$G$100,"&gt;="&amp;C602)</f>
        <v/>
      </c>
      <c r="H602">
        <f>INDEX(CBIC_Late_Fee_Relief_Windows_3B!$I$602:$I$100,MATCH(G602,CBIC_Late_Fee_Relief_Windows_3B!$O$602:$O$100,0))</f>
        <v/>
      </c>
      <c r="I602">
        <f>MIN(F602,H602)</f>
        <v/>
      </c>
    </row>
    <row r="603">
      <c r="A603">
        <f>TEST_DATA!A603</f>
        <v/>
      </c>
      <c r="B603">
        <f>TEST_DATA!B603</f>
        <v/>
      </c>
      <c r="C603">
        <f>TEST_DATA!C603</f>
        <v/>
      </c>
      <c r="D603">
        <f>TEST_DATA!D603</f>
        <v/>
      </c>
      <c r="E603">
        <f>TEST_DATA!E603</f>
        <v/>
      </c>
      <c r="F603">
        <f>MIN(E603*60300,10000)</f>
        <v/>
      </c>
      <c r="G603">
        <f>MINIFS(CBIC_Late_Fee_Relief_Windows_3B!$O$603:$O$100,CBIC_Late_Fee_Relief_Windows_3B!$D$603:$D$100,"&lt;="&amp;B603,CBIC_Late_Fee_Relief_Windows_3B!$E$603:$E$100,"&gt;="&amp;B603,CBIC_Late_Fee_Relief_Windows_3B!$F$603:$F$100,"&lt;="&amp;C603,CBIC_Late_Fee_Relief_Windows_3B!$G$603:$G$100,"&gt;="&amp;C603)</f>
        <v/>
      </c>
      <c r="H603">
        <f>INDEX(CBIC_Late_Fee_Relief_Windows_3B!$I$603:$I$100,MATCH(G603,CBIC_Late_Fee_Relief_Windows_3B!$O$603:$O$100,0))</f>
        <v/>
      </c>
      <c r="I603">
        <f>MIN(F603,H603)</f>
        <v/>
      </c>
    </row>
    <row r="604">
      <c r="A604">
        <f>TEST_DATA!A604</f>
        <v/>
      </c>
      <c r="B604">
        <f>TEST_DATA!B604</f>
        <v/>
      </c>
      <c r="C604">
        <f>TEST_DATA!C604</f>
        <v/>
      </c>
      <c r="D604">
        <f>TEST_DATA!D604</f>
        <v/>
      </c>
      <c r="E604">
        <f>TEST_DATA!E604</f>
        <v/>
      </c>
      <c r="F604">
        <f>MIN(E604*60400,10000)</f>
        <v/>
      </c>
      <c r="G604">
        <f>MINIFS(CBIC_Late_Fee_Relief_Windows_3B!$O$604:$O$100,CBIC_Late_Fee_Relief_Windows_3B!$D$604:$D$100,"&lt;="&amp;B604,CBIC_Late_Fee_Relief_Windows_3B!$E$604:$E$100,"&gt;="&amp;B604,CBIC_Late_Fee_Relief_Windows_3B!$F$604:$F$100,"&lt;="&amp;C604,CBIC_Late_Fee_Relief_Windows_3B!$G$604:$G$100,"&gt;="&amp;C604)</f>
        <v/>
      </c>
      <c r="H604">
        <f>INDEX(CBIC_Late_Fee_Relief_Windows_3B!$I$604:$I$100,MATCH(G604,CBIC_Late_Fee_Relief_Windows_3B!$O$604:$O$100,0))</f>
        <v/>
      </c>
      <c r="I604">
        <f>MIN(F604,H604)</f>
        <v/>
      </c>
    </row>
    <row r="605">
      <c r="A605">
        <f>TEST_DATA!A605</f>
        <v/>
      </c>
      <c r="B605">
        <f>TEST_DATA!B605</f>
        <v/>
      </c>
      <c r="C605">
        <f>TEST_DATA!C605</f>
        <v/>
      </c>
      <c r="D605">
        <f>TEST_DATA!D605</f>
        <v/>
      </c>
      <c r="E605">
        <f>TEST_DATA!E605</f>
        <v/>
      </c>
      <c r="F605">
        <f>MIN(E605*60500,10000)</f>
        <v/>
      </c>
      <c r="G605">
        <f>MINIFS(CBIC_Late_Fee_Relief_Windows_3B!$O$605:$O$100,CBIC_Late_Fee_Relief_Windows_3B!$D$605:$D$100,"&lt;="&amp;B605,CBIC_Late_Fee_Relief_Windows_3B!$E$605:$E$100,"&gt;="&amp;B605,CBIC_Late_Fee_Relief_Windows_3B!$F$605:$F$100,"&lt;="&amp;C605,CBIC_Late_Fee_Relief_Windows_3B!$G$605:$G$100,"&gt;="&amp;C605)</f>
        <v/>
      </c>
      <c r="H605">
        <f>INDEX(CBIC_Late_Fee_Relief_Windows_3B!$I$605:$I$100,MATCH(G605,CBIC_Late_Fee_Relief_Windows_3B!$O$605:$O$100,0))</f>
        <v/>
      </c>
      <c r="I605">
        <f>MIN(F605,H605)</f>
        <v/>
      </c>
    </row>
    <row r="606">
      <c r="A606">
        <f>TEST_DATA!A606</f>
        <v/>
      </c>
      <c r="B606">
        <f>TEST_DATA!B606</f>
        <v/>
      </c>
      <c r="C606">
        <f>TEST_DATA!C606</f>
        <v/>
      </c>
      <c r="D606">
        <f>TEST_DATA!D606</f>
        <v/>
      </c>
      <c r="E606">
        <f>TEST_DATA!E606</f>
        <v/>
      </c>
      <c r="F606">
        <f>MIN(E606*60600,10000)</f>
        <v/>
      </c>
      <c r="G606">
        <f>MINIFS(CBIC_Late_Fee_Relief_Windows_3B!$O$606:$O$100,CBIC_Late_Fee_Relief_Windows_3B!$D$606:$D$100,"&lt;="&amp;B606,CBIC_Late_Fee_Relief_Windows_3B!$E$606:$E$100,"&gt;="&amp;B606,CBIC_Late_Fee_Relief_Windows_3B!$F$606:$F$100,"&lt;="&amp;C606,CBIC_Late_Fee_Relief_Windows_3B!$G$606:$G$100,"&gt;="&amp;C606)</f>
        <v/>
      </c>
      <c r="H606">
        <f>INDEX(CBIC_Late_Fee_Relief_Windows_3B!$I$606:$I$100,MATCH(G606,CBIC_Late_Fee_Relief_Windows_3B!$O$606:$O$100,0))</f>
        <v/>
      </c>
      <c r="I606">
        <f>MIN(F606,H606)</f>
        <v/>
      </c>
    </row>
    <row r="607">
      <c r="A607">
        <f>TEST_DATA!A607</f>
        <v/>
      </c>
      <c r="B607">
        <f>TEST_DATA!B607</f>
        <v/>
      </c>
      <c r="C607">
        <f>TEST_DATA!C607</f>
        <v/>
      </c>
      <c r="D607">
        <f>TEST_DATA!D607</f>
        <v/>
      </c>
      <c r="E607">
        <f>TEST_DATA!E607</f>
        <v/>
      </c>
      <c r="F607">
        <f>MIN(E607*60700,10000)</f>
        <v/>
      </c>
      <c r="G607">
        <f>MINIFS(CBIC_Late_Fee_Relief_Windows_3B!$O$607:$O$100,CBIC_Late_Fee_Relief_Windows_3B!$D$607:$D$100,"&lt;="&amp;B607,CBIC_Late_Fee_Relief_Windows_3B!$E$607:$E$100,"&gt;="&amp;B607,CBIC_Late_Fee_Relief_Windows_3B!$F$607:$F$100,"&lt;="&amp;C607,CBIC_Late_Fee_Relief_Windows_3B!$G$607:$G$100,"&gt;="&amp;C607)</f>
        <v/>
      </c>
      <c r="H607">
        <f>INDEX(CBIC_Late_Fee_Relief_Windows_3B!$I$607:$I$100,MATCH(G607,CBIC_Late_Fee_Relief_Windows_3B!$O$607:$O$100,0))</f>
        <v/>
      </c>
      <c r="I607">
        <f>MIN(F607,H607)</f>
        <v/>
      </c>
    </row>
    <row r="608">
      <c r="A608">
        <f>TEST_DATA!A608</f>
        <v/>
      </c>
      <c r="B608">
        <f>TEST_DATA!B608</f>
        <v/>
      </c>
      <c r="C608">
        <f>TEST_DATA!C608</f>
        <v/>
      </c>
      <c r="D608">
        <f>TEST_DATA!D608</f>
        <v/>
      </c>
      <c r="E608">
        <f>TEST_DATA!E608</f>
        <v/>
      </c>
      <c r="F608">
        <f>MIN(E608*60800,10000)</f>
        <v/>
      </c>
      <c r="G608">
        <f>MINIFS(CBIC_Late_Fee_Relief_Windows_3B!$O$608:$O$100,CBIC_Late_Fee_Relief_Windows_3B!$D$608:$D$100,"&lt;="&amp;B608,CBIC_Late_Fee_Relief_Windows_3B!$E$608:$E$100,"&gt;="&amp;B608,CBIC_Late_Fee_Relief_Windows_3B!$F$608:$F$100,"&lt;="&amp;C608,CBIC_Late_Fee_Relief_Windows_3B!$G$608:$G$100,"&gt;="&amp;C608)</f>
        <v/>
      </c>
      <c r="H608">
        <f>INDEX(CBIC_Late_Fee_Relief_Windows_3B!$I$608:$I$100,MATCH(G608,CBIC_Late_Fee_Relief_Windows_3B!$O$608:$O$100,0))</f>
        <v/>
      </c>
      <c r="I608">
        <f>MIN(F608,H608)</f>
        <v/>
      </c>
    </row>
    <row r="609">
      <c r="A609">
        <f>TEST_DATA!A609</f>
        <v/>
      </c>
      <c r="B609">
        <f>TEST_DATA!B609</f>
        <v/>
      </c>
      <c r="C609">
        <f>TEST_DATA!C609</f>
        <v/>
      </c>
      <c r="D609">
        <f>TEST_DATA!D609</f>
        <v/>
      </c>
      <c r="E609">
        <f>TEST_DATA!E609</f>
        <v/>
      </c>
      <c r="F609">
        <f>MIN(E609*60900,10000)</f>
        <v/>
      </c>
      <c r="G609">
        <f>MINIFS(CBIC_Late_Fee_Relief_Windows_3B!$O$609:$O$100,CBIC_Late_Fee_Relief_Windows_3B!$D$609:$D$100,"&lt;="&amp;B609,CBIC_Late_Fee_Relief_Windows_3B!$E$609:$E$100,"&gt;="&amp;B609,CBIC_Late_Fee_Relief_Windows_3B!$F$609:$F$100,"&lt;="&amp;C609,CBIC_Late_Fee_Relief_Windows_3B!$G$609:$G$100,"&gt;="&amp;C609)</f>
        <v/>
      </c>
      <c r="H609">
        <f>INDEX(CBIC_Late_Fee_Relief_Windows_3B!$I$609:$I$100,MATCH(G609,CBIC_Late_Fee_Relief_Windows_3B!$O$609:$O$100,0))</f>
        <v/>
      </c>
      <c r="I609">
        <f>MIN(F609,H609)</f>
        <v/>
      </c>
    </row>
    <row r="610">
      <c r="A610">
        <f>TEST_DATA!A610</f>
        <v/>
      </c>
      <c r="B610">
        <f>TEST_DATA!B610</f>
        <v/>
      </c>
      <c r="C610">
        <f>TEST_DATA!C610</f>
        <v/>
      </c>
      <c r="D610">
        <f>TEST_DATA!D610</f>
        <v/>
      </c>
      <c r="E610">
        <f>TEST_DATA!E610</f>
        <v/>
      </c>
      <c r="F610">
        <f>MIN(E610*61000,10000)</f>
        <v/>
      </c>
      <c r="G610">
        <f>MINIFS(CBIC_Late_Fee_Relief_Windows_3B!$O$610:$O$100,CBIC_Late_Fee_Relief_Windows_3B!$D$610:$D$100,"&lt;="&amp;B610,CBIC_Late_Fee_Relief_Windows_3B!$E$610:$E$100,"&gt;="&amp;B610,CBIC_Late_Fee_Relief_Windows_3B!$F$610:$F$100,"&lt;="&amp;C610,CBIC_Late_Fee_Relief_Windows_3B!$G$610:$G$100,"&gt;="&amp;C610)</f>
        <v/>
      </c>
      <c r="H610">
        <f>INDEX(CBIC_Late_Fee_Relief_Windows_3B!$I$610:$I$100,MATCH(G610,CBIC_Late_Fee_Relief_Windows_3B!$O$610:$O$100,0))</f>
        <v/>
      </c>
      <c r="I610">
        <f>MIN(F610,H610)</f>
        <v/>
      </c>
    </row>
    <row r="611">
      <c r="A611">
        <f>TEST_DATA!A611</f>
        <v/>
      </c>
      <c r="B611">
        <f>TEST_DATA!B611</f>
        <v/>
      </c>
      <c r="C611">
        <f>TEST_DATA!C611</f>
        <v/>
      </c>
      <c r="D611">
        <f>TEST_DATA!D611</f>
        <v/>
      </c>
      <c r="E611">
        <f>TEST_DATA!E611</f>
        <v/>
      </c>
      <c r="F611">
        <f>MIN(E611*61100,10000)</f>
        <v/>
      </c>
      <c r="G611">
        <f>MINIFS(CBIC_Late_Fee_Relief_Windows_3B!$O$611:$O$100,CBIC_Late_Fee_Relief_Windows_3B!$D$611:$D$100,"&lt;="&amp;B611,CBIC_Late_Fee_Relief_Windows_3B!$E$611:$E$100,"&gt;="&amp;B611,CBIC_Late_Fee_Relief_Windows_3B!$F$611:$F$100,"&lt;="&amp;C611,CBIC_Late_Fee_Relief_Windows_3B!$G$611:$G$100,"&gt;="&amp;C611)</f>
        <v/>
      </c>
      <c r="H611">
        <f>INDEX(CBIC_Late_Fee_Relief_Windows_3B!$I$611:$I$100,MATCH(G611,CBIC_Late_Fee_Relief_Windows_3B!$O$611:$O$100,0))</f>
        <v/>
      </c>
      <c r="I611">
        <f>MIN(F611,H611)</f>
        <v/>
      </c>
    </row>
    <row r="612">
      <c r="A612">
        <f>TEST_DATA!A612</f>
        <v/>
      </c>
      <c r="B612">
        <f>TEST_DATA!B612</f>
        <v/>
      </c>
      <c r="C612">
        <f>TEST_DATA!C612</f>
        <v/>
      </c>
      <c r="D612">
        <f>TEST_DATA!D612</f>
        <v/>
      </c>
      <c r="E612">
        <f>TEST_DATA!E612</f>
        <v/>
      </c>
      <c r="F612">
        <f>MIN(E612*61200,10000)</f>
        <v/>
      </c>
      <c r="G612">
        <f>MINIFS(CBIC_Late_Fee_Relief_Windows_3B!$O$612:$O$100,CBIC_Late_Fee_Relief_Windows_3B!$D$612:$D$100,"&lt;="&amp;B612,CBIC_Late_Fee_Relief_Windows_3B!$E$612:$E$100,"&gt;="&amp;B612,CBIC_Late_Fee_Relief_Windows_3B!$F$612:$F$100,"&lt;="&amp;C612,CBIC_Late_Fee_Relief_Windows_3B!$G$612:$G$100,"&gt;="&amp;C612)</f>
        <v/>
      </c>
      <c r="H612">
        <f>INDEX(CBIC_Late_Fee_Relief_Windows_3B!$I$612:$I$100,MATCH(G612,CBIC_Late_Fee_Relief_Windows_3B!$O$612:$O$100,0))</f>
        <v/>
      </c>
      <c r="I612">
        <f>MIN(F612,H612)</f>
        <v/>
      </c>
    </row>
    <row r="613">
      <c r="A613">
        <f>TEST_DATA!A613</f>
        <v/>
      </c>
      <c r="B613">
        <f>TEST_DATA!B613</f>
        <v/>
      </c>
      <c r="C613">
        <f>TEST_DATA!C613</f>
        <v/>
      </c>
      <c r="D613">
        <f>TEST_DATA!D613</f>
        <v/>
      </c>
      <c r="E613">
        <f>TEST_DATA!E613</f>
        <v/>
      </c>
      <c r="F613">
        <f>MIN(E613*61300,10000)</f>
        <v/>
      </c>
      <c r="G613">
        <f>MINIFS(CBIC_Late_Fee_Relief_Windows_3B!$O$613:$O$100,CBIC_Late_Fee_Relief_Windows_3B!$D$613:$D$100,"&lt;="&amp;B613,CBIC_Late_Fee_Relief_Windows_3B!$E$613:$E$100,"&gt;="&amp;B613,CBIC_Late_Fee_Relief_Windows_3B!$F$613:$F$100,"&lt;="&amp;C613,CBIC_Late_Fee_Relief_Windows_3B!$G$613:$G$100,"&gt;="&amp;C613)</f>
        <v/>
      </c>
      <c r="H613">
        <f>INDEX(CBIC_Late_Fee_Relief_Windows_3B!$I$613:$I$100,MATCH(G613,CBIC_Late_Fee_Relief_Windows_3B!$O$613:$O$100,0))</f>
        <v/>
      </c>
      <c r="I613">
        <f>MIN(F613,H613)</f>
        <v/>
      </c>
    </row>
    <row r="614">
      <c r="A614">
        <f>TEST_DATA!A614</f>
        <v/>
      </c>
      <c r="B614">
        <f>TEST_DATA!B614</f>
        <v/>
      </c>
      <c r="C614">
        <f>TEST_DATA!C614</f>
        <v/>
      </c>
      <c r="D614">
        <f>TEST_DATA!D614</f>
        <v/>
      </c>
      <c r="E614">
        <f>TEST_DATA!E614</f>
        <v/>
      </c>
      <c r="F614">
        <f>MIN(E614*61400,10000)</f>
        <v/>
      </c>
      <c r="G614">
        <f>MINIFS(CBIC_Late_Fee_Relief_Windows_3B!$O$614:$O$100,CBIC_Late_Fee_Relief_Windows_3B!$D$614:$D$100,"&lt;="&amp;B614,CBIC_Late_Fee_Relief_Windows_3B!$E$614:$E$100,"&gt;="&amp;B614,CBIC_Late_Fee_Relief_Windows_3B!$F$614:$F$100,"&lt;="&amp;C614,CBIC_Late_Fee_Relief_Windows_3B!$G$614:$G$100,"&gt;="&amp;C614)</f>
        <v/>
      </c>
      <c r="H614">
        <f>INDEX(CBIC_Late_Fee_Relief_Windows_3B!$I$614:$I$100,MATCH(G614,CBIC_Late_Fee_Relief_Windows_3B!$O$614:$O$100,0))</f>
        <v/>
      </c>
      <c r="I614">
        <f>MIN(F614,H614)</f>
        <v/>
      </c>
    </row>
    <row r="615">
      <c r="A615">
        <f>TEST_DATA!A615</f>
        <v/>
      </c>
      <c r="B615">
        <f>TEST_DATA!B615</f>
        <v/>
      </c>
      <c r="C615">
        <f>TEST_DATA!C615</f>
        <v/>
      </c>
      <c r="D615">
        <f>TEST_DATA!D615</f>
        <v/>
      </c>
      <c r="E615">
        <f>TEST_DATA!E615</f>
        <v/>
      </c>
      <c r="F615">
        <f>MIN(E615*61500,10000)</f>
        <v/>
      </c>
      <c r="G615">
        <f>MINIFS(CBIC_Late_Fee_Relief_Windows_3B!$O$615:$O$100,CBIC_Late_Fee_Relief_Windows_3B!$D$615:$D$100,"&lt;="&amp;B615,CBIC_Late_Fee_Relief_Windows_3B!$E$615:$E$100,"&gt;="&amp;B615,CBIC_Late_Fee_Relief_Windows_3B!$F$615:$F$100,"&lt;="&amp;C615,CBIC_Late_Fee_Relief_Windows_3B!$G$615:$G$100,"&gt;="&amp;C615)</f>
        <v/>
      </c>
      <c r="H615">
        <f>INDEX(CBIC_Late_Fee_Relief_Windows_3B!$I$615:$I$100,MATCH(G615,CBIC_Late_Fee_Relief_Windows_3B!$O$615:$O$100,0))</f>
        <v/>
      </c>
      <c r="I615">
        <f>MIN(F615,H615)</f>
        <v/>
      </c>
    </row>
    <row r="616">
      <c r="A616">
        <f>TEST_DATA!A616</f>
        <v/>
      </c>
      <c r="B616">
        <f>TEST_DATA!B616</f>
        <v/>
      </c>
      <c r="C616">
        <f>TEST_DATA!C616</f>
        <v/>
      </c>
      <c r="D616">
        <f>TEST_DATA!D616</f>
        <v/>
      </c>
      <c r="E616">
        <f>TEST_DATA!E616</f>
        <v/>
      </c>
      <c r="F616">
        <f>MIN(E616*61600,10000)</f>
        <v/>
      </c>
      <c r="G616">
        <f>MINIFS(CBIC_Late_Fee_Relief_Windows_3B!$O$616:$O$100,CBIC_Late_Fee_Relief_Windows_3B!$D$616:$D$100,"&lt;="&amp;B616,CBIC_Late_Fee_Relief_Windows_3B!$E$616:$E$100,"&gt;="&amp;B616,CBIC_Late_Fee_Relief_Windows_3B!$F$616:$F$100,"&lt;="&amp;C616,CBIC_Late_Fee_Relief_Windows_3B!$G$616:$G$100,"&gt;="&amp;C616)</f>
        <v/>
      </c>
      <c r="H616">
        <f>INDEX(CBIC_Late_Fee_Relief_Windows_3B!$I$616:$I$100,MATCH(G616,CBIC_Late_Fee_Relief_Windows_3B!$O$616:$O$100,0))</f>
        <v/>
      </c>
      <c r="I616">
        <f>MIN(F616,H616)</f>
        <v/>
      </c>
    </row>
    <row r="617">
      <c r="A617">
        <f>TEST_DATA!A617</f>
        <v/>
      </c>
      <c r="B617">
        <f>TEST_DATA!B617</f>
        <v/>
      </c>
      <c r="C617">
        <f>TEST_DATA!C617</f>
        <v/>
      </c>
      <c r="D617">
        <f>TEST_DATA!D617</f>
        <v/>
      </c>
      <c r="E617">
        <f>TEST_DATA!E617</f>
        <v/>
      </c>
      <c r="F617">
        <f>MIN(E617*61700,10000)</f>
        <v/>
      </c>
      <c r="G617">
        <f>MINIFS(CBIC_Late_Fee_Relief_Windows_3B!$O$617:$O$100,CBIC_Late_Fee_Relief_Windows_3B!$D$617:$D$100,"&lt;="&amp;B617,CBIC_Late_Fee_Relief_Windows_3B!$E$617:$E$100,"&gt;="&amp;B617,CBIC_Late_Fee_Relief_Windows_3B!$F$617:$F$100,"&lt;="&amp;C617,CBIC_Late_Fee_Relief_Windows_3B!$G$617:$G$100,"&gt;="&amp;C617)</f>
        <v/>
      </c>
      <c r="H617">
        <f>INDEX(CBIC_Late_Fee_Relief_Windows_3B!$I$617:$I$100,MATCH(G617,CBIC_Late_Fee_Relief_Windows_3B!$O$617:$O$100,0))</f>
        <v/>
      </c>
      <c r="I617">
        <f>MIN(F617,H617)</f>
        <v/>
      </c>
    </row>
    <row r="618">
      <c r="A618">
        <f>TEST_DATA!A618</f>
        <v/>
      </c>
      <c r="B618">
        <f>TEST_DATA!B618</f>
        <v/>
      </c>
      <c r="C618">
        <f>TEST_DATA!C618</f>
        <v/>
      </c>
      <c r="D618">
        <f>TEST_DATA!D618</f>
        <v/>
      </c>
      <c r="E618">
        <f>TEST_DATA!E618</f>
        <v/>
      </c>
      <c r="F618">
        <f>MIN(E618*61800,10000)</f>
        <v/>
      </c>
      <c r="G618">
        <f>MINIFS(CBIC_Late_Fee_Relief_Windows_3B!$O$618:$O$100,CBIC_Late_Fee_Relief_Windows_3B!$D$618:$D$100,"&lt;="&amp;B618,CBIC_Late_Fee_Relief_Windows_3B!$E$618:$E$100,"&gt;="&amp;B618,CBIC_Late_Fee_Relief_Windows_3B!$F$618:$F$100,"&lt;="&amp;C618,CBIC_Late_Fee_Relief_Windows_3B!$G$618:$G$100,"&gt;="&amp;C618)</f>
        <v/>
      </c>
      <c r="H618">
        <f>INDEX(CBIC_Late_Fee_Relief_Windows_3B!$I$618:$I$100,MATCH(G618,CBIC_Late_Fee_Relief_Windows_3B!$O$618:$O$100,0))</f>
        <v/>
      </c>
      <c r="I618">
        <f>MIN(F618,H618)</f>
        <v/>
      </c>
    </row>
    <row r="619">
      <c r="A619">
        <f>TEST_DATA!A619</f>
        <v/>
      </c>
      <c r="B619">
        <f>TEST_DATA!B619</f>
        <v/>
      </c>
      <c r="C619">
        <f>TEST_DATA!C619</f>
        <v/>
      </c>
      <c r="D619">
        <f>TEST_DATA!D619</f>
        <v/>
      </c>
      <c r="E619">
        <f>TEST_DATA!E619</f>
        <v/>
      </c>
      <c r="F619">
        <f>MIN(E619*61900,10000)</f>
        <v/>
      </c>
      <c r="G619">
        <f>MINIFS(CBIC_Late_Fee_Relief_Windows_3B!$O$619:$O$100,CBIC_Late_Fee_Relief_Windows_3B!$D$619:$D$100,"&lt;="&amp;B619,CBIC_Late_Fee_Relief_Windows_3B!$E$619:$E$100,"&gt;="&amp;B619,CBIC_Late_Fee_Relief_Windows_3B!$F$619:$F$100,"&lt;="&amp;C619,CBIC_Late_Fee_Relief_Windows_3B!$G$619:$G$100,"&gt;="&amp;C619)</f>
        <v/>
      </c>
      <c r="H619">
        <f>INDEX(CBIC_Late_Fee_Relief_Windows_3B!$I$619:$I$100,MATCH(G619,CBIC_Late_Fee_Relief_Windows_3B!$O$619:$O$100,0))</f>
        <v/>
      </c>
      <c r="I619">
        <f>MIN(F619,H619)</f>
        <v/>
      </c>
    </row>
    <row r="620">
      <c r="A620">
        <f>TEST_DATA!A620</f>
        <v/>
      </c>
      <c r="B620">
        <f>TEST_DATA!B620</f>
        <v/>
      </c>
      <c r="C620">
        <f>TEST_DATA!C620</f>
        <v/>
      </c>
      <c r="D620">
        <f>TEST_DATA!D620</f>
        <v/>
      </c>
      <c r="E620">
        <f>TEST_DATA!E620</f>
        <v/>
      </c>
      <c r="F620">
        <f>MIN(E620*62000,10000)</f>
        <v/>
      </c>
      <c r="G620">
        <f>MINIFS(CBIC_Late_Fee_Relief_Windows_3B!$O$620:$O$100,CBIC_Late_Fee_Relief_Windows_3B!$D$620:$D$100,"&lt;="&amp;B620,CBIC_Late_Fee_Relief_Windows_3B!$E$620:$E$100,"&gt;="&amp;B620,CBIC_Late_Fee_Relief_Windows_3B!$F$620:$F$100,"&lt;="&amp;C620,CBIC_Late_Fee_Relief_Windows_3B!$G$620:$G$100,"&gt;="&amp;C620)</f>
        <v/>
      </c>
      <c r="H620">
        <f>INDEX(CBIC_Late_Fee_Relief_Windows_3B!$I$620:$I$100,MATCH(G620,CBIC_Late_Fee_Relief_Windows_3B!$O$620:$O$100,0))</f>
        <v/>
      </c>
      <c r="I620">
        <f>MIN(F620,H620)</f>
        <v/>
      </c>
    </row>
    <row r="621">
      <c r="A621">
        <f>TEST_DATA!A621</f>
        <v/>
      </c>
      <c r="B621">
        <f>TEST_DATA!B621</f>
        <v/>
      </c>
      <c r="C621">
        <f>TEST_DATA!C621</f>
        <v/>
      </c>
      <c r="D621">
        <f>TEST_DATA!D621</f>
        <v/>
      </c>
      <c r="E621">
        <f>TEST_DATA!E621</f>
        <v/>
      </c>
      <c r="F621">
        <f>MIN(E621*62100,10000)</f>
        <v/>
      </c>
      <c r="G621">
        <f>MINIFS(CBIC_Late_Fee_Relief_Windows_3B!$O$621:$O$100,CBIC_Late_Fee_Relief_Windows_3B!$D$621:$D$100,"&lt;="&amp;B621,CBIC_Late_Fee_Relief_Windows_3B!$E$621:$E$100,"&gt;="&amp;B621,CBIC_Late_Fee_Relief_Windows_3B!$F$621:$F$100,"&lt;="&amp;C621,CBIC_Late_Fee_Relief_Windows_3B!$G$621:$G$100,"&gt;="&amp;C621)</f>
        <v/>
      </c>
      <c r="H621">
        <f>INDEX(CBIC_Late_Fee_Relief_Windows_3B!$I$621:$I$100,MATCH(G621,CBIC_Late_Fee_Relief_Windows_3B!$O$621:$O$100,0))</f>
        <v/>
      </c>
      <c r="I621">
        <f>MIN(F621,H621)</f>
        <v/>
      </c>
    </row>
    <row r="622">
      <c r="A622">
        <f>TEST_DATA!A622</f>
        <v/>
      </c>
      <c r="B622">
        <f>TEST_DATA!B622</f>
        <v/>
      </c>
      <c r="C622">
        <f>TEST_DATA!C622</f>
        <v/>
      </c>
      <c r="D622">
        <f>TEST_DATA!D622</f>
        <v/>
      </c>
      <c r="E622">
        <f>TEST_DATA!E622</f>
        <v/>
      </c>
      <c r="F622">
        <f>MIN(E622*62200,10000)</f>
        <v/>
      </c>
      <c r="G622">
        <f>MINIFS(CBIC_Late_Fee_Relief_Windows_3B!$O$622:$O$100,CBIC_Late_Fee_Relief_Windows_3B!$D$622:$D$100,"&lt;="&amp;B622,CBIC_Late_Fee_Relief_Windows_3B!$E$622:$E$100,"&gt;="&amp;B622,CBIC_Late_Fee_Relief_Windows_3B!$F$622:$F$100,"&lt;="&amp;C622,CBIC_Late_Fee_Relief_Windows_3B!$G$622:$G$100,"&gt;="&amp;C622)</f>
        <v/>
      </c>
      <c r="H622">
        <f>INDEX(CBIC_Late_Fee_Relief_Windows_3B!$I$622:$I$100,MATCH(G622,CBIC_Late_Fee_Relief_Windows_3B!$O$622:$O$100,0))</f>
        <v/>
      </c>
      <c r="I622">
        <f>MIN(F622,H622)</f>
        <v/>
      </c>
    </row>
    <row r="623">
      <c r="A623">
        <f>TEST_DATA!A623</f>
        <v/>
      </c>
      <c r="B623">
        <f>TEST_DATA!B623</f>
        <v/>
      </c>
      <c r="C623">
        <f>TEST_DATA!C623</f>
        <v/>
      </c>
      <c r="D623">
        <f>TEST_DATA!D623</f>
        <v/>
      </c>
      <c r="E623">
        <f>TEST_DATA!E623</f>
        <v/>
      </c>
      <c r="F623">
        <f>MIN(E623*62300,10000)</f>
        <v/>
      </c>
      <c r="G623">
        <f>MINIFS(CBIC_Late_Fee_Relief_Windows_3B!$O$623:$O$100,CBIC_Late_Fee_Relief_Windows_3B!$D$623:$D$100,"&lt;="&amp;B623,CBIC_Late_Fee_Relief_Windows_3B!$E$623:$E$100,"&gt;="&amp;B623,CBIC_Late_Fee_Relief_Windows_3B!$F$623:$F$100,"&lt;="&amp;C623,CBIC_Late_Fee_Relief_Windows_3B!$G$623:$G$100,"&gt;="&amp;C623)</f>
        <v/>
      </c>
      <c r="H623">
        <f>INDEX(CBIC_Late_Fee_Relief_Windows_3B!$I$623:$I$100,MATCH(G623,CBIC_Late_Fee_Relief_Windows_3B!$O$623:$O$100,0))</f>
        <v/>
      </c>
      <c r="I623">
        <f>MIN(F623,H623)</f>
        <v/>
      </c>
    </row>
    <row r="624">
      <c r="A624">
        <f>TEST_DATA!A624</f>
        <v/>
      </c>
      <c r="B624">
        <f>TEST_DATA!B624</f>
        <v/>
      </c>
      <c r="C624">
        <f>TEST_DATA!C624</f>
        <v/>
      </c>
      <c r="D624">
        <f>TEST_DATA!D624</f>
        <v/>
      </c>
      <c r="E624">
        <f>TEST_DATA!E624</f>
        <v/>
      </c>
      <c r="F624">
        <f>MIN(E624*62400,10000)</f>
        <v/>
      </c>
      <c r="G624">
        <f>MINIFS(CBIC_Late_Fee_Relief_Windows_3B!$O$624:$O$100,CBIC_Late_Fee_Relief_Windows_3B!$D$624:$D$100,"&lt;="&amp;B624,CBIC_Late_Fee_Relief_Windows_3B!$E$624:$E$100,"&gt;="&amp;B624,CBIC_Late_Fee_Relief_Windows_3B!$F$624:$F$100,"&lt;="&amp;C624,CBIC_Late_Fee_Relief_Windows_3B!$G$624:$G$100,"&gt;="&amp;C624)</f>
        <v/>
      </c>
      <c r="H624">
        <f>INDEX(CBIC_Late_Fee_Relief_Windows_3B!$I$624:$I$100,MATCH(G624,CBIC_Late_Fee_Relief_Windows_3B!$O$624:$O$100,0))</f>
        <v/>
      </c>
      <c r="I624">
        <f>MIN(F624,H624)</f>
        <v/>
      </c>
    </row>
    <row r="625">
      <c r="A625">
        <f>TEST_DATA!A625</f>
        <v/>
      </c>
      <c r="B625">
        <f>TEST_DATA!B625</f>
        <v/>
      </c>
      <c r="C625">
        <f>TEST_DATA!C625</f>
        <v/>
      </c>
      <c r="D625">
        <f>TEST_DATA!D625</f>
        <v/>
      </c>
      <c r="E625">
        <f>TEST_DATA!E625</f>
        <v/>
      </c>
      <c r="F625">
        <f>MIN(E625*62500,10000)</f>
        <v/>
      </c>
      <c r="G625">
        <f>MINIFS(CBIC_Late_Fee_Relief_Windows_3B!$O$625:$O$100,CBIC_Late_Fee_Relief_Windows_3B!$D$625:$D$100,"&lt;="&amp;B625,CBIC_Late_Fee_Relief_Windows_3B!$E$625:$E$100,"&gt;="&amp;B625,CBIC_Late_Fee_Relief_Windows_3B!$F$625:$F$100,"&lt;="&amp;C625,CBIC_Late_Fee_Relief_Windows_3B!$G$625:$G$100,"&gt;="&amp;C625)</f>
        <v/>
      </c>
      <c r="H625">
        <f>INDEX(CBIC_Late_Fee_Relief_Windows_3B!$I$625:$I$100,MATCH(G625,CBIC_Late_Fee_Relief_Windows_3B!$O$625:$O$100,0))</f>
        <v/>
      </c>
      <c r="I625">
        <f>MIN(F625,H625)</f>
        <v/>
      </c>
    </row>
    <row r="626">
      <c r="A626">
        <f>TEST_DATA!A626</f>
        <v/>
      </c>
      <c r="B626">
        <f>TEST_DATA!B626</f>
        <v/>
      </c>
      <c r="C626">
        <f>TEST_DATA!C626</f>
        <v/>
      </c>
      <c r="D626">
        <f>TEST_DATA!D626</f>
        <v/>
      </c>
      <c r="E626">
        <f>TEST_DATA!E626</f>
        <v/>
      </c>
      <c r="F626">
        <f>MIN(E626*62600,10000)</f>
        <v/>
      </c>
      <c r="G626">
        <f>MINIFS(CBIC_Late_Fee_Relief_Windows_3B!$O$626:$O$100,CBIC_Late_Fee_Relief_Windows_3B!$D$626:$D$100,"&lt;="&amp;B626,CBIC_Late_Fee_Relief_Windows_3B!$E$626:$E$100,"&gt;="&amp;B626,CBIC_Late_Fee_Relief_Windows_3B!$F$626:$F$100,"&lt;="&amp;C626,CBIC_Late_Fee_Relief_Windows_3B!$G$626:$G$100,"&gt;="&amp;C626)</f>
        <v/>
      </c>
      <c r="H626">
        <f>INDEX(CBIC_Late_Fee_Relief_Windows_3B!$I$626:$I$100,MATCH(G626,CBIC_Late_Fee_Relief_Windows_3B!$O$626:$O$100,0))</f>
        <v/>
      </c>
      <c r="I626">
        <f>MIN(F626,H626)</f>
        <v/>
      </c>
    </row>
    <row r="627">
      <c r="A627">
        <f>TEST_DATA!A627</f>
        <v/>
      </c>
      <c r="B627">
        <f>TEST_DATA!B627</f>
        <v/>
      </c>
      <c r="C627">
        <f>TEST_DATA!C627</f>
        <v/>
      </c>
      <c r="D627">
        <f>TEST_DATA!D627</f>
        <v/>
      </c>
      <c r="E627">
        <f>TEST_DATA!E627</f>
        <v/>
      </c>
      <c r="F627">
        <f>MIN(E627*62700,10000)</f>
        <v/>
      </c>
      <c r="G627">
        <f>MINIFS(CBIC_Late_Fee_Relief_Windows_3B!$O$627:$O$100,CBIC_Late_Fee_Relief_Windows_3B!$D$627:$D$100,"&lt;="&amp;B627,CBIC_Late_Fee_Relief_Windows_3B!$E$627:$E$100,"&gt;="&amp;B627,CBIC_Late_Fee_Relief_Windows_3B!$F$627:$F$100,"&lt;="&amp;C627,CBIC_Late_Fee_Relief_Windows_3B!$G$627:$G$100,"&gt;="&amp;C627)</f>
        <v/>
      </c>
      <c r="H627">
        <f>INDEX(CBIC_Late_Fee_Relief_Windows_3B!$I$627:$I$100,MATCH(G627,CBIC_Late_Fee_Relief_Windows_3B!$O$627:$O$100,0))</f>
        <v/>
      </c>
      <c r="I627">
        <f>MIN(F627,H627)</f>
        <v/>
      </c>
    </row>
    <row r="628">
      <c r="A628">
        <f>TEST_DATA!A628</f>
        <v/>
      </c>
      <c r="B628">
        <f>TEST_DATA!B628</f>
        <v/>
      </c>
      <c r="C628">
        <f>TEST_DATA!C628</f>
        <v/>
      </c>
      <c r="D628">
        <f>TEST_DATA!D628</f>
        <v/>
      </c>
      <c r="E628">
        <f>TEST_DATA!E628</f>
        <v/>
      </c>
      <c r="F628">
        <f>MIN(E628*62800,10000)</f>
        <v/>
      </c>
      <c r="G628">
        <f>MINIFS(CBIC_Late_Fee_Relief_Windows_3B!$O$628:$O$100,CBIC_Late_Fee_Relief_Windows_3B!$D$628:$D$100,"&lt;="&amp;B628,CBIC_Late_Fee_Relief_Windows_3B!$E$628:$E$100,"&gt;="&amp;B628,CBIC_Late_Fee_Relief_Windows_3B!$F$628:$F$100,"&lt;="&amp;C628,CBIC_Late_Fee_Relief_Windows_3B!$G$628:$G$100,"&gt;="&amp;C628)</f>
        <v/>
      </c>
      <c r="H628">
        <f>INDEX(CBIC_Late_Fee_Relief_Windows_3B!$I$628:$I$100,MATCH(G628,CBIC_Late_Fee_Relief_Windows_3B!$O$628:$O$100,0))</f>
        <v/>
      </c>
      <c r="I628">
        <f>MIN(F628,H628)</f>
        <v/>
      </c>
    </row>
    <row r="629">
      <c r="A629">
        <f>TEST_DATA!A629</f>
        <v/>
      </c>
      <c r="B629">
        <f>TEST_DATA!B629</f>
        <v/>
      </c>
      <c r="C629">
        <f>TEST_DATA!C629</f>
        <v/>
      </c>
      <c r="D629">
        <f>TEST_DATA!D629</f>
        <v/>
      </c>
      <c r="E629">
        <f>TEST_DATA!E629</f>
        <v/>
      </c>
      <c r="F629">
        <f>MIN(E629*62900,10000)</f>
        <v/>
      </c>
      <c r="G629">
        <f>MINIFS(CBIC_Late_Fee_Relief_Windows_3B!$O$629:$O$100,CBIC_Late_Fee_Relief_Windows_3B!$D$629:$D$100,"&lt;="&amp;B629,CBIC_Late_Fee_Relief_Windows_3B!$E$629:$E$100,"&gt;="&amp;B629,CBIC_Late_Fee_Relief_Windows_3B!$F$629:$F$100,"&lt;="&amp;C629,CBIC_Late_Fee_Relief_Windows_3B!$G$629:$G$100,"&gt;="&amp;C629)</f>
        <v/>
      </c>
      <c r="H629">
        <f>INDEX(CBIC_Late_Fee_Relief_Windows_3B!$I$629:$I$100,MATCH(G629,CBIC_Late_Fee_Relief_Windows_3B!$O$629:$O$100,0))</f>
        <v/>
      </c>
      <c r="I629">
        <f>MIN(F629,H629)</f>
        <v/>
      </c>
    </row>
    <row r="630">
      <c r="A630">
        <f>TEST_DATA!A630</f>
        <v/>
      </c>
      <c r="B630">
        <f>TEST_DATA!B630</f>
        <v/>
      </c>
      <c r="C630">
        <f>TEST_DATA!C630</f>
        <v/>
      </c>
      <c r="D630">
        <f>TEST_DATA!D630</f>
        <v/>
      </c>
      <c r="E630">
        <f>TEST_DATA!E630</f>
        <v/>
      </c>
      <c r="F630">
        <f>MIN(E630*63000,10000)</f>
        <v/>
      </c>
      <c r="G630">
        <f>MINIFS(CBIC_Late_Fee_Relief_Windows_3B!$O$630:$O$100,CBIC_Late_Fee_Relief_Windows_3B!$D$630:$D$100,"&lt;="&amp;B630,CBIC_Late_Fee_Relief_Windows_3B!$E$630:$E$100,"&gt;="&amp;B630,CBIC_Late_Fee_Relief_Windows_3B!$F$630:$F$100,"&lt;="&amp;C630,CBIC_Late_Fee_Relief_Windows_3B!$G$630:$G$100,"&gt;="&amp;C630)</f>
        <v/>
      </c>
      <c r="H630">
        <f>INDEX(CBIC_Late_Fee_Relief_Windows_3B!$I$630:$I$100,MATCH(G630,CBIC_Late_Fee_Relief_Windows_3B!$O$630:$O$100,0))</f>
        <v/>
      </c>
      <c r="I630">
        <f>MIN(F630,H630)</f>
        <v/>
      </c>
    </row>
    <row r="631">
      <c r="A631">
        <f>TEST_DATA!A631</f>
        <v/>
      </c>
      <c r="B631">
        <f>TEST_DATA!B631</f>
        <v/>
      </c>
      <c r="C631">
        <f>TEST_DATA!C631</f>
        <v/>
      </c>
      <c r="D631">
        <f>TEST_DATA!D631</f>
        <v/>
      </c>
      <c r="E631">
        <f>TEST_DATA!E631</f>
        <v/>
      </c>
      <c r="F631">
        <f>MIN(E631*63100,10000)</f>
        <v/>
      </c>
      <c r="G631">
        <f>MINIFS(CBIC_Late_Fee_Relief_Windows_3B!$O$631:$O$100,CBIC_Late_Fee_Relief_Windows_3B!$D$631:$D$100,"&lt;="&amp;B631,CBIC_Late_Fee_Relief_Windows_3B!$E$631:$E$100,"&gt;="&amp;B631,CBIC_Late_Fee_Relief_Windows_3B!$F$631:$F$100,"&lt;="&amp;C631,CBIC_Late_Fee_Relief_Windows_3B!$G$631:$G$100,"&gt;="&amp;C631)</f>
        <v/>
      </c>
      <c r="H631">
        <f>INDEX(CBIC_Late_Fee_Relief_Windows_3B!$I$631:$I$100,MATCH(G631,CBIC_Late_Fee_Relief_Windows_3B!$O$631:$O$100,0))</f>
        <v/>
      </c>
      <c r="I631">
        <f>MIN(F631,H631)</f>
        <v/>
      </c>
    </row>
    <row r="632">
      <c r="A632">
        <f>TEST_DATA!A632</f>
        <v/>
      </c>
      <c r="B632">
        <f>TEST_DATA!B632</f>
        <v/>
      </c>
      <c r="C632">
        <f>TEST_DATA!C632</f>
        <v/>
      </c>
      <c r="D632">
        <f>TEST_DATA!D632</f>
        <v/>
      </c>
      <c r="E632">
        <f>TEST_DATA!E632</f>
        <v/>
      </c>
      <c r="F632">
        <f>MIN(E632*63200,10000)</f>
        <v/>
      </c>
      <c r="G632">
        <f>MINIFS(CBIC_Late_Fee_Relief_Windows_3B!$O$632:$O$100,CBIC_Late_Fee_Relief_Windows_3B!$D$632:$D$100,"&lt;="&amp;B632,CBIC_Late_Fee_Relief_Windows_3B!$E$632:$E$100,"&gt;="&amp;B632,CBIC_Late_Fee_Relief_Windows_3B!$F$632:$F$100,"&lt;="&amp;C632,CBIC_Late_Fee_Relief_Windows_3B!$G$632:$G$100,"&gt;="&amp;C632)</f>
        <v/>
      </c>
      <c r="H632">
        <f>INDEX(CBIC_Late_Fee_Relief_Windows_3B!$I$632:$I$100,MATCH(G632,CBIC_Late_Fee_Relief_Windows_3B!$O$632:$O$100,0))</f>
        <v/>
      </c>
      <c r="I632">
        <f>MIN(F632,H632)</f>
        <v/>
      </c>
    </row>
    <row r="633">
      <c r="A633">
        <f>TEST_DATA!A633</f>
        <v/>
      </c>
      <c r="B633">
        <f>TEST_DATA!B633</f>
        <v/>
      </c>
      <c r="C633">
        <f>TEST_DATA!C633</f>
        <v/>
      </c>
      <c r="D633">
        <f>TEST_DATA!D633</f>
        <v/>
      </c>
      <c r="E633">
        <f>TEST_DATA!E633</f>
        <v/>
      </c>
      <c r="F633">
        <f>MIN(E633*63300,10000)</f>
        <v/>
      </c>
      <c r="G633">
        <f>MINIFS(CBIC_Late_Fee_Relief_Windows_3B!$O$633:$O$100,CBIC_Late_Fee_Relief_Windows_3B!$D$633:$D$100,"&lt;="&amp;B633,CBIC_Late_Fee_Relief_Windows_3B!$E$633:$E$100,"&gt;="&amp;B633,CBIC_Late_Fee_Relief_Windows_3B!$F$633:$F$100,"&lt;="&amp;C633,CBIC_Late_Fee_Relief_Windows_3B!$G$633:$G$100,"&gt;="&amp;C633)</f>
        <v/>
      </c>
      <c r="H633">
        <f>INDEX(CBIC_Late_Fee_Relief_Windows_3B!$I$633:$I$100,MATCH(G633,CBIC_Late_Fee_Relief_Windows_3B!$O$633:$O$100,0))</f>
        <v/>
      </c>
      <c r="I633">
        <f>MIN(F633,H633)</f>
        <v/>
      </c>
    </row>
    <row r="634">
      <c r="A634">
        <f>TEST_DATA!A634</f>
        <v/>
      </c>
      <c r="B634">
        <f>TEST_DATA!B634</f>
        <v/>
      </c>
      <c r="C634">
        <f>TEST_DATA!C634</f>
        <v/>
      </c>
      <c r="D634">
        <f>TEST_DATA!D634</f>
        <v/>
      </c>
      <c r="E634">
        <f>TEST_DATA!E634</f>
        <v/>
      </c>
      <c r="F634">
        <f>MIN(E634*63400,10000)</f>
        <v/>
      </c>
      <c r="G634">
        <f>MINIFS(CBIC_Late_Fee_Relief_Windows_3B!$O$634:$O$100,CBIC_Late_Fee_Relief_Windows_3B!$D$634:$D$100,"&lt;="&amp;B634,CBIC_Late_Fee_Relief_Windows_3B!$E$634:$E$100,"&gt;="&amp;B634,CBIC_Late_Fee_Relief_Windows_3B!$F$634:$F$100,"&lt;="&amp;C634,CBIC_Late_Fee_Relief_Windows_3B!$G$634:$G$100,"&gt;="&amp;C634)</f>
        <v/>
      </c>
      <c r="H634">
        <f>INDEX(CBIC_Late_Fee_Relief_Windows_3B!$I$634:$I$100,MATCH(G634,CBIC_Late_Fee_Relief_Windows_3B!$O$634:$O$100,0))</f>
        <v/>
      </c>
      <c r="I634">
        <f>MIN(F634,H634)</f>
        <v/>
      </c>
    </row>
    <row r="635">
      <c r="A635">
        <f>TEST_DATA!A635</f>
        <v/>
      </c>
      <c r="B635">
        <f>TEST_DATA!B635</f>
        <v/>
      </c>
      <c r="C635">
        <f>TEST_DATA!C635</f>
        <v/>
      </c>
      <c r="D635">
        <f>TEST_DATA!D635</f>
        <v/>
      </c>
      <c r="E635">
        <f>TEST_DATA!E635</f>
        <v/>
      </c>
      <c r="F635">
        <f>MIN(E635*63500,10000)</f>
        <v/>
      </c>
      <c r="G635">
        <f>MINIFS(CBIC_Late_Fee_Relief_Windows_3B!$O$635:$O$100,CBIC_Late_Fee_Relief_Windows_3B!$D$635:$D$100,"&lt;="&amp;B635,CBIC_Late_Fee_Relief_Windows_3B!$E$635:$E$100,"&gt;="&amp;B635,CBIC_Late_Fee_Relief_Windows_3B!$F$635:$F$100,"&lt;="&amp;C635,CBIC_Late_Fee_Relief_Windows_3B!$G$635:$G$100,"&gt;="&amp;C635)</f>
        <v/>
      </c>
      <c r="H635">
        <f>INDEX(CBIC_Late_Fee_Relief_Windows_3B!$I$635:$I$100,MATCH(G635,CBIC_Late_Fee_Relief_Windows_3B!$O$635:$O$100,0))</f>
        <v/>
      </c>
      <c r="I635">
        <f>MIN(F635,H635)</f>
        <v/>
      </c>
    </row>
    <row r="636">
      <c r="A636">
        <f>TEST_DATA!A636</f>
        <v/>
      </c>
      <c r="B636">
        <f>TEST_DATA!B636</f>
        <v/>
      </c>
      <c r="C636">
        <f>TEST_DATA!C636</f>
        <v/>
      </c>
      <c r="D636">
        <f>TEST_DATA!D636</f>
        <v/>
      </c>
      <c r="E636">
        <f>TEST_DATA!E636</f>
        <v/>
      </c>
      <c r="F636">
        <f>MIN(E636*63600,10000)</f>
        <v/>
      </c>
      <c r="G636">
        <f>MINIFS(CBIC_Late_Fee_Relief_Windows_3B!$O$636:$O$100,CBIC_Late_Fee_Relief_Windows_3B!$D$636:$D$100,"&lt;="&amp;B636,CBIC_Late_Fee_Relief_Windows_3B!$E$636:$E$100,"&gt;="&amp;B636,CBIC_Late_Fee_Relief_Windows_3B!$F$636:$F$100,"&lt;="&amp;C636,CBIC_Late_Fee_Relief_Windows_3B!$G$636:$G$100,"&gt;="&amp;C636)</f>
        <v/>
      </c>
      <c r="H636">
        <f>INDEX(CBIC_Late_Fee_Relief_Windows_3B!$I$636:$I$100,MATCH(G636,CBIC_Late_Fee_Relief_Windows_3B!$O$636:$O$100,0))</f>
        <v/>
      </c>
      <c r="I636">
        <f>MIN(F636,H636)</f>
        <v/>
      </c>
    </row>
    <row r="637">
      <c r="A637">
        <f>TEST_DATA!A637</f>
        <v/>
      </c>
      <c r="B637">
        <f>TEST_DATA!B637</f>
        <v/>
      </c>
      <c r="C637">
        <f>TEST_DATA!C637</f>
        <v/>
      </c>
      <c r="D637">
        <f>TEST_DATA!D637</f>
        <v/>
      </c>
      <c r="E637">
        <f>TEST_DATA!E637</f>
        <v/>
      </c>
      <c r="F637">
        <f>MIN(E637*63700,10000)</f>
        <v/>
      </c>
      <c r="G637">
        <f>MINIFS(CBIC_Late_Fee_Relief_Windows_3B!$O$637:$O$100,CBIC_Late_Fee_Relief_Windows_3B!$D$637:$D$100,"&lt;="&amp;B637,CBIC_Late_Fee_Relief_Windows_3B!$E$637:$E$100,"&gt;="&amp;B637,CBIC_Late_Fee_Relief_Windows_3B!$F$637:$F$100,"&lt;="&amp;C637,CBIC_Late_Fee_Relief_Windows_3B!$G$637:$G$100,"&gt;="&amp;C637)</f>
        <v/>
      </c>
      <c r="H637">
        <f>INDEX(CBIC_Late_Fee_Relief_Windows_3B!$I$637:$I$100,MATCH(G637,CBIC_Late_Fee_Relief_Windows_3B!$O$637:$O$100,0))</f>
        <v/>
      </c>
      <c r="I637">
        <f>MIN(F637,H637)</f>
        <v/>
      </c>
    </row>
    <row r="638">
      <c r="A638">
        <f>TEST_DATA!A638</f>
        <v/>
      </c>
      <c r="B638">
        <f>TEST_DATA!B638</f>
        <v/>
      </c>
      <c r="C638">
        <f>TEST_DATA!C638</f>
        <v/>
      </c>
      <c r="D638">
        <f>TEST_DATA!D638</f>
        <v/>
      </c>
      <c r="E638">
        <f>TEST_DATA!E638</f>
        <v/>
      </c>
      <c r="F638">
        <f>MIN(E638*63800,10000)</f>
        <v/>
      </c>
      <c r="G638">
        <f>MINIFS(CBIC_Late_Fee_Relief_Windows_3B!$O$638:$O$100,CBIC_Late_Fee_Relief_Windows_3B!$D$638:$D$100,"&lt;="&amp;B638,CBIC_Late_Fee_Relief_Windows_3B!$E$638:$E$100,"&gt;="&amp;B638,CBIC_Late_Fee_Relief_Windows_3B!$F$638:$F$100,"&lt;="&amp;C638,CBIC_Late_Fee_Relief_Windows_3B!$G$638:$G$100,"&gt;="&amp;C638)</f>
        <v/>
      </c>
      <c r="H638">
        <f>INDEX(CBIC_Late_Fee_Relief_Windows_3B!$I$638:$I$100,MATCH(G638,CBIC_Late_Fee_Relief_Windows_3B!$O$638:$O$100,0))</f>
        <v/>
      </c>
      <c r="I638">
        <f>MIN(F638,H638)</f>
        <v/>
      </c>
    </row>
    <row r="639">
      <c r="A639">
        <f>TEST_DATA!A639</f>
        <v/>
      </c>
      <c r="B639">
        <f>TEST_DATA!B639</f>
        <v/>
      </c>
      <c r="C639">
        <f>TEST_DATA!C639</f>
        <v/>
      </c>
      <c r="D639">
        <f>TEST_DATA!D639</f>
        <v/>
      </c>
      <c r="E639">
        <f>TEST_DATA!E639</f>
        <v/>
      </c>
      <c r="F639">
        <f>MIN(E639*63900,10000)</f>
        <v/>
      </c>
      <c r="G639">
        <f>MINIFS(CBIC_Late_Fee_Relief_Windows_3B!$O$639:$O$100,CBIC_Late_Fee_Relief_Windows_3B!$D$639:$D$100,"&lt;="&amp;B639,CBIC_Late_Fee_Relief_Windows_3B!$E$639:$E$100,"&gt;="&amp;B639,CBIC_Late_Fee_Relief_Windows_3B!$F$639:$F$100,"&lt;="&amp;C639,CBIC_Late_Fee_Relief_Windows_3B!$G$639:$G$100,"&gt;="&amp;C639)</f>
        <v/>
      </c>
      <c r="H639">
        <f>INDEX(CBIC_Late_Fee_Relief_Windows_3B!$I$639:$I$100,MATCH(G639,CBIC_Late_Fee_Relief_Windows_3B!$O$639:$O$100,0))</f>
        <v/>
      </c>
      <c r="I639">
        <f>MIN(F639,H639)</f>
        <v/>
      </c>
    </row>
    <row r="640">
      <c r="A640">
        <f>TEST_DATA!A640</f>
        <v/>
      </c>
      <c r="B640">
        <f>TEST_DATA!B640</f>
        <v/>
      </c>
      <c r="C640">
        <f>TEST_DATA!C640</f>
        <v/>
      </c>
      <c r="D640">
        <f>TEST_DATA!D640</f>
        <v/>
      </c>
      <c r="E640">
        <f>TEST_DATA!E640</f>
        <v/>
      </c>
      <c r="F640">
        <f>MIN(E640*64000,10000)</f>
        <v/>
      </c>
      <c r="G640">
        <f>MINIFS(CBIC_Late_Fee_Relief_Windows_3B!$O$640:$O$100,CBIC_Late_Fee_Relief_Windows_3B!$D$640:$D$100,"&lt;="&amp;B640,CBIC_Late_Fee_Relief_Windows_3B!$E$640:$E$100,"&gt;="&amp;B640,CBIC_Late_Fee_Relief_Windows_3B!$F$640:$F$100,"&lt;="&amp;C640,CBIC_Late_Fee_Relief_Windows_3B!$G$640:$G$100,"&gt;="&amp;C640)</f>
        <v/>
      </c>
      <c r="H640">
        <f>INDEX(CBIC_Late_Fee_Relief_Windows_3B!$I$640:$I$100,MATCH(G640,CBIC_Late_Fee_Relief_Windows_3B!$O$640:$O$100,0))</f>
        <v/>
      </c>
      <c r="I640">
        <f>MIN(F640,H640)</f>
        <v/>
      </c>
    </row>
    <row r="641">
      <c r="A641">
        <f>TEST_DATA!A641</f>
        <v/>
      </c>
      <c r="B641">
        <f>TEST_DATA!B641</f>
        <v/>
      </c>
      <c r="C641">
        <f>TEST_DATA!C641</f>
        <v/>
      </c>
      <c r="D641">
        <f>TEST_DATA!D641</f>
        <v/>
      </c>
      <c r="E641">
        <f>TEST_DATA!E641</f>
        <v/>
      </c>
      <c r="F641">
        <f>MIN(E641*64100,10000)</f>
        <v/>
      </c>
      <c r="G641">
        <f>MINIFS(CBIC_Late_Fee_Relief_Windows_3B!$O$641:$O$100,CBIC_Late_Fee_Relief_Windows_3B!$D$641:$D$100,"&lt;="&amp;B641,CBIC_Late_Fee_Relief_Windows_3B!$E$641:$E$100,"&gt;="&amp;B641,CBIC_Late_Fee_Relief_Windows_3B!$F$641:$F$100,"&lt;="&amp;C641,CBIC_Late_Fee_Relief_Windows_3B!$G$641:$G$100,"&gt;="&amp;C641)</f>
        <v/>
      </c>
      <c r="H641">
        <f>INDEX(CBIC_Late_Fee_Relief_Windows_3B!$I$641:$I$100,MATCH(G641,CBIC_Late_Fee_Relief_Windows_3B!$O$641:$O$100,0))</f>
        <v/>
      </c>
      <c r="I641">
        <f>MIN(F641,H641)</f>
        <v/>
      </c>
    </row>
    <row r="642">
      <c r="A642">
        <f>TEST_DATA!A642</f>
        <v/>
      </c>
      <c r="B642">
        <f>TEST_DATA!B642</f>
        <v/>
      </c>
      <c r="C642">
        <f>TEST_DATA!C642</f>
        <v/>
      </c>
      <c r="D642">
        <f>TEST_DATA!D642</f>
        <v/>
      </c>
      <c r="E642">
        <f>TEST_DATA!E642</f>
        <v/>
      </c>
      <c r="F642">
        <f>MIN(E642*64200,10000)</f>
        <v/>
      </c>
      <c r="G642">
        <f>MINIFS(CBIC_Late_Fee_Relief_Windows_3B!$O$642:$O$100,CBIC_Late_Fee_Relief_Windows_3B!$D$642:$D$100,"&lt;="&amp;B642,CBIC_Late_Fee_Relief_Windows_3B!$E$642:$E$100,"&gt;="&amp;B642,CBIC_Late_Fee_Relief_Windows_3B!$F$642:$F$100,"&lt;="&amp;C642,CBIC_Late_Fee_Relief_Windows_3B!$G$642:$G$100,"&gt;="&amp;C642)</f>
        <v/>
      </c>
      <c r="H642">
        <f>INDEX(CBIC_Late_Fee_Relief_Windows_3B!$I$642:$I$100,MATCH(G642,CBIC_Late_Fee_Relief_Windows_3B!$O$642:$O$100,0))</f>
        <v/>
      </c>
      <c r="I642">
        <f>MIN(F642,H642)</f>
        <v/>
      </c>
    </row>
    <row r="643">
      <c r="A643">
        <f>TEST_DATA!A643</f>
        <v/>
      </c>
      <c r="B643">
        <f>TEST_DATA!B643</f>
        <v/>
      </c>
      <c r="C643">
        <f>TEST_DATA!C643</f>
        <v/>
      </c>
      <c r="D643">
        <f>TEST_DATA!D643</f>
        <v/>
      </c>
      <c r="E643">
        <f>TEST_DATA!E643</f>
        <v/>
      </c>
      <c r="F643">
        <f>MIN(E643*64300,10000)</f>
        <v/>
      </c>
      <c r="G643">
        <f>MINIFS(CBIC_Late_Fee_Relief_Windows_3B!$O$643:$O$100,CBIC_Late_Fee_Relief_Windows_3B!$D$643:$D$100,"&lt;="&amp;B643,CBIC_Late_Fee_Relief_Windows_3B!$E$643:$E$100,"&gt;="&amp;B643,CBIC_Late_Fee_Relief_Windows_3B!$F$643:$F$100,"&lt;="&amp;C643,CBIC_Late_Fee_Relief_Windows_3B!$G$643:$G$100,"&gt;="&amp;C643)</f>
        <v/>
      </c>
      <c r="H643">
        <f>INDEX(CBIC_Late_Fee_Relief_Windows_3B!$I$643:$I$100,MATCH(G643,CBIC_Late_Fee_Relief_Windows_3B!$O$643:$O$100,0))</f>
        <v/>
      </c>
      <c r="I643">
        <f>MIN(F643,H643)</f>
        <v/>
      </c>
    </row>
    <row r="644">
      <c r="A644">
        <f>TEST_DATA!A644</f>
        <v/>
      </c>
      <c r="B644">
        <f>TEST_DATA!B644</f>
        <v/>
      </c>
      <c r="C644">
        <f>TEST_DATA!C644</f>
        <v/>
      </c>
      <c r="D644">
        <f>TEST_DATA!D644</f>
        <v/>
      </c>
      <c r="E644">
        <f>TEST_DATA!E644</f>
        <v/>
      </c>
      <c r="F644">
        <f>MIN(E644*64400,10000)</f>
        <v/>
      </c>
      <c r="G644">
        <f>MINIFS(CBIC_Late_Fee_Relief_Windows_3B!$O$644:$O$100,CBIC_Late_Fee_Relief_Windows_3B!$D$644:$D$100,"&lt;="&amp;B644,CBIC_Late_Fee_Relief_Windows_3B!$E$644:$E$100,"&gt;="&amp;B644,CBIC_Late_Fee_Relief_Windows_3B!$F$644:$F$100,"&lt;="&amp;C644,CBIC_Late_Fee_Relief_Windows_3B!$G$644:$G$100,"&gt;="&amp;C644)</f>
        <v/>
      </c>
      <c r="H644">
        <f>INDEX(CBIC_Late_Fee_Relief_Windows_3B!$I$644:$I$100,MATCH(G644,CBIC_Late_Fee_Relief_Windows_3B!$O$644:$O$100,0))</f>
        <v/>
      </c>
      <c r="I644">
        <f>MIN(F644,H644)</f>
        <v/>
      </c>
    </row>
    <row r="645">
      <c r="A645">
        <f>TEST_DATA!A645</f>
        <v/>
      </c>
      <c r="B645">
        <f>TEST_DATA!B645</f>
        <v/>
      </c>
      <c r="C645">
        <f>TEST_DATA!C645</f>
        <v/>
      </c>
      <c r="D645">
        <f>TEST_DATA!D645</f>
        <v/>
      </c>
      <c r="E645">
        <f>TEST_DATA!E645</f>
        <v/>
      </c>
      <c r="F645">
        <f>MIN(E645*64500,10000)</f>
        <v/>
      </c>
      <c r="G645">
        <f>MINIFS(CBIC_Late_Fee_Relief_Windows_3B!$O$645:$O$100,CBIC_Late_Fee_Relief_Windows_3B!$D$645:$D$100,"&lt;="&amp;B645,CBIC_Late_Fee_Relief_Windows_3B!$E$645:$E$100,"&gt;="&amp;B645,CBIC_Late_Fee_Relief_Windows_3B!$F$645:$F$100,"&lt;="&amp;C645,CBIC_Late_Fee_Relief_Windows_3B!$G$645:$G$100,"&gt;="&amp;C645)</f>
        <v/>
      </c>
      <c r="H645">
        <f>INDEX(CBIC_Late_Fee_Relief_Windows_3B!$I$645:$I$100,MATCH(G645,CBIC_Late_Fee_Relief_Windows_3B!$O$645:$O$100,0))</f>
        <v/>
      </c>
      <c r="I645">
        <f>MIN(F645,H645)</f>
        <v/>
      </c>
    </row>
    <row r="646">
      <c r="A646">
        <f>TEST_DATA!A646</f>
        <v/>
      </c>
      <c r="B646">
        <f>TEST_DATA!B646</f>
        <v/>
      </c>
      <c r="C646">
        <f>TEST_DATA!C646</f>
        <v/>
      </c>
      <c r="D646">
        <f>TEST_DATA!D646</f>
        <v/>
      </c>
      <c r="E646">
        <f>TEST_DATA!E646</f>
        <v/>
      </c>
      <c r="F646">
        <f>MIN(E646*64600,10000)</f>
        <v/>
      </c>
      <c r="G646">
        <f>MINIFS(CBIC_Late_Fee_Relief_Windows_3B!$O$646:$O$100,CBIC_Late_Fee_Relief_Windows_3B!$D$646:$D$100,"&lt;="&amp;B646,CBIC_Late_Fee_Relief_Windows_3B!$E$646:$E$100,"&gt;="&amp;B646,CBIC_Late_Fee_Relief_Windows_3B!$F$646:$F$100,"&lt;="&amp;C646,CBIC_Late_Fee_Relief_Windows_3B!$G$646:$G$100,"&gt;="&amp;C646)</f>
        <v/>
      </c>
      <c r="H646">
        <f>INDEX(CBIC_Late_Fee_Relief_Windows_3B!$I$646:$I$100,MATCH(G646,CBIC_Late_Fee_Relief_Windows_3B!$O$646:$O$100,0))</f>
        <v/>
      </c>
      <c r="I646">
        <f>MIN(F646,H646)</f>
        <v/>
      </c>
    </row>
    <row r="647">
      <c r="A647">
        <f>TEST_DATA!A647</f>
        <v/>
      </c>
      <c r="B647">
        <f>TEST_DATA!B647</f>
        <v/>
      </c>
      <c r="C647">
        <f>TEST_DATA!C647</f>
        <v/>
      </c>
      <c r="D647">
        <f>TEST_DATA!D647</f>
        <v/>
      </c>
      <c r="E647">
        <f>TEST_DATA!E647</f>
        <v/>
      </c>
      <c r="F647">
        <f>MIN(E647*64700,10000)</f>
        <v/>
      </c>
      <c r="G647">
        <f>MINIFS(CBIC_Late_Fee_Relief_Windows_3B!$O$647:$O$100,CBIC_Late_Fee_Relief_Windows_3B!$D$647:$D$100,"&lt;="&amp;B647,CBIC_Late_Fee_Relief_Windows_3B!$E$647:$E$100,"&gt;="&amp;B647,CBIC_Late_Fee_Relief_Windows_3B!$F$647:$F$100,"&lt;="&amp;C647,CBIC_Late_Fee_Relief_Windows_3B!$G$647:$G$100,"&gt;="&amp;C647)</f>
        <v/>
      </c>
      <c r="H647">
        <f>INDEX(CBIC_Late_Fee_Relief_Windows_3B!$I$647:$I$100,MATCH(G647,CBIC_Late_Fee_Relief_Windows_3B!$O$647:$O$100,0))</f>
        <v/>
      </c>
      <c r="I647">
        <f>MIN(F647,H647)</f>
        <v/>
      </c>
    </row>
    <row r="648">
      <c r="A648">
        <f>TEST_DATA!A648</f>
        <v/>
      </c>
      <c r="B648">
        <f>TEST_DATA!B648</f>
        <v/>
      </c>
      <c r="C648">
        <f>TEST_DATA!C648</f>
        <v/>
      </c>
      <c r="D648">
        <f>TEST_DATA!D648</f>
        <v/>
      </c>
      <c r="E648">
        <f>TEST_DATA!E648</f>
        <v/>
      </c>
      <c r="F648">
        <f>MIN(E648*64800,10000)</f>
        <v/>
      </c>
      <c r="G648">
        <f>MINIFS(CBIC_Late_Fee_Relief_Windows_3B!$O$648:$O$100,CBIC_Late_Fee_Relief_Windows_3B!$D$648:$D$100,"&lt;="&amp;B648,CBIC_Late_Fee_Relief_Windows_3B!$E$648:$E$100,"&gt;="&amp;B648,CBIC_Late_Fee_Relief_Windows_3B!$F$648:$F$100,"&lt;="&amp;C648,CBIC_Late_Fee_Relief_Windows_3B!$G$648:$G$100,"&gt;="&amp;C648)</f>
        <v/>
      </c>
      <c r="H648">
        <f>INDEX(CBIC_Late_Fee_Relief_Windows_3B!$I$648:$I$100,MATCH(G648,CBIC_Late_Fee_Relief_Windows_3B!$O$648:$O$100,0))</f>
        <v/>
      </c>
      <c r="I648">
        <f>MIN(F648,H648)</f>
        <v/>
      </c>
    </row>
    <row r="649">
      <c r="A649">
        <f>TEST_DATA!A649</f>
        <v/>
      </c>
      <c r="B649">
        <f>TEST_DATA!B649</f>
        <v/>
      </c>
      <c r="C649">
        <f>TEST_DATA!C649</f>
        <v/>
      </c>
      <c r="D649">
        <f>TEST_DATA!D649</f>
        <v/>
      </c>
      <c r="E649">
        <f>TEST_DATA!E649</f>
        <v/>
      </c>
      <c r="F649">
        <f>MIN(E649*64900,10000)</f>
        <v/>
      </c>
      <c r="G649">
        <f>MINIFS(CBIC_Late_Fee_Relief_Windows_3B!$O$649:$O$100,CBIC_Late_Fee_Relief_Windows_3B!$D$649:$D$100,"&lt;="&amp;B649,CBIC_Late_Fee_Relief_Windows_3B!$E$649:$E$100,"&gt;="&amp;B649,CBIC_Late_Fee_Relief_Windows_3B!$F$649:$F$100,"&lt;="&amp;C649,CBIC_Late_Fee_Relief_Windows_3B!$G$649:$G$100,"&gt;="&amp;C649)</f>
        <v/>
      </c>
      <c r="H649">
        <f>INDEX(CBIC_Late_Fee_Relief_Windows_3B!$I$649:$I$100,MATCH(G649,CBIC_Late_Fee_Relief_Windows_3B!$O$649:$O$100,0))</f>
        <v/>
      </c>
      <c r="I649">
        <f>MIN(F649,H649)</f>
        <v/>
      </c>
    </row>
    <row r="650">
      <c r="A650">
        <f>TEST_DATA!A650</f>
        <v/>
      </c>
      <c r="B650">
        <f>TEST_DATA!B650</f>
        <v/>
      </c>
      <c r="C650">
        <f>TEST_DATA!C650</f>
        <v/>
      </c>
      <c r="D650">
        <f>TEST_DATA!D650</f>
        <v/>
      </c>
      <c r="E650">
        <f>TEST_DATA!E650</f>
        <v/>
      </c>
      <c r="F650">
        <f>MIN(E650*65000,10000)</f>
        <v/>
      </c>
      <c r="G650">
        <f>MINIFS(CBIC_Late_Fee_Relief_Windows_3B!$O$650:$O$100,CBIC_Late_Fee_Relief_Windows_3B!$D$650:$D$100,"&lt;="&amp;B650,CBIC_Late_Fee_Relief_Windows_3B!$E$650:$E$100,"&gt;="&amp;B650,CBIC_Late_Fee_Relief_Windows_3B!$F$650:$F$100,"&lt;="&amp;C650,CBIC_Late_Fee_Relief_Windows_3B!$G$650:$G$100,"&gt;="&amp;C650)</f>
        <v/>
      </c>
      <c r="H650">
        <f>INDEX(CBIC_Late_Fee_Relief_Windows_3B!$I$650:$I$100,MATCH(G650,CBIC_Late_Fee_Relief_Windows_3B!$O$650:$O$100,0))</f>
        <v/>
      </c>
      <c r="I650">
        <f>MIN(F650,H650)</f>
        <v/>
      </c>
    </row>
    <row r="651">
      <c r="A651">
        <f>TEST_DATA!A651</f>
        <v/>
      </c>
      <c r="B651">
        <f>TEST_DATA!B651</f>
        <v/>
      </c>
      <c r="C651">
        <f>TEST_DATA!C651</f>
        <v/>
      </c>
      <c r="D651">
        <f>TEST_DATA!D651</f>
        <v/>
      </c>
      <c r="E651">
        <f>TEST_DATA!E651</f>
        <v/>
      </c>
      <c r="F651">
        <f>MIN(E651*65100,10000)</f>
        <v/>
      </c>
      <c r="G651">
        <f>MINIFS(CBIC_Late_Fee_Relief_Windows_3B!$O$651:$O$100,CBIC_Late_Fee_Relief_Windows_3B!$D$651:$D$100,"&lt;="&amp;B651,CBIC_Late_Fee_Relief_Windows_3B!$E$651:$E$100,"&gt;="&amp;B651,CBIC_Late_Fee_Relief_Windows_3B!$F$651:$F$100,"&lt;="&amp;C651,CBIC_Late_Fee_Relief_Windows_3B!$G$651:$G$100,"&gt;="&amp;C651)</f>
        <v/>
      </c>
      <c r="H651">
        <f>INDEX(CBIC_Late_Fee_Relief_Windows_3B!$I$651:$I$100,MATCH(G651,CBIC_Late_Fee_Relief_Windows_3B!$O$651:$O$100,0))</f>
        <v/>
      </c>
      <c r="I651">
        <f>MIN(F651,H651)</f>
        <v/>
      </c>
    </row>
    <row r="652">
      <c r="A652">
        <f>TEST_DATA!A652</f>
        <v/>
      </c>
      <c r="B652">
        <f>TEST_DATA!B652</f>
        <v/>
      </c>
      <c r="C652">
        <f>TEST_DATA!C652</f>
        <v/>
      </c>
      <c r="D652">
        <f>TEST_DATA!D652</f>
        <v/>
      </c>
      <c r="E652">
        <f>TEST_DATA!E652</f>
        <v/>
      </c>
      <c r="F652">
        <f>MIN(E652*65200,10000)</f>
        <v/>
      </c>
      <c r="G652">
        <f>MINIFS(CBIC_Late_Fee_Relief_Windows_3B!$O$652:$O$100,CBIC_Late_Fee_Relief_Windows_3B!$D$652:$D$100,"&lt;="&amp;B652,CBIC_Late_Fee_Relief_Windows_3B!$E$652:$E$100,"&gt;="&amp;B652,CBIC_Late_Fee_Relief_Windows_3B!$F$652:$F$100,"&lt;="&amp;C652,CBIC_Late_Fee_Relief_Windows_3B!$G$652:$G$100,"&gt;="&amp;C652)</f>
        <v/>
      </c>
      <c r="H652">
        <f>INDEX(CBIC_Late_Fee_Relief_Windows_3B!$I$652:$I$100,MATCH(G652,CBIC_Late_Fee_Relief_Windows_3B!$O$652:$O$100,0))</f>
        <v/>
      </c>
      <c r="I652">
        <f>MIN(F652,H652)</f>
        <v/>
      </c>
    </row>
    <row r="653">
      <c r="A653">
        <f>TEST_DATA!A653</f>
        <v/>
      </c>
      <c r="B653">
        <f>TEST_DATA!B653</f>
        <v/>
      </c>
      <c r="C653">
        <f>TEST_DATA!C653</f>
        <v/>
      </c>
      <c r="D653">
        <f>TEST_DATA!D653</f>
        <v/>
      </c>
      <c r="E653">
        <f>TEST_DATA!E653</f>
        <v/>
      </c>
      <c r="F653">
        <f>MIN(E653*65300,10000)</f>
        <v/>
      </c>
      <c r="G653">
        <f>MINIFS(CBIC_Late_Fee_Relief_Windows_3B!$O$653:$O$100,CBIC_Late_Fee_Relief_Windows_3B!$D$653:$D$100,"&lt;="&amp;B653,CBIC_Late_Fee_Relief_Windows_3B!$E$653:$E$100,"&gt;="&amp;B653,CBIC_Late_Fee_Relief_Windows_3B!$F$653:$F$100,"&lt;="&amp;C653,CBIC_Late_Fee_Relief_Windows_3B!$G$653:$G$100,"&gt;="&amp;C653)</f>
        <v/>
      </c>
      <c r="H653">
        <f>INDEX(CBIC_Late_Fee_Relief_Windows_3B!$I$653:$I$100,MATCH(G653,CBIC_Late_Fee_Relief_Windows_3B!$O$653:$O$100,0))</f>
        <v/>
      </c>
      <c r="I653">
        <f>MIN(F653,H653)</f>
        <v/>
      </c>
    </row>
    <row r="654">
      <c r="A654">
        <f>TEST_DATA!A654</f>
        <v/>
      </c>
      <c r="B654">
        <f>TEST_DATA!B654</f>
        <v/>
      </c>
      <c r="C654">
        <f>TEST_DATA!C654</f>
        <v/>
      </c>
      <c r="D654">
        <f>TEST_DATA!D654</f>
        <v/>
      </c>
      <c r="E654">
        <f>TEST_DATA!E654</f>
        <v/>
      </c>
      <c r="F654">
        <f>MIN(E654*65400,10000)</f>
        <v/>
      </c>
      <c r="G654">
        <f>MINIFS(CBIC_Late_Fee_Relief_Windows_3B!$O$654:$O$100,CBIC_Late_Fee_Relief_Windows_3B!$D$654:$D$100,"&lt;="&amp;B654,CBIC_Late_Fee_Relief_Windows_3B!$E$654:$E$100,"&gt;="&amp;B654,CBIC_Late_Fee_Relief_Windows_3B!$F$654:$F$100,"&lt;="&amp;C654,CBIC_Late_Fee_Relief_Windows_3B!$G$654:$G$100,"&gt;="&amp;C654)</f>
        <v/>
      </c>
      <c r="H654">
        <f>INDEX(CBIC_Late_Fee_Relief_Windows_3B!$I$654:$I$100,MATCH(G654,CBIC_Late_Fee_Relief_Windows_3B!$O$654:$O$100,0))</f>
        <v/>
      </c>
      <c r="I654">
        <f>MIN(F654,H654)</f>
        <v/>
      </c>
    </row>
    <row r="655">
      <c r="A655">
        <f>TEST_DATA!A655</f>
        <v/>
      </c>
      <c r="B655">
        <f>TEST_DATA!B655</f>
        <v/>
      </c>
      <c r="C655">
        <f>TEST_DATA!C655</f>
        <v/>
      </c>
      <c r="D655">
        <f>TEST_DATA!D655</f>
        <v/>
      </c>
      <c r="E655">
        <f>TEST_DATA!E655</f>
        <v/>
      </c>
      <c r="F655">
        <f>MIN(E655*65500,10000)</f>
        <v/>
      </c>
      <c r="G655">
        <f>MINIFS(CBIC_Late_Fee_Relief_Windows_3B!$O$655:$O$100,CBIC_Late_Fee_Relief_Windows_3B!$D$655:$D$100,"&lt;="&amp;B655,CBIC_Late_Fee_Relief_Windows_3B!$E$655:$E$100,"&gt;="&amp;B655,CBIC_Late_Fee_Relief_Windows_3B!$F$655:$F$100,"&lt;="&amp;C655,CBIC_Late_Fee_Relief_Windows_3B!$G$655:$G$100,"&gt;="&amp;C655)</f>
        <v/>
      </c>
      <c r="H655">
        <f>INDEX(CBIC_Late_Fee_Relief_Windows_3B!$I$655:$I$100,MATCH(G655,CBIC_Late_Fee_Relief_Windows_3B!$O$655:$O$100,0))</f>
        <v/>
      </c>
      <c r="I655">
        <f>MIN(F655,H655)</f>
        <v/>
      </c>
    </row>
    <row r="656">
      <c r="A656">
        <f>TEST_DATA!A656</f>
        <v/>
      </c>
      <c r="B656">
        <f>TEST_DATA!B656</f>
        <v/>
      </c>
      <c r="C656">
        <f>TEST_DATA!C656</f>
        <v/>
      </c>
      <c r="D656">
        <f>TEST_DATA!D656</f>
        <v/>
      </c>
      <c r="E656">
        <f>TEST_DATA!E656</f>
        <v/>
      </c>
      <c r="F656">
        <f>MIN(E656*65600,10000)</f>
        <v/>
      </c>
      <c r="G656">
        <f>MINIFS(CBIC_Late_Fee_Relief_Windows_3B!$O$656:$O$100,CBIC_Late_Fee_Relief_Windows_3B!$D$656:$D$100,"&lt;="&amp;B656,CBIC_Late_Fee_Relief_Windows_3B!$E$656:$E$100,"&gt;="&amp;B656,CBIC_Late_Fee_Relief_Windows_3B!$F$656:$F$100,"&lt;="&amp;C656,CBIC_Late_Fee_Relief_Windows_3B!$G$656:$G$100,"&gt;="&amp;C656)</f>
        <v/>
      </c>
      <c r="H656">
        <f>INDEX(CBIC_Late_Fee_Relief_Windows_3B!$I$656:$I$100,MATCH(G656,CBIC_Late_Fee_Relief_Windows_3B!$O$656:$O$100,0))</f>
        <v/>
      </c>
      <c r="I656">
        <f>MIN(F656,H656)</f>
        <v/>
      </c>
    </row>
    <row r="657">
      <c r="A657">
        <f>TEST_DATA!A657</f>
        <v/>
      </c>
      <c r="B657">
        <f>TEST_DATA!B657</f>
        <v/>
      </c>
      <c r="C657">
        <f>TEST_DATA!C657</f>
        <v/>
      </c>
      <c r="D657">
        <f>TEST_DATA!D657</f>
        <v/>
      </c>
      <c r="E657">
        <f>TEST_DATA!E657</f>
        <v/>
      </c>
      <c r="F657">
        <f>MIN(E657*65700,10000)</f>
        <v/>
      </c>
      <c r="G657">
        <f>MINIFS(CBIC_Late_Fee_Relief_Windows_3B!$O$657:$O$100,CBIC_Late_Fee_Relief_Windows_3B!$D$657:$D$100,"&lt;="&amp;B657,CBIC_Late_Fee_Relief_Windows_3B!$E$657:$E$100,"&gt;="&amp;B657,CBIC_Late_Fee_Relief_Windows_3B!$F$657:$F$100,"&lt;="&amp;C657,CBIC_Late_Fee_Relief_Windows_3B!$G$657:$G$100,"&gt;="&amp;C657)</f>
        <v/>
      </c>
      <c r="H657">
        <f>INDEX(CBIC_Late_Fee_Relief_Windows_3B!$I$657:$I$100,MATCH(G657,CBIC_Late_Fee_Relief_Windows_3B!$O$657:$O$100,0))</f>
        <v/>
      </c>
      <c r="I657">
        <f>MIN(F657,H657)</f>
        <v/>
      </c>
    </row>
    <row r="658">
      <c r="A658">
        <f>TEST_DATA!A658</f>
        <v/>
      </c>
      <c r="B658">
        <f>TEST_DATA!B658</f>
        <v/>
      </c>
      <c r="C658">
        <f>TEST_DATA!C658</f>
        <v/>
      </c>
      <c r="D658">
        <f>TEST_DATA!D658</f>
        <v/>
      </c>
      <c r="E658">
        <f>TEST_DATA!E658</f>
        <v/>
      </c>
      <c r="F658">
        <f>MIN(E658*65800,10000)</f>
        <v/>
      </c>
      <c r="G658">
        <f>MINIFS(CBIC_Late_Fee_Relief_Windows_3B!$O$658:$O$100,CBIC_Late_Fee_Relief_Windows_3B!$D$658:$D$100,"&lt;="&amp;B658,CBIC_Late_Fee_Relief_Windows_3B!$E$658:$E$100,"&gt;="&amp;B658,CBIC_Late_Fee_Relief_Windows_3B!$F$658:$F$100,"&lt;="&amp;C658,CBIC_Late_Fee_Relief_Windows_3B!$G$658:$G$100,"&gt;="&amp;C658)</f>
        <v/>
      </c>
      <c r="H658">
        <f>INDEX(CBIC_Late_Fee_Relief_Windows_3B!$I$658:$I$100,MATCH(G658,CBIC_Late_Fee_Relief_Windows_3B!$O$658:$O$100,0))</f>
        <v/>
      </c>
      <c r="I658">
        <f>MIN(F658,H658)</f>
        <v/>
      </c>
    </row>
    <row r="659">
      <c r="A659">
        <f>TEST_DATA!A659</f>
        <v/>
      </c>
      <c r="B659">
        <f>TEST_DATA!B659</f>
        <v/>
      </c>
      <c r="C659">
        <f>TEST_DATA!C659</f>
        <v/>
      </c>
      <c r="D659">
        <f>TEST_DATA!D659</f>
        <v/>
      </c>
      <c r="E659">
        <f>TEST_DATA!E659</f>
        <v/>
      </c>
      <c r="F659">
        <f>MIN(E659*65900,10000)</f>
        <v/>
      </c>
      <c r="G659">
        <f>MINIFS(CBIC_Late_Fee_Relief_Windows_3B!$O$659:$O$100,CBIC_Late_Fee_Relief_Windows_3B!$D$659:$D$100,"&lt;="&amp;B659,CBIC_Late_Fee_Relief_Windows_3B!$E$659:$E$100,"&gt;="&amp;B659,CBIC_Late_Fee_Relief_Windows_3B!$F$659:$F$100,"&lt;="&amp;C659,CBIC_Late_Fee_Relief_Windows_3B!$G$659:$G$100,"&gt;="&amp;C659)</f>
        <v/>
      </c>
      <c r="H659">
        <f>INDEX(CBIC_Late_Fee_Relief_Windows_3B!$I$659:$I$100,MATCH(G659,CBIC_Late_Fee_Relief_Windows_3B!$O$659:$O$100,0))</f>
        <v/>
      </c>
      <c r="I659">
        <f>MIN(F659,H659)</f>
        <v/>
      </c>
    </row>
    <row r="660">
      <c r="A660">
        <f>TEST_DATA!A660</f>
        <v/>
      </c>
      <c r="B660">
        <f>TEST_DATA!B660</f>
        <v/>
      </c>
      <c r="C660">
        <f>TEST_DATA!C660</f>
        <v/>
      </c>
      <c r="D660">
        <f>TEST_DATA!D660</f>
        <v/>
      </c>
      <c r="E660">
        <f>TEST_DATA!E660</f>
        <v/>
      </c>
      <c r="F660">
        <f>MIN(E660*66000,10000)</f>
        <v/>
      </c>
      <c r="G660">
        <f>MINIFS(CBIC_Late_Fee_Relief_Windows_3B!$O$660:$O$100,CBIC_Late_Fee_Relief_Windows_3B!$D$660:$D$100,"&lt;="&amp;B660,CBIC_Late_Fee_Relief_Windows_3B!$E$660:$E$100,"&gt;="&amp;B660,CBIC_Late_Fee_Relief_Windows_3B!$F$660:$F$100,"&lt;="&amp;C660,CBIC_Late_Fee_Relief_Windows_3B!$G$660:$G$100,"&gt;="&amp;C660)</f>
        <v/>
      </c>
      <c r="H660">
        <f>INDEX(CBIC_Late_Fee_Relief_Windows_3B!$I$660:$I$100,MATCH(G660,CBIC_Late_Fee_Relief_Windows_3B!$O$660:$O$100,0))</f>
        <v/>
      </c>
      <c r="I660">
        <f>MIN(F660,H660)</f>
        <v/>
      </c>
    </row>
    <row r="661">
      <c r="A661">
        <f>TEST_DATA!A661</f>
        <v/>
      </c>
      <c r="B661">
        <f>TEST_DATA!B661</f>
        <v/>
      </c>
      <c r="C661">
        <f>TEST_DATA!C661</f>
        <v/>
      </c>
      <c r="D661">
        <f>TEST_DATA!D661</f>
        <v/>
      </c>
      <c r="E661">
        <f>TEST_DATA!E661</f>
        <v/>
      </c>
      <c r="F661">
        <f>MIN(E661*66100,10000)</f>
        <v/>
      </c>
      <c r="G661">
        <f>MINIFS(CBIC_Late_Fee_Relief_Windows_3B!$O$661:$O$100,CBIC_Late_Fee_Relief_Windows_3B!$D$661:$D$100,"&lt;="&amp;B661,CBIC_Late_Fee_Relief_Windows_3B!$E$661:$E$100,"&gt;="&amp;B661,CBIC_Late_Fee_Relief_Windows_3B!$F$661:$F$100,"&lt;="&amp;C661,CBIC_Late_Fee_Relief_Windows_3B!$G$661:$G$100,"&gt;="&amp;C661)</f>
        <v/>
      </c>
      <c r="H661">
        <f>INDEX(CBIC_Late_Fee_Relief_Windows_3B!$I$661:$I$100,MATCH(G661,CBIC_Late_Fee_Relief_Windows_3B!$O$661:$O$100,0))</f>
        <v/>
      </c>
      <c r="I661">
        <f>MIN(F661,H661)</f>
        <v/>
      </c>
    </row>
    <row r="662">
      <c r="A662">
        <f>TEST_DATA!A662</f>
        <v/>
      </c>
      <c r="B662">
        <f>TEST_DATA!B662</f>
        <v/>
      </c>
      <c r="C662">
        <f>TEST_DATA!C662</f>
        <v/>
      </c>
      <c r="D662">
        <f>TEST_DATA!D662</f>
        <v/>
      </c>
      <c r="E662">
        <f>TEST_DATA!E662</f>
        <v/>
      </c>
      <c r="F662">
        <f>MIN(E662*66200,10000)</f>
        <v/>
      </c>
      <c r="G662">
        <f>MINIFS(CBIC_Late_Fee_Relief_Windows_3B!$O$662:$O$100,CBIC_Late_Fee_Relief_Windows_3B!$D$662:$D$100,"&lt;="&amp;B662,CBIC_Late_Fee_Relief_Windows_3B!$E$662:$E$100,"&gt;="&amp;B662,CBIC_Late_Fee_Relief_Windows_3B!$F$662:$F$100,"&lt;="&amp;C662,CBIC_Late_Fee_Relief_Windows_3B!$G$662:$G$100,"&gt;="&amp;C662)</f>
        <v/>
      </c>
      <c r="H662">
        <f>INDEX(CBIC_Late_Fee_Relief_Windows_3B!$I$662:$I$100,MATCH(G662,CBIC_Late_Fee_Relief_Windows_3B!$O$662:$O$100,0))</f>
        <v/>
      </c>
      <c r="I662">
        <f>MIN(F662,H662)</f>
        <v/>
      </c>
    </row>
    <row r="663">
      <c r="A663">
        <f>TEST_DATA!A663</f>
        <v/>
      </c>
      <c r="B663">
        <f>TEST_DATA!B663</f>
        <v/>
      </c>
      <c r="C663">
        <f>TEST_DATA!C663</f>
        <v/>
      </c>
      <c r="D663">
        <f>TEST_DATA!D663</f>
        <v/>
      </c>
      <c r="E663">
        <f>TEST_DATA!E663</f>
        <v/>
      </c>
      <c r="F663">
        <f>MIN(E663*66300,10000)</f>
        <v/>
      </c>
      <c r="G663">
        <f>MINIFS(CBIC_Late_Fee_Relief_Windows_3B!$O$663:$O$100,CBIC_Late_Fee_Relief_Windows_3B!$D$663:$D$100,"&lt;="&amp;B663,CBIC_Late_Fee_Relief_Windows_3B!$E$663:$E$100,"&gt;="&amp;B663,CBIC_Late_Fee_Relief_Windows_3B!$F$663:$F$100,"&lt;="&amp;C663,CBIC_Late_Fee_Relief_Windows_3B!$G$663:$G$100,"&gt;="&amp;C663)</f>
        <v/>
      </c>
      <c r="H663">
        <f>INDEX(CBIC_Late_Fee_Relief_Windows_3B!$I$663:$I$100,MATCH(G663,CBIC_Late_Fee_Relief_Windows_3B!$O$663:$O$100,0))</f>
        <v/>
      </c>
      <c r="I663">
        <f>MIN(F663,H663)</f>
        <v/>
      </c>
    </row>
    <row r="664">
      <c r="A664">
        <f>TEST_DATA!A664</f>
        <v/>
      </c>
      <c r="B664">
        <f>TEST_DATA!B664</f>
        <v/>
      </c>
      <c r="C664">
        <f>TEST_DATA!C664</f>
        <v/>
      </c>
      <c r="D664">
        <f>TEST_DATA!D664</f>
        <v/>
      </c>
      <c r="E664">
        <f>TEST_DATA!E664</f>
        <v/>
      </c>
      <c r="F664">
        <f>MIN(E664*66400,10000)</f>
        <v/>
      </c>
      <c r="G664">
        <f>MINIFS(CBIC_Late_Fee_Relief_Windows_3B!$O$664:$O$100,CBIC_Late_Fee_Relief_Windows_3B!$D$664:$D$100,"&lt;="&amp;B664,CBIC_Late_Fee_Relief_Windows_3B!$E$664:$E$100,"&gt;="&amp;B664,CBIC_Late_Fee_Relief_Windows_3B!$F$664:$F$100,"&lt;="&amp;C664,CBIC_Late_Fee_Relief_Windows_3B!$G$664:$G$100,"&gt;="&amp;C664)</f>
        <v/>
      </c>
      <c r="H664">
        <f>INDEX(CBIC_Late_Fee_Relief_Windows_3B!$I$664:$I$100,MATCH(G664,CBIC_Late_Fee_Relief_Windows_3B!$O$664:$O$100,0))</f>
        <v/>
      </c>
      <c r="I664">
        <f>MIN(F664,H664)</f>
        <v/>
      </c>
    </row>
    <row r="665">
      <c r="A665">
        <f>TEST_DATA!A665</f>
        <v/>
      </c>
      <c r="B665">
        <f>TEST_DATA!B665</f>
        <v/>
      </c>
      <c r="C665">
        <f>TEST_DATA!C665</f>
        <v/>
      </c>
      <c r="D665">
        <f>TEST_DATA!D665</f>
        <v/>
      </c>
      <c r="E665">
        <f>TEST_DATA!E665</f>
        <v/>
      </c>
      <c r="F665">
        <f>MIN(E665*66500,10000)</f>
        <v/>
      </c>
      <c r="G665">
        <f>MINIFS(CBIC_Late_Fee_Relief_Windows_3B!$O$665:$O$100,CBIC_Late_Fee_Relief_Windows_3B!$D$665:$D$100,"&lt;="&amp;B665,CBIC_Late_Fee_Relief_Windows_3B!$E$665:$E$100,"&gt;="&amp;B665,CBIC_Late_Fee_Relief_Windows_3B!$F$665:$F$100,"&lt;="&amp;C665,CBIC_Late_Fee_Relief_Windows_3B!$G$665:$G$100,"&gt;="&amp;C665)</f>
        <v/>
      </c>
      <c r="H665">
        <f>INDEX(CBIC_Late_Fee_Relief_Windows_3B!$I$665:$I$100,MATCH(G665,CBIC_Late_Fee_Relief_Windows_3B!$O$665:$O$100,0))</f>
        <v/>
      </c>
      <c r="I665">
        <f>MIN(F665,H665)</f>
        <v/>
      </c>
    </row>
    <row r="666">
      <c r="A666">
        <f>TEST_DATA!A666</f>
        <v/>
      </c>
      <c r="B666">
        <f>TEST_DATA!B666</f>
        <v/>
      </c>
      <c r="C666">
        <f>TEST_DATA!C666</f>
        <v/>
      </c>
      <c r="D666">
        <f>TEST_DATA!D666</f>
        <v/>
      </c>
      <c r="E666">
        <f>TEST_DATA!E666</f>
        <v/>
      </c>
      <c r="F666">
        <f>MIN(E666*66600,10000)</f>
        <v/>
      </c>
      <c r="G666">
        <f>MINIFS(CBIC_Late_Fee_Relief_Windows_3B!$O$666:$O$100,CBIC_Late_Fee_Relief_Windows_3B!$D$666:$D$100,"&lt;="&amp;B666,CBIC_Late_Fee_Relief_Windows_3B!$E$666:$E$100,"&gt;="&amp;B666,CBIC_Late_Fee_Relief_Windows_3B!$F$666:$F$100,"&lt;="&amp;C666,CBIC_Late_Fee_Relief_Windows_3B!$G$666:$G$100,"&gt;="&amp;C666)</f>
        <v/>
      </c>
      <c r="H666">
        <f>INDEX(CBIC_Late_Fee_Relief_Windows_3B!$I$666:$I$100,MATCH(G666,CBIC_Late_Fee_Relief_Windows_3B!$O$666:$O$100,0))</f>
        <v/>
      </c>
      <c r="I666">
        <f>MIN(F666,H666)</f>
        <v/>
      </c>
    </row>
    <row r="667">
      <c r="A667">
        <f>TEST_DATA!A667</f>
        <v/>
      </c>
      <c r="B667">
        <f>TEST_DATA!B667</f>
        <v/>
      </c>
      <c r="C667">
        <f>TEST_DATA!C667</f>
        <v/>
      </c>
      <c r="D667">
        <f>TEST_DATA!D667</f>
        <v/>
      </c>
      <c r="E667">
        <f>TEST_DATA!E667</f>
        <v/>
      </c>
      <c r="F667">
        <f>MIN(E667*66700,10000)</f>
        <v/>
      </c>
      <c r="G667">
        <f>MINIFS(CBIC_Late_Fee_Relief_Windows_3B!$O$667:$O$100,CBIC_Late_Fee_Relief_Windows_3B!$D$667:$D$100,"&lt;="&amp;B667,CBIC_Late_Fee_Relief_Windows_3B!$E$667:$E$100,"&gt;="&amp;B667,CBIC_Late_Fee_Relief_Windows_3B!$F$667:$F$100,"&lt;="&amp;C667,CBIC_Late_Fee_Relief_Windows_3B!$G$667:$G$100,"&gt;="&amp;C667)</f>
        <v/>
      </c>
      <c r="H667">
        <f>INDEX(CBIC_Late_Fee_Relief_Windows_3B!$I$667:$I$100,MATCH(G667,CBIC_Late_Fee_Relief_Windows_3B!$O$667:$O$100,0))</f>
        <v/>
      </c>
      <c r="I667">
        <f>MIN(F667,H667)</f>
        <v/>
      </c>
    </row>
    <row r="668">
      <c r="A668">
        <f>TEST_DATA!A668</f>
        <v/>
      </c>
      <c r="B668">
        <f>TEST_DATA!B668</f>
        <v/>
      </c>
      <c r="C668">
        <f>TEST_DATA!C668</f>
        <v/>
      </c>
      <c r="D668">
        <f>TEST_DATA!D668</f>
        <v/>
      </c>
      <c r="E668">
        <f>TEST_DATA!E668</f>
        <v/>
      </c>
      <c r="F668">
        <f>MIN(E668*66800,10000)</f>
        <v/>
      </c>
      <c r="G668">
        <f>MINIFS(CBIC_Late_Fee_Relief_Windows_3B!$O$668:$O$100,CBIC_Late_Fee_Relief_Windows_3B!$D$668:$D$100,"&lt;="&amp;B668,CBIC_Late_Fee_Relief_Windows_3B!$E$668:$E$100,"&gt;="&amp;B668,CBIC_Late_Fee_Relief_Windows_3B!$F$668:$F$100,"&lt;="&amp;C668,CBIC_Late_Fee_Relief_Windows_3B!$G$668:$G$100,"&gt;="&amp;C668)</f>
        <v/>
      </c>
      <c r="H668">
        <f>INDEX(CBIC_Late_Fee_Relief_Windows_3B!$I$668:$I$100,MATCH(G668,CBIC_Late_Fee_Relief_Windows_3B!$O$668:$O$100,0))</f>
        <v/>
      </c>
      <c r="I668">
        <f>MIN(F668,H668)</f>
        <v/>
      </c>
    </row>
    <row r="669">
      <c r="A669">
        <f>TEST_DATA!A669</f>
        <v/>
      </c>
      <c r="B669">
        <f>TEST_DATA!B669</f>
        <v/>
      </c>
      <c r="C669">
        <f>TEST_DATA!C669</f>
        <v/>
      </c>
      <c r="D669">
        <f>TEST_DATA!D669</f>
        <v/>
      </c>
      <c r="E669">
        <f>TEST_DATA!E669</f>
        <v/>
      </c>
      <c r="F669">
        <f>MIN(E669*66900,10000)</f>
        <v/>
      </c>
      <c r="G669">
        <f>MINIFS(CBIC_Late_Fee_Relief_Windows_3B!$O$669:$O$100,CBIC_Late_Fee_Relief_Windows_3B!$D$669:$D$100,"&lt;="&amp;B669,CBIC_Late_Fee_Relief_Windows_3B!$E$669:$E$100,"&gt;="&amp;B669,CBIC_Late_Fee_Relief_Windows_3B!$F$669:$F$100,"&lt;="&amp;C669,CBIC_Late_Fee_Relief_Windows_3B!$G$669:$G$100,"&gt;="&amp;C669)</f>
        <v/>
      </c>
      <c r="H669">
        <f>INDEX(CBIC_Late_Fee_Relief_Windows_3B!$I$669:$I$100,MATCH(G669,CBIC_Late_Fee_Relief_Windows_3B!$O$669:$O$100,0))</f>
        <v/>
      </c>
      <c r="I669">
        <f>MIN(F669,H669)</f>
        <v/>
      </c>
    </row>
    <row r="670">
      <c r="A670">
        <f>TEST_DATA!A670</f>
        <v/>
      </c>
      <c r="B670">
        <f>TEST_DATA!B670</f>
        <v/>
      </c>
      <c r="C670">
        <f>TEST_DATA!C670</f>
        <v/>
      </c>
      <c r="D670">
        <f>TEST_DATA!D670</f>
        <v/>
      </c>
      <c r="E670">
        <f>TEST_DATA!E670</f>
        <v/>
      </c>
      <c r="F670">
        <f>MIN(E670*67000,10000)</f>
        <v/>
      </c>
      <c r="G670">
        <f>MINIFS(CBIC_Late_Fee_Relief_Windows_3B!$O$670:$O$100,CBIC_Late_Fee_Relief_Windows_3B!$D$670:$D$100,"&lt;="&amp;B670,CBIC_Late_Fee_Relief_Windows_3B!$E$670:$E$100,"&gt;="&amp;B670,CBIC_Late_Fee_Relief_Windows_3B!$F$670:$F$100,"&lt;="&amp;C670,CBIC_Late_Fee_Relief_Windows_3B!$G$670:$G$100,"&gt;="&amp;C670)</f>
        <v/>
      </c>
      <c r="H670">
        <f>INDEX(CBIC_Late_Fee_Relief_Windows_3B!$I$670:$I$100,MATCH(G670,CBIC_Late_Fee_Relief_Windows_3B!$O$670:$O$100,0))</f>
        <v/>
      </c>
      <c r="I670">
        <f>MIN(F670,H670)</f>
        <v/>
      </c>
    </row>
    <row r="671">
      <c r="A671">
        <f>TEST_DATA!A671</f>
        <v/>
      </c>
      <c r="B671">
        <f>TEST_DATA!B671</f>
        <v/>
      </c>
      <c r="C671">
        <f>TEST_DATA!C671</f>
        <v/>
      </c>
      <c r="D671">
        <f>TEST_DATA!D671</f>
        <v/>
      </c>
      <c r="E671">
        <f>TEST_DATA!E671</f>
        <v/>
      </c>
      <c r="F671">
        <f>MIN(E671*67100,10000)</f>
        <v/>
      </c>
      <c r="G671">
        <f>MINIFS(CBIC_Late_Fee_Relief_Windows_3B!$O$671:$O$100,CBIC_Late_Fee_Relief_Windows_3B!$D$671:$D$100,"&lt;="&amp;B671,CBIC_Late_Fee_Relief_Windows_3B!$E$671:$E$100,"&gt;="&amp;B671,CBIC_Late_Fee_Relief_Windows_3B!$F$671:$F$100,"&lt;="&amp;C671,CBIC_Late_Fee_Relief_Windows_3B!$G$671:$G$100,"&gt;="&amp;C671)</f>
        <v/>
      </c>
      <c r="H671">
        <f>INDEX(CBIC_Late_Fee_Relief_Windows_3B!$I$671:$I$100,MATCH(G671,CBIC_Late_Fee_Relief_Windows_3B!$O$671:$O$100,0))</f>
        <v/>
      </c>
      <c r="I671">
        <f>MIN(F671,H671)</f>
        <v/>
      </c>
    </row>
    <row r="672">
      <c r="A672">
        <f>TEST_DATA!A672</f>
        <v/>
      </c>
      <c r="B672">
        <f>TEST_DATA!B672</f>
        <v/>
      </c>
      <c r="C672">
        <f>TEST_DATA!C672</f>
        <v/>
      </c>
      <c r="D672">
        <f>TEST_DATA!D672</f>
        <v/>
      </c>
      <c r="E672">
        <f>TEST_DATA!E672</f>
        <v/>
      </c>
      <c r="F672">
        <f>MIN(E672*67200,10000)</f>
        <v/>
      </c>
      <c r="G672">
        <f>MINIFS(CBIC_Late_Fee_Relief_Windows_3B!$O$672:$O$100,CBIC_Late_Fee_Relief_Windows_3B!$D$672:$D$100,"&lt;="&amp;B672,CBIC_Late_Fee_Relief_Windows_3B!$E$672:$E$100,"&gt;="&amp;B672,CBIC_Late_Fee_Relief_Windows_3B!$F$672:$F$100,"&lt;="&amp;C672,CBIC_Late_Fee_Relief_Windows_3B!$G$672:$G$100,"&gt;="&amp;C672)</f>
        <v/>
      </c>
      <c r="H672">
        <f>INDEX(CBIC_Late_Fee_Relief_Windows_3B!$I$672:$I$100,MATCH(G672,CBIC_Late_Fee_Relief_Windows_3B!$O$672:$O$100,0))</f>
        <v/>
      </c>
      <c r="I672">
        <f>MIN(F672,H672)</f>
        <v/>
      </c>
    </row>
    <row r="673">
      <c r="A673">
        <f>TEST_DATA!A673</f>
        <v/>
      </c>
      <c r="B673">
        <f>TEST_DATA!B673</f>
        <v/>
      </c>
      <c r="C673">
        <f>TEST_DATA!C673</f>
        <v/>
      </c>
      <c r="D673">
        <f>TEST_DATA!D673</f>
        <v/>
      </c>
      <c r="E673">
        <f>TEST_DATA!E673</f>
        <v/>
      </c>
      <c r="F673">
        <f>MIN(E673*67300,10000)</f>
        <v/>
      </c>
      <c r="G673">
        <f>MINIFS(CBIC_Late_Fee_Relief_Windows_3B!$O$673:$O$100,CBIC_Late_Fee_Relief_Windows_3B!$D$673:$D$100,"&lt;="&amp;B673,CBIC_Late_Fee_Relief_Windows_3B!$E$673:$E$100,"&gt;="&amp;B673,CBIC_Late_Fee_Relief_Windows_3B!$F$673:$F$100,"&lt;="&amp;C673,CBIC_Late_Fee_Relief_Windows_3B!$G$673:$G$100,"&gt;="&amp;C673)</f>
        <v/>
      </c>
      <c r="H673">
        <f>INDEX(CBIC_Late_Fee_Relief_Windows_3B!$I$673:$I$100,MATCH(G673,CBIC_Late_Fee_Relief_Windows_3B!$O$673:$O$100,0))</f>
        <v/>
      </c>
      <c r="I673">
        <f>MIN(F673,H673)</f>
        <v/>
      </c>
    </row>
    <row r="674">
      <c r="A674">
        <f>TEST_DATA!A674</f>
        <v/>
      </c>
      <c r="B674">
        <f>TEST_DATA!B674</f>
        <v/>
      </c>
      <c r="C674">
        <f>TEST_DATA!C674</f>
        <v/>
      </c>
      <c r="D674">
        <f>TEST_DATA!D674</f>
        <v/>
      </c>
      <c r="E674">
        <f>TEST_DATA!E674</f>
        <v/>
      </c>
      <c r="F674">
        <f>MIN(E674*67400,10000)</f>
        <v/>
      </c>
      <c r="G674">
        <f>MINIFS(CBIC_Late_Fee_Relief_Windows_3B!$O$674:$O$100,CBIC_Late_Fee_Relief_Windows_3B!$D$674:$D$100,"&lt;="&amp;B674,CBIC_Late_Fee_Relief_Windows_3B!$E$674:$E$100,"&gt;="&amp;B674,CBIC_Late_Fee_Relief_Windows_3B!$F$674:$F$100,"&lt;="&amp;C674,CBIC_Late_Fee_Relief_Windows_3B!$G$674:$G$100,"&gt;="&amp;C674)</f>
        <v/>
      </c>
      <c r="H674">
        <f>INDEX(CBIC_Late_Fee_Relief_Windows_3B!$I$674:$I$100,MATCH(G674,CBIC_Late_Fee_Relief_Windows_3B!$O$674:$O$100,0))</f>
        <v/>
      </c>
      <c r="I674">
        <f>MIN(F674,H674)</f>
        <v/>
      </c>
    </row>
    <row r="675">
      <c r="A675">
        <f>TEST_DATA!A675</f>
        <v/>
      </c>
      <c r="B675">
        <f>TEST_DATA!B675</f>
        <v/>
      </c>
      <c r="C675">
        <f>TEST_DATA!C675</f>
        <v/>
      </c>
      <c r="D675">
        <f>TEST_DATA!D675</f>
        <v/>
      </c>
      <c r="E675">
        <f>TEST_DATA!E675</f>
        <v/>
      </c>
      <c r="F675">
        <f>MIN(E675*67500,10000)</f>
        <v/>
      </c>
      <c r="G675">
        <f>MINIFS(CBIC_Late_Fee_Relief_Windows_3B!$O$675:$O$100,CBIC_Late_Fee_Relief_Windows_3B!$D$675:$D$100,"&lt;="&amp;B675,CBIC_Late_Fee_Relief_Windows_3B!$E$675:$E$100,"&gt;="&amp;B675,CBIC_Late_Fee_Relief_Windows_3B!$F$675:$F$100,"&lt;="&amp;C675,CBIC_Late_Fee_Relief_Windows_3B!$G$675:$G$100,"&gt;="&amp;C675)</f>
        <v/>
      </c>
      <c r="H675">
        <f>INDEX(CBIC_Late_Fee_Relief_Windows_3B!$I$675:$I$100,MATCH(G675,CBIC_Late_Fee_Relief_Windows_3B!$O$675:$O$100,0))</f>
        <v/>
      </c>
      <c r="I675">
        <f>MIN(F675,H675)</f>
        <v/>
      </c>
    </row>
    <row r="676">
      <c r="A676">
        <f>TEST_DATA!A676</f>
        <v/>
      </c>
      <c r="B676">
        <f>TEST_DATA!B676</f>
        <v/>
      </c>
      <c r="C676">
        <f>TEST_DATA!C676</f>
        <v/>
      </c>
      <c r="D676">
        <f>TEST_DATA!D676</f>
        <v/>
      </c>
      <c r="E676">
        <f>TEST_DATA!E676</f>
        <v/>
      </c>
      <c r="F676">
        <f>MIN(E676*67600,10000)</f>
        <v/>
      </c>
      <c r="G676">
        <f>MINIFS(CBIC_Late_Fee_Relief_Windows_3B!$O$676:$O$100,CBIC_Late_Fee_Relief_Windows_3B!$D$676:$D$100,"&lt;="&amp;B676,CBIC_Late_Fee_Relief_Windows_3B!$E$676:$E$100,"&gt;="&amp;B676,CBIC_Late_Fee_Relief_Windows_3B!$F$676:$F$100,"&lt;="&amp;C676,CBIC_Late_Fee_Relief_Windows_3B!$G$676:$G$100,"&gt;="&amp;C676)</f>
        <v/>
      </c>
      <c r="H676">
        <f>INDEX(CBIC_Late_Fee_Relief_Windows_3B!$I$676:$I$100,MATCH(G676,CBIC_Late_Fee_Relief_Windows_3B!$O$676:$O$100,0))</f>
        <v/>
      </c>
      <c r="I676">
        <f>MIN(F676,H676)</f>
        <v/>
      </c>
    </row>
    <row r="677">
      <c r="A677">
        <f>TEST_DATA!A677</f>
        <v/>
      </c>
      <c r="B677">
        <f>TEST_DATA!B677</f>
        <v/>
      </c>
      <c r="C677">
        <f>TEST_DATA!C677</f>
        <v/>
      </c>
      <c r="D677">
        <f>TEST_DATA!D677</f>
        <v/>
      </c>
      <c r="E677">
        <f>TEST_DATA!E677</f>
        <v/>
      </c>
      <c r="F677">
        <f>MIN(E677*67700,10000)</f>
        <v/>
      </c>
      <c r="G677">
        <f>MINIFS(CBIC_Late_Fee_Relief_Windows_3B!$O$677:$O$100,CBIC_Late_Fee_Relief_Windows_3B!$D$677:$D$100,"&lt;="&amp;B677,CBIC_Late_Fee_Relief_Windows_3B!$E$677:$E$100,"&gt;="&amp;B677,CBIC_Late_Fee_Relief_Windows_3B!$F$677:$F$100,"&lt;="&amp;C677,CBIC_Late_Fee_Relief_Windows_3B!$G$677:$G$100,"&gt;="&amp;C677)</f>
        <v/>
      </c>
      <c r="H677">
        <f>INDEX(CBIC_Late_Fee_Relief_Windows_3B!$I$677:$I$100,MATCH(G677,CBIC_Late_Fee_Relief_Windows_3B!$O$677:$O$100,0))</f>
        <v/>
      </c>
      <c r="I677">
        <f>MIN(F677,H677)</f>
        <v/>
      </c>
    </row>
    <row r="678">
      <c r="A678">
        <f>TEST_DATA!A678</f>
        <v/>
      </c>
      <c r="B678">
        <f>TEST_DATA!B678</f>
        <v/>
      </c>
      <c r="C678">
        <f>TEST_DATA!C678</f>
        <v/>
      </c>
      <c r="D678">
        <f>TEST_DATA!D678</f>
        <v/>
      </c>
      <c r="E678">
        <f>TEST_DATA!E678</f>
        <v/>
      </c>
      <c r="F678">
        <f>MIN(E678*67800,10000)</f>
        <v/>
      </c>
      <c r="G678">
        <f>MINIFS(CBIC_Late_Fee_Relief_Windows_3B!$O$678:$O$100,CBIC_Late_Fee_Relief_Windows_3B!$D$678:$D$100,"&lt;="&amp;B678,CBIC_Late_Fee_Relief_Windows_3B!$E$678:$E$100,"&gt;="&amp;B678,CBIC_Late_Fee_Relief_Windows_3B!$F$678:$F$100,"&lt;="&amp;C678,CBIC_Late_Fee_Relief_Windows_3B!$G$678:$G$100,"&gt;="&amp;C678)</f>
        <v/>
      </c>
      <c r="H678">
        <f>INDEX(CBIC_Late_Fee_Relief_Windows_3B!$I$678:$I$100,MATCH(G678,CBIC_Late_Fee_Relief_Windows_3B!$O$678:$O$100,0))</f>
        <v/>
      </c>
      <c r="I678">
        <f>MIN(F678,H678)</f>
        <v/>
      </c>
    </row>
    <row r="679">
      <c r="A679">
        <f>TEST_DATA!A679</f>
        <v/>
      </c>
      <c r="B679">
        <f>TEST_DATA!B679</f>
        <v/>
      </c>
      <c r="C679">
        <f>TEST_DATA!C679</f>
        <v/>
      </c>
      <c r="D679">
        <f>TEST_DATA!D679</f>
        <v/>
      </c>
      <c r="E679">
        <f>TEST_DATA!E679</f>
        <v/>
      </c>
      <c r="F679">
        <f>MIN(E679*67900,10000)</f>
        <v/>
      </c>
      <c r="G679">
        <f>MINIFS(CBIC_Late_Fee_Relief_Windows_3B!$O$679:$O$100,CBIC_Late_Fee_Relief_Windows_3B!$D$679:$D$100,"&lt;="&amp;B679,CBIC_Late_Fee_Relief_Windows_3B!$E$679:$E$100,"&gt;="&amp;B679,CBIC_Late_Fee_Relief_Windows_3B!$F$679:$F$100,"&lt;="&amp;C679,CBIC_Late_Fee_Relief_Windows_3B!$G$679:$G$100,"&gt;="&amp;C679)</f>
        <v/>
      </c>
      <c r="H679">
        <f>INDEX(CBIC_Late_Fee_Relief_Windows_3B!$I$679:$I$100,MATCH(G679,CBIC_Late_Fee_Relief_Windows_3B!$O$679:$O$100,0))</f>
        <v/>
      </c>
      <c r="I679">
        <f>MIN(F679,H679)</f>
        <v/>
      </c>
    </row>
    <row r="680">
      <c r="A680">
        <f>TEST_DATA!A680</f>
        <v/>
      </c>
      <c r="B680">
        <f>TEST_DATA!B680</f>
        <v/>
      </c>
      <c r="C680">
        <f>TEST_DATA!C680</f>
        <v/>
      </c>
      <c r="D680">
        <f>TEST_DATA!D680</f>
        <v/>
      </c>
      <c r="E680">
        <f>TEST_DATA!E680</f>
        <v/>
      </c>
      <c r="F680">
        <f>MIN(E680*68000,10000)</f>
        <v/>
      </c>
      <c r="G680">
        <f>MINIFS(CBIC_Late_Fee_Relief_Windows_3B!$O$680:$O$100,CBIC_Late_Fee_Relief_Windows_3B!$D$680:$D$100,"&lt;="&amp;B680,CBIC_Late_Fee_Relief_Windows_3B!$E$680:$E$100,"&gt;="&amp;B680,CBIC_Late_Fee_Relief_Windows_3B!$F$680:$F$100,"&lt;="&amp;C680,CBIC_Late_Fee_Relief_Windows_3B!$G$680:$G$100,"&gt;="&amp;C680)</f>
        <v/>
      </c>
      <c r="H680">
        <f>INDEX(CBIC_Late_Fee_Relief_Windows_3B!$I$680:$I$100,MATCH(G680,CBIC_Late_Fee_Relief_Windows_3B!$O$680:$O$100,0))</f>
        <v/>
      </c>
      <c r="I680">
        <f>MIN(F680,H680)</f>
        <v/>
      </c>
    </row>
    <row r="681">
      <c r="A681">
        <f>TEST_DATA!A681</f>
        <v/>
      </c>
      <c r="B681">
        <f>TEST_DATA!B681</f>
        <v/>
      </c>
      <c r="C681">
        <f>TEST_DATA!C681</f>
        <v/>
      </c>
      <c r="D681">
        <f>TEST_DATA!D681</f>
        <v/>
      </c>
      <c r="E681">
        <f>TEST_DATA!E681</f>
        <v/>
      </c>
      <c r="F681">
        <f>MIN(E681*68100,10000)</f>
        <v/>
      </c>
      <c r="G681">
        <f>MINIFS(CBIC_Late_Fee_Relief_Windows_3B!$O$681:$O$100,CBIC_Late_Fee_Relief_Windows_3B!$D$681:$D$100,"&lt;="&amp;B681,CBIC_Late_Fee_Relief_Windows_3B!$E$681:$E$100,"&gt;="&amp;B681,CBIC_Late_Fee_Relief_Windows_3B!$F$681:$F$100,"&lt;="&amp;C681,CBIC_Late_Fee_Relief_Windows_3B!$G$681:$G$100,"&gt;="&amp;C681)</f>
        <v/>
      </c>
      <c r="H681">
        <f>INDEX(CBIC_Late_Fee_Relief_Windows_3B!$I$681:$I$100,MATCH(G681,CBIC_Late_Fee_Relief_Windows_3B!$O$681:$O$100,0))</f>
        <v/>
      </c>
      <c r="I681">
        <f>MIN(F681,H681)</f>
        <v/>
      </c>
    </row>
    <row r="682">
      <c r="A682">
        <f>TEST_DATA!A682</f>
        <v/>
      </c>
      <c r="B682">
        <f>TEST_DATA!B682</f>
        <v/>
      </c>
      <c r="C682">
        <f>TEST_DATA!C682</f>
        <v/>
      </c>
      <c r="D682">
        <f>TEST_DATA!D682</f>
        <v/>
      </c>
      <c r="E682">
        <f>TEST_DATA!E682</f>
        <v/>
      </c>
      <c r="F682">
        <f>MIN(E682*68200,10000)</f>
        <v/>
      </c>
      <c r="G682">
        <f>MINIFS(CBIC_Late_Fee_Relief_Windows_3B!$O$682:$O$100,CBIC_Late_Fee_Relief_Windows_3B!$D$682:$D$100,"&lt;="&amp;B682,CBIC_Late_Fee_Relief_Windows_3B!$E$682:$E$100,"&gt;="&amp;B682,CBIC_Late_Fee_Relief_Windows_3B!$F$682:$F$100,"&lt;="&amp;C682,CBIC_Late_Fee_Relief_Windows_3B!$G$682:$G$100,"&gt;="&amp;C682)</f>
        <v/>
      </c>
      <c r="H682">
        <f>INDEX(CBIC_Late_Fee_Relief_Windows_3B!$I$682:$I$100,MATCH(G682,CBIC_Late_Fee_Relief_Windows_3B!$O$682:$O$100,0))</f>
        <v/>
      </c>
      <c r="I682">
        <f>MIN(F682,H682)</f>
        <v/>
      </c>
    </row>
    <row r="683">
      <c r="A683">
        <f>TEST_DATA!A683</f>
        <v/>
      </c>
      <c r="B683">
        <f>TEST_DATA!B683</f>
        <v/>
      </c>
      <c r="C683">
        <f>TEST_DATA!C683</f>
        <v/>
      </c>
      <c r="D683">
        <f>TEST_DATA!D683</f>
        <v/>
      </c>
      <c r="E683">
        <f>TEST_DATA!E683</f>
        <v/>
      </c>
      <c r="F683">
        <f>MIN(E683*68300,10000)</f>
        <v/>
      </c>
      <c r="G683">
        <f>MINIFS(CBIC_Late_Fee_Relief_Windows_3B!$O$683:$O$100,CBIC_Late_Fee_Relief_Windows_3B!$D$683:$D$100,"&lt;="&amp;B683,CBIC_Late_Fee_Relief_Windows_3B!$E$683:$E$100,"&gt;="&amp;B683,CBIC_Late_Fee_Relief_Windows_3B!$F$683:$F$100,"&lt;="&amp;C683,CBIC_Late_Fee_Relief_Windows_3B!$G$683:$G$100,"&gt;="&amp;C683)</f>
        <v/>
      </c>
      <c r="H683">
        <f>INDEX(CBIC_Late_Fee_Relief_Windows_3B!$I$683:$I$100,MATCH(G683,CBIC_Late_Fee_Relief_Windows_3B!$O$683:$O$100,0))</f>
        <v/>
      </c>
      <c r="I683">
        <f>MIN(F683,H683)</f>
        <v/>
      </c>
    </row>
    <row r="684">
      <c r="A684">
        <f>TEST_DATA!A684</f>
        <v/>
      </c>
      <c r="B684">
        <f>TEST_DATA!B684</f>
        <v/>
      </c>
      <c r="C684">
        <f>TEST_DATA!C684</f>
        <v/>
      </c>
      <c r="D684">
        <f>TEST_DATA!D684</f>
        <v/>
      </c>
      <c r="E684">
        <f>TEST_DATA!E684</f>
        <v/>
      </c>
      <c r="F684">
        <f>MIN(E684*68400,10000)</f>
        <v/>
      </c>
      <c r="G684">
        <f>MINIFS(CBIC_Late_Fee_Relief_Windows_3B!$O$684:$O$100,CBIC_Late_Fee_Relief_Windows_3B!$D$684:$D$100,"&lt;="&amp;B684,CBIC_Late_Fee_Relief_Windows_3B!$E$684:$E$100,"&gt;="&amp;B684,CBIC_Late_Fee_Relief_Windows_3B!$F$684:$F$100,"&lt;="&amp;C684,CBIC_Late_Fee_Relief_Windows_3B!$G$684:$G$100,"&gt;="&amp;C684)</f>
        <v/>
      </c>
      <c r="H684">
        <f>INDEX(CBIC_Late_Fee_Relief_Windows_3B!$I$684:$I$100,MATCH(G684,CBIC_Late_Fee_Relief_Windows_3B!$O$684:$O$100,0))</f>
        <v/>
      </c>
      <c r="I684">
        <f>MIN(F684,H684)</f>
        <v/>
      </c>
    </row>
    <row r="685">
      <c r="A685">
        <f>TEST_DATA!A685</f>
        <v/>
      </c>
      <c r="B685">
        <f>TEST_DATA!B685</f>
        <v/>
      </c>
      <c r="C685">
        <f>TEST_DATA!C685</f>
        <v/>
      </c>
      <c r="D685">
        <f>TEST_DATA!D685</f>
        <v/>
      </c>
      <c r="E685">
        <f>TEST_DATA!E685</f>
        <v/>
      </c>
      <c r="F685">
        <f>MIN(E685*68500,10000)</f>
        <v/>
      </c>
      <c r="G685">
        <f>MINIFS(CBIC_Late_Fee_Relief_Windows_3B!$O$685:$O$100,CBIC_Late_Fee_Relief_Windows_3B!$D$685:$D$100,"&lt;="&amp;B685,CBIC_Late_Fee_Relief_Windows_3B!$E$685:$E$100,"&gt;="&amp;B685,CBIC_Late_Fee_Relief_Windows_3B!$F$685:$F$100,"&lt;="&amp;C685,CBIC_Late_Fee_Relief_Windows_3B!$G$685:$G$100,"&gt;="&amp;C685)</f>
        <v/>
      </c>
      <c r="H685">
        <f>INDEX(CBIC_Late_Fee_Relief_Windows_3B!$I$685:$I$100,MATCH(G685,CBIC_Late_Fee_Relief_Windows_3B!$O$685:$O$100,0))</f>
        <v/>
      </c>
      <c r="I685">
        <f>MIN(F685,H685)</f>
        <v/>
      </c>
    </row>
    <row r="686">
      <c r="A686">
        <f>TEST_DATA!A686</f>
        <v/>
      </c>
      <c r="B686">
        <f>TEST_DATA!B686</f>
        <v/>
      </c>
      <c r="C686">
        <f>TEST_DATA!C686</f>
        <v/>
      </c>
      <c r="D686">
        <f>TEST_DATA!D686</f>
        <v/>
      </c>
      <c r="E686">
        <f>TEST_DATA!E686</f>
        <v/>
      </c>
      <c r="F686">
        <f>MIN(E686*68600,10000)</f>
        <v/>
      </c>
      <c r="G686">
        <f>MINIFS(CBIC_Late_Fee_Relief_Windows_3B!$O$686:$O$100,CBIC_Late_Fee_Relief_Windows_3B!$D$686:$D$100,"&lt;="&amp;B686,CBIC_Late_Fee_Relief_Windows_3B!$E$686:$E$100,"&gt;="&amp;B686,CBIC_Late_Fee_Relief_Windows_3B!$F$686:$F$100,"&lt;="&amp;C686,CBIC_Late_Fee_Relief_Windows_3B!$G$686:$G$100,"&gt;="&amp;C686)</f>
        <v/>
      </c>
      <c r="H686">
        <f>INDEX(CBIC_Late_Fee_Relief_Windows_3B!$I$686:$I$100,MATCH(G686,CBIC_Late_Fee_Relief_Windows_3B!$O$686:$O$100,0))</f>
        <v/>
      </c>
      <c r="I686">
        <f>MIN(F686,H686)</f>
        <v/>
      </c>
    </row>
    <row r="687">
      <c r="A687">
        <f>TEST_DATA!A687</f>
        <v/>
      </c>
      <c r="B687">
        <f>TEST_DATA!B687</f>
        <v/>
      </c>
      <c r="C687">
        <f>TEST_DATA!C687</f>
        <v/>
      </c>
      <c r="D687">
        <f>TEST_DATA!D687</f>
        <v/>
      </c>
      <c r="E687">
        <f>TEST_DATA!E687</f>
        <v/>
      </c>
      <c r="F687">
        <f>MIN(E687*68700,10000)</f>
        <v/>
      </c>
      <c r="G687">
        <f>MINIFS(CBIC_Late_Fee_Relief_Windows_3B!$O$687:$O$100,CBIC_Late_Fee_Relief_Windows_3B!$D$687:$D$100,"&lt;="&amp;B687,CBIC_Late_Fee_Relief_Windows_3B!$E$687:$E$100,"&gt;="&amp;B687,CBIC_Late_Fee_Relief_Windows_3B!$F$687:$F$100,"&lt;="&amp;C687,CBIC_Late_Fee_Relief_Windows_3B!$G$687:$G$100,"&gt;="&amp;C687)</f>
        <v/>
      </c>
      <c r="H687">
        <f>INDEX(CBIC_Late_Fee_Relief_Windows_3B!$I$687:$I$100,MATCH(G687,CBIC_Late_Fee_Relief_Windows_3B!$O$687:$O$100,0))</f>
        <v/>
      </c>
      <c r="I687">
        <f>MIN(F687,H687)</f>
        <v/>
      </c>
    </row>
    <row r="688">
      <c r="A688">
        <f>TEST_DATA!A688</f>
        <v/>
      </c>
      <c r="B688">
        <f>TEST_DATA!B688</f>
        <v/>
      </c>
      <c r="C688">
        <f>TEST_DATA!C688</f>
        <v/>
      </c>
      <c r="D688">
        <f>TEST_DATA!D688</f>
        <v/>
      </c>
      <c r="E688">
        <f>TEST_DATA!E688</f>
        <v/>
      </c>
      <c r="F688">
        <f>MIN(E688*68800,10000)</f>
        <v/>
      </c>
      <c r="G688">
        <f>MINIFS(CBIC_Late_Fee_Relief_Windows_3B!$O$688:$O$100,CBIC_Late_Fee_Relief_Windows_3B!$D$688:$D$100,"&lt;="&amp;B688,CBIC_Late_Fee_Relief_Windows_3B!$E$688:$E$100,"&gt;="&amp;B688,CBIC_Late_Fee_Relief_Windows_3B!$F$688:$F$100,"&lt;="&amp;C688,CBIC_Late_Fee_Relief_Windows_3B!$G$688:$G$100,"&gt;="&amp;C688)</f>
        <v/>
      </c>
      <c r="H688">
        <f>INDEX(CBIC_Late_Fee_Relief_Windows_3B!$I$688:$I$100,MATCH(G688,CBIC_Late_Fee_Relief_Windows_3B!$O$688:$O$100,0))</f>
        <v/>
      </c>
      <c r="I688">
        <f>MIN(F688,H688)</f>
        <v/>
      </c>
    </row>
    <row r="689">
      <c r="A689">
        <f>TEST_DATA!A689</f>
        <v/>
      </c>
      <c r="B689">
        <f>TEST_DATA!B689</f>
        <v/>
      </c>
      <c r="C689">
        <f>TEST_DATA!C689</f>
        <v/>
      </c>
      <c r="D689">
        <f>TEST_DATA!D689</f>
        <v/>
      </c>
      <c r="E689">
        <f>TEST_DATA!E689</f>
        <v/>
      </c>
      <c r="F689">
        <f>MIN(E689*68900,10000)</f>
        <v/>
      </c>
      <c r="G689">
        <f>MINIFS(CBIC_Late_Fee_Relief_Windows_3B!$O$689:$O$100,CBIC_Late_Fee_Relief_Windows_3B!$D$689:$D$100,"&lt;="&amp;B689,CBIC_Late_Fee_Relief_Windows_3B!$E$689:$E$100,"&gt;="&amp;B689,CBIC_Late_Fee_Relief_Windows_3B!$F$689:$F$100,"&lt;="&amp;C689,CBIC_Late_Fee_Relief_Windows_3B!$G$689:$G$100,"&gt;="&amp;C689)</f>
        <v/>
      </c>
      <c r="H689">
        <f>INDEX(CBIC_Late_Fee_Relief_Windows_3B!$I$689:$I$100,MATCH(G689,CBIC_Late_Fee_Relief_Windows_3B!$O$689:$O$100,0))</f>
        <v/>
      </c>
      <c r="I689">
        <f>MIN(F689,H689)</f>
        <v/>
      </c>
    </row>
    <row r="690">
      <c r="A690">
        <f>TEST_DATA!A690</f>
        <v/>
      </c>
      <c r="B690">
        <f>TEST_DATA!B690</f>
        <v/>
      </c>
      <c r="C690">
        <f>TEST_DATA!C690</f>
        <v/>
      </c>
      <c r="D690">
        <f>TEST_DATA!D690</f>
        <v/>
      </c>
      <c r="E690">
        <f>TEST_DATA!E690</f>
        <v/>
      </c>
      <c r="F690">
        <f>MIN(E690*69000,10000)</f>
        <v/>
      </c>
      <c r="G690">
        <f>MINIFS(CBIC_Late_Fee_Relief_Windows_3B!$O$690:$O$100,CBIC_Late_Fee_Relief_Windows_3B!$D$690:$D$100,"&lt;="&amp;B690,CBIC_Late_Fee_Relief_Windows_3B!$E$690:$E$100,"&gt;="&amp;B690,CBIC_Late_Fee_Relief_Windows_3B!$F$690:$F$100,"&lt;="&amp;C690,CBIC_Late_Fee_Relief_Windows_3B!$G$690:$G$100,"&gt;="&amp;C690)</f>
        <v/>
      </c>
      <c r="H690">
        <f>INDEX(CBIC_Late_Fee_Relief_Windows_3B!$I$690:$I$100,MATCH(G690,CBIC_Late_Fee_Relief_Windows_3B!$O$690:$O$100,0))</f>
        <v/>
      </c>
      <c r="I690">
        <f>MIN(F690,H690)</f>
        <v/>
      </c>
    </row>
    <row r="691">
      <c r="A691">
        <f>TEST_DATA!A691</f>
        <v/>
      </c>
      <c r="B691">
        <f>TEST_DATA!B691</f>
        <v/>
      </c>
      <c r="C691">
        <f>TEST_DATA!C691</f>
        <v/>
      </c>
      <c r="D691">
        <f>TEST_DATA!D691</f>
        <v/>
      </c>
      <c r="E691">
        <f>TEST_DATA!E691</f>
        <v/>
      </c>
      <c r="F691">
        <f>MIN(E691*69100,10000)</f>
        <v/>
      </c>
      <c r="G691">
        <f>MINIFS(CBIC_Late_Fee_Relief_Windows_3B!$O$691:$O$100,CBIC_Late_Fee_Relief_Windows_3B!$D$691:$D$100,"&lt;="&amp;B691,CBIC_Late_Fee_Relief_Windows_3B!$E$691:$E$100,"&gt;="&amp;B691,CBIC_Late_Fee_Relief_Windows_3B!$F$691:$F$100,"&lt;="&amp;C691,CBIC_Late_Fee_Relief_Windows_3B!$G$691:$G$100,"&gt;="&amp;C691)</f>
        <v/>
      </c>
      <c r="H691">
        <f>INDEX(CBIC_Late_Fee_Relief_Windows_3B!$I$691:$I$100,MATCH(G691,CBIC_Late_Fee_Relief_Windows_3B!$O$691:$O$100,0))</f>
        <v/>
      </c>
      <c r="I691">
        <f>MIN(F691,H691)</f>
        <v/>
      </c>
    </row>
    <row r="692">
      <c r="A692">
        <f>TEST_DATA!A692</f>
        <v/>
      </c>
      <c r="B692">
        <f>TEST_DATA!B692</f>
        <v/>
      </c>
      <c r="C692">
        <f>TEST_DATA!C692</f>
        <v/>
      </c>
      <c r="D692">
        <f>TEST_DATA!D692</f>
        <v/>
      </c>
      <c r="E692">
        <f>TEST_DATA!E692</f>
        <v/>
      </c>
      <c r="F692">
        <f>MIN(E692*69200,10000)</f>
        <v/>
      </c>
      <c r="G692">
        <f>MINIFS(CBIC_Late_Fee_Relief_Windows_3B!$O$692:$O$100,CBIC_Late_Fee_Relief_Windows_3B!$D$692:$D$100,"&lt;="&amp;B692,CBIC_Late_Fee_Relief_Windows_3B!$E$692:$E$100,"&gt;="&amp;B692,CBIC_Late_Fee_Relief_Windows_3B!$F$692:$F$100,"&lt;="&amp;C692,CBIC_Late_Fee_Relief_Windows_3B!$G$692:$G$100,"&gt;="&amp;C692)</f>
        <v/>
      </c>
      <c r="H692">
        <f>INDEX(CBIC_Late_Fee_Relief_Windows_3B!$I$692:$I$100,MATCH(G692,CBIC_Late_Fee_Relief_Windows_3B!$O$692:$O$100,0))</f>
        <v/>
      </c>
      <c r="I692">
        <f>MIN(F692,H692)</f>
        <v/>
      </c>
    </row>
    <row r="693">
      <c r="A693">
        <f>TEST_DATA!A693</f>
        <v/>
      </c>
      <c r="B693">
        <f>TEST_DATA!B693</f>
        <v/>
      </c>
      <c r="C693">
        <f>TEST_DATA!C693</f>
        <v/>
      </c>
      <c r="D693">
        <f>TEST_DATA!D693</f>
        <v/>
      </c>
      <c r="E693">
        <f>TEST_DATA!E693</f>
        <v/>
      </c>
      <c r="F693">
        <f>MIN(E693*69300,10000)</f>
        <v/>
      </c>
      <c r="G693">
        <f>MINIFS(CBIC_Late_Fee_Relief_Windows_3B!$O$693:$O$100,CBIC_Late_Fee_Relief_Windows_3B!$D$693:$D$100,"&lt;="&amp;B693,CBIC_Late_Fee_Relief_Windows_3B!$E$693:$E$100,"&gt;="&amp;B693,CBIC_Late_Fee_Relief_Windows_3B!$F$693:$F$100,"&lt;="&amp;C693,CBIC_Late_Fee_Relief_Windows_3B!$G$693:$G$100,"&gt;="&amp;C693)</f>
        <v/>
      </c>
      <c r="H693">
        <f>INDEX(CBIC_Late_Fee_Relief_Windows_3B!$I$693:$I$100,MATCH(G693,CBIC_Late_Fee_Relief_Windows_3B!$O$693:$O$100,0))</f>
        <v/>
      </c>
      <c r="I693">
        <f>MIN(F693,H693)</f>
        <v/>
      </c>
    </row>
    <row r="694">
      <c r="A694">
        <f>TEST_DATA!A694</f>
        <v/>
      </c>
      <c r="B694">
        <f>TEST_DATA!B694</f>
        <v/>
      </c>
      <c r="C694">
        <f>TEST_DATA!C694</f>
        <v/>
      </c>
      <c r="D694">
        <f>TEST_DATA!D694</f>
        <v/>
      </c>
      <c r="E694">
        <f>TEST_DATA!E694</f>
        <v/>
      </c>
      <c r="F694">
        <f>MIN(E694*69400,10000)</f>
        <v/>
      </c>
      <c r="G694">
        <f>MINIFS(CBIC_Late_Fee_Relief_Windows_3B!$O$694:$O$100,CBIC_Late_Fee_Relief_Windows_3B!$D$694:$D$100,"&lt;="&amp;B694,CBIC_Late_Fee_Relief_Windows_3B!$E$694:$E$100,"&gt;="&amp;B694,CBIC_Late_Fee_Relief_Windows_3B!$F$694:$F$100,"&lt;="&amp;C694,CBIC_Late_Fee_Relief_Windows_3B!$G$694:$G$100,"&gt;="&amp;C694)</f>
        <v/>
      </c>
      <c r="H694">
        <f>INDEX(CBIC_Late_Fee_Relief_Windows_3B!$I$694:$I$100,MATCH(G694,CBIC_Late_Fee_Relief_Windows_3B!$O$694:$O$100,0))</f>
        <v/>
      </c>
      <c r="I694">
        <f>MIN(F694,H694)</f>
        <v/>
      </c>
    </row>
    <row r="695">
      <c r="A695">
        <f>TEST_DATA!A695</f>
        <v/>
      </c>
      <c r="B695">
        <f>TEST_DATA!B695</f>
        <v/>
      </c>
      <c r="C695">
        <f>TEST_DATA!C695</f>
        <v/>
      </c>
      <c r="D695">
        <f>TEST_DATA!D695</f>
        <v/>
      </c>
      <c r="E695">
        <f>TEST_DATA!E695</f>
        <v/>
      </c>
      <c r="F695">
        <f>MIN(E695*69500,10000)</f>
        <v/>
      </c>
      <c r="G695">
        <f>MINIFS(CBIC_Late_Fee_Relief_Windows_3B!$O$695:$O$100,CBIC_Late_Fee_Relief_Windows_3B!$D$695:$D$100,"&lt;="&amp;B695,CBIC_Late_Fee_Relief_Windows_3B!$E$695:$E$100,"&gt;="&amp;B695,CBIC_Late_Fee_Relief_Windows_3B!$F$695:$F$100,"&lt;="&amp;C695,CBIC_Late_Fee_Relief_Windows_3B!$G$695:$G$100,"&gt;="&amp;C695)</f>
        <v/>
      </c>
      <c r="H695">
        <f>INDEX(CBIC_Late_Fee_Relief_Windows_3B!$I$695:$I$100,MATCH(G695,CBIC_Late_Fee_Relief_Windows_3B!$O$695:$O$100,0))</f>
        <v/>
      </c>
      <c r="I695">
        <f>MIN(F695,H695)</f>
        <v/>
      </c>
    </row>
    <row r="696">
      <c r="A696">
        <f>TEST_DATA!A696</f>
        <v/>
      </c>
      <c r="B696">
        <f>TEST_DATA!B696</f>
        <v/>
      </c>
      <c r="C696">
        <f>TEST_DATA!C696</f>
        <v/>
      </c>
      <c r="D696">
        <f>TEST_DATA!D696</f>
        <v/>
      </c>
      <c r="E696">
        <f>TEST_DATA!E696</f>
        <v/>
      </c>
      <c r="F696">
        <f>MIN(E696*69600,10000)</f>
        <v/>
      </c>
      <c r="G696">
        <f>MINIFS(CBIC_Late_Fee_Relief_Windows_3B!$O$696:$O$100,CBIC_Late_Fee_Relief_Windows_3B!$D$696:$D$100,"&lt;="&amp;B696,CBIC_Late_Fee_Relief_Windows_3B!$E$696:$E$100,"&gt;="&amp;B696,CBIC_Late_Fee_Relief_Windows_3B!$F$696:$F$100,"&lt;="&amp;C696,CBIC_Late_Fee_Relief_Windows_3B!$G$696:$G$100,"&gt;="&amp;C696)</f>
        <v/>
      </c>
      <c r="H696">
        <f>INDEX(CBIC_Late_Fee_Relief_Windows_3B!$I$696:$I$100,MATCH(G696,CBIC_Late_Fee_Relief_Windows_3B!$O$696:$O$100,0))</f>
        <v/>
      </c>
      <c r="I696">
        <f>MIN(F696,H696)</f>
        <v/>
      </c>
    </row>
    <row r="697">
      <c r="A697">
        <f>TEST_DATA!A697</f>
        <v/>
      </c>
      <c r="B697">
        <f>TEST_DATA!B697</f>
        <v/>
      </c>
      <c r="C697">
        <f>TEST_DATA!C697</f>
        <v/>
      </c>
      <c r="D697">
        <f>TEST_DATA!D697</f>
        <v/>
      </c>
      <c r="E697">
        <f>TEST_DATA!E697</f>
        <v/>
      </c>
      <c r="F697">
        <f>MIN(E697*69700,10000)</f>
        <v/>
      </c>
      <c r="G697">
        <f>MINIFS(CBIC_Late_Fee_Relief_Windows_3B!$O$697:$O$100,CBIC_Late_Fee_Relief_Windows_3B!$D$697:$D$100,"&lt;="&amp;B697,CBIC_Late_Fee_Relief_Windows_3B!$E$697:$E$100,"&gt;="&amp;B697,CBIC_Late_Fee_Relief_Windows_3B!$F$697:$F$100,"&lt;="&amp;C697,CBIC_Late_Fee_Relief_Windows_3B!$G$697:$G$100,"&gt;="&amp;C697)</f>
        <v/>
      </c>
      <c r="H697">
        <f>INDEX(CBIC_Late_Fee_Relief_Windows_3B!$I$697:$I$100,MATCH(G697,CBIC_Late_Fee_Relief_Windows_3B!$O$697:$O$100,0))</f>
        <v/>
      </c>
      <c r="I697">
        <f>MIN(F697,H697)</f>
        <v/>
      </c>
    </row>
    <row r="698">
      <c r="A698">
        <f>TEST_DATA!A698</f>
        <v/>
      </c>
      <c r="B698">
        <f>TEST_DATA!B698</f>
        <v/>
      </c>
      <c r="C698">
        <f>TEST_DATA!C698</f>
        <v/>
      </c>
      <c r="D698">
        <f>TEST_DATA!D698</f>
        <v/>
      </c>
      <c r="E698">
        <f>TEST_DATA!E698</f>
        <v/>
      </c>
      <c r="F698">
        <f>MIN(E698*69800,10000)</f>
        <v/>
      </c>
      <c r="G698">
        <f>MINIFS(CBIC_Late_Fee_Relief_Windows_3B!$O$698:$O$100,CBIC_Late_Fee_Relief_Windows_3B!$D$698:$D$100,"&lt;="&amp;B698,CBIC_Late_Fee_Relief_Windows_3B!$E$698:$E$100,"&gt;="&amp;B698,CBIC_Late_Fee_Relief_Windows_3B!$F$698:$F$100,"&lt;="&amp;C698,CBIC_Late_Fee_Relief_Windows_3B!$G$698:$G$100,"&gt;="&amp;C698)</f>
        <v/>
      </c>
      <c r="H698">
        <f>INDEX(CBIC_Late_Fee_Relief_Windows_3B!$I$698:$I$100,MATCH(G698,CBIC_Late_Fee_Relief_Windows_3B!$O$698:$O$100,0))</f>
        <v/>
      </c>
      <c r="I698">
        <f>MIN(F698,H698)</f>
        <v/>
      </c>
    </row>
    <row r="699">
      <c r="A699">
        <f>TEST_DATA!A699</f>
        <v/>
      </c>
      <c r="B699">
        <f>TEST_DATA!B699</f>
        <v/>
      </c>
      <c r="C699">
        <f>TEST_DATA!C699</f>
        <v/>
      </c>
      <c r="D699">
        <f>TEST_DATA!D699</f>
        <v/>
      </c>
      <c r="E699">
        <f>TEST_DATA!E699</f>
        <v/>
      </c>
      <c r="F699">
        <f>MIN(E699*69900,10000)</f>
        <v/>
      </c>
      <c r="G699">
        <f>MINIFS(CBIC_Late_Fee_Relief_Windows_3B!$O$699:$O$100,CBIC_Late_Fee_Relief_Windows_3B!$D$699:$D$100,"&lt;="&amp;B699,CBIC_Late_Fee_Relief_Windows_3B!$E$699:$E$100,"&gt;="&amp;B699,CBIC_Late_Fee_Relief_Windows_3B!$F$699:$F$100,"&lt;="&amp;C699,CBIC_Late_Fee_Relief_Windows_3B!$G$699:$G$100,"&gt;="&amp;C699)</f>
        <v/>
      </c>
      <c r="H699">
        <f>INDEX(CBIC_Late_Fee_Relief_Windows_3B!$I$699:$I$100,MATCH(G699,CBIC_Late_Fee_Relief_Windows_3B!$O$699:$O$100,0))</f>
        <v/>
      </c>
      <c r="I699">
        <f>MIN(F699,H699)</f>
        <v/>
      </c>
    </row>
    <row r="700">
      <c r="A700">
        <f>TEST_DATA!A700</f>
        <v/>
      </c>
      <c r="B700">
        <f>TEST_DATA!B700</f>
        <v/>
      </c>
      <c r="C700">
        <f>TEST_DATA!C700</f>
        <v/>
      </c>
      <c r="D700">
        <f>TEST_DATA!D700</f>
        <v/>
      </c>
      <c r="E700">
        <f>TEST_DATA!E700</f>
        <v/>
      </c>
      <c r="F700">
        <f>MIN(E700*70000,10000)</f>
        <v/>
      </c>
      <c r="G700">
        <f>MINIFS(CBIC_Late_Fee_Relief_Windows_3B!$O$700:$O$100,CBIC_Late_Fee_Relief_Windows_3B!$D$700:$D$100,"&lt;="&amp;B700,CBIC_Late_Fee_Relief_Windows_3B!$E$700:$E$100,"&gt;="&amp;B700,CBIC_Late_Fee_Relief_Windows_3B!$F$700:$F$100,"&lt;="&amp;C700,CBIC_Late_Fee_Relief_Windows_3B!$G$700:$G$100,"&gt;="&amp;C700)</f>
        <v/>
      </c>
      <c r="H700">
        <f>INDEX(CBIC_Late_Fee_Relief_Windows_3B!$I$700:$I$100,MATCH(G700,CBIC_Late_Fee_Relief_Windows_3B!$O$700:$O$100,0))</f>
        <v/>
      </c>
      <c r="I700">
        <f>MIN(F700,H700)</f>
        <v/>
      </c>
    </row>
    <row r="701">
      <c r="A701">
        <f>TEST_DATA!A701</f>
        <v/>
      </c>
      <c r="B701">
        <f>TEST_DATA!B701</f>
        <v/>
      </c>
      <c r="C701">
        <f>TEST_DATA!C701</f>
        <v/>
      </c>
      <c r="D701">
        <f>TEST_DATA!D701</f>
        <v/>
      </c>
      <c r="E701">
        <f>TEST_DATA!E701</f>
        <v/>
      </c>
      <c r="F701">
        <f>MIN(E701*70100,10000)</f>
        <v/>
      </c>
      <c r="G701">
        <f>MINIFS(CBIC_Late_Fee_Relief_Windows_3B!$O$701:$O$100,CBIC_Late_Fee_Relief_Windows_3B!$D$701:$D$100,"&lt;="&amp;B701,CBIC_Late_Fee_Relief_Windows_3B!$E$701:$E$100,"&gt;="&amp;B701,CBIC_Late_Fee_Relief_Windows_3B!$F$701:$F$100,"&lt;="&amp;C701,CBIC_Late_Fee_Relief_Windows_3B!$G$701:$G$100,"&gt;="&amp;C701)</f>
        <v/>
      </c>
      <c r="H701">
        <f>INDEX(CBIC_Late_Fee_Relief_Windows_3B!$I$701:$I$100,MATCH(G701,CBIC_Late_Fee_Relief_Windows_3B!$O$701:$O$100,0))</f>
        <v/>
      </c>
      <c r="I701">
        <f>MIN(F701,H701)</f>
        <v/>
      </c>
    </row>
    <row r="702">
      <c r="A702">
        <f>TEST_DATA!A702</f>
        <v/>
      </c>
      <c r="B702">
        <f>TEST_DATA!B702</f>
        <v/>
      </c>
      <c r="C702">
        <f>TEST_DATA!C702</f>
        <v/>
      </c>
      <c r="D702">
        <f>TEST_DATA!D702</f>
        <v/>
      </c>
      <c r="E702">
        <f>TEST_DATA!E702</f>
        <v/>
      </c>
      <c r="F702">
        <f>MIN(E702*70200,10000)</f>
        <v/>
      </c>
      <c r="G702">
        <f>MINIFS(CBIC_Late_Fee_Relief_Windows_3B!$O$702:$O$100,CBIC_Late_Fee_Relief_Windows_3B!$D$702:$D$100,"&lt;="&amp;B702,CBIC_Late_Fee_Relief_Windows_3B!$E$702:$E$100,"&gt;="&amp;B702,CBIC_Late_Fee_Relief_Windows_3B!$F$702:$F$100,"&lt;="&amp;C702,CBIC_Late_Fee_Relief_Windows_3B!$G$702:$G$100,"&gt;="&amp;C702)</f>
        <v/>
      </c>
      <c r="H702">
        <f>INDEX(CBIC_Late_Fee_Relief_Windows_3B!$I$702:$I$100,MATCH(G702,CBIC_Late_Fee_Relief_Windows_3B!$O$702:$O$100,0))</f>
        <v/>
      </c>
      <c r="I702">
        <f>MIN(F702,H702)</f>
        <v/>
      </c>
    </row>
    <row r="703">
      <c r="A703">
        <f>TEST_DATA!A703</f>
        <v/>
      </c>
      <c r="B703">
        <f>TEST_DATA!B703</f>
        <v/>
      </c>
      <c r="C703">
        <f>TEST_DATA!C703</f>
        <v/>
      </c>
      <c r="D703">
        <f>TEST_DATA!D703</f>
        <v/>
      </c>
      <c r="E703">
        <f>TEST_DATA!E703</f>
        <v/>
      </c>
      <c r="F703">
        <f>MIN(E703*70300,10000)</f>
        <v/>
      </c>
      <c r="G703">
        <f>MINIFS(CBIC_Late_Fee_Relief_Windows_3B!$O$703:$O$100,CBIC_Late_Fee_Relief_Windows_3B!$D$703:$D$100,"&lt;="&amp;B703,CBIC_Late_Fee_Relief_Windows_3B!$E$703:$E$100,"&gt;="&amp;B703,CBIC_Late_Fee_Relief_Windows_3B!$F$703:$F$100,"&lt;="&amp;C703,CBIC_Late_Fee_Relief_Windows_3B!$G$703:$G$100,"&gt;="&amp;C703)</f>
        <v/>
      </c>
      <c r="H703">
        <f>INDEX(CBIC_Late_Fee_Relief_Windows_3B!$I$703:$I$100,MATCH(G703,CBIC_Late_Fee_Relief_Windows_3B!$O$703:$O$100,0))</f>
        <v/>
      </c>
      <c r="I703">
        <f>MIN(F703,H703)</f>
        <v/>
      </c>
    </row>
    <row r="704">
      <c r="A704">
        <f>TEST_DATA!A704</f>
        <v/>
      </c>
      <c r="B704">
        <f>TEST_DATA!B704</f>
        <v/>
      </c>
      <c r="C704">
        <f>TEST_DATA!C704</f>
        <v/>
      </c>
      <c r="D704">
        <f>TEST_DATA!D704</f>
        <v/>
      </c>
      <c r="E704">
        <f>TEST_DATA!E704</f>
        <v/>
      </c>
      <c r="F704">
        <f>MIN(E704*70400,10000)</f>
        <v/>
      </c>
      <c r="G704">
        <f>MINIFS(CBIC_Late_Fee_Relief_Windows_3B!$O$704:$O$100,CBIC_Late_Fee_Relief_Windows_3B!$D$704:$D$100,"&lt;="&amp;B704,CBIC_Late_Fee_Relief_Windows_3B!$E$704:$E$100,"&gt;="&amp;B704,CBIC_Late_Fee_Relief_Windows_3B!$F$704:$F$100,"&lt;="&amp;C704,CBIC_Late_Fee_Relief_Windows_3B!$G$704:$G$100,"&gt;="&amp;C704)</f>
        <v/>
      </c>
      <c r="H704">
        <f>INDEX(CBIC_Late_Fee_Relief_Windows_3B!$I$704:$I$100,MATCH(G704,CBIC_Late_Fee_Relief_Windows_3B!$O$704:$O$100,0))</f>
        <v/>
      </c>
      <c r="I704">
        <f>MIN(F704,H704)</f>
        <v/>
      </c>
    </row>
    <row r="705">
      <c r="A705">
        <f>TEST_DATA!A705</f>
        <v/>
      </c>
      <c r="B705">
        <f>TEST_DATA!B705</f>
        <v/>
      </c>
      <c r="C705">
        <f>TEST_DATA!C705</f>
        <v/>
      </c>
      <c r="D705">
        <f>TEST_DATA!D705</f>
        <v/>
      </c>
      <c r="E705">
        <f>TEST_DATA!E705</f>
        <v/>
      </c>
      <c r="F705">
        <f>MIN(E705*70500,10000)</f>
        <v/>
      </c>
      <c r="G705">
        <f>MINIFS(CBIC_Late_Fee_Relief_Windows_3B!$O$705:$O$100,CBIC_Late_Fee_Relief_Windows_3B!$D$705:$D$100,"&lt;="&amp;B705,CBIC_Late_Fee_Relief_Windows_3B!$E$705:$E$100,"&gt;="&amp;B705,CBIC_Late_Fee_Relief_Windows_3B!$F$705:$F$100,"&lt;="&amp;C705,CBIC_Late_Fee_Relief_Windows_3B!$G$705:$G$100,"&gt;="&amp;C705)</f>
        <v/>
      </c>
      <c r="H705">
        <f>INDEX(CBIC_Late_Fee_Relief_Windows_3B!$I$705:$I$100,MATCH(G705,CBIC_Late_Fee_Relief_Windows_3B!$O$705:$O$100,0))</f>
        <v/>
      </c>
      <c r="I705">
        <f>MIN(F705,H705)</f>
        <v/>
      </c>
    </row>
    <row r="706">
      <c r="A706">
        <f>TEST_DATA!A706</f>
        <v/>
      </c>
      <c r="B706">
        <f>TEST_DATA!B706</f>
        <v/>
      </c>
      <c r="C706">
        <f>TEST_DATA!C706</f>
        <v/>
      </c>
      <c r="D706">
        <f>TEST_DATA!D706</f>
        <v/>
      </c>
      <c r="E706">
        <f>TEST_DATA!E706</f>
        <v/>
      </c>
      <c r="F706">
        <f>MIN(E706*70600,10000)</f>
        <v/>
      </c>
      <c r="G706">
        <f>MINIFS(CBIC_Late_Fee_Relief_Windows_3B!$O$706:$O$100,CBIC_Late_Fee_Relief_Windows_3B!$D$706:$D$100,"&lt;="&amp;B706,CBIC_Late_Fee_Relief_Windows_3B!$E$706:$E$100,"&gt;="&amp;B706,CBIC_Late_Fee_Relief_Windows_3B!$F$706:$F$100,"&lt;="&amp;C706,CBIC_Late_Fee_Relief_Windows_3B!$G$706:$G$100,"&gt;="&amp;C706)</f>
        <v/>
      </c>
      <c r="H706">
        <f>INDEX(CBIC_Late_Fee_Relief_Windows_3B!$I$706:$I$100,MATCH(G706,CBIC_Late_Fee_Relief_Windows_3B!$O$706:$O$100,0))</f>
        <v/>
      </c>
      <c r="I706">
        <f>MIN(F706,H706)</f>
        <v/>
      </c>
    </row>
    <row r="707">
      <c r="A707">
        <f>TEST_DATA!A707</f>
        <v/>
      </c>
      <c r="B707">
        <f>TEST_DATA!B707</f>
        <v/>
      </c>
      <c r="C707">
        <f>TEST_DATA!C707</f>
        <v/>
      </c>
      <c r="D707">
        <f>TEST_DATA!D707</f>
        <v/>
      </c>
      <c r="E707">
        <f>TEST_DATA!E707</f>
        <v/>
      </c>
      <c r="F707">
        <f>MIN(E707*70700,10000)</f>
        <v/>
      </c>
      <c r="G707">
        <f>MINIFS(CBIC_Late_Fee_Relief_Windows_3B!$O$707:$O$100,CBIC_Late_Fee_Relief_Windows_3B!$D$707:$D$100,"&lt;="&amp;B707,CBIC_Late_Fee_Relief_Windows_3B!$E$707:$E$100,"&gt;="&amp;B707,CBIC_Late_Fee_Relief_Windows_3B!$F$707:$F$100,"&lt;="&amp;C707,CBIC_Late_Fee_Relief_Windows_3B!$G$707:$G$100,"&gt;="&amp;C707)</f>
        <v/>
      </c>
      <c r="H707">
        <f>INDEX(CBIC_Late_Fee_Relief_Windows_3B!$I$707:$I$100,MATCH(G707,CBIC_Late_Fee_Relief_Windows_3B!$O$707:$O$100,0))</f>
        <v/>
      </c>
      <c r="I707">
        <f>MIN(F707,H707)</f>
        <v/>
      </c>
    </row>
    <row r="708">
      <c r="A708">
        <f>TEST_DATA!A708</f>
        <v/>
      </c>
      <c r="B708">
        <f>TEST_DATA!B708</f>
        <v/>
      </c>
      <c r="C708">
        <f>TEST_DATA!C708</f>
        <v/>
      </c>
      <c r="D708">
        <f>TEST_DATA!D708</f>
        <v/>
      </c>
      <c r="E708">
        <f>TEST_DATA!E708</f>
        <v/>
      </c>
      <c r="F708">
        <f>MIN(E708*70800,10000)</f>
        <v/>
      </c>
      <c r="G708">
        <f>MINIFS(CBIC_Late_Fee_Relief_Windows_3B!$O$708:$O$100,CBIC_Late_Fee_Relief_Windows_3B!$D$708:$D$100,"&lt;="&amp;B708,CBIC_Late_Fee_Relief_Windows_3B!$E$708:$E$100,"&gt;="&amp;B708,CBIC_Late_Fee_Relief_Windows_3B!$F$708:$F$100,"&lt;="&amp;C708,CBIC_Late_Fee_Relief_Windows_3B!$G$708:$G$100,"&gt;="&amp;C708)</f>
        <v/>
      </c>
      <c r="H708">
        <f>INDEX(CBIC_Late_Fee_Relief_Windows_3B!$I$708:$I$100,MATCH(G708,CBIC_Late_Fee_Relief_Windows_3B!$O$708:$O$100,0))</f>
        <v/>
      </c>
      <c r="I708">
        <f>MIN(F708,H708)</f>
        <v/>
      </c>
    </row>
    <row r="709">
      <c r="A709">
        <f>TEST_DATA!A709</f>
        <v/>
      </c>
      <c r="B709">
        <f>TEST_DATA!B709</f>
        <v/>
      </c>
      <c r="C709">
        <f>TEST_DATA!C709</f>
        <v/>
      </c>
      <c r="D709">
        <f>TEST_DATA!D709</f>
        <v/>
      </c>
      <c r="E709">
        <f>TEST_DATA!E709</f>
        <v/>
      </c>
      <c r="F709">
        <f>MIN(E709*70900,10000)</f>
        <v/>
      </c>
      <c r="G709">
        <f>MINIFS(CBIC_Late_Fee_Relief_Windows_3B!$O$709:$O$100,CBIC_Late_Fee_Relief_Windows_3B!$D$709:$D$100,"&lt;="&amp;B709,CBIC_Late_Fee_Relief_Windows_3B!$E$709:$E$100,"&gt;="&amp;B709,CBIC_Late_Fee_Relief_Windows_3B!$F$709:$F$100,"&lt;="&amp;C709,CBIC_Late_Fee_Relief_Windows_3B!$G$709:$G$100,"&gt;="&amp;C709)</f>
        <v/>
      </c>
      <c r="H709">
        <f>INDEX(CBIC_Late_Fee_Relief_Windows_3B!$I$709:$I$100,MATCH(G709,CBIC_Late_Fee_Relief_Windows_3B!$O$709:$O$100,0))</f>
        <v/>
      </c>
      <c r="I709">
        <f>MIN(F709,H709)</f>
        <v/>
      </c>
    </row>
    <row r="710">
      <c r="A710">
        <f>TEST_DATA!A710</f>
        <v/>
      </c>
      <c r="B710">
        <f>TEST_DATA!B710</f>
        <v/>
      </c>
      <c r="C710">
        <f>TEST_DATA!C710</f>
        <v/>
      </c>
      <c r="D710">
        <f>TEST_DATA!D710</f>
        <v/>
      </c>
      <c r="E710">
        <f>TEST_DATA!E710</f>
        <v/>
      </c>
      <c r="F710">
        <f>MIN(E710*71000,10000)</f>
        <v/>
      </c>
      <c r="G710">
        <f>MINIFS(CBIC_Late_Fee_Relief_Windows_3B!$O$710:$O$100,CBIC_Late_Fee_Relief_Windows_3B!$D$710:$D$100,"&lt;="&amp;B710,CBIC_Late_Fee_Relief_Windows_3B!$E$710:$E$100,"&gt;="&amp;B710,CBIC_Late_Fee_Relief_Windows_3B!$F$710:$F$100,"&lt;="&amp;C710,CBIC_Late_Fee_Relief_Windows_3B!$G$710:$G$100,"&gt;="&amp;C710)</f>
        <v/>
      </c>
      <c r="H710">
        <f>INDEX(CBIC_Late_Fee_Relief_Windows_3B!$I$710:$I$100,MATCH(G710,CBIC_Late_Fee_Relief_Windows_3B!$O$710:$O$100,0))</f>
        <v/>
      </c>
      <c r="I710">
        <f>MIN(F710,H710)</f>
        <v/>
      </c>
    </row>
    <row r="711">
      <c r="A711">
        <f>TEST_DATA!A711</f>
        <v/>
      </c>
      <c r="B711">
        <f>TEST_DATA!B711</f>
        <v/>
      </c>
      <c r="C711">
        <f>TEST_DATA!C711</f>
        <v/>
      </c>
      <c r="D711">
        <f>TEST_DATA!D711</f>
        <v/>
      </c>
      <c r="E711">
        <f>TEST_DATA!E711</f>
        <v/>
      </c>
      <c r="F711">
        <f>MIN(E711*71100,10000)</f>
        <v/>
      </c>
      <c r="G711">
        <f>MINIFS(CBIC_Late_Fee_Relief_Windows_3B!$O$711:$O$100,CBIC_Late_Fee_Relief_Windows_3B!$D$711:$D$100,"&lt;="&amp;B711,CBIC_Late_Fee_Relief_Windows_3B!$E$711:$E$100,"&gt;="&amp;B711,CBIC_Late_Fee_Relief_Windows_3B!$F$711:$F$100,"&lt;="&amp;C711,CBIC_Late_Fee_Relief_Windows_3B!$G$711:$G$100,"&gt;="&amp;C711)</f>
        <v/>
      </c>
      <c r="H711">
        <f>INDEX(CBIC_Late_Fee_Relief_Windows_3B!$I$711:$I$100,MATCH(G711,CBIC_Late_Fee_Relief_Windows_3B!$O$711:$O$100,0))</f>
        <v/>
      </c>
      <c r="I711">
        <f>MIN(F711,H711)</f>
        <v/>
      </c>
    </row>
    <row r="712">
      <c r="A712">
        <f>TEST_DATA!A712</f>
        <v/>
      </c>
      <c r="B712">
        <f>TEST_DATA!B712</f>
        <v/>
      </c>
      <c r="C712">
        <f>TEST_DATA!C712</f>
        <v/>
      </c>
      <c r="D712">
        <f>TEST_DATA!D712</f>
        <v/>
      </c>
      <c r="E712">
        <f>TEST_DATA!E712</f>
        <v/>
      </c>
      <c r="F712">
        <f>MIN(E712*71200,10000)</f>
        <v/>
      </c>
      <c r="G712">
        <f>MINIFS(CBIC_Late_Fee_Relief_Windows_3B!$O$712:$O$100,CBIC_Late_Fee_Relief_Windows_3B!$D$712:$D$100,"&lt;="&amp;B712,CBIC_Late_Fee_Relief_Windows_3B!$E$712:$E$100,"&gt;="&amp;B712,CBIC_Late_Fee_Relief_Windows_3B!$F$712:$F$100,"&lt;="&amp;C712,CBIC_Late_Fee_Relief_Windows_3B!$G$712:$G$100,"&gt;="&amp;C712)</f>
        <v/>
      </c>
      <c r="H712">
        <f>INDEX(CBIC_Late_Fee_Relief_Windows_3B!$I$712:$I$100,MATCH(G712,CBIC_Late_Fee_Relief_Windows_3B!$O$712:$O$100,0))</f>
        <v/>
      </c>
      <c r="I712">
        <f>MIN(F712,H712)</f>
        <v/>
      </c>
    </row>
    <row r="713">
      <c r="A713">
        <f>TEST_DATA!A713</f>
        <v/>
      </c>
      <c r="B713">
        <f>TEST_DATA!B713</f>
        <v/>
      </c>
      <c r="C713">
        <f>TEST_DATA!C713</f>
        <v/>
      </c>
      <c r="D713">
        <f>TEST_DATA!D713</f>
        <v/>
      </c>
      <c r="E713">
        <f>TEST_DATA!E713</f>
        <v/>
      </c>
      <c r="F713">
        <f>MIN(E713*71300,10000)</f>
        <v/>
      </c>
      <c r="G713">
        <f>MINIFS(CBIC_Late_Fee_Relief_Windows_3B!$O$713:$O$100,CBIC_Late_Fee_Relief_Windows_3B!$D$713:$D$100,"&lt;="&amp;B713,CBIC_Late_Fee_Relief_Windows_3B!$E$713:$E$100,"&gt;="&amp;B713,CBIC_Late_Fee_Relief_Windows_3B!$F$713:$F$100,"&lt;="&amp;C713,CBIC_Late_Fee_Relief_Windows_3B!$G$713:$G$100,"&gt;="&amp;C713)</f>
        <v/>
      </c>
      <c r="H713">
        <f>INDEX(CBIC_Late_Fee_Relief_Windows_3B!$I$713:$I$100,MATCH(G713,CBIC_Late_Fee_Relief_Windows_3B!$O$713:$O$100,0))</f>
        <v/>
      </c>
      <c r="I713">
        <f>MIN(F713,H713)</f>
        <v/>
      </c>
    </row>
    <row r="714">
      <c r="A714">
        <f>TEST_DATA!A714</f>
        <v/>
      </c>
      <c r="B714">
        <f>TEST_DATA!B714</f>
        <v/>
      </c>
      <c r="C714">
        <f>TEST_DATA!C714</f>
        <v/>
      </c>
      <c r="D714">
        <f>TEST_DATA!D714</f>
        <v/>
      </c>
      <c r="E714">
        <f>TEST_DATA!E714</f>
        <v/>
      </c>
      <c r="F714">
        <f>MIN(E714*71400,10000)</f>
        <v/>
      </c>
      <c r="G714">
        <f>MINIFS(CBIC_Late_Fee_Relief_Windows_3B!$O$714:$O$100,CBIC_Late_Fee_Relief_Windows_3B!$D$714:$D$100,"&lt;="&amp;B714,CBIC_Late_Fee_Relief_Windows_3B!$E$714:$E$100,"&gt;="&amp;B714,CBIC_Late_Fee_Relief_Windows_3B!$F$714:$F$100,"&lt;="&amp;C714,CBIC_Late_Fee_Relief_Windows_3B!$G$714:$G$100,"&gt;="&amp;C714)</f>
        <v/>
      </c>
      <c r="H714">
        <f>INDEX(CBIC_Late_Fee_Relief_Windows_3B!$I$714:$I$100,MATCH(G714,CBIC_Late_Fee_Relief_Windows_3B!$O$714:$O$100,0))</f>
        <v/>
      </c>
      <c r="I714">
        <f>MIN(F714,H714)</f>
        <v/>
      </c>
    </row>
    <row r="715">
      <c r="A715">
        <f>TEST_DATA!A715</f>
        <v/>
      </c>
      <c r="B715">
        <f>TEST_DATA!B715</f>
        <v/>
      </c>
      <c r="C715">
        <f>TEST_DATA!C715</f>
        <v/>
      </c>
      <c r="D715">
        <f>TEST_DATA!D715</f>
        <v/>
      </c>
      <c r="E715">
        <f>TEST_DATA!E715</f>
        <v/>
      </c>
      <c r="F715">
        <f>MIN(E715*71500,10000)</f>
        <v/>
      </c>
      <c r="G715">
        <f>MINIFS(CBIC_Late_Fee_Relief_Windows_3B!$O$715:$O$100,CBIC_Late_Fee_Relief_Windows_3B!$D$715:$D$100,"&lt;="&amp;B715,CBIC_Late_Fee_Relief_Windows_3B!$E$715:$E$100,"&gt;="&amp;B715,CBIC_Late_Fee_Relief_Windows_3B!$F$715:$F$100,"&lt;="&amp;C715,CBIC_Late_Fee_Relief_Windows_3B!$G$715:$G$100,"&gt;="&amp;C715)</f>
        <v/>
      </c>
      <c r="H715">
        <f>INDEX(CBIC_Late_Fee_Relief_Windows_3B!$I$715:$I$100,MATCH(G715,CBIC_Late_Fee_Relief_Windows_3B!$O$715:$O$100,0))</f>
        <v/>
      </c>
      <c r="I715">
        <f>MIN(F715,H715)</f>
        <v/>
      </c>
    </row>
    <row r="716">
      <c r="A716">
        <f>TEST_DATA!A716</f>
        <v/>
      </c>
      <c r="B716">
        <f>TEST_DATA!B716</f>
        <v/>
      </c>
      <c r="C716">
        <f>TEST_DATA!C716</f>
        <v/>
      </c>
      <c r="D716">
        <f>TEST_DATA!D716</f>
        <v/>
      </c>
      <c r="E716">
        <f>TEST_DATA!E716</f>
        <v/>
      </c>
      <c r="F716">
        <f>MIN(E716*71600,10000)</f>
        <v/>
      </c>
      <c r="G716">
        <f>MINIFS(CBIC_Late_Fee_Relief_Windows_3B!$O$716:$O$100,CBIC_Late_Fee_Relief_Windows_3B!$D$716:$D$100,"&lt;="&amp;B716,CBIC_Late_Fee_Relief_Windows_3B!$E$716:$E$100,"&gt;="&amp;B716,CBIC_Late_Fee_Relief_Windows_3B!$F$716:$F$100,"&lt;="&amp;C716,CBIC_Late_Fee_Relief_Windows_3B!$G$716:$G$100,"&gt;="&amp;C716)</f>
        <v/>
      </c>
      <c r="H716">
        <f>INDEX(CBIC_Late_Fee_Relief_Windows_3B!$I$716:$I$100,MATCH(G716,CBIC_Late_Fee_Relief_Windows_3B!$O$716:$O$100,0))</f>
        <v/>
      </c>
      <c r="I716">
        <f>MIN(F716,H716)</f>
        <v/>
      </c>
    </row>
    <row r="717">
      <c r="A717">
        <f>TEST_DATA!A717</f>
        <v/>
      </c>
      <c r="B717">
        <f>TEST_DATA!B717</f>
        <v/>
      </c>
      <c r="C717">
        <f>TEST_DATA!C717</f>
        <v/>
      </c>
      <c r="D717">
        <f>TEST_DATA!D717</f>
        <v/>
      </c>
      <c r="E717">
        <f>TEST_DATA!E717</f>
        <v/>
      </c>
      <c r="F717">
        <f>MIN(E717*71700,10000)</f>
        <v/>
      </c>
      <c r="G717">
        <f>MINIFS(CBIC_Late_Fee_Relief_Windows_3B!$O$717:$O$100,CBIC_Late_Fee_Relief_Windows_3B!$D$717:$D$100,"&lt;="&amp;B717,CBIC_Late_Fee_Relief_Windows_3B!$E$717:$E$100,"&gt;="&amp;B717,CBIC_Late_Fee_Relief_Windows_3B!$F$717:$F$100,"&lt;="&amp;C717,CBIC_Late_Fee_Relief_Windows_3B!$G$717:$G$100,"&gt;="&amp;C717)</f>
        <v/>
      </c>
      <c r="H717">
        <f>INDEX(CBIC_Late_Fee_Relief_Windows_3B!$I$717:$I$100,MATCH(G717,CBIC_Late_Fee_Relief_Windows_3B!$O$717:$O$100,0))</f>
        <v/>
      </c>
      <c r="I717">
        <f>MIN(F717,H717)</f>
        <v/>
      </c>
    </row>
    <row r="718">
      <c r="A718">
        <f>TEST_DATA!A718</f>
        <v/>
      </c>
      <c r="B718">
        <f>TEST_DATA!B718</f>
        <v/>
      </c>
      <c r="C718">
        <f>TEST_DATA!C718</f>
        <v/>
      </c>
      <c r="D718">
        <f>TEST_DATA!D718</f>
        <v/>
      </c>
      <c r="E718">
        <f>TEST_DATA!E718</f>
        <v/>
      </c>
      <c r="F718">
        <f>MIN(E718*71800,10000)</f>
        <v/>
      </c>
      <c r="G718">
        <f>MINIFS(CBIC_Late_Fee_Relief_Windows_3B!$O$718:$O$100,CBIC_Late_Fee_Relief_Windows_3B!$D$718:$D$100,"&lt;="&amp;B718,CBIC_Late_Fee_Relief_Windows_3B!$E$718:$E$100,"&gt;="&amp;B718,CBIC_Late_Fee_Relief_Windows_3B!$F$718:$F$100,"&lt;="&amp;C718,CBIC_Late_Fee_Relief_Windows_3B!$G$718:$G$100,"&gt;="&amp;C718)</f>
        <v/>
      </c>
      <c r="H718">
        <f>INDEX(CBIC_Late_Fee_Relief_Windows_3B!$I$718:$I$100,MATCH(G718,CBIC_Late_Fee_Relief_Windows_3B!$O$718:$O$100,0))</f>
        <v/>
      </c>
      <c r="I718">
        <f>MIN(F718,H718)</f>
        <v/>
      </c>
    </row>
    <row r="719">
      <c r="A719">
        <f>TEST_DATA!A719</f>
        <v/>
      </c>
      <c r="B719">
        <f>TEST_DATA!B719</f>
        <v/>
      </c>
      <c r="C719">
        <f>TEST_DATA!C719</f>
        <v/>
      </c>
      <c r="D719">
        <f>TEST_DATA!D719</f>
        <v/>
      </c>
      <c r="E719">
        <f>TEST_DATA!E719</f>
        <v/>
      </c>
      <c r="F719">
        <f>MIN(E719*71900,10000)</f>
        <v/>
      </c>
      <c r="G719">
        <f>MINIFS(CBIC_Late_Fee_Relief_Windows_3B!$O$719:$O$100,CBIC_Late_Fee_Relief_Windows_3B!$D$719:$D$100,"&lt;="&amp;B719,CBIC_Late_Fee_Relief_Windows_3B!$E$719:$E$100,"&gt;="&amp;B719,CBIC_Late_Fee_Relief_Windows_3B!$F$719:$F$100,"&lt;="&amp;C719,CBIC_Late_Fee_Relief_Windows_3B!$G$719:$G$100,"&gt;="&amp;C719)</f>
        <v/>
      </c>
      <c r="H719">
        <f>INDEX(CBIC_Late_Fee_Relief_Windows_3B!$I$719:$I$100,MATCH(G719,CBIC_Late_Fee_Relief_Windows_3B!$O$719:$O$100,0))</f>
        <v/>
      </c>
      <c r="I719">
        <f>MIN(F719,H719)</f>
        <v/>
      </c>
    </row>
    <row r="720">
      <c r="A720">
        <f>TEST_DATA!A720</f>
        <v/>
      </c>
      <c r="B720">
        <f>TEST_DATA!B720</f>
        <v/>
      </c>
      <c r="C720">
        <f>TEST_DATA!C720</f>
        <v/>
      </c>
      <c r="D720">
        <f>TEST_DATA!D720</f>
        <v/>
      </c>
      <c r="E720">
        <f>TEST_DATA!E720</f>
        <v/>
      </c>
      <c r="F720">
        <f>MIN(E720*72000,10000)</f>
        <v/>
      </c>
      <c r="G720">
        <f>MINIFS(CBIC_Late_Fee_Relief_Windows_3B!$O$720:$O$100,CBIC_Late_Fee_Relief_Windows_3B!$D$720:$D$100,"&lt;="&amp;B720,CBIC_Late_Fee_Relief_Windows_3B!$E$720:$E$100,"&gt;="&amp;B720,CBIC_Late_Fee_Relief_Windows_3B!$F$720:$F$100,"&lt;="&amp;C720,CBIC_Late_Fee_Relief_Windows_3B!$G$720:$G$100,"&gt;="&amp;C720)</f>
        <v/>
      </c>
      <c r="H720">
        <f>INDEX(CBIC_Late_Fee_Relief_Windows_3B!$I$720:$I$100,MATCH(G720,CBIC_Late_Fee_Relief_Windows_3B!$O$720:$O$100,0))</f>
        <v/>
      </c>
      <c r="I720">
        <f>MIN(F720,H720)</f>
        <v/>
      </c>
    </row>
    <row r="721">
      <c r="A721">
        <f>TEST_DATA!A721</f>
        <v/>
      </c>
      <c r="B721">
        <f>TEST_DATA!B721</f>
        <v/>
      </c>
      <c r="C721">
        <f>TEST_DATA!C721</f>
        <v/>
      </c>
      <c r="D721">
        <f>TEST_DATA!D721</f>
        <v/>
      </c>
      <c r="E721">
        <f>TEST_DATA!E721</f>
        <v/>
      </c>
      <c r="F721">
        <f>MIN(E721*72100,10000)</f>
        <v/>
      </c>
      <c r="G721">
        <f>MINIFS(CBIC_Late_Fee_Relief_Windows_3B!$O$721:$O$100,CBIC_Late_Fee_Relief_Windows_3B!$D$721:$D$100,"&lt;="&amp;B721,CBIC_Late_Fee_Relief_Windows_3B!$E$721:$E$100,"&gt;="&amp;B721,CBIC_Late_Fee_Relief_Windows_3B!$F$721:$F$100,"&lt;="&amp;C721,CBIC_Late_Fee_Relief_Windows_3B!$G$721:$G$100,"&gt;="&amp;C721)</f>
        <v/>
      </c>
      <c r="H721">
        <f>INDEX(CBIC_Late_Fee_Relief_Windows_3B!$I$721:$I$100,MATCH(G721,CBIC_Late_Fee_Relief_Windows_3B!$O$721:$O$100,0))</f>
        <v/>
      </c>
      <c r="I721">
        <f>MIN(F721,H721)</f>
        <v/>
      </c>
    </row>
    <row r="722">
      <c r="A722">
        <f>TEST_DATA!A722</f>
        <v/>
      </c>
      <c r="B722">
        <f>TEST_DATA!B722</f>
        <v/>
      </c>
      <c r="C722">
        <f>TEST_DATA!C722</f>
        <v/>
      </c>
      <c r="D722">
        <f>TEST_DATA!D722</f>
        <v/>
      </c>
      <c r="E722">
        <f>TEST_DATA!E722</f>
        <v/>
      </c>
      <c r="F722">
        <f>MIN(E722*72200,10000)</f>
        <v/>
      </c>
      <c r="G722">
        <f>MINIFS(CBIC_Late_Fee_Relief_Windows_3B!$O$722:$O$100,CBIC_Late_Fee_Relief_Windows_3B!$D$722:$D$100,"&lt;="&amp;B722,CBIC_Late_Fee_Relief_Windows_3B!$E$722:$E$100,"&gt;="&amp;B722,CBIC_Late_Fee_Relief_Windows_3B!$F$722:$F$100,"&lt;="&amp;C722,CBIC_Late_Fee_Relief_Windows_3B!$G$722:$G$100,"&gt;="&amp;C722)</f>
        <v/>
      </c>
      <c r="H722">
        <f>INDEX(CBIC_Late_Fee_Relief_Windows_3B!$I$722:$I$100,MATCH(G722,CBIC_Late_Fee_Relief_Windows_3B!$O$722:$O$100,0))</f>
        <v/>
      </c>
      <c r="I722">
        <f>MIN(F722,H722)</f>
        <v/>
      </c>
    </row>
    <row r="723">
      <c r="A723">
        <f>TEST_DATA!A723</f>
        <v/>
      </c>
      <c r="B723">
        <f>TEST_DATA!B723</f>
        <v/>
      </c>
      <c r="C723">
        <f>TEST_DATA!C723</f>
        <v/>
      </c>
      <c r="D723">
        <f>TEST_DATA!D723</f>
        <v/>
      </c>
      <c r="E723">
        <f>TEST_DATA!E723</f>
        <v/>
      </c>
      <c r="F723">
        <f>MIN(E723*72300,10000)</f>
        <v/>
      </c>
      <c r="G723">
        <f>MINIFS(CBIC_Late_Fee_Relief_Windows_3B!$O$723:$O$100,CBIC_Late_Fee_Relief_Windows_3B!$D$723:$D$100,"&lt;="&amp;B723,CBIC_Late_Fee_Relief_Windows_3B!$E$723:$E$100,"&gt;="&amp;B723,CBIC_Late_Fee_Relief_Windows_3B!$F$723:$F$100,"&lt;="&amp;C723,CBIC_Late_Fee_Relief_Windows_3B!$G$723:$G$100,"&gt;="&amp;C723)</f>
        <v/>
      </c>
      <c r="H723">
        <f>INDEX(CBIC_Late_Fee_Relief_Windows_3B!$I$723:$I$100,MATCH(G723,CBIC_Late_Fee_Relief_Windows_3B!$O$723:$O$100,0))</f>
        <v/>
      </c>
      <c r="I723">
        <f>MIN(F723,H723)</f>
        <v/>
      </c>
    </row>
    <row r="724">
      <c r="A724">
        <f>TEST_DATA!A724</f>
        <v/>
      </c>
      <c r="B724">
        <f>TEST_DATA!B724</f>
        <v/>
      </c>
      <c r="C724">
        <f>TEST_DATA!C724</f>
        <v/>
      </c>
      <c r="D724">
        <f>TEST_DATA!D724</f>
        <v/>
      </c>
      <c r="E724">
        <f>TEST_DATA!E724</f>
        <v/>
      </c>
      <c r="F724">
        <f>MIN(E724*72400,10000)</f>
        <v/>
      </c>
      <c r="G724">
        <f>MINIFS(CBIC_Late_Fee_Relief_Windows_3B!$O$724:$O$100,CBIC_Late_Fee_Relief_Windows_3B!$D$724:$D$100,"&lt;="&amp;B724,CBIC_Late_Fee_Relief_Windows_3B!$E$724:$E$100,"&gt;="&amp;B724,CBIC_Late_Fee_Relief_Windows_3B!$F$724:$F$100,"&lt;="&amp;C724,CBIC_Late_Fee_Relief_Windows_3B!$G$724:$G$100,"&gt;="&amp;C724)</f>
        <v/>
      </c>
      <c r="H724">
        <f>INDEX(CBIC_Late_Fee_Relief_Windows_3B!$I$724:$I$100,MATCH(G724,CBIC_Late_Fee_Relief_Windows_3B!$O$724:$O$100,0))</f>
        <v/>
      </c>
      <c r="I724">
        <f>MIN(F724,H724)</f>
        <v/>
      </c>
    </row>
    <row r="725">
      <c r="A725">
        <f>TEST_DATA!A725</f>
        <v/>
      </c>
      <c r="B725">
        <f>TEST_DATA!B725</f>
        <v/>
      </c>
      <c r="C725">
        <f>TEST_DATA!C725</f>
        <v/>
      </c>
      <c r="D725">
        <f>TEST_DATA!D725</f>
        <v/>
      </c>
      <c r="E725">
        <f>TEST_DATA!E725</f>
        <v/>
      </c>
      <c r="F725">
        <f>MIN(E725*72500,10000)</f>
        <v/>
      </c>
      <c r="G725">
        <f>MINIFS(CBIC_Late_Fee_Relief_Windows_3B!$O$725:$O$100,CBIC_Late_Fee_Relief_Windows_3B!$D$725:$D$100,"&lt;="&amp;B725,CBIC_Late_Fee_Relief_Windows_3B!$E$725:$E$100,"&gt;="&amp;B725,CBIC_Late_Fee_Relief_Windows_3B!$F$725:$F$100,"&lt;="&amp;C725,CBIC_Late_Fee_Relief_Windows_3B!$G$725:$G$100,"&gt;="&amp;C725)</f>
        <v/>
      </c>
      <c r="H725">
        <f>INDEX(CBIC_Late_Fee_Relief_Windows_3B!$I$725:$I$100,MATCH(G725,CBIC_Late_Fee_Relief_Windows_3B!$O$725:$O$100,0))</f>
        <v/>
      </c>
      <c r="I725">
        <f>MIN(F725,H725)</f>
        <v/>
      </c>
    </row>
    <row r="726">
      <c r="A726">
        <f>TEST_DATA!A726</f>
        <v/>
      </c>
      <c r="B726">
        <f>TEST_DATA!B726</f>
        <v/>
      </c>
      <c r="C726">
        <f>TEST_DATA!C726</f>
        <v/>
      </c>
      <c r="D726">
        <f>TEST_DATA!D726</f>
        <v/>
      </c>
      <c r="E726">
        <f>TEST_DATA!E726</f>
        <v/>
      </c>
      <c r="F726">
        <f>MIN(E726*72600,10000)</f>
        <v/>
      </c>
      <c r="G726">
        <f>MINIFS(CBIC_Late_Fee_Relief_Windows_3B!$O$726:$O$100,CBIC_Late_Fee_Relief_Windows_3B!$D$726:$D$100,"&lt;="&amp;B726,CBIC_Late_Fee_Relief_Windows_3B!$E$726:$E$100,"&gt;="&amp;B726,CBIC_Late_Fee_Relief_Windows_3B!$F$726:$F$100,"&lt;="&amp;C726,CBIC_Late_Fee_Relief_Windows_3B!$G$726:$G$100,"&gt;="&amp;C726)</f>
        <v/>
      </c>
      <c r="H726">
        <f>INDEX(CBIC_Late_Fee_Relief_Windows_3B!$I$726:$I$100,MATCH(G726,CBIC_Late_Fee_Relief_Windows_3B!$O$726:$O$100,0))</f>
        <v/>
      </c>
      <c r="I726">
        <f>MIN(F726,H726)</f>
        <v/>
      </c>
    </row>
    <row r="727">
      <c r="A727">
        <f>TEST_DATA!A727</f>
        <v/>
      </c>
      <c r="B727">
        <f>TEST_DATA!B727</f>
        <v/>
      </c>
      <c r="C727">
        <f>TEST_DATA!C727</f>
        <v/>
      </c>
      <c r="D727">
        <f>TEST_DATA!D727</f>
        <v/>
      </c>
      <c r="E727">
        <f>TEST_DATA!E727</f>
        <v/>
      </c>
      <c r="F727">
        <f>MIN(E727*72700,10000)</f>
        <v/>
      </c>
      <c r="G727">
        <f>MINIFS(CBIC_Late_Fee_Relief_Windows_3B!$O$727:$O$100,CBIC_Late_Fee_Relief_Windows_3B!$D$727:$D$100,"&lt;="&amp;B727,CBIC_Late_Fee_Relief_Windows_3B!$E$727:$E$100,"&gt;="&amp;B727,CBIC_Late_Fee_Relief_Windows_3B!$F$727:$F$100,"&lt;="&amp;C727,CBIC_Late_Fee_Relief_Windows_3B!$G$727:$G$100,"&gt;="&amp;C727)</f>
        <v/>
      </c>
      <c r="H727">
        <f>INDEX(CBIC_Late_Fee_Relief_Windows_3B!$I$727:$I$100,MATCH(G727,CBIC_Late_Fee_Relief_Windows_3B!$O$727:$O$100,0))</f>
        <v/>
      </c>
      <c r="I727">
        <f>MIN(F727,H727)</f>
        <v/>
      </c>
    </row>
    <row r="728">
      <c r="A728">
        <f>TEST_DATA!A728</f>
        <v/>
      </c>
      <c r="B728">
        <f>TEST_DATA!B728</f>
        <v/>
      </c>
      <c r="C728">
        <f>TEST_DATA!C728</f>
        <v/>
      </c>
      <c r="D728">
        <f>TEST_DATA!D728</f>
        <v/>
      </c>
      <c r="E728">
        <f>TEST_DATA!E728</f>
        <v/>
      </c>
      <c r="F728">
        <f>MIN(E728*72800,10000)</f>
        <v/>
      </c>
      <c r="G728">
        <f>MINIFS(CBIC_Late_Fee_Relief_Windows_3B!$O$728:$O$100,CBIC_Late_Fee_Relief_Windows_3B!$D$728:$D$100,"&lt;="&amp;B728,CBIC_Late_Fee_Relief_Windows_3B!$E$728:$E$100,"&gt;="&amp;B728,CBIC_Late_Fee_Relief_Windows_3B!$F$728:$F$100,"&lt;="&amp;C728,CBIC_Late_Fee_Relief_Windows_3B!$G$728:$G$100,"&gt;="&amp;C728)</f>
        <v/>
      </c>
      <c r="H728">
        <f>INDEX(CBIC_Late_Fee_Relief_Windows_3B!$I$728:$I$100,MATCH(G728,CBIC_Late_Fee_Relief_Windows_3B!$O$728:$O$100,0))</f>
        <v/>
      </c>
      <c r="I728">
        <f>MIN(F728,H728)</f>
        <v/>
      </c>
    </row>
    <row r="729">
      <c r="A729">
        <f>TEST_DATA!A729</f>
        <v/>
      </c>
      <c r="B729">
        <f>TEST_DATA!B729</f>
        <v/>
      </c>
      <c r="C729">
        <f>TEST_DATA!C729</f>
        <v/>
      </c>
      <c r="D729">
        <f>TEST_DATA!D729</f>
        <v/>
      </c>
      <c r="E729">
        <f>TEST_DATA!E729</f>
        <v/>
      </c>
      <c r="F729">
        <f>MIN(E729*72900,10000)</f>
        <v/>
      </c>
      <c r="G729">
        <f>MINIFS(CBIC_Late_Fee_Relief_Windows_3B!$O$729:$O$100,CBIC_Late_Fee_Relief_Windows_3B!$D$729:$D$100,"&lt;="&amp;B729,CBIC_Late_Fee_Relief_Windows_3B!$E$729:$E$100,"&gt;="&amp;B729,CBIC_Late_Fee_Relief_Windows_3B!$F$729:$F$100,"&lt;="&amp;C729,CBIC_Late_Fee_Relief_Windows_3B!$G$729:$G$100,"&gt;="&amp;C729)</f>
        <v/>
      </c>
      <c r="H729">
        <f>INDEX(CBIC_Late_Fee_Relief_Windows_3B!$I$729:$I$100,MATCH(G729,CBIC_Late_Fee_Relief_Windows_3B!$O$729:$O$100,0))</f>
        <v/>
      </c>
      <c r="I729">
        <f>MIN(F729,H729)</f>
        <v/>
      </c>
    </row>
    <row r="730">
      <c r="A730">
        <f>TEST_DATA!A730</f>
        <v/>
      </c>
      <c r="B730">
        <f>TEST_DATA!B730</f>
        <v/>
      </c>
      <c r="C730">
        <f>TEST_DATA!C730</f>
        <v/>
      </c>
      <c r="D730">
        <f>TEST_DATA!D730</f>
        <v/>
      </c>
      <c r="E730">
        <f>TEST_DATA!E730</f>
        <v/>
      </c>
      <c r="F730">
        <f>MIN(E730*73000,10000)</f>
        <v/>
      </c>
      <c r="G730">
        <f>MINIFS(CBIC_Late_Fee_Relief_Windows_3B!$O$730:$O$100,CBIC_Late_Fee_Relief_Windows_3B!$D$730:$D$100,"&lt;="&amp;B730,CBIC_Late_Fee_Relief_Windows_3B!$E$730:$E$100,"&gt;="&amp;B730,CBIC_Late_Fee_Relief_Windows_3B!$F$730:$F$100,"&lt;="&amp;C730,CBIC_Late_Fee_Relief_Windows_3B!$G$730:$G$100,"&gt;="&amp;C730)</f>
        <v/>
      </c>
      <c r="H730">
        <f>INDEX(CBIC_Late_Fee_Relief_Windows_3B!$I$730:$I$100,MATCH(G730,CBIC_Late_Fee_Relief_Windows_3B!$O$730:$O$100,0))</f>
        <v/>
      </c>
      <c r="I730">
        <f>MIN(F730,H730)</f>
        <v/>
      </c>
    </row>
    <row r="731">
      <c r="A731">
        <f>TEST_DATA!A731</f>
        <v/>
      </c>
      <c r="B731">
        <f>TEST_DATA!B731</f>
        <v/>
      </c>
      <c r="C731">
        <f>TEST_DATA!C731</f>
        <v/>
      </c>
      <c r="D731">
        <f>TEST_DATA!D731</f>
        <v/>
      </c>
      <c r="E731">
        <f>TEST_DATA!E731</f>
        <v/>
      </c>
      <c r="F731">
        <f>MIN(E731*73100,10000)</f>
        <v/>
      </c>
      <c r="G731">
        <f>MINIFS(CBIC_Late_Fee_Relief_Windows_3B!$O$731:$O$100,CBIC_Late_Fee_Relief_Windows_3B!$D$731:$D$100,"&lt;="&amp;B731,CBIC_Late_Fee_Relief_Windows_3B!$E$731:$E$100,"&gt;="&amp;B731,CBIC_Late_Fee_Relief_Windows_3B!$F$731:$F$100,"&lt;="&amp;C731,CBIC_Late_Fee_Relief_Windows_3B!$G$731:$G$100,"&gt;="&amp;C731)</f>
        <v/>
      </c>
      <c r="H731">
        <f>INDEX(CBIC_Late_Fee_Relief_Windows_3B!$I$731:$I$100,MATCH(G731,CBIC_Late_Fee_Relief_Windows_3B!$O$731:$O$100,0))</f>
        <v/>
      </c>
      <c r="I731">
        <f>MIN(F731,H731)</f>
        <v/>
      </c>
    </row>
    <row r="732">
      <c r="A732">
        <f>TEST_DATA!A732</f>
        <v/>
      </c>
      <c r="B732">
        <f>TEST_DATA!B732</f>
        <v/>
      </c>
      <c r="C732">
        <f>TEST_DATA!C732</f>
        <v/>
      </c>
      <c r="D732">
        <f>TEST_DATA!D732</f>
        <v/>
      </c>
      <c r="E732">
        <f>TEST_DATA!E732</f>
        <v/>
      </c>
      <c r="F732">
        <f>MIN(E732*73200,10000)</f>
        <v/>
      </c>
      <c r="G732">
        <f>MINIFS(CBIC_Late_Fee_Relief_Windows_3B!$O$732:$O$100,CBIC_Late_Fee_Relief_Windows_3B!$D$732:$D$100,"&lt;="&amp;B732,CBIC_Late_Fee_Relief_Windows_3B!$E$732:$E$100,"&gt;="&amp;B732,CBIC_Late_Fee_Relief_Windows_3B!$F$732:$F$100,"&lt;="&amp;C732,CBIC_Late_Fee_Relief_Windows_3B!$G$732:$G$100,"&gt;="&amp;C732)</f>
        <v/>
      </c>
      <c r="H732">
        <f>INDEX(CBIC_Late_Fee_Relief_Windows_3B!$I$732:$I$100,MATCH(G732,CBIC_Late_Fee_Relief_Windows_3B!$O$732:$O$100,0))</f>
        <v/>
      </c>
      <c r="I732">
        <f>MIN(F732,H732)</f>
        <v/>
      </c>
    </row>
    <row r="733">
      <c r="A733">
        <f>TEST_DATA!A733</f>
        <v/>
      </c>
      <c r="B733">
        <f>TEST_DATA!B733</f>
        <v/>
      </c>
      <c r="C733">
        <f>TEST_DATA!C733</f>
        <v/>
      </c>
      <c r="D733">
        <f>TEST_DATA!D733</f>
        <v/>
      </c>
      <c r="E733">
        <f>TEST_DATA!E733</f>
        <v/>
      </c>
      <c r="F733">
        <f>MIN(E733*73300,10000)</f>
        <v/>
      </c>
      <c r="G733">
        <f>MINIFS(CBIC_Late_Fee_Relief_Windows_3B!$O$733:$O$100,CBIC_Late_Fee_Relief_Windows_3B!$D$733:$D$100,"&lt;="&amp;B733,CBIC_Late_Fee_Relief_Windows_3B!$E$733:$E$100,"&gt;="&amp;B733,CBIC_Late_Fee_Relief_Windows_3B!$F$733:$F$100,"&lt;="&amp;C733,CBIC_Late_Fee_Relief_Windows_3B!$G$733:$G$100,"&gt;="&amp;C733)</f>
        <v/>
      </c>
      <c r="H733">
        <f>INDEX(CBIC_Late_Fee_Relief_Windows_3B!$I$733:$I$100,MATCH(G733,CBIC_Late_Fee_Relief_Windows_3B!$O$733:$O$100,0))</f>
        <v/>
      </c>
      <c r="I733">
        <f>MIN(F733,H733)</f>
        <v/>
      </c>
    </row>
    <row r="734">
      <c r="A734">
        <f>TEST_DATA!A734</f>
        <v/>
      </c>
      <c r="B734">
        <f>TEST_DATA!B734</f>
        <v/>
      </c>
      <c r="C734">
        <f>TEST_DATA!C734</f>
        <v/>
      </c>
      <c r="D734">
        <f>TEST_DATA!D734</f>
        <v/>
      </c>
      <c r="E734">
        <f>TEST_DATA!E734</f>
        <v/>
      </c>
      <c r="F734">
        <f>MIN(E734*73400,10000)</f>
        <v/>
      </c>
      <c r="G734">
        <f>MINIFS(CBIC_Late_Fee_Relief_Windows_3B!$O$734:$O$100,CBIC_Late_Fee_Relief_Windows_3B!$D$734:$D$100,"&lt;="&amp;B734,CBIC_Late_Fee_Relief_Windows_3B!$E$734:$E$100,"&gt;="&amp;B734,CBIC_Late_Fee_Relief_Windows_3B!$F$734:$F$100,"&lt;="&amp;C734,CBIC_Late_Fee_Relief_Windows_3B!$G$734:$G$100,"&gt;="&amp;C734)</f>
        <v/>
      </c>
      <c r="H734">
        <f>INDEX(CBIC_Late_Fee_Relief_Windows_3B!$I$734:$I$100,MATCH(G734,CBIC_Late_Fee_Relief_Windows_3B!$O$734:$O$100,0))</f>
        <v/>
      </c>
      <c r="I734">
        <f>MIN(F734,H734)</f>
        <v/>
      </c>
    </row>
    <row r="735">
      <c r="A735">
        <f>TEST_DATA!A735</f>
        <v/>
      </c>
      <c r="B735">
        <f>TEST_DATA!B735</f>
        <v/>
      </c>
      <c r="C735">
        <f>TEST_DATA!C735</f>
        <v/>
      </c>
      <c r="D735">
        <f>TEST_DATA!D735</f>
        <v/>
      </c>
      <c r="E735">
        <f>TEST_DATA!E735</f>
        <v/>
      </c>
      <c r="F735">
        <f>MIN(E735*73500,10000)</f>
        <v/>
      </c>
      <c r="G735">
        <f>MINIFS(CBIC_Late_Fee_Relief_Windows_3B!$O$735:$O$100,CBIC_Late_Fee_Relief_Windows_3B!$D$735:$D$100,"&lt;="&amp;B735,CBIC_Late_Fee_Relief_Windows_3B!$E$735:$E$100,"&gt;="&amp;B735,CBIC_Late_Fee_Relief_Windows_3B!$F$735:$F$100,"&lt;="&amp;C735,CBIC_Late_Fee_Relief_Windows_3B!$G$735:$G$100,"&gt;="&amp;C735)</f>
        <v/>
      </c>
      <c r="H735">
        <f>INDEX(CBIC_Late_Fee_Relief_Windows_3B!$I$735:$I$100,MATCH(G735,CBIC_Late_Fee_Relief_Windows_3B!$O$735:$O$100,0))</f>
        <v/>
      </c>
      <c r="I735">
        <f>MIN(F735,H735)</f>
        <v/>
      </c>
    </row>
    <row r="736">
      <c r="A736">
        <f>TEST_DATA!A736</f>
        <v/>
      </c>
      <c r="B736">
        <f>TEST_DATA!B736</f>
        <v/>
      </c>
      <c r="C736">
        <f>TEST_DATA!C736</f>
        <v/>
      </c>
      <c r="D736">
        <f>TEST_DATA!D736</f>
        <v/>
      </c>
      <c r="E736">
        <f>TEST_DATA!E736</f>
        <v/>
      </c>
      <c r="F736">
        <f>MIN(E736*73600,10000)</f>
        <v/>
      </c>
      <c r="G736">
        <f>MINIFS(CBIC_Late_Fee_Relief_Windows_3B!$O$736:$O$100,CBIC_Late_Fee_Relief_Windows_3B!$D$736:$D$100,"&lt;="&amp;B736,CBIC_Late_Fee_Relief_Windows_3B!$E$736:$E$100,"&gt;="&amp;B736,CBIC_Late_Fee_Relief_Windows_3B!$F$736:$F$100,"&lt;="&amp;C736,CBIC_Late_Fee_Relief_Windows_3B!$G$736:$G$100,"&gt;="&amp;C736)</f>
        <v/>
      </c>
      <c r="H736">
        <f>INDEX(CBIC_Late_Fee_Relief_Windows_3B!$I$736:$I$100,MATCH(G736,CBIC_Late_Fee_Relief_Windows_3B!$O$736:$O$100,0))</f>
        <v/>
      </c>
      <c r="I736">
        <f>MIN(F736,H736)</f>
        <v/>
      </c>
    </row>
    <row r="737">
      <c r="A737">
        <f>TEST_DATA!A737</f>
        <v/>
      </c>
      <c r="B737">
        <f>TEST_DATA!B737</f>
        <v/>
      </c>
      <c r="C737">
        <f>TEST_DATA!C737</f>
        <v/>
      </c>
      <c r="D737">
        <f>TEST_DATA!D737</f>
        <v/>
      </c>
      <c r="E737">
        <f>TEST_DATA!E737</f>
        <v/>
      </c>
      <c r="F737">
        <f>MIN(E737*73700,10000)</f>
        <v/>
      </c>
      <c r="G737">
        <f>MINIFS(CBIC_Late_Fee_Relief_Windows_3B!$O$737:$O$100,CBIC_Late_Fee_Relief_Windows_3B!$D$737:$D$100,"&lt;="&amp;B737,CBIC_Late_Fee_Relief_Windows_3B!$E$737:$E$100,"&gt;="&amp;B737,CBIC_Late_Fee_Relief_Windows_3B!$F$737:$F$100,"&lt;="&amp;C737,CBIC_Late_Fee_Relief_Windows_3B!$G$737:$G$100,"&gt;="&amp;C737)</f>
        <v/>
      </c>
      <c r="H737">
        <f>INDEX(CBIC_Late_Fee_Relief_Windows_3B!$I$737:$I$100,MATCH(G737,CBIC_Late_Fee_Relief_Windows_3B!$O$737:$O$100,0))</f>
        <v/>
      </c>
      <c r="I737">
        <f>MIN(F737,H737)</f>
        <v/>
      </c>
    </row>
    <row r="738">
      <c r="A738">
        <f>TEST_DATA!A738</f>
        <v/>
      </c>
      <c r="B738">
        <f>TEST_DATA!B738</f>
        <v/>
      </c>
      <c r="C738">
        <f>TEST_DATA!C738</f>
        <v/>
      </c>
      <c r="D738">
        <f>TEST_DATA!D738</f>
        <v/>
      </c>
      <c r="E738">
        <f>TEST_DATA!E738</f>
        <v/>
      </c>
      <c r="F738">
        <f>MIN(E738*73800,10000)</f>
        <v/>
      </c>
      <c r="G738">
        <f>MINIFS(CBIC_Late_Fee_Relief_Windows_3B!$O$738:$O$100,CBIC_Late_Fee_Relief_Windows_3B!$D$738:$D$100,"&lt;="&amp;B738,CBIC_Late_Fee_Relief_Windows_3B!$E$738:$E$100,"&gt;="&amp;B738,CBIC_Late_Fee_Relief_Windows_3B!$F$738:$F$100,"&lt;="&amp;C738,CBIC_Late_Fee_Relief_Windows_3B!$G$738:$G$100,"&gt;="&amp;C738)</f>
        <v/>
      </c>
      <c r="H738">
        <f>INDEX(CBIC_Late_Fee_Relief_Windows_3B!$I$738:$I$100,MATCH(G738,CBIC_Late_Fee_Relief_Windows_3B!$O$738:$O$100,0))</f>
        <v/>
      </c>
      <c r="I738">
        <f>MIN(F738,H738)</f>
        <v/>
      </c>
    </row>
    <row r="739">
      <c r="A739">
        <f>TEST_DATA!A739</f>
        <v/>
      </c>
      <c r="B739">
        <f>TEST_DATA!B739</f>
        <v/>
      </c>
      <c r="C739">
        <f>TEST_DATA!C739</f>
        <v/>
      </c>
      <c r="D739">
        <f>TEST_DATA!D739</f>
        <v/>
      </c>
      <c r="E739">
        <f>TEST_DATA!E739</f>
        <v/>
      </c>
      <c r="F739">
        <f>MIN(E739*73900,10000)</f>
        <v/>
      </c>
      <c r="G739">
        <f>MINIFS(CBIC_Late_Fee_Relief_Windows_3B!$O$739:$O$100,CBIC_Late_Fee_Relief_Windows_3B!$D$739:$D$100,"&lt;="&amp;B739,CBIC_Late_Fee_Relief_Windows_3B!$E$739:$E$100,"&gt;="&amp;B739,CBIC_Late_Fee_Relief_Windows_3B!$F$739:$F$100,"&lt;="&amp;C739,CBIC_Late_Fee_Relief_Windows_3B!$G$739:$G$100,"&gt;="&amp;C739)</f>
        <v/>
      </c>
      <c r="H739">
        <f>INDEX(CBIC_Late_Fee_Relief_Windows_3B!$I$739:$I$100,MATCH(G739,CBIC_Late_Fee_Relief_Windows_3B!$O$739:$O$100,0))</f>
        <v/>
      </c>
      <c r="I739">
        <f>MIN(F739,H739)</f>
        <v/>
      </c>
    </row>
    <row r="740">
      <c r="A740">
        <f>TEST_DATA!A740</f>
        <v/>
      </c>
      <c r="B740">
        <f>TEST_DATA!B740</f>
        <v/>
      </c>
      <c r="C740">
        <f>TEST_DATA!C740</f>
        <v/>
      </c>
      <c r="D740">
        <f>TEST_DATA!D740</f>
        <v/>
      </c>
      <c r="E740">
        <f>TEST_DATA!E740</f>
        <v/>
      </c>
      <c r="F740">
        <f>MIN(E740*74000,10000)</f>
        <v/>
      </c>
      <c r="G740">
        <f>MINIFS(CBIC_Late_Fee_Relief_Windows_3B!$O$740:$O$100,CBIC_Late_Fee_Relief_Windows_3B!$D$740:$D$100,"&lt;="&amp;B740,CBIC_Late_Fee_Relief_Windows_3B!$E$740:$E$100,"&gt;="&amp;B740,CBIC_Late_Fee_Relief_Windows_3B!$F$740:$F$100,"&lt;="&amp;C740,CBIC_Late_Fee_Relief_Windows_3B!$G$740:$G$100,"&gt;="&amp;C740)</f>
        <v/>
      </c>
      <c r="H740">
        <f>INDEX(CBIC_Late_Fee_Relief_Windows_3B!$I$740:$I$100,MATCH(G740,CBIC_Late_Fee_Relief_Windows_3B!$O$740:$O$100,0))</f>
        <v/>
      </c>
      <c r="I740">
        <f>MIN(F740,H740)</f>
        <v/>
      </c>
    </row>
    <row r="741">
      <c r="A741">
        <f>TEST_DATA!A741</f>
        <v/>
      </c>
      <c r="B741">
        <f>TEST_DATA!B741</f>
        <v/>
      </c>
      <c r="C741">
        <f>TEST_DATA!C741</f>
        <v/>
      </c>
      <c r="D741">
        <f>TEST_DATA!D741</f>
        <v/>
      </c>
      <c r="E741">
        <f>TEST_DATA!E741</f>
        <v/>
      </c>
      <c r="F741">
        <f>MIN(E741*74100,10000)</f>
        <v/>
      </c>
      <c r="G741">
        <f>MINIFS(CBIC_Late_Fee_Relief_Windows_3B!$O$741:$O$100,CBIC_Late_Fee_Relief_Windows_3B!$D$741:$D$100,"&lt;="&amp;B741,CBIC_Late_Fee_Relief_Windows_3B!$E$741:$E$100,"&gt;="&amp;B741,CBIC_Late_Fee_Relief_Windows_3B!$F$741:$F$100,"&lt;="&amp;C741,CBIC_Late_Fee_Relief_Windows_3B!$G$741:$G$100,"&gt;="&amp;C741)</f>
        <v/>
      </c>
      <c r="H741">
        <f>INDEX(CBIC_Late_Fee_Relief_Windows_3B!$I$741:$I$100,MATCH(G741,CBIC_Late_Fee_Relief_Windows_3B!$O$741:$O$100,0))</f>
        <v/>
      </c>
      <c r="I741">
        <f>MIN(F741,H741)</f>
        <v/>
      </c>
    </row>
    <row r="742">
      <c r="A742">
        <f>TEST_DATA!A742</f>
        <v/>
      </c>
      <c r="B742">
        <f>TEST_DATA!B742</f>
        <v/>
      </c>
      <c r="C742">
        <f>TEST_DATA!C742</f>
        <v/>
      </c>
      <c r="D742">
        <f>TEST_DATA!D742</f>
        <v/>
      </c>
      <c r="E742">
        <f>TEST_DATA!E742</f>
        <v/>
      </c>
      <c r="F742">
        <f>MIN(E742*74200,10000)</f>
        <v/>
      </c>
      <c r="G742">
        <f>MINIFS(CBIC_Late_Fee_Relief_Windows_3B!$O$742:$O$100,CBIC_Late_Fee_Relief_Windows_3B!$D$742:$D$100,"&lt;="&amp;B742,CBIC_Late_Fee_Relief_Windows_3B!$E$742:$E$100,"&gt;="&amp;B742,CBIC_Late_Fee_Relief_Windows_3B!$F$742:$F$100,"&lt;="&amp;C742,CBIC_Late_Fee_Relief_Windows_3B!$G$742:$G$100,"&gt;="&amp;C742)</f>
        <v/>
      </c>
      <c r="H742">
        <f>INDEX(CBIC_Late_Fee_Relief_Windows_3B!$I$742:$I$100,MATCH(G742,CBIC_Late_Fee_Relief_Windows_3B!$O$742:$O$100,0))</f>
        <v/>
      </c>
      <c r="I742">
        <f>MIN(F742,H742)</f>
        <v/>
      </c>
    </row>
    <row r="743">
      <c r="A743">
        <f>TEST_DATA!A743</f>
        <v/>
      </c>
      <c r="B743">
        <f>TEST_DATA!B743</f>
        <v/>
      </c>
      <c r="C743">
        <f>TEST_DATA!C743</f>
        <v/>
      </c>
      <c r="D743">
        <f>TEST_DATA!D743</f>
        <v/>
      </c>
      <c r="E743">
        <f>TEST_DATA!E743</f>
        <v/>
      </c>
      <c r="F743">
        <f>MIN(E743*74300,10000)</f>
        <v/>
      </c>
      <c r="G743">
        <f>MINIFS(CBIC_Late_Fee_Relief_Windows_3B!$O$743:$O$100,CBIC_Late_Fee_Relief_Windows_3B!$D$743:$D$100,"&lt;="&amp;B743,CBIC_Late_Fee_Relief_Windows_3B!$E$743:$E$100,"&gt;="&amp;B743,CBIC_Late_Fee_Relief_Windows_3B!$F$743:$F$100,"&lt;="&amp;C743,CBIC_Late_Fee_Relief_Windows_3B!$G$743:$G$100,"&gt;="&amp;C743)</f>
        <v/>
      </c>
      <c r="H743">
        <f>INDEX(CBIC_Late_Fee_Relief_Windows_3B!$I$743:$I$100,MATCH(G743,CBIC_Late_Fee_Relief_Windows_3B!$O$743:$O$100,0))</f>
        <v/>
      </c>
      <c r="I743">
        <f>MIN(F743,H743)</f>
        <v/>
      </c>
    </row>
    <row r="744">
      <c r="A744">
        <f>TEST_DATA!A744</f>
        <v/>
      </c>
      <c r="B744">
        <f>TEST_DATA!B744</f>
        <v/>
      </c>
      <c r="C744">
        <f>TEST_DATA!C744</f>
        <v/>
      </c>
      <c r="D744">
        <f>TEST_DATA!D744</f>
        <v/>
      </c>
      <c r="E744">
        <f>TEST_DATA!E744</f>
        <v/>
      </c>
      <c r="F744">
        <f>MIN(E744*74400,10000)</f>
        <v/>
      </c>
      <c r="G744">
        <f>MINIFS(CBIC_Late_Fee_Relief_Windows_3B!$O$744:$O$100,CBIC_Late_Fee_Relief_Windows_3B!$D$744:$D$100,"&lt;="&amp;B744,CBIC_Late_Fee_Relief_Windows_3B!$E$744:$E$100,"&gt;="&amp;B744,CBIC_Late_Fee_Relief_Windows_3B!$F$744:$F$100,"&lt;="&amp;C744,CBIC_Late_Fee_Relief_Windows_3B!$G$744:$G$100,"&gt;="&amp;C744)</f>
        <v/>
      </c>
      <c r="H744">
        <f>INDEX(CBIC_Late_Fee_Relief_Windows_3B!$I$744:$I$100,MATCH(G744,CBIC_Late_Fee_Relief_Windows_3B!$O$744:$O$100,0))</f>
        <v/>
      </c>
      <c r="I744">
        <f>MIN(F744,H744)</f>
        <v/>
      </c>
    </row>
    <row r="745">
      <c r="A745">
        <f>TEST_DATA!A745</f>
        <v/>
      </c>
      <c r="B745">
        <f>TEST_DATA!B745</f>
        <v/>
      </c>
      <c r="C745">
        <f>TEST_DATA!C745</f>
        <v/>
      </c>
      <c r="D745">
        <f>TEST_DATA!D745</f>
        <v/>
      </c>
      <c r="E745">
        <f>TEST_DATA!E745</f>
        <v/>
      </c>
      <c r="F745">
        <f>MIN(E745*74500,10000)</f>
        <v/>
      </c>
      <c r="G745">
        <f>MINIFS(CBIC_Late_Fee_Relief_Windows_3B!$O$745:$O$100,CBIC_Late_Fee_Relief_Windows_3B!$D$745:$D$100,"&lt;="&amp;B745,CBIC_Late_Fee_Relief_Windows_3B!$E$745:$E$100,"&gt;="&amp;B745,CBIC_Late_Fee_Relief_Windows_3B!$F$745:$F$100,"&lt;="&amp;C745,CBIC_Late_Fee_Relief_Windows_3B!$G$745:$G$100,"&gt;="&amp;C745)</f>
        <v/>
      </c>
      <c r="H745">
        <f>INDEX(CBIC_Late_Fee_Relief_Windows_3B!$I$745:$I$100,MATCH(G745,CBIC_Late_Fee_Relief_Windows_3B!$O$745:$O$100,0))</f>
        <v/>
      </c>
      <c r="I745">
        <f>MIN(F745,H745)</f>
        <v/>
      </c>
    </row>
    <row r="746">
      <c r="A746">
        <f>TEST_DATA!A746</f>
        <v/>
      </c>
      <c r="B746">
        <f>TEST_DATA!B746</f>
        <v/>
      </c>
      <c r="C746">
        <f>TEST_DATA!C746</f>
        <v/>
      </c>
      <c r="D746">
        <f>TEST_DATA!D746</f>
        <v/>
      </c>
      <c r="E746">
        <f>TEST_DATA!E746</f>
        <v/>
      </c>
      <c r="F746">
        <f>MIN(E746*74600,10000)</f>
        <v/>
      </c>
      <c r="G746">
        <f>MINIFS(CBIC_Late_Fee_Relief_Windows_3B!$O$746:$O$100,CBIC_Late_Fee_Relief_Windows_3B!$D$746:$D$100,"&lt;="&amp;B746,CBIC_Late_Fee_Relief_Windows_3B!$E$746:$E$100,"&gt;="&amp;B746,CBIC_Late_Fee_Relief_Windows_3B!$F$746:$F$100,"&lt;="&amp;C746,CBIC_Late_Fee_Relief_Windows_3B!$G$746:$G$100,"&gt;="&amp;C746)</f>
        <v/>
      </c>
      <c r="H746">
        <f>INDEX(CBIC_Late_Fee_Relief_Windows_3B!$I$746:$I$100,MATCH(G746,CBIC_Late_Fee_Relief_Windows_3B!$O$746:$O$100,0))</f>
        <v/>
      </c>
      <c r="I746">
        <f>MIN(F746,H746)</f>
        <v/>
      </c>
    </row>
    <row r="747">
      <c r="A747">
        <f>TEST_DATA!A747</f>
        <v/>
      </c>
      <c r="B747">
        <f>TEST_DATA!B747</f>
        <v/>
      </c>
      <c r="C747">
        <f>TEST_DATA!C747</f>
        <v/>
      </c>
      <c r="D747">
        <f>TEST_DATA!D747</f>
        <v/>
      </c>
      <c r="E747">
        <f>TEST_DATA!E747</f>
        <v/>
      </c>
      <c r="F747">
        <f>MIN(E747*74700,10000)</f>
        <v/>
      </c>
      <c r="G747">
        <f>MINIFS(CBIC_Late_Fee_Relief_Windows_3B!$O$747:$O$100,CBIC_Late_Fee_Relief_Windows_3B!$D$747:$D$100,"&lt;="&amp;B747,CBIC_Late_Fee_Relief_Windows_3B!$E$747:$E$100,"&gt;="&amp;B747,CBIC_Late_Fee_Relief_Windows_3B!$F$747:$F$100,"&lt;="&amp;C747,CBIC_Late_Fee_Relief_Windows_3B!$G$747:$G$100,"&gt;="&amp;C747)</f>
        <v/>
      </c>
      <c r="H747">
        <f>INDEX(CBIC_Late_Fee_Relief_Windows_3B!$I$747:$I$100,MATCH(G747,CBIC_Late_Fee_Relief_Windows_3B!$O$747:$O$100,0))</f>
        <v/>
      </c>
      <c r="I747">
        <f>MIN(F747,H747)</f>
        <v/>
      </c>
    </row>
    <row r="748">
      <c r="A748">
        <f>TEST_DATA!A748</f>
        <v/>
      </c>
      <c r="B748">
        <f>TEST_DATA!B748</f>
        <v/>
      </c>
      <c r="C748">
        <f>TEST_DATA!C748</f>
        <v/>
      </c>
      <c r="D748">
        <f>TEST_DATA!D748</f>
        <v/>
      </c>
      <c r="E748">
        <f>TEST_DATA!E748</f>
        <v/>
      </c>
      <c r="F748">
        <f>MIN(E748*74800,10000)</f>
        <v/>
      </c>
      <c r="G748">
        <f>MINIFS(CBIC_Late_Fee_Relief_Windows_3B!$O$748:$O$100,CBIC_Late_Fee_Relief_Windows_3B!$D$748:$D$100,"&lt;="&amp;B748,CBIC_Late_Fee_Relief_Windows_3B!$E$748:$E$100,"&gt;="&amp;B748,CBIC_Late_Fee_Relief_Windows_3B!$F$748:$F$100,"&lt;="&amp;C748,CBIC_Late_Fee_Relief_Windows_3B!$G$748:$G$100,"&gt;="&amp;C748)</f>
        <v/>
      </c>
      <c r="H748">
        <f>INDEX(CBIC_Late_Fee_Relief_Windows_3B!$I$748:$I$100,MATCH(G748,CBIC_Late_Fee_Relief_Windows_3B!$O$748:$O$100,0))</f>
        <v/>
      </c>
      <c r="I748">
        <f>MIN(F748,H748)</f>
        <v/>
      </c>
    </row>
    <row r="749">
      <c r="A749">
        <f>TEST_DATA!A749</f>
        <v/>
      </c>
      <c r="B749">
        <f>TEST_DATA!B749</f>
        <v/>
      </c>
      <c r="C749">
        <f>TEST_DATA!C749</f>
        <v/>
      </c>
      <c r="D749">
        <f>TEST_DATA!D749</f>
        <v/>
      </c>
      <c r="E749">
        <f>TEST_DATA!E749</f>
        <v/>
      </c>
      <c r="F749">
        <f>MIN(E749*74900,10000)</f>
        <v/>
      </c>
      <c r="G749">
        <f>MINIFS(CBIC_Late_Fee_Relief_Windows_3B!$O$749:$O$100,CBIC_Late_Fee_Relief_Windows_3B!$D$749:$D$100,"&lt;="&amp;B749,CBIC_Late_Fee_Relief_Windows_3B!$E$749:$E$100,"&gt;="&amp;B749,CBIC_Late_Fee_Relief_Windows_3B!$F$749:$F$100,"&lt;="&amp;C749,CBIC_Late_Fee_Relief_Windows_3B!$G$749:$G$100,"&gt;="&amp;C749)</f>
        <v/>
      </c>
      <c r="H749">
        <f>INDEX(CBIC_Late_Fee_Relief_Windows_3B!$I$749:$I$100,MATCH(G749,CBIC_Late_Fee_Relief_Windows_3B!$O$749:$O$100,0))</f>
        <v/>
      </c>
      <c r="I749">
        <f>MIN(F749,H749)</f>
        <v/>
      </c>
    </row>
    <row r="750">
      <c r="A750">
        <f>TEST_DATA!A750</f>
        <v/>
      </c>
      <c r="B750">
        <f>TEST_DATA!B750</f>
        <v/>
      </c>
      <c r="C750">
        <f>TEST_DATA!C750</f>
        <v/>
      </c>
      <c r="D750">
        <f>TEST_DATA!D750</f>
        <v/>
      </c>
      <c r="E750">
        <f>TEST_DATA!E750</f>
        <v/>
      </c>
      <c r="F750">
        <f>MIN(E750*75000,10000)</f>
        <v/>
      </c>
      <c r="G750">
        <f>MINIFS(CBIC_Late_Fee_Relief_Windows_3B!$O$750:$O$100,CBIC_Late_Fee_Relief_Windows_3B!$D$750:$D$100,"&lt;="&amp;B750,CBIC_Late_Fee_Relief_Windows_3B!$E$750:$E$100,"&gt;="&amp;B750,CBIC_Late_Fee_Relief_Windows_3B!$F$750:$F$100,"&lt;="&amp;C750,CBIC_Late_Fee_Relief_Windows_3B!$G$750:$G$100,"&gt;="&amp;C750)</f>
        <v/>
      </c>
      <c r="H750">
        <f>INDEX(CBIC_Late_Fee_Relief_Windows_3B!$I$750:$I$100,MATCH(G750,CBIC_Late_Fee_Relief_Windows_3B!$O$750:$O$100,0))</f>
        <v/>
      </c>
      <c r="I750">
        <f>MIN(F750,H750)</f>
        <v/>
      </c>
    </row>
    <row r="751">
      <c r="A751">
        <f>TEST_DATA!A751</f>
        <v/>
      </c>
      <c r="B751">
        <f>TEST_DATA!B751</f>
        <v/>
      </c>
      <c r="C751">
        <f>TEST_DATA!C751</f>
        <v/>
      </c>
      <c r="D751">
        <f>TEST_DATA!D751</f>
        <v/>
      </c>
      <c r="E751">
        <f>TEST_DATA!E751</f>
        <v/>
      </c>
      <c r="F751">
        <f>MIN(E751*75100,10000)</f>
        <v/>
      </c>
      <c r="G751">
        <f>MINIFS(CBIC_Late_Fee_Relief_Windows_3B!$O$751:$O$100,CBIC_Late_Fee_Relief_Windows_3B!$D$751:$D$100,"&lt;="&amp;B751,CBIC_Late_Fee_Relief_Windows_3B!$E$751:$E$100,"&gt;="&amp;B751,CBIC_Late_Fee_Relief_Windows_3B!$F$751:$F$100,"&lt;="&amp;C751,CBIC_Late_Fee_Relief_Windows_3B!$G$751:$G$100,"&gt;="&amp;C751)</f>
        <v/>
      </c>
      <c r="H751">
        <f>INDEX(CBIC_Late_Fee_Relief_Windows_3B!$I$751:$I$100,MATCH(G751,CBIC_Late_Fee_Relief_Windows_3B!$O$751:$O$100,0))</f>
        <v/>
      </c>
      <c r="I751">
        <f>MIN(F751,H751)</f>
        <v/>
      </c>
    </row>
    <row r="752">
      <c r="A752">
        <f>TEST_DATA!A752</f>
        <v/>
      </c>
      <c r="B752">
        <f>TEST_DATA!B752</f>
        <v/>
      </c>
      <c r="C752">
        <f>TEST_DATA!C752</f>
        <v/>
      </c>
      <c r="D752">
        <f>TEST_DATA!D752</f>
        <v/>
      </c>
      <c r="E752">
        <f>TEST_DATA!E752</f>
        <v/>
      </c>
      <c r="F752">
        <f>MIN(E752*75200,10000)</f>
        <v/>
      </c>
      <c r="G752">
        <f>MINIFS(CBIC_Late_Fee_Relief_Windows_3B!$O$752:$O$100,CBIC_Late_Fee_Relief_Windows_3B!$D$752:$D$100,"&lt;="&amp;B752,CBIC_Late_Fee_Relief_Windows_3B!$E$752:$E$100,"&gt;="&amp;B752,CBIC_Late_Fee_Relief_Windows_3B!$F$752:$F$100,"&lt;="&amp;C752,CBIC_Late_Fee_Relief_Windows_3B!$G$752:$G$100,"&gt;="&amp;C752)</f>
        <v/>
      </c>
      <c r="H752">
        <f>INDEX(CBIC_Late_Fee_Relief_Windows_3B!$I$752:$I$100,MATCH(G752,CBIC_Late_Fee_Relief_Windows_3B!$O$752:$O$100,0))</f>
        <v/>
      </c>
      <c r="I752">
        <f>MIN(F752,H752)</f>
        <v/>
      </c>
    </row>
    <row r="753">
      <c r="A753">
        <f>TEST_DATA!A753</f>
        <v/>
      </c>
      <c r="B753">
        <f>TEST_DATA!B753</f>
        <v/>
      </c>
      <c r="C753">
        <f>TEST_DATA!C753</f>
        <v/>
      </c>
      <c r="D753">
        <f>TEST_DATA!D753</f>
        <v/>
      </c>
      <c r="E753">
        <f>TEST_DATA!E753</f>
        <v/>
      </c>
      <c r="F753">
        <f>MIN(E753*75300,10000)</f>
        <v/>
      </c>
      <c r="G753">
        <f>MINIFS(CBIC_Late_Fee_Relief_Windows_3B!$O$753:$O$100,CBIC_Late_Fee_Relief_Windows_3B!$D$753:$D$100,"&lt;="&amp;B753,CBIC_Late_Fee_Relief_Windows_3B!$E$753:$E$100,"&gt;="&amp;B753,CBIC_Late_Fee_Relief_Windows_3B!$F$753:$F$100,"&lt;="&amp;C753,CBIC_Late_Fee_Relief_Windows_3B!$G$753:$G$100,"&gt;="&amp;C753)</f>
        <v/>
      </c>
      <c r="H753">
        <f>INDEX(CBIC_Late_Fee_Relief_Windows_3B!$I$753:$I$100,MATCH(G753,CBIC_Late_Fee_Relief_Windows_3B!$O$753:$O$100,0))</f>
        <v/>
      </c>
      <c r="I753">
        <f>MIN(F753,H753)</f>
        <v/>
      </c>
    </row>
    <row r="754">
      <c r="A754">
        <f>TEST_DATA!A754</f>
        <v/>
      </c>
      <c r="B754">
        <f>TEST_DATA!B754</f>
        <v/>
      </c>
      <c r="C754">
        <f>TEST_DATA!C754</f>
        <v/>
      </c>
      <c r="D754">
        <f>TEST_DATA!D754</f>
        <v/>
      </c>
      <c r="E754">
        <f>TEST_DATA!E754</f>
        <v/>
      </c>
      <c r="F754">
        <f>MIN(E754*75400,10000)</f>
        <v/>
      </c>
      <c r="G754">
        <f>MINIFS(CBIC_Late_Fee_Relief_Windows_3B!$O$754:$O$100,CBIC_Late_Fee_Relief_Windows_3B!$D$754:$D$100,"&lt;="&amp;B754,CBIC_Late_Fee_Relief_Windows_3B!$E$754:$E$100,"&gt;="&amp;B754,CBIC_Late_Fee_Relief_Windows_3B!$F$754:$F$100,"&lt;="&amp;C754,CBIC_Late_Fee_Relief_Windows_3B!$G$754:$G$100,"&gt;="&amp;C754)</f>
        <v/>
      </c>
      <c r="H754">
        <f>INDEX(CBIC_Late_Fee_Relief_Windows_3B!$I$754:$I$100,MATCH(G754,CBIC_Late_Fee_Relief_Windows_3B!$O$754:$O$100,0))</f>
        <v/>
      </c>
      <c r="I754">
        <f>MIN(F754,H754)</f>
        <v/>
      </c>
    </row>
    <row r="755">
      <c r="A755">
        <f>TEST_DATA!A755</f>
        <v/>
      </c>
      <c r="B755">
        <f>TEST_DATA!B755</f>
        <v/>
      </c>
      <c r="C755">
        <f>TEST_DATA!C755</f>
        <v/>
      </c>
      <c r="D755">
        <f>TEST_DATA!D755</f>
        <v/>
      </c>
      <c r="E755">
        <f>TEST_DATA!E755</f>
        <v/>
      </c>
      <c r="F755">
        <f>MIN(E755*75500,10000)</f>
        <v/>
      </c>
      <c r="G755">
        <f>MINIFS(CBIC_Late_Fee_Relief_Windows_3B!$O$755:$O$100,CBIC_Late_Fee_Relief_Windows_3B!$D$755:$D$100,"&lt;="&amp;B755,CBIC_Late_Fee_Relief_Windows_3B!$E$755:$E$100,"&gt;="&amp;B755,CBIC_Late_Fee_Relief_Windows_3B!$F$755:$F$100,"&lt;="&amp;C755,CBIC_Late_Fee_Relief_Windows_3B!$G$755:$G$100,"&gt;="&amp;C755)</f>
        <v/>
      </c>
      <c r="H755">
        <f>INDEX(CBIC_Late_Fee_Relief_Windows_3B!$I$755:$I$100,MATCH(G755,CBIC_Late_Fee_Relief_Windows_3B!$O$755:$O$100,0))</f>
        <v/>
      </c>
      <c r="I755">
        <f>MIN(F755,H755)</f>
        <v/>
      </c>
    </row>
    <row r="756">
      <c r="A756">
        <f>TEST_DATA!A756</f>
        <v/>
      </c>
      <c r="B756">
        <f>TEST_DATA!B756</f>
        <v/>
      </c>
      <c r="C756">
        <f>TEST_DATA!C756</f>
        <v/>
      </c>
      <c r="D756">
        <f>TEST_DATA!D756</f>
        <v/>
      </c>
      <c r="E756">
        <f>TEST_DATA!E756</f>
        <v/>
      </c>
      <c r="F756">
        <f>MIN(E756*75600,10000)</f>
        <v/>
      </c>
      <c r="G756">
        <f>MINIFS(CBIC_Late_Fee_Relief_Windows_3B!$O$756:$O$100,CBIC_Late_Fee_Relief_Windows_3B!$D$756:$D$100,"&lt;="&amp;B756,CBIC_Late_Fee_Relief_Windows_3B!$E$756:$E$100,"&gt;="&amp;B756,CBIC_Late_Fee_Relief_Windows_3B!$F$756:$F$100,"&lt;="&amp;C756,CBIC_Late_Fee_Relief_Windows_3B!$G$756:$G$100,"&gt;="&amp;C756)</f>
        <v/>
      </c>
      <c r="H756">
        <f>INDEX(CBIC_Late_Fee_Relief_Windows_3B!$I$756:$I$100,MATCH(G756,CBIC_Late_Fee_Relief_Windows_3B!$O$756:$O$100,0))</f>
        <v/>
      </c>
      <c r="I756">
        <f>MIN(F756,H756)</f>
        <v/>
      </c>
    </row>
    <row r="757">
      <c r="A757">
        <f>TEST_DATA!A757</f>
        <v/>
      </c>
      <c r="B757">
        <f>TEST_DATA!B757</f>
        <v/>
      </c>
      <c r="C757">
        <f>TEST_DATA!C757</f>
        <v/>
      </c>
      <c r="D757">
        <f>TEST_DATA!D757</f>
        <v/>
      </c>
      <c r="E757">
        <f>TEST_DATA!E757</f>
        <v/>
      </c>
      <c r="F757">
        <f>MIN(E757*75700,10000)</f>
        <v/>
      </c>
      <c r="G757">
        <f>MINIFS(CBIC_Late_Fee_Relief_Windows_3B!$O$757:$O$100,CBIC_Late_Fee_Relief_Windows_3B!$D$757:$D$100,"&lt;="&amp;B757,CBIC_Late_Fee_Relief_Windows_3B!$E$757:$E$100,"&gt;="&amp;B757,CBIC_Late_Fee_Relief_Windows_3B!$F$757:$F$100,"&lt;="&amp;C757,CBIC_Late_Fee_Relief_Windows_3B!$G$757:$G$100,"&gt;="&amp;C757)</f>
        <v/>
      </c>
      <c r="H757">
        <f>INDEX(CBIC_Late_Fee_Relief_Windows_3B!$I$757:$I$100,MATCH(G757,CBIC_Late_Fee_Relief_Windows_3B!$O$757:$O$100,0))</f>
        <v/>
      </c>
      <c r="I757">
        <f>MIN(F757,H757)</f>
        <v/>
      </c>
    </row>
    <row r="758">
      <c r="A758">
        <f>TEST_DATA!A758</f>
        <v/>
      </c>
      <c r="B758">
        <f>TEST_DATA!B758</f>
        <v/>
      </c>
      <c r="C758">
        <f>TEST_DATA!C758</f>
        <v/>
      </c>
      <c r="D758">
        <f>TEST_DATA!D758</f>
        <v/>
      </c>
      <c r="E758">
        <f>TEST_DATA!E758</f>
        <v/>
      </c>
      <c r="F758">
        <f>MIN(E758*75800,10000)</f>
        <v/>
      </c>
      <c r="G758">
        <f>MINIFS(CBIC_Late_Fee_Relief_Windows_3B!$O$758:$O$100,CBIC_Late_Fee_Relief_Windows_3B!$D$758:$D$100,"&lt;="&amp;B758,CBIC_Late_Fee_Relief_Windows_3B!$E$758:$E$100,"&gt;="&amp;B758,CBIC_Late_Fee_Relief_Windows_3B!$F$758:$F$100,"&lt;="&amp;C758,CBIC_Late_Fee_Relief_Windows_3B!$G$758:$G$100,"&gt;="&amp;C758)</f>
        <v/>
      </c>
      <c r="H758">
        <f>INDEX(CBIC_Late_Fee_Relief_Windows_3B!$I$758:$I$100,MATCH(G758,CBIC_Late_Fee_Relief_Windows_3B!$O$758:$O$100,0))</f>
        <v/>
      </c>
      <c r="I758">
        <f>MIN(F758,H758)</f>
        <v/>
      </c>
    </row>
    <row r="759">
      <c r="A759">
        <f>TEST_DATA!A759</f>
        <v/>
      </c>
      <c r="B759">
        <f>TEST_DATA!B759</f>
        <v/>
      </c>
      <c r="C759">
        <f>TEST_DATA!C759</f>
        <v/>
      </c>
      <c r="D759">
        <f>TEST_DATA!D759</f>
        <v/>
      </c>
      <c r="E759">
        <f>TEST_DATA!E759</f>
        <v/>
      </c>
      <c r="F759">
        <f>MIN(E759*75900,10000)</f>
        <v/>
      </c>
      <c r="G759">
        <f>MINIFS(CBIC_Late_Fee_Relief_Windows_3B!$O$759:$O$100,CBIC_Late_Fee_Relief_Windows_3B!$D$759:$D$100,"&lt;="&amp;B759,CBIC_Late_Fee_Relief_Windows_3B!$E$759:$E$100,"&gt;="&amp;B759,CBIC_Late_Fee_Relief_Windows_3B!$F$759:$F$100,"&lt;="&amp;C759,CBIC_Late_Fee_Relief_Windows_3B!$G$759:$G$100,"&gt;="&amp;C759)</f>
        <v/>
      </c>
      <c r="H759">
        <f>INDEX(CBIC_Late_Fee_Relief_Windows_3B!$I$759:$I$100,MATCH(G759,CBIC_Late_Fee_Relief_Windows_3B!$O$759:$O$100,0))</f>
        <v/>
      </c>
      <c r="I759">
        <f>MIN(F759,H759)</f>
        <v/>
      </c>
    </row>
    <row r="760">
      <c r="A760">
        <f>TEST_DATA!A760</f>
        <v/>
      </c>
      <c r="B760">
        <f>TEST_DATA!B760</f>
        <v/>
      </c>
      <c r="C760">
        <f>TEST_DATA!C760</f>
        <v/>
      </c>
      <c r="D760">
        <f>TEST_DATA!D760</f>
        <v/>
      </c>
      <c r="E760">
        <f>TEST_DATA!E760</f>
        <v/>
      </c>
      <c r="F760">
        <f>MIN(E760*76000,10000)</f>
        <v/>
      </c>
      <c r="G760">
        <f>MINIFS(CBIC_Late_Fee_Relief_Windows_3B!$O$760:$O$100,CBIC_Late_Fee_Relief_Windows_3B!$D$760:$D$100,"&lt;="&amp;B760,CBIC_Late_Fee_Relief_Windows_3B!$E$760:$E$100,"&gt;="&amp;B760,CBIC_Late_Fee_Relief_Windows_3B!$F$760:$F$100,"&lt;="&amp;C760,CBIC_Late_Fee_Relief_Windows_3B!$G$760:$G$100,"&gt;="&amp;C760)</f>
        <v/>
      </c>
      <c r="H760">
        <f>INDEX(CBIC_Late_Fee_Relief_Windows_3B!$I$760:$I$100,MATCH(G760,CBIC_Late_Fee_Relief_Windows_3B!$O$760:$O$100,0))</f>
        <v/>
      </c>
      <c r="I760">
        <f>MIN(F760,H760)</f>
        <v/>
      </c>
    </row>
    <row r="761">
      <c r="A761">
        <f>TEST_DATA!A761</f>
        <v/>
      </c>
      <c r="B761">
        <f>TEST_DATA!B761</f>
        <v/>
      </c>
      <c r="C761">
        <f>TEST_DATA!C761</f>
        <v/>
      </c>
      <c r="D761">
        <f>TEST_DATA!D761</f>
        <v/>
      </c>
      <c r="E761">
        <f>TEST_DATA!E761</f>
        <v/>
      </c>
      <c r="F761">
        <f>MIN(E761*76100,10000)</f>
        <v/>
      </c>
      <c r="G761">
        <f>MINIFS(CBIC_Late_Fee_Relief_Windows_3B!$O$761:$O$100,CBIC_Late_Fee_Relief_Windows_3B!$D$761:$D$100,"&lt;="&amp;B761,CBIC_Late_Fee_Relief_Windows_3B!$E$761:$E$100,"&gt;="&amp;B761,CBIC_Late_Fee_Relief_Windows_3B!$F$761:$F$100,"&lt;="&amp;C761,CBIC_Late_Fee_Relief_Windows_3B!$G$761:$G$100,"&gt;="&amp;C761)</f>
        <v/>
      </c>
      <c r="H761">
        <f>INDEX(CBIC_Late_Fee_Relief_Windows_3B!$I$761:$I$100,MATCH(G761,CBIC_Late_Fee_Relief_Windows_3B!$O$761:$O$100,0))</f>
        <v/>
      </c>
      <c r="I761">
        <f>MIN(F761,H761)</f>
        <v/>
      </c>
    </row>
    <row r="762">
      <c r="A762">
        <f>TEST_DATA!A762</f>
        <v/>
      </c>
      <c r="B762">
        <f>TEST_DATA!B762</f>
        <v/>
      </c>
      <c r="C762">
        <f>TEST_DATA!C762</f>
        <v/>
      </c>
      <c r="D762">
        <f>TEST_DATA!D762</f>
        <v/>
      </c>
      <c r="E762">
        <f>TEST_DATA!E762</f>
        <v/>
      </c>
      <c r="F762">
        <f>MIN(E762*76200,10000)</f>
        <v/>
      </c>
      <c r="G762">
        <f>MINIFS(CBIC_Late_Fee_Relief_Windows_3B!$O$762:$O$100,CBIC_Late_Fee_Relief_Windows_3B!$D$762:$D$100,"&lt;="&amp;B762,CBIC_Late_Fee_Relief_Windows_3B!$E$762:$E$100,"&gt;="&amp;B762,CBIC_Late_Fee_Relief_Windows_3B!$F$762:$F$100,"&lt;="&amp;C762,CBIC_Late_Fee_Relief_Windows_3B!$G$762:$G$100,"&gt;="&amp;C762)</f>
        <v/>
      </c>
      <c r="H762">
        <f>INDEX(CBIC_Late_Fee_Relief_Windows_3B!$I$762:$I$100,MATCH(G762,CBIC_Late_Fee_Relief_Windows_3B!$O$762:$O$100,0))</f>
        <v/>
      </c>
      <c r="I762">
        <f>MIN(F762,H762)</f>
        <v/>
      </c>
    </row>
    <row r="763">
      <c r="A763">
        <f>TEST_DATA!A763</f>
        <v/>
      </c>
      <c r="B763">
        <f>TEST_DATA!B763</f>
        <v/>
      </c>
      <c r="C763">
        <f>TEST_DATA!C763</f>
        <v/>
      </c>
      <c r="D763">
        <f>TEST_DATA!D763</f>
        <v/>
      </c>
      <c r="E763">
        <f>TEST_DATA!E763</f>
        <v/>
      </c>
      <c r="F763">
        <f>MIN(E763*76300,10000)</f>
        <v/>
      </c>
      <c r="G763">
        <f>MINIFS(CBIC_Late_Fee_Relief_Windows_3B!$O$763:$O$100,CBIC_Late_Fee_Relief_Windows_3B!$D$763:$D$100,"&lt;="&amp;B763,CBIC_Late_Fee_Relief_Windows_3B!$E$763:$E$100,"&gt;="&amp;B763,CBIC_Late_Fee_Relief_Windows_3B!$F$763:$F$100,"&lt;="&amp;C763,CBIC_Late_Fee_Relief_Windows_3B!$G$763:$G$100,"&gt;="&amp;C763)</f>
        <v/>
      </c>
      <c r="H763">
        <f>INDEX(CBIC_Late_Fee_Relief_Windows_3B!$I$763:$I$100,MATCH(G763,CBIC_Late_Fee_Relief_Windows_3B!$O$763:$O$100,0))</f>
        <v/>
      </c>
      <c r="I763">
        <f>MIN(F763,H763)</f>
        <v/>
      </c>
    </row>
    <row r="764">
      <c r="A764">
        <f>TEST_DATA!A764</f>
        <v/>
      </c>
      <c r="B764">
        <f>TEST_DATA!B764</f>
        <v/>
      </c>
      <c r="C764">
        <f>TEST_DATA!C764</f>
        <v/>
      </c>
      <c r="D764">
        <f>TEST_DATA!D764</f>
        <v/>
      </c>
      <c r="E764">
        <f>TEST_DATA!E764</f>
        <v/>
      </c>
      <c r="F764">
        <f>MIN(E764*76400,10000)</f>
        <v/>
      </c>
      <c r="G764">
        <f>MINIFS(CBIC_Late_Fee_Relief_Windows_3B!$O$764:$O$100,CBIC_Late_Fee_Relief_Windows_3B!$D$764:$D$100,"&lt;="&amp;B764,CBIC_Late_Fee_Relief_Windows_3B!$E$764:$E$100,"&gt;="&amp;B764,CBIC_Late_Fee_Relief_Windows_3B!$F$764:$F$100,"&lt;="&amp;C764,CBIC_Late_Fee_Relief_Windows_3B!$G$764:$G$100,"&gt;="&amp;C764)</f>
        <v/>
      </c>
      <c r="H764">
        <f>INDEX(CBIC_Late_Fee_Relief_Windows_3B!$I$764:$I$100,MATCH(G764,CBIC_Late_Fee_Relief_Windows_3B!$O$764:$O$100,0))</f>
        <v/>
      </c>
      <c r="I764">
        <f>MIN(F764,H764)</f>
        <v/>
      </c>
    </row>
    <row r="765">
      <c r="A765">
        <f>TEST_DATA!A765</f>
        <v/>
      </c>
      <c r="B765">
        <f>TEST_DATA!B765</f>
        <v/>
      </c>
      <c r="C765">
        <f>TEST_DATA!C765</f>
        <v/>
      </c>
      <c r="D765">
        <f>TEST_DATA!D765</f>
        <v/>
      </c>
      <c r="E765">
        <f>TEST_DATA!E765</f>
        <v/>
      </c>
      <c r="F765">
        <f>MIN(E765*76500,10000)</f>
        <v/>
      </c>
      <c r="G765">
        <f>MINIFS(CBIC_Late_Fee_Relief_Windows_3B!$O$765:$O$100,CBIC_Late_Fee_Relief_Windows_3B!$D$765:$D$100,"&lt;="&amp;B765,CBIC_Late_Fee_Relief_Windows_3B!$E$765:$E$100,"&gt;="&amp;B765,CBIC_Late_Fee_Relief_Windows_3B!$F$765:$F$100,"&lt;="&amp;C765,CBIC_Late_Fee_Relief_Windows_3B!$G$765:$G$100,"&gt;="&amp;C765)</f>
        <v/>
      </c>
      <c r="H765">
        <f>INDEX(CBIC_Late_Fee_Relief_Windows_3B!$I$765:$I$100,MATCH(G765,CBIC_Late_Fee_Relief_Windows_3B!$O$765:$O$100,0))</f>
        <v/>
      </c>
      <c r="I765">
        <f>MIN(F765,H765)</f>
        <v/>
      </c>
    </row>
    <row r="766">
      <c r="A766">
        <f>TEST_DATA!A766</f>
        <v/>
      </c>
      <c r="B766">
        <f>TEST_DATA!B766</f>
        <v/>
      </c>
      <c r="C766">
        <f>TEST_DATA!C766</f>
        <v/>
      </c>
      <c r="D766">
        <f>TEST_DATA!D766</f>
        <v/>
      </c>
      <c r="E766">
        <f>TEST_DATA!E766</f>
        <v/>
      </c>
      <c r="F766">
        <f>MIN(E766*76600,10000)</f>
        <v/>
      </c>
      <c r="G766">
        <f>MINIFS(CBIC_Late_Fee_Relief_Windows_3B!$O$766:$O$100,CBIC_Late_Fee_Relief_Windows_3B!$D$766:$D$100,"&lt;="&amp;B766,CBIC_Late_Fee_Relief_Windows_3B!$E$766:$E$100,"&gt;="&amp;B766,CBIC_Late_Fee_Relief_Windows_3B!$F$766:$F$100,"&lt;="&amp;C766,CBIC_Late_Fee_Relief_Windows_3B!$G$766:$G$100,"&gt;="&amp;C766)</f>
        <v/>
      </c>
      <c r="H766">
        <f>INDEX(CBIC_Late_Fee_Relief_Windows_3B!$I$766:$I$100,MATCH(G766,CBIC_Late_Fee_Relief_Windows_3B!$O$766:$O$100,0))</f>
        <v/>
      </c>
      <c r="I766">
        <f>MIN(F766,H766)</f>
        <v/>
      </c>
    </row>
    <row r="767">
      <c r="A767">
        <f>TEST_DATA!A767</f>
        <v/>
      </c>
      <c r="B767">
        <f>TEST_DATA!B767</f>
        <v/>
      </c>
      <c r="C767">
        <f>TEST_DATA!C767</f>
        <v/>
      </c>
      <c r="D767">
        <f>TEST_DATA!D767</f>
        <v/>
      </c>
      <c r="E767">
        <f>TEST_DATA!E767</f>
        <v/>
      </c>
      <c r="F767">
        <f>MIN(E767*76700,10000)</f>
        <v/>
      </c>
      <c r="G767">
        <f>MINIFS(CBIC_Late_Fee_Relief_Windows_3B!$O$767:$O$100,CBIC_Late_Fee_Relief_Windows_3B!$D$767:$D$100,"&lt;="&amp;B767,CBIC_Late_Fee_Relief_Windows_3B!$E$767:$E$100,"&gt;="&amp;B767,CBIC_Late_Fee_Relief_Windows_3B!$F$767:$F$100,"&lt;="&amp;C767,CBIC_Late_Fee_Relief_Windows_3B!$G$767:$G$100,"&gt;="&amp;C767)</f>
        <v/>
      </c>
      <c r="H767">
        <f>INDEX(CBIC_Late_Fee_Relief_Windows_3B!$I$767:$I$100,MATCH(G767,CBIC_Late_Fee_Relief_Windows_3B!$O$767:$O$100,0))</f>
        <v/>
      </c>
      <c r="I767">
        <f>MIN(F767,H767)</f>
        <v/>
      </c>
    </row>
    <row r="768">
      <c r="A768">
        <f>TEST_DATA!A768</f>
        <v/>
      </c>
      <c r="B768">
        <f>TEST_DATA!B768</f>
        <v/>
      </c>
      <c r="C768">
        <f>TEST_DATA!C768</f>
        <v/>
      </c>
      <c r="D768">
        <f>TEST_DATA!D768</f>
        <v/>
      </c>
      <c r="E768">
        <f>TEST_DATA!E768</f>
        <v/>
      </c>
      <c r="F768">
        <f>MIN(E768*76800,10000)</f>
        <v/>
      </c>
      <c r="G768">
        <f>MINIFS(CBIC_Late_Fee_Relief_Windows_3B!$O$768:$O$100,CBIC_Late_Fee_Relief_Windows_3B!$D$768:$D$100,"&lt;="&amp;B768,CBIC_Late_Fee_Relief_Windows_3B!$E$768:$E$100,"&gt;="&amp;B768,CBIC_Late_Fee_Relief_Windows_3B!$F$768:$F$100,"&lt;="&amp;C768,CBIC_Late_Fee_Relief_Windows_3B!$G$768:$G$100,"&gt;="&amp;C768)</f>
        <v/>
      </c>
      <c r="H768">
        <f>INDEX(CBIC_Late_Fee_Relief_Windows_3B!$I$768:$I$100,MATCH(G768,CBIC_Late_Fee_Relief_Windows_3B!$O$768:$O$100,0))</f>
        <v/>
      </c>
      <c r="I768">
        <f>MIN(F768,H768)</f>
        <v/>
      </c>
    </row>
    <row r="769">
      <c r="A769">
        <f>TEST_DATA!A769</f>
        <v/>
      </c>
      <c r="B769">
        <f>TEST_DATA!B769</f>
        <v/>
      </c>
      <c r="C769">
        <f>TEST_DATA!C769</f>
        <v/>
      </c>
      <c r="D769">
        <f>TEST_DATA!D769</f>
        <v/>
      </c>
      <c r="E769">
        <f>TEST_DATA!E769</f>
        <v/>
      </c>
      <c r="F769">
        <f>MIN(E769*76900,10000)</f>
        <v/>
      </c>
      <c r="G769">
        <f>MINIFS(CBIC_Late_Fee_Relief_Windows_3B!$O$769:$O$100,CBIC_Late_Fee_Relief_Windows_3B!$D$769:$D$100,"&lt;="&amp;B769,CBIC_Late_Fee_Relief_Windows_3B!$E$769:$E$100,"&gt;="&amp;B769,CBIC_Late_Fee_Relief_Windows_3B!$F$769:$F$100,"&lt;="&amp;C769,CBIC_Late_Fee_Relief_Windows_3B!$G$769:$G$100,"&gt;="&amp;C769)</f>
        <v/>
      </c>
      <c r="H769">
        <f>INDEX(CBIC_Late_Fee_Relief_Windows_3B!$I$769:$I$100,MATCH(G769,CBIC_Late_Fee_Relief_Windows_3B!$O$769:$O$100,0))</f>
        <v/>
      </c>
      <c r="I769">
        <f>MIN(F769,H769)</f>
        <v/>
      </c>
    </row>
    <row r="770">
      <c r="A770">
        <f>TEST_DATA!A770</f>
        <v/>
      </c>
      <c r="B770">
        <f>TEST_DATA!B770</f>
        <v/>
      </c>
      <c r="C770">
        <f>TEST_DATA!C770</f>
        <v/>
      </c>
      <c r="D770">
        <f>TEST_DATA!D770</f>
        <v/>
      </c>
      <c r="E770">
        <f>TEST_DATA!E770</f>
        <v/>
      </c>
      <c r="F770">
        <f>MIN(E770*77000,10000)</f>
        <v/>
      </c>
      <c r="G770">
        <f>MINIFS(CBIC_Late_Fee_Relief_Windows_3B!$O$770:$O$100,CBIC_Late_Fee_Relief_Windows_3B!$D$770:$D$100,"&lt;="&amp;B770,CBIC_Late_Fee_Relief_Windows_3B!$E$770:$E$100,"&gt;="&amp;B770,CBIC_Late_Fee_Relief_Windows_3B!$F$770:$F$100,"&lt;="&amp;C770,CBIC_Late_Fee_Relief_Windows_3B!$G$770:$G$100,"&gt;="&amp;C770)</f>
        <v/>
      </c>
      <c r="H770">
        <f>INDEX(CBIC_Late_Fee_Relief_Windows_3B!$I$770:$I$100,MATCH(G770,CBIC_Late_Fee_Relief_Windows_3B!$O$770:$O$100,0))</f>
        <v/>
      </c>
      <c r="I770">
        <f>MIN(F770,H770)</f>
        <v/>
      </c>
    </row>
    <row r="771">
      <c r="A771">
        <f>TEST_DATA!A771</f>
        <v/>
      </c>
      <c r="B771">
        <f>TEST_DATA!B771</f>
        <v/>
      </c>
      <c r="C771">
        <f>TEST_DATA!C771</f>
        <v/>
      </c>
      <c r="D771">
        <f>TEST_DATA!D771</f>
        <v/>
      </c>
      <c r="E771">
        <f>TEST_DATA!E771</f>
        <v/>
      </c>
      <c r="F771">
        <f>MIN(E771*77100,10000)</f>
        <v/>
      </c>
      <c r="G771">
        <f>MINIFS(CBIC_Late_Fee_Relief_Windows_3B!$O$771:$O$100,CBIC_Late_Fee_Relief_Windows_3B!$D$771:$D$100,"&lt;="&amp;B771,CBIC_Late_Fee_Relief_Windows_3B!$E$771:$E$100,"&gt;="&amp;B771,CBIC_Late_Fee_Relief_Windows_3B!$F$771:$F$100,"&lt;="&amp;C771,CBIC_Late_Fee_Relief_Windows_3B!$G$771:$G$100,"&gt;="&amp;C771)</f>
        <v/>
      </c>
      <c r="H771">
        <f>INDEX(CBIC_Late_Fee_Relief_Windows_3B!$I$771:$I$100,MATCH(G771,CBIC_Late_Fee_Relief_Windows_3B!$O$771:$O$100,0))</f>
        <v/>
      </c>
      <c r="I771">
        <f>MIN(F771,H771)</f>
        <v/>
      </c>
    </row>
    <row r="772">
      <c r="A772">
        <f>TEST_DATA!A772</f>
        <v/>
      </c>
      <c r="B772">
        <f>TEST_DATA!B772</f>
        <v/>
      </c>
      <c r="C772">
        <f>TEST_DATA!C772</f>
        <v/>
      </c>
      <c r="D772">
        <f>TEST_DATA!D772</f>
        <v/>
      </c>
      <c r="E772">
        <f>TEST_DATA!E772</f>
        <v/>
      </c>
      <c r="F772">
        <f>MIN(E772*77200,10000)</f>
        <v/>
      </c>
      <c r="G772">
        <f>MINIFS(CBIC_Late_Fee_Relief_Windows_3B!$O$772:$O$100,CBIC_Late_Fee_Relief_Windows_3B!$D$772:$D$100,"&lt;="&amp;B772,CBIC_Late_Fee_Relief_Windows_3B!$E$772:$E$100,"&gt;="&amp;B772,CBIC_Late_Fee_Relief_Windows_3B!$F$772:$F$100,"&lt;="&amp;C772,CBIC_Late_Fee_Relief_Windows_3B!$G$772:$G$100,"&gt;="&amp;C772)</f>
        <v/>
      </c>
      <c r="H772">
        <f>INDEX(CBIC_Late_Fee_Relief_Windows_3B!$I$772:$I$100,MATCH(G772,CBIC_Late_Fee_Relief_Windows_3B!$O$772:$O$100,0))</f>
        <v/>
      </c>
      <c r="I772">
        <f>MIN(F772,H772)</f>
        <v/>
      </c>
    </row>
    <row r="773">
      <c r="A773">
        <f>TEST_DATA!A773</f>
        <v/>
      </c>
      <c r="B773">
        <f>TEST_DATA!B773</f>
        <v/>
      </c>
      <c r="C773">
        <f>TEST_DATA!C773</f>
        <v/>
      </c>
      <c r="D773">
        <f>TEST_DATA!D773</f>
        <v/>
      </c>
      <c r="E773">
        <f>TEST_DATA!E773</f>
        <v/>
      </c>
      <c r="F773">
        <f>MIN(E773*77300,10000)</f>
        <v/>
      </c>
      <c r="G773">
        <f>MINIFS(CBIC_Late_Fee_Relief_Windows_3B!$O$773:$O$100,CBIC_Late_Fee_Relief_Windows_3B!$D$773:$D$100,"&lt;="&amp;B773,CBIC_Late_Fee_Relief_Windows_3B!$E$773:$E$100,"&gt;="&amp;B773,CBIC_Late_Fee_Relief_Windows_3B!$F$773:$F$100,"&lt;="&amp;C773,CBIC_Late_Fee_Relief_Windows_3B!$G$773:$G$100,"&gt;="&amp;C773)</f>
        <v/>
      </c>
      <c r="H773">
        <f>INDEX(CBIC_Late_Fee_Relief_Windows_3B!$I$773:$I$100,MATCH(G773,CBIC_Late_Fee_Relief_Windows_3B!$O$773:$O$100,0))</f>
        <v/>
      </c>
      <c r="I773">
        <f>MIN(F773,H773)</f>
        <v/>
      </c>
    </row>
    <row r="774">
      <c r="A774">
        <f>TEST_DATA!A774</f>
        <v/>
      </c>
      <c r="B774">
        <f>TEST_DATA!B774</f>
        <v/>
      </c>
      <c r="C774">
        <f>TEST_DATA!C774</f>
        <v/>
      </c>
      <c r="D774">
        <f>TEST_DATA!D774</f>
        <v/>
      </c>
      <c r="E774">
        <f>TEST_DATA!E774</f>
        <v/>
      </c>
      <c r="F774">
        <f>MIN(E774*77400,10000)</f>
        <v/>
      </c>
      <c r="G774">
        <f>MINIFS(CBIC_Late_Fee_Relief_Windows_3B!$O$774:$O$100,CBIC_Late_Fee_Relief_Windows_3B!$D$774:$D$100,"&lt;="&amp;B774,CBIC_Late_Fee_Relief_Windows_3B!$E$774:$E$100,"&gt;="&amp;B774,CBIC_Late_Fee_Relief_Windows_3B!$F$774:$F$100,"&lt;="&amp;C774,CBIC_Late_Fee_Relief_Windows_3B!$G$774:$G$100,"&gt;="&amp;C774)</f>
        <v/>
      </c>
      <c r="H774">
        <f>INDEX(CBIC_Late_Fee_Relief_Windows_3B!$I$774:$I$100,MATCH(G774,CBIC_Late_Fee_Relief_Windows_3B!$O$774:$O$100,0))</f>
        <v/>
      </c>
      <c r="I774">
        <f>MIN(F774,H774)</f>
        <v/>
      </c>
    </row>
    <row r="775">
      <c r="A775">
        <f>TEST_DATA!A775</f>
        <v/>
      </c>
      <c r="B775">
        <f>TEST_DATA!B775</f>
        <v/>
      </c>
      <c r="C775">
        <f>TEST_DATA!C775</f>
        <v/>
      </c>
      <c r="D775">
        <f>TEST_DATA!D775</f>
        <v/>
      </c>
      <c r="E775">
        <f>TEST_DATA!E775</f>
        <v/>
      </c>
      <c r="F775">
        <f>MIN(E775*77500,10000)</f>
        <v/>
      </c>
      <c r="G775">
        <f>MINIFS(CBIC_Late_Fee_Relief_Windows_3B!$O$775:$O$100,CBIC_Late_Fee_Relief_Windows_3B!$D$775:$D$100,"&lt;="&amp;B775,CBIC_Late_Fee_Relief_Windows_3B!$E$775:$E$100,"&gt;="&amp;B775,CBIC_Late_Fee_Relief_Windows_3B!$F$775:$F$100,"&lt;="&amp;C775,CBIC_Late_Fee_Relief_Windows_3B!$G$775:$G$100,"&gt;="&amp;C775)</f>
        <v/>
      </c>
      <c r="H775">
        <f>INDEX(CBIC_Late_Fee_Relief_Windows_3B!$I$775:$I$100,MATCH(G775,CBIC_Late_Fee_Relief_Windows_3B!$O$775:$O$100,0))</f>
        <v/>
      </c>
      <c r="I775">
        <f>MIN(F775,H775)</f>
        <v/>
      </c>
    </row>
    <row r="776">
      <c r="A776">
        <f>TEST_DATA!A776</f>
        <v/>
      </c>
      <c r="B776">
        <f>TEST_DATA!B776</f>
        <v/>
      </c>
      <c r="C776">
        <f>TEST_DATA!C776</f>
        <v/>
      </c>
      <c r="D776">
        <f>TEST_DATA!D776</f>
        <v/>
      </c>
      <c r="E776">
        <f>TEST_DATA!E776</f>
        <v/>
      </c>
      <c r="F776">
        <f>MIN(E776*77600,10000)</f>
        <v/>
      </c>
      <c r="G776">
        <f>MINIFS(CBIC_Late_Fee_Relief_Windows_3B!$O$776:$O$100,CBIC_Late_Fee_Relief_Windows_3B!$D$776:$D$100,"&lt;="&amp;B776,CBIC_Late_Fee_Relief_Windows_3B!$E$776:$E$100,"&gt;="&amp;B776,CBIC_Late_Fee_Relief_Windows_3B!$F$776:$F$100,"&lt;="&amp;C776,CBIC_Late_Fee_Relief_Windows_3B!$G$776:$G$100,"&gt;="&amp;C776)</f>
        <v/>
      </c>
      <c r="H776">
        <f>INDEX(CBIC_Late_Fee_Relief_Windows_3B!$I$776:$I$100,MATCH(G776,CBIC_Late_Fee_Relief_Windows_3B!$O$776:$O$100,0))</f>
        <v/>
      </c>
      <c r="I776">
        <f>MIN(F776,H776)</f>
        <v/>
      </c>
    </row>
    <row r="777">
      <c r="A777">
        <f>TEST_DATA!A777</f>
        <v/>
      </c>
      <c r="B777">
        <f>TEST_DATA!B777</f>
        <v/>
      </c>
      <c r="C777">
        <f>TEST_DATA!C777</f>
        <v/>
      </c>
      <c r="D777">
        <f>TEST_DATA!D777</f>
        <v/>
      </c>
      <c r="E777">
        <f>TEST_DATA!E777</f>
        <v/>
      </c>
      <c r="F777">
        <f>MIN(E777*77700,10000)</f>
        <v/>
      </c>
      <c r="G777">
        <f>MINIFS(CBIC_Late_Fee_Relief_Windows_3B!$O$777:$O$100,CBIC_Late_Fee_Relief_Windows_3B!$D$777:$D$100,"&lt;="&amp;B777,CBIC_Late_Fee_Relief_Windows_3B!$E$777:$E$100,"&gt;="&amp;B777,CBIC_Late_Fee_Relief_Windows_3B!$F$777:$F$100,"&lt;="&amp;C777,CBIC_Late_Fee_Relief_Windows_3B!$G$777:$G$100,"&gt;="&amp;C777)</f>
        <v/>
      </c>
      <c r="H777">
        <f>INDEX(CBIC_Late_Fee_Relief_Windows_3B!$I$777:$I$100,MATCH(G777,CBIC_Late_Fee_Relief_Windows_3B!$O$777:$O$100,0))</f>
        <v/>
      </c>
      <c r="I777">
        <f>MIN(F777,H777)</f>
        <v/>
      </c>
    </row>
    <row r="778">
      <c r="A778">
        <f>TEST_DATA!A778</f>
        <v/>
      </c>
      <c r="B778">
        <f>TEST_DATA!B778</f>
        <v/>
      </c>
      <c r="C778">
        <f>TEST_DATA!C778</f>
        <v/>
      </c>
      <c r="D778">
        <f>TEST_DATA!D778</f>
        <v/>
      </c>
      <c r="E778">
        <f>TEST_DATA!E778</f>
        <v/>
      </c>
      <c r="F778">
        <f>MIN(E778*77800,10000)</f>
        <v/>
      </c>
      <c r="G778">
        <f>MINIFS(CBIC_Late_Fee_Relief_Windows_3B!$O$778:$O$100,CBIC_Late_Fee_Relief_Windows_3B!$D$778:$D$100,"&lt;="&amp;B778,CBIC_Late_Fee_Relief_Windows_3B!$E$778:$E$100,"&gt;="&amp;B778,CBIC_Late_Fee_Relief_Windows_3B!$F$778:$F$100,"&lt;="&amp;C778,CBIC_Late_Fee_Relief_Windows_3B!$G$778:$G$100,"&gt;="&amp;C778)</f>
        <v/>
      </c>
      <c r="H778">
        <f>INDEX(CBIC_Late_Fee_Relief_Windows_3B!$I$778:$I$100,MATCH(G778,CBIC_Late_Fee_Relief_Windows_3B!$O$778:$O$100,0))</f>
        <v/>
      </c>
      <c r="I778">
        <f>MIN(F778,H778)</f>
        <v/>
      </c>
    </row>
    <row r="779">
      <c r="A779">
        <f>TEST_DATA!A779</f>
        <v/>
      </c>
      <c r="B779">
        <f>TEST_DATA!B779</f>
        <v/>
      </c>
      <c r="C779">
        <f>TEST_DATA!C779</f>
        <v/>
      </c>
      <c r="D779">
        <f>TEST_DATA!D779</f>
        <v/>
      </c>
      <c r="E779">
        <f>TEST_DATA!E779</f>
        <v/>
      </c>
      <c r="F779">
        <f>MIN(E779*77900,10000)</f>
        <v/>
      </c>
      <c r="G779">
        <f>MINIFS(CBIC_Late_Fee_Relief_Windows_3B!$O$779:$O$100,CBIC_Late_Fee_Relief_Windows_3B!$D$779:$D$100,"&lt;="&amp;B779,CBIC_Late_Fee_Relief_Windows_3B!$E$779:$E$100,"&gt;="&amp;B779,CBIC_Late_Fee_Relief_Windows_3B!$F$779:$F$100,"&lt;="&amp;C779,CBIC_Late_Fee_Relief_Windows_3B!$G$779:$G$100,"&gt;="&amp;C779)</f>
        <v/>
      </c>
      <c r="H779">
        <f>INDEX(CBIC_Late_Fee_Relief_Windows_3B!$I$779:$I$100,MATCH(G779,CBIC_Late_Fee_Relief_Windows_3B!$O$779:$O$100,0))</f>
        <v/>
      </c>
      <c r="I779">
        <f>MIN(F779,H779)</f>
        <v/>
      </c>
    </row>
    <row r="780">
      <c r="A780">
        <f>TEST_DATA!A780</f>
        <v/>
      </c>
      <c r="B780">
        <f>TEST_DATA!B780</f>
        <v/>
      </c>
      <c r="C780">
        <f>TEST_DATA!C780</f>
        <v/>
      </c>
      <c r="D780">
        <f>TEST_DATA!D780</f>
        <v/>
      </c>
      <c r="E780">
        <f>TEST_DATA!E780</f>
        <v/>
      </c>
      <c r="F780">
        <f>MIN(E780*78000,10000)</f>
        <v/>
      </c>
      <c r="G780">
        <f>MINIFS(CBIC_Late_Fee_Relief_Windows_3B!$O$780:$O$100,CBIC_Late_Fee_Relief_Windows_3B!$D$780:$D$100,"&lt;="&amp;B780,CBIC_Late_Fee_Relief_Windows_3B!$E$780:$E$100,"&gt;="&amp;B780,CBIC_Late_Fee_Relief_Windows_3B!$F$780:$F$100,"&lt;="&amp;C780,CBIC_Late_Fee_Relief_Windows_3B!$G$780:$G$100,"&gt;="&amp;C780)</f>
        <v/>
      </c>
      <c r="H780">
        <f>INDEX(CBIC_Late_Fee_Relief_Windows_3B!$I$780:$I$100,MATCH(G780,CBIC_Late_Fee_Relief_Windows_3B!$O$780:$O$100,0))</f>
        <v/>
      </c>
      <c r="I780">
        <f>MIN(F780,H780)</f>
        <v/>
      </c>
    </row>
    <row r="781">
      <c r="A781">
        <f>TEST_DATA!A781</f>
        <v/>
      </c>
      <c r="B781">
        <f>TEST_DATA!B781</f>
        <v/>
      </c>
      <c r="C781">
        <f>TEST_DATA!C781</f>
        <v/>
      </c>
      <c r="D781">
        <f>TEST_DATA!D781</f>
        <v/>
      </c>
      <c r="E781">
        <f>TEST_DATA!E781</f>
        <v/>
      </c>
      <c r="F781">
        <f>MIN(E781*78100,10000)</f>
        <v/>
      </c>
      <c r="G781">
        <f>MINIFS(CBIC_Late_Fee_Relief_Windows_3B!$O$781:$O$100,CBIC_Late_Fee_Relief_Windows_3B!$D$781:$D$100,"&lt;="&amp;B781,CBIC_Late_Fee_Relief_Windows_3B!$E$781:$E$100,"&gt;="&amp;B781,CBIC_Late_Fee_Relief_Windows_3B!$F$781:$F$100,"&lt;="&amp;C781,CBIC_Late_Fee_Relief_Windows_3B!$G$781:$G$100,"&gt;="&amp;C781)</f>
        <v/>
      </c>
      <c r="H781">
        <f>INDEX(CBIC_Late_Fee_Relief_Windows_3B!$I$781:$I$100,MATCH(G781,CBIC_Late_Fee_Relief_Windows_3B!$O$781:$O$100,0))</f>
        <v/>
      </c>
      <c r="I781">
        <f>MIN(F781,H781)</f>
        <v/>
      </c>
    </row>
    <row r="782">
      <c r="A782">
        <f>TEST_DATA!A782</f>
        <v/>
      </c>
      <c r="B782">
        <f>TEST_DATA!B782</f>
        <v/>
      </c>
      <c r="C782">
        <f>TEST_DATA!C782</f>
        <v/>
      </c>
      <c r="D782">
        <f>TEST_DATA!D782</f>
        <v/>
      </c>
      <c r="E782">
        <f>TEST_DATA!E782</f>
        <v/>
      </c>
      <c r="F782">
        <f>MIN(E782*78200,10000)</f>
        <v/>
      </c>
      <c r="G782">
        <f>MINIFS(CBIC_Late_Fee_Relief_Windows_3B!$O$782:$O$100,CBIC_Late_Fee_Relief_Windows_3B!$D$782:$D$100,"&lt;="&amp;B782,CBIC_Late_Fee_Relief_Windows_3B!$E$782:$E$100,"&gt;="&amp;B782,CBIC_Late_Fee_Relief_Windows_3B!$F$782:$F$100,"&lt;="&amp;C782,CBIC_Late_Fee_Relief_Windows_3B!$G$782:$G$100,"&gt;="&amp;C782)</f>
        <v/>
      </c>
      <c r="H782">
        <f>INDEX(CBIC_Late_Fee_Relief_Windows_3B!$I$782:$I$100,MATCH(G782,CBIC_Late_Fee_Relief_Windows_3B!$O$782:$O$100,0))</f>
        <v/>
      </c>
      <c r="I782">
        <f>MIN(F782,H782)</f>
        <v/>
      </c>
    </row>
    <row r="783">
      <c r="A783">
        <f>TEST_DATA!A783</f>
        <v/>
      </c>
      <c r="B783">
        <f>TEST_DATA!B783</f>
        <v/>
      </c>
      <c r="C783">
        <f>TEST_DATA!C783</f>
        <v/>
      </c>
      <c r="D783">
        <f>TEST_DATA!D783</f>
        <v/>
      </c>
      <c r="E783">
        <f>TEST_DATA!E783</f>
        <v/>
      </c>
      <c r="F783">
        <f>MIN(E783*78300,10000)</f>
        <v/>
      </c>
      <c r="G783">
        <f>MINIFS(CBIC_Late_Fee_Relief_Windows_3B!$O$783:$O$100,CBIC_Late_Fee_Relief_Windows_3B!$D$783:$D$100,"&lt;="&amp;B783,CBIC_Late_Fee_Relief_Windows_3B!$E$783:$E$100,"&gt;="&amp;B783,CBIC_Late_Fee_Relief_Windows_3B!$F$783:$F$100,"&lt;="&amp;C783,CBIC_Late_Fee_Relief_Windows_3B!$G$783:$G$100,"&gt;="&amp;C783)</f>
        <v/>
      </c>
      <c r="H783">
        <f>INDEX(CBIC_Late_Fee_Relief_Windows_3B!$I$783:$I$100,MATCH(G783,CBIC_Late_Fee_Relief_Windows_3B!$O$783:$O$100,0))</f>
        <v/>
      </c>
      <c r="I783">
        <f>MIN(F783,H783)</f>
        <v/>
      </c>
    </row>
    <row r="784">
      <c r="A784">
        <f>TEST_DATA!A784</f>
        <v/>
      </c>
      <c r="B784">
        <f>TEST_DATA!B784</f>
        <v/>
      </c>
      <c r="C784">
        <f>TEST_DATA!C784</f>
        <v/>
      </c>
      <c r="D784">
        <f>TEST_DATA!D784</f>
        <v/>
      </c>
      <c r="E784">
        <f>TEST_DATA!E784</f>
        <v/>
      </c>
      <c r="F784">
        <f>MIN(E784*78400,10000)</f>
        <v/>
      </c>
      <c r="G784">
        <f>MINIFS(CBIC_Late_Fee_Relief_Windows_3B!$O$784:$O$100,CBIC_Late_Fee_Relief_Windows_3B!$D$784:$D$100,"&lt;="&amp;B784,CBIC_Late_Fee_Relief_Windows_3B!$E$784:$E$100,"&gt;="&amp;B784,CBIC_Late_Fee_Relief_Windows_3B!$F$784:$F$100,"&lt;="&amp;C784,CBIC_Late_Fee_Relief_Windows_3B!$G$784:$G$100,"&gt;="&amp;C784)</f>
        <v/>
      </c>
      <c r="H784">
        <f>INDEX(CBIC_Late_Fee_Relief_Windows_3B!$I$784:$I$100,MATCH(G784,CBIC_Late_Fee_Relief_Windows_3B!$O$784:$O$100,0))</f>
        <v/>
      </c>
      <c r="I784">
        <f>MIN(F784,H784)</f>
        <v/>
      </c>
    </row>
    <row r="785">
      <c r="A785">
        <f>TEST_DATA!A785</f>
        <v/>
      </c>
      <c r="B785">
        <f>TEST_DATA!B785</f>
        <v/>
      </c>
      <c r="C785">
        <f>TEST_DATA!C785</f>
        <v/>
      </c>
      <c r="D785">
        <f>TEST_DATA!D785</f>
        <v/>
      </c>
      <c r="E785">
        <f>TEST_DATA!E785</f>
        <v/>
      </c>
      <c r="F785">
        <f>MIN(E785*78500,10000)</f>
        <v/>
      </c>
      <c r="G785">
        <f>MINIFS(CBIC_Late_Fee_Relief_Windows_3B!$O$785:$O$100,CBIC_Late_Fee_Relief_Windows_3B!$D$785:$D$100,"&lt;="&amp;B785,CBIC_Late_Fee_Relief_Windows_3B!$E$785:$E$100,"&gt;="&amp;B785,CBIC_Late_Fee_Relief_Windows_3B!$F$785:$F$100,"&lt;="&amp;C785,CBIC_Late_Fee_Relief_Windows_3B!$G$785:$G$100,"&gt;="&amp;C785)</f>
        <v/>
      </c>
      <c r="H785">
        <f>INDEX(CBIC_Late_Fee_Relief_Windows_3B!$I$785:$I$100,MATCH(G785,CBIC_Late_Fee_Relief_Windows_3B!$O$785:$O$100,0))</f>
        <v/>
      </c>
      <c r="I785">
        <f>MIN(F785,H785)</f>
        <v/>
      </c>
    </row>
    <row r="786">
      <c r="A786">
        <f>TEST_DATA!A786</f>
        <v/>
      </c>
      <c r="B786">
        <f>TEST_DATA!B786</f>
        <v/>
      </c>
      <c r="C786">
        <f>TEST_DATA!C786</f>
        <v/>
      </c>
      <c r="D786">
        <f>TEST_DATA!D786</f>
        <v/>
      </c>
      <c r="E786">
        <f>TEST_DATA!E786</f>
        <v/>
      </c>
      <c r="F786">
        <f>MIN(E786*78600,10000)</f>
        <v/>
      </c>
      <c r="G786">
        <f>MINIFS(CBIC_Late_Fee_Relief_Windows_3B!$O$786:$O$100,CBIC_Late_Fee_Relief_Windows_3B!$D$786:$D$100,"&lt;="&amp;B786,CBIC_Late_Fee_Relief_Windows_3B!$E$786:$E$100,"&gt;="&amp;B786,CBIC_Late_Fee_Relief_Windows_3B!$F$786:$F$100,"&lt;="&amp;C786,CBIC_Late_Fee_Relief_Windows_3B!$G$786:$G$100,"&gt;="&amp;C786)</f>
        <v/>
      </c>
      <c r="H786">
        <f>INDEX(CBIC_Late_Fee_Relief_Windows_3B!$I$786:$I$100,MATCH(G786,CBIC_Late_Fee_Relief_Windows_3B!$O$786:$O$100,0))</f>
        <v/>
      </c>
      <c r="I786">
        <f>MIN(F786,H786)</f>
        <v/>
      </c>
    </row>
    <row r="787">
      <c r="A787">
        <f>TEST_DATA!A787</f>
        <v/>
      </c>
      <c r="B787">
        <f>TEST_DATA!B787</f>
        <v/>
      </c>
      <c r="C787">
        <f>TEST_DATA!C787</f>
        <v/>
      </c>
      <c r="D787">
        <f>TEST_DATA!D787</f>
        <v/>
      </c>
      <c r="E787">
        <f>TEST_DATA!E787</f>
        <v/>
      </c>
      <c r="F787">
        <f>MIN(E787*78700,10000)</f>
        <v/>
      </c>
      <c r="G787">
        <f>MINIFS(CBIC_Late_Fee_Relief_Windows_3B!$O$787:$O$100,CBIC_Late_Fee_Relief_Windows_3B!$D$787:$D$100,"&lt;="&amp;B787,CBIC_Late_Fee_Relief_Windows_3B!$E$787:$E$100,"&gt;="&amp;B787,CBIC_Late_Fee_Relief_Windows_3B!$F$787:$F$100,"&lt;="&amp;C787,CBIC_Late_Fee_Relief_Windows_3B!$G$787:$G$100,"&gt;="&amp;C787)</f>
        <v/>
      </c>
      <c r="H787">
        <f>INDEX(CBIC_Late_Fee_Relief_Windows_3B!$I$787:$I$100,MATCH(G787,CBIC_Late_Fee_Relief_Windows_3B!$O$787:$O$100,0))</f>
        <v/>
      </c>
      <c r="I787">
        <f>MIN(F787,H787)</f>
        <v/>
      </c>
    </row>
    <row r="788">
      <c r="A788">
        <f>TEST_DATA!A788</f>
        <v/>
      </c>
      <c r="B788">
        <f>TEST_DATA!B788</f>
        <v/>
      </c>
      <c r="C788">
        <f>TEST_DATA!C788</f>
        <v/>
      </c>
      <c r="D788">
        <f>TEST_DATA!D788</f>
        <v/>
      </c>
      <c r="E788">
        <f>TEST_DATA!E788</f>
        <v/>
      </c>
      <c r="F788">
        <f>MIN(E788*78800,10000)</f>
        <v/>
      </c>
      <c r="G788">
        <f>MINIFS(CBIC_Late_Fee_Relief_Windows_3B!$O$788:$O$100,CBIC_Late_Fee_Relief_Windows_3B!$D$788:$D$100,"&lt;="&amp;B788,CBIC_Late_Fee_Relief_Windows_3B!$E$788:$E$100,"&gt;="&amp;B788,CBIC_Late_Fee_Relief_Windows_3B!$F$788:$F$100,"&lt;="&amp;C788,CBIC_Late_Fee_Relief_Windows_3B!$G$788:$G$100,"&gt;="&amp;C788)</f>
        <v/>
      </c>
      <c r="H788">
        <f>INDEX(CBIC_Late_Fee_Relief_Windows_3B!$I$788:$I$100,MATCH(G788,CBIC_Late_Fee_Relief_Windows_3B!$O$788:$O$100,0))</f>
        <v/>
      </c>
      <c r="I788">
        <f>MIN(F788,H788)</f>
        <v/>
      </c>
    </row>
    <row r="789">
      <c r="A789">
        <f>TEST_DATA!A789</f>
        <v/>
      </c>
      <c r="B789">
        <f>TEST_DATA!B789</f>
        <v/>
      </c>
      <c r="C789">
        <f>TEST_DATA!C789</f>
        <v/>
      </c>
      <c r="D789">
        <f>TEST_DATA!D789</f>
        <v/>
      </c>
      <c r="E789">
        <f>TEST_DATA!E789</f>
        <v/>
      </c>
      <c r="F789">
        <f>MIN(E789*78900,10000)</f>
        <v/>
      </c>
      <c r="G789">
        <f>MINIFS(CBIC_Late_Fee_Relief_Windows_3B!$O$789:$O$100,CBIC_Late_Fee_Relief_Windows_3B!$D$789:$D$100,"&lt;="&amp;B789,CBIC_Late_Fee_Relief_Windows_3B!$E$789:$E$100,"&gt;="&amp;B789,CBIC_Late_Fee_Relief_Windows_3B!$F$789:$F$100,"&lt;="&amp;C789,CBIC_Late_Fee_Relief_Windows_3B!$G$789:$G$100,"&gt;="&amp;C789)</f>
        <v/>
      </c>
      <c r="H789">
        <f>INDEX(CBIC_Late_Fee_Relief_Windows_3B!$I$789:$I$100,MATCH(G789,CBIC_Late_Fee_Relief_Windows_3B!$O$789:$O$100,0))</f>
        <v/>
      </c>
      <c r="I789">
        <f>MIN(F789,H789)</f>
        <v/>
      </c>
    </row>
    <row r="790">
      <c r="A790">
        <f>TEST_DATA!A790</f>
        <v/>
      </c>
      <c r="B790">
        <f>TEST_DATA!B790</f>
        <v/>
      </c>
      <c r="C790">
        <f>TEST_DATA!C790</f>
        <v/>
      </c>
      <c r="D790">
        <f>TEST_DATA!D790</f>
        <v/>
      </c>
      <c r="E790">
        <f>TEST_DATA!E790</f>
        <v/>
      </c>
      <c r="F790">
        <f>MIN(E790*79000,10000)</f>
        <v/>
      </c>
      <c r="G790">
        <f>MINIFS(CBIC_Late_Fee_Relief_Windows_3B!$O$790:$O$100,CBIC_Late_Fee_Relief_Windows_3B!$D$790:$D$100,"&lt;="&amp;B790,CBIC_Late_Fee_Relief_Windows_3B!$E$790:$E$100,"&gt;="&amp;B790,CBIC_Late_Fee_Relief_Windows_3B!$F$790:$F$100,"&lt;="&amp;C790,CBIC_Late_Fee_Relief_Windows_3B!$G$790:$G$100,"&gt;="&amp;C790)</f>
        <v/>
      </c>
      <c r="H790">
        <f>INDEX(CBIC_Late_Fee_Relief_Windows_3B!$I$790:$I$100,MATCH(G790,CBIC_Late_Fee_Relief_Windows_3B!$O$790:$O$100,0))</f>
        <v/>
      </c>
      <c r="I790">
        <f>MIN(F790,H790)</f>
        <v/>
      </c>
    </row>
    <row r="791">
      <c r="A791">
        <f>TEST_DATA!A791</f>
        <v/>
      </c>
      <c r="B791">
        <f>TEST_DATA!B791</f>
        <v/>
      </c>
      <c r="C791">
        <f>TEST_DATA!C791</f>
        <v/>
      </c>
      <c r="D791">
        <f>TEST_DATA!D791</f>
        <v/>
      </c>
      <c r="E791">
        <f>TEST_DATA!E791</f>
        <v/>
      </c>
      <c r="F791">
        <f>MIN(E791*79100,10000)</f>
        <v/>
      </c>
      <c r="G791">
        <f>MINIFS(CBIC_Late_Fee_Relief_Windows_3B!$O$791:$O$100,CBIC_Late_Fee_Relief_Windows_3B!$D$791:$D$100,"&lt;="&amp;B791,CBIC_Late_Fee_Relief_Windows_3B!$E$791:$E$100,"&gt;="&amp;B791,CBIC_Late_Fee_Relief_Windows_3B!$F$791:$F$100,"&lt;="&amp;C791,CBIC_Late_Fee_Relief_Windows_3B!$G$791:$G$100,"&gt;="&amp;C791)</f>
        <v/>
      </c>
      <c r="H791">
        <f>INDEX(CBIC_Late_Fee_Relief_Windows_3B!$I$791:$I$100,MATCH(G791,CBIC_Late_Fee_Relief_Windows_3B!$O$791:$O$100,0))</f>
        <v/>
      </c>
      <c r="I791">
        <f>MIN(F791,H791)</f>
        <v/>
      </c>
    </row>
    <row r="792">
      <c r="A792">
        <f>TEST_DATA!A792</f>
        <v/>
      </c>
      <c r="B792">
        <f>TEST_DATA!B792</f>
        <v/>
      </c>
      <c r="C792">
        <f>TEST_DATA!C792</f>
        <v/>
      </c>
      <c r="D792">
        <f>TEST_DATA!D792</f>
        <v/>
      </c>
      <c r="E792">
        <f>TEST_DATA!E792</f>
        <v/>
      </c>
      <c r="F792">
        <f>MIN(E792*79200,10000)</f>
        <v/>
      </c>
      <c r="G792">
        <f>MINIFS(CBIC_Late_Fee_Relief_Windows_3B!$O$792:$O$100,CBIC_Late_Fee_Relief_Windows_3B!$D$792:$D$100,"&lt;="&amp;B792,CBIC_Late_Fee_Relief_Windows_3B!$E$792:$E$100,"&gt;="&amp;B792,CBIC_Late_Fee_Relief_Windows_3B!$F$792:$F$100,"&lt;="&amp;C792,CBIC_Late_Fee_Relief_Windows_3B!$G$792:$G$100,"&gt;="&amp;C792)</f>
        <v/>
      </c>
      <c r="H792">
        <f>INDEX(CBIC_Late_Fee_Relief_Windows_3B!$I$792:$I$100,MATCH(G792,CBIC_Late_Fee_Relief_Windows_3B!$O$792:$O$100,0))</f>
        <v/>
      </c>
      <c r="I792">
        <f>MIN(F792,H792)</f>
        <v/>
      </c>
    </row>
    <row r="793">
      <c r="A793">
        <f>TEST_DATA!A793</f>
        <v/>
      </c>
      <c r="B793">
        <f>TEST_DATA!B793</f>
        <v/>
      </c>
      <c r="C793">
        <f>TEST_DATA!C793</f>
        <v/>
      </c>
      <c r="D793">
        <f>TEST_DATA!D793</f>
        <v/>
      </c>
      <c r="E793">
        <f>TEST_DATA!E793</f>
        <v/>
      </c>
      <c r="F793">
        <f>MIN(E793*79300,10000)</f>
        <v/>
      </c>
      <c r="G793">
        <f>MINIFS(CBIC_Late_Fee_Relief_Windows_3B!$O$793:$O$100,CBIC_Late_Fee_Relief_Windows_3B!$D$793:$D$100,"&lt;="&amp;B793,CBIC_Late_Fee_Relief_Windows_3B!$E$793:$E$100,"&gt;="&amp;B793,CBIC_Late_Fee_Relief_Windows_3B!$F$793:$F$100,"&lt;="&amp;C793,CBIC_Late_Fee_Relief_Windows_3B!$G$793:$G$100,"&gt;="&amp;C793)</f>
        <v/>
      </c>
      <c r="H793">
        <f>INDEX(CBIC_Late_Fee_Relief_Windows_3B!$I$793:$I$100,MATCH(G793,CBIC_Late_Fee_Relief_Windows_3B!$O$793:$O$100,0))</f>
        <v/>
      </c>
      <c r="I793">
        <f>MIN(F793,H793)</f>
        <v/>
      </c>
    </row>
    <row r="794">
      <c r="A794">
        <f>TEST_DATA!A794</f>
        <v/>
      </c>
      <c r="B794">
        <f>TEST_DATA!B794</f>
        <v/>
      </c>
      <c r="C794">
        <f>TEST_DATA!C794</f>
        <v/>
      </c>
      <c r="D794">
        <f>TEST_DATA!D794</f>
        <v/>
      </c>
      <c r="E794">
        <f>TEST_DATA!E794</f>
        <v/>
      </c>
      <c r="F794">
        <f>MIN(E794*79400,10000)</f>
        <v/>
      </c>
      <c r="G794">
        <f>MINIFS(CBIC_Late_Fee_Relief_Windows_3B!$O$794:$O$100,CBIC_Late_Fee_Relief_Windows_3B!$D$794:$D$100,"&lt;="&amp;B794,CBIC_Late_Fee_Relief_Windows_3B!$E$794:$E$100,"&gt;="&amp;B794,CBIC_Late_Fee_Relief_Windows_3B!$F$794:$F$100,"&lt;="&amp;C794,CBIC_Late_Fee_Relief_Windows_3B!$G$794:$G$100,"&gt;="&amp;C794)</f>
        <v/>
      </c>
      <c r="H794">
        <f>INDEX(CBIC_Late_Fee_Relief_Windows_3B!$I$794:$I$100,MATCH(G794,CBIC_Late_Fee_Relief_Windows_3B!$O$794:$O$100,0))</f>
        <v/>
      </c>
      <c r="I794">
        <f>MIN(F794,H794)</f>
        <v/>
      </c>
    </row>
    <row r="795">
      <c r="A795">
        <f>TEST_DATA!A795</f>
        <v/>
      </c>
      <c r="B795">
        <f>TEST_DATA!B795</f>
        <v/>
      </c>
      <c r="C795">
        <f>TEST_DATA!C795</f>
        <v/>
      </c>
      <c r="D795">
        <f>TEST_DATA!D795</f>
        <v/>
      </c>
      <c r="E795">
        <f>TEST_DATA!E795</f>
        <v/>
      </c>
      <c r="F795">
        <f>MIN(E795*79500,10000)</f>
        <v/>
      </c>
      <c r="G795">
        <f>MINIFS(CBIC_Late_Fee_Relief_Windows_3B!$O$795:$O$100,CBIC_Late_Fee_Relief_Windows_3B!$D$795:$D$100,"&lt;="&amp;B795,CBIC_Late_Fee_Relief_Windows_3B!$E$795:$E$100,"&gt;="&amp;B795,CBIC_Late_Fee_Relief_Windows_3B!$F$795:$F$100,"&lt;="&amp;C795,CBIC_Late_Fee_Relief_Windows_3B!$G$795:$G$100,"&gt;="&amp;C795)</f>
        <v/>
      </c>
      <c r="H795">
        <f>INDEX(CBIC_Late_Fee_Relief_Windows_3B!$I$795:$I$100,MATCH(G795,CBIC_Late_Fee_Relief_Windows_3B!$O$795:$O$100,0))</f>
        <v/>
      </c>
      <c r="I795">
        <f>MIN(F795,H795)</f>
        <v/>
      </c>
    </row>
    <row r="796">
      <c r="A796">
        <f>TEST_DATA!A796</f>
        <v/>
      </c>
      <c r="B796">
        <f>TEST_DATA!B796</f>
        <v/>
      </c>
      <c r="C796">
        <f>TEST_DATA!C796</f>
        <v/>
      </c>
      <c r="D796">
        <f>TEST_DATA!D796</f>
        <v/>
      </c>
      <c r="E796">
        <f>TEST_DATA!E796</f>
        <v/>
      </c>
      <c r="F796">
        <f>MIN(E796*79600,10000)</f>
        <v/>
      </c>
      <c r="G796">
        <f>MINIFS(CBIC_Late_Fee_Relief_Windows_3B!$O$796:$O$100,CBIC_Late_Fee_Relief_Windows_3B!$D$796:$D$100,"&lt;="&amp;B796,CBIC_Late_Fee_Relief_Windows_3B!$E$796:$E$100,"&gt;="&amp;B796,CBIC_Late_Fee_Relief_Windows_3B!$F$796:$F$100,"&lt;="&amp;C796,CBIC_Late_Fee_Relief_Windows_3B!$G$796:$G$100,"&gt;="&amp;C796)</f>
        <v/>
      </c>
      <c r="H796">
        <f>INDEX(CBIC_Late_Fee_Relief_Windows_3B!$I$796:$I$100,MATCH(G796,CBIC_Late_Fee_Relief_Windows_3B!$O$796:$O$100,0))</f>
        <v/>
      </c>
      <c r="I796">
        <f>MIN(F796,H796)</f>
        <v/>
      </c>
    </row>
    <row r="797">
      <c r="A797">
        <f>TEST_DATA!A797</f>
        <v/>
      </c>
      <c r="B797">
        <f>TEST_DATA!B797</f>
        <v/>
      </c>
      <c r="C797">
        <f>TEST_DATA!C797</f>
        <v/>
      </c>
      <c r="D797">
        <f>TEST_DATA!D797</f>
        <v/>
      </c>
      <c r="E797">
        <f>TEST_DATA!E797</f>
        <v/>
      </c>
      <c r="F797">
        <f>MIN(E797*79700,10000)</f>
        <v/>
      </c>
      <c r="G797">
        <f>MINIFS(CBIC_Late_Fee_Relief_Windows_3B!$O$797:$O$100,CBIC_Late_Fee_Relief_Windows_3B!$D$797:$D$100,"&lt;="&amp;B797,CBIC_Late_Fee_Relief_Windows_3B!$E$797:$E$100,"&gt;="&amp;B797,CBIC_Late_Fee_Relief_Windows_3B!$F$797:$F$100,"&lt;="&amp;C797,CBIC_Late_Fee_Relief_Windows_3B!$G$797:$G$100,"&gt;="&amp;C797)</f>
        <v/>
      </c>
      <c r="H797">
        <f>INDEX(CBIC_Late_Fee_Relief_Windows_3B!$I$797:$I$100,MATCH(G797,CBIC_Late_Fee_Relief_Windows_3B!$O$797:$O$100,0))</f>
        <v/>
      </c>
      <c r="I797">
        <f>MIN(F797,H797)</f>
        <v/>
      </c>
    </row>
    <row r="798">
      <c r="A798">
        <f>TEST_DATA!A798</f>
        <v/>
      </c>
      <c r="B798">
        <f>TEST_DATA!B798</f>
        <v/>
      </c>
      <c r="C798">
        <f>TEST_DATA!C798</f>
        <v/>
      </c>
      <c r="D798">
        <f>TEST_DATA!D798</f>
        <v/>
      </c>
      <c r="E798">
        <f>TEST_DATA!E798</f>
        <v/>
      </c>
      <c r="F798">
        <f>MIN(E798*79800,10000)</f>
        <v/>
      </c>
      <c r="G798">
        <f>MINIFS(CBIC_Late_Fee_Relief_Windows_3B!$O$798:$O$100,CBIC_Late_Fee_Relief_Windows_3B!$D$798:$D$100,"&lt;="&amp;B798,CBIC_Late_Fee_Relief_Windows_3B!$E$798:$E$100,"&gt;="&amp;B798,CBIC_Late_Fee_Relief_Windows_3B!$F$798:$F$100,"&lt;="&amp;C798,CBIC_Late_Fee_Relief_Windows_3B!$G$798:$G$100,"&gt;="&amp;C798)</f>
        <v/>
      </c>
      <c r="H798">
        <f>INDEX(CBIC_Late_Fee_Relief_Windows_3B!$I$798:$I$100,MATCH(G798,CBIC_Late_Fee_Relief_Windows_3B!$O$798:$O$100,0))</f>
        <v/>
      </c>
      <c r="I798">
        <f>MIN(F798,H798)</f>
        <v/>
      </c>
    </row>
    <row r="799">
      <c r="A799">
        <f>TEST_DATA!A799</f>
        <v/>
      </c>
      <c r="B799">
        <f>TEST_DATA!B799</f>
        <v/>
      </c>
      <c r="C799">
        <f>TEST_DATA!C799</f>
        <v/>
      </c>
      <c r="D799">
        <f>TEST_DATA!D799</f>
        <v/>
      </c>
      <c r="E799">
        <f>TEST_DATA!E799</f>
        <v/>
      </c>
      <c r="F799">
        <f>MIN(E799*79900,10000)</f>
        <v/>
      </c>
      <c r="G799">
        <f>MINIFS(CBIC_Late_Fee_Relief_Windows_3B!$O$799:$O$100,CBIC_Late_Fee_Relief_Windows_3B!$D$799:$D$100,"&lt;="&amp;B799,CBIC_Late_Fee_Relief_Windows_3B!$E$799:$E$100,"&gt;="&amp;B799,CBIC_Late_Fee_Relief_Windows_3B!$F$799:$F$100,"&lt;="&amp;C799,CBIC_Late_Fee_Relief_Windows_3B!$G$799:$G$100,"&gt;="&amp;C799)</f>
        <v/>
      </c>
      <c r="H799">
        <f>INDEX(CBIC_Late_Fee_Relief_Windows_3B!$I$799:$I$100,MATCH(G799,CBIC_Late_Fee_Relief_Windows_3B!$O$799:$O$100,0))</f>
        <v/>
      </c>
      <c r="I799">
        <f>MIN(F799,H799)</f>
        <v/>
      </c>
    </row>
    <row r="800">
      <c r="A800">
        <f>TEST_DATA!A800</f>
        <v/>
      </c>
      <c r="B800">
        <f>TEST_DATA!B800</f>
        <v/>
      </c>
      <c r="C800">
        <f>TEST_DATA!C800</f>
        <v/>
      </c>
      <c r="D800">
        <f>TEST_DATA!D800</f>
        <v/>
      </c>
      <c r="E800">
        <f>TEST_DATA!E800</f>
        <v/>
      </c>
      <c r="F800">
        <f>MIN(E800*80000,10000)</f>
        <v/>
      </c>
      <c r="G800">
        <f>MINIFS(CBIC_Late_Fee_Relief_Windows_3B!$O$800:$O$100,CBIC_Late_Fee_Relief_Windows_3B!$D$800:$D$100,"&lt;="&amp;B800,CBIC_Late_Fee_Relief_Windows_3B!$E$800:$E$100,"&gt;="&amp;B800,CBIC_Late_Fee_Relief_Windows_3B!$F$800:$F$100,"&lt;="&amp;C800,CBIC_Late_Fee_Relief_Windows_3B!$G$800:$G$100,"&gt;="&amp;C800)</f>
        <v/>
      </c>
      <c r="H800">
        <f>INDEX(CBIC_Late_Fee_Relief_Windows_3B!$I$800:$I$100,MATCH(G800,CBIC_Late_Fee_Relief_Windows_3B!$O$800:$O$100,0))</f>
        <v/>
      </c>
      <c r="I800">
        <f>MIN(F800,H800)</f>
        <v/>
      </c>
    </row>
    <row r="801">
      <c r="A801">
        <f>TEST_DATA!A801</f>
        <v/>
      </c>
      <c r="B801">
        <f>TEST_DATA!B801</f>
        <v/>
      </c>
      <c r="C801">
        <f>TEST_DATA!C801</f>
        <v/>
      </c>
      <c r="D801">
        <f>TEST_DATA!D801</f>
        <v/>
      </c>
      <c r="E801">
        <f>TEST_DATA!E801</f>
        <v/>
      </c>
      <c r="F801">
        <f>MIN(E801*80100,10000)</f>
        <v/>
      </c>
      <c r="G801">
        <f>MINIFS(CBIC_Late_Fee_Relief_Windows_3B!$O$801:$O$100,CBIC_Late_Fee_Relief_Windows_3B!$D$801:$D$100,"&lt;="&amp;B801,CBIC_Late_Fee_Relief_Windows_3B!$E$801:$E$100,"&gt;="&amp;B801,CBIC_Late_Fee_Relief_Windows_3B!$F$801:$F$100,"&lt;="&amp;C801,CBIC_Late_Fee_Relief_Windows_3B!$G$801:$G$100,"&gt;="&amp;C801)</f>
        <v/>
      </c>
      <c r="H801">
        <f>INDEX(CBIC_Late_Fee_Relief_Windows_3B!$I$801:$I$100,MATCH(G801,CBIC_Late_Fee_Relief_Windows_3B!$O$801:$O$100,0))</f>
        <v/>
      </c>
      <c r="I801">
        <f>MIN(F801,H801)</f>
        <v/>
      </c>
    </row>
    <row r="802">
      <c r="A802">
        <f>TEST_DATA!A802</f>
        <v/>
      </c>
      <c r="B802">
        <f>TEST_DATA!B802</f>
        <v/>
      </c>
      <c r="C802">
        <f>TEST_DATA!C802</f>
        <v/>
      </c>
      <c r="D802">
        <f>TEST_DATA!D802</f>
        <v/>
      </c>
      <c r="E802">
        <f>TEST_DATA!E802</f>
        <v/>
      </c>
      <c r="F802">
        <f>MIN(E802*80200,10000)</f>
        <v/>
      </c>
      <c r="G802">
        <f>MINIFS(CBIC_Late_Fee_Relief_Windows_3B!$O$802:$O$100,CBIC_Late_Fee_Relief_Windows_3B!$D$802:$D$100,"&lt;="&amp;B802,CBIC_Late_Fee_Relief_Windows_3B!$E$802:$E$100,"&gt;="&amp;B802,CBIC_Late_Fee_Relief_Windows_3B!$F$802:$F$100,"&lt;="&amp;C802,CBIC_Late_Fee_Relief_Windows_3B!$G$802:$G$100,"&gt;="&amp;C802)</f>
        <v/>
      </c>
      <c r="H802">
        <f>INDEX(CBIC_Late_Fee_Relief_Windows_3B!$I$802:$I$100,MATCH(G802,CBIC_Late_Fee_Relief_Windows_3B!$O$802:$O$100,0))</f>
        <v/>
      </c>
      <c r="I802">
        <f>MIN(F802,H802)</f>
        <v/>
      </c>
    </row>
    <row r="803">
      <c r="A803">
        <f>TEST_DATA!A803</f>
        <v/>
      </c>
      <c r="B803">
        <f>TEST_DATA!B803</f>
        <v/>
      </c>
      <c r="C803">
        <f>TEST_DATA!C803</f>
        <v/>
      </c>
      <c r="D803">
        <f>TEST_DATA!D803</f>
        <v/>
      </c>
      <c r="E803">
        <f>TEST_DATA!E803</f>
        <v/>
      </c>
      <c r="F803">
        <f>MIN(E803*80300,10000)</f>
        <v/>
      </c>
      <c r="G803">
        <f>MINIFS(CBIC_Late_Fee_Relief_Windows_3B!$O$803:$O$100,CBIC_Late_Fee_Relief_Windows_3B!$D$803:$D$100,"&lt;="&amp;B803,CBIC_Late_Fee_Relief_Windows_3B!$E$803:$E$100,"&gt;="&amp;B803,CBIC_Late_Fee_Relief_Windows_3B!$F$803:$F$100,"&lt;="&amp;C803,CBIC_Late_Fee_Relief_Windows_3B!$G$803:$G$100,"&gt;="&amp;C803)</f>
        <v/>
      </c>
      <c r="H803">
        <f>INDEX(CBIC_Late_Fee_Relief_Windows_3B!$I$803:$I$100,MATCH(G803,CBIC_Late_Fee_Relief_Windows_3B!$O$803:$O$100,0))</f>
        <v/>
      </c>
      <c r="I803">
        <f>MIN(F803,H803)</f>
        <v/>
      </c>
    </row>
    <row r="804">
      <c r="A804">
        <f>TEST_DATA!A804</f>
        <v/>
      </c>
      <c r="B804">
        <f>TEST_DATA!B804</f>
        <v/>
      </c>
      <c r="C804">
        <f>TEST_DATA!C804</f>
        <v/>
      </c>
      <c r="D804">
        <f>TEST_DATA!D804</f>
        <v/>
      </c>
      <c r="E804">
        <f>TEST_DATA!E804</f>
        <v/>
      </c>
      <c r="F804">
        <f>MIN(E804*80400,10000)</f>
        <v/>
      </c>
      <c r="G804">
        <f>MINIFS(CBIC_Late_Fee_Relief_Windows_3B!$O$804:$O$100,CBIC_Late_Fee_Relief_Windows_3B!$D$804:$D$100,"&lt;="&amp;B804,CBIC_Late_Fee_Relief_Windows_3B!$E$804:$E$100,"&gt;="&amp;B804,CBIC_Late_Fee_Relief_Windows_3B!$F$804:$F$100,"&lt;="&amp;C804,CBIC_Late_Fee_Relief_Windows_3B!$G$804:$G$100,"&gt;="&amp;C804)</f>
        <v/>
      </c>
      <c r="H804">
        <f>INDEX(CBIC_Late_Fee_Relief_Windows_3B!$I$804:$I$100,MATCH(G804,CBIC_Late_Fee_Relief_Windows_3B!$O$804:$O$100,0))</f>
        <v/>
      </c>
      <c r="I804">
        <f>MIN(F804,H804)</f>
        <v/>
      </c>
    </row>
    <row r="805">
      <c r="A805">
        <f>TEST_DATA!A805</f>
        <v/>
      </c>
      <c r="B805">
        <f>TEST_DATA!B805</f>
        <v/>
      </c>
      <c r="C805">
        <f>TEST_DATA!C805</f>
        <v/>
      </c>
      <c r="D805">
        <f>TEST_DATA!D805</f>
        <v/>
      </c>
      <c r="E805">
        <f>TEST_DATA!E805</f>
        <v/>
      </c>
      <c r="F805">
        <f>MIN(E805*80500,10000)</f>
        <v/>
      </c>
      <c r="G805">
        <f>MINIFS(CBIC_Late_Fee_Relief_Windows_3B!$O$805:$O$100,CBIC_Late_Fee_Relief_Windows_3B!$D$805:$D$100,"&lt;="&amp;B805,CBIC_Late_Fee_Relief_Windows_3B!$E$805:$E$100,"&gt;="&amp;B805,CBIC_Late_Fee_Relief_Windows_3B!$F$805:$F$100,"&lt;="&amp;C805,CBIC_Late_Fee_Relief_Windows_3B!$G$805:$G$100,"&gt;="&amp;C805)</f>
        <v/>
      </c>
      <c r="H805">
        <f>INDEX(CBIC_Late_Fee_Relief_Windows_3B!$I$805:$I$100,MATCH(G805,CBIC_Late_Fee_Relief_Windows_3B!$O$805:$O$100,0))</f>
        <v/>
      </c>
      <c r="I805">
        <f>MIN(F805,H805)</f>
        <v/>
      </c>
    </row>
    <row r="806">
      <c r="A806">
        <f>TEST_DATA!A806</f>
        <v/>
      </c>
      <c r="B806">
        <f>TEST_DATA!B806</f>
        <v/>
      </c>
      <c r="C806">
        <f>TEST_DATA!C806</f>
        <v/>
      </c>
      <c r="D806">
        <f>TEST_DATA!D806</f>
        <v/>
      </c>
      <c r="E806">
        <f>TEST_DATA!E806</f>
        <v/>
      </c>
      <c r="F806">
        <f>MIN(E806*80600,10000)</f>
        <v/>
      </c>
      <c r="G806">
        <f>MINIFS(CBIC_Late_Fee_Relief_Windows_3B!$O$806:$O$100,CBIC_Late_Fee_Relief_Windows_3B!$D$806:$D$100,"&lt;="&amp;B806,CBIC_Late_Fee_Relief_Windows_3B!$E$806:$E$100,"&gt;="&amp;B806,CBIC_Late_Fee_Relief_Windows_3B!$F$806:$F$100,"&lt;="&amp;C806,CBIC_Late_Fee_Relief_Windows_3B!$G$806:$G$100,"&gt;="&amp;C806)</f>
        <v/>
      </c>
      <c r="H806">
        <f>INDEX(CBIC_Late_Fee_Relief_Windows_3B!$I$806:$I$100,MATCH(G806,CBIC_Late_Fee_Relief_Windows_3B!$O$806:$O$100,0))</f>
        <v/>
      </c>
      <c r="I806">
        <f>MIN(F806,H806)</f>
        <v/>
      </c>
    </row>
    <row r="807">
      <c r="A807">
        <f>TEST_DATA!A807</f>
        <v/>
      </c>
      <c r="B807">
        <f>TEST_DATA!B807</f>
        <v/>
      </c>
      <c r="C807">
        <f>TEST_DATA!C807</f>
        <v/>
      </c>
      <c r="D807">
        <f>TEST_DATA!D807</f>
        <v/>
      </c>
      <c r="E807">
        <f>TEST_DATA!E807</f>
        <v/>
      </c>
      <c r="F807">
        <f>MIN(E807*80700,10000)</f>
        <v/>
      </c>
      <c r="G807">
        <f>MINIFS(CBIC_Late_Fee_Relief_Windows_3B!$O$807:$O$100,CBIC_Late_Fee_Relief_Windows_3B!$D$807:$D$100,"&lt;="&amp;B807,CBIC_Late_Fee_Relief_Windows_3B!$E$807:$E$100,"&gt;="&amp;B807,CBIC_Late_Fee_Relief_Windows_3B!$F$807:$F$100,"&lt;="&amp;C807,CBIC_Late_Fee_Relief_Windows_3B!$G$807:$G$100,"&gt;="&amp;C807)</f>
        <v/>
      </c>
      <c r="H807">
        <f>INDEX(CBIC_Late_Fee_Relief_Windows_3B!$I$807:$I$100,MATCH(G807,CBIC_Late_Fee_Relief_Windows_3B!$O$807:$O$100,0))</f>
        <v/>
      </c>
      <c r="I807">
        <f>MIN(F807,H807)</f>
        <v/>
      </c>
    </row>
    <row r="808">
      <c r="A808">
        <f>TEST_DATA!A808</f>
        <v/>
      </c>
      <c r="B808">
        <f>TEST_DATA!B808</f>
        <v/>
      </c>
      <c r="C808">
        <f>TEST_DATA!C808</f>
        <v/>
      </c>
      <c r="D808">
        <f>TEST_DATA!D808</f>
        <v/>
      </c>
      <c r="E808">
        <f>TEST_DATA!E808</f>
        <v/>
      </c>
      <c r="F808">
        <f>MIN(E808*80800,10000)</f>
        <v/>
      </c>
      <c r="G808">
        <f>MINIFS(CBIC_Late_Fee_Relief_Windows_3B!$O$808:$O$100,CBIC_Late_Fee_Relief_Windows_3B!$D$808:$D$100,"&lt;="&amp;B808,CBIC_Late_Fee_Relief_Windows_3B!$E$808:$E$100,"&gt;="&amp;B808,CBIC_Late_Fee_Relief_Windows_3B!$F$808:$F$100,"&lt;="&amp;C808,CBIC_Late_Fee_Relief_Windows_3B!$G$808:$G$100,"&gt;="&amp;C808)</f>
        <v/>
      </c>
      <c r="H808">
        <f>INDEX(CBIC_Late_Fee_Relief_Windows_3B!$I$808:$I$100,MATCH(G808,CBIC_Late_Fee_Relief_Windows_3B!$O$808:$O$100,0))</f>
        <v/>
      </c>
      <c r="I808">
        <f>MIN(F808,H808)</f>
        <v/>
      </c>
    </row>
    <row r="809">
      <c r="A809">
        <f>TEST_DATA!A809</f>
        <v/>
      </c>
      <c r="B809">
        <f>TEST_DATA!B809</f>
        <v/>
      </c>
      <c r="C809">
        <f>TEST_DATA!C809</f>
        <v/>
      </c>
      <c r="D809">
        <f>TEST_DATA!D809</f>
        <v/>
      </c>
      <c r="E809">
        <f>TEST_DATA!E809</f>
        <v/>
      </c>
      <c r="F809">
        <f>MIN(E809*80900,10000)</f>
        <v/>
      </c>
      <c r="G809">
        <f>MINIFS(CBIC_Late_Fee_Relief_Windows_3B!$O$809:$O$100,CBIC_Late_Fee_Relief_Windows_3B!$D$809:$D$100,"&lt;="&amp;B809,CBIC_Late_Fee_Relief_Windows_3B!$E$809:$E$100,"&gt;="&amp;B809,CBIC_Late_Fee_Relief_Windows_3B!$F$809:$F$100,"&lt;="&amp;C809,CBIC_Late_Fee_Relief_Windows_3B!$G$809:$G$100,"&gt;="&amp;C809)</f>
        <v/>
      </c>
      <c r="H809">
        <f>INDEX(CBIC_Late_Fee_Relief_Windows_3B!$I$809:$I$100,MATCH(G809,CBIC_Late_Fee_Relief_Windows_3B!$O$809:$O$100,0))</f>
        <v/>
      </c>
      <c r="I809">
        <f>MIN(F809,H809)</f>
        <v/>
      </c>
    </row>
    <row r="810">
      <c r="A810">
        <f>TEST_DATA!A810</f>
        <v/>
      </c>
      <c r="B810">
        <f>TEST_DATA!B810</f>
        <v/>
      </c>
      <c r="C810">
        <f>TEST_DATA!C810</f>
        <v/>
      </c>
      <c r="D810">
        <f>TEST_DATA!D810</f>
        <v/>
      </c>
      <c r="E810">
        <f>TEST_DATA!E810</f>
        <v/>
      </c>
      <c r="F810">
        <f>MIN(E810*81000,10000)</f>
        <v/>
      </c>
      <c r="G810">
        <f>MINIFS(CBIC_Late_Fee_Relief_Windows_3B!$O$810:$O$100,CBIC_Late_Fee_Relief_Windows_3B!$D$810:$D$100,"&lt;="&amp;B810,CBIC_Late_Fee_Relief_Windows_3B!$E$810:$E$100,"&gt;="&amp;B810,CBIC_Late_Fee_Relief_Windows_3B!$F$810:$F$100,"&lt;="&amp;C810,CBIC_Late_Fee_Relief_Windows_3B!$G$810:$G$100,"&gt;="&amp;C810)</f>
        <v/>
      </c>
      <c r="H810">
        <f>INDEX(CBIC_Late_Fee_Relief_Windows_3B!$I$810:$I$100,MATCH(G810,CBIC_Late_Fee_Relief_Windows_3B!$O$810:$O$100,0))</f>
        <v/>
      </c>
      <c r="I810">
        <f>MIN(F810,H810)</f>
        <v/>
      </c>
    </row>
    <row r="811">
      <c r="A811">
        <f>TEST_DATA!A811</f>
        <v/>
      </c>
      <c r="B811">
        <f>TEST_DATA!B811</f>
        <v/>
      </c>
      <c r="C811">
        <f>TEST_DATA!C811</f>
        <v/>
      </c>
      <c r="D811">
        <f>TEST_DATA!D811</f>
        <v/>
      </c>
      <c r="E811">
        <f>TEST_DATA!E811</f>
        <v/>
      </c>
      <c r="F811">
        <f>MIN(E811*81100,10000)</f>
        <v/>
      </c>
      <c r="G811">
        <f>MINIFS(CBIC_Late_Fee_Relief_Windows_3B!$O$811:$O$100,CBIC_Late_Fee_Relief_Windows_3B!$D$811:$D$100,"&lt;="&amp;B811,CBIC_Late_Fee_Relief_Windows_3B!$E$811:$E$100,"&gt;="&amp;B811,CBIC_Late_Fee_Relief_Windows_3B!$F$811:$F$100,"&lt;="&amp;C811,CBIC_Late_Fee_Relief_Windows_3B!$G$811:$G$100,"&gt;="&amp;C811)</f>
        <v/>
      </c>
      <c r="H811">
        <f>INDEX(CBIC_Late_Fee_Relief_Windows_3B!$I$811:$I$100,MATCH(G811,CBIC_Late_Fee_Relief_Windows_3B!$O$811:$O$100,0))</f>
        <v/>
      </c>
      <c r="I811">
        <f>MIN(F811,H811)</f>
        <v/>
      </c>
    </row>
    <row r="812">
      <c r="A812">
        <f>TEST_DATA!A812</f>
        <v/>
      </c>
      <c r="B812">
        <f>TEST_DATA!B812</f>
        <v/>
      </c>
      <c r="C812">
        <f>TEST_DATA!C812</f>
        <v/>
      </c>
      <c r="D812">
        <f>TEST_DATA!D812</f>
        <v/>
      </c>
      <c r="E812">
        <f>TEST_DATA!E812</f>
        <v/>
      </c>
      <c r="F812">
        <f>MIN(E812*81200,10000)</f>
        <v/>
      </c>
      <c r="G812">
        <f>MINIFS(CBIC_Late_Fee_Relief_Windows_3B!$O$812:$O$100,CBIC_Late_Fee_Relief_Windows_3B!$D$812:$D$100,"&lt;="&amp;B812,CBIC_Late_Fee_Relief_Windows_3B!$E$812:$E$100,"&gt;="&amp;B812,CBIC_Late_Fee_Relief_Windows_3B!$F$812:$F$100,"&lt;="&amp;C812,CBIC_Late_Fee_Relief_Windows_3B!$G$812:$G$100,"&gt;="&amp;C812)</f>
        <v/>
      </c>
      <c r="H812">
        <f>INDEX(CBIC_Late_Fee_Relief_Windows_3B!$I$812:$I$100,MATCH(G812,CBIC_Late_Fee_Relief_Windows_3B!$O$812:$O$100,0))</f>
        <v/>
      </c>
      <c r="I812">
        <f>MIN(F812,H812)</f>
        <v/>
      </c>
    </row>
    <row r="813">
      <c r="A813">
        <f>TEST_DATA!A813</f>
        <v/>
      </c>
      <c r="B813">
        <f>TEST_DATA!B813</f>
        <v/>
      </c>
      <c r="C813">
        <f>TEST_DATA!C813</f>
        <v/>
      </c>
      <c r="D813">
        <f>TEST_DATA!D813</f>
        <v/>
      </c>
      <c r="E813">
        <f>TEST_DATA!E813</f>
        <v/>
      </c>
      <c r="F813">
        <f>MIN(E813*81300,10000)</f>
        <v/>
      </c>
      <c r="G813">
        <f>MINIFS(CBIC_Late_Fee_Relief_Windows_3B!$O$813:$O$100,CBIC_Late_Fee_Relief_Windows_3B!$D$813:$D$100,"&lt;="&amp;B813,CBIC_Late_Fee_Relief_Windows_3B!$E$813:$E$100,"&gt;="&amp;B813,CBIC_Late_Fee_Relief_Windows_3B!$F$813:$F$100,"&lt;="&amp;C813,CBIC_Late_Fee_Relief_Windows_3B!$G$813:$G$100,"&gt;="&amp;C813)</f>
        <v/>
      </c>
      <c r="H813">
        <f>INDEX(CBIC_Late_Fee_Relief_Windows_3B!$I$813:$I$100,MATCH(G813,CBIC_Late_Fee_Relief_Windows_3B!$O$813:$O$100,0))</f>
        <v/>
      </c>
      <c r="I813">
        <f>MIN(F813,H813)</f>
        <v/>
      </c>
    </row>
    <row r="814">
      <c r="A814">
        <f>TEST_DATA!A814</f>
        <v/>
      </c>
      <c r="B814">
        <f>TEST_DATA!B814</f>
        <v/>
      </c>
      <c r="C814">
        <f>TEST_DATA!C814</f>
        <v/>
      </c>
      <c r="D814">
        <f>TEST_DATA!D814</f>
        <v/>
      </c>
      <c r="E814">
        <f>TEST_DATA!E814</f>
        <v/>
      </c>
      <c r="F814">
        <f>MIN(E814*81400,10000)</f>
        <v/>
      </c>
      <c r="G814">
        <f>MINIFS(CBIC_Late_Fee_Relief_Windows_3B!$O$814:$O$100,CBIC_Late_Fee_Relief_Windows_3B!$D$814:$D$100,"&lt;="&amp;B814,CBIC_Late_Fee_Relief_Windows_3B!$E$814:$E$100,"&gt;="&amp;B814,CBIC_Late_Fee_Relief_Windows_3B!$F$814:$F$100,"&lt;="&amp;C814,CBIC_Late_Fee_Relief_Windows_3B!$G$814:$G$100,"&gt;="&amp;C814)</f>
        <v/>
      </c>
      <c r="H814">
        <f>INDEX(CBIC_Late_Fee_Relief_Windows_3B!$I$814:$I$100,MATCH(G814,CBIC_Late_Fee_Relief_Windows_3B!$O$814:$O$100,0))</f>
        <v/>
      </c>
      <c r="I814">
        <f>MIN(F814,H814)</f>
        <v/>
      </c>
    </row>
    <row r="815">
      <c r="A815">
        <f>TEST_DATA!A815</f>
        <v/>
      </c>
      <c r="B815">
        <f>TEST_DATA!B815</f>
        <v/>
      </c>
      <c r="C815">
        <f>TEST_DATA!C815</f>
        <v/>
      </c>
      <c r="D815">
        <f>TEST_DATA!D815</f>
        <v/>
      </c>
      <c r="E815">
        <f>TEST_DATA!E815</f>
        <v/>
      </c>
      <c r="F815">
        <f>MIN(E815*81500,10000)</f>
        <v/>
      </c>
      <c r="G815">
        <f>MINIFS(CBIC_Late_Fee_Relief_Windows_3B!$O$815:$O$100,CBIC_Late_Fee_Relief_Windows_3B!$D$815:$D$100,"&lt;="&amp;B815,CBIC_Late_Fee_Relief_Windows_3B!$E$815:$E$100,"&gt;="&amp;B815,CBIC_Late_Fee_Relief_Windows_3B!$F$815:$F$100,"&lt;="&amp;C815,CBIC_Late_Fee_Relief_Windows_3B!$G$815:$G$100,"&gt;="&amp;C815)</f>
        <v/>
      </c>
      <c r="H815">
        <f>INDEX(CBIC_Late_Fee_Relief_Windows_3B!$I$815:$I$100,MATCH(G815,CBIC_Late_Fee_Relief_Windows_3B!$O$815:$O$100,0))</f>
        <v/>
      </c>
      <c r="I815">
        <f>MIN(F815,H815)</f>
        <v/>
      </c>
    </row>
    <row r="816">
      <c r="A816">
        <f>TEST_DATA!A816</f>
        <v/>
      </c>
      <c r="B816">
        <f>TEST_DATA!B816</f>
        <v/>
      </c>
      <c r="C816">
        <f>TEST_DATA!C816</f>
        <v/>
      </c>
      <c r="D816">
        <f>TEST_DATA!D816</f>
        <v/>
      </c>
      <c r="E816">
        <f>TEST_DATA!E816</f>
        <v/>
      </c>
      <c r="F816">
        <f>MIN(E816*81600,10000)</f>
        <v/>
      </c>
      <c r="G816">
        <f>MINIFS(CBIC_Late_Fee_Relief_Windows_3B!$O$816:$O$100,CBIC_Late_Fee_Relief_Windows_3B!$D$816:$D$100,"&lt;="&amp;B816,CBIC_Late_Fee_Relief_Windows_3B!$E$816:$E$100,"&gt;="&amp;B816,CBIC_Late_Fee_Relief_Windows_3B!$F$816:$F$100,"&lt;="&amp;C816,CBIC_Late_Fee_Relief_Windows_3B!$G$816:$G$100,"&gt;="&amp;C816)</f>
        <v/>
      </c>
      <c r="H816">
        <f>INDEX(CBIC_Late_Fee_Relief_Windows_3B!$I$816:$I$100,MATCH(G816,CBIC_Late_Fee_Relief_Windows_3B!$O$816:$O$100,0))</f>
        <v/>
      </c>
      <c r="I816">
        <f>MIN(F816,H816)</f>
        <v/>
      </c>
    </row>
    <row r="817">
      <c r="A817">
        <f>TEST_DATA!A817</f>
        <v/>
      </c>
      <c r="B817">
        <f>TEST_DATA!B817</f>
        <v/>
      </c>
      <c r="C817">
        <f>TEST_DATA!C817</f>
        <v/>
      </c>
      <c r="D817">
        <f>TEST_DATA!D817</f>
        <v/>
      </c>
      <c r="E817">
        <f>TEST_DATA!E817</f>
        <v/>
      </c>
      <c r="F817">
        <f>MIN(E817*81700,10000)</f>
        <v/>
      </c>
      <c r="G817">
        <f>MINIFS(CBIC_Late_Fee_Relief_Windows_3B!$O$817:$O$100,CBIC_Late_Fee_Relief_Windows_3B!$D$817:$D$100,"&lt;="&amp;B817,CBIC_Late_Fee_Relief_Windows_3B!$E$817:$E$100,"&gt;="&amp;B817,CBIC_Late_Fee_Relief_Windows_3B!$F$817:$F$100,"&lt;="&amp;C817,CBIC_Late_Fee_Relief_Windows_3B!$G$817:$G$100,"&gt;="&amp;C817)</f>
        <v/>
      </c>
      <c r="H817">
        <f>INDEX(CBIC_Late_Fee_Relief_Windows_3B!$I$817:$I$100,MATCH(G817,CBIC_Late_Fee_Relief_Windows_3B!$O$817:$O$100,0))</f>
        <v/>
      </c>
      <c r="I817">
        <f>MIN(F817,H817)</f>
        <v/>
      </c>
    </row>
    <row r="818">
      <c r="A818">
        <f>TEST_DATA!A818</f>
        <v/>
      </c>
      <c r="B818">
        <f>TEST_DATA!B818</f>
        <v/>
      </c>
      <c r="C818">
        <f>TEST_DATA!C818</f>
        <v/>
      </c>
      <c r="D818">
        <f>TEST_DATA!D818</f>
        <v/>
      </c>
      <c r="E818">
        <f>TEST_DATA!E818</f>
        <v/>
      </c>
      <c r="F818">
        <f>MIN(E818*81800,10000)</f>
        <v/>
      </c>
      <c r="G818">
        <f>MINIFS(CBIC_Late_Fee_Relief_Windows_3B!$O$818:$O$100,CBIC_Late_Fee_Relief_Windows_3B!$D$818:$D$100,"&lt;="&amp;B818,CBIC_Late_Fee_Relief_Windows_3B!$E$818:$E$100,"&gt;="&amp;B818,CBIC_Late_Fee_Relief_Windows_3B!$F$818:$F$100,"&lt;="&amp;C818,CBIC_Late_Fee_Relief_Windows_3B!$G$818:$G$100,"&gt;="&amp;C818)</f>
        <v/>
      </c>
      <c r="H818">
        <f>INDEX(CBIC_Late_Fee_Relief_Windows_3B!$I$818:$I$100,MATCH(G818,CBIC_Late_Fee_Relief_Windows_3B!$O$818:$O$100,0))</f>
        <v/>
      </c>
      <c r="I818">
        <f>MIN(F818,H818)</f>
        <v/>
      </c>
    </row>
    <row r="819">
      <c r="A819">
        <f>TEST_DATA!A819</f>
        <v/>
      </c>
      <c r="B819">
        <f>TEST_DATA!B819</f>
        <v/>
      </c>
      <c r="C819">
        <f>TEST_DATA!C819</f>
        <v/>
      </c>
      <c r="D819">
        <f>TEST_DATA!D819</f>
        <v/>
      </c>
      <c r="E819">
        <f>TEST_DATA!E819</f>
        <v/>
      </c>
      <c r="F819">
        <f>MIN(E819*81900,10000)</f>
        <v/>
      </c>
      <c r="G819">
        <f>MINIFS(CBIC_Late_Fee_Relief_Windows_3B!$O$819:$O$100,CBIC_Late_Fee_Relief_Windows_3B!$D$819:$D$100,"&lt;="&amp;B819,CBIC_Late_Fee_Relief_Windows_3B!$E$819:$E$100,"&gt;="&amp;B819,CBIC_Late_Fee_Relief_Windows_3B!$F$819:$F$100,"&lt;="&amp;C819,CBIC_Late_Fee_Relief_Windows_3B!$G$819:$G$100,"&gt;="&amp;C819)</f>
        <v/>
      </c>
      <c r="H819">
        <f>INDEX(CBIC_Late_Fee_Relief_Windows_3B!$I$819:$I$100,MATCH(G819,CBIC_Late_Fee_Relief_Windows_3B!$O$819:$O$100,0))</f>
        <v/>
      </c>
      <c r="I819">
        <f>MIN(F819,H819)</f>
        <v/>
      </c>
    </row>
    <row r="820">
      <c r="A820">
        <f>TEST_DATA!A820</f>
        <v/>
      </c>
      <c r="B820">
        <f>TEST_DATA!B820</f>
        <v/>
      </c>
      <c r="C820">
        <f>TEST_DATA!C820</f>
        <v/>
      </c>
      <c r="D820">
        <f>TEST_DATA!D820</f>
        <v/>
      </c>
      <c r="E820">
        <f>TEST_DATA!E820</f>
        <v/>
      </c>
      <c r="F820">
        <f>MIN(E820*82000,10000)</f>
        <v/>
      </c>
      <c r="G820">
        <f>MINIFS(CBIC_Late_Fee_Relief_Windows_3B!$O$820:$O$100,CBIC_Late_Fee_Relief_Windows_3B!$D$820:$D$100,"&lt;="&amp;B820,CBIC_Late_Fee_Relief_Windows_3B!$E$820:$E$100,"&gt;="&amp;B820,CBIC_Late_Fee_Relief_Windows_3B!$F$820:$F$100,"&lt;="&amp;C820,CBIC_Late_Fee_Relief_Windows_3B!$G$820:$G$100,"&gt;="&amp;C820)</f>
        <v/>
      </c>
      <c r="H820">
        <f>INDEX(CBIC_Late_Fee_Relief_Windows_3B!$I$820:$I$100,MATCH(G820,CBIC_Late_Fee_Relief_Windows_3B!$O$820:$O$100,0))</f>
        <v/>
      </c>
      <c r="I820">
        <f>MIN(F820,H820)</f>
        <v/>
      </c>
    </row>
    <row r="821">
      <c r="A821">
        <f>TEST_DATA!A821</f>
        <v/>
      </c>
      <c r="B821">
        <f>TEST_DATA!B821</f>
        <v/>
      </c>
      <c r="C821">
        <f>TEST_DATA!C821</f>
        <v/>
      </c>
      <c r="D821">
        <f>TEST_DATA!D821</f>
        <v/>
      </c>
      <c r="E821">
        <f>TEST_DATA!E821</f>
        <v/>
      </c>
      <c r="F821">
        <f>MIN(E821*82100,10000)</f>
        <v/>
      </c>
      <c r="G821">
        <f>MINIFS(CBIC_Late_Fee_Relief_Windows_3B!$O$821:$O$100,CBIC_Late_Fee_Relief_Windows_3B!$D$821:$D$100,"&lt;="&amp;B821,CBIC_Late_Fee_Relief_Windows_3B!$E$821:$E$100,"&gt;="&amp;B821,CBIC_Late_Fee_Relief_Windows_3B!$F$821:$F$100,"&lt;="&amp;C821,CBIC_Late_Fee_Relief_Windows_3B!$G$821:$G$100,"&gt;="&amp;C821)</f>
        <v/>
      </c>
      <c r="H821">
        <f>INDEX(CBIC_Late_Fee_Relief_Windows_3B!$I$821:$I$100,MATCH(G821,CBIC_Late_Fee_Relief_Windows_3B!$O$821:$O$100,0))</f>
        <v/>
      </c>
      <c r="I821">
        <f>MIN(F821,H821)</f>
        <v/>
      </c>
    </row>
    <row r="822">
      <c r="A822">
        <f>TEST_DATA!A822</f>
        <v/>
      </c>
      <c r="B822">
        <f>TEST_DATA!B822</f>
        <v/>
      </c>
      <c r="C822">
        <f>TEST_DATA!C822</f>
        <v/>
      </c>
      <c r="D822">
        <f>TEST_DATA!D822</f>
        <v/>
      </c>
      <c r="E822">
        <f>TEST_DATA!E822</f>
        <v/>
      </c>
      <c r="F822">
        <f>MIN(E822*82200,10000)</f>
        <v/>
      </c>
      <c r="G822">
        <f>MINIFS(CBIC_Late_Fee_Relief_Windows_3B!$O$822:$O$100,CBIC_Late_Fee_Relief_Windows_3B!$D$822:$D$100,"&lt;="&amp;B822,CBIC_Late_Fee_Relief_Windows_3B!$E$822:$E$100,"&gt;="&amp;B822,CBIC_Late_Fee_Relief_Windows_3B!$F$822:$F$100,"&lt;="&amp;C822,CBIC_Late_Fee_Relief_Windows_3B!$G$822:$G$100,"&gt;="&amp;C822)</f>
        <v/>
      </c>
      <c r="H822">
        <f>INDEX(CBIC_Late_Fee_Relief_Windows_3B!$I$822:$I$100,MATCH(G822,CBIC_Late_Fee_Relief_Windows_3B!$O$822:$O$100,0))</f>
        <v/>
      </c>
      <c r="I822">
        <f>MIN(F822,H822)</f>
        <v/>
      </c>
    </row>
    <row r="823">
      <c r="A823">
        <f>TEST_DATA!A823</f>
        <v/>
      </c>
      <c r="B823">
        <f>TEST_DATA!B823</f>
        <v/>
      </c>
      <c r="C823">
        <f>TEST_DATA!C823</f>
        <v/>
      </c>
      <c r="D823">
        <f>TEST_DATA!D823</f>
        <v/>
      </c>
      <c r="E823">
        <f>TEST_DATA!E823</f>
        <v/>
      </c>
      <c r="F823">
        <f>MIN(E823*82300,10000)</f>
        <v/>
      </c>
      <c r="G823">
        <f>MINIFS(CBIC_Late_Fee_Relief_Windows_3B!$O$823:$O$100,CBIC_Late_Fee_Relief_Windows_3B!$D$823:$D$100,"&lt;="&amp;B823,CBIC_Late_Fee_Relief_Windows_3B!$E$823:$E$100,"&gt;="&amp;B823,CBIC_Late_Fee_Relief_Windows_3B!$F$823:$F$100,"&lt;="&amp;C823,CBIC_Late_Fee_Relief_Windows_3B!$G$823:$G$100,"&gt;="&amp;C823)</f>
        <v/>
      </c>
      <c r="H823">
        <f>INDEX(CBIC_Late_Fee_Relief_Windows_3B!$I$823:$I$100,MATCH(G823,CBIC_Late_Fee_Relief_Windows_3B!$O$823:$O$100,0))</f>
        <v/>
      </c>
      <c r="I823">
        <f>MIN(F823,H823)</f>
        <v/>
      </c>
    </row>
    <row r="824">
      <c r="A824">
        <f>TEST_DATA!A824</f>
        <v/>
      </c>
      <c r="B824">
        <f>TEST_DATA!B824</f>
        <v/>
      </c>
      <c r="C824">
        <f>TEST_DATA!C824</f>
        <v/>
      </c>
      <c r="D824">
        <f>TEST_DATA!D824</f>
        <v/>
      </c>
      <c r="E824">
        <f>TEST_DATA!E824</f>
        <v/>
      </c>
      <c r="F824">
        <f>MIN(E824*82400,10000)</f>
        <v/>
      </c>
      <c r="G824">
        <f>MINIFS(CBIC_Late_Fee_Relief_Windows_3B!$O$824:$O$100,CBIC_Late_Fee_Relief_Windows_3B!$D$824:$D$100,"&lt;="&amp;B824,CBIC_Late_Fee_Relief_Windows_3B!$E$824:$E$100,"&gt;="&amp;B824,CBIC_Late_Fee_Relief_Windows_3B!$F$824:$F$100,"&lt;="&amp;C824,CBIC_Late_Fee_Relief_Windows_3B!$G$824:$G$100,"&gt;="&amp;C824)</f>
        <v/>
      </c>
      <c r="H824">
        <f>INDEX(CBIC_Late_Fee_Relief_Windows_3B!$I$824:$I$100,MATCH(G824,CBIC_Late_Fee_Relief_Windows_3B!$O$824:$O$100,0))</f>
        <v/>
      </c>
      <c r="I824">
        <f>MIN(F824,H824)</f>
        <v/>
      </c>
    </row>
    <row r="825">
      <c r="A825">
        <f>TEST_DATA!A825</f>
        <v/>
      </c>
      <c r="B825">
        <f>TEST_DATA!B825</f>
        <v/>
      </c>
      <c r="C825">
        <f>TEST_DATA!C825</f>
        <v/>
      </c>
      <c r="D825">
        <f>TEST_DATA!D825</f>
        <v/>
      </c>
      <c r="E825">
        <f>TEST_DATA!E825</f>
        <v/>
      </c>
      <c r="F825">
        <f>MIN(E825*82500,10000)</f>
        <v/>
      </c>
      <c r="G825">
        <f>MINIFS(CBIC_Late_Fee_Relief_Windows_3B!$O$825:$O$100,CBIC_Late_Fee_Relief_Windows_3B!$D$825:$D$100,"&lt;="&amp;B825,CBIC_Late_Fee_Relief_Windows_3B!$E$825:$E$100,"&gt;="&amp;B825,CBIC_Late_Fee_Relief_Windows_3B!$F$825:$F$100,"&lt;="&amp;C825,CBIC_Late_Fee_Relief_Windows_3B!$G$825:$G$100,"&gt;="&amp;C825)</f>
        <v/>
      </c>
      <c r="H825">
        <f>INDEX(CBIC_Late_Fee_Relief_Windows_3B!$I$825:$I$100,MATCH(G825,CBIC_Late_Fee_Relief_Windows_3B!$O$825:$O$100,0))</f>
        <v/>
      </c>
      <c r="I825">
        <f>MIN(F825,H825)</f>
        <v/>
      </c>
    </row>
    <row r="826">
      <c r="A826">
        <f>TEST_DATA!A826</f>
        <v/>
      </c>
      <c r="B826">
        <f>TEST_DATA!B826</f>
        <v/>
      </c>
      <c r="C826">
        <f>TEST_DATA!C826</f>
        <v/>
      </c>
      <c r="D826">
        <f>TEST_DATA!D826</f>
        <v/>
      </c>
      <c r="E826">
        <f>TEST_DATA!E826</f>
        <v/>
      </c>
      <c r="F826">
        <f>MIN(E826*82600,10000)</f>
        <v/>
      </c>
      <c r="G826">
        <f>MINIFS(CBIC_Late_Fee_Relief_Windows_3B!$O$826:$O$100,CBIC_Late_Fee_Relief_Windows_3B!$D$826:$D$100,"&lt;="&amp;B826,CBIC_Late_Fee_Relief_Windows_3B!$E$826:$E$100,"&gt;="&amp;B826,CBIC_Late_Fee_Relief_Windows_3B!$F$826:$F$100,"&lt;="&amp;C826,CBIC_Late_Fee_Relief_Windows_3B!$G$826:$G$100,"&gt;="&amp;C826)</f>
        <v/>
      </c>
      <c r="H826">
        <f>INDEX(CBIC_Late_Fee_Relief_Windows_3B!$I$826:$I$100,MATCH(G826,CBIC_Late_Fee_Relief_Windows_3B!$O$826:$O$100,0))</f>
        <v/>
      </c>
      <c r="I826">
        <f>MIN(F826,H826)</f>
        <v/>
      </c>
    </row>
    <row r="827">
      <c r="A827">
        <f>TEST_DATA!A827</f>
        <v/>
      </c>
      <c r="B827">
        <f>TEST_DATA!B827</f>
        <v/>
      </c>
      <c r="C827">
        <f>TEST_DATA!C827</f>
        <v/>
      </c>
      <c r="D827">
        <f>TEST_DATA!D827</f>
        <v/>
      </c>
      <c r="E827">
        <f>TEST_DATA!E827</f>
        <v/>
      </c>
      <c r="F827">
        <f>MIN(E827*82700,10000)</f>
        <v/>
      </c>
      <c r="G827">
        <f>MINIFS(CBIC_Late_Fee_Relief_Windows_3B!$O$827:$O$100,CBIC_Late_Fee_Relief_Windows_3B!$D$827:$D$100,"&lt;="&amp;B827,CBIC_Late_Fee_Relief_Windows_3B!$E$827:$E$100,"&gt;="&amp;B827,CBIC_Late_Fee_Relief_Windows_3B!$F$827:$F$100,"&lt;="&amp;C827,CBIC_Late_Fee_Relief_Windows_3B!$G$827:$G$100,"&gt;="&amp;C827)</f>
        <v/>
      </c>
      <c r="H827">
        <f>INDEX(CBIC_Late_Fee_Relief_Windows_3B!$I$827:$I$100,MATCH(G827,CBIC_Late_Fee_Relief_Windows_3B!$O$827:$O$100,0))</f>
        <v/>
      </c>
      <c r="I827">
        <f>MIN(F827,H827)</f>
        <v/>
      </c>
    </row>
    <row r="828">
      <c r="A828">
        <f>TEST_DATA!A828</f>
        <v/>
      </c>
      <c r="B828">
        <f>TEST_DATA!B828</f>
        <v/>
      </c>
      <c r="C828">
        <f>TEST_DATA!C828</f>
        <v/>
      </c>
      <c r="D828">
        <f>TEST_DATA!D828</f>
        <v/>
      </c>
      <c r="E828">
        <f>TEST_DATA!E828</f>
        <v/>
      </c>
      <c r="F828">
        <f>MIN(E828*82800,10000)</f>
        <v/>
      </c>
      <c r="G828">
        <f>MINIFS(CBIC_Late_Fee_Relief_Windows_3B!$O$828:$O$100,CBIC_Late_Fee_Relief_Windows_3B!$D$828:$D$100,"&lt;="&amp;B828,CBIC_Late_Fee_Relief_Windows_3B!$E$828:$E$100,"&gt;="&amp;B828,CBIC_Late_Fee_Relief_Windows_3B!$F$828:$F$100,"&lt;="&amp;C828,CBIC_Late_Fee_Relief_Windows_3B!$G$828:$G$100,"&gt;="&amp;C828)</f>
        <v/>
      </c>
      <c r="H828">
        <f>INDEX(CBIC_Late_Fee_Relief_Windows_3B!$I$828:$I$100,MATCH(G828,CBIC_Late_Fee_Relief_Windows_3B!$O$828:$O$100,0))</f>
        <v/>
      </c>
      <c r="I828">
        <f>MIN(F828,H828)</f>
        <v/>
      </c>
    </row>
    <row r="829">
      <c r="A829">
        <f>TEST_DATA!A829</f>
        <v/>
      </c>
      <c r="B829">
        <f>TEST_DATA!B829</f>
        <v/>
      </c>
      <c r="C829">
        <f>TEST_DATA!C829</f>
        <v/>
      </c>
      <c r="D829">
        <f>TEST_DATA!D829</f>
        <v/>
      </c>
      <c r="E829">
        <f>TEST_DATA!E829</f>
        <v/>
      </c>
      <c r="F829">
        <f>MIN(E829*82900,10000)</f>
        <v/>
      </c>
      <c r="G829">
        <f>MINIFS(CBIC_Late_Fee_Relief_Windows_3B!$O$829:$O$100,CBIC_Late_Fee_Relief_Windows_3B!$D$829:$D$100,"&lt;="&amp;B829,CBIC_Late_Fee_Relief_Windows_3B!$E$829:$E$100,"&gt;="&amp;B829,CBIC_Late_Fee_Relief_Windows_3B!$F$829:$F$100,"&lt;="&amp;C829,CBIC_Late_Fee_Relief_Windows_3B!$G$829:$G$100,"&gt;="&amp;C829)</f>
        <v/>
      </c>
      <c r="H829">
        <f>INDEX(CBIC_Late_Fee_Relief_Windows_3B!$I$829:$I$100,MATCH(G829,CBIC_Late_Fee_Relief_Windows_3B!$O$829:$O$100,0))</f>
        <v/>
      </c>
      <c r="I829">
        <f>MIN(F829,H829)</f>
        <v/>
      </c>
    </row>
    <row r="830">
      <c r="A830">
        <f>TEST_DATA!A830</f>
        <v/>
      </c>
      <c r="B830">
        <f>TEST_DATA!B830</f>
        <v/>
      </c>
      <c r="C830">
        <f>TEST_DATA!C830</f>
        <v/>
      </c>
      <c r="D830">
        <f>TEST_DATA!D830</f>
        <v/>
      </c>
      <c r="E830">
        <f>TEST_DATA!E830</f>
        <v/>
      </c>
      <c r="F830">
        <f>MIN(E830*83000,10000)</f>
        <v/>
      </c>
      <c r="G830">
        <f>MINIFS(CBIC_Late_Fee_Relief_Windows_3B!$O$830:$O$100,CBIC_Late_Fee_Relief_Windows_3B!$D$830:$D$100,"&lt;="&amp;B830,CBIC_Late_Fee_Relief_Windows_3B!$E$830:$E$100,"&gt;="&amp;B830,CBIC_Late_Fee_Relief_Windows_3B!$F$830:$F$100,"&lt;="&amp;C830,CBIC_Late_Fee_Relief_Windows_3B!$G$830:$G$100,"&gt;="&amp;C830)</f>
        <v/>
      </c>
      <c r="H830">
        <f>INDEX(CBIC_Late_Fee_Relief_Windows_3B!$I$830:$I$100,MATCH(G830,CBIC_Late_Fee_Relief_Windows_3B!$O$830:$O$100,0))</f>
        <v/>
      </c>
      <c r="I830">
        <f>MIN(F830,H830)</f>
        <v/>
      </c>
    </row>
    <row r="831">
      <c r="A831">
        <f>TEST_DATA!A831</f>
        <v/>
      </c>
      <c r="B831">
        <f>TEST_DATA!B831</f>
        <v/>
      </c>
      <c r="C831">
        <f>TEST_DATA!C831</f>
        <v/>
      </c>
      <c r="D831">
        <f>TEST_DATA!D831</f>
        <v/>
      </c>
      <c r="E831">
        <f>TEST_DATA!E831</f>
        <v/>
      </c>
      <c r="F831">
        <f>MIN(E831*83100,10000)</f>
        <v/>
      </c>
      <c r="G831">
        <f>MINIFS(CBIC_Late_Fee_Relief_Windows_3B!$O$831:$O$100,CBIC_Late_Fee_Relief_Windows_3B!$D$831:$D$100,"&lt;="&amp;B831,CBIC_Late_Fee_Relief_Windows_3B!$E$831:$E$100,"&gt;="&amp;B831,CBIC_Late_Fee_Relief_Windows_3B!$F$831:$F$100,"&lt;="&amp;C831,CBIC_Late_Fee_Relief_Windows_3B!$G$831:$G$100,"&gt;="&amp;C831)</f>
        <v/>
      </c>
      <c r="H831">
        <f>INDEX(CBIC_Late_Fee_Relief_Windows_3B!$I$831:$I$100,MATCH(G831,CBIC_Late_Fee_Relief_Windows_3B!$O$831:$O$100,0))</f>
        <v/>
      </c>
      <c r="I831">
        <f>MIN(F831,H831)</f>
        <v/>
      </c>
    </row>
    <row r="832">
      <c r="A832">
        <f>TEST_DATA!A832</f>
        <v/>
      </c>
      <c r="B832">
        <f>TEST_DATA!B832</f>
        <v/>
      </c>
      <c r="C832">
        <f>TEST_DATA!C832</f>
        <v/>
      </c>
      <c r="D832">
        <f>TEST_DATA!D832</f>
        <v/>
      </c>
      <c r="E832">
        <f>TEST_DATA!E832</f>
        <v/>
      </c>
      <c r="F832">
        <f>MIN(E832*83200,10000)</f>
        <v/>
      </c>
      <c r="G832">
        <f>MINIFS(CBIC_Late_Fee_Relief_Windows_3B!$O$832:$O$100,CBIC_Late_Fee_Relief_Windows_3B!$D$832:$D$100,"&lt;="&amp;B832,CBIC_Late_Fee_Relief_Windows_3B!$E$832:$E$100,"&gt;="&amp;B832,CBIC_Late_Fee_Relief_Windows_3B!$F$832:$F$100,"&lt;="&amp;C832,CBIC_Late_Fee_Relief_Windows_3B!$G$832:$G$100,"&gt;="&amp;C832)</f>
        <v/>
      </c>
      <c r="H832">
        <f>INDEX(CBIC_Late_Fee_Relief_Windows_3B!$I$832:$I$100,MATCH(G832,CBIC_Late_Fee_Relief_Windows_3B!$O$832:$O$100,0))</f>
        <v/>
      </c>
      <c r="I832">
        <f>MIN(F832,H832)</f>
        <v/>
      </c>
    </row>
    <row r="833">
      <c r="A833">
        <f>TEST_DATA!A833</f>
        <v/>
      </c>
      <c r="B833">
        <f>TEST_DATA!B833</f>
        <v/>
      </c>
      <c r="C833">
        <f>TEST_DATA!C833</f>
        <v/>
      </c>
      <c r="D833">
        <f>TEST_DATA!D833</f>
        <v/>
      </c>
      <c r="E833">
        <f>TEST_DATA!E833</f>
        <v/>
      </c>
      <c r="F833">
        <f>MIN(E833*83300,10000)</f>
        <v/>
      </c>
      <c r="G833">
        <f>MINIFS(CBIC_Late_Fee_Relief_Windows_3B!$O$833:$O$100,CBIC_Late_Fee_Relief_Windows_3B!$D$833:$D$100,"&lt;="&amp;B833,CBIC_Late_Fee_Relief_Windows_3B!$E$833:$E$100,"&gt;="&amp;B833,CBIC_Late_Fee_Relief_Windows_3B!$F$833:$F$100,"&lt;="&amp;C833,CBIC_Late_Fee_Relief_Windows_3B!$G$833:$G$100,"&gt;="&amp;C833)</f>
        <v/>
      </c>
      <c r="H833">
        <f>INDEX(CBIC_Late_Fee_Relief_Windows_3B!$I$833:$I$100,MATCH(G833,CBIC_Late_Fee_Relief_Windows_3B!$O$833:$O$100,0))</f>
        <v/>
      </c>
      <c r="I833">
        <f>MIN(F833,H833)</f>
        <v/>
      </c>
    </row>
    <row r="834">
      <c r="A834">
        <f>TEST_DATA!A834</f>
        <v/>
      </c>
      <c r="B834">
        <f>TEST_DATA!B834</f>
        <v/>
      </c>
      <c r="C834">
        <f>TEST_DATA!C834</f>
        <v/>
      </c>
      <c r="D834">
        <f>TEST_DATA!D834</f>
        <v/>
      </c>
      <c r="E834">
        <f>TEST_DATA!E834</f>
        <v/>
      </c>
      <c r="F834">
        <f>MIN(E834*83400,10000)</f>
        <v/>
      </c>
      <c r="G834">
        <f>MINIFS(CBIC_Late_Fee_Relief_Windows_3B!$O$834:$O$100,CBIC_Late_Fee_Relief_Windows_3B!$D$834:$D$100,"&lt;="&amp;B834,CBIC_Late_Fee_Relief_Windows_3B!$E$834:$E$100,"&gt;="&amp;B834,CBIC_Late_Fee_Relief_Windows_3B!$F$834:$F$100,"&lt;="&amp;C834,CBIC_Late_Fee_Relief_Windows_3B!$G$834:$G$100,"&gt;="&amp;C834)</f>
        <v/>
      </c>
      <c r="H834">
        <f>INDEX(CBIC_Late_Fee_Relief_Windows_3B!$I$834:$I$100,MATCH(G834,CBIC_Late_Fee_Relief_Windows_3B!$O$834:$O$100,0))</f>
        <v/>
      </c>
      <c r="I834">
        <f>MIN(F834,H834)</f>
        <v/>
      </c>
    </row>
    <row r="835">
      <c r="A835">
        <f>TEST_DATA!A835</f>
        <v/>
      </c>
      <c r="B835">
        <f>TEST_DATA!B835</f>
        <v/>
      </c>
      <c r="C835">
        <f>TEST_DATA!C835</f>
        <v/>
      </c>
      <c r="D835">
        <f>TEST_DATA!D835</f>
        <v/>
      </c>
      <c r="E835">
        <f>TEST_DATA!E835</f>
        <v/>
      </c>
      <c r="F835">
        <f>MIN(E835*83500,10000)</f>
        <v/>
      </c>
      <c r="G835">
        <f>MINIFS(CBIC_Late_Fee_Relief_Windows_3B!$O$835:$O$100,CBIC_Late_Fee_Relief_Windows_3B!$D$835:$D$100,"&lt;="&amp;B835,CBIC_Late_Fee_Relief_Windows_3B!$E$835:$E$100,"&gt;="&amp;B835,CBIC_Late_Fee_Relief_Windows_3B!$F$835:$F$100,"&lt;="&amp;C835,CBIC_Late_Fee_Relief_Windows_3B!$G$835:$G$100,"&gt;="&amp;C835)</f>
        <v/>
      </c>
      <c r="H835">
        <f>INDEX(CBIC_Late_Fee_Relief_Windows_3B!$I$835:$I$100,MATCH(G835,CBIC_Late_Fee_Relief_Windows_3B!$O$835:$O$100,0))</f>
        <v/>
      </c>
      <c r="I835">
        <f>MIN(F835,H835)</f>
        <v/>
      </c>
    </row>
    <row r="836">
      <c r="A836">
        <f>TEST_DATA!A836</f>
        <v/>
      </c>
      <c r="B836">
        <f>TEST_DATA!B836</f>
        <v/>
      </c>
      <c r="C836">
        <f>TEST_DATA!C836</f>
        <v/>
      </c>
      <c r="D836">
        <f>TEST_DATA!D836</f>
        <v/>
      </c>
      <c r="E836">
        <f>TEST_DATA!E836</f>
        <v/>
      </c>
      <c r="F836">
        <f>MIN(E836*83600,10000)</f>
        <v/>
      </c>
      <c r="G836">
        <f>MINIFS(CBIC_Late_Fee_Relief_Windows_3B!$O$836:$O$100,CBIC_Late_Fee_Relief_Windows_3B!$D$836:$D$100,"&lt;="&amp;B836,CBIC_Late_Fee_Relief_Windows_3B!$E$836:$E$100,"&gt;="&amp;B836,CBIC_Late_Fee_Relief_Windows_3B!$F$836:$F$100,"&lt;="&amp;C836,CBIC_Late_Fee_Relief_Windows_3B!$G$836:$G$100,"&gt;="&amp;C836)</f>
        <v/>
      </c>
      <c r="H836">
        <f>INDEX(CBIC_Late_Fee_Relief_Windows_3B!$I$836:$I$100,MATCH(G836,CBIC_Late_Fee_Relief_Windows_3B!$O$836:$O$100,0))</f>
        <v/>
      </c>
      <c r="I836">
        <f>MIN(F836,H836)</f>
        <v/>
      </c>
    </row>
    <row r="837">
      <c r="A837">
        <f>TEST_DATA!A837</f>
        <v/>
      </c>
      <c r="B837">
        <f>TEST_DATA!B837</f>
        <v/>
      </c>
      <c r="C837">
        <f>TEST_DATA!C837</f>
        <v/>
      </c>
      <c r="D837">
        <f>TEST_DATA!D837</f>
        <v/>
      </c>
      <c r="E837">
        <f>TEST_DATA!E837</f>
        <v/>
      </c>
      <c r="F837">
        <f>MIN(E837*83700,10000)</f>
        <v/>
      </c>
      <c r="G837">
        <f>MINIFS(CBIC_Late_Fee_Relief_Windows_3B!$O$837:$O$100,CBIC_Late_Fee_Relief_Windows_3B!$D$837:$D$100,"&lt;="&amp;B837,CBIC_Late_Fee_Relief_Windows_3B!$E$837:$E$100,"&gt;="&amp;B837,CBIC_Late_Fee_Relief_Windows_3B!$F$837:$F$100,"&lt;="&amp;C837,CBIC_Late_Fee_Relief_Windows_3B!$G$837:$G$100,"&gt;="&amp;C837)</f>
        <v/>
      </c>
      <c r="H837">
        <f>INDEX(CBIC_Late_Fee_Relief_Windows_3B!$I$837:$I$100,MATCH(G837,CBIC_Late_Fee_Relief_Windows_3B!$O$837:$O$100,0))</f>
        <v/>
      </c>
      <c r="I837">
        <f>MIN(F837,H837)</f>
        <v/>
      </c>
    </row>
    <row r="838">
      <c r="A838">
        <f>TEST_DATA!A838</f>
        <v/>
      </c>
      <c r="B838">
        <f>TEST_DATA!B838</f>
        <v/>
      </c>
      <c r="C838">
        <f>TEST_DATA!C838</f>
        <v/>
      </c>
      <c r="D838">
        <f>TEST_DATA!D838</f>
        <v/>
      </c>
      <c r="E838">
        <f>TEST_DATA!E838</f>
        <v/>
      </c>
      <c r="F838">
        <f>MIN(E838*83800,10000)</f>
        <v/>
      </c>
      <c r="G838">
        <f>MINIFS(CBIC_Late_Fee_Relief_Windows_3B!$O$838:$O$100,CBIC_Late_Fee_Relief_Windows_3B!$D$838:$D$100,"&lt;="&amp;B838,CBIC_Late_Fee_Relief_Windows_3B!$E$838:$E$100,"&gt;="&amp;B838,CBIC_Late_Fee_Relief_Windows_3B!$F$838:$F$100,"&lt;="&amp;C838,CBIC_Late_Fee_Relief_Windows_3B!$G$838:$G$100,"&gt;="&amp;C838)</f>
        <v/>
      </c>
      <c r="H838">
        <f>INDEX(CBIC_Late_Fee_Relief_Windows_3B!$I$838:$I$100,MATCH(G838,CBIC_Late_Fee_Relief_Windows_3B!$O$838:$O$100,0))</f>
        <v/>
      </c>
      <c r="I838">
        <f>MIN(F838,H838)</f>
        <v/>
      </c>
    </row>
    <row r="839">
      <c r="A839">
        <f>TEST_DATA!A839</f>
        <v/>
      </c>
      <c r="B839">
        <f>TEST_DATA!B839</f>
        <v/>
      </c>
      <c r="C839">
        <f>TEST_DATA!C839</f>
        <v/>
      </c>
      <c r="D839">
        <f>TEST_DATA!D839</f>
        <v/>
      </c>
      <c r="E839">
        <f>TEST_DATA!E839</f>
        <v/>
      </c>
      <c r="F839">
        <f>MIN(E839*83900,10000)</f>
        <v/>
      </c>
      <c r="G839">
        <f>MINIFS(CBIC_Late_Fee_Relief_Windows_3B!$O$839:$O$100,CBIC_Late_Fee_Relief_Windows_3B!$D$839:$D$100,"&lt;="&amp;B839,CBIC_Late_Fee_Relief_Windows_3B!$E$839:$E$100,"&gt;="&amp;B839,CBIC_Late_Fee_Relief_Windows_3B!$F$839:$F$100,"&lt;="&amp;C839,CBIC_Late_Fee_Relief_Windows_3B!$G$839:$G$100,"&gt;="&amp;C839)</f>
        <v/>
      </c>
      <c r="H839">
        <f>INDEX(CBIC_Late_Fee_Relief_Windows_3B!$I$839:$I$100,MATCH(G839,CBIC_Late_Fee_Relief_Windows_3B!$O$839:$O$100,0))</f>
        <v/>
      </c>
      <c r="I839">
        <f>MIN(F839,H839)</f>
        <v/>
      </c>
    </row>
    <row r="840">
      <c r="A840">
        <f>TEST_DATA!A840</f>
        <v/>
      </c>
      <c r="B840">
        <f>TEST_DATA!B840</f>
        <v/>
      </c>
      <c r="C840">
        <f>TEST_DATA!C840</f>
        <v/>
      </c>
      <c r="D840">
        <f>TEST_DATA!D840</f>
        <v/>
      </c>
      <c r="E840">
        <f>TEST_DATA!E840</f>
        <v/>
      </c>
      <c r="F840">
        <f>MIN(E840*84000,10000)</f>
        <v/>
      </c>
      <c r="G840">
        <f>MINIFS(CBIC_Late_Fee_Relief_Windows_3B!$O$840:$O$100,CBIC_Late_Fee_Relief_Windows_3B!$D$840:$D$100,"&lt;="&amp;B840,CBIC_Late_Fee_Relief_Windows_3B!$E$840:$E$100,"&gt;="&amp;B840,CBIC_Late_Fee_Relief_Windows_3B!$F$840:$F$100,"&lt;="&amp;C840,CBIC_Late_Fee_Relief_Windows_3B!$G$840:$G$100,"&gt;="&amp;C840)</f>
        <v/>
      </c>
      <c r="H840">
        <f>INDEX(CBIC_Late_Fee_Relief_Windows_3B!$I$840:$I$100,MATCH(G840,CBIC_Late_Fee_Relief_Windows_3B!$O$840:$O$100,0))</f>
        <v/>
      </c>
      <c r="I840">
        <f>MIN(F840,H840)</f>
        <v/>
      </c>
    </row>
    <row r="841">
      <c r="A841">
        <f>TEST_DATA!A841</f>
        <v/>
      </c>
      <c r="B841">
        <f>TEST_DATA!B841</f>
        <v/>
      </c>
      <c r="C841">
        <f>TEST_DATA!C841</f>
        <v/>
      </c>
      <c r="D841">
        <f>TEST_DATA!D841</f>
        <v/>
      </c>
      <c r="E841">
        <f>TEST_DATA!E841</f>
        <v/>
      </c>
      <c r="F841">
        <f>MIN(E841*84100,10000)</f>
        <v/>
      </c>
      <c r="G841">
        <f>MINIFS(CBIC_Late_Fee_Relief_Windows_3B!$O$841:$O$100,CBIC_Late_Fee_Relief_Windows_3B!$D$841:$D$100,"&lt;="&amp;B841,CBIC_Late_Fee_Relief_Windows_3B!$E$841:$E$100,"&gt;="&amp;B841,CBIC_Late_Fee_Relief_Windows_3B!$F$841:$F$100,"&lt;="&amp;C841,CBIC_Late_Fee_Relief_Windows_3B!$G$841:$G$100,"&gt;="&amp;C841)</f>
        <v/>
      </c>
      <c r="H841">
        <f>INDEX(CBIC_Late_Fee_Relief_Windows_3B!$I$841:$I$100,MATCH(G841,CBIC_Late_Fee_Relief_Windows_3B!$O$841:$O$100,0))</f>
        <v/>
      </c>
      <c r="I841">
        <f>MIN(F841,H841)</f>
        <v/>
      </c>
    </row>
    <row r="842">
      <c r="A842">
        <f>TEST_DATA!A842</f>
        <v/>
      </c>
      <c r="B842">
        <f>TEST_DATA!B842</f>
        <v/>
      </c>
      <c r="C842">
        <f>TEST_DATA!C842</f>
        <v/>
      </c>
      <c r="D842">
        <f>TEST_DATA!D842</f>
        <v/>
      </c>
      <c r="E842">
        <f>TEST_DATA!E842</f>
        <v/>
      </c>
      <c r="F842">
        <f>MIN(E842*84200,10000)</f>
        <v/>
      </c>
      <c r="G842">
        <f>MINIFS(CBIC_Late_Fee_Relief_Windows_3B!$O$842:$O$100,CBIC_Late_Fee_Relief_Windows_3B!$D$842:$D$100,"&lt;="&amp;B842,CBIC_Late_Fee_Relief_Windows_3B!$E$842:$E$100,"&gt;="&amp;B842,CBIC_Late_Fee_Relief_Windows_3B!$F$842:$F$100,"&lt;="&amp;C842,CBIC_Late_Fee_Relief_Windows_3B!$G$842:$G$100,"&gt;="&amp;C842)</f>
        <v/>
      </c>
      <c r="H842">
        <f>INDEX(CBIC_Late_Fee_Relief_Windows_3B!$I$842:$I$100,MATCH(G842,CBIC_Late_Fee_Relief_Windows_3B!$O$842:$O$100,0))</f>
        <v/>
      </c>
      <c r="I842">
        <f>MIN(F842,H842)</f>
        <v/>
      </c>
    </row>
    <row r="843">
      <c r="A843">
        <f>TEST_DATA!A843</f>
        <v/>
      </c>
      <c r="B843">
        <f>TEST_DATA!B843</f>
        <v/>
      </c>
      <c r="C843">
        <f>TEST_DATA!C843</f>
        <v/>
      </c>
      <c r="D843">
        <f>TEST_DATA!D843</f>
        <v/>
      </c>
      <c r="E843">
        <f>TEST_DATA!E843</f>
        <v/>
      </c>
      <c r="F843">
        <f>MIN(E843*84300,10000)</f>
        <v/>
      </c>
      <c r="G843">
        <f>MINIFS(CBIC_Late_Fee_Relief_Windows_3B!$O$843:$O$100,CBIC_Late_Fee_Relief_Windows_3B!$D$843:$D$100,"&lt;="&amp;B843,CBIC_Late_Fee_Relief_Windows_3B!$E$843:$E$100,"&gt;="&amp;B843,CBIC_Late_Fee_Relief_Windows_3B!$F$843:$F$100,"&lt;="&amp;C843,CBIC_Late_Fee_Relief_Windows_3B!$G$843:$G$100,"&gt;="&amp;C843)</f>
        <v/>
      </c>
      <c r="H843">
        <f>INDEX(CBIC_Late_Fee_Relief_Windows_3B!$I$843:$I$100,MATCH(G843,CBIC_Late_Fee_Relief_Windows_3B!$O$843:$O$100,0))</f>
        <v/>
      </c>
      <c r="I843">
        <f>MIN(F843,H843)</f>
        <v/>
      </c>
    </row>
    <row r="844">
      <c r="A844">
        <f>TEST_DATA!A844</f>
        <v/>
      </c>
      <c r="B844">
        <f>TEST_DATA!B844</f>
        <v/>
      </c>
      <c r="C844">
        <f>TEST_DATA!C844</f>
        <v/>
      </c>
      <c r="D844">
        <f>TEST_DATA!D844</f>
        <v/>
      </c>
      <c r="E844">
        <f>TEST_DATA!E844</f>
        <v/>
      </c>
      <c r="F844">
        <f>MIN(E844*84400,10000)</f>
        <v/>
      </c>
      <c r="G844">
        <f>MINIFS(CBIC_Late_Fee_Relief_Windows_3B!$O$844:$O$100,CBIC_Late_Fee_Relief_Windows_3B!$D$844:$D$100,"&lt;="&amp;B844,CBIC_Late_Fee_Relief_Windows_3B!$E$844:$E$100,"&gt;="&amp;B844,CBIC_Late_Fee_Relief_Windows_3B!$F$844:$F$100,"&lt;="&amp;C844,CBIC_Late_Fee_Relief_Windows_3B!$G$844:$G$100,"&gt;="&amp;C844)</f>
        <v/>
      </c>
      <c r="H844">
        <f>INDEX(CBIC_Late_Fee_Relief_Windows_3B!$I$844:$I$100,MATCH(G844,CBIC_Late_Fee_Relief_Windows_3B!$O$844:$O$100,0))</f>
        <v/>
      </c>
      <c r="I844">
        <f>MIN(F844,H844)</f>
        <v/>
      </c>
    </row>
    <row r="845">
      <c r="A845">
        <f>TEST_DATA!A845</f>
        <v/>
      </c>
      <c r="B845">
        <f>TEST_DATA!B845</f>
        <v/>
      </c>
      <c r="C845">
        <f>TEST_DATA!C845</f>
        <v/>
      </c>
      <c r="D845">
        <f>TEST_DATA!D845</f>
        <v/>
      </c>
      <c r="E845">
        <f>TEST_DATA!E845</f>
        <v/>
      </c>
      <c r="F845">
        <f>MIN(E845*84500,10000)</f>
        <v/>
      </c>
      <c r="G845">
        <f>MINIFS(CBIC_Late_Fee_Relief_Windows_3B!$O$845:$O$100,CBIC_Late_Fee_Relief_Windows_3B!$D$845:$D$100,"&lt;="&amp;B845,CBIC_Late_Fee_Relief_Windows_3B!$E$845:$E$100,"&gt;="&amp;B845,CBIC_Late_Fee_Relief_Windows_3B!$F$845:$F$100,"&lt;="&amp;C845,CBIC_Late_Fee_Relief_Windows_3B!$G$845:$G$100,"&gt;="&amp;C845)</f>
        <v/>
      </c>
      <c r="H845">
        <f>INDEX(CBIC_Late_Fee_Relief_Windows_3B!$I$845:$I$100,MATCH(G845,CBIC_Late_Fee_Relief_Windows_3B!$O$845:$O$100,0))</f>
        <v/>
      </c>
      <c r="I845">
        <f>MIN(F845,H845)</f>
        <v/>
      </c>
    </row>
    <row r="846">
      <c r="A846">
        <f>TEST_DATA!A846</f>
        <v/>
      </c>
      <c r="B846">
        <f>TEST_DATA!B846</f>
        <v/>
      </c>
      <c r="C846">
        <f>TEST_DATA!C846</f>
        <v/>
      </c>
      <c r="D846">
        <f>TEST_DATA!D846</f>
        <v/>
      </c>
      <c r="E846">
        <f>TEST_DATA!E846</f>
        <v/>
      </c>
      <c r="F846">
        <f>MIN(E846*84600,10000)</f>
        <v/>
      </c>
      <c r="G846">
        <f>MINIFS(CBIC_Late_Fee_Relief_Windows_3B!$O$846:$O$100,CBIC_Late_Fee_Relief_Windows_3B!$D$846:$D$100,"&lt;="&amp;B846,CBIC_Late_Fee_Relief_Windows_3B!$E$846:$E$100,"&gt;="&amp;B846,CBIC_Late_Fee_Relief_Windows_3B!$F$846:$F$100,"&lt;="&amp;C846,CBIC_Late_Fee_Relief_Windows_3B!$G$846:$G$100,"&gt;="&amp;C846)</f>
        <v/>
      </c>
      <c r="H846">
        <f>INDEX(CBIC_Late_Fee_Relief_Windows_3B!$I$846:$I$100,MATCH(G846,CBIC_Late_Fee_Relief_Windows_3B!$O$846:$O$100,0))</f>
        <v/>
      </c>
      <c r="I846">
        <f>MIN(F846,H846)</f>
        <v/>
      </c>
    </row>
    <row r="847">
      <c r="A847">
        <f>TEST_DATA!A847</f>
        <v/>
      </c>
      <c r="B847">
        <f>TEST_DATA!B847</f>
        <v/>
      </c>
      <c r="C847">
        <f>TEST_DATA!C847</f>
        <v/>
      </c>
      <c r="D847">
        <f>TEST_DATA!D847</f>
        <v/>
      </c>
      <c r="E847">
        <f>TEST_DATA!E847</f>
        <v/>
      </c>
      <c r="F847">
        <f>MIN(E847*84700,10000)</f>
        <v/>
      </c>
      <c r="G847">
        <f>MINIFS(CBIC_Late_Fee_Relief_Windows_3B!$O$847:$O$100,CBIC_Late_Fee_Relief_Windows_3B!$D$847:$D$100,"&lt;="&amp;B847,CBIC_Late_Fee_Relief_Windows_3B!$E$847:$E$100,"&gt;="&amp;B847,CBIC_Late_Fee_Relief_Windows_3B!$F$847:$F$100,"&lt;="&amp;C847,CBIC_Late_Fee_Relief_Windows_3B!$G$847:$G$100,"&gt;="&amp;C847)</f>
        <v/>
      </c>
      <c r="H847">
        <f>INDEX(CBIC_Late_Fee_Relief_Windows_3B!$I$847:$I$100,MATCH(G847,CBIC_Late_Fee_Relief_Windows_3B!$O$847:$O$100,0))</f>
        <v/>
      </c>
      <c r="I847">
        <f>MIN(F847,H847)</f>
        <v/>
      </c>
    </row>
    <row r="848">
      <c r="A848">
        <f>TEST_DATA!A848</f>
        <v/>
      </c>
      <c r="B848">
        <f>TEST_DATA!B848</f>
        <v/>
      </c>
      <c r="C848">
        <f>TEST_DATA!C848</f>
        <v/>
      </c>
      <c r="D848">
        <f>TEST_DATA!D848</f>
        <v/>
      </c>
      <c r="E848">
        <f>TEST_DATA!E848</f>
        <v/>
      </c>
      <c r="F848">
        <f>MIN(E848*84800,10000)</f>
        <v/>
      </c>
      <c r="G848">
        <f>MINIFS(CBIC_Late_Fee_Relief_Windows_3B!$O$848:$O$100,CBIC_Late_Fee_Relief_Windows_3B!$D$848:$D$100,"&lt;="&amp;B848,CBIC_Late_Fee_Relief_Windows_3B!$E$848:$E$100,"&gt;="&amp;B848,CBIC_Late_Fee_Relief_Windows_3B!$F$848:$F$100,"&lt;="&amp;C848,CBIC_Late_Fee_Relief_Windows_3B!$G$848:$G$100,"&gt;="&amp;C848)</f>
        <v/>
      </c>
      <c r="H848">
        <f>INDEX(CBIC_Late_Fee_Relief_Windows_3B!$I$848:$I$100,MATCH(G848,CBIC_Late_Fee_Relief_Windows_3B!$O$848:$O$100,0))</f>
        <v/>
      </c>
      <c r="I848">
        <f>MIN(F848,H848)</f>
        <v/>
      </c>
    </row>
    <row r="849">
      <c r="A849">
        <f>TEST_DATA!A849</f>
        <v/>
      </c>
      <c r="B849">
        <f>TEST_DATA!B849</f>
        <v/>
      </c>
      <c r="C849">
        <f>TEST_DATA!C849</f>
        <v/>
      </c>
      <c r="D849">
        <f>TEST_DATA!D849</f>
        <v/>
      </c>
      <c r="E849">
        <f>TEST_DATA!E849</f>
        <v/>
      </c>
      <c r="F849">
        <f>MIN(E849*84900,10000)</f>
        <v/>
      </c>
      <c r="G849">
        <f>MINIFS(CBIC_Late_Fee_Relief_Windows_3B!$O$849:$O$100,CBIC_Late_Fee_Relief_Windows_3B!$D$849:$D$100,"&lt;="&amp;B849,CBIC_Late_Fee_Relief_Windows_3B!$E$849:$E$100,"&gt;="&amp;B849,CBIC_Late_Fee_Relief_Windows_3B!$F$849:$F$100,"&lt;="&amp;C849,CBIC_Late_Fee_Relief_Windows_3B!$G$849:$G$100,"&gt;="&amp;C849)</f>
        <v/>
      </c>
      <c r="H849">
        <f>INDEX(CBIC_Late_Fee_Relief_Windows_3B!$I$849:$I$100,MATCH(G849,CBIC_Late_Fee_Relief_Windows_3B!$O$849:$O$100,0))</f>
        <v/>
      </c>
      <c r="I849">
        <f>MIN(F849,H849)</f>
        <v/>
      </c>
    </row>
    <row r="850">
      <c r="A850">
        <f>TEST_DATA!A850</f>
        <v/>
      </c>
      <c r="B850">
        <f>TEST_DATA!B850</f>
        <v/>
      </c>
      <c r="C850">
        <f>TEST_DATA!C850</f>
        <v/>
      </c>
      <c r="D850">
        <f>TEST_DATA!D850</f>
        <v/>
      </c>
      <c r="E850">
        <f>TEST_DATA!E850</f>
        <v/>
      </c>
      <c r="F850">
        <f>MIN(E850*85000,10000)</f>
        <v/>
      </c>
      <c r="G850">
        <f>MINIFS(CBIC_Late_Fee_Relief_Windows_3B!$O$850:$O$100,CBIC_Late_Fee_Relief_Windows_3B!$D$850:$D$100,"&lt;="&amp;B850,CBIC_Late_Fee_Relief_Windows_3B!$E$850:$E$100,"&gt;="&amp;B850,CBIC_Late_Fee_Relief_Windows_3B!$F$850:$F$100,"&lt;="&amp;C850,CBIC_Late_Fee_Relief_Windows_3B!$G$850:$G$100,"&gt;="&amp;C850)</f>
        <v/>
      </c>
      <c r="H850">
        <f>INDEX(CBIC_Late_Fee_Relief_Windows_3B!$I$850:$I$100,MATCH(G850,CBIC_Late_Fee_Relief_Windows_3B!$O$850:$O$100,0))</f>
        <v/>
      </c>
      <c r="I850">
        <f>MIN(F850,H850)</f>
        <v/>
      </c>
    </row>
    <row r="851">
      <c r="A851">
        <f>TEST_DATA!A851</f>
        <v/>
      </c>
      <c r="B851">
        <f>TEST_DATA!B851</f>
        <v/>
      </c>
      <c r="C851">
        <f>TEST_DATA!C851</f>
        <v/>
      </c>
      <c r="D851">
        <f>TEST_DATA!D851</f>
        <v/>
      </c>
      <c r="E851">
        <f>TEST_DATA!E851</f>
        <v/>
      </c>
      <c r="F851">
        <f>MIN(E851*85100,10000)</f>
        <v/>
      </c>
      <c r="G851">
        <f>MINIFS(CBIC_Late_Fee_Relief_Windows_3B!$O$851:$O$100,CBIC_Late_Fee_Relief_Windows_3B!$D$851:$D$100,"&lt;="&amp;B851,CBIC_Late_Fee_Relief_Windows_3B!$E$851:$E$100,"&gt;="&amp;B851,CBIC_Late_Fee_Relief_Windows_3B!$F$851:$F$100,"&lt;="&amp;C851,CBIC_Late_Fee_Relief_Windows_3B!$G$851:$G$100,"&gt;="&amp;C851)</f>
        <v/>
      </c>
      <c r="H851">
        <f>INDEX(CBIC_Late_Fee_Relief_Windows_3B!$I$851:$I$100,MATCH(G851,CBIC_Late_Fee_Relief_Windows_3B!$O$851:$O$100,0))</f>
        <v/>
      </c>
      <c r="I851">
        <f>MIN(F851,H851)</f>
        <v/>
      </c>
    </row>
    <row r="852">
      <c r="A852">
        <f>TEST_DATA!A852</f>
        <v/>
      </c>
      <c r="B852">
        <f>TEST_DATA!B852</f>
        <v/>
      </c>
      <c r="C852">
        <f>TEST_DATA!C852</f>
        <v/>
      </c>
      <c r="D852">
        <f>TEST_DATA!D852</f>
        <v/>
      </c>
      <c r="E852">
        <f>TEST_DATA!E852</f>
        <v/>
      </c>
      <c r="F852">
        <f>MIN(E852*85200,10000)</f>
        <v/>
      </c>
      <c r="G852">
        <f>MINIFS(CBIC_Late_Fee_Relief_Windows_3B!$O$852:$O$100,CBIC_Late_Fee_Relief_Windows_3B!$D$852:$D$100,"&lt;="&amp;B852,CBIC_Late_Fee_Relief_Windows_3B!$E$852:$E$100,"&gt;="&amp;B852,CBIC_Late_Fee_Relief_Windows_3B!$F$852:$F$100,"&lt;="&amp;C852,CBIC_Late_Fee_Relief_Windows_3B!$G$852:$G$100,"&gt;="&amp;C852)</f>
        <v/>
      </c>
      <c r="H852">
        <f>INDEX(CBIC_Late_Fee_Relief_Windows_3B!$I$852:$I$100,MATCH(G852,CBIC_Late_Fee_Relief_Windows_3B!$O$852:$O$100,0))</f>
        <v/>
      </c>
      <c r="I852">
        <f>MIN(F852,H852)</f>
        <v/>
      </c>
    </row>
    <row r="853">
      <c r="A853">
        <f>TEST_DATA!A853</f>
        <v/>
      </c>
      <c r="B853">
        <f>TEST_DATA!B853</f>
        <v/>
      </c>
      <c r="C853">
        <f>TEST_DATA!C853</f>
        <v/>
      </c>
      <c r="D853">
        <f>TEST_DATA!D853</f>
        <v/>
      </c>
      <c r="E853">
        <f>TEST_DATA!E853</f>
        <v/>
      </c>
      <c r="F853">
        <f>MIN(E853*85300,10000)</f>
        <v/>
      </c>
      <c r="G853">
        <f>MINIFS(CBIC_Late_Fee_Relief_Windows_3B!$O$853:$O$100,CBIC_Late_Fee_Relief_Windows_3B!$D$853:$D$100,"&lt;="&amp;B853,CBIC_Late_Fee_Relief_Windows_3B!$E$853:$E$100,"&gt;="&amp;B853,CBIC_Late_Fee_Relief_Windows_3B!$F$853:$F$100,"&lt;="&amp;C853,CBIC_Late_Fee_Relief_Windows_3B!$G$853:$G$100,"&gt;="&amp;C853)</f>
        <v/>
      </c>
      <c r="H853">
        <f>INDEX(CBIC_Late_Fee_Relief_Windows_3B!$I$853:$I$100,MATCH(G853,CBIC_Late_Fee_Relief_Windows_3B!$O$853:$O$100,0))</f>
        <v/>
      </c>
      <c r="I853">
        <f>MIN(F853,H853)</f>
        <v/>
      </c>
    </row>
    <row r="854">
      <c r="A854">
        <f>TEST_DATA!A854</f>
        <v/>
      </c>
      <c r="B854">
        <f>TEST_DATA!B854</f>
        <v/>
      </c>
      <c r="C854">
        <f>TEST_DATA!C854</f>
        <v/>
      </c>
      <c r="D854">
        <f>TEST_DATA!D854</f>
        <v/>
      </c>
      <c r="E854">
        <f>TEST_DATA!E854</f>
        <v/>
      </c>
      <c r="F854">
        <f>MIN(E854*85400,10000)</f>
        <v/>
      </c>
      <c r="G854">
        <f>MINIFS(CBIC_Late_Fee_Relief_Windows_3B!$O$854:$O$100,CBIC_Late_Fee_Relief_Windows_3B!$D$854:$D$100,"&lt;="&amp;B854,CBIC_Late_Fee_Relief_Windows_3B!$E$854:$E$100,"&gt;="&amp;B854,CBIC_Late_Fee_Relief_Windows_3B!$F$854:$F$100,"&lt;="&amp;C854,CBIC_Late_Fee_Relief_Windows_3B!$G$854:$G$100,"&gt;="&amp;C854)</f>
        <v/>
      </c>
      <c r="H854">
        <f>INDEX(CBIC_Late_Fee_Relief_Windows_3B!$I$854:$I$100,MATCH(G854,CBIC_Late_Fee_Relief_Windows_3B!$O$854:$O$100,0))</f>
        <v/>
      </c>
      <c r="I854">
        <f>MIN(F854,H854)</f>
        <v/>
      </c>
    </row>
    <row r="855">
      <c r="A855">
        <f>TEST_DATA!A855</f>
        <v/>
      </c>
      <c r="B855">
        <f>TEST_DATA!B855</f>
        <v/>
      </c>
      <c r="C855">
        <f>TEST_DATA!C855</f>
        <v/>
      </c>
      <c r="D855">
        <f>TEST_DATA!D855</f>
        <v/>
      </c>
      <c r="E855">
        <f>TEST_DATA!E855</f>
        <v/>
      </c>
      <c r="F855">
        <f>MIN(E855*85500,10000)</f>
        <v/>
      </c>
      <c r="G855">
        <f>MINIFS(CBIC_Late_Fee_Relief_Windows_3B!$O$855:$O$100,CBIC_Late_Fee_Relief_Windows_3B!$D$855:$D$100,"&lt;="&amp;B855,CBIC_Late_Fee_Relief_Windows_3B!$E$855:$E$100,"&gt;="&amp;B855,CBIC_Late_Fee_Relief_Windows_3B!$F$855:$F$100,"&lt;="&amp;C855,CBIC_Late_Fee_Relief_Windows_3B!$G$855:$G$100,"&gt;="&amp;C855)</f>
        <v/>
      </c>
      <c r="H855">
        <f>INDEX(CBIC_Late_Fee_Relief_Windows_3B!$I$855:$I$100,MATCH(G855,CBIC_Late_Fee_Relief_Windows_3B!$O$855:$O$100,0))</f>
        <v/>
      </c>
      <c r="I855">
        <f>MIN(F855,H855)</f>
        <v/>
      </c>
    </row>
    <row r="856">
      <c r="A856">
        <f>TEST_DATA!A856</f>
        <v/>
      </c>
      <c r="B856">
        <f>TEST_DATA!B856</f>
        <v/>
      </c>
      <c r="C856">
        <f>TEST_DATA!C856</f>
        <v/>
      </c>
      <c r="D856">
        <f>TEST_DATA!D856</f>
        <v/>
      </c>
      <c r="E856">
        <f>TEST_DATA!E856</f>
        <v/>
      </c>
      <c r="F856">
        <f>MIN(E856*85600,10000)</f>
        <v/>
      </c>
      <c r="G856">
        <f>MINIFS(CBIC_Late_Fee_Relief_Windows_3B!$O$856:$O$100,CBIC_Late_Fee_Relief_Windows_3B!$D$856:$D$100,"&lt;="&amp;B856,CBIC_Late_Fee_Relief_Windows_3B!$E$856:$E$100,"&gt;="&amp;B856,CBIC_Late_Fee_Relief_Windows_3B!$F$856:$F$100,"&lt;="&amp;C856,CBIC_Late_Fee_Relief_Windows_3B!$G$856:$G$100,"&gt;="&amp;C856)</f>
        <v/>
      </c>
      <c r="H856">
        <f>INDEX(CBIC_Late_Fee_Relief_Windows_3B!$I$856:$I$100,MATCH(G856,CBIC_Late_Fee_Relief_Windows_3B!$O$856:$O$100,0))</f>
        <v/>
      </c>
      <c r="I856">
        <f>MIN(F856,H856)</f>
        <v/>
      </c>
    </row>
    <row r="857">
      <c r="A857">
        <f>TEST_DATA!A857</f>
        <v/>
      </c>
      <c r="B857">
        <f>TEST_DATA!B857</f>
        <v/>
      </c>
      <c r="C857">
        <f>TEST_DATA!C857</f>
        <v/>
      </c>
      <c r="D857">
        <f>TEST_DATA!D857</f>
        <v/>
      </c>
      <c r="E857">
        <f>TEST_DATA!E857</f>
        <v/>
      </c>
      <c r="F857">
        <f>MIN(E857*85700,10000)</f>
        <v/>
      </c>
      <c r="G857">
        <f>MINIFS(CBIC_Late_Fee_Relief_Windows_3B!$O$857:$O$100,CBIC_Late_Fee_Relief_Windows_3B!$D$857:$D$100,"&lt;="&amp;B857,CBIC_Late_Fee_Relief_Windows_3B!$E$857:$E$100,"&gt;="&amp;B857,CBIC_Late_Fee_Relief_Windows_3B!$F$857:$F$100,"&lt;="&amp;C857,CBIC_Late_Fee_Relief_Windows_3B!$G$857:$G$100,"&gt;="&amp;C857)</f>
        <v/>
      </c>
      <c r="H857">
        <f>INDEX(CBIC_Late_Fee_Relief_Windows_3B!$I$857:$I$100,MATCH(G857,CBIC_Late_Fee_Relief_Windows_3B!$O$857:$O$100,0))</f>
        <v/>
      </c>
      <c r="I857">
        <f>MIN(F857,H857)</f>
        <v/>
      </c>
    </row>
    <row r="858">
      <c r="A858">
        <f>TEST_DATA!A858</f>
        <v/>
      </c>
      <c r="B858">
        <f>TEST_DATA!B858</f>
        <v/>
      </c>
      <c r="C858">
        <f>TEST_DATA!C858</f>
        <v/>
      </c>
      <c r="D858">
        <f>TEST_DATA!D858</f>
        <v/>
      </c>
      <c r="E858">
        <f>TEST_DATA!E858</f>
        <v/>
      </c>
      <c r="F858">
        <f>MIN(E858*85800,10000)</f>
        <v/>
      </c>
      <c r="G858">
        <f>MINIFS(CBIC_Late_Fee_Relief_Windows_3B!$O$858:$O$100,CBIC_Late_Fee_Relief_Windows_3B!$D$858:$D$100,"&lt;="&amp;B858,CBIC_Late_Fee_Relief_Windows_3B!$E$858:$E$100,"&gt;="&amp;B858,CBIC_Late_Fee_Relief_Windows_3B!$F$858:$F$100,"&lt;="&amp;C858,CBIC_Late_Fee_Relief_Windows_3B!$G$858:$G$100,"&gt;="&amp;C858)</f>
        <v/>
      </c>
      <c r="H858">
        <f>INDEX(CBIC_Late_Fee_Relief_Windows_3B!$I$858:$I$100,MATCH(G858,CBIC_Late_Fee_Relief_Windows_3B!$O$858:$O$100,0))</f>
        <v/>
      </c>
      <c r="I858">
        <f>MIN(F858,H858)</f>
        <v/>
      </c>
    </row>
    <row r="859">
      <c r="A859">
        <f>TEST_DATA!A859</f>
        <v/>
      </c>
      <c r="B859">
        <f>TEST_DATA!B859</f>
        <v/>
      </c>
      <c r="C859">
        <f>TEST_DATA!C859</f>
        <v/>
      </c>
      <c r="D859">
        <f>TEST_DATA!D859</f>
        <v/>
      </c>
      <c r="E859">
        <f>TEST_DATA!E859</f>
        <v/>
      </c>
      <c r="F859">
        <f>MIN(E859*85900,10000)</f>
        <v/>
      </c>
      <c r="G859">
        <f>MINIFS(CBIC_Late_Fee_Relief_Windows_3B!$O$859:$O$100,CBIC_Late_Fee_Relief_Windows_3B!$D$859:$D$100,"&lt;="&amp;B859,CBIC_Late_Fee_Relief_Windows_3B!$E$859:$E$100,"&gt;="&amp;B859,CBIC_Late_Fee_Relief_Windows_3B!$F$859:$F$100,"&lt;="&amp;C859,CBIC_Late_Fee_Relief_Windows_3B!$G$859:$G$100,"&gt;="&amp;C859)</f>
        <v/>
      </c>
      <c r="H859">
        <f>INDEX(CBIC_Late_Fee_Relief_Windows_3B!$I$859:$I$100,MATCH(G859,CBIC_Late_Fee_Relief_Windows_3B!$O$859:$O$100,0))</f>
        <v/>
      </c>
      <c r="I859">
        <f>MIN(F859,H859)</f>
        <v/>
      </c>
    </row>
    <row r="860">
      <c r="A860">
        <f>TEST_DATA!A860</f>
        <v/>
      </c>
      <c r="B860">
        <f>TEST_DATA!B860</f>
        <v/>
      </c>
      <c r="C860">
        <f>TEST_DATA!C860</f>
        <v/>
      </c>
      <c r="D860">
        <f>TEST_DATA!D860</f>
        <v/>
      </c>
      <c r="E860">
        <f>TEST_DATA!E860</f>
        <v/>
      </c>
      <c r="F860">
        <f>MIN(E860*86000,10000)</f>
        <v/>
      </c>
      <c r="G860">
        <f>MINIFS(CBIC_Late_Fee_Relief_Windows_3B!$O$860:$O$100,CBIC_Late_Fee_Relief_Windows_3B!$D$860:$D$100,"&lt;="&amp;B860,CBIC_Late_Fee_Relief_Windows_3B!$E$860:$E$100,"&gt;="&amp;B860,CBIC_Late_Fee_Relief_Windows_3B!$F$860:$F$100,"&lt;="&amp;C860,CBIC_Late_Fee_Relief_Windows_3B!$G$860:$G$100,"&gt;="&amp;C860)</f>
        <v/>
      </c>
      <c r="H860">
        <f>INDEX(CBIC_Late_Fee_Relief_Windows_3B!$I$860:$I$100,MATCH(G860,CBIC_Late_Fee_Relief_Windows_3B!$O$860:$O$100,0))</f>
        <v/>
      </c>
      <c r="I860">
        <f>MIN(F860,H860)</f>
        <v/>
      </c>
    </row>
    <row r="861">
      <c r="A861">
        <f>TEST_DATA!A861</f>
        <v/>
      </c>
      <c r="B861">
        <f>TEST_DATA!B861</f>
        <v/>
      </c>
      <c r="C861">
        <f>TEST_DATA!C861</f>
        <v/>
      </c>
      <c r="D861">
        <f>TEST_DATA!D861</f>
        <v/>
      </c>
      <c r="E861">
        <f>TEST_DATA!E861</f>
        <v/>
      </c>
      <c r="F861">
        <f>MIN(E861*86100,10000)</f>
        <v/>
      </c>
      <c r="G861">
        <f>MINIFS(CBIC_Late_Fee_Relief_Windows_3B!$O$861:$O$100,CBIC_Late_Fee_Relief_Windows_3B!$D$861:$D$100,"&lt;="&amp;B861,CBIC_Late_Fee_Relief_Windows_3B!$E$861:$E$100,"&gt;="&amp;B861,CBIC_Late_Fee_Relief_Windows_3B!$F$861:$F$100,"&lt;="&amp;C861,CBIC_Late_Fee_Relief_Windows_3B!$G$861:$G$100,"&gt;="&amp;C861)</f>
        <v/>
      </c>
      <c r="H861">
        <f>INDEX(CBIC_Late_Fee_Relief_Windows_3B!$I$861:$I$100,MATCH(G861,CBIC_Late_Fee_Relief_Windows_3B!$O$861:$O$100,0))</f>
        <v/>
      </c>
      <c r="I861">
        <f>MIN(F861,H861)</f>
        <v/>
      </c>
    </row>
    <row r="862">
      <c r="A862">
        <f>TEST_DATA!A862</f>
        <v/>
      </c>
      <c r="B862">
        <f>TEST_DATA!B862</f>
        <v/>
      </c>
      <c r="C862">
        <f>TEST_DATA!C862</f>
        <v/>
      </c>
      <c r="D862">
        <f>TEST_DATA!D862</f>
        <v/>
      </c>
      <c r="E862">
        <f>TEST_DATA!E862</f>
        <v/>
      </c>
      <c r="F862">
        <f>MIN(E862*86200,10000)</f>
        <v/>
      </c>
      <c r="G862">
        <f>MINIFS(CBIC_Late_Fee_Relief_Windows_3B!$O$862:$O$100,CBIC_Late_Fee_Relief_Windows_3B!$D$862:$D$100,"&lt;="&amp;B862,CBIC_Late_Fee_Relief_Windows_3B!$E$862:$E$100,"&gt;="&amp;B862,CBIC_Late_Fee_Relief_Windows_3B!$F$862:$F$100,"&lt;="&amp;C862,CBIC_Late_Fee_Relief_Windows_3B!$G$862:$G$100,"&gt;="&amp;C862)</f>
        <v/>
      </c>
      <c r="H862">
        <f>INDEX(CBIC_Late_Fee_Relief_Windows_3B!$I$862:$I$100,MATCH(G862,CBIC_Late_Fee_Relief_Windows_3B!$O$862:$O$100,0))</f>
        <v/>
      </c>
      <c r="I862">
        <f>MIN(F862,H862)</f>
        <v/>
      </c>
    </row>
    <row r="863">
      <c r="A863">
        <f>TEST_DATA!A863</f>
        <v/>
      </c>
      <c r="B863">
        <f>TEST_DATA!B863</f>
        <v/>
      </c>
      <c r="C863">
        <f>TEST_DATA!C863</f>
        <v/>
      </c>
      <c r="D863">
        <f>TEST_DATA!D863</f>
        <v/>
      </c>
      <c r="E863">
        <f>TEST_DATA!E863</f>
        <v/>
      </c>
      <c r="F863">
        <f>MIN(E863*86300,10000)</f>
        <v/>
      </c>
      <c r="G863">
        <f>MINIFS(CBIC_Late_Fee_Relief_Windows_3B!$O$863:$O$100,CBIC_Late_Fee_Relief_Windows_3B!$D$863:$D$100,"&lt;="&amp;B863,CBIC_Late_Fee_Relief_Windows_3B!$E$863:$E$100,"&gt;="&amp;B863,CBIC_Late_Fee_Relief_Windows_3B!$F$863:$F$100,"&lt;="&amp;C863,CBIC_Late_Fee_Relief_Windows_3B!$G$863:$G$100,"&gt;="&amp;C863)</f>
        <v/>
      </c>
      <c r="H863">
        <f>INDEX(CBIC_Late_Fee_Relief_Windows_3B!$I$863:$I$100,MATCH(G863,CBIC_Late_Fee_Relief_Windows_3B!$O$863:$O$100,0))</f>
        <v/>
      </c>
      <c r="I863">
        <f>MIN(F863,H863)</f>
        <v/>
      </c>
    </row>
    <row r="864">
      <c r="A864">
        <f>TEST_DATA!A864</f>
        <v/>
      </c>
      <c r="B864">
        <f>TEST_DATA!B864</f>
        <v/>
      </c>
      <c r="C864">
        <f>TEST_DATA!C864</f>
        <v/>
      </c>
      <c r="D864">
        <f>TEST_DATA!D864</f>
        <v/>
      </c>
      <c r="E864">
        <f>TEST_DATA!E864</f>
        <v/>
      </c>
      <c r="F864">
        <f>MIN(E864*86400,10000)</f>
        <v/>
      </c>
      <c r="G864">
        <f>MINIFS(CBIC_Late_Fee_Relief_Windows_3B!$O$864:$O$100,CBIC_Late_Fee_Relief_Windows_3B!$D$864:$D$100,"&lt;="&amp;B864,CBIC_Late_Fee_Relief_Windows_3B!$E$864:$E$100,"&gt;="&amp;B864,CBIC_Late_Fee_Relief_Windows_3B!$F$864:$F$100,"&lt;="&amp;C864,CBIC_Late_Fee_Relief_Windows_3B!$G$864:$G$100,"&gt;="&amp;C864)</f>
        <v/>
      </c>
      <c r="H864">
        <f>INDEX(CBIC_Late_Fee_Relief_Windows_3B!$I$864:$I$100,MATCH(G864,CBIC_Late_Fee_Relief_Windows_3B!$O$864:$O$100,0))</f>
        <v/>
      </c>
      <c r="I864">
        <f>MIN(F864,H864)</f>
        <v/>
      </c>
    </row>
    <row r="865">
      <c r="A865">
        <f>TEST_DATA!A865</f>
        <v/>
      </c>
      <c r="B865">
        <f>TEST_DATA!B865</f>
        <v/>
      </c>
      <c r="C865">
        <f>TEST_DATA!C865</f>
        <v/>
      </c>
      <c r="D865">
        <f>TEST_DATA!D865</f>
        <v/>
      </c>
      <c r="E865">
        <f>TEST_DATA!E865</f>
        <v/>
      </c>
      <c r="F865">
        <f>MIN(E865*86500,10000)</f>
        <v/>
      </c>
      <c r="G865">
        <f>MINIFS(CBIC_Late_Fee_Relief_Windows_3B!$O$865:$O$100,CBIC_Late_Fee_Relief_Windows_3B!$D$865:$D$100,"&lt;="&amp;B865,CBIC_Late_Fee_Relief_Windows_3B!$E$865:$E$100,"&gt;="&amp;B865,CBIC_Late_Fee_Relief_Windows_3B!$F$865:$F$100,"&lt;="&amp;C865,CBIC_Late_Fee_Relief_Windows_3B!$G$865:$G$100,"&gt;="&amp;C865)</f>
        <v/>
      </c>
      <c r="H865">
        <f>INDEX(CBIC_Late_Fee_Relief_Windows_3B!$I$865:$I$100,MATCH(G865,CBIC_Late_Fee_Relief_Windows_3B!$O$865:$O$100,0))</f>
        <v/>
      </c>
      <c r="I865">
        <f>MIN(F865,H865)</f>
        <v/>
      </c>
    </row>
    <row r="866">
      <c r="A866">
        <f>TEST_DATA!A866</f>
        <v/>
      </c>
      <c r="B866">
        <f>TEST_DATA!B866</f>
        <v/>
      </c>
      <c r="C866">
        <f>TEST_DATA!C866</f>
        <v/>
      </c>
      <c r="D866">
        <f>TEST_DATA!D866</f>
        <v/>
      </c>
      <c r="E866">
        <f>TEST_DATA!E866</f>
        <v/>
      </c>
      <c r="F866">
        <f>MIN(E866*86600,10000)</f>
        <v/>
      </c>
      <c r="G866">
        <f>MINIFS(CBIC_Late_Fee_Relief_Windows_3B!$O$866:$O$100,CBIC_Late_Fee_Relief_Windows_3B!$D$866:$D$100,"&lt;="&amp;B866,CBIC_Late_Fee_Relief_Windows_3B!$E$866:$E$100,"&gt;="&amp;B866,CBIC_Late_Fee_Relief_Windows_3B!$F$866:$F$100,"&lt;="&amp;C866,CBIC_Late_Fee_Relief_Windows_3B!$G$866:$G$100,"&gt;="&amp;C866)</f>
        <v/>
      </c>
      <c r="H866">
        <f>INDEX(CBIC_Late_Fee_Relief_Windows_3B!$I$866:$I$100,MATCH(G866,CBIC_Late_Fee_Relief_Windows_3B!$O$866:$O$100,0))</f>
        <v/>
      </c>
      <c r="I866">
        <f>MIN(F866,H866)</f>
        <v/>
      </c>
    </row>
    <row r="867">
      <c r="A867">
        <f>TEST_DATA!A867</f>
        <v/>
      </c>
      <c r="B867">
        <f>TEST_DATA!B867</f>
        <v/>
      </c>
      <c r="C867">
        <f>TEST_DATA!C867</f>
        <v/>
      </c>
      <c r="D867">
        <f>TEST_DATA!D867</f>
        <v/>
      </c>
      <c r="E867">
        <f>TEST_DATA!E867</f>
        <v/>
      </c>
      <c r="F867">
        <f>MIN(E867*86700,10000)</f>
        <v/>
      </c>
      <c r="G867">
        <f>MINIFS(CBIC_Late_Fee_Relief_Windows_3B!$O$867:$O$100,CBIC_Late_Fee_Relief_Windows_3B!$D$867:$D$100,"&lt;="&amp;B867,CBIC_Late_Fee_Relief_Windows_3B!$E$867:$E$100,"&gt;="&amp;B867,CBIC_Late_Fee_Relief_Windows_3B!$F$867:$F$100,"&lt;="&amp;C867,CBIC_Late_Fee_Relief_Windows_3B!$G$867:$G$100,"&gt;="&amp;C867)</f>
        <v/>
      </c>
      <c r="H867">
        <f>INDEX(CBIC_Late_Fee_Relief_Windows_3B!$I$867:$I$100,MATCH(G867,CBIC_Late_Fee_Relief_Windows_3B!$O$867:$O$100,0))</f>
        <v/>
      </c>
      <c r="I867">
        <f>MIN(F867,H867)</f>
        <v/>
      </c>
    </row>
    <row r="868">
      <c r="A868">
        <f>TEST_DATA!A868</f>
        <v/>
      </c>
      <c r="B868">
        <f>TEST_DATA!B868</f>
        <v/>
      </c>
      <c r="C868">
        <f>TEST_DATA!C868</f>
        <v/>
      </c>
      <c r="D868">
        <f>TEST_DATA!D868</f>
        <v/>
      </c>
      <c r="E868">
        <f>TEST_DATA!E868</f>
        <v/>
      </c>
      <c r="F868">
        <f>MIN(E868*86800,10000)</f>
        <v/>
      </c>
      <c r="G868">
        <f>MINIFS(CBIC_Late_Fee_Relief_Windows_3B!$O$868:$O$100,CBIC_Late_Fee_Relief_Windows_3B!$D$868:$D$100,"&lt;="&amp;B868,CBIC_Late_Fee_Relief_Windows_3B!$E$868:$E$100,"&gt;="&amp;B868,CBIC_Late_Fee_Relief_Windows_3B!$F$868:$F$100,"&lt;="&amp;C868,CBIC_Late_Fee_Relief_Windows_3B!$G$868:$G$100,"&gt;="&amp;C868)</f>
        <v/>
      </c>
      <c r="H868">
        <f>INDEX(CBIC_Late_Fee_Relief_Windows_3B!$I$868:$I$100,MATCH(G868,CBIC_Late_Fee_Relief_Windows_3B!$O$868:$O$100,0))</f>
        <v/>
      </c>
      <c r="I868">
        <f>MIN(F868,H868)</f>
        <v/>
      </c>
    </row>
    <row r="869">
      <c r="A869">
        <f>TEST_DATA!A869</f>
        <v/>
      </c>
      <c r="B869">
        <f>TEST_DATA!B869</f>
        <v/>
      </c>
      <c r="C869">
        <f>TEST_DATA!C869</f>
        <v/>
      </c>
      <c r="D869">
        <f>TEST_DATA!D869</f>
        <v/>
      </c>
      <c r="E869">
        <f>TEST_DATA!E869</f>
        <v/>
      </c>
      <c r="F869">
        <f>MIN(E869*86900,10000)</f>
        <v/>
      </c>
      <c r="G869">
        <f>MINIFS(CBIC_Late_Fee_Relief_Windows_3B!$O$869:$O$100,CBIC_Late_Fee_Relief_Windows_3B!$D$869:$D$100,"&lt;="&amp;B869,CBIC_Late_Fee_Relief_Windows_3B!$E$869:$E$100,"&gt;="&amp;B869,CBIC_Late_Fee_Relief_Windows_3B!$F$869:$F$100,"&lt;="&amp;C869,CBIC_Late_Fee_Relief_Windows_3B!$G$869:$G$100,"&gt;="&amp;C869)</f>
        <v/>
      </c>
      <c r="H869">
        <f>INDEX(CBIC_Late_Fee_Relief_Windows_3B!$I$869:$I$100,MATCH(G869,CBIC_Late_Fee_Relief_Windows_3B!$O$869:$O$100,0))</f>
        <v/>
      </c>
      <c r="I869">
        <f>MIN(F869,H869)</f>
        <v/>
      </c>
    </row>
    <row r="870">
      <c r="A870">
        <f>TEST_DATA!A870</f>
        <v/>
      </c>
      <c r="B870">
        <f>TEST_DATA!B870</f>
        <v/>
      </c>
      <c r="C870">
        <f>TEST_DATA!C870</f>
        <v/>
      </c>
      <c r="D870">
        <f>TEST_DATA!D870</f>
        <v/>
      </c>
      <c r="E870">
        <f>TEST_DATA!E870</f>
        <v/>
      </c>
      <c r="F870">
        <f>MIN(E870*87000,10000)</f>
        <v/>
      </c>
      <c r="G870">
        <f>MINIFS(CBIC_Late_Fee_Relief_Windows_3B!$O$870:$O$100,CBIC_Late_Fee_Relief_Windows_3B!$D$870:$D$100,"&lt;="&amp;B870,CBIC_Late_Fee_Relief_Windows_3B!$E$870:$E$100,"&gt;="&amp;B870,CBIC_Late_Fee_Relief_Windows_3B!$F$870:$F$100,"&lt;="&amp;C870,CBIC_Late_Fee_Relief_Windows_3B!$G$870:$G$100,"&gt;="&amp;C870)</f>
        <v/>
      </c>
      <c r="H870">
        <f>INDEX(CBIC_Late_Fee_Relief_Windows_3B!$I$870:$I$100,MATCH(G870,CBIC_Late_Fee_Relief_Windows_3B!$O$870:$O$100,0))</f>
        <v/>
      </c>
      <c r="I870">
        <f>MIN(F870,H870)</f>
        <v/>
      </c>
    </row>
    <row r="871">
      <c r="A871">
        <f>TEST_DATA!A871</f>
        <v/>
      </c>
      <c r="B871">
        <f>TEST_DATA!B871</f>
        <v/>
      </c>
      <c r="C871">
        <f>TEST_DATA!C871</f>
        <v/>
      </c>
      <c r="D871">
        <f>TEST_DATA!D871</f>
        <v/>
      </c>
      <c r="E871">
        <f>TEST_DATA!E871</f>
        <v/>
      </c>
      <c r="F871">
        <f>MIN(E871*87100,10000)</f>
        <v/>
      </c>
      <c r="G871">
        <f>MINIFS(CBIC_Late_Fee_Relief_Windows_3B!$O$871:$O$100,CBIC_Late_Fee_Relief_Windows_3B!$D$871:$D$100,"&lt;="&amp;B871,CBIC_Late_Fee_Relief_Windows_3B!$E$871:$E$100,"&gt;="&amp;B871,CBIC_Late_Fee_Relief_Windows_3B!$F$871:$F$100,"&lt;="&amp;C871,CBIC_Late_Fee_Relief_Windows_3B!$G$871:$G$100,"&gt;="&amp;C871)</f>
        <v/>
      </c>
      <c r="H871">
        <f>INDEX(CBIC_Late_Fee_Relief_Windows_3B!$I$871:$I$100,MATCH(G871,CBIC_Late_Fee_Relief_Windows_3B!$O$871:$O$100,0))</f>
        <v/>
      </c>
      <c r="I871">
        <f>MIN(F871,H871)</f>
        <v/>
      </c>
    </row>
    <row r="872">
      <c r="A872">
        <f>TEST_DATA!A872</f>
        <v/>
      </c>
      <c r="B872">
        <f>TEST_DATA!B872</f>
        <v/>
      </c>
      <c r="C872">
        <f>TEST_DATA!C872</f>
        <v/>
      </c>
      <c r="D872">
        <f>TEST_DATA!D872</f>
        <v/>
      </c>
      <c r="E872">
        <f>TEST_DATA!E872</f>
        <v/>
      </c>
      <c r="F872">
        <f>MIN(E872*87200,10000)</f>
        <v/>
      </c>
      <c r="G872">
        <f>MINIFS(CBIC_Late_Fee_Relief_Windows_3B!$O$872:$O$100,CBIC_Late_Fee_Relief_Windows_3B!$D$872:$D$100,"&lt;="&amp;B872,CBIC_Late_Fee_Relief_Windows_3B!$E$872:$E$100,"&gt;="&amp;B872,CBIC_Late_Fee_Relief_Windows_3B!$F$872:$F$100,"&lt;="&amp;C872,CBIC_Late_Fee_Relief_Windows_3B!$G$872:$G$100,"&gt;="&amp;C872)</f>
        <v/>
      </c>
      <c r="H872">
        <f>INDEX(CBIC_Late_Fee_Relief_Windows_3B!$I$872:$I$100,MATCH(G872,CBIC_Late_Fee_Relief_Windows_3B!$O$872:$O$100,0))</f>
        <v/>
      </c>
      <c r="I872">
        <f>MIN(F872,H872)</f>
        <v/>
      </c>
    </row>
    <row r="873">
      <c r="A873">
        <f>TEST_DATA!A873</f>
        <v/>
      </c>
      <c r="B873">
        <f>TEST_DATA!B873</f>
        <v/>
      </c>
      <c r="C873">
        <f>TEST_DATA!C873</f>
        <v/>
      </c>
      <c r="D873">
        <f>TEST_DATA!D873</f>
        <v/>
      </c>
      <c r="E873">
        <f>TEST_DATA!E873</f>
        <v/>
      </c>
      <c r="F873">
        <f>MIN(E873*87300,10000)</f>
        <v/>
      </c>
      <c r="G873">
        <f>MINIFS(CBIC_Late_Fee_Relief_Windows_3B!$O$873:$O$100,CBIC_Late_Fee_Relief_Windows_3B!$D$873:$D$100,"&lt;="&amp;B873,CBIC_Late_Fee_Relief_Windows_3B!$E$873:$E$100,"&gt;="&amp;B873,CBIC_Late_Fee_Relief_Windows_3B!$F$873:$F$100,"&lt;="&amp;C873,CBIC_Late_Fee_Relief_Windows_3B!$G$873:$G$100,"&gt;="&amp;C873)</f>
        <v/>
      </c>
      <c r="H873">
        <f>INDEX(CBIC_Late_Fee_Relief_Windows_3B!$I$873:$I$100,MATCH(G873,CBIC_Late_Fee_Relief_Windows_3B!$O$873:$O$100,0))</f>
        <v/>
      </c>
      <c r="I873">
        <f>MIN(F873,H873)</f>
        <v/>
      </c>
    </row>
    <row r="874">
      <c r="A874">
        <f>TEST_DATA!A874</f>
        <v/>
      </c>
      <c r="B874">
        <f>TEST_DATA!B874</f>
        <v/>
      </c>
      <c r="C874">
        <f>TEST_DATA!C874</f>
        <v/>
      </c>
      <c r="D874">
        <f>TEST_DATA!D874</f>
        <v/>
      </c>
      <c r="E874">
        <f>TEST_DATA!E874</f>
        <v/>
      </c>
      <c r="F874">
        <f>MIN(E874*87400,10000)</f>
        <v/>
      </c>
      <c r="G874">
        <f>MINIFS(CBIC_Late_Fee_Relief_Windows_3B!$O$874:$O$100,CBIC_Late_Fee_Relief_Windows_3B!$D$874:$D$100,"&lt;="&amp;B874,CBIC_Late_Fee_Relief_Windows_3B!$E$874:$E$100,"&gt;="&amp;B874,CBIC_Late_Fee_Relief_Windows_3B!$F$874:$F$100,"&lt;="&amp;C874,CBIC_Late_Fee_Relief_Windows_3B!$G$874:$G$100,"&gt;="&amp;C874)</f>
        <v/>
      </c>
      <c r="H874">
        <f>INDEX(CBIC_Late_Fee_Relief_Windows_3B!$I$874:$I$100,MATCH(G874,CBIC_Late_Fee_Relief_Windows_3B!$O$874:$O$100,0))</f>
        <v/>
      </c>
      <c r="I874">
        <f>MIN(F874,H874)</f>
        <v/>
      </c>
    </row>
    <row r="875">
      <c r="A875">
        <f>TEST_DATA!A875</f>
        <v/>
      </c>
      <c r="B875">
        <f>TEST_DATA!B875</f>
        <v/>
      </c>
      <c r="C875">
        <f>TEST_DATA!C875</f>
        <v/>
      </c>
      <c r="D875">
        <f>TEST_DATA!D875</f>
        <v/>
      </c>
      <c r="E875">
        <f>TEST_DATA!E875</f>
        <v/>
      </c>
      <c r="F875">
        <f>MIN(E875*87500,10000)</f>
        <v/>
      </c>
      <c r="G875">
        <f>MINIFS(CBIC_Late_Fee_Relief_Windows_3B!$O$875:$O$100,CBIC_Late_Fee_Relief_Windows_3B!$D$875:$D$100,"&lt;="&amp;B875,CBIC_Late_Fee_Relief_Windows_3B!$E$875:$E$100,"&gt;="&amp;B875,CBIC_Late_Fee_Relief_Windows_3B!$F$875:$F$100,"&lt;="&amp;C875,CBIC_Late_Fee_Relief_Windows_3B!$G$875:$G$100,"&gt;="&amp;C875)</f>
        <v/>
      </c>
      <c r="H875">
        <f>INDEX(CBIC_Late_Fee_Relief_Windows_3B!$I$875:$I$100,MATCH(G875,CBIC_Late_Fee_Relief_Windows_3B!$O$875:$O$100,0))</f>
        <v/>
      </c>
      <c r="I875">
        <f>MIN(F875,H875)</f>
        <v/>
      </c>
    </row>
    <row r="876">
      <c r="A876">
        <f>TEST_DATA!A876</f>
        <v/>
      </c>
      <c r="B876">
        <f>TEST_DATA!B876</f>
        <v/>
      </c>
      <c r="C876">
        <f>TEST_DATA!C876</f>
        <v/>
      </c>
      <c r="D876">
        <f>TEST_DATA!D876</f>
        <v/>
      </c>
      <c r="E876">
        <f>TEST_DATA!E876</f>
        <v/>
      </c>
      <c r="F876">
        <f>MIN(E876*87600,10000)</f>
        <v/>
      </c>
      <c r="G876">
        <f>MINIFS(CBIC_Late_Fee_Relief_Windows_3B!$O$876:$O$100,CBIC_Late_Fee_Relief_Windows_3B!$D$876:$D$100,"&lt;="&amp;B876,CBIC_Late_Fee_Relief_Windows_3B!$E$876:$E$100,"&gt;="&amp;B876,CBIC_Late_Fee_Relief_Windows_3B!$F$876:$F$100,"&lt;="&amp;C876,CBIC_Late_Fee_Relief_Windows_3B!$G$876:$G$100,"&gt;="&amp;C876)</f>
        <v/>
      </c>
      <c r="H876">
        <f>INDEX(CBIC_Late_Fee_Relief_Windows_3B!$I$876:$I$100,MATCH(G876,CBIC_Late_Fee_Relief_Windows_3B!$O$876:$O$100,0))</f>
        <v/>
      </c>
      <c r="I876">
        <f>MIN(F876,H876)</f>
        <v/>
      </c>
    </row>
    <row r="877">
      <c r="A877">
        <f>TEST_DATA!A877</f>
        <v/>
      </c>
      <c r="B877">
        <f>TEST_DATA!B877</f>
        <v/>
      </c>
      <c r="C877">
        <f>TEST_DATA!C877</f>
        <v/>
      </c>
      <c r="D877">
        <f>TEST_DATA!D877</f>
        <v/>
      </c>
      <c r="E877">
        <f>TEST_DATA!E877</f>
        <v/>
      </c>
      <c r="F877">
        <f>MIN(E877*87700,10000)</f>
        <v/>
      </c>
      <c r="G877">
        <f>MINIFS(CBIC_Late_Fee_Relief_Windows_3B!$O$877:$O$100,CBIC_Late_Fee_Relief_Windows_3B!$D$877:$D$100,"&lt;="&amp;B877,CBIC_Late_Fee_Relief_Windows_3B!$E$877:$E$100,"&gt;="&amp;B877,CBIC_Late_Fee_Relief_Windows_3B!$F$877:$F$100,"&lt;="&amp;C877,CBIC_Late_Fee_Relief_Windows_3B!$G$877:$G$100,"&gt;="&amp;C877)</f>
        <v/>
      </c>
      <c r="H877">
        <f>INDEX(CBIC_Late_Fee_Relief_Windows_3B!$I$877:$I$100,MATCH(G877,CBIC_Late_Fee_Relief_Windows_3B!$O$877:$O$100,0))</f>
        <v/>
      </c>
      <c r="I877">
        <f>MIN(F877,H877)</f>
        <v/>
      </c>
    </row>
    <row r="878">
      <c r="A878">
        <f>TEST_DATA!A878</f>
        <v/>
      </c>
      <c r="B878">
        <f>TEST_DATA!B878</f>
        <v/>
      </c>
      <c r="C878">
        <f>TEST_DATA!C878</f>
        <v/>
      </c>
      <c r="D878">
        <f>TEST_DATA!D878</f>
        <v/>
      </c>
      <c r="E878">
        <f>TEST_DATA!E878</f>
        <v/>
      </c>
      <c r="F878">
        <f>MIN(E878*87800,10000)</f>
        <v/>
      </c>
      <c r="G878">
        <f>MINIFS(CBIC_Late_Fee_Relief_Windows_3B!$O$878:$O$100,CBIC_Late_Fee_Relief_Windows_3B!$D$878:$D$100,"&lt;="&amp;B878,CBIC_Late_Fee_Relief_Windows_3B!$E$878:$E$100,"&gt;="&amp;B878,CBIC_Late_Fee_Relief_Windows_3B!$F$878:$F$100,"&lt;="&amp;C878,CBIC_Late_Fee_Relief_Windows_3B!$G$878:$G$100,"&gt;="&amp;C878)</f>
        <v/>
      </c>
      <c r="H878">
        <f>INDEX(CBIC_Late_Fee_Relief_Windows_3B!$I$878:$I$100,MATCH(G878,CBIC_Late_Fee_Relief_Windows_3B!$O$878:$O$100,0))</f>
        <v/>
      </c>
      <c r="I878">
        <f>MIN(F878,H878)</f>
        <v/>
      </c>
    </row>
    <row r="879">
      <c r="A879">
        <f>TEST_DATA!A879</f>
        <v/>
      </c>
      <c r="B879">
        <f>TEST_DATA!B879</f>
        <v/>
      </c>
      <c r="C879">
        <f>TEST_DATA!C879</f>
        <v/>
      </c>
      <c r="D879">
        <f>TEST_DATA!D879</f>
        <v/>
      </c>
      <c r="E879">
        <f>TEST_DATA!E879</f>
        <v/>
      </c>
      <c r="F879">
        <f>MIN(E879*87900,10000)</f>
        <v/>
      </c>
      <c r="G879">
        <f>MINIFS(CBIC_Late_Fee_Relief_Windows_3B!$O$879:$O$100,CBIC_Late_Fee_Relief_Windows_3B!$D$879:$D$100,"&lt;="&amp;B879,CBIC_Late_Fee_Relief_Windows_3B!$E$879:$E$100,"&gt;="&amp;B879,CBIC_Late_Fee_Relief_Windows_3B!$F$879:$F$100,"&lt;="&amp;C879,CBIC_Late_Fee_Relief_Windows_3B!$G$879:$G$100,"&gt;="&amp;C879)</f>
        <v/>
      </c>
      <c r="H879">
        <f>INDEX(CBIC_Late_Fee_Relief_Windows_3B!$I$879:$I$100,MATCH(G879,CBIC_Late_Fee_Relief_Windows_3B!$O$879:$O$100,0))</f>
        <v/>
      </c>
      <c r="I879">
        <f>MIN(F879,H879)</f>
        <v/>
      </c>
    </row>
    <row r="880">
      <c r="A880">
        <f>TEST_DATA!A880</f>
        <v/>
      </c>
      <c r="B880">
        <f>TEST_DATA!B880</f>
        <v/>
      </c>
      <c r="C880">
        <f>TEST_DATA!C880</f>
        <v/>
      </c>
      <c r="D880">
        <f>TEST_DATA!D880</f>
        <v/>
      </c>
      <c r="E880">
        <f>TEST_DATA!E880</f>
        <v/>
      </c>
      <c r="F880">
        <f>MIN(E880*88000,10000)</f>
        <v/>
      </c>
      <c r="G880">
        <f>MINIFS(CBIC_Late_Fee_Relief_Windows_3B!$O$880:$O$100,CBIC_Late_Fee_Relief_Windows_3B!$D$880:$D$100,"&lt;="&amp;B880,CBIC_Late_Fee_Relief_Windows_3B!$E$880:$E$100,"&gt;="&amp;B880,CBIC_Late_Fee_Relief_Windows_3B!$F$880:$F$100,"&lt;="&amp;C880,CBIC_Late_Fee_Relief_Windows_3B!$G$880:$G$100,"&gt;="&amp;C880)</f>
        <v/>
      </c>
      <c r="H880">
        <f>INDEX(CBIC_Late_Fee_Relief_Windows_3B!$I$880:$I$100,MATCH(G880,CBIC_Late_Fee_Relief_Windows_3B!$O$880:$O$100,0))</f>
        <v/>
      </c>
      <c r="I880">
        <f>MIN(F880,H880)</f>
        <v/>
      </c>
    </row>
    <row r="881">
      <c r="A881">
        <f>TEST_DATA!A881</f>
        <v/>
      </c>
      <c r="B881">
        <f>TEST_DATA!B881</f>
        <v/>
      </c>
      <c r="C881">
        <f>TEST_DATA!C881</f>
        <v/>
      </c>
      <c r="D881">
        <f>TEST_DATA!D881</f>
        <v/>
      </c>
      <c r="E881">
        <f>TEST_DATA!E881</f>
        <v/>
      </c>
      <c r="F881">
        <f>MIN(E881*88100,10000)</f>
        <v/>
      </c>
      <c r="G881">
        <f>MINIFS(CBIC_Late_Fee_Relief_Windows_3B!$O$881:$O$100,CBIC_Late_Fee_Relief_Windows_3B!$D$881:$D$100,"&lt;="&amp;B881,CBIC_Late_Fee_Relief_Windows_3B!$E$881:$E$100,"&gt;="&amp;B881,CBIC_Late_Fee_Relief_Windows_3B!$F$881:$F$100,"&lt;="&amp;C881,CBIC_Late_Fee_Relief_Windows_3B!$G$881:$G$100,"&gt;="&amp;C881)</f>
        <v/>
      </c>
      <c r="H881">
        <f>INDEX(CBIC_Late_Fee_Relief_Windows_3B!$I$881:$I$100,MATCH(G881,CBIC_Late_Fee_Relief_Windows_3B!$O$881:$O$100,0))</f>
        <v/>
      </c>
      <c r="I881">
        <f>MIN(F881,H881)</f>
        <v/>
      </c>
    </row>
    <row r="882">
      <c r="A882">
        <f>TEST_DATA!A882</f>
        <v/>
      </c>
      <c r="B882">
        <f>TEST_DATA!B882</f>
        <v/>
      </c>
      <c r="C882">
        <f>TEST_DATA!C882</f>
        <v/>
      </c>
      <c r="D882">
        <f>TEST_DATA!D882</f>
        <v/>
      </c>
      <c r="E882">
        <f>TEST_DATA!E882</f>
        <v/>
      </c>
      <c r="F882">
        <f>MIN(E882*88200,10000)</f>
        <v/>
      </c>
      <c r="G882">
        <f>MINIFS(CBIC_Late_Fee_Relief_Windows_3B!$O$882:$O$100,CBIC_Late_Fee_Relief_Windows_3B!$D$882:$D$100,"&lt;="&amp;B882,CBIC_Late_Fee_Relief_Windows_3B!$E$882:$E$100,"&gt;="&amp;B882,CBIC_Late_Fee_Relief_Windows_3B!$F$882:$F$100,"&lt;="&amp;C882,CBIC_Late_Fee_Relief_Windows_3B!$G$882:$G$100,"&gt;="&amp;C882)</f>
        <v/>
      </c>
      <c r="H882">
        <f>INDEX(CBIC_Late_Fee_Relief_Windows_3B!$I$882:$I$100,MATCH(G882,CBIC_Late_Fee_Relief_Windows_3B!$O$882:$O$100,0))</f>
        <v/>
      </c>
      <c r="I882">
        <f>MIN(F882,H882)</f>
        <v/>
      </c>
    </row>
    <row r="883">
      <c r="A883">
        <f>TEST_DATA!A883</f>
        <v/>
      </c>
      <c r="B883">
        <f>TEST_DATA!B883</f>
        <v/>
      </c>
      <c r="C883">
        <f>TEST_DATA!C883</f>
        <v/>
      </c>
      <c r="D883">
        <f>TEST_DATA!D883</f>
        <v/>
      </c>
      <c r="E883">
        <f>TEST_DATA!E883</f>
        <v/>
      </c>
      <c r="F883">
        <f>MIN(E883*88300,10000)</f>
        <v/>
      </c>
      <c r="G883">
        <f>MINIFS(CBIC_Late_Fee_Relief_Windows_3B!$O$883:$O$100,CBIC_Late_Fee_Relief_Windows_3B!$D$883:$D$100,"&lt;="&amp;B883,CBIC_Late_Fee_Relief_Windows_3B!$E$883:$E$100,"&gt;="&amp;B883,CBIC_Late_Fee_Relief_Windows_3B!$F$883:$F$100,"&lt;="&amp;C883,CBIC_Late_Fee_Relief_Windows_3B!$G$883:$G$100,"&gt;="&amp;C883)</f>
        <v/>
      </c>
      <c r="H883">
        <f>INDEX(CBIC_Late_Fee_Relief_Windows_3B!$I$883:$I$100,MATCH(G883,CBIC_Late_Fee_Relief_Windows_3B!$O$883:$O$100,0))</f>
        <v/>
      </c>
      <c r="I883">
        <f>MIN(F883,H883)</f>
        <v/>
      </c>
    </row>
    <row r="884">
      <c r="A884">
        <f>TEST_DATA!A884</f>
        <v/>
      </c>
      <c r="B884">
        <f>TEST_DATA!B884</f>
        <v/>
      </c>
      <c r="C884">
        <f>TEST_DATA!C884</f>
        <v/>
      </c>
      <c r="D884">
        <f>TEST_DATA!D884</f>
        <v/>
      </c>
      <c r="E884">
        <f>TEST_DATA!E884</f>
        <v/>
      </c>
      <c r="F884">
        <f>MIN(E884*88400,10000)</f>
        <v/>
      </c>
      <c r="G884">
        <f>MINIFS(CBIC_Late_Fee_Relief_Windows_3B!$O$884:$O$100,CBIC_Late_Fee_Relief_Windows_3B!$D$884:$D$100,"&lt;="&amp;B884,CBIC_Late_Fee_Relief_Windows_3B!$E$884:$E$100,"&gt;="&amp;B884,CBIC_Late_Fee_Relief_Windows_3B!$F$884:$F$100,"&lt;="&amp;C884,CBIC_Late_Fee_Relief_Windows_3B!$G$884:$G$100,"&gt;="&amp;C884)</f>
        <v/>
      </c>
      <c r="H884">
        <f>INDEX(CBIC_Late_Fee_Relief_Windows_3B!$I$884:$I$100,MATCH(G884,CBIC_Late_Fee_Relief_Windows_3B!$O$884:$O$100,0))</f>
        <v/>
      </c>
      <c r="I884">
        <f>MIN(F884,H884)</f>
        <v/>
      </c>
    </row>
    <row r="885">
      <c r="A885">
        <f>TEST_DATA!A885</f>
        <v/>
      </c>
      <c r="B885">
        <f>TEST_DATA!B885</f>
        <v/>
      </c>
      <c r="C885">
        <f>TEST_DATA!C885</f>
        <v/>
      </c>
      <c r="D885">
        <f>TEST_DATA!D885</f>
        <v/>
      </c>
      <c r="E885">
        <f>TEST_DATA!E885</f>
        <v/>
      </c>
      <c r="F885">
        <f>MIN(E885*88500,10000)</f>
        <v/>
      </c>
      <c r="G885">
        <f>MINIFS(CBIC_Late_Fee_Relief_Windows_3B!$O$885:$O$100,CBIC_Late_Fee_Relief_Windows_3B!$D$885:$D$100,"&lt;="&amp;B885,CBIC_Late_Fee_Relief_Windows_3B!$E$885:$E$100,"&gt;="&amp;B885,CBIC_Late_Fee_Relief_Windows_3B!$F$885:$F$100,"&lt;="&amp;C885,CBIC_Late_Fee_Relief_Windows_3B!$G$885:$G$100,"&gt;="&amp;C885)</f>
        <v/>
      </c>
      <c r="H885">
        <f>INDEX(CBIC_Late_Fee_Relief_Windows_3B!$I$885:$I$100,MATCH(G885,CBIC_Late_Fee_Relief_Windows_3B!$O$885:$O$100,0))</f>
        <v/>
      </c>
      <c r="I885">
        <f>MIN(F885,H885)</f>
        <v/>
      </c>
    </row>
    <row r="886">
      <c r="A886">
        <f>TEST_DATA!A886</f>
        <v/>
      </c>
      <c r="B886">
        <f>TEST_DATA!B886</f>
        <v/>
      </c>
      <c r="C886">
        <f>TEST_DATA!C886</f>
        <v/>
      </c>
      <c r="D886">
        <f>TEST_DATA!D886</f>
        <v/>
      </c>
      <c r="E886">
        <f>TEST_DATA!E886</f>
        <v/>
      </c>
      <c r="F886">
        <f>MIN(E886*88600,10000)</f>
        <v/>
      </c>
      <c r="G886">
        <f>MINIFS(CBIC_Late_Fee_Relief_Windows_3B!$O$886:$O$100,CBIC_Late_Fee_Relief_Windows_3B!$D$886:$D$100,"&lt;="&amp;B886,CBIC_Late_Fee_Relief_Windows_3B!$E$886:$E$100,"&gt;="&amp;B886,CBIC_Late_Fee_Relief_Windows_3B!$F$886:$F$100,"&lt;="&amp;C886,CBIC_Late_Fee_Relief_Windows_3B!$G$886:$G$100,"&gt;="&amp;C886)</f>
        <v/>
      </c>
      <c r="H886">
        <f>INDEX(CBIC_Late_Fee_Relief_Windows_3B!$I$886:$I$100,MATCH(G886,CBIC_Late_Fee_Relief_Windows_3B!$O$886:$O$100,0))</f>
        <v/>
      </c>
      <c r="I886">
        <f>MIN(F886,H886)</f>
        <v/>
      </c>
    </row>
    <row r="887">
      <c r="A887">
        <f>TEST_DATA!A887</f>
        <v/>
      </c>
      <c r="B887">
        <f>TEST_DATA!B887</f>
        <v/>
      </c>
      <c r="C887">
        <f>TEST_DATA!C887</f>
        <v/>
      </c>
      <c r="D887">
        <f>TEST_DATA!D887</f>
        <v/>
      </c>
      <c r="E887">
        <f>TEST_DATA!E887</f>
        <v/>
      </c>
      <c r="F887">
        <f>MIN(E887*88700,10000)</f>
        <v/>
      </c>
      <c r="G887">
        <f>MINIFS(CBIC_Late_Fee_Relief_Windows_3B!$O$887:$O$100,CBIC_Late_Fee_Relief_Windows_3B!$D$887:$D$100,"&lt;="&amp;B887,CBIC_Late_Fee_Relief_Windows_3B!$E$887:$E$100,"&gt;="&amp;B887,CBIC_Late_Fee_Relief_Windows_3B!$F$887:$F$100,"&lt;="&amp;C887,CBIC_Late_Fee_Relief_Windows_3B!$G$887:$G$100,"&gt;="&amp;C887)</f>
        <v/>
      </c>
      <c r="H887">
        <f>INDEX(CBIC_Late_Fee_Relief_Windows_3B!$I$887:$I$100,MATCH(G887,CBIC_Late_Fee_Relief_Windows_3B!$O$887:$O$100,0))</f>
        <v/>
      </c>
      <c r="I887">
        <f>MIN(F887,H887)</f>
        <v/>
      </c>
    </row>
    <row r="888">
      <c r="A888">
        <f>TEST_DATA!A888</f>
        <v/>
      </c>
      <c r="B888">
        <f>TEST_DATA!B888</f>
        <v/>
      </c>
      <c r="C888">
        <f>TEST_DATA!C888</f>
        <v/>
      </c>
      <c r="D888">
        <f>TEST_DATA!D888</f>
        <v/>
      </c>
      <c r="E888">
        <f>TEST_DATA!E888</f>
        <v/>
      </c>
      <c r="F888">
        <f>MIN(E888*88800,10000)</f>
        <v/>
      </c>
      <c r="G888">
        <f>MINIFS(CBIC_Late_Fee_Relief_Windows_3B!$O$888:$O$100,CBIC_Late_Fee_Relief_Windows_3B!$D$888:$D$100,"&lt;="&amp;B888,CBIC_Late_Fee_Relief_Windows_3B!$E$888:$E$100,"&gt;="&amp;B888,CBIC_Late_Fee_Relief_Windows_3B!$F$888:$F$100,"&lt;="&amp;C888,CBIC_Late_Fee_Relief_Windows_3B!$G$888:$G$100,"&gt;="&amp;C888)</f>
        <v/>
      </c>
      <c r="H888">
        <f>INDEX(CBIC_Late_Fee_Relief_Windows_3B!$I$888:$I$100,MATCH(G888,CBIC_Late_Fee_Relief_Windows_3B!$O$888:$O$100,0))</f>
        <v/>
      </c>
      <c r="I888">
        <f>MIN(F888,H888)</f>
        <v/>
      </c>
    </row>
    <row r="889">
      <c r="A889">
        <f>TEST_DATA!A889</f>
        <v/>
      </c>
      <c r="B889">
        <f>TEST_DATA!B889</f>
        <v/>
      </c>
      <c r="C889">
        <f>TEST_DATA!C889</f>
        <v/>
      </c>
      <c r="D889">
        <f>TEST_DATA!D889</f>
        <v/>
      </c>
      <c r="E889">
        <f>TEST_DATA!E889</f>
        <v/>
      </c>
      <c r="F889">
        <f>MIN(E889*88900,10000)</f>
        <v/>
      </c>
      <c r="G889">
        <f>MINIFS(CBIC_Late_Fee_Relief_Windows_3B!$O$889:$O$100,CBIC_Late_Fee_Relief_Windows_3B!$D$889:$D$100,"&lt;="&amp;B889,CBIC_Late_Fee_Relief_Windows_3B!$E$889:$E$100,"&gt;="&amp;B889,CBIC_Late_Fee_Relief_Windows_3B!$F$889:$F$100,"&lt;="&amp;C889,CBIC_Late_Fee_Relief_Windows_3B!$G$889:$G$100,"&gt;="&amp;C889)</f>
        <v/>
      </c>
      <c r="H889">
        <f>INDEX(CBIC_Late_Fee_Relief_Windows_3B!$I$889:$I$100,MATCH(G889,CBIC_Late_Fee_Relief_Windows_3B!$O$889:$O$100,0))</f>
        <v/>
      </c>
      <c r="I889">
        <f>MIN(F889,H889)</f>
        <v/>
      </c>
    </row>
    <row r="890">
      <c r="A890">
        <f>TEST_DATA!A890</f>
        <v/>
      </c>
      <c r="B890">
        <f>TEST_DATA!B890</f>
        <v/>
      </c>
      <c r="C890">
        <f>TEST_DATA!C890</f>
        <v/>
      </c>
      <c r="D890">
        <f>TEST_DATA!D890</f>
        <v/>
      </c>
      <c r="E890">
        <f>TEST_DATA!E890</f>
        <v/>
      </c>
      <c r="F890">
        <f>MIN(E890*89000,10000)</f>
        <v/>
      </c>
      <c r="G890">
        <f>MINIFS(CBIC_Late_Fee_Relief_Windows_3B!$O$890:$O$100,CBIC_Late_Fee_Relief_Windows_3B!$D$890:$D$100,"&lt;="&amp;B890,CBIC_Late_Fee_Relief_Windows_3B!$E$890:$E$100,"&gt;="&amp;B890,CBIC_Late_Fee_Relief_Windows_3B!$F$890:$F$100,"&lt;="&amp;C890,CBIC_Late_Fee_Relief_Windows_3B!$G$890:$G$100,"&gt;="&amp;C890)</f>
        <v/>
      </c>
      <c r="H890">
        <f>INDEX(CBIC_Late_Fee_Relief_Windows_3B!$I$890:$I$100,MATCH(G890,CBIC_Late_Fee_Relief_Windows_3B!$O$890:$O$100,0))</f>
        <v/>
      </c>
      <c r="I890">
        <f>MIN(F890,H890)</f>
        <v/>
      </c>
    </row>
    <row r="891">
      <c r="A891">
        <f>TEST_DATA!A891</f>
        <v/>
      </c>
      <c r="B891">
        <f>TEST_DATA!B891</f>
        <v/>
      </c>
      <c r="C891">
        <f>TEST_DATA!C891</f>
        <v/>
      </c>
      <c r="D891">
        <f>TEST_DATA!D891</f>
        <v/>
      </c>
      <c r="E891">
        <f>TEST_DATA!E891</f>
        <v/>
      </c>
      <c r="F891">
        <f>MIN(E891*89100,10000)</f>
        <v/>
      </c>
      <c r="G891">
        <f>MINIFS(CBIC_Late_Fee_Relief_Windows_3B!$O$891:$O$100,CBIC_Late_Fee_Relief_Windows_3B!$D$891:$D$100,"&lt;="&amp;B891,CBIC_Late_Fee_Relief_Windows_3B!$E$891:$E$100,"&gt;="&amp;B891,CBIC_Late_Fee_Relief_Windows_3B!$F$891:$F$100,"&lt;="&amp;C891,CBIC_Late_Fee_Relief_Windows_3B!$G$891:$G$100,"&gt;="&amp;C891)</f>
        <v/>
      </c>
      <c r="H891">
        <f>INDEX(CBIC_Late_Fee_Relief_Windows_3B!$I$891:$I$100,MATCH(G891,CBIC_Late_Fee_Relief_Windows_3B!$O$891:$O$100,0))</f>
        <v/>
      </c>
      <c r="I891">
        <f>MIN(F891,H891)</f>
        <v/>
      </c>
    </row>
    <row r="892">
      <c r="A892">
        <f>TEST_DATA!A892</f>
        <v/>
      </c>
      <c r="B892">
        <f>TEST_DATA!B892</f>
        <v/>
      </c>
      <c r="C892">
        <f>TEST_DATA!C892</f>
        <v/>
      </c>
      <c r="D892">
        <f>TEST_DATA!D892</f>
        <v/>
      </c>
      <c r="E892">
        <f>TEST_DATA!E892</f>
        <v/>
      </c>
      <c r="F892">
        <f>MIN(E892*89200,10000)</f>
        <v/>
      </c>
      <c r="G892">
        <f>MINIFS(CBIC_Late_Fee_Relief_Windows_3B!$O$892:$O$100,CBIC_Late_Fee_Relief_Windows_3B!$D$892:$D$100,"&lt;="&amp;B892,CBIC_Late_Fee_Relief_Windows_3B!$E$892:$E$100,"&gt;="&amp;B892,CBIC_Late_Fee_Relief_Windows_3B!$F$892:$F$100,"&lt;="&amp;C892,CBIC_Late_Fee_Relief_Windows_3B!$G$892:$G$100,"&gt;="&amp;C892)</f>
        <v/>
      </c>
      <c r="H892">
        <f>INDEX(CBIC_Late_Fee_Relief_Windows_3B!$I$892:$I$100,MATCH(G892,CBIC_Late_Fee_Relief_Windows_3B!$O$892:$O$100,0))</f>
        <v/>
      </c>
      <c r="I892">
        <f>MIN(F892,H892)</f>
        <v/>
      </c>
    </row>
    <row r="893">
      <c r="A893">
        <f>TEST_DATA!A893</f>
        <v/>
      </c>
      <c r="B893">
        <f>TEST_DATA!B893</f>
        <v/>
      </c>
      <c r="C893">
        <f>TEST_DATA!C893</f>
        <v/>
      </c>
      <c r="D893">
        <f>TEST_DATA!D893</f>
        <v/>
      </c>
      <c r="E893">
        <f>TEST_DATA!E893</f>
        <v/>
      </c>
      <c r="F893">
        <f>MIN(E893*89300,10000)</f>
        <v/>
      </c>
      <c r="G893">
        <f>MINIFS(CBIC_Late_Fee_Relief_Windows_3B!$O$893:$O$100,CBIC_Late_Fee_Relief_Windows_3B!$D$893:$D$100,"&lt;="&amp;B893,CBIC_Late_Fee_Relief_Windows_3B!$E$893:$E$100,"&gt;="&amp;B893,CBIC_Late_Fee_Relief_Windows_3B!$F$893:$F$100,"&lt;="&amp;C893,CBIC_Late_Fee_Relief_Windows_3B!$G$893:$G$100,"&gt;="&amp;C893)</f>
        <v/>
      </c>
      <c r="H893">
        <f>INDEX(CBIC_Late_Fee_Relief_Windows_3B!$I$893:$I$100,MATCH(G893,CBIC_Late_Fee_Relief_Windows_3B!$O$893:$O$100,0))</f>
        <v/>
      </c>
      <c r="I893">
        <f>MIN(F893,H893)</f>
        <v/>
      </c>
    </row>
    <row r="894">
      <c r="A894">
        <f>TEST_DATA!A894</f>
        <v/>
      </c>
      <c r="B894">
        <f>TEST_DATA!B894</f>
        <v/>
      </c>
      <c r="C894">
        <f>TEST_DATA!C894</f>
        <v/>
      </c>
      <c r="D894">
        <f>TEST_DATA!D894</f>
        <v/>
      </c>
      <c r="E894">
        <f>TEST_DATA!E894</f>
        <v/>
      </c>
      <c r="F894">
        <f>MIN(E894*89400,10000)</f>
        <v/>
      </c>
      <c r="G894">
        <f>MINIFS(CBIC_Late_Fee_Relief_Windows_3B!$O$894:$O$100,CBIC_Late_Fee_Relief_Windows_3B!$D$894:$D$100,"&lt;="&amp;B894,CBIC_Late_Fee_Relief_Windows_3B!$E$894:$E$100,"&gt;="&amp;B894,CBIC_Late_Fee_Relief_Windows_3B!$F$894:$F$100,"&lt;="&amp;C894,CBIC_Late_Fee_Relief_Windows_3B!$G$894:$G$100,"&gt;="&amp;C894)</f>
        <v/>
      </c>
      <c r="H894">
        <f>INDEX(CBIC_Late_Fee_Relief_Windows_3B!$I$894:$I$100,MATCH(G894,CBIC_Late_Fee_Relief_Windows_3B!$O$894:$O$100,0))</f>
        <v/>
      </c>
      <c r="I894">
        <f>MIN(F894,H894)</f>
        <v/>
      </c>
    </row>
    <row r="895">
      <c r="A895">
        <f>TEST_DATA!A895</f>
        <v/>
      </c>
      <c r="B895">
        <f>TEST_DATA!B895</f>
        <v/>
      </c>
      <c r="C895">
        <f>TEST_DATA!C895</f>
        <v/>
      </c>
      <c r="D895">
        <f>TEST_DATA!D895</f>
        <v/>
      </c>
      <c r="E895">
        <f>TEST_DATA!E895</f>
        <v/>
      </c>
      <c r="F895">
        <f>MIN(E895*89500,10000)</f>
        <v/>
      </c>
      <c r="G895">
        <f>MINIFS(CBIC_Late_Fee_Relief_Windows_3B!$O$895:$O$100,CBIC_Late_Fee_Relief_Windows_3B!$D$895:$D$100,"&lt;="&amp;B895,CBIC_Late_Fee_Relief_Windows_3B!$E$895:$E$100,"&gt;="&amp;B895,CBIC_Late_Fee_Relief_Windows_3B!$F$895:$F$100,"&lt;="&amp;C895,CBIC_Late_Fee_Relief_Windows_3B!$G$895:$G$100,"&gt;="&amp;C895)</f>
        <v/>
      </c>
      <c r="H895">
        <f>INDEX(CBIC_Late_Fee_Relief_Windows_3B!$I$895:$I$100,MATCH(G895,CBIC_Late_Fee_Relief_Windows_3B!$O$895:$O$100,0))</f>
        <v/>
      </c>
      <c r="I895">
        <f>MIN(F895,H895)</f>
        <v/>
      </c>
    </row>
    <row r="896">
      <c r="A896">
        <f>TEST_DATA!A896</f>
        <v/>
      </c>
      <c r="B896">
        <f>TEST_DATA!B896</f>
        <v/>
      </c>
      <c r="C896">
        <f>TEST_DATA!C896</f>
        <v/>
      </c>
      <c r="D896">
        <f>TEST_DATA!D896</f>
        <v/>
      </c>
      <c r="E896">
        <f>TEST_DATA!E896</f>
        <v/>
      </c>
      <c r="F896">
        <f>MIN(E896*89600,10000)</f>
        <v/>
      </c>
      <c r="G896">
        <f>MINIFS(CBIC_Late_Fee_Relief_Windows_3B!$O$896:$O$100,CBIC_Late_Fee_Relief_Windows_3B!$D$896:$D$100,"&lt;="&amp;B896,CBIC_Late_Fee_Relief_Windows_3B!$E$896:$E$100,"&gt;="&amp;B896,CBIC_Late_Fee_Relief_Windows_3B!$F$896:$F$100,"&lt;="&amp;C896,CBIC_Late_Fee_Relief_Windows_3B!$G$896:$G$100,"&gt;="&amp;C896)</f>
        <v/>
      </c>
      <c r="H896">
        <f>INDEX(CBIC_Late_Fee_Relief_Windows_3B!$I$896:$I$100,MATCH(G896,CBIC_Late_Fee_Relief_Windows_3B!$O$896:$O$100,0))</f>
        <v/>
      </c>
      <c r="I896">
        <f>MIN(F896,H896)</f>
        <v/>
      </c>
    </row>
    <row r="897">
      <c r="A897">
        <f>TEST_DATA!A897</f>
        <v/>
      </c>
      <c r="B897">
        <f>TEST_DATA!B897</f>
        <v/>
      </c>
      <c r="C897">
        <f>TEST_DATA!C897</f>
        <v/>
      </c>
      <c r="D897">
        <f>TEST_DATA!D897</f>
        <v/>
      </c>
      <c r="E897">
        <f>TEST_DATA!E897</f>
        <v/>
      </c>
      <c r="F897">
        <f>MIN(E897*89700,10000)</f>
        <v/>
      </c>
      <c r="G897">
        <f>MINIFS(CBIC_Late_Fee_Relief_Windows_3B!$O$897:$O$100,CBIC_Late_Fee_Relief_Windows_3B!$D$897:$D$100,"&lt;="&amp;B897,CBIC_Late_Fee_Relief_Windows_3B!$E$897:$E$100,"&gt;="&amp;B897,CBIC_Late_Fee_Relief_Windows_3B!$F$897:$F$100,"&lt;="&amp;C897,CBIC_Late_Fee_Relief_Windows_3B!$G$897:$G$100,"&gt;="&amp;C897)</f>
        <v/>
      </c>
      <c r="H897">
        <f>INDEX(CBIC_Late_Fee_Relief_Windows_3B!$I$897:$I$100,MATCH(G897,CBIC_Late_Fee_Relief_Windows_3B!$O$897:$O$100,0))</f>
        <v/>
      </c>
      <c r="I897">
        <f>MIN(F897,H897)</f>
        <v/>
      </c>
    </row>
    <row r="898">
      <c r="A898">
        <f>TEST_DATA!A898</f>
        <v/>
      </c>
      <c r="B898">
        <f>TEST_DATA!B898</f>
        <v/>
      </c>
      <c r="C898">
        <f>TEST_DATA!C898</f>
        <v/>
      </c>
      <c r="D898">
        <f>TEST_DATA!D898</f>
        <v/>
      </c>
      <c r="E898">
        <f>TEST_DATA!E898</f>
        <v/>
      </c>
      <c r="F898">
        <f>MIN(E898*89800,10000)</f>
        <v/>
      </c>
      <c r="G898">
        <f>MINIFS(CBIC_Late_Fee_Relief_Windows_3B!$O$898:$O$100,CBIC_Late_Fee_Relief_Windows_3B!$D$898:$D$100,"&lt;="&amp;B898,CBIC_Late_Fee_Relief_Windows_3B!$E$898:$E$100,"&gt;="&amp;B898,CBIC_Late_Fee_Relief_Windows_3B!$F$898:$F$100,"&lt;="&amp;C898,CBIC_Late_Fee_Relief_Windows_3B!$G$898:$G$100,"&gt;="&amp;C898)</f>
        <v/>
      </c>
      <c r="H898">
        <f>INDEX(CBIC_Late_Fee_Relief_Windows_3B!$I$898:$I$100,MATCH(G898,CBIC_Late_Fee_Relief_Windows_3B!$O$898:$O$100,0))</f>
        <v/>
      </c>
      <c r="I898">
        <f>MIN(F898,H898)</f>
        <v/>
      </c>
    </row>
    <row r="899">
      <c r="A899">
        <f>TEST_DATA!A899</f>
        <v/>
      </c>
      <c r="B899">
        <f>TEST_DATA!B899</f>
        <v/>
      </c>
      <c r="C899">
        <f>TEST_DATA!C899</f>
        <v/>
      </c>
      <c r="D899">
        <f>TEST_DATA!D899</f>
        <v/>
      </c>
      <c r="E899">
        <f>TEST_DATA!E899</f>
        <v/>
      </c>
      <c r="F899">
        <f>MIN(E899*89900,10000)</f>
        <v/>
      </c>
      <c r="G899">
        <f>MINIFS(CBIC_Late_Fee_Relief_Windows_3B!$O$899:$O$100,CBIC_Late_Fee_Relief_Windows_3B!$D$899:$D$100,"&lt;="&amp;B899,CBIC_Late_Fee_Relief_Windows_3B!$E$899:$E$100,"&gt;="&amp;B899,CBIC_Late_Fee_Relief_Windows_3B!$F$899:$F$100,"&lt;="&amp;C899,CBIC_Late_Fee_Relief_Windows_3B!$G$899:$G$100,"&gt;="&amp;C899)</f>
        <v/>
      </c>
      <c r="H899">
        <f>INDEX(CBIC_Late_Fee_Relief_Windows_3B!$I$899:$I$100,MATCH(G899,CBIC_Late_Fee_Relief_Windows_3B!$O$899:$O$100,0))</f>
        <v/>
      </c>
      <c r="I899">
        <f>MIN(F899,H899)</f>
        <v/>
      </c>
    </row>
    <row r="900">
      <c r="A900">
        <f>TEST_DATA!A900</f>
        <v/>
      </c>
      <c r="B900">
        <f>TEST_DATA!B900</f>
        <v/>
      </c>
      <c r="C900">
        <f>TEST_DATA!C900</f>
        <v/>
      </c>
      <c r="D900">
        <f>TEST_DATA!D900</f>
        <v/>
      </c>
      <c r="E900">
        <f>TEST_DATA!E900</f>
        <v/>
      </c>
      <c r="F900">
        <f>MIN(E900*90000,10000)</f>
        <v/>
      </c>
      <c r="G900">
        <f>MINIFS(CBIC_Late_Fee_Relief_Windows_3B!$O$900:$O$100,CBIC_Late_Fee_Relief_Windows_3B!$D$900:$D$100,"&lt;="&amp;B900,CBIC_Late_Fee_Relief_Windows_3B!$E$900:$E$100,"&gt;="&amp;B900,CBIC_Late_Fee_Relief_Windows_3B!$F$900:$F$100,"&lt;="&amp;C900,CBIC_Late_Fee_Relief_Windows_3B!$G$900:$G$100,"&gt;="&amp;C900)</f>
        <v/>
      </c>
      <c r="H900">
        <f>INDEX(CBIC_Late_Fee_Relief_Windows_3B!$I$900:$I$100,MATCH(G900,CBIC_Late_Fee_Relief_Windows_3B!$O$900:$O$100,0))</f>
        <v/>
      </c>
      <c r="I900">
        <f>MIN(F900,H900)</f>
        <v/>
      </c>
    </row>
    <row r="901">
      <c r="A901">
        <f>TEST_DATA!A901</f>
        <v/>
      </c>
      <c r="B901">
        <f>TEST_DATA!B901</f>
        <v/>
      </c>
      <c r="C901">
        <f>TEST_DATA!C901</f>
        <v/>
      </c>
      <c r="D901">
        <f>TEST_DATA!D901</f>
        <v/>
      </c>
      <c r="E901">
        <f>TEST_DATA!E901</f>
        <v/>
      </c>
      <c r="F901">
        <f>MIN(E901*90100,10000)</f>
        <v/>
      </c>
      <c r="G901">
        <f>MINIFS(CBIC_Late_Fee_Relief_Windows_3B!$O$901:$O$100,CBIC_Late_Fee_Relief_Windows_3B!$D$901:$D$100,"&lt;="&amp;B901,CBIC_Late_Fee_Relief_Windows_3B!$E$901:$E$100,"&gt;="&amp;B901,CBIC_Late_Fee_Relief_Windows_3B!$F$901:$F$100,"&lt;="&amp;C901,CBIC_Late_Fee_Relief_Windows_3B!$G$901:$G$100,"&gt;="&amp;C901)</f>
        <v/>
      </c>
      <c r="H901">
        <f>INDEX(CBIC_Late_Fee_Relief_Windows_3B!$I$901:$I$100,MATCH(G901,CBIC_Late_Fee_Relief_Windows_3B!$O$901:$O$100,0))</f>
        <v/>
      </c>
      <c r="I901">
        <f>MIN(F901,H901)</f>
        <v/>
      </c>
    </row>
    <row r="902">
      <c r="A902">
        <f>TEST_DATA!A902</f>
        <v/>
      </c>
      <c r="B902">
        <f>TEST_DATA!B902</f>
        <v/>
      </c>
      <c r="C902">
        <f>TEST_DATA!C902</f>
        <v/>
      </c>
      <c r="D902">
        <f>TEST_DATA!D902</f>
        <v/>
      </c>
      <c r="E902">
        <f>TEST_DATA!E902</f>
        <v/>
      </c>
      <c r="F902">
        <f>MIN(E902*90200,10000)</f>
        <v/>
      </c>
      <c r="G902">
        <f>MINIFS(CBIC_Late_Fee_Relief_Windows_3B!$O$902:$O$100,CBIC_Late_Fee_Relief_Windows_3B!$D$902:$D$100,"&lt;="&amp;B902,CBIC_Late_Fee_Relief_Windows_3B!$E$902:$E$100,"&gt;="&amp;B902,CBIC_Late_Fee_Relief_Windows_3B!$F$902:$F$100,"&lt;="&amp;C902,CBIC_Late_Fee_Relief_Windows_3B!$G$902:$G$100,"&gt;="&amp;C902)</f>
        <v/>
      </c>
      <c r="H902">
        <f>INDEX(CBIC_Late_Fee_Relief_Windows_3B!$I$902:$I$100,MATCH(G902,CBIC_Late_Fee_Relief_Windows_3B!$O$902:$O$100,0))</f>
        <v/>
      </c>
      <c r="I902">
        <f>MIN(F902,H902)</f>
        <v/>
      </c>
    </row>
    <row r="903">
      <c r="A903">
        <f>TEST_DATA!A903</f>
        <v/>
      </c>
      <c r="B903">
        <f>TEST_DATA!B903</f>
        <v/>
      </c>
      <c r="C903">
        <f>TEST_DATA!C903</f>
        <v/>
      </c>
      <c r="D903">
        <f>TEST_DATA!D903</f>
        <v/>
      </c>
      <c r="E903">
        <f>TEST_DATA!E903</f>
        <v/>
      </c>
      <c r="F903">
        <f>MIN(E903*90300,10000)</f>
        <v/>
      </c>
      <c r="G903">
        <f>MINIFS(CBIC_Late_Fee_Relief_Windows_3B!$O$903:$O$100,CBIC_Late_Fee_Relief_Windows_3B!$D$903:$D$100,"&lt;="&amp;B903,CBIC_Late_Fee_Relief_Windows_3B!$E$903:$E$100,"&gt;="&amp;B903,CBIC_Late_Fee_Relief_Windows_3B!$F$903:$F$100,"&lt;="&amp;C903,CBIC_Late_Fee_Relief_Windows_3B!$G$903:$G$100,"&gt;="&amp;C903)</f>
        <v/>
      </c>
      <c r="H903">
        <f>INDEX(CBIC_Late_Fee_Relief_Windows_3B!$I$903:$I$100,MATCH(G903,CBIC_Late_Fee_Relief_Windows_3B!$O$903:$O$100,0))</f>
        <v/>
      </c>
      <c r="I903">
        <f>MIN(F903,H903)</f>
        <v/>
      </c>
    </row>
    <row r="904">
      <c r="A904">
        <f>TEST_DATA!A904</f>
        <v/>
      </c>
      <c r="B904">
        <f>TEST_DATA!B904</f>
        <v/>
      </c>
      <c r="C904">
        <f>TEST_DATA!C904</f>
        <v/>
      </c>
      <c r="D904">
        <f>TEST_DATA!D904</f>
        <v/>
      </c>
      <c r="E904">
        <f>TEST_DATA!E904</f>
        <v/>
      </c>
      <c r="F904">
        <f>MIN(E904*90400,10000)</f>
        <v/>
      </c>
      <c r="G904">
        <f>MINIFS(CBIC_Late_Fee_Relief_Windows_3B!$O$904:$O$100,CBIC_Late_Fee_Relief_Windows_3B!$D$904:$D$100,"&lt;="&amp;B904,CBIC_Late_Fee_Relief_Windows_3B!$E$904:$E$100,"&gt;="&amp;B904,CBIC_Late_Fee_Relief_Windows_3B!$F$904:$F$100,"&lt;="&amp;C904,CBIC_Late_Fee_Relief_Windows_3B!$G$904:$G$100,"&gt;="&amp;C904)</f>
        <v/>
      </c>
      <c r="H904">
        <f>INDEX(CBIC_Late_Fee_Relief_Windows_3B!$I$904:$I$100,MATCH(G904,CBIC_Late_Fee_Relief_Windows_3B!$O$904:$O$100,0))</f>
        <v/>
      </c>
      <c r="I904">
        <f>MIN(F904,H904)</f>
        <v/>
      </c>
    </row>
    <row r="905">
      <c r="A905">
        <f>TEST_DATA!A905</f>
        <v/>
      </c>
      <c r="B905">
        <f>TEST_DATA!B905</f>
        <v/>
      </c>
      <c r="C905">
        <f>TEST_DATA!C905</f>
        <v/>
      </c>
      <c r="D905">
        <f>TEST_DATA!D905</f>
        <v/>
      </c>
      <c r="E905">
        <f>TEST_DATA!E905</f>
        <v/>
      </c>
      <c r="F905">
        <f>MIN(E905*90500,10000)</f>
        <v/>
      </c>
      <c r="G905">
        <f>MINIFS(CBIC_Late_Fee_Relief_Windows_3B!$O$905:$O$100,CBIC_Late_Fee_Relief_Windows_3B!$D$905:$D$100,"&lt;="&amp;B905,CBIC_Late_Fee_Relief_Windows_3B!$E$905:$E$100,"&gt;="&amp;B905,CBIC_Late_Fee_Relief_Windows_3B!$F$905:$F$100,"&lt;="&amp;C905,CBIC_Late_Fee_Relief_Windows_3B!$G$905:$G$100,"&gt;="&amp;C905)</f>
        <v/>
      </c>
      <c r="H905">
        <f>INDEX(CBIC_Late_Fee_Relief_Windows_3B!$I$905:$I$100,MATCH(G905,CBIC_Late_Fee_Relief_Windows_3B!$O$905:$O$100,0))</f>
        <v/>
      </c>
      <c r="I905">
        <f>MIN(F905,H905)</f>
        <v/>
      </c>
    </row>
    <row r="906">
      <c r="A906">
        <f>TEST_DATA!A906</f>
        <v/>
      </c>
      <c r="B906">
        <f>TEST_DATA!B906</f>
        <v/>
      </c>
      <c r="C906">
        <f>TEST_DATA!C906</f>
        <v/>
      </c>
      <c r="D906">
        <f>TEST_DATA!D906</f>
        <v/>
      </c>
      <c r="E906">
        <f>TEST_DATA!E906</f>
        <v/>
      </c>
      <c r="F906">
        <f>MIN(E906*90600,10000)</f>
        <v/>
      </c>
      <c r="G906">
        <f>MINIFS(CBIC_Late_Fee_Relief_Windows_3B!$O$906:$O$100,CBIC_Late_Fee_Relief_Windows_3B!$D$906:$D$100,"&lt;="&amp;B906,CBIC_Late_Fee_Relief_Windows_3B!$E$906:$E$100,"&gt;="&amp;B906,CBIC_Late_Fee_Relief_Windows_3B!$F$906:$F$100,"&lt;="&amp;C906,CBIC_Late_Fee_Relief_Windows_3B!$G$906:$G$100,"&gt;="&amp;C906)</f>
        <v/>
      </c>
      <c r="H906">
        <f>INDEX(CBIC_Late_Fee_Relief_Windows_3B!$I$906:$I$100,MATCH(G906,CBIC_Late_Fee_Relief_Windows_3B!$O$906:$O$100,0))</f>
        <v/>
      </c>
      <c r="I906">
        <f>MIN(F906,H906)</f>
        <v/>
      </c>
    </row>
    <row r="907">
      <c r="A907">
        <f>TEST_DATA!A907</f>
        <v/>
      </c>
      <c r="B907">
        <f>TEST_DATA!B907</f>
        <v/>
      </c>
      <c r="C907">
        <f>TEST_DATA!C907</f>
        <v/>
      </c>
      <c r="D907">
        <f>TEST_DATA!D907</f>
        <v/>
      </c>
      <c r="E907">
        <f>TEST_DATA!E907</f>
        <v/>
      </c>
      <c r="F907">
        <f>MIN(E907*90700,10000)</f>
        <v/>
      </c>
      <c r="G907">
        <f>MINIFS(CBIC_Late_Fee_Relief_Windows_3B!$O$907:$O$100,CBIC_Late_Fee_Relief_Windows_3B!$D$907:$D$100,"&lt;="&amp;B907,CBIC_Late_Fee_Relief_Windows_3B!$E$907:$E$100,"&gt;="&amp;B907,CBIC_Late_Fee_Relief_Windows_3B!$F$907:$F$100,"&lt;="&amp;C907,CBIC_Late_Fee_Relief_Windows_3B!$G$907:$G$100,"&gt;="&amp;C907)</f>
        <v/>
      </c>
      <c r="H907">
        <f>INDEX(CBIC_Late_Fee_Relief_Windows_3B!$I$907:$I$100,MATCH(G907,CBIC_Late_Fee_Relief_Windows_3B!$O$907:$O$100,0))</f>
        <v/>
      </c>
      <c r="I907">
        <f>MIN(F907,H907)</f>
        <v/>
      </c>
    </row>
    <row r="908">
      <c r="A908">
        <f>TEST_DATA!A908</f>
        <v/>
      </c>
      <c r="B908">
        <f>TEST_DATA!B908</f>
        <v/>
      </c>
      <c r="C908">
        <f>TEST_DATA!C908</f>
        <v/>
      </c>
      <c r="D908">
        <f>TEST_DATA!D908</f>
        <v/>
      </c>
      <c r="E908">
        <f>TEST_DATA!E908</f>
        <v/>
      </c>
      <c r="F908">
        <f>MIN(E908*90800,10000)</f>
        <v/>
      </c>
      <c r="G908">
        <f>MINIFS(CBIC_Late_Fee_Relief_Windows_3B!$O$908:$O$100,CBIC_Late_Fee_Relief_Windows_3B!$D$908:$D$100,"&lt;="&amp;B908,CBIC_Late_Fee_Relief_Windows_3B!$E$908:$E$100,"&gt;="&amp;B908,CBIC_Late_Fee_Relief_Windows_3B!$F$908:$F$100,"&lt;="&amp;C908,CBIC_Late_Fee_Relief_Windows_3B!$G$908:$G$100,"&gt;="&amp;C908)</f>
        <v/>
      </c>
      <c r="H908">
        <f>INDEX(CBIC_Late_Fee_Relief_Windows_3B!$I$908:$I$100,MATCH(G908,CBIC_Late_Fee_Relief_Windows_3B!$O$908:$O$100,0))</f>
        <v/>
      </c>
      <c r="I908">
        <f>MIN(F908,H908)</f>
        <v/>
      </c>
    </row>
    <row r="909">
      <c r="A909">
        <f>TEST_DATA!A909</f>
        <v/>
      </c>
      <c r="B909">
        <f>TEST_DATA!B909</f>
        <v/>
      </c>
      <c r="C909">
        <f>TEST_DATA!C909</f>
        <v/>
      </c>
      <c r="D909">
        <f>TEST_DATA!D909</f>
        <v/>
      </c>
      <c r="E909">
        <f>TEST_DATA!E909</f>
        <v/>
      </c>
      <c r="F909">
        <f>MIN(E909*90900,10000)</f>
        <v/>
      </c>
      <c r="G909">
        <f>MINIFS(CBIC_Late_Fee_Relief_Windows_3B!$O$909:$O$100,CBIC_Late_Fee_Relief_Windows_3B!$D$909:$D$100,"&lt;="&amp;B909,CBIC_Late_Fee_Relief_Windows_3B!$E$909:$E$100,"&gt;="&amp;B909,CBIC_Late_Fee_Relief_Windows_3B!$F$909:$F$100,"&lt;="&amp;C909,CBIC_Late_Fee_Relief_Windows_3B!$G$909:$G$100,"&gt;="&amp;C909)</f>
        <v/>
      </c>
      <c r="H909">
        <f>INDEX(CBIC_Late_Fee_Relief_Windows_3B!$I$909:$I$100,MATCH(G909,CBIC_Late_Fee_Relief_Windows_3B!$O$909:$O$100,0))</f>
        <v/>
      </c>
      <c r="I909">
        <f>MIN(F909,H909)</f>
        <v/>
      </c>
    </row>
    <row r="910">
      <c r="A910">
        <f>TEST_DATA!A910</f>
        <v/>
      </c>
      <c r="B910">
        <f>TEST_DATA!B910</f>
        <v/>
      </c>
      <c r="C910">
        <f>TEST_DATA!C910</f>
        <v/>
      </c>
      <c r="D910">
        <f>TEST_DATA!D910</f>
        <v/>
      </c>
      <c r="E910">
        <f>TEST_DATA!E910</f>
        <v/>
      </c>
      <c r="F910">
        <f>MIN(E910*91000,10000)</f>
        <v/>
      </c>
      <c r="G910">
        <f>MINIFS(CBIC_Late_Fee_Relief_Windows_3B!$O$910:$O$100,CBIC_Late_Fee_Relief_Windows_3B!$D$910:$D$100,"&lt;="&amp;B910,CBIC_Late_Fee_Relief_Windows_3B!$E$910:$E$100,"&gt;="&amp;B910,CBIC_Late_Fee_Relief_Windows_3B!$F$910:$F$100,"&lt;="&amp;C910,CBIC_Late_Fee_Relief_Windows_3B!$G$910:$G$100,"&gt;="&amp;C910)</f>
        <v/>
      </c>
      <c r="H910">
        <f>INDEX(CBIC_Late_Fee_Relief_Windows_3B!$I$910:$I$100,MATCH(G910,CBIC_Late_Fee_Relief_Windows_3B!$O$910:$O$100,0))</f>
        <v/>
      </c>
      <c r="I910">
        <f>MIN(F910,H910)</f>
        <v/>
      </c>
    </row>
    <row r="911">
      <c r="A911">
        <f>TEST_DATA!A911</f>
        <v/>
      </c>
      <c r="B911">
        <f>TEST_DATA!B911</f>
        <v/>
      </c>
      <c r="C911">
        <f>TEST_DATA!C911</f>
        <v/>
      </c>
      <c r="D911">
        <f>TEST_DATA!D911</f>
        <v/>
      </c>
      <c r="E911">
        <f>TEST_DATA!E911</f>
        <v/>
      </c>
      <c r="F911">
        <f>MIN(E911*91100,10000)</f>
        <v/>
      </c>
      <c r="G911">
        <f>MINIFS(CBIC_Late_Fee_Relief_Windows_3B!$O$911:$O$100,CBIC_Late_Fee_Relief_Windows_3B!$D$911:$D$100,"&lt;="&amp;B911,CBIC_Late_Fee_Relief_Windows_3B!$E$911:$E$100,"&gt;="&amp;B911,CBIC_Late_Fee_Relief_Windows_3B!$F$911:$F$100,"&lt;="&amp;C911,CBIC_Late_Fee_Relief_Windows_3B!$G$911:$G$100,"&gt;="&amp;C911)</f>
        <v/>
      </c>
      <c r="H911">
        <f>INDEX(CBIC_Late_Fee_Relief_Windows_3B!$I$911:$I$100,MATCH(G911,CBIC_Late_Fee_Relief_Windows_3B!$O$911:$O$100,0))</f>
        <v/>
      </c>
      <c r="I911">
        <f>MIN(F911,H911)</f>
        <v/>
      </c>
    </row>
    <row r="912">
      <c r="A912">
        <f>TEST_DATA!A912</f>
        <v/>
      </c>
      <c r="B912">
        <f>TEST_DATA!B912</f>
        <v/>
      </c>
      <c r="C912">
        <f>TEST_DATA!C912</f>
        <v/>
      </c>
      <c r="D912">
        <f>TEST_DATA!D912</f>
        <v/>
      </c>
      <c r="E912">
        <f>TEST_DATA!E912</f>
        <v/>
      </c>
      <c r="F912">
        <f>MIN(E912*91200,10000)</f>
        <v/>
      </c>
      <c r="G912">
        <f>MINIFS(CBIC_Late_Fee_Relief_Windows_3B!$O$912:$O$100,CBIC_Late_Fee_Relief_Windows_3B!$D$912:$D$100,"&lt;="&amp;B912,CBIC_Late_Fee_Relief_Windows_3B!$E$912:$E$100,"&gt;="&amp;B912,CBIC_Late_Fee_Relief_Windows_3B!$F$912:$F$100,"&lt;="&amp;C912,CBIC_Late_Fee_Relief_Windows_3B!$G$912:$G$100,"&gt;="&amp;C912)</f>
        <v/>
      </c>
      <c r="H912">
        <f>INDEX(CBIC_Late_Fee_Relief_Windows_3B!$I$912:$I$100,MATCH(G912,CBIC_Late_Fee_Relief_Windows_3B!$O$912:$O$100,0))</f>
        <v/>
      </c>
      <c r="I912">
        <f>MIN(F912,H912)</f>
        <v/>
      </c>
    </row>
    <row r="913">
      <c r="A913">
        <f>TEST_DATA!A913</f>
        <v/>
      </c>
      <c r="B913">
        <f>TEST_DATA!B913</f>
        <v/>
      </c>
      <c r="C913">
        <f>TEST_DATA!C913</f>
        <v/>
      </c>
      <c r="D913">
        <f>TEST_DATA!D913</f>
        <v/>
      </c>
      <c r="E913">
        <f>TEST_DATA!E913</f>
        <v/>
      </c>
      <c r="F913">
        <f>MIN(E913*91300,10000)</f>
        <v/>
      </c>
      <c r="G913">
        <f>MINIFS(CBIC_Late_Fee_Relief_Windows_3B!$O$913:$O$100,CBIC_Late_Fee_Relief_Windows_3B!$D$913:$D$100,"&lt;="&amp;B913,CBIC_Late_Fee_Relief_Windows_3B!$E$913:$E$100,"&gt;="&amp;B913,CBIC_Late_Fee_Relief_Windows_3B!$F$913:$F$100,"&lt;="&amp;C913,CBIC_Late_Fee_Relief_Windows_3B!$G$913:$G$100,"&gt;="&amp;C913)</f>
        <v/>
      </c>
      <c r="H913">
        <f>INDEX(CBIC_Late_Fee_Relief_Windows_3B!$I$913:$I$100,MATCH(G913,CBIC_Late_Fee_Relief_Windows_3B!$O$913:$O$100,0))</f>
        <v/>
      </c>
      <c r="I913">
        <f>MIN(F913,H913)</f>
        <v/>
      </c>
    </row>
    <row r="914">
      <c r="A914">
        <f>TEST_DATA!A914</f>
        <v/>
      </c>
      <c r="B914">
        <f>TEST_DATA!B914</f>
        <v/>
      </c>
      <c r="C914">
        <f>TEST_DATA!C914</f>
        <v/>
      </c>
      <c r="D914">
        <f>TEST_DATA!D914</f>
        <v/>
      </c>
      <c r="E914">
        <f>TEST_DATA!E914</f>
        <v/>
      </c>
      <c r="F914">
        <f>MIN(E914*91400,10000)</f>
        <v/>
      </c>
      <c r="G914">
        <f>MINIFS(CBIC_Late_Fee_Relief_Windows_3B!$O$914:$O$100,CBIC_Late_Fee_Relief_Windows_3B!$D$914:$D$100,"&lt;="&amp;B914,CBIC_Late_Fee_Relief_Windows_3B!$E$914:$E$100,"&gt;="&amp;B914,CBIC_Late_Fee_Relief_Windows_3B!$F$914:$F$100,"&lt;="&amp;C914,CBIC_Late_Fee_Relief_Windows_3B!$G$914:$G$100,"&gt;="&amp;C914)</f>
        <v/>
      </c>
      <c r="H914">
        <f>INDEX(CBIC_Late_Fee_Relief_Windows_3B!$I$914:$I$100,MATCH(G914,CBIC_Late_Fee_Relief_Windows_3B!$O$914:$O$100,0))</f>
        <v/>
      </c>
      <c r="I914">
        <f>MIN(F914,H914)</f>
        <v/>
      </c>
    </row>
    <row r="915">
      <c r="A915">
        <f>TEST_DATA!A915</f>
        <v/>
      </c>
      <c r="B915">
        <f>TEST_DATA!B915</f>
        <v/>
      </c>
      <c r="C915">
        <f>TEST_DATA!C915</f>
        <v/>
      </c>
      <c r="D915">
        <f>TEST_DATA!D915</f>
        <v/>
      </c>
      <c r="E915">
        <f>TEST_DATA!E915</f>
        <v/>
      </c>
      <c r="F915">
        <f>MIN(E915*91500,10000)</f>
        <v/>
      </c>
      <c r="G915">
        <f>MINIFS(CBIC_Late_Fee_Relief_Windows_3B!$O$915:$O$100,CBIC_Late_Fee_Relief_Windows_3B!$D$915:$D$100,"&lt;="&amp;B915,CBIC_Late_Fee_Relief_Windows_3B!$E$915:$E$100,"&gt;="&amp;B915,CBIC_Late_Fee_Relief_Windows_3B!$F$915:$F$100,"&lt;="&amp;C915,CBIC_Late_Fee_Relief_Windows_3B!$G$915:$G$100,"&gt;="&amp;C915)</f>
        <v/>
      </c>
      <c r="H915">
        <f>INDEX(CBIC_Late_Fee_Relief_Windows_3B!$I$915:$I$100,MATCH(G915,CBIC_Late_Fee_Relief_Windows_3B!$O$915:$O$100,0))</f>
        <v/>
      </c>
      <c r="I915">
        <f>MIN(F915,H915)</f>
        <v/>
      </c>
    </row>
    <row r="916">
      <c r="A916">
        <f>TEST_DATA!A916</f>
        <v/>
      </c>
      <c r="B916">
        <f>TEST_DATA!B916</f>
        <v/>
      </c>
      <c r="C916">
        <f>TEST_DATA!C916</f>
        <v/>
      </c>
      <c r="D916">
        <f>TEST_DATA!D916</f>
        <v/>
      </c>
      <c r="E916">
        <f>TEST_DATA!E916</f>
        <v/>
      </c>
      <c r="F916">
        <f>MIN(E916*91600,10000)</f>
        <v/>
      </c>
      <c r="G916">
        <f>MINIFS(CBIC_Late_Fee_Relief_Windows_3B!$O$916:$O$100,CBIC_Late_Fee_Relief_Windows_3B!$D$916:$D$100,"&lt;="&amp;B916,CBIC_Late_Fee_Relief_Windows_3B!$E$916:$E$100,"&gt;="&amp;B916,CBIC_Late_Fee_Relief_Windows_3B!$F$916:$F$100,"&lt;="&amp;C916,CBIC_Late_Fee_Relief_Windows_3B!$G$916:$G$100,"&gt;="&amp;C916)</f>
        <v/>
      </c>
      <c r="H916">
        <f>INDEX(CBIC_Late_Fee_Relief_Windows_3B!$I$916:$I$100,MATCH(G916,CBIC_Late_Fee_Relief_Windows_3B!$O$916:$O$100,0))</f>
        <v/>
      </c>
      <c r="I916">
        <f>MIN(F916,H916)</f>
        <v/>
      </c>
    </row>
    <row r="917">
      <c r="A917">
        <f>TEST_DATA!A917</f>
        <v/>
      </c>
      <c r="B917">
        <f>TEST_DATA!B917</f>
        <v/>
      </c>
      <c r="C917">
        <f>TEST_DATA!C917</f>
        <v/>
      </c>
      <c r="D917">
        <f>TEST_DATA!D917</f>
        <v/>
      </c>
      <c r="E917">
        <f>TEST_DATA!E917</f>
        <v/>
      </c>
      <c r="F917">
        <f>MIN(E917*91700,10000)</f>
        <v/>
      </c>
      <c r="G917">
        <f>MINIFS(CBIC_Late_Fee_Relief_Windows_3B!$O$917:$O$100,CBIC_Late_Fee_Relief_Windows_3B!$D$917:$D$100,"&lt;="&amp;B917,CBIC_Late_Fee_Relief_Windows_3B!$E$917:$E$100,"&gt;="&amp;B917,CBIC_Late_Fee_Relief_Windows_3B!$F$917:$F$100,"&lt;="&amp;C917,CBIC_Late_Fee_Relief_Windows_3B!$G$917:$G$100,"&gt;="&amp;C917)</f>
        <v/>
      </c>
      <c r="H917">
        <f>INDEX(CBIC_Late_Fee_Relief_Windows_3B!$I$917:$I$100,MATCH(G917,CBIC_Late_Fee_Relief_Windows_3B!$O$917:$O$100,0))</f>
        <v/>
      </c>
      <c r="I917">
        <f>MIN(F917,H917)</f>
        <v/>
      </c>
    </row>
    <row r="918">
      <c r="A918">
        <f>TEST_DATA!A918</f>
        <v/>
      </c>
      <c r="B918">
        <f>TEST_DATA!B918</f>
        <v/>
      </c>
      <c r="C918">
        <f>TEST_DATA!C918</f>
        <v/>
      </c>
      <c r="D918">
        <f>TEST_DATA!D918</f>
        <v/>
      </c>
      <c r="E918">
        <f>TEST_DATA!E918</f>
        <v/>
      </c>
      <c r="F918">
        <f>MIN(E918*91800,10000)</f>
        <v/>
      </c>
      <c r="G918">
        <f>MINIFS(CBIC_Late_Fee_Relief_Windows_3B!$O$918:$O$100,CBIC_Late_Fee_Relief_Windows_3B!$D$918:$D$100,"&lt;="&amp;B918,CBIC_Late_Fee_Relief_Windows_3B!$E$918:$E$100,"&gt;="&amp;B918,CBIC_Late_Fee_Relief_Windows_3B!$F$918:$F$100,"&lt;="&amp;C918,CBIC_Late_Fee_Relief_Windows_3B!$G$918:$G$100,"&gt;="&amp;C918)</f>
        <v/>
      </c>
      <c r="H918">
        <f>INDEX(CBIC_Late_Fee_Relief_Windows_3B!$I$918:$I$100,MATCH(G918,CBIC_Late_Fee_Relief_Windows_3B!$O$918:$O$100,0))</f>
        <v/>
      </c>
      <c r="I918">
        <f>MIN(F918,H918)</f>
        <v/>
      </c>
    </row>
    <row r="919">
      <c r="A919">
        <f>TEST_DATA!A919</f>
        <v/>
      </c>
      <c r="B919">
        <f>TEST_DATA!B919</f>
        <v/>
      </c>
      <c r="C919">
        <f>TEST_DATA!C919</f>
        <v/>
      </c>
      <c r="D919">
        <f>TEST_DATA!D919</f>
        <v/>
      </c>
      <c r="E919">
        <f>TEST_DATA!E919</f>
        <v/>
      </c>
      <c r="F919">
        <f>MIN(E919*91900,10000)</f>
        <v/>
      </c>
      <c r="G919">
        <f>MINIFS(CBIC_Late_Fee_Relief_Windows_3B!$O$919:$O$100,CBIC_Late_Fee_Relief_Windows_3B!$D$919:$D$100,"&lt;="&amp;B919,CBIC_Late_Fee_Relief_Windows_3B!$E$919:$E$100,"&gt;="&amp;B919,CBIC_Late_Fee_Relief_Windows_3B!$F$919:$F$100,"&lt;="&amp;C919,CBIC_Late_Fee_Relief_Windows_3B!$G$919:$G$100,"&gt;="&amp;C919)</f>
        <v/>
      </c>
      <c r="H919">
        <f>INDEX(CBIC_Late_Fee_Relief_Windows_3B!$I$919:$I$100,MATCH(G919,CBIC_Late_Fee_Relief_Windows_3B!$O$919:$O$100,0))</f>
        <v/>
      </c>
      <c r="I919">
        <f>MIN(F919,H919)</f>
        <v/>
      </c>
    </row>
    <row r="920">
      <c r="A920">
        <f>TEST_DATA!A920</f>
        <v/>
      </c>
      <c r="B920">
        <f>TEST_DATA!B920</f>
        <v/>
      </c>
      <c r="C920">
        <f>TEST_DATA!C920</f>
        <v/>
      </c>
      <c r="D920">
        <f>TEST_DATA!D920</f>
        <v/>
      </c>
      <c r="E920">
        <f>TEST_DATA!E920</f>
        <v/>
      </c>
      <c r="F920">
        <f>MIN(E920*92000,10000)</f>
        <v/>
      </c>
      <c r="G920">
        <f>MINIFS(CBIC_Late_Fee_Relief_Windows_3B!$O$920:$O$100,CBIC_Late_Fee_Relief_Windows_3B!$D$920:$D$100,"&lt;="&amp;B920,CBIC_Late_Fee_Relief_Windows_3B!$E$920:$E$100,"&gt;="&amp;B920,CBIC_Late_Fee_Relief_Windows_3B!$F$920:$F$100,"&lt;="&amp;C920,CBIC_Late_Fee_Relief_Windows_3B!$G$920:$G$100,"&gt;="&amp;C920)</f>
        <v/>
      </c>
      <c r="H920">
        <f>INDEX(CBIC_Late_Fee_Relief_Windows_3B!$I$920:$I$100,MATCH(G920,CBIC_Late_Fee_Relief_Windows_3B!$O$920:$O$100,0))</f>
        <v/>
      </c>
      <c r="I920">
        <f>MIN(F920,H920)</f>
        <v/>
      </c>
    </row>
    <row r="921">
      <c r="A921">
        <f>TEST_DATA!A921</f>
        <v/>
      </c>
      <c r="B921">
        <f>TEST_DATA!B921</f>
        <v/>
      </c>
      <c r="C921">
        <f>TEST_DATA!C921</f>
        <v/>
      </c>
      <c r="D921">
        <f>TEST_DATA!D921</f>
        <v/>
      </c>
      <c r="E921">
        <f>TEST_DATA!E921</f>
        <v/>
      </c>
      <c r="F921">
        <f>MIN(E921*92100,10000)</f>
        <v/>
      </c>
      <c r="G921">
        <f>MINIFS(CBIC_Late_Fee_Relief_Windows_3B!$O$921:$O$100,CBIC_Late_Fee_Relief_Windows_3B!$D$921:$D$100,"&lt;="&amp;B921,CBIC_Late_Fee_Relief_Windows_3B!$E$921:$E$100,"&gt;="&amp;B921,CBIC_Late_Fee_Relief_Windows_3B!$F$921:$F$100,"&lt;="&amp;C921,CBIC_Late_Fee_Relief_Windows_3B!$G$921:$G$100,"&gt;="&amp;C921)</f>
        <v/>
      </c>
      <c r="H921">
        <f>INDEX(CBIC_Late_Fee_Relief_Windows_3B!$I$921:$I$100,MATCH(G921,CBIC_Late_Fee_Relief_Windows_3B!$O$921:$O$100,0))</f>
        <v/>
      </c>
      <c r="I921">
        <f>MIN(F921,H921)</f>
        <v/>
      </c>
    </row>
    <row r="922">
      <c r="A922">
        <f>TEST_DATA!A922</f>
        <v/>
      </c>
      <c r="B922">
        <f>TEST_DATA!B922</f>
        <v/>
      </c>
      <c r="C922">
        <f>TEST_DATA!C922</f>
        <v/>
      </c>
      <c r="D922">
        <f>TEST_DATA!D922</f>
        <v/>
      </c>
      <c r="E922">
        <f>TEST_DATA!E922</f>
        <v/>
      </c>
      <c r="F922">
        <f>MIN(E922*92200,10000)</f>
        <v/>
      </c>
      <c r="G922">
        <f>MINIFS(CBIC_Late_Fee_Relief_Windows_3B!$O$922:$O$100,CBIC_Late_Fee_Relief_Windows_3B!$D$922:$D$100,"&lt;="&amp;B922,CBIC_Late_Fee_Relief_Windows_3B!$E$922:$E$100,"&gt;="&amp;B922,CBIC_Late_Fee_Relief_Windows_3B!$F$922:$F$100,"&lt;="&amp;C922,CBIC_Late_Fee_Relief_Windows_3B!$G$922:$G$100,"&gt;="&amp;C922)</f>
        <v/>
      </c>
      <c r="H922">
        <f>INDEX(CBIC_Late_Fee_Relief_Windows_3B!$I$922:$I$100,MATCH(G922,CBIC_Late_Fee_Relief_Windows_3B!$O$922:$O$100,0))</f>
        <v/>
      </c>
      <c r="I922">
        <f>MIN(F922,H922)</f>
        <v/>
      </c>
    </row>
    <row r="923">
      <c r="A923">
        <f>TEST_DATA!A923</f>
        <v/>
      </c>
      <c r="B923">
        <f>TEST_DATA!B923</f>
        <v/>
      </c>
      <c r="C923">
        <f>TEST_DATA!C923</f>
        <v/>
      </c>
      <c r="D923">
        <f>TEST_DATA!D923</f>
        <v/>
      </c>
      <c r="E923">
        <f>TEST_DATA!E923</f>
        <v/>
      </c>
      <c r="F923">
        <f>MIN(E923*92300,10000)</f>
        <v/>
      </c>
      <c r="G923">
        <f>MINIFS(CBIC_Late_Fee_Relief_Windows_3B!$O$923:$O$100,CBIC_Late_Fee_Relief_Windows_3B!$D$923:$D$100,"&lt;="&amp;B923,CBIC_Late_Fee_Relief_Windows_3B!$E$923:$E$100,"&gt;="&amp;B923,CBIC_Late_Fee_Relief_Windows_3B!$F$923:$F$100,"&lt;="&amp;C923,CBIC_Late_Fee_Relief_Windows_3B!$G$923:$G$100,"&gt;="&amp;C923)</f>
        <v/>
      </c>
      <c r="H923">
        <f>INDEX(CBIC_Late_Fee_Relief_Windows_3B!$I$923:$I$100,MATCH(G923,CBIC_Late_Fee_Relief_Windows_3B!$O$923:$O$100,0))</f>
        <v/>
      </c>
      <c r="I923">
        <f>MIN(F923,H923)</f>
        <v/>
      </c>
    </row>
    <row r="924">
      <c r="A924">
        <f>TEST_DATA!A924</f>
        <v/>
      </c>
      <c r="B924">
        <f>TEST_DATA!B924</f>
        <v/>
      </c>
      <c r="C924">
        <f>TEST_DATA!C924</f>
        <v/>
      </c>
      <c r="D924">
        <f>TEST_DATA!D924</f>
        <v/>
      </c>
      <c r="E924">
        <f>TEST_DATA!E924</f>
        <v/>
      </c>
      <c r="F924">
        <f>MIN(E924*92400,10000)</f>
        <v/>
      </c>
      <c r="G924">
        <f>MINIFS(CBIC_Late_Fee_Relief_Windows_3B!$O$924:$O$100,CBIC_Late_Fee_Relief_Windows_3B!$D$924:$D$100,"&lt;="&amp;B924,CBIC_Late_Fee_Relief_Windows_3B!$E$924:$E$100,"&gt;="&amp;B924,CBIC_Late_Fee_Relief_Windows_3B!$F$924:$F$100,"&lt;="&amp;C924,CBIC_Late_Fee_Relief_Windows_3B!$G$924:$G$100,"&gt;="&amp;C924)</f>
        <v/>
      </c>
      <c r="H924">
        <f>INDEX(CBIC_Late_Fee_Relief_Windows_3B!$I$924:$I$100,MATCH(G924,CBIC_Late_Fee_Relief_Windows_3B!$O$924:$O$100,0))</f>
        <v/>
      </c>
      <c r="I924">
        <f>MIN(F924,H924)</f>
        <v/>
      </c>
    </row>
    <row r="925">
      <c r="A925">
        <f>TEST_DATA!A925</f>
        <v/>
      </c>
      <c r="B925">
        <f>TEST_DATA!B925</f>
        <v/>
      </c>
      <c r="C925">
        <f>TEST_DATA!C925</f>
        <v/>
      </c>
      <c r="D925">
        <f>TEST_DATA!D925</f>
        <v/>
      </c>
      <c r="E925">
        <f>TEST_DATA!E925</f>
        <v/>
      </c>
      <c r="F925">
        <f>MIN(E925*92500,10000)</f>
        <v/>
      </c>
      <c r="G925">
        <f>MINIFS(CBIC_Late_Fee_Relief_Windows_3B!$O$925:$O$100,CBIC_Late_Fee_Relief_Windows_3B!$D$925:$D$100,"&lt;="&amp;B925,CBIC_Late_Fee_Relief_Windows_3B!$E$925:$E$100,"&gt;="&amp;B925,CBIC_Late_Fee_Relief_Windows_3B!$F$925:$F$100,"&lt;="&amp;C925,CBIC_Late_Fee_Relief_Windows_3B!$G$925:$G$100,"&gt;="&amp;C925)</f>
        <v/>
      </c>
      <c r="H925">
        <f>INDEX(CBIC_Late_Fee_Relief_Windows_3B!$I$925:$I$100,MATCH(G925,CBIC_Late_Fee_Relief_Windows_3B!$O$925:$O$100,0))</f>
        <v/>
      </c>
      <c r="I925">
        <f>MIN(F925,H925)</f>
        <v/>
      </c>
    </row>
    <row r="926">
      <c r="A926">
        <f>TEST_DATA!A926</f>
        <v/>
      </c>
      <c r="B926">
        <f>TEST_DATA!B926</f>
        <v/>
      </c>
      <c r="C926">
        <f>TEST_DATA!C926</f>
        <v/>
      </c>
      <c r="D926">
        <f>TEST_DATA!D926</f>
        <v/>
      </c>
      <c r="E926">
        <f>TEST_DATA!E926</f>
        <v/>
      </c>
      <c r="F926">
        <f>MIN(E926*92600,10000)</f>
        <v/>
      </c>
      <c r="G926">
        <f>MINIFS(CBIC_Late_Fee_Relief_Windows_3B!$O$926:$O$100,CBIC_Late_Fee_Relief_Windows_3B!$D$926:$D$100,"&lt;="&amp;B926,CBIC_Late_Fee_Relief_Windows_3B!$E$926:$E$100,"&gt;="&amp;B926,CBIC_Late_Fee_Relief_Windows_3B!$F$926:$F$100,"&lt;="&amp;C926,CBIC_Late_Fee_Relief_Windows_3B!$G$926:$G$100,"&gt;="&amp;C926)</f>
        <v/>
      </c>
      <c r="H926">
        <f>INDEX(CBIC_Late_Fee_Relief_Windows_3B!$I$926:$I$100,MATCH(G926,CBIC_Late_Fee_Relief_Windows_3B!$O$926:$O$100,0))</f>
        <v/>
      </c>
      <c r="I926">
        <f>MIN(F926,H926)</f>
        <v/>
      </c>
    </row>
    <row r="927">
      <c r="A927">
        <f>TEST_DATA!A927</f>
        <v/>
      </c>
      <c r="B927">
        <f>TEST_DATA!B927</f>
        <v/>
      </c>
      <c r="C927">
        <f>TEST_DATA!C927</f>
        <v/>
      </c>
      <c r="D927">
        <f>TEST_DATA!D927</f>
        <v/>
      </c>
      <c r="E927">
        <f>TEST_DATA!E927</f>
        <v/>
      </c>
      <c r="F927">
        <f>MIN(E927*92700,10000)</f>
        <v/>
      </c>
      <c r="G927">
        <f>MINIFS(CBIC_Late_Fee_Relief_Windows_3B!$O$927:$O$100,CBIC_Late_Fee_Relief_Windows_3B!$D$927:$D$100,"&lt;="&amp;B927,CBIC_Late_Fee_Relief_Windows_3B!$E$927:$E$100,"&gt;="&amp;B927,CBIC_Late_Fee_Relief_Windows_3B!$F$927:$F$100,"&lt;="&amp;C927,CBIC_Late_Fee_Relief_Windows_3B!$G$927:$G$100,"&gt;="&amp;C927)</f>
        <v/>
      </c>
      <c r="H927">
        <f>INDEX(CBIC_Late_Fee_Relief_Windows_3B!$I$927:$I$100,MATCH(G927,CBIC_Late_Fee_Relief_Windows_3B!$O$927:$O$100,0))</f>
        <v/>
      </c>
      <c r="I927">
        <f>MIN(F927,H927)</f>
        <v/>
      </c>
    </row>
    <row r="928">
      <c r="A928">
        <f>TEST_DATA!A928</f>
        <v/>
      </c>
      <c r="B928">
        <f>TEST_DATA!B928</f>
        <v/>
      </c>
      <c r="C928">
        <f>TEST_DATA!C928</f>
        <v/>
      </c>
      <c r="D928">
        <f>TEST_DATA!D928</f>
        <v/>
      </c>
      <c r="E928">
        <f>TEST_DATA!E928</f>
        <v/>
      </c>
      <c r="F928">
        <f>MIN(E928*92800,10000)</f>
        <v/>
      </c>
      <c r="G928">
        <f>MINIFS(CBIC_Late_Fee_Relief_Windows_3B!$O$928:$O$100,CBIC_Late_Fee_Relief_Windows_3B!$D$928:$D$100,"&lt;="&amp;B928,CBIC_Late_Fee_Relief_Windows_3B!$E$928:$E$100,"&gt;="&amp;B928,CBIC_Late_Fee_Relief_Windows_3B!$F$928:$F$100,"&lt;="&amp;C928,CBIC_Late_Fee_Relief_Windows_3B!$G$928:$G$100,"&gt;="&amp;C928)</f>
        <v/>
      </c>
      <c r="H928">
        <f>INDEX(CBIC_Late_Fee_Relief_Windows_3B!$I$928:$I$100,MATCH(G928,CBIC_Late_Fee_Relief_Windows_3B!$O$928:$O$100,0))</f>
        <v/>
      </c>
      <c r="I928">
        <f>MIN(F928,H928)</f>
        <v/>
      </c>
    </row>
    <row r="929">
      <c r="A929">
        <f>TEST_DATA!A929</f>
        <v/>
      </c>
      <c r="B929">
        <f>TEST_DATA!B929</f>
        <v/>
      </c>
      <c r="C929">
        <f>TEST_DATA!C929</f>
        <v/>
      </c>
      <c r="D929">
        <f>TEST_DATA!D929</f>
        <v/>
      </c>
      <c r="E929">
        <f>TEST_DATA!E929</f>
        <v/>
      </c>
      <c r="F929">
        <f>MIN(E929*92900,10000)</f>
        <v/>
      </c>
      <c r="G929">
        <f>MINIFS(CBIC_Late_Fee_Relief_Windows_3B!$O$929:$O$100,CBIC_Late_Fee_Relief_Windows_3B!$D$929:$D$100,"&lt;="&amp;B929,CBIC_Late_Fee_Relief_Windows_3B!$E$929:$E$100,"&gt;="&amp;B929,CBIC_Late_Fee_Relief_Windows_3B!$F$929:$F$100,"&lt;="&amp;C929,CBIC_Late_Fee_Relief_Windows_3B!$G$929:$G$100,"&gt;="&amp;C929)</f>
        <v/>
      </c>
      <c r="H929">
        <f>INDEX(CBIC_Late_Fee_Relief_Windows_3B!$I$929:$I$100,MATCH(G929,CBIC_Late_Fee_Relief_Windows_3B!$O$929:$O$100,0))</f>
        <v/>
      </c>
      <c r="I929">
        <f>MIN(F929,H929)</f>
        <v/>
      </c>
    </row>
    <row r="930">
      <c r="A930">
        <f>TEST_DATA!A930</f>
        <v/>
      </c>
      <c r="B930">
        <f>TEST_DATA!B930</f>
        <v/>
      </c>
      <c r="C930">
        <f>TEST_DATA!C930</f>
        <v/>
      </c>
      <c r="D930">
        <f>TEST_DATA!D930</f>
        <v/>
      </c>
      <c r="E930">
        <f>TEST_DATA!E930</f>
        <v/>
      </c>
      <c r="F930">
        <f>MIN(E930*93000,10000)</f>
        <v/>
      </c>
      <c r="G930">
        <f>MINIFS(CBIC_Late_Fee_Relief_Windows_3B!$O$930:$O$100,CBIC_Late_Fee_Relief_Windows_3B!$D$930:$D$100,"&lt;="&amp;B930,CBIC_Late_Fee_Relief_Windows_3B!$E$930:$E$100,"&gt;="&amp;B930,CBIC_Late_Fee_Relief_Windows_3B!$F$930:$F$100,"&lt;="&amp;C930,CBIC_Late_Fee_Relief_Windows_3B!$G$930:$G$100,"&gt;="&amp;C930)</f>
        <v/>
      </c>
      <c r="H930">
        <f>INDEX(CBIC_Late_Fee_Relief_Windows_3B!$I$930:$I$100,MATCH(G930,CBIC_Late_Fee_Relief_Windows_3B!$O$930:$O$100,0))</f>
        <v/>
      </c>
      <c r="I930">
        <f>MIN(F930,H930)</f>
        <v/>
      </c>
    </row>
    <row r="931">
      <c r="A931">
        <f>TEST_DATA!A931</f>
        <v/>
      </c>
      <c r="B931">
        <f>TEST_DATA!B931</f>
        <v/>
      </c>
      <c r="C931">
        <f>TEST_DATA!C931</f>
        <v/>
      </c>
      <c r="D931">
        <f>TEST_DATA!D931</f>
        <v/>
      </c>
      <c r="E931">
        <f>TEST_DATA!E931</f>
        <v/>
      </c>
      <c r="F931">
        <f>MIN(E931*93100,10000)</f>
        <v/>
      </c>
      <c r="G931">
        <f>MINIFS(CBIC_Late_Fee_Relief_Windows_3B!$O$931:$O$100,CBIC_Late_Fee_Relief_Windows_3B!$D$931:$D$100,"&lt;="&amp;B931,CBIC_Late_Fee_Relief_Windows_3B!$E$931:$E$100,"&gt;="&amp;B931,CBIC_Late_Fee_Relief_Windows_3B!$F$931:$F$100,"&lt;="&amp;C931,CBIC_Late_Fee_Relief_Windows_3B!$G$931:$G$100,"&gt;="&amp;C931)</f>
        <v/>
      </c>
      <c r="H931">
        <f>INDEX(CBIC_Late_Fee_Relief_Windows_3B!$I$931:$I$100,MATCH(G931,CBIC_Late_Fee_Relief_Windows_3B!$O$931:$O$100,0))</f>
        <v/>
      </c>
      <c r="I931">
        <f>MIN(F931,H931)</f>
        <v/>
      </c>
    </row>
    <row r="932">
      <c r="A932">
        <f>TEST_DATA!A932</f>
        <v/>
      </c>
      <c r="B932">
        <f>TEST_DATA!B932</f>
        <v/>
      </c>
      <c r="C932">
        <f>TEST_DATA!C932</f>
        <v/>
      </c>
      <c r="D932">
        <f>TEST_DATA!D932</f>
        <v/>
      </c>
      <c r="E932">
        <f>TEST_DATA!E932</f>
        <v/>
      </c>
      <c r="F932">
        <f>MIN(E932*93200,10000)</f>
        <v/>
      </c>
      <c r="G932">
        <f>MINIFS(CBIC_Late_Fee_Relief_Windows_3B!$O$932:$O$100,CBIC_Late_Fee_Relief_Windows_3B!$D$932:$D$100,"&lt;="&amp;B932,CBIC_Late_Fee_Relief_Windows_3B!$E$932:$E$100,"&gt;="&amp;B932,CBIC_Late_Fee_Relief_Windows_3B!$F$932:$F$100,"&lt;="&amp;C932,CBIC_Late_Fee_Relief_Windows_3B!$G$932:$G$100,"&gt;="&amp;C932)</f>
        <v/>
      </c>
      <c r="H932">
        <f>INDEX(CBIC_Late_Fee_Relief_Windows_3B!$I$932:$I$100,MATCH(G932,CBIC_Late_Fee_Relief_Windows_3B!$O$932:$O$100,0))</f>
        <v/>
      </c>
      <c r="I932">
        <f>MIN(F932,H932)</f>
        <v/>
      </c>
    </row>
    <row r="933">
      <c r="A933">
        <f>TEST_DATA!A933</f>
        <v/>
      </c>
      <c r="B933">
        <f>TEST_DATA!B933</f>
        <v/>
      </c>
      <c r="C933">
        <f>TEST_DATA!C933</f>
        <v/>
      </c>
      <c r="D933">
        <f>TEST_DATA!D933</f>
        <v/>
      </c>
      <c r="E933">
        <f>TEST_DATA!E933</f>
        <v/>
      </c>
      <c r="F933">
        <f>MIN(E933*93300,10000)</f>
        <v/>
      </c>
      <c r="G933">
        <f>MINIFS(CBIC_Late_Fee_Relief_Windows_3B!$O$933:$O$100,CBIC_Late_Fee_Relief_Windows_3B!$D$933:$D$100,"&lt;="&amp;B933,CBIC_Late_Fee_Relief_Windows_3B!$E$933:$E$100,"&gt;="&amp;B933,CBIC_Late_Fee_Relief_Windows_3B!$F$933:$F$100,"&lt;="&amp;C933,CBIC_Late_Fee_Relief_Windows_3B!$G$933:$G$100,"&gt;="&amp;C933)</f>
        <v/>
      </c>
      <c r="H933">
        <f>INDEX(CBIC_Late_Fee_Relief_Windows_3B!$I$933:$I$100,MATCH(G933,CBIC_Late_Fee_Relief_Windows_3B!$O$933:$O$100,0))</f>
        <v/>
      </c>
      <c r="I933">
        <f>MIN(F933,H933)</f>
        <v/>
      </c>
    </row>
    <row r="934">
      <c r="A934">
        <f>TEST_DATA!A934</f>
        <v/>
      </c>
      <c r="B934">
        <f>TEST_DATA!B934</f>
        <v/>
      </c>
      <c r="C934">
        <f>TEST_DATA!C934</f>
        <v/>
      </c>
      <c r="D934">
        <f>TEST_DATA!D934</f>
        <v/>
      </c>
      <c r="E934">
        <f>TEST_DATA!E934</f>
        <v/>
      </c>
      <c r="F934">
        <f>MIN(E934*93400,10000)</f>
        <v/>
      </c>
      <c r="G934">
        <f>MINIFS(CBIC_Late_Fee_Relief_Windows_3B!$O$934:$O$100,CBIC_Late_Fee_Relief_Windows_3B!$D$934:$D$100,"&lt;="&amp;B934,CBIC_Late_Fee_Relief_Windows_3B!$E$934:$E$100,"&gt;="&amp;B934,CBIC_Late_Fee_Relief_Windows_3B!$F$934:$F$100,"&lt;="&amp;C934,CBIC_Late_Fee_Relief_Windows_3B!$G$934:$G$100,"&gt;="&amp;C934)</f>
        <v/>
      </c>
      <c r="H934">
        <f>INDEX(CBIC_Late_Fee_Relief_Windows_3B!$I$934:$I$100,MATCH(G934,CBIC_Late_Fee_Relief_Windows_3B!$O$934:$O$100,0))</f>
        <v/>
      </c>
      <c r="I934">
        <f>MIN(F934,H934)</f>
        <v/>
      </c>
    </row>
    <row r="935">
      <c r="A935">
        <f>TEST_DATA!A935</f>
        <v/>
      </c>
      <c r="B935">
        <f>TEST_DATA!B935</f>
        <v/>
      </c>
      <c r="C935">
        <f>TEST_DATA!C935</f>
        <v/>
      </c>
      <c r="D935">
        <f>TEST_DATA!D935</f>
        <v/>
      </c>
      <c r="E935">
        <f>TEST_DATA!E935</f>
        <v/>
      </c>
      <c r="F935">
        <f>MIN(E935*93500,10000)</f>
        <v/>
      </c>
      <c r="G935">
        <f>MINIFS(CBIC_Late_Fee_Relief_Windows_3B!$O$935:$O$100,CBIC_Late_Fee_Relief_Windows_3B!$D$935:$D$100,"&lt;="&amp;B935,CBIC_Late_Fee_Relief_Windows_3B!$E$935:$E$100,"&gt;="&amp;B935,CBIC_Late_Fee_Relief_Windows_3B!$F$935:$F$100,"&lt;="&amp;C935,CBIC_Late_Fee_Relief_Windows_3B!$G$935:$G$100,"&gt;="&amp;C935)</f>
        <v/>
      </c>
      <c r="H935">
        <f>INDEX(CBIC_Late_Fee_Relief_Windows_3B!$I$935:$I$100,MATCH(G935,CBIC_Late_Fee_Relief_Windows_3B!$O$935:$O$100,0))</f>
        <v/>
      </c>
      <c r="I935">
        <f>MIN(F935,H935)</f>
        <v/>
      </c>
    </row>
    <row r="936">
      <c r="A936">
        <f>TEST_DATA!A936</f>
        <v/>
      </c>
      <c r="B936">
        <f>TEST_DATA!B936</f>
        <v/>
      </c>
      <c r="C936">
        <f>TEST_DATA!C936</f>
        <v/>
      </c>
      <c r="D936">
        <f>TEST_DATA!D936</f>
        <v/>
      </c>
      <c r="E936">
        <f>TEST_DATA!E936</f>
        <v/>
      </c>
      <c r="F936">
        <f>MIN(E936*93600,10000)</f>
        <v/>
      </c>
      <c r="G936">
        <f>MINIFS(CBIC_Late_Fee_Relief_Windows_3B!$O$936:$O$100,CBIC_Late_Fee_Relief_Windows_3B!$D$936:$D$100,"&lt;="&amp;B936,CBIC_Late_Fee_Relief_Windows_3B!$E$936:$E$100,"&gt;="&amp;B936,CBIC_Late_Fee_Relief_Windows_3B!$F$936:$F$100,"&lt;="&amp;C936,CBIC_Late_Fee_Relief_Windows_3B!$G$936:$G$100,"&gt;="&amp;C936)</f>
        <v/>
      </c>
      <c r="H936">
        <f>INDEX(CBIC_Late_Fee_Relief_Windows_3B!$I$936:$I$100,MATCH(G936,CBIC_Late_Fee_Relief_Windows_3B!$O$936:$O$100,0))</f>
        <v/>
      </c>
      <c r="I936">
        <f>MIN(F936,H936)</f>
        <v/>
      </c>
    </row>
    <row r="937">
      <c r="A937">
        <f>TEST_DATA!A937</f>
        <v/>
      </c>
      <c r="B937">
        <f>TEST_DATA!B937</f>
        <v/>
      </c>
      <c r="C937">
        <f>TEST_DATA!C937</f>
        <v/>
      </c>
      <c r="D937">
        <f>TEST_DATA!D937</f>
        <v/>
      </c>
      <c r="E937">
        <f>TEST_DATA!E937</f>
        <v/>
      </c>
      <c r="F937">
        <f>MIN(E937*93700,10000)</f>
        <v/>
      </c>
      <c r="G937">
        <f>MINIFS(CBIC_Late_Fee_Relief_Windows_3B!$O$937:$O$100,CBIC_Late_Fee_Relief_Windows_3B!$D$937:$D$100,"&lt;="&amp;B937,CBIC_Late_Fee_Relief_Windows_3B!$E$937:$E$100,"&gt;="&amp;B937,CBIC_Late_Fee_Relief_Windows_3B!$F$937:$F$100,"&lt;="&amp;C937,CBIC_Late_Fee_Relief_Windows_3B!$G$937:$G$100,"&gt;="&amp;C937)</f>
        <v/>
      </c>
      <c r="H937">
        <f>INDEX(CBIC_Late_Fee_Relief_Windows_3B!$I$937:$I$100,MATCH(G937,CBIC_Late_Fee_Relief_Windows_3B!$O$937:$O$100,0))</f>
        <v/>
      </c>
      <c r="I937">
        <f>MIN(F937,H937)</f>
        <v/>
      </c>
    </row>
    <row r="938">
      <c r="A938">
        <f>TEST_DATA!A938</f>
        <v/>
      </c>
      <c r="B938">
        <f>TEST_DATA!B938</f>
        <v/>
      </c>
      <c r="C938">
        <f>TEST_DATA!C938</f>
        <v/>
      </c>
      <c r="D938">
        <f>TEST_DATA!D938</f>
        <v/>
      </c>
      <c r="E938">
        <f>TEST_DATA!E938</f>
        <v/>
      </c>
      <c r="F938">
        <f>MIN(E938*93800,10000)</f>
        <v/>
      </c>
      <c r="G938">
        <f>MINIFS(CBIC_Late_Fee_Relief_Windows_3B!$O$938:$O$100,CBIC_Late_Fee_Relief_Windows_3B!$D$938:$D$100,"&lt;="&amp;B938,CBIC_Late_Fee_Relief_Windows_3B!$E$938:$E$100,"&gt;="&amp;B938,CBIC_Late_Fee_Relief_Windows_3B!$F$938:$F$100,"&lt;="&amp;C938,CBIC_Late_Fee_Relief_Windows_3B!$G$938:$G$100,"&gt;="&amp;C938)</f>
        <v/>
      </c>
      <c r="H938">
        <f>INDEX(CBIC_Late_Fee_Relief_Windows_3B!$I$938:$I$100,MATCH(G938,CBIC_Late_Fee_Relief_Windows_3B!$O$938:$O$100,0))</f>
        <v/>
      </c>
      <c r="I938">
        <f>MIN(F938,H938)</f>
        <v/>
      </c>
    </row>
    <row r="939">
      <c r="A939">
        <f>TEST_DATA!A939</f>
        <v/>
      </c>
      <c r="B939">
        <f>TEST_DATA!B939</f>
        <v/>
      </c>
      <c r="C939">
        <f>TEST_DATA!C939</f>
        <v/>
      </c>
      <c r="D939">
        <f>TEST_DATA!D939</f>
        <v/>
      </c>
      <c r="E939">
        <f>TEST_DATA!E939</f>
        <v/>
      </c>
      <c r="F939">
        <f>MIN(E939*93900,10000)</f>
        <v/>
      </c>
      <c r="G939">
        <f>MINIFS(CBIC_Late_Fee_Relief_Windows_3B!$O$939:$O$100,CBIC_Late_Fee_Relief_Windows_3B!$D$939:$D$100,"&lt;="&amp;B939,CBIC_Late_Fee_Relief_Windows_3B!$E$939:$E$100,"&gt;="&amp;B939,CBIC_Late_Fee_Relief_Windows_3B!$F$939:$F$100,"&lt;="&amp;C939,CBIC_Late_Fee_Relief_Windows_3B!$G$939:$G$100,"&gt;="&amp;C939)</f>
        <v/>
      </c>
      <c r="H939">
        <f>INDEX(CBIC_Late_Fee_Relief_Windows_3B!$I$939:$I$100,MATCH(G939,CBIC_Late_Fee_Relief_Windows_3B!$O$939:$O$100,0))</f>
        <v/>
      </c>
      <c r="I939">
        <f>MIN(F939,H939)</f>
        <v/>
      </c>
    </row>
    <row r="940">
      <c r="A940">
        <f>TEST_DATA!A940</f>
        <v/>
      </c>
      <c r="B940">
        <f>TEST_DATA!B940</f>
        <v/>
      </c>
      <c r="C940">
        <f>TEST_DATA!C940</f>
        <v/>
      </c>
      <c r="D940">
        <f>TEST_DATA!D940</f>
        <v/>
      </c>
      <c r="E940">
        <f>TEST_DATA!E940</f>
        <v/>
      </c>
      <c r="F940">
        <f>MIN(E940*94000,10000)</f>
        <v/>
      </c>
      <c r="G940">
        <f>MINIFS(CBIC_Late_Fee_Relief_Windows_3B!$O$940:$O$100,CBIC_Late_Fee_Relief_Windows_3B!$D$940:$D$100,"&lt;="&amp;B940,CBIC_Late_Fee_Relief_Windows_3B!$E$940:$E$100,"&gt;="&amp;B940,CBIC_Late_Fee_Relief_Windows_3B!$F$940:$F$100,"&lt;="&amp;C940,CBIC_Late_Fee_Relief_Windows_3B!$G$940:$G$100,"&gt;="&amp;C940)</f>
        <v/>
      </c>
      <c r="H940">
        <f>INDEX(CBIC_Late_Fee_Relief_Windows_3B!$I$940:$I$100,MATCH(G940,CBIC_Late_Fee_Relief_Windows_3B!$O$940:$O$100,0))</f>
        <v/>
      </c>
      <c r="I940">
        <f>MIN(F940,H940)</f>
        <v/>
      </c>
    </row>
    <row r="941">
      <c r="A941">
        <f>TEST_DATA!A941</f>
        <v/>
      </c>
      <c r="B941">
        <f>TEST_DATA!B941</f>
        <v/>
      </c>
      <c r="C941">
        <f>TEST_DATA!C941</f>
        <v/>
      </c>
      <c r="D941">
        <f>TEST_DATA!D941</f>
        <v/>
      </c>
      <c r="E941">
        <f>TEST_DATA!E941</f>
        <v/>
      </c>
      <c r="F941">
        <f>MIN(E941*94100,10000)</f>
        <v/>
      </c>
      <c r="G941">
        <f>MINIFS(CBIC_Late_Fee_Relief_Windows_3B!$O$941:$O$100,CBIC_Late_Fee_Relief_Windows_3B!$D$941:$D$100,"&lt;="&amp;B941,CBIC_Late_Fee_Relief_Windows_3B!$E$941:$E$100,"&gt;="&amp;B941,CBIC_Late_Fee_Relief_Windows_3B!$F$941:$F$100,"&lt;="&amp;C941,CBIC_Late_Fee_Relief_Windows_3B!$G$941:$G$100,"&gt;="&amp;C941)</f>
        <v/>
      </c>
      <c r="H941">
        <f>INDEX(CBIC_Late_Fee_Relief_Windows_3B!$I$941:$I$100,MATCH(G941,CBIC_Late_Fee_Relief_Windows_3B!$O$941:$O$100,0))</f>
        <v/>
      </c>
      <c r="I941">
        <f>MIN(F941,H941)</f>
        <v/>
      </c>
    </row>
    <row r="942">
      <c r="A942">
        <f>TEST_DATA!A942</f>
        <v/>
      </c>
      <c r="B942">
        <f>TEST_DATA!B942</f>
        <v/>
      </c>
      <c r="C942">
        <f>TEST_DATA!C942</f>
        <v/>
      </c>
      <c r="D942">
        <f>TEST_DATA!D942</f>
        <v/>
      </c>
      <c r="E942">
        <f>TEST_DATA!E942</f>
        <v/>
      </c>
      <c r="F942">
        <f>MIN(E942*94200,10000)</f>
        <v/>
      </c>
      <c r="G942">
        <f>MINIFS(CBIC_Late_Fee_Relief_Windows_3B!$O$942:$O$100,CBIC_Late_Fee_Relief_Windows_3B!$D$942:$D$100,"&lt;="&amp;B942,CBIC_Late_Fee_Relief_Windows_3B!$E$942:$E$100,"&gt;="&amp;B942,CBIC_Late_Fee_Relief_Windows_3B!$F$942:$F$100,"&lt;="&amp;C942,CBIC_Late_Fee_Relief_Windows_3B!$G$942:$G$100,"&gt;="&amp;C942)</f>
        <v/>
      </c>
      <c r="H942">
        <f>INDEX(CBIC_Late_Fee_Relief_Windows_3B!$I$942:$I$100,MATCH(G942,CBIC_Late_Fee_Relief_Windows_3B!$O$942:$O$100,0))</f>
        <v/>
      </c>
      <c r="I942">
        <f>MIN(F942,H942)</f>
        <v/>
      </c>
    </row>
    <row r="943">
      <c r="A943">
        <f>TEST_DATA!A943</f>
        <v/>
      </c>
      <c r="B943">
        <f>TEST_DATA!B943</f>
        <v/>
      </c>
      <c r="C943">
        <f>TEST_DATA!C943</f>
        <v/>
      </c>
      <c r="D943">
        <f>TEST_DATA!D943</f>
        <v/>
      </c>
      <c r="E943">
        <f>TEST_DATA!E943</f>
        <v/>
      </c>
      <c r="F943">
        <f>MIN(E943*94300,10000)</f>
        <v/>
      </c>
      <c r="G943">
        <f>MINIFS(CBIC_Late_Fee_Relief_Windows_3B!$O$943:$O$100,CBIC_Late_Fee_Relief_Windows_3B!$D$943:$D$100,"&lt;="&amp;B943,CBIC_Late_Fee_Relief_Windows_3B!$E$943:$E$100,"&gt;="&amp;B943,CBIC_Late_Fee_Relief_Windows_3B!$F$943:$F$100,"&lt;="&amp;C943,CBIC_Late_Fee_Relief_Windows_3B!$G$943:$G$100,"&gt;="&amp;C943)</f>
        <v/>
      </c>
      <c r="H943">
        <f>INDEX(CBIC_Late_Fee_Relief_Windows_3B!$I$943:$I$100,MATCH(G943,CBIC_Late_Fee_Relief_Windows_3B!$O$943:$O$100,0))</f>
        <v/>
      </c>
      <c r="I943">
        <f>MIN(F943,H943)</f>
        <v/>
      </c>
    </row>
    <row r="944">
      <c r="A944">
        <f>TEST_DATA!A944</f>
        <v/>
      </c>
      <c r="B944">
        <f>TEST_DATA!B944</f>
        <v/>
      </c>
      <c r="C944">
        <f>TEST_DATA!C944</f>
        <v/>
      </c>
      <c r="D944">
        <f>TEST_DATA!D944</f>
        <v/>
      </c>
      <c r="E944">
        <f>TEST_DATA!E944</f>
        <v/>
      </c>
      <c r="F944">
        <f>MIN(E944*94400,10000)</f>
        <v/>
      </c>
      <c r="G944">
        <f>MINIFS(CBIC_Late_Fee_Relief_Windows_3B!$O$944:$O$100,CBIC_Late_Fee_Relief_Windows_3B!$D$944:$D$100,"&lt;="&amp;B944,CBIC_Late_Fee_Relief_Windows_3B!$E$944:$E$100,"&gt;="&amp;B944,CBIC_Late_Fee_Relief_Windows_3B!$F$944:$F$100,"&lt;="&amp;C944,CBIC_Late_Fee_Relief_Windows_3B!$G$944:$G$100,"&gt;="&amp;C944)</f>
        <v/>
      </c>
      <c r="H944">
        <f>INDEX(CBIC_Late_Fee_Relief_Windows_3B!$I$944:$I$100,MATCH(G944,CBIC_Late_Fee_Relief_Windows_3B!$O$944:$O$100,0))</f>
        <v/>
      </c>
      <c r="I944">
        <f>MIN(F944,H944)</f>
        <v/>
      </c>
    </row>
    <row r="945">
      <c r="A945">
        <f>TEST_DATA!A945</f>
        <v/>
      </c>
      <c r="B945">
        <f>TEST_DATA!B945</f>
        <v/>
      </c>
      <c r="C945">
        <f>TEST_DATA!C945</f>
        <v/>
      </c>
      <c r="D945">
        <f>TEST_DATA!D945</f>
        <v/>
      </c>
      <c r="E945">
        <f>TEST_DATA!E945</f>
        <v/>
      </c>
      <c r="F945">
        <f>MIN(E945*94500,10000)</f>
        <v/>
      </c>
      <c r="G945">
        <f>MINIFS(CBIC_Late_Fee_Relief_Windows_3B!$O$945:$O$100,CBIC_Late_Fee_Relief_Windows_3B!$D$945:$D$100,"&lt;="&amp;B945,CBIC_Late_Fee_Relief_Windows_3B!$E$945:$E$100,"&gt;="&amp;B945,CBIC_Late_Fee_Relief_Windows_3B!$F$945:$F$100,"&lt;="&amp;C945,CBIC_Late_Fee_Relief_Windows_3B!$G$945:$G$100,"&gt;="&amp;C945)</f>
        <v/>
      </c>
      <c r="H945">
        <f>INDEX(CBIC_Late_Fee_Relief_Windows_3B!$I$945:$I$100,MATCH(G945,CBIC_Late_Fee_Relief_Windows_3B!$O$945:$O$100,0))</f>
        <v/>
      </c>
      <c r="I945">
        <f>MIN(F945,H945)</f>
        <v/>
      </c>
    </row>
    <row r="946">
      <c r="A946">
        <f>TEST_DATA!A946</f>
        <v/>
      </c>
      <c r="B946">
        <f>TEST_DATA!B946</f>
        <v/>
      </c>
      <c r="C946">
        <f>TEST_DATA!C946</f>
        <v/>
      </c>
      <c r="D946">
        <f>TEST_DATA!D946</f>
        <v/>
      </c>
      <c r="E946">
        <f>TEST_DATA!E946</f>
        <v/>
      </c>
      <c r="F946">
        <f>MIN(E946*94600,10000)</f>
        <v/>
      </c>
      <c r="G946">
        <f>MINIFS(CBIC_Late_Fee_Relief_Windows_3B!$O$946:$O$100,CBIC_Late_Fee_Relief_Windows_3B!$D$946:$D$100,"&lt;="&amp;B946,CBIC_Late_Fee_Relief_Windows_3B!$E$946:$E$100,"&gt;="&amp;B946,CBIC_Late_Fee_Relief_Windows_3B!$F$946:$F$100,"&lt;="&amp;C946,CBIC_Late_Fee_Relief_Windows_3B!$G$946:$G$100,"&gt;="&amp;C946)</f>
        <v/>
      </c>
      <c r="H946">
        <f>INDEX(CBIC_Late_Fee_Relief_Windows_3B!$I$946:$I$100,MATCH(G946,CBIC_Late_Fee_Relief_Windows_3B!$O$946:$O$100,0))</f>
        <v/>
      </c>
      <c r="I946">
        <f>MIN(F946,H946)</f>
        <v/>
      </c>
    </row>
    <row r="947">
      <c r="A947">
        <f>TEST_DATA!A947</f>
        <v/>
      </c>
      <c r="B947">
        <f>TEST_DATA!B947</f>
        <v/>
      </c>
      <c r="C947">
        <f>TEST_DATA!C947</f>
        <v/>
      </c>
      <c r="D947">
        <f>TEST_DATA!D947</f>
        <v/>
      </c>
      <c r="E947">
        <f>TEST_DATA!E947</f>
        <v/>
      </c>
      <c r="F947">
        <f>MIN(E947*94700,10000)</f>
        <v/>
      </c>
      <c r="G947">
        <f>MINIFS(CBIC_Late_Fee_Relief_Windows_3B!$O$947:$O$100,CBIC_Late_Fee_Relief_Windows_3B!$D$947:$D$100,"&lt;="&amp;B947,CBIC_Late_Fee_Relief_Windows_3B!$E$947:$E$100,"&gt;="&amp;B947,CBIC_Late_Fee_Relief_Windows_3B!$F$947:$F$100,"&lt;="&amp;C947,CBIC_Late_Fee_Relief_Windows_3B!$G$947:$G$100,"&gt;="&amp;C947)</f>
        <v/>
      </c>
      <c r="H947">
        <f>INDEX(CBIC_Late_Fee_Relief_Windows_3B!$I$947:$I$100,MATCH(G947,CBIC_Late_Fee_Relief_Windows_3B!$O$947:$O$100,0))</f>
        <v/>
      </c>
      <c r="I947">
        <f>MIN(F947,H947)</f>
        <v/>
      </c>
    </row>
    <row r="948">
      <c r="A948">
        <f>TEST_DATA!A948</f>
        <v/>
      </c>
      <c r="B948">
        <f>TEST_DATA!B948</f>
        <v/>
      </c>
      <c r="C948">
        <f>TEST_DATA!C948</f>
        <v/>
      </c>
      <c r="D948">
        <f>TEST_DATA!D948</f>
        <v/>
      </c>
      <c r="E948">
        <f>TEST_DATA!E948</f>
        <v/>
      </c>
      <c r="F948">
        <f>MIN(E948*94800,10000)</f>
        <v/>
      </c>
      <c r="G948">
        <f>MINIFS(CBIC_Late_Fee_Relief_Windows_3B!$O$948:$O$100,CBIC_Late_Fee_Relief_Windows_3B!$D$948:$D$100,"&lt;="&amp;B948,CBIC_Late_Fee_Relief_Windows_3B!$E$948:$E$100,"&gt;="&amp;B948,CBIC_Late_Fee_Relief_Windows_3B!$F$948:$F$100,"&lt;="&amp;C948,CBIC_Late_Fee_Relief_Windows_3B!$G$948:$G$100,"&gt;="&amp;C948)</f>
        <v/>
      </c>
      <c r="H948">
        <f>INDEX(CBIC_Late_Fee_Relief_Windows_3B!$I$948:$I$100,MATCH(G948,CBIC_Late_Fee_Relief_Windows_3B!$O$948:$O$100,0))</f>
        <v/>
      </c>
      <c r="I948">
        <f>MIN(F948,H948)</f>
        <v/>
      </c>
    </row>
    <row r="949">
      <c r="A949">
        <f>TEST_DATA!A949</f>
        <v/>
      </c>
      <c r="B949">
        <f>TEST_DATA!B949</f>
        <v/>
      </c>
      <c r="C949">
        <f>TEST_DATA!C949</f>
        <v/>
      </c>
      <c r="D949">
        <f>TEST_DATA!D949</f>
        <v/>
      </c>
      <c r="E949">
        <f>TEST_DATA!E949</f>
        <v/>
      </c>
      <c r="F949">
        <f>MIN(E949*94900,10000)</f>
        <v/>
      </c>
      <c r="G949">
        <f>MINIFS(CBIC_Late_Fee_Relief_Windows_3B!$O$949:$O$100,CBIC_Late_Fee_Relief_Windows_3B!$D$949:$D$100,"&lt;="&amp;B949,CBIC_Late_Fee_Relief_Windows_3B!$E$949:$E$100,"&gt;="&amp;B949,CBIC_Late_Fee_Relief_Windows_3B!$F$949:$F$100,"&lt;="&amp;C949,CBIC_Late_Fee_Relief_Windows_3B!$G$949:$G$100,"&gt;="&amp;C949)</f>
        <v/>
      </c>
      <c r="H949">
        <f>INDEX(CBIC_Late_Fee_Relief_Windows_3B!$I$949:$I$100,MATCH(G949,CBIC_Late_Fee_Relief_Windows_3B!$O$949:$O$100,0))</f>
        <v/>
      </c>
      <c r="I949">
        <f>MIN(F949,H949)</f>
        <v/>
      </c>
    </row>
    <row r="950">
      <c r="A950">
        <f>TEST_DATA!A950</f>
        <v/>
      </c>
      <c r="B950">
        <f>TEST_DATA!B950</f>
        <v/>
      </c>
      <c r="C950">
        <f>TEST_DATA!C950</f>
        <v/>
      </c>
      <c r="D950">
        <f>TEST_DATA!D950</f>
        <v/>
      </c>
      <c r="E950">
        <f>TEST_DATA!E950</f>
        <v/>
      </c>
      <c r="F950">
        <f>MIN(E950*95000,10000)</f>
        <v/>
      </c>
      <c r="G950">
        <f>MINIFS(CBIC_Late_Fee_Relief_Windows_3B!$O$950:$O$100,CBIC_Late_Fee_Relief_Windows_3B!$D$950:$D$100,"&lt;="&amp;B950,CBIC_Late_Fee_Relief_Windows_3B!$E$950:$E$100,"&gt;="&amp;B950,CBIC_Late_Fee_Relief_Windows_3B!$F$950:$F$100,"&lt;="&amp;C950,CBIC_Late_Fee_Relief_Windows_3B!$G$950:$G$100,"&gt;="&amp;C950)</f>
        <v/>
      </c>
      <c r="H950">
        <f>INDEX(CBIC_Late_Fee_Relief_Windows_3B!$I$950:$I$100,MATCH(G950,CBIC_Late_Fee_Relief_Windows_3B!$O$950:$O$100,0))</f>
        <v/>
      </c>
      <c r="I950">
        <f>MIN(F950,H950)</f>
        <v/>
      </c>
    </row>
    <row r="951">
      <c r="A951">
        <f>TEST_DATA!A951</f>
        <v/>
      </c>
      <c r="B951">
        <f>TEST_DATA!B951</f>
        <v/>
      </c>
      <c r="C951">
        <f>TEST_DATA!C951</f>
        <v/>
      </c>
      <c r="D951">
        <f>TEST_DATA!D951</f>
        <v/>
      </c>
      <c r="E951">
        <f>TEST_DATA!E951</f>
        <v/>
      </c>
      <c r="F951">
        <f>MIN(E951*95100,10000)</f>
        <v/>
      </c>
      <c r="G951">
        <f>MINIFS(CBIC_Late_Fee_Relief_Windows_3B!$O$951:$O$100,CBIC_Late_Fee_Relief_Windows_3B!$D$951:$D$100,"&lt;="&amp;B951,CBIC_Late_Fee_Relief_Windows_3B!$E$951:$E$100,"&gt;="&amp;B951,CBIC_Late_Fee_Relief_Windows_3B!$F$951:$F$100,"&lt;="&amp;C951,CBIC_Late_Fee_Relief_Windows_3B!$G$951:$G$100,"&gt;="&amp;C951)</f>
        <v/>
      </c>
      <c r="H951">
        <f>INDEX(CBIC_Late_Fee_Relief_Windows_3B!$I$951:$I$100,MATCH(G951,CBIC_Late_Fee_Relief_Windows_3B!$O$951:$O$100,0))</f>
        <v/>
      </c>
      <c r="I951">
        <f>MIN(F951,H951)</f>
        <v/>
      </c>
    </row>
    <row r="952">
      <c r="A952">
        <f>TEST_DATA!A952</f>
        <v/>
      </c>
      <c r="B952">
        <f>TEST_DATA!B952</f>
        <v/>
      </c>
      <c r="C952">
        <f>TEST_DATA!C952</f>
        <v/>
      </c>
      <c r="D952">
        <f>TEST_DATA!D952</f>
        <v/>
      </c>
      <c r="E952">
        <f>TEST_DATA!E952</f>
        <v/>
      </c>
      <c r="F952">
        <f>MIN(E952*95200,10000)</f>
        <v/>
      </c>
      <c r="G952">
        <f>MINIFS(CBIC_Late_Fee_Relief_Windows_3B!$O$952:$O$100,CBIC_Late_Fee_Relief_Windows_3B!$D$952:$D$100,"&lt;="&amp;B952,CBIC_Late_Fee_Relief_Windows_3B!$E$952:$E$100,"&gt;="&amp;B952,CBIC_Late_Fee_Relief_Windows_3B!$F$952:$F$100,"&lt;="&amp;C952,CBIC_Late_Fee_Relief_Windows_3B!$G$952:$G$100,"&gt;="&amp;C952)</f>
        <v/>
      </c>
      <c r="H952">
        <f>INDEX(CBIC_Late_Fee_Relief_Windows_3B!$I$952:$I$100,MATCH(G952,CBIC_Late_Fee_Relief_Windows_3B!$O$952:$O$100,0))</f>
        <v/>
      </c>
      <c r="I952">
        <f>MIN(F952,H952)</f>
        <v/>
      </c>
    </row>
    <row r="953">
      <c r="A953">
        <f>TEST_DATA!A953</f>
        <v/>
      </c>
      <c r="B953">
        <f>TEST_DATA!B953</f>
        <v/>
      </c>
      <c r="C953">
        <f>TEST_DATA!C953</f>
        <v/>
      </c>
      <c r="D953">
        <f>TEST_DATA!D953</f>
        <v/>
      </c>
      <c r="E953">
        <f>TEST_DATA!E953</f>
        <v/>
      </c>
      <c r="F953">
        <f>MIN(E953*95300,10000)</f>
        <v/>
      </c>
      <c r="G953">
        <f>MINIFS(CBIC_Late_Fee_Relief_Windows_3B!$O$953:$O$100,CBIC_Late_Fee_Relief_Windows_3B!$D$953:$D$100,"&lt;="&amp;B953,CBIC_Late_Fee_Relief_Windows_3B!$E$953:$E$100,"&gt;="&amp;B953,CBIC_Late_Fee_Relief_Windows_3B!$F$953:$F$100,"&lt;="&amp;C953,CBIC_Late_Fee_Relief_Windows_3B!$G$953:$G$100,"&gt;="&amp;C953)</f>
        <v/>
      </c>
      <c r="H953">
        <f>INDEX(CBIC_Late_Fee_Relief_Windows_3B!$I$953:$I$100,MATCH(G953,CBIC_Late_Fee_Relief_Windows_3B!$O$953:$O$100,0))</f>
        <v/>
      </c>
      <c r="I953">
        <f>MIN(F953,H953)</f>
        <v/>
      </c>
    </row>
    <row r="954">
      <c r="A954">
        <f>TEST_DATA!A954</f>
        <v/>
      </c>
      <c r="B954">
        <f>TEST_DATA!B954</f>
        <v/>
      </c>
      <c r="C954">
        <f>TEST_DATA!C954</f>
        <v/>
      </c>
      <c r="D954">
        <f>TEST_DATA!D954</f>
        <v/>
      </c>
      <c r="E954">
        <f>TEST_DATA!E954</f>
        <v/>
      </c>
      <c r="F954">
        <f>MIN(E954*95400,10000)</f>
        <v/>
      </c>
      <c r="G954">
        <f>MINIFS(CBIC_Late_Fee_Relief_Windows_3B!$O$954:$O$100,CBIC_Late_Fee_Relief_Windows_3B!$D$954:$D$100,"&lt;="&amp;B954,CBIC_Late_Fee_Relief_Windows_3B!$E$954:$E$100,"&gt;="&amp;B954,CBIC_Late_Fee_Relief_Windows_3B!$F$954:$F$100,"&lt;="&amp;C954,CBIC_Late_Fee_Relief_Windows_3B!$G$954:$G$100,"&gt;="&amp;C954)</f>
        <v/>
      </c>
      <c r="H954">
        <f>INDEX(CBIC_Late_Fee_Relief_Windows_3B!$I$954:$I$100,MATCH(G954,CBIC_Late_Fee_Relief_Windows_3B!$O$954:$O$100,0))</f>
        <v/>
      </c>
      <c r="I954">
        <f>MIN(F954,H954)</f>
        <v/>
      </c>
    </row>
    <row r="955">
      <c r="A955">
        <f>TEST_DATA!A955</f>
        <v/>
      </c>
      <c r="B955">
        <f>TEST_DATA!B955</f>
        <v/>
      </c>
      <c r="C955">
        <f>TEST_DATA!C955</f>
        <v/>
      </c>
      <c r="D955">
        <f>TEST_DATA!D955</f>
        <v/>
      </c>
      <c r="E955">
        <f>TEST_DATA!E955</f>
        <v/>
      </c>
      <c r="F955">
        <f>MIN(E955*95500,10000)</f>
        <v/>
      </c>
      <c r="G955">
        <f>MINIFS(CBIC_Late_Fee_Relief_Windows_3B!$O$955:$O$100,CBIC_Late_Fee_Relief_Windows_3B!$D$955:$D$100,"&lt;="&amp;B955,CBIC_Late_Fee_Relief_Windows_3B!$E$955:$E$100,"&gt;="&amp;B955,CBIC_Late_Fee_Relief_Windows_3B!$F$955:$F$100,"&lt;="&amp;C955,CBIC_Late_Fee_Relief_Windows_3B!$G$955:$G$100,"&gt;="&amp;C955)</f>
        <v/>
      </c>
      <c r="H955">
        <f>INDEX(CBIC_Late_Fee_Relief_Windows_3B!$I$955:$I$100,MATCH(G955,CBIC_Late_Fee_Relief_Windows_3B!$O$955:$O$100,0))</f>
        <v/>
      </c>
      <c r="I955">
        <f>MIN(F955,H955)</f>
        <v/>
      </c>
    </row>
    <row r="956">
      <c r="A956">
        <f>TEST_DATA!A956</f>
        <v/>
      </c>
      <c r="B956">
        <f>TEST_DATA!B956</f>
        <v/>
      </c>
      <c r="C956">
        <f>TEST_DATA!C956</f>
        <v/>
      </c>
      <c r="D956">
        <f>TEST_DATA!D956</f>
        <v/>
      </c>
      <c r="E956">
        <f>TEST_DATA!E956</f>
        <v/>
      </c>
      <c r="F956">
        <f>MIN(E956*95600,10000)</f>
        <v/>
      </c>
      <c r="G956">
        <f>MINIFS(CBIC_Late_Fee_Relief_Windows_3B!$O$956:$O$100,CBIC_Late_Fee_Relief_Windows_3B!$D$956:$D$100,"&lt;="&amp;B956,CBIC_Late_Fee_Relief_Windows_3B!$E$956:$E$100,"&gt;="&amp;B956,CBIC_Late_Fee_Relief_Windows_3B!$F$956:$F$100,"&lt;="&amp;C956,CBIC_Late_Fee_Relief_Windows_3B!$G$956:$G$100,"&gt;="&amp;C956)</f>
        <v/>
      </c>
      <c r="H956">
        <f>INDEX(CBIC_Late_Fee_Relief_Windows_3B!$I$956:$I$100,MATCH(G956,CBIC_Late_Fee_Relief_Windows_3B!$O$956:$O$100,0))</f>
        <v/>
      </c>
      <c r="I956">
        <f>MIN(F956,H956)</f>
        <v/>
      </c>
    </row>
    <row r="957">
      <c r="A957">
        <f>TEST_DATA!A957</f>
        <v/>
      </c>
      <c r="B957">
        <f>TEST_DATA!B957</f>
        <v/>
      </c>
      <c r="C957">
        <f>TEST_DATA!C957</f>
        <v/>
      </c>
      <c r="D957">
        <f>TEST_DATA!D957</f>
        <v/>
      </c>
      <c r="E957">
        <f>TEST_DATA!E957</f>
        <v/>
      </c>
      <c r="F957">
        <f>MIN(E957*95700,10000)</f>
        <v/>
      </c>
      <c r="G957">
        <f>MINIFS(CBIC_Late_Fee_Relief_Windows_3B!$O$957:$O$100,CBIC_Late_Fee_Relief_Windows_3B!$D$957:$D$100,"&lt;="&amp;B957,CBIC_Late_Fee_Relief_Windows_3B!$E$957:$E$100,"&gt;="&amp;B957,CBIC_Late_Fee_Relief_Windows_3B!$F$957:$F$100,"&lt;="&amp;C957,CBIC_Late_Fee_Relief_Windows_3B!$G$957:$G$100,"&gt;="&amp;C957)</f>
        <v/>
      </c>
      <c r="H957">
        <f>INDEX(CBIC_Late_Fee_Relief_Windows_3B!$I$957:$I$100,MATCH(G957,CBIC_Late_Fee_Relief_Windows_3B!$O$957:$O$100,0))</f>
        <v/>
      </c>
      <c r="I957">
        <f>MIN(F957,H957)</f>
        <v/>
      </c>
    </row>
    <row r="958">
      <c r="A958">
        <f>TEST_DATA!A958</f>
        <v/>
      </c>
      <c r="B958">
        <f>TEST_DATA!B958</f>
        <v/>
      </c>
      <c r="C958">
        <f>TEST_DATA!C958</f>
        <v/>
      </c>
      <c r="D958">
        <f>TEST_DATA!D958</f>
        <v/>
      </c>
      <c r="E958">
        <f>TEST_DATA!E958</f>
        <v/>
      </c>
      <c r="F958">
        <f>MIN(E958*95800,10000)</f>
        <v/>
      </c>
      <c r="G958">
        <f>MINIFS(CBIC_Late_Fee_Relief_Windows_3B!$O$958:$O$100,CBIC_Late_Fee_Relief_Windows_3B!$D$958:$D$100,"&lt;="&amp;B958,CBIC_Late_Fee_Relief_Windows_3B!$E$958:$E$100,"&gt;="&amp;B958,CBIC_Late_Fee_Relief_Windows_3B!$F$958:$F$100,"&lt;="&amp;C958,CBIC_Late_Fee_Relief_Windows_3B!$G$958:$G$100,"&gt;="&amp;C958)</f>
        <v/>
      </c>
      <c r="H958">
        <f>INDEX(CBIC_Late_Fee_Relief_Windows_3B!$I$958:$I$100,MATCH(G958,CBIC_Late_Fee_Relief_Windows_3B!$O$958:$O$100,0))</f>
        <v/>
      </c>
      <c r="I958">
        <f>MIN(F958,H958)</f>
        <v/>
      </c>
    </row>
    <row r="959">
      <c r="A959">
        <f>TEST_DATA!A959</f>
        <v/>
      </c>
      <c r="B959">
        <f>TEST_DATA!B959</f>
        <v/>
      </c>
      <c r="C959">
        <f>TEST_DATA!C959</f>
        <v/>
      </c>
      <c r="D959">
        <f>TEST_DATA!D959</f>
        <v/>
      </c>
      <c r="E959">
        <f>TEST_DATA!E959</f>
        <v/>
      </c>
      <c r="F959">
        <f>MIN(E959*95900,10000)</f>
        <v/>
      </c>
      <c r="G959">
        <f>MINIFS(CBIC_Late_Fee_Relief_Windows_3B!$O$959:$O$100,CBIC_Late_Fee_Relief_Windows_3B!$D$959:$D$100,"&lt;="&amp;B959,CBIC_Late_Fee_Relief_Windows_3B!$E$959:$E$100,"&gt;="&amp;B959,CBIC_Late_Fee_Relief_Windows_3B!$F$959:$F$100,"&lt;="&amp;C959,CBIC_Late_Fee_Relief_Windows_3B!$G$959:$G$100,"&gt;="&amp;C959)</f>
        <v/>
      </c>
      <c r="H959">
        <f>INDEX(CBIC_Late_Fee_Relief_Windows_3B!$I$959:$I$100,MATCH(G959,CBIC_Late_Fee_Relief_Windows_3B!$O$959:$O$100,0))</f>
        <v/>
      </c>
      <c r="I959">
        <f>MIN(F959,H959)</f>
        <v/>
      </c>
    </row>
    <row r="960">
      <c r="A960">
        <f>TEST_DATA!A960</f>
        <v/>
      </c>
      <c r="B960">
        <f>TEST_DATA!B960</f>
        <v/>
      </c>
      <c r="C960">
        <f>TEST_DATA!C960</f>
        <v/>
      </c>
      <c r="D960">
        <f>TEST_DATA!D960</f>
        <v/>
      </c>
      <c r="E960">
        <f>TEST_DATA!E960</f>
        <v/>
      </c>
      <c r="F960">
        <f>MIN(E960*96000,10000)</f>
        <v/>
      </c>
      <c r="G960">
        <f>MINIFS(CBIC_Late_Fee_Relief_Windows_3B!$O$960:$O$100,CBIC_Late_Fee_Relief_Windows_3B!$D$960:$D$100,"&lt;="&amp;B960,CBIC_Late_Fee_Relief_Windows_3B!$E$960:$E$100,"&gt;="&amp;B960,CBIC_Late_Fee_Relief_Windows_3B!$F$960:$F$100,"&lt;="&amp;C960,CBIC_Late_Fee_Relief_Windows_3B!$G$960:$G$100,"&gt;="&amp;C960)</f>
        <v/>
      </c>
      <c r="H960">
        <f>INDEX(CBIC_Late_Fee_Relief_Windows_3B!$I$960:$I$100,MATCH(G960,CBIC_Late_Fee_Relief_Windows_3B!$O$960:$O$100,0))</f>
        <v/>
      </c>
      <c r="I960">
        <f>MIN(F960,H960)</f>
        <v/>
      </c>
    </row>
    <row r="961">
      <c r="A961">
        <f>TEST_DATA!A961</f>
        <v/>
      </c>
      <c r="B961">
        <f>TEST_DATA!B961</f>
        <v/>
      </c>
      <c r="C961">
        <f>TEST_DATA!C961</f>
        <v/>
      </c>
      <c r="D961">
        <f>TEST_DATA!D961</f>
        <v/>
      </c>
      <c r="E961">
        <f>TEST_DATA!E961</f>
        <v/>
      </c>
      <c r="F961">
        <f>MIN(E961*96100,10000)</f>
        <v/>
      </c>
      <c r="G961">
        <f>MINIFS(CBIC_Late_Fee_Relief_Windows_3B!$O$961:$O$100,CBIC_Late_Fee_Relief_Windows_3B!$D$961:$D$100,"&lt;="&amp;B961,CBIC_Late_Fee_Relief_Windows_3B!$E$961:$E$100,"&gt;="&amp;B961,CBIC_Late_Fee_Relief_Windows_3B!$F$961:$F$100,"&lt;="&amp;C961,CBIC_Late_Fee_Relief_Windows_3B!$G$961:$G$100,"&gt;="&amp;C961)</f>
        <v/>
      </c>
      <c r="H961">
        <f>INDEX(CBIC_Late_Fee_Relief_Windows_3B!$I$961:$I$100,MATCH(G961,CBIC_Late_Fee_Relief_Windows_3B!$O$961:$O$100,0))</f>
        <v/>
      </c>
      <c r="I961">
        <f>MIN(F961,H961)</f>
        <v/>
      </c>
    </row>
    <row r="962">
      <c r="A962">
        <f>TEST_DATA!A962</f>
        <v/>
      </c>
      <c r="B962">
        <f>TEST_DATA!B962</f>
        <v/>
      </c>
      <c r="C962">
        <f>TEST_DATA!C962</f>
        <v/>
      </c>
      <c r="D962">
        <f>TEST_DATA!D962</f>
        <v/>
      </c>
      <c r="E962">
        <f>TEST_DATA!E962</f>
        <v/>
      </c>
      <c r="F962">
        <f>MIN(E962*96200,10000)</f>
        <v/>
      </c>
      <c r="G962">
        <f>MINIFS(CBIC_Late_Fee_Relief_Windows_3B!$O$962:$O$100,CBIC_Late_Fee_Relief_Windows_3B!$D$962:$D$100,"&lt;="&amp;B962,CBIC_Late_Fee_Relief_Windows_3B!$E$962:$E$100,"&gt;="&amp;B962,CBIC_Late_Fee_Relief_Windows_3B!$F$962:$F$100,"&lt;="&amp;C962,CBIC_Late_Fee_Relief_Windows_3B!$G$962:$G$100,"&gt;="&amp;C962)</f>
        <v/>
      </c>
      <c r="H962">
        <f>INDEX(CBIC_Late_Fee_Relief_Windows_3B!$I$962:$I$100,MATCH(G962,CBIC_Late_Fee_Relief_Windows_3B!$O$962:$O$100,0))</f>
        <v/>
      </c>
      <c r="I962">
        <f>MIN(F962,H962)</f>
        <v/>
      </c>
    </row>
    <row r="963">
      <c r="A963">
        <f>TEST_DATA!A963</f>
        <v/>
      </c>
      <c r="B963">
        <f>TEST_DATA!B963</f>
        <v/>
      </c>
      <c r="C963">
        <f>TEST_DATA!C963</f>
        <v/>
      </c>
      <c r="D963">
        <f>TEST_DATA!D963</f>
        <v/>
      </c>
      <c r="E963">
        <f>TEST_DATA!E963</f>
        <v/>
      </c>
      <c r="F963">
        <f>MIN(E963*96300,10000)</f>
        <v/>
      </c>
      <c r="G963">
        <f>MINIFS(CBIC_Late_Fee_Relief_Windows_3B!$O$963:$O$100,CBIC_Late_Fee_Relief_Windows_3B!$D$963:$D$100,"&lt;="&amp;B963,CBIC_Late_Fee_Relief_Windows_3B!$E$963:$E$100,"&gt;="&amp;B963,CBIC_Late_Fee_Relief_Windows_3B!$F$963:$F$100,"&lt;="&amp;C963,CBIC_Late_Fee_Relief_Windows_3B!$G$963:$G$100,"&gt;="&amp;C963)</f>
        <v/>
      </c>
      <c r="H963">
        <f>INDEX(CBIC_Late_Fee_Relief_Windows_3B!$I$963:$I$100,MATCH(G963,CBIC_Late_Fee_Relief_Windows_3B!$O$963:$O$100,0))</f>
        <v/>
      </c>
      <c r="I963">
        <f>MIN(F963,H963)</f>
        <v/>
      </c>
    </row>
    <row r="964">
      <c r="A964">
        <f>TEST_DATA!A964</f>
        <v/>
      </c>
      <c r="B964">
        <f>TEST_DATA!B964</f>
        <v/>
      </c>
      <c r="C964">
        <f>TEST_DATA!C964</f>
        <v/>
      </c>
      <c r="D964">
        <f>TEST_DATA!D964</f>
        <v/>
      </c>
      <c r="E964">
        <f>TEST_DATA!E964</f>
        <v/>
      </c>
      <c r="F964">
        <f>MIN(E964*96400,10000)</f>
        <v/>
      </c>
      <c r="G964">
        <f>MINIFS(CBIC_Late_Fee_Relief_Windows_3B!$O$964:$O$100,CBIC_Late_Fee_Relief_Windows_3B!$D$964:$D$100,"&lt;="&amp;B964,CBIC_Late_Fee_Relief_Windows_3B!$E$964:$E$100,"&gt;="&amp;B964,CBIC_Late_Fee_Relief_Windows_3B!$F$964:$F$100,"&lt;="&amp;C964,CBIC_Late_Fee_Relief_Windows_3B!$G$964:$G$100,"&gt;="&amp;C964)</f>
        <v/>
      </c>
      <c r="H964">
        <f>INDEX(CBIC_Late_Fee_Relief_Windows_3B!$I$964:$I$100,MATCH(G964,CBIC_Late_Fee_Relief_Windows_3B!$O$964:$O$100,0))</f>
        <v/>
      </c>
      <c r="I964">
        <f>MIN(F964,H964)</f>
        <v/>
      </c>
    </row>
    <row r="965">
      <c r="A965">
        <f>TEST_DATA!A965</f>
        <v/>
      </c>
      <c r="B965">
        <f>TEST_DATA!B965</f>
        <v/>
      </c>
      <c r="C965">
        <f>TEST_DATA!C965</f>
        <v/>
      </c>
      <c r="D965">
        <f>TEST_DATA!D965</f>
        <v/>
      </c>
      <c r="E965">
        <f>TEST_DATA!E965</f>
        <v/>
      </c>
      <c r="F965">
        <f>MIN(E965*96500,10000)</f>
        <v/>
      </c>
      <c r="G965">
        <f>MINIFS(CBIC_Late_Fee_Relief_Windows_3B!$O$965:$O$100,CBIC_Late_Fee_Relief_Windows_3B!$D$965:$D$100,"&lt;="&amp;B965,CBIC_Late_Fee_Relief_Windows_3B!$E$965:$E$100,"&gt;="&amp;B965,CBIC_Late_Fee_Relief_Windows_3B!$F$965:$F$100,"&lt;="&amp;C965,CBIC_Late_Fee_Relief_Windows_3B!$G$965:$G$100,"&gt;="&amp;C965)</f>
        <v/>
      </c>
      <c r="H965">
        <f>INDEX(CBIC_Late_Fee_Relief_Windows_3B!$I$965:$I$100,MATCH(G965,CBIC_Late_Fee_Relief_Windows_3B!$O$965:$O$100,0))</f>
        <v/>
      </c>
      <c r="I965">
        <f>MIN(F965,H965)</f>
        <v/>
      </c>
    </row>
    <row r="966">
      <c r="A966">
        <f>TEST_DATA!A966</f>
        <v/>
      </c>
      <c r="B966">
        <f>TEST_DATA!B966</f>
        <v/>
      </c>
      <c r="C966">
        <f>TEST_DATA!C966</f>
        <v/>
      </c>
      <c r="D966">
        <f>TEST_DATA!D966</f>
        <v/>
      </c>
      <c r="E966">
        <f>TEST_DATA!E966</f>
        <v/>
      </c>
      <c r="F966">
        <f>MIN(E966*96600,10000)</f>
        <v/>
      </c>
      <c r="G966">
        <f>MINIFS(CBIC_Late_Fee_Relief_Windows_3B!$O$966:$O$100,CBIC_Late_Fee_Relief_Windows_3B!$D$966:$D$100,"&lt;="&amp;B966,CBIC_Late_Fee_Relief_Windows_3B!$E$966:$E$100,"&gt;="&amp;B966,CBIC_Late_Fee_Relief_Windows_3B!$F$966:$F$100,"&lt;="&amp;C966,CBIC_Late_Fee_Relief_Windows_3B!$G$966:$G$100,"&gt;="&amp;C966)</f>
        <v/>
      </c>
      <c r="H966">
        <f>INDEX(CBIC_Late_Fee_Relief_Windows_3B!$I$966:$I$100,MATCH(G966,CBIC_Late_Fee_Relief_Windows_3B!$O$966:$O$100,0))</f>
        <v/>
      </c>
      <c r="I966">
        <f>MIN(F966,H966)</f>
        <v/>
      </c>
    </row>
    <row r="967">
      <c r="A967">
        <f>TEST_DATA!A967</f>
        <v/>
      </c>
      <c r="B967">
        <f>TEST_DATA!B967</f>
        <v/>
      </c>
      <c r="C967">
        <f>TEST_DATA!C967</f>
        <v/>
      </c>
      <c r="D967">
        <f>TEST_DATA!D967</f>
        <v/>
      </c>
      <c r="E967">
        <f>TEST_DATA!E967</f>
        <v/>
      </c>
      <c r="F967">
        <f>MIN(E967*96700,10000)</f>
        <v/>
      </c>
      <c r="G967">
        <f>MINIFS(CBIC_Late_Fee_Relief_Windows_3B!$O$967:$O$100,CBIC_Late_Fee_Relief_Windows_3B!$D$967:$D$100,"&lt;="&amp;B967,CBIC_Late_Fee_Relief_Windows_3B!$E$967:$E$100,"&gt;="&amp;B967,CBIC_Late_Fee_Relief_Windows_3B!$F$967:$F$100,"&lt;="&amp;C967,CBIC_Late_Fee_Relief_Windows_3B!$G$967:$G$100,"&gt;="&amp;C967)</f>
        <v/>
      </c>
      <c r="H967">
        <f>INDEX(CBIC_Late_Fee_Relief_Windows_3B!$I$967:$I$100,MATCH(G967,CBIC_Late_Fee_Relief_Windows_3B!$O$967:$O$100,0))</f>
        <v/>
      </c>
      <c r="I967">
        <f>MIN(F967,H967)</f>
        <v/>
      </c>
    </row>
    <row r="968">
      <c r="A968">
        <f>TEST_DATA!A968</f>
        <v/>
      </c>
      <c r="B968">
        <f>TEST_DATA!B968</f>
        <v/>
      </c>
      <c r="C968">
        <f>TEST_DATA!C968</f>
        <v/>
      </c>
      <c r="D968">
        <f>TEST_DATA!D968</f>
        <v/>
      </c>
      <c r="E968">
        <f>TEST_DATA!E968</f>
        <v/>
      </c>
      <c r="F968">
        <f>MIN(E968*96800,10000)</f>
        <v/>
      </c>
      <c r="G968">
        <f>MINIFS(CBIC_Late_Fee_Relief_Windows_3B!$O$968:$O$100,CBIC_Late_Fee_Relief_Windows_3B!$D$968:$D$100,"&lt;="&amp;B968,CBIC_Late_Fee_Relief_Windows_3B!$E$968:$E$100,"&gt;="&amp;B968,CBIC_Late_Fee_Relief_Windows_3B!$F$968:$F$100,"&lt;="&amp;C968,CBIC_Late_Fee_Relief_Windows_3B!$G$968:$G$100,"&gt;="&amp;C968)</f>
        <v/>
      </c>
      <c r="H968">
        <f>INDEX(CBIC_Late_Fee_Relief_Windows_3B!$I$968:$I$100,MATCH(G968,CBIC_Late_Fee_Relief_Windows_3B!$O$968:$O$100,0))</f>
        <v/>
      </c>
      <c r="I968">
        <f>MIN(F968,H968)</f>
        <v/>
      </c>
    </row>
    <row r="969">
      <c r="A969">
        <f>TEST_DATA!A969</f>
        <v/>
      </c>
      <c r="B969">
        <f>TEST_DATA!B969</f>
        <v/>
      </c>
      <c r="C969">
        <f>TEST_DATA!C969</f>
        <v/>
      </c>
      <c r="D969">
        <f>TEST_DATA!D969</f>
        <v/>
      </c>
      <c r="E969">
        <f>TEST_DATA!E969</f>
        <v/>
      </c>
      <c r="F969">
        <f>MIN(E969*96900,10000)</f>
        <v/>
      </c>
      <c r="G969">
        <f>MINIFS(CBIC_Late_Fee_Relief_Windows_3B!$O$969:$O$100,CBIC_Late_Fee_Relief_Windows_3B!$D$969:$D$100,"&lt;="&amp;B969,CBIC_Late_Fee_Relief_Windows_3B!$E$969:$E$100,"&gt;="&amp;B969,CBIC_Late_Fee_Relief_Windows_3B!$F$969:$F$100,"&lt;="&amp;C969,CBIC_Late_Fee_Relief_Windows_3B!$G$969:$G$100,"&gt;="&amp;C969)</f>
        <v/>
      </c>
      <c r="H969">
        <f>INDEX(CBIC_Late_Fee_Relief_Windows_3B!$I$969:$I$100,MATCH(G969,CBIC_Late_Fee_Relief_Windows_3B!$O$969:$O$100,0))</f>
        <v/>
      </c>
      <c r="I969">
        <f>MIN(F969,H969)</f>
        <v/>
      </c>
    </row>
    <row r="970">
      <c r="A970">
        <f>TEST_DATA!A970</f>
        <v/>
      </c>
      <c r="B970">
        <f>TEST_DATA!B970</f>
        <v/>
      </c>
      <c r="C970">
        <f>TEST_DATA!C970</f>
        <v/>
      </c>
      <c r="D970">
        <f>TEST_DATA!D970</f>
        <v/>
      </c>
      <c r="E970">
        <f>TEST_DATA!E970</f>
        <v/>
      </c>
      <c r="F970">
        <f>MIN(E970*97000,10000)</f>
        <v/>
      </c>
      <c r="G970">
        <f>MINIFS(CBIC_Late_Fee_Relief_Windows_3B!$O$970:$O$100,CBIC_Late_Fee_Relief_Windows_3B!$D$970:$D$100,"&lt;="&amp;B970,CBIC_Late_Fee_Relief_Windows_3B!$E$970:$E$100,"&gt;="&amp;B970,CBIC_Late_Fee_Relief_Windows_3B!$F$970:$F$100,"&lt;="&amp;C970,CBIC_Late_Fee_Relief_Windows_3B!$G$970:$G$100,"&gt;="&amp;C970)</f>
        <v/>
      </c>
      <c r="H970">
        <f>INDEX(CBIC_Late_Fee_Relief_Windows_3B!$I$970:$I$100,MATCH(G970,CBIC_Late_Fee_Relief_Windows_3B!$O$970:$O$100,0))</f>
        <v/>
      </c>
      <c r="I970">
        <f>MIN(F970,H970)</f>
        <v/>
      </c>
    </row>
    <row r="971">
      <c r="A971">
        <f>TEST_DATA!A971</f>
        <v/>
      </c>
      <c r="B971">
        <f>TEST_DATA!B971</f>
        <v/>
      </c>
      <c r="C971">
        <f>TEST_DATA!C971</f>
        <v/>
      </c>
      <c r="D971">
        <f>TEST_DATA!D971</f>
        <v/>
      </c>
      <c r="E971">
        <f>TEST_DATA!E971</f>
        <v/>
      </c>
      <c r="F971">
        <f>MIN(E971*97100,10000)</f>
        <v/>
      </c>
      <c r="G971">
        <f>MINIFS(CBIC_Late_Fee_Relief_Windows_3B!$O$971:$O$100,CBIC_Late_Fee_Relief_Windows_3B!$D$971:$D$100,"&lt;="&amp;B971,CBIC_Late_Fee_Relief_Windows_3B!$E$971:$E$100,"&gt;="&amp;B971,CBIC_Late_Fee_Relief_Windows_3B!$F$971:$F$100,"&lt;="&amp;C971,CBIC_Late_Fee_Relief_Windows_3B!$G$971:$G$100,"&gt;="&amp;C971)</f>
        <v/>
      </c>
      <c r="H971">
        <f>INDEX(CBIC_Late_Fee_Relief_Windows_3B!$I$971:$I$100,MATCH(G971,CBIC_Late_Fee_Relief_Windows_3B!$O$971:$O$100,0))</f>
        <v/>
      </c>
      <c r="I971">
        <f>MIN(F971,H971)</f>
        <v/>
      </c>
    </row>
    <row r="972">
      <c r="A972">
        <f>TEST_DATA!A972</f>
        <v/>
      </c>
      <c r="B972">
        <f>TEST_DATA!B972</f>
        <v/>
      </c>
      <c r="C972">
        <f>TEST_DATA!C972</f>
        <v/>
      </c>
      <c r="D972">
        <f>TEST_DATA!D972</f>
        <v/>
      </c>
      <c r="E972">
        <f>TEST_DATA!E972</f>
        <v/>
      </c>
      <c r="F972">
        <f>MIN(E972*97200,10000)</f>
        <v/>
      </c>
      <c r="G972">
        <f>MINIFS(CBIC_Late_Fee_Relief_Windows_3B!$O$972:$O$100,CBIC_Late_Fee_Relief_Windows_3B!$D$972:$D$100,"&lt;="&amp;B972,CBIC_Late_Fee_Relief_Windows_3B!$E$972:$E$100,"&gt;="&amp;B972,CBIC_Late_Fee_Relief_Windows_3B!$F$972:$F$100,"&lt;="&amp;C972,CBIC_Late_Fee_Relief_Windows_3B!$G$972:$G$100,"&gt;="&amp;C972)</f>
        <v/>
      </c>
      <c r="H972">
        <f>INDEX(CBIC_Late_Fee_Relief_Windows_3B!$I$972:$I$100,MATCH(G972,CBIC_Late_Fee_Relief_Windows_3B!$O$972:$O$100,0))</f>
        <v/>
      </c>
      <c r="I972">
        <f>MIN(F972,H972)</f>
        <v/>
      </c>
    </row>
    <row r="973">
      <c r="A973">
        <f>TEST_DATA!A973</f>
        <v/>
      </c>
      <c r="B973">
        <f>TEST_DATA!B973</f>
        <v/>
      </c>
      <c r="C973">
        <f>TEST_DATA!C973</f>
        <v/>
      </c>
      <c r="D973">
        <f>TEST_DATA!D973</f>
        <v/>
      </c>
      <c r="E973">
        <f>TEST_DATA!E973</f>
        <v/>
      </c>
      <c r="F973">
        <f>MIN(E973*97300,10000)</f>
        <v/>
      </c>
      <c r="G973">
        <f>MINIFS(CBIC_Late_Fee_Relief_Windows_3B!$O$973:$O$100,CBIC_Late_Fee_Relief_Windows_3B!$D$973:$D$100,"&lt;="&amp;B973,CBIC_Late_Fee_Relief_Windows_3B!$E$973:$E$100,"&gt;="&amp;B973,CBIC_Late_Fee_Relief_Windows_3B!$F$973:$F$100,"&lt;="&amp;C973,CBIC_Late_Fee_Relief_Windows_3B!$G$973:$G$100,"&gt;="&amp;C973)</f>
        <v/>
      </c>
      <c r="H973">
        <f>INDEX(CBIC_Late_Fee_Relief_Windows_3B!$I$973:$I$100,MATCH(G973,CBIC_Late_Fee_Relief_Windows_3B!$O$973:$O$100,0))</f>
        <v/>
      </c>
      <c r="I973">
        <f>MIN(F973,H973)</f>
        <v/>
      </c>
    </row>
    <row r="974">
      <c r="A974">
        <f>TEST_DATA!A974</f>
        <v/>
      </c>
      <c r="B974">
        <f>TEST_DATA!B974</f>
        <v/>
      </c>
      <c r="C974">
        <f>TEST_DATA!C974</f>
        <v/>
      </c>
      <c r="D974">
        <f>TEST_DATA!D974</f>
        <v/>
      </c>
      <c r="E974">
        <f>TEST_DATA!E974</f>
        <v/>
      </c>
      <c r="F974">
        <f>MIN(E974*97400,10000)</f>
        <v/>
      </c>
      <c r="G974">
        <f>MINIFS(CBIC_Late_Fee_Relief_Windows_3B!$O$974:$O$100,CBIC_Late_Fee_Relief_Windows_3B!$D$974:$D$100,"&lt;="&amp;B974,CBIC_Late_Fee_Relief_Windows_3B!$E$974:$E$100,"&gt;="&amp;B974,CBIC_Late_Fee_Relief_Windows_3B!$F$974:$F$100,"&lt;="&amp;C974,CBIC_Late_Fee_Relief_Windows_3B!$G$974:$G$100,"&gt;="&amp;C974)</f>
        <v/>
      </c>
      <c r="H974">
        <f>INDEX(CBIC_Late_Fee_Relief_Windows_3B!$I$974:$I$100,MATCH(G974,CBIC_Late_Fee_Relief_Windows_3B!$O$974:$O$100,0))</f>
        <v/>
      </c>
      <c r="I974">
        <f>MIN(F974,H974)</f>
        <v/>
      </c>
    </row>
    <row r="975">
      <c r="A975">
        <f>TEST_DATA!A975</f>
        <v/>
      </c>
      <c r="B975">
        <f>TEST_DATA!B975</f>
        <v/>
      </c>
      <c r="C975">
        <f>TEST_DATA!C975</f>
        <v/>
      </c>
      <c r="D975">
        <f>TEST_DATA!D975</f>
        <v/>
      </c>
      <c r="E975">
        <f>TEST_DATA!E975</f>
        <v/>
      </c>
      <c r="F975">
        <f>MIN(E975*97500,10000)</f>
        <v/>
      </c>
      <c r="G975">
        <f>MINIFS(CBIC_Late_Fee_Relief_Windows_3B!$O$975:$O$100,CBIC_Late_Fee_Relief_Windows_3B!$D$975:$D$100,"&lt;="&amp;B975,CBIC_Late_Fee_Relief_Windows_3B!$E$975:$E$100,"&gt;="&amp;B975,CBIC_Late_Fee_Relief_Windows_3B!$F$975:$F$100,"&lt;="&amp;C975,CBIC_Late_Fee_Relief_Windows_3B!$G$975:$G$100,"&gt;="&amp;C975)</f>
        <v/>
      </c>
      <c r="H975">
        <f>INDEX(CBIC_Late_Fee_Relief_Windows_3B!$I$975:$I$100,MATCH(G975,CBIC_Late_Fee_Relief_Windows_3B!$O$975:$O$100,0))</f>
        <v/>
      </c>
      <c r="I975">
        <f>MIN(F975,H975)</f>
        <v/>
      </c>
    </row>
    <row r="976">
      <c r="A976">
        <f>TEST_DATA!A976</f>
        <v/>
      </c>
      <c r="B976">
        <f>TEST_DATA!B976</f>
        <v/>
      </c>
      <c r="C976">
        <f>TEST_DATA!C976</f>
        <v/>
      </c>
      <c r="D976">
        <f>TEST_DATA!D976</f>
        <v/>
      </c>
      <c r="E976">
        <f>TEST_DATA!E976</f>
        <v/>
      </c>
      <c r="F976">
        <f>MIN(E976*97600,10000)</f>
        <v/>
      </c>
      <c r="G976">
        <f>MINIFS(CBIC_Late_Fee_Relief_Windows_3B!$O$976:$O$100,CBIC_Late_Fee_Relief_Windows_3B!$D$976:$D$100,"&lt;="&amp;B976,CBIC_Late_Fee_Relief_Windows_3B!$E$976:$E$100,"&gt;="&amp;B976,CBIC_Late_Fee_Relief_Windows_3B!$F$976:$F$100,"&lt;="&amp;C976,CBIC_Late_Fee_Relief_Windows_3B!$G$976:$G$100,"&gt;="&amp;C976)</f>
        <v/>
      </c>
      <c r="H976">
        <f>INDEX(CBIC_Late_Fee_Relief_Windows_3B!$I$976:$I$100,MATCH(G976,CBIC_Late_Fee_Relief_Windows_3B!$O$976:$O$100,0))</f>
        <v/>
      </c>
      <c r="I976">
        <f>MIN(F976,H976)</f>
        <v/>
      </c>
    </row>
    <row r="977">
      <c r="A977">
        <f>TEST_DATA!A977</f>
        <v/>
      </c>
      <c r="B977">
        <f>TEST_DATA!B977</f>
        <v/>
      </c>
      <c r="C977">
        <f>TEST_DATA!C977</f>
        <v/>
      </c>
      <c r="D977">
        <f>TEST_DATA!D977</f>
        <v/>
      </c>
      <c r="E977">
        <f>TEST_DATA!E977</f>
        <v/>
      </c>
      <c r="F977">
        <f>MIN(E977*97700,10000)</f>
        <v/>
      </c>
      <c r="G977">
        <f>MINIFS(CBIC_Late_Fee_Relief_Windows_3B!$O$977:$O$100,CBIC_Late_Fee_Relief_Windows_3B!$D$977:$D$100,"&lt;="&amp;B977,CBIC_Late_Fee_Relief_Windows_3B!$E$977:$E$100,"&gt;="&amp;B977,CBIC_Late_Fee_Relief_Windows_3B!$F$977:$F$100,"&lt;="&amp;C977,CBIC_Late_Fee_Relief_Windows_3B!$G$977:$G$100,"&gt;="&amp;C977)</f>
        <v/>
      </c>
      <c r="H977">
        <f>INDEX(CBIC_Late_Fee_Relief_Windows_3B!$I$977:$I$100,MATCH(G977,CBIC_Late_Fee_Relief_Windows_3B!$O$977:$O$100,0))</f>
        <v/>
      </c>
      <c r="I977">
        <f>MIN(F977,H977)</f>
        <v/>
      </c>
    </row>
    <row r="978">
      <c r="A978">
        <f>TEST_DATA!A978</f>
        <v/>
      </c>
      <c r="B978">
        <f>TEST_DATA!B978</f>
        <v/>
      </c>
      <c r="C978">
        <f>TEST_DATA!C978</f>
        <v/>
      </c>
      <c r="D978">
        <f>TEST_DATA!D978</f>
        <v/>
      </c>
      <c r="E978">
        <f>TEST_DATA!E978</f>
        <v/>
      </c>
      <c r="F978">
        <f>MIN(E978*97800,10000)</f>
        <v/>
      </c>
      <c r="G978">
        <f>MINIFS(CBIC_Late_Fee_Relief_Windows_3B!$O$978:$O$100,CBIC_Late_Fee_Relief_Windows_3B!$D$978:$D$100,"&lt;="&amp;B978,CBIC_Late_Fee_Relief_Windows_3B!$E$978:$E$100,"&gt;="&amp;B978,CBIC_Late_Fee_Relief_Windows_3B!$F$978:$F$100,"&lt;="&amp;C978,CBIC_Late_Fee_Relief_Windows_3B!$G$978:$G$100,"&gt;="&amp;C978)</f>
        <v/>
      </c>
      <c r="H978">
        <f>INDEX(CBIC_Late_Fee_Relief_Windows_3B!$I$978:$I$100,MATCH(G978,CBIC_Late_Fee_Relief_Windows_3B!$O$978:$O$100,0))</f>
        <v/>
      </c>
      <c r="I978">
        <f>MIN(F978,H978)</f>
        <v/>
      </c>
    </row>
    <row r="979">
      <c r="A979">
        <f>TEST_DATA!A979</f>
        <v/>
      </c>
      <c r="B979">
        <f>TEST_DATA!B979</f>
        <v/>
      </c>
      <c r="C979">
        <f>TEST_DATA!C979</f>
        <v/>
      </c>
      <c r="D979">
        <f>TEST_DATA!D979</f>
        <v/>
      </c>
      <c r="E979">
        <f>TEST_DATA!E979</f>
        <v/>
      </c>
      <c r="F979">
        <f>MIN(E979*97900,10000)</f>
        <v/>
      </c>
      <c r="G979">
        <f>MINIFS(CBIC_Late_Fee_Relief_Windows_3B!$O$979:$O$100,CBIC_Late_Fee_Relief_Windows_3B!$D$979:$D$100,"&lt;="&amp;B979,CBIC_Late_Fee_Relief_Windows_3B!$E$979:$E$100,"&gt;="&amp;B979,CBIC_Late_Fee_Relief_Windows_3B!$F$979:$F$100,"&lt;="&amp;C979,CBIC_Late_Fee_Relief_Windows_3B!$G$979:$G$100,"&gt;="&amp;C979)</f>
        <v/>
      </c>
      <c r="H979">
        <f>INDEX(CBIC_Late_Fee_Relief_Windows_3B!$I$979:$I$100,MATCH(G979,CBIC_Late_Fee_Relief_Windows_3B!$O$979:$O$100,0))</f>
        <v/>
      </c>
      <c r="I979">
        <f>MIN(F979,H979)</f>
        <v/>
      </c>
    </row>
    <row r="980">
      <c r="A980">
        <f>TEST_DATA!A980</f>
        <v/>
      </c>
      <c r="B980">
        <f>TEST_DATA!B980</f>
        <v/>
      </c>
      <c r="C980">
        <f>TEST_DATA!C980</f>
        <v/>
      </c>
      <c r="D980">
        <f>TEST_DATA!D980</f>
        <v/>
      </c>
      <c r="E980">
        <f>TEST_DATA!E980</f>
        <v/>
      </c>
      <c r="F980">
        <f>MIN(E980*98000,10000)</f>
        <v/>
      </c>
      <c r="G980">
        <f>MINIFS(CBIC_Late_Fee_Relief_Windows_3B!$O$980:$O$100,CBIC_Late_Fee_Relief_Windows_3B!$D$980:$D$100,"&lt;="&amp;B980,CBIC_Late_Fee_Relief_Windows_3B!$E$980:$E$100,"&gt;="&amp;B980,CBIC_Late_Fee_Relief_Windows_3B!$F$980:$F$100,"&lt;="&amp;C980,CBIC_Late_Fee_Relief_Windows_3B!$G$980:$G$100,"&gt;="&amp;C980)</f>
        <v/>
      </c>
      <c r="H980">
        <f>INDEX(CBIC_Late_Fee_Relief_Windows_3B!$I$980:$I$100,MATCH(G980,CBIC_Late_Fee_Relief_Windows_3B!$O$980:$O$100,0))</f>
        <v/>
      </c>
      <c r="I980">
        <f>MIN(F980,H980)</f>
        <v/>
      </c>
    </row>
    <row r="981">
      <c r="A981">
        <f>TEST_DATA!A981</f>
        <v/>
      </c>
      <c r="B981">
        <f>TEST_DATA!B981</f>
        <v/>
      </c>
      <c r="C981">
        <f>TEST_DATA!C981</f>
        <v/>
      </c>
      <c r="D981">
        <f>TEST_DATA!D981</f>
        <v/>
      </c>
      <c r="E981">
        <f>TEST_DATA!E981</f>
        <v/>
      </c>
      <c r="F981">
        <f>MIN(E981*98100,10000)</f>
        <v/>
      </c>
      <c r="G981">
        <f>MINIFS(CBIC_Late_Fee_Relief_Windows_3B!$O$981:$O$100,CBIC_Late_Fee_Relief_Windows_3B!$D$981:$D$100,"&lt;="&amp;B981,CBIC_Late_Fee_Relief_Windows_3B!$E$981:$E$100,"&gt;="&amp;B981,CBIC_Late_Fee_Relief_Windows_3B!$F$981:$F$100,"&lt;="&amp;C981,CBIC_Late_Fee_Relief_Windows_3B!$G$981:$G$100,"&gt;="&amp;C981)</f>
        <v/>
      </c>
      <c r="H981">
        <f>INDEX(CBIC_Late_Fee_Relief_Windows_3B!$I$981:$I$100,MATCH(G981,CBIC_Late_Fee_Relief_Windows_3B!$O$981:$O$100,0))</f>
        <v/>
      </c>
      <c r="I981">
        <f>MIN(F981,H981)</f>
        <v/>
      </c>
    </row>
    <row r="982">
      <c r="A982">
        <f>TEST_DATA!A982</f>
        <v/>
      </c>
      <c r="B982">
        <f>TEST_DATA!B982</f>
        <v/>
      </c>
      <c r="C982">
        <f>TEST_DATA!C982</f>
        <v/>
      </c>
      <c r="D982">
        <f>TEST_DATA!D982</f>
        <v/>
      </c>
      <c r="E982">
        <f>TEST_DATA!E982</f>
        <v/>
      </c>
      <c r="F982">
        <f>MIN(E982*98200,10000)</f>
        <v/>
      </c>
      <c r="G982">
        <f>MINIFS(CBIC_Late_Fee_Relief_Windows_3B!$O$982:$O$100,CBIC_Late_Fee_Relief_Windows_3B!$D$982:$D$100,"&lt;="&amp;B982,CBIC_Late_Fee_Relief_Windows_3B!$E$982:$E$100,"&gt;="&amp;B982,CBIC_Late_Fee_Relief_Windows_3B!$F$982:$F$100,"&lt;="&amp;C982,CBIC_Late_Fee_Relief_Windows_3B!$G$982:$G$100,"&gt;="&amp;C982)</f>
        <v/>
      </c>
      <c r="H982">
        <f>INDEX(CBIC_Late_Fee_Relief_Windows_3B!$I$982:$I$100,MATCH(G982,CBIC_Late_Fee_Relief_Windows_3B!$O$982:$O$100,0))</f>
        <v/>
      </c>
      <c r="I982">
        <f>MIN(F982,H982)</f>
        <v/>
      </c>
    </row>
    <row r="983">
      <c r="A983">
        <f>TEST_DATA!A983</f>
        <v/>
      </c>
      <c r="B983">
        <f>TEST_DATA!B983</f>
        <v/>
      </c>
      <c r="C983">
        <f>TEST_DATA!C983</f>
        <v/>
      </c>
      <c r="D983">
        <f>TEST_DATA!D983</f>
        <v/>
      </c>
      <c r="E983">
        <f>TEST_DATA!E983</f>
        <v/>
      </c>
      <c r="F983">
        <f>MIN(E983*98300,10000)</f>
        <v/>
      </c>
      <c r="G983">
        <f>MINIFS(CBIC_Late_Fee_Relief_Windows_3B!$O$983:$O$100,CBIC_Late_Fee_Relief_Windows_3B!$D$983:$D$100,"&lt;="&amp;B983,CBIC_Late_Fee_Relief_Windows_3B!$E$983:$E$100,"&gt;="&amp;B983,CBIC_Late_Fee_Relief_Windows_3B!$F$983:$F$100,"&lt;="&amp;C983,CBIC_Late_Fee_Relief_Windows_3B!$G$983:$G$100,"&gt;="&amp;C983)</f>
        <v/>
      </c>
      <c r="H983">
        <f>INDEX(CBIC_Late_Fee_Relief_Windows_3B!$I$983:$I$100,MATCH(G983,CBIC_Late_Fee_Relief_Windows_3B!$O$983:$O$100,0))</f>
        <v/>
      </c>
      <c r="I983">
        <f>MIN(F983,H983)</f>
        <v/>
      </c>
    </row>
    <row r="984">
      <c r="A984">
        <f>TEST_DATA!A984</f>
        <v/>
      </c>
      <c r="B984">
        <f>TEST_DATA!B984</f>
        <v/>
      </c>
      <c r="C984">
        <f>TEST_DATA!C984</f>
        <v/>
      </c>
      <c r="D984">
        <f>TEST_DATA!D984</f>
        <v/>
      </c>
      <c r="E984">
        <f>TEST_DATA!E984</f>
        <v/>
      </c>
      <c r="F984">
        <f>MIN(E984*98400,10000)</f>
        <v/>
      </c>
      <c r="G984">
        <f>MINIFS(CBIC_Late_Fee_Relief_Windows_3B!$O$984:$O$100,CBIC_Late_Fee_Relief_Windows_3B!$D$984:$D$100,"&lt;="&amp;B984,CBIC_Late_Fee_Relief_Windows_3B!$E$984:$E$100,"&gt;="&amp;B984,CBIC_Late_Fee_Relief_Windows_3B!$F$984:$F$100,"&lt;="&amp;C984,CBIC_Late_Fee_Relief_Windows_3B!$G$984:$G$100,"&gt;="&amp;C984)</f>
        <v/>
      </c>
      <c r="H984">
        <f>INDEX(CBIC_Late_Fee_Relief_Windows_3B!$I$984:$I$100,MATCH(G984,CBIC_Late_Fee_Relief_Windows_3B!$O$984:$O$100,0))</f>
        <v/>
      </c>
      <c r="I984">
        <f>MIN(F984,H984)</f>
        <v/>
      </c>
    </row>
    <row r="985">
      <c r="A985">
        <f>TEST_DATA!A985</f>
        <v/>
      </c>
      <c r="B985">
        <f>TEST_DATA!B985</f>
        <v/>
      </c>
      <c r="C985">
        <f>TEST_DATA!C985</f>
        <v/>
      </c>
      <c r="D985">
        <f>TEST_DATA!D985</f>
        <v/>
      </c>
      <c r="E985">
        <f>TEST_DATA!E985</f>
        <v/>
      </c>
      <c r="F985">
        <f>MIN(E985*98500,10000)</f>
        <v/>
      </c>
      <c r="G985">
        <f>MINIFS(CBIC_Late_Fee_Relief_Windows_3B!$O$985:$O$100,CBIC_Late_Fee_Relief_Windows_3B!$D$985:$D$100,"&lt;="&amp;B985,CBIC_Late_Fee_Relief_Windows_3B!$E$985:$E$100,"&gt;="&amp;B985,CBIC_Late_Fee_Relief_Windows_3B!$F$985:$F$100,"&lt;="&amp;C985,CBIC_Late_Fee_Relief_Windows_3B!$G$985:$G$100,"&gt;="&amp;C985)</f>
        <v/>
      </c>
      <c r="H985">
        <f>INDEX(CBIC_Late_Fee_Relief_Windows_3B!$I$985:$I$100,MATCH(G985,CBIC_Late_Fee_Relief_Windows_3B!$O$985:$O$100,0))</f>
        <v/>
      </c>
      <c r="I985">
        <f>MIN(F985,H985)</f>
        <v/>
      </c>
    </row>
    <row r="986">
      <c r="A986">
        <f>TEST_DATA!A986</f>
        <v/>
      </c>
      <c r="B986">
        <f>TEST_DATA!B986</f>
        <v/>
      </c>
      <c r="C986">
        <f>TEST_DATA!C986</f>
        <v/>
      </c>
      <c r="D986">
        <f>TEST_DATA!D986</f>
        <v/>
      </c>
      <c r="E986">
        <f>TEST_DATA!E986</f>
        <v/>
      </c>
      <c r="F986">
        <f>MIN(E986*98600,10000)</f>
        <v/>
      </c>
      <c r="G986">
        <f>MINIFS(CBIC_Late_Fee_Relief_Windows_3B!$O$986:$O$100,CBIC_Late_Fee_Relief_Windows_3B!$D$986:$D$100,"&lt;="&amp;B986,CBIC_Late_Fee_Relief_Windows_3B!$E$986:$E$100,"&gt;="&amp;B986,CBIC_Late_Fee_Relief_Windows_3B!$F$986:$F$100,"&lt;="&amp;C986,CBIC_Late_Fee_Relief_Windows_3B!$G$986:$G$100,"&gt;="&amp;C986)</f>
        <v/>
      </c>
      <c r="H986">
        <f>INDEX(CBIC_Late_Fee_Relief_Windows_3B!$I$986:$I$100,MATCH(G986,CBIC_Late_Fee_Relief_Windows_3B!$O$986:$O$100,0))</f>
        <v/>
      </c>
      <c r="I986">
        <f>MIN(F986,H986)</f>
        <v/>
      </c>
    </row>
    <row r="987">
      <c r="A987">
        <f>TEST_DATA!A987</f>
        <v/>
      </c>
      <c r="B987">
        <f>TEST_DATA!B987</f>
        <v/>
      </c>
      <c r="C987">
        <f>TEST_DATA!C987</f>
        <v/>
      </c>
      <c r="D987">
        <f>TEST_DATA!D987</f>
        <v/>
      </c>
      <c r="E987">
        <f>TEST_DATA!E987</f>
        <v/>
      </c>
      <c r="F987">
        <f>MIN(E987*98700,10000)</f>
        <v/>
      </c>
      <c r="G987">
        <f>MINIFS(CBIC_Late_Fee_Relief_Windows_3B!$O$987:$O$100,CBIC_Late_Fee_Relief_Windows_3B!$D$987:$D$100,"&lt;="&amp;B987,CBIC_Late_Fee_Relief_Windows_3B!$E$987:$E$100,"&gt;="&amp;B987,CBIC_Late_Fee_Relief_Windows_3B!$F$987:$F$100,"&lt;="&amp;C987,CBIC_Late_Fee_Relief_Windows_3B!$G$987:$G$100,"&gt;="&amp;C987)</f>
        <v/>
      </c>
      <c r="H987">
        <f>INDEX(CBIC_Late_Fee_Relief_Windows_3B!$I$987:$I$100,MATCH(G987,CBIC_Late_Fee_Relief_Windows_3B!$O$987:$O$100,0))</f>
        <v/>
      </c>
      <c r="I987">
        <f>MIN(F987,H987)</f>
        <v/>
      </c>
    </row>
    <row r="988">
      <c r="A988">
        <f>TEST_DATA!A988</f>
        <v/>
      </c>
      <c r="B988">
        <f>TEST_DATA!B988</f>
        <v/>
      </c>
      <c r="C988">
        <f>TEST_DATA!C988</f>
        <v/>
      </c>
      <c r="D988">
        <f>TEST_DATA!D988</f>
        <v/>
      </c>
      <c r="E988">
        <f>TEST_DATA!E988</f>
        <v/>
      </c>
      <c r="F988">
        <f>MIN(E988*98800,10000)</f>
        <v/>
      </c>
      <c r="G988">
        <f>MINIFS(CBIC_Late_Fee_Relief_Windows_3B!$O$988:$O$100,CBIC_Late_Fee_Relief_Windows_3B!$D$988:$D$100,"&lt;="&amp;B988,CBIC_Late_Fee_Relief_Windows_3B!$E$988:$E$100,"&gt;="&amp;B988,CBIC_Late_Fee_Relief_Windows_3B!$F$988:$F$100,"&lt;="&amp;C988,CBIC_Late_Fee_Relief_Windows_3B!$G$988:$G$100,"&gt;="&amp;C988)</f>
        <v/>
      </c>
      <c r="H988">
        <f>INDEX(CBIC_Late_Fee_Relief_Windows_3B!$I$988:$I$100,MATCH(G988,CBIC_Late_Fee_Relief_Windows_3B!$O$988:$O$100,0))</f>
        <v/>
      </c>
      <c r="I988">
        <f>MIN(F988,H988)</f>
        <v/>
      </c>
    </row>
    <row r="989">
      <c r="A989">
        <f>TEST_DATA!A989</f>
        <v/>
      </c>
      <c r="B989">
        <f>TEST_DATA!B989</f>
        <v/>
      </c>
      <c r="C989">
        <f>TEST_DATA!C989</f>
        <v/>
      </c>
      <c r="D989">
        <f>TEST_DATA!D989</f>
        <v/>
      </c>
      <c r="E989">
        <f>TEST_DATA!E989</f>
        <v/>
      </c>
      <c r="F989">
        <f>MIN(E989*98900,10000)</f>
        <v/>
      </c>
      <c r="G989">
        <f>MINIFS(CBIC_Late_Fee_Relief_Windows_3B!$O$989:$O$100,CBIC_Late_Fee_Relief_Windows_3B!$D$989:$D$100,"&lt;="&amp;B989,CBIC_Late_Fee_Relief_Windows_3B!$E$989:$E$100,"&gt;="&amp;B989,CBIC_Late_Fee_Relief_Windows_3B!$F$989:$F$100,"&lt;="&amp;C989,CBIC_Late_Fee_Relief_Windows_3B!$G$989:$G$100,"&gt;="&amp;C989)</f>
        <v/>
      </c>
      <c r="H989">
        <f>INDEX(CBIC_Late_Fee_Relief_Windows_3B!$I$989:$I$100,MATCH(G989,CBIC_Late_Fee_Relief_Windows_3B!$O$989:$O$100,0))</f>
        <v/>
      </c>
      <c r="I989">
        <f>MIN(F989,H989)</f>
        <v/>
      </c>
    </row>
    <row r="990">
      <c r="A990">
        <f>TEST_DATA!A990</f>
        <v/>
      </c>
      <c r="B990">
        <f>TEST_DATA!B990</f>
        <v/>
      </c>
      <c r="C990">
        <f>TEST_DATA!C990</f>
        <v/>
      </c>
      <c r="D990">
        <f>TEST_DATA!D990</f>
        <v/>
      </c>
      <c r="E990">
        <f>TEST_DATA!E990</f>
        <v/>
      </c>
      <c r="F990">
        <f>MIN(E990*99000,10000)</f>
        <v/>
      </c>
      <c r="G990">
        <f>MINIFS(CBIC_Late_Fee_Relief_Windows_3B!$O$990:$O$100,CBIC_Late_Fee_Relief_Windows_3B!$D$990:$D$100,"&lt;="&amp;B990,CBIC_Late_Fee_Relief_Windows_3B!$E$990:$E$100,"&gt;="&amp;B990,CBIC_Late_Fee_Relief_Windows_3B!$F$990:$F$100,"&lt;="&amp;C990,CBIC_Late_Fee_Relief_Windows_3B!$G$990:$G$100,"&gt;="&amp;C990)</f>
        <v/>
      </c>
      <c r="H990">
        <f>INDEX(CBIC_Late_Fee_Relief_Windows_3B!$I$990:$I$100,MATCH(G990,CBIC_Late_Fee_Relief_Windows_3B!$O$990:$O$100,0))</f>
        <v/>
      </c>
      <c r="I990">
        <f>MIN(F990,H990)</f>
        <v/>
      </c>
    </row>
    <row r="991">
      <c r="A991">
        <f>TEST_DATA!A991</f>
        <v/>
      </c>
      <c r="B991">
        <f>TEST_DATA!B991</f>
        <v/>
      </c>
      <c r="C991">
        <f>TEST_DATA!C991</f>
        <v/>
      </c>
      <c r="D991">
        <f>TEST_DATA!D991</f>
        <v/>
      </c>
      <c r="E991">
        <f>TEST_DATA!E991</f>
        <v/>
      </c>
      <c r="F991">
        <f>MIN(E991*99100,10000)</f>
        <v/>
      </c>
      <c r="G991">
        <f>MINIFS(CBIC_Late_Fee_Relief_Windows_3B!$O$991:$O$100,CBIC_Late_Fee_Relief_Windows_3B!$D$991:$D$100,"&lt;="&amp;B991,CBIC_Late_Fee_Relief_Windows_3B!$E$991:$E$100,"&gt;="&amp;B991,CBIC_Late_Fee_Relief_Windows_3B!$F$991:$F$100,"&lt;="&amp;C991,CBIC_Late_Fee_Relief_Windows_3B!$G$991:$G$100,"&gt;="&amp;C991)</f>
        <v/>
      </c>
      <c r="H991">
        <f>INDEX(CBIC_Late_Fee_Relief_Windows_3B!$I$991:$I$100,MATCH(G991,CBIC_Late_Fee_Relief_Windows_3B!$O$991:$O$100,0))</f>
        <v/>
      </c>
      <c r="I991">
        <f>MIN(F991,H991)</f>
        <v/>
      </c>
    </row>
    <row r="992">
      <c r="A992">
        <f>TEST_DATA!A992</f>
        <v/>
      </c>
      <c r="B992">
        <f>TEST_DATA!B992</f>
        <v/>
      </c>
      <c r="C992">
        <f>TEST_DATA!C992</f>
        <v/>
      </c>
      <c r="D992">
        <f>TEST_DATA!D992</f>
        <v/>
      </c>
      <c r="E992">
        <f>TEST_DATA!E992</f>
        <v/>
      </c>
      <c r="F992">
        <f>MIN(E992*99200,10000)</f>
        <v/>
      </c>
      <c r="G992">
        <f>MINIFS(CBIC_Late_Fee_Relief_Windows_3B!$O$992:$O$100,CBIC_Late_Fee_Relief_Windows_3B!$D$992:$D$100,"&lt;="&amp;B992,CBIC_Late_Fee_Relief_Windows_3B!$E$992:$E$100,"&gt;="&amp;B992,CBIC_Late_Fee_Relief_Windows_3B!$F$992:$F$100,"&lt;="&amp;C992,CBIC_Late_Fee_Relief_Windows_3B!$G$992:$G$100,"&gt;="&amp;C992)</f>
        <v/>
      </c>
      <c r="H992">
        <f>INDEX(CBIC_Late_Fee_Relief_Windows_3B!$I$992:$I$100,MATCH(G992,CBIC_Late_Fee_Relief_Windows_3B!$O$992:$O$100,0))</f>
        <v/>
      </c>
      <c r="I992">
        <f>MIN(F992,H992)</f>
        <v/>
      </c>
    </row>
    <row r="993">
      <c r="A993">
        <f>TEST_DATA!A993</f>
        <v/>
      </c>
      <c r="B993">
        <f>TEST_DATA!B993</f>
        <v/>
      </c>
      <c r="C993">
        <f>TEST_DATA!C993</f>
        <v/>
      </c>
      <c r="D993">
        <f>TEST_DATA!D993</f>
        <v/>
      </c>
      <c r="E993">
        <f>TEST_DATA!E993</f>
        <v/>
      </c>
      <c r="F993">
        <f>MIN(E993*99300,10000)</f>
        <v/>
      </c>
      <c r="G993">
        <f>MINIFS(CBIC_Late_Fee_Relief_Windows_3B!$O$993:$O$100,CBIC_Late_Fee_Relief_Windows_3B!$D$993:$D$100,"&lt;="&amp;B993,CBIC_Late_Fee_Relief_Windows_3B!$E$993:$E$100,"&gt;="&amp;B993,CBIC_Late_Fee_Relief_Windows_3B!$F$993:$F$100,"&lt;="&amp;C993,CBIC_Late_Fee_Relief_Windows_3B!$G$993:$G$100,"&gt;="&amp;C993)</f>
        <v/>
      </c>
      <c r="H993">
        <f>INDEX(CBIC_Late_Fee_Relief_Windows_3B!$I$993:$I$100,MATCH(G993,CBIC_Late_Fee_Relief_Windows_3B!$O$993:$O$100,0))</f>
        <v/>
      </c>
      <c r="I993">
        <f>MIN(F993,H993)</f>
        <v/>
      </c>
    </row>
    <row r="994">
      <c r="A994">
        <f>TEST_DATA!A994</f>
        <v/>
      </c>
      <c r="B994">
        <f>TEST_DATA!B994</f>
        <v/>
      </c>
      <c r="C994">
        <f>TEST_DATA!C994</f>
        <v/>
      </c>
      <c r="D994">
        <f>TEST_DATA!D994</f>
        <v/>
      </c>
      <c r="E994">
        <f>TEST_DATA!E994</f>
        <v/>
      </c>
      <c r="F994">
        <f>MIN(E994*99400,10000)</f>
        <v/>
      </c>
      <c r="G994">
        <f>MINIFS(CBIC_Late_Fee_Relief_Windows_3B!$O$994:$O$100,CBIC_Late_Fee_Relief_Windows_3B!$D$994:$D$100,"&lt;="&amp;B994,CBIC_Late_Fee_Relief_Windows_3B!$E$994:$E$100,"&gt;="&amp;B994,CBIC_Late_Fee_Relief_Windows_3B!$F$994:$F$100,"&lt;="&amp;C994,CBIC_Late_Fee_Relief_Windows_3B!$G$994:$G$100,"&gt;="&amp;C994)</f>
        <v/>
      </c>
      <c r="H994">
        <f>INDEX(CBIC_Late_Fee_Relief_Windows_3B!$I$994:$I$100,MATCH(G994,CBIC_Late_Fee_Relief_Windows_3B!$O$994:$O$100,0))</f>
        <v/>
      </c>
      <c r="I994">
        <f>MIN(F994,H994)</f>
        <v/>
      </c>
    </row>
    <row r="995">
      <c r="A995">
        <f>TEST_DATA!A995</f>
        <v/>
      </c>
      <c r="B995">
        <f>TEST_DATA!B995</f>
        <v/>
      </c>
      <c r="C995">
        <f>TEST_DATA!C995</f>
        <v/>
      </c>
      <c r="D995">
        <f>TEST_DATA!D995</f>
        <v/>
      </c>
      <c r="E995">
        <f>TEST_DATA!E995</f>
        <v/>
      </c>
      <c r="F995">
        <f>MIN(E995*99500,10000)</f>
        <v/>
      </c>
      <c r="G995">
        <f>MINIFS(CBIC_Late_Fee_Relief_Windows_3B!$O$995:$O$100,CBIC_Late_Fee_Relief_Windows_3B!$D$995:$D$100,"&lt;="&amp;B995,CBIC_Late_Fee_Relief_Windows_3B!$E$995:$E$100,"&gt;="&amp;B995,CBIC_Late_Fee_Relief_Windows_3B!$F$995:$F$100,"&lt;="&amp;C995,CBIC_Late_Fee_Relief_Windows_3B!$G$995:$G$100,"&gt;="&amp;C995)</f>
        <v/>
      </c>
      <c r="H995">
        <f>INDEX(CBIC_Late_Fee_Relief_Windows_3B!$I$995:$I$100,MATCH(G995,CBIC_Late_Fee_Relief_Windows_3B!$O$995:$O$100,0))</f>
        <v/>
      </c>
      <c r="I995">
        <f>MIN(F995,H995)</f>
        <v/>
      </c>
    </row>
    <row r="996">
      <c r="A996">
        <f>TEST_DATA!A996</f>
        <v/>
      </c>
      <c r="B996">
        <f>TEST_DATA!B996</f>
        <v/>
      </c>
      <c r="C996">
        <f>TEST_DATA!C996</f>
        <v/>
      </c>
      <c r="D996">
        <f>TEST_DATA!D996</f>
        <v/>
      </c>
      <c r="E996">
        <f>TEST_DATA!E996</f>
        <v/>
      </c>
      <c r="F996">
        <f>MIN(E996*99600,10000)</f>
        <v/>
      </c>
      <c r="G996">
        <f>MINIFS(CBIC_Late_Fee_Relief_Windows_3B!$O$996:$O$100,CBIC_Late_Fee_Relief_Windows_3B!$D$996:$D$100,"&lt;="&amp;B996,CBIC_Late_Fee_Relief_Windows_3B!$E$996:$E$100,"&gt;="&amp;B996,CBIC_Late_Fee_Relief_Windows_3B!$F$996:$F$100,"&lt;="&amp;C996,CBIC_Late_Fee_Relief_Windows_3B!$G$996:$G$100,"&gt;="&amp;C996)</f>
        <v/>
      </c>
      <c r="H996">
        <f>INDEX(CBIC_Late_Fee_Relief_Windows_3B!$I$996:$I$100,MATCH(G996,CBIC_Late_Fee_Relief_Windows_3B!$O$996:$O$100,0))</f>
        <v/>
      </c>
      <c r="I996">
        <f>MIN(F996,H996)</f>
        <v/>
      </c>
    </row>
    <row r="997">
      <c r="A997">
        <f>TEST_DATA!A997</f>
        <v/>
      </c>
      <c r="B997">
        <f>TEST_DATA!B997</f>
        <v/>
      </c>
      <c r="C997">
        <f>TEST_DATA!C997</f>
        <v/>
      </c>
      <c r="D997">
        <f>TEST_DATA!D997</f>
        <v/>
      </c>
      <c r="E997">
        <f>TEST_DATA!E997</f>
        <v/>
      </c>
      <c r="F997">
        <f>MIN(E997*99700,10000)</f>
        <v/>
      </c>
      <c r="G997">
        <f>MINIFS(CBIC_Late_Fee_Relief_Windows_3B!$O$997:$O$100,CBIC_Late_Fee_Relief_Windows_3B!$D$997:$D$100,"&lt;="&amp;B997,CBIC_Late_Fee_Relief_Windows_3B!$E$997:$E$100,"&gt;="&amp;B997,CBIC_Late_Fee_Relief_Windows_3B!$F$997:$F$100,"&lt;="&amp;C997,CBIC_Late_Fee_Relief_Windows_3B!$G$997:$G$100,"&gt;="&amp;C997)</f>
        <v/>
      </c>
      <c r="H997">
        <f>INDEX(CBIC_Late_Fee_Relief_Windows_3B!$I$997:$I$100,MATCH(G997,CBIC_Late_Fee_Relief_Windows_3B!$O$997:$O$100,0))</f>
        <v/>
      </c>
      <c r="I997">
        <f>MIN(F997,H997)</f>
        <v/>
      </c>
    </row>
    <row r="998">
      <c r="A998">
        <f>TEST_DATA!A998</f>
        <v/>
      </c>
      <c r="B998">
        <f>TEST_DATA!B998</f>
        <v/>
      </c>
      <c r="C998">
        <f>TEST_DATA!C998</f>
        <v/>
      </c>
      <c r="D998">
        <f>TEST_DATA!D998</f>
        <v/>
      </c>
      <c r="E998">
        <f>TEST_DATA!E998</f>
        <v/>
      </c>
      <c r="F998">
        <f>MIN(E998*99800,10000)</f>
        <v/>
      </c>
      <c r="G998">
        <f>MINIFS(CBIC_Late_Fee_Relief_Windows_3B!$O$998:$O$100,CBIC_Late_Fee_Relief_Windows_3B!$D$998:$D$100,"&lt;="&amp;B998,CBIC_Late_Fee_Relief_Windows_3B!$E$998:$E$100,"&gt;="&amp;B998,CBIC_Late_Fee_Relief_Windows_3B!$F$998:$F$100,"&lt;="&amp;C998,CBIC_Late_Fee_Relief_Windows_3B!$G$998:$G$100,"&gt;="&amp;C998)</f>
        <v/>
      </c>
      <c r="H998">
        <f>INDEX(CBIC_Late_Fee_Relief_Windows_3B!$I$998:$I$100,MATCH(G998,CBIC_Late_Fee_Relief_Windows_3B!$O$998:$O$100,0))</f>
        <v/>
      </c>
      <c r="I998">
        <f>MIN(F998,H998)</f>
        <v/>
      </c>
    </row>
    <row r="999">
      <c r="A999">
        <f>TEST_DATA!A999</f>
        <v/>
      </c>
      <c r="B999">
        <f>TEST_DATA!B999</f>
        <v/>
      </c>
      <c r="C999">
        <f>TEST_DATA!C999</f>
        <v/>
      </c>
      <c r="D999">
        <f>TEST_DATA!D999</f>
        <v/>
      </c>
      <c r="E999">
        <f>TEST_DATA!E999</f>
        <v/>
      </c>
      <c r="F999">
        <f>MIN(E999*99900,10000)</f>
        <v/>
      </c>
      <c r="G999">
        <f>MINIFS(CBIC_Late_Fee_Relief_Windows_3B!$O$999:$O$100,CBIC_Late_Fee_Relief_Windows_3B!$D$999:$D$100,"&lt;="&amp;B999,CBIC_Late_Fee_Relief_Windows_3B!$E$999:$E$100,"&gt;="&amp;B999,CBIC_Late_Fee_Relief_Windows_3B!$F$999:$F$100,"&lt;="&amp;C999,CBIC_Late_Fee_Relief_Windows_3B!$G$999:$G$100,"&gt;="&amp;C999)</f>
        <v/>
      </c>
      <c r="H999">
        <f>INDEX(CBIC_Late_Fee_Relief_Windows_3B!$I$999:$I$100,MATCH(G999,CBIC_Late_Fee_Relief_Windows_3B!$O$999:$O$100,0))</f>
        <v/>
      </c>
      <c r="I999">
        <f>MIN(F999,H999)</f>
        <v/>
      </c>
    </row>
    <row r="1000">
      <c r="A1000">
        <f>TEST_DATA!A1000</f>
        <v/>
      </c>
      <c r="B1000">
        <f>TEST_DATA!B1000</f>
        <v/>
      </c>
      <c r="C1000">
        <f>TEST_DATA!C1000</f>
        <v/>
      </c>
      <c r="D1000">
        <f>TEST_DATA!D1000</f>
        <v/>
      </c>
      <c r="E1000">
        <f>TEST_DATA!E1000</f>
        <v/>
      </c>
      <c r="F1000">
        <f>MIN(E1000*100000,10000)</f>
        <v/>
      </c>
      <c r="G1000">
        <f>MINIFS(CBIC_Late_Fee_Relief_Windows_3B!$O$1000:$O$100,CBIC_Late_Fee_Relief_Windows_3B!$D$1000:$D$100,"&lt;="&amp;B1000,CBIC_Late_Fee_Relief_Windows_3B!$E$1000:$E$100,"&gt;="&amp;B1000,CBIC_Late_Fee_Relief_Windows_3B!$F$1000:$F$100,"&lt;="&amp;C1000,CBIC_Late_Fee_Relief_Windows_3B!$G$1000:$G$100,"&gt;="&amp;C1000)</f>
        <v/>
      </c>
      <c r="H1000">
        <f>INDEX(CBIC_Late_Fee_Relief_Windows_3B!$I$1000:$I$100,MATCH(G1000,CBIC_Late_Fee_Relief_Windows_3B!$O$1000:$O$100,0))</f>
        <v/>
      </c>
      <c r="I1000">
        <f>MIN(F1000,H1000)</f>
        <v/>
      </c>
    </row>
    <row r="1001">
      <c r="A1001">
        <f>TEST_DATA!A1001</f>
        <v/>
      </c>
      <c r="B1001">
        <f>TEST_DATA!B1001</f>
        <v/>
      </c>
      <c r="C1001">
        <f>TEST_DATA!C1001</f>
        <v/>
      </c>
      <c r="D1001">
        <f>TEST_DATA!D1001</f>
        <v/>
      </c>
      <c r="E1001">
        <f>TEST_DATA!E1001</f>
        <v/>
      </c>
      <c r="F1001">
        <f>MIN(E1001*100100,10000)</f>
        <v/>
      </c>
      <c r="G1001">
        <f>MINIFS(CBIC_Late_Fee_Relief_Windows_3B!$O$1001:$O$100,CBIC_Late_Fee_Relief_Windows_3B!$D$1001:$D$100,"&lt;="&amp;B1001,CBIC_Late_Fee_Relief_Windows_3B!$E$1001:$E$100,"&gt;="&amp;B1001,CBIC_Late_Fee_Relief_Windows_3B!$F$1001:$F$100,"&lt;="&amp;C1001,CBIC_Late_Fee_Relief_Windows_3B!$G$1001:$G$100,"&gt;="&amp;C1001)</f>
        <v/>
      </c>
      <c r="H1001">
        <f>INDEX(CBIC_Late_Fee_Relief_Windows_3B!$I$1001:$I$100,MATCH(G1001,CBIC_Late_Fee_Relief_Windows_3B!$O$1001:$O$100,0))</f>
        <v/>
      </c>
      <c r="I1001">
        <f>MIN(F1001,H1001)</f>
        <v/>
      </c>
    </row>
    <row r="1002">
      <c r="A1002">
        <f>TEST_DATA!A1002</f>
        <v/>
      </c>
      <c r="B1002">
        <f>TEST_DATA!B1002</f>
        <v/>
      </c>
      <c r="C1002">
        <f>TEST_DATA!C1002</f>
        <v/>
      </c>
      <c r="D1002">
        <f>TEST_DATA!D1002</f>
        <v/>
      </c>
      <c r="E1002">
        <f>TEST_DATA!E1002</f>
        <v/>
      </c>
      <c r="F1002">
        <f>MIN(E1002*100200,10000)</f>
        <v/>
      </c>
      <c r="G1002">
        <f>MINIFS(CBIC_Late_Fee_Relief_Windows_3B!$O$1002:$O$100,CBIC_Late_Fee_Relief_Windows_3B!$D$1002:$D$100,"&lt;="&amp;B1002,CBIC_Late_Fee_Relief_Windows_3B!$E$1002:$E$100,"&gt;="&amp;B1002,CBIC_Late_Fee_Relief_Windows_3B!$F$1002:$F$100,"&lt;="&amp;C1002,CBIC_Late_Fee_Relief_Windows_3B!$G$1002:$G$100,"&gt;="&amp;C1002)</f>
        <v/>
      </c>
      <c r="H1002">
        <f>INDEX(CBIC_Late_Fee_Relief_Windows_3B!$I$1002:$I$100,MATCH(G1002,CBIC_Late_Fee_Relief_Windows_3B!$O$1002:$O$100,0))</f>
        <v/>
      </c>
      <c r="I1002">
        <f>MIN(F1002,H1002)</f>
        <v/>
      </c>
    </row>
    <row r="1003">
      <c r="A1003">
        <f>TEST_DATA!A1003</f>
        <v/>
      </c>
      <c r="B1003">
        <f>TEST_DATA!B1003</f>
        <v/>
      </c>
      <c r="C1003">
        <f>TEST_DATA!C1003</f>
        <v/>
      </c>
      <c r="D1003">
        <f>TEST_DATA!D1003</f>
        <v/>
      </c>
      <c r="E1003">
        <f>TEST_DATA!E1003</f>
        <v/>
      </c>
      <c r="F1003">
        <f>MIN(E1003*100300,10000)</f>
        <v/>
      </c>
      <c r="G1003">
        <f>MINIFS(CBIC_Late_Fee_Relief_Windows_3B!$O$1003:$O$100,CBIC_Late_Fee_Relief_Windows_3B!$D$1003:$D$100,"&lt;="&amp;B1003,CBIC_Late_Fee_Relief_Windows_3B!$E$1003:$E$100,"&gt;="&amp;B1003,CBIC_Late_Fee_Relief_Windows_3B!$F$1003:$F$100,"&lt;="&amp;C1003,CBIC_Late_Fee_Relief_Windows_3B!$G$1003:$G$100,"&gt;="&amp;C1003)</f>
        <v/>
      </c>
      <c r="H1003">
        <f>INDEX(CBIC_Late_Fee_Relief_Windows_3B!$I$1003:$I$100,MATCH(G1003,CBIC_Late_Fee_Relief_Windows_3B!$O$1003:$O$100,0))</f>
        <v/>
      </c>
      <c r="I1003">
        <f>MIN(F1003,H1003)</f>
        <v/>
      </c>
    </row>
    <row r="1004">
      <c r="A1004">
        <f>TEST_DATA!A1004</f>
        <v/>
      </c>
      <c r="B1004">
        <f>TEST_DATA!B1004</f>
        <v/>
      </c>
      <c r="C1004">
        <f>TEST_DATA!C1004</f>
        <v/>
      </c>
      <c r="D1004">
        <f>TEST_DATA!D1004</f>
        <v/>
      </c>
      <c r="E1004">
        <f>TEST_DATA!E1004</f>
        <v/>
      </c>
      <c r="F1004">
        <f>MIN(E1004*100400,10000)</f>
        <v/>
      </c>
      <c r="G1004">
        <f>MINIFS(CBIC_Late_Fee_Relief_Windows_3B!$O$1004:$O$100,CBIC_Late_Fee_Relief_Windows_3B!$D$1004:$D$100,"&lt;="&amp;B1004,CBIC_Late_Fee_Relief_Windows_3B!$E$1004:$E$100,"&gt;="&amp;B1004,CBIC_Late_Fee_Relief_Windows_3B!$F$1004:$F$100,"&lt;="&amp;C1004,CBIC_Late_Fee_Relief_Windows_3B!$G$1004:$G$100,"&gt;="&amp;C1004)</f>
        <v/>
      </c>
      <c r="H1004">
        <f>INDEX(CBIC_Late_Fee_Relief_Windows_3B!$I$1004:$I$100,MATCH(G1004,CBIC_Late_Fee_Relief_Windows_3B!$O$1004:$O$100,0))</f>
        <v/>
      </c>
      <c r="I1004">
        <f>MIN(F1004,H1004)</f>
        <v/>
      </c>
    </row>
    <row r="1005">
      <c r="A1005">
        <f>TEST_DATA!A1005</f>
        <v/>
      </c>
      <c r="B1005">
        <f>TEST_DATA!B1005</f>
        <v/>
      </c>
      <c r="C1005">
        <f>TEST_DATA!C1005</f>
        <v/>
      </c>
      <c r="D1005">
        <f>TEST_DATA!D1005</f>
        <v/>
      </c>
      <c r="E1005">
        <f>TEST_DATA!E1005</f>
        <v/>
      </c>
      <c r="F1005">
        <f>MIN(E1005*100500,10000)</f>
        <v/>
      </c>
      <c r="G1005">
        <f>MINIFS(CBIC_Late_Fee_Relief_Windows_3B!$O$1005:$O$100,CBIC_Late_Fee_Relief_Windows_3B!$D$1005:$D$100,"&lt;="&amp;B1005,CBIC_Late_Fee_Relief_Windows_3B!$E$1005:$E$100,"&gt;="&amp;B1005,CBIC_Late_Fee_Relief_Windows_3B!$F$1005:$F$100,"&lt;="&amp;C1005,CBIC_Late_Fee_Relief_Windows_3B!$G$1005:$G$100,"&gt;="&amp;C1005)</f>
        <v/>
      </c>
      <c r="H1005">
        <f>INDEX(CBIC_Late_Fee_Relief_Windows_3B!$I$1005:$I$100,MATCH(G1005,CBIC_Late_Fee_Relief_Windows_3B!$O$1005:$O$100,0))</f>
        <v/>
      </c>
      <c r="I1005">
        <f>MIN(F1005,H1005)</f>
        <v/>
      </c>
    </row>
    <row r="1006">
      <c r="A1006">
        <f>TEST_DATA!A1006</f>
        <v/>
      </c>
      <c r="B1006">
        <f>TEST_DATA!B1006</f>
        <v/>
      </c>
      <c r="C1006">
        <f>TEST_DATA!C1006</f>
        <v/>
      </c>
      <c r="D1006">
        <f>TEST_DATA!D1006</f>
        <v/>
      </c>
      <c r="E1006">
        <f>TEST_DATA!E1006</f>
        <v/>
      </c>
      <c r="F1006">
        <f>MIN(E1006*100600,10000)</f>
        <v/>
      </c>
      <c r="G1006">
        <f>MINIFS(CBIC_Late_Fee_Relief_Windows_3B!$O$1006:$O$100,CBIC_Late_Fee_Relief_Windows_3B!$D$1006:$D$100,"&lt;="&amp;B1006,CBIC_Late_Fee_Relief_Windows_3B!$E$1006:$E$100,"&gt;="&amp;B1006,CBIC_Late_Fee_Relief_Windows_3B!$F$1006:$F$100,"&lt;="&amp;C1006,CBIC_Late_Fee_Relief_Windows_3B!$G$1006:$G$100,"&gt;="&amp;C1006)</f>
        <v/>
      </c>
      <c r="H1006">
        <f>INDEX(CBIC_Late_Fee_Relief_Windows_3B!$I$1006:$I$100,MATCH(G1006,CBIC_Late_Fee_Relief_Windows_3B!$O$1006:$O$100,0))</f>
        <v/>
      </c>
      <c r="I1006">
        <f>MIN(F1006,H1006)</f>
        <v/>
      </c>
    </row>
    <row r="1007">
      <c r="A1007">
        <f>TEST_DATA!A1007</f>
        <v/>
      </c>
      <c r="B1007">
        <f>TEST_DATA!B1007</f>
        <v/>
      </c>
      <c r="C1007">
        <f>TEST_DATA!C1007</f>
        <v/>
      </c>
      <c r="D1007">
        <f>TEST_DATA!D1007</f>
        <v/>
      </c>
      <c r="E1007">
        <f>TEST_DATA!E1007</f>
        <v/>
      </c>
      <c r="F1007">
        <f>MIN(E1007*100700,10000)</f>
        <v/>
      </c>
      <c r="G1007">
        <f>MINIFS(CBIC_Late_Fee_Relief_Windows_3B!$O$1007:$O$100,CBIC_Late_Fee_Relief_Windows_3B!$D$1007:$D$100,"&lt;="&amp;B1007,CBIC_Late_Fee_Relief_Windows_3B!$E$1007:$E$100,"&gt;="&amp;B1007,CBIC_Late_Fee_Relief_Windows_3B!$F$1007:$F$100,"&lt;="&amp;C1007,CBIC_Late_Fee_Relief_Windows_3B!$G$1007:$G$100,"&gt;="&amp;C1007)</f>
        <v/>
      </c>
      <c r="H1007">
        <f>INDEX(CBIC_Late_Fee_Relief_Windows_3B!$I$1007:$I$100,MATCH(G1007,CBIC_Late_Fee_Relief_Windows_3B!$O$1007:$O$100,0))</f>
        <v/>
      </c>
      <c r="I1007">
        <f>MIN(F1007,H1007)</f>
        <v/>
      </c>
    </row>
    <row r="1008">
      <c r="A1008">
        <f>TEST_DATA!A1008</f>
        <v/>
      </c>
      <c r="B1008">
        <f>TEST_DATA!B1008</f>
        <v/>
      </c>
      <c r="C1008">
        <f>TEST_DATA!C1008</f>
        <v/>
      </c>
      <c r="D1008">
        <f>TEST_DATA!D1008</f>
        <v/>
      </c>
      <c r="E1008">
        <f>TEST_DATA!E1008</f>
        <v/>
      </c>
      <c r="F1008">
        <f>MIN(E1008*100800,10000)</f>
        <v/>
      </c>
      <c r="G1008">
        <f>MINIFS(CBIC_Late_Fee_Relief_Windows_3B!$O$1008:$O$100,CBIC_Late_Fee_Relief_Windows_3B!$D$1008:$D$100,"&lt;="&amp;B1008,CBIC_Late_Fee_Relief_Windows_3B!$E$1008:$E$100,"&gt;="&amp;B1008,CBIC_Late_Fee_Relief_Windows_3B!$F$1008:$F$100,"&lt;="&amp;C1008,CBIC_Late_Fee_Relief_Windows_3B!$G$1008:$G$100,"&gt;="&amp;C1008)</f>
        <v/>
      </c>
      <c r="H1008">
        <f>INDEX(CBIC_Late_Fee_Relief_Windows_3B!$I$1008:$I$100,MATCH(G1008,CBIC_Late_Fee_Relief_Windows_3B!$O$1008:$O$100,0))</f>
        <v/>
      </c>
      <c r="I1008">
        <f>MIN(F1008,H1008)</f>
        <v/>
      </c>
    </row>
    <row r="1009">
      <c r="A1009">
        <f>TEST_DATA!A1009</f>
        <v/>
      </c>
      <c r="B1009">
        <f>TEST_DATA!B1009</f>
        <v/>
      </c>
      <c r="C1009">
        <f>TEST_DATA!C1009</f>
        <v/>
      </c>
      <c r="D1009">
        <f>TEST_DATA!D1009</f>
        <v/>
      </c>
      <c r="E1009">
        <f>TEST_DATA!E1009</f>
        <v/>
      </c>
      <c r="F1009">
        <f>MIN(E1009*100900,10000)</f>
        <v/>
      </c>
      <c r="G1009">
        <f>MINIFS(CBIC_Late_Fee_Relief_Windows_3B!$O$1009:$O$100,CBIC_Late_Fee_Relief_Windows_3B!$D$1009:$D$100,"&lt;="&amp;B1009,CBIC_Late_Fee_Relief_Windows_3B!$E$1009:$E$100,"&gt;="&amp;B1009,CBIC_Late_Fee_Relief_Windows_3B!$F$1009:$F$100,"&lt;="&amp;C1009,CBIC_Late_Fee_Relief_Windows_3B!$G$1009:$G$100,"&gt;="&amp;C1009)</f>
        <v/>
      </c>
      <c r="H1009">
        <f>INDEX(CBIC_Late_Fee_Relief_Windows_3B!$I$1009:$I$100,MATCH(G1009,CBIC_Late_Fee_Relief_Windows_3B!$O$1009:$O$100,0))</f>
        <v/>
      </c>
      <c r="I1009">
        <f>MIN(F1009,H1009)</f>
        <v/>
      </c>
    </row>
    <row r="1010">
      <c r="A1010">
        <f>TEST_DATA!A1010</f>
        <v/>
      </c>
      <c r="B1010">
        <f>TEST_DATA!B1010</f>
        <v/>
      </c>
      <c r="C1010">
        <f>TEST_DATA!C1010</f>
        <v/>
      </c>
      <c r="D1010">
        <f>TEST_DATA!D1010</f>
        <v/>
      </c>
      <c r="E1010">
        <f>TEST_DATA!E1010</f>
        <v/>
      </c>
      <c r="F1010">
        <f>MIN(E1010*101000,10000)</f>
        <v/>
      </c>
      <c r="G1010">
        <f>MINIFS(CBIC_Late_Fee_Relief_Windows_3B!$O$1010:$O$100,CBIC_Late_Fee_Relief_Windows_3B!$D$1010:$D$100,"&lt;="&amp;B1010,CBIC_Late_Fee_Relief_Windows_3B!$E$1010:$E$100,"&gt;="&amp;B1010,CBIC_Late_Fee_Relief_Windows_3B!$F$1010:$F$100,"&lt;="&amp;C1010,CBIC_Late_Fee_Relief_Windows_3B!$G$1010:$G$100,"&gt;="&amp;C1010)</f>
        <v/>
      </c>
      <c r="H1010">
        <f>INDEX(CBIC_Late_Fee_Relief_Windows_3B!$I$1010:$I$100,MATCH(G1010,CBIC_Late_Fee_Relief_Windows_3B!$O$1010:$O$100,0))</f>
        <v/>
      </c>
      <c r="I1010">
        <f>MIN(F1010,H1010)</f>
        <v/>
      </c>
    </row>
    <row r="1011">
      <c r="A1011">
        <f>TEST_DATA!A1011</f>
        <v/>
      </c>
      <c r="B1011">
        <f>TEST_DATA!B1011</f>
        <v/>
      </c>
      <c r="C1011">
        <f>TEST_DATA!C1011</f>
        <v/>
      </c>
      <c r="D1011">
        <f>TEST_DATA!D1011</f>
        <v/>
      </c>
      <c r="E1011">
        <f>TEST_DATA!E1011</f>
        <v/>
      </c>
      <c r="F1011">
        <f>MIN(E1011*101100,10000)</f>
        <v/>
      </c>
      <c r="G1011">
        <f>MINIFS(CBIC_Late_Fee_Relief_Windows_3B!$O$1011:$O$100,CBIC_Late_Fee_Relief_Windows_3B!$D$1011:$D$100,"&lt;="&amp;B1011,CBIC_Late_Fee_Relief_Windows_3B!$E$1011:$E$100,"&gt;="&amp;B1011,CBIC_Late_Fee_Relief_Windows_3B!$F$1011:$F$100,"&lt;="&amp;C1011,CBIC_Late_Fee_Relief_Windows_3B!$G$1011:$G$100,"&gt;="&amp;C1011)</f>
        <v/>
      </c>
      <c r="H1011">
        <f>INDEX(CBIC_Late_Fee_Relief_Windows_3B!$I$1011:$I$100,MATCH(G1011,CBIC_Late_Fee_Relief_Windows_3B!$O$1011:$O$100,0))</f>
        <v/>
      </c>
      <c r="I1011">
        <f>MIN(F1011,H1011)</f>
        <v/>
      </c>
    </row>
    <row r="1012">
      <c r="A1012">
        <f>TEST_DATA!A1012</f>
        <v/>
      </c>
      <c r="B1012">
        <f>TEST_DATA!B1012</f>
        <v/>
      </c>
      <c r="C1012">
        <f>TEST_DATA!C1012</f>
        <v/>
      </c>
      <c r="D1012">
        <f>TEST_DATA!D1012</f>
        <v/>
      </c>
      <c r="E1012">
        <f>TEST_DATA!E1012</f>
        <v/>
      </c>
      <c r="F1012">
        <f>MIN(E1012*101200,10000)</f>
        <v/>
      </c>
      <c r="G1012">
        <f>MINIFS(CBIC_Late_Fee_Relief_Windows_3B!$O$1012:$O$100,CBIC_Late_Fee_Relief_Windows_3B!$D$1012:$D$100,"&lt;="&amp;B1012,CBIC_Late_Fee_Relief_Windows_3B!$E$1012:$E$100,"&gt;="&amp;B1012,CBIC_Late_Fee_Relief_Windows_3B!$F$1012:$F$100,"&lt;="&amp;C1012,CBIC_Late_Fee_Relief_Windows_3B!$G$1012:$G$100,"&gt;="&amp;C1012)</f>
        <v/>
      </c>
      <c r="H1012">
        <f>INDEX(CBIC_Late_Fee_Relief_Windows_3B!$I$1012:$I$100,MATCH(G1012,CBIC_Late_Fee_Relief_Windows_3B!$O$1012:$O$100,0))</f>
        <v/>
      </c>
      <c r="I1012">
        <f>MIN(F1012,H1012)</f>
        <v/>
      </c>
    </row>
    <row r="1013">
      <c r="A1013">
        <f>TEST_DATA!A1013</f>
        <v/>
      </c>
      <c r="B1013">
        <f>TEST_DATA!B1013</f>
        <v/>
      </c>
      <c r="C1013">
        <f>TEST_DATA!C1013</f>
        <v/>
      </c>
      <c r="D1013">
        <f>TEST_DATA!D1013</f>
        <v/>
      </c>
      <c r="E1013">
        <f>TEST_DATA!E1013</f>
        <v/>
      </c>
      <c r="F1013">
        <f>MIN(E1013*101300,10000)</f>
        <v/>
      </c>
      <c r="G1013">
        <f>MINIFS(CBIC_Late_Fee_Relief_Windows_3B!$O$1013:$O$100,CBIC_Late_Fee_Relief_Windows_3B!$D$1013:$D$100,"&lt;="&amp;B1013,CBIC_Late_Fee_Relief_Windows_3B!$E$1013:$E$100,"&gt;="&amp;B1013,CBIC_Late_Fee_Relief_Windows_3B!$F$1013:$F$100,"&lt;="&amp;C1013,CBIC_Late_Fee_Relief_Windows_3B!$G$1013:$G$100,"&gt;="&amp;C1013)</f>
        <v/>
      </c>
      <c r="H1013">
        <f>INDEX(CBIC_Late_Fee_Relief_Windows_3B!$I$1013:$I$100,MATCH(G1013,CBIC_Late_Fee_Relief_Windows_3B!$O$1013:$O$100,0))</f>
        <v/>
      </c>
      <c r="I1013">
        <f>MIN(F1013,H1013)</f>
        <v/>
      </c>
    </row>
    <row r="1014">
      <c r="A1014">
        <f>TEST_DATA!A1014</f>
        <v/>
      </c>
      <c r="B1014">
        <f>TEST_DATA!B1014</f>
        <v/>
      </c>
      <c r="C1014">
        <f>TEST_DATA!C1014</f>
        <v/>
      </c>
      <c r="D1014">
        <f>TEST_DATA!D1014</f>
        <v/>
      </c>
      <c r="E1014">
        <f>TEST_DATA!E1014</f>
        <v/>
      </c>
      <c r="F1014">
        <f>MIN(E1014*101400,10000)</f>
        <v/>
      </c>
      <c r="G1014">
        <f>MINIFS(CBIC_Late_Fee_Relief_Windows_3B!$O$1014:$O$100,CBIC_Late_Fee_Relief_Windows_3B!$D$1014:$D$100,"&lt;="&amp;B1014,CBIC_Late_Fee_Relief_Windows_3B!$E$1014:$E$100,"&gt;="&amp;B1014,CBIC_Late_Fee_Relief_Windows_3B!$F$1014:$F$100,"&lt;="&amp;C1014,CBIC_Late_Fee_Relief_Windows_3B!$G$1014:$G$100,"&gt;="&amp;C1014)</f>
        <v/>
      </c>
      <c r="H1014">
        <f>INDEX(CBIC_Late_Fee_Relief_Windows_3B!$I$1014:$I$100,MATCH(G1014,CBIC_Late_Fee_Relief_Windows_3B!$O$1014:$O$100,0))</f>
        <v/>
      </c>
      <c r="I1014">
        <f>MIN(F1014,H1014)</f>
        <v/>
      </c>
    </row>
    <row r="1015">
      <c r="A1015">
        <f>TEST_DATA!A1015</f>
        <v/>
      </c>
      <c r="B1015">
        <f>TEST_DATA!B1015</f>
        <v/>
      </c>
      <c r="C1015">
        <f>TEST_DATA!C1015</f>
        <v/>
      </c>
      <c r="D1015">
        <f>TEST_DATA!D1015</f>
        <v/>
      </c>
      <c r="E1015">
        <f>TEST_DATA!E1015</f>
        <v/>
      </c>
      <c r="F1015">
        <f>MIN(E1015*101500,10000)</f>
        <v/>
      </c>
      <c r="G1015">
        <f>MINIFS(CBIC_Late_Fee_Relief_Windows_3B!$O$1015:$O$100,CBIC_Late_Fee_Relief_Windows_3B!$D$1015:$D$100,"&lt;="&amp;B1015,CBIC_Late_Fee_Relief_Windows_3B!$E$1015:$E$100,"&gt;="&amp;B1015,CBIC_Late_Fee_Relief_Windows_3B!$F$1015:$F$100,"&lt;="&amp;C1015,CBIC_Late_Fee_Relief_Windows_3B!$G$1015:$G$100,"&gt;="&amp;C1015)</f>
        <v/>
      </c>
      <c r="H1015">
        <f>INDEX(CBIC_Late_Fee_Relief_Windows_3B!$I$1015:$I$100,MATCH(G1015,CBIC_Late_Fee_Relief_Windows_3B!$O$1015:$O$100,0))</f>
        <v/>
      </c>
      <c r="I1015">
        <f>MIN(F1015,H1015)</f>
        <v/>
      </c>
    </row>
    <row r="1016">
      <c r="A1016">
        <f>TEST_DATA!A1016</f>
        <v/>
      </c>
      <c r="B1016">
        <f>TEST_DATA!B1016</f>
        <v/>
      </c>
      <c r="C1016">
        <f>TEST_DATA!C1016</f>
        <v/>
      </c>
      <c r="D1016">
        <f>TEST_DATA!D1016</f>
        <v/>
      </c>
      <c r="E1016">
        <f>TEST_DATA!E1016</f>
        <v/>
      </c>
      <c r="F1016">
        <f>MIN(E1016*101600,10000)</f>
        <v/>
      </c>
      <c r="G1016">
        <f>MINIFS(CBIC_Late_Fee_Relief_Windows_3B!$O$1016:$O$100,CBIC_Late_Fee_Relief_Windows_3B!$D$1016:$D$100,"&lt;="&amp;B1016,CBIC_Late_Fee_Relief_Windows_3B!$E$1016:$E$100,"&gt;="&amp;B1016,CBIC_Late_Fee_Relief_Windows_3B!$F$1016:$F$100,"&lt;="&amp;C1016,CBIC_Late_Fee_Relief_Windows_3B!$G$1016:$G$100,"&gt;="&amp;C1016)</f>
        <v/>
      </c>
      <c r="H1016">
        <f>INDEX(CBIC_Late_Fee_Relief_Windows_3B!$I$1016:$I$100,MATCH(G1016,CBIC_Late_Fee_Relief_Windows_3B!$O$1016:$O$100,0))</f>
        <v/>
      </c>
      <c r="I1016">
        <f>MIN(F1016,H1016)</f>
        <v/>
      </c>
    </row>
    <row r="1017">
      <c r="A1017">
        <f>TEST_DATA!A1017</f>
        <v/>
      </c>
      <c r="B1017">
        <f>TEST_DATA!B1017</f>
        <v/>
      </c>
      <c r="C1017">
        <f>TEST_DATA!C1017</f>
        <v/>
      </c>
      <c r="D1017">
        <f>TEST_DATA!D1017</f>
        <v/>
      </c>
      <c r="E1017">
        <f>TEST_DATA!E1017</f>
        <v/>
      </c>
      <c r="F1017">
        <f>MIN(E1017*101700,10000)</f>
        <v/>
      </c>
      <c r="G1017">
        <f>MINIFS(CBIC_Late_Fee_Relief_Windows_3B!$O$1017:$O$100,CBIC_Late_Fee_Relief_Windows_3B!$D$1017:$D$100,"&lt;="&amp;B1017,CBIC_Late_Fee_Relief_Windows_3B!$E$1017:$E$100,"&gt;="&amp;B1017,CBIC_Late_Fee_Relief_Windows_3B!$F$1017:$F$100,"&lt;="&amp;C1017,CBIC_Late_Fee_Relief_Windows_3B!$G$1017:$G$100,"&gt;="&amp;C1017)</f>
        <v/>
      </c>
      <c r="H1017">
        <f>INDEX(CBIC_Late_Fee_Relief_Windows_3B!$I$1017:$I$100,MATCH(G1017,CBIC_Late_Fee_Relief_Windows_3B!$O$1017:$O$100,0))</f>
        <v/>
      </c>
      <c r="I1017">
        <f>MIN(F1017,H1017)</f>
        <v/>
      </c>
    </row>
    <row r="1018">
      <c r="A1018">
        <f>TEST_DATA!A1018</f>
        <v/>
      </c>
      <c r="B1018">
        <f>TEST_DATA!B1018</f>
        <v/>
      </c>
      <c r="C1018">
        <f>TEST_DATA!C1018</f>
        <v/>
      </c>
      <c r="D1018">
        <f>TEST_DATA!D1018</f>
        <v/>
      </c>
      <c r="E1018">
        <f>TEST_DATA!E1018</f>
        <v/>
      </c>
      <c r="F1018">
        <f>MIN(E1018*101800,10000)</f>
        <v/>
      </c>
      <c r="G1018">
        <f>MINIFS(CBIC_Late_Fee_Relief_Windows_3B!$O$1018:$O$100,CBIC_Late_Fee_Relief_Windows_3B!$D$1018:$D$100,"&lt;="&amp;B1018,CBIC_Late_Fee_Relief_Windows_3B!$E$1018:$E$100,"&gt;="&amp;B1018,CBIC_Late_Fee_Relief_Windows_3B!$F$1018:$F$100,"&lt;="&amp;C1018,CBIC_Late_Fee_Relief_Windows_3B!$G$1018:$G$100,"&gt;="&amp;C1018)</f>
        <v/>
      </c>
      <c r="H1018">
        <f>INDEX(CBIC_Late_Fee_Relief_Windows_3B!$I$1018:$I$100,MATCH(G1018,CBIC_Late_Fee_Relief_Windows_3B!$O$1018:$O$100,0))</f>
        <v/>
      </c>
      <c r="I1018">
        <f>MIN(F1018,H1018)</f>
        <v/>
      </c>
    </row>
    <row r="1019">
      <c r="A1019">
        <f>TEST_DATA!A1019</f>
        <v/>
      </c>
      <c r="B1019">
        <f>TEST_DATA!B1019</f>
        <v/>
      </c>
      <c r="C1019">
        <f>TEST_DATA!C1019</f>
        <v/>
      </c>
      <c r="D1019">
        <f>TEST_DATA!D1019</f>
        <v/>
      </c>
      <c r="E1019">
        <f>TEST_DATA!E1019</f>
        <v/>
      </c>
      <c r="F1019">
        <f>MIN(E1019*101900,10000)</f>
        <v/>
      </c>
      <c r="G1019">
        <f>MINIFS(CBIC_Late_Fee_Relief_Windows_3B!$O$1019:$O$100,CBIC_Late_Fee_Relief_Windows_3B!$D$1019:$D$100,"&lt;="&amp;B1019,CBIC_Late_Fee_Relief_Windows_3B!$E$1019:$E$100,"&gt;="&amp;B1019,CBIC_Late_Fee_Relief_Windows_3B!$F$1019:$F$100,"&lt;="&amp;C1019,CBIC_Late_Fee_Relief_Windows_3B!$G$1019:$G$100,"&gt;="&amp;C1019)</f>
        <v/>
      </c>
      <c r="H1019">
        <f>INDEX(CBIC_Late_Fee_Relief_Windows_3B!$I$1019:$I$100,MATCH(G1019,CBIC_Late_Fee_Relief_Windows_3B!$O$1019:$O$100,0))</f>
        <v/>
      </c>
      <c r="I1019">
        <f>MIN(F1019,H1019)</f>
        <v/>
      </c>
    </row>
    <row r="1020">
      <c r="A1020">
        <f>TEST_DATA!A1020</f>
        <v/>
      </c>
      <c r="B1020">
        <f>TEST_DATA!B1020</f>
        <v/>
      </c>
      <c r="C1020">
        <f>TEST_DATA!C1020</f>
        <v/>
      </c>
      <c r="D1020">
        <f>TEST_DATA!D1020</f>
        <v/>
      </c>
      <c r="E1020">
        <f>TEST_DATA!E1020</f>
        <v/>
      </c>
      <c r="F1020">
        <f>MIN(E1020*102000,10000)</f>
        <v/>
      </c>
      <c r="G1020">
        <f>MINIFS(CBIC_Late_Fee_Relief_Windows_3B!$O$1020:$O$100,CBIC_Late_Fee_Relief_Windows_3B!$D$1020:$D$100,"&lt;="&amp;B1020,CBIC_Late_Fee_Relief_Windows_3B!$E$1020:$E$100,"&gt;="&amp;B1020,CBIC_Late_Fee_Relief_Windows_3B!$F$1020:$F$100,"&lt;="&amp;C1020,CBIC_Late_Fee_Relief_Windows_3B!$G$1020:$G$100,"&gt;="&amp;C1020)</f>
        <v/>
      </c>
      <c r="H1020">
        <f>INDEX(CBIC_Late_Fee_Relief_Windows_3B!$I$1020:$I$100,MATCH(G1020,CBIC_Late_Fee_Relief_Windows_3B!$O$1020:$O$100,0))</f>
        <v/>
      </c>
      <c r="I1020">
        <f>MIN(F1020,H1020)</f>
        <v/>
      </c>
    </row>
    <row r="1021">
      <c r="A1021">
        <f>TEST_DATA!A1021</f>
        <v/>
      </c>
      <c r="B1021">
        <f>TEST_DATA!B1021</f>
        <v/>
      </c>
      <c r="C1021">
        <f>TEST_DATA!C1021</f>
        <v/>
      </c>
      <c r="D1021">
        <f>TEST_DATA!D1021</f>
        <v/>
      </c>
      <c r="E1021">
        <f>TEST_DATA!E1021</f>
        <v/>
      </c>
      <c r="F1021">
        <f>MIN(E1021*102100,10000)</f>
        <v/>
      </c>
      <c r="G1021">
        <f>MINIFS(CBIC_Late_Fee_Relief_Windows_3B!$O$1021:$O$100,CBIC_Late_Fee_Relief_Windows_3B!$D$1021:$D$100,"&lt;="&amp;B1021,CBIC_Late_Fee_Relief_Windows_3B!$E$1021:$E$100,"&gt;="&amp;B1021,CBIC_Late_Fee_Relief_Windows_3B!$F$1021:$F$100,"&lt;="&amp;C1021,CBIC_Late_Fee_Relief_Windows_3B!$G$1021:$G$100,"&gt;="&amp;C1021)</f>
        <v/>
      </c>
      <c r="H1021">
        <f>INDEX(CBIC_Late_Fee_Relief_Windows_3B!$I$1021:$I$100,MATCH(G1021,CBIC_Late_Fee_Relief_Windows_3B!$O$1021:$O$100,0))</f>
        <v/>
      </c>
      <c r="I1021">
        <f>MIN(F1021,H1021)</f>
        <v/>
      </c>
    </row>
    <row r="1022">
      <c r="A1022">
        <f>TEST_DATA!A1022</f>
        <v/>
      </c>
      <c r="B1022">
        <f>TEST_DATA!B1022</f>
        <v/>
      </c>
      <c r="C1022">
        <f>TEST_DATA!C1022</f>
        <v/>
      </c>
      <c r="D1022">
        <f>TEST_DATA!D1022</f>
        <v/>
      </c>
      <c r="E1022">
        <f>TEST_DATA!E1022</f>
        <v/>
      </c>
      <c r="F1022">
        <f>MIN(E1022*102200,10000)</f>
        <v/>
      </c>
      <c r="G1022">
        <f>MINIFS(CBIC_Late_Fee_Relief_Windows_3B!$O$1022:$O$100,CBIC_Late_Fee_Relief_Windows_3B!$D$1022:$D$100,"&lt;="&amp;B1022,CBIC_Late_Fee_Relief_Windows_3B!$E$1022:$E$100,"&gt;="&amp;B1022,CBIC_Late_Fee_Relief_Windows_3B!$F$1022:$F$100,"&lt;="&amp;C1022,CBIC_Late_Fee_Relief_Windows_3B!$G$1022:$G$100,"&gt;="&amp;C1022)</f>
        <v/>
      </c>
      <c r="H1022">
        <f>INDEX(CBIC_Late_Fee_Relief_Windows_3B!$I$1022:$I$100,MATCH(G1022,CBIC_Late_Fee_Relief_Windows_3B!$O$1022:$O$100,0))</f>
        <v/>
      </c>
      <c r="I1022">
        <f>MIN(F1022,H1022)</f>
        <v/>
      </c>
    </row>
    <row r="1023">
      <c r="A1023">
        <f>TEST_DATA!A1023</f>
        <v/>
      </c>
      <c r="B1023">
        <f>TEST_DATA!B1023</f>
        <v/>
      </c>
      <c r="C1023">
        <f>TEST_DATA!C1023</f>
        <v/>
      </c>
      <c r="D1023">
        <f>TEST_DATA!D1023</f>
        <v/>
      </c>
      <c r="E1023">
        <f>TEST_DATA!E1023</f>
        <v/>
      </c>
      <c r="F1023">
        <f>MIN(E1023*102300,10000)</f>
        <v/>
      </c>
      <c r="G1023">
        <f>MINIFS(CBIC_Late_Fee_Relief_Windows_3B!$O$1023:$O$100,CBIC_Late_Fee_Relief_Windows_3B!$D$1023:$D$100,"&lt;="&amp;B1023,CBIC_Late_Fee_Relief_Windows_3B!$E$1023:$E$100,"&gt;="&amp;B1023,CBIC_Late_Fee_Relief_Windows_3B!$F$1023:$F$100,"&lt;="&amp;C1023,CBIC_Late_Fee_Relief_Windows_3B!$G$1023:$G$100,"&gt;="&amp;C1023)</f>
        <v/>
      </c>
      <c r="H1023">
        <f>INDEX(CBIC_Late_Fee_Relief_Windows_3B!$I$1023:$I$100,MATCH(G1023,CBIC_Late_Fee_Relief_Windows_3B!$O$1023:$O$100,0))</f>
        <v/>
      </c>
      <c r="I1023">
        <f>MIN(F1023,H1023)</f>
        <v/>
      </c>
    </row>
    <row r="1024">
      <c r="A1024">
        <f>TEST_DATA!A1024</f>
        <v/>
      </c>
      <c r="B1024">
        <f>TEST_DATA!B1024</f>
        <v/>
      </c>
      <c r="C1024">
        <f>TEST_DATA!C1024</f>
        <v/>
      </c>
      <c r="D1024">
        <f>TEST_DATA!D1024</f>
        <v/>
      </c>
      <c r="E1024">
        <f>TEST_DATA!E1024</f>
        <v/>
      </c>
      <c r="F1024">
        <f>MIN(E1024*102400,10000)</f>
        <v/>
      </c>
      <c r="G1024">
        <f>MINIFS(CBIC_Late_Fee_Relief_Windows_3B!$O$1024:$O$100,CBIC_Late_Fee_Relief_Windows_3B!$D$1024:$D$100,"&lt;="&amp;B1024,CBIC_Late_Fee_Relief_Windows_3B!$E$1024:$E$100,"&gt;="&amp;B1024,CBIC_Late_Fee_Relief_Windows_3B!$F$1024:$F$100,"&lt;="&amp;C1024,CBIC_Late_Fee_Relief_Windows_3B!$G$1024:$G$100,"&gt;="&amp;C1024)</f>
        <v/>
      </c>
      <c r="H1024">
        <f>INDEX(CBIC_Late_Fee_Relief_Windows_3B!$I$1024:$I$100,MATCH(G1024,CBIC_Late_Fee_Relief_Windows_3B!$O$1024:$O$100,0))</f>
        <v/>
      </c>
      <c r="I1024">
        <f>MIN(F1024,H1024)</f>
        <v/>
      </c>
    </row>
    <row r="1025">
      <c r="A1025">
        <f>TEST_DATA!A1025</f>
        <v/>
      </c>
      <c r="B1025">
        <f>TEST_DATA!B1025</f>
        <v/>
      </c>
      <c r="C1025">
        <f>TEST_DATA!C1025</f>
        <v/>
      </c>
      <c r="D1025">
        <f>TEST_DATA!D1025</f>
        <v/>
      </c>
      <c r="E1025">
        <f>TEST_DATA!E1025</f>
        <v/>
      </c>
      <c r="F1025">
        <f>MIN(E1025*102500,10000)</f>
        <v/>
      </c>
      <c r="G1025">
        <f>MINIFS(CBIC_Late_Fee_Relief_Windows_3B!$O$1025:$O$100,CBIC_Late_Fee_Relief_Windows_3B!$D$1025:$D$100,"&lt;="&amp;B1025,CBIC_Late_Fee_Relief_Windows_3B!$E$1025:$E$100,"&gt;="&amp;B1025,CBIC_Late_Fee_Relief_Windows_3B!$F$1025:$F$100,"&lt;="&amp;C1025,CBIC_Late_Fee_Relief_Windows_3B!$G$1025:$G$100,"&gt;="&amp;C1025)</f>
        <v/>
      </c>
      <c r="H1025">
        <f>INDEX(CBIC_Late_Fee_Relief_Windows_3B!$I$1025:$I$100,MATCH(G1025,CBIC_Late_Fee_Relief_Windows_3B!$O$1025:$O$100,0))</f>
        <v/>
      </c>
      <c r="I1025">
        <f>MIN(F1025,H1025)</f>
        <v/>
      </c>
    </row>
    <row r="1026">
      <c r="A1026">
        <f>TEST_DATA!A1026</f>
        <v/>
      </c>
      <c r="B1026">
        <f>TEST_DATA!B1026</f>
        <v/>
      </c>
      <c r="C1026">
        <f>TEST_DATA!C1026</f>
        <v/>
      </c>
      <c r="D1026">
        <f>TEST_DATA!D1026</f>
        <v/>
      </c>
      <c r="E1026">
        <f>TEST_DATA!E1026</f>
        <v/>
      </c>
      <c r="F1026">
        <f>MIN(E1026*102600,10000)</f>
        <v/>
      </c>
      <c r="G1026">
        <f>MINIFS(CBIC_Late_Fee_Relief_Windows_3B!$O$1026:$O$100,CBIC_Late_Fee_Relief_Windows_3B!$D$1026:$D$100,"&lt;="&amp;B1026,CBIC_Late_Fee_Relief_Windows_3B!$E$1026:$E$100,"&gt;="&amp;B1026,CBIC_Late_Fee_Relief_Windows_3B!$F$1026:$F$100,"&lt;="&amp;C1026,CBIC_Late_Fee_Relief_Windows_3B!$G$1026:$G$100,"&gt;="&amp;C1026)</f>
        <v/>
      </c>
      <c r="H1026">
        <f>INDEX(CBIC_Late_Fee_Relief_Windows_3B!$I$1026:$I$100,MATCH(G1026,CBIC_Late_Fee_Relief_Windows_3B!$O$1026:$O$100,0))</f>
        <v/>
      </c>
      <c r="I1026">
        <f>MIN(F1026,H1026)</f>
        <v/>
      </c>
    </row>
    <row r="1027">
      <c r="A1027">
        <f>TEST_DATA!A1027</f>
        <v/>
      </c>
      <c r="B1027">
        <f>TEST_DATA!B1027</f>
        <v/>
      </c>
      <c r="C1027">
        <f>TEST_DATA!C1027</f>
        <v/>
      </c>
      <c r="D1027">
        <f>TEST_DATA!D1027</f>
        <v/>
      </c>
      <c r="E1027">
        <f>TEST_DATA!E1027</f>
        <v/>
      </c>
      <c r="F1027">
        <f>MIN(E1027*102700,10000)</f>
        <v/>
      </c>
      <c r="G1027">
        <f>MINIFS(CBIC_Late_Fee_Relief_Windows_3B!$O$1027:$O$100,CBIC_Late_Fee_Relief_Windows_3B!$D$1027:$D$100,"&lt;="&amp;B1027,CBIC_Late_Fee_Relief_Windows_3B!$E$1027:$E$100,"&gt;="&amp;B1027,CBIC_Late_Fee_Relief_Windows_3B!$F$1027:$F$100,"&lt;="&amp;C1027,CBIC_Late_Fee_Relief_Windows_3B!$G$1027:$G$100,"&gt;="&amp;C1027)</f>
        <v/>
      </c>
      <c r="H1027">
        <f>INDEX(CBIC_Late_Fee_Relief_Windows_3B!$I$1027:$I$100,MATCH(G1027,CBIC_Late_Fee_Relief_Windows_3B!$O$1027:$O$100,0))</f>
        <v/>
      </c>
      <c r="I1027">
        <f>MIN(F1027,H1027)</f>
        <v/>
      </c>
    </row>
    <row r="1028">
      <c r="A1028">
        <f>TEST_DATA!A1028</f>
        <v/>
      </c>
      <c r="B1028">
        <f>TEST_DATA!B1028</f>
        <v/>
      </c>
      <c r="C1028">
        <f>TEST_DATA!C1028</f>
        <v/>
      </c>
      <c r="D1028">
        <f>TEST_DATA!D1028</f>
        <v/>
      </c>
      <c r="E1028">
        <f>TEST_DATA!E1028</f>
        <v/>
      </c>
      <c r="F1028">
        <f>MIN(E1028*102800,10000)</f>
        <v/>
      </c>
      <c r="G1028">
        <f>MINIFS(CBIC_Late_Fee_Relief_Windows_3B!$O$1028:$O$100,CBIC_Late_Fee_Relief_Windows_3B!$D$1028:$D$100,"&lt;="&amp;B1028,CBIC_Late_Fee_Relief_Windows_3B!$E$1028:$E$100,"&gt;="&amp;B1028,CBIC_Late_Fee_Relief_Windows_3B!$F$1028:$F$100,"&lt;="&amp;C1028,CBIC_Late_Fee_Relief_Windows_3B!$G$1028:$G$100,"&gt;="&amp;C1028)</f>
        <v/>
      </c>
      <c r="H1028">
        <f>INDEX(CBIC_Late_Fee_Relief_Windows_3B!$I$1028:$I$100,MATCH(G1028,CBIC_Late_Fee_Relief_Windows_3B!$O$1028:$O$100,0))</f>
        <v/>
      </c>
      <c r="I1028">
        <f>MIN(F1028,H1028)</f>
        <v/>
      </c>
    </row>
    <row r="1029">
      <c r="A1029">
        <f>TEST_DATA!A1029</f>
        <v/>
      </c>
      <c r="B1029">
        <f>TEST_DATA!B1029</f>
        <v/>
      </c>
      <c r="C1029">
        <f>TEST_DATA!C1029</f>
        <v/>
      </c>
      <c r="D1029">
        <f>TEST_DATA!D1029</f>
        <v/>
      </c>
      <c r="E1029">
        <f>TEST_DATA!E1029</f>
        <v/>
      </c>
      <c r="F1029">
        <f>MIN(E1029*102900,10000)</f>
        <v/>
      </c>
      <c r="G1029">
        <f>MINIFS(CBIC_Late_Fee_Relief_Windows_3B!$O$1029:$O$100,CBIC_Late_Fee_Relief_Windows_3B!$D$1029:$D$100,"&lt;="&amp;B1029,CBIC_Late_Fee_Relief_Windows_3B!$E$1029:$E$100,"&gt;="&amp;B1029,CBIC_Late_Fee_Relief_Windows_3B!$F$1029:$F$100,"&lt;="&amp;C1029,CBIC_Late_Fee_Relief_Windows_3B!$G$1029:$G$100,"&gt;="&amp;C1029)</f>
        <v/>
      </c>
      <c r="H1029">
        <f>INDEX(CBIC_Late_Fee_Relief_Windows_3B!$I$1029:$I$100,MATCH(G1029,CBIC_Late_Fee_Relief_Windows_3B!$O$1029:$O$100,0))</f>
        <v/>
      </c>
      <c r="I1029">
        <f>MIN(F1029,H1029)</f>
        <v/>
      </c>
    </row>
    <row r="1030">
      <c r="A1030">
        <f>TEST_DATA!A1030</f>
        <v/>
      </c>
      <c r="B1030">
        <f>TEST_DATA!B1030</f>
        <v/>
      </c>
      <c r="C1030">
        <f>TEST_DATA!C1030</f>
        <v/>
      </c>
      <c r="D1030">
        <f>TEST_DATA!D1030</f>
        <v/>
      </c>
      <c r="E1030">
        <f>TEST_DATA!E1030</f>
        <v/>
      </c>
      <c r="F1030">
        <f>MIN(E1030*103000,10000)</f>
        <v/>
      </c>
      <c r="G1030">
        <f>MINIFS(CBIC_Late_Fee_Relief_Windows_3B!$O$1030:$O$100,CBIC_Late_Fee_Relief_Windows_3B!$D$1030:$D$100,"&lt;="&amp;B1030,CBIC_Late_Fee_Relief_Windows_3B!$E$1030:$E$100,"&gt;="&amp;B1030,CBIC_Late_Fee_Relief_Windows_3B!$F$1030:$F$100,"&lt;="&amp;C1030,CBIC_Late_Fee_Relief_Windows_3B!$G$1030:$G$100,"&gt;="&amp;C1030)</f>
        <v/>
      </c>
      <c r="H1030">
        <f>INDEX(CBIC_Late_Fee_Relief_Windows_3B!$I$1030:$I$100,MATCH(G1030,CBIC_Late_Fee_Relief_Windows_3B!$O$1030:$O$100,0))</f>
        <v/>
      </c>
      <c r="I1030">
        <f>MIN(F1030,H1030)</f>
        <v/>
      </c>
    </row>
    <row r="1031">
      <c r="A1031">
        <f>TEST_DATA!A1031</f>
        <v/>
      </c>
      <c r="B1031">
        <f>TEST_DATA!B1031</f>
        <v/>
      </c>
      <c r="C1031">
        <f>TEST_DATA!C1031</f>
        <v/>
      </c>
      <c r="D1031">
        <f>TEST_DATA!D1031</f>
        <v/>
      </c>
      <c r="E1031">
        <f>TEST_DATA!E1031</f>
        <v/>
      </c>
      <c r="F1031">
        <f>MIN(E1031*103100,10000)</f>
        <v/>
      </c>
      <c r="G1031">
        <f>MINIFS(CBIC_Late_Fee_Relief_Windows_3B!$O$1031:$O$100,CBIC_Late_Fee_Relief_Windows_3B!$D$1031:$D$100,"&lt;="&amp;B1031,CBIC_Late_Fee_Relief_Windows_3B!$E$1031:$E$100,"&gt;="&amp;B1031,CBIC_Late_Fee_Relief_Windows_3B!$F$1031:$F$100,"&lt;="&amp;C1031,CBIC_Late_Fee_Relief_Windows_3B!$G$1031:$G$100,"&gt;="&amp;C1031)</f>
        <v/>
      </c>
      <c r="H1031">
        <f>INDEX(CBIC_Late_Fee_Relief_Windows_3B!$I$1031:$I$100,MATCH(G1031,CBIC_Late_Fee_Relief_Windows_3B!$O$1031:$O$100,0))</f>
        <v/>
      </c>
      <c r="I1031">
        <f>MIN(F1031,H1031)</f>
        <v/>
      </c>
    </row>
    <row r="1032">
      <c r="A1032">
        <f>TEST_DATA!A1032</f>
        <v/>
      </c>
      <c r="B1032">
        <f>TEST_DATA!B1032</f>
        <v/>
      </c>
      <c r="C1032">
        <f>TEST_DATA!C1032</f>
        <v/>
      </c>
      <c r="D1032">
        <f>TEST_DATA!D1032</f>
        <v/>
      </c>
      <c r="E1032">
        <f>TEST_DATA!E1032</f>
        <v/>
      </c>
      <c r="F1032">
        <f>MIN(E1032*103200,10000)</f>
        <v/>
      </c>
      <c r="G1032">
        <f>MINIFS(CBIC_Late_Fee_Relief_Windows_3B!$O$1032:$O$100,CBIC_Late_Fee_Relief_Windows_3B!$D$1032:$D$100,"&lt;="&amp;B1032,CBIC_Late_Fee_Relief_Windows_3B!$E$1032:$E$100,"&gt;="&amp;B1032,CBIC_Late_Fee_Relief_Windows_3B!$F$1032:$F$100,"&lt;="&amp;C1032,CBIC_Late_Fee_Relief_Windows_3B!$G$1032:$G$100,"&gt;="&amp;C1032)</f>
        <v/>
      </c>
      <c r="H1032">
        <f>INDEX(CBIC_Late_Fee_Relief_Windows_3B!$I$1032:$I$100,MATCH(G1032,CBIC_Late_Fee_Relief_Windows_3B!$O$1032:$O$100,0))</f>
        <v/>
      </c>
      <c r="I1032">
        <f>MIN(F1032,H1032)</f>
        <v/>
      </c>
    </row>
    <row r="1033">
      <c r="A1033">
        <f>TEST_DATA!A1033</f>
        <v/>
      </c>
      <c r="B1033">
        <f>TEST_DATA!B1033</f>
        <v/>
      </c>
      <c r="C1033">
        <f>TEST_DATA!C1033</f>
        <v/>
      </c>
      <c r="D1033">
        <f>TEST_DATA!D1033</f>
        <v/>
      </c>
      <c r="E1033">
        <f>TEST_DATA!E1033</f>
        <v/>
      </c>
      <c r="F1033">
        <f>MIN(E1033*103300,10000)</f>
        <v/>
      </c>
      <c r="G1033">
        <f>MINIFS(CBIC_Late_Fee_Relief_Windows_3B!$O$1033:$O$100,CBIC_Late_Fee_Relief_Windows_3B!$D$1033:$D$100,"&lt;="&amp;B1033,CBIC_Late_Fee_Relief_Windows_3B!$E$1033:$E$100,"&gt;="&amp;B1033,CBIC_Late_Fee_Relief_Windows_3B!$F$1033:$F$100,"&lt;="&amp;C1033,CBIC_Late_Fee_Relief_Windows_3B!$G$1033:$G$100,"&gt;="&amp;C1033)</f>
        <v/>
      </c>
      <c r="H1033">
        <f>INDEX(CBIC_Late_Fee_Relief_Windows_3B!$I$1033:$I$100,MATCH(G1033,CBIC_Late_Fee_Relief_Windows_3B!$O$1033:$O$100,0))</f>
        <v/>
      </c>
      <c r="I1033">
        <f>MIN(F1033,H1033)</f>
        <v/>
      </c>
    </row>
    <row r="1034">
      <c r="A1034">
        <f>TEST_DATA!A1034</f>
        <v/>
      </c>
      <c r="B1034">
        <f>TEST_DATA!B1034</f>
        <v/>
      </c>
      <c r="C1034">
        <f>TEST_DATA!C1034</f>
        <v/>
      </c>
      <c r="D1034">
        <f>TEST_DATA!D1034</f>
        <v/>
      </c>
      <c r="E1034">
        <f>TEST_DATA!E1034</f>
        <v/>
      </c>
      <c r="F1034">
        <f>MIN(E1034*103400,10000)</f>
        <v/>
      </c>
      <c r="G1034">
        <f>MINIFS(CBIC_Late_Fee_Relief_Windows_3B!$O$1034:$O$100,CBIC_Late_Fee_Relief_Windows_3B!$D$1034:$D$100,"&lt;="&amp;B1034,CBIC_Late_Fee_Relief_Windows_3B!$E$1034:$E$100,"&gt;="&amp;B1034,CBIC_Late_Fee_Relief_Windows_3B!$F$1034:$F$100,"&lt;="&amp;C1034,CBIC_Late_Fee_Relief_Windows_3B!$G$1034:$G$100,"&gt;="&amp;C1034)</f>
        <v/>
      </c>
      <c r="H1034">
        <f>INDEX(CBIC_Late_Fee_Relief_Windows_3B!$I$1034:$I$100,MATCH(G1034,CBIC_Late_Fee_Relief_Windows_3B!$O$1034:$O$100,0))</f>
        <v/>
      </c>
      <c r="I1034">
        <f>MIN(F1034,H1034)</f>
        <v/>
      </c>
    </row>
    <row r="1035">
      <c r="A1035">
        <f>TEST_DATA!A1035</f>
        <v/>
      </c>
      <c r="B1035">
        <f>TEST_DATA!B1035</f>
        <v/>
      </c>
      <c r="C1035">
        <f>TEST_DATA!C1035</f>
        <v/>
      </c>
      <c r="D1035">
        <f>TEST_DATA!D1035</f>
        <v/>
      </c>
      <c r="E1035">
        <f>TEST_DATA!E1035</f>
        <v/>
      </c>
      <c r="F1035">
        <f>MIN(E1035*103500,10000)</f>
        <v/>
      </c>
      <c r="G1035">
        <f>MINIFS(CBIC_Late_Fee_Relief_Windows_3B!$O$1035:$O$100,CBIC_Late_Fee_Relief_Windows_3B!$D$1035:$D$100,"&lt;="&amp;B1035,CBIC_Late_Fee_Relief_Windows_3B!$E$1035:$E$100,"&gt;="&amp;B1035,CBIC_Late_Fee_Relief_Windows_3B!$F$1035:$F$100,"&lt;="&amp;C1035,CBIC_Late_Fee_Relief_Windows_3B!$G$1035:$G$100,"&gt;="&amp;C1035)</f>
        <v/>
      </c>
      <c r="H1035">
        <f>INDEX(CBIC_Late_Fee_Relief_Windows_3B!$I$1035:$I$100,MATCH(G1035,CBIC_Late_Fee_Relief_Windows_3B!$O$1035:$O$100,0))</f>
        <v/>
      </c>
      <c r="I1035">
        <f>MIN(F1035,H1035)</f>
        <v/>
      </c>
    </row>
    <row r="1036">
      <c r="A1036">
        <f>TEST_DATA!A1036</f>
        <v/>
      </c>
      <c r="B1036">
        <f>TEST_DATA!B1036</f>
        <v/>
      </c>
      <c r="C1036">
        <f>TEST_DATA!C1036</f>
        <v/>
      </c>
      <c r="D1036">
        <f>TEST_DATA!D1036</f>
        <v/>
      </c>
      <c r="E1036">
        <f>TEST_DATA!E1036</f>
        <v/>
      </c>
      <c r="F1036">
        <f>MIN(E1036*103600,10000)</f>
        <v/>
      </c>
      <c r="G1036">
        <f>MINIFS(CBIC_Late_Fee_Relief_Windows_3B!$O$1036:$O$100,CBIC_Late_Fee_Relief_Windows_3B!$D$1036:$D$100,"&lt;="&amp;B1036,CBIC_Late_Fee_Relief_Windows_3B!$E$1036:$E$100,"&gt;="&amp;B1036,CBIC_Late_Fee_Relief_Windows_3B!$F$1036:$F$100,"&lt;="&amp;C1036,CBIC_Late_Fee_Relief_Windows_3B!$G$1036:$G$100,"&gt;="&amp;C1036)</f>
        <v/>
      </c>
      <c r="H1036">
        <f>INDEX(CBIC_Late_Fee_Relief_Windows_3B!$I$1036:$I$100,MATCH(G1036,CBIC_Late_Fee_Relief_Windows_3B!$O$1036:$O$100,0))</f>
        <v/>
      </c>
      <c r="I1036">
        <f>MIN(F1036,H1036)</f>
        <v/>
      </c>
    </row>
    <row r="1037">
      <c r="A1037">
        <f>TEST_DATA!A1037</f>
        <v/>
      </c>
      <c r="B1037">
        <f>TEST_DATA!B1037</f>
        <v/>
      </c>
      <c r="C1037">
        <f>TEST_DATA!C1037</f>
        <v/>
      </c>
      <c r="D1037">
        <f>TEST_DATA!D1037</f>
        <v/>
      </c>
      <c r="E1037">
        <f>TEST_DATA!E1037</f>
        <v/>
      </c>
      <c r="F1037">
        <f>MIN(E1037*103700,10000)</f>
        <v/>
      </c>
      <c r="G1037">
        <f>MINIFS(CBIC_Late_Fee_Relief_Windows_3B!$O$1037:$O$100,CBIC_Late_Fee_Relief_Windows_3B!$D$1037:$D$100,"&lt;="&amp;B1037,CBIC_Late_Fee_Relief_Windows_3B!$E$1037:$E$100,"&gt;="&amp;B1037,CBIC_Late_Fee_Relief_Windows_3B!$F$1037:$F$100,"&lt;="&amp;C1037,CBIC_Late_Fee_Relief_Windows_3B!$G$1037:$G$100,"&gt;="&amp;C1037)</f>
        <v/>
      </c>
      <c r="H1037">
        <f>INDEX(CBIC_Late_Fee_Relief_Windows_3B!$I$1037:$I$100,MATCH(G1037,CBIC_Late_Fee_Relief_Windows_3B!$O$1037:$O$100,0))</f>
        <v/>
      </c>
      <c r="I1037">
        <f>MIN(F1037,H1037)</f>
        <v/>
      </c>
    </row>
    <row r="1038">
      <c r="A1038">
        <f>TEST_DATA!A1038</f>
        <v/>
      </c>
      <c r="B1038">
        <f>TEST_DATA!B1038</f>
        <v/>
      </c>
      <c r="C1038">
        <f>TEST_DATA!C1038</f>
        <v/>
      </c>
      <c r="D1038">
        <f>TEST_DATA!D1038</f>
        <v/>
      </c>
      <c r="E1038">
        <f>TEST_DATA!E1038</f>
        <v/>
      </c>
      <c r="F1038">
        <f>MIN(E1038*103800,10000)</f>
        <v/>
      </c>
      <c r="G1038">
        <f>MINIFS(CBIC_Late_Fee_Relief_Windows_3B!$O$1038:$O$100,CBIC_Late_Fee_Relief_Windows_3B!$D$1038:$D$100,"&lt;="&amp;B1038,CBIC_Late_Fee_Relief_Windows_3B!$E$1038:$E$100,"&gt;="&amp;B1038,CBIC_Late_Fee_Relief_Windows_3B!$F$1038:$F$100,"&lt;="&amp;C1038,CBIC_Late_Fee_Relief_Windows_3B!$G$1038:$G$100,"&gt;="&amp;C1038)</f>
        <v/>
      </c>
      <c r="H1038">
        <f>INDEX(CBIC_Late_Fee_Relief_Windows_3B!$I$1038:$I$100,MATCH(G1038,CBIC_Late_Fee_Relief_Windows_3B!$O$1038:$O$100,0))</f>
        <v/>
      </c>
      <c r="I1038">
        <f>MIN(F1038,H1038)</f>
        <v/>
      </c>
    </row>
    <row r="1039">
      <c r="A1039">
        <f>TEST_DATA!A1039</f>
        <v/>
      </c>
      <c r="B1039">
        <f>TEST_DATA!B1039</f>
        <v/>
      </c>
      <c r="C1039">
        <f>TEST_DATA!C1039</f>
        <v/>
      </c>
      <c r="D1039">
        <f>TEST_DATA!D1039</f>
        <v/>
      </c>
      <c r="E1039">
        <f>TEST_DATA!E1039</f>
        <v/>
      </c>
      <c r="F1039">
        <f>MIN(E1039*103900,10000)</f>
        <v/>
      </c>
      <c r="G1039">
        <f>MINIFS(CBIC_Late_Fee_Relief_Windows_3B!$O$1039:$O$100,CBIC_Late_Fee_Relief_Windows_3B!$D$1039:$D$100,"&lt;="&amp;B1039,CBIC_Late_Fee_Relief_Windows_3B!$E$1039:$E$100,"&gt;="&amp;B1039,CBIC_Late_Fee_Relief_Windows_3B!$F$1039:$F$100,"&lt;="&amp;C1039,CBIC_Late_Fee_Relief_Windows_3B!$G$1039:$G$100,"&gt;="&amp;C1039)</f>
        <v/>
      </c>
      <c r="H1039">
        <f>INDEX(CBIC_Late_Fee_Relief_Windows_3B!$I$1039:$I$100,MATCH(G1039,CBIC_Late_Fee_Relief_Windows_3B!$O$1039:$O$100,0))</f>
        <v/>
      </c>
      <c r="I1039">
        <f>MIN(F1039,H1039)</f>
        <v/>
      </c>
    </row>
    <row r="1040">
      <c r="A1040">
        <f>TEST_DATA!A1040</f>
        <v/>
      </c>
      <c r="B1040">
        <f>TEST_DATA!B1040</f>
        <v/>
      </c>
      <c r="C1040">
        <f>TEST_DATA!C1040</f>
        <v/>
      </c>
      <c r="D1040">
        <f>TEST_DATA!D1040</f>
        <v/>
      </c>
      <c r="E1040">
        <f>TEST_DATA!E1040</f>
        <v/>
      </c>
      <c r="F1040">
        <f>MIN(E1040*104000,10000)</f>
        <v/>
      </c>
      <c r="G1040">
        <f>MINIFS(CBIC_Late_Fee_Relief_Windows_3B!$O$1040:$O$100,CBIC_Late_Fee_Relief_Windows_3B!$D$1040:$D$100,"&lt;="&amp;B1040,CBIC_Late_Fee_Relief_Windows_3B!$E$1040:$E$100,"&gt;="&amp;B1040,CBIC_Late_Fee_Relief_Windows_3B!$F$1040:$F$100,"&lt;="&amp;C1040,CBIC_Late_Fee_Relief_Windows_3B!$G$1040:$G$100,"&gt;="&amp;C1040)</f>
        <v/>
      </c>
      <c r="H1040">
        <f>INDEX(CBIC_Late_Fee_Relief_Windows_3B!$I$1040:$I$100,MATCH(G1040,CBIC_Late_Fee_Relief_Windows_3B!$O$1040:$O$100,0))</f>
        <v/>
      </c>
      <c r="I1040">
        <f>MIN(F1040,H1040)</f>
        <v/>
      </c>
    </row>
    <row r="1041">
      <c r="A1041">
        <f>TEST_DATA!A1041</f>
        <v/>
      </c>
      <c r="B1041">
        <f>TEST_DATA!B1041</f>
        <v/>
      </c>
      <c r="C1041">
        <f>TEST_DATA!C1041</f>
        <v/>
      </c>
      <c r="D1041">
        <f>TEST_DATA!D1041</f>
        <v/>
      </c>
      <c r="E1041">
        <f>TEST_DATA!E1041</f>
        <v/>
      </c>
      <c r="F1041">
        <f>MIN(E1041*104100,10000)</f>
        <v/>
      </c>
      <c r="G1041">
        <f>MINIFS(CBIC_Late_Fee_Relief_Windows_3B!$O$1041:$O$100,CBIC_Late_Fee_Relief_Windows_3B!$D$1041:$D$100,"&lt;="&amp;B1041,CBIC_Late_Fee_Relief_Windows_3B!$E$1041:$E$100,"&gt;="&amp;B1041,CBIC_Late_Fee_Relief_Windows_3B!$F$1041:$F$100,"&lt;="&amp;C1041,CBIC_Late_Fee_Relief_Windows_3B!$G$1041:$G$100,"&gt;="&amp;C1041)</f>
        <v/>
      </c>
      <c r="H1041">
        <f>INDEX(CBIC_Late_Fee_Relief_Windows_3B!$I$1041:$I$100,MATCH(G1041,CBIC_Late_Fee_Relief_Windows_3B!$O$1041:$O$100,0))</f>
        <v/>
      </c>
      <c r="I1041">
        <f>MIN(F1041,H1041)</f>
        <v/>
      </c>
    </row>
    <row r="1042">
      <c r="A1042">
        <f>TEST_DATA!A1042</f>
        <v/>
      </c>
      <c r="B1042">
        <f>TEST_DATA!B1042</f>
        <v/>
      </c>
      <c r="C1042">
        <f>TEST_DATA!C1042</f>
        <v/>
      </c>
      <c r="D1042">
        <f>TEST_DATA!D1042</f>
        <v/>
      </c>
      <c r="E1042">
        <f>TEST_DATA!E1042</f>
        <v/>
      </c>
      <c r="F1042">
        <f>MIN(E1042*104200,10000)</f>
        <v/>
      </c>
      <c r="G1042">
        <f>MINIFS(CBIC_Late_Fee_Relief_Windows_3B!$O$1042:$O$100,CBIC_Late_Fee_Relief_Windows_3B!$D$1042:$D$100,"&lt;="&amp;B1042,CBIC_Late_Fee_Relief_Windows_3B!$E$1042:$E$100,"&gt;="&amp;B1042,CBIC_Late_Fee_Relief_Windows_3B!$F$1042:$F$100,"&lt;="&amp;C1042,CBIC_Late_Fee_Relief_Windows_3B!$G$1042:$G$100,"&gt;="&amp;C1042)</f>
        <v/>
      </c>
      <c r="H1042">
        <f>INDEX(CBIC_Late_Fee_Relief_Windows_3B!$I$1042:$I$100,MATCH(G1042,CBIC_Late_Fee_Relief_Windows_3B!$O$1042:$O$100,0))</f>
        <v/>
      </c>
      <c r="I1042">
        <f>MIN(F1042,H1042)</f>
        <v/>
      </c>
    </row>
    <row r="1043">
      <c r="A1043">
        <f>TEST_DATA!A1043</f>
        <v/>
      </c>
      <c r="B1043">
        <f>TEST_DATA!B1043</f>
        <v/>
      </c>
      <c r="C1043">
        <f>TEST_DATA!C1043</f>
        <v/>
      </c>
      <c r="D1043">
        <f>TEST_DATA!D1043</f>
        <v/>
      </c>
      <c r="E1043">
        <f>TEST_DATA!E1043</f>
        <v/>
      </c>
      <c r="F1043">
        <f>MIN(E1043*104300,10000)</f>
        <v/>
      </c>
      <c r="G1043">
        <f>MINIFS(CBIC_Late_Fee_Relief_Windows_3B!$O$1043:$O$100,CBIC_Late_Fee_Relief_Windows_3B!$D$1043:$D$100,"&lt;="&amp;B1043,CBIC_Late_Fee_Relief_Windows_3B!$E$1043:$E$100,"&gt;="&amp;B1043,CBIC_Late_Fee_Relief_Windows_3B!$F$1043:$F$100,"&lt;="&amp;C1043,CBIC_Late_Fee_Relief_Windows_3B!$G$1043:$G$100,"&gt;="&amp;C1043)</f>
        <v/>
      </c>
      <c r="H1043">
        <f>INDEX(CBIC_Late_Fee_Relief_Windows_3B!$I$1043:$I$100,MATCH(G1043,CBIC_Late_Fee_Relief_Windows_3B!$O$1043:$O$100,0))</f>
        <v/>
      </c>
      <c r="I1043">
        <f>MIN(F1043,H1043)</f>
        <v/>
      </c>
    </row>
    <row r="1044">
      <c r="A1044">
        <f>TEST_DATA!A1044</f>
        <v/>
      </c>
      <c r="B1044">
        <f>TEST_DATA!B1044</f>
        <v/>
      </c>
      <c r="C1044">
        <f>TEST_DATA!C1044</f>
        <v/>
      </c>
      <c r="D1044">
        <f>TEST_DATA!D1044</f>
        <v/>
      </c>
      <c r="E1044">
        <f>TEST_DATA!E1044</f>
        <v/>
      </c>
      <c r="F1044">
        <f>MIN(E1044*104400,10000)</f>
        <v/>
      </c>
      <c r="G1044">
        <f>MINIFS(CBIC_Late_Fee_Relief_Windows_3B!$O$1044:$O$100,CBIC_Late_Fee_Relief_Windows_3B!$D$1044:$D$100,"&lt;="&amp;B1044,CBIC_Late_Fee_Relief_Windows_3B!$E$1044:$E$100,"&gt;="&amp;B1044,CBIC_Late_Fee_Relief_Windows_3B!$F$1044:$F$100,"&lt;="&amp;C1044,CBIC_Late_Fee_Relief_Windows_3B!$G$1044:$G$100,"&gt;="&amp;C1044)</f>
        <v/>
      </c>
      <c r="H1044">
        <f>INDEX(CBIC_Late_Fee_Relief_Windows_3B!$I$1044:$I$100,MATCH(G1044,CBIC_Late_Fee_Relief_Windows_3B!$O$1044:$O$100,0))</f>
        <v/>
      </c>
      <c r="I1044">
        <f>MIN(F1044,H1044)</f>
        <v/>
      </c>
    </row>
    <row r="1045">
      <c r="A1045">
        <f>TEST_DATA!A1045</f>
        <v/>
      </c>
      <c r="B1045">
        <f>TEST_DATA!B1045</f>
        <v/>
      </c>
      <c r="C1045">
        <f>TEST_DATA!C1045</f>
        <v/>
      </c>
      <c r="D1045">
        <f>TEST_DATA!D1045</f>
        <v/>
      </c>
      <c r="E1045">
        <f>TEST_DATA!E1045</f>
        <v/>
      </c>
      <c r="F1045">
        <f>MIN(E1045*104500,10000)</f>
        <v/>
      </c>
      <c r="G1045">
        <f>MINIFS(CBIC_Late_Fee_Relief_Windows_3B!$O$1045:$O$100,CBIC_Late_Fee_Relief_Windows_3B!$D$1045:$D$100,"&lt;="&amp;B1045,CBIC_Late_Fee_Relief_Windows_3B!$E$1045:$E$100,"&gt;="&amp;B1045,CBIC_Late_Fee_Relief_Windows_3B!$F$1045:$F$100,"&lt;="&amp;C1045,CBIC_Late_Fee_Relief_Windows_3B!$G$1045:$G$100,"&gt;="&amp;C1045)</f>
        <v/>
      </c>
      <c r="H1045">
        <f>INDEX(CBIC_Late_Fee_Relief_Windows_3B!$I$1045:$I$100,MATCH(G1045,CBIC_Late_Fee_Relief_Windows_3B!$O$1045:$O$100,0))</f>
        <v/>
      </c>
      <c r="I1045">
        <f>MIN(F1045,H1045)</f>
        <v/>
      </c>
    </row>
    <row r="1046">
      <c r="A1046">
        <f>TEST_DATA!A1046</f>
        <v/>
      </c>
      <c r="B1046">
        <f>TEST_DATA!B1046</f>
        <v/>
      </c>
      <c r="C1046">
        <f>TEST_DATA!C1046</f>
        <v/>
      </c>
      <c r="D1046">
        <f>TEST_DATA!D1046</f>
        <v/>
      </c>
      <c r="E1046">
        <f>TEST_DATA!E1046</f>
        <v/>
      </c>
      <c r="F1046">
        <f>MIN(E1046*104600,10000)</f>
        <v/>
      </c>
      <c r="G1046">
        <f>MINIFS(CBIC_Late_Fee_Relief_Windows_3B!$O$1046:$O$100,CBIC_Late_Fee_Relief_Windows_3B!$D$1046:$D$100,"&lt;="&amp;B1046,CBIC_Late_Fee_Relief_Windows_3B!$E$1046:$E$100,"&gt;="&amp;B1046,CBIC_Late_Fee_Relief_Windows_3B!$F$1046:$F$100,"&lt;="&amp;C1046,CBIC_Late_Fee_Relief_Windows_3B!$G$1046:$G$100,"&gt;="&amp;C1046)</f>
        <v/>
      </c>
      <c r="H1046">
        <f>INDEX(CBIC_Late_Fee_Relief_Windows_3B!$I$1046:$I$100,MATCH(G1046,CBIC_Late_Fee_Relief_Windows_3B!$O$1046:$O$100,0))</f>
        <v/>
      </c>
      <c r="I1046">
        <f>MIN(F1046,H1046)</f>
        <v/>
      </c>
    </row>
    <row r="1047">
      <c r="A1047">
        <f>TEST_DATA!A1047</f>
        <v/>
      </c>
      <c r="B1047">
        <f>TEST_DATA!B1047</f>
        <v/>
      </c>
      <c r="C1047">
        <f>TEST_DATA!C1047</f>
        <v/>
      </c>
      <c r="D1047">
        <f>TEST_DATA!D1047</f>
        <v/>
      </c>
      <c r="E1047">
        <f>TEST_DATA!E1047</f>
        <v/>
      </c>
      <c r="F1047">
        <f>MIN(E1047*104700,10000)</f>
        <v/>
      </c>
      <c r="G1047">
        <f>MINIFS(CBIC_Late_Fee_Relief_Windows_3B!$O$1047:$O$100,CBIC_Late_Fee_Relief_Windows_3B!$D$1047:$D$100,"&lt;="&amp;B1047,CBIC_Late_Fee_Relief_Windows_3B!$E$1047:$E$100,"&gt;="&amp;B1047,CBIC_Late_Fee_Relief_Windows_3B!$F$1047:$F$100,"&lt;="&amp;C1047,CBIC_Late_Fee_Relief_Windows_3B!$G$1047:$G$100,"&gt;="&amp;C1047)</f>
        <v/>
      </c>
      <c r="H1047">
        <f>INDEX(CBIC_Late_Fee_Relief_Windows_3B!$I$1047:$I$100,MATCH(G1047,CBIC_Late_Fee_Relief_Windows_3B!$O$1047:$O$100,0))</f>
        <v/>
      </c>
      <c r="I1047">
        <f>MIN(F1047,H1047)</f>
        <v/>
      </c>
    </row>
    <row r="1048">
      <c r="A1048">
        <f>TEST_DATA!A1048</f>
        <v/>
      </c>
      <c r="B1048">
        <f>TEST_DATA!B1048</f>
        <v/>
      </c>
      <c r="C1048">
        <f>TEST_DATA!C1048</f>
        <v/>
      </c>
      <c r="D1048">
        <f>TEST_DATA!D1048</f>
        <v/>
      </c>
      <c r="E1048">
        <f>TEST_DATA!E1048</f>
        <v/>
      </c>
      <c r="F1048">
        <f>MIN(E1048*104800,10000)</f>
        <v/>
      </c>
      <c r="G1048">
        <f>MINIFS(CBIC_Late_Fee_Relief_Windows_3B!$O$1048:$O$100,CBIC_Late_Fee_Relief_Windows_3B!$D$1048:$D$100,"&lt;="&amp;B1048,CBIC_Late_Fee_Relief_Windows_3B!$E$1048:$E$100,"&gt;="&amp;B1048,CBIC_Late_Fee_Relief_Windows_3B!$F$1048:$F$100,"&lt;="&amp;C1048,CBIC_Late_Fee_Relief_Windows_3B!$G$1048:$G$100,"&gt;="&amp;C1048)</f>
        <v/>
      </c>
      <c r="H1048">
        <f>INDEX(CBIC_Late_Fee_Relief_Windows_3B!$I$1048:$I$100,MATCH(G1048,CBIC_Late_Fee_Relief_Windows_3B!$O$1048:$O$100,0))</f>
        <v/>
      </c>
      <c r="I1048">
        <f>MIN(F1048,H1048)</f>
        <v/>
      </c>
    </row>
    <row r="1049">
      <c r="A1049">
        <f>TEST_DATA!A1049</f>
        <v/>
      </c>
      <c r="B1049">
        <f>TEST_DATA!B1049</f>
        <v/>
      </c>
      <c r="C1049">
        <f>TEST_DATA!C1049</f>
        <v/>
      </c>
      <c r="D1049">
        <f>TEST_DATA!D1049</f>
        <v/>
      </c>
      <c r="E1049">
        <f>TEST_DATA!E1049</f>
        <v/>
      </c>
      <c r="F1049">
        <f>MIN(E1049*104900,10000)</f>
        <v/>
      </c>
      <c r="G1049">
        <f>MINIFS(CBIC_Late_Fee_Relief_Windows_3B!$O$1049:$O$100,CBIC_Late_Fee_Relief_Windows_3B!$D$1049:$D$100,"&lt;="&amp;B1049,CBIC_Late_Fee_Relief_Windows_3B!$E$1049:$E$100,"&gt;="&amp;B1049,CBIC_Late_Fee_Relief_Windows_3B!$F$1049:$F$100,"&lt;="&amp;C1049,CBIC_Late_Fee_Relief_Windows_3B!$G$1049:$G$100,"&gt;="&amp;C1049)</f>
        <v/>
      </c>
      <c r="H1049">
        <f>INDEX(CBIC_Late_Fee_Relief_Windows_3B!$I$1049:$I$100,MATCH(G1049,CBIC_Late_Fee_Relief_Windows_3B!$O$1049:$O$100,0))</f>
        <v/>
      </c>
      <c r="I1049">
        <f>MIN(F1049,H1049)</f>
        <v/>
      </c>
    </row>
    <row r="1050">
      <c r="A1050">
        <f>TEST_DATA!A1050</f>
        <v/>
      </c>
      <c r="B1050">
        <f>TEST_DATA!B1050</f>
        <v/>
      </c>
      <c r="C1050">
        <f>TEST_DATA!C1050</f>
        <v/>
      </c>
      <c r="D1050">
        <f>TEST_DATA!D1050</f>
        <v/>
      </c>
      <c r="E1050">
        <f>TEST_DATA!E1050</f>
        <v/>
      </c>
      <c r="F1050">
        <f>MIN(E1050*105000,10000)</f>
        <v/>
      </c>
      <c r="G1050">
        <f>MINIFS(CBIC_Late_Fee_Relief_Windows_3B!$O$1050:$O$100,CBIC_Late_Fee_Relief_Windows_3B!$D$1050:$D$100,"&lt;="&amp;B1050,CBIC_Late_Fee_Relief_Windows_3B!$E$1050:$E$100,"&gt;="&amp;B1050,CBIC_Late_Fee_Relief_Windows_3B!$F$1050:$F$100,"&lt;="&amp;C1050,CBIC_Late_Fee_Relief_Windows_3B!$G$1050:$G$100,"&gt;="&amp;C1050)</f>
        <v/>
      </c>
      <c r="H1050">
        <f>INDEX(CBIC_Late_Fee_Relief_Windows_3B!$I$1050:$I$100,MATCH(G1050,CBIC_Late_Fee_Relief_Windows_3B!$O$1050:$O$100,0))</f>
        <v/>
      </c>
      <c r="I1050">
        <f>MIN(F1050,H1050)</f>
        <v/>
      </c>
    </row>
    <row r="1051">
      <c r="A1051">
        <f>TEST_DATA!A1051</f>
        <v/>
      </c>
      <c r="B1051">
        <f>TEST_DATA!B1051</f>
        <v/>
      </c>
      <c r="C1051">
        <f>TEST_DATA!C1051</f>
        <v/>
      </c>
      <c r="D1051">
        <f>TEST_DATA!D1051</f>
        <v/>
      </c>
      <c r="E1051">
        <f>TEST_DATA!E1051</f>
        <v/>
      </c>
      <c r="F1051">
        <f>MIN(E1051*105100,10000)</f>
        <v/>
      </c>
      <c r="G1051">
        <f>MINIFS(CBIC_Late_Fee_Relief_Windows_3B!$O$1051:$O$100,CBIC_Late_Fee_Relief_Windows_3B!$D$1051:$D$100,"&lt;="&amp;B1051,CBIC_Late_Fee_Relief_Windows_3B!$E$1051:$E$100,"&gt;="&amp;B1051,CBIC_Late_Fee_Relief_Windows_3B!$F$1051:$F$100,"&lt;="&amp;C1051,CBIC_Late_Fee_Relief_Windows_3B!$G$1051:$G$100,"&gt;="&amp;C1051)</f>
        <v/>
      </c>
      <c r="H1051">
        <f>INDEX(CBIC_Late_Fee_Relief_Windows_3B!$I$1051:$I$100,MATCH(G1051,CBIC_Late_Fee_Relief_Windows_3B!$O$1051:$O$100,0))</f>
        <v/>
      </c>
      <c r="I1051">
        <f>MIN(F1051,H1051)</f>
        <v/>
      </c>
    </row>
    <row r="1052">
      <c r="A1052">
        <f>TEST_DATA!A1052</f>
        <v/>
      </c>
      <c r="B1052">
        <f>TEST_DATA!B1052</f>
        <v/>
      </c>
      <c r="C1052">
        <f>TEST_DATA!C1052</f>
        <v/>
      </c>
      <c r="D1052">
        <f>TEST_DATA!D1052</f>
        <v/>
      </c>
      <c r="E1052">
        <f>TEST_DATA!E1052</f>
        <v/>
      </c>
      <c r="F1052">
        <f>MIN(E1052*105200,10000)</f>
        <v/>
      </c>
      <c r="G1052">
        <f>MINIFS(CBIC_Late_Fee_Relief_Windows_3B!$O$1052:$O$100,CBIC_Late_Fee_Relief_Windows_3B!$D$1052:$D$100,"&lt;="&amp;B1052,CBIC_Late_Fee_Relief_Windows_3B!$E$1052:$E$100,"&gt;="&amp;B1052,CBIC_Late_Fee_Relief_Windows_3B!$F$1052:$F$100,"&lt;="&amp;C1052,CBIC_Late_Fee_Relief_Windows_3B!$G$1052:$G$100,"&gt;="&amp;C1052)</f>
        <v/>
      </c>
      <c r="H1052">
        <f>INDEX(CBIC_Late_Fee_Relief_Windows_3B!$I$1052:$I$100,MATCH(G1052,CBIC_Late_Fee_Relief_Windows_3B!$O$1052:$O$100,0))</f>
        <v/>
      </c>
      <c r="I1052">
        <f>MIN(F1052,H1052)</f>
        <v/>
      </c>
    </row>
    <row r="1053">
      <c r="A1053">
        <f>TEST_DATA!A1053</f>
        <v/>
      </c>
      <c r="B1053">
        <f>TEST_DATA!B1053</f>
        <v/>
      </c>
      <c r="C1053">
        <f>TEST_DATA!C1053</f>
        <v/>
      </c>
      <c r="D1053">
        <f>TEST_DATA!D1053</f>
        <v/>
      </c>
      <c r="E1053">
        <f>TEST_DATA!E1053</f>
        <v/>
      </c>
      <c r="F1053">
        <f>MIN(E1053*105300,10000)</f>
        <v/>
      </c>
      <c r="G1053">
        <f>MINIFS(CBIC_Late_Fee_Relief_Windows_3B!$O$1053:$O$100,CBIC_Late_Fee_Relief_Windows_3B!$D$1053:$D$100,"&lt;="&amp;B1053,CBIC_Late_Fee_Relief_Windows_3B!$E$1053:$E$100,"&gt;="&amp;B1053,CBIC_Late_Fee_Relief_Windows_3B!$F$1053:$F$100,"&lt;="&amp;C1053,CBIC_Late_Fee_Relief_Windows_3B!$G$1053:$G$100,"&gt;="&amp;C1053)</f>
        <v/>
      </c>
      <c r="H1053">
        <f>INDEX(CBIC_Late_Fee_Relief_Windows_3B!$I$1053:$I$100,MATCH(G1053,CBIC_Late_Fee_Relief_Windows_3B!$O$1053:$O$100,0))</f>
        <v/>
      </c>
      <c r="I1053">
        <f>MIN(F1053,H1053)</f>
        <v/>
      </c>
    </row>
    <row r="1054">
      <c r="A1054">
        <f>TEST_DATA!A1054</f>
        <v/>
      </c>
      <c r="B1054">
        <f>TEST_DATA!B1054</f>
        <v/>
      </c>
      <c r="C1054">
        <f>TEST_DATA!C1054</f>
        <v/>
      </c>
      <c r="D1054">
        <f>TEST_DATA!D1054</f>
        <v/>
      </c>
      <c r="E1054">
        <f>TEST_DATA!E1054</f>
        <v/>
      </c>
      <c r="F1054">
        <f>MIN(E1054*105400,10000)</f>
        <v/>
      </c>
      <c r="G1054">
        <f>MINIFS(CBIC_Late_Fee_Relief_Windows_3B!$O$1054:$O$100,CBIC_Late_Fee_Relief_Windows_3B!$D$1054:$D$100,"&lt;="&amp;B1054,CBIC_Late_Fee_Relief_Windows_3B!$E$1054:$E$100,"&gt;="&amp;B1054,CBIC_Late_Fee_Relief_Windows_3B!$F$1054:$F$100,"&lt;="&amp;C1054,CBIC_Late_Fee_Relief_Windows_3B!$G$1054:$G$100,"&gt;="&amp;C1054)</f>
        <v/>
      </c>
      <c r="H1054">
        <f>INDEX(CBIC_Late_Fee_Relief_Windows_3B!$I$1054:$I$100,MATCH(G1054,CBIC_Late_Fee_Relief_Windows_3B!$O$1054:$O$100,0))</f>
        <v/>
      </c>
      <c r="I1054">
        <f>MIN(F1054,H1054)</f>
        <v/>
      </c>
    </row>
    <row r="1055">
      <c r="A1055">
        <f>TEST_DATA!A1055</f>
        <v/>
      </c>
      <c r="B1055">
        <f>TEST_DATA!B1055</f>
        <v/>
      </c>
      <c r="C1055">
        <f>TEST_DATA!C1055</f>
        <v/>
      </c>
      <c r="D1055">
        <f>TEST_DATA!D1055</f>
        <v/>
      </c>
      <c r="E1055">
        <f>TEST_DATA!E1055</f>
        <v/>
      </c>
      <c r="F1055">
        <f>MIN(E1055*105500,10000)</f>
        <v/>
      </c>
      <c r="G1055">
        <f>MINIFS(CBIC_Late_Fee_Relief_Windows_3B!$O$1055:$O$100,CBIC_Late_Fee_Relief_Windows_3B!$D$1055:$D$100,"&lt;="&amp;B1055,CBIC_Late_Fee_Relief_Windows_3B!$E$1055:$E$100,"&gt;="&amp;B1055,CBIC_Late_Fee_Relief_Windows_3B!$F$1055:$F$100,"&lt;="&amp;C1055,CBIC_Late_Fee_Relief_Windows_3B!$G$1055:$G$100,"&gt;="&amp;C1055)</f>
        <v/>
      </c>
      <c r="H1055">
        <f>INDEX(CBIC_Late_Fee_Relief_Windows_3B!$I$1055:$I$100,MATCH(G1055,CBIC_Late_Fee_Relief_Windows_3B!$O$1055:$O$100,0))</f>
        <v/>
      </c>
      <c r="I1055">
        <f>MIN(F1055,H1055)</f>
        <v/>
      </c>
    </row>
    <row r="1056">
      <c r="A1056">
        <f>TEST_DATA!A1056</f>
        <v/>
      </c>
      <c r="B1056">
        <f>TEST_DATA!B1056</f>
        <v/>
      </c>
      <c r="C1056">
        <f>TEST_DATA!C1056</f>
        <v/>
      </c>
      <c r="D1056">
        <f>TEST_DATA!D1056</f>
        <v/>
      </c>
      <c r="E1056">
        <f>TEST_DATA!E1056</f>
        <v/>
      </c>
      <c r="F1056">
        <f>MIN(E1056*105600,10000)</f>
        <v/>
      </c>
      <c r="G1056">
        <f>MINIFS(CBIC_Late_Fee_Relief_Windows_3B!$O$1056:$O$100,CBIC_Late_Fee_Relief_Windows_3B!$D$1056:$D$100,"&lt;="&amp;B1056,CBIC_Late_Fee_Relief_Windows_3B!$E$1056:$E$100,"&gt;="&amp;B1056,CBIC_Late_Fee_Relief_Windows_3B!$F$1056:$F$100,"&lt;="&amp;C1056,CBIC_Late_Fee_Relief_Windows_3B!$G$1056:$G$100,"&gt;="&amp;C1056)</f>
        <v/>
      </c>
      <c r="H1056">
        <f>INDEX(CBIC_Late_Fee_Relief_Windows_3B!$I$1056:$I$100,MATCH(G1056,CBIC_Late_Fee_Relief_Windows_3B!$O$1056:$O$100,0))</f>
        <v/>
      </c>
      <c r="I1056">
        <f>MIN(F1056,H1056)</f>
        <v/>
      </c>
    </row>
    <row r="1057">
      <c r="A1057">
        <f>TEST_DATA!A1057</f>
        <v/>
      </c>
      <c r="B1057">
        <f>TEST_DATA!B1057</f>
        <v/>
      </c>
      <c r="C1057">
        <f>TEST_DATA!C1057</f>
        <v/>
      </c>
      <c r="D1057">
        <f>TEST_DATA!D1057</f>
        <v/>
      </c>
      <c r="E1057">
        <f>TEST_DATA!E1057</f>
        <v/>
      </c>
      <c r="F1057">
        <f>MIN(E1057*105700,10000)</f>
        <v/>
      </c>
      <c r="G1057">
        <f>MINIFS(CBIC_Late_Fee_Relief_Windows_3B!$O$1057:$O$100,CBIC_Late_Fee_Relief_Windows_3B!$D$1057:$D$100,"&lt;="&amp;B1057,CBIC_Late_Fee_Relief_Windows_3B!$E$1057:$E$100,"&gt;="&amp;B1057,CBIC_Late_Fee_Relief_Windows_3B!$F$1057:$F$100,"&lt;="&amp;C1057,CBIC_Late_Fee_Relief_Windows_3B!$G$1057:$G$100,"&gt;="&amp;C1057)</f>
        <v/>
      </c>
      <c r="H1057">
        <f>INDEX(CBIC_Late_Fee_Relief_Windows_3B!$I$1057:$I$100,MATCH(G1057,CBIC_Late_Fee_Relief_Windows_3B!$O$1057:$O$100,0))</f>
        <v/>
      </c>
      <c r="I1057">
        <f>MIN(F1057,H1057)</f>
        <v/>
      </c>
    </row>
    <row r="1058">
      <c r="A1058">
        <f>TEST_DATA!A1058</f>
        <v/>
      </c>
      <c r="B1058">
        <f>TEST_DATA!B1058</f>
        <v/>
      </c>
      <c r="C1058">
        <f>TEST_DATA!C1058</f>
        <v/>
      </c>
      <c r="D1058">
        <f>TEST_DATA!D1058</f>
        <v/>
      </c>
      <c r="E1058">
        <f>TEST_DATA!E1058</f>
        <v/>
      </c>
      <c r="F1058">
        <f>MIN(E1058*105800,10000)</f>
        <v/>
      </c>
      <c r="G1058">
        <f>MINIFS(CBIC_Late_Fee_Relief_Windows_3B!$O$1058:$O$100,CBIC_Late_Fee_Relief_Windows_3B!$D$1058:$D$100,"&lt;="&amp;B1058,CBIC_Late_Fee_Relief_Windows_3B!$E$1058:$E$100,"&gt;="&amp;B1058,CBIC_Late_Fee_Relief_Windows_3B!$F$1058:$F$100,"&lt;="&amp;C1058,CBIC_Late_Fee_Relief_Windows_3B!$G$1058:$G$100,"&gt;="&amp;C1058)</f>
        <v/>
      </c>
      <c r="H1058">
        <f>INDEX(CBIC_Late_Fee_Relief_Windows_3B!$I$1058:$I$100,MATCH(G1058,CBIC_Late_Fee_Relief_Windows_3B!$O$1058:$O$100,0))</f>
        <v/>
      </c>
      <c r="I1058">
        <f>MIN(F1058,H1058)</f>
        <v/>
      </c>
    </row>
    <row r="1059">
      <c r="A1059">
        <f>TEST_DATA!A1059</f>
        <v/>
      </c>
      <c r="B1059">
        <f>TEST_DATA!B1059</f>
        <v/>
      </c>
      <c r="C1059">
        <f>TEST_DATA!C1059</f>
        <v/>
      </c>
      <c r="D1059">
        <f>TEST_DATA!D1059</f>
        <v/>
      </c>
      <c r="E1059">
        <f>TEST_DATA!E1059</f>
        <v/>
      </c>
      <c r="F1059">
        <f>MIN(E1059*105900,10000)</f>
        <v/>
      </c>
      <c r="G1059">
        <f>MINIFS(CBIC_Late_Fee_Relief_Windows_3B!$O$1059:$O$100,CBIC_Late_Fee_Relief_Windows_3B!$D$1059:$D$100,"&lt;="&amp;B1059,CBIC_Late_Fee_Relief_Windows_3B!$E$1059:$E$100,"&gt;="&amp;B1059,CBIC_Late_Fee_Relief_Windows_3B!$F$1059:$F$100,"&lt;="&amp;C1059,CBIC_Late_Fee_Relief_Windows_3B!$G$1059:$G$100,"&gt;="&amp;C1059)</f>
        <v/>
      </c>
      <c r="H1059">
        <f>INDEX(CBIC_Late_Fee_Relief_Windows_3B!$I$1059:$I$100,MATCH(G1059,CBIC_Late_Fee_Relief_Windows_3B!$O$1059:$O$100,0))</f>
        <v/>
      </c>
      <c r="I1059">
        <f>MIN(F1059,H1059)</f>
        <v/>
      </c>
    </row>
    <row r="1060">
      <c r="A1060">
        <f>TEST_DATA!A1060</f>
        <v/>
      </c>
      <c r="B1060">
        <f>TEST_DATA!B1060</f>
        <v/>
      </c>
      <c r="C1060">
        <f>TEST_DATA!C1060</f>
        <v/>
      </c>
      <c r="D1060">
        <f>TEST_DATA!D1060</f>
        <v/>
      </c>
      <c r="E1060">
        <f>TEST_DATA!E1060</f>
        <v/>
      </c>
      <c r="F1060">
        <f>MIN(E1060*106000,10000)</f>
        <v/>
      </c>
      <c r="G1060">
        <f>MINIFS(CBIC_Late_Fee_Relief_Windows_3B!$O$1060:$O$100,CBIC_Late_Fee_Relief_Windows_3B!$D$1060:$D$100,"&lt;="&amp;B1060,CBIC_Late_Fee_Relief_Windows_3B!$E$1060:$E$100,"&gt;="&amp;B1060,CBIC_Late_Fee_Relief_Windows_3B!$F$1060:$F$100,"&lt;="&amp;C1060,CBIC_Late_Fee_Relief_Windows_3B!$G$1060:$G$100,"&gt;="&amp;C1060)</f>
        <v/>
      </c>
      <c r="H1060">
        <f>INDEX(CBIC_Late_Fee_Relief_Windows_3B!$I$1060:$I$100,MATCH(G1060,CBIC_Late_Fee_Relief_Windows_3B!$O$1060:$O$100,0))</f>
        <v/>
      </c>
      <c r="I1060">
        <f>MIN(F1060,H1060)</f>
        <v/>
      </c>
    </row>
    <row r="1061">
      <c r="A1061">
        <f>TEST_DATA!A1061</f>
        <v/>
      </c>
      <c r="B1061">
        <f>TEST_DATA!B1061</f>
        <v/>
      </c>
      <c r="C1061">
        <f>TEST_DATA!C1061</f>
        <v/>
      </c>
      <c r="D1061">
        <f>TEST_DATA!D1061</f>
        <v/>
      </c>
      <c r="E1061">
        <f>TEST_DATA!E1061</f>
        <v/>
      </c>
      <c r="F1061">
        <f>MIN(E1061*106100,10000)</f>
        <v/>
      </c>
      <c r="G1061">
        <f>MINIFS(CBIC_Late_Fee_Relief_Windows_3B!$O$1061:$O$100,CBIC_Late_Fee_Relief_Windows_3B!$D$1061:$D$100,"&lt;="&amp;B1061,CBIC_Late_Fee_Relief_Windows_3B!$E$1061:$E$100,"&gt;="&amp;B1061,CBIC_Late_Fee_Relief_Windows_3B!$F$1061:$F$100,"&lt;="&amp;C1061,CBIC_Late_Fee_Relief_Windows_3B!$G$1061:$G$100,"&gt;="&amp;C1061)</f>
        <v/>
      </c>
      <c r="H1061">
        <f>INDEX(CBIC_Late_Fee_Relief_Windows_3B!$I$1061:$I$100,MATCH(G1061,CBIC_Late_Fee_Relief_Windows_3B!$O$1061:$O$100,0))</f>
        <v/>
      </c>
      <c r="I1061">
        <f>MIN(F1061,H1061)</f>
        <v/>
      </c>
    </row>
    <row r="1062">
      <c r="A1062">
        <f>TEST_DATA!A1062</f>
        <v/>
      </c>
      <c r="B1062">
        <f>TEST_DATA!B1062</f>
        <v/>
      </c>
      <c r="C1062">
        <f>TEST_DATA!C1062</f>
        <v/>
      </c>
      <c r="D1062">
        <f>TEST_DATA!D1062</f>
        <v/>
      </c>
      <c r="E1062">
        <f>TEST_DATA!E1062</f>
        <v/>
      </c>
      <c r="F1062">
        <f>MIN(E1062*106200,10000)</f>
        <v/>
      </c>
      <c r="G1062">
        <f>MINIFS(CBIC_Late_Fee_Relief_Windows_3B!$O$1062:$O$100,CBIC_Late_Fee_Relief_Windows_3B!$D$1062:$D$100,"&lt;="&amp;B1062,CBIC_Late_Fee_Relief_Windows_3B!$E$1062:$E$100,"&gt;="&amp;B1062,CBIC_Late_Fee_Relief_Windows_3B!$F$1062:$F$100,"&lt;="&amp;C1062,CBIC_Late_Fee_Relief_Windows_3B!$G$1062:$G$100,"&gt;="&amp;C1062)</f>
        <v/>
      </c>
      <c r="H1062">
        <f>INDEX(CBIC_Late_Fee_Relief_Windows_3B!$I$1062:$I$100,MATCH(G1062,CBIC_Late_Fee_Relief_Windows_3B!$O$1062:$O$100,0))</f>
        <v/>
      </c>
      <c r="I1062">
        <f>MIN(F1062,H1062)</f>
        <v/>
      </c>
    </row>
    <row r="1063">
      <c r="A1063">
        <f>TEST_DATA!A1063</f>
        <v/>
      </c>
      <c r="B1063">
        <f>TEST_DATA!B1063</f>
        <v/>
      </c>
      <c r="C1063">
        <f>TEST_DATA!C1063</f>
        <v/>
      </c>
      <c r="D1063">
        <f>TEST_DATA!D1063</f>
        <v/>
      </c>
      <c r="E1063">
        <f>TEST_DATA!E1063</f>
        <v/>
      </c>
      <c r="F1063">
        <f>MIN(E1063*106300,10000)</f>
        <v/>
      </c>
      <c r="G1063">
        <f>MINIFS(CBIC_Late_Fee_Relief_Windows_3B!$O$1063:$O$100,CBIC_Late_Fee_Relief_Windows_3B!$D$1063:$D$100,"&lt;="&amp;B1063,CBIC_Late_Fee_Relief_Windows_3B!$E$1063:$E$100,"&gt;="&amp;B1063,CBIC_Late_Fee_Relief_Windows_3B!$F$1063:$F$100,"&lt;="&amp;C1063,CBIC_Late_Fee_Relief_Windows_3B!$G$1063:$G$100,"&gt;="&amp;C1063)</f>
        <v/>
      </c>
      <c r="H1063">
        <f>INDEX(CBIC_Late_Fee_Relief_Windows_3B!$I$1063:$I$100,MATCH(G1063,CBIC_Late_Fee_Relief_Windows_3B!$O$1063:$O$100,0))</f>
        <v/>
      </c>
      <c r="I1063">
        <f>MIN(F1063,H1063)</f>
        <v/>
      </c>
    </row>
    <row r="1064">
      <c r="A1064">
        <f>TEST_DATA!A1064</f>
        <v/>
      </c>
      <c r="B1064">
        <f>TEST_DATA!B1064</f>
        <v/>
      </c>
      <c r="C1064">
        <f>TEST_DATA!C1064</f>
        <v/>
      </c>
      <c r="D1064">
        <f>TEST_DATA!D1064</f>
        <v/>
      </c>
      <c r="E1064">
        <f>TEST_DATA!E1064</f>
        <v/>
      </c>
      <c r="F1064">
        <f>MIN(E1064*106400,10000)</f>
        <v/>
      </c>
      <c r="G1064">
        <f>MINIFS(CBIC_Late_Fee_Relief_Windows_3B!$O$1064:$O$100,CBIC_Late_Fee_Relief_Windows_3B!$D$1064:$D$100,"&lt;="&amp;B1064,CBIC_Late_Fee_Relief_Windows_3B!$E$1064:$E$100,"&gt;="&amp;B1064,CBIC_Late_Fee_Relief_Windows_3B!$F$1064:$F$100,"&lt;="&amp;C1064,CBIC_Late_Fee_Relief_Windows_3B!$G$1064:$G$100,"&gt;="&amp;C1064)</f>
        <v/>
      </c>
      <c r="H1064">
        <f>INDEX(CBIC_Late_Fee_Relief_Windows_3B!$I$1064:$I$100,MATCH(G1064,CBIC_Late_Fee_Relief_Windows_3B!$O$1064:$O$100,0))</f>
        <v/>
      </c>
      <c r="I1064">
        <f>MIN(F1064,H1064)</f>
        <v/>
      </c>
    </row>
    <row r="1065">
      <c r="A1065">
        <f>TEST_DATA!A1065</f>
        <v/>
      </c>
      <c r="B1065">
        <f>TEST_DATA!B1065</f>
        <v/>
      </c>
      <c r="C1065">
        <f>TEST_DATA!C1065</f>
        <v/>
      </c>
      <c r="D1065">
        <f>TEST_DATA!D1065</f>
        <v/>
      </c>
      <c r="E1065">
        <f>TEST_DATA!E1065</f>
        <v/>
      </c>
      <c r="F1065">
        <f>MIN(E1065*106500,10000)</f>
        <v/>
      </c>
      <c r="G1065">
        <f>MINIFS(CBIC_Late_Fee_Relief_Windows_3B!$O$1065:$O$100,CBIC_Late_Fee_Relief_Windows_3B!$D$1065:$D$100,"&lt;="&amp;B1065,CBIC_Late_Fee_Relief_Windows_3B!$E$1065:$E$100,"&gt;="&amp;B1065,CBIC_Late_Fee_Relief_Windows_3B!$F$1065:$F$100,"&lt;="&amp;C1065,CBIC_Late_Fee_Relief_Windows_3B!$G$1065:$G$100,"&gt;="&amp;C1065)</f>
        <v/>
      </c>
      <c r="H1065">
        <f>INDEX(CBIC_Late_Fee_Relief_Windows_3B!$I$1065:$I$100,MATCH(G1065,CBIC_Late_Fee_Relief_Windows_3B!$O$1065:$O$100,0))</f>
        <v/>
      </c>
      <c r="I1065">
        <f>MIN(F1065,H1065)</f>
        <v/>
      </c>
    </row>
    <row r="1066">
      <c r="A1066">
        <f>TEST_DATA!A1066</f>
        <v/>
      </c>
      <c r="B1066">
        <f>TEST_DATA!B1066</f>
        <v/>
      </c>
      <c r="C1066">
        <f>TEST_DATA!C1066</f>
        <v/>
      </c>
      <c r="D1066">
        <f>TEST_DATA!D1066</f>
        <v/>
      </c>
      <c r="E1066">
        <f>TEST_DATA!E1066</f>
        <v/>
      </c>
      <c r="F1066">
        <f>MIN(E1066*106600,10000)</f>
        <v/>
      </c>
      <c r="G1066">
        <f>MINIFS(CBIC_Late_Fee_Relief_Windows_3B!$O$1066:$O$100,CBIC_Late_Fee_Relief_Windows_3B!$D$1066:$D$100,"&lt;="&amp;B1066,CBIC_Late_Fee_Relief_Windows_3B!$E$1066:$E$100,"&gt;="&amp;B1066,CBIC_Late_Fee_Relief_Windows_3B!$F$1066:$F$100,"&lt;="&amp;C1066,CBIC_Late_Fee_Relief_Windows_3B!$G$1066:$G$100,"&gt;="&amp;C1066)</f>
        <v/>
      </c>
      <c r="H1066">
        <f>INDEX(CBIC_Late_Fee_Relief_Windows_3B!$I$1066:$I$100,MATCH(G1066,CBIC_Late_Fee_Relief_Windows_3B!$O$1066:$O$100,0))</f>
        <v/>
      </c>
      <c r="I1066">
        <f>MIN(F1066,H1066)</f>
        <v/>
      </c>
    </row>
    <row r="1067">
      <c r="A1067">
        <f>TEST_DATA!A1067</f>
        <v/>
      </c>
      <c r="B1067">
        <f>TEST_DATA!B1067</f>
        <v/>
      </c>
      <c r="C1067">
        <f>TEST_DATA!C1067</f>
        <v/>
      </c>
      <c r="D1067">
        <f>TEST_DATA!D1067</f>
        <v/>
      </c>
      <c r="E1067">
        <f>TEST_DATA!E1067</f>
        <v/>
      </c>
      <c r="F1067">
        <f>MIN(E1067*106700,10000)</f>
        <v/>
      </c>
      <c r="G1067">
        <f>MINIFS(CBIC_Late_Fee_Relief_Windows_3B!$O$1067:$O$100,CBIC_Late_Fee_Relief_Windows_3B!$D$1067:$D$100,"&lt;="&amp;B1067,CBIC_Late_Fee_Relief_Windows_3B!$E$1067:$E$100,"&gt;="&amp;B1067,CBIC_Late_Fee_Relief_Windows_3B!$F$1067:$F$100,"&lt;="&amp;C1067,CBIC_Late_Fee_Relief_Windows_3B!$G$1067:$G$100,"&gt;="&amp;C1067)</f>
        <v/>
      </c>
      <c r="H1067">
        <f>INDEX(CBIC_Late_Fee_Relief_Windows_3B!$I$1067:$I$100,MATCH(G1067,CBIC_Late_Fee_Relief_Windows_3B!$O$1067:$O$100,0))</f>
        <v/>
      </c>
      <c r="I1067">
        <f>MIN(F1067,H1067)</f>
        <v/>
      </c>
    </row>
    <row r="1068">
      <c r="A1068">
        <f>TEST_DATA!A1068</f>
        <v/>
      </c>
      <c r="B1068">
        <f>TEST_DATA!B1068</f>
        <v/>
      </c>
      <c r="C1068">
        <f>TEST_DATA!C1068</f>
        <v/>
      </c>
      <c r="D1068">
        <f>TEST_DATA!D1068</f>
        <v/>
      </c>
      <c r="E1068">
        <f>TEST_DATA!E1068</f>
        <v/>
      </c>
      <c r="F1068">
        <f>MIN(E1068*106800,10000)</f>
        <v/>
      </c>
      <c r="G1068">
        <f>MINIFS(CBIC_Late_Fee_Relief_Windows_3B!$O$1068:$O$100,CBIC_Late_Fee_Relief_Windows_3B!$D$1068:$D$100,"&lt;="&amp;B1068,CBIC_Late_Fee_Relief_Windows_3B!$E$1068:$E$100,"&gt;="&amp;B1068,CBIC_Late_Fee_Relief_Windows_3B!$F$1068:$F$100,"&lt;="&amp;C1068,CBIC_Late_Fee_Relief_Windows_3B!$G$1068:$G$100,"&gt;="&amp;C1068)</f>
        <v/>
      </c>
      <c r="H1068">
        <f>INDEX(CBIC_Late_Fee_Relief_Windows_3B!$I$1068:$I$100,MATCH(G1068,CBIC_Late_Fee_Relief_Windows_3B!$O$1068:$O$100,0))</f>
        <v/>
      </c>
      <c r="I1068">
        <f>MIN(F1068,H1068)</f>
        <v/>
      </c>
    </row>
    <row r="1069">
      <c r="A1069">
        <f>TEST_DATA!A1069</f>
        <v/>
      </c>
      <c r="B1069">
        <f>TEST_DATA!B1069</f>
        <v/>
      </c>
      <c r="C1069">
        <f>TEST_DATA!C1069</f>
        <v/>
      </c>
      <c r="D1069">
        <f>TEST_DATA!D1069</f>
        <v/>
      </c>
      <c r="E1069">
        <f>TEST_DATA!E1069</f>
        <v/>
      </c>
      <c r="F1069">
        <f>MIN(E1069*106900,10000)</f>
        <v/>
      </c>
      <c r="G1069">
        <f>MINIFS(CBIC_Late_Fee_Relief_Windows_3B!$O$1069:$O$100,CBIC_Late_Fee_Relief_Windows_3B!$D$1069:$D$100,"&lt;="&amp;B1069,CBIC_Late_Fee_Relief_Windows_3B!$E$1069:$E$100,"&gt;="&amp;B1069,CBIC_Late_Fee_Relief_Windows_3B!$F$1069:$F$100,"&lt;="&amp;C1069,CBIC_Late_Fee_Relief_Windows_3B!$G$1069:$G$100,"&gt;="&amp;C1069)</f>
        <v/>
      </c>
      <c r="H1069">
        <f>INDEX(CBIC_Late_Fee_Relief_Windows_3B!$I$1069:$I$100,MATCH(G1069,CBIC_Late_Fee_Relief_Windows_3B!$O$1069:$O$100,0))</f>
        <v/>
      </c>
      <c r="I1069">
        <f>MIN(F1069,H1069)</f>
        <v/>
      </c>
    </row>
    <row r="1070">
      <c r="A1070">
        <f>TEST_DATA!A1070</f>
        <v/>
      </c>
      <c r="B1070">
        <f>TEST_DATA!B1070</f>
        <v/>
      </c>
      <c r="C1070">
        <f>TEST_DATA!C1070</f>
        <v/>
      </c>
      <c r="D1070">
        <f>TEST_DATA!D1070</f>
        <v/>
      </c>
      <c r="E1070">
        <f>TEST_DATA!E1070</f>
        <v/>
      </c>
      <c r="F1070">
        <f>MIN(E1070*107000,10000)</f>
        <v/>
      </c>
      <c r="G1070">
        <f>MINIFS(CBIC_Late_Fee_Relief_Windows_3B!$O$1070:$O$100,CBIC_Late_Fee_Relief_Windows_3B!$D$1070:$D$100,"&lt;="&amp;B1070,CBIC_Late_Fee_Relief_Windows_3B!$E$1070:$E$100,"&gt;="&amp;B1070,CBIC_Late_Fee_Relief_Windows_3B!$F$1070:$F$100,"&lt;="&amp;C1070,CBIC_Late_Fee_Relief_Windows_3B!$G$1070:$G$100,"&gt;="&amp;C1070)</f>
        <v/>
      </c>
      <c r="H1070">
        <f>INDEX(CBIC_Late_Fee_Relief_Windows_3B!$I$1070:$I$100,MATCH(G1070,CBIC_Late_Fee_Relief_Windows_3B!$O$1070:$O$100,0))</f>
        <v/>
      </c>
      <c r="I1070">
        <f>MIN(F1070,H1070)</f>
        <v/>
      </c>
    </row>
    <row r="1071">
      <c r="A1071">
        <f>TEST_DATA!A1071</f>
        <v/>
      </c>
      <c r="B1071">
        <f>TEST_DATA!B1071</f>
        <v/>
      </c>
      <c r="C1071">
        <f>TEST_DATA!C1071</f>
        <v/>
      </c>
      <c r="D1071">
        <f>TEST_DATA!D1071</f>
        <v/>
      </c>
      <c r="E1071">
        <f>TEST_DATA!E1071</f>
        <v/>
      </c>
      <c r="F1071">
        <f>MIN(E1071*107100,10000)</f>
        <v/>
      </c>
      <c r="G1071">
        <f>MINIFS(CBIC_Late_Fee_Relief_Windows_3B!$O$1071:$O$100,CBIC_Late_Fee_Relief_Windows_3B!$D$1071:$D$100,"&lt;="&amp;B1071,CBIC_Late_Fee_Relief_Windows_3B!$E$1071:$E$100,"&gt;="&amp;B1071,CBIC_Late_Fee_Relief_Windows_3B!$F$1071:$F$100,"&lt;="&amp;C1071,CBIC_Late_Fee_Relief_Windows_3B!$G$1071:$G$100,"&gt;="&amp;C1071)</f>
        <v/>
      </c>
      <c r="H1071">
        <f>INDEX(CBIC_Late_Fee_Relief_Windows_3B!$I$1071:$I$100,MATCH(G1071,CBIC_Late_Fee_Relief_Windows_3B!$O$1071:$O$100,0))</f>
        <v/>
      </c>
      <c r="I1071">
        <f>MIN(F1071,H1071)</f>
        <v/>
      </c>
    </row>
    <row r="1072">
      <c r="A1072">
        <f>TEST_DATA!A1072</f>
        <v/>
      </c>
      <c r="B1072">
        <f>TEST_DATA!B1072</f>
        <v/>
      </c>
      <c r="C1072">
        <f>TEST_DATA!C1072</f>
        <v/>
      </c>
      <c r="D1072">
        <f>TEST_DATA!D1072</f>
        <v/>
      </c>
      <c r="E1072">
        <f>TEST_DATA!E1072</f>
        <v/>
      </c>
      <c r="F1072">
        <f>MIN(E1072*107200,10000)</f>
        <v/>
      </c>
      <c r="G1072">
        <f>MINIFS(CBIC_Late_Fee_Relief_Windows_3B!$O$1072:$O$100,CBIC_Late_Fee_Relief_Windows_3B!$D$1072:$D$100,"&lt;="&amp;B1072,CBIC_Late_Fee_Relief_Windows_3B!$E$1072:$E$100,"&gt;="&amp;B1072,CBIC_Late_Fee_Relief_Windows_3B!$F$1072:$F$100,"&lt;="&amp;C1072,CBIC_Late_Fee_Relief_Windows_3B!$G$1072:$G$100,"&gt;="&amp;C1072)</f>
        <v/>
      </c>
      <c r="H1072">
        <f>INDEX(CBIC_Late_Fee_Relief_Windows_3B!$I$1072:$I$100,MATCH(G1072,CBIC_Late_Fee_Relief_Windows_3B!$O$1072:$O$100,0))</f>
        <v/>
      </c>
      <c r="I1072">
        <f>MIN(F1072,H1072)</f>
        <v/>
      </c>
    </row>
    <row r="1073">
      <c r="A1073">
        <f>TEST_DATA!A1073</f>
        <v/>
      </c>
      <c r="B1073">
        <f>TEST_DATA!B1073</f>
        <v/>
      </c>
      <c r="C1073">
        <f>TEST_DATA!C1073</f>
        <v/>
      </c>
      <c r="D1073">
        <f>TEST_DATA!D1073</f>
        <v/>
      </c>
      <c r="E1073">
        <f>TEST_DATA!E1073</f>
        <v/>
      </c>
      <c r="F1073">
        <f>MIN(E1073*107300,10000)</f>
        <v/>
      </c>
      <c r="G1073">
        <f>MINIFS(CBIC_Late_Fee_Relief_Windows_3B!$O$1073:$O$100,CBIC_Late_Fee_Relief_Windows_3B!$D$1073:$D$100,"&lt;="&amp;B1073,CBIC_Late_Fee_Relief_Windows_3B!$E$1073:$E$100,"&gt;="&amp;B1073,CBIC_Late_Fee_Relief_Windows_3B!$F$1073:$F$100,"&lt;="&amp;C1073,CBIC_Late_Fee_Relief_Windows_3B!$G$1073:$G$100,"&gt;="&amp;C1073)</f>
        <v/>
      </c>
      <c r="H1073">
        <f>INDEX(CBIC_Late_Fee_Relief_Windows_3B!$I$1073:$I$100,MATCH(G1073,CBIC_Late_Fee_Relief_Windows_3B!$O$1073:$O$100,0))</f>
        <v/>
      </c>
      <c r="I1073">
        <f>MIN(F1073,H1073)</f>
        <v/>
      </c>
    </row>
    <row r="1074">
      <c r="A1074">
        <f>TEST_DATA!A1074</f>
        <v/>
      </c>
      <c r="B1074">
        <f>TEST_DATA!B1074</f>
        <v/>
      </c>
      <c r="C1074">
        <f>TEST_DATA!C1074</f>
        <v/>
      </c>
      <c r="D1074">
        <f>TEST_DATA!D1074</f>
        <v/>
      </c>
      <c r="E1074">
        <f>TEST_DATA!E1074</f>
        <v/>
      </c>
      <c r="F1074">
        <f>MIN(E1074*107400,10000)</f>
        <v/>
      </c>
      <c r="G1074">
        <f>MINIFS(CBIC_Late_Fee_Relief_Windows_3B!$O$1074:$O$100,CBIC_Late_Fee_Relief_Windows_3B!$D$1074:$D$100,"&lt;="&amp;B1074,CBIC_Late_Fee_Relief_Windows_3B!$E$1074:$E$100,"&gt;="&amp;B1074,CBIC_Late_Fee_Relief_Windows_3B!$F$1074:$F$100,"&lt;="&amp;C1074,CBIC_Late_Fee_Relief_Windows_3B!$G$1074:$G$100,"&gt;="&amp;C1074)</f>
        <v/>
      </c>
      <c r="H1074">
        <f>INDEX(CBIC_Late_Fee_Relief_Windows_3B!$I$1074:$I$100,MATCH(G1074,CBIC_Late_Fee_Relief_Windows_3B!$O$1074:$O$100,0))</f>
        <v/>
      </c>
      <c r="I1074">
        <f>MIN(F1074,H1074)</f>
        <v/>
      </c>
    </row>
    <row r="1075">
      <c r="A1075">
        <f>TEST_DATA!A1075</f>
        <v/>
      </c>
      <c r="B1075">
        <f>TEST_DATA!B1075</f>
        <v/>
      </c>
      <c r="C1075">
        <f>TEST_DATA!C1075</f>
        <v/>
      </c>
      <c r="D1075">
        <f>TEST_DATA!D1075</f>
        <v/>
      </c>
      <c r="E1075">
        <f>TEST_DATA!E1075</f>
        <v/>
      </c>
      <c r="F1075">
        <f>MIN(E1075*107500,10000)</f>
        <v/>
      </c>
      <c r="G1075">
        <f>MINIFS(CBIC_Late_Fee_Relief_Windows_3B!$O$1075:$O$100,CBIC_Late_Fee_Relief_Windows_3B!$D$1075:$D$100,"&lt;="&amp;B1075,CBIC_Late_Fee_Relief_Windows_3B!$E$1075:$E$100,"&gt;="&amp;B1075,CBIC_Late_Fee_Relief_Windows_3B!$F$1075:$F$100,"&lt;="&amp;C1075,CBIC_Late_Fee_Relief_Windows_3B!$G$1075:$G$100,"&gt;="&amp;C1075)</f>
        <v/>
      </c>
      <c r="H1075">
        <f>INDEX(CBIC_Late_Fee_Relief_Windows_3B!$I$1075:$I$100,MATCH(G1075,CBIC_Late_Fee_Relief_Windows_3B!$O$1075:$O$100,0))</f>
        <v/>
      </c>
      <c r="I1075">
        <f>MIN(F1075,H1075)</f>
        <v/>
      </c>
    </row>
    <row r="1076">
      <c r="A1076">
        <f>TEST_DATA!A1076</f>
        <v/>
      </c>
      <c r="B1076">
        <f>TEST_DATA!B1076</f>
        <v/>
      </c>
      <c r="C1076">
        <f>TEST_DATA!C1076</f>
        <v/>
      </c>
      <c r="D1076">
        <f>TEST_DATA!D1076</f>
        <v/>
      </c>
      <c r="E1076">
        <f>TEST_DATA!E1076</f>
        <v/>
      </c>
      <c r="F1076">
        <f>MIN(E1076*107600,10000)</f>
        <v/>
      </c>
      <c r="G1076">
        <f>MINIFS(CBIC_Late_Fee_Relief_Windows_3B!$O$1076:$O$100,CBIC_Late_Fee_Relief_Windows_3B!$D$1076:$D$100,"&lt;="&amp;B1076,CBIC_Late_Fee_Relief_Windows_3B!$E$1076:$E$100,"&gt;="&amp;B1076,CBIC_Late_Fee_Relief_Windows_3B!$F$1076:$F$100,"&lt;="&amp;C1076,CBIC_Late_Fee_Relief_Windows_3B!$G$1076:$G$100,"&gt;="&amp;C1076)</f>
        <v/>
      </c>
      <c r="H1076">
        <f>INDEX(CBIC_Late_Fee_Relief_Windows_3B!$I$1076:$I$100,MATCH(G1076,CBIC_Late_Fee_Relief_Windows_3B!$O$1076:$O$100,0))</f>
        <v/>
      </c>
      <c r="I1076">
        <f>MIN(F1076,H1076)</f>
        <v/>
      </c>
    </row>
    <row r="1077">
      <c r="A1077">
        <f>TEST_DATA!A1077</f>
        <v/>
      </c>
      <c r="B1077">
        <f>TEST_DATA!B1077</f>
        <v/>
      </c>
      <c r="C1077">
        <f>TEST_DATA!C1077</f>
        <v/>
      </c>
      <c r="D1077">
        <f>TEST_DATA!D1077</f>
        <v/>
      </c>
      <c r="E1077">
        <f>TEST_DATA!E1077</f>
        <v/>
      </c>
      <c r="F1077">
        <f>MIN(E1077*107700,10000)</f>
        <v/>
      </c>
      <c r="G1077">
        <f>MINIFS(CBIC_Late_Fee_Relief_Windows_3B!$O$1077:$O$100,CBIC_Late_Fee_Relief_Windows_3B!$D$1077:$D$100,"&lt;="&amp;B1077,CBIC_Late_Fee_Relief_Windows_3B!$E$1077:$E$100,"&gt;="&amp;B1077,CBIC_Late_Fee_Relief_Windows_3B!$F$1077:$F$100,"&lt;="&amp;C1077,CBIC_Late_Fee_Relief_Windows_3B!$G$1077:$G$100,"&gt;="&amp;C1077)</f>
        <v/>
      </c>
      <c r="H1077">
        <f>INDEX(CBIC_Late_Fee_Relief_Windows_3B!$I$1077:$I$100,MATCH(G1077,CBIC_Late_Fee_Relief_Windows_3B!$O$1077:$O$100,0))</f>
        <v/>
      </c>
      <c r="I1077">
        <f>MIN(F1077,H1077)</f>
        <v/>
      </c>
    </row>
    <row r="1078">
      <c r="A1078">
        <f>TEST_DATA!A1078</f>
        <v/>
      </c>
      <c r="B1078">
        <f>TEST_DATA!B1078</f>
        <v/>
      </c>
      <c r="C1078">
        <f>TEST_DATA!C1078</f>
        <v/>
      </c>
      <c r="D1078">
        <f>TEST_DATA!D1078</f>
        <v/>
      </c>
      <c r="E1078">
        <f>TEST_DATA!E1078</f>
        <v/>
      </c>
      <c r="F1078">
        <f>MIN(E1078*107800,10000)</f>
        <v/>
      </c>
      <c r="G1078">
        <f>MINIFS(CBIC_Late_Fee_Relief_Windows_3B!$O$1078:$O$100,CBIC_Late_Fee_Relief_Windows_3B!$D$1078:$D$100,"&lt;="&amp;B1078,CBIC_Late_Fee_Relief_Windows_3B!$E$1078:$E$100,"&gt;="&amp;B1078,CBIC_Late_Fee_Relief_Windows_3B!$F$1078:$F$100,"&lt;="&amp;C1078,CBIC_Late_Fee_Relief_Windows_3B!$G$1078:$G$100,"&gt;="&amp;C1078)</f>
        <v/>
      </c>
      <c r="H1078">
        <f>INDEX(CBIC_Late_Fee_Relief_Windows_3B!$I$1078:$I$100,MATCH(G1078,CBIC_Late_Fee_Relief_Windows_3B!$O$1078:$O$100,0))</f>
        <v/>
      </c>
      <c r="I1078">
        <f>MIN(F1078,H1078)</f>
        <v/>
      </c>
    </row>
    <row r="1079">
      <c r="A1079">
        <f>TEST_DATA!A1079</f>
        <v/>
      </c>
      <c r="B1079">
        <f>TEST_DATA!B1079</f>
        <v/>
      </c>
      <c r="C1079">
        <f>TEST_DATA!C1079</f>
        <v/>
      </c>
      <c r="D1079">
        <f>TEST_DATA!D1079</f>
        <v/>
      </c>
      <c r="E1079">
        <f>TEST_DATA!E1079</f>
        <v/>
      </c>
      <c r="F1079">
        <f>MIN(E1079*107900,10000)</f>
        <v/>
      </c>
      <c r="G1079">
        <f>MINIFS(CBIC_Late_Fee_Relief_Windows_3B!$O$1079:$O$100,CBIC_Late_Fee_Relief_Windows_3B!$D$1079:$D$100,"&lt;="&amp;B1079,CBIC_Late_Fee_Relief_Windows_3B!$E$1079:$E$100,"&gt;="&amp;B1079,CBIC_Late_Fee_Relief_Windows_3B!$F$1079:$F$100,"&lt;="&amp;C1079,CBIC_Late_Fee_Relief_Windows_3B!$G$1079:$G$100,"&gt;="&amp;C1079)</f>
        <v/>
      </c>
      <c r="H1079">
        <f>INDEX(CBIC_Late_Fee_Relief_Windows_3B!$I$1079:$I$100,MATCH(G1079,CBIC_Late_Fee_Relief_Windows_3B!$O$1079:$O$100,0))</f>
        <v/>
      </c>
      <c r="I1079">
        <f>MIN(F1079,H1079)</f>
        <v/>
      </c>
    </row>
    <row r="1080">
      <c r="A1080">
        <f>TEST_DATA!A1080</f>
        <v/>
      </c>
      <c r="B1080">
        <f>TEST_DATA!B1080</f>
        <v/>
      </c>
      <c r="C1080">
        <f>TEST_DATA!C1080</f>
        <v/>
      </c>
      <c r="D1080">
        <f>TEST_DATA!D1080</f>
        <v/>
      </c>
      <c r="E1080">
        <f>TEST_DATA!E1080</f>
        <v/>
      </c>
      <c r="F1080">
        <f>MIN(E1080*108000,10000)</f>
        <v/>
      </c>
      <c r="G1080">
        <f>MINIFS(CBIC_Late_Fee_Relief_Windows_3B!$O$1080:$O$100,CBIC_Late_Fee_Relief_Windows_3B!$D$1080:$D$100,"&lt;="&amp;B1080,CBIC_Late_Fee_Relief_Windows_3B!$E$1080:$E$100,"&gt;="&amp;B1080,CBIC_Late_Fee_Relief_Windows_3B!$F$1080:$F$100,"&lt;="&amp;C1080,CBIC_Late_Fee_Relief_Windows_3B!$G$1080:$G$100,"&gt;="&amp;C1080)</f>
        <v/>
      </c>
      <c r="H1080">
        <f>INDEX(CBIC_Late_Fee_Relief_Windows_3B!$I$1080:$I$100,MATCH(G1080,CBIC_Late_Fee_Relief_Windows_3B!$O$1080:$O$100,0))</f>
        <v/>
      </c>
      <c r="I1080">
        <f>MIN(F1080,H1080)</f>
        <v/>
      </c>
    </row>
    <row r="1081">
      <c r="A1081">
        <f>TEST_DATA!A1081</f>
        <v/>
      </c>
      <c r="B1081">
        <f>TEST_DATA!B1081</f>
        <v/>
      </c>
      <c r="C1081">
        <f>TEST_DATA!C1081</f>
        <v/>
      </c>
      <c r="D1081">
        <f>TEST_DATA!D1081</f>
        <v/>
      </c>
      <c r="E1081">
        <f>TEST_DATA!E1081</f>
        <v/>
      </c>
      <c r="F1081">
        <f>MIN(E1081*108100,10000)</f>
        <v/>
      </c>
      <c r="G1081">
        <f>MINIFS(CBIC_Late_Fee_Relief_Windows_3B!$O$1081:$O$100,CBIC_Late_Fee_Relief_Windows_3B!$D$1081:$D$100,"&lt;="&amp;B1081,CBIC_Late_Fee_Relief_Windows_3B!$E$1081:$E$100,"&gt;="&amp;B1081,CBIC_Late_Fee_Relief_Windows_3B!$F$1081:$F$100,"&lt;="&amp;C1081,CBIC_Late_Fee_Relief_Windows_3B!$G$1081:$G$100,"&gt;="&amp;C1081)</f>
        <v/>
      </c>
      <c r="H1081">
        <f>INDEX(CBIC_Late_Fee_Relief_Windows_3B!$I$1081:$I$100,MATCH(G1081,CBIC_Late_Fee_Relief_Windows_3B!$O$1081:$O$100,0))</f>
        <v/>
      </c>
      <c r="I1081">
        <f>MIN(F1081,H1081)</f>
        <v/>
      </c>
    </row>
    <row r="1082">
      <c r="A1082">
        <f>TEST_DATA!A1082</f>
        <v/>
      </c>
      <c r="B1082">
        <f>TEST_DATA!B1082</f>
        <v/>
      </c>
      <c r="C1082">
        <f>TEST_DATA!C1082</f>
        <v/>
      </c>
      <c r="D1082">
        <f>TEST_DATA!D1082</f>
        <v/>
      </c>
      <c r="E1082">
        <f>TEST_DATA!E1082</f>
        <v/>
      </c>
      <c r="F1082">
        <f>MIN(E1082*108200,10000)</f>
        <v/>
      </c>
      <c r="G1082">
        <f>MINIFS(CBIC_Late_Fee_Relief_Windows_3B!$O$1082:$O$100,CBIC_Late_Fee_Relief_Windows_3B!$D$1082:$D$100,"&lt;="&amp;B1082,CBIC_Late_Fee_Relief_Windows_3B!$E$1082:$E$100,"&gt;="&amp;B1082,CBIC_Late_Fee_Relief_Windows_3B!$F$1082:$F$100,"&lt;="&amp;C1082,CBIC_Late_Fee_Relief_Windows_3B!$G$1082:$G$100,"&gt;="&amp;C1082)</f>
        <v/>
      </c>
      <c r="H1082">
        <f>INDEX(CBIC_Late_Fee_Relief_Windows_3B!$I$1082:$I$100,MATCH(G1082,CBIC_Late_Fee_Relief_Windows_3B!$O$1082:$O$100,0))</f>
        <v/>
      </c>
      <c r="I1082">
        <f>MIN(F1082,H1082)</f>
        <v/>
      </c>
    </row>
    <row r="1083">
      <c r="A1083">
        <f>TEST_DATA!A1083</f>
        <v/>
      </c>
      <c r="B1083">
        <f>TEST_DATA!B1083</f>
        <v/>
      </c>
      <c r="C1083">
        <f>TEST_DATA!C1083</f>
        <v/>
      </c>
      <c r="D1083">
        <f>TEST_DATA!D1083</f>
        <v/>
      </c>
      <c r="E1083">
        <f>TEST_DATA!E1083</f>
        <v/>
      </c>
      <c r="F1083">
        <f>MIN(E1083*108300,10000)</f>
        <v/>
      </c>
      <c r="G1083">
        <f>MINIFS(CBIC_Late_Fee_Relief_Windows_3B!$O$1083:$O$100,CBIC_Late_Fee_Relief_Windows_3B!$D$1083:$D$100,"&lt;="&amp;B1083,CBIC_Late_Fee_Relief_Windows_3B!$E$1083:$E$100,"&gt;="&amp;B1083,CBIC_Late_Fee_Relief_Windows_3B!$F$1083:$F$100,"&lt;="&amp;C1083,CBIC_Late_Fee_Relief_Windows_3B!$G$1083:$G$100,"&gt;="&amp;C1083)</f>
        <v/>
      </c>
      <c r="H1083">
        <f>INDEX(CBIC_Late_Fee_Relief_Windows_3B!$I$1083:$I$100,MATCH(G1083,CBIC_Late_Fee_Relief_Windows_3B!$O$1083:$O$100,0))</f>
        <v/>
      </c>
      <c r="I1083">
        <f>MIN(F1083,H1083)</f>
        <v/>
      </c>
    </row>
    <row r="1084">
      <c r="A1084">
        <f>TEST_DATA!A1084</f>
        <v/>
      </c>
      <c r="B1084">
        <f>TEST_DATA!B1084</f>
        <v/>
      </c>
      <c r="C1084">
        <f>TEST_DATA!C1084</f>
        <v/>
      </c>
      <c r="D1084">
        <f>TEST_DATA!D1084</f>
        <v/>
      </c>
      <c r="E1084">
        <f>TEST_DATA!E1084</f>
        <v/>
      </c>
      <c r="F1084">
        <f>MIN(E1084*108400,10000)</f>
        <v/>
      </c>
      <c r="G1084">
        <f>MINIFS(CBIC_Late_Fee_Relief_Windows_3B!$O$1084:$O$100,CBIC_Late_Fee_Relief_Windows_3B!$D$1084:$D$100,"&lt;="&amp;B1084,CBIC_Late_Fee_Relief_Windows_3B!$E$1084:$E$100,"&gt;="&amp;B1084,CBIC_Late_Fee_Relief_Windows_3B!$F$1084:$F$100,"&lt;="&amp;C1084,CBIC_Late_Fee_Relief_Windows_3B!$G$1084:$G$100,"&gt;="&amp;C1084)</f>
        <v/>
      </c>
      <c r="H1084">
        <f>INDEX(CBIC_Late_Fee_Relief_Windows_3B!$I$1084:$I$100,MATCH(G1084,CBIC_Late_Fee_Relief_Windows_3B!$O$1084:$O$100,0))</f>
        <v/>
      </c>
      <c r="I1084">
        <f>MIN(F1084,H1084)</f>
        <v/>
      </c>
    </row>
    <row r="1085">
      <c r="A1085">
        <f>TEST_DATA!A1085</f>
        <v/>
      </c>
      <c r="B1085">
        <f>TEST_DATA!B1085</f>
        <v/>
      </c>
      <c r="C1085">
        <f>TEST_DATA!C1085</f>
        <v/>
      </c>
      <c r="D1085">
        <f>TEST_DATA!D1085</f>
        <v/>
      </c>
      <c r="E1085">
        <f>TEST_DATA!E1085</f>
        <v/>
      </c>
      <c r="F1085">
        <f>MIN(E1085*108500,10000)</f>
        <v/>
      </c>
      <c r="G1085">
        <f>MINIFS(CBIC_Late_Fee_Relief_Windows_3B!$O$1085:$O$100,CBIC_Late_Fee_Relief_Windows_3B!$D$1085:$D$100,"&lt;="&amp;B1085,CBIC_Late_Fee_Relief_Windows_3B!$E$1085:$E$100,"&gt;="&amp;B1085,CBIC_Late_Fee_Relief_Windows_3B!$F$1085:$F$100,"&lt;="&amp;C1085,CBIC_Late_Fee_Relief_Windows_3B!$G$1085:$G$100,"&gt;="&amp;C1085)</f>
        <v/>
      </c>
      <c r="H1085">
        <f>INDEX(CBIC_Late_Fee_Relief_Windows_3B!$I$1085:$I$100,MATCH(G1085,CBIC_Late_Fee_Relief_Windows_3B!$O$1085:$O$100,0))</f>
        <v/>
      </c>
      <c r="I1085">
        <f>MIN(F1085,H1085)</f>
        <v/>
      </c>
    </row>
    <row r="1086">
      <c r="A1086">
        <f>TEST_DATA!A1086</f>
        <v/>
      </c>
      <c r="B1086">
        <f>TEST_DATA!B1086</f>
        <v/>
      </c>
      <c r="C1086">
        <f>TEST_DATA!C1086</f>
        <v/>
      </c>
      <c r="D1086">
        <f>TEST_DATA!D1086</f>
        <v/>
      </c>
      <c r="E1086">
        <f>TEST_DATA!E1086</f>
        <v/>
      </c>
      <c r="F1086">
        <f>MIN(E1086*108600,10000)</f>
        <v/>
      </c>
      <c r="G1086">
        <f>MINIFS(CBIC_Late_Fee_Relief_Windows_3B!$O$1086:$O$100,CBIC_Late_Fee_Relief_Windows_3B!$D$1086:$D$100,"&lt;="&amp;B1086,CBIC_Late_Fee_Relief_Windows_3B!$E$1086:$E$100,"&gt;="&amp;B1086,CBIC_Late_Fee_Relief_Windows_3B!$F$1086:$F$100,"&lt;="&amp;C1086,CBIC_Late_Fee_Relief_Windows_3B!$G$1086:$G$100,"&gt;="&amp;C1086)</f>
        <v/>
      </c>
      <c r="H1086">
        <f>INDEX(CBIC_Late_Fee_Relief_Windows_3B!$I$1086:$I$100,MATCH(G1086,CBIC_Late_Fee_Relief_Windows_3B!$O$1086:$O$100,0))</f>
        <v/>
      </c>
      <c r="I1086">
        <f>MIN(F1086,H1086)</f>
        <v/>
      </c>
    </row>
    <row r="1087">
      <c r="A1087">
        <f>TEST_DATA!A1087</f>
        <v/>
      </c>
      <c r="B1087">
        <f>TEST_DATA!B1087</f>
        <v/>
      </c>
      <c r="C1087">
        <f>TEST_DATA!C1087</f>
        <v/>
      </c>
      <c r="D1087">
        <f>TEST_DATA!D1087</f>
        <v/>
      </c>
      <c r="E1087">
        <f>TEST_DATA!E1087</f>
        <v/>
      </c>
      <c r="F1087">
        <f>MIN(E1087*108700,10000)</f>
        <v/>
      </c>
      <c r="G1087">
        <f>MINIFS(CBIC_Late_Fee_Relief_Windows_3B!$O$1087:$O$100,CBIC_Late_Fee_Relief_Windows_3B!$D$1087:$D$100,"&lt;="&amp;B1087,CBIC_Late_Fee_Relief_Windows_3B!$E$1087:$E$100,"&gt;="&amp;B1087,CBIC_Late_Fee_Relief_Windows_3B!$F$1087:$F$100,"&lt;="&amp;C1087,CBIC_Late_Fee_Relief_Windows_3B!$G$1087:$G$100,"&gt;="&amp;C1087)</f>
        <v/>
      </c>
      <c r="H1087">
        <f>INDEX(CBIC_Late_Fee_Relief_Windows_3B!$I$1087:$I$100,MATCH(G1087,CBIC_Late_Fee_Relief_Windows_3B!$O$1087:$O$100,0))</f>
        <v/>
      </c>
      <c r="I1087">
        <f>MIN(F1087,H1087)</f>
        <v/>
      </c>
    </row>
    <row r="1088">
      <c r="A1088">
        <f>TEST_DATA!A1088</f>
        <v/>
      </c>
      <c r="B1088">
        <f>TEST_DATA!B1088</f>
        <v/>
      </c>
      <c r="C1088">
        <f>TEST_DATA!C1088</f>
        <v/>
      </c>
      <c r="D1088">
        <f>TEST_DATA!D1088</f>
        <v/>
      </c>
      <c r="E1088">
        <f>TEST_DATA!E1088</f>
        <v/>
      </c>
      <c r="F1088">
        <f>MIN(E1088*108800,10000)</f>
        <v/>
      </c>
      <c r="G1088">
        <f>MINIFS(CBIC_Late_Fee_Relief_Windows_3B!$O$1088:$O$100,CBIC_Late_Fee_Relief_Windows_3B!$D$1088:$D$100,"&lt;="&amp;B1088,CBIC_Late_Fee_Relief_Windows_3B!$E$1088:$E$100,"&gt;="&amp;B1088,CBIC_Late_Fee_Relief_Windows_3B!$F$1088:$F$100,"&lt;="&amp;C1088,CBIC_Late_Fee_Relief_Windows_3B!$G$1088:$G$100,"&gt;="&amp;C1088)</f>
        <v/>
      </c>
      <c r="H1088">
        <f>INDEX(CBIC_Late_Fee_Relief_Windows_3B!$I$1088:$I$100,MATCH(G1088,CBIC_Late_Fee_Relief_Windows_3B!$O$1088:$O$100,0))</f>
        <v/>
      </c>
      <c r="I1088">
        <f>MIN(F1088,H1088)</f>
        <v/>
      </c>
    </row>
    <row r="1089">
      <c r="A1089">
        <f>TEST_DATA!A1089</f>
        <v/>
      </c>
      <c r="B1089">
        <f>TEST_DATA!B1089</f>
        <v/>
      </c>
      <c r="C1089">
        <f>TEST_DATA!C1089</f>
        <v/>
      </c>
      <c r="D1089">
        <f>TEST_DATA!D1089</f>
        <v/>
      </c>
      <c r="E1089">
        <f>TEST_DATA!E1089</f>
        <v/>
      </c>
      <c r="F1089">
        <f>MIN(E1089*108900,10000)</f>
        <v/>
      </c>
      <c r="G1089">
        <f>MINIFS(CBIC_Late_Fee_Relief_Windows_3B!$O$1089:$O$100,CBIC_Late_Fee_Relief_Windows_3B!$D$1089:$D$100,"&lt;="&amp;B1089,CBIC_Late_Fee_Relief_Windows_3B!$E$1089:$E$100,"&gt;="&amp;B1089,CBIC_Late_Fee_Relief_Windows_3B!$F$1089:$F$100,"&lt;="&amp;C1089,CBIC_Late_Fee_Relief_Windows_3B!$G$1089:$G$100,"&gt;="&amp;C1089)</f>
        <v/>
      </c>
      <c r="H1089">
        <f>INDEX(CBIC_Late_Fee_Relief_Windows_3B!$I$1089:$I$100,MATCH(G1089,CBIC_Late_Fee_Relief_Windows_3B!$O$1089:$O$100,0))</f>
        <v/>
      </c>
      <c r="I1089">
        <f>MIN(F1089,H1089)</f>
        <v/>
      </c>
    </row>
    <row r="1090">
      <c r="A1090">
        <f>TEST_DATA!A1090</f>
        <v/>
      </c>
      <c r="B1090">
        <f>TEST_DATA!B1090</f>
        <v/>
      </c>
      <c r="C1090">
        <f>TEST_DATA!C1090</f>
        <v/>
      </c>
      <c r="D1090">
        <f>TEST_DATA!D1090</f>
        <v/>
      </c>
      <c r="E1090">
        <f>TEST_DATA!E1090</f>
        <v/>
      </c>
      <c r="F1090">
        <f>MIN(E1090*109000,10000)</f>
        <v/>
      </c>
      <c r="G1090">
        <f>MINIFS(CBIC_Late_Fee_Relief_Windows_3B!$O$1090:$O$100,CBIC_Late_Fee_Relief_Windows_3B!$D$1090:$D$100,"&lt;="&amp;B1090,CBIC_Late_Fee_Relief_Windows_3B!$E$1090:$E$100,"&gt;="&amp;B1090,CBIC_Late_Fee_Relief_Windows_3B!$F$1090:$F$100,"&lt;="&amp;C1090,CBIC_Late_Fee_Relief_Windows_3B!$G$1090:$G$100,"&gt;="&amp;C1090)</f>
        <v/>
      </c>
      <c r="H1090">
        <f>INDEX(CBIC_Late_Fee_Relief_Windows_3B!$I$1090:$I$100,MATCH(G1090,CBIC_Late_Fee_Relief_Windows_3B!$O$1090:$O$100,0))</f>
        <v/>
      </c>
      <c r="I1090">
        <f>MIN(F1090,H1090)</f>
        <v/>
      </c>
    </row>
    <row r="1091">
      <c r="A1091">
        <f>TEST_DATA!A1091</f>
        <v/>
      </c>
      <c r="B1091">
        <f>TEST_DATA!B1091</f>
        <v/>
      </c>
      <c r="C1091">
        <f>TEST_DATA!C1091</f>
        <v/>
      </c>
      <c r="D1091">
        <f>TEST_DATA!D1091</f>
        <v/>
      </c>
      <c r="E1091">
        <f>TEST_DATA!E1091</f>
        <v/>
      </c>
      <c r="F1091">
        <f>MIN(E1091*109100,10000)</f>
        <v/>
      </c>
      <c r="G1091">
        <f>MINIFS(CBIC_Late_Fee_Relief_Windows_3B!$O$1091:$O$100,CBIC_Late_Fee_Relief_Windows_3B!$D$1091:$D$100,"&lt;="&amp;B1091,CBIC_Late_Fee_Relief_Windows_3B!$E$1091:$E$100,"&gt;="&amp;B1091,CBIC_Late_Fee_Relief_Windows_3B!$F$1091:$F$100,"&lt;="&amp;C1091,CBIC_Late_Fee_Relief_Windows_3B!$G$1091:$G$100,"&gt;="&amp;C1091)</f>
        <v/>
      </c>
      <c r="H1091">
        <f>INDEX(CBIC_Late_Fee_Relief_Windows_3B!$I$1091:$I$100,MATCH(G1091,CBIC_Late_Fee_Relief_Windows_3B!$O$1091:$O$100,0))</f>
        <v/>
      </c>
      <c r="I1091">
        <f>MIN(F1091,H1091)</f>
        <v/>
      </c>
    </row>
    <row r="1092">
      <c r="A1092">
        <f>TEST_DATA!A1092</f>
        <v/>
      </c>
      <c r="B1092">
        <f>TEST_DATA!B1092</f>
        <v/>
      </c>
      <c r="C1092">
        <f>TEST_DATA!C1092</f>
        <v/>
      </c>
      <c r="D1092">
        <f>TEST_DATA!D1092</f>
        <v/>
      </c>
      <c r="E1092">
        <f>TEST_DATA!E1092</f>
        <v/>
      </c>
      <c r="F1092">
        <f>MIN(E1092*109200,10000)</f>
        <v/>
      </c>
      <c r="G1092">
        <f>MINIFS(CBIC_Late_Fee_Relief_Windows_3B!$O$1092:$O$100,CBIC_Late_Fee_Relief_Windows_3B!$D$1092:$D$100,"&lt;="&amp;B1092,CBIC_Late_Fee_Relief_Windows_3B!$E$1092:$E$100,"&gt;="&amp;B1092,CBIC_Late_Fee_Relief_Windows_3B!$F$1092:$F$100,"&lt;="&amp;C1092,CBIC_Late_Fee_Relief_Windows_3B!$G$1092:$G$100,"&gt;="&amp;C1092)</f>
        <v/>
      </c>
      <c r="H1092">
        <f>INDEX(CBIC_Late_Fee_Relief_Windows_3B!$I$1092:$I$100,MATCH(G1092,CBIC_Late_Fee_Relief_Windows_3B!$O$1092:$O$100,0))</f>
        <v/>
      </c>
      <c r="I1092">
        <f>MIN(F1092,H1092)</f>
        <v/>
      </c>
    </row>
    <row r="1093">
      <c r="A1093">
        <f>TEST_DATA!A1093</f>
        <v/>
      </c>
      <c r="B1093">
        <f>TEST_DATA!B1093</f>
        <v/>
      </c>
      <c r="C1093">
        <f>TEST_DATA!C1093</f>
        <v/>
      </c>
      <c r="D1093">
        <f>TEST_DATA!D1093</f>
        <v/>
      </c>
      <c r="E1093">
        <f>TEST_DATA!E1093</f>
        <v/>
      </c>
      <c r="F1093">
        <f>MIN(E1093*109300,10000)</f>
        <v/>
      </c>
      <c r="G1093">
        <f>MINIFS(CBIC_Late_Fee_Relief_Windows_3B!$O$1093:$O$100,CBIC_Late_Fee_Relief_Windows_3B!$D$1093:$D$100,"&lt;="&amp;B1093,CBIC_Late_Fee_Relief_Windows_3B!$E$1093:$E$100,"&gt;="&amp;B1093,CBIC_Late_Fee_Relief_Windows_3B!$F$1093:$F$100,"&lt;="&amp;C1093,CBIC_Late_Fee_Relief_Windows_3B!$G$1093:$G$100,"&gt;="&amp;C1093)</f>
        <v/>
      </c>
      <c r="H1093">
        <f>INDEX(CBIC_Late_Fee_Relief_Windows_3B!$I$1093:$I$100,MATCH(G1093,CBIC_Late_Fee_Relief_Windows_3B!$O$1093:$O$100,0))</f>
        <v/>
      </c>
      <c r="I1093">
        <f>MIN(F1093,H1093)</f>
        <v/>
      </c>
    </row>
    <row r="1094">
      <c r="A1094">
        <f>TEST_DATA!A1094</f>
        <v/>
      </c>
      <c r="B1094">
        <f>TEST_DATA!B1094</f>
        <v/>
      </c>
      <c r="C1094">
        <f>TEST_DATA!C1094</f>
        <v/>
      </c>
      <c r="D1094">
        <f>TEST_DATA!D1094</f>
        <v/>
      </c>
      <c r="E1094">
        <f>TEST_DATA!E1094</f>
        <v/>
      </c>
      <c r="F1094">
        <f>MIN(E1094*109400,10000)</f>
        <v/>
      </c>
      <c r="G1094">
        <f>MINIFS(CBIC_Late_Fee_Relief_Windows_3B!$O$1094:$O$100,CBIC_Late_Fee_Relief_Windows_3B!$D$1094:$D$100,"&lt;="&amp;B1094,CBIC_Late_Fee_Relief_Windows_3B!$E$1094:$E$100,"&gt;="&amp;B1094,CBIC_Late_Fee_Relief_Windows_3B!$F$1094:$F$100,"&lt;="&amp;C1094,CBIC_Late_Fee_Relief_Windows_3B!$G$1094:$G$100,"&gt;="&amp;C1094)</f>
        <v/>
      </c>
      <c r="H1094">
        <f>INDEX(CBIC_Late_Fee_Relief_Windows_3B!$I$1094:$I$100,MATCH(G1094,CBIC_Late_Fee_Relief_Windows_3B!$O$1094:$O$100,0))</f>
        <v/>
      </c>
      <c r="I1094">
        <f>MIN(F1094,H1094)</f>
        <v/>
      </c>
    </row>
    <row r="1095">
      <c r="A1095">
        <f>TEST_DATA!A1095</f>
        <v/>
      </c>
      <c r="B1095">
        <f>TEST_DATA!B1095</f>
        <v/>
      </c>
      <c r="C1095">
        <f>TEST_DATA!C1095</f>
        <v/>
      </c>
      <c r="D1095">
        <f>TEST_DATA!D1095</f>
        <v/>
      </c>
      <c r="E1095">
        <f>TEST_DATA!E1095</f>
        <v/>
      </c>
      <c r="F1095">
        <f>MIN(E1095*109500,10000)</f>
        <v/>
      </c>
      <c r="G1095">
        <f>MINIFS(CBIC_Late_Fee_Relief_Windows_3B!$O$1095:$O$100,CBIC_Late_Fee_Relief_Windows_3B!$D$1095:$D$100,"&lt;="&amp;B1095,CBIC_Late_Fee_Relief_Windows_3B!$E$1095:$E$100,"&gt;="&amp;B1095,CBIC_Late_Fee_Relief_Windows_3B!$F$1095:$F$100,"&lt;="&amp;C1095,CBIC_Late_Fee_Relief_Windows_3B!$G$1095:$G$100,"&gt;="&amp;C1095)</f>
        <v/>
      </c>
      <c r="H1095">
        <f>INDEX(CBIC_Late_Fee_Relief_Windows_3B!$I$1095:$I$100,MATCH(G1095,CBIC_Late_Fee_Relief_Windows_3B!$O$1095:$O$100,0))</f>
        <v/>
      </c>
      <c r="I1095">
        <f>MIN(F1095,H1095)</f>
        <v/>
      </c>
    </row>
    <row r="1096">
      <c r="A1096">
        <f>TEST_DATA!A1096</f>
        <v/>
      </c>
      <c r="B1096">
        <f>TEST_DATA!B1096</f>
        <v/>
      </c>
      <c r="C1096">
        <f>TEST_DATA!C1096</f>
        <v/>
      </c>
      <c r="D1096">
        <f>TEST_DATA!D1096</f>
        <v/>
      </c>
      <c r="E1096">
        <f>TEST_DATA!E1096</f>
        <v/>
      </c>
      <c r="F1096">
        <f>MIN(E1096*109600,10000)</f>
        <v/>
      </c>
      <c r="G1096">
        <f>MINIFS(CBIC_Late_Fee_Relief_Windows_3B!$O$1096:$O$100,CBIC_Late_Fee_Relief_Windows_3B!$D$1096:$D$100,"&lt;="&amp;B1096,CBIC_Late_Fee_Relief_Windows_3B!$E$1096:$E$100,"&gt;="&amp;B1096,CBIC_Late_Fee_Relief_Windows_3B!$F$1096:$F$100,"&lt;="&amp;C1096,CBIC_Late_Fee_Relief_Windows_3B!$G$1096:$G$100,"&gt;="&amp;C1096)</f>
        <v/>
      </c>
      <c r="H1096">
        <f>INDEX(CBIC_Late_Fee_Relief_Windows_3B!$I$1096:$I$100,MATCH(G1096,CBIC_Late_Fee_Relief_Windows_3B!$O$1096:$O$100,0))</f>
        <v/>
      </c>
      <c r="I1096">
        <f>MIN(F1096,H1096)</f>
        <v/>
      </c>
    </row>
    <row r="1097">
      <c r="A1097">
        <f>TEST_DATA!A1097</f>
        <v/>
      </c>
      <c r="B1097">
        <f>TEST_DATA!B1097</f>
        <v/>
      </c>
      <c r="C1097">
        <f>TEST_DATA!C1097</f>
        <v/>
      </c>
      <c r="D1097">
        <f>TEST_DATA!D1097</f>
        <v/>
      </c>
      <c r="E1097">
        <f>TEST_DATA!E1097</f>
        <v/>
      </c>
      <c r="F1097">
        <f>MIN(E1097*109700,10000)</f>
        <v/>
      </c>
      <c r="G1097">
        <f>MINIFS(CBIC_Late_Fee_Relief_Windows_3B!$O$1097:$O$100,CBIC_Late_Fee_Relief_Windows_3B!$D$1097:$D$100,"&lt;="&amp;B1097,CBIC_Late_Fee_Relief_Windows_3B!$E$1097:$E$100,"&gt;="&amp;B1097,CBIC_Late_Fee_Relief_Windows_3B!$F$1097:$F$100,"&lt;="&amp;C1097,CBIC_Late_Fee_Relief_Windows_3B!$G$1097:$G$100,"&gt;="&amp;C1097)</f>
        <v/>
      </c>
      <c r="H1097">
        <f>INDEX(CBIC_Late_Fee_Relief_Windows_3B!$I$1097:$I$100,MATCH(G1097,CBIC_Late_Fee_Relief_Windows_3B!$O$1097:$O$100,0))</f>
        <v/>
      </c>
      <c r="I1097">
        <f>MIN(F1097,H1097)</f>
        <v/>
      </c>
    </row>
    <row r="1098">
      <c r="A1098">
        <f>TEST_DATA!A1098</f>
        <v/>
      </c>
      <c r="B1098">
        <f>TEST_DATA!B1098</f>
        <v/>
      </c>
      <c r="C1098">
        <f>TEST_DATA!C1098</f>
        <v/>
      </c>
      <c r="D1098">
        <f>TEST_DATA!D1098</f>
        <v/>
      </c>
      <c r="E1098">
        <f>TEST_DATA!E1098</f>
        <v/>
      </c>
      <c r="F1098">
        <f>MIN(E1098*109800,10000)</f>
        <v/>
      </c>
      <c r="G1098">
        <f>MINIFS(CBIC_Late_Fee_Relief_Windows_3B!$O$1098:$O$100,CBIC_Late_Fee_Relief_Windows_3B!$D$1098:$D$100,"&lt;="&amp;B1098,CBIC_Late_Fee_Relief_Windows_3B!$E$1098:$E$100,"&gt;="&amp;B1098,CBIC_Late_Fee_Relief_Windows_3B!$F$1098:$F$100,"&lt;="&amp;C1098,CBIC_Late_Fee_Relief_Windows_3B!$G$1098:$G$100,"&gt;="&amp;C1098)</f>
        <v/>
      </c>
      <c r="H1098">
        <f>INDEX(CBIC_Late_Fee_Relief_Windows_3B!$I$1098:$I$100,MATCH(G1098,CBIC_Late_Fee_Relief_Windows_3B!$O$1098:$O$100,0))</f>
        <v/>
      </c>
      <c r="I1098">
        <f>MIN(F1098,H1098)</f>
        <v/>
      </c>
    </row>
    <row r="1099">
      <c r="A1099">
        <f>TEST_DATA!A1099</f>
        <v/>
      </c>
      <c r="B1099">
        <f>TEST_DATA!B1099</f>
        <v/>
      </c>
      <c r="C1099">
        <f>TEST_DATA!C1099</f>
        <v/>
      </c>
      <c r="D1099">
        <f>TEST_DATA!D1099</f>
        <v/>
      </c>
      <c r="E1099">
        <f>TEST_DATA!E1099</f>
        <v/>
      </c>
      <c r="F1099">
        <f>MIN(E1099*109900,10000)</f>
        <v/>
      </c>
      <c r="G1099">
        <f>MINIFS(CBIC_Late_Fee_Relief_Windows_3B!$O$1099:$O$100,CBIC_Late_Fee_Relief_Windows_3B!$D$1099:$D$100,"&lt;="&amp;B1099,CBIC_Late_Fee_Relief_Windows_3B!$E$1099:$E$100,"&gt;="&amp;B1099,CBIC_Late_Fee_Relief_Windows_3B!$F$1099:$F$100,"&lt;="&amp;C1099,CBIC_Late_Fee_Relief_Windows_3B!$G$1099:$G$100,"&gt;="&amp;C1099)</f>
        <v/>
      </c>
      <c r="H1099">
        <f>INDEX(CBIC_Late_Fee_Relief_Windows_3B!$I$1099:$I$100,MATCH(G1099,CBIC_Late_Fee_Relief_Windows_3B!$O$1099:$O$100,0))</f>
        <v/>
      </c>
      <c r="I1099">
        <f>MIN(F1099,H1099)</f>
        <v/>
      </c>
    </row>
    <row r="1100">
      <c r="A1100">
        <f>TEST_DATA!A1100</f>
        <v/>
      </c>
      <c r="B1100">
        <f>TEST_DATA!B1100</f>
        <v/>
      </c>
      <c r="C1100">
        <f>TEST_DATA!C1100</f>
        <v/>
      </c>
      <c r="D1100">
        <f>TEST_DATA!D1100</f>
        <v/>
      </c>
      <c r="E1100">
        <f>TEST_DATA!E1100</f>
        <v/>
      </c>
      <c r="F1100">
        <f>MIN(E1100*110000,10000)</f>
        <v/>
      </c>
      <c r="G1100">
        <f>MINIFS(CBIC_Late_Fee_Relief_Windows_3B!$O$1100:$O$100,CBIC_Late_Fee_Relief_Windows_3B!$D$1100:$D$100,"&lt;="&amp;B1100,CBIC_Late_Fee_Relief_Windows_3B!$E$1100:$E$100,"&gt;="&amp;B1100,CBIC_Late_Fee_Relief_Windows_3B!$F$1100:$F$100,"&lt;="&amp;C1100,CBIC_Late_Fee_Relief_Windows_3B!$G$1100:$G$100,"&gt;="&amp;C1100)</f>
        <v/>
      </c>
      <c r="H1100">
        <f>INDEX(CBIC_Late_Fee_Relief_Windows_3B!$I$1100:$I$100,MATCH(G1100,CBIC_Late_Fee_Relief_Windows_3B!$O$1100:$O$100,0))</f>
        <v/>
      </c>
      <c r="I1100">
        <f>MIN(F1100,H1100)</f>
        <v/>
      </c>
    </row>
    <row r="1101">
      <c r="A1101">
        <f>TEST_DATA!A1101</f>
        <v/>
      </c>
      <c r="B1101">
        <f>TEST_DATA!B1101</f>
        <v/>
      </c>
      <c r="C1101">
        <f>TEST_DATA!C1101</f>
        <v/>
      </c>
      <c r="D1101">
        <f>TEST_DATA!D1101</f>
        <v/>
      </c>
      <c r="E1101">
        <f>TEST_DATA!E1101</f>
        <v/>
      </c>
      <c r="F1101">
        <f>MIN(E1101*110100,10000)</f>
        <v/>
      </c>
      <c r="G1101">
        <f>MINIFS(CBIC_Late_Fee_Relief_Windows_3B!$O$1101:$O$100,CBIC_Late_Fee_Relief_Windows_3B!$D$1101:$D$100,"&lt;="&amp;B1101,CBIC_Late_Fee_Relief_Windows_3B!$E$1101:$E$100,"&gt;="&amp;B1101,CBIC_Late_Fee_Relief_Windows_3B!$F$1101:$F$100,"&lt;="&amp;C1101,CBIC_Late_Fee_Relief_Windows_3B!$G$1101:$G$100,"&gt;="&amp;C1101)</f>
        <v/>
      </c>
      <c r="H1101">
        <f>INDEX(CBIC_Late_Fee_Relief_Windows_3B!$I$1101:$I$100,MATCH(G1101,CBIC_Late_Fee_Relief_Windows_3B!$O$1101:$O$100,0))</f>
        <v/>
      </c>
      <c r="I1101">
        <f>MIN(F1101,H1101)</f>
        <v/>
      </c>
    </row>
    <row r="1102">
      <c r="A1102">
        <f>TEST_DATA!A1102</f>
        <v/>
      </c>
      <c r="B1102">
        <f>TEST_DATA!B1102</f>
        <v/>
      </c>
      <c r="C1102">
        <f>TEST_DATA!C1102</f>
        <v/>
      </c>
      <c r="D1102">
        <f>TEST_DATA!D1102</f>
        <v/>
      </c>
      <c r="E1102">
        <f>TEST_DATA!E1102</f>
        <v/>
      </c>
      <c r="F1102">
        <f>MIN(E1102*110200,10000)</f>
        <v/>
      </c>
      <c r="G1102">
        <f>MINIFS(CBIC_Late_Fee_Relief_Windows_3B!$O$1102:$O$100,CBIC_Late_Fee_Relief_Windows_3B!$D$1102:$D$100,"&lt;="&amp;B1102,CBIC_Late_Fee_Relief_Windows_3B!$E$1102:$E$100,"&gt;="&amp;B1102,CBIC_Late_Fee_Relief_Windows_3B!$F$1102:$F$100,"&lt;="&amp;C1102,CBIC_Late_Fee_Relief_Windows_3B!$G$1102:$G$100,"&gt;="&amp;C1102)</f>
        <v/>
      </c>
      <c r="H1102">
        <f>INDEX(CBIC_Late_Fee_Relief_Windows_3B!$I$1102:$I$100,MATCH(G1102,CBIC_Late_Fee_Relief_Windows_3B!$O$1102:$O$100,0))</f>
        <v/>
      </c>
      <c r="I1102">
        <f>MIN(F1102,H1102)</f>
        <v/>
      </c>
    </row>
    <row r="1103">
      <c r="A1103">
        <f>TEST_DATA!A1103</f>
        <v/>
      </c>
      <c r="B1103">
        <f>TEST_DATA!B1103</f>
        <v/>
      </c>
      <c r="C1103">
        <f>TEST_DATA!C1103</f>
        <v/>
      </c>
      <c r="D1103">
        <f>TEST_DATA!D1103</f>
        <v/>
      </c>
      <c r="E1103">
        <f>TEST_DATA!E1103</f>
        <v/>
      </c>
      <c r="F1103">
        <f>MIN(E1103*110300,10000)</f>
        <v/>
      </c>
      <c r="G1103">
        <f>MINIFS(CBIC_Late_Fee_Relief_Windows_3B!$O$1103:$O$100,CBIC_Late_Fee_Relief_Windows_3B!$D$1103:$D$100,"&lt;="&amp;B1103,CBIC_Late_Fee_Relief_Windows_3B!$E$1103:$E$100,"&gt;="&amp;B1103,CBIC_Late_Fee_Relief_Windows_3B!$F$1103:$F$100,"&lt;="&amp;C1103,CBIC_Late_Fee_Relief_Windows_3B!$G$1103:$G$100,"&gt;="&amp;C1103)</f>
        <v/>
      </c>
      <c r="H1103">
        <f>INDEX(CBIC_Late_Fee_Relief_Windows_3B!$I$1103:$I$100,MATCH(G1103,CBIC_Late_Fee_Relief_Windows_3B!$O$1103:$O$100,0))</f>
        <v/>
      </c>
      <c r="I1103">
        <f>MIN(F1103,H1103)</f>
        <v/>
      </c>
    </row>
    <row r="1104">
      <c r="A1104">
        <f>TEST_DATA!A1104</f>
        <v/>
      </c>
      <c r="B1104">
        <f>TEST_DATA!B1104</f>
        <v/>
      </c>
      <c r="C1104">
        <f>TEST_DATA!C1104</f>
        <v/>
      </c>
      <c r="D1104">
        <f>TEST_DATA!D1104</f>
        <v/>
      </c>
      <c r="E1104">
        <f>TEST_DATA!E1104</f>
        <v/>
      </c>
      <c r="F1104">
        <f>MIN(E1104*110400,10000)</f>
        <v/>
      </c>
      <c r="G1104">
        <f>MINIFS(CBIC_Late_Fee_Relief_Windows_3B!$O$1104:$O$100,CBIC_Late_Fee_Relief_Windows_3B!$D$1104:$D$100,"&lt;="&amp;B1104,CBIC_Late_Fee_Relief_Windows_3B!$E$1104:$E$100,"&gt;="&amp;B1104,CBIC_Late_Fee_Relief_Windows_3B!$F$1104:$F$100,"&lt;="&amp;C1104,CBIC_Late_Fee_Relief_Windows_3B!$G$1104:$G$100,"&gt;="&amp;C1104)</f>
        <v/>
      </c>
      <c r="H1104">
        <f>INDEX(CBIC_Late_Fee_Relief_Windows_3B!$I$1104:$I$100,MATCH(G1104,CBIC_Late_Fee_Relief_Windows_3B!$O$1104:$O$100,0))</f>
        <v/>
      </c>
      <c r="I1104">
        <f>MIN(F1104,H1104)</f>
        <v/>
      </c>
    </row>
    <row r="1105">
      <c r="A1105">
        <f>TEST_DATA!A1105</f>
        <v/>
      </c>
      <c r="B1105">
        <f>TEST_DATA!B1105</f>
        <v/>
      </c>
      <c r="C1105">
        <f>TEST_DATA!C1105</f>
        <v/>
      </c>
      <c r="D1105">
        <f>TEST_DATA!D1105</f>
        <v/>
      </c>
      <c r="E1105">
        <f>TEST_DATA!E1105</f>
        <v/>
      </c>
      <c r="F1105">
        <f>MIN(E1105*110500,10000)</f>
        <v/>
      </c>
      <c r="G1105">
        <f>MINIFS(CBIC_Late_Fee_Relief_Windows_3B!$O$1105:$O$100,CBIC_Late_Fee_Relief_Windows_3B!$D$1105:$D$100,"&lt;="&amp;B1105,CBIC_Late_Fee_Relief_Windows_3B!$E$1105:$E$100,"&gt;="&amp;B1105,CBIC_Late_Fee_Relief_Windows_3B!$F$1105:$F$100,"&lt;="&amp;C1105,CBIC_Late_Fee_Relief_Windows_3B!$G$1105:$G$100,"&gt;="&amp;C1105)</f>
        <v/>
      </c>
      <c r="H1105">
        <f>INDEX(CBIC_Late_Fee_Relief_Windows_3B!$I$1105:$I$100,MATCH(G1105,CBIC_Late_Fee_Relief_Windows_3B!$O$1105:$O$100,0))</f>
        <v/>
      </c>
      <c r="I1105">
        <f>MIN(F1105,H1105)</f>
        <v/>
      </c>
    </row>
    <row r="1106">
      <c r="A1106">
        <f>TEST_DATA!A1106</f>
        <v/>
      </c>
      <c r="B1106">
        <f>TEST_DATA!B1106</f>
        <v/>
      </c>
      <c r="C1106">
        <f>TEST_DATA!C1106</f>
        <v/>
      </c>
      <c r="D1106">
        <f>TEST_DATA!D1106</f>
        <v/>
      </c>
      <c r="E1106">
        <f>TEST_DATA!E1106</f>
        <v/>
      </c>
      <c r="F1106">
        <f>MIN(E1106*110600,10000)</f>
        <v/>
      </c>
      <c r="G1106">
        <f>MINIFS(CBIC_Late_Fee_Relief_Windows_3B!$O$1106:$O$100,CBIC_Late_Fee_Relief_Windows_3B!$D$1106:$D$100,"&lt;="&amp;B1106,CBIC_Late_Fee_Relief_Windows_3B!$E$1106:$E$100,"&gt;="&amp;B1106,CBIC_Late_Fee_Relief_Windows_3B!$F$1106:$F$100,"&lt;="&amp;C1106,CBIC_Late_Fee_Relief_Windows_3B!$G$1106:$G$100,"&gt;="&amp;C1106)</f>
        <v/>
      </c>
      <c r="H1106">
        <f>INDEX(CBIC_Late_Fee_Relief_Windows_3B!$I$1106:$I$100,MATCH(G1106,CBIC_Late_Fee_Relief_Windows_3B!$O$1106:$O$100,0))</f>
        <v/>
      </c>
      <c r="I1106">
        <f>MIN(F1106,H1106)</f>
        <v/>
      </c>
    </row>
    <row r="1107">
      <c r="A1107">
        <f>TEST_DATA!A1107</f>
        <v/>
      </c>
      <c r="B1107">
        <f>TEST_DATA!B1107</f>
        <v/>
      </c>
      <c r="C1107">
        <f>TEST_DATA!C1107</f>
        <v/>
      </c>
      <c r="D1107">
        <f>TEST_DATA!D1107</f>
        <v/>
      </c>
      <c r="E1107">
        <f>TEST_DATA!E1107</f>
        <v/>
      </c>
      <c r="F1107">
        <f>MIN(E1107*110700,10000)</f>
        <v/>
      </c>
      <c r="G1107">
        <f>MINIFS(CBIC_Late_Fee_Relief_Windows_3B!$O$1107:$O$100,CBIC_Late_Fee_Relief_Windows_3B!$D$1107:$D$100,"&lt;="&amp;B1107,CBIC_Late_Fee_Relief_Windows_3B!$E$1107:$E$100,"&gt;="&amp;B1107,CBIC_Late_Fee_Relief_Windows_3B!$F$1107:$F$100,"&lt;="&amp;C1107,CBIC_Late_Fee_Relief_Windows_3B!$G$1107:$G$100,"&gt;="&amp;C1107)</f>
        <v/>
      </c>
      <c r="H1107">
        <f>INDEX(CBIC_Late_Fee_Relief_Windows_3B!$I$1107:$I$100,MATCH(G1107,CBIC_Late_Fee_Relief_Windows_3B!$O$1107:$O$100,0))</f>
        <v/>
      </c>
      <c r="I1107">
        <f>MIN(F1107,H1107)</f>
        <v/>
      </c>
    </row>
    <row r="1108">
      <c r="A1108">
        <f>TEST_DATA!A1108</f>
        <v/>
      </c>
      <c r="B1108">
        <f>TEST_DATA!B1108</f>
        <v/>
      </c>
      <c r="C1108">
        <f>TEST_DATA!C1108</f>
        <v/>
      </c>
      <c r="D1108">
        <f>TEST_DATA!D1108</f>
        <v/>
      </c>
      <c r="E1108">
        <f>TEST_DATA!E1108</f>
        <v/>
      </c>
      <c r="F1108">
        <f>MIN(E1108*110800,10000)</f>
        <v/>
      </c>
      <c r="G1108">
        <f>MINIFS(CBIC_Late_Fee_Relief_Windows_3B!$O$1108:$O$100,CBIC_Late_Fee_Relief_Windows_3B!$D$1108:$D$100,"&lt;="&amp;B1108,CBIC_Late_Fee_Relief_Windows_3B!$E$1108:$E$100,"&gt;="&amp;B1108,CBIC_Late_Fee_Relief_Windows_3B!$F$1108:$F$100,"&lt;="&amp;C1108,CBIC_Late_Fee_Relief_Windows_3B!$G$1108:$G$100,"&gt;="&amp;C1108)</f>
        <v/>
      </c>
      <c r="H1108">
        <f>INDEX(CBIC_Late_Fee_Relief_Windows_3B!$I$1108:$I$100,MATCH(G1108,CBIC_Late_Fee_Relief_Windows_3B!$O$1108:$O$100,0))</f>
        <v/>
      </c>
      <c r="I1108">
        <f>MIN(F1108,H1108)</f>
        <v/>
      </c>
    </row>
    <row r="1109">
      <c r="A1109">
        <f>TEST_DATA!A1109</f>
        <v/>
      </c>
      <c r="B1109">
        <f>TEST_DATA!B1109</f>
        <v/>
      </c>
      <c r="C1109">
        <f>TEST_DATA!C1109</f>
        <v/>
      </c>
      <c r="D1109">
        <f>TEST_DATA!D1109</f>
        <v/>
      </c>
      <c r="E1109">
        <f>TEST_DATA!E1109</f>
        <v/>
      </c>
      <c r="F1109">
        <f>MIN(E1109*110900,10000)</f>
        <v/>
      </c>
      <c r="G1109">
        <f>MINIFS(CBIC_Late_Fee_Relief_Windows_3B!$O$1109:$O$100,CBIC_Late_Fee_Relief_Windows_3B!$D$1109:$D$100,"&lt;="&amp;B1109,CBIC_Late_Fee_Relief_Windows_3B!$E$1109:$E$100,"&gt;="&amp;B1109,CBIC_Late_Fee_Relief_Windows_3B!$F$1109:$F$100,"&lt;="&amp;C1109,CBIC_Late_Fee_Relief_Windows_3B!$G$1109:$G$100,"&gt;="&amp;C1109)</f>
        <v/>
      </c>
      <c r="H1109">
        <f>INDEX(CBIC_Late_Fee_Relief_Windows_3B!$I$1109:$I$100,MATCH(G1109,CBIC_Late_Fee_Relief_Windows_3B!$O$1109:$O$100,0))</f>
        <v/>
      </c>
      <c r="I1109">
        <f>MIN(F1109,H1109)</f>
        <v/>
      </c>
    </row>
    <row r="1110">
      <c r="A1110">
        <f>TEST_DATA!A1110</f>
        <v/>
      </c>
      <c r="B1110">
        <f>TEST_DATA!B1110</f>
        <v/>
      </c>
      <c r="C1110">
        <f>TEST_DATA!C1110</f>
        <v/>
      </c>
      <c r="D1110">
        <f>TEST_DATA!D1110</f>
        <v/>
      </c>
      <c r="E1110">
        <f>TEST_DATA!E1110</f>
        <v/>
      </c>
      <c r="F1110">
        <f>MIN(E1110*111000,10000)</f>
        <v/>
      </c>
      <c r="G1110">
        <f>MINIFS(CBIC_Late_Fee_Relief_Windows_3B!$O$1110:$O$100,CBIC_Late_Fee_Relief_Windows_3B!$D$1110:$D$100,"&lt;="&amp;B1110,CBIC_Late_Fee_Relief_Windows_3B!$E$1110:$E$100,"&gt;="&amp;B1110,CBIC_Late_Fee_Relief_Windows_3B!$F$1110:$F$100,"&lt;="&amp;C1110,CBIC_Late_Fee_Relief_Windows_3B!$G$1110:$G$100,"&gt;="&amp;C1110)</f>
        <v/>
      </c>
      <c r="H1110">
        <f>INDEX(CBIC_Late_Fee_Relief_Windows_3B!$I$1110:$I$100,MATCH(G1110,CBIC_Late_Fee_Relief_Windows_3B!$O$1110:$O$100,0))</f>
        <v/>
      </c>
      <c r="I1110">
        <f>MIN(F1110,H1110)</f>
        <v/>
      </c>
    </row>
    <row r="1111">
      <c r="A1111">
        <f>TEST_DATA!A1111</f>
        <v/>
      </c>
      <c r="B1111">
        <f>TEST_DATA!B1111</f>
        <v/>
      </c>
      <c r="C1111">
        <f>TEST_DATA!C1111</f>
        <v/>
      </c>
      <c r="D1111">
        <f>TEST_DATA!D1111</f>
        <v/>
      </c>
      <c r="E1111">
        <f>TEST_DATA!E1111</f>
        <v/>
      </c>
      <c r="F1111">
        <f>MIN(E1111*111100,10000)</f>
        <v/>
      </c>
      <c r="G1111">
        <f>MINIFS(CBIC_Late_Fee_Relief_Windows_3B!$O$1111:$O$100,CBIC_Late_Fee_Relief_Windows_3B!$D$1111:$D$100,"&lt;="&amp;B1111,CBIC_Late_Fee_Relief_Windows_3B!$E$1111:$E$100,"&gt;="&amp;B1111,CBIC_Late_Fee_Relief_Windows_3B!$F$1111:$F$100,"&lt;="&amp;C1111,CBIC_Late_Fee_Relief_Windows_3B!$G$1111:$G$100,"&gt;="&amp;C1111)</f>
        <v/>
      </c>
      <c r="H1111">
        <f>INDEX(CBIC_Late_Fee_Relief_Windows_3B!$I$1111:$I$100,MATCH(G1111,CBIC_Late_Fee_Relief_Windows_3B!$O$1111:$O$100,0))</f>
        <v/>
      </c>
      <c r="I1111">
        <f>MIN(F1111,H1111)</f>
        <v/>
      </c>
    </row>
    <row r="1112">
      <c r="A1112">
        <f>TEST_DATA!A1112</f>
        <v/>
      </c>
      <c r="B1112">
        <f>TEST_DATA!B1112</f>
        <v/>
      </c>
      <c r="C1112">
        <f>TEST_DATA!C1112</f>
        <v/>
      </c>
      <c r="D1112">
        <f>TEST_DATA!D1112</f>
        <v/>
      </c>
      <c r="E1112">
        <f>TEST_DATA!E1112</f>
        <v/>
      </c>
      <c r="F1112">
        <f>MIN(E1112*111200,10000)</f>
        <v/>
      </c>
      <c r="G1112">
        <f>MINIFS(CBIC_Late_Fee_Relief_Windows_3B!$O$1112:$O$100,CBIC_Late_Fee_Relief_Windows_3B!$D$1112:$D$100,"&lt;="&amp;B1112,CBIC_Late_Fee_Relief_Windows_3B!$E$1112:$E$100,"&gt;="&amp;B1112,CBIC_Late_Fee_Relief_Windows_3B!$F$1112:$F$100,"&lt;="&amp;C1112,CBIC_Late_Fee_Relief_Windows_3B!$G$1112:$G$100,"&gt;="&amp;C1112)</f>
        <v/>
      </c>
      <c r="H1112">
        <f>INDEX(CBIC_Late_Fee_Relief_Windows_3B!$I$1112:$I$100,MATCH(G1112,CBIC_Late_Fee_Relief_Windows_3B!$O$1112:$O$100,0))</f>
        <v/>
      </c>
      <c r="I1112">
        <f>MIN(F1112,H1112)</f>
        <v/>
      </c>
    </row>
    <row r="1113">
      <c r="A1113">
        <f>TEST_DATA!A1113</f>
        <v/>
      </c>
      <c r="B1113">
        <f>TEST_DATA!B1113</f>
        <v/>
      </c>
      <c r="C1113">
        <f>TEST_DATA!C1113</f>
        <v/>
      </c>
      <c r="D1113">
        <f>TEST_DATA!D1113</f>
        <v/>
      </c>
      <c r="E1113">
        <f>TEST_DATA!E1113</f>
        <v/>
      </c>
      <c r="F1113">
        <f>MIN(E1113*111300,10000)</f>
        <v/>
      </c>
      <c r="G1113">
        <f>MINIFS(CBIC_Late_Fee_Relief_Windows_3B!$O$1113:$O$100,CBIC_Late_Fee_Relief_Windows_3B!$D$1113:$D$100,"&lt;="&amp;B1113,CBIC_Late_Fee_Relief_Windows_3B!$E$1113:$E$100,"&gt;="&amp;B1113,CBIC_Late_Fee_Relief_Windows_3B!$F$1113:$F$100,"&lt;="&amp;C1113,CBIC_Late_Fee_Relief_Windows_3B!$G$1113:$G$100,"&gt;="&amp;C1113)</f>
        <v/>
      </c>
      <c r="H1113">
        <f>INDEX(CBIC_Late_Fee_Relief_Windows_3B!$I$1113:$I$100,MATCH(G1113,CBIC_Late_Fee_Relief_Windows_3B!$O$1113:$O$100,0))</f>
        <v/>
      </c>
      <c r="I1113">
        <f>MIN(F1113,H1113)</f>
        <v/>
      </c>
    </row>
    <row r="1114">
      <c r="A1114">
        <f>TEST_DATA!A1114</f>
        <v/>
      </c>
      <c r="B1114">
        <f>TEST_DATA!B1114</f>
        <v/>
      </c>
      <c r="C1114">
        <f>TEST_DATA!C1114</f>
        <v/>
      </c>
      <c r="D1114">
        <f>TEST_DATA!D1114</f>
        <v/>
      </c>
      <c r="E1114">
        <f>TEST_DATA!E1114</f>
        <v/>
      </c>
      <c r="F1114">
        <f>MIN(E1114*111400,10000)</f>
        <v/>
      </c>
      <c r="G1114">
        <f>MINIFS(CBIC_Late_Fee_Relief_Windows_3B!$O$1114:$O$100,CBIC_Late_Fee_Relief_Windows_3B!$D$1114:$D$100,"&lt;="&amp;B1114,CBIC_Late_Fee_Relief_Windows_3B!$E$1114:$E$100,"&gt;="&amp;B1114,CBIC_Late_Fee_Relief_Windows_3B!$F$1114:$F$100,"&lt;="&amp;C1114,CBIC_Late_Fee_Relief_Windows_3B!$G$1114:$G$100,"&gt;="&amp;C1114)</f>
        <v/>
      </c>
      <c r="H1114">
        <f>INDEX(CBIC_Late_Fee_Relief_Windows_3B!$I$1114:$I$100,MATCH(G1114,CBIC_Late_Fee_Relief_Windows_3B!$O$1114:$O$100,0))</f>
        <v/>
      </c>
      <c r="I1114">
        <f>MIN(F1114,H1114)</f>
        <v/>
      </c>
    </row>
    <row r="1115">
      <c r="A1115">
        <f>TEST_DATA!A1115</f>
        <v/>
      </c>
      <c r="B1115">
        <f>TEST_DATA!B1115</f>
        <v/>
      </c>
      <c r="C1115">
        <f>TEST_DATA!C1115</f>
        <v/>
      </c>
      <c r="D1115">
        <f>TEST_DATA!D1115</f>
        <v/>
      </c>
      <c r="E1115">
        <f>TEST_DATA!E1115</f>
        <v/>
      </c>
      <c r="F1115">
        <f>MIN(E1115*111500,10000)</f>
        <v/>
      </c>
      <c r="G1115">
        <f>MINIFS(CBIC_Late_Fee_Relief_Windows_3B!$O$1115:$O$100,CBIC_Late_Fee_Relief_Windows_3B!$D$1115:$D$100,"&lt;="&amp;B1115,CBIC_Late_Fee_Relief_Windows_3B!$E$1115:$E$100,"&gt;="&amp;B1115,CBIC_Late_Fee_Relief_Windows_3B!$F$1115:$F$100,"&lt;="&amp;C1115,CBIC_Late_Fee_Relief_Windows_3B!$G$1115:$G$100,"&gt;="&amp;C1115)</f>
        <v/>
      </c>
      <c r="H1115">
        <f>INDEX(CBIC_Late_Fee_Relief_Windows_3B!$I$1115:$I$100,MATCH(G1115,CBIC_Late_Fee_Relief_Windows_3B!$O$1115:$O$100,0))</f>
        <v/>
      </c>
      <c r="I1115">
        <f>MIN(F1115,H1115)</f>
        <v/>
      </c>
    </row>
    <row r="1116">
      <c r="A1116">
        <f>TEST_DATA!A1116</f>
        <v/>
      </c>
      <c r="B1116">
        <f>TEST_DATA!B1116</f>
        <v/>
      </c>
      <c r="C1116">
        <f>TEST_DATA!C1116</f>
        <v/>
      </c>
      <c r="D1116">
        <f>TEST_DATA!D1116</f>
        <v/>
      </c>
      <c r="E1116">
        <f>TEST_DATA!E1116</f>
        <v/>
      </c>
      <c r="F1116">
        <f>MIN(E1116*111600,10000)</f>
        <v/>
      </c>
      <c r="G1116">
        <f>MINIFS(CBIC_Late_Fee_Relief_Windows_3B!$O$1116:$O$100,CBIC_Late_Fee_Relief_Windows_3B!$D$1116:$D$100,"&lt;="&amp;B1116,CBIC_Late_Fee_Relief_Windows_3B!$E$1116:$E$100,"&gt;="&amp;B1116,CBIC_Late_Fee_Relief_Windows_3B!$F$1116:$F$100,"&lt;="&amp;C1116,CBIC_Late_Fee_Relief_Windows_3B!$G$1116:$G$100,"&gt;="&amp;C1116)</f>
        <v/>
      </c>
      <c r="H1116">
        <f>INDEX(CBIC_Late_Fee_Relief_Windows_3B!$I$1116:$I$100,MATCH(G1116,CBIC_Late_Fee_Relief_Windows_3B!$O$1116:$O$100,0))</f>
        <v/>
      </c>
      <c r="I1116">
        <f>MIN(F1116,H1116)</f>
        <v/>
      </c>
    </row>
    <row r="1117">
      <c r="A1117">
        <f>TEST_DATA!A1117</f>
        <v/>
      </c>
      <c r="B1117">
        <f>TEST_DATA!B1117</f>
        <v/>
      </c>
      <c r="C1117">
        <f>TEST_DATA!C1117</f>
        <v/>
      </c>
      <c r="D1117">
        <f>TEST_DATA!D1117</f>
        <v/>
      </c>
      <c r="E1117">
        <f>TEST_DATA!E1117</f>
        <v/>
      </c>
      <c r="F1117">
        <f>MIN(E1117*111700,10000)</f>
        <v/>
      </c>
      <c r="G1117">
        <f>MINIFS(CBIC_Late_Fee_Relief_Windows_3B!$O$1117:$O$100,CBIC_Late_Fee_Relief_Windows_3B!$D$1117:$D$100,"&lt;="&amp;B1117,CBIC_Late_Fee_Relief_Windows_3B!$E$1117:$E$100,"&gt;="&amp;B1117,CBIC_Late_Fee_Relief_Windows_3B!$F$1117:$F$100,"&lt;="&amp;C1117,CBIC_Late_Fee_Relief_Windows_3B!$G$1117:$G$100,"&gt;="&amp;C1117)</f>
        <v/>
      </c>
      <c r="H1117">
        <f>INDEX(CBIC_Late_Fee_Relief_Windows_3B!$I$1117:$I$100,MATCH(G1117,CBIC_Late_Fee_Relief_Windows_3B!$O$1117:$O$100,0))</f>
        <v/>
      </c>
      <c r="I1117">
        <f>MIN(F1117,H1117)</f>
        <v/>
      </c>
    </row>
    <row r="1118">
      <c r="A1118">
        <f>TEST_DATA!A1118</f>
        <v/>
      </c>
      <c r="B1118">
        <f>TEST_DATA!B1118</f>
        <v/>
      </c>
      <c r="C1118">
        <f>TEST_DATA!C1118</f>
        <v/>
      </c>
      <c r="D1118">
        <f>TEST_DATA!D1118</f>
        <v/>
      </c>
      <c r="E1118">
        <f>TEST_DATA!E1118</f>
        <v/>
      </c>
      <c r="F1118">
        <f>MIN(E1118*111800,10000)</f>
        <v/>
      </c>
      <c r="G1118">
        <f>MINIFS(CBIC_Late_Fee_Relief_Windows_3B!$O$1118:$O$100,CBIC_Late_Fee_Relief_Windows_3B!$D$1118:$D$100,"&lt;="&amp;B1118,CBIC_Late_Fee_Relief_Windows_3B!$E$1118:$E$100,"&gt;="&amp;B1118,CBIC_Late_Fee_Relief_Windows_3B!$F$1118:$F$100,"&lt;="&amp;C1118,CBIC_Late_Fee_Relief_Windows_3B!$G$1118:$G$100,"&gt;="&amp;C1118)</f>
        <v/>
      </c>
      <c r="H1118">
        <f>INDEX(CBIC_Late_Fee_Relief_Windows_3B!$I$1118:$I$100,MATCH(G1118,CBIC_Late_Fee_Relief_Windows_3B!$O$1118:$O$100,0))</f>
        <v/>
      </c>
      <c r="I1118">
        <f>MIN(F1118,H1118)</f>
        <v/>
      </c>
    </row>
    <row r="1119">
      <c r="A1119">
        <f>TEST_DATA!A1119</f>
        <v/>
      </c>
      <c r="B1119">
        <f>TEST_DATA!B1119</f>
        <v/>
      </c>
      <c r="C1119">
        <f>TEST_DATA!C1119</f>
        <v/>
      </c>
      <c r="D1119">
        <f>TEST_DATA!D1119</f>
        <v/>
      </c>
      <c r="E1119">
        <f>TEST_DATA!E1119</f>
        <v/>
      </c>
      <c r="F1119">
        <f>MIN(E1119*111900,10000)</f>
        <v/>
      </c>
      <c r="G1119">
        <f>MINIFS(CBIC_Late_Fee_Relief_Windows_3B!$O$1119:$O$100,CBIC_Late_Fee_Relief_Windows_3B!$D$1119:$D$100,"&lt;="&amp;B1119,CBIC_Late_Fee_Relief_Windows_3B!$E$1119:$E$100,"&gt;="&amp;B1119,CBIC_Late_Fee_Relief_Windows_3B!$F$1119:$F$100,"&lt;="&amp;C1119,CBIC_Late_Fee_Relief_Windows_3B!$G$1119:$G$100,"&gt;="&amp;C1119)</f>
        <v/>
      </c>
      <c r="H1119">
        <f>INDEX(CBIC_Late_Fee_Relief_Windows_3B!$I$1119:$I$100,MATCH(G1119,CBIC_Late_Fee_Relief_Windows_3B!$O$1119:$O$100,0))</f>
        <v/>
      </c>
      <c r="I1119">
        <f>MIN(F1119,H1119)</f>
        <v/>
      </c>
    </row>
    <row r="1120">
      <c r="A1120">
        <f>TEST_DATA!A1120</f>
        <v/>
      </c>
      <c r="B1120">
        <f>TEST_DATA!B1120</f>
        <v/>
      </c>
      <c r="C1120">
        <f>TEST_DATA!C1120</f>
        <v/>
      </c>
      <c r="D1120">
        <f>TEST_DATA!D1120</f>
        <v/>
      </c>
      <c r="E1120">
        <f>TEST_DATA!E1120</f>
        <v/>
      </c>
      <c r="F1120">
        <f>MIN(E1120*112000,10000)</f>
        <v/>
      </c>
      <c r="G1120">
        <f>MINIFS(CBIC_Late_Fee_Relief_Windows_3B!$O$1120:$O$100,CBIC_Late_Fee_Relief_Windows_3B!$D$1120:$D$100,"&lt;="&amp;B1120,CBIC_Late_Fee_Relief_Windows_3B!$E$1120:$E$100,"&gt;="&amp;B1120,CBIC_Late_Fee_Relief_Windows_3B!$F$1120:$F$100,"&lt;="&amp;C1120,CBIC_Late_Fee_Relief_Windows_3B!$G$1120:$G$100,"&gt;="&amp;C1120)</f>
        <v/>
      </c>
      <c r="H1120">
        <f>INDEX(CBIC_Late_Fee_Relief_Windows_3B!$I$1120:$I$100,MATCH(G1120,CBIC_Late_Fee_Relief_Windows_3B!$O$1120:$O$100,0))</f>
        <v/>
      </c>
      <c r="I1120">
        <f>MIN(F1120,H1120)</f>
        <v/>
      </c>
    </row>
    <row r="1121">
      <c r="A1121">
        <f>TEST_DATA!A1121</f>
        <v/>
      </c>
      <c r="B1121">
        <f>TEST_DATA!B1121</f>
        <v/>
      </c>
      <c r="C1121">
        <f>TEST_DATA!C1121</f>
        <v/>
      </c>
      <c r="D1121">
        <f>TEST_DATA!D1121</f>
        <v/>
      </c>
      <c r="E1121">
        <f>TEST_DATA!E1121</f>
        <v/>
      </c>
      <c r="F1121">
        <f>MIN(E1121*112100,10000)</f>
        <v/>
      </c>
      <c r="G1121">
        <f>MINIFS(CBIC_Late_Fee_Relief_Windows_3B!$O$1121:$O$100,CBIC_Late_Fee_Relief_Windows_3B!$D$1121:$D$100,"&lt;="&amp;B1121,CBIC_Late_Fee_Relief_Windows_3B!$E$1121:$E$100,"&gt;="&amp;B1121,CBIC_Late_Fee_Relief_Windows_3B!$F$1121:$F$100,"&lt;="&amp;C1121,CBIC_Late_Fee_Relief_Windows_3B!$G$1121:$G$100,"&gt;="&amp;C1121)</f>
        <v/>
      </c>
      <c r="H1121">
        <f>INDEX(CBIC_Late_Fee_Relief_Windows_3B!$I$1121:$I$100,MATCH(G1121,CBIC_Late_Fee_Relief_Windows_3B!$O$1121:$O$100,0))</f>
        <v/>
      </c>
      <c r="I1121">
        <f>MIN(F1121,H1121)</f>
        <v/>
      </c>
    </row>
    <row r="1122">
      <c r="A1122">
        <f>TEST_DATA!A1122</f>
        <v/>
      </c>
      <c r="B1122">
        <f>TEST_DATA!B1122</f>
        <v/>
      </c>
      <c r="C1122">
        <f>TEST_DATA!C1122</f>
        <v/>
      </c>
      <c r="D1122">
        <f>TEST_DATA!D1122</f>
        <v/>
      </c>
      <c r="E1122">
        <f>TEST_DATA!E1122</f>
        <v/>
      </c>
      <c r="F1122">
        <f>MIN(E1122*112200,10000)</f>
        <v/>
      </c>
      <c r="G1122">
        <f>MINIFS(CBIC_Late_Fee_Relief_Windows_3B!$O$1122:$O$100,CBIC_Late_Fee_Relief_Windows_3B!$D$1122:$D$100,"&lt;="&amp;B1122,CBIC_Late_Fee_Relief_Windows_3B!$E$1122:$E$100,"&gt;="&amp;B1122,CBIC_Late_Fee_Relief_Windows_3B!$F$1122:$F$100,"&lt;="&amp;C1122,CBIC_Late_Fee_Relief_Windows_3B!$G$1122:$G$100,"&gt;="&amp;C1122)</f>
        <v/>
      </c>
      <c r="H1122">
        <f>INDEX(CBIC_Late_Fee_Relief_Windows_3B!$I$1122:$I$100,MATCH(G1122,CBIC_Late_Fee_Relief_Windows_3B!$O$1122:$O$100,0))</f>
        <v/>
      </c>
      <c r="I1122">
        <f>MIN(F1122,H1122)</f>
        <v/>
      </c>
    </row>
    <row r="1123">
      <c r="A1123">
        <f>TEST_DATA!A1123</f>
        <v/>
      </c>
      <c r="B1123">
        <f>TEST_DATA!B1123</f>
        <v/>
      </c>
      <c r="C1123">
        <f>TEST_DATA!C1123</f>
        <v/>
      </c>
      <c r="D1123">
        <f>TEST_DATA!D1123</f>
        <v/>
      </c>
      <c r="E1123">
        <f>TEST_DATA!E1123</f>
        <v/>
      </c>
      <c r="F1123">
        <f>MIN(E1123*112300,10000)</f>
        <v/>
      </c>
      <c r="G1123">
        <f>MINIFS(CBIC_Late_Fee_Relief_Windows_3B!$O$1123:$O$100,CBIC_Late_Fee_Relief_Windows_3B!$D$1123:$D$100,"&lt;="&amp;B1123,CBIC_Late_Fee_Relief_Windows_3B!$E$1123:$E$100,"&gt;="&amp;B1123,CBIC_Late_Fee_Relief_Windows_3B!$F$1123:$F$100,"&lt;="&amp;C1123,CBIC_Late_Fee_Relief_Windows_3B!$G$1123:$G$100,"&gt;="&amp;C1123)</f>
        <v/>
      </c>
      <c r="H1123">
        <f>INDEX(CBIC_Late_Fee_Relief_Windows_3B!$I$1123:$I$100,MATCH(G1123,CBIC_Late_Fee_Relief_Windows_3B!$O$1123:$O$100,0))</f>
        <v/>
      </c>
      <c r="I1123">
        <f>MIN(F1123,H1123)</f>
        <v/>
      </c>
    </row>
    <row r="1124">
      <c r="A1124">
        <f>TEST_DATA!A1124</f>
        <v/>
      </c>
      <c r="B1124">
        <f>TEST_DATA!B1124</f>
        <v/>
      </c>
      <c r="C1124">
        <f>TEST_DATA!C1124</f>
        <v/>
      </c>
      <c r="D1124">
        <f>TEST_DATA!D1124</f>
        <v/>
      </c>
      <c r="E1124">
        <f>TEST_DATA!E1124</f>
        <v/>
      </c>
      <c r="F1124">
        <f>MIN(E1124*112400,10000)</f>
        <v/>
      </c>
      <c r="G1124">
        <f>MINIFS(CBIC_Late_Fee_Relief_Windows_3B!$O$1124:$O$100,CBIC_Late_Fee_Relief_Windows_3B!$D$1124:$D$100,"&lt;="&amp;B1124,CBIC_Late_Fee_Relief_Windows_3B!$E$1124:$E$100,"&gt;="&amp;B1124,CBIC_Late_Fee_Relief_Windows_3B!$F$1124:$F$100,"&lt;="&amp;C1124,CBIC_Late_Fee_Relief_Windows_3B!$G$1124:$G$100,"&gt;="&amp;C1124)</f>
        <v/>
      </c>
      <c r="H1124">
        <f>INDEX(CBIC_Late_Fee_Relief_Windows_3B!$I$1124:$I$100,MATCH(G1124,CBIC_Late_Fee_Relief_Windows_3B!$O$1124:$O$100,0))</f>
        <v/>
      </c>
      <c r="I1124">
        <f>MIN(F1124,H1124)</f>
        <v/>
      </c>
    </row>
    <row r="1125">
      <c r="A1125">
        <f>TEST_DATA!A1125</f>
        <v/>
      </c>
      <c r="B1125">
        <f>TEST_DATA!B1125</f>
        <v/>
      </c>
      <c r="C1125">
        <f>TEST_DATA!C1125</f>
        <v/>
      </c>
      <c r="D1125">
        <f>TEST_DATA!D1125</f>
        <v/>
      </c>
      <c r="E1125">
        <f>TEST_DATA!E1125</f>
        <v/>
      </c>
      <c r="F1125">
        <f>MIN(E1125*112500,10000)</f>
        <v/>
      </c>
      <c r="G1125">
        <f>MINIFS(CBIC_Late_Fee_Relief_Windows_3B!$O$1125:$O$100,CBIC_Late_Fee_Relief_Windows_3B!$D$1125:$D$100,"&lt;="&amp;B1125,CBIC_Late_Fee_Relief_Windows_3B!$E$1125:$E$100,"&gt;="&amp;B1125,CBIC_Late_Fee_Relief_Windows_3B!$F$1125:$F$100,"&lt;="&amp;C1125,CBIC_Late_Fee_Relief_Windows_3B!$G$1125:$G$100,"&gt;="&amp;C1125)</f>
        <v/>
      </c>
      <c r="H1125">
        <f>INDEX(CBIC_Late_Fee_Relief_Windows_3B!$I$1125:$I$100,MATCH(G1125,CBIC_Late_Fee_Relief_Windows_3B!$O$1125:$O$100,0))</f>
        <v/>
      </c>
      <c r="I1125">
        <f>MIN(F1125,H1125)</f>
        <v/>
      </c>
    </row>
    <row r="1126">
      <c r="A1126">
        <f>TEST_DATA!A1126</f>
        <v/>
      </c>
      <c r="B1126">
        <f>TEST_DATA!B1126</f>
        <v/>
      </c>
      <c r="C1126">
        <f>TEST_DATA!C1126</f>
        <v/>
      </c>
      <c r="D1126">
        <f>TEST_DATA!D1126</f>
        <v/>
      </c>
      <c r="E1126">
        <f>TEST_DATA!E1126</f>
        <v/>
      </c>
      <c r="F1126">
        <f>MIN(E1126*112600,10000)</f>
        <v/>
      </c>
      <c r="G1126">
        <f>MINIFS(CBIC_Late_Fee_Relief_Windows_3B!$O$1126:$O$100,CBIC_Late_Fee_Relief_Windows_3B!$D$1126:$D$100,"&lt;="&amp;B1126,CBIC_Late_Fee_Relief_Windows_3B!$E$1126:$E$100,"&gt;="&amp;B1126,CBIC_Late_Fee_Relief_Windows_3B!$F$1126:$F$100,"&lt;="&amp;C1126,CBIC_Late_Fee_Relief_Windows_3B!$G$1126:$G$100,"&gt;="&amp;C1126)</f>
        <v/>
      </c>
      <c r="H1126">
        <f>INDEX(CBIC_Late_Fee_Relief_Windows_3B!$I$1126:$I$100,MATCH(G1126,CBIC_Late_Fee_Relief_Windows_3B!$O$1126:$O$100,0))</f>
        <v/>
      </c>
      <c r="I1126">
        <f>MIN(F1126,H1126)</f>
        <v/>
      </c>
    </row>
    <row r="1127">
      <c r="A1127">
        <f>TEST_DATA!A1127</f>
        <v/>
      </c>
      <c r="B1127">
        <f>TEST_DATA!B1127</f>
        <v/>
      </c>
      <c r="C1127">
        <f>TEST_DATA!C1127</f>
        <v/>
      </c>
      <c r="D1127">
        <f>TEST_DATA!D1127</f>
        <v/>
      </c>
      <c r="E1127">
        <f>TEST_DATA!E1127</f>
        <v/>
      </c>
      <c r="F1127">
        <f>MIN(E1127*112700,10000)</f>
        <v/>
      </c>
      <c r="G1127">
        <f>MINIFS(CBIC_Late_Fee_Relief_Windows_3B!$O$1127:$O$100,CBIC_Late_Fee_Relief_Windows_3B!$D$1127:$D$100,"&lt;="&amp;B1127,CBIC_Late_Fee_Relief_Windows_3B!$E$1127:$E$100,"&gt;="&amp;B1127,CBIC_Late_Fee_Relief_Windows_3B!$F$1127:$F$100,"&lt;="&amp;C1127,CBIC_Late_Fee_Relief_Windows_3B!$G$1127:$G$100,"&gt;="&amp;C1127)</f>
        <v/>
      </c>
      <c r="H1127">
        <f>INDEX(CBIC_Late_Fee_Relief_Windows_3B!$I$1127:$I$100,MATCH(G1127,CBIC_Late_Fee_Relief_Windows_3B!$O$1127:$O$100,0))</f>
        <v/>
      </c>
      <c r="I1127">
        <f>MIN(F1127,H1127)</f>
        <v/>
      </c>
    </row>
    <row r="1128">
      <c r="A1128">
        <f>TEST_DATA!A1128</f>
        <v/>
      </c>
      <c r="B1128">
        <f>TEST_DATA!B1128</f>
        <v/>
      </c>
      <c r="C1128">
        <f>TEST_DATA!C1128</f>
        <v/>
      </c>
      <c r="D1128">
        <f>TEST_DATA!D1128</f>
        <v/>
      </c>
      <c r="E1128">
        <f>TEST_DATA!E1128</f>
        <v/>
      </c>
      <c r="F1128">
        <f>MIN(E1128*112800,10000)</f>
        <v/>
      </c>
      <c r="G1128">
        <f>MINIFS(CBIC_Late_Fee_Relief_Windows_3B!$O$1128:$O$100,CBIC_Late_Fee_Relief_Windows_3B!$D$1128:$D$100,"&lt;="&amp;B1128,CBIC_Late_Fee_Relief_Windows_3B!$E$1128:$E$100,"&gt;="&amp;B1128,CBIC_Late_Fee_Relief_Windows_3B!$F$1128:$F$100,"&lt;="&amp;C1128,CBIC_Late_Fee_Relief_Windows_3B!$G$1128:$G$100,"&gt;="&amp;C1128)</f>
        <v/>
      </c>
      <c r="H1128">
        <f>INDEX(CBIC_Late_Fee_Relief_Windows_3B!$I$1128:$I$100,MATCH(G1128,CBIC_Late_Fee_Relief_Windows_3B!$O$1128:$O$100,0))</f>
        <v/>
      </c>
      <c r="I1128">
        <f>MIN(F1128,H1128)</f>
        <v/>
      </c>
    </row>
    <row r="1129">
      <c r="A1129">
        <f>TEST_DATA!A1129</f>
        <v/>
      </c>
      <c r="B1129">
        <f>TEST_DATA!B1129</f>
        <v/>
      </c>
      <c r="C1129">
        <f>TEST_DATA!C1129</f>
        <v/>
      </c>
      <c r="D1129">
        <f>TEST_DATA!D1129</f>
        <v/>
      </c>
      <c r="E1129">
        <f>TEST_DATA!E1129</f>
        <v/>
      </c>
      <c r="F1129">
        <f>MIN(E1129*112900,10000)</f>
        <v/>
      </c>
      <c r="G1129">
        <f>MINIFS(CBIC_Late_Fee_Relief_Windows_3B!$O$1129:$O$100,CBIC_Late_Fee_Relief_Windows_3B!$D$1129:$D$100,"&lt;="&amp;B1129,CBIC_Late_Fee_Relief_Windows_3B!$E$1129:$E$100,"&gt;="&amp;B1129,CBIC_Late_Fee_Relief_Windows_3B!$F$1129:$F$100,"&lt;="&amp;C1129,CBIC_Late_Fee_Relief_Windows_3B!$G$1129:$G$100,"&gt;="&amp;C1129)</f>
        <v/>
      </c>
      <c r="H1129">
        <f>INDEX(CBIC_Late_Fee_Relief_Windows_3B!$I$1129:$I$100,MATCH(G1129,CBIC_Late_Fee_Relief_Windows_3B!$O$1129:$O$100,0))</f>
        <v/>
      </c>
      <c r="I1129">
        <f>MIN(F1129,H1129)</f>
        <v/>
      </c>
    </row>
    <row r="1130">
      <c r="A1130">
        <f>TEST_DATA!A1130</f>
        <v/>
      </c>
      <c r="B1130">
        <f>TEST_DATA!B1130</f>
        <v/>
      </c>
      <c r="C1130">
        <f>TEST_DATA!C1130</f>
        <v/>
      </c>
      <c r="D1130">
        <f>TEST_DATA!D1130</f>
        <v/>
      </c>
      <c r="E1130">
        <f>TEST_DATA!E1130</f>
        <v/>
      </c>
      <c r="F1130">
        <f>MIN(E1130*113000,10000)</f>
        <v/>
      </c>
      <c r="G1130">
        <f>MINIFS(CBIC_Late_Fee_Relief_Windows_3B!$O$1130:$O$100,CBIC_Late_Fee_Relief_Windows_3B!$D$1130:$D$100,"&lt;="&amp;B1130,CBIC_Late_Fee_Relief_Windows_3B!$E$1130:$E$100,"&gt;="&amp;B1130,CBIC_Late_Fee_Relief_Windows_3B!$F$1130:$F$100,"&lt;="&amp;C1130,CBIC_Late_Fee_Relief_Windows_3B!$G$1130:$G$100,"&gt;="&amp;C1130)</f>
        <v/>
      </c>
      <c r="H1130">
        <f>INDEX(CBIC_Late_Fee_Relief_Windows_3B!$I$1130:$I$100,MATCH(G1130,CBIC_Late_Fee_Relief_Windows_3B!$O$1130:$O$100,0))</f>
        <v/>
      </c>
      <c r="I1130">
        <f>MIN(F1130,H1130)</f>
        <v/>
      </c>
    </row>
    <row r="1131">
      <c r="A1131">
        <f>TEST_DATA!A1131</f>
        <v/>
      </c>
      <c r="B1131">
        <f>TEST_DATA!B1131</f>
        <v/>
      </c>
      <c r="C1131">
        <f>TEST_DATA!C1131</f>
        <v/>
      </c>
      <c r="D1131">
        <f>TEST_DATA!D1131</f>
        <v/>
      </c>
      <c r="E1131">
        <f>TEST_DATA!E1131</f>
        <v/>
      </c>
      <c r="F1131">
        <f>MIN(E1131*113100,10000)</f>
        <v/>
      </c>
      <c r="G1131">
        <f>MINIFS(CBIC_Late_Fee_Relief_Windows_3B!$O$1131:$O$100,CBIC_Late_Fee_Relief_Windows_3B!$D$1131:$D$100,"&lt;="&amp;B1131,CBIC_Late_Fee_Relief_Windows_3B!$E$1131:$E$100,"&gt;="&amp;B1131,CBIC_Late_Fee_Relief_Windows_3B!$F$1131:$F$100,"&lt;="&amp;C1131,CBIC_Late_Fee_Relief_Windows_3B!$G$1131:$G$100,"&gt;="&amp;C1131)</f>
        <v/>
      </c>
      <c r="H1131">
        <f>INDEX(CBIC_Late_Fee_Relief_Windows_3B!$I$1131:$I$100,MATCH(G1131,CBIC_Late_Fee_Relief_Windows_3B!$O$1131:$O$100,0))</f>
        <v/>
      </c>
      <c r="I1131">
        <f>MIN(F1131,H1131)</f>
        <v/>
      </c>
    </row>
    <row r="1132">
      <c r="A1132">
        <f>TEST_DATA!A1132</f>
        <v/>
      </c>
      <c r="B1132">
        <f>TEST_DATA!B1132</f>
        <v/>
      </c>
      <c r="C1132">
        <f>TEST_DATA!C1132</f>
        <v/>
      </c>
      <c r="D1132">
        <f>TEST_DATA!D1132</f>
        <v/>
      </c>
      <c r="E1132">
        <f>TEST_DATA!E1132</f>
        <v/>
      </c>
      <c r="F1132">
        <f>MIN(E1132*113200,10000)</f>
        <v/>
      </c>
      <c r="G1132">
        <f>MINIFS(CBIC_Late_Fee_Relief_Windows_3B!$O$1132:$O$100,CBIC_Late_Fee_Relief_Windows_3B!$D$1132:$D$100,"&lt;="&amp;B1132,CBIC_Late_Fee_Relief_Windows_3B!$E$1132:$E$100,"&gt;="&amp;B1132,CBIC_Late_Fee_Relief_Windows_3B!$F$1132:$F$100,"&lt;="&amp;C1132,CBIC_Late_Fee_Relief_Windows_3B!$G$1132:$G$100,"&gt;="&amp;C1132)</f>
        <v/>
      </c>
      <c r="H1132">
        <f>INDEX(CBIC_Late_Fee_Relief_Windows_3B!$I$1132:$I$100,MATCH(G1132,CBIC_Late_Fee_Relief_Windows_3B!$O$1132:$O$100,0))</f>
        <v/>
      </c>
      <c r="I1132">
        <f>MIN(F1132,H1132)</f>
        <v/>
      </c>
    </row>
    <row r="1133">
      <c r="A1133">
        <f>TEST_DATA!A1133</f>
        <v/>
      </c>
      <c r="B1133">
        <f>TEST_DATA!B1133</f>
        <v/>
      </c>
      <c r="C1133">
        <f>TEST_DATA!C1133</f>
        <v/>
      </c>
      <c r="D1133">
        <f>TEST_DATA!D1133</f>
        <v/>
      </c>
      <c r="E1133">
        <f>TEST_DATA!E1133</f>
        <v/>
      </c>
      <c r="F1133">
        <f>MIN(E1133*113300,10000)</f>
        <v/>
      </c>
      <c r="G1133">
        <f>MINIFS(CBIC_Late_Fee_Relief_Windows_3B!$O$1133:$O$100,CBIC_Late_Fee_Relief_Windows_3B!$D$1133:$D$100,"&lt;="&amp;B1133,CBIC_Late_Fee_Relief_Windows_3B!$E$1133:$E$100,"&gt;="&amp;B1133,CBIC_Late_Fee_Relief_Windows_3B!$F$1133:$F$100,"&lt;="&amp;C1133,CBIC_Late_Fee_Relief_Windows_3B!$G$1133:$G$100,"&gt;="&amp;C1133)</f>
        <v/>
      </c>
      <c r="H1133">
        <f>INDEX(CBIC_Late_Fee_Relief_Windows_3B!$I$1133:$I$100,MATCH(G1133,CBIC_Late_Fee_Relief_Windows_3B!$O$1133:$O$100,0))</f>
        <v/>
      </c>
      <c r="I1133">
        <f>MIN(F1133,H1133)</f>
        <v/>
      </c>
    </row>
    <row r="1134">
      <c r="A1134">
        <f>TEST_DATA!A1134</f>
        <v/>
      </c>
      <c r="B1134">
        <f>TEST_DATA!B1134</f>
        <v/>
      </c>
      <c r="C1134">
        <f>TEST_DATA!C1134</f>
        <v/>
      </c>
      <c r="D1134">
        <f>TEST_DATA!D1134</f>
        <v/>
      </c>
      <c r="E1134">
        <f>TEST_DATA!E1134</f>
        <v/>
      </c>
      <c r="F1134">
        <f>MIN(E1134*113400,10000)</f>
        <v/>
      </c>
      <c r="G1134">
        <f>MINIFS(CBIC_Late_Fee_Relief_Windows_3B!$O$1134:$O$100,CBIC_Late_Fee_Relief_Windows_3B!$D$1134:$D$100,"&lt;="&amp;B1134,CBIC_Late_Fee_Relief_Windows_3B!$E$1134:$E$100,"&gt;="&amp;B1134,CBIC_Late_Fee_Relief_Windows_3B!$F$1134:$F$100,"&lt;="&amp;C1134,CBIC_Late_Fee_Relief_Windows_3B!$G$1134:$G$100,"&gt;="&amp;C1134)</f>
        <v/>
      </c>
      <c r="H1134">
        <f>INDEX(CBIC_Late_Fee_Relief_Windows_3B!$I$1134:$I$100,MATCH(G1134,CBIC_Late_Fee_Relief_Windows_3B!$O$1134:$O$100,0))</f>
        <v/>
      </c>
      <c r="I1134">
        <f>MIN(F1134,H1134)</f>
        <v/>
      </c>
    </row>
    <row r="1135">
      <c r="A1135">
        <f>TEST_DATA!A1135</f>
        <v/>
      </c>
      <c r="B1135">
        <f>TEST_DATA!B1135</f>
        <v/>
      </c>
      <c r="C1135">
        <f>TEST_DATA!C1135</f>
        <v/>
      </c>
      <c r="D1135">
        <f>TEST_DATA!D1135</f>
        <v/>
      </c>
      <c r="E1135">
        <f>TEST_DATA!E1135</f>
        <v/>
      </c>
      <c r="F1135">
        <f>MIN(E1135*113500,10000)</f>
        <v/>
      </c>
      <c r="G1135">
        <f>MINIFS(CBIC_Late_Fee_Relief_Windows_3B!$O$1135:$O$100,CBIC_Late_Fee_Relief_Windows_3B!$D$1135:$D$100,"&lt;="&amp;B1135,CBIC_Late_Fee_Relief_Windows_3B!$E$1135:$E$100,"&gt;="&amp;B1135,CBIC_Late_Fee_Relief_Windows_3B!$F$1135:$F$100,"&lt;="&amp;C1135,CBIC_Late_Fee_Relief_Windows_3B!$G$1135:$G$100,"&gt;="&amp;C1135)</f>
        <v/>
      </c>
      <c r="H1135">
        <f>INDEX(CBIC_Late_Fee_Relief_Windows_3B!$I$1135:$I$100,MATCH(G1135,CBIC_Late_Fee_Relief_Windows_3B!$O$1135:$O$100,0))</f>
        <v/>
      </c>
      <c r="I1135">
        <f>MIN(F1135,H1135)</f>
        <v/>
      </c>
    </row>
    <row r="1136">
      <c r="A1136">
        <f>TEST_DATA!A1136</f>
        <v/>
      </c>
      <c r="B1136">
        <f>TEST_DATA!B1136</f>
        <v/>
      </c>
      <c r="C1136">
        <f>TEST_DATA!C1136</f>
        <v/>
      </c>
      <c r="D1136">
        <f>TEST_DATA!D1136</f>
        <v/>
      </c>
      <c r="E1136">
        <f>TEST_DATA!E1136</f>
        <v/>
      </c>
      <c r="F1136">
        <f>MIN(E1136*113600,10000)</f>
        <v/>
      </c>
      <c r="G1136">
        <f>MINIFS(CBIC_Late_Fee_Relief_Windows_3B!$O$1136:$O$100,CBIC_Late_Fee_Relief_Windows_3B!$D$1136:$D$100,"&lt;="&amp;B1136,CBIC_Late_Fee_Relief_Windows_3B!$E$1136:$E$100,"&gt;="&amp;B1136,CBIC_Late_Fee_Relief_Windows_3B!$F$1136:$F$100,"&lt;="&amp;C1136,CBIC_Late_Fee_Relief_Windows_3B!$G$1136:$G$100,"&gt;="&amp;C1136)</f>
        <v/>
      </c>
      <c r="H1136">
        <f>INDEX(CBIC_Late_Fee_Relief_Windows_3B!$I$1136:$I$100,MATCH(G1136,CBIC_Late_Fee_Relief_Windows_3B!$O$1136:$O$100,0))</f>
        <v/>
      </c>
      <c r="I1136">
        <f>MIN(F1136,H1136)</f>
        <v/>
      </c>
    </row>
    <row r="1137">
      <c r="A1137">
        <f>TEST_DATA!A1137</f>
        <v/>
      </c>
      <c r="B1137">
        <f>TEST_DATA!B1137</f>
        <v/>
      </c>
      <c r="C1137">
        <f>TEST_DATA!C1137</f>
        <v/>
      </c>
      <c r="D1137">
        <f>TEST_DATA!D1137</f>
        <v/>
      </c>
      <c r="E1137">
        <f>TEST_DATA!E1137</f>
        <v/>
      </c>
      <c r="F1137">
        <f>MIN(E1137*113700,10000)</f>
        <v/>
      </c>
      <c r="G1137">
        <f>MINIFS(CBIC_Late_Fee_Relief_Windows_3B!$O$1137:$O$100,CBIC_Late_Fee_Relief_Windows_3B!$D$1137:$D$100,"&lt;="&amp;B1137,CBIC_Late_Fee_Relief_Windows_3B!$E$1137:$E$100,"&gt;="&amp;B1137,CBIC_Late_Fee_Relief_Windows_3B!$F$1137:$F$100,"&lt;="&amp;C1137,CBIC_Late_Fee_Relief_Windows_3B!$G$1137:$G$100,"&gt;="&amp;C1137)</f>
        <v/>
      </c>
      <c r="H1137">
        <f>INDEX(CBIC_Late_Fee_Relief_Windows_3B!$I$1137:$I$100,MATCH(G1137,CBIC_Late_Fee_Relief_Windows_3B!$O$1137:$O$100,0))</f>
        <v/>
      </c>
      <c r="I1137">
        <f>MIN(F1137,H1137)</f>
        <v/>
      </c>
    </row>
    <row r="1138">
      <c r="A1138">
        <f>TEST_DATA!A1138</f>
        <v/>
      </c>
      <c r="B1138">
        <f>TEST_DATA!B1138</f>
        <v/>
      </c>
      <c r="C1138">
        <f>TEST_DATA!C1138</f>
        <v/>
      </c>
      <c r="D1138">
        <f>TEST_DATA!D1138</f>
        <v/>
      </c>
      <c r="E1138">
        <f>TEST_DATA!E1138</f>
        <v/>
      </c>
      <c r="F1138">
        <f>MIN(E1138*113800,10000)</f>
        <v/>
      </c>
      <c r="G1138">
        <f>MINIFS(CBIC_Late_Fee_Relief_Windows_3B!$O$1138:$O$100,CBIC_Late_Fee_Relief_Windows_3B!$D$1138:$D$100,"&lt;="&amp;B1138,CBIC_Late_Fee_Relief_Windows_3B!$E$1138:$E$100,"&gt;="&amp;B1138,CBIC_Late_Fee_Relief_Windows_3B!$F$1138:$F$100,"&lt;="&amp;C1138,CBIC_Late_Fee_Relief_Windows_3B!$G$1138:$G$100,"&gt;="&amp;C1138)</f>
        <v/>
      </c>
      <c r="H1138">
        <f>INDEX(CBIC_Late_Fee_Relief_Windows_3B!$I$1138:$I$100,MATCH(G1138,CBIC_Late_Fee_Relief_Windows_3B!$O$1138:$O$100,0))</f>
        <v/>
      </c>
      <c r="I1138">
        <f>MIN(F1138,H1138)</f>
        <v/>
      </c>
    </row>
    <row r="1139">
      <c r="A1139">
        <f>TEST_DATA!A1139</f>
        <v/>
      </c>
      <c r="B1139">
        <f>TEST_DATA!B1139</f>
        <v/>
      </c>
      <c r="C1139">
        <f>TEST_DATA!C1139</f>
        <v/>
      </c>
      <c r="D1139">
        <f>TEST_DATA!D1139</f>
        <v/>
      </c>
      <c r="E1139">
        <f>TEST_DATA!E1139</f>
        <v/>
      </c>
      <c r="F1139">
        <f>MIN(E1139*113900,10000)</f>
        <v/>
      </c>
      <c r="G1139">
        <f>MINIFS(CBIC_Late_Fee_Relief_Windows_3B!$O$1139:$O$100,CBIC_Late_Fee_Relief_Windows_3B!$D$1139:$D$100,"&lt;="&amp;B1139,CBIC_Late_Fee_Relief_Windows_3B!$E$1139:$E$100,"&gt;="&amp;B1139,CBIC_Late_Fee_Relief_Windows_3B!$F$1139:$F$100,"&lt;="&amp;C1139,CBIC_Late_Fee_Relief_Windows_3B!$G$1139:$G$100,"&gt;="&amp;C1139)</f>
        <v/>
      </c>
      <c r="H1139">
        <f>INDEX(CBIC_Late_Fee_Relief_Windows_3B!$I$1139:$I$100,MATCH(G1139,CBIC_Late_Fee_Relief_Windows_3B!$O$1139:$O$100,0))</f>
        <v/>
      </c>
      <c r="I1139">
        <f>MIN(F1139,H1139)</f>
        <v/>
      </c>
    </row>
    <row r="1140">
      <c r="A1140">
        <f>TEST_DATA!A1140</f>
        <v/>
      </c>
      <c r="B1140">
        <f>TEST_DATA!B1140</f>
        <v/>
      </c>
      <c r="C1140">
        <f>TEST_DATA!C1140</f>
        <v/>
      </c>
      <c r="D1140">
        <f>TEST_DATA!D1140</f>
        <v/>
      </c>
      <c r="E1140">
        <f>TEST_DATA!E1140</f>
        <v/>
      </c>
      <c r="F1140">
        <f>MIN(E1140*114000,10000)</f>
        <v/>
      </c>
      <c r="G1140">
        <f>MINIFS(CBIC_Late_Fee_Relief_Windows_3B!$O$1140:$O$100,CBIC_Late_Fee_Relief_Windows_3B!$D$1140:$D$100,"&lt;="&amp;B1140,CBIC_Late_Fee_Relief_Windows_3B!$E$1140:$E$100,"&gt;="&amp;B1140,CBIC_Late_Fee_Relief_Windows_3B!$F$1140:$F$100,"&lt;="&amp;C1140,CBIC_Late_Fee_Relief_Windows_3B!$G$1140:$G$100,"&gt;="&amp;C1140)</f>
        <v/>
      </c>
      <c r="H1140">
        <f>INDEX(CBIC_Late_Fee_Relief_Windows_3B!$I$1140:$I$100,MATCH(G1140,CBIC_Late_Fee_Relief_Windows_3B!$O$1140:$O$100,0))</f>
        <v/>
      </c>
      <c r="I1140">
        <f>MIN(F1140,H1140)</f>
        <v/>
      </c>
    </row>
    <row r="1141">
      <c r="A1141">
        <f>TEST_DATA!A1141</f>
        <v/>
      </c>
      <c r="B1141">
        <f>TEST_DATA!B1141</f>
        <v/>
      </c>
      <c r="C1141">
        <f>TEST_DATA!C1141</f>
        <v/>
      </c>
      <c r="D1141">
        <f>TEST_DATA!D1141</f>
        <v/>
      </c>
      <c r="E1141">
        <f>TEST_DATA!E1141</f>
        <v/>
      </c>
      <c r="F1141">
        <f>MIN(E1141*114100,10000)</f>
        <v/>
      </c>
      <c r="G1141">
        <f>MINIFS(CBIC_Late_Fee_Relief_Windows_3B!$O$1141:$O$100,CBIC_Late_Fee_Relief_Windows_3B!$D$1141:$D$100,"&lt;="&amp;B1141,CBIC_Late_Fee_Relief_Windows_3B!$E$1141:$E$100,"&gt;="&amp;B1141,CBIC_Late_Fee_Relief_Windows_3B!$F$1141:$F$100,"&lt;="&amp;C1141,CBIC_Late_Fee_Relief_Windows_3B!$G$1141:$G$100,"&gt;="&amp;C1141)</f>
        <v/>
      </c>
      <c r="H1141">
        <f>INDEX(CBIC_Late_Fee_Relief_Windows_3B!$I$1141:$I$100,MATCH(G1141,CBIC_Late_Fee_Relief_Windows_3B!$O$1141:$O$100,0))</f>
        <v/>
      </c>
      <c r="I1141">
        <f>MIN(F1141,H1141)</f>
        <v/>
      </c>
    </row>
    <row r="1142">
      <c r="A1142">
        <f>TEST_DATA!A1142</f>
        <v/>
      </c>
      <c r="B1142">
        <f>TEST_DATA!B1142</f>
        <v/>
      </c>
      <c r="C1142">
        <f>TEST_DATA!C1142</f>
        <v/>
      </c>
      <c r="D1142">
        <f>TEST_DATA!D1142</f>
        <v/>
      </c>
      <c r="E1142">
        <f>TEST_DATA!E1142</f>
        <v/>
      </c>
      <c r="F1142">
        <f>MIN(E1142*114200,10000)</f>
        <v/>
      </c>
      <c r="G1142">
        <f>MINIFS(CBIC_Late_Fee_Relief_Windows_3B!$O$1142:$O$100,CBIC_Late_Fee_Relief_Windows_3B!$D$1142:$D$100,"&lt;="&amp;B1142,CBIC_Late_Fee_Relief_Windows_3B!$E$1142:$E$100,"&gt;="&amp;B1142,CBIC_Late_Fee_Relief_Windows_3B!$F$1142:$F$100,"&lt;="&amp;C1142,CBIC_Late_Fee_Relief_Windows_3B!$G$1142:$G$100,"&gt;="&amp;C1142)</f>
        <v/>
      </c>
      <c r="H1142">
        <f>INDEX(CBIC_Late_Fee_Relief_Windows_3B!$I$1142:$I$100,MATCH(G1142,CBIC_Late_Fee_Relief_Windows_3B!$O$1142:$O$100,0))</f>
        <v/>
      </c>
      <c r="I1142">
        <f>MIN(F1142,H1142)</f>
        <v/>
      </c>
    </row>
    <row r="1143">
      <c r="A1143">
        <f>TEST_DATA!A1143</f>
        <v/>
      </c>
      <c r="B1143">
        <f>TEST_DATA!B1143</f>
        <v/>
      </c>
      <c r="C1143">
        <f>TEST_DATA!C1143</f>
        <v/>
      </c>
      <c r="D1143">
        <f>TEST_DATA!D1143</f>
        <v/>
      </c>
      <c r="E1143">
        <f>TEST_DATA!E1143</f>
        <v/>
      </c>
      <c r="F1143">
        <f>MIN(E1143*114300,10000)</f>
        <v/>
      </c>
      <c r="G1143">
        <f>MINIFS(CBIC_Late_Fee_Relief_Windows_3B!$O$1143:$O$100,CBIC_Late_Fee_Relief_Windows_3B!$D$1143:$D$100,"&lt;="&amp;B1143,CBIC_Late_Fee_Relief_Windows_3B!$E$1143:$E$100,"&gt;="&amp;B1143,CBIC_Late_Fee_Relief_Windows_3B!$F$1143:$F$100,"&lt;="&amp;C1143,CBIC_Late_Fee_Relief_Windows_3B!$G$1143:$G$100,"&gt;="&amp;C1143)</f>
        <v/>
      </c>
      <c r="H1143">
        <f>INDEX(CBIC_Late_Fee_Relief_Windows_3B!$I$1143:$I$100,MATCH(G1143,CBIC_Late_Fee_Relief_Windows_3B!$O$1143:$O$100,0))</f>
        <v/>
      </c>
      <c r="I1143">
        <f>MIN(F1143,H1143)</f>
        <v/>
      </c>
    </row>
    <row r="1144">
      <c r="A1144">
        <f>TEST_DATA!A1144</f>
        <v/>
      </c>
      <c r="B1144">
        <f>TEST_DATA!B1144</f>
        <v/>
      </c>
      <c r="C1144">
        <f>TEST_DATA!C1144</f>
        <v/>
      </c>
      <c r="D1144">
        <f>TEST_DATA!D1144</f>
        <v/>
      </c>
      <c r="E1144">
        <f>TEST_DATA!E1144</f>
        <v/>
      </c>
      <c r="F1144">
        <f>MIN(E1144*114400,10000)</f>
        <v/>
      </c>
      <c r="G1144">
        <f>MINIFS(CBIC_Late_Fee_Relief_Windows_3B!$O$1144:$O$100,CBIC_Late_Fee_Relief_Windows_3B!$D$1144:$D$100,"&lt;="&amp;B1144,CBIC_Late_Fee_Relief_Windows_3B!$E$1144:$E$100,"&gt;="&amp;B1144,CBIC_Late_Fee_Relief_Windows_3B!$F$1144:$F$100,"&lt;="&amp;C1144,CBIC_Late_Fee_Relief_Windows_3B!$G$1144:$G$100,"&gt;="&amp;C1144)</f>
        <v/>
      </c>
      <c r="H1144">
        <f>INDEX(CBIC_Late_Fee_Relief_Windows_3B!$I$1144:$I$100,MATCH(G1144,CBIC_Late_Fee_Relief_Windows_3B!$O$1144:$O$100,0))</f>
        <v/>
      </c>
      <c r="I1144">
        <f>MIN(F1144,H1144)</f>
        <v/>
      </c>
    </row>
    <row r="1145">
      <c r="A1145">
        <f>TEST_DATA!A1145</f>
        <v/>
      </c>
      <c r="B1145">
        <f>TEST_DATA!B1145</f>
        <v/>
      </c>
      <c r="C1145">
        <f>TEST_DATA!C1145</f>
        <v/>
      </c>
      <c r="D1145">
        <f>TEST_DATA!D1145</f>
        <v/>
      </c>
      <c r="E1145">
        <f>TEST_DATA!E1145</f>
        <v/>
      </c>
      <c r="F1145">
        <f>MIN(E1145*114500,10000)</f>
        <v/>
      </c>
      <c r="G1145">
        <f>MINIFS(CBIC_Late_Fee_Relief_Windows_3B!$O$1145:$O$100,CBIC_Late_Fee_Relief_Windows_3B!$D$1145:$D$100,"&lt;="&amp;B1145,CBIC_Late_Fee_Relief_Windows_3B!$E$1145:$E$100,"&gt;="&amp;B1145,CBIC_Late_Fee_Relief_Windows_3B!$F$1145:$F$100,"&lt;="&amp;C1145,CBIC_Late_Fee_Relief_Windows_3B!$G$1145:$G$100,"&gt;="&amp;C1145)</f>
        <v/>
      </c>
      <c r="H1145">
        <f>INDEX(CBIC_Late_Fee_Relief_Windows_3B!$I$1145:$I$100,MATCH(G1145,CBIC_Late_Fee_Relief_Windows_3B!$O$1145:$O$100,0))</f>
        <v/>
      </c>
      <c r="I1145">
        <f>MIN(F1145,H1145)</f>
        <v/>
      </c>
    </row>
    <row r="1146">
      <c r="A1146">
        <f>TEST_DATA!A1146</f>
        <v/>
      </c>
      <c r="B1146">
        <f>TEST_DATA!B1146</f>
        <v/>
      </c>
      <c r="C1146">
        <f>TEST_DATA!C1146</f>
        <v/>
      </c>
      <c r="D1146">
        <f>TEST_DATA!D1146</f>
        <v/>
      </c>
      <c r="E1146">
        <f>TEST_DATA!E1146</f>
        <v/>
      </c>
      <c r="F1146">
        <f>MIN(E1146*114600,10000)</f>
        <v/>
      </c>
      <c r="G1146">
        <f>MINIFS(CBIC_Late_Fee_Relief_Windows_3B!$O$1146:$O$100,CBIC_Late_Fee_Relief_Windows_3B!$D$1146:$D$100,"&lt;="&amp;B1146,CBIC_Late_Fee_Relief_Windows_3B!$E$1146:$E$100,"&gt;="&amp;B1146,CBIC_Late_Fee_Relief_Windows_3B!$F$1146:$F$100,"&lt;="&amp;C1146,CBIC_Late_Fee_Relief_Windows_3B!$G$1146:$G$100,"&gt;="&amp;C1146)</f>
        <v/>
      </c>
      <c r="H1146">
        <f>INDEX(CBIC_Late_Fee_Relief_Windows_3B!$I$1146:$I$100,MATCH(G1146,CBIC_Late_Fee_Relief_Windows_3B!$O$1146:$O$100,0))</f>
        <v/>
      </c>
      <c r="I1146">
        <f>MIN(F1146,H1146)</f>
        <v/>
      </c>
    </row>
    <row r="1147">
      <c r="A1147">
        <f>TEST_DATA!A1147</f>
        <v/>
      </c>
      <c r="B1147">
        <f>TEST_DATA!B1147</f>
        <v/>
      </c>
      <c r="C1147">
        <f>TEST_DATA!C1147</f>
        <v/>
      </c>
      <c r="D1147">
        <f>TEST_DATA!D1147</f>
        <v/>
      </c>
      <c r="E1147">
        <f>TEST_DATA!E1147</f>
        <v/>
      </c>
      <c r="F1147">
        <f>MIN(E1147*114700,10000)</f>
        <v/>
      </c>
      <c r="G1147">
        <f>MINIFS(CBIC_Late_Fee_Relief_Windows_3B!$O$1147:$O$100,CBIC_Late_Fee_Relief_Windows_3B!$D$1147:$D$100,"&lt;="&amp;B1147,CBIC_Late_Fee_Relief_Windows_3B!$E$1147:$E$100,"&gt;="&amp;B1147,CBIC_Late_Fee_Relief_Windows_3B!$F$1147:$F$100,"&lt;="&amp;C1147,CBIC_Late_Fee_Relief_Windows_3B!$G$1147:$G$100,"&gt;="&amp;C1147)</f>
        <v/>
      </c>
      <c r="H1147">
        <f>INDEX(CBIC_Late_Fee_Relief_Windows_3B!$I$1147:$I$100,MATCH(G1147,CBIC_Late_Fee_Relief_Windows_3B!$O$1147:$O$100,0))</f>
        <v/>
      </c>
      <c r="I1147">
        <f>MIN(F1147,H1147)</f>
        <v/>
      </c>
    </row>
    <row r="1148">
      <c r="A1148">
        <f>TEST_DATA!A1148</f>
        <v/>
      </c>
      <c r="B1148">
        <f>TEST_DATA!B1148</f>
        <v/>
      </c>
      <c r="C1148">
        <f>TEST_DATA!C1148</f>
        <v/>
      </c>
      <c r="D1148">
        <f>TEST_DATA!D1148</f>
        <v/>
      </c>
      <c r="E1148">
        <f>TEST_DATA!E1148</f>
        <v/>
      </c>
      <c r="F1148">
        <f>MIN(E1148*114800,10000)</f>
        <v/>
      </c>
      <c r="G1148">
        <f>MINIFS(CBIC_Late_Fee_Relief_Windows_3B!$O$1148:$O$100,CBIC_Late_Fee_Relief_Windows_3B!$D$1148:$D$100,"&lt;="&amp;B1148,CBIC_Late_Fee_Relief_Windows_3B!$E$1148:$E$100,"&gt;="&amp;B1148,CBIC_Late_Fee_Relief_Windows_3B!$F$1148:$F$100,"&lt;="&amp;C1148,CBIC_Late_Fee_Relief_Windows_3B!$G$1148:$G$100,"&gt;="&amp;C1148)</f>
        <v/>
      </c>
      <c r="H1148">
        <f>INDEX(CBIC_Late_Fee_Relief_Windows_3B!$I$1148:$I$100,MATCH(G1148,CBIC_Late_Fee_Relief_Windows_3B!$O$1148:$O$100,0))</f>
        <v/>
      </c>
      <c r="I1148">
        <f>MIN(F1148,H1148)</f>
        <v/>
      </c>
    </row>
    <row r="1149">
      <c r="A1149">
        <f>TEST_DATA!A1149</f>
        <v/>
      </c>
      <c r="B1149">
        <f>TEST_DATA!B1149</f>
        <v/>
      </c>
      <c r="C1149">
        <f>TEST_DATA!C1149</f>
        <v/>
      </c>
      <c r="D1149">
        <f>TEST_DATA!D1149</f>
        <v/>
      </c>
      <c r="E1149">
        <f>TEST_DATA!E1149</f>
        <v/>
      </c>
      <c r="F1149">
        <f>MIN(E1149*114900,10000)</f>
        <v/>
      </c>
      <c r="G1149">
        <f>MINIFS(CBIC_Late_Fee_Relief_Windows_3B!$O$1149:$O$100,CBIC_Late_Fee_Relief_Windows_3B!$D$1149:$D$100,"&lt;="&amp;B1149,CBIC_Late_Fee_Relief_Windows_3B!$E$1149:$E$100,"&gt;="&amp;B1149,CBIC_Late_Fee_Relief_Windows_3B!$F$1149:$F$100,"&lt;="&amp;C1149,CBIC_Late_Fee_Relief_Windows_3B!$G$1149:$G$100,"&gt;="&amp;C1149)</f>
        <v/>
      </c>
      <c r="H1149">
        <f>INDEX(CBIC_Late_Fee_Relief_Windows_3B!$I$1149:$I$100,MATCH(G1149,CBIC_Late_Fee_Relief_Windows_3B!$O$1149:$O$100,0))</f>
        <v/>
      </c>
      <c r="I1149">
        <f>MIN(F1149,H1149)</f>
        <v/>
      </c>
    </row>
    <row r="1150">
      <c r="A1150">
        <f>TEST_DATA!A1150</f>
        <v/>
      </c>
      <c r="B1150">
        <f>TEST_DATA!B1150</f>
        <v/>
      </c>
      <c r="C1150">
        <f>TEST_DATA!C1150</f>
        <v/>
      </c>
      <c r="D1150">
        <f>TEST_DATA!D1150</f>
        <v/>
      </c>
      <c r="E1150">
        <f>TEST_DATA!E1150</f>
        <v/>
      </c>
      <c r="F1150">
        <f>MIN(E1150*115000,10000)</f>
        <v/>
      </c>
      <c r="G1150">
        <f>MINIFS(CBIC_Late_Fee_Relief_Windows_3B!$O$1150:$O$100,CBIC_Late_Fee_Relief_Windows_3B!$D$1150:$D$100,"&lt;="&amp;B1150,CBIC_Late_Fee_Relief_Windows_3B!$E$1150:$E$100,"&gt;="&amp;B1150,CBIC_Late_Fee_Relief_Windows_3B!$F$1150:$F$100,"&lt;="&amp;C1150,CBIC_Late_Fee_Relief_Windows_3B!$G$1150:$G$100,"&gt;="&amp;C1150)</f>
        <v/>
      </c>
      <c r="H1150">
        <f>INDEX(CBIC_Late_Fee_Relief_Windows_3B!$I$1150:$I$100,MATCH(G1150,CBIC_Late_Fee_Relief_Windows_3B!$O$1150:$O$100,0))</f>
        <v/>
      </c>
      <c r="I1150">
        <f>MIN(F1150,H1150)</f>
        <v/>
      </c>
    </row>
    <row r="1151">
      <c r="A1151">
        <f>TEST_DATA!A1151</f>
        <v/>
      </c>
      <c r="B1151">
        <f>TEST_DATA!B1151</f>
        <v/>
      </c>
      <c r="C1151">
        <f>TEST_DATA!C1151</f>
        <v/>
      </c>
      <c r="D1151">
        <f>TEST_DATA!D1151</f>
        <v/>
      </c>
      <c r="E1151">
        <f>TEST_DATA!E1151</f>
        <v/>
      </c>
      <c r="F1151">
        <f>MIN(E1151*115100,10000)</f>
        <v/>
      </c>
      <c r="G1151">
        <f>MINIFS(CBIC_Late_Fee_Relief_Windows_3B!$O$1151:$O$100,CBIC_Late_Fee_Relief_Windows_3B!$D$1151:$D$100,"&lt;="&amp;B1151,CBIC_Late_Fee_Relief_Windows_3B!$E$1151:$E$100,"&gt;="&amp;B1151,CBIC_Late_Fee_Relief_Windows_3B!$F$1151:$F$100,"&lt;="&amp;C1151,CBIC_Late_Fee_Relief_Windows_3B!$G$1151:$G$100,"&gt;="&amp;C1151)</f>
        <v/>
      </c>
      <c r="H1151">
        <f>INDEX(CBIC_Late_Fee_Relief_Windows_3B!$I$1151:$I$100,MATCH(G1151,CBIC_Late_Fee_Relief_Windows_3B!$O$1151:$O$100,0))</f>
        <v/>
      </c>
      <c r="I1151">
        <f>MIN(F1151,H1151)</f>
        <v/>
      </c>
    </row>
    <row r="1152">
      <c r="A1152">
        <f>TEST_DATA!A1152</f>
        <v/>
      </c>
      <c r="B1152">
        <f>TEST_DATA!B1152</f>
        <v/>
      </c>
      <c r="C1152">
        <f>TEST_DATA!C1152</f>
        <v/>
      </c>
      <c r="D1152">
        <f>TEST_DATA!D1152</f>
        <v/>
      </c>
      <c r="E1152">
        <f>TEST_DATA!E1152</f>
        <v/>
      </c>
      <c r="F1152">
        <f>MIN(E1152*115200,10000)</f>
        <v/>
      </c>
      <c r="G1152">
        <f>MINIFS(CBIC_Late_Fee_Relief_Windows_3B!$O$1152:$O$100,CBIC_Late_Fee_Relief_Windows_3B!$D$1152:$D$100,"&lt;="&amp;B1152,CBIC_Late_Fee_Relief_Windows_3B!$E$1152:$E$100,"&gt;="&amp;B1152,CBIC_Late_Fee_Relief_Windows_3B!$F$1152:$F$100,"&lt;="&amp;C1152,CBIC_Late_Fee_Relief_Windows_3B!$G$1152:$G$100,"&gt;="&amp;C1152)</f>
        <v/>
      </c>
      <c r="H1152">
        <f>INDEX(CBIC_Late_Fee_Relief_Windows_3B!$I$1152:$I$100,MATCH(G1152,CBIC_Late_Fee_Relief_Windows_3B!$O$1152:$O$100,0))</f>
        <v/>
      </c>
      <c r="I1152">
        <f>MIN(F1152,H1152)</f>
        <v/>
      </c>
    </row>
    <row r="1153">
      <c r="A1153">
        <f>TEST_DATA!A1153</f>
        <v/>
      </c>
      <c r="B1153">
        <f>TEST_DATA!B1153</f>
        <v/>
      </c>
      <c r="C1153">
        <f>TEST_DATA!C1153</f>
        <v/>
      </c>
      <c r="D1153">
        <f>TEST_DATA!D1153</f>
        <v/>
      </c>
      <c r="E1153">
        <f>TEST_DATA!E1153</f>
        <v/>
      </c>
      <c r="F1153">
        <f>MIN(E1153*115300,10000)</f>
        <v/>
      </c>
      <c r="G1153">
        <f>MINIFS(CBIC_Late_Fee_Relief_Windows_3B!$O$1153:$O$100,CBIC_Late_Fee_Relief_Windows_3B!$D$1153:$D$100,"&lt;="&amp;B1153,CBIC_Late_Fee_Relief_Windows_3B!$E$1153:$E$100,"&gt;="&amp;B1153,CBIC_Late_Fee_Relief_Windows_3B!$F$1153:$F$100,"&lt;="&amp;C1153,CBIC_Late_Fee_Relief_Windows_3B!$G$1153:$G$100,"&gt;="&amp;C1153)</f>
        <v/>
      </c>
      <c r="H1153">
        <f>INDEX(CBIC_Late_Fee_Relief_Windows_3B!$I$1153:$I$100,MATCH(G1153,CBIC_Late_Fee_Relief_Windows_3B!$O$1153:$O$100,0))</f>
        <v/>
      </c>
      <c r="I1153">
        <f>MIN(F1153,H1153)</f>
        <v/>
      </c>
    </row>
    <row r="1154">
      <c r="A1154">
        <f>TEST_DATA!A1154</f>
        <v/>
      </c>
      <c r="B1154">
        <f>TEST_DATA!B1154</f>
        <v/>
      </c>
      <c r="C1154">
        <f>TEST_DATA!C1154</f>
        <v/>
      </c>
      <c r="D1154">
        <f>TEST_DATA!D1154</f>
        <v/>
      </c>
      <c r="E1154">
        <f>TEST_DATA!E1154</f>
        <v/>
      </c>
      <c r="F1154">
        <f>MIN(E1154*115400,10000)</f>
        <v/>
      </c>
      <c r="G1154">
        <f>MINIFS(CBIC_Late_Fee_Relief_Windows_3B!$O$1154:$O$100,CBIC_Late_Fee_Relief_Windows_3B!$D$1154:$D$100,"&lt;="&amp;B1154,CBIC_Late_Fee_Relief_Windows_3B!$E$1154:$E$100,"&gt;="&amp;B1154,CBIC_Late_Fee_Relief_Windows_3B!$F$1154:$F$100,"&lt;="&amp;C1154,CBIC_Late_Fee_Relief_Windows_3B!$G$1154:$G$100,"&gt;="&amp;C1154)</f>
        <v/>
      </c>
      <c r="H1154">
        <f>INDEX(CBIC_Late_Fee_Relief_Windows_3B!$I$1154:$I$100,MATCH(G1154,CBIC_Late_Fee_Relief_Windows_3B!$O$1154:$O$100,0))</f>
        <v/>
      </c>
      <c r="I1154">
        <f>MIN(F1154,H1154)</f>
        <v/>
      </c>
    </row>
    <row r="1155">
      <c r="A1155">
        <f>TEST_DATA!A1155</f>
        <v/>
      </c>
      <c r="B1155">
        <f>TEST_DATA!B1155</f>
        <v/>
      </c>
      <c r="C1155">
        <f>TEST_DATA!C1155</f>
        <v/>
      </c>
      <c r="D1155">
        <f>TEST_DATA!D1155</f>
        <v/>
      </c>
      <c r="E1155">
        <f>TEST_DATA!E1155</f>
        <v/>
      </c>
      <c r="F1155">
        <f>MIN(E1155*115500,10000)</f>
        <v/>
      </c>
      <c r="G1155">
        <f>MINIFS(CBIC_Late_Fee_Relief_Windows_3B!$O$1155:$O$100,CBIC_Late_Fee_Relief_Windows_3B!$D$1155:$D$100,"&lt;="&amp;B1155,CBIC_Late_Fee_Relief_Windows_3B!$E$1155:$E$100,"&gt;="&amp;B1155,CBIC_Late_Fee_Relief_Windows_3B!$F$1155:$F$100,"&lt;="&amp;C1155,CBIC_Late_Fee_Relief_Windows_3B!$G$1155:$G$100,"&gt;="&amp;C1155)</f>
        <v/>
      </c>
      <c r="H1155">
        <f>INDEX(CBIC_Late_Fee_Relief_Windows_3B!$I$1155:$I$100,MATCH(G1155,CBIC_Late_Fee_Relief_Windows_3B!$O$1155:$O$100,0))</f>
        <v/>
      </c>
      <c r="I1155">
        <f>MIN(F1155,H1155)</f>
        <v/>
      </c>
    </row>
    <row r="1156">
      <c r="A1156">
        <f>TEST_DATA!A1156</f>
        <v/>
      </c>
      <c r="B1156">
        <f>TEST_DATA!B1156</f>
        <v/>
      </c>
      <c r="C1156">
        <f>TEST_DATA!C1156</f>
        <v/>
      </c>
      <c r="D1156">
        <f>TEST_DATA!D1156</f>
        <v/>
      </c>
      <c r="E1156">
        <f>TEST_DATA!E1156</f>
        <v/>
      </c>
      <c r="F1156">
        <f>MIN(E1156*115600,10000)</f>
        <v/>
      </c>
      <c r="G1156">
        <f>MINIFS(CBIC_Late_Fee_Relief_Windows_3B!$O$1156:$O$100,CBIC_Late_Fee_Relief_Windows_3B!$D$1156:$D$100,"&lt;="&amp;B1156,CBIC_Late_Fee_Relief_Windows_3B!$E$1156:$E$100,"&gt;="&amp;B1156,CBIC_Late_Fee_Relief_Windows_3B!$F$1156:$F$100,"&lt;="&amp;C1156,CBIC_Late_Fee_Relief_Windows_3B!$G$1156:$G$100,"&gt;="&amp;C1156)</f>
        <v/>
      </c>
      <c r="H1156">
        <f>INDEX(CBIC_Late_Fee_Relief_Windows_3B!$I$1156:$I$100,MATCH(G1156,CBIC_Late_Fee_Relief_Windows_3B!$O$1156:$O$100,0))</f>
        <v/>
      </c>
      <c r="I1156">
        <f>MIN(F1156,H1156)</f>
        <v/>
      </c>
    </row>
    <row r="1157">
      <c r="A1157">
        <f>TEST_DATA!A1157</f>
        <v/>
      </c>
      <c r="B1157">
        <f>TEST_DATA!B1157</f>
        <v/>
      </c>
      <c r="C1157">
        <f>TEST_DATA!C1157</f>
        <v/>
      </c>
      <c r="D1157">
        <f>TEST_DATA!D1157</f>
        <v/>
      </c>
      <c r="E1157">
        <f>TEST_DATA!E1157</f>
        <v/>
      </c>
      <c r="F1157">
        <f>MIN(E1157*115700,10000)</f>
        <v/>
      </c>
      <c r="G1157">
        <f>MINIFS(CBIC_Late_Fee_Relief_Windows_3B!$O$1157:$O$100,CBIC_Late_Fee_Relief_Windows_3B!$D$1157:$D$100,"&lt;="&amp;B1157,CBIC_Late_Fee_Relief_Windows_3B!$E$1157:$E$100,"&gt;="&amp;B1157,CBIC_Late_Fee_Relief_Windows_3B!$F$1157:$F$100,"&lt;="&amp;C1157,CBIC_Late_Fee_Relief_Windows_3B!$G$1157:$G$100,"&gt;="&amp;C1157)</f>
        <v/>
      </c>
      <c r="H1157">
        <f>INDEX(CBIC_Late_Fee_Relief_Windows_3B!$I$1157:$I$100,MATCH(G1157,CBIC_Late_Fee_Relief_Windows_3B!$O$1157:$O$100,0))</f>
        <v/>
      </c>
      <c r="I1157">
        <f>MIN(F1157,H1157)</f>
        <v/>
      </c>
    </row>
    <row r="1158">
      <c r="A1158">
        <f>TEST_DATA!A1158</f>
        <v/>
      </c>
      <c r="B1158">
        <f>TEST_DATA!B1158</f>
        <v/>
      </c>
      <c r="C1158">
        <f>TEST_DATA!C1158</f>
        <v/>
      </c>
      <c r="D1158">
        <f>TEST_DATA!D1158</f>
        <v/>
      </c>
      <c r="E1158">
        <f>TEST_DATA!E1158</f>
        <v/>
      </c>
      <c r="F1158">
        <f>MIN(E1158*115800,10000)</f>
        <v/>
      </c>
      <c r="G1158">
        <f>MINIFS(CBIC_Late_Fee_Relief_Windows_3B!$O$1158:$O$100,CBIC_Late_Fee_Relief_Windows_3B!$D$1158:$D$100,"&lt;="&amp;B1158,CBIC_Late_Fee_Relief_Windows_3B!$E$1158:$E$100,"&gt;="&amp;B1158,CBIC_Late_Fee_Relief_Windows_3B!$F$1158:$F$100,"&lt;="&amp;C1158,CBIC_Late_Fee_Relief_Windows_3B!$G$1158:$G$100,"&gt;="&amp;C1158)</f>
        <v/>
      </c>
      <c r="H1158">
        <f>INDEX(CBIC_Late_Fee_Relief_Windows_3B!$I$1158:$I$100,MATCH(G1158,CBIC_Late_Fee_Relief_Windows_3B!$O$1158:$O$100,0))</f>
        <v/>
      </c>
      <c r="I1158">
        <f>MIN(F1158,H1158)</f>
        <v/>
      </c>
    </row>
    <row r="1159">
      <c r="A1159">
        <f>TEST_DATA!A1159</f>
        <v/>
      </c>
      <c r="B1159">
        <f>TEST_DATA!B1159</f>
        <v/>
      </c>
      <c r="C1159">
        <f>TEST_DATA!C1159</f>
        <v/>
      </c>
      <c r="D1159">
        <f>TEST_DATA!D1159</f>
        <v/>
      </c>
      <c r="E1159">
        <f>TEST_DATA!E1159</f>
        <v/>
      </c>
      <c r="F1159">
        <f>MIN(E1159*115900,10000)</f>
        <v/>
      </c>
      <c r="G1159">
        <f>MINIFS(CBIC_Late_Fee_Relief_Windows_3B!$O$1159:$O$100,CBIC_Late_Fee_Relief_Windows_3B!$D$1159:$D$100,"&lt;="&amp;B1159,CBIC_Late_Fee_Relief_Windows_3B!$E$1159:$E$100,"&gt;="&amp;B1159,CBIC_Late_Fee_Relief_Windows_3B!$F$1159:$F$100,"&lt;="&amp;C1159,CBIC_Late_Fee_Relief_Windows_3B!$G$1159:$G$100,"&gt;="&amp;C1159)</f>
        <v/>
      </c>
      <c r="H1159">
        <f>INDEX(CBIC_Late_Fee_Relief_Windows_3B!$I$1159:$I$100,MATCH(G1159,CBIC_Late_Fee_Relief_Windows_3B!$O$1159:$O$100,0))</f>
        <v/>
      </c>
      <c r="I1159">
        <f>MIN(F1159,H1159)</f>
        <v/>
      </c>
    </row>
    <row r="1160">
      <c r="A1160">
        <f>TEST_DATA!A1160</f>
        <v/>
      </c>
      <c r="B1160">
        <f>TEST_DATA!B1160</f>
        <v/>
      </c>
      <c r="C1160">
        <f>TEST_DATA!C1160</f>
        <v/>
      </c>
      <c r="D1160">
        <f>TEST_DATA!D1160</f>
        <v/>
      </c>
      <c r="E1160">
        <f>TEST_DATA!E1160</f>
        <v/>
      </c>
      <c r="F1160">
        <f>MIN(E1160*116000,10000)</f>
        <v/>
      </c>
      <c r="G1160">
        <f>MINIFS(CBIC_Late_Fee_Relief_Windows_3B!$O$1160:$O$100,CBIC_Late_Fee_Relief_Windows_3B!$D$1160:$D$100,"&lt;="&amp;B1160,CBIC_Late_Fee_Relief_Windows_3B!$E$1160:$E$100,"&gt;="&amp;B1160,CBIC_Late_Fee_Relief_Windows_3B!$F$1160:$F$100,"&lt;="&amp;C1160,CBIC_Late_Fee_Relief_Windows_3B!$G$1160:$G$100,"&gt;="&amp;C1160)</f>
        <v/>
      </c>
      <c r="H1160">
        <f>INDEX(CBIC_Late_Fee_Relief_Windows_3B!$I$1160:$I$100,MATCH(G1160,CBIC_Late_Fee_Relief_Windows_3B!$O$1160:$O$100,0))</f>
        <v/>
      </c>
      <c r="I1160">
        <f>MIN(F1160,H1160)</f>
        <v/>
      </c>
    </row>
    <row r="1161">
      <c r="A1161">
        <f>TEST_DATA!A1161</f>
        <v/>
      </c>
      <c r="B1161">
        <f>TEST_DATA!B1161</f>
        <v/>
      </c>
      <c r="C1161">
        <f>TEST_DATA!C1161</f>
        <v/>
      </c>
      <c r="D1161">
        <f>TEST_DATA!D1161</f>
        <v/>
      </c>
      <c r="E1161">
        <f>TEST_DATA!E1161</f>
        <v/>
      </c>
      <c r="F1161">
        <f>MIN(E1161*116100,10000)</f>
        <v/>
      </c>
      <c r="G1161">
        <f>MINIFS(CBIC_Late_Fee_Relief_Windows_3B!$O$1161:$O$100,CBIC_Late_Fee_Relief_Windows_3B!$D$1161:$D$100,"&lt;="&amp;B1161,CBIC_Late_Fee_Relief_Windows_3B!$E$1161:$E$100,"&gt;="&amp;B1161,CBIC_Late_Fee_Relief_Windows_3B!$F$1161:$F$100,"&lt;="&amp;C1161,CBIC_Late_Fee_Relief_Windows_3B!$G$1161:$G$100,"&gt;="&amp;C1161)</f>
        <v/>
      </c>
      <c r="H1161">
        <f>INDEX(CBIC_Late_Fee_Relief_Windows_3B!$I$1161:$I$100,MATCH(G1161,CBIC_Late_Fee_Relief_Windows_3B!$O$1161:$O$100,0))</f>
        <v/>
      </c>
      <c r="I1161">
        <f>MIN(F1161,H1161)</f>
        <v/>
      </c>
    </row>
    <row r="1162">
      <c r="A1162">
        <f>TEST_DATA!A1162</f>
        <v/>
      </c>
      <c r="B1162">
        <f>TEST_DATA!B1162</f>
        <v/>
      </c>
      <c r="C1162">
        <f>TEST_DATA!C1162</f>
        <v/>
      </c>
      <c r="D1162">
        <f>TEST_DATA!D1162</f>
        <v/>
      </c>
      <c r="E1162">
        <f>TEST_DATA!E1162</f>
        <v/>
      </c>
      <c r="F1162">
        <f>MIN(E1162*116200,10000)</f>
        <v/>
      </c>
      <c r="G1162">
        <f>MINIFS(CBIC_Late_Fee_Relief_Windows_3B!$O$1162:$O$100,CBIC_Late_Fee_Relief_Windows_3B!$D$1162:$D$100,"&lt;="&amp;B1162,CBIC_Late_Fee_Relief_Windows_3B!$E$1162:$E$100,"&gt;="&amp;B1162,CBIC_Late_Fee_Relief_Windows_3B!$F$1162:$F$100,"&lt;="&amp;C1162,CBIC_Late_Fee_Relief_Windows_3B!$G$1162:$G$100,"&gt;="&amp;C1162)</f>
        <v/>
      </c>
      <c r="H1162">
        <f>INDEX(CBIC_Late_Fee_Relief_Windows_3B!$I$1162:$I$100,MATCH(G1162,CBIC_Late_Fee_Relief_Windows_3B!$O$1162:$O$100,0))</f>
        <v/>
      </c>
      <c r="I1162">
        <f>MIN(F1162,H1162)</f>
        <v/>
      </c>
    </row>
    <row r="1163">
      <c r="A1163">
        <f>TEST_DATA!A1163</f>
        <v/>
      </c>
      <c r="B1163">
        <f>TEST_DATA!B1163</f>
        <v/>
      </c>
      <c r="C1163">
        <f>TEST_DATA!C1163</f>
        <v/>
      </c>
      <c r="D1163">
        <f>TEST_DATA!D1163</f>
        <v/>
      </c>
      <c r="E1163">
        <f>TEST_DATA!E1163</f>
        <v/>
      </c>
      <c r="F1163">
        <f>MIN(E1163*116300,10000)</f>
        <v/>
      </c>
      <c r="G1163">
        <f>MINIFS(CBIC_Late_Fee_Relief_Windows_3B!$O$1163:$O$100,CBIC_Late_Fee_Relief_Windows_3B!$D$1163:$D$100,"&lt;="&amp;B1163,CBIC_Late_Fee_Relief_Windows_3B!$E$1163:$E$100,"&gt;="&amp;B1163,CBIC_Late_Fee_Relief_Windows_3B!$F$1163:$F$100,"&lt;="&amp;C1163,CBIC_Late_Fee_Relief_Windows_3B!$G$1163:$G$100,"&gt;="&amp;C1163)</f>
        <v/>
      </c>
      <c r="H1163">
        <f>INDEX(CBIC_Late_Fee_Relief_Windows_3B!$I$1163:$I$100,MATCH(G1163,CBIC_Late_Fee_Relief_Windows_3B!$O$1163:$O$100,0))</f>
        <v/>
      </c>
      <c r="I1163">
        <f>MIN(F1163,H1163)</f>
        <v/>
      </c>
    </row>
    <row r="1164">
      <c r="A1164">
        <f>TEST_DATA!A1164</f>
        <v/>
      </c>
      <c r="B1164">
        <f>TEST_DATA!B1164</f>
        <v/>
      </c>
      <c r="C1164">
        <f>TEST_DATA!C1164</f>
        <v/>
      </c>
      <c r="D1164">
        <f>TEST_DATA!D1164</f>
        <v/>
      </c>
      <c r="E1164">
        <f>TEST_DATA!E1164</f>
        <v/>
      </c>
      <c r="F1164">
        <f>MIN(E1164*116400,10000)</f>
        <v/>
      </c>
      <c r="G1164">
        <f>MINIFS(CBIC_Late_Fee_Relief_Windows_3B!$O$1164:$O$100,CBIC_Late_Fee_Relief_Windows_3B!$D$1164:$D$100,"&lt;="&amp;B1164,CBIC_Late_Fee_Relief_Windows_3B!$E$1164:$E$100,"&gt;="&amp;B1164,CBIC_Late_Fee_Relief_Windows_3B!$F$1164:$F$100,"&lt;="&amp;C1164,CBIC_Late_Fee_Relief_Windows_3B!$G$1164:$G$100,"&gt;="&amp;C1164)</f>
        <v/>
      </c>
      <c r="H1164">
        <f>INDEX(CBIC_Late_Fee_Relief_Windows_3B!$I$1164:$I$100,MATCH(G1164,CBIC_Late_Fee_Relief_Windows_3B!$O$1164:$O$100,0))</f>
        <v/>
      </c>
      <c r="I1164">
        <f>MIN(F1164,H1164)</f>
        <v/>
      </c>
    </row>
    <row r="1165">
      <c r="A1165">
        <f>TEST_DATA!A1165</f>
        <v/>
      </c>
      <c r="B1165">
        <f>TEST_DATA!B1165</f>
        <v/>
      </c>
      <c r="C1165">
        <f>TEST_DATA!C1165</f>
        <v/>
      </c>
      <c r="D1165">
        <f>TEST_DATA!D1165</f>
        <v/>
      </c>
      <c r="E1165">
        <f>TEST_DATA!E1165</f>
        <v/>
      </c>
      <c r="F1165">
        <f>MIN(E1165*116500,10000)</f>
        <v/>
      </c>
      <c r="G1165">
        <f>MINIFS(CBIC_Late_Fee_Relief_Windows_3B!$O$1165:$O$100,CBIC_Late_Fee_Relief_Windows_3B!$D$1165:$D$100,"&lt;="&amp;B1165,CBIC_Late_Fee_Relief_Windows_3B!$E$1165:$E$100,"&gt;="&amp;B1165,CBIC_Late_Fee_Relief_Windows_3B!$F$1165:$F$100,"&lt;="&amp;C1165,CBIC_Late_Fee_Relief_Windows_3B!$G$1165:$G$100,"&gt;="&amp;C1165)</f>
        <v/>
      </c>
      <c r="H1165">
        <f>INDEX(CBIC_Late_Fee_Relief_Windows_3B!$I$1165:$I$100,MATCH(G1165,CBIC_Late_Fee_Relief_Windows_3B!$O$1165:$O$100,0))</f>
        <v/>
      </c>
      <c r="I1165">
        <f>MIN(F1165,H1165)</f>
        <v/>
      </c>
    </row>
    <row r="1166">
      <c r="A1166">
        <f>TEST_DATA!A1166</f>
        <v/>
      </c>
      <c r="B1166">
        <f>TEST_DATA!B1166</f>
        <v/>
      </c>
      <c r="C1166">
        <f>TEST_DATA!C1166</f>
        <v/>
      </c>
      <c r="D1166">
        <f>TEST_DATA!D1166</f>
        <v/>
      </c>
      <c r="E1166">
        <f>TEST_DATA!E1166</f>
        <v/>
      </c>
      <c r="F1166">
        <f>MIN(E1166*116600,10000)</f>
        <v/>
      </c>
      <c r="G1166">
        <f>MINIFS(CBIC_Late_Fee_Relief_Windows_3B!$O$1166:$O$100,CBIC_Late_Fee_Relief_Windows_3B!$D$1166:$D$100,"&lt;="&amp;B1166,CBIC_Late_Fee_Relief_Windows_3B!$E$1166:$E$100,"&gt;="&amp;B1166,CBIC_Late_Fee_Relief_Windows_3B!$F$1166:$F$100,"&lt;="&amp;C1166,CBIC_Late_Fee_Relief_Windows_3B!$G$1166:$G$100,"&gt;="&amp;C1166)</f>
        <v/>
      </c>
      <c r="H1166">
        <f>INDEX(CBIC_Late_Fee_Relief_Windows_3B!$I$1166:$I$100,MATCH(G1166,CBIC_Late_Fee_Relief_Windows_3B!$O$1166:$O$100,0))</f>
        <v/>
      </c>
      <c r="I1166">
        <f>MIN(F1166,H1166)</f>
        <v/>
      </c>
    </row>
    <row r="1167">
      <c r="A1167">
        <f>TEST_DATA!A1167</f>
        <v/>
      </c>
      <c r="B1167">
        <f>TEST_DATA!B1167</f>
        <v/>
      </c>
      <c r="C1167">
        <f>TEST_DATA!C1167</f>
        <v/>
      </c>
      <c r="D1167">
        <f>TEST_DATA!D1167</f>
        <v/>
      </c>
      <c r="E1167">
        <f>TEST_DATA!E1167</f>
        <v/>
      </c>
      <c r="F1167">
        <f>MIN(E1167*116700,10000)</f>
        <v/>
      </c>
      <c r="G1167">
        <f>MINIFS(CBIC_Late_Fee_Relief_Windows_3B!$O$1167:$O$100,CBIC_Late_Fee_Relief_Windows_3B!$D$1167:$D$100,"&lt;="&amp;B1167,CBIC_Late_Fee_Relief_Windows_3B!$E$1167:$E$100,"&gt;="&amp;B1167,CBIC_Late_Fee_Relief_Windows_3B!$F$1167:$F$100,"&lt;="&amp;C1167,CBIC_Late_Fee_Relief_Windows_3B!$G$1167:$G$100,"&gt;="&amp;C1167)</f>
        <v/>
      </c>
      <c r="H1167">
        <f>INDEX(CBIC_Late_Fee_Relief_Windows_3B!$I$1167:$I$100,MATCH(G1167,CBIC_Late_Fee_Relief_Windows_3B!$O$1167:$O$100,0))</f>
        <v/>
      </c>
      <c r="I1167">
        <f>MIN(F1167,H1167)</f>
        <v/>
      </c>
    </row>
    <row r="1168">
      <c r="A1168">
        <f>TEST_DATA!A1168</f>
        <v/>
      </c>
      <c r="B1168">
        <f>TEST_DATA!B1168</f>
        <v/>
      </c>
      <c r="C1168">
        <f>TEST_DATA!C1168</f>
        <v/>
      </c>
      <c r="D1168">
        <f>TEST_DATA!D1168</f>
        <v/>
      </c>
      <c r="E1168">
        <f>TEST_DATA!E1168</f>
        <v/>
      </c>
      <c r="F1168">
        <f>MIN(E1168*116800,10000)</f>
        <v/>
      </c>
      <c r="G1168">
        <f>MINIFS(CBIC_Late_Fee_Relief_Windows_3B!$O$1168:$O$100,CBIC_Late_Fee_Relief_Windows_3B!$D$1168:$D$100,"&lt;="&amp;B1168,CBIC_Late_Fee_Relief_Windows_3B!$E$1168:$E$100,"&gt;="&amp;B1168,CBIC_Late_Fee_Relief_Windows_3B!$F$1168:$F$100,"&lt;="&amp;C1168,CBIC_Late_Fee_Relief_Windows_3B!$G$1168:$G$100,"&gt;="&amp;C1168)</f>
        <v/>
      </c>
      <c r="H1168">
        <f>INDEX(CBIC_Late_Fee_Relief_Windows_3B!$I$1168:$I$100,MATCH(G1168,CBIC_Late_Fee_Relief_Windows_3B!$O$1168:$O$100,0))</f>
        <v/>
      </c>
      <c r="I1168">
        <f>MIN(F1168,H1168)</f>
        <v/>
      </c>
    </row>
    <row r="1169">
      <c r="A1169">
        <f>TEST_DATA!A1169</f>
        <v/>
      </c>
      <c r="B1169">
        <f>TEST_DATA!B1169</f>
        <v/>
      </c>
      <c r="C1169">
        <f>TEST_DATA!C1169</f>
        <v/>
      </c>
      <c r="D1169">
        <f>TEST_DATA!D1169</f>
        <v/>
      </c>
      <c r="E1169">
        <f>TEST_DATA!E1169</f>
        <v/>
      </c>
      <c r="F1169">
        <f>MIN(E1169*116900,10000)</f>
        <v/>
      </c>
      <c r="G1169">
        <f>MINIFS(CBIC_Late_Fee_Relief_Windows_3B!$O$1169:$O$100,CBIC_Late_Fee_Relief_Windows_3B!$D$1169:$D$100,"&lt;="&amp;B1169,CBIC_Late_Fee_Relief_Windows_3B!$E$1169:$E$100,"&gt;="&amp;B1169,CBIC_Late_Fee_Relief_Windows_3B!$F$1169:$F$100,"&lt;="&amp;C1169,CBIC_Late_Fee_Relief_Windows_3B!$G$1169:$G$100,"&gt;="&amp;C1169)</f>
        <v/>
      </c>
      <c r="H1169">
        <f>INDEX(CBIC_Late_Fee_Relief_Windows_3B!$I$1169:$I$100,MATCH(G1169,CBIC_Late_Fee_Relief_Windows_3B!$O$1169:$O$100,0))</f>
        <v/>
      </c>
      <c r="I1169">
        <f>MIN(F1169,H1169)</f>
        <v/>
      </c>
    </row>
    <row r="1170">
      <c r="A1170">
        <f>TEST_DATA!A1170</f>
        <v/>
      </c>
      <c r="B1170">
        <f>TEST_DATA!B1170</f>
        <v/>
      </c>
      <c r="C1170">
        <f>TEST_DATA!C1170</f>
        <v/>
      </c>
      <c r="D1170">
        <f>TEST_DATA!D1170</f>
        <v/>
      </c>
      <c r="E1170">
        <f>TEST_DATA!E1170</f>
        <v/>
      </c>
      <c r="F1170">
        <f>MIN(E1170*117000,10000)</f>
        <v/>
      </c>
      <c r="G1170">
        <f>MINIFS(CBIC_Late_Fee_Relief_Windows_3B!$O$1170:$O$100,CBIC_Late_Fee_Relief_Windows_3B!$D$1170:$D$100,"&lt;="&amp;B1170,CBIC_Late_Fee_Relief_Windows_3B!$E$1170:$E$100,"&gt;="&amp;B1170,CBIC_Late_Fee_Relief_Windows_3B!$F$1170:$F$100,"&lt;="&amp;C1170,CBIC_Late_Fee_Relief_Windows_3B!$G$1170:$G$100,"&gt;="&amp;C1170)</f>
        <v/>
      </c>
      <c r="H1170">
        <f>INDEX(CBIC_Late_Fee_Relief_Windows_3B!$I$1170:$I$100,MATCH(G1170,CBIC_Late_Fee_Relief_Windows_3B!$O$1170:$O$100,0))</f>
        <v/>
      </c>
      <c r="I1170">
        <f>MIN(F1170,H1170)</f>
        <v/>
      </c>
    </row>
    <row r="1171">
      <c r="A1171">
        <f>TEST_DATA!A1171</f>
        <v/>
      </c>
      <c r="B1171">
        <f>TEST_DATA!B1171</f>
        <v/>
      </c>
      <c r="C1171">
        <f>TEST_DATA!C1171</f>
        <v/>
      </c>
      <c r="D1171">
        <f>TEST_DATA!D1171</f>
        <v/>
      </c>
      <c r="E1171">
        <f>TEST_DATA!E1171</f>
        <v/>
      </c>
      <c r="F1171">
        <f>MIN(E1171*117100,10000)</f>
        <v/>
      </c>
      <c r="G1171">
        <f>MINIFS(CBIC_Late_Fee_Relief_Windows_3B!$O$1171:$O$100,CBIC_Late_Fee_Relief_Windows_3B!$D$1171:$D$100,"&lt;="&amp;B1171,CBIC_Late_Fee_Relief_Windows_3B!$E$1171:$E$100,"&gt;="&amp;B1171,CBIC_Late_Fee_Relief_Windows_3B!$F$1171:$F$100,"&lt;="&amp;C1171,CBIC_Late_Fee_Relief_Windows_3B!$G$1171:$G$100,"&gt;="&amp;C1171)</f>
        <v/>
      </c>
      <c r="H1171">
        <f>INDEX(CBIC_Late_Fee_Relief_Windows_3B!$I$1171:$I$100,MATCH(G1171,CBIC_Late_Fee_Relief_Windows_3B!$O$1171:$O$100,0))</f>
        <v/>
      </c>
      <c r="I1171">
        <f>MIN(F1171,H1171)</f>
        <v/>
      </c>
    </row>
    <row r="1172">
      <c r="A1172">
        <f>TEST_DATA!A1172</f>
        <v/>
      </c>
      <c r="B1172">
        <f>TEST_DATA!B1172</f>
        <v/>
      </c>
      <c r="C1172">
        <f>TEST_DATA!C1172</f>
        <v/>
      </c>
      <c r="D1172">
        <f>TEST_DATA!D1172</f>
        <v/>
      </c>
      <c r="E1172">
        <f>TEST_DATA!E1172</f>
        <v/>
      </c>
      <c r="F1172">
        <f>MIN(E1172*117200,10000)</f>
        <v/>
      </c>
      <c r="G1172">
        <f>MINIFS(CBIC_Late_Fee_Relief_Windows_3B!$O$1172:$O$100,CBIC_Late_Fee_Relief_Windows_3B!$D$1172:$D$100,"&lt;="&amp;B1172,CBIC_Late_Fee_Relief_Windows_3B!$E$1172:$E$100,"&gt;="&amp;B1172,CBIC_Late_Fee_Relief_Windows_3B!$F$1172:$F$100,"&lt;="&amp;C1172,CBIC_Late_Fee_Relief_Windows_3B!$G$1172:$G$100,"&gt;="&amp;C1172)</f>
        <v/>
      </c>
      <c r="H1172">
        <f>INDEX(CBIC_Late_Fee_Relief_Windows_3B!$I$1172:$I$100,MATCH(G1172,CBIC_Late_Fee_Relief_Windows_3B!$O$1172:$O$100,0))</f>
        <v/>
      </c>
      <c r="I1172">
        <f>MIN(F1172,H1172)</f>
        <v/>
      </c>
    </row>
    <row r="1173">
      <c r="A1173">
        <f>TEST_DATA!A1173</f>
        <v/>
      </c>
      <c r="B1173">
        <f>TEST_DATA!B1173</f>
        <v/>
      </c>
      <c r="C1173">
        <f>TEST_DATA!C1173</f>
        <v/>
      </c>
      <c r="D1173">
        <f>TEST_DATA!D1173</f>
        <v/>
      </c>
      <c r="E1173">
        <f>TEST_DATA!E1173</f>
        <v/>
      </c>
      <c r="F1173">
        <f>MIN(E1173*117300,10000)</f>
        <v/>
      </c>
      <c r="G1173">
        <f>MINIFS(CBIC_Late_Fee_Relief_Windows_3B!$O$1173:$O$100,CBIC_Late_Fee_Relief_Windows_3B!$D$1173:$D$100,"&lt;="&amp;B1173,CBIC_Late_Fee_Relief_Windows_3B!$E$1173:$E$100,"&gt;="&amp;B1173,CBIC_Late_Fee_Relief_Windows_3B!$F$1173:$F$100,"&lt;="&amp;C1173,CBIC_Late_Fee_Relief_Windows_3B!$G$1173:$G$100,"&gt;="&amp;C1173)</f>
        <v/>
      </c>
      <c r="H1173">
        <f>INDEX(CBIC_Late_Fee_Relief_Windows_3B!$I$1173:$I$100,MATCH(G1173,CBIC_Late_Fee_Relief_Windows_3B!$O$1173:$O$100,0))</f>
        <v/>
      </c>
      <c r="I1173">
        <f>MIN(F1173,H1173)</f>
        <v/>
      </c>
    </row>
    <row r="1174">
      <c r="A1174">
        <f>TEST_DATA!A1174</f>
        <v/>
      </c>
      <c r="B1174">
        <f>TEST_DATA!B1174</f>
        <v/>
      </c>
      <c r="C1174">
        <f>TEST_DATA!C1174</f>
        <v/>
      </c>
      <c r="D1174">
        <f>TEST_DATA!D1174</f>
        <v/>
      </c>
      <c r="E1174">
        <f>TEST_DATA!E1174</f>
        <v/>
      </c>
      <c r="F1174">
        <f>MIN(E1174*117400,10000)</f>
        <v/>
      </c>
      <c r="G1174">
        <f>MINIFS(CBIC_Late_Fee_Relief_Windows_3B!$O$1174:$O$100,CBIC_Late_Fee_Relief_Windows_3B!$D$1174:$D$100,"&lt;="&amp;B1174,CBIC_Late_Fee_Relief_Windows_3B!$E$1174:$E$100,"&gt;="&amp;B1174,CBIC_Late_Fee_Relief_Windows_3B!$F$1174:$F$100,"&lt;="&amp;C1174,CBIC_Late_Fee_Relief_Windows_3B!$G$1174:$G$100,"&gt;="&amp;C1174)</f>
        <v/>
      </c>
      <c r="H1174">
        <f>INDEX(CBIC_Late_Fee_Relief_Windows_3B!$I$1174:$I$100,MATCH(G1174,CBIC_Late_Fee_Relief_Windows_3B!$O$1174:$O$100,0))</f>
        <v/>
      </c>
      <c r="I1174">
        <f>MIN(F1174,H1174)</f>
        <v/>
      </c>
    </row>
    <row r="1175">
      <c r="A1175">
        <f>TEST_DATA!A1175</f>
        <v/>
      </c>
      <c r="B1175">
        <f>TEST_DATA!B1175</f>
        <v/>
      </c>
      <c r="C1175">
        <f>TEST_DATA!C1175</f>
        <v/>
      </c>
      <c r="D1175">
        <f>TEST_DATA!D1175</f>
        <v/>
      </c>
      <c r="E1175">
        <f>TEST_DATA!E1175</f>
        <v/>
      </c>
      <c r="F1175">
        <f>MIN(E1175*117500,10000)</f>
        <v/>
      </c>
      <c r="G1175">
        <f>MINIFS(CBIC_Late_Fee_Relief_Windows_3B!$O$1175:$O$100,CBIC_Late_Fee_Relief_Windows_3B!$D$1175:$D$100,"&lt;="&amp;B1175,CBIC_Late_Fee_Relief_Windows_3B!$E$1175:$E$100,"&gt;="&amp;B1175,CBIC_Late_Fee_Relief_Windows_3B!$F$1175:$F$100,"&lt;="&amp;C1175,CBIC_Late_Fee_Relief_Windows_3B!$G$1175:$G$100,"&gt;="&amp;C1175)</f>
        <v/>
      </c>
      <c r="H1175">
        <f>INDEX(CBIC_Late_Fee_Relief_Windows_3B!$I$1175:$I$100,MATCH(G1175,CBIC_Late_Fee_Relief_Windows_3B!$O$1175:$O$100,0))</f>
        <v/>
      </c>
      <c r="I1175">
        <f>MIN(F1175,H1175)</f>
        <v/>
      </c>
    </row>
    <row r="1176">
      <c r="A1176">
        <f>TEST_DATA!A1176</f>
        <v/>
      </c>
      <c r="B1176">
        <f>TEST_DATA!B1176</f>
        <v/>
      </c>
      <c r="C1176">
        <f>TEST_DATA!C1176</f>
        <v/>
      </c>
      <c r="D1176">
        <f>TEST_DATA!D1176</f>
        <v/>
      </c>
      <c r="E1176">
        <f>TEST_DATA!E1176</f>
        <v/>
      </c>
      <c r="F1176">
        <f>MIN(E1176*117600,10000)</f>
        <v/>
      </c>
      <c r="G1176">
        <f>MINIFS(CBIC_Late_Fee_Relief_Windows_3B!$O$1176:$O$100,CBIC_Late_Fee_Relief_Windows_3B!$D$1176:$D$100,"&lt;="&amp;B1176,CBIC_Late_Fee_Relief_Windows_3B!$E$1176:$E$100,"&gt;="&amp;B1176,CBIC_Late_Fee_Relief_Windows_3B!$F$1176:$F$100,"&lt;="&amp;C1176,CBIC_Late_Fee_Relief_Windows_3B!$G$1176:$G$100,"&gt;="&amp;C1176)</f>
        <v/>
      </c>
      <c r="H1176">
        <f>INDEX(CBIC_Late_Fee_Relief_Windows_3B!$I$1176:$I$100,MATCH(G1176,CBIC_Late_Fee_Relief_Windows_3B!$O$1176:$O$100,0))</f>
        <v/>
      </c>
      <c r="I1176">
        <f>MIN(F1176,H1176)</f>
        <v/>
      </c>
    </row>
    <row r="1177">
      <c r="A1177">
        <f>TEST_DATA!A1177</f>
        <v/>
      </c>
      <c r="B1177">
        <f>TEST_DATA!B1177</f>
        <v/>
      </c>
      <c r="C1177">
        <f>TEST_DATA!C1177</f>
        <v/>
      </c>
      <c r="D1177">
        <f>TEST_DATA!D1177</f>
        <v/>
      </c>
      <c r="E1177">
        <f>TEST_DATA!E1177</f>
        <v/>
      </c>
      <c r="F1177">
        <f>MIN(E1177*117700,10000)</f>
        <v/>
      </c>
      <c r="G1177">
        <f>MINIFS(CBIC_Late_Fee_Relief_Windows_3B!$O$1177:$O$100,CBIC_Late_Fee_Relief_Windows_3B!$D$1177:$D$100,"&lt;="&amp;B1177,CBIC_Late_Fee_Relief_Windows_3B!$E$1177:$E$100,"&gt;="&amp;B1177,CBIC_Late_Fee_Relief_Windows_3B!$F$1177:$F$100,"&lt;="&amp;C1177,CBIC_Late_Fee_Relief_Windows_3B!$G$1177:$G$100,"&gt;="&amp;C1177)</f>
        <v/>
      </c>
      <c r="H1177">
        <f>INDEX(CBIC_Late_Fee_Relief_Windows_3B!$I$1177:$I$100,MATCH(G1177,CBIC_Late_Fee_Relief_Windows_3B!$O$1177:$O$100,0))</f>
        <v/>
      </c>
      <c r="I1177">
        <f>MIN(F1177,H1177)</f>
        <v/>
      </c>
    </row>
    <row r="1178">
      <c r="A1178">
        <f>TEST_DATA!A1178</f>
        <v/>
      </c>
      <c r="B1178">
        <f>TEST_DATA!B1178</f>
        <v/>
      </c>
      <c r="C1178">
        <f>TEST_DATA!C1178</f>
        <v/>
      </c>
      <c r="D1178">
        <f>TEST_DATA!D1178</f>
        <v/>
      </c>
      <c r="E1178">
        <f>TEST_DATA!E1178</f>
        <v/>
      </c>
      <c r="F1178">
        <f>MIN(E1178*117800,10000)</f>
        <v/>
      </c>
      <c r="G1178">
        <f>MINIFS(CBIC_Late_Fee_Relief_Windows_3B!$O$1178:$O$100,CBIC_Late_Fee_Relief_Windows_3B!$D$1178:$D$100,"&lt;="&amp;B1178,CBIC_Late_Fee_Relief_Windows_3B!$E$1178:$E$100,"&gt;="&amp;B1178,CBIC_Late_Fee_Relief_Windows_3B!$F$1178:$F$100,"&lt;="&amp;C1178,CBIC_Late_Fee_Relief_Windows_3B!$G$1178:$G$100,"&gt;="&amp;C1178)</f>
        <v/>
      </c>
      <c r="H1178">
        <f>INDEX(CBIC_Late_Fee_Relief_Windows_3B!$I$1178:$I$100,MATCH(G1178,CBIC_Late_Fee_Relief_Windows_3B!$O$1178:$O$100,0))</f>
        <v/>
      </c>
      <c r="I1178">
        <f>MIN(F1178,H1178)</f>
        <v/>
      </c>
    </row>
    <row r="1179">
      <c r="A1179">
        <f>TEST_DATA!A1179</f>
        <v/>
      </c>
      <c r="B1179">
        <f>TEST_DATA!B1179</f>
        <v/>
      </c>
      <c r="C1179">
        <f>TEST_DATA!C1179</f>
        <v/>
      </c>
      <c r="D1179">
        <f>TEST_DATA!D1179</f>
        <v/>
      </c>
      <c r="E1179">
        <f>TEST_DATA!E1179</f>
        <v/>
      </c>
      <c r="F1179">
        <f>MIN(E1179*117900,10000)</f>
        <v/>
      </c>
      <c r="G1179">
        <f>MINIFS(CBIC_Late_Fee_Relief_Windows_3B!$O$1179:$O$100,CBIC_Late_Fee_Relief_Windows_3B!$D$1179:$D$100,"&lt;="&amp;B1179,CBIC_Late_Fee_Relief_Windows_3B!$E$1179:$E$100,"&gt;="&amp;B1179,CBIC_Late_Fee_Relief_Windows_3B!$F$1179:$F$100,"&lt;="&amp;C1179,CBIC_Late_Fee_Relief_Windows_3B!$G$1179:$G$100,"&gt;="&amp;C1179)</f>
        <v/>
      </c>
      <c r="H1179">
        <f>INDEX(CBIC_Late_Fee_Relief_Windows_3B!$I$1179:$I$100,MATCH(G1179,CBIC_Late_Fee_Relief_Windows_3B!$O$1179:$O$100,0))</f>
        <v/>
      </c>
      <c r="I1179">
        <f>MIN(F1179,H1179)</f>
        <v/>
      </c>
    </row>
    <row r="1180">
      <c r="A1180">
        <f>TEST_DATA!A1180</f>
        <v/>
      </c>
      <c r="B1180">
        <f>TEST_DATA!B1180</f>
        <v/>
      </c>
      <c r="C1180">
        <f>TEST_DATA!C1180</f>
        <v/>
      </c>
      <c r="D1180">
        <f>TEST_DATA!D1180</f>
        <v/>
      </c>
      <c r="E1180">
        <f>TEST_DATA!E1180</f>
        <v/>
      </c>
      <c r="F1180">
        <f>MIN(E1180*118000,10000)</f>
        <v/>
      </c>
      <c r="G1180">
        <f>MINIFS(CBIC_Late_Fee_Relief_Windows_3B!$O$1180:$O$100,CBIC_Late_Fee_Relief_Windows_3B!$D$1180:$D$100,"&lt;="&amp;B1180,CBIC_Late_Fee_Relief_Windows_3B!$E$1180:$E$100,"&gt;="&amp;B1180,CBIC_Late_Fee_Relief_Windows_3B!$F$1180:$F$100,"&lt;="&amp;C1180,CBIC_Late_Fee_Relief_Windows_3B!$G$1180:$G$100,"&gt;="&amp;C1180)</f>
        <v/>
      </c>
      <c r="H1180">
        <f>INDEX(CBIC_Late_Fee_Relief_Windows_3B!$I$1180:$I$100,MATCH(G1180,CBIC_Late_Fee_Relief_Windows_3B!$O$1180:$O$100,0))</f>
        <v/>
      </c>
      <c r="I1180">
        <f>MIN(F1180,H1180)</f>
        <v/>
      </c>
    </row>
    <row r="1181">
      <c r="A1181">
        <f>TEST_DATA!A1181</f>
        <v/>
      </c>
      <c r="B1181">
        <f>TEST_DATA!B1181</f>
        <v/>
      </c>
      <c r="C1181">
        <f>TEST_DATA!C1181</f>
        <v/>
      </c>
      <c r="D1181">
        <f>TEST_DATA!D1181</f>
        <v/>
      </c>
      <c r="E1181">
        <f>TEST_DATA!E1181</f>
        <v/>
      </c>
      <c r="F1181">
        <f>MIN(E1181*118100,10000)</f>
        <v/>
      </c>
      <c r="G1181">
        <f>MINIFS(CBIC_Late_Fee_Relief_Windows_3B!$O$1181:$O$100,CBIC_Late_Fee_Relief_Windows_3B!$D$1181:$D$100,"&lt;="&amp;B1181,CBIC_Late_Fee_Relief_Windows_3B!$E$1181:$E$100,"&gt;="&amp;B1181,CBIC_Late_Fee_Relief_Windows_3B!$F$1181:$F$100,"&lt;="&amp;C1181,CBIC_Late_Fee_Relief_Windows_3B!$G$1181:$G$100,"&gt;="&amp;C1181)</f>
        <v/>
      </c>
      <c r="H1181">
        <f>INDEX(CBIC_Late_Fee_Relief_Windows_3B!$I$1181:$I$100,MATCH(G1181,CBIC_Late_Fee_Relief_Windows_3B!$O$1181:$O$100,0))</f>
        <v/>
      </c>
      <c r="I1181">
        <f>MIN(F1181,H1181)</f>
        <v/>
      </c>
    </row>
    <row r="1182">
      <c r="A1182">
        <f>TEST_DATA!A1182</f>
        <v/>
      </c>
      <c r="B1182">
        <f>TEST_DATA!B1182</f>
        <v/>
      </c>
      <c r="C1182">
        <f>TEST_DATA!C1182</f>
        <v/>
      </c>
      <c r="D1182">
        <f>TEST_DATA!D1182</f>
        <v/>
      </c>
      <c r="E1182">
        <f>TEST_DATA!E1182</f>
        <v/>
      </c>
      <c r="F1182">
        <f>MIN(E1182*118200,10000)</f>
        <v/>
      </c>
      <c r="G1182">
        <f>MINIFS(CBIC_Late_Fee_Relief_Windows_3B!$O$1182:$O$100,CBIC_Late_Fee_Relief_Windows_3B!$D$1182:$D$100,"&lt;="&amp;B1182,CBIC_Late_Fee_Relief_Windows_3B!$E$1182:$E$100,"&gt;="&amp;B1182,CBIC_Late_Fee_Relief_Windows_3B!$F$1182:$F$100,"&lt;="&amp;C1182,CBIC_Late_Fee_Relief_Windows_3B!$G$1182:$G$100,"&gt;="&amp;C1182)</f>
        <v/>
      </c>
      <c r="H1182">
        <f>INDEX(CBIC_Late_Fee_Relief_Windows_3B!$I$1182:$I$100,MATCH(G1182,CBIC_Late_Fee_Relief_Windows_3B!$O$1182:$O$100,0))</f>
        <v/>
      </c>
      <c r="I1182">
        <f>MIN(F1182,H1182)</f>
        <v/>
      </c>
    </row>
    <row r="1183">
      <c r="A1183">
        <f>TEST_DATA!A1183</f>
        <v/>
      </c>
      <c r="B1183">
        <f>TEST_DATA!B1183</f>
        <v/>
      </c>
      <c r="C1183">
        <f>TEST_DATA!C1183</f>
        <v/>
      </c>
      <c r="D1183">
        <f>TEST_DATA!D1183</f>
        <v/>
      </c>
      <c r="E1183">
        <f>TEST_DATA!E1183</f>
        <v/>
      </c>
      <c r="F1183">
        <f>MIN(E1183*118300,10000)</f>
        <v/>
      </c>
      <c r="G1183">
        <f>MINIFS(CBIC_Late_Fee_Relief_Windows_3B!$O$1183:$O$100,CBIC_Late_Fee_Relief_Windows_3B!$D$1183:$D$100,"&lt;="&amp;B1183,CBIC_Late_Fee_Relief_Windows_3B!$E$1183:$E$100,"&gt;="&amp;B1183,CBIC_Late_Fee_Relief_Windows_3B!$F$1183:$F$100,"&lt;="&amp;C1183,CBIC_Late_Fee_Relief_Windows_3B!$G$1183:$G$100,"&gt;="&amp;C1183)</f>
        <v/>
      </c>
      <c r="H1183">
        <f>INDEX(CBIC_Late_Fee_Relief_Windows_3B!$I$1183:$I$100,MATCH(G1183,CBIC_Late_Fee_Relief_Windows_3B!$O$1183:$O$100,0))</f>
        <v/>
      </c>
      <c r="I1183">
        <f>MIN(F1183,H1183)</f>
        <v/>
      </c>
    </row>
    <row r="1184">
      <c r="A1184">
        <f>TEST_DATA!A1184</f>
        <v/>
      </c>
      <c r="B1184">
        <f>TEST_DATA!B1184</f>
        <v/>
      </c>
      <c r="C1184">
        <f>TEST_DATA!C1184</f>
        <v/>
      </c>
      <c r="D1184">
        <f>TEST_DATA!D1184</f>
        <v/>
      </c>
      <c r="E1184">
        <f>TEST_DATA!E1184</f>
        <v/>
      </c>
      <c r="F1184">
        <f>MIN(E1184*118400,10000)</f>
        <v/>
      </c>
      <c r="G1184">
        <f>MINIFS(CBIC_Late_Fee_Relief_Windows_3B!$O$1184:$O$100,CBIC_Late_Fee_Relief_Windows_3B!$D$1184:$D$100,"&lt;="&amp;B1184,CBIC_Late_Fee_Relief_Windows_3B!$E$1184:$E$100,"&gt;="&amp;B1184,CBIC_Late_Fee_Relief_Windows_3B!$F$1184:$F$100,"&lt;="&amp;C1184,CBIC_Late_Fee_Relief_Windows_3B!$G$1184:$G$100,"&gt;="&amp;C1184)</f>
        <v/>
      </c>
      <c r="H1184">
        <f>INDEX(CBIC_Late_Fee_Relief_Windows_3B!$I$1184:$I$100,MATCH(G1184,CBIC_Late_Fee_Relief_Windows_3B!$O$1184:$O$100,0))</f>
        <v/>
      </c>
      <c r="I1184">
        <f>MIN(F1184,H1184)</f>
        <v/>
      </c>
    </row>
    <row r="1185">
      <c r="A1185">
        <f>TEST_DATA!A1185</f>
        <v/>
      </c>
      <c r="B1185">
        <f>TEST_DATA!B1185</f>
        <v/>
      </c>
      <c r="C1185">
        <f>TEST_DATA!C1185</f>
        <v/>
      </c>
      <c r="D1185">
        <f>TEST_DATA!D1185</f>
        <v/>
      </c>
      <c r="E1185">
        <f>TEST_DATA!E1185</f>
        <v/>
      </c>
      <c r="F1185">
        <f>MIN(E1185*118500,10000)</f>
        <v/>
      </c>
      <c r="G1185">
        <f>MINIFS(CBIC_Late_Fee_Relief_Windows_3B!$O$1185:$O$100,CBIC_Late_Fee_Relief_Windows_3B!$D$1185:$D$100,"&lt;="&amp;B1185,CBIC_Late_Fee_Relief_Windows_3B!$E$1185:$E$100,"&gt;="&amp;B1185,CBIC_Late_Fee_Relief_Windows_3B!$F$1185:$F$100,"&lt;="&amp;C1185,CBIC_Late_Fee_Relief_Windows_3B!$G$1185:$G$100,"&gt;="&amp;C1185)</f>
        <v/>
      </c>
      <c r="H1185">
        <f>INDEX(CBIC_Late_Fee_Relief_Windows_3B!$I$1185:$I$100,MATCH(G1185,CBIC_Late_Fee_Relief_Windows_3B!$O$1185:$O$100,0))</f>
        <v/>
      </c>
      <c r="I1185">
        <f>MIN(F1185,H1185)</f>
        <v/>
      </c>
    </row>
    <row r="1186">
      <c r="A1186">
        <f>TEST_DATA!A1186</f>
        <v/>
      </c>
      <c r="B1186">
        <f>TEST_DATA!B1186</f>
        <v/>
      </c>
      <c r="C1186">
        <f>TEST_DATA!C1186</f>
        <v/>
      </c>
      <c r="D1186">
        <f>TEST_DATA!D1186</f>
        <v/>
      </c>
      <c r="E1186">
        <f>TEST_DATA!E1186</f>
        <v/>
      </c>
      <c r="F1186">
        <f>MIN(E1186*118600,10000)</f>
        <v/>
      </c>
      <c r="G1186">
        <f>MINIFS(CBIC_Late_Fee_Relief_Windows_3B!$O$1186:$O$100,CBIC_Late_Fee_Relief_Windows_3B!$D$1186:$D$100,"&lt;="&amp;B1186,CBIC_Late_Fee_Relief_Windows_3B!$E$1186:$E$100,"&gt;="&amp;B1186,CBIC_Late_Fee_Relief_Windows_3B!$F$1186:$F$100,"&lt;="&amp;C1186,CBIC_Late_Fee_Relief_Windows_3B!$G$1186:$G$100,"&gt;="&amp;C1186)</f>
        <v/>
      </c>
      <c r="H1186">
        <f>INDEX(CBIC_Late_Fee_Relief_Windows_3B!$I$1186:$I$100,MATCH(G1186,CBIC_Late_Fee_Relief_Windows_3B!$O$1186:$O$100,0))</f>
        <v/>
      </c>
      <c r="I1186">
        <f>MIN(F1186,H1186)</f>
        <v/>
      </c>
    </row>
    <row r="1187">
      <c r="A1187">
        <f>TEST_DATA!A1187</f>
        <v/>
      </c>
      <c r="B1187">
        <f>TEST_DATA!B1187</f>
        <v/>
      </c>
      <c r="C1187">
        <f>TEST_DATA!C1187</f>
        <v/>
      </c>
      <c r="D1187">
        <f>TEST_DATA!D1187</f>
        <v/>
      </c>
      <c r="E1187">
        <f>TEST_DATA!E1187</f>
        <v/>
      </c>
      <c r="F1187">
        <f>MIN(E1187*118700,10000)</f>
        <v/>
      </c>
      <c r="G1187">
        <f>MINIFS(CBIC_Late_Fee_Relief_Windows_3B!$O$1187:$O$100,CBIC_Late_Fee_Relief_Windows_3B!$D$1187:$D$100,"&lt;="&amp;B1187,CBIC_Late_Fee_Relief_Windows_3B!$E$1187:$E$100,"&gt;="&amp;B1187,CBIC_Late_Fee_Relief_Windows_3B!$F$1187:$F$100,"&lt;="&amp;C1187,CBIC_Late_Fee_Relief_Windows_3B!$G$1187:$G$100,"&gt;="&amp;C1187)</f>
        <v/>
      </c>
      <c r="H1187">
        <f>INDEX(CBIC_Late_Fee_Relief_Windows_3B!$I$1187:$I$100,MATCH(G1187,CBIC_Late_Fee_Relief_Windows_3B!$O$1187:$O$100,0))</f>
        <v/>
      </c>
      <c r="I1187">
        <f>MIN(F1187,H1187)</f>
        <v/>
      </c>
    </row>
    <row r="1188">
      <c r="A1188">
        <f>TEST_DATA!A1188</f>
        <v/>
      </c>
      <c r="B1188">
        <f>TEST_DATA!B1188</f>
        <v/>
      </c>
      <c r="C1188">
        <f>TEST_DATA!C1188</f>
        <v/>
      </c>
      <c r="D1188">
        <f>TEST_DATA!D1188</f>
        <v/>
      </c>
      <c r="E1188">
        <f>TEST_DATA!E1188</f>
        <v/>
      </c>
      <c r="F1188">
        <f>MIN(E1188*118800,10000)</f>
        <v/>
      </c>
      <c r="G1188">
        <f>MINIFS(CBIC_Late_Fee_Relief_Windows_3B!$O$1188:$O$100,CBIC_Late_Fee_Relief_Windows_3B!$D$1188:$D$100,"&lt;="&amp;B1188,CBIC_Late_Fee_Relief_Windows_3B!$E$1188:$E$100,"&gt;="&amp;B1188,CBIC_Late_Fee_Relief_Windows_3B!$F$1188:$F$100,"&lt;="&amp;C1188,CBIC_Late_Fee_Relief_Windows_3B!$G$1188:$G$100,"&gt;="&amp;C1188)</f>
        <v/>
      </c>
      <c r="H1188">
        <f>INDEX(CBIC_Late_Fee_Relief_Windows_3B!$I$1188:$I$100,MATCH(G1188,CBIC_Late_Fee_Relief_Windows_3B!$O$1188:$O$100,0))</f>
        <v/>
      </c>
      <c r="I1188">
        <f>MIN(F1188,H1188)</f>
        <v/>
      </c>
    </row>
    <row r="1189">
      <c r="A1189">
        <f>TEST_DATA!A1189</f>
        <v/>
      </c>
      <c r="B1189">
        <f>TEST_DATA!B1189</f>
        <v/>
      </c>
      <c r="C1189">
        <f>TEST_DATA!C1189</f>
        <v/>
      </c>
      <c r="D1189">
        <f>TEST_DATA!D1189</f>
        <v/>
      </c>
      <c r="E1189">
        <f>TEST_DATA!E1189</f>
        <v/>
      </c>
      <c r="F1189">
        <f>MIN(E1189*118900,10000)</f>
        <v/>
      </c>
      <c r="G1189">
        <f>MINIFS(CBIC_Late_Fee_Relief_Windows_3B!$O$1189:$O$100,CBIC_Late_Fee_Relief_Windows_3B!$D$1189:$D$100,"&lt;="&amp;B1189,CBIC_Late_Fee_Relief_Windows_3B!$E$1189:$E$100,"&gt;="&amp;B1189,CBIC_Late_Fee_Relief_Windows_3B!$F$1189:$F$100,"&lt;="&amp;C1189,CBIC_Late_Fee_Relief_Windows_3B!$G$1189:$G$100,"&gt;="&amp;C1189)</f>
        <v/>
      </c>
      <c r="H1189">
        <f>INDEX(CBIC_Late_Fee_Relief_Windows_3B!$I$1189:$I$100,MATCH(G1189,CBIC_Late_Fee_Relief_Windows_3B!$O$1189:$O$100,0))</f>
        <v/>
      </c>
      <c r="I1189">
        <f>MIN(F1189,H1189)</f>
        <v/>
      </c>
    </row>
    <row r="1190">
      <c r="A1190">
        <f>TEST_DATA!A1190</f>
        <v/>
      </c>
      <c r="B1190">
        <f>TEST_DATA!B1190</f>
        <v/>
      </c>
      <c r="C1190">
        <f>TEST_DATA!C1190</f>
        <v/>
      </c>
      <c r="D1190">
        <f>TEST_DATA!D1190</f>
        <v/>
      </c>
      <c r="E1190">
        <f>TEST_DATA!E1190</f>
        <v/>
      </c>
      <c r="F1190">
        <f>MIN(E1190*119000,10000)</f>
        <v/>
      </c>
      <c r="G1190">
        <f>MINIFS(CBIC_Late_Fee_Relief_Windows_3B!$O$1190:$O$100,CBIC_Late_Fee_Relief_Windows_3B!$D$1190:$D$100,"&lt;="&amp;B1190,CBIC_Late_Fee_Relief_Windows_3B!$E$1190:$E$100,"&gt;="&amp;B1190,CBIC_Late_Fee_Relief_Windows_3B!$F$1190:$F$100,"&lt;="&amp;C1190,CBIC_Late_Fee_Relief_Windows_3B!$G$1190:$G$100,"&gt;="&amp;C1190)</f>
        <v/>
      </c>
      <c r="H1190">
        <f>INDEX(CBIC_Late_Fee_Relief_Windows_3B!$I$1190:$I$100,MATCH(G1190,CBIC_Late_Fee_Relief_Windows_3B!$O$1190:$O$100,0))</f>
        <v/>
      </c>
      <c r="I1190">
        <f>MIN(F1190,H1190)</f>
        <v/>
      </c>
    </row>
    <row r="1191">
      <c r="A1191">
        <f>TEST_DATA!A1191</f>
        <v/>
      </c>
      <c r="B1191">
        <f>TEST_DATA!B1191</f>
        <v/>
      </c>
      <c r="C1191">
        <f>TEST_DATA!C1191</f>
        <v/>
      </c>
      <c r="D1191">
        <f>TEST_DATA!D1191</f>
        <v/>
      </c>
      <c r="E1191">
        <f>TEST_DATA!E1191</f>
        <v/>
      </c>
      <c r="F1191">
        <f>MIN(E1191*119100,10000)</f>
        <v/>
      </c>
      <c r="G1191">
        <f>MINIFS(CBIC_Late_Fee_Relief_Windows_3B!$O$1191:$O$100,CBIC_Late_Fee_Relief_Windows_3B!$D$1191:$D$100,"&lt;="&amp;B1191,CBIC_Late_Fee_Relief_Windows_3B!$E$1191:$E$100,"&gt;="&amp;B1191,CBIC_Late_Fee_Relief_Windows_3B!$F$1191:$F$100,"&lt;="&amp;C1191,CBIC_Late_Fee_Relief_Windows_3B!$G$1191:$G$100,"&gt;="&amp;C1191)</f>
        <v/>
      </c>
      <c r="H1191">
        <f>INDEX(CBIC_Late_Fee_Relief_Windows_3B!$I$1191:$I$100,MATCH(G1191,CBIC_Late_Fee_Relief_Windows_3B!$O$1191:$O$100,0))</f>
        <v/>
      </c>
      <c r="I1191">
        <f>MIN(F1191,H1191)</f>
        <v/>
      </c>
    </row>
    <row r="1192">
      <c r="A1192">
        <f>TEST_DATA!A1192</f>
        <v/>
      </c>
      <c r="B1192">
        <f>TEST_DATA!B1192</f>
        <v/>
      </c>
      <c r="C1192">
        <f>TEST_DATA!C1192</f>
        <v/>
      </c>
      <c r="D1192">
        <f>TEST_DATA!D1192</f>
        <v/>
      </c>
      <c r="E1192">
        <f>TEST_DATA!E1192</f>
        <v/>
      </c>
      <c r="F1192">
        <f>MIN(E1192*119200,10000)</f>
        <v/>
      </c>
      <c r="G1192">
        <f>MINIFS(CBIC_Late_Fee_Relief_Windows_3B!$O$1192:$O$100,CBIC_Late_Fee_Relief_Windows_3B!$D$1192:$D$100,"&lt;="&amp;B1192,CBIC_Late_Fee_Relief_Windows_3B!$E$1192:$E$100,"&gt;="&amp;B1192,CBIC_Late_Fee_Relief_Windows_3B!$F$1192:$F$100,"&lt;="&amp;C1192,CBIC_Late_Fee_Relief_Windows_3B!$G$1192:$G$100,"&gt;="&amp;C1192)</f>
        <v/>
      </c>
      <c r="H1192">
        <f>INDEX(CBIC_Late_Fee_Relief_Windows_3B!$I$1192:$I$100,MATCH(G1192,CBIC_Late_Fee_Relief_Windows_3B!$O$1192:$O$100,0))</f>
        <v/>
      </c>
      <c r="I1192">
        <f>MIN(F1192,H1192)</f>
        <v/>
      </c>
    </row>
    <row r="1193">
      <c r="A1193">
        <f>TEST_DATA!A1193</f>
        <v/>
      </c>
      <c r="B1193">
        <f>TEST_DATA!B1193</f>
        <v/>
      </c>
      <c r="C1193">
        <f>TEST_DATA!C1193</f>
        <v/>
      </c>
      <c r="D1193">
        <f>TEST_DATA!D1193</f>
        <v/>
      </c>
      <c r="E1193">
        <f>TEST_DATA!E1193</f>
        <v/>
      </c>
      <c r="F1193">
        <f>MIN(E1193*119300,10000)</f>
        <v/>
      </c>
      <c r="G1193">
        <f>MINIFS(CBIC_Late_Fee_Relief_Windows_3B!$O$1193:$O$100,CBIC_Late_Fee_Relief_Windows_3B!$D$1193:$D$100,"&lt;="&amp;B1193,CBIC_Late_Fee_Relief_Windows_3B!$E$1193:$E$100,"&gt;="&amp;B1193,CBIC_Late_Fee_Relief_Windows_3B!$F$1193:$F$100,"&lt;="&amp;C1193,CBIC_Late_Fee_Relief_Windows_3B!$G$1193:$G$100,"&gt;="&amp;C1193)</f>
        <v/>
      </c>
      <c r="H1193">
        <f>INDEX(CBIC_Late_Fee_Relief_Windows_3B!$I$1193:$I$100,MATCH(G1193,CBIC_Late_Fee_Relief_Windows_3B!$O$1193:$O$100,0))</f>
        <v/>
      </c>
      <c r="I1193">
        <f>MIN(F1193,H1193)</f>
        <v/>
      </c>
    </row>
    <row r="1194">
      <c r="A1194">
        <f>TEST_DATA!A1194</f>
        <v/>
      </c>
      <c r="B1194">
        <f>TEST_DATA!B1194</f>
        <v/>
      </c>
      <c r="C1194">
        <f>TEST_DATA!C1194</f>
        <v/>
      </c>
      <c r="D1194">
        <f>TEST_DATA!D1194</f>
        <v/>
      </c>
      <c r="E1194">
        <f>TEST_DATA!E1194</f>
        <v/>
      </c>
      <c r="F1194">
        <f>MIN(E1194*119400,10000)</f>
        <v/>
      </c>
      <c r="G1194">
        <f>MINIFS(CBIC_Late_Fee_Relief_Windows_3B!$O$1194:$O$100,CBIC_Late_Fee_Relief_Windows_3B!$D$1194:$D$100,"&lt;="&amp;B1194,CBIC_Late_Fee_Relief_Windows_3B!$E$1194:$E$100,"&gt;="&amp;B1194,CBIC_Late_Fee_Relief_Windows_3B!$F$1194:$F$100,"&lt;="&amp;C1194,CBIC_Late_Fee_Relief_Windows_3B!$G$1194:$G$100,"&gt;="&amp;C1194)</f>
        <v/>
      </c>
      <c r="H1194">
        <f>INDEX(CBIC_Late_Fee_Relief_Windows_3B!$I$1194:$I$100,MATCH(G1194,CBIC_Late_Fee_Relief_Windows_3B!$O$1194:$O$100,0))</f>
        <v/>
      </c>
      <c r="I1194">
        <f>MIN(F1194,H1194)</f>
        <v/>
      </c>
    </row>
    <row r="1195">
      <c r="A1195">
        <f>TEST_DATA!A1195</f>
        <v/>
      </c>
      <c r="B1195">
        <f>TEST_DATA!B1195</f>
        <v/>
      </c>
      <c r="C1195">
        <f>TEST_DATA!C1195</f>
        <v/>
      </c>
      <c r="D1195">
        <f>TEST_DATA!D1195</f>
        <v/>
      </c>
      <c r="E1195">
        <f>TEST_DATA!E1195</f>
        <v/>
      </c>
      <c r="F1195">
        <f>MIN(E1195*119500,10000)</f>
        <v/>
      </c>
      <c r="G1195">
        <f>MINIFS(CBIC_Late_Fee_Relief_Windows_3B!$O$1195:$O$100,CBIC_Late_Fee_Relief_Windows_3B!$D$1195:$D$100,"&lt;="&amp;B1195,CBIC_Late_Fee_Relief_Windows_3B!$E$1195:$E$100,"&gt;="&amp;B1195,CBIC_Late_Fee_Relief_Windows_3B!$F$1195:$F$100,"&lt;="&amp;C1195,CBIC_Late_Fee_Relief_Windows_3B!$G$1195:$G$100,"&gt;="&amp;C1195)</f>
        <v/>
      </c>
      <c r="H1195">
        <f>INDEX(CBIC_Late_Fee_Relief_Windows_3B!$I$1195:$I$100,MATCH(G1195,CBIC_Late_Fee_Relief_Windows_3B!$O$1195:$O$100,0))</f>
        <v/>
      </c>
      <c r="I1195">
        <f>MIN(F1195,H1195)</f>
        <v/>
      </c>
    </row>
    <row r="1196">
      <c r="A1196">
        <f>TEST_DATA!A1196</f>
        <v/>
      </c>
      <c r="B1196">
        <f>TEST_DATA!B1196</f>
        <v/>
      </c>
      <c r="C1196">
        <f>TEST_DATA!C1196</f>
        <v/>
      </c>
      <c r="D1196">
        <f>TEST_DATA!D1196</f>
        <v/>
      </c>
      <c r="E1196">
        <f>TEST_DATA!E1196</f>
        <v/>
      </c>
      <c r="F1196">
        <f>MIN(E1196*119600,10000)</f>
        <v/>
      </c>
      <c r="G1196">
        <f>MINIFS(CBIC_Late_Fee_Relief_Windows_3B!$O$1196:$O$100,CBIC_Late_Fee_Relief_Windows_3B!$D$1196:$D$100,"&lt;="&amp;B1196,CBIC_Late_Fee_Relief_Windows_3B!$E$1196:$E$100,"&gt;="&amp;B1196,CBIC_Late_Fee_Relief_Windows_3B!$F$1196:$F$100,"&lt;="&amp;C1196,CBIC_Late_Fee_Relief_Windows_3B!$G$1196:$G$100,"&gt;="&amp;C1196)</f>
        <v/>
      </c>
      <c r="H1196">
        <f>INDEX(CBIC_Late_Fee_Relief_Windows_3B!$I$1196:$I$100,MATCH(G1196,CBIC_Late_Fee_Relief_Windows_3B!$O$1196:$O$100,0))</f>
        <v/>
      </c>
      <c r="I1196">
        <f>MIN(F1196,H1196)</f>
        <v/>
      </c>
    </row>
    <row r="1197">
      <c r="A1197">
        <f>TEST_DATA!A1197</f>
        <v/>
      </c>
      <c r="B1197">
        <f>TEST_DATA!B1197</f>
        <v/>
      </c>
      <c r="C1197">
        <f>TEST_DATA!C1197</f>
        <v/>
      </c>
      <c r="D1197">
        <f>TEST_DATA!D1197</f>
        <v/>
      </c>
      <c r="E1197">
        <f>TEST_DATA!E1197</f>
        <v/>
      </c>
      <c r="F1197">
        <f>MIN(E1197*119700,10000)</f>
        <v/>
      </c>
      <c r="G1197">
        <f>MINIFS(CBIC_Late_Fee_Relief_Windows_3B!$O$1197:$O$100,CBIC_Late_Fee_Relief_Windows_3B!$D$1197:$D$100,"&lt;="&amp;B1197,CBIC_Late_Fee_Relief_Windows_3B!$E$1197:$E$100,"&gt;="&amp;B1197,CBIC_Late_Fee_Relief_Windows_3B!$F$1197:$F$100,"&lt;="&amp;C1197,CBIC_Late_Fee_Relief_Windows_3B!$G$1197:$G$100,"&gt;="&amp;C1197)</f>
        <v/>
      </c>
      <c r="H1197">
        <f>INDEX(CBIC_Late_Fee_Relief_Windows_3B!$I$1197:$I$100,MATCH(G1197,CBIC_Late_Fee_Relief_Windows_3B!$O$1197:$O$100,0))</f>
        <v/>
      </c>
      <c r="I1197">
        <f>MIN(F1197,H1197)</f>
        <v/>
      </c>
    </row>
    <row r="1198">
      <c r="A1198">
        <f>TEST_DATA!A1198</f>
        <v/>
      </c>
      <c r="B1198">
        <f>TEST_DATA!B1198</f>
        <v/>
      </c>
      <c r="C1198">
        <f>TEST_DATA!C1198</f>
        <v/>
      </c>
      <c r="D1198">
        <f>TEST_DATA!D1198</f>
        <v/>
      </c>
      <c r="E1198">
        <f>TEST_DATA!E1198</f>
        <v/>
      </c>
      <c r="F1198">
        <f>MIN(E1198*119800,10000)</f>
        <v/>
      </c>
      <c r="G1198">
        <f>MINIFS(CBIC_Late_Fee_Relief_Windows_3B!$O$1198:$O$100,CBIC_Late_Fee_Relief_Windows_3B!$D$1198:$D$100,"&lt;="&amp;B1198,CBIC_Late_Fee_Relief_Windows_3B!$E$1198:$E$100,"&gt;="&amp;B1198,CBIC_Late_Fee_Relief_Windows_3B!$F$1198:$F$100,"&lt;="&amp;C1198,CBIC_Late_Fee_Relief_Windows_3B!$G$1198:$G$100,"&gt;="&amp;C1198)</f>
        <v/>
      </c>
      <c r="H1198">
        <f>INDEX(CBIC_Late_Fee_Relief_Windows_3B!$I$1198:$I$100,MATCH(G1198,CBIC_Late_Fee_Relief_Windows_3B!$O$1198:$O$100,0))</f>
        <v/>
      </c>
      <c r="I1198">
        <f>MIN(F1198,H1198)</f>
        <v/>
      </c>
    </row>
    <row r="1199">
      <c r="A1199">
        <f>TEST_DATA!A1199</f>
        <v/>
      </c>
      <c r="B1199">
        <f>TEST_DATA!B1199</f>
        <v/>
      </c>
      <c r="C1199">
        <f>TEST_DATA!C1199</f>
        <v/>
      </c>
      <c r="D1199">
        <f>TEST_DATA!D1199</f>
        <v/>
      </c>
      <c r="E1199">
        <f>TEST_DATA!E1199</f>
        <v/>
      </c>
      <c r="F1199">
        <f>MIN(E1199*119900,10000)</f>
        <v/>
      </c>
      <c r="G1199">
        <f>MINIFS(CBIC_Late_Fee_Relief_Windows_3B!$O$1199:$O$100,CBIC_Late_Fee_Relief_Windows_3B!$D$1199:$D$100,"&lt;="&amp;B1199,CBIC_Late_Fee_Relief_Windows_3B!$E$1199:$E$100,"&gt;="&amp;B1199,CBIC_Late_Fee_Relief_Windows_3B!$F$1199:$F$100,"&lt;="&amp;C1199,CBIC_Late_Fee_Relief_Windows_3B!$G$1199:$G$100,"&gt;="&amp;C1199)</f>
        <v/>
      </c>
      <c r="H1199">
        <f>INDEX(CBIC_Late_Fee_Relief_Windows_3B!$I$1199:$I$100,MATCH(G1199,CBIC_Late_Fee_Relief_Windows_3B!$O$1199:$O$100,0))</f>
        <v/>
      </c>
      <c r="I1199">
        <f>MIN(F1199,H1199)</f>
        <v/>
      </c>
    </row>
    <row r="1200">
      <c r="A1200">
        <f>TEST_DATA!A1200</f>
        <v/>
      </c>
      <c r="B1200">
        <f>TEST_DATA!B1200</f>
        <v/>
      </c>
      <c r="C1200">
        <f>TEST_DATA!C1200</f>
        <v/>
      </c>
      <c r="D1200">
        <f>TEST_DATA!D1200</f>
        <v/>
      </c>
      <c r="E1200">
        <f>TEST_DATA!E1200</f>
        <v/>
      </c>
      <c r="F1200">
        <f>MIN(E1200*120000,10000)</f>
        <v/>
      </c>
      <c r="G1200">
        <f>MINIFS(CBIC_Late_Fee_Relief_Windows_3B!$O$1200:$O$100,CBIC_Late_Fee_Relief_Windows_3B!$D$1200:$D$100,"&lt;="&amp;B1200,CBIC_Late_Fee_Relief_Windows_3B!$E$1200:$E$100,"&gt;="&amp;B1200,CBIC_Late_Fee_Relief_Windows_3B!$F$1200:$F$100,"&lt;="&amp;C1200,CBIC_Late_Fee_Relief_Windows_3B!$G$1200:$G$100,"&gt;="&amp;C1200)</f>
        <v/>
      </c>
      <c r="H1200">
        <f>INDEX(CBIC_Late_Fee_Relief_Windows_3B!$I$1200:$I$100,MATCH(G1200,CBIC_Late_Fee_Relief_Windows_3B!$O$1200:$O$100,0))</f>
        <v/>
      </c>
      <c r="I1200">
        <f>MIN(F1200,H1200)</f>
        <v/>
      </c>
    </row>
    <row r="1201">
      <c r="A1201">
        <f>TEST_DATA!A1201</f>
        <v/>
      </c>
      <c r="B1201">
        <f>TEST_DATA!B1201</f>
        <v/>
      </c>
      <c r="C1201">
        <f>TEST_DATA!C1201</f>
        <v/>
      </c>
      <c r="D1201">
        <f>TEST_DATA!D1201</f>
        <v/>
      </c>
      <c r="E1201">
        <f>TEST_DATA!E1201</f>
        <v/>
      </c>
      <c r="F1201">
        <f>MIN(E1201*120100,10000)</f>
        <v/>
      </c>
      <c r="G1201">
        <f>MINIFS(CBIC_Late_Fee_Relief_Windows_3B!$O$1201:$O$100,CBIC_Late_Fee_Relief_Windows_3B!$D$1201:$D$100,"&lt;="&amp;B1201,CBIC_Late_Fee_Relief_Windows_3B!$E$1201:$E$100,"&gt;="&amp;B1201,CBIC_Late_Fee_Relief_Windows_3B!$F$1201:$F$100,"&lt;="&amp;C1201,CBIC_Late_Fee_Relief_Windows_3B!$G$1201:$G$100,"&gt;="&amp;C1201)</f>
        <v/>
      </c>
      <c r="H1201">
        <f>INDEX(CBIC_Late_Fee_Relief_Windows_3B!$I$1201:$I$100,MATCH(G1201,CBIC_Late_Fee_Relief_Windows_3B!$O$1201:$O$100,0))</f>
        <v/>
      </c>
      <c r="I1201">
        <f>MIN(F1201,H1201)</f>
        <v/>
      </c>
    </row>
    <row r="1202">
      <c r="A1202">
        <f>TEST_DATA!A1202</f>
        <v/>
      </c>
      <c r="B1202">
        <f>TEST_DATA!B1202</f>
        <v/>
      </c>
      <c r="C1202">
        <f>TEST_DATA!C1202</f>
        <v/>
      </c>
      <c r="D1202">
        <f>TEST_DATA!D1202</f>
        <v/>
      </c>
      <c r="E1202">
        <f>TEST_DATA!E1202</f>
        <v/>
      </c>
      <c r="F1202">
        <f>MIN(E1202*120200,10000)</f>
        <v/>
      </c>
      <c r="G1202">
        <f>MINIFS(CBIC_Late_Fee_Relief_Windows_3B!$O$1202:$O$100,CBIC_Late_Fee_Relief_Windows_3B!$D$1202:$D$100,"&lt;="&amp;B1202,CBIC_Late_Fee_Relief_Windows_3B!$E$1202:$E$100,"&gt;="&amp;B1202,CBIC_Late_Fee_Relief_Windows_3B!$F$1202:$F$100,"&lt;="&amp;C1202,CBIC_Late_Fee_Relief_Windows_3B!$G$1202:$G$100,"&gt;="&amp;C1202)</f>
        <v/>
      </c>
      <c r="H1202">
        <f>INDEX(CBIC_Late_Fee_Relief_Windows_3B!$I$1202:$I$100,MATCH(G1202,CBIC_Late_Fee_Relief_Windows_3B!$O$1202:$O$100,0))</f>
        <v/>
      </c>
      <c r="I1202">
        <f>MIN(F1202,H1202)</f>
        <v/>
      </c>
    </row>
    <row r="1203">
      <c r="A1203">
        <f>TEST_DATA!A1203</f>
        <v/>
      </c>
      <c r="B1203">
        <f>TEST_DATA!B1203</f>
        <v/>
      </c>
      <c r="C1203">
        <f>TEST_DATA!C1203</f>
        <v/>
      </c>
      <c r="D1203">
        <f>TEST_DATA!D1203</f>
        <v/>
      </c>
      <c r="E1203">
        <f>TEST_DATA!E1203</f>
        <v/>
      </c>
      <c r="F1203">
        <f>MIN(E1203*120300,10000)</f>
        <v/>
      </c>
      <c r="G1203">
        <f>MINIFS(CBIC_Late_Fee_Relief_Windows_3B!$O$1203:$O$100,CBIC_Late_Fee_Relief_Windows_3B!$D$1203:$D$100,"&lt;="&amp;B1203,CBIC_Late_Fee_Relief_Windows_3B!$E$1203:$E$100,"&gt;="&amp;B1203,CBIC_Late_Fee_Relief_Windows_3B!$F$1203:$F$100,"&lt;="&amp;C1203,CBIC_Late_Fee_Relief_Windows_3B!$G$1203:$G$100,"&gt;="&amp;C1203)</f>
        <v/>
      </c>
      <c r="H1203">
        <f>INDEX(CBIC_Late_Fee_Relief_Windows_3B!$I$1203:$I$100,MATCH(G1203,CBIC_Late_Fee_Relief_Windows_3B!$O$1203:$O$100,0))</f>
        <v/>
      </c>
      <c r="I1203">
        <f>MIN(F1203,H1203)</f>
        <v/>
      </c>
    </row>
    <row r="1204">
      <c r="A1204">
        <f>TEST_DATA!A1204</f>
        <v/>
      </c>
      <c r="B1204">
        <f>TEST_DATA!B1204</f>
        <v/>
      </c>
      <c r="C1204">
        <f>TEST_DATA!C1204</f>
        <v/>
      </c>
      <c r="D1204">
        <f>TEST_DATA!D1204</f>
        <v/>
      </c>
      <c r="E1204">
        <f>TEST_DATA!E1204</f>
        <v/>
      </c>
      <c r="F1204">
        <f>MIN(E1204*120400,10000)</f>
        <v/>
      </c>
      <c r="G1204">
        <f>MINIFS(CBIC_Late_Fee_Relief_Windows_3B!$O$1204:$O$100,CBIC_Late_Fee_Relief_Windows_3B!$D$1204:$D$100,"&lt;="&amp;B1204,CBIC_Late_Fee_Relief_Windows_3B!$E$1204:$E$100,"&gt;="&amp;B1204,CBIC_Late_Fee_Relief_Windows_3B!$F$1204:$F$100,"&lt;="&amp;C1204,CBIC_Late_Fee_Relief_Windows_3B!$G$1204:$G$100,"&gt;="&amp;C1204)</f>
        <v/>
      </c>
      <c r="H1204">
        <f>INDEX(CBIC_Late_Fee_Relief_Windows_3B!$I$1204:$I$100,MATCH(G1204,CBIC_Late_Fee_Relief_Windows_3B!$O$1204:$O$100,0))</f>
        <v/>
      </c>
      <c r="I1204">
        <f>MIN(F1204,H1204)</f>
        <v/>
      </c>
    </row>
    <row r="1205">
      <c r="A1205">
        <f>TEST_DATA!A1205</f>
        <v/>
      </c>
      <c r="B1205">
        <f>TEST_DATA!B1205</f>
        <v/>
      </c>
      <c r="C1205">
        <f>TEST_DATA!C1205</f>
        <v/>
      </c>
      <c r="D1205">
        <f>TEST_DATA!D1205</f>
        <v/>
      </c>
      <c r="E1205">
        <f>TEST_DATA!E1205</f>
        <v/>
      </c>
      <c r="F1205">
        <f>MIN(E1205*120500,10000)</f>
        <v/>
      </c>
      <c r="G1205">
        <f>MINIFS(CBIC_Late_Fee_Relief_Windows_3B!$O$1205:$O$100,CBIC_Late_Fee_Relief_Windows_3B!$D$1205:$D$100,"&lt;="&amp;B1205,CBIC_Late_Fee_Relief_Windows_3B!$E$1205:$E$100,"&gt;="&amp;B1205,CBIC_Late_Fee_Relief_Windows_3B!$F$1205:$F$100,"&lt;="&amp;C1205,CBIC_Late_Fee_Relief_Windows_3B!$G$1205:$G$100,"&gt;="&amp;C1205)</f>
        <v/>
      </c>
      <c r="H1205">
        <f>INDEX(CBIC_Late_Fee_Relief_Windows_3B!$I$1205:$I$100,MATCH(G1205,CBIC_Late_Fee_Relief_Windows_3B!$O$1205:$O$100,0))</f>
        <v/>
      </c>
      <c r="I1205">
        <f>MIN(F1205,H1205)</f>
        <v/>
      </c>
    </row>
    <row r="1206">
      <c r="A1206">
        <f>TEST_DATA!A1206</f>
        <v/>
      </c>
      <c r="B1206">
        <f>TEST_DATA!B1206</f>
        <v/>
      </c>
      <c r="C1206">
        <f>TEST_DATA!C1206</f>
        <v/>
      </c>
      <c r="D1206">
        <f>TEST_DATA!D1206</f>
        <v/>
      </c>
      <c r="E1206">
        <f>TEST_DATA!E1206</f>
        <v/>
      </c>
      <c r="F1206">
        <f>MIN(E1206*120600,10000)</f>
        <v/>
      </c>
      <c r="G1206">
        <f>MINIFS(CBIC_Late_Fee_Relief_Windows_3B!$O$1206:$O$100,CBIC_Late_Fee_Relief_Windows_3B!$D$1206:$D$100,"&lt;="&amp;B1206,CBIC_Late_Fee_Relief_Windows_3B!$E$1206:$E$100,"&gt;="&amp;B1206,CBIC_Late_Fee_Relief_Windows_3B!$F$1206:$F$100,"&lt;="&amp;C1206,CBIC_Late_Fee_Relief_Windows_3B!$G$1206:$G$100,"&gt;="&amp;C1206)</f>
        <v/>
      </c>
      <c r="H1206">
        <f>INDEX(CBIC_Late_Fee_Relief_Windows_3B!$I$1206:$I$100,MATCH(G1206,CBIC_Late_Fee_Relief_Windows_3B!$O$1206:$O$100,0))</f>
        <v/>
      </c>
      <c r="I1206">
        <f>MIN(F1206,H1206)</f>
        <v/>
      </c>
    </row>
    <row r="1207">
      <c r="A1207">
        <f>TEST_DATA!A1207</f>
        <v/>
      </c>
      <c r="B1207">
        <f>TEST_DATA!B1207</f>
        <v/>
      </c>
      <c r="C1207">
        <f>TEST_DATA!C1207</f>
        <v/>
      </c>
      <c r="D1207">
        <f>TEST_DATA!D1207</f>
        <v/>
      </c>
      <c r="E1207">
        <f>TEST_DATA!E1207</f>
        <v/>
      </c>
      <c r="F1207">
        <f>MIN(E1207*120700,10000)</f>
        <v/>
      </c>
      <c r="G1207">
        <f>MINIFS(CBIC_Late_Fee_Relief_Windows_3B!$O$1207:$O$100,CBIC_Late_Fee_Relief_Windows_3B!$D$1207:$D$100,"&lt;="&amp;B1207,CBIC_Late_Fee_Relief_Windows_3B!$E$1207:$E$100,"&gt;="&amp;B1207,CBIC_Late_Fee_Relief_Windows_3B!$F$1207:$F$100,"&lt;="&amp;C1207,CBIC_Late_Fee_Relief_Windows_3B!$G$1207:$G$100,"&gt;="&amp;C1207)</f>
        <v/>
      </c>
      <c r="H1207">
        <f>INDEX(CBIC_Late_Fee_Relief_Windows_3B!$I$1207:$I$100,MATCH(G1207,CBIC_Late_Fee_Relief_Windows_3B!$O$1207:$O$100,0))</f>
        <v/>
      </c>
      <c r="I1207">
        <f>MIN(F1207,H1207)</f>
        <v/>
      </c>
    </row>
    <row r="1208">
      <c r="A1208">
        <f>TEST_DATA!A1208</f>
        <v/>
      </c>
      <c r="B1208">
        <f>TEST_DATA!B1208</f>
        <v/>
      </c>
      <c r="C1208">
        <f>TEST_DATA!C1208</f>
        <v/>
      </c>
      <c r="D1208">
        <f>TEST_DATA!D1208</f>
        <v/>
      </c>
      <c r="E1208">
        <f>TEST_DATA!E1208</f>
        <v/>
      </c>
      <c r="F1208">
        <f>MIN(E1208*120800,10000)</f>
        <v/>
      </c>
      <c r="G1208">
        <f>MINIFS(CBIC_Late_Fee_Relief_Windows_3B!$O$1208:$O$100,CBIC_Late_Fee_Relief_Windows_3B!$D$1208:$D$100,"&lt;="&amp;B1208,CBIC_Late_Fee_Relief_Windows_3B!$E$1208:$E$100,"&gt;="&amp;B1208,CBIC_Late_Fee_Relief_Windows_3B!$F$1208:$F$100,"&lt;="&amp;C1208,CBIC_Late_Fee_Relief_Windows_3B!$G$1208:$G$100,"&gt;="&amp;C1208)</f>
        <v/>
      </c>
      <c r="H1208">
        <f>INDEX(CBIC_Late_Fee_Relief_Windows_3B!$I$1208:$I$100,MATCH(G1208,CBIC_Late_Fee_Relief_Windows_3B!$O$1208:$O$100,0))</f>
        <v/>
      </c>
      <c r="I1208">
        <f>MIN(F1208,H1208)</f>
        <v/>
      </c>
    </row>
    <row r="1209">
      <c r="A1209">
        <f>TEST_DATA!A1209</f>
        <v/>
      </c>
      <c r="B1209">
        <f>TEST_DATA!B1209</f>
        <v/>
      </c>
      <c r="C1209">
        <f>TEST_DATA!C1209</f>
        <v/>
      </c>
      <c r="D1209">
        <f>TEST_DATA!D1209</f>
        <v/>
      </c>
      <c r="E1209">
        <f>TEST_DATA!E1209</f>
        <v/>
      </c>
      <c r="F1209">
        <f>MIN(E1209*120900,10000)</f>
        <v/>
      </c>
      <c r="G1209">
        <f>MINIFS(CBIC_Late_Fee_Relief_Windows_3B!$O$1209:$O$100,CBIC_Late_Fee_Relief_Windows_3B!$D$1209:$D$100,"&lt;="&amp;B1209,CBIC_Late_Fee_Relief_Windows_3B!$E$1209:$E$100,"&gt;="&amp;B1209,CBIC_Late_Fee_Relief_Windows_3B!$F$1209:$F$100,"&lt;="&amp;C1209,CBIC_Late_Fee_Relief_Windows_3B!$G$1209:$G$100,"&gt;="&amp;C1209)</f>
        <v/>
      </c>
      <c r="H1209">
        <f>INDEX(CBIC_Late_Fee_Relief_Windows_3B!$I$1209:$I$100,MATCH(G1209,CBIC_Late_Fee_Relief_Windows_3B!$O$1209:$O$100,0))</f>
        <v/>
      </c>
      <c r="I1209">
        <f>MIN(F1209,H1209)</f>
        <v/>
      </c>
    </row>
    <row r="1210">
      <c r="A1210">
        <f>TEST_DATA!A1210</f>
        <v/>
      </c>
      <c r="B1210">
        <f>TEST_DATA!B1210</f>
        <v/>
      </c>
      <c r="C1210">
        <f>TEST_DATA!C1210</f>
        <v/>
      </c>
      <c r="D1210">
        <f>TEST_DATA!D1210</f>
        <v/>
      </c>
      <c r="E1210">
        <f>TEST_DATA!E1210</f>
        <v/>
      </c>
      <c r="F1210">
        <f>MIN(E1210*121000,10000)</f>
        <v/>
      </c>
      <c r="G1210">
        <f>MINIFS(CBIC_Late_Fee_Relief_Windows_3B!$O$1210:$O$100,CBIC_Late_Fee_Relief_Windows_3B!$D$1210:$D$100,"&lt;="&amp;B1210,CBIC_Late_Fee_Relief_Windows_3B!$E$1210:$E$100,"&gt;="&amp;B1210,CBIC_Late_Fee_Relief_Windows_3B!$F$1210:$F$100,"&lt;="&amp;C1210,CBIC_Late_Fee_Relief_Windows_3B!$G$1210:$G$100,"&gt;="&amp;C1210)</f>
        <v/>
      </c>
      <c r="H1210">
        <f>INDEX(CBIC_Late_Fee_Relief_Windows_3B!$I$1210:$I$100,MATCH(G1210,CBIC_Late_Fee_Relief_Windows_3B!$O$1210:$O$100,0))</f>
        <v/>
      </c>
      <c r="I1210">
        <f>MIN(F1210,H1210)</f>
        <v/>
      </c>
    </row>
    <row r="1211">
      <c r="A1211">
        <f>TEST_DATA!A1211</f>
        <v/>
      </c>
      <c r="B1211">
        <f>TEST_DATA!B1211</f>
        <v/>
      </c>
      <c r="C1211">
        <f>TEST_DATA!C1211</f>
        <v/>
      </c>
      <c r="D1211">
        <f>TEST_DATA!D1211</f>
        <v/>
      </c>
      <c r="E1211">
        <f>TEST_DATA!E1211</f>
        <v/>
      </c>
      <c r="F1211">
        <f>MIN(E1211*121100,10000)</f>
        <v/>
      </c>
      <c r="G1211">
        <f>MINIFS(CBIC_Late_Fee_Relief_Windows_3B!$O$1211:$O$100,CBIC_Late_Fee_Relief_Windows_3B!$D$1211:$D$100,"&lt;="&amp;B1211,CBIC_Late_Fee_Relief_Windows_3B!$E$1211:$E$100,"&gt;="&amp;B1211,CBIC_Late_Fee_Relief_Windows_3B!$F$1211:$F$100,"&lt;="&amp;C1211,CBIC_Late_Fee_Relief_Windows_3B!$G$1211:$G$100,"&gt;="&amp;C1211)</f>
        <v/>
      </c>
      <c r="H1211">
        <f>INDEX(CBIC_Late_Fee_Relief_Windows_3B!$I$1211:$I$100,MATCH(G1211,CBIC_Late_Fee_Relief_Windows_3B!$O$1211:$O$100,0))</f>
        <v/>
      </c>
      <c r="I1211">
        <f>MIN(F1211,H1211)</f>
        <v/>
      </c>
    </row>
    <row r="1212">
      <c r="A1212">
        <f>TEST_DATA!A1212</f>
        <v/>
      </c>
      <c r="B1212">
        <f>TEST_DATA!B1212</f>
        <v/>
      </c>
      <c r="C1212">
        <f>TEST_DATA!C1212</f>
        <v/>
      </c>
      <c r="D1212">
        <f>TEST_DATA!D1212</f>
        <v/>
      </c>
      <c r="E1212">
        <f>TEST_DATA!E1212</f>
        <v/>
      </c>
      <c r="F1212">
        <f>MIN(E1212*121200,10000)</f>
        <v/>
      </c>
      <c r="G1212">
        <f>MINIFS(CBIC_Late_Fee_Relief_Windows_3B!$O$1212:$O$100,CBIC_Late_Fee_Relief_Windows_3B!$D$1212:$D$100,"&lt;="&amp;B1212,CBIC_Late_Fee_Relief_Windows_3B!$E$1212:$E$100,"&gt;="&amp;B1212,CBIC_Late_Fee_Relief_Windows_3B!$F$1212:$F$100,"&lt;="&amp;C1212,CBIC_Late_Fee_Relief_Windows_3B!$G$1212:$G$100,"&gt;="&amp;C1212)</f>
        <v/>
      </c>
      <c r="H1212">
        <f>INDEX(CBIC_Late_Fee_Relief_Windows_3B!$I$1212:$I$100,MATCH(G1212,CBIC_Late_Fee_Relief_Windows_3B!$O$1212:$O$100,0))</f>
        <v/>
      </c>
      <c r="I1212">
        <f>MIN(F1212,H1212)</f>
        <v/>
      </c>
    </row>
    <row r="1213">
      <c r="A1213">
        <f>TEST_DATA!A1213</f>
        <v/>
      </c>
      <c r="B1213">
        <f>TEST_DATA!B1213</f>
        <v/>
      </c>
      <c r="C1213">
        <f>TEST_DATA!C1213</f>
        <v/>
      </c>
      <c r="D1213">
        <f>TEST_DATA!D1213</f>
        <v/>
      </c>
      <c r="E1213">
        <f>TEST_DATA!E1213</f>
        <v/>
      </c>
      <c r="F1213">
        <f>MIN(E1213*121300,10000)</f>
        <v/>
      </c>
      <c r="G1213">
        <f>MINIFS(CBIC_Late_Fee_Relief_Windows_3B!$O$1213:$O$100,CBIC_Late_Fee_Relief_Windows_3B!$D$1213:$D$100,"&lt;="&amp;B1213,CBIC_Late_Fee_Relief_Windows_3B!$E$1213:$E$100,"&gt;="&amp;B1213,CBIC_Late_Fee_Relief_Windows_3B!$F$1213:$F$100,"&lt;="&amp;C1213,CBIC_Late_Fee_Relief_Windows_3B!$G$1213:$G$100,"&gt;="&amp;C1213)</f>
        <v/>
      </c>
      <c r="H1213">
        <f>INDEX(CBIC_Late_Fee_Relief_Windows_3B!$I$1213:$I$100,MATCH(G1213,CBIC_Late_Fee_Relief_Windows_3B!$O$1213:$O$100,0))</f>
        <v/>
      </c>
      <c r="I1213">
        <f>MIN(F1213,H1213)</f>
        <v/>
      </c>
    </row>
    <row r="1214">
      <c r="A1214">
        <f>TEST_DATA!A1214</f>
        <v/>
      </c>
      <c r="B1214">
        <f>TEST_DATA!B1214</f>
        <v/>
      </c>
      <c r="C1214">
        <f>TEST_DATA!C1214</f>
        <v/>
      </c>
      <c r="D1214">
        <f>TEST_DATA!D1214</f>
        <v/>
      </c>
      <c r="E1214">
        <f>TEST_DATA!E1214</f>
        <v/>
      </c>
      <c r="F1214">
        <f>MIN(E1214*121400,10000)</f>
        <v/>
      </c>
      <c r="G1214">
        <f>MINIFS(CBIC_Late_Fee_Relief_Windows_3B!$O$1214:$O$100,CBIC_Late_Fee_Relief_Windows_3B!$D$1214:$D$100,"&lt;="&amp;B1214,CBIC_Late_Fee_Relief_Windows_3B!$E$1214:$E$100,"&gt;="&amp;B1214,CBIC_Late_Fee_Relief_Windows_3B!$F$1214:$F$100,"&lt;="&amp;C1214,CBIC_Late_Fee_Relief_Windows_3B!$G$1214:$G$100,"&gt;="&amp;C1214)</f>
        <v/>
      </c>
      <c r="H1214">
        <f>INDEX(CBIC_Late_Fee_Relief_Windows_3B!$I$1214:$I$100,MATCH(G1214,CBIC_Late_Fee_Relief_Windows_3B!$O$1214:$O$100,0))</f>
        <v/>
      </c>
      <c r="I1214">
        <f>MIN(F1214,H1214)</f>
        <v/>
      </c>
    </row>
    <row r="1215">
      <c r="A1215">
        <f>TEST_DATA!A1215</f>
        <v/>
      </c>
      <c r="B1215">
        <f>TEST_DATA!B1215</f>
        <v/>
      </c>
      <c r="C1215">
        <f>TEST_DATA!C1215</f>
        <v/>
      </c>
      <c r="D1215">
        <f>TEST_DATA!D1215</f>
        <v/>
      </c>
      <c r="E1215">
        <f>TEST_DATA!E1215</f>
        <v/>
      </c>
      <c r="F1215">
        <f>MIN(E1215*121500,10000)</f>
        <v/>
      </c>
      <c r="G1215">
        <f>MINIFS(CBIC_Late_Fee_Relief_Windows_3B!$O$1215:$O$100,CBIC_Late_Fee_Relief_Windows_3B!$D$1215:$D$100,"&lt;="&amp;B1215,CBIC_Late_Fee_Relief_Windows_3B!$E$1215:$E$100,"&gt;="&amp;B1215,CBIC_Late_Fee_Relief_Windows_3B!$F$1215:$F$100,"&lt;="&amp;C1215,CBIC_Late_Fee_Relief_Windows_3B!$G$1215:$G$100,"&gt;="&amp;C1215)</f>
        <v/>
      </c>
      <c r="H1215">
        <f>INDEX(CBIC_Late_Fee_Relief_Windows_3B!$I$1215:$I$100,MATCH(G1215,CBIC_Late_Fee_Relief_Windows_3B!$O$1215:$O$100,0))</f>
        <v/>
      </c>
      <c r="I1215">
        <f>MIN(F1215,H1215)</f>
        <v/>
      </c>
    </row>
    <row r="1216">
      <c r="A1216">
        <f>TEST_DATA!A1216</f>
        <v/>
      </c>
      <c r="B1216">
        <f>TEST_DATA!B1216</f>
        <v/>
      </c>
      <c r="C1216">
        <f>TEST_DATA!C1216</f>
        <v/>
      </c>
      <c r="D1216">
        <f>TEST_DATA!D1216</f>
        <v/>
      </c>
      <c r="E1216">
        <f>TEST_DATA!E1216</f>
        <v/>
      </c>
      <c r="F1216">
        <f>MIN(E1216*121600,10000)</f>
        <v/>
      </c>
      <c r="G1216">
        <f>MINIFS(CBIC_Late_Fee_Relief_Windows_3B!$O$1216:$O$100,CBIC_Late_Fee_Relief_Windows_3B!$D$1216:$D$100,"&lt;="&amp;B1216,CBIC_Late_Fee_Relief_Windows_3B!$E$1216:$E$100,"&gt;="&amp;B1216,CBIC_Late_Fee_Relief_Windows_3B!$F$1216:$F$100,"&lt;="&amp;C1216,CBIC_Late_Fee_Relief_Windows_3B!$G$1216:$G$100,"&gt;="&amp;C1216)</f>
        <v/>
      </c>
      <c r="H1216">
        <f>INDEX(CBIC_Late_Fee_Relief_Windows_3B!$I$1216:$I$100,MATCH(G1216,CBIC_Late_Fee_Relief_Windows_3B!$O$1216:$O$100,0))</f>
        <v/>
      </c>
      <c r="I1216">
        <f>MIN(F1216,H1216)</f>
        <v/>
      </c>
    </row>
    <row r="1217">
      <c r="A1217">
        <f>TEST_DATA!A1217</f>
        <v/>
      </c>
      <c r="B1217">
        <f>TEST_DATA!B1217</f>
        <v/>
      </c>
      <c r="C1217">
        <f>TEST_DATA!C1217</f>
        <v/>
      </c>
      <c r="D1217">
        <f>TEST_DATA!D1217</f>
        <v/>
      </c>
      <c r="E1217">
        <f>TEST_DATA!E1217</f>
        <v/>
      </c>
      <c r="F1217">
        <f>MIN(E1217*121700,10000)</f>
        <v/>
      </c>
      <c r="G1217">
        <f>MINIFS(CBIC_Late_Fee_Relief_Windows_3B!$O$1217:$O$100,CBIC_Late_Fee_Relief_Windows_3B!$D$1217:$D$100,"&lt;="&amp;B1217,CBIC_Late_Fee_Relief_Windows_3B!$E$1217:$E$100,"&gt;="&amp;B1217,CBIC_Late_Fee_Relief_Windows_3B!$F$1217:$F$100,"&lt;="&amp;C1217,CBIC_Late_Fee_Relief_Windows_3B!$G$1217:$G$100,"&gt;="&amp;C1217)</f>
        <v/>
      </c>
      <c r="H1217">
        <f>INDEX(CBIC_Late_Fee_Relief_Windows_3B!$I$1217:$I$100,MATCH(G1217,CBIC_Late_Fee_Relief_Windows_3B!$O$1217:$O$100,0))</f>
        <v/>
      </c>
      <c r="I1217">
        <f>MIN(F1217,H1217)</f>
        <v/>
      </c>
    </row>
    <row r="1218">
      <c r="A1218">
        <f>TEST_DATA!A1218</f>
        <v/>
      </c>
      <c r="B1218">
        <f>TEST_DATA!B1218</f>
        <v/>
      </c>
      <c r="C1218">
        <f>TEST_DATA!C1218</f>
        <v/>
      </c>
      <c r="D1218">
        <f>TEST_DATA!D1218</f>
        <v/>
      </c>
      <c r="E1218">
        <f>TEST_DATA!E1218</f>
        <v/>
      </c>
      <c r="F1218">
        <f>MIN(E1218*121800,10000)</f>
        <v/>
      </c>
      <c r="G1218">
        <f>MINIFS(CBIC_Late_Fee_Relief_Windows_3B!$O$1218:$O$100,CBIC_Late_Fee_Relief_Windows_3B!$D$1218:$D$100,"&lt;="&amp;B1218,CBIC_Late_Fee_Relief_Windows_3B!$E$1218:$E$100,"&gt;="&amp;B1218,CBIC_Late_Fee_Relief_Windows_3B!$F$1218:$F$100,"&lt;="&amp;C1218,CBIC_Late_Fee_Relief_Windows_3B!$G$1218:$G$100,"&gt;="&amp;C1218)</f>
        <v/>
      </c>
      <c r="H1218">
        <f>INDEX(CBIC_Late_Fee_Relief_Windows_3B!$I$1218:$I$100,MATCH(G1218,CBIC_Late_Fee_Relief_Windows_3B!$O$1218:$O$100,0))</f>
        <v/>
      </c>
      <c r="I1218">
        <f>MIN(F1218,H1218)</f>
        <v/>
      </c>
    </row>
    <row r="1219">
      <c r="A1219">
        <f>TEST_DATA!A1219</f>
        <v/>
      </c>
      <c r="B1219">
        <f>TEST_DATA!B1219</f>
        <v/>
      </c>
      <c r="C1219">
        <f>TEST_DATA!C1219</f>
        <v/>
      </c>
      <c r="D1219">
        <f>TEST_DATA!D1219</f>
        <v/>
      </c>
      <c r="E1219">
        <f>TEST_DATA!E1219</f>
        <v/>
      </c>
      <c r="F1219">
        <f>MIN(E1219*121900,10000)</f>
        <v/>
      </c>
      <c r="G1219">
        <f>MINIFS(CBIC_Late_Fee_Relief_Windows_3B!$O$1219:$O$100,CBIC_Late_Fee_Relief_Windows_3B!$D$1219:$D$100,"&lt;="&amp;B1219,CBIC_Late_Fee_Relief_Windows_3B!$E$1219:$E$100,"&gt;="&amp;B1219,CBIC_Late_Fee_Relief_Windows_3B!$F$1219:$F$100,"&lt;="&amp;C1219,CBIC_Late_Fee_Relief_Windows_3B!$G$1219:$G$100,"&gt;="&amp;C1219)</f>
        <v/>
      </c>
      <c r="H1219">
        <f>INDEX(CBIC_Late_Fee_Relief_Windows_3B!$I$1219:$I$100,MATCH(G1219,CBIC_Late_Fee_Relief_Windows_3B!$O$1219:$O$100,0))</f>
        <v/>
      </c>
      <c r="I1219">
        <f>MIN(F1219,H1219)</f>
        <v/>
      </c>
    </row>
    <row r="1220">
      <c r="A1220">
        <f>TEST_DATA!A1220</f>
        <v/>
      </c>
      <c r="B1220">
        <f>TEST_DATA!B1220</f>
        <v/>
      </c>
      <c r="C1220">
        <f>TEST_DATA!C1220</f>
        <v/>
      </c>
      <c r="D1220">
        <f>TEST_DATA!D1220</f>
        <v/>
      </c>
      <c r="E1220">
        <f>TEST_DATA!E1220</f>
        <v/>
      </c>
      <c r="F1220">
        <f>MIN(E1220*122000,10000)</f>
        <v/>
      </c>
      <c r="G1220">
        <f>MINIFS(CBIC_Late_Fee_Relief_Windows_3B!$O$1220:$O$100,CBIC_Late_Fee_Relief_Windows_3B!$D$1220:$D$100,"&lt;="&amp;B1220,CBIC_Late_Fee_Relief_Windows_3B!$E$1220:$E$100,"&gt;="&amp;B1220,CBIC_Late_Fee_Relief_Windows_3B!$F$1220:$F$100,"&lt;="&amp;C1220,CBIC_Late_Fee_Relief_Windows_3B!$G$1220:$G$100,"&gt;="&amp;C1220)</f>
        <v/>
      </c>
      <c r="H1220">
        <f>INDEX(CBIC_Late_Fee_Relief_Windows_3B!$I$1220:$I$100,MATCH(G1220,CBIC_Late_Fee_Relief_Windows_3B!$O$1220:$O$100,0))</f>
        <v/>
      </c>
      <c r="I1220">
        <f>MIN(F1220,H1220)</f>
        <v/>
      </c>
    </row>
    <row r="1221">
      <c r="A1221">
        <f>TEST_DATA!A1221</f>
        <v/>
      </c>
      <c r="B1221">
        <f>TEST_DATA!B1221</f>
        <v/>
      </c>
      <c r="C1221">
        <f>TEST_DATA!C1221</f>
        <v/>
      </c>
      <c r="D1221">
        <f>TEST_DATA!D1221</f>
        <v/>
      </c>
      <c r="E1221">
        <f>TEST_DATA!E1221</f>
        <v/>
      </c>
      <c r="F1221">
        <f>MIN(E1221*122100,10000)</f>
        <v/>
      </c>
      <c r="G1221">
        <f>MINIFS(CBIC_Late_Fee_Relief_Windows_3B!$O$1221:$O$100,CBIC_Late_Fee_Relief_Windows_3B!$D$1221:$D$100,"&lt;="&amp;B1221,CBIC_Late_Fee_Relief_Windows_3B!$E$1221:$E$100,"&gt;="&amp;B1221,CBIC_Late_Fee_Relief_Windows_3B!$F$1221:$F$100,"&lt;="&amp;C1221,CBIC_Late_Fee_Relief_Windows_3B!$G$1221:$G$100,"&gt;="&amp;C1221)</f>
        <v/>
      </c>
      <c r="H1221">
        <f>INDEX(CBIC_Late_Fee_Relief_Windows_3B!$I$1221:$I$100,MATCH(G1221,CBIC_Late_Fee_Relief_Windows_3B!$O$1221:$O$100,0))</f>
        <v/>
      </c>
      <c r="I1221">
        <f>MIN(F1221,H1221)</f>
        <v/>
      </c>
    </row>
    <row r="1222">
      <c r="A1222">
        <f>TEST_DATA!A1222</f>
        <v/>
      </c>
      <c r="B1222">
        <f>TEST_DATA!B1222</f>
        <v/>
      </c>
      <c r="C1222">
        <f>TEST_DATA!C1222</f>
        <v/>
      </c>
      <c r="D1222">
        <f>TEST_DATA!D1222</f>
        <v/>
      </c>
      <c r="E1222">
        <f>TEST_DATA!E1222</f>
        <v/>
      </c>
      <c r="F1222">
        <f>MIN(E1222*122200,10000)</f>
        <v/>
      </c>
      <c r="G1222">
        <f>MINIFS(CBIC_Late_Fee_Relief_Windows_3B!$O$1222:$O$100,CBIC_Late_Fee_Relief_Windows_3B!$D$1222:$D$100,"&lt;="&amp;B1222,CBIC_Late_Fee_Relief_Windows_3B!$E$1222:$E$100,"&gt;="&amp;B1222,CBIC_Late_Fee_Relief_Windows_3B!$F$1222:$F$100,"&lt;="&amp;C1222,CBIC_Late_Fee_Relief_Windows_3B!$G$1222:$G$100,"&gt;="&amp;C1222)</f>
        <v/>
      </c>
      <c r="H1222">
        <f>INDEX(CBIC_Late_Fee_Relief_Windows_3B!$I$1222:$I$100,MATCH(G1222,CBIC_Late_Fee_Relief_Windows_3B!$O$1222:$O$100,0))</f>
        <v/>
      </c>
      <c r="I1222">
        <f>MIN(F1222,H1222)</f>
        <v/>
      </c>
    </row>
    <row r="1223">
      <c r="A1223">
        <f>TEST_DATA!A1223</f>
        <v/>
      </c>
      <c r="B1223">
        <f>TEST_DATA!B1223</f>
        <v/>
      </c>
      <c r="C1223">
        <f>TEST_DATA!C1223</f>
        <v/>
      </c>
      <c r="D1223">
        <f>TEST_DATA!D1223</f>
        <v/>
      </c>
      <c r="E1223">
        <f>TEST_DATA!E1223</f>
        <v/>
      </c>
      <c r="F1223">
        <f>MIN(E1223*122300,10000)</f>
        <v/>
      </c>
      <c r="G1223">
        <f>MINIFS(CBIC_Late_Fee_Relief_Windows_3B!$O$1223:$O$100,CBIC_Late_Fee_Relief_Windows_3B!$D$1223:$D$100,"&lt;="&amp;B1223,CBIC_Late_Fee_Relief_Windows_3B!$E$1223:$E$100,"&gt;="&amp;B1223,CBIC_Late_Fee_Relief_Windows_3B!$F$1223:$F$100,"&lt;="&amp;C1223,CBIC_Late_Fee_Relief_Windows_3B!$G$1223:$G$100,"&gt;="&amp;C1223)</f>
        <v/>
      </c>
      <c r="H1223">
        <f>INDEX(CBIC_Late_Fee_Relief_Windows_3B!$I$1223:$I$100,MATCH(G1223,CBIC_Late_Fee_Relief_Windows_3B!$O$1223:$O$100,0))</f>
        <v/>
      </c>
      <c r="I1223">
        <f>MIN(F1223,H1223)</f>
        <v/>
      </c>
    </row>
    <row r="1224">
      <c r="A1224">
        <f>TEST_DATA!A1224</f>
        <v/>
      </c>
      <c r="B1224">
        <f>TEST_DATA!B1224</f>
        <v/>
      </c>
      <c r="C1224">
        <f>TEST_DATA!C1224</f>
        <v/>
      </c>
      <c r="D1224">
        <f>TEST_DATA!D1224</f>
        <v/>
      </c>
      <c r="E1224">
        <f>TEST_DATA!E1224</f>
        <v/>
      </c>
      <c r="F1224">
        <f>MIN(E1224*122400,10000)</f>
        <v/>
      </c>
      <c r="G1224">
        <f>MINIFS(CBIC_Late_Fee_Relief_Windows_3B!$O$1224:$O$100,CBIC_Late_Fee_Relief_Windows_3B!$D$1224:$D$100,"&lt;="&amp;B1224,CBIC_Late_Fee_Relief_Windows_3B!$E$1224:$E$100,"&gt;="&amp;B1224,CBIC_Late_Fee_Relief_Windows_3B!$F$1224:$F$100,"&lt;="&amp;C1224,CBIC_Late_Fee_Relief_Windows_3B!$G$1224:$G$100,"&gt;="&amp;C1224)</f>
        <v/>
      </c>
      <c r="H1224">
        <f>INDEX(CBIC_Late_Fee_Relief_Windows_3B!$I$1224:$I$100,MATCH(G1224,CBIC_Late_Fee_Relief_Windows_3B!$O$1224:$O$100,0))</f>
        <v/>
      </c>
      <c r="I1224">
        <f>MIN(F1224,H1224)</f>
        <v/>
      </c>
    </row>
    <row r="1225">
      <c r="A1225">
        <f>TEST_DATA!A1225</f>
        <v/>
      </c>
      <c r="B1225">
        <f>TEST_DATA!B1225</f>
        <v/>
      </c>
      <c r="C1225">
        <f>TEST_DATA!C1225</f>
        <v/>
      </c>
      <c r="D1225">
        <f>TEST_DATA!D1225</f>
        <v/>
      </c>
      <c r="E1225">
        <f>TEST_DATA!E1225</f>
        <v/>
      </c>
      <c r="F1225">
        <f>MIN(E1225*122500,10000)</f>
        <v/>
      </c>
      <c r="G1225">
        <f>MINIFS(CBIC_Late_Fee_Relief_Windows_3B!$O$1225:$O$100,CBIC_Late_Fee_Relief_Windows_3B!$D$1225:$D$100,"&lt;="&amp;B1225,CBIC_Late_Fee_Relief_Windows_3B!$E$1225:$E$100,"&gt;="&amp;B1225,CBIC_Late_Fee_Relief_Windows_3B!$F$1225:$F$100,"&lt;="&amp;C1225,CBIC_Late_Fee_Relief_Windows_3B!$G$1225:$G$100,"&gt;="&amp;C1225)</f>
        <v/>
      </c>
      <c r="H1225">
        <f>INDEX(CBIC_Late_Fee_Relief_Windows_3B!$I$1225:$I$100,MATCH(G1225,CBIC_Late_Fee_Relief_Windows_3B!$O$1225:$O$100,0))</f>
        <v/>
      </c>
      <c r="I1225">
        <f>MIN(F1225,H1225)</f>
        <v/>
      </c>
    </row>
    <row r="1226">
      <c r="A1226">
        <f>TEST_DATA!A1226</f>
        <v/>
      </c>
      <c r="B1226">
        <f>TEST_DATA!B1226</f>
        <v/>
      </c>
      <c r="C1226">
        <f>TEST_DATA!C1226</f>
        <v/>
      </c>
      <c r="D1226">
        <f>TEST_DATA!D1226</f>
        <v/>
      </c>
      <c r="E1226">
        <f>TEST_DATA!E1226</f>
        <v/>
      </c>
      <c r="F1226">
        <f>MIN(E1226*122600,10000)</f>
        <v/>
      </c>
      <c r="G1226">
        <f>MINIFS(CBIC_Late_Fee_Relief_Windows_3B!$O$1226:$O$100,CBIC_Late_Fee_Relief_Windows_3B!$D$1226:$D$100,"&lt;="&amp;B1226,CBIC_Late_Fee_Relief_Windows_3B!$E$1226:$E$100,"&gt;="&amp;B1226,CBIC_Late_Fee_Relief_Windows_3B!$F$1226:$F$100,"&lt;="&amp;C1226,CBIC_Late_Fee_Relief_Windows_3B!$G$1226:$G$100,"&gt;="&amp;C1226)</f>
        <v/>
      </c>
      <c r="H1226">
        <f>INDEX(CBIC_Late_Fee_Relief_Windows_3B!$I$1226:$I$100,MATCH(G1226,CBIC_Late_Fee_Relief_Windows_3B!$O$1226:$O$100,0))</f>
        <v/>
      </c>
      <c r="I1226">
        <f>MIN(F1226,H1226)</f>
        <v/>
      </c>
    </row>
    <row r="1227">
      <c r="A1227">
        <f>TEST_DATA!A1227</f>
        <v/>
      </c>
      <c r="B1227">
        <f>TEST_DATA!B1227</f>
        <v/>
      </c>
      <c r="C1227">
        <f>TEST_DATA!C1227</f>
        <v/>
      </c>
      <c r="D1227">
        <f>TEST_DATA!D1227</f>
        <v/>
      </c>
      <c r="E1227">
        <f>TEST_DATA!E1227</f>
        <v/>
      </c>
      <c r="F1227">
        <f>MIN(E1227*122700,10000)</f>
        <v/>
      </c>
      <c r="G1227">
        <f>MINIFS(CBIC_Late_Fee_Relief_Windows_3B!$O$1227:$O$100,CBIC_Late_Fee_Relief_Windows_3B!$D$1227:$D$100,"&lt;="&amp;B1227,CBIC_Late_Fee_Relief_Windows_3B!$E$1227:$E$100,"&gt;="&amp;B1227,CBIC_Late_Fee_Relief_Windows_3B!$F$1227:$F$100,"&lt;="&amp;C1227,CBIC_Late_Fee_Relief_Windows_3B!$G$1227:$G$100,"&gt;="&amp;C1227)</f>
        <v/>
      </c>
      <c r="H1227">
        <f>INDEX(CBIC_Late_Fee_Relief_Windows_3B!$I$1227:$I$100,MATCH(G1227,CBIC_Late_Fee_Relief_Windows_3B!$O$1227:$O$100,0))</f>
        <v/>
      </c>
      <c r="I1227">
        <f>MIN(F1227,H1227)</f>
        <v/>
      </c>
    </row>
    <row r="1228">
      <c r="A1228">
        <f>TEST_DATA!A1228</f>
        <v/>
      </c>
      <c r="B1228">
        <f>TEST_DATA!B1228</f>
        <v/>
      </c>
      <c r="C1228">
        <f>TEST_DATA!C1228</f>
        <v/>
      </c>
      <c r="D1228">
        <f>TEST_DATA!D1228</f>
        <v/>
      </c>
      <c r="E1228">
        <f>TEST_DATA!E1228</f>
        <v/>
      </c>
      <c r="F1228">
        <f>MIN(E1228*122800,10000)</f>
        <v/>
      </c>
      <c r="G1228">
        <f>MINIFS(CBIC_Late_Fee_Relief_Windows_3B!$O$1228:$O$100,CBIC_Late_Fee_Relief_Windows_3B!$D$1228:$D$100,"&lt;="&amp;B1228,CBIC_Late_Fee_Relief_Windows_3B!$E$1228:$E$100,"&gt;="&amp;B1228,CBIC_Late_Fee_Relief_Windows_3B!$F$1228:$F$100,"&lt;="&amp;C1228,CBIC_Late_Fee_Relief_Windows_3B!$G$1228:$G$100,"&gt;="&amp;C1228)</f>
        <v/>
      </c>
      <c r="H1228">
        <f>INDEX(CBIC_Late_Fee_Relief_Windows_3B!$I$1228:$I$100,MATCH(G1228,CBIC_Late_Fee_Relief_Windows_3B!$O$1228:$O$100,0))</f>
        <v/>
      </c>
      <c r="I1228">
        <f>MIN(F1228,H1228)</f>
        <v/>
      </c>
    </row>
    <row r="1229">
      <c r="A1229">
        <f>TEST_DATA!A1229</f>
        <v/>
      </c>
      <c r="B1229">
        <f>TEST_DATA!B1229</f>
        <v/>
      </c>
      <c r="C1229">
        <f>TEST_DATA!C1229</f>
        <v/>
      </c>
      <c r="D1229">
        <f>TEST_DATA!D1229</f>
        <v/>
      </c>
      <c r="E1229">
        <f>TEST_DATA!E1229</f>
        <v/>
      </c>
      <c r="F1229">
        <f>MIN(E1229*122900,10000)</f>
        <v/>
      </c>
      <c r="G1229">
        <f>MINIFS(CBIC_Late_Fee_Relief_Windows_3B!$O$1229:$O$100,CBIC_Late_Fee_Relief_Windows_3B!$D$1229:$D$100,"&lt;="&amp;B1229,CBIC_Late_Fee_Relief_Windows_3B!$E$1229:$E$100,"&gt;="&amp;B1229,CBIC_Late_Fee_Relief_Windows_3B!$F$1229:$F$100,"&lt;="&amp;C1229,CBIC_Late_Fee_Relief_Windows_3B!$G$1229:$G$100,"&gt;="&amp;C1229)</f>
        <v/>
      </c>
      <c r="H1229">
        <f>INDEX(CBIC_Late_Fee_Relief_Windows_3B!$I$1229:$I$100,MATCH(G1229,CBIC_Late_Fee_Relief_Windows_3B!$O$1229:$O$100,0))</f>
        <v/>
      </c>
      <c r="I1229">
        <f>MIN(F1229,H1229)</f>
        <v/>
      </c>
    </row>
    <row r="1230">
      <c r="A1230">
        <f>TEST_DATA!A1230</f>
        <v/>
      </c>
      <c r="B1230">
        <f>TEST_DATA!B1230</f>
        <v/>
      </c>
      <c r="C1230">
        <f>TEST_DATA!C1230</f>
        <v/>
      </c>
      <c r="D1230">
        <f>TEST_DATA!D1230</f>
        <v/>
      </c>
      <c r="E1230">
        <f>TEST_DATA!E1230</f>
        <v/>
      </c>
      <c r="F1230">
        <f>MIN(E1230*123000,10000)</f>
        <v/>
      </c>
      <c r="G1230">
        <f>MINIFS(CBIC_Late_Fee_Relief_Windows_3B!$O$1230:$O$100,CBIC_Late_Fee_Relief_Windows_3B!$D$1230:$D$100,"&lt;="&amp;B1230,CBIC_Late_Fee_Relief_Windows_3B!$E$1230:$E$100,"&gt;="&amp;B1230,CBIC_Late_Fee_Relief_Windows_3B!$F$1230:$F$100,"&lt;="&amp;C1230,CBIC_Late_Fee_Relief_Windows_3B!$G$1230:$G$100,"&gt;="&amp;C1230)</f>
        <v/>
      </c>
      <c r="H1230">
        <f>INDEX(CBIC_Late_Fee_Relief_Windows_3B!$I$1230:$I$100,MATCH(G1230,CBIC_Late_Fee_Relief_Windows_3B!$O$1230:$O$100,0))</f>
        <v/>
      </c>
      <c r="I1230">
        <f>MIN(F1230,H1230)</f>
        <v/>
      </c>
    </row>
    <row r="1231">
      <c r="A1231">
        <f>TEST_DATA!A1231</f>
        <v/>
      </c>
      <c r="B1231">
        <f>TEST_DATA!B1231</f>
        <v/>
      </c>
      <c r="C1231">
        <f>TEST_DATA!C1231</f>
        <v/>
      </c>
      <c r="D1231">
        <f>TEST_DATA!D1231</f>
        <v/>
      </c>
      <c r="E1231">
        <f>TEST_DATA!E1231</f>
        <v/>
      </c>
      <c r="F1231">
        <f>MIN(E1231*123100,10000)</f>
        <v/>
      </c>
      <c r="G1231">
        <f>MINIFS(CBIC_Late_Fee_Relief_Windows_3B!$O$1231:$O$100,CBIC_Late_Fee_Relief_Windows_3B!$D$1231:$D$100,"&lt;="&amp;B1231,CBIC_Late_Fee_Relief_Windows_3B!$E$1231:$E$100,"&gt;="&amp;B1231,CBIC_Late_Fee_Relief_Windows_3B!$F$1231:$F$100,"&lt;="&amp;C1231,CBIC_Late_Fee_Relief_Windows_3B!$G$1231:$G$100,"&gt;="&amp;C1231)</f>
        <v/>
      </c>
      <c r="H1231">
        <f>INDEX(CBIC_Late_Fee_Relief_Windows_3B!$I$1231:$I$100,MATCH(G1231,CBIC_Late_Fee_Relief_Windows_3B!$O$1231:$O$100,0))</f>
        <v/>
      </c>
      <c r="I1231">
        <f>MIN(F1231,H1231)</f>
        <v/>
      </c>
    </row>
    <row r="1232">
      <c r="A1232">
        <f>TEST_DATA!A1232</f>
        <v/>
      </c>
      <c r="B1232">
        <f>TEST_DATA!B1232</f>
        <v/>
      </c>
      <c r="C1232">
        <f>TEST_DATA!C1232</f>
        <v/>
      </c>
      <c r="D1232">
        <f>TEST_DATA!D1232</f>
        <v/>
      </c>
      <c r="E1232">
        <f>TEST_DATA!E1232</f>
        <v/>
      </c>
      <c r="F1232">
        <f>MIN(E1232*123200,10000)</f>
        <v/>
      </c>
      <c r="G1232">
        <f>MINIFS(CBIC_Late_Fee_Relief_Windows_3B!$O$1232:$O$100,CBIC_Late_Fee_Relief_Windows_3B!$D$1232:$D$100,"&lt;="&amp;B1232,CBIC_Late_Fee_Relief_Windows_3B!$E$1232:$E$100,"&gt;="&amp;B1232,CBIC_Late_Fee_Relief_Windows_3B!$F$1232:$F$100,"&lt;="&amp;C1232,CBIC_Late_Fee_Relief_Windows_3B!$G$1232:$G$100,"&gt;="&amp;C1232)</f>
        <v/>
      </c>
      <c r="H1232">
        <f>INDEX(CBIC_Late_Fee_Relief_Windows_3B!$I$1232:$I$100,MATCH(G1232,CBIC_Late_Fee_Relief_Windows_3B!$O$1232:$O$100,0))</f>
        <v/>
      </c>
      <c r="I1232">
        <f>MIN(F1232,H1232)</f>
        <v/>
      </c>
    </row>
    <row r="1233">
      <c r="A1233">
        <f>TEST_DATA!A1233</f>
        <v/>
      </c>
      <c r="B1233">
        <f>TEST_DATA!B1233</f>
        <v/>
      </c>
      <c r="C1233">
        <f>TEST_DATA!C1233</f>
        <v/>
      </c>
      <c r="D1233">
        <f>TEST_DATA!D1233</f>
        <v/>
      </c>
      <c r="E1233">
        <f>TEST_DATA!E1233</f>
        <v/>
      </c>
      <c r="F1233">
        <f>MIN(E1233*123300,10000)</f>
        <v/>
      </c>
      <c r="G1233">
        <f>MINIFS(CBIC_Late_Fee_Relief_Windows_3B!$O$1233:$O$100,CBIC_Late_Fee_Relief_Windows_3B!$D$1233:$D$100,"&lt;="&amp;B1233,CBIC_Late_Fee_Relief_Windows_3B!$E$1233:$E$100,"&gt;="&amp;B1233,CBIC_Late_Fee_Relief_Windows_3B!$F$1233:$F$100,"&lt;="&amp;C1233,CBIC_Late_Fee_Relief_Windows_3B!$G$1233:$G$100,"&gt;="&amp;C1233)</f>
        <v/>
      </c>
      <c r="H1233">
        <f>INDEX(CBIC_Late_Fee_Relief_Windows_3B!$I$1233:$I$100,MATCH(G1233,CBIC_Late_Fee_Relief_Windows_3B!$O$1233:$O$100,0))</f>
        <v/>
      </c>
      <c r="I1233">
        <f>MIN(F1233,H1233)</f>
        <v/>
      </c>
    </row>
    <row r="1234">
      <c r="A1234">
        <f>TEST_DATA!A1234</f>
        <v/>
      </c>
      <c r="B1234">
        <f>TEST_DATA!B1234</f>
        <v/>
      </c>
      <c r="C1234">
        <f>TEST_DATA!C1234</f>
        <v/>
      </c>
      <c r="D1234">
        <f>TEST_DATA!D1234</f>
        <v/>
      </c>
      <c r="E1234">
        <f>TEST_DATA!E1234</f>
        <v/>
      </c>
      <c r="F1234">
        <f>MIN(E1234*123400,10000)</f>
        <v/>
      </c>
      <c r="G1234">
        <f>MINIFS(CBIC_Late_Fee_Relief_Windows_3B!$O$1234:$O$100,CBIC_Late_Fee_Relief_Windows_3B!$D$1234:$D$100,"&lt;="&amp;B1234,CBIC_Late_Fee_Relief_Windows_3B!$E$1234:$E$100,"&gt;="&amp;B1234,CBIC_Late_Fee_Relief_Windows_3B!$F$1234:$F$100,"&lt;="&amp;C1234,CBIC_Late_Fee_Relief_Windows_3B!$G$1234:$G$100,"&gt;="&amp;C1234)</f>
        <v/>
      </c>
      <c r="H1234">
        <f>INDEX(CBIC_Late_Fee_Relief_Windows_3B!$I$1234:$I$100,MATCH(G1234,CBIC_Late_Fee_Relief_Windows_3B!$O$1234:$O$100,0))</f>
        <v/>
      </c>
      <c r="I1234">
        <f>MIN(F1234,H1234)</f>
        <v/>
      </c>
    </row>
    <row r="1235">
      <c r="A1235">
        <f>TEST_DATA!A1235</f>
        <v/>
      </c>
      <c r="B1235">
        <f>TEST_DATA!B1235</f>
        <v/>
      </c>
      <c r="C1235">
        <f>TEST_DATA!C1235</f>
        <v/>
      </c>
      <c r="D1235">
        <f>TEST_DATA!D1235</f>
        <v/>
      </c>
      <c r="E1235">
        <f>TEST_DATA!E1235</f>
        <v/>
      </c>
      <c r="F1235">
        <f>MIN(E1235*123500,10000)</f>
        <v/>
      </c>
      <c r="G1235">
        <f>MINIFS(CBIC_Late_Fee_Relief_Windows_3B!$O$1235:$O$100,CBIC_Late_Fee_Relief_Windows_3B!$D$1235:$D$100,"&lt;="&amp;B1235,CBIC_Late_Fee_Relief_Windows_3B!$E$1235:$E$100,"&gt;="&amp;B1235,CBIC_Late_Fee_Relief_Windows_3B!$F$1235:$F$100,"&lt;="&amp;C1235,CBIC_Late_Fee_Relief_Windows_3B!$G$1235:$G$100,"&gt;="&amp;C1235)</f>
        <v/>
      </c>
      <c r="H1235">
        <f>INDEX(CBIC_Late_Fee_Relief_Windows_3B!$I$1235:$I$100,MATCH(G1235,CBIC_Late_Fee_Relief_Windows_3B!$O$1235:$O$100,0))</f>
        <v/>
      </c>
      <c r="I1235">
        <f>MIN(F1235,H1235)</f>
        <v/>
      </c>
    </row>
    <row r="1236">
      <c r="A1236">
        <f>TEST_DATA!A1236</f>
        <v/>
      </c>
      <c r="B1236">
        <f>TEST_DATA!B1236</f>
        <v/>
      </c>
      <c r="C1236">
        <f>TEST_DATA!C1236</f>
        <v/>
      </c>
      <c r="D1236">
        <f>TEST_DATA!D1236</f>
        <v/>
      </c>
      <c r="E1236">
        <f>TEST_DATA!E1236</f>
        <v/>
      </c>
      <c r="F1236">
        <f>MIN(E1236*123600,10000)</f>
        <v/>
      </c>
      <c r="G1236">
        <f>MINIFS(CBIC_Late_Fee_Relief_Windows_3B!$O$1236:$O$100,CBIC_Late_Fee_Relief_Windows_3B!$D$1236:$D$100,"&lt;="&amp;B1236,CBIC_Late_Fee_Relief_Windows_3B!$E$1236:$E$100,"&gt;="&amp;B1236,CBIC_Late_Fee_Relief_Windows_3B!$F$1236:$F$100,"&lt;="&amp;C1236,CBIC_Late_Fee_Relief_Windows_3B!$G$1236:$G$100,"&gt;="&amp;C1236)</f>
        <v/>
      </c>
      <c r="H1236">
        <f>INDEX(CBIC_Late_Fee_Relief_Windows_3B!$I$1236:$I$100,MATCH(G1236,CBIC_Late_Fee_Relief_Windows_3B!$O$1236:$O$100,0))</f>
        <v/>
      </c>
      <c r="I1236">
        <f>MIN(F1236,H1236)</f>
        <v/>
      </c>
    </row>
    <row r="1237">
      <c r="A1237">
        <f>TEST_DATA!A1237</f>
        <v/>
      </c>
      <c r="B1237">
        <f>TEST_DATA!B1237</f>
        <v/>
      </c>
      <c r="C1237">
        <f>TEST_DATA!C1237</f>
        <v/>
      </c>
      <c r="D1237">
        <f>TEST_DATA!D1237</f>
        <v/>
      </c>
      <c r="E1237">
        <f>TEST_DATA!E1237</f>
        <v/>
      </c>
      <c r="F1237">
        <f>MIN(E1237*123700,10000)</f>
        <v/>
      </c>
      <c r="G1237">
        <f>MINIFS(CBIC_Late_Fee_Relief_Windows_3B!$O$1237:$O$100,CBIC_Late_Fee_Relief_Windows_3B!$D$1237:$D$100,"&lt;="&amp;B1237,CBIC_Late_Fee_Relief_Windows_3B!$E$1237:$E$100,"&gt;="&amp;B1237,CBIC_Late_Fee_Relief_Windows_3B!$F$1237:$F$100,"&lt;="&amp;C1237,CBIC_Late_Fee_Relief_Windows_3B!$G$1237:$G$100,"&gt;="&amp;C1237)</f>
        <v/>
      </c>
      <c r="H1237">
        <f>INDEX(CBIC_Late_Fee_Relief_Windows_3B!$I$1237:$I$100,MATCH(G1237,CBIC_Late_Fee_Relief_Windows_3B!$O$1237:$O$100,0))</f>
        <v/>
      </c>
      <c r="I1237">
        <f>MIN(F1237,H1237)</f>
        <v/>
      </c>
    </row>
    <row r="1238">
      <c r="A1238">
        <f>TEST_DATA!A1238</f>
        <v/>
      </c>
      <c r="B1238">
        <f>TEST_DATA!B1238</f>
        <v/>
      </c>
      <c r="C1238">
        <f>TEST_DATA!C1238</f>
        <v/>
      </c>
      <c r="D1238">
        <f>TEST_DATA!D1238</f>
        <v/>
      </c>
      <c r="E1238">
        <f>TEST_DATA!E1238</f>
        <v/>
      </c>
      <c r="F1238">
        <f>MIN(E1238*123800,10000)</f>
        <v/>
      </c>
      <c r="G1238">
        <f>MINIFS(CBIC_Late_Fee_Relief_Windows_3B!$O$1238:$O$100,CBIC_Late_Fee_Relief_Windows_3B!$D$1238:$D$100,"&lt;="&amp;B1238,CBIC_Late_Fee_Relief_Windows_3B!$E$1238:$E$100,"&gt;="&amp;B1238,CBIC_Late_Fee_Relief_Windows_3B!$F$1238:$F$100,"&lt;="&amp;C1238,CBIC_Late_Fee_Relief_Windows_3B!$G$1238:$G$100,"&gt;="&amp;C1238)</f>
        <v/>
      </c>
      <c r="H1238">
        <f>INDEX(CBIC_Late_Fee_Relief_Windows_3B!$I$1238:$I$100,MATCH(G1238,CBIC_Late_Fee_Relief_Windows_3B!$O$1238:$O$100,0))</f>
        <v/>
      </c>
      <c r="I1238">
        <f>MIN(F1238,H1238)</f>
        <v/>
      </c>
    </row>
    <row r="1239">
      <c r="A1239">
        <f>TEST_DATA!A1239</f>
        <v/>
      </c>
      <c r="B1239">
        <f>TEST_DATA!B1239</f>
        <v/>
      </c>
      <c r="C1239">
        <f>TEST_DATA!C1239</f>
        <v/>
      </c>
      <c r="D1239">
        <f>TEST_DATA!D1239</f>
        <v/>
      </c>
      <c r="E1239">
        <f>TEST_DATA!E1239</f>
        <v/>
      </c>
      <c r="F1239">
        <f>MIN(E1239*123900,10000)</f>
        <v/>
      </c>
      <c r="G1239">
        <f>MINIFS(CBIC_Late_Fee_Relief_Windows_3B!$O$1239:$O$100,CBIC_Late_Fee_Relief_Windows_3B!$D$1239:$D$100,"&lt;="&amp;B1239,CBIC_Late_Fee_Relief_Windows_3B!$E$1239:$E$100,"&gt;="&amp;B1239,CBIC_Late_Fee_Relief_Windows_3B!$F$1239:$F$100,"&lt;="&amp;C1239,CBIC_Late_Fee_Relief_Windows_3B!$G$1239:$G$100,"&gt;="&amp;C1239)</f>
        <v/>
      </c>
      <c r="H1239">
        <f>INDEX(CBIC_Late_Fee_Relief_Windows_3B!$I$1239:$I$100,MATCH(G1239,CBIC_Late_Fee_Relief_Windows_3B!$O$1239:$O$100,0))</f>
        <v/>
      </c>
      <c r="I1239">
        <f>MIN(F1239,H1239)</f>
        <v/>
      </c>
    </row>
    <row r="1240">
      <c r="A1240">
        <f>TEST_DATA!A1240</f>
        <v/>
      </c>
      <c r="B1240">
        <f>TEST_DATA!B1240</f>
        <v/>
      </c>
      <c r="C1240">
        <f>TEST_DATA!C1240</f>
        <v/>
      </c>
      <c r="D1240">
        <f>TEST_DATA!D1240</f>
        <v/>
      </c>
      <c r="E1240">
        <f>TEST_DATA!E1240</f>
        <v/>
      </c>
      <c r="F1240">
        <f>MIN(E1240*124000,10000)</f>
        <v/>
      </c>
      <c r="G1240">
        <f>MINIFS(CBIC_Late_Fee_Relief_Windows_3B!$O$1240:$O$100,CBIC_Late_Fee_Relief_Windows_3B!$D$1240:$D$100,"&lt;="&amp;B1240,CBIC_Late_Fee_Relief_Windows_3B!$E$1240:$E$100,"&gt;="&amp;B1240,CBIC_Late_Fee_Relief_Windows_3B!$F$1240:$F$100,"&lt;="&amp;C1240,CBIC_Late_Fee_Relief_Windows_3B!$G$1240:$G$100,"&gt;="&amp;C1240)</f>
        <v/>
      </c>
      <c r="H1240">
        <f>INDEX(CBIC_Late_Fee_Relief_Windows_3B!$I$1240:$I$100,MATCH(G1240,CBIC_Late_Fee_Relief_Windows_3B!$O$1240:$O$100,0))</f>
        <v/>
      </c>
      <c r="I1240">
        <f>MIN(F1240,H1240)</f>
        <v/>
      </c>
    </row>
    <row r="1241">
      <c r="A1241">
        <f>TEST_DATA!A1241</f>
        <v/>
      </c>
      <c r="B1241">
        <f>TEST_DATA!B1241</f>
        <v/>
      </c>
      <c r="C1241">
        <f>TEST_DATA!C1241</f>
        <v/>
      </c>
      <c r="D1241">
        <f>TEST_DATA!D1241</f>
        <v/>
      </c>
      <c r="E1241">
        <f>TEST_DATA!E1241</f>
        <v/>
      </c>
      <c r="F1241">
        <f>MIN(E1241*124100,10000)</f>
        <v/>
      </c>
      <c r="G1241">
        <f>MINIFS(CBIC_Late_Fee_Relief_Windows_3B!$O$1241:$O$100,CBIC_Late_Fee_Relief_Windows_3B!$D$1241:$D$100,"&lt;="&amp;B1241,CBIC_Late_Fee_Relief_Windows_3B!$E$1241:$E$100,"&gt;="&amp;B1241,CBIC_Late_Fee_Relief_Windows_3B!$F$1241:$F$100,"&lt;="&amp;C1241,CBIC_Late_Fee_Relief_Windows_3B!$G$1241:$G$100,"&gt;="&amp;C1241)</f>
        <v/>
      </c>
      <c r="H1241">
        <f>INDEX(CBIC_Late_Fee_Relief_Windows_3B!$I$1241:$I$100,MATCH(G1241,CBIC_Late_Fee_Relief_Windows_3B!$O$1241:$O$100,0))</f>
        <v/>
      </c>
      <c r="I1241">
        <f>MIN(F1241,H1241)</f>
        <v/>
      </c>
    </row>
    <row r="1242">
      <c r="A1242">
        <f>TEST_DATA!A1242</f>
        <v/>
      </c>
      <c r="B1242">
        <f>TEST_DATA!B1242</f>
        <v/>
      </c>
      <c r="C1242">
        <f>TEST_DATA!C1242</f>
        <v/>
      </c>
      <c r="D1242">
        <f>TEST_DATA!D1242</f>
        <v/>
      </c>
      <c r="E1242">
        <f>TEST_DATA!E1242</f>
        <v/>
      </c>
      <c r="F1242">
        <f>MIN(E1242*124200,10000)</f>
        <v/>
      </c>
      <c r="G1242">
        <f>MINIFS(CBIC_Late_Fee_Relief_Windows_3B!$O$1242:$O$100,CBIC_Late_Fee_Relief_Windows_3B!$D$1242:$D$100,"&lt;="&amp;B1242,CBIC_Late_Fee_Relief_Windows_3B!$E$1242:$E$100,"&gt;="&amp;B1242,CBIC_Late_Fee_Relief_Windows_3B!$F$1242:$F$100,"&lt;="&amp;C1242,CBIC_Late_Fee_Relief_Windows_3B!$G$1242:$G$100,"&gt;="&amp;C1242)</f>
        <v/>
      </c>
      <c r="H1242">
        <f>INDEX(CBIC_Late_Fee_Relief_Windows_3B!$I$1242:$I$100,MATCH(G1242,CBIC_Late_Fee_Relief_Windows_3B!$O$1242:$O$100,0))</f>
        <v/>
      </c>
      <c r="I1242">
        <f>MIN(F1242,H1242)</f>
        <v/>
      </c>
    </row>
    <row r="1243">
      <c r="A1243">
        <f>TEST_DATA!A1243</f>
        <v/>
      </c>
      <c r="B1243">
        <f>TEST_DATA!B1243</f>
        <v/>
      </c>
      <c r="C1243">
        <f>TEST_DATA!C1243</f>
        <v/>
      </c>
      <c r="D1243">
        <f>TEST_DATA!D1243</f>
        <v/>
      </c>
      <c r="E1243">
        <f>TEST_DATA!E1243</f>
        <v/>
      </c>
      <c r="F1243">
        <f>MIN(E1243*124300,10000)</f>
        <v/>
      </c>
      <c r="G1243">
        <f>MINIFS(CBIC_Late_Fee_Relief_Windows_3B!$O$1243:$O$100,CBIC_Late_Fee_Relief_Windows_3B!$D$1243:$D$100,"&lt;="&amp;B1243,CBIC_Late_Fee_Relief_Windows_3B!$E$1243:$E$100,"&gt;="&amp;B1243,CBIC_Late_Fee_Relief_Windows_3B!$F$1243:$F$100,"&lt;="&amp;C1243,CBIC_Late_Fee_Relief_Windows_3B!$G$1243:$G$100,"&gt;="&amp;C1243)</f>
        <v/>
      </c>
      <c r="H1243">
        <f>INDEX(CBIC_Late_Fee_Relief_Windows_3B!$I$1243:$I$100,MATCH(G1243,CBIC_Late_Fee_Relief_Windows_3B!$O$1243:$O$100,0))</f>
        <v/>
      </c>
      <c r="I1243">
        <f>MIN(F1243,H1243)</f>
        <v/>
      </c>
    </row>
    <row r="1244">
      <c r="A1244">
        <f>TEST_DATA!A1244</f>
        <v/>
      </c>
      <c r="B1244">
        <f>TEST_DATA!B1244</f>
        <v/>
      </c>
      <c r="C1244">
        <f>TEST_DATA!C1244</f>
        <v/>
      </c>
      <c r="D1244">
        <f>TEST_DATA!D1244</f>
        <v/>
      </c>
      <c r="E1244">
        <f>TEST_DATA!E1244</f>
        <v/>
      </c>
      <c r="F1244">
        <f>MIN(E1244*124400,10000)</f>
        <v/>
      </c>
      <c r="G1244">
        <f>MINIFS(CBIC_Late_Fee_Relief_Windows_3B!$O$1244:$O$100,CBIC_Late_Fee_Relief_Windows_3B!$D$1244:$D$100,"&lt;="&amp;B1244,CBIC_Late_Fee_Relief_Windows_3B!$E$1244:$E$100,"&gt;="&amp;B1244,CBIC_Late_Fee_Relief_Windows_3B!$F$1244:$F$100,"&lt;="&amp;C1244,CBIC_Late_Fee_Relief_Windows_3B!$G$1244:$G$100,"&gt;="&amp;C1244)</f>
        <v/>
      </c>
      <c r="H1244">
        <f>INDEX(CBIC_Late_Fee_Relief_Windows_3B!$I$1244:$I$100,MATCH(G1244,CBIC_Late_Fee_Relief_Windows_3B!$O$1244:$O$100,0))</f>
        <v/>
      </c>
      <c r="I1244">
        <f>MIN(F1244,H1244)</f>
        <v/>
      </c>
    </row>
    <row r="1245">
      <c r="A1245">
        <f>TEST_DATA!A1245</f>
        <v/>
      </c>
      <c r="B1245">
        <f>TEST_DATA!B1245</f>
        <v/>
      </c>
      <c r="C1245">
        <f>TEST_DATA!C1245</f>
        <v/>
      </c>
      <c r="D1245">
        <f>TEST_DATA!D1245</f>
        <v/>
      </c>
      <c r="E1245">
        <f>TEST_DATA!E1245</f>
        <v/>
      </c>
      <c r="F1245">
        <f>MIN(E1245*124500,10000)</f>
        <v/>
      </c>
      <c r="G1245">
        <f>MINIFS(CBIC_Late_Fee_Relief_Windows_3B!$O$1245:$O$100,CBIC_Late_Fee_Relief_Windows_3B!$D$1245:$D$100,"&lt;="&amp;B1245,CBIC_Late_Fee_Relief_Windows_3B!$E$1245:$E$100,"&gt;="&amp;B1245,CBIC_Late_Fee_Relief_Windows_3B!$F$1245:$F$100,"&lt;="&amp;C1245,CBIC_Late_Fee_Relief_Windows_3B!$G$1245:$G$100,"&gt;="&amp;C1245)</f>
        <v/>
      </c>
      <c r="H1245">
        <f>INDEX(CBIC_Late_Fee_Relief_Windows_3B!$I$1245:$I$100,MATCH(G1245,CBIC_Late_Fee_Relief_Windows_3B!$O$1245:$O$100,0))</f>
        <v/>
      </c>
      <c r="I1245">
        <f>MIN(F1245,H1245)</f>
        <v/>
      </c>
    </row>
    <row r="1246">
      <c r="A1246">
        <f>TEST_DATA!A1246</f>
        <v/>
      </c>
      <c r="B1246">
        <f>TEST_DATA!B1246</f>
        <v/>
      </c>
      <c r="C1246">
        <f>TEST_DATA!C1246</f>
        <v/>
      </c>
      <c r="D1246">
        <f>TEST_DATA!D1246</f>
        <v/>
      </c>
      <c r="E1246">
        <f>TEST_DATA!E1246</f>
        <v/>
      </c>
      <c r="F1246">
        <f>MIN(E1246*124600,10000)</f>
        <v/>
      </c>
      <c r="G1246">
        <f>MINIFS(CBIC_Late_Fee_Relief_Windows_3B!$O$1246:$O$100,CBIC_Late_Fee_Relief_Windows_3B!$D$1246:$D$100,"&lt;="&amp;B1246,CBIC_Late_Fee_Relief_Windows_3B!$E$1246:$E$100,"&gt;="&amp;B1246,CBIC_Late_Fee_Relief_Windows_3B!$F$1246:$F$100,"&lt;="&amp;C1246,CBIC_Late_Fee_Relief_Windows_3B!$G$1246:$G$100,"&gt;="&amp;C1246)</f>
        <v/>
      </c>
      <c r="H1246">
        <f>INDEX(CBIC_Late_Fee_Relief_Windows_3B!$I$1246:$I$100,MATCH(G1246,CBIC_Late_Fee_Relief_Windows_3B!$O$1246:$O$100,0))</f>
        <v/>
      </c>
      <c r="I1246">
        <f>MIN(F1246,H1246)</f>
        <v/>
      </c>
    </row>
    <row r="1247">
      <c r="A1247">
        <f>TEST_DATA!A1247</f>
        <v/>
      </c>
      <c r="B1247">
        <f>TEST_DATA!B1247</f>
        <v/>
      </c>
      <c r="C1247">
        <f>TEST_DATA!C1247</f>
        <v/>
      </c>
      <c r="D1247">
        <f>TEST_DATA!D1247</f>
        <v/>
      </c>
      <c r="E1247">
        <f>TEST_DATA!E1247</f>
        <v/>
      </c>
      <c r="F1247">
        <f>MIN(E1247*124700,10000)</f>
        <v/>
      </c>
      <c r="G1247">
        <f>MINIFS(CBIC_Late_Fee_Relief_Windows_3B!$O$1247:$O$100,CBIC_Late_Fee_Relief_Windows_3B!$D$1247:$D$100,"&lt;="&amp;B1247,CBIC_Late_Fee_Relief_Windows_3B!$E$1247:$E$100,"&gt;="&amp;B1247,CBIC_Late_Fee_Relief_Windows_3B!$F$1247:$F$100,"&lt;="&amp;C1247,CBIC_Late_Fee_Relief_Windows_3B!$G$1247:$G$100,"&gt;="&amp;C1247)</f>
        <v/>
      </c>
      <c r="H1247">
        <f>INDEX(CBIC_Late_Fee_Relief_Windows_3B!$I$1247:$I$100,MATCH(G1247,CBIC_Late_Fee_Relief_Windows_3B!$O$1247:$O$100,0))</f>
        <v/>
      </c>
      <c r="I1247">
        <f>MIN(F1247,H1247)</f>
        <v/>
      </c>
    </row>
    <row r="1248">
      <c r="A1248">
        <f>TEST_DATA!A1248</f>
        <v/>
      </c>
      <c r="B1248">
        <f>TEST_DATA!B1248</f>
        <v/>
      </c>
      <c r="C1248">
        <f>TEST_DATA!C1248</f>
        <v/>
      </c>
      <c r="D1248">
        <f>TEST_DATA!D1248</f>
        <v/>
      </c>
      <c r="E1248">
        <f>TEST_DATA!E1248</f>
        <v/>
      </c>
      <c r="F1248">
        <f>MIN(E1248*124800,10000)</f>
        <v/>
      </c>
      <c r="G1248">
        <f>MINIFS(CBIC_Late_Fee_Relief_Windows_3B!$O$1248:$O$100,CBIC_Late_Fee_Relief_Windows_3B!$D$1248:$D$100,"&lt;="&amp;B1248,CBIC_Late_Fee_Relief_Windows_3B!$E$1248:$E$100,"&gt;="&amp;B1248,CBIC_Late_Fee_Relief_Windows_3B!$F$1248:$F$100,"&lt;="&amp;C1248,CBIC_Late_Fee_Relief_Windows_3B!$G$1248:$G$100,"&gt;="&amp;C1248)</f>
        <v/>
      </c>
      <c r="H1248">
        <f>INDEX(CBIC_Late_Fee_Relief_Windows_3B!$I$1248:$I$100,MATCH(G1248,CBIC_Late_Fee_Relief_Windows_3B!$O$1248:$O$100,0))</f>
        <v/>
      </c>
      <c r="I1248">
        <f>MIN(F1248,H1248)</f>
        <v/>
      </c>
    </row>
    <row r="1249">
      <c r="A1249">
        <f>TEST_DATA!A1249</f>
        <v/>
      </c>
      <c r="B1249">
        <f>TEST_DATA!B1249</f>
        <v/>
      </c>
      <c r="C1249">
        <f>TEST_DATA!C1249</f>
        <v/>
      </c>
      <c r="D1249">
        <f>TEST_DATA!D1249</f>
        <v/>
      </c>
      <c r="E1249">
        <f>TEST_DATA!E1249</f>
        <v/>
      </c>
      <c r="F1249">
        <f>MIN(E1249*124900,10000)</f>
        <v/>
      </c>
      <c r="G1249">
        <f>MINIFS(CBIC_Late_Fee_Relief_Windows_3B!$O$1249:$O$100,CBIC_Late_Fee_Relief_Windows_3B!$D$1249:$D$100,"&lt;="&amp;B1249,CBIC_Late_Fee_Relief_Windows_3B!$E$1249:$E$100,"&gt;="&amp;B1249,CBIC_Late_Fee_Relief_Windows_3B!$F$1249:$F$100,"&lt;="&amp;C1249,CBIC_Late_Fee_Relief_Windows_3B!$G$1249:$G$100,"&gt;="&amp;C1249)</f>
        <v/>
      </c>
      <c r="H1249">
        <f>INDEX(CBIC_Late_Fee_Relief_Windows_3B!$I$1249:$I$100,MATCH(G1249,CBIC_Late_Fee_Relief_Windows_3B!$O$1249:$O$100,0))</f>
        <v/>
      </c>
      <c r="I1249">
        <f>MIN(F1249,H1249)</f>
        <v/>
      </c>
    </row>
    <row r="1250">
      <c r="A1250">
        <f>TEST_DATA!A1250</f>
        <v/>
      </c>
      <c r="B1250">
        <f>TEST_DATA!B1250</f>
        <v/>
      </c>
      <c r="C1250">
        <f>TEST_DATA!C1250</f>
        <v/>
      </c>
      <c r="D1250">
        <f>TEST_DATA!D1250</f>
        <v/>
      </c>
      <c r="E1250">
        <f>TEST_DATA!E1250</f>
        <v/>
      </c>
      <c r="F1250">
        <f>MIN(E1250*125000,10000)</f>
        <v/>
      </c>
      <c r="G1250">
        <f>MINIFS(CBIC_Late_Fee_Relief_Windows_3B!$O$1250:$O$100,CBIC_Late_Fee_Relief_Windows_3B!$D$1250:$D$100,"&lt;="&amp;B1250,CBIC_Late_Fee_Relief_Windows_3B!$E$1250:$E$100,"&gt;="&amp;B1250,CBIC_Late_Fee_Relief_Windows_3B!$F$1250:$F$100,"&lt;="&amp;C1250,CBIC_Late_Fee_Relief_Windows_3B!$G$1250:$G$100,"&gt;="&amp;C1250)</f>
        <v/>
      </c>
      <c r="H1250">
        <f>INDEX(CBIC_Late_Fee_Relief_Windows_3B!$I$1250:$I$100,MATCH(G1250,CBIC_Late_Fee_Relief_Windows_3B!$O$1250:$O$100,0))</f>
        <v/>
      </c>
      <c r="I1250">
        <f>MIN(F1250,H1250)</f>
        <v/>
      </c>
    </row>
    <row r="1251">
      <c r="A1251">
        <f>TEST_DATA!A1251</f>
        <v/>
      </c>
      <c r="B1251">
        <f>TEST_DATA!B1251</f>
        <v/>
      </c>
      <c r="C1251">
        <f>TEST_DATA!C1251</f>
        <v/>
      </c>
      <c r="D1251">
        <f>TEST_DATA!D1251</f>
        <v/>
      </c>
      <c r="E1251">
        <f>TEST_DATA!E1251</f>
        <v/>
      </c>
      <c r="F1251">
        <f>MIN(E1251*125100,10000)</f>
        <v/>
      </c>
      <c r="G1251">
        <f>MINIFS(CBIC_Late_Fee_Relief_Windows_3B!$O$1251:$O$100,CBIC_Late_Fee_Relief_Windows_3B!$D$1251:$D$100,"&lt;="&amp;B1251,CBIC_Late_Fee_Relief_Windows_3B!$E$1251:$E$100,"&gt;="&amp;B1251,CBIC_Late_Fee_Relief_Windows_3B!$F$1251:$F$100,"&lt;="&amp;C1251,CBIC_Late_Fee_Relief_Windows_3B!$G$1251:$G$100,"&gt;="&amp;C1251)</f>
        <v/>
      </c>
      <c r="H1251">
        <f>INDEX(CBIC_Late_Fee_Relief_Windows_3B!$I$1251:$I$100,MATCH(G1251,CBIC_Late_Fee_Relief_Windows_3B!$O$1251:$O$100,0))</f>
        <v/>
      </c>
      <c r="I1251">
        <f>MIN(F1251,H1251)</f>
        <v/>
      </c>
    </row>
    <row r="1252">
      <c r="A1252">
        <f>TEST_DATA!A1252</f>
        <v/>
      </c>
      <c r="B1252">
        <f>TEST_DATA!B1252</f>
        <v/>
      </c>
      <c r="C1252">
        <f>TEST_DATA!C1252</f>
        <v/>
      </c>
      <c r="D1252">
        <f>TEST_DATA!D1252</f>
        <v/>
      </c>
      <c r="E1252">
        <f>TEST_DATA!E1252</f>
        <v/>
      </c>
      <c r="F1252">
        <f>MIN(E1252*125200,10000)</f>
        <v/>
      </c>
      <c r="G1252">
        <f>MINIFS(CBIC_Late_Fee_Relief_Windows_3B!$O$1252:$O$100,CBIC_Late_Fee_Relief_Windows_3B!$D$1252:$D$100,"&lt;="&amp;B1252,CBIC_Late_Fee_Relief_Windows_3B!$E$1252:$E$100,"&gt;="&amp;B1252,CBIC_Late_Fee_Relief_Windows_3B!$F$1252:$F$100,"&lt;="&amp;C1252,CBIC_Late_Fee_Relief_Windows_3B!$G$1252:$G$100,"&gt;="&amp;C1252)</f>
        <v/>
      </c>
      <c r="H1252">
        <f>INDEX(CBIC_Late_Fee_Relief_Windows_3B!$I$1252:$I$100,MATCH(G1252,CBIC_Late_Fee_Relief_Windows_3B!$O$1252:$O$100,0))</f>
        <v/>
      </c>
      <c r="I1252">
        <f>MIN(F1252,H1252)</f>
        <v/>
      </c>
    </row>
    <row r="1253">
      <c r="A1253">
        <f>TEST_DATA!A1253</f>
        <v/>
      </c>
      <c r="B1253">
        <f>TEST_DATA!B1253</f>
        <v/>
      </c>
      <c r="C1253">
        <f>TEST_DATA!C1253</f>
        <v/>
      </c>
      <c r="D1253">
        <f>TEST_DATA!D1253</f>
        <v/>
      </c>
      <c r="E1253">
        <f>TEST_DATA!E1253</f>
        <v/>
      </c>
      <c r="F1253">
        <f>MIN(E1253*125300,10000)</f>
        <v/>
      </c>
      <c r="G1253">
        <f>MINIFS(CBIC_Late_Fee_Relief_Windows_3B!$O$1253:$O$100,CBIC_Late_Fee_Relief_Windows_3B!$D$1253:$D$100,"&lt;="&amp;B1253,CBIC_Late_Fee_Relief_Windows_3B!$E$1253:$E$100,"&gt;="&amp;B1253,CBIC_Late_Fee_Relief_Windows_3B!$F$1253:$F$100,"&lt;="&amp;C1253,CBIC_Late_Fee_Relief_Windows_3B!$G$1253:$G$100,"&gt;="&amp;C1253)</f>
        <v/>
      </c>
      <c r="H1253">
        <f>INDEX(CBIC_Late_Fee_Relief_Windows_3B!$I$1253:$I$100,MATCH(G1253,CBIC_Late_Fee_Relief_Windows_3B!$O$1253:$O$100,0))</f>
        <v/>
      </c>
      <c r="I1253">
        <f>MIN(F1253,H1253)</f>
        <v/>
      </c>
    </row>
    <row r="1254">
      <c r="A1254">
        <f>TEST_DATA!A1254</f>
        <v/>
      </c>
      <c r="B1254">
        <f>TEST_DATA!B1254</f>
        <v/>
      </c>
      <c r="C1254">
        <f>TEST_DATA!C1254</f>
        <v/>
      </c>
      <c r="D1254">
        <f>TEST_DATA!D1254</f>
        <v/>
      </c>
      <c r="E1254">
        <f>TEST_DATA!E1254</f>
        <v/>
      </c>
      <c r="F1254">
        <f>MIN(E1254*125400,10000)</f>
        <v/>
      </c>
      <c r="G1254">
        <f>MINIFS(CBIC_Late_Fee_Relief_Windows_3B!$O$1254:$O$100,CBIC_Late_Fee_Relief_Windows_3B!$D$1254:$D$100,"&lt;="&amp;B1254,CBIC_Late_Fee_Relief_Windows_3B!$E$1254:$E$100,"&gt;="&amp;B1254,CBIC_Late_Fee_Relief_Windows_3B!$F$1254:$F$100,"&lt;="&amp;C1254,CBIC_Late_Fee_Relief_Windows_3B!$G$1254:$G$100,"&gt;="&amp;C1254)</f>
        <v/>
      </c>
      <c r="H1254">
        <f>INDEX(CBIC_Late_Fee_Relief_Windows_3B!$I$1254:$I$100,MATCH(G1254,CBIC_Late_Fee_Relief_Windows_3B!$O$1254:$O$100,0))</f>
        <v/>
      </c>
      <c r="I1254">
        <f>MIN(F1254,H1254)</f>
        <v/>
      </c>
    </row>
    <row r="1255">
      <c r="A1255">
        <f>TEST_DATA!A1255</f>
        <v/>
      </c>
      <c r="B1255">
        <f>TEST_DATA!B1255</f>
        <v/>
      </c>
      <c r="C1255">
        <f>TEST_DATA!C1255</f>
        <v/>
      </c>
      <c r="D1255">
        <f>TEST_DATA!D1255</f>
        <v/>
      </c>
      <c r="E1255">
        <f>TEST_DATA!E1255</f>
        <v/>
      </c>
      <c r="F1255">
        <f>MIN(E1255*125500,10000)</f>
        <v/>
      </c>
      <c r="G1255">
        <f>MINIFS(CBIC_Late_Fee_Relief_Windows_3B!$O$1255:$O$100,CBIC_Late_Fee_Relief_Windows_3B!$D$1255:$D$100,"&lt;="&amp;B1255,CBIC_Late_Fee_Relief_Windows_3B!$E$1255:$E$100,"&gt;="&amp;B1255,CBIC_Late_Fee_Relief_Windows_3B!$F$1255:$F$100,"&lt;="&amp;C1255,CBIC_Late_Fee_Relief_Windows_3B!$G$1255:$G$100,"&gt;="&amp;C1255)</f>
        <v/>
      </c>
      <c r="H1255">
        <f>INDEX(CBIC_Late_Fee_Relief_Windows_3B!$I$1255:$I$100,MATCH(G1255,CBIC_Late_Fee_Relief_Windows_3B!$O$1255:$O$100,0))</f>
        <v/>
      </c>
      <c r="I1255">
        <f>MIN(F1255,H1255)</f>
        <v/>
      </c>
    </row>
    <row r="1256">
      <c r="A1256">
        <f>TEST_DATA!A1256</f>
        <v/>
      </c>
      <c r="B1256">
        <f>TEST_DATA!B1256</f>
        <v/>
      </c>
      <c r="C1256">
        <f>TEST_DATA!C1256</f>
        <v/>
      </c>
      <c r="D1256">
        <f>TEST_DATA!D1256</f>
        <v/>
      </c>
      <c r="E1256">
        <f>TEST_DATA!E1256</f>
        <v/>
      </c>
      <c r="F1256">
        <f>MIN(E1256*125600,10000)</f>
        <v/>
      </c>
      <c r="G1256">
        <f>MINIFS(CBIC_Late_Fee_Relief_Windows_3B!$O$1256:$O$100,CBIC_Late_Fee_Relief_Windows_3B!$D$1256:$D$100,"&lt;="&amp;B1256,CBIC_Late_Fee_Relief_Windows_3B!$E$1256:$E$100,"&gt;="&amp;B1256,CBIC_Late_Fee_Relief_Windows_3B!$F$1256:$F$100,"&lt;="&amp;C1256,CBIC_Late_Fee_Relief_Windows_3B!$G$1256:$G$100,"&gt;="&amp;C1256)</f>
        <v/>
      </c>
      <c r="H1256">
        <f>INDEX(CBIC_Late_Fee_Relief_Windows_3B!$I$1256:$I$100,MATCH(G1256,CBIC_Late_Fee_Relief_Windows_3B!$O$1256:$O$100,0))</f>
        <v/>
      </c>
      <c r="I1256">
        <f>MIN(F1256,H1256)</f>
        <v/>
      </c>
    </row>
    <row r="1257">
      <c r="A1257">
        <f>TEST_DATA!A1257</f>
        <v/>
      </c>
      <c r="B1257">
        <f>TEST_DATA!B1257</f>
        <v/>
      </c>
      <c r="C1257">
        <f>TEST_DATA!C1257</f>
        <v/>
      </c>
      <c r="D1257">
        <f>TEST_DATA!D1257</f>
        <v/>
      </c>
      <c r="E1257">
        <f>TEST_DATA!E1257</f>
        <v/>
      </c>
      <c r="F1257">
        <f>MIN(E1257*125700,10000)</f>
        <v/>
      </c>
      <c r="G1257">
        <f>MINIFS(CBIC_Late_Fee_Relief_Windows_3B!$O$1257:$O$100,CBIC_Late_Fee_Relief_Windows_3B!$D$1257:$D$100,"&lt;="&amp;B1257,CBIC_Late_Fee_Relief_Windows_3B!$E$1257:$E$100,"&gt;="&amp;B1257,CBIC_Late_Fee_Relief_Windows_3B!$F$1257:$F$100,"&lt;="&amp;C1257,CBIC_Late_Fee_Relief_Windows_3B!$G$1257:$G$100,"&gt;="&amp;C1257)</f>
        <v/>
      </c>
      <c r="H1257">
        <f>INDEX(CBIC_Late_Fee_Relief_Windows_3B!$I$1257:$I$100,MATCH(G1257,CBIC_Late_Fee_Relief_Windows_3B!$O$1257:$O$100,0))</f>
        <v/>
      </c>
      <c r="I1257">
        <f>MIN(F1257,H1257)</f>
        <v/>
      </c>
    </row>
    <row r="1258">
      <c r="A1258">
        <f>TEST_DATA!A1258</f>
        <v/>
      </c>
      <c r="B1258">
        <f>TEST_DATA!B1258</f>
        <v/>
      </c>
      <c r="C1258">
        <f>TEST_DATA!C1258</f>
        <v/>
      </c>
      <c r="D1258">
        <f>TEST_DATA!D1258</f>
        <v/>
      </c>
      <c r="E1258">
        <f>TEST_DATA!E1258</f>
        <v/>
      </c>
      <c r="F1258">
        <f>MIN(E1258*125800,10000)</f>
        <v/>
      </c>
      <c r="G1258">
        <f>MINIFS(CBIC_Late_Fee_Relief_Windows_3B!$O$1258:$O$100,CBIC_Late_Fee_Relief_Windows_3B!$D$1258:$D$100,"&lt;="&amp;B1258,CBIC_Late_Fee_Relief_Windows_3B!$E$1258:$E$100,"&gt;="&amp;B1258,CBIC_Late_Fee_Relief_Windows_3B!$F$1258:$F$100,"&lt;="&amp;C1258,CBIC_Late_Fee_Relief_Windows_3B!$G$1258:$G$100,"&gt;="&amp;C1258)</f>
        <v/>
      </c>
      <c r="H1258">
        <f>INDEX(CBIC_Late_Fee_Relief_Windows_3B!$I$1258:$I$100,MATCH(G1258,CBIC_Late_Fee_Relief_Windows_3B!$O$1258:$O$100,0))</f>
        <v/>
      </c>
      <c r="I1258">
        <f>MIN(F1258,H1258)</f>
        <v/>
      </c>
    </row>
    <row r="1259">
      <c r="A1259">
        <f>TEST_DATA!A1259</f>
        <v/>
      </c>
      <c r="B1259">
        <f>TEST_DATA!B1259</f>
        <v/>
      </c>
      <c r="C1259">
        <f>TEST_DATA!C1259</f>
        <v/>
      </c>
      <c r="D1259">
        <f>TEST_DATA!D1259</f>
        <v/>
      </c>
      <c r="E1259">
        <f>TEST_DATA!E1259</f>
        <v/>
      </c>
      <c r="F1259">
        <f>MIN(E1259*125900,10000)</f>
        <v/>
      </c>
      <c r="G1259">
        <f>MINIFS(CBIC_Late_Fee_Relief_Windows_3B!$O$1259:$O$100,CBIC_Late_Fee_Relief_Windows_3B!$D$1259:$D$100,"&lt;="&amp;B1259,CBIC_Late_Fee_Relief_Windows_3B!$E$1259:$E$100,"&gt;="&amp;B1259,CBIC_Late_Fee_Relief_Windows_3B!$F$1259:$F$100,"&lt;="&amp;C1259,CBIC_Late_Fee_Relief_Windows_3B!$G$1259:$G$100,"&gt;="&amp;C1259)</f>
        <v/>
      </c>
      <c r="H1259">
        <f>INDEX(CBIC_Late_Fee_Relief_Windows_3B!$I$1259:$I$100,MATCH(G1259,CBIC_Late_Fee_Relief_Windows_3B!$O$1259:$O$100,0))</f>
        <v/>
      </c>
      <c r="I1259">
        <f>MIN(F1259,H1259)</f>
        <v/>
      </c>
    </row>
    <row r="1260">
      <c r="A1260">
        <f>TEST_DATA!A1260</f>
        <v/>
      </c>
      <c r="B1260">
        <f>TEST_DATA!B1260</f>
        <v/>
      </c>
      <c r="C1260">
        <f>TEST_DATA!C1260</f>
        <v/>
      </c>
      <c r="D1260">
        <f>TEST_DATA!D1260</f>
        <v/>
      </c>
      <c r="E1260">
        <f>TEST_DATA!E1260</f>
        <v/>
      </c>
      <c r="F1260">
        <f>MIN(E1260*126000,10000)</f>
        <v/>
      </c>
      <c r="G1260">
        <f>MINIFS(CBIC_Late_Fee_Relief_Windows_3B!$O$1260:$O$100,CBIC_Late_Fee_Relief_Windows_3B!$D$1260:$D$100,"&lt;="&amp;B1260,CBIC_Late_Fee_Relief_Windows_3B!$E$1260:$E$100,"&gt;="&amp;B1260,CBIC_Late_Fee_Relief_Windows_3B!$F$1260:$F$100,"&lt;="&amp;C1260,CBIC_Late_Fee_Relief_Windows_3B!$G$1260:$G$100,"&gt;="&amp;C1260)</f>
        <v/>
      </c>
      <c r="H1260">
        <f>INDEX(CBIC_Late_Fee_Relief_Windows_3B!$I$1260:$I$100,MATCH(G1260,CBIC_Late_Fee_Relief_Windows_3B!$O$1260:$O$100,0))</f>
        <v/>
      </c>
      <c r="I1260">
        <f>MIN(F1260,H1260)</f>
        <v/>
      </c>
    </row>
    <row r="1261">
      <c r="A1261">
        <f>TEST_DATA!A1261</f>
        <v/>
      </c>
      <c r="B1261">
        <f>TEST_DATA!B1261</f>
        <v/>
      </c>
      <c r="C1261">
        <f>TEST_DATA!C1261</f>
        <v/>
      </c>
      <c r="D1261">
        <f>TEST_DATA!D1261</f>
        <v/>
      </c>
      <c r="E1261">
        <f>TEST_DATA!E1261</f>
        <v/>
      </c>
      <c r="F1261">
        <f>MIN(E1261*126100,10000)</f>
        <v/>
      </c>
      <c r="G1261">
        <f>MINIFS(CBIC_Late_Fee_Relief_Windows_3B!$O$1261:$O$100,CBIC_Late_Fee_Relief_Windows_3B!$D$1261:$D$100,"&lt;="&amp;B1261,CBIC_Late_Fee_Relief_Windows_3B!$E$1261:$E$100,"&gt;="&amp;B1261,CBIC_Late_Fee_Relief_Windows_3B!$F$1261:$F$100,"&lt;="&amp;C1261,CBIC_Late_Fee_Relief_Windows_3B!$G$1261:$G$100,"&gt;="&amp;C1261)</f>
        <v/>
      </c>
      <c r="H1261">
        <f>INDEX(CBIC_Late_Fee_Relief_Windows_3B!$I$1261:$I$100,MATCH(G1261,CBIC_Late_Fee_Relief_Windows_3B!$O$1261:$O$100,0))</f>
        <v/>
      </c>
      <c r="I1261">
        <f>MIN(F1261,H1261)</f>
        <v/>
      </c>
    </row>
    <row r="1262">
      <c r="A1262">
        <f>TEST_DATA!A1262</f>
        <v/>
      </c>
      <c r="B1262">
        <f>TEST_DATA!B1262</f>
        <v/>
      </c>
      <c r="C1262">
        <f>TEST_DATA!C1262</f>
        <v/>
      </c>
      <c r="D1262">
        <f>TEST_DATA!D1262</f>
        <v/>
      </c>
      <c r="E1262">
        <f>TEST_DATA!E1262</f>
        <v/>
      </c>
      <c r="F1262">
        <f>MIN(E1262*126200,10000)</f>
        <v/>
      </c>
      <c r="G1262">
        <f>MINIFS(CBIC_Late_Fee_Relief_Windows_3B!$O$1262:$O$100,CBIC_Late_Fee_Relief_Windows_3B!$D$1262:$D$100,"&lt;="&amp;B1262,CBIC_Late_Fee_Relief_Windows_3B!$E$1262:$E$100,"&gt;="&amp;B1262,CBIC_Late_Fee_Relief_Windows_3B!$F$1262:$F$100,"&lt;="&amp;C1262,CBIC_Late_Fee_Relief_Windows_3B!$G$1262:$G$100,"&gt;="&amp;C1262)</f>
        <v/>
      </c>
      <c r="H1262">
        <f>INDEX(CBIC_Late_Fee_Relief_Windows_3B!$I$1262:$I$100,MATCH(G1262,CBIC_Late_Fee_Relief_Windows_3B!$O$1262:$O$100,0))</f>
        <v/>
      </c>
      <c r="I1262">
        <f>MIN(F1262,H1262)</f>
        <v/>
      </c>
    </row>
    <row r="1263">
      <c r="A1263">
        <f>TEST_DATA!A1263</f>
        <v/>
      </c>
      <c r="B1263">
        <f>TEST_DATA!B1263</f>
        <v/>
      </c>
      <c r="C1263">
        <f>TEST_DATA!C1263</f>
        <v/>
      </c>
      <c r="D1263">
        <f>TEST_DATA!D1263</f>
        <v/>
      </c>
      <c r="E1263">
        <f>TEST_DATA!E1263</f>
        <v/>
      </c>
      <c r="F1263">
        <f>MIN(E1263*126300,10000)</f>
        <v/>
      </c>
      <c r="G1263">
        <f>MINIFS(CBIC_Late_Fee_Relief_Windows_3B!$O$1263:$O$100,CBIC_Late_Fee_Relief_Windows_3B!$D$1263:$D$100,"&lt;="&amp;B1263,CBIC_Late_Fee_Relief_Windows_3B!$E$1263:$E$100,"&gt;="&amp;B1263,CBIC_Late_Fee_Relief_Windows_3B!$F$1263:$F$100,"&lt;="&amp;C1263,CBIC_Late_Fee_Relief_Windows_3B!$G$1263:$G$100,"&gt;="&amp;C1263)</f>
        <v/>
      </c>
      <c r="H1263">
        <f>INDEX(CBIC_Late_Fee_Relief_Windows_3B!$I$1263:$I$100,MATCH(G1263,CBIC_Late_Fee_Relief_Windows_3B!$O$1263:$O$100,0))</f>
        <v/>
      </c>
      <c r="I1263">
        <f>MIN(F1263,H1263)</f>
        <v/>
      </c>
    </row>
    <row r="1264">
      <c r="A1264">
        <f>TEST_DATA!A1264</f>
        <v/>
      </c>
      <c r="B1264">
        <f>TEST_DATA!B1264</f>
        <v/>
      </c>
      <c r="C1264">
        <f>TEST_DATA!C1264</f>
        <v/>
      </c>
      <c r="D1264">
        <f>TEST_DATA!D1264</f>
        <v/>
      </c>
      <c r="E1264">
        <f>TEST_DATA!E1264</f>
        <v/>
      </c>
      <c r="F1264">
        <f>MIN(E1264*126400,10000)</f>
        <v/>
      </c>
      <c r="G1264">
        <f>MINIFS(CBIC_Late_Fee_Relief_Windows_3B!$O$1264:$O$100,CBIC_Late_Fee_Relief_Windows_3B!$D$1264:$D$100,"&lt;="&amp;B1264,CBIC_Late_Fee_Relief_Windows_3B!$E$1264:$E$100,"&gt;="&amp;B1264,CBIC_Late_Fee_Relief_Windows_3B!$F$1264:$F$100,"&lt;="&amp;C1264,CBIC_Late_Fee_Relief_Windows_3B!$G$1264:$G$100,"&gt;="&amp;C1264)</f>
        <v/>
      </c>
      <c r="H1264">
        <f>INDEX(CBIC_Late_Fee_Relief_Windows_3B!$I$1264:$I$100,MATCH(G1264,CBIC_Late_Fee_Relief_Windows_3B!$O$1264:$O$100,0))</f>
        <v/>
      </c>
      <c r="I1264">
        <f>MIN(F1264,H1264)</f>
        <v/>
      </c>
    </row>
    <row r="1265">
      <c r="A1265">
        <f>TEST_DATA!A1265</f>
        <v/>
      </c>
      <c r="B1265">
        <f>TEST_DATA!B1265</f>
        <v/>
      </c>
      <c r="C1265">
        <f>TEST_DATA!C1265</f>
        <v/>
      </c>
      <c r="D1265">
        <f>TEST_DATA!D1265</f>
        <v/>
      </c>
      <c r="E1265">
        <f>TEST_DATA!E1265</f>
        <v/>
      </c>
      <c r="F1265">
        <f>MIN(E1265*126500,10000)</f>
        <v/>
      </c>
      <c r="G1265">
        <f>MINIFS(CBIC_Late_Fee_Relief_Windows_3B!$O$1265:$O$100,CBIC_Late_Fee_Relief_Windows_3B!$D$1265:$D$100,"&lt;="&amp;B1265,CBIC_Late_Fee_Relief_Windows_3B!$E$1265:$E$100,"&gt;="&amp;B1265,CBIC_Late_Fee_Relief_Windows_3B!$F$1265:$F$100,"&lt;="&amp;C1265,CBIC_Late_Fee_Relief_Windows_3B!$G$1265:$G$100,"&gt;="&amp;C1265)</f>
        <v/>
      </c>
      <c r="H1265">
        <f>INDEX(CBIC_Late_Fee_Relief_Windows_3B!$I$1265:$I$100,MATCH(G1265,CBIC_Late_Fee_Relief_Windows_3B!$O$1265:$O$100,0))</f>
        <v/>
      </c>
      <c r="I1265">
        <f>MIN(F1265,H1265)</f>
        <v/>
      </c>
    </row>
    <row r="1266">
      <c r="A1266">
        <f>TEST_DATA!A1266</f>
        <v/>
      </c>
      <c r="B1266">
        <f>TEST_DATA!B1266</f>
        <v/>
      </c>
      <c r="C1266">
        <f>TEST_DATA!C1266</f>
        <v/>
      </c>
      <c r="D1266">
        <f>TEST_DATA!D1266</f>
        <v/>
      </c>
      <c r="E1266">
        <f>TEST_DATA!E1266</f>
        <v/>
      </c>
      <c r="F1266">
        <f>MIN(E1266*126600,10000)</f>
        <v/>
      </c>
      <c r="G1266">
        <f>MINIFS(CBIC_Late_Fee_Relief_Windows_3B!$O$1266:$O$100,CBIC_Late_Fee_Relief_Windows_3B!$D$1266:$D$100,"&lt;="&amp;B1266,CBIC_Late_Fee_Relief_Windows_3B!$E$1266:$E$100,"&gt;="&amp;B1266,CBIC_Late_Fee_Relief_Windows_3B!$F$1266:$F$100,"&lt;="&amp;C1266,CBIC_Late_Fee_Relief_Windows_3B!$G$1266:$G$100,"&gt;="&amp;C1266)</f>
        <v/>
      </c>
      <c r="H1266">
        <f>INDEX(CBIC_Late_Fee_Relief_Windows_3B!$I$1266:$I$100,MATCH(G1266,CBIC_Late_Fee_Relief_Windows_3B!$O$1266:$O$100,0))</f>
        <v/>
      </c>
      <c r="I1266">
        <f>MIN(F1266,H1266)</f>
        <v/>
      </c>
    </row>
    <row r="1267">
      <c r="A1267">
        <f>TEST_DATA!A1267</f>
        <v/>
      </c>
      <c r="B1267">
        <f>TEST_DATA!B1267</f>
        <v/>
      </c>
      <c r="C1267">
        <f>TEST_DATA!C1267</f>
        <v/>
      </c>
      <c r="D1267">
        <f>TEST_DATA!D1267</f>
        <v/>
      </c>
      <c r="E1267">
        <f>TEST_DATA!E1267</f>
        <v/>
      </c>
      <c r="F1267">
        <f>MIN(E1267*126700,10000)</f>
        <v/>
      </c>
      <c r="G1267">
        <f>MINIFS(CBIC_Late_Fee_Relief_Windows_3B!$O$1267:$O$100,CBIC_Late_Fee_Relief_Windows_3B!$D$1267:$D$100,"&lt;="&amp;B1267,CBIC_Late_Fee_Relief_Windows_3B!$E$1267:$E$100,"&gt;="&amp;B1267,CBIC_Late_Fee_Relief_Windows_3B!$F$1267:$F$100,"&lt;="&amp;C1267,CBIC_Late_Fee_Relief_Windows_3B!$G$1267:$G$100,"&gt;="&amp;C1267)</f>
        <v/>
      </c>
      <c r="H1267">
        <f>INDEX(CBIC_Late_Fee_Relief_Windows_3B!$I$1267:$I$100,MATCH(G1267,CBIC_Late_Fee_Relief_Windows_3B!$O$1267:$O$100,0))</f>
        <v/>
      </c>
      <c r="I1267">
        <f>MIN(F1267,H1267)</f>
        <v/>
      </c>
    </row>
    <row r="1268">
      <c r="A1268">
        <f>TEST_DATA!A1268</f>
        <v/>
      </c>
      <c r="B1268">
        <f>TEST_DATA!B1268</f>
        <v/>
      </c>
      <c r="C1268">
        <f>TEST_DATA!C1268</f>
        <v/>
      </c>
      <c r="D1268">
        <f>TEST_DATA!D1268</f>
        <v/>
      </c>
      <c r="E1268">
        <f>TEST_DATA!E1268</f>
        <v/>
      </c>
      <c r="F1268">
        <f>MIN(E1268*126800,10000)</f>
        <v/>
      </c>
      <c r="G1268">
        <f>MINIFS(CBIC_Late_Fee_Relief_Windows_3B!$O$1268:$O$100,CBIC_Late_Fee_Relief_Windows_3B!$D$1268:$D$100,"&lt;="&amp;B1268,CBIC_Late_Fee_Relief_Windows_3B!$E$1268:$E$100,"&gt;="&amp;B1268,CBIC_Late_Fee_Relief_Windows_3B!$F$1268:$F$100,"&lt;="&amp;C1268,CBIC_Late_Fee_Relief_Windows_3B!$G$1268:$G$100,"&gt;="&amp;C1268)</f>
        <v/>
      </c>
      <c r="H1268">
        <f>INDEX(CBIC_Late_Fee_Relief_Windows_3B!$I$1268:$I$100,MATCH(G1268,CBIC_Late_Fee_Relief_Windows_3B!$O$1268:$O$100,0))</f>
        <v/>
      </c>
      <c r="I1268">
        <f>MIN(F1268,H1268)</f>
        <v/>
      </c>
    </row>
    <row r="1269">
      <c r="A1269">
        <f>TEST_DATA!A1269</f>
        <v/>
      </c>
      <c r="B1269">
        <f>TEST_DATA!B1269</f>
        <v/>
      </c>
      <c r="C1269">
        <f>TEST_DATA!C1269</f>
        <v/>
      </c>
      <c r="D1269">
        <f>TEST_DATA!D1269</f>
        <v/>
      </c>
      <c r="E1269">
        <f>TEST_DATA!E1269</f>
        <v/>
      </c>
      <c r="F1269">
        <f>MIN(E1269*126900,10000)</f>
        <v/>
      </c>
      <c r="G1269">
        <f>MINIFS(CBIC_Late_Fee_Relief_Windows_3B!$O$1269:$O$100,CBIC_Late_Fee_Relief_Windows_3B!$D$1269:$D$100,"&lt;="&amp;B1269,CBIC_Late_Fee_Relief_Windows_3B!$E$1269:$E$100,"&gt;="&amp;B1269,CBIC_Late_Fee_Relief_Windows_3B!$F$1269:$F$100,"&lt;="&amp;C1269,CBIC_Late_Fee_Relief_Windows_3B!$G$1269:$G$100,"&gt;="&amp;C1269)</f>
        <v/>
      </c>
      <c r="H1269">
        <f>INDEX(CBIC_Late_Fee_Relief_Windows_3B!$I$1269:$I$100,MATCH(G1269,CBIC_Late_Fee_Relief_Windows_3B!$O$1269:$O$100,0))</f>
        <v/>
      </c>
      <c r="I1269">
        <f>MIN(F1269,H1269)</f>
        <v/>
      </c>
    </row>
    <row r="1270">
      <c r="A1270">
        <f>TEST_DATA!A1270</f>
        <v/>
      </c>
      <c r="B1270">
        <f>TEST_DATA!B1270</f>
        <v/>
      </c>
      <c r="C1270">
        <f>TEST_DATA!C1270</f>
        <v/>
      </c>
      <c r="D1270">
        <f>TEST_DATA!D1270</f>
        <v/>
      </c>
      <c r="E1270">
        <f>TEST_DATA!E1270</f>
        <v/>
      </c>
      <c r="F1270">
        <f>MIN(E1270*127000,10000)</f>
        <v/>
      </c>
      <c r="G1270">
        <f>MINIFS(CBIC_Late_Fee_Relief_Windows_3B!$O$1270:$O$100,CBIC_Late_Fee_Relief_Windows_3B!$D$1270:$D$100,"&lt;="&amp;B1270,CBIC_Late_Fee_Relief_Windows_3B!$E$1270:$E$100,"&gt;="&amp;B1270,CBIC_Late_Fee_Relief_Windows_3B!$F$1270:$F$100,"&lt;="&amp;C1270,CBIC_Late_Fee_Relief_Windows_3B!$G$1270:$G$100,"&gt;="&amp;C1270)</f>
        <v/>
      </c>
      <c r="H1270">
        <f>INDEX(CBIC_Late_Fee_Relief_Windows_3B!$I$1270:$I$100,MATCH(G1270,CBIC_Late_Fee_Relief_Windows_3B!$O$1270:$O$100,0))</f>
        <v/>
      </c>
      <c r="I1270">
        <f>MIN(F1270,H1270)</f>
        <v/>
      </c>
    </row>
    <row r="1271">
      <c r="A1271">
        <f>TEST_DATA!A1271</f>
        <v/>
      </c>
      <c r="B1271">
        <f>TEST_DATA!B1271</f>
        <v/>
      </c>
      <c r="C1271">
        <f>TEST_DATA!C1271</f>
        <v/>
      </c>
      <c r="D1271">
        <f>TEST_DATA!D1271</f>
        <v/>
      </c>
      <c r="E1271">
        <f>TEST_DATA!E1271</f>
        <v/>
      </c>
      <c r="F1271">
        <f>MIN(E1271*127100,10000)</f>
        <v/>
      </c>
      <c r="G1271">
        <f>MINIFS(CBIC_Late_Fee_Relief_Windows_3B!$O$1271:$O$100,CBIC_Late_Fee_Relief_Windows_3B!$D$1271:$D$100,"&lt;="&amp;B1271,CBIC_Late_Fee_Relief_Windows_3B!$E$1271:$E$100,"&gt;="&amp;B1271,CBIC_Late_Fee_Relief_Windows_3B!$F$1271:$F$100,"&lt;="&amp;C1271,CBIC_Late_Fee_Relief_Windows_3B!$G$1271:$G$100,"&gt;="&amp;C1271)</f>
        <v/>
      </c>
      <c r="H1271">
        <f>INDEX(CBIC_Late_Fee_Relief_Windows_3B!$I$1271:$I$100,MATCH(G1271,CBIC_Late_Fee_Relief_Windows_3B!$O$1271:$O$100,0))</f>
        <v/>
      </c>
      <c r="I1271">
        <f>MIN(F1271,H1271)</f>
        <v/>
      </c>
    </row>
    <row r="1272">
      <c r="A1272">
        <f>TEST_DATA!A1272</f>
        <v/>
      </c>
      <c r="B1272">
        <f>TEST_DATA!B1272</f>
        <v/>
      </c>
      <c r="C1272">
        <f>TEST_DATA!C1272</f>
        <v/>
      </c>
      <c r="D1272">
        <f>TEST_DATA!D1272</f>
        <v/>
      </c>
      <c r="E1272">
        <f>TEST_DATA!E1272</f>
        <v/>
      </c>
      <c r="F1272">
        <f>MIN(E1272*127200,10000)</f>
        <v/>
      </c>
      <c r="G1272">
        <f>MINIFS(CBIC_Late_Fee_Relief_Windows_3B!$O$1272:$O$100,CBIC_Late_Fee_Relief_Windows_3B!$D$1272:$D$100,"&lt;="&amp;B1272,CBIC_Late_Fee_Relief_Windows_3B!$E$1272:$E$100,"&gt;="&amp;B1272,CBIC_Late_Fee_Relief_Windows_3B!$F$1272:$F$100,"&lt;="&amp;C1272,CBIC_Late_Fee_Relief_Windows_3B!$G$1272:$G$100,"&gt;="&amp;C1272)</f>
        <v/>
      </c>
      <c r="H1272">
        <f>INDEX(CBIC_Late_Fee_Relief_Windows_3B!$I$1272:$I$100,MATCH(G1272,CBIC_Late_Fee_Relief_Windows_3B!$O$1272:$O$100,0))</f>
        <v/>
      </c>
      <c r="I1272">
        <f>MIN(F1272,H1272)</f>
        <v/>
      </c>
    </row>
    <row r="1273">
      <c r="A1273">
        <f>TEST_DATA!A1273</f>
        <v/>
      </c>
      <c r="B1273">
        <f>TEST_DATA!B1273</f>
        <v/>
      </c>
      <c r="C1273">
        <f>TEST_DATA!C1273</f>
        <v/>
      </c>
      <c r="D1273">
        <f>TEST_DATA!D1273</f>
        <v/>
      </c>
      <c r="E1273">
        <f>TEST_DATA!E1273</f>
        <v/>
      </c>
      <c r="F1273">
        <f>MIN(E1273*127300,10000)</f>
        <v/>
      </c>
      <c r="G1273">
        <f>MINIFS(CBIC_Late_Fee_Relief_Windows_3B!$O$1273:$O$100,CBIC_Late_Fee_Relief_Windows_3B!$D$1273:$D$100,"&lt;="&amp;B1273,CBIC_Late_Fee_Relief_Windows_3B!$E$1273:$E$100,"&gt;="&amp;B1273,CBIC_Late_Fee_Relief_Windows_3B!$F$1273:$F$100,"&lt;="&amp;C1273,CBIC_Late_Fee_Relief_Windows_3B!$G$1273:$G$100,"&gt;="&amp;C1273)</f>
        <v/>
      </c>
      <c r="H1273">
        <f>INDEX(CBIC_Late_Fee_Relief_Windows_3B!$I$1273:$I$100,MATCH(G1273,CBIC_Late_Fee_Relief_Windows_3B!$O$1273:$O$100,0))</f>
        <v/>
      </c>
      <c r="I1273">
        <f>MIN(F1273,H1273)</f>
        <v/>
      </c>
    </row>
    <row r="1274">
      <c r="A1274">
        <f>TEST_DATA!A1274</f>
        <v/>
      </c>
      <c r="B1274">
        <f>TEST_DATA!B1274</f>
        <v/>
      </c>
      <c r="C1274">
        <f>TEST_DATA!C1274</f>
        <v/>
      </c>
      <c r="D1274">
        <f>TEST_DATA!D1274</f>
        <v/>
      </c>
      <c r="E1274">
        <f>TEST_DATA!E1274</f>
        <v/>
      </c>
      <c r="F1274">
        <f>MIN(E1274*127400,10000)</f>
        <v/>
      </c>
      <c r="G1274">
        <f>MINIFS(CBIC_Late_Fee_Relief_Windows_3B!$O$1274:$O$100,CBIC_Late_Fee_Relief_Windows_3B!$D$1274:$D$100,"&lt;="&amp;B1274,CBIC_Late_Fee_Relief_Windows_3B!$E$1274:$E$100,"&gt;="&amp;B1274,CBIC_Late_Fee_Relief_Windows_3B!$F$1274:$F$100,"&lt;="&amp;C1274,CBIC_Late_Fee_Relief_Windows_3B!$G$1274:$G$100,"&gt;="&amp;C1274)</f>
        <v/>
      </c>
      <c r="H1274">
        <f>INDEX(CBIC_Late_Fee_Relief_Windows_3B!$I$1274:$I$100,MATCH(G1274,CBIC_Late_Fee_Relief_Windows_3B!$O$1274:$O$100,0))</f>
        <v/>
      </c>
      <c r="I1274">
        <f>MIN(F1274,H1274)</f>
        <v/>
      </c>
    </row>
    <row r="1275">
      <c r="A1275">
        <f>TEST_DATA!A1275</f>
        <v/>
      </c>
      <c r="B1275">
        <f>TEST_DATA!B1275</f>
        <v/>
      </c>
      <c r="C1275">
        <f>TEST_DATA!C1275</f>
        <v/>
      </c>
      <c r="D1275">
        <f>TEST_DATA!D1275</f>
        <v/>
      </c>
      <c r="E1275">
        <f>TEST_DATA!E1275</f>
        <v/>
      </c>
      <c r="F1275">
        <f>MIN(E1275*127500,10000)</f>
        <v/>
      </c>
      <c r="G1275">
        <f>MINIFS(CBIC_Late_Fee_Relief_Windows_3B!$O$1275:$O$100,CBIC_Late_Fee_Relief_Windows_3B!$D$1275:$D$100,"&lt;="&amp;B1275,CBIC_Late_Fee_Relief_Windows_3B!$E$1275:$E$100,"&gt;="&amp;B1275,CBIC_Late_Fee_Relief_Windows_3B!$F$1275:$F$100,"&lt;="&amp;C1275,CBIC_Late_Fee_Relief_Windows_3B!$G$1275:$G$100,"&gt;="&amp;C1275)</f>
        <v/>
      </c>
      <c r="H1275">
        <f>INDEX(CBIC_Late_Fee_Relief_Windows_3B!$I$1275:$I$100,MATCH(G1275,CBIC_Late_Fee_Relief_Windows_3B!$O$1275:$O$100,0))</f>
        <v/>
      </c>
      <c r="I1275">
        <f>MIN(F1275,H1275)</f>
        <v/>
      </c>
    </row>
    <row r="1276">
      <c r="A1276">
        <f>TEST_DATA!A1276</f>
        <v/>
      </c>
      <c r="B1276">
        <f>TEST_DATA!B1276</f>
        <v/>
      </c>
      <c r="C1276">
        <f>TEST_DATA!C1276</f>
        <v/>
      </c>
      <c r="D1276">
        <f>TEST_DATA!D1276</f>
        <v/>
      </c>
      <c r="E1276">
        <f>TEST_DATA!E1276</f>
        <v/>
      </c>
      <c r="F1276">
        <f>MIN(E1276*127600,10000)</f>
        <v/>
      </c>
      <c r="G1276">
        <f>MINIFS(CBIC_Late_Fee_Relief_Windows_3B!$O$1276:$O$100,CBIC_Late_Fee_Relief_Windows_3B!$D$1276:$D$100,"&lt;="&amp;B1276,CBIC_Late_Fee_Relief_Windows_3B!$E$1276:$E$100,"&gt;="&amp;B1276,CBIC_Late_Fee_Relief_Windows_3B!$F$1276:$F$100,"&lt;="&amp;C1276,CBIC_Late_Fee_Relief_Windows_3B!$G$1276:$G$100,"&gt;="&amp;C1276)</f>
        <v/>
      </c>
      <c r="H1276">
        <f>INDEX(CBIC_Late_Fee_Relief_Windows_3B!$I$1276:$I$100,MATCH(G1276,CBIC_Late_Fee_Relief_Windows_3B!$O$1276:$O$100,0))</f>
        <v/>
      </c>
      <c r="I1276">
        <f>MIN(F1276,H1276)</f>
        <v/>
      </c>
    </row>
    <row r="1277">
      <c r="A1277">
        <f>TEST_DATA!A1277</f>
        <v/>
      </c>
      <c r="B1277">
        <f>TEST_DATA!B1277</f>
        <v/>
      </c>
      <c r="C1277">
        <f>TEST_DATA!C1277</f>
        <v/>
      </c>
      <c r="D1277">
        <f>TEST_DATA!D1277</f>
        <v/>
      </c>
      <c r="E1277">
        <f>TEST_DATA!E1277</f>
        <v/>
      </c>
      <c r="F1277">
        <f>MIN(E1277*127700,10000)</f>
        <v/>
      </c>
      <c r="G1277">
        <f>MINIFS(CBIC_Late_Fee_Relief_Windows_3B!$O$1277:$O$100,CBIC_Late_Fee_Relief_Windows_3B!$D$1277:$D$100,"&lt;="&amp;B1277,CBIC_Late_Fee_Relief_Windows_3B!$E$1277:$E$100,"&gt;="&amp;B1277,CBIC_Late_Fee_Relief_Windows_3B!$F$1277:$F$100,"&lt;="&amp;C1277,CBIC_Late_Fee_Relief_Windows_3B!$G$1277:$G$100,"&gt;="&amp;C1277)</f>
        <v/>
      </c>
      <c r="H1277">
        <f>INDEX(CBIC_Late_Fee_Relief_Windows_3B!$I$1277:$I$100,MATCH(G1277,CBIC_Late_Fee_Relief_Windows_3B!$O$1277:$O$100,0))</f>
        <v/>
      </c>
      <c r="I1277">
        <f>MIN(F1277,H1277)</f>
        <v/>
      </c>
    </row>
    <row r="1278">
      <c r="A1278">
        <f>TEST_DATA!A1278</f>
        <v/>
      </c>
      <c r="B1278">
        <f>TEST_DATA!B1278</f>
        <v/>
      </c>
      <c r="C1278">
        <f>TEST_DATA!C1278</f>
        <v/>
      </c>
      <c r="D1278">
        <f>TEST_DATA!D1278</f>
        <v/>
      </c>
      <c r="E1278">
        <f>TEST_DATA!E1278</f>
        <v/>
      </c>
      <c r="F1278">
        <f>MIN(E1278*127800,10000)</f>
        <v/>
      </c>
      <c r="G1278">
        <f>MINIFS(CBIC_Late_Fee_Relief_Windows_3B!$O$1278:$O$100,CBIC_Late_Fee_Relief_Windows_3B!$D$1278:$D$100,"&lt;="&amp;B1278,CBIC_Late_Fee_Relief_Windows_3B!$E$1278:$E$100,"&gt;="&amp;B1278,CBIC_Late_Fee_Relief_Windows_3B!$F$1278:$F$100,"&lt;="&amp;C1278,CBIC_Late_Fee_Relief_Windows_3B!$G$1278:$G$100,"&gt;="&amp;C1278)</f>
        <v/>
      </c>
      <c r="H1278">
        <f>INDEX(CBIC_Late_Fee_Relief_Windows_3B!$I$1278:$I$100,MATCH(G1278,CBIC_Late_Fee_Relief_Windows_3B!$O$1278:$O$100,0))</f>
        <v/>
      </c>
      <c r="I1278">
        <f>MIN(F1278,H1278)</f>
        <v/>
      </c>
    </row>
    <row r="1279">
      <c r="A1279">
        <f>TEST_DATA!A1279</f>
        <v/>
      </c>
      <c r="B1279">
        <f>TEST_DATA!B1279</f>
        <v/>
      </c>
      <c r="C1279">
        <f>TEST_DATA!C1279</f>
        <v/>
      </c>
      <c r="D1279">
        <f>TEST_DATA!D1279</f>
        <v/>
      </c>
      <c r="E1279">
        <f>TEST_DATA!E1279</f>
        <v/>
      </c>
      <c r="F1279">
        <f>MIN(E1279*127900,10000)</f>
        <v/>
      </c>
      <c r="G1279">
        <f>MINIFS(CBIC_Late_Fee_Relief_Windows_3B!$O$1279:$O$100,CBIC_Late_Fee_Relief_Windows_3B!$D$1279:$D$100,"&lt;="&amp;B1279,CBIC_Late_Fee_Relief_Windows_3B!$E$1279:$E$100,"&gt;="&amp;B1279,CBIC_Late_Fee_Relief_Windows_3B!$F$1279:$F$100,"&lt;="&amp;C1279,CBIC_Late_Fee_Relief_Windows_3B!$G$1279:$G$100,"&gt;="&amp;C1279)</f>
        <v/>
      </c>
      <c r="H1279">
        <f>INDEX(CBIC_Late_Fee_Relief_Windows_3B!$I$1279:$I$100,MATCH(G1279,CBIC_Late_Fee_Relief_Windows_3B!$O$1279:$O$100,0))</f>
        <v/>
      </c>
      <c r="I1279">
        <f>MIN(F1279,H1279)</f>
        <v/>
      </c>
    </row>
    <row r="1280">
      <c r="A1280">
        <f>TEST_DATA!A1280</f>
        <v/>
      </c>
      <c r="B1280">
        <f>TEST_DATA!B1280</f>
        <v/>
      </c>
      <c r="C1280">
        <f>TEST_DATA!C1280</f>
        <v/>
      </c>
      <c r="D1280">
        <f>TEST_DATA!D1280</f>
        <v/>
      </c>
      <c r="E1280">
        <f>TEST_DATA!E1280</f>
        <v/>
      </c>
      <c r="F1280">
        <f>MIN(E1280*128000,10000)</f>
        <v/>
      </c>
      <c r="G1280">
        <f>MINIFS(CBIC_Late_Fee_Relief_Windows_3B!$O$1280:$O$100,CBIC_Late_Fee_Relief_Windows_3B!$D$1280:$D$100,"&lt;="&amp;B1280,CBIC_Late_Fee_Relief_Windows_3B!$E$1280:$E$100,"&gt;="&amp;B1280,CBIC_Late_Fee_Relief_Windows_3B!$F$1280:$F$100,"&lt;="&amp;C1280,CBIC_Late_Fee_Relief_Windows_3B!$G$1280:$G$100,"&gt;="&amp;C1280)</f>
        <v/>
      </c>
      <c r="H1280">
        <f>INDEX(CBIC_Late_Fee_Relief_Windows_3B!$I$1280:$I$100,MATCH(G1280,CBIC_Late_Fee_Relief_Windows_3B!$O$1280:$O$100,0))</f>
        <v/>
      </c>
      <c r="I1280">
        <f>MIN(F1280,H1280)</f>
        <v/>
      </c>
    </row>
    <row r="1281">
      <c r="A1281">
        <f>TEST_DATA!A1281</f>
        <v/>
      </c>
      <c r="B1281">
        <f>TEST_DATA!B1281</f>
        <v/>
      </c>
      <c r="C1281">
        <f>TEST_DATA!C1281</f>
        <v/>
      </c>
      <c r="D1281">
        <f>TEST_DATA!D1281</f>
        <v/>
      </c>
      <c r="E1281">
        <f>TEST_DATA!E1281</f>
        <v/>
      </c>
      <c r="F1281">
        <f>MIN(E1281*128100,10000)</f>
        <v/>
      </c>
      <c r="G1281">
        <f>MINIFS(CBIC_Late_Fee_Relief_Windows_3B!$O$1281:$O$100,CBIC_Late_Fee_Relief_Windows_3B!$D$1281:$D$100,"&lt;="&amp;B1281,CBIC_Late_Fee_Relief_Windows_3B!$E$1281:$E$100,"&gt;="&amp;B1281,CBIC_Late_Fee_Relief_Windows_3B!$F$1281:$F$100,"&lt;="&amp;C1281,CBIC_Late_Fee_Relief_Windows_3B!$G$1281:$G$100,"&gt;="&amp;C1281)</f>
        <v/>
      </c>
      <c r="H1281">
        <f>INDEX(CBIC_Late_Fee_Relief_Windows_3B!$I$1281:$I$100,MATCH(G1281,CBIC_Late_Fee_Relief_Windows_3B!$O$1281:$O$100,0))</f>
        <v/>
      </c>
      <c r="I1281">
        <f>MIN(F1281,H1281)</f>
        <v/>
      </c>
    </row>
    <row r="1282">
      <c r="A1282">
        <f>TEST_DATA!A1282</f>
        <v/>
      </c>
      <c r="B1282">
        <f>TEST_DATA!B1282</f>
        <v/>
      </c>
      <c r="C1282">
        <f>TEST_DATA!C1282</f>
        <v/>
      </c>
      <c r="D1282">
        <f>TEST_DATA!D1282</f>
        <v/>
      </c>
      <c r="E1282">
        <f>TEST_DATA!E1282</f>
        <v/>
      </c>
      <c r="F1282">
        <f>MIN(E1282*128200,10000)</f>
        <v/>
      </c>
      <c r="G1282">
        <f>MINIFS(CBIC_Late_Fee_Relief_Windows_3B!$O$1282:$O$100,CBIC_Late_Fee_Relief_Windows_3B!$D$1282:$D$100,"&lt;="&amp;B1282,CBIC_Late_Fee_Relief_Windows_3B!$E$1282:$E$100,"&gt;="&amp;B1282,CBIC_Late_Fee_Relief_Windows_3B!$F$1282:$F$100,"&lt;="&amp;C1282,CBIC_Late_Fee_Relief_Windows_3B!$G$1282:$G$100,"&gt;="&amp;C1282)</f>
        <v/>
      </c>
      <c r="H1282">
        <f>INDEX(CBIC_Late_Fee_Relief_Windows_3B!$I$1282:$I$100,MATCH(G1282,CBIC_Late_Fee_Relief_Windows_3B!$O$1282:$O$100,0))</f>
        <v/>
      </c>
      <c r="I1282">
        <f>MIN(F1282,H1282)</f>
        <v/>
      </c>
    </row>
    <row r="1283">
      <c r="A1283">
        <f>TEST_DATA!A1283</f>
        <v/>
      </c>
      <c r="B1283">
        <f>TEST_DATA!B1283</f>
        <v/>
      </c>
      <c r="C1283">
        <f>TEST_DATA!C1283</f>
        <v/>
      </c>
      <c r="D1283">
        <f>TEST_DATA!D1283</f>
        <v/>
      </c>
      <c r="E1283">
        <f>TEST_DATA!E1283</f>
        <v/>
      </c>
      <c r="F1283">
        <f>MIN(E1283*128300,10000)</f>
        <v/>
      </c>
      <c r="G1283">
        <f>MINIFS(CBIC_Late_Fee_Relief_Windows_3B!$O$1283:$O$100,CBIC_Late_Fee_Relief_Windows_3B!$D$1283:$D$100,"&lt;="&amp;B1283,CBIC_Late_Fee_Relief_Windows_3B!$E$1283:$E$100,"&gt;="&amp;B1283,CBIC_Late_Fee_Relief_Windows_3B!$F$1283:$F$100,"&lt;="&amp;C1283,CBIC_Late_Fee_Relief_Windows_3B!$G$1283:$G$100,"&gt;="&amp;C1283)</f>
        <v/>
      </c>
      <c r="H1283">
        <f>INDEX(CBIC_Late_Fee_Relief_Windows_3B!$I$1283:$I$100,MATCH(G1283,CBIC_Late_Fee_Relief_Windows_3B!$O$1283:$O$100,0))</f>
        <v/>
      </c>
      <c r="I1283">
        <f>MIN(F1283,H1283)</f>
        <v/>
      </c>
    </row>
    <row r="1284">
      <c r="A1284">
        <f>TEST_DATA!A1284</f>
        <v/>
      </c>
      <c r="B1284">
        <f>TEST_DATA!B1284</f>
        <v/>
      </c>
      <c r="C1284">
        <f>TEST_DATA!C1284</f>
        <v/>
      </c>
      <c r="D1284">
        <f>TEST_DATA!D1284</f>
        <v/>
      </c>
      <c r="E1284">
        <f>TEST_DATA!E1284</f>
        <v/>
      </c>
      <c r="F1284">
        <f>MIN(E1284*128400,10000)</f>
        <v/>
      </c>
      <c r="G1284">
        <f>MINIFS(CBIC_Late_Fee_Relief_Windows_3B!$O$1284:$O$100,CBIC_Late_Fee_Relief_Windows_3B!$D$1284:$D$100,"&lt;="&amp;B1284,CBIC_Late_Fee_Relief_Windows_3B!$E$1284:$E$100,"&gt;="&amp;B1284,CBIC_Late_Fee_Relief_Windows_3B!$F$1284:$F$100,"&lt;="&amp;C1284,CBIC_Late_Fee_Relief_Windows_3B!$G$1284:$G$100,"&gt;="&amp;C1284)</f>
        <v/>
      </c>
      <c r="H1284">
        <f>INDEX(CBIC_Late_Fee_Relief_Windows_3B!$I$1284:$I$100,MATCH(G1284,CBIC_Late_Fee_Relief_Windows_3B!$O$1284:$O$100,0))</f>
        <v/>
      </c>
      <c r="I1284">
        <f>MIN(F1284,H1284)</f>
        <v/>
      </c>
    </row>
    <row r="1285">
      <c r="A1285">
        <f>TEST_DATA!A1285</f>
        <v/>
      </c>
      <c r="B1285">
        <f>TEST_DATA!B1285</f>
        <v/>
      </c>
      <c r="C1285">
        <f>TEST_DATA!C1285</f>
        <v/>
      </c>
      <c r="D1285">
        <f>TEST_DATA!D1285</f>
        <v/>
      </c>
      <c r="E1285">
        <f>TEST_DATA!E1285</f>
        <v/>
      </c>
      <c r="F1285">
        <f>MIN(E1285*128500,10000)</f>
        <v/>
      </c>
      <c r="G1285">
        <f>MINIFS(CBIC_Late_Fee_Relief_Windows_3B!$O$1285:$O$100,CBIC_Late_Fee_Relief_Windows_3B!$D$1285:$D$100,"&lt;="&amp;B1285,CBIC_Late_Fee_Relief_Windows_3B!$E$1285:$E$100,"&gt;="&amp;B1285,CBIC_Late_Fee_Relief_Windows_3B!$F$1285:$F$100,"&lt;="&amp;C1285,CBIC_Late_Fee_Relief_Windows_3B!$G$1285:$G$100,"&gt;="&amp;C1285)</f>
        <v/>
      </c>
      <c r="H1285">
        <f>INDEX(CBIC_Late_Fee_Relief_Windows_3B!$I$1285:$I$100,MATCH(G1285,CBIC_Late_Fee_Relief_Windows_3B!$O$1285:$O$100,0))</f>
        <v/>
      </c>
      <c r="I1285">
        <f>MIN(F1285,H1285)</f>
        <v/>
      </c>
    </row>
    <row r="1286">
      <c r="A1286">
        <f>TEST_DATA!A1286</f>
        <v/>
      </c>
      <c r="B1286">
        <f>TEST_DATA!B1286</f>
        <v/>
      </c>
      <c r="C1286">
        <f>TEST_DATA!C1286</f>
        <v/>
      </c>
      <c r="D1286">
        <f>TEST_DATA!D1286</f>
        <v/>
      </c>
      <c r="E1286">
        <f>TEST_DATA!E1286</f>
        <v/>
      </c>
      <c r="F1286">
        <f>MIN(E1286*128600,10000)</f>
        <v/>
      </c>
      <c r="G1286">
        <f>MINIFS(CBIC_Late_Fee_Relief_Windows_3B!$O$1286:$O$100,CBIC_Late_Fee_Relief_Windows_3B!$D$1286:$D$100,"&lt;="&amp;B1286,CBIC_Late_Fee_Relief_Windows_3B!$E$1286:$E$100,"&gt;="&amp;B1286,CBIC_Late_Fee_Relief_Windows_3B!$F$1286:$F$100,"&lt;="&amp;C1286,CBIC_Late_Fee_Relief_Windows_3B!$G$1286:$G$100,"&gt;="&amp;C1286)</f>
        <v/>
      </c>
      <c r="H1286">
        <f>INDEX(CBIC_Late_Fee_Relief_Windows_3B!$I$1286:$I$100,MATCH(G1286,CBIC_Late_Fee_Relief_Windows_3B!$O$1286:$O$100,0))</f>
        <v/>
      </c>
      <c r="I1286">
        <f>MIN(F1286,H1286)</f>
        <v/>
      </c>
    </row>
    <row r="1287">
      <c r="A1287">
        <f>TEST_DATA!A1287</f>
        <v/>
      </c>
      <c r="B1287">
        <f>TEST_DATA!B1287</f>
        <v/>
      </c>
      <c r="C1287">
        <f>TEST_DATA!C1287</f>
        <v/>
      </c>
      <c r="D1287">
        <f>TEST_DATA!D1287</f>
        <v/>
      </c>
      <c r="E1287">
        <f>TEST_DATA!E1287</f>
        <v/>
      </c>
      <c r="F1287">
        <f>MIN(E1287*128700,10000)</f>
        <v/>
      </c>
      <c r="G1287">
        <f>MINIFS(CBIC_Late_Fee_Relief_Windows_3B!$O$1287:$O$100,CBIC_Late_Fee_Relief_Windows_3B!$D$1287:$D$100,"&lt;="&amp;B1287,CBIC_Late_Fee_Relief_Windows_3B!$E$1287:$E$100,"&gt;="&amp;B1287,CBIC_Late_Fee_Relief_Windows_3B!$F$1287:$F$100,"&lt;="&amp;C1287,CBIC_Late_Fee_Relief_Windows_3B!$G$1287:$G$100,"&gt;="&amp;C1287)</f>
        <v/>
      </c>
      <c r="H1287">
        <f>INDEX(CBIC_Late_Fee_Relief_Windows_3B!$I$1287:$I$100,MATCH(G1287,CBIC_Late_Fee_Relief_Windows_3B!$O$1287:$O$100,0))</f>
        <v/>
      </c>
      <c r="I1287">
        <f>MIN(F1287,H1287)</f>
        <v/>
      </c>
    </row>
    <row r="1288">
      <c r="A1288">
        <f>TEST_DATA!A1288</f>
        <v/>
      </c>
      <c r="B1288">
        <f>TEST_DATA!B1288</f>
        <v/>
      </c>
      <c r="C1288">
        <f>TEST_DATA!C1288</f>
        <v/>
      </c>
      <c r="D1288">
        <f>TEST_DATA!D1288</f>
        <v/>
      </c>
      <c r="E1288">
        <f>TEST_DATA!E1288</f>
        <v/>
      </c>
      <c r="F1288">
        <f>MIN(E1288*128800,10000)</f>
        <v/>
      </c>
      <c r="G1288">
        <f>MINIFS(CBIC_Late_Fee_Relief_Windows_3B!$O$1288:$O$100,CBIC_Late_Fee_Relief_Windows_3B!$D$1288:$D$100,"&lt;="&amp;B1288,CBIC_Late_Fee_Relief_Windows_3B!$E$1288:$E$100,"&gt;="&amp;B1288,CBIC_Late_Fee_Relief_Windows_3B!$F$1288:$F$100,"&lt;="&amp;C1288,CBIC_Late_Fee_Relief_Windows_3B!$G$1288:$G$100,"&gt;="&amp;C1288)</f>
        <v/>
      </c>
      <c r="H1288">
        <f>INDEX(CBIC_Late_Fee_Relief_Windows_3B!$I$1288:$I$100,MATCH(G1288,CBIC_Late_Fee_Relief_Windows_3B!$O$1288:$O$100,0))</f>
        <v/>
      </c>
      <c r="I1288">
        <f>MIN(F1288,H1288)</f>
        <v/>
      </c>
    </row>
    <row r="1289">
      <c r="A1289">
        <f>TEST_DATA!A1289</f>
        <v/>
      </c>
      <c r="B1289">
        <f>TEST_DATA!B1289</f>
        <v/>
      </c>
      <c r="C1289">
        <f>TEST_DATA!C1289</f>
        <v/>
      </c>
      <c r="D1289">
        <f>TEST_DATA!D1289</f>
        <v/>
      </c>
      <c r="E1289">
        <f>TEST_DATA!E1289</f>
        <v/>
      </c>
      <c r="F1289">
        <f>MIN(E1289*128900,10000)</f>
        <v/>
      </c>
      <c r="G1289">
        <f>MINIFS(CBIC_Late_Fee_Relief_Windows_3B!$O$1289:$O$100,CBIC_Late_Fee_Relief_Windows_3B!$D$1289:$D$100,"&lt;="&amp;B1289,CBIC_Late_Fee_Relief_Windows_3B!$E$1289:$E$100,"&gt;="&amp;B1289,CBIC_Late_Fee_Relief_Windows_3B!$F$1289:$F$100,"&lt;="&amp;C1289,CBIC_Late_Fee_Relief_Windows_3B!$G$1289:$G$100,"&gt;="&amp;C1289)</f>
        <v/>
      </c>
      <c r="H1289">
        <f>INDEX(CBIC_Late_Fee_Relief_Windows_3B!$I$1289:$I$100,MATCH(G1289,CBIC_Late_Fee_Relief_Windows_3B!$O$1289:$O$100,0))</f>
        <v/>
      </c>
      <c r="I1289">
        <f>MIN(F1289,H1289)</f>
        <v/>
      </c>
    </row>
    <row r="1290">
      <c r="A1290">
        <f>TEST_DATA!A1290</f>
        <v/>
      </c>
      <c r="B1290">
        <f>TEST_DATA!B1290</f>
        <v/>
      </c>
      <c r="C1290">
        <f>TEST_DATA!C1290</f>
        <v/>
      </c>
      <c r="D1290">
        <f>TEST_DATA!D1290</f>
        <v/>
      </c>
      <c r="E1290">
        <f>TEST_DATA!E1290</f>
        <v/>
      </c>
      <c r="F1290">
        <f>MIN(E1290*129000,10000)</f>
        <v/>
      </c>
      <c r="G1290">
        <f>MINIFS(CBIC_Late_Fee_Relief_Windows_3B!$O$1290:$O$100,CBIC_Late_Fee_Relief_Windows_3B!$D$1290:$D$100,"&lt;="&amp;B1290,CBIC_Late_Fee_Relief_Windows_3B!$E$1290:$E$100,"&gt;="&amp;B1290,CBIC_Late_Fee_Relief_Windows_3B!$F$1290:$F$100,"&lt;="&amp;C1290,CBIC_Late_Fee_Relief_Windows_3B!$G$1290:$G$100,"&gt;="&amp;C1290)</f>
        <v/>
      </c>
      <c r="H1290">
        <f>INDEX(CBIC_Late_Fee_Relief_Windows_3B!$I$1290:$I$100,MATCH(G1290,CBIC_Late_Fee_Relief_Windows_3B!$O$1290:$O$100,0))</f>
        <v/>
      </c>
      <c r="I1290">
        <f>MIN(F1290,H1290)</f>
        <v/>
      </c>
    </row>
    <row r="1291">
      <c r="A1291">
        <f>TEST_DATA!A1291</f>
        <v/>
      </c>
      <c r="B1291">
        <f>TEST_DATA!B1291</f>
        <v/>
      </c>
      <c r="C1291">
        <f>TEST_DATA!C1291</f>
        <v/>
      </c>
      <c r="D1291">
        <f>TEST_DATA!D1291</f>
        <v/>
      </c>
      <c r="E1291">
        <f>TEST_DATA!E1291</f>
        <v/>
      </c>
      <c r="F1291">
        <f>MIN(E1291*129100,10000)</f>
        <v/>
      </c>
      <c r="G1291">
        <f>MINIFS(CBIC_Late_Fee_Relief_Windows_3B!$O$1291:$O$100,CBIC_Late_Fee_Relief_Windows_3B!$D$1291:$D$100,"&lt;="&amp;B1291,CBIC_Late_Fee_Relief_Windows_3B!$E$1291:$E$100,"&gt;="&amp;B1291,CBIC_Late_Fee_Relief_Windows_3B!$F$1291:$F$100,"&lt;="&amp;C1291,CBIC_Late_Fee_Relief_Windows_3B!$G$1291:$G$100,"&gt;="&amp;C1291)</f>
        <v/>
      </c>
      <c r="H1291">
        <f>INDEX(CBIC_Late_Fee_Relief_Windows_3B!$I$1291:$I$100,MATCH(G1291,CBIC_Late_Fee_Relief_Windows_3B!$O$1291:$O$100,0))</f>
        <v/>
      </c>
      <c r="I1291">
        <f>MIN(F1291,H1291)</f>
        <v/>
      </c>
    </row>
    <row r="1292">
      <c r="A1292">
        <f>TEST_DATA!A1292</f>
        <v/>
      </c>
      <c r="B1292">
        <f>TEST_DATA!B1292</f>
        <v/>
      </c>
      <c r="C1292">
        <f>TEST_DATA!C1292</f>
        <v/>
      </c>
      <c r="D1292">
        <f>TEST_DATA!D1292</f>
        <v/>
      </c>
      <c r="E1292">
        <f>TEST_DATA!E1292</f>
        <v/>
      </c>
      <c r="F1292">
        <f>MIN(E1292*129200,10000)</f>
        <v/>
      </c>
      <c r="G1292">
        <f>MINIFS(CBIC_Late_Fee_Relief_Windows_3B!$O$1292:$O$100,CBIC_Late_Fee_Relief_Windows_3B!$D$1292:$D$100,"&lt;="&amp;B1292,CBIC_Late_Fee_Relief_Windows_3B!$E$1292:$E$100,"&gt;="&amp;B1292,CBIC_Late_Fee_Relief_Windows_3B!$F$1292:$F$100,"&lt;="&amp;C1292,CBIC_Late_Fee_Relief_Windows_3B!$G$1292:$G$100,"&gt;="&amp;C1292)</f>
        <v/>
      </c>
      <c r="H1292">
        <f>INDEX(CBIC_Late_Fee_Relief_Windows_3B!$I$1292:$I$100,MATCH(G1292,CBIC_Late_Fee_Relief_Windows_3B!$O$1292:$O$100,0))</f>
        <v/>
      </c>
      <c r="I1292">
        <f>MIN(F1292,H1292)</f>
        <v/>
      </c>
    </row>
    <row r="1293">
      <c r="A1293">
        <f>TEST_DATA!A1293</f>
        <v/>
      </c>
      <c r="B1293">
        <f>TEST_DATA!B1293</f>
        <v/>
      </c>
      <c r="C1293">
        <f>TEST_DATA!C1293</f>
        <v/>
      </c>
      <c r="D1293">
        <f>TEST_DATA!D1293</f>
        <v/>
      </c>
      <c r="E1293">
        <f>TEST_DATA!E1293</f>
        <v/>
      </c>
      <c r="F1293">
        <f>MIN(E1293*129300,10000)</f>
        <v/>
      </c>
      <c r="G1293">
        <f>MINIFS(CBIC_Late_Fee_Relief_Windows_3B!$O$1293:$O$100,CBIC_Late_Fee_Relief_Windows_3B!$D$1293:$D$100,"&lt;="&amp;B1293,CBIC_Late_Fee_Relief_Windows_3B!$E$1293:$E$100,"&gt;="&amp;B1293,CBIC_Late_Fee_Relief_Windows_3B!$F$1293:$F$100,"&lt;="&amp;C1293,CBIC_Late_Fee_Relief_Windows_3B!$G$1293:$G$100,"&gt;="&amp;C1293)</f>
        <v/>
      </c>
      <c r="H1293">
        <f>INDEX(CBIC_Late_Fee_Relief_Windows_3B!$I$1293:$I$100,MATCH(G1293,CBIC_Late_Fee_Relief_Windows_3B!$O$1293:$O$100,0))</f>
        <v/>
      </c>
      <c r="I1293">
        <f>MIN(F1293,H1293)</f>
        <v/>
      </c>
    </row>
    <row r="1294">
      <c r="A1294">
        <f>TEST_DATA!A1294</f>
        <v/>
      </c>
      <c r="B1294">
        <f>TEST_DATA!B1294</f>
        <v/>
      </c>
      <c r="C1294">
        <f>TEST_DATA!C1294</f>
        <v/>
      </c>
      <c r="D1294">
        <f>TEST_DATA!D1294</f>
        <v/>
      </c>
      <c r="E1294">
        <f>TEST_DATA!E1294</f>
        <v/>
      </c>
      <c r="F1294">
        <f>MIN(E1294*129400,10000)</f>
        <v/>
      </c>
      <c r="G1294">
        <f>MINIFS(CBIC_Late_Fee_Relief_Windows_3B!$O$1294:$O$100,CBIC_Late_Fee_Relief_Windows_3B!$D$1294:$D$100,"&lt;="&amp;B1294,CBIC_Late_Fee_Relief_Windows_3B!$E$1294:$E$100,"&gt;="&amp;B1294,CBIC_Late_Fee_Relief_Windows_3B!$F$1294:$F$100,"&lt;="&amp;C1294,CBIC_Late_Fee_Relief_Windows_3B!$G$1294:$G$100,"&gt;="&amp;C1294)</f>
        <v/>
      </c>
      <c r="H1294">
        <f>INDEX(CBIC_Late_Fee_Relief_Windows_3B!$I$1294:$I$100,MATCH(G1294,CBIC_Late_Fee_Relief_Windows_3B!$O$1294:$O$100,0))</f>
        <v/>
      </c>
      <c r="I1294">
        <f>MIN(F1294,H1294)</f>
        <v/>
      </c>
    </row>
    <row r="1295">
      <c r="A1295">
        <f>TEST_DATA!A1295</f>
        <v/>
      </c>
      <c r="B1295">
        <f>TEST_DATA!B1295</f>
        <v/>
      </c>
      <c r="C1295">
        <f>TEST_DATA!C1295</f>
        <v/>
      </c>
      <c r="D1295">
        <f>TEST_DATA!D1295</f>
        <v/>
      </c>
      <c r="E1295">
        <f>TEST_DATA!E1295</f>
        <v/>
      </c>
      <c r="F1295">
        <f>MIN(E1295*129500,10000)</f>
        <v/>
      </c>
      <c r="G1295">
        <f>MINIFS(CBIC_Late_Fee_Relief_Windows_3B!$O$1295:$O$100,CBIC_Late_Fee_Relief_Windows_3B!$D$1295:$D$100,"&lt;="&amp;B1295,CBIC_Late_Fee_Relief_Windows_3B!$E$1295:$E$100,"&gt;="&amp;B1295,CBIC_Late_Fee_Relief_Windows_3B!$F$1295:$F$100,"&lt;="&amp;C1295,CBIC_Late_Fee_Relief_Windows_3B!$G$1295:$G$100,"&gt;="&amp;C1295)</f>
        <v/>
      </c>
      <c r="H1295">
        <f>INDEX(CBIC_Late_Fee_Relief_Windows_3B!$I$1295:$I$100,MATCH(G1295,CBIC_Late_Fee_Relief_Windows_3B!$O$1295:$O$100,0))</f>
        <v/>
      </c>
      <c r="I1295">
        <f>MIN(F1295,H1295)</f>
        <v/>
      </c>
    </row>
    <row r="1296">
      <c r="A1296">
        <f>TEST_DATA!A1296</f>
        <v/>
      </c>
      <c r="B1296">
        <f>TEST_DATA!B1296</f>
        <v/>
      </c>
      <c r="C1296">
        <f>TEST_DATA!C1296</f>
        <v/>
      </c>
      <c r="D1296">
        <f>TEST_DATA!D1296</f>
        <v/>
      </c>
      <c r="E1296">
        <f>TEST_DATA!E1296</f>
        <v/>
      </c>
      <c r="F1296">
        <f>MIN(E1296*129600,10000)</f>
        <v/>
      </c>
      <c r="G1296">
        <f>MINIFS(CBIC_Late_Fee_Relief_Windows_3B!$O$1296:$O$100,CBIC_Late_Fee_Relief_Windows_3B!$D$1296:$D$100,"&lt;="&amp;B1296,CBIC_Late_Fee_Relief_Windows_3B!$E$1296:$E$100,"&gt;="&amp;B1296,CBIC_Late_Fee_Relief_Windows_3B!$F$1296:$F$100,"&lt;="&amp;C1296,CBIC_Late_Fee_Relief_Windows_3B!$G$1296:$G$100,"&gt;="&amp;C1296)</f>
        <v/>
      </c>
      <c r="H1296">
        <f>INDEX(CBIC_Late_Fee_Relief_Windows_3B!$I$1296:$I$100,MATCH(G1296,CBIC_Late_Fee_Relief_Windows_3B!$O$1296:$O$100,0))</f>
        <v/>
      </c>
      <c r="I1296">
        <f>MIN(F1296,H1296)</f>
        <v/>
      </c>
    </row>
    <row r="1297">
      <c r="A1297">
        <f>TEST_DATA!A1297</f>
        <v/>
      </c>
      <c r="B1297">
        <f>TEST_DATA!B1297</f>
        <v/>
      </c>
      <c r="C1297">
        <f>TEST_DATA!C1297</f>
        <v/>
      </c>
      <c r="D1297">
        <f>TEST_DATA!D1297</f>
        <v/>
      </c>
      <c r="E1297">
        <f>TEST_DATA!E1297</f>
        <v/>
      </c>
      <c r="F1297">
        <f>MIN(E1297*129700,10000)</f>
        <v/>
      </c>
      <c r="G1297">
        <f>MINIFS(CBIC_Late_Fee_Relief_Windows_3B!$O$1297:$O$100,CBIC_Late_Fee_Relief_Windows_3B!$D$1297:$D$100,"&lt;="&amp;B1297,CBIC_Late_Fee_Relief_Windows_3B!$E$1297:$E$100,"&gt;="&amp;B1297,CBIC_Late_Fee_Relief_Windows_3B!$F$1297:$F$100,"&lt;="&amp;C1297,CBIC_Late_Fee_Relief_Windows_3B!$G$1297:$G$100,"&gt;="&amp;C1297)</f>
        <v/>
      </c>
      <c r="H1297">
        <f>INDEX(CBIC_Late_Fee_Relief_Windows_3B!$I$1297:$I$100,MATCH(G1297,CBIC_Late_Fee_Relief_Windows_3B!$O$1297:$O$100,0))</f>
        <v/>
      </c>
      <c r="I1297">
        <f>MIN(F1297,H1297)</f>
        <v/>
      </c>
    </row>
    <row r="1298">
      <c r="A1298">
        <f>TEST_DATA!A1298</f>
        <v/>
      </c>
      <c r="B1298">
        <f>TEST_DATA!B1298</f>
        <v/>
      </c>
      <c r="C1298">
        <f>TEST_DATA!C1298</f>
        <v/>
      </c>
      <c r="D1298">
        <f>TEST_DATA!D1298</f>
        <v/>
      </c>
      <c r="E1298">
        <f>TEST_DATA!E1298</f>
        <v/>
      </c>
      <c r="F1298">
        <f>MIN(E1298*129800,10000)</f>
        <v/>
      </c>
      <c r="G1298">
        <f>MINIFS(CBIC_Late_Fee_Relief_Windows_3B!$O$1298:$O$100,CBIC_Late_Fee_Relief_Windows_3B!$D$1298:$D$100,"&lt;="&amp;B1298,CBIC_Late_Fee_Relief_Windows_3B!$E$1298:$E$100,"&gt;="&amp;B1298,CBIC_Late_Fee_Relief_Windows_3B!$F$1298:$F$100,"&lt;="&amp;C1298,CBIC_Late_Fee_Relief_Windows_3B!$G$1298:$G$100,"&gt;="&amp;C1298)</f>
        <v/>
      </c>
      <c r="H1298">
        <f>INDEX(CBIC_Late_Fee_Relief_Windows_3B!$I$1298:$I$100,MATCH(G1298,CBIC_Late_Fee_Relief_Windows_3B!$O$1298:$O$100,0))</f>
        <v/>
      </c>
      <c r="I1298">
        <f>MIN(F1298,H1298)</f>
        <v/>
      </c>
    </row>
    <row r="1299">
      <c r="A1299">
        <f>TEST_DATA!A1299</f>
        <v/>
      </c>
      <c r="B1299">
        <f>TEST_DATA!B1299</f>
        <v/>
      </c>
      <c r="C1299">
        <f>TEST_DATA!C1299</f>
        <v/>
      </c>
      <c r="D1299">
        <f>TEST_DATA!D1299</f>
        <v/>
      </c>
      <c r="E1299">
        <f>TEST_DATA!E1299</f>
        <v/>
      </c>
      <c r="F1299">
        <f>MIN(E1299*129900,10000)</f>
        <v/>
      </c>
      <c r="G1299">
        <f>MINIFS(CBIC_Late_Fee_Relief_Windows_3B!$O$1299:$O$100,CBIC_Late_Fee_Relief_Windows_3B!$D$1299:$D$100,"&lt;="&amp;B1299,CBIC_Late_Fee_Relief_Windows_3B!$E$1299:$E$100,"&gt;="&amp;B1299,CBIC_Late_Fee_Relief_Windows_3B!$F$1299:$F$100,"&lt;="&amp;C1299,CBIC_Late_Fee_Relief_Windows_3B!$G$1299:$G$100,"&gt;="&amp;C1299)</f>
        <v/>
      </c>
      <c r="H1299">
        <f>INDEX(CBIC_Late_Fee_Relief_Windows_3B!$I$1299:$I$100,MATCH(G1299,CBIC_Late_Fee_Relief_Windows_3B!$O$1299:$O$100,0))</f>
        <v/>
      </c>
      <c r="I1299">
        <f>MIN(F1299,H1299)</f>
        <v/>
      </c>
    </row>
    <row r="1300">
      <c r="A1300">
        <f>TEST_DATA!A1300</f>
        <v/>
      </c>
      <c r="B1300">
        <f>TEST_DATA!B1300</f>
        <v/>
      </c>
      <c r="C1300">
        <f>TEST_DATA!C1300</f>
        <v/>
      </c>
      <c r="D1300">
        <f>TEST_DATA!D1300</f>
        <v/>
      </c>
      <c r="E1300">
        <f>TEST_DATA!E1300</f>
        <v/>
      </c>
      <c r="F1300">
        <f>MIN(E1300*130000,10000)</f>
        <v/>
      </c>
      <c r="G1300">
        <f>MINIFS(CBIC_Late_Fee_Relief_Windows_3B!$O$1300:$O$100,CBIC_Late_Fee_Relief_Windows_3B!$D$1300:$D$100,"&lt;="&amp;B1300,CBIC_Late_Fee_Relief_Windows_3B!$E$1300:$E$100,"&gt;="&amp;B1300,CBIC_Late_Fee_Relief_Windows_3B!$F$1300:$F$100,"&lt;="&amp;C1300,CBIC_Late_Fee_Relief_Windows_3B!$G$1300:$G$100,"&gt;="&amp;C1300)</f>
        <v/>
      </c>
      <c r="H1300">
        <f>INDEX(CBIC_Late_Fee_Relief_Windows_3B!$I$1300:$I$100,MATCH(G1300,CBIC_Late_Fee_Relief_Windows_3B!$O$1300:$O$100,0))</f>
        <v/>
      </c>
      <c r="I1300">
        <f>MIN(F1300,H1300)</f>
        <v/>
      </c>
    </row>
    <row r="1301">
      <c r="A1301">
        <f>TEST_DATA!A1301</f>
        <v/>
      </c>
      <c r="B1301">
        <f>TEST_DATA!B1301</f>
        <v/>
      </c>
      <c r="C1301">
        <f>TEST_DATA!C1301</f>
        <v/>
      </c>
      <c r="D1301">
        <f>TEST_DATA!D1301</f>
        <v/>
      </c>
      <c r="E1301">
        <f>TEST_DATA!E1301</f>
        <v/>
      </c>
      <c r="F1301">
        <f>MIN(E1301*130100,10000)</f>
        <v/>
      </c>
      <c r="G1301">
        <f>MINIFS(CBIC_Late_Fee_Relief_Windows_3B!$O$1301:$O$100,CBIC_Late_Fee_Relief_Windows_3B!$D$1301:$D$100,"&lt;="&amp;B1301,CBIC_Late_Fee_Relief_Windows_3B!$E$1301:$E$100,"&gt;="&amp;B1301,CBIC_Late_Fee_Relief_Windows_3B!$F$1301:$F$100,"&lt;="&amp;C1301,CBIC_Late_Fee_Relief_Windows_3B!$G$1301:$G$100,"&gt;="&amp;C1301)</f>
        <v/>
      </c>
      <c r="H1301">
        <f>INDEX(CBIC_Late_Fee_Relief_Windows_3B!$I$1301:$I$100,MATCH(G1301,CBIC_Late_Fee_Relief_Windows_3B!$O$1301:$O$100,0))</f>
        <v/>
      </c>
      <c r="I1301">
        <f>MIN(F1301,H1301)</f>
        <v/>
      </c>
    </row>
    <row r="1302">
      <c r="A1302">
        <f>TEST_DATA!A1302</f>
        <v/>
      </c>
      <c r="B1302">
        <f>TEST_DATA!B1302</f>
        <v/>
      </c>
      <c r="C1302">
        <f>TEST_DATA!C1302</f>
        <v/>
      </c>
      <c r="D1302">
        <f>TEST_DATA!D1302</f>
        <v/>
      </c>
      <c r="E1302">
        <f>TEST_DATA!E1302</f>
        <v/>
      </c>
      <c r="F1302">
        <f>MIN(E1302*130200,10000)</f>
        <v/>
      </c>
      <c r="G1302">
        <f>MINIFS(CBIC_Late_Fee_Relief_Windows_3B!$O$1302:$O$100,CBIC_Late_Fee_Relief_Windows_3B!$D$1302:$D$100,"&lt;="&amp;B1302,CBIC_Late_Fee_Relief_Windows_3B!$E$1302:$E$100,"&gt;="&amp;B1302,CBIC_Late_Fee_Relief_Windows_3B!$F$1302:$F$100,"&lt;="&amp;C1302,CBIC_Late_Fee_Relief_Windows_3B!$G$1302:$G$100,"&gt;="&amp;C1302)</f>
        <v/>
      </c>
      <c r="H1302">
        <f>INDEX(CBIC_Late_Fee_Relief_Windows_3B!$I$1302:$I$100,MATCH(G1302,CBIC_Late_Fee_Relief_Windows_3B!$O$1302:$O$100,0))</f>
        <v/>
      </c>
      <c r="I1302">
        <f>MIN(F1302,H1302)</f>
        <v/>
      </c>
    </row>
    <row r="1303">
      <c r="A1303">
        <f>TEST_DATA!A1303</f>
        <v/>
      </c>
      <c r="B1303">
        <f>TEST_DATA!B1303</f>
        <v/>
      </c>
      <c r="C1303">
        <f>TEST_DATA!C1303</f>
        <v/>
      </c>
      <c r="D1303">
        <f>TEST_DATA!D1303</f>
        <v/>
      </c>
      <c r="E1303">
        <f>TEST_DATA!E1303</f>
        <v/>
      </c>
      <c r="F1303">
        <f>MIN(E1303*130300,10000)</f>
        <v/>
      </c>
      <c r="G1303">
        <f>MINIFS(CBIC_Late_Fee_Relief_Windows_3B!$O$1303:$O$100,CBIC_Late_Fee_Relief_Windows_3B!$D$1303:$D$100,"&lt;="&amp;B1303,CBIC_Late_Fee_Relief_Windows_3B!$E$1303:$E$100,"&gt;="&amp;B1303,CBIC_Late_Fee_Relief_Windows_3B!$F$1303:$F$100,"&lt;="&amp;C1303,CBIC_Late_Fee_Relief_Windows_3B!$G$1303:$G$100,"&gt;="&amp;C1303)</f>
        <v/>
      </c>
      <c r="H1303">
        <f>INDEX(CBIC_Late_Fee_Relief_Windows_3B!$I$1303:$I$100,MATCH(G1303,CBIC_Late_Fee_Relief_Windows_3B!$O$1303:$O$100,0))</f>
        <v/>
      </c>
      <c r="I1303">
        <f>MIN(F1303,H1303)</f>
        <v/>
      </c>
    </row>
    <row r="1304">
      <c r="A1304">
        <f>TEST_DATA!A1304</f>
        <v/>
      </c>
      <c r="B1304">
        <f>TEST_DATA!B1304</f>
        <v/>
      </c>
      <c r="C1304">
        <f>TEST_DATA!C1304</f>
        <v/>
      </c>
      <c r="D1304">
        <f>TEST_DATA!D1304</f>
        <v/>
      </c>
      <c r="E1304">
        <f>TEST_DATA!E1304</f>
        <v/>
      </c>
      <c r="F1304">
        <f>MIN(E1304*130400,10000)</f>
        <v/>
      </c>
      <c r="G1304">
        <f>MINIFS(CBIC_Late_Fee_Relief_Windows_3B!$O$1304:$O$100,CBIC_Late_Fee_Relief_Windows_3B!$D$1304:$D$100,"&lt;="&amp;B1304,CBIC_Late_Fee_Relief_Windows_3B!$E$1304:$E$100,"&gt;="&amp;B1304,CBIC_Late_Fee_Relief_Windows_3B!$F$1304:$F$100,"&lt;="&amp;C1304,CBIC_Late_Fee_Relief_Windows_3B!$G$1304:$G$100,"&gt;="&amp;C1304)</f>
        <v/>
      </c>
      <c r="H1304">
        <f>INDEX(CBIC_Late_Fee_Relief_Windows_3B!$I$1304:$I$100,MATCH(G1304,CBIC_Late_Fee_Relief_Windows_3B!$O$1304:$O$100,0))</f>
        <v/>
      </c>
      <c r="I1304">
        <f>MIN(F1304,H1304)</f>
        <v/>
      </c>
    </row>
    <row r="1305">
      <c r="A1305">
        <f>TEST_DATA!A1305</f>
        <v/>
      </c>
      <c r="B1305">
        <f>TEST_DATA!B1305</f>
        <v/>
      </c>
      <c r="C1305">
        <f>TEST_DATA!C1305</f>
        <v/>
      </c>
      <c r="D1305">
        <f>TEST_DATA!D1305</f>
        <v/>
      </c>
      <c r="E1305">
        <f>TEST_DATA!E1305</f>
        <v/>
      </c>
      <c r="F1305">
        <f>MIN(E1305*130500,10000)</f>
        <v/>
      </c>
      <c r="G1305">
        <f>MINIFS(CBIC_Late_Fee_Relief_Windows_3B!$O$1305:$O$100,CBIC_Late_Fee_Relief_Windows_3B!$D$1305:$D$100,"&lt;="&amp;B1305,CBIC_Late_Fee_Relief_Windows_3B!$E$1305:$E$100,"&gt;="&amp;B1305,CBIC_Late_Fee_Relief_Windows_3B!$F$1305:$F$100,"&lt;="&amp;C1305,CBIC_Late_Fee_Relief_Windows_3B!$G$1305:$G$100,"&gt;="&amp;C1305)</f>
        <v/>
      </c>
      <c r="H1305">
        <f>INDEX(CBIC_Late_Fee_Relief_Windows_3B!$I$1305:$I$100,MATCH(G1305,CBIC_Late_Fee_Relief_Windows_3B!$O$1305:$O$100,0))</f>
        <v/>
      </c>
      <c r="I1305">
        <f>MIN(F1305,H1305)</f>
        <v/>
      </c>
    </row>
    <row r="1306">
      <c r="A1306">
        <f>TEST_DATA!A1306</f>
        <v/>
      </c>
      <c r="B1306">
        <f>TEST_DATA!B1306</f>
        <v/>
      </c>
      <c r="C1306">
        <f>TEST_DATA!C1306</f>
        <v/>
      </c>
      <c r="D1306">
        <f>TEST_DATA!D1306</f>
        <v/>
      </c>
      <c r="E1306">
        <f>TEST_DATA!E1306</f>
        <v/>
      </c>
      <c r="F1306">
        <f>MIN(E1306*130600,10000)</f>
        <v/>
      </c>
      <c r="G1306">
        <f>MINIFS(CBIC_Late_Fee_Relief_Windows_3B!$O$1306:$O$100,CBIC_Late_Fee_Relief_Windows_3B!$D$1306:$D$100,"&lt;="&amp;B1306,CBIC_Late_Fee_Relief_Windows_3B!$E$1306:$E$100,"&gt;="&amp;B1306,CBIC_Late_Fee_Relief_Windows_3B!$F$1306:$F$100,"&lt;="&amp;C1306,CBIC_Late_Fee_Relief_Windows_3B!$G$1306:$G$100,"&gt;="&amp;C1306)</f>
        <v/>
      </c>
      <c r="H1306">
        <f>INDEX(CBIC_Late_Fee_Relief_Windows_3B!$I$1306:$I$100,MATCH(G1306,CBIC_Late_Fee_Relief_Windows_3B!$O$1306:$O$100,0))</f>
        <v/>
      </c>
      <c r="I1306">
        <f>MIN(F1306,H1306)</f>
        <v/>
      </c>
    </row>
    <row r="1307">
      <c r="A1307">
        <f>TEST_DATA!A1307</f>
        <v/>
      </c>
      <c r="B1307">
        <f>TEST_DATA!B1307</f>
        <v/>
      </c>
      <c r="C1307">
        <f>TEST_DATA!C1307</f>
        <v/>
      </c>
      <c r="D1307">
        <f>TEST_DATA!D1307</f>
        <v/>
      </c>
      <c r="E1307">
        <f>TEST_DATA!E1307</f>
        <v/>
      </c>
      <c r="F1307">
        <f>MIN(E1307*130700,10000)</f>
        <v/>
      </c>
      <c r="G1307">
        <f>MINIFS(CBIC_Late_Fee_Relief_Windows_3B!$O$1307:$O$100,CBIC_Late_Fee_Relief_Windows_3B!$D$1307:$D$100,"&lt;="&amp;B1307,CBIC_Late_Fee_Relief_Windows_3B!$E$1307:$E$100,"&gt;="&amp;B1307,CBIC_Late_Fee_Relief_Windows_3B!$F$1307:$F$100,"&lt;="&amp;C1307,CBIC_Late_Fee_Relief_Windows_3B!$G$1307:$G$100,"&gt;="&amp;C1307)</f>
        <v/>
      </c>
      <c r="H1307">
        <f>INDEX(CBIC_Late_Fee_Relief_Windows_3B!$I$1307:$I$100,MATCH(G1307,CBIC_Late_Fee_Relief_Windows_3B!$O$1307:$O$100,0))</f>
        <v/>
      </c>
      <c r="I1307">
        <f>MIN(F1307,H1307)</f>
        <v/>
      </c>
    </row>
    <row r="1308">
      <c r="A1308">
        <f>TEST_DATA!A1308</f>
        <v/>
      </c>
      <c r="B1308">
        <f>TEST_DATA!B1308</f>
        <v/>
      </c>
      <c r="C1308">
        <f>TEST_DATA!C1308</f>
        <v/>
      </c>
      <c r="D1308">
        <f>TEST_DATA!D1308</f>
        <v/>
      </c>
      <c r="E1308">
        <f>TEST_DATA!E1308</f>
        <v/>
      </c>
      <c r="F1308">
        <f>MIN(E1308*130800,10000)</f>
        <v/>
      </c>
      <c r="G1308">
        <f>MINIFS(CBIC_Late_Fee_Relief_Windows_3B!$O$1308:$O$100,CBIC_Late_Fee_Relief_Windows_3B!$D$1308:$D$100,"&lt;="&amp;B1308,CBIC_Late_Fee_Relief_Windows_3B!$E$1308:$E$100,"&gt;="&amp;B1308,CBIC_Late_Fee_Relief_Windows_3B!$F$1308:$F$100,"&lt;="&amp;C1308,CBIC_Late_Fee_Relief_Windows_3B!$G$1308:$G$100,"&gt;="&amp;C1308)</f>
        <v/>
      </c>
      <c r="H1308">
        <f>INDEX(CBIC_Late_Fee_Relief_Windows_3B!$I$1308:$I$100,MATCH(G1308,CBIC_Late_Fee_Relief_Windows_3B!$O$1308:$O$100,0))</f>
        <v/>
      </c>
      <c r="I1308">
        <f>MIN(F1308,H1308)</f>
        <v/>
      </c>
    </row>
    <row r="1309">
      <c r="A1309">
        <f>TEST_DATA!A1309</f>
        <v/>
      </c>
      <c r="B1309">
        <f>TEST_DATA!B1309</f>
        <v/>
      </c>
      <c r="C1309">
        <f>TEST_DATA!C1309</f>
        <v/>
      </c>
      <c r="D1309">
        <f>TEST_DATA!D1309</f>
        <v/>
      </c>
      <c r="E1309">
        <f>TEST_DATA!E1309</f>
        <v/>
      </c>
      <c r="F1309">
        <f>MIN(E1309*130900,10000)</f>
        <v/>
      </c>
      <c r="G1309">
        <f>MINIFS(CBIC_Late_Fee_Relief_Windows_3B!$O$1309:$O$100,CBIC_Late_Fee_Relief_Windows_3B!$D$1309:$D$100,"&lt;="&amp;B1309,CBIC_Late_Fee_Relief_Windows_3B!$E$1309:$E$100,"&gt;="&amp;B1309,CBIC_Late_Fee_Relief_Windows_3B!$F$1309:$F$100,"&lt;="&amp;C1309,CBIC_Late_Fee_Relief_Windows_3B!$G$1309:$G$100,"&gt;="&amp;C1309)</f>
        <v/>
      </c>
      <c r="H1309">
        <f>INDEX(CBIC_Late_Fee_Relief_Windows_3B!$I$1309:$I$100,MATCH(G1309,CBIC_Late_Fee_Relief_Windows_3B!$O$1309:$O$100,0))</f>
        <v/>
      </c>
      <c r="I1309">
        <f>MIN(F1309,H1309)</f>
        <v/>
      </c>
    </row>
    <row r="1310">
      <c r="A1310">
        <f>TEST_DATA!A1310</f>
        <v/>
      </c>
      <c r="B1310">
        <f>TEST_DATA!B1310</f>
        <v/>
      </c>
      <c r="C1310">
        <f>TEST_DATA!C1310</f>
        <v/>
      </c>
      <c r="D1310">
        <f>TEST_DATA!D1310</f>
        <v/>
      </c>
      <c r="E1310">
        <f>TEST_DATA!E1310</f>
        <v/>
      </c>
      <c r="F1310">
        <f>MIN(E1310*131000,10000)</f>
        <v/>
      </c>
      <c r="G1310">
        <f>MINIFS(CBIC_Late_Fee_Relief_Windows_3B!$O$1310:$O$100,CBIC_Late_Fee_Relief_Windows_3B!$D$1310:$D$100,"&lt;="&amp;B1310,CBIC_Late_Fee_Relief_Windows_3B!$E$1310:$E$100,"&gt;="&amp;B1310,CBIC_Late_Fee_Relief_Windows_3B!$F$1310:$F$100,"&lt;="&amp;C1310,CBIC_Late_Fee_Relief_Windows_3B!$G$1310:$G$100,"&gt;="&amp;C1310)</f>
        <v/>
      </c>
      <c r="H1310">
        <f>INDEX(CBIC_Late_Fee_Relief_Windows_3B!$I$1310:$I$100,MATCH(G1310,CBIC_Late_Fee_Relief_Windows_3B!$O$1310:$O$100,0))</f>
        <v/>
      </c>
      <c r="I1310">
        <f>MIN(F1310,H1310)</f>
        <v/>
      </c>
    </row>
    <row r="1311">
      <c r="A1311">
        <f>TEST_DATA!A1311</f>
        <v/>
      </c>
      <c r="B1311">
        <f>TEST_DATA!B1311</f>
        <v/>
      </c>
      <c r="C1311">
        <f>TEST_DATA!C1311</f>
        <v/>
      </c>
      <c r="D1311">
        <f>TEST_DATA!D1311</f>
        <v/>
      </c>
      <c r="E1311">
        <f>TEST_DATA!E1311</f>
        <v/>
      </c>
      <c r="F1311">
        <f>MIN(E1311*131100,10000)</f>
        <v/>
      </c>
      <c r="G1311">
        <f>MINIFS(CBIC_Late_Fee_Relief_Windows_3B!$O$1311:$O$100,CBIC_Late_Fee_Relief_Windows_3B!$D$1311:$D$100,"&lt;="&amp;B1311,CBIC_Late_Fee_Relief_Windows_3B!$E$1311:$E$100,"&gt;="&amp;B1311,CBIC_Late_Fee_Relief_Windows_3B!$F$1311:$F$100,"&lt;="&amp;C1311,CBIC_Late_Fee_Relief_Windows_3B!$G$1311:$G$100,"&gt;="&amp;C1311)</f>
        <v/>
      </c>
      <c r="H1311">
        <f>INDEX(CBIC_Late_Fee_Relief_Windows_3B!$I$1311:$I$100,MATCH(G1311,CBIC_Late_Fee_Relief_Windows_3B!$O$1311:$O$100,0))</f>
        <v/>
      </c>
      <c r="I1311">
        <f>MIN(F1311,H1311)</f>
        <v/>
      </c>
    </row>
    <row r="1312">
      <c r="A1312">
        <f>TEST_DATA!A1312</f>
        <v/>
      </c>
      <c r="B1312">
        <f>TEST_DATA!B1312</f>
        <v/>
      </c>
      <c r="C1312">
        <f>TEST_DATA!C1312</f>
        <v/>
      </c>
      <c r="D1312">
        <f>TEST_DATA!D1312</f>
        <v/>
      </c>
      <c r="E1312">
        <f>TEST_DATA!E1312</f>
        <v/>
      </c>
      <c r="F1312">
        <f>MIN(E1312*131200,10000)</f>
        <v/>
      </c>
      <c r="G1312">
        <f>MINIFS(CBIC_Late_Fee_Relief_Windows_3B!$O$1312:$O$100,CBIC_Late_Fee_Relief_Windows_3B!$D$1312:$D$100,"&lt;="&amp;B1312,CBIC_Late_Fee_Relief_Windows_3B!$E$1312:$E$100,"&gt;="&amp;B1312,CBIC_Late_Fee_Relief_Windows_3B!$F$1312:$F$100,"&lt;="&amp;C1312,CBIC_Late_Fee_Relief_Windows_3B!$G$1312:$G$100,"&gt;="&amp;C1312)</f>
        <v/>
      </c>
      <c r="H1312">
        <f>INDEX(CBIC_Late_Fee_Relief_Windows_3B!$I$1312:$I$100,MATCH(G1312,CBIC_Late_Fee_Relief_Windows_3B!$O$1312:$O$100,0))</f>
        <v/>
      </c>
      <c r="I1312">
        <f>MIN(F1312,H1312)</f>
        <v/>
      </c>
    </row>
    <row r="1313">
      <c r="A1313">
        <f>TEST_DATA!A1313</f>
        <v/>
      </c>
      <c r="B1313">
        <f>TEST_DATA!B1313</f>
        <v/>
      </c>
      <c r="C1313">
        <f>TEST_DATA!C1313</f>
        <v/>
      </c>
      <c r="D1313">
        <f>TEST_DATA!D1313</f>
        <v/>
      </c>
      <c r="E1313">
        <f>TEST_DATA!E1313</f>
        <v/>
      </c>
      <c r="F1313">
        <f>MIN(E1313*131300,10000)</f>
        <v/>
      </c>
      <c r="G1313">
        <f>MINIFS(CBIC_Late_Fee_Relief_Windows_3B!$O$1313:$O$100,CBIC_Late_Fee_Relief_Windows_3B!$D$1313:$D$100,"&lt;="&amp;B1313,CBIC_Late_Fee_Relief_Windows_3B!$E$1313:$E$100,"&gt;="&amp;B1313,CBIC_Late_Fee_Relief_Windows_3B!$F$1313:$F$100,"&lt;="&amp;C1313,CBIC_Late_Fee_Relief_Windows_3B!$G$1313:$G$100,"&gt;="&amp;C1313)</f>
        <v/>
      </c>
      <c r="H1313">
        <f>INDEX(CBIC_Late_Fee_Relief_Windows_3B!$I$1313:$I$100,MATCH(G1313,CBIC_Late_Fee_Relief_Windows_3B!$O$1313:$O$100,0))</f>
        <v/>
      </c>
      <c r="I1313">
        <f>MIN(F1313,H1313)</f>
        <v/>
      </c>
    </row>
    <row r="1314">
      <c r="A1314">
        <f>TEST_DATA!A1314</f>
        <v/>
      </c>
      <c r="B1314">
        <f>TEST_DATA!B1314</f>
        <v/>
      </c>
      <c r="C1314">
        <f>TEST_DATA!C1314</f>
        <v/>
      </c>
      <c r="D1314">
        <f>TEST_DATA!D1314</f>
        <v/>
      </c>
      <c r="E1314">
        <f>TEST_DATA!E1314</f>
        <v/>
      </c>
      <c r="F1314">
        <f>MIN(E1314*131400,10000)</f>
        <v/>
      </c>
      <c r="G1314">
        <f>MINIFS(CBIC_Late_Fee_Relief_Windows_3B!$O$1314:$O$100,CBIC_Late_Fee_Relief_Windows_3B!$D$1314:$D$100,"&lt;="&amp;B1314,CBIC_Late_Fee_Relief_Windows_3B!$E$1314:$E$100,"&gt;="&amp;B1314,CBIC_Late_Fee_Relief_Windows_3B!$F$1314:$F$100,"&lt;="&amp;C1314,CBIC_Late_Fee_Relief_Windows_3B!$G$1314:$G$100,"&gt;="&amp;C1314)</f>
        <v/>
      </c>
      <c r="H1314">
        <f>INDEX(CBIC_Late_Fee_Relief_Windows_3B!$I$1314:$I$100,MATCH(G1314,CBIC_Late_Fee_Relief_Windows_3B!$O$1314:$O$100,0))</f>
        <v/>
      </c>
      <c r="I1314">
        <f>MIN(F1314,H1314)</f>
        <v/>
      </c>
    </row>
    <row r="1315">
      <c r="A1315">
        <f>TEST_DATA!A1315</f>
        <v/>
      </c>
      <c r="B1315">
        <f>TEST_DATA!B1315</f>
        <v/>
      </c>
      <c r="C1315">
        <f>TEST_DATA!C1315</f>
        <v/>
      </c>
      <c r="D1315">
        <f>TEST_DATA!D1315</f>
        <v/>
      </c>
      <c r="E1315">
        <f>TEST_DATA!E1315</f>
        <v/>
      </c>
      <c r="F1315">
        <f>MIN(E1315*131500,10000)</f>
        <v/>
      </c>
      <c r="G1315">
        <f>MINIFS(CBIC_Late_Fee_Relief_Windows_3B!$O$1315:$O$100,CBIC_Late_Fee_Relief_Windows_3B!$D$1315:$D$100,"&lt;="&amp;B1315,CBIC_Late_Fee_Relief_Windows_3B!$E$1315:$E$100,"&gt;="&amp;B1315,CBIC_Late_Fee_Relief_Windows_3B!$F$1315:$F$100,"&lt;="&amp;C1315,CBIC_Late_Fee_Relief_Windows_3B!$G$1315:$G$100,"&gt;="&amp;C1315)</f>
        <v/>
      </c>
      <c r="H1315">
        <f>INDEX(CBIC_Late_Fee_Relief_Windows_3B!$I$1315:$I$100,MATCH(G1315,CBIC_Late_Fee_Relief_Windows_3B!$O$1315:$O$100,0))</f>
        <v/>
      </c>
      <c r="I1315">
        <f>MIN(F1315,H1315)</f>
        <v/>
      </c>
    </row>
    <row r="1316">
      <c r="A1316">
        <f>TEST_DATA!A1316</f>
        <v/>
      </c>
      <c r="B1316">
        <f>TEST_DATA!B1316</f>
        <v/>
      </c>
      <c r="C1316">
        <f>TEST_DATA!C1316</f>
        <v/>
      </c>
      <c r="D1316">
        <f>TEST_DATA!D1316</f>
        <v/>
      </c>
      <c r="E1316">
        <f>TEST_DATA!E1316</f>
        <v/>
      </c>
      <c r="F1316">
        <f>MIN(E1316*131600,10000)</f>
        <v/>
      </c>
      <c r="G1316">
        <f>MINIFS(CBIC_Late_Fee_Relief_Windows_3B!$O$1316:$O$100,CBIC_Late_Fee_Relief_Windows_3B!$D$1316:$D$100,"&lt;="&amp;B1316,CBIC_Late_Fee_Relief_Windows_3B!$E$1316:$E$100,"&gt;="&amp;B1316,CBIC_Late_Fee_Relief_Windows_3B!$F$1316:$F$100,"&lt;="&amp;C1316,CBIC_Late_Fee_Relief_Windows_3B!$G$1316:$G$100,"&gt;="&amp;C1316)</f>
        <v/>
      </c>
      <c r="H1316">
        <f>INDEX(CBIC_Late_Fee_Relief_Windows_3B!$I$1316:$I$100,MATCH(G1316,CBIC_Late_Fee_Relief_Windows_3B!$O$1316:$O$100,0))</f>
        <v/>
      </c>
      <c r="I1316">
        <f>MIN(F1316,H1316)</f>
        <v/>
      </c>
    </row>
    <row r="1317">
      <c r="A1317">
        <f>TEST_DATA!A1317</f>
        <v/>
      </c>
      <c r="B1317">
        <f>TEST_DATA!B1317</f>
        <v/>
      </c>
      <c r="C1317">
        <f>TEST_DATA!C1317</f>
        <v/>
      </c>
      <c r="D1317">
        <f>TEST_DATA!D1317</f>
        <v/>
      </c>
      <c r="E1317">
        <f>TEST_DATA!E1317</f>
        <v/>
      </c>
      <c r="F1317">
        <f>MIN(E1317*131700,10000)</f>
        <v/>
      </c>
      <c r="G1317">
        <f>MINIFS(CBIC_Late_Fee_Relief_Windows_3B!$O$1317:$O$100,CBIC_Late_Fee_Relief_Windows_3B!$D$1317:$D$100,"&lt;="&amp;B1317,CBIC_Late_Fee_Relief_Windows_3B!$E$1317:$E$100,"&gt;="&amp;B1317,CBIC_Late_Fee_Relief_Windows_3B!$F$1317:$F$100,"&lt;="&amp;C1317,CBIC_Late_Fee_Relief_Windows_3B!$G$1317:$G$100,"&gt;="&amp;C1317)</f>
        <v/>
      </c>
      <c r="H1317">
        <f>INDEX(CBIC_Late_Fee_Relief_Windows_3B!$I$1317:$I$100,MATCH(G1317,CBIC_Late_Fee_Relief_Windows_3B!$O$1317:$O$100,0))</f>
        <v/>
      </c>
      <c r="I1317">
        <f>MIN(F1317,H1317)</f>
        <v/>
      </c>
    </row>
    <row r="1318">
      <c r="A1318">
        <f>TEST_DATA!A1318</f>
        <v/>
      </c>
      <c r="B1318">
        <f>TEST_DATA!B1318</f>
        <v/>
      </c>
      <c r="C1318">
        <f>TEST_DATA!C1318</f>
        <v/>
      </c>
      <c r="D1318">
        <f>TEST_DATA!D1318</f>
        <v/>
      </c>
      <c r="E1318">
        <f>TEST_DATA!E1318</f>
        <v/>
      </c>
      <c r="F1318">
        <f>MIN(E1318*131800,10000)</f>
        <v/>
      </c>
      <c r="G1318">
        <f>MINIFS(CBIC_Late_Fee_Relief_Windows_3B!$O$1318:$O$100,CBIC_Late_Fee_Relief_Windows_3B!$D$1318:$D$100,"&lt;="&amp;B1318,CBIC_Late_Fee_Relief_Windows_3B!$E$1318:$E$100,"&gt;="&amp;B1318,CBIC_Late_Fee_Relief_Windows_3B!$F$1318:$F$100,"&lt;="&amp;C1318,CBIC_Late_Fee_Relief_Windows_3B!$G$1318:$G$100,"&gt;="&amp;C1318)</f>
        <v/>
      </c>
      <c r="H1318">
        <f>INDEX(CBIC_Late_Fee_Relief_Windows_3B!$I$1318:$I$100,MATCH(G1318,CBIC_Late_Fee_Relief_Windows_3B!$O$1318:$O$100,0))</f>
        <v/>
      </c>
      <c r="I1318">
        <f>MIN(F1318,H1318)</f>
        <v/>
      </c>
    </row>
    <row r="1319">
      <c r="A1319">
        <f>TEST_DATA!A1319</f>
        <v/>
      </c>
      <c r="B1319">
        <f>TEST_DATA!B1319</f>
        <v/>
      </c>
      <c r="C1319">
        <f>TEST_DATA!C1319</f>
        <v/>
      </c>
      <c r="D1319">
        <f>TEST_DATA!D1319</f>
        <v/>
      </c>
      <c r="E1319">
        <f>TEST_DATA!E1319</f>
        <v/>
      </c>
      <c r="F1319">
        <f>MIN(E1319*131900,10000)</f>
        <v/>
      </c>
      <c r="G1319">
        <f>MINIFS(CBIC_Late_Fee_Relief_Windows_3B!$O$1319:$O$100,CBIC_Late_Fee_Relief_Windows_3B!$D$1319:$D$100,"&lt;="&amp;B1319,CBIC_Late_Fee_Relief_Windows_3B!$E$1319:$E$100,"&gt;="&amp;B1319,CBIC_Late_Fee_Relief_Windows_3B!$F$1319:$F$100,"&lt;="&amp;C1319,CBIC_Late_Fee_Relief_Windows_3B!$G$1319:$G$100,"&gt;="&amp;C1319)</f>
        <v/>
      </c>
      <c r="H1319">
        <f>INDEX(CBIC_Late_Fee_Relief_Windows_3B!$I$1319:$I$100,MATCH(G1319,CBIC_Late_Fee_Relief_Windows_3B!$O$1319:$O$100,0))</f>
        <v/>
      </c>
      <c r="I1319">
        <f>MIN(F1319,H1319)</f>
        <v/>
      </c>
    </row>
    <row r="1320">
      <c r="A1320">
        <f>TEST_DATA!A1320</f>
        <v/>
      </c>
      <c r="B1320">
        <f>TEST_DATA!B1320</f>
        <v/>
      </c>
      <c r="C1320">
        <f>TEST_DATA!C1320</f>
        <v/>
      </c>
      <c r="D1320">
        <f>TEST_DATA!D1320</f>
        <v/>
      </c>
      <c r="E1320">
        <f>TEST_DATA!E1320</f>
        <v/>
      </c>
      <c r="F1320">
        <f>MIN(E1320*132000,10000)</f>
        <v/>
      </c>
      <c r="G1320">
        <f>MINIFS(CBIC_Late_Fee_Relief_Windows_3B!$O$1320:$O$100,CBIC_Late_Fee_Relief_Windows_3B!$D$1320:$D$100,"&lt;="&amp;B1320,CBIC_Late_Fee_Relief_Windows_3B!$E$1320:$E$100,"&gt;="&amp;B1320,CBIC_Late_Fee_Relief_Windows_3B!$F$1320:$F$100,"&lt;="&amp;C1320,CBIC_Late_Fee_Relief_Windows_3B!$G$1320:$G$100,"&gt;="&amp;C1320)</f>
        <v/>
      </c>
      <c r="H1320">
        <f>INDEX(CBIC_Late_Fee_Relief_Windows_3B!$I$1320:$I$100,MATCH(G1320,CBIC_Late_Fee_Relief_Windows_3B!$O$1320:$O$100,0))</f>
        <v/>
      </c>
      <c r="I1320">
        <f>MIN(F1320,H1320)</f>
        <v/>
      </c>
    </row>
    <row r="1321">
      <c r="A1321">
        <f>TEST_DATA!A1321</f>
        <v/>
      </c>
      <c r="B1321">
        <f>TEST_DATA!B1321</f>
        <v/>
      </c>
      <c r="C1321">
        <f>TEST_DATA!C1321</f>
        <v/>
      </c>
      <c r="D1321">
        <f>TEST_DATA!D1321</f>
        <v/>
      </c>
      <c r="E1321">
        <f>TEST_DATA!E1321</f>
        <v/>
      </c>
      <c r="F1321">
        <f>MIN(E1321*132100,10000)</f>
        <v/>
      </c>
      <c r="G1321">
        <f>MINIFS(CBIC_Late_Fee_Relief_Windows_3B!$O$1321:$O$100,CBIC_Late_Fee_Relief_Windows_3B!$D$1321:$D$100,"&lt;="&amp;B1321,CBIC_Late_Fee_Relief_Windows_3B!$E$1321:$E$100,"&gt;="&amp;B1321,CBIC_Late_Fee_Relief_Windows_3B!$F$1321:$F$100,"&lt;="&amp;C1321,CBIC_Late_Fee_Relief_Windows_3B!$G$1321:$G$100,"&gt;="&amp;C1321)</f>
        <v/>
      </c>
      <c r="H1321">
        <f>INDEX(CBIC_Late_Fee_Relief_Windows_3B!$I$1321:$I$100,MATCH(G1321,CBIC_Late_Fee_Relief_Windows_3B!$O$1321:$O$100,0))</f>
        <v/>
      </c>
      <c r="I1321">
        <f>MIN(F1321,H1321)</f>
        <v/>
      </c>
    </row>
    <row r="1322">
      <c r="A1322">
        <f>TEST_DATA!A1322</f>
        <v/>
      </c>
      <c r="B1322">
        <f>TEST_DATA!B1322</f>
        <v/>
      </c>
      <c r="C1322">
        <f>TEST_DATA!C1322</f>
        <v/>
      </c>
      <c r="D1322">
        <f>TEST_DATA!D1322</f>
        <v/>
      </c>
      <c r="E1322">
        <f>TEST_DATA!E1322</f>
        <v/>
      </c>
      <c r="F1322">
        <f>MIN(E1322*132200,10000)</f>
        <v/>
      </c>
      <c r="G1322">
        <f>MINIFS(CBIC_Late_Fee_Relief_Windows_3B!$O$1322:$O$100,CBIC_Late_Fee_Relief_Windows_3B!$D$1322:$D$100,"&lt;="&amp;B1322,CBIC_Late_Fee_Relief_Windows_3B!$E$1322:$E$100,"&gt;="&amp;B1322,CBIC_Late_Fee_Relief_Windows_3B!$F$1322:$F$100,"&lt;="&amp;C1322,CBIC_Late_Fee_Relief_Windows_3B!$G$1322:$G$100,"&gt;="&amp;C1322)</f>
        <v/>
      </c>
      <c r="H1322">
        <f>INDEX(CBIC_Late_Fee_Relief_Windows_3B!$I$1322:$I$100,MATCH(G1322,CBIC_Late_Fee_Relief_Windows_3B!$O$1322:$O$100,0))</f>
        <v/>
      </c>
      <c r="I1322">
        <f>MIN(F1322,H1322)</f>
        <v/>
      </c>
    </row>
    <row r="1323">
      <c r="A1323">
        <f>TEST_DATA!A1323</f>
        <v/>
      </c>
      <c r="B1323">
        <f>TEST_DATA!B1323</f>
        <v/>
      </c>
      <c r="C1323">
        <f>TEST_DATA!C1323</f>
        <v/>
      </c>
      <c r="D1323">
        <f>TEST_DATA!D1323</f>
        <v/>
      </c>
      <c r="E1323">
        <f>TEST_DATA!E1323</f>
        <v/>
      </c>
      <c r="F1323">
        <f>MIN(E1323*132300,10000)</f>
        <v/>
      </c>
      <c r="G1323">
        <f>MINIFS(CBIC_Late_Fee_Relief_Windows_3B!$O$1323:$O$100,CBIC_Late_Fee_Relief_Windows_3B!$D$1323:$D$100,"&lt;="&amp;B1323,CBIC_Late_Fee_Relief_Windows_3B!$E$1323:$E$100,"&gt;="&amp;B1323,CBIC_Late_Fee_Relief_Windows_3B!$F$1323:$F$100,"&lt;="&amp;C1323,CBIC_Late_Fee_Relief_Windows_3B!$G$1323:$G$100,"&gt;="&amp;C1323)</f>
        <v/>
      </c>
      <c r="H1323">
        <f>INDEX(CBIC_Late_Fee_Relief_Windows_3B!$I$1323:$I$100,MATCH(G1323,CBIC_Late_Fee_Relief_Windows_3B!$O$1323:$O$100,0))</f>
        <v/>
      </c>
      <c r="I1323">
        <f>MIN(F1323,H1323)</f>
        <v/>
      </c>
    </row>
    <row r="1324">
      <c r="A1324">
        <f>TEST_DATA!A1324</f>
        <v/>
      </c>
      <c r="B1324">
        <f>TEST_DATA!B1324</f>
        <v/>
      </c>
      <c r="C1324">
        <f>TEST_DATA!C1324</f>
        <v/>
      </c>
      <c r="D1324">
        <f>TEST_DATA!D1324</f>
        <v/>
      </c>
      <c r="E1324">
        <f>TEST_DATA!E1324</f>
        <v/>
      </c>
      <c r="F1324">
        <f>MIN(E1324*132400,10000)</f>
        <v/>
      </c>
      <c r="G1324">
        <f>MINIFS(CBIC_Late_Fee_Relief_Windows_3B!$O$1324:$O$100,CBIC_Late_Fee_Relief_Windows_3B!$D$1324:$D$100,"&lt;="&amp;B1324,CBIC_Late_Fee_Relief_Windows_3B!$E$1324:$E$100,"&gt;="&amp;B1324,CBIC_Late_Fee_Relief_Windows_3B!$F$1324:$F$100,"&lt;="&amp;C1324,CBIC_Late_Fee_Relief_Windows_3B!$G$1324:$G$100,"&gt;="&amp;C1324)</f>
        <v/>
      </c>
      <c r="H1324">
        <f>INDEX(CBIC_Late_Fee_Relief_Windows_3B!$I$1324:$I$100,MATCH(G1324,CBIC_Late_Fee_Relief_Windows_3B!$O$1324:$O$100,0))</f>
        <v/>
      </c>
      <c r="I1324">
        <f>MIN(F1324,H1324)</f>
        <v/>
      </c>
    </row>
    <row r="1325">
      <c r="A1325">
        <f>TEST_DATA!A1325</f>
        <v/>
      </c>
      <c r="B1325">
        <f>TEST_DATA!B1325</f>
        <v/>
      </c>
      <c r="C1325">
        <f>TEST_DATA!C1325</f>
        <v/>
      </c>
      <c r="D1325">
        <f>TEST_DATA!D1325</f>
        <v/>
      </c>
      <c r="E1325">
        <f>TEST_DATA!E1325</f>
        <v/>
      </c>
      <c r="F1325">
        <f>MIN(E1325*132500,10000)</f>
        <v/>
      </c>
      <c r="G1325">
        <f>MINIFS(CBIC_Late_Fee_Relief_Windows_3B!$O$1325:$O$100,CBIC_Late_Fee_Relief_Windows_3B!$D$1325:$D$100,"&lt;="&amp;B1325,CBIC_Late_Fee_Relief_Windows_3B!$E$1325:$E$100,"&gt;="&amp;B1325,CBIC_Late_Fee_Relief_Windows_3B!$F$1325:$F$100,"&lt;="&amp;C1325,CBIC_Late_Fee_Relief_Windows_3B!$G$1325:$G$100,"&gt;="&amp;C1325)</f>
        <v/>
      </c>
      <c r="H1325">
        <f>INDEX(CBIC_Late_Fee_Relief_Windows_3B!$I$1325:$I$100,MATCH(G1325,CBIC_Late_Fee_Relief_Windows_3B!$O$1325:$O$100,0))</f>
        <v/>
      </c>
      <c r="I1325">
        <f>MIN(F1325,H1325)</f>
        <v/>
      </c>
    </row>
    <row r="1326">
      <c r="A1326">
        <f>TEST_DATA!A1326</f>
        <v/>
      </c>
      <c r="B1326">
        <f>TEST_DATA!B1326</f>
        <v/>
      </c>
      <c r="C1326">
        <f>TEST_DATA!C1326</f>
        <v/>
      </c>
      <c r="D1326">
        <f>TEST_DATA!D1326</f>
        <v/>
      </c>
      <c r="E1326">
        <f>TEST_DATA!E1326</f>
        <v/>
      </c>
      <c r="F1326">
        <f>MIN(E1326*132600,10000)</f>
        <v/>
      </c>
      <c r="G1326">
        <f>MINIFS(CBIC_Late_Fee_Relief_Windows_3B!$O$1326:$O$100,CBIC_Late_Fee_Relief_Windows_3B!$D$1326:$D$100,"&lt;="&amp;B1326,CBIC_Late_Fee_Relief_Windows_3B!$E$1326:$E$100,"&gt;="&amp;B1326,CBIC_Late_Fee_Relief_Windows_3B!$F$1326:$F$100,"&lt;="&amp;C1326,CBIC_Late_Fee_Relief_Windows_3B!$G$1326:$G$100,"&gt;="&amp;C1326)</f>
        <v/>
      </c>
      <c r="H1326">
        <f>INDEX(CBIC_Late_Fee_Relief_Windows_3B!$I$1326:$I$100,MATCH(G1326,CBIC_Late_Fee_Relief_Windows_3B!$O$1326:$O$100,0))</f>
        <v/>
      </c>
      <c r="I1326">
        <f>MIN(F1326,H1326)</f>
        <v/>
      </c>
    </row>
    <row r="1327">
      <c r="A1327">
        <f>TEST_DATA!A1327</f>
        <v/>
      </c>
      <c r="B1327">
        <f>TEST_DATA!B1327</f>
        <v/>
      </c>
      <c r="C1327">
        <f>TEST_DATA!C1327</f>
        <v/>
      </c>
      <c r="D1327">
        <f>TEST_DATA!D1327</f>
        <v/>
      </c>
      <c r="E1327">
        <f>TEST_DATA!E1327</f>
        <v/>
      </c>
      <c r="F1327">
        <f>MIN(E1327*132700,10000)</f>
        <v/>
      </c>
      <c r="G1327">
        <f>MINIFS(CBIC_Late_Fee_Relief_Windows_3B!$O$1327:$O$100,CBIC_Late_Fee_Relief_Windows_3B!$D$1327:$D$100,"&lt;="&amp;B1327,CBIC_Late_Fee_Relief_Windows_3B!$E$1327:$E$100,"&gt;="&amp;B1327,CBIC_Late_Fee_Relief_Windows_3B!$F$1327:$F$100,"&lt;="&amp;C1327,CBIC_Late_Fee_Relief_Windows_3B!$G$1327:$G$100,"&gt;="&amp;C1327)</f>
        <v/>
      </c>
      <c r="H1327">
        <f>INDEX(CBIC_Late_Fee_Relief_Windows_3B!$I$1327:$I$100,MATCH(G1327,CBIC_Late_Fee_Relief_Windows_3B!$O$1327:$O$100,0))</f>
        <v/>
      </c>
      <c r="I1327">
        <f>MIN(F1327,H1327)</f>
        <v/>
      </c>
    </row>
    <row r="1328">
      <c r="A1328">
        <f>TEST_DATA!A1328</f>
        <v/>
      </c>
      <c r="B1328">
        <f>TEST_DATA!B1328</f>
        <v/>
      </c>
      <c r="C1328">
        <f>TEST_DATA!C1328</f>
        <v/>
      </c>
      <c r="D1328">
        <f>TEST_DATA!D1328</f>
        <v/>
      </c>
      <c r="E1328">
        <f>TEST_DATA!E1328</f>
        <v/>
      </c>
      <c r="F1328">
        <f>MIN(E1328*132800,10000)</f>
        <v/>
      </c>
      <c r="G1328">
        <f>MINIFS(CBIC_Late_Fee_Relief_Windows_3B!$O$1328:$O$100,CBIC_Late_Fee_Relief_Windows_3B!$D$1328:$D$100,"&lt;="&amp;B1328,CBIC_Late_Fee_Relief_Windows_3B!$E$1328:$E$100,"&gt;="&amp;B1328,CBIC_Late_Fee_Relief_Windows_3B!$F$1328:$F$100,"&lt;="&amp;C1328,CBIC_Late_Fee_Relief_Windows_3B!$G$1328:$G$100,"&gt;="&amp;C1328)</f>
        <v/>
      </c>
      <c r="H1328">
        <f>INDEX(CBIC_Late_Fee_Relief_Windows_3B!$I$1328:$I$100,MATCH(G1328,CBIC_Late_Fee_Relief_Windows_3B!$O$1328:$O$100,0))</f>
        <v/>
      </c>
      <c r="I1328">
        <f>MIN(F1328,H1328)</f>
        <v/>
      </c>
    </row>
    <row r="1329">
      <c r="A1329">
        <f>TEST_DATA!A1329</f>
        <v/>
      </c>
      <c r="B1329">
        <f>TEST_DATA!B1329</f>
        <v/>
      </c>
      <c r="C1329">
        <f>TEST_DATA!C1329</f>
        <v/>
      </c>
      <c r="D1329">
        <f>TEST_DATA!D1329</f>
        <v/>
      </c>
      <c r="E1329">
        <f>TEST_DATA!E1329</f>
        <v/>
      </c>
      <c r="F1329">
        <f>MIN(E1329*132900,10000)</f>
        <v/>
      </c>
      <c r="G1329">
        <f>MINIFS(CBIC_Late_Fee_Relief_Windows_3B!$O$1329:$O$100,CBIC_Late_Fee_Relief_Windows_3B!$D$1329:$D$100,"&lt;="&amp;B1329,CBIC_Late_Fee_Relief_Windows_3B!$E$1329:$E$100,"&gt;="&amp;B1329,CBIC_Late_Fee_Relief_Windows_3B!$F$1329:$F$100,"&lt;="&amp;C1329,CBIC_Late_Fee_Relief_Windows_3B!$G$1329:$G$100,"&gt;="&amp;C1329)</f>
        <v/>
      </c>
      <c r="H1329">
        <f>INDEX(CBIC_Late_Fee_Relief_Windows_3B!$I$1329:$I$100,MATCH(G1329,CBIC_Late_Fee_Relief_Windows_3B!$O$1329:$O$100,0))</f>
        <v/>
      </c>
      <c r="I1329">
        <f>MIN(F1329,H1329)</f>
        <v/>
      </c>
    </row>
    <row r="1330">
      <c r="A1330">
        <f>TEST_DATA!A1330</f>
        <v/>
      </c>
      <c r="B1330">
        <f>TEST_DATA!B1330</f>
        <v/>
      </c>
      <c r="C1330">
        <f>TEST_DATA!C1330</f>
        <v/>
      </c>
      <c r="D1330">
        <f>TEST_DATA!D1330</f>
        <v/>
      </c>
      <c r="E1330">
        <f>TEST_DATA!E1330</f>
        <v/>
      </c>
      <c r="F1330">
        <f>MIN(E1330*133000,10000)</f>
        <v/>
      </c>
      <c r="G1330">
        <f>MINIFS(CBIC_Late_Fee_Relief_Windows_3B!$O$1330:$O$100,CBIC_Late_Fee_Relief_Windows_3B!$D$1330:$D$100,"&lt;="&amp;B1330,CBIC_Late_Fee_Relief_Windows_3B!$E$1330:$E$100,"&gt;="&amp;B1330,CBIC_Late_Fee_Relief_Windows_3B!$F$1330:$F$100,"&lt;="&amp;C1330,CBIC_Late_Fee_Relief_Windows_3B!$G$1330:$G$100,"&gt;="&amp;C1330)</f>
        <v/>
      </c>
      <c r="H1330">
        <f>INDEX(CBIC_Late_Fee_Relief_Windows_3B!$I$1330:$I$100,MATCH(G1330,CBIC_Late_Fee_Relief_Windows_3B!$O$1330:$O$100,0))</f>
        <v/>
      </c>
      <c r="I1330">
        <f>MIN(F1330,H1330)</f>
        <v/>
      </c>
    </row>
    <row r="1331">
      <c r="A1331">
        <f>TEST_DATA!A1331</f>
        <v/>
      </c>
      <c r="B1331">
        <f>TEST_DATA!B1331</f>
        <v/>
      </c>
      <c r="C1331">
        <f>TEST_DATA!C1331</f>
        <v/>
      </c>
      <c r="D1331">
        <f>TEST_DATA!D1331</f>
        <v/>
      </c>
      <c r="E1331">
        <f>TEST_DATA!E1331</f>
        <v/>
      </c>
      <c r="F1331">
        <f>MIN(E1331*133100,10000)</f>
        <v/>
      </c>
      <c r="G1331">
        <f>MINIFS(CBIC_Late_Fee_Relief_Windows_3B!$O$1331:$O$100,CBIC_Late_Fee_Relief_Windows_3B!$D$1331:$D$100,"&lt;="&amp;B1331,CBIC_Late_Fee_Relief_Windows_3B!$E$1331:$E$100,"&gt;="&amp;B1331,CBIC_Late_Fee_Relief_Windows_3B!$F$1331:$F$100,"&lt;="&amp;C1331,CBIC_Late_Fee_Relief_Windows_3B!$G$1331:$G$100,"&gt;="&amp;C1331)</f>
        <v/>
      </c>
      <c r="H1331">
        <f>INDEX(CBIC_Late_Fee_Relief_Windows_3B!$I$1331:$I$100,MATCH(G1331,CBIC_Late_Fee_Relief_Windows_3B!$O$1331:$O$100,0))</f>
        <v/>
      </c>
      <c r="I1331">
        <f>MIN(F1331,H1331)</f>
        <v/>
      </c>
    </row>
    <row r="1332">
      <c r="A1332">
        <f>TEST_DATA!A1332</f>
        <v/>
      </c>
      <c r="B1332">
        <f>TEST_DATA!B1332</f>
        <v/>
      </c>
      <c r="C1332">
        <f>TEST_DATA!C1332</f>
        <v/>
      </c>
      <c r="D1332">
        <f>TEST_DATA!D1332</f>
        <v/>
      </c>
      <c r="E1332">
        <f>TEST_DATA!E1332</f>
        <v/>
      </c>
      <c r="F1332">
        <f>MIN(E1332*133200,10000)</f>
        <v/>
      </c>
      <c r="G1332">
        <f>MINIFS(CBIC_Late_Fee_Relief_Windows_3B!$O$1332:$O$100,CBIC_Late_Fee_Relief_Windows_3B!$D$1332:$D$100,"&lt;="&amp;B1332,CBIC_Late_Fee_Relief_Windows_3B!$E$1332:$E$100,"&gt;="&amp;B1332,CBIC_Late_Fee_Relief_Windows_3B!$F$1332:$F$100,"&lt;="&amp;C1332,CBIC_Late_Fee_Relief_Windows_3B!$G$1332:$G$100,"&gt;="&amp;C1332)</f>
        <v/>
      </c>
      <c r="H1332">
        <f>INDEX(CBIC_Late_Fee_Relief_Windows_3B!$I$1332:$I$100,MATCH(G1332,CBIC_Late_Fee_Relief_Windows_3B!$O$1332:$O$100,0))</f>
        <v/>
      </c>
      <c r="I1332">
        <f>MIN(F1332,H1332)</f>
        <v/>
      </c>
    </row>
    <row r="1333">
      <c r="A1333">
        <f>TEST_DATA!A1333</f>
        <v/>
      </c>
      <c r="B1333">
        <f>TEST_DATA!B1333</f>
        <v/>
      </c>
      <c r="C1333">
        <f>TEST_DATA!C1333</f>
        <v/>
      </c>
      <c r="D1333">
        <f>TEST_DATA!D1333</f>
        <v/>
      </c>
      <c r="E1333">
        <f>TEST_DATA!E1333</f>
        <v/>
      </c>
      <c r="F1333">
        <f>MIN(E1333*133300,10000)</f>
        <v/>
      </c>
      <c r="G1333">
        <f>MINIFS(CBIC_Late_Fee_Relief_Windows_3B!$O$1333:$O$100,CBIC_Late_Fee_Relief_Windows_3B!$D$1333:$D$100,"&lt;="&amp;B1333,CBIC_Late_Fee_Relief_Windows_3B!$E$1333:$E$100,"&gt;="&amp;B1333,CBIC_Late_Fee_Relief_Windows_3B!$F$1333:$F$100,"&lt;="&amp;C1333,CBIC_Late_Fee_Relief_Windows_3B!$G$1333:$G$100,"&gt;="&amp;C1333)</f>
        <v/>
      </c>
      <c r="H1333">
        <f>INDEX(CBIC_Late_Fee_Relief_Windows_3B!$I$1333:$I$100,MATCH(G1333,CBIC_Late_Fee_Relief_Windows_3B!$O$1333:$O$100,0))</f>
        <v/>
      </c>
      <c r="I1333">
        <f>MIN(F1333,H1333)</f>
        <v/>
      </c>
    </row>
    <row r="1334">
      <c r="A1334">
        <f>TEST_DATA!A1334</f>
        <v/>
      </c>
      <c r="B1334">
        <f>TEST_DATA!B1334</f>
        <v/>
      </c>
      <c r="C1334">
        <f>TEST_DATA!C1334</f>
        <v/>
      </c>
      <c r="D1334">
        <f>TEST_DATA!D1334</f>
        <v/>
      </c>
      <c r="E1334">
        <f>TEST_DATA!E1334</f>
        <v/>
      </c>
      <c r="F1334">
        <f>MIN(E1334*133400,10000)</f>
        <v/>
      </c>
      <c r="G1334">
        <f>MINIFS(CBIC_Late_Fee_Relief_Windows_3B!$O$1334:$O$100,CBIC_Late_Fee_Relief_Windows_3B!$D$1334:$D$100,"&lt;="&amp;B1334,CBIC_Late_Fee_Relief_Windows_3B!$E$1334:$E$100,"&gt;="&amp;B1334,CBIC_Late_Fee_Relief_Windows_3B!$F$1334:$F$100,"&lt;="&amp;C1334,CBIC_Late_Fee_Relief_Windows_3B!$G$1334:$G$100,"&gt;="&amp;C1334)</f>
        <v/>
      </c>
      <c r="H1334">
        <f>INDEX(CBIC_Late_Fee_Relief_Windows_3B!$I$1334:$I$100,MATCH(G1334,CBIC_Late_Fee_Relief_Windows_3B!$O$1334:$O$100,0))</f>
        <v/>
      </c>
      <c r="I1334">
        <f>MIN(F1334,H1334)</f>
        <v/>
      </c>
    </row>
    <row r="1335">
      <c r="A1335">
        <f>TEST_DATA!A1335</f>
        <v/>
      </c>
      <c r="B1335">
        <f>TEST_DATA!B1335</f>
        <v/>
      </c>
      <c r="C1335">
        <f>TEST_DATA!C1335</f>
        <v/>
      </c>
      <c r="D1335">
        <f>TEST_DATA!D1335</f>
        <v/>
      </c>
      <c r="E1335">
        <f>TEST_DATA!E1335</f>
        <v/>
      </c>
      <c r="F1335">
        <f>MIN(E1335*133500,10000)</f>
        <v/>
      </c>
      <c r="G1335">
        <f>MINIFS(CBIC_Late_Fee_Relief_Windows_3B!$O$1335:$O$100,CBIC_Late_Fee_Relief_Windows_3B!$D$1335:$D$100,"&lt;="&amp;B1335,CBIC_Late_Fee_Relief_Windows_3B!$E$1335:$E$100,"&gt;="&amp;B1335,CBIC_Late_Fee_Relief_Windows_3B!$F$1335:$F$100,"&lt;="&amp;C1335,CBIC_Late_Fee_Relief_Windows_3B!$G$1335:$G$100,"&gt;="&amp;C1335)</f>
        <v/>
      </c>
      <c r="H1335">
        <f>INDEX(CBIC_Late_Fee_Relief_Windows_3B!$I$1335:$I$100,MATCH(G1335,CBIC_Late_Fee_Relief_Windows_3B!$O$1335:$O$100,0))</f>
        <v/>
      </c>
      <c r="I1335">
        <f>MIN(F1335,H1335)</f>
        <v/>
      </c>
    </row>
    <row r="1336">
      <c r="A1336">
        <f>TEST_DATA!A1336</f>
        <v/>
      </c>
      <c r="B1336">
        <f>TEST_DATA!B1336</f>
        <v/>
      </c>
      <c r="C1336">
        <f>TEST_DATA!C1336</f>
        <v/>
      </c>
      <c r="D1336">
        <f>TEST_DATA!D1336</f>
        <v/>
      </c>
      <c r="E1336">
        <f>TEST_DATA!E1336</f>
        <v/>
      </c>
      <c r="F1336">
        <f>MIN(E1336*133600,10000)</f>
        <v/>
      </c>
      <c r="G1336">
        <f>MINIFS(CBIC_Late_Fee_Relief_Windows_3B!$O$1336:$O$100,CBIC_Late_Fee_Relief_Windows_3B!$D$1336:$D$100,"&lt;="&amp;B1336,CBIC_Late_Fee_Relief_Windows_3B!$E$1336:$E$100,"&gt;="&amp;B1336,CBIC_Late_Fee_Relief_Windows_3B!$F$1336:$F$100,"&lt;="&amp;C1336,CBIC_Late_Fee_Relief_Windows_3B!$G$1336:$G$100,"&gt;="&amp;C1336)</f>
        <v/>
      </c>
      <c r="H1336">
        <f>INDEX(CBIC_Late_Fee_Relief_Windows_3B!$I$1336:$I$100,MATCH(G1336,CBIC_Late_Fee_Relief_Windows_3B!$O$1336:$O$100,0))</f>
        <v/>
      </c>
      <c r="I1336">
        <f>MIN(F1336,H1336)</f>
        <v/>
      </c>
    </row>
    <row r="1337">
      <c r="A1337">
        <f>TEST_DATA!A1337</f>
        <v/>
      </c>
      <c r="B1337">
        <f>TEST_DATA!B1337</f>
        <v/>
      </c>
      <c r="C1337">
        <f>TEST_DATA!C1337</f>
        <v/>
      </c>
      <c r="D1337">
        <f>TEST_DATA!D1337</f>
        <v/>
      </c>
      <c r="E1337">
        <f>TEST_DATA!E1337</f>
        <v/>
      </c>
      <c r="F1337">
        <f>MIN(E1337*133700,10000)</f>
        <v/>
      </c>
      <c r="G1337">
        <f>MINIFS(CBIC_Late_Fee_Relief_Windows_3B!$O$1337:$O$100,CBIC_Late_Fee_Relief_Windows_3B!$D$1337:$D$100,"&lt;="&amp;B1337,CBIC_Late_Fee_Relief_Windows_3B!$E$1337:$E$100,"&gt;="&amp;B1337,CBIC_Late_Fee_Relief_Windows_3B!$F$1337:$F$100,"&lt;="&amp;C1337,CBIC_Late_Fee_Relief_Windows_3B!$G$1337:$G$100,"&gt;="&amp;C1337)</f>
        <v/>
      </c>
      <c r="H1337">
        <f>INDEX(CBIC_Late_Fee_Relief_Windows_3B!$I$1337:$I$100,MATCH(G1337,CBIC_Late_Fee_Relief_Windows_3B!$O$1337:$O$100,0))</f>
        <v/>
      </c>
      <c r="I1337">
        <f>MIN(F1337,H1337)</f>
        <v/>
      </c>
    </row>
    <row r="1338">
      <c r="A1338">
        <f>TEST_DATA!A1338</f>
        <v/>
      </c>
      <c r="B1338">
        <f>TEST_DATA!B1338</f>
        <v/>
      </c>
      <c r="C1338">
        <f>TEST_DATA!C1338</f>
        <v/>
      </c>
      <c r="D1338">
        <f>TEST_DATA!D1338</f>
        <v/>
      </c>
      <c r="E1338">
        <f>TEST_DATA!E1338</f>
        <v/>
      </c>
      <c r="F1338">
        <f>MIN(E1338*133800,10000)</f>
        <v/>
      </c>
      <c r="G1338">
        <f>MINIFS(CBIC_Late_Fee_Relief_Windows_3B!$O$1338:$O$100,CBIC_Late_Fee_Relief_Windows_3B!$D$1338:$D$100,"&lt;="&amp;B1338,CBIC_Late_Fee_Relief_Windows_3B!$E$1338:$E$100,"&gt;="&amp;B1338,CBIC_Late_Fee_Relief_Windows_3B!$F$1338:$F$100,"&lt;="&amp;C1338,CBIC_Late_Fee_Relief_Windows_3B!$G$1338:$G$100,"&gt;="&amp;C1338)</f>
        <v/>
      </c>
      <c r="H1338">
        <f>INDEX(CBIC_Late_Fee_Relief_Windows_3B!$I$1338:$I$100,MATCH(G1338,CBIC_Late_Fee_Relief_Windows_3B!$O$1338:$O$100,0))</f>
        <v/>
      </c>
      <c r="I1338">
        <f>MIN(F1338,H1338)</f>
        <v/>
      </c>
    </row>
    <row r="1339">
      <c r="A1339">
        <f>TEST_DATA!A1339</f>
        <v/>
      </c>
      <c r="B1339">
        <f>TEST_DATA!B1339</f>
        <v/>
      </c>
      <c r="C1339">
        <f>TEST_DATA!C1339</f>
        <v/>
      </c>
      <c r="D1339">
        <f>TEST_DATA!D1339</f>
        <v/>
      </c>
      <c r="E1339">
        <f>TEST_DATA!E1339</f>
        <v/>
      </c>
      <c r="F1339">
        <f>MIN(E1339*133900,10000)</f>
        <v/>
      </c>
      <c r="G1339">
        <f>MINIFS(CBIC_Late_Fee_Relief_Windows_3B!$O$1339:$O$100,CBIC_Late_Fee_Relief_Windows_3B!$D$1339:$D$100,"&lt;="&amp;B1339,CBIC_Late_Fee_Relief_Windows_3B!$E$1339:$E$100,"&gt;="&amp;B1339,CBIC_Late_Fee_Relief_Windows_3B!$F$1339:$F$100,"&lt;="&amp;C1339,CBIC_Late_Fee_Relief_Windows_3B!$G$1339:$G$100,"&gt;="&amp;C1339)</f>
        <v/>
      </c>
      <c r="H1339">
        <f>INDEX(CBIC_Late_Fee_Relief_Windows_3B!$I$1339:$I$100,MATCH(G1339,CBIC_Late_Fee_Relief_Windows_3B!$O$1339:$O$100,0))</f>
        <v/>
      </c>
      <c r="I1339">
        <f>MIN(F1339,H1339)</f>
        <v/>
      </c>
    </row>
    <row r="1340">
      <c r="A1340">
        <f>TEST_DATA!A1340</f>
        <v/>
      </c>
      <c r="B1340">
        <f>TEST_DATA!B1340</f>
        <v/>
      </c>
      <c r="C1340">
        <f>TEST_DATA!C1340</f>
        <v/>
      </c>
      <c r="D1340">
        <f>TEST_DATA!D1340</f>
        <v/>
      </c>
      <c r="E1340">
        <f>TEST_DATA!E1340</f>
        <v/>
      </c>
      <c r="F1340">
        <f>MIN(E1340*134000,10000)</f>
        <v/>
      </c>
      <c r="G1340">
        <f>MINIFS(CBIC_Late_Fee_Relief_Windows_3B!$O$1340:$O$100,CBIC_Late_Fee_Relief_Windows_3B!$D$1340:$D$100,"&lt;="&amp;B1340,CBIC_Late_Fee_Relief_Windows_3B!$E$1340:$E$100,"&gt;="&amp;B1340,CBIC_Late_Fee_Relief_Windows_3B!$F$1340:$F$100,"&lt;="&amp;C1340,CBIC_Late_Fee_Relief_Windows_3B!$G$1340:$G$100,"&gt;="&amp;C1340)</f>
        <v/>
      </c>
      <c r="H1340">
        <f>INDEX(CBIC_Late_Fee_Relief_Windows_3B!$I$1340:$I$100,MATCH(G1340,CBIC_Late_Fee_Relief_Windows_3B!$O$1340:$O$100,0))</f>
        <v/>
      </c>
      <c r="I1340">
        <f>MIN(F1340,H1340)</f>
        <v/>
      </c>
    </row>
    <row r="1341">
      <c r="A1341">
        <f>TEST_DATA!A1341</f>
        <v/>
      </c>
      <c r="B1341">
        <f>TEST_DATA!B1341</f>
        <v/>
      </c>
      <c r="C1341">
        <f>TEST_DATA!C1341</f>
        <v/>
      </c>
      <c r="D1341">
        <f>TEST_DATA!D1341</f>
        <v/>
      </c>
      <c r="E1341">
        <f>TEST_DATA!E1341</f>
        <v/>
      </c>
      <c r="F1341">
        <f>MIN(E1341*134100,10000)</f>
        <v/>
      </c>
      <c r="G1341">
        <f>MINIFS(CBIC_Late_Fee_Relief_Windows_3B!$O$1341:$O$100,CBIC_Late_Fee_Relief_Windows_3B!$D$1341:$D$100,"&lt;="&amp;B1341,CBIC_Late_Fee_Relief_Windows_3B!$E$1341:$E$100,"&gt;="&amp;B1341,CBIC_Late_Fee_Relief_Windows_3B!$F$1341:$F$100,"&lt;="&amp;C1341,CBIC_Late_Fee_Relief_Windows_3B!$G$1341:$G$100,"&gt;="&amp;C1341)</f>
        <v/>
      </c>
      <c r="H1341">
        <f>INDEX(CBIC_Late_Fee_Relief_Windows_3B!$I$1341:$I$100,MATCH(G1341,CBIC_Late_Fee_Relief_Windows_3B!$O$1341:$O$100,0))</f>
        <v/>
      </c>
      <c r="I1341">
        <f>MIN(F1341,H1341)</f>
        <v/>
      </c>
    </row>
    <row r="1342">
      <c r="A1342">
        <f>TEST_DATA!A1342</f>
        <v/>
      </c>
      <c r="B1342">
        <f>TEST_DATA!B1342</f>
        <v/>
      </c>
      <c r="C1342">
        <f>TEST_DATA!C1342</f>
        <v/>
      </c>
      <c r="D1342">
        <f>TEST_DATA!D1342</f>
        <v/>
      </c>
      <c r="E1342">
        <f>TEST_DATA!E1342</f>
        <v/>
      </c>
      <c r="F1342">
        <f>MIN(E1342*134200,10000)</f>
        <v/>
      </c>
      <c r="G1342">
        <f>MINIFS(CBIC_Late_Fee_Relief_Windows_3B!$O$1342:$O$100,CBIC_Late_Fee_Relief_Windows_3B!$D$1342:$D$100,"&lt;="&amp;B1342,CBIC_Late_Fee_Relief_Windows_3B!$E$1342:$E$100,"&gt;="&amp;B1342,CBIC_Late_Fee_Relief_Windows_3B!$F$1342:$F$100,"&lt;="&amp;C1342,CBIC_Late_Fee_Relief_Windows_3B!$G$1342:$G$100,"&gt;="&amp;C1342)</f>
        <v/>
      </c>
      <c r="H1342">
        <f>INDEX(CBIC_Late_Fee_Relief_Windows_3B!$I$1342:$I$100,MATCH(G1342,CBIC_Late_Fee_Relief_Windows_3B!$O$1342:$O$100,0))</f>
        <v/>
      </c>
      <c r="I1342">
        <f>MIN(F1342,H1342)</f>
        <v/>
      </c>
    </row>
    <row r="1343">
      <c r="A1343">
        <f>TEST_DATA!A1343</f>
        <v/>
      </c>
      <c r="B1343">
        <f>TEST_DATA!B1343</f>
        <v/>
      </c>
      <c r="C1343">
        <f>TEST_DATA!C1343</f>
        <v/>
      </c>
      <c r="D1343">
        <f>TEST_DATA!D1343</f>
        <v/>
      </c>
      <c r="E1343">
        <f>TEST_DATA!E1343</f>
        <v/>
      </c>
      <c r="F1343">
        <f>MIN(E1343*134300,10000)</f>
        <v/>
      </c>
      <c r="G1343">
        <f>MINIFS(CBIC_Late_Fee_Relief_Windows_3B!$O$1343:$O$100,CBIC_Late_Fee_Relief_Windows_3B!$D$1343:$D$100,"&lt;="&amp;B1343,CBIC_Late_Fee_Relief_Windows_3B!$E$1343:$E$100,"&gt;="&amp;B1343,CBIC_Late_Fee_Relief_Windows_3B!$F$1343:$F$100,"&lt;="&amp;C1343,CBIC_Late_Fee_Relief_Windows_3B!$G$1343:$G$100,"&gt;="&amp;C1343)</f>
        <v/>
      </c>
      <c r="H1343">
        <f>INDEX(CBIC_Late_Fee_Relief_Windows_3B!$I$1343:$I$100,MATCH(G1343,CBIC_Late_Fee_Relief_Windows_3B!$O$1343:$O$100,0))</f>
        <v/>
      </c>
      <c r="I1343">
        <f>MIN(F1343,H1343)</f>
        <v/>
      </c>
    </row>
    <row r="1344">
      <c r="A1344">
        <f>TEST_DATA!A1344</f>
        <v/>
      </c>
      <c r="B1344">
        <f>TEST_DATA!B1344</f>
        <v/>
      </c>
      <c r="C1344">
        <f>TEST_DATA!C1344</f>
        <v/>
      </c>
      <c r="D1344">
        <f>TEST_DATA!D1344</f>
        <v/>
      </c>
      <c r="E1344">
        <f>TEST_DATA!E1344</f>
        <v/>
      </c>
      <c r="F1344">
        <f>MIN(E1344*134400,10000)</f>
        <v/>
      </c>
      <c r="G1344">
        <f>MINIFS(CBIC_Late_Fee_Relief_Windows_3B!$O$1344:$O$100,CBIC_Late_Fee_Relief_Windows_3B!$D$1344:$D$100,"&lt;="&amp;B1344,CBIC_Late_Fee_Relief_Windows_3B!$E$1344:$E$100,"&gt;="&amp;B1344,CBIC_Late_Fee_Relief_Windows_3B!$F$1344:$F$100,"&lt;="&amp;C1344,CBIC_Late_Fee_Relief_Windows_3B!$G$1344:$G$100,"&gt;="&amp;C1344)</f>
        <v/>
      </c>
      <c r="H1344">
        <f>INDEX(CBIC_Late_Fee_Relief_Windows_3B!$I$1344:$I$100,MATCH(G1344,CBIC_Late_Fee_Relief_Windows_3B!$O$1344:$O$100,0))</f>
        <v/>
      </c>
      <c r="I1344">
        <f>MIN(F1344,H1344)</f>
        <v/>
      </c>
    </row>
    <row r="1345">
      <c r="A1345">
        <f>TEST_DATA!A1345</f>
        <v/>
      </c>
      <c r="B1345">
        <f>TEST_DATA!B1345</f>
        <v/>
      </c>
      <c r="C1345">
        <f>TEST_DATA!C1345</f>
        <v/>
      </c>
      <c r="D1345">
        <f>TEST_DATA!D1345</f>
        <v/>
      </c>
      <c r="E1345">
        <f>TEST_DATA!E1345</f>
        <v/>
      </c>
      <c r="F1345">
        <f>MIN(E1345*134500,10000)</f>
        <v/>
      </c>
      <c r="G1345">
        <f>MINIFS(CBIC_Late_Fee_Relief_Windows_3B!$O$1345:$O$100,CBIC_Late_Fee_Relief_Windows_3B!$D$1345:$D$100,"&lt;="&amp;B1345,CBIC_Late_Fee_Relief_Windows_3B!$E$1345:$E$100,"&gt;="&amp;B1345,CBIC_Late_Fee_Relief_Windows_3B!$F$1345:$F$100,"&lt;="&amp;C1345,CBIC_Late_Fee_Relief_Windows_3B!$G$1345:$G$100,"&gt;="&amp;C1345)</f>
        <v/>
      </c>
      <c r="H1345">
        <f>INDEX(CBIC_Late_Fee_Relief_Windows_3B!$I$1345:$I$100,MATCH(G1345,CBIC_Late_Fee_Relief_Windows_3B!$O$1345:$O$100,0))</f>
        <v/>
      </c>
      <c r="I1345">
        <f>MIN(F1345,H1345)</f>
        <v/>
      </c>
    </row>
    <row r="1346">
      <c r="A1346">
        <f>TEST_DATA!A1346</f>
        <v/>
      </c>
      <c r="B1346">
        <f>TEST_DATA!B1346</f>
        <v/>
      </c>
      <c r="C1346">
        <f>TEST_DATA!C1346</f>
        <v/>
      </c>
      <c r="D1346">
        <f>TEST_DATA!D1346</f>
        <v/>
      </c>
      <c r="E1346">
        <f>TEST_DATA!E1346</f>
        <v/>
      </c>
      <c r="F1346">
        <f>MIN(E1346*134600,10000)</f>
        <v/>
      </c>
      <c r="G1346">
        <f>MINIFS(CBIC_Late_Fee_Relief_Windows_3B!$O$1346:$O$100,CBIC_Late_Fee_Relief_Windows_3B!$D$1346:$D$100,"&lt;="&amp;B1346,CBIC_Late_Fee_Relief_Windows_3B!$E$1346:$E$100,"&gt;="&amp;B1346,CBIC_Late_Fee_Relief_Windows_3B!$F$1346:$F$100,"&lt;="&amp;C1346,CBIC_Late_Fee_Relief_Windows_3B!$G$1346:$G$100,"&gt;="&amp;C1346)</f>
        <v/>
      </c>
      <c r="H1346">
        <f>INDEX(CBIC_Late_Fee_Relief_Windows_3B!$I$1346:$I$100,MATCH(G1346,CBIC_Late_Fee_Relief_Windows_3B!$O$1346:$O$100,0))</f>
        <v/>
      </c>
      <c r="I1346">
        <f>MIN(F1346,H1346)</f>
        <v/>
      </c>
    </row>
    <row r="1347">
      <c r="A1347">
        <f>TEST_DATA!A1347</f>
        <v/>
      </c>
      <c r="B1347">
        <f>TEST_DATA!B1347</f>
        <v/>
      </c>
      <c r="C1347">
        <f>TEST_DATA!C1347</f>
        <v/>
      </c>
      <c r="D1347">
        <f>TEST_DATA!D1347</f>
        <v/>
      </c>
      <c r="E1347">
        <f>TEST_DATA!E1347</f>
        <v/>
      </c>
      <c r="F1347">
        <f>MIN(E1347*134700,10000)</f>
        <v/>
      </c>
      <c r="G1347">
        <f>MINIFS(CBIC_Late_Fee_Relief_Windows_3B!$O$1347:$O$100,CBIC_Late_Fee_Relief_Windows_3B!$D$1347:$D$100,"&lt;="&amp;B1347,CBIC_Late_Fee_Relief_Windows_3B!$E$1347:$E$100,"&gt;="&amp;B1347,CBIC_Late_Fee_Relief_Windows_3B!$F$1347:$F$100,"&lt;="&amp;C1347,CBIC_Late_Fee_Relief_Windows_3B!$G$1347:$G$100,"&gt;="&amp;C1347)</f>
        <v/>
      </c>
      <c r="H1347">
        <f>INDEX(CBIC_Late_Fee_Relief_Windows_3B!$I$1347:$I$100,MATCH(G1347,CBIC_Late_Fee_Relief_Windows_3B!$O$1347:$O$100,0))</f>
        <v/>
      </c>
      <c r="I1347">
        <f>MIN(F1347,H1347)</f>
        <v/>
      </c>
    </row>
    <row r="1348">
      <c r="A1348">
        <f>TEST_DATA!A1348</f>
        <v/>
      </c>
      <c r="B1348">
        <f>TEST_DATA!B1348</f>
        <v/>
      </c>
      <c r="C1348">
        <f>TEST_DATA!C1348</f>
        <v/>
      </c>
      <c r="D1348">
        <f>TEST_DATA!D1348</f>
        <v/>
      </c>
      <c r="E1348">
        <f>TEST_DATA!E1348</f>
        <v/>
      </c>
      <c r="F1348">
        <f>MIN(E1348*134800,10000)</f>
        <v/>
      </c>
      <c r="G1348">
        <f>MINIFS(CBIC_Late_Fee_Relief_Windows_3B!$O$1348:$O$100,CBIC_Late_Fee_Relief_Windows_3B!$D$1348:$D$100,"&lt;="&amp;B1348,CBIC_Late_Fee_Relief_Windows_3B!$E$1348:$E$100,"&gt;="&amp;B1348,CBIC_Late_Fee_Relief_Windows_3B!$F$1348:$F$100,"&lt;="&amp;C1348,CBIC_Late_Fee_Relief_Windows_3B!$G$1348:$G$100,"&gt;="&amp;C1348)</f>
        <v/>
      </c>
      <c r="H1348">
        <f>INDEX(CBIC_Late_Fee_Relief_Windows_3B!$I$1348:$I$100,MATCH(G1348,CBIC_Late_Fee_Relief_Windows_3B!$O$1348:$O$100,0))</f>
        <v/>
      </c>
      <c r="I1348">
        <f>MIN(F1348,H1348)</f>
        <v/>
      </c>
    </row>
    <row r="1349">
      <c r="A1349">
        <f>TEST_DATA!A1349</f>
        <v/>
      </c>
      <c r="B1349">
        <f>TEST_DATA!B1349</f>
        <v/>
      </c>
      <c r="C1349">
        <f>TEST_DATA!C1349</f>
        <v/>
      </c>
      <c r="D1349">
        <f>TEST_DATA!D1349</f>
        <v/>
      </c>
      <c r="E1349">
        <f>TEST_DATA!E1349</f>
        <v/>
      </c>
      <c r="F1349">
        <f>MIN(E1349*134900,10000)</f>
        <v/>
      </c>
      <c r="G1349">
        <f>MINIFS(CBIC_Late_Fee_Relief_Windows_3B!$O$1349:$O$100,CBIC_Late_Fee_Relief_Windows_3B!$D$1349:$D$100,"&lt;="&amp;B1349,CBIC_Late_Fee_Relief_Windows_3B!$E$1349:$E$100,"&gt;="&amp;B1349,CBIC_Late_Fee_Relief_Windows_3B!$F$1349:$F$100,"&lt;="&amp;C1349,CBIC_Late_Fee_Relief_Windows_3B!$G$1349:$G$100,"&gt;="&amp;C1349)</f>
        <v/>
      </c>
      <c r="H1349">
        <f>INDEX(CBIC_Late_Fee_Relief_Windows_3B!$I$1349:$I$100,MATCH(G1349,CBIC_Late_Fee_Relief_Windows_3B!$O$1349:$O$100,0))</f>
        <v/>
      </c>
      <c r="I1349">
        <f>MIN(F1349,H1349)</f>
        <v/>
      </c>
    </row>
    <row r="1350">
      <c r="A1350">
        <f>TEST_DATA!A1350</f>
        <v/>
      </c>
      <c r="B1350">
        <f>TEST_DATA!B1350</f>
        <v/>
      </c>
      <c r="C1350">
        <f>TEST_DATA!C1350</f>
        <v/>
      </c>
      <c r="D1350">
        <f>TEST_DATA!D1350</f>
        <v/>
      </c>
      <c r="E1350">
        <f>TEST_DATA!E1350</f>
        <v/>
      </c>
      <c r="F1350">
        <f>MIN(E1350*135000,10000)</f>
        <v/>
      </c>
      <c r="G1350">
        <f>MINIFS(CBIC_Late_Fee_Relief_Windows_3B!$O$1350:$O$100,CBIC_Late_Fee_Relief_Windows_3B!$D$1350:$D$100,"&lt;="&amp;B1350,CBIC_Late_Fee_Relief_Windows_3B!$E$1350:$E$100,"&gt;="&amp;B1350,CBIC_Late_Fee_Relief_Windows_3B!$F$1350:$F$100,"&lt;="&amp;C1350,CBIC_Late_Fee_Relief_Windows_3B!$G$1350:$G$100,"&gt;="&amp;C1350)</f>
        <v/>
      </c>
      <c r="H1350">
        <f>INDEX(CBIC_Late_Fee_Relief_Windows_3B!$I$1350:$I$100,MATCH(G1350,CBIC_Late_Fee_Relief_Windows_3B!$O$1350:$O$100,0))</f>
        <v/>
      </c>
      <c r="I1350">
        <f>MIN(F1350,H1350)</f>
        <v/>
      </c>
    </row>
    <row r="1351">
      <c r="A1351">
        <f>TEST_DATA!A1351</f>
        <v/>
      </c>
      <c r="B1351">
        <f>TEST_DATA!B1351</f>
        <v/>
      </c>
      <c r="C1351">
        <f>TEST_DATA!C1351</f>
        <v/>
      </c>
      <c r="D1351">
        <f>TEST_DATA!D1351</f>
        <v/>
      </c>
      <c r="E1351">
        <f>TEST_DATA!E1351</f>
        <v/>
      </c>
      <c r="F1351">
        <f>MIN(E1351*135100,10000)</f>
        <v/>
      </c>
      <c r="G1351">
        <f>MINIFS(CBIC_Late_Fee_Relief_Windows_3B!$O$1351:$O$100,CBIC_Late_Fee_Relief_Windows_3B!$D$1351:$D$100,"&lt;="&amp;B1351,CBIC_Late_Fee_Relief_Windows_3B!$E$1351:$E$100,"&gt;="&amp;B1351,CBIC_Late_Fee_Relief_Windows_3B!$F$1351:$F$100,"&lt;="&amp;C1351,CBIC_Late_Fee_Relief_Windows_3B!$G$1351:$G$100,"&gt;="&amp;C1351)</f>
        <v/>
      </c>
      <c r="H1351">
        <f>INDEX(CBIC_Late_Fee_Relief_Windows_3B!$I$1351:$I$100,MATCH(G1351,CBIC_Late_Fee_Relief_Windows_3B!$O$1351:$O$100,0))</f>
        <v/>
      </c>
      <c r="I1351">
        <f>MIN(F1351,H1351)</f>
        <v/>
      </c>
    </row>
    <row r="1352">
      <c r="A1352">
        <f>TEST_DATA!A1352</f>
        <v/>
      </c>
      <c r="B1352">
        <f>TEST_DATA!B1352</f>
        <v/>
      </c>
      <c r="C1352">
        <f>TEST_DATA!C1352</f>
        <v/>
      </c>
      <c r="D1352">
        <f>TEST_DATA!D1352</f>
        <v/>
      </c>
      <c r="E1352">
        <f>TEST_DATA!E1352</f>
        <v/>
      </c>
      <c r="F1352">
        <f>MIN(E1352*135200,10000)</f>
        <v/>
      </c>
      <c r="G1352">
        <f>MINIFS(CBIC_Late_Fee_Relief_Windows_3B!$O$1352:$O$100,CBIC_Late_Fee_Relief_Windows_3B!$D$1352:$D$100,"&lt;="&amp;B1352,CBIC_Late_Fee_Relief_Windows_3B!$E$1352:$E$100,"&gt;="&amp;B1352,CBIC_Late_Fee_Relief_Windows_3B!$F$1352:$F$100,"&lt;="&amp;C1352,CBIC_Late_Fee_Relief_Windows_3B!$G$1352:$G$100,"&gt;="&amp;C1352)</f>
        <v/>
      </c>
      <c r="H1352">
        <f>INDEX(CBIC_Late_Fee_Relief_Windows_3B!$I$1352:$I$100,MATCH(G1352,CBIC_Late_Fee_Relief_Windows_3B!$O$1352:$O$100,0))</f>
        <v/>
      </c>
      <c r="I1352">
        <f>MIN(F1352,H1352)</f>
        <v/>
      </c>
    </row>
    <row r="1353">
      <c r="A1353">
        <f>TEST_DATA!A1353</f>
        <v/>
      </c>
      <c r="B1353">
        <f>TEST_DATA!B1353</f>
        <v/>
      </c>
      <c r="C1353">
        <f>TEST_DATA!C1353</f>
        <v/>
      </c>
      <c r="D1353">
        <f>TEST_DATA!D1353</f>
        <v/>
      </c>
      <c r="E1353">
        <f>TEST_DATA!E1353</f>
        <v/>
      </c>
      <c r="F1353">
        <f>MIN(E1353*135300,10000)</f>
        <v/>
      </c>
      <c r="G1353">
        <f>MINIFS(CBIC_Late_Fee_Relief_Windows_3B!$O$1353:$O$100,CBIC_Late_Fee_Relief_Windows_3B!$D$1353:$D$100,"&lt;="&amp;B1353,CBIC_Late_Fee_Relief_Windows_3B!$E$1353:$E$100,"&gt;="&amp;B1353,CBIC_Late_Fee_Relief_Windows_3B!$F$1353:$F$100,"&lt;="&amp;C1353,CBIC_Late_Fee_Relief_Windows_3B!$G$1353:$G$100,"&gt;="&amp;C1353)</f>
        <v/>
      </c>
      <c r="H1353">
        <f>INDEX(CBIC_Late_Fee_Relief_Windows_3B!$I$1353:$I$100,MATCH(G1353,CBIC_Late_Fee_Relief_Windows_3B!$O$1353:$O$100,0))</f>
        <v/>
      </c>
      <c r="I1353">
        <f>MIN(F1353,H1353)</f>
        <v/>
      </c>
    </row>
    <row r="1354">
      <c r="A1354">
        <f>TEST_DATA!A1354</f>
        <v/>
      </c>
      <c r="B1354">
        <f>TEST_DATA!B1354</f>
        <v/>
      </c>
      <c r="C1354">
        <f>TEST_DATA!C1354</f>
        <v/>
      </c>
      <c r="D1354">
        <f>TEST_DATA!D1354</f>
        <v/>
      </c>
      <c r="E1354">
        <f>TEST_DATA!E1354</f>
        <v/>
      </c>
      <c r="F1354">
        <f>MIN(E1354*135400,10000)</f>
        <v/>
      </c>
      <c r="G1354">
        <f>MINIFS(CBIC_Late_Fee_Relief_Windows_3B!$O$1354:$O$100,CBIC_Late_Fee_Relief_Windows_3B!$D$1354:$D$100,"&lt;="&amp;B1354,CBIC_Late_Fee_Relief_Windows_3B!$E$1354:$E$100,"&gt;="&amp;B1354,CBIC_Late_Fee_Relief_Windows_3B!$F$1354:$F$100,"&lt;="&amp;C1354,CBIC_Late_Fee_Relief_Windows_3B!$G$1354:$G$100,"&gt;="&amp;C1354)</f>
        <v/>
      </c>
      <c r="H1354">
        <f>INDEX(CBIC_Late_Fee_Relief_Windows_3B!$I$1354:$I$100,MATCH(G1354,CBIC_Late_Fee_Relief_Windows_3B!$O$1354:$O$100,0))</f>
        <v/>
      </c>
      <c r="I1354">
        <f>MIN(F1354,H1354)</f>
        <v/>
      </c>
    </row>
    <row r="1355">
      <c r="A1355">
        <f>TEST_DATA!A1355</f>
        <v/>
      </c>
      <c r="B1355">
        <f>TEST_DATA!B1355</f>
        <v/>
      </c>
      <c r="C1355">
        <f>TEST_DATA!C1355</f>
        <v/>
      </c>
      <c r="D1355">
        <f>TEST_DATA!D1355</f>
        <v/>
      </c>
      <c r="E1355">
        <f>TEST_DATA!E1355</f>
        <v/>
      </c>
      <c r="F1355">
        <f>MIN(E1355*135500,10000)</f>
        <v/>
      </c>
      <c r="G1355">
        <f>MINIFS(CBIC_Late_Fee_Relief_Windows_3B!$O$1355:$O$100,CBIC_Late_Fee_Relief_Windows_3B!$D$1355:$D$100,"&lt;="&amp;B1355,CBIC_Late_Fee_Relief_Windows_3B!$E$1355:$E$100,"&gt;="&amp;B1355,CBIC_Late_Fee_Relief_Windows_3B!$F$1355:$F$100,"&lt;="&amp;C1355,CBIC_Late_Fee_Relief_Windows_3B!$G$1355:$G$100,"&gt;="&amp;C1355)</f>
        <v/>
      </c>
      <c r="H1355">
        <f>INDEX(CBIC_Late_Fee_Relief_Windows_3B!$I$1355:$I$100,MATCH(G1355,CBIC_Late_Fee_Relief_Windows_3B!$O$1355:$O$100,0))</f>
        <v/>
      </c>
      <c r="I1355">
        <f>MIN(F1355,H1355)</f>
        <v/>
      </c>
    </row>
    <row r="1356">
      <c r="A1356">
        <f>TEST_DATA!A1356</f>
        <v/>
      </c>
      <c r="B1356">
        <f>TEST_DATA!B1356</f>
        <v/>
      </c>
      <c r="C1356">
        <f>TEST_DATA!C1356</f>
        <v/>
      </c>
      <c r="D1356">
        <f>TEST_DATA!D1356</f>
        <v/>
      </c>
      <c r="E1356">
        <f>TEST_DATA!E1356</f>
        <v/>
      </c>
      <c r="F1356">
        <f>MIN(E1356*135600,10000)</f>
        <v/>
      </c>
      <c r="G1356">
        <f>MINIFS(CBIC_Late_Fee_Relief_Windows_3B!$O$1356:$O$100,CBIC_Late_Fee_Relief_Windows_3B!$D$1356:$D$100,"&lt;="&amp;B1356,CBIC_Late_Fee_Relief_Windows_3B!$E$1356:$E$100,"&gt;="&amp;B1356,CBIC_Late_Fee_Relief_Windows_3B!$F$1356:$F$100,"&lt;="&amp;C1356,CBIC_Late_Fee_Relief_Windows_3B!$G$1356:$G$100,"&gt;="&amp;C1356)</f>
        <v/>
      </c>
      <c r="H1356">
        <f>INDEX(CBIC_Late_Fee_Relief_Windows_3B!$I$1356:$I$100,MATCH(G1356,CBIC_Late_Fee_Relief_Windows_3B!$O$1356:$O$100,0))</f>
        <v/>
      </c>
      <c r="I1356">
        <f>MIN(F1356,H1356)</f>
        <v/>
      </c>
    </row>
    <row r="1357">
      <c r="A1357">
        <f>TEST_DATA!A1357</f>
        <v/>
      </c>
      <c r="B1357">
        <f>TEST_DATA!B1357</f>
        <v/>
      </c>
      <c r="C1357">
        <f>TEST_DATA!C1357</f>
        <v/>
      </c>
      <c r="D1357">
        <f>TEST_DATA!D1357</f>
        <v/>
      </c>
      <c r="E1357">
        <f>TEST_DATA!E1357</f>
        <v/>
      </c>
      <c r="F1357">
        <f>MIN(E1357*135700,10000)</f>
        <v/>
      </c>
      <c r="G1357">
        <f>MINIFS(CBIC_Late_Fee_Relief_Windows_3B!$O$1357:$O$100,CBIC_Late_Fee_Relief_Windows_3B!$D$1357:$D$100,"&lt;="&amp;B1357,CBIC_Late_Fee_Relief_Windows_3B!$E$1357:$E$100,"&gt;="&amp;B1357,CBIC_Late_Fee_Relief_Windows_3B!$F$1357:$F$100,"&lt;="&amp;C1357,CBIC_Late_Fee_Relief_Windows_3B!$G$1357:$G$100,"&gt;="&amp;C1357)</f>
        <v/>
      </c>
      <c r="H1357">
        <f>INDEX(CBIC_Late_Fee_Relief_Windows_3B!$I$1357:$I$100,MATCH(G1357,CBIC_Late_Fee_Relief_Windows_3B!$O$1357:$O$100,0))</f>
        <v/>
      </c>
      <c r="I1357">
        <f>MIN(F1357,H1357)</f>
        <v/>
      </c>
    </row>
    <row r="1358">
      <c r="A1358">
        <f>TEST_DATA!A1358</f>
        <v/>
      </c>
      <c r="B1358">
        <f>TEST_DATA!B1358</f>
        <v/>
      </c>
      <c r="C1358">
        <f>TEST_DATA!C1358</f>
        <v/>
      </c>
      <c r="D1358">
        <f>TEST_DATA!D1358</f>
        <v/>
      </c>
      <c r="E1358">
        <f>TEST_DATA!E1358</f>
        <v/>
      </c>
      <c r="F1358">
        <f>MIN(E1358*135800,10000)</f>
        <v/>
      </c>
      <c r="G1358">
        <f>MINIFS(CBIC_Late_Fee_Relief_Windows_3B!$O$1358:$O$100,CBIC_Late_Fee_Relief_Windows_3B!$D$1358:$D$100,"&lt;="&amp;B1358,CBIC_Late_Fee_Relief_Windows_3B!$E$1358:$E$100,"&gt;="&amp;B1358,CBIC_Late_Fee_Relief_Windows_3B!$F$1358:$F$100,"&lt;="&amp;C1358,CBIC_Late_Fee_Relief_Windows_3B!$G$1358:$G$100,"&gt;="&amp;C1358)</f>
        <v/>
      </c>
      <c r="H1358">
        <f>INDEX(CBIC_Late_Fee_Relief_Windows_3B!$I$1358:$I$100,MATCH(G1358,CBIC_Late_Fee_Relief_Windows_3B!$O$1358:$O$100,0))</f>
        <v/>
      </c>
      <c r="I1358">
        <f>MIN(F1358,H1358)</f>
        <v/>
      </c>
    </row>
    <row r="1359">
      <c r="A1359">
        <f>TEST_DATA!A1359</f>
        <v/>
      </c>
      <c r="B1359">
        <f>TEST_DATA!B1359</f>
        <v/>
      </c>
      <c r="C1359">
        <f>TEST_DATA!C1359</f>
        <v/>
      </c>
      <c r="D1359">
        <f>TEST_DATA!D1359</f>
        <v/>
      </c>
      <c r="E1359">
        <f>TEST_DATA!E1359</f>
        <v/>
      </c>
      <c r="F1359">
        <f>MIN(E1359*135900,10000)</f>
        <v/>
      </c>
      <c r="G1359">
        <f>MINIFS(CBIC_Late_Fee_Relief_Windows_3B!$O$1359:$O$100,CBIC_Late_Fee_Relief_Windows_3B!$D$1359:$D$100,"&lt;="&amp;B1359,CBIC_Late_Fee_Relief_Windows_3B!$E$1359:$E$100,"&gt;="&amp;B1359,CBIC_Late_Fee_Relief_Windows_3B!$F$1359:$F$100,"&lt;="&amp;C1359,CBIC_Late_Fee_Relief_Windows_3B!$G$1359:$G$100,"&gt;="&amp;C1359)</f>
        <v/>
      </c>
      <c r="H1359">
        <f>INDEX(CBIC_Late_Fee_Relief_Windows_3B!$I$1359:$I$100,MATCH(G1359,CBIC_Late_Fee_Relief_Windows_3B!$O$1359:$O$100,0))</f>
        <v/>
      </c>
      <c r="I1359">
        <f>MIN(F1359,H1359)</f>
        <v/>
      </c>
    </row>
    <row r="1360">
      <c r="A1360">
        <f>TEST_DATA!A1360</f>
        <v/>
      </c>
      <c r="B1360">
        <f>TEST_DATA!B1360</f>
        <v/>
      </c>
      <c r="C1360">
        <f>TEST_DATA!C1360</f>
        <v/>
      </c>
      <c r="D1360">
        <f>TEST_DATA!D1360</f>
        <v/>
      </c>
      <c r="E1360">
        <f>TEST_DATA!E1360</f>
        <v/>
      </c>
      <c r="F1360">
        <f>MIN(E1360*136000,10000)</f>
        <v/>
      </c>
      <c r="G1360">
        <f>MINIFS(CBIC_Late_Fee_Relief_Windows_3B!$O$1360:$O$100,CBIC_Late_Fee_Relief_Windows_3B!$D$1360:$D$100,"&lt;="&amp;B1360,CBIC_Late_Fee_Relief_Windows_3B!$E$1360:$E$100,"&gt;="&amp;B1360,CBIC_Late_Fee_Relief_Windows_3B!$F$1360:$F$100,"&lt;="&amp;C1360,CBIC_Late_Fee_Relief_Windows_3B!$G$1360:$G$100,"&gt;="&amp;C1360)</f>
        <v/>
      </c>
      <c r="H1360">
        <f>INDEX(CBIC_Late_Fee_Relief_Windows_3B!$I$1360:$I$100,MATCH(G1360,CBIC_Late_Fee_Relief_Windows_3B!$O$1360:$O$100,0))</f>
        <v/>
      </c>
      <c r="I1360">
        <f>MIN(F1360,H1360)</f>
        <v/>
      </c>
    </row>
    <row r="1361">
      <c r="A1361">
        <f>TEST_DATA!A1361</f>
        <v/>
      </c>
      <c r="B1361">
        <f>TEST_DATA!B1361</f>
        <v/>
      </c>
      <c r="C1361">
        <f>TEST_DATA!C1361</f>
        <v/>
      </c>
      <c r="D1361">
        <f>TEST_DATA!D1361</f>
        <v/>
      </c>
      <c r="E1361">
        <f>TEST_DATA!E1361</f>
        <v/>
      </c>
      <c r="F1361">
        <f>MIN(E1361*136100,10000)</f>
        <v/>
      </c>
      <c r="G1361">
        <f>MINIFS(CBIC_Late_Fee_Relief_Windows_3B!$O$1361:$O$100,CBIC_Late_Fee_Relief_Windows_3B!$D$1361:$D$100,"&lt;="&amp;B1361,CBIC_Late_Fee_Relief_Windows_3B!$E$1361:$E$100,"&gt;="&amp;B1361,CBIC_Late_Fee_Relief_Windows_3B!$F$1361:$F$100,"&lt;="&amp;C1361,CBIC_Late_Fee_Relief_Windows_3B!$G$1361:$G$100,"&gt;="&amp;C1361)</f>
        <v/>
      </c>
      <c r="H1361">
        <f>INDEX(CBIC_Late_Fee_Relief_Windows_3B!$I$1361:$I$100,MATCH(G1361,CBIC_Late_Fee_Relief_Windows_3B!$O$1361:$O$100,0))</f>
        <v/>
      </c>
      <c r="I1361">
        <f>MIN(F1361,H1361)</f>
        <v/>
      </c>
    </row>
    <row r="1362">
      <c r="A1362">
        <f>TEST_DATA!A1362</f>
        <v/>
      </c>
      <c r="B1362">
        <f>TEST_DATA!B1362</f>
        <v/>
      </c>
      <c r="C1362">
        <f>TEST_DATA!C1362</f>
        <v/>
      </c>
      <c r="D1362">
        <f>TEST_DATA!D1362</f>
        <v/>
      </c>
      <c r="E1362">
        <f>TEST_DATA!E1362</f>
        <v/>
      </c>
      <c r="F1362">
        <f>MIN(E1362*136200,10000)</f>
        <v/>
      </c>
      <c r="G1362">
        <f>MINIFS(CBIC_Late_Fee_Relief_Windows_3B!$O$1362:$O$100,CBIC_Late_Fee_Relief_Windows_3B!$D$1362:$D$100,"&lt;="&amp;B1362,CBIC_Late_Fee_Relief_Windows_3B!$E$1362:$E$100,"&gt;="&amp;B1362,CBIC_Late_Fee_Relief_Windows_3B!$F$1362:$F$100,"&lt;="&amp;C1362,CBIC_Late_Fee_Relief_Windows_3B!$G$1362:$G$100,"&gt;="&amp;C1362)</f>
        <v/>
      </c>
      <c r="H1362">
        <f>INDEX(CBIC_Late_Fee_Relief_Windows_3B!$I$1362:$I$100,MATCH(G1362,CBIC_Late_Fee_Relief_Windows_3B!$O$1362:$O$100,0))</f>
        <v/>
      </c>
      <c r="I1362">
        <f>MIN(F1362,H1362)</f>
        <v/>
      </c>
    </row>
    <row r="1363">
      <c r="A1363">
        <f>TEST_DATA!A1363</f>
        <v/>
      </c>
      <c r="B1363">
        <f>TEST_DATA!B1363</f>
        <v/>
      </c>
      <c r="C1363">
        <f>TEST_DATA!C1363</f>
        <v/>
      </c>
      <c r="D1363">
        <f>TEST_DATA!D1363</f>
        <v/>
      </c>
      <c r="E1363">
        <f>TEST_DATA!E1363</f>
        <v/>
      </c>
      <c r="F1363">
        <f>MIN(E1363*136300,10000)</f>
        <v/>
      </c>
      <c r="G1363">
        <f>MINIFS(CBIC_Late_Fee_Relief_Windows_3B!$O$1363:$O$100,CBIC_Late_Fee_Relief_Windows_3B!$D$1363:$D$100,"&lt;="&amp;B1363,CBIC_Late_Fee_Relief_Windows_3B!$E$1363:$E$100,"&gt;="&amp;B1363,CBIC_Late_Fee_Relief_Windows_3B!$F$1363:$F$100,"&lt;="&amp;C1363,CBIC_Late_Fee_Relief_Windows_3B!$G$1363:$G$100,"&gt;="&amp;C1363)</f>
        <v/>
      </c>
      <c r="H1363">
        <f>INDEX(CBIC_Late_Fee_Relief_Windows_3B!$I$1363:$I$100,MATCH(G1363,CBIC_Late_Fee_Relief_Windows_3B!$O$1363:$O$100,0))</f>
        <v/>
      </c>
      <c r="I1363">
        <f>MIN(F1363,H1363)</f>
        <v/>
      </c>
    </row>
    <row r="1364">
      <c r="A1364">
        <f>TEST_DATA!A1364</f>
        <v/>
      </c>
      <c r="B1364">
        <f>TEST_DATA!B1364</f>
        <v/>
      </c>
      <c r="C1364">
        <f>TEST_DATA!C1364</f>
        <v/>
      </c>
      <c r="D1364">
        <f>TEST_DATA!D1364</f>
        <v/>
      </c>
      <c r="E1364">
        <f>TEST_DATA!E1364</f>
        <v/>
      </c>
      <c r="F1364">
        <f>MIN(E1364*136400,10000)</f>
        <v/>
      </c>
      <c r="G1364">
        <f>MINIFS(CBIC_Late_Fee_Relief_Windows_3B!$O$1364:$O$100,CBIC_Late_Fee_Relief_Windows_3B!$D$1364:$D$100,"&lt;="&amp;B1364,CBIC_Late_Fee_Relief_Windows_3B!$E$1364:$E$100,"&gt;="&amp;B1364,CBIC_Late_Fee_Relief_Windows_3B!$F$1364:$F$100,"&lt;="&amp;C1364,CBIC_Late_Fee_Relief_Windows_3B!$G$1364:$G$100,"&gt;="&amp;C1364)</f>
        <v/>
      </c>
      <c r="H1364">
        <f>INDEX(CBIC_Late_Fee_Relief_Windows_3B!$I$1364:$I$100,MATCH(G1364,CBIC_Late_Fee_Relief_Windows_3B!$O$1364:$O$100,0))</f>
        <v/>
      </c>
      <c r="I1364">
        <f>MIN(F1364,H1364)</f>
        <v/>
      </c>
    </row>
    <row r="1365">
      <c r="A1365">
        <f>TEST_DATA!A1365</f>
        <v/>
      </c>
      <c r="B1365">
        <f>TEST_DATA!B1365</f>
        <v/>
      </c>
      <c r="C1365">
        <f>TEST_DATA!C1365</f>
        <v/>
      </c>
      <c r="D1365">
        <f>TEST_DATA!D1365</f>
        <v/>
      </c>
      <c r="E1365">
        <f>TEST_DATA!E1365</f>
        <v/>
      </c>
      <c r="F1365">
        <f>MIN(E1365*136500,10000)</f>
        <v/>
      </c>
      <c r="G1365">
        <f>MINIFS(CBIC_Late_Fee_Relief_Windows_3B!$O$1365:$O$100,CBIC_Late_Fee_Relief_Windows_3B!$D$1365:$D$100,"&lt;="&amp;B1365,CBIC_Late_Fee_Relief_Windows_3B!$E$1365:$E$100,"&gt;="&amp;B1365,CBIC_Late_Fee_Relief_Windows_3B!$F$1365:$F$100,"&lt;="&amp;C1365,CBIC_Late_Fee_Relief_Windows_3B!$G$1365:$G$100,"&gt;="&amp;C1365)</f>
        <v/>
      </c>
      <c r="H1365">
        <f>INDEX(CBIC_Late_Fee_Relief_Windows_3B!$I$1365:$I$100,MATCH(G1365,CBIC_Late_Fee_Relief_Windows_3B!$O$1365:$O$100,0))</f>
        <v/>
      </c>
      <c r="I1365">
        <f>MIN(F1365,H1365)</f>
        <v/>
      </c>
    </row>
    <row r="1366">
      <c r="A1366">
        <f>TEST_DATA!A1366</f>
        <v/>
      </c>
      <c r="B1366">
        <f>TEST_DATA!B1366</f>
        <v/>
      </c>
      <c r="C1366">
        <f>TEST_DATA!C1366</f>
        <v/>
      </c>
      <c r="D1366">
        <f>TEST_DATA!D1366</f>
        <v/>
      </c>
      <c r="E1366">
        <f>TEST_DATA!E1366</f>
        <v/>
      </c>
      <c r="F1366">
        <f>MIN(E1366*136600,10000)</f>
        <v/>
      </c>
      <c r="G1366">
        <f>MINIFS(CBIC_Late_Fee_Relief_Windows_3B!$O$1366:$O$100,CBIC_Late_Fee_Relief_Windows_3B!$D$1366:$D$100,"&lt;="&amp;B1366,CBIC_Late_Fee_Relief_Windows_3B!$E$1366:$E$100,"&gt;="&amp;B1366,CBIC_Late_Fee_Relief_Windows_3B!$F$1366:$F$100,"&lt;="&amp;C1366,CBIC_Late_Fee_Relief_Windows_3B!$G$1366:$G$100,"&gt;="&amp;C1366)</f>
        <v/>
      </c>
      <c r="H1366">
        <f>INDEX(CBIC_Late_Fee_Relief_Windows_3B!$I$1366:$I$100,MATCH(G1366,CBIC_Late_Fee_Relief_Windows_3B!$O$1366:$O$100,0))</f>
        <v/>
      </c>
      <c r="I1366">
        <f>MIN(F1366,H1366)</f>
        <v/>
      </c>
    </row>
    <row r="1367">
      <c r="A1367">
        <f>TEST_DATA!A1367</f>
        <v/>
      </c>
      <c r="B1367">
        <f>TEST_DATA!B1367</f>
        <v/>
      </c>
      <c r="C1367">
        <f>TEST_DATA!C1367</f>
        <v/>
      </c>
      <c r="D1367">
        <f>TEST_DATA!D1367</f>
        <v/>
      </c>
      <c r="E1367">
        <f>TEST_DATA!E1367</f>
        <v/>
      </c>
      <c r="F1367">
        <f>MIN(E1367*136700,10000)</f>
        <v/>
      </c>
      <c r="G1367">
        <f>MINIFS(CBIC_Late_Fee_Relief_Windows_3B!$O$1367:$O$100,CBIC_Late_Fee_Relief_Windows_3B!$D$1367:$D$100,"&lt;="&amp;B1367,CBIC_Late_Fee_Relief_Windows_3B!$E$1367:$E$100,"&gt;="&amp;B1367,CBIC_Late_Fee_Relief_Windows_3B!$F$1367:$F$100,"&lt;="&amp;C1367,CBIC_Late_Fee_Relief_Windows_3B!$G$1367:$G$100,"&gt;="&amp;C1367)</f>
        <v/>
      </c>
      <c r="H1367">
        <f>INDEX(CBIC_Late_Fee_Relief_Windows_3B!$I$1367:$I$100,MATCH(G1367,CBIC_Late_Fee_Relief_Windows_3B!$O$1367:$O$100,0))</f>
        <v/>
      </c>
      <c r="I1367">
        <f>MIN(F1367,H1367)</f>
        <v/>
      </c>
    </row>
    <row r="1368">
      <c r="A1368">
        <f>TEST_DATA!A1368</f>
        <v/>
      </c>
      <c r="B1368">
        <f>TEST_DATA!B1368</f>
        <v/>
      </c>
      <c r="C1368">
        <f>TEST_DATA!C1368</f>
        <v/>
      </c>
      <c r="D1368">
        <f>TEST_DATA!D1368</f>
        <v/>
      </c>
      <c r="E1368">
        <f>TEST_DATA!E1368</f>
        <v/>
      </c>
      <c r="F1368">
        <f>MIN(E1368*136800,10000)</f>
        <v/>
      </c>
      <c r="G1368">
        <f>MINIFS(CBIC_Late_Fee_Relief_Windows_3B!$O$1368:$O$100,CBIC_Late_Fee_Relief_Windows_3B!$D$1368:$D$100,"&lt;="&amp;B1368,CBIC_Late_Fee_Relief_Windows_3B!$E$1368:$E$100,"&gt;="&amp;B1368,CBIC_Late_Fee_Relief_Windows_3B!$F$1368:$F$100,"&lt;="&amp;C1368,CBIC_Late_Fee_Relief_Windows_3B!$G$1368:$G$100,"&gt;="&amp;C1368)</f>
        <v/>
      </c>
      <c r="H1368">
        <f>INDEX(CBIC_Late_Fee_Relief_Windows_3B!$I$1368:$I$100,MATCH(G1368,CBIC_Late_Fee_Relief_Windows_3B!$O$1368:$O$100,0))</f>
        <v/>
      </c>
      <c r="I1368">
        <f>MIN(F1368,H1368)</f>
        <v/>
      </c>
    </row>
    <row r="1369">
      <c r="A1369">
        <f>TEST_DATA!A1369</f>
        <v/>
      </c>
      <c r="B1369">
        <f>TEST_DATA!B1369</f>
        <v/>
      </c>
      <c r="C1369">
        <f>TEST_DATA!C1369</f>
        <v/>
      </c>
      <c r="D1369">
        <f>TEST_DATA!D1369</f>
        <v/>
      </c>
      <c r="E1369">
        <f>TEST_DATA!E1369</f>
        <v/>
      </c>
      <c r="F1369">
        <f>MIN(E1369*136900,10000)</f>
        <v/>
      </c>
      <c r="G1369">
        <f>MINIFS(CBIC_Late_Fee_Relief_Windows_3B!$O$1369:$O$100,CBIC_Late_Fee_Relief_Windows_3B!$D$1369:$D$100,"&lt;="&amp;B1369,CBIC_Late_Fee_Relief_Windows_3B!$E$1369:$E$100,"&gt;="&amp;B1369,CBIC_Late_Fee_Relief_Windows_3B!$F$1369:$F$100,"&lt;="&amp;C1369,CBIC_Late_Fee_Relief_Windows_3B!$G$1369:$G$100,"&gt;="&amp;C1369)</f>
        <v/>
      </c>
      <c r="H1369">
        <f>INDEX(CBIC_Late_Fee_Relief_Windows_3B!$I$1369:$I$100,MATCH(G1369,CBIC_Late_Fee_Relief_Windows_3B!$O$1369:$O$100,0))</f>
        <v/>
      </c>
      <c r="I1369">
        <f>MIN(F1369,H1369)</f>
        <v/>
      </c>
    </row>
    <row r="1370">
      <c r="A1370">
        <f>TEST_DATA!A1370</f>
        <v/>
      </c>
      <c r="B1370">
        <f>TEST_DATA!B1370</f>
        <v/>
      </c>
      <c r="C1370">
        <f>TEST_DATA!C1370</f>
        <v/>
      </c>
      <c r="D1370">
        <f>TEST_DATA!D1370</f>
        <v/>
      </c>
      <c r="E1370">
        <f>TEST_DATA!E1370</f>
        <v/>
      </c>
      <c r="F1370">
        <f>MIN(E1370*137000,10000)</f>
        <v/>
      </c>
      <c r="G1370">
        <f>MINIFS(CBIC_Late_Fee_Relief_Windows_3B!$O$1370:$O$100,CBIC_Late_Fee_Relief_Windows_3B!$D$1370:$D$100,"&lt;="&amp;B1370,CBIC_Late_Fee_Relief_Windows_3B!$E$1370:$E$100,"&gt;="&amp;B1370,CBIC_Late_Fee_Relief_Windows_3B!$F$1370:$F$100,"&lt;="&amp;C1370,CBIC_Late_Fee_Relief_Windows_3B!$G$1370:$G$100,"&gt;="&amp;C1370)</f>
        <v/>
      </c>
      <c r="H1370">
        <f>INDEX(CBIC_Late_Fee_Relief_Windows_3B!$I$1370:$I$100,MATCH(G1370,CBIC_Late_Fee_Relief_Windows_3B!$O$1370:$O$100,0))</f>
        <v/>
      </c>
      <c r="I1370">
        <f>MIN(F1370,H1370)</f>
        <v/>
      </c>
    </row>
    <row r="1371">
      <c r="A1371">
        <f>TEST_DATA!A1371</f>
        <v/>
      </c>
      <c r="B1371">
        <f>TEST_DATA!B1371</f>
        <v/>
      </c>
      <c r="C1371">
        <f>TEST_DATA!C1371</f>
        <v/>
      </c>
      <c r="D1371">
        <f>TEST_DATA!D1371</f>
        <v/>
      </c>
      <c r="E1371">
        <f>TEST_DATA!E1371</f>
        <v/>
      </c>
      <c r="F1371">
        <f>MIN(E1371*137100,10000)</f>
        <v/>
      </c>
      <c r="G1371">
        <f>MINIFS(CBIC_Late_Fee_Relief_Windows_3B!$O$1371:$O$100,CBIC_Late_Fee_Relief_Windows_3B!$D$1371:$D$100,"&lt;="&amp;B1371,CBIC_Late_Fee_Relief_Windows_3B!$E$1371:$E$100,"&gt;="&amp;B1371,CBIC_Late_Fee_Relief_Windows_3B!$F$1371:$F$100,"&lt;="&amp;C1371,CBIC_Late_Fee_Relief_Windows_3B!$G$1371:$G$100,"&gt;="&amp;C1371)</f>
        <v/>
      </c>
      <c r="H1371">
        <f>INDEX(CBIC_Late_Fee_Relief_Windows_3B!$I$1371:$I$100,MATCH(G1371,CBIC_Late_Fee_Relief_Windows_3B!$O$1371:$O$100,0))</f>
        <v/>
      </c>
      <c r="I1371">
        <f>MIN(F1371,H1371)</f>
        <v/>
      </c>
    </row>
    <row r="1372">
      <c r="A1372">
        <f>TEST_DATA!A1372</f>
        <v/>
      </c>
      <c r="B1372">
        <f>TEST_DATA!B1372</f>
        <v/>
      </c>
      <c r="C1372">
        <f>TEST_DATA!C1372</f>
        <v/>
      </c>
      <c r="D1372">
        <f>TEST_DATA!D1372</f>
        <v/>
      </c>
      <c r="E1372">
        <f>TEST_DATA!E1372</f>
        <v/>
      </c>
      <c r="F1372">
        <f>MIN(E1372*137200,10000)</f>
        <v/>
      </c>
      <c r="G1372">
        <f>MINIFS(CBIC_Late_Fee_Relief_Windows_3B!$O$1372:$O$100,CBIC_Late_Fee_Relief_Windows_3B!$D$1372:$D$100,"&lt;="&amp;B1372,CBIC_Late_Fee_Relief_Windows_3B!$E$1372:$E$100,"&gt;="&amp;B1372,CBIC_Late_Fee_Relief_Windows_3B!$F$1372:$F$100,"&lt;="&amp;C1372,CBIC_Late_Fee_Relief_Windows_3B!$G$1372:$G$100,"&gt;="&amp;C1372)</f>
        <v/>
      </c>
      <c r="H1372">
        <f>INDEX(CBIC_Late_Fee_Relief_Windows_3B!$I$1372:$I$100,MATCH(G1372,CBIC_Late_Fee_Relief_Windows_3B!$O$1372:$O$100,0))</f>
        <v/>
      </c>
      <c r="I1372">
        <f>MIN(F1372,H1372)</f>
        <v/>
      </c>
    </row>
    <row r="1373">
      <c r="A1373">
        <f>TEST_DATA!A1373</f>
        <v/>
      </c>
      <c r="B1373">
        <f>TEST_DATA!B1373</f>
        <v/>
      </c>
      <c r="C1373">
        <f>TEST_DATA!C1373</f>
        <v/>
      </c>
      <c r="D1373">
        <f>TEST_DATA!D1373</f>
        <v/>
      </c>
      <c r="E1373">
        <f>TEST_DATA!E1373</f>
        <v/>
      </c>
      <c r="F1373">
        <f>MIN(E1373*137300,10000)</f>
        <v/>
      </c>
      <c r="G1373">
        <f>MINIFS(CBIC_Late_Fee_Relief_Windows_3B!$O$1373:$O$100,CBIC_Late_Fee_Relief_Windows_3B!$D$1373:$D$100,"&lt;="&amp;B1373,CBIC_Late_Fee_Relief_Windows_3B!$E$1373:$E$100,"&gt;="&amp;B1373,CBIC_Late_Fee_Relief_Windows_3B!$F$1373:$F$100,"&lt;="&amp;C1373,CBIC_Late_Fee_Relief_Windows_3B!$G$1373:$G$100,"&gt;="&amp;C1373)</f>
        <v/>
      </c>
      <c r="H1373">
        <f>INDEX(CBIC_Late_Fee_Relief_Windows_3B!$I$1373:$I$100,MATCH(G1373,CBIC_Late_Fee_Relief_Windows_3B!$O$1373:$O$100,0))</f>
        <v/>
      </c>
      <c r="I1373">
        <f>MIN(F1373,H1373)</f>
        <v/>
      </c>
    </row>
    <row r="1374">
      <c r="A1374">
        <f>TEST_DATA!A1374</f>
        <v/>
      </c>
      <c r="B1374">
        <f>TEST_DATA!B1374</f>
        <v/>
      </c>
      <c r="C1374">
        <f>TEST_DATA!C1374</f>
        <v/>
      </c>
      <c r="D1374">
        <f>TEST_DATA!D1374</f>
        <v/>
      </c>
      <c r="E1374">
        <f>TEST_DATA!E1374</f>
        <v/>
      </c>
      <c r="F1374">
        <f>MIN(E1374*137400,10000)</f>
        <v/>
      </c>
      <c r="G1374">
        <f>MINIFS(CBIC_Late_Fee_Relief_Windows_3B!$O$1374:$O$100,CBIC_Late_Fee_Relief_Windows_3B!$D$1374:$D$100,"&lt;="&amp;B1374,CBIC_Late_Fee_Relief_Windows_3B!$E$1374:$E$100,"&gt;="&amp;B1374,CBIC_Late_Fee_Relief_Windows_3B!$F$1374:$F$100,"&lt;="&amp;C1374,CBIC_Late_Fee_Relief_Windows_3B!$G$1374:$G$100,"&gt;="&amp;C1374)</f>
        <v/>
      </c>
      <c r="H1374">
        <f>INDEX(CBIC_Late_Fee_Relief_Windows_3B!$I$1374:$I$100,MATCH(G1374,CBIC_Late_Fee_Relief_Windows_3B!$O$1374:$O$100,0))</f>
        <v/>
      </c>
      <c r="I1374">
        <f>MIN(F1374,H1374)</f>
        <v/>
      </c>
    </row>
    <row r="1375">
      <c r="A1375">
        <f>TEST_DATA!A1375</f>
        <v/>
      </c>
      <c r="B1375">
        <f>TEST_DATA!B1375</f>
        <v/>
      </c>
      <c r="C1375">
        <f>TEST_DATA!C1375</f>
        <v/>
      </c>
      <c r="D1375">
        <f>TEST_DATA!D1375</f>
        <v/>
      </c>
      <c r="E1375">
        <f>TEST_DATA!E1375</f>
        <v/>
      </c>
      <c r="F1375">
        <f>MIN(E1375*137500,10000)</f>
        <v/>
      </c>
      <c r="G1375">
        <f>MINIFS(CBIC_Late_Fee_Relief_Windows_3B!$O$1375:$O$100,CBIC_Late_Fee_Relief_Windows_3B!$D$1375:$D$100,"&lt;="&amp;B1375,CBIC_Late_Fee_Relief_Windows_3B!$E$1375:$E$100,"&gt;="&amp;B1375,CBIC_Late_Fee_Relief_Windows_3B!$F$1375:$F$100,"&lt;="&amp;C1375,CBIC_Late_Fee_Relief_Windows_3B!$G$1375:$G$100,"&gt;="&amp;C1375)</f>
        <v/>
      </c>
      <c r="H1375">
        <f>INDEX(CBIC_Late_Fee_Relief_Windows_3B!$I$1375:$I$100,MATCH(G1375,CBIC_Late_Fee_Relief_Windows_3B!$O$1375:$O$100,0))</f>
        <v/>
      </c>
      <c r="I1375">
        <f>MIN(F1375,H1375)</f>
        <v/>
      </c>
    </row>
    <row r="1376">
      <c r="A1376">
        <f>TEST_DATA!A1376</f>
        <v/>
      </c>
      <c r="B1376">
        <f>TEST_DATA!B1376</f>
        <v/>
      </c>
      <c r="C1376">
        <f>TEST_DATA!C1376</f>
        <v/>
      </c>
      <c r="D1376">
        <f>TEST_DATA!D1376</f>
        <v/>
      </c>
      <c r="E1376">
        <f>TEST_DATA!E1376</f>
        <v/>
      </c>
      <c r="F1376">
        <f>MIN(E1376*137600,10000)</f>
        <v/>
      </c>
      <c r="G1376">
        <f>MINIFS(CBIC_Late_Fee_Relief_Windows_3B!$O$1376:$O$100,CBIC_Late_Fee_Relief_Windows_3B!$D$1376:$D$100,"&lt;="&amp;B1376,CBIC_Late_Fee_Relief_Windows_3B!$E$1376:$E$100,"&gt;="&amp;B1376,CBIC_Late_Fee_Relief_Windows_3B!$F$1376:$F$100,"&lt;="&amp;C1376,CBIC_Late_Fee_Relief_Windows_3B!$G$1376:$G$100,"&gt;="&amp;C1376)</f>
        <v/>
      </c>
      <c r="H1376">
        <f>INDEX(CBIC_Late_Fee_Relief_Windows_3B!$I$1376:$I$100,MATCH(G1376,CBIC_Late_Fee_Relief_Windows_3B!$O$1376:$O$100,0))</f>
        <v/>
      </c>
      <c r="I1376">
        <f>MIN(F1376,H1376)</f>
        <v/>
      </c>
    </row>
    <row r="1377">
      <c r="A1377">
        <f>TEST_DATA!A1377</f>
        <v/>
      </c>
      <c r="B1377">
        <f>TEST_DATA!B1377</f>
        <v/>
      </c>
      <c r="C1377">
        <f>TEST_DATA!C1377</f>
        <v/>
      </c>
      <c r="D1377">
        <f>TEST_DATA!D1377</f>
        <v/>
      </c>
      <c r="E1377">
        <f>TEST_DATA!E1377</f>
        <v/>
      </c>
      <c r="F1377">
        <f>MIN(E1377*137700,10000)</f>
        <v/>
      </c>
      <c r="G1377">
        <f>MINIFS(CBIC_Late_Fee_Relief_Windows_3B!$O$1377:$O$100,CBIC_Late_Fee_Relief_Windows_3B!$D$1377:$D$100,"&lt;="&amp;B1377,CBIC_Late_Fee_Relief_Windows_3B!$E$1377:$E$100,"&gt;="&amp;B1377,CBIC_Late_Fee_Relief_Windows_3B!$F$1377:$F$100,"&lt;="&amp;C1377,CBIC_Late_Fee_Relief_Windows_3B!$G$1377:$G$100,"&gt;="&amp;C1377)</f>
        <v/>
      </c>
      <c r="H1377">
        <f>INDEX(CBIC_Late_Fee_Relief_Windows_3B!$I$1377:$I$100,MATCH(G1377,CBIC_Late_Fee_Relief_Windows_3B!$O$1377:$O$100,0))</f>
        <v/>
      </c>
      <c r="I1377">
        <f>MIN(F1377,H1377)</f>
        <v/>
      </c>
    </row>
    <row r="1378">
      <c r="A1378">
        <f>TEST_DATA!A1378</f>
        <v/>
      </c>
      <c r="B1378">
        <f>TEST_DATA!B1378</f>
        <v/>
      </c>
      <c r="C1378">
        <f>TEST_DATA!C1378</f>
        <v/>
      </c>
      <c r="D1378">
        <f>TEST_DATA!D1378</f>
        <v/>
      </c>
      <c r="E1378">
        <f>TEST_DATA!E1378</f>
        <v/>
      </c>
      <c r="F1378">
        <f>MIN(E1378*137800,10000)</f>
        <v/>
      </c>
      <c r="G1378">
        <f>MINIFS(CBIC_Late_Fee_Relief_Windows_3B!$O$1378:$O$100,CBIC_Late_Fee_Relief_Windows_3B!$D$1378:$D$100,"&lt;="&amp;B1378,CBIC_Late_Fee_Relief_Windows_3B!$E$1378:$E$100,"&gt;="&amp;B1378,CBIC_Late_Fee_Relief_Windows_3B!$F$1378:$F$100,"&lt;="&amp;C1378,CBIC_Late_Fee_Relief_Windows_3B!$G$1378:$G$100,"&gt;="&amp;C1378)</f>
        <v/>
      </c>
      <c r="H1378">
        <f>INDEX(CBIC_Late_Fee_Relief_Windows_3B!$I$1378:$I$100,MATCH(G1378,CBIC_Late_Fee_Relief_Windows_3B!$O$1378:$O$100,0))</f>
        <v/>
      </c>
      <c r="I1378">
        <f>MIN(F1378,H1378)</f>
        <v/>
      </c>
    </row>
    <row r="1379">
      <c r="A1379">
        <f>TEST_DATA!A1379</f>
        <v/>
      </c>
      <c r="B1379">
        <f>TEST_DATA!B1379</f>
        <v/>
      </c>
      <c r="C1379">
        <f>TEST_DATA!C1379</f>
        <v/>
      </c>
      <c r="D1379">
        <f>TEST_DATA!D1379</f>
        <v/>
      </c>
      <c r="E1379">
        <f>TEST_DATA!E1379</f>
        <v/>
      </c>
      <c r="F1379">
        <f>MIN(E1379*137900,10000)</f>
        <v/>
      </c>
      <c r="G1379">
        <f>MINIFS(CBIC_Late_Fee_Relief_Windows_3B!$O$1379:$O$100,CBIC_Late_Fee_Relief_Windows_3B!$D$1379:$D$100,"&lt;="&amp;B1379,CBIC_Late_Fee_Relief_Windows_3B!$E$1379:$E$100,"&gt;="&amp;B1379,CBIC_Late_Fee_Relief_Windows_3B!$F$1379:$F$100,"&lt;="&amp;C1379,CBIC_Late_Fee_Relief_Windows_3B!$G$1379:$G$100,"&gt;="&amp;C1379)</f>
        <v/>
      </c>
      <c r="H1379">
        <f>INDEX(CBIC_Late_Fee_Relief_Windows_3B!$I$1379:$I$100,MATCH(G1379,CBIC_Late_Fee_Relief_Windows_3B!$O$1379:$O$100,0))</f>
        <v/>
      </c>
      <c r="I1379">
        <f>MIN(F1379,H1379)</f>
        <v/>
      </c>
    </row>
    <row r="1380">
      <c r="A1380">
        <f>TEST_DATA!A1380</f>
        <v/>
      </c>
      <c r="B1380">
        <f>TEST_DATA!B1380</f>
        <v/>
      </c>
      <c r="C1380">
        <f>TEST_DATA!C1380</f>
        <v/>
      </c>
      <c r="D1380">
        <f>TEST_DATA!D1380</f>
        <v/>
      </c>
      <c r="E1380">
        <f>TEST_DATA!E1380</f>
        <v/>
      </c>
      <c r="F1380">
        <f>MIN(E1380*138000,10000)</f>
        <v/>
      </c>
      <c r="G1380">
        <f>MINIFS(CBIC_Late_Fee_Relief_Windows_3B!$O$1380:$O$100,CBIC_Late_Fee_Relief_Windows_3B!$D$1380:$D$100,"&lt;="&amp;B1380,CBIC_Late_Fee_Relief_Windows_3B!$E$1380:$E$100,"&gt;="&amp;B1380,CBIC_Late_Fee_Relief_Windows_3B!$F$1380:$F$100,"&lt;="&amp;C1380,CBIC_Late_Fee_Relief_Windows_3B!$G$1380:$G$100,"&gt;="&amp;C1380)</f>
        <v/>
      </c>
      <c r="H1380">
        <f>INDEX(CBIC_Late_Fee_Relief_Windows_3B!$I$1380:$I$100,MATCH(G1380,CBIC_Late_Fee_Relief_Windows_3B!$O$1380:$O$100,0))</f>
        <v/>
      </c>
      <c r="I1380">
        <f>MIN(F1380,H1380)</f>
        <v/>
      </c>
    </row>
    <row r="1381">
      <c r="A1381">
        <f>TEST_DATA!A1381</f>
        <v/>
      </c>
      <c r="B1381">
        <f>TEST_DATA!B1381</f>
        <v/>
      </c>
      <c r="C1381">
        <f>TEST_DATA!C1381</f>
        <v/>
      </c>
      <c r="D1381">
        <f>TEST_DATA!D1381</f>
        <v/>
      </c>
      <c r="E1381">
        <f>TEST_DATA!E1381</f>
        <v/>
      </c>
      <c r="F1381">
        <f>MIN(E1381*138100,10000)</f>
        <v/>
      </c>
      <c r="G1381">
        <f>MINIFS(CBIC_Late_Fee_Relief_Windows_3B!$O$1381:$O$100,CBIC_Late_Fee_Relief_Windows_3B!$D$1381:$D$100,"&lt;="&amp;B1381,CBIC_Late_Fee_Relief_Windows_3B!$E$1381:$E$100,"&gt;="&amp;B1381,CBIC_Late_Fee_Relief_Windows_3B!$F$1381:$F$100,"&lt;="&amp;C1381,CBIC_Late_Fee_Relief_Windows_3B!$G$1381:$G$100,"&gt;="&amp;C1381)</f>
        <v/>
      </c>
      <c r="H1381">
        <f>INDEX(CBIC_Late_Fee_Relief_Windows_3B!$I$1381:$I$100,MATCH(G1381,CBIC_Late_Fee_Relief_Windows_3B!$O$1381:$O$100,0))</f>
        <v/>
      </c>
      <c r="I1381">
        <f>MIN(F1381,H1381)</f>
        <v/>
      </c>
    </row>
    <row r="1382">
      <c r="A1382">
        <f>TEST_DATA!A1382</f>
        <v/>
      </c>
      <c r="B1382">
        <f>TEST_DATA!B1382</f>
        <v/>
      </c>
      <c r="C1382">
        <f>TEST_DATA!C1382</f>
        <v/>
      </c>
      <c r="D1382">
        <f>TEST_DATA!D1382</f>
        <v/>
      </c>
      <c r="E1382">
        <f>TEST_DATA!E1382</f>
        <v/>
      </c>
      <c r="F1382">
        <f>MIN(E1382*138200,10000)</f>
        <v/>
      </c>
      <c r="G1382">
        <f>MINIFS(CBIC_Late_Fee_Relief_Windows_3B!$O$1382:$O$100,CBIC_Late_Fee_Relief_Windows_3B!$D$1382:$D$100,"&lt;="&amp;B1382,CBIC_Late_Fee_Relief_Windows_3B!$E$1382:$E$100,"&gt;="&amp;B1382,CBIC_Late_Fee_Relief_Windows_3B!$F$1382:$F$100,"&lt;="&amp;C1382,CBIC_Late_Fee_Relief_Windows_3B!$G$1382:$G$100,"&gt;="&amp;C1382)</f>
        <v/>
      </c>
      <c r="H1382">
        <f>INDEX(CBIC_Late_Fee_Relief_Windows_3B!$I$1382:$I$100,MATCH(G1382,CBIC_Late_Fee_Relief_Windows_3B!$O$1382:$O$100,0))</f>
        <v/>
      </c>
      <c r="I1382">
        <f>MIN(F1382,H1382)</f>
        <v/>
      </c>
    </row>
    <row r="1383">
      <c r="A1383">
        <f>TEST_DATA!A1383</f>
        <v/>
      </c>
      <c r="B1383">
        <f>TEST_DATA!B1383</f>
        <v/>
      </c>
      <c r="C1383">
        <f>TEST_DATA!C1383</f>
        <v/>
      </c>
      <c r="D1383">
        <f>TEST_DATA!D1383</f>
        <v/>
      </c>
      <c r="E1383">
        <f>TEST_DATA!E1383</f>
        <v/>
      </c>
      <c r="F1383">
        <f>MIN(E1383*138300,10000)</f>
        <v/>
      </c>
      <c r="G1383">
        <f>MINIFS(CBIC_Late_Fee_Relief_Windows_3B!$O$1383:$O$100,CBIC_Late_Fee_Relief_Windows_3B!$D$1383:$D$100,"&lt;="&amp;B1383,CBIC_Late_Fee_Relief_Windows_3B!$E$1383:$E$100,"&gt;="&amp;B1383,CBIC_Late_Fee_Relief_Windows_3B!$F$1383:$F$100,"&lt;="&amp;C1383,CBIC_Late_Fee_Relief_Windows_3B!$G$1383:$G$100,"&gt;="&amp;C1383)</f>
        <v/>
      </c>
      <c r="H1383">
        <f>INDEX(CBIC_Late_Fee_Relief_Windows_3B!$I$1383:$I$100,MATCH(G1383,CBIC_Late_Fee_Relief_Windows_3B!$O$1383:$O$100,0))</f>
        <v/>
      </c>
      <c r="I1383">
        <f>MIN(F1383,H1383)</f>
        <v/>
      </c>
    </row>
    <row r="1384">
      <c r="A1384">
        <f>TEST_DATA!A1384</f>
        <v/>
      </c>
      <c r="B1384">
        <f>TEST_DATA!B1384</f>
        <v/>
      </c>
      <c r="C1384">
        <f>TEST_DATA!C1384</f>
        <v/>
      </c>
      <c r="D1384">
        <f>TEST_DATA!D1384</f>
        <v/>
      </c>
      <c r="E1384">
        <f>TEST_DATA!E1384</f>
        <v/>
      </c>
      <c r="F1384">
        <f>MIN(E1384*138400,10000)</f>
        <v/>
      </c>
      <c r="G1384">
        <f>MINIFS(CBIC_Late_Fee_Relief_Windows_3B!$O$1384:$O$100,CBIC_Late_Fee_Relief_Windows_3B!$D$1384:$D$100,"&lt;="&amp;B1384,CBIC_Late_Fee_Relief_Windows_3B!$E$1384:$E$100,"&gt;="&amp;B1384,CBIC_Late_Fee_Relief_Windows_3B!$F$1384:$F$100,"&lt;="&amp;C1384,CBIC_Late_Fee_Relief_Windows_3B!$G$1384:$G$100,"&gt;="&amp;C1384)</f>
        <v/>
      </c>
      <c r="H1384">
        <f>INDEX(CBIC_Late_Fee_Relief_Windows_3B!$I$1384:$I$100,MATCH(G1384,CBIC_Late_Fee_Relief_Windows_3B!$O$1384:$O$100,0))</f>
        <v/>
      </c>
      <c r="I1384">
        <f>MIN(F1384,H1384)</f>
        <v/>
      </c>
    </row>
    <row r="1385">
      <c r="A1385">
        <f>TEST_DATA!A1385</f>
        <v/>
      </c>
      <c r="B1385">
        <f>TEST_DATA!B1385</f>
        <v/>
      </c>
      <c r="C1385">
        <f>TEST_DATA!C1385</f>
        <v/>
      </c>
      <c r="D1385">
        <f>TEST_DATA!D1385</f>
        <v/>
      </c>
      <c r="E1385">
        <f>TEST_DATA!E1385</f>
        <v/>
      </c>
      <c r="F1385">
        <f>MIN(E1385*138500,10000)</f>
        <v/>
      </c>
      <c r="G1385">
        <f>MINIFS(CBIC_Late_Fee_Relief_Windows_3B!$O$1385:$O$100,CBIC_Late_Fee_Relief_Windows_3B!$D$1385:$D$100,"&lt;="&amp;B1385,CBIC_Late_Fee_Relief_Windows_3B!$E$1385:$E$100,"&gt;="&amp;B1385,CBIC_Late_Fee_Relief_Windows_3B!$F$1385:$F$100,"&lt;="&amp;C1385,CBIC_Late_Fee_Relief_Windows_3B!$G$1385:$G$100,"&gt;="&amp;C1385)</f>
        <v/>
      </c>
      <c r="H1385">
        <f>INDEX(CBIC_Late_Fee_Relief_Windows_3B!$I$1385:$I$100,MATCH(G1385,CBIC_Late_Fee_Relief_Windows_3B!$O$1385:$O$100,0))</f>
        <v/>
      </c>
      <c r="I1385">
        <f>MIN(F1385,H1385)</f>
        <v/>
      </c>
    </row>
    <row r="1386">
      <c r="A1386">
        <f>TEST_DATA!A1386</f>
        <v/>
      </c>
      <c r="B1386">
        <f>TEST_DATA!B1386</f>
        <v/>
      </c>
      <c r="C1386">
        <f>TEST_DATA!C1386</f>
        <v/>
      </c>
      <c r="D1386">
        <f>TEST_DATA!D1386</f>
        <v/>
      </c>
      <c r="E1386">
        <f>TEST_DATA!E1386</f>
        <v/>
      </c>
      <c r="F1386">
        <f>MIN(E1386*138600,10000)</f>
        <v/>
      </c>
      <c r="G1386">
        <f>MINIFS(CBIC_Late_Fee_Relief_Windows_3B!$O$1386:$O$100,CBIC_Late_Fee_Relief_Windows_3B!$D$1386:$D$100,"&lt;="&amp;B1386,CBIC_Late_Fee_Relief_Windows_3B!$E$1386:$E$100,"&gt;="&amp;B1386,CBIC_Late_Fee_Relief_Windows_3B!$F$1386:$F$100,"&lt;="&amp;C1386,CBIC_Late_Fee_Relief_Windows_3B!$G$1386:$G$100,"&gt;="&amp;C1386)</f>
        <v/>
      </c>
      <c r="H1386">
        <f>INDEX(CBIC_Late_Fee_Relief_Windows_3B!$I$1386:$I$100,MATCH(G1386,CBIC_Late_Fee_Relief_Windows_3B!$O$1386:$O$100,0))</f>
        <v/>
      </c>
      <c r="I1386">
        <f>MIN(F1386,H1386)</f>
        <v/>
      </c>
    </row>
    <row r="1387">
      <c r="A1387">
        <f>TEST_DATA!A1387</f>
        <v/>
      </c>
      <c r="B1387">
        <f>TEST_DATA!B1387</f>
        <v/>
      </c>
      <c r="C1387">
        <f>TEST_DATA!C1387</f>
        <v/>
      </c>
      <c r="D1387">
        <f>TEST_DATA!D1387</f>
        <v/>
      </c>
      <c r="E1387">
        <f>TEST_DATA!E1387</f>
        <v/>
      </c>
      <c r="F1387">
        <f>MIN(E1387*138700,10000)</f>
        <v/>
      </c>
      <c r="G1387">
        <f>MINIFS(CBIC_Late_Fee_Relief_Windows_3B!$O$1387:$O$100,CBIC_Late_Fee_Relief_Windows_3B!$D$1387:$D$100,"&lt;="&amp;B1387,CBIC_Late_Fee_Relief_Windows_3B!$E$1387:$E$100,"&gt;="&amp;B1387,CBIC_Late_Fee_Relief_Windows_3B!$F$1387:$F$100,"&lt;="&amp;C1387,CBIC_Late_Fee_Relief_Windows_3B!$G$1387:$G$100,"&gt;="&amp;C1387)</f>
        <v/>
      </c>
      <c r="H1387">
        <f>INDEX(CBIC_Late_Fee_Relief_Windows_3B!$I$1387:$I$100,MATCH(G1387,CBIC_Late_Fee_Relief_Windows_3B!$O$1387:$O$100,0))</f>
        <v/>
      </c>
      <c r="I1387">
        <f>MIN(F1387,H1387)</f>
        <v/>
      </c>
    </row>
    <row r="1388">
      <c r="A1388">
        <f>TEST_DATA!A1388</f>
        <v/>
      </c>
      <c r="B1388">
        <f>TEST_DATA!B1388</f>
        <v/>
      </c>
      <c r="C1388">
        <f>TEST_DATA!C1388</f>
        <v/>
      </c>
      <c r="D1388">
        <f>TEST_DATA!D1388</f>
        <v/>
      </c>
      <c r="E1388">
        <f>TEST_DATA!E1388</f>
        <v/>
      </c>
      <c r="F1388">
        <f>MIN(E1388*138800,10000)</f>
        <v/>
      </c>
      <c r="G1388">
        <f>MINIFS(CBIC_Late_Fee_Relief_Windows_3B!$O$1388:$O$100,CBIC_Late_Fee_Relief_Windows_3B!$D$1388:$D$100,"&lt;="&amp;B1388,CBIC_Late_Fee_Relief_Windows_3B!$E$1388:$E$100,"&gt;="&amp;B1388,CBIC_Late_Fee_Relief_Windows_3B!$F$1388:$F$100,"&lt;="&amp;C1388,CBIC_Late_Fee_Relief_Windows_3B!$G$1388:$G$100,"&gt;="&amp;C1388)</f>
        <v/>
      </c>
      <c r="H1388">
        <f>INDEX(CBIC_Late_Fee_Relief_Windows_3B!$I$1388:$I$100,MATCH(G1388,CBIC_Late_Fee_Relief_Windows_3B!$O$1388:$O$100,0))</f>
        <v/>
      </c>
      <c r="I1388">
        <f>MIN(F1388,H1388)</f>
        <v/>
      </c>
    </row>
    <row r="1389">
      <c r="A1389">
        <f>TEST_DATA!A1389</f>
        <v/>
      </c>
      <c r="B1389">
        <f>TEST_DATA!B1389</f>
        <v/>
      </c>
      <c r="C1389">
        <f>TEST_DATA!C1389</f>
        <v/>
      </c>
      <c r="D1389">
        <f>TEST_DATA!D1389</f>
        <v/>
      </c>
      <c r="E1389">
        <f>TEST_DATA!E1389</f>
        <v/>
      </c>
      <c r="F1389">
        <f>MIN(E1389*138900,10000)</f>
        <v/>
      </c>
      <c r="G1389">
        <f>MINIFS(CBIC_Late_Fee_Relief_Windows_3B!$O$1389:$O$100,CBIC_Late_Fee_Relief_Windows_3B!$D$1389:$D$100,"&lt;="&amp;B1389,CBIC_Late_Fee_Relief_Windows_3B!$E$1389:$E$100,"&gt;="&amp;B1389,CBIC_Late_Fee_Relief_Windows_3B!$F$1389:$F$100,"&lt;="&amp;C1389,CBIC_Late_Fee_Relief_Windows_3B!$G$1389:$G$100,"&gt;="&amp;C1389)</f>
        <v/>
      </c>
      <c r="H1389">
        <f>INDEX(CBIC_Late_Fee_Relief_Windows_3B!$I$1389:$I$100,MATCH(G1389,CBIC_Late_Fee_Relief_Windows_3B!$O$1389:$O$100,0))</f>
        <v/>
      </c>
      <c r="I1389">
        <f>MIN(F1389,H1389)</f>
        <v/>
      </c>
    </row>
    <row r="1390">
      <c r="A1390">
        <f>TEST_DATA!A1390</f>
        <v/>
      </c>
      <c r="B1390">
        <f>TEST_DATA!B1390</f>
        <v/>
      </c>
      <c r="C1390">
        <f>TEST_DATA!C1390</f>
        <v/>
      </c>
      <c r="D1390">
        <f>TEST_DATA!D1390</f>
        <v/>
      </c>
      <c r="E1390">
        <f>TEST_DATA!E1390</f>
        <v/>
      </c>
      <c r="F1390">
        <f>MIN(E1390*139000,10000)</f>
        <v/>
      </c>
      <c r="G1390">
        <f>MINIFS(CBIC_Late_Fee_Relief_Windows_3B!$O$1390:$O$100,CBIC_Late_Fee_Relief_Windows_3B!$D$1390:$D$100,"&lt;="&amp;B1390,CBIC_Late_Fee_Relief_Windows_3B!$E$1390:$E$100,"&gt;="&amp;B1390,CBIC_Late_Fee_Relief_Windows_3B!$F$1390:$F$100,"&lt;="&amp;C1390,CBIC_Late_Fee_Relief_Windows_3B!$G$1390:$G$100,"&gt;="&amp;C1390)</f>
        <v/>
      </c>
      <c r="H1390">
        <f>INDEX(CBIC_Late_Fee_Relief_Windows_3B!$I$1390:$I$100,MATCH(G1390,CBIC_Late_Fee_Relief_Windows_3B!$O$1390:$O$100,0))</f>
        <v/>
      </c>
      <c r="I1390">
        <f>MIN(F1390,H1390)</f>
        <v/>
      </c>
    </row>
    <row r="1391">
      <c r="A1391">
        <f>TEST_DATA!A1391</f>
        <v/>
      </c>
      <c r="B1391">
        <f>TEST_DATA!B1391</f>
        <v/>
      </c>
      <c r="C1391">
        <f>TEST_DATA!C1391</f>
        <v/>
      </c>
      <c r="D1391">
        <f>TEST_DATA!D1391</f>
        <v/>
      </c>
      <c r="E1391">
        <f>TEST_DATA!E1391</f>
        <v/>
      </c>
      <c r="F1391">
        <f>MIN(E1391*139100,10000)</f>
        <v/>
      </c>
      <c r="G1391">
        <f>MINIFS(CBIC_Late_Fee_Relief_Windows_3B!$O$1391:$O$100,CBIC_Late_Fee_Relief_Windows_3B!$D$1391:$D$100,"&lt;="&amp;B1391,CBIC_Late_Fee_Relief_Windows_3B!$E$1391:$E$100,"&gt;="&amp;B1391,CBIC_Late_Fee_Relief_Windows_3B!$F$1391:$F$100,"&lt;="&amp;C1391,CBIC_Late_Fee_Relief_Windows_3B!$G$1391:$G$100,"&gt;="&amp;C1391)</f>
        <v/>
      </c>
      <c r="H1391">
        <f>INDEX(CBIC_Late_Fee_Relief_Windows_3B!$I$1391:$I$100,MATCH(G1391,CBIC_Late_Fee_Relief_Windows_3B!$O$1391:$O$100,0))</f>
        <v/>
      </c>
      <c r="I1391">
        <f>MIN(F1391,H1391)</f>
        <v/>
      </c>
    </row>
    <row r="1392">
      <c r="A1392">
        <f>TEST_DATA!A1392</f>
        <v/>
      </c>
      <c r="B1392">
        <f>TEST_DATA!B1392</f>
        <v/>
      </c>
      <c r="C1392">
        <f>TEST_DATA!C1392</f>
        <v/>
      </c>
      <c r="D1392">
        <f>TEST_DATA!D1392</f>
        <v/>
      </c>
      <c r="E1392">
        <f>TEST_DATA!E1392</f>
        <v/>
      </c>
      <c r="F1392">
        <f>MIN(E1392*139200,10000)</f>
        <v/>
      </c>
      <c r="G1392">
        <f>MINIFS(CBIC_Late_Fee_Relief_Windows_3B!$O$1392:$O$100,CBIC_Late_Fee_Relief_Windows_3B!$D$1392:$D$100,"&lt;="&amp;B1392,CBIC_Late_Fee_Relief_Windows_3B!$E$1392:$E$100,"&gt;="&amp;B1392,CBIC_Late_Fee_Relief_Windows_3B!$F$1392:$F$100,"&lt;="&amp;C1392,CBIC_Late_Fee_Relief_Windows_3B!$G$1392:$G$100,"&gt;="&amp;C1392)</f>
        <v/>
      </c>
      <c r="H1392">
        <f>INDEX(CBIC_Late_Fee_Relief_Windows_3B!$I$1392:$I$100,MATCH(G1392,CBIC_Late_Fee_Relief_Windows_3B!$O$1392:$O$100,0))</f>
        <v/>
      </c>
      <c r="I1392">
        <f>MIN(F1392,H1392)</f>
        <v/>
      </c>
    </row>
    <row r="1393">
      <c r="A1393">
        <f>TEST_DATA!A1393</f>
        <v/>
      </c>
      <c r="B1393">
        <f>TEST_DATA!B1393</f>
        <v/>
      </c>
      <c r="C1393">
        <f>TEST_DATA!C1393</f>
        <v/>
      </c>
      <c r="D1393">
        <f>TEST_DATA!D1393</f>
        <v/>
      </c>
      <c r="E1393">
        <f>TEST_DATA!E1393</f>
        <v/>
      </c>
      <c r="F1393">
        <f>MIN(E1393*139300,10000)</f>
        <v/>
      </c>
      <c r="G1393">
        <f>MINIFS(CBIC_Late_Fee_Relief_Windows_3B!$O$1393:$O$100,CBIC_Late_Fee_Relief_Windows_3B!$D$1393:$D$100,"&lt;="&amp;B1393,CBIC_Late_Fee_Relief_Windows_3B!$E$1393:$E$100,"&gt;="&amp;B1393,CBIC_Late_Fee_Relief_Windows_3B!$F$1393:$F$100,"&lt;="&amp;C1393,CBIC_Late_Fee_Relief_Windows_3B!$G$1393:$G$100,"&gt;="&amp;C1393)</f>
        <v/>
      </c>
      <c r="H1393">
        <f>INDEX(CBIC_Late_Fee_Relief_Windows_3B!$I$1393:$I$100,MATCH(G1393,CBIC_Late_Fee_Relief_Windows_3B!$O$1393:$O$100,0))</f>
        <v/>
      </c>
      <c r="I1393">
        <f>MIN(F1393,H1393)</f>
        <v/>
      </c>
    </row>
    <row r="1394">
      <c r="A1394">
        <f>TEST_DATA!A1394</f>
        <v/>
      </c>
      <c r="B1394">
        <f>TEST_DATA!B1394</f>
        <v/>
      </c>
      <c r="C1394">
        <f>TEST_DATA!C1394</f>
        <v/>
      </c>
      <c r="D1394">
        <f>TEST_DATA!D1394</f>
        <v/>
      </c>
      <c r="E1394">
        <f>TEST_DATA!E1394</f>
        <v/>
      </c>
      <c r="F1394">
        <f>MIN(E1394*139400,10000)</f>
        <v/>
      </c>
      <c r="G1394">
        <f>MINIFS(CBIC_Late_Fee_Relief_Windows_3B!$O$1394:$O$100,CBIC_Late_Fee_Relief_Windows_3B!$D$1394:$D$100,"&lt;="&amp;B1394,CBIC_Late_Fee_Relief_Windows_3B!$E$1394:$E$100,"&gt;="&amp;B1394,CBIC_Late_Fee_Relief_Windows_3B!$F$1394:$F$100,"&lt;="&amp;C1394,CBIC_Late_Fee_Relief_Windows_3B!$G$1394:$G$100,"&gt;="&amp;C1394)</f>
        <v/>
      </c>
      <c r="H1394">
        <f>INDEX(CBIC_Late_Fee_Relief_Windows_3B!$I$1394:$I$100,MATCH(G1394,CBIC_Late_Fee_Relief_Windows_3B!$O$1394:$O$100,0))</f>
        <v/>
      </c>
      <c r="I1394">
        <f>MIN(F1394,H1394)</f>
        <v/>
      </c>
    </row>
    <row r="1395">
      <c r="A1395">
        <f>TEST_DATA!A1395</f>
        <v/>
      </c>
      <c r="B1395">
        <f>TEST_DATA!B1395</f>
        <v/>
      </c>
      <c r="C1395">
        <f>TEST_DATA!C1395</f>
        <v/>
      </c>
      <c r="D1395">
        <f>TEST_DATA!D1395</f>
        <v/>
      </c>
      <c r="E1395">
        <f>TEST_DATA!E1395</f>
        <v/>
      </c>
      <c r="F1395">
        <f>MIN(E1395*139500,10000)</f>
        <v/>
      </c>
      <c r="G1395">
        <f>MINIFS(CBIC_Late_Fee_Relief_Windows_3B!$O$1395:$O$100,CBIC_Late_Fee_Relief_Windows_3B!$D$1395:$D$100,"&lt;="&amp;B1395,CBIC_Late_Fee_Relief_Windows_3B!$E$1395:$E$100,"&gt;="&amp;B1395,CBIC_Late_Fee_Relief_Windows_3B!$F$1395:$F$100,"&lt;="&amp;C1395,CBIC_Late_Fee_Relief_Windows_3B!$G$1395:$G$100,"&gt;="&amp;C1395)</f>
        <v/>
      </c>
      <c r="H1395">
        <f>INDEX(CBIC_Late_Fee_Relief_Windows_3B!$I$1395:$I$100,MATCH(G1395,CBIC_Late_Fee_Relief_Windows_3B!$O$1395:$O$100,0))</f>
        <v/>
      </c>
      <c r="I1395">
        <f>MIN(F1395,H1395)</f>
        <v/>
      </c>
    </row>
    <row r="1396">
      <c r="A1396">
        <f>TEST_DATA!A1396</f>
        <v/>
      </c>
      <c r="B1396">
        <f>TEST_DATA!B1396</f>
        <v/>
      </c>
      <c r="C1396">
        <f>TEST_DATA!C1396</f>
        <v/>
      </c>
      <c r="D1396">
        <f>TEST_DATA!D1396</f>
        <v/>
      </c>
      <c r="E1396">
        <f>TEST_DATA!E1396</f>
        <v/>
      </c>
      <c r="F1396">
        <f>MIN(E1396*139600,10000)</f>
        <v/>
      </c>
      <c r="G1396">
        <f>MINIFS(CBIC_Late_Fee_Relief_Windows_3B!$O$1396:$O$100,CBIC_Late_Fee_Relief_Windows_3B!$D$1396:$D$100,"&lt;="&amp;B1396,CBIC_Late_Fee_Relief_Windows_3B!$E$1396:$E$100,"&gt;="&amp;B1396,CBIC_Late_Fee_Relief_Windows_3B!$F$1396:$F$100,"&lt;="&amp;C1396,CBIC_Late_Fee_Relief_Windows_3B!$G$1396:$G$100,"&gt;="&amp;C1396)</f>
        <v/>
      </c>
      <c r="H1396">
        <f>INDEX(CBIC_Late_Fee_Relief_Windows_3B!$I$1396:$I$100,MATCH(G1396,CBIC_Late_Fee_Relief_Windows_3B!$O$1396:$O$100,0))</f>
        <v/>
      </c>
      <c r="I1396">
        <f>MIN(F1396,H1396)</f>
        <v/>
      </c>
    </row>
    <row r="1397">
      <c r="A1397">
        <f>TEST_DATA!A1397</f>
        <v/>
      </c>
      <c r="B1397">
        <f>TEST_DATA!B1397</f>
        <v/>
      </c>
      <c r="C1397">
        <f>TEST_DATA!C1397</f>
        <v/>
      </c>
      <c r="D1397">
        <f>TEST_DATA!D1397</f>
        <v/>
      </c>
      <c r="E1397">
        <f>TEST_DATA!E1397</f>
        <v/>
      </c>
      <c r="F1397">
        <f>MIN(E1397*139700,10000)</f>
        <v/>
      </c>
      <c r="G1397">
        <f>MINIFS(CBIC_Late_Fee_Relief_Windows_3B!$O$1397:$O$100,CBIC_Late_Fee_Relief_Windows_3B!$D$1397:$D$100,"&lt;="&amp;B1397,CBIC_Late_Fee_Relief_Windows_3B!$E$1397:$E$100,"&gt;="&amp;B1397,CBIC_Late_Fee_Relief_Windows_3B!$F$1397:$F$100,"&lt;="&amp;C1397,CBIC_Late_Fee_Relief_Windows_3B!$G$1397:$G$100,"&gt;="&amp;C1397)</f>
        <v/>
      </c>
      <c r="H1397">
        <f>INDEX(CBIC_Late_Fee_Relief_Windows_3B!$I$1397:$I$100,MATCH(G1397,CBIC_Late_Fee_Relief_Windows_3B!$O$1397:$O$100,0))</f>
        <v/>
      </c>
      <c r="I1397">
        <f>MIN(F1397,H1397)</f>
        <v/>
      </c>
    </row>
    <row r="1398">
      <c r="A1398">
        <f>TEST_DATA!A1398</f>
        <v/>
      </c>
      <c r="B1398">
        <f>TEST_DATA!B1398</f>
        <v/>
      </c>
      <c r="C1398">
        <f>TEST_DATA!C1398</f>
        <v/>
      </c>
      <c r="D1398">
        <f>TEST_DATA!D1398</f>
        <v/>
      </c>
      <c r="E1398">
        <f>TEST_DATA!E1398</f>
        <v/>
      </c>
      <c r="F1398">
        <f>MIN(E1398*139800,10000)</f>
        <v/>
      </c>
      <c r="G1398">
        <f>MINIFS(CBIC_Late_Fee_Relief_Windows_3B!$O$1398:$O$100,CBIC_Late_Fee_Relief_Windows_3B!$D$1398:$D$100,"&lt;="&amp;B1398,CBIC_Late_Fee_Relief_Windows_3B!$E$1398:$E$100,"&gt;="&amp;B1398,CBIC_Late_Fee_Relief_Windows_3B!$F$1398:$F$100,"&lt;="&amp;C1398,CBIC_Late_Fee_Relief_Windows_3B!$G$1398:$G$100,"&gt;="&amp;C1398)</f>
        <v/>
      </c>
      <c r="H1398">
        <f>INDEX(CBIC_Late_Fee_Relief_Windows_3B!$I$1398:$I$100,MATCH(G1398,CBIC_Late_Fee_Relief_Windows_3B!$O$1398:$O$100,0))</f>
        <v/>
      </c>
      <c r="I1398">
        <f>MIN(F1398,H1398)</f>
        <v/>
      </c>
    </row>
    <row r="1399">
      <c r="A1399">
        <f>TEST_DATA!A1399</f>
        <v/>
      </c>
      <c r="B1399">
        <f>TEST_DATA!B1399</f>
        <v/>
      </c>
      <c r="C1399">
        <f>TEST_DATA!C1399</f>
        <v/>
      </c>
      <c r="D1399">
        <f>TEST_DATA!D1399</f>
        <v/>
      </c>
      <c r="E1399">
        <f>TEST_DATA!E1399</f>
        <v/>
      </c>
      <c r="F1399">
        <f>MIN(E1399*139900,10000)</f>
        <v/>
      </c>
      <c r="G1399">
        <f>MINIFS(CBIC_Late_Fee_Relief_Windows_3B!$O$1399:$O$100,CBIC_Late_Fee_Relief_Windows_3B!$D$1399:$D$100,"&lt;="&amp;B1399,CBIC_Late_Fee_Relief_Windows_3B!$E$1399:$E$100,"&gt;="&amp;B1399,CBIC_Late_Fee_Relief_Windows_3B!$F$1399:$F$100,"&lt;="&amp;C1399,CBIC_Late_Fee_Relief_Windows_3B!$G$1399:$G$100,"&gt;="&amp;C1399)</f>
        <v/>
      </c>
      <c r="H1399">
        <f>INDEX(CBIC_Late_Fee_Relief_Windows_3B!$I$1399:$I$100,MATCH(G1399,CBIC_Late_Fee_Relief_Windows_3B!$O$1399:$O$100,0))</f>
        <v/>
      </c>
      <c r="I1399">
        <f>MIN(F1399,H1399)</f>
        <v/>
      </c>
    </row>
    <row r="1400">
      <c r="A1400">
        <f>TEST_DATA!A1400</f>
        <v/>
      </c>
      <c r="B1400">
        <f>TEST_DATA!B1400</f>
        <v/>
      </c>
      <c r="C1400">
        <f>TEST_DATA!C1400</f>
        <v/>
      </c>
      <c r="D1400">
        <f>TEST_DATA!D1400</f>
        <v/>
      </c>
      <c r="E1400">
        <f>TEST_DATA!E1400</f>
        <v/>
      </c>
      <c r="F1400">
        <f>MIN(E1400*140000,10000)</f>
        <v/>
      </c>
      <c r="G1400">
        <f>MINIFS(CBIC_Late_Fee_Relief_Windows_3B!$O$1400:$O$100,CBIC_Late_Fee_Relief_Windows_3B!$D$1400:$D$100,"&lt;="&amp;B1400,CBIC_Late_Fee_Relief_Windows_3B!$E$1400:$E$100,"&gt;="&amp;B1400,CBIC_Late_Fee_Relief_Windows_3B!$F$1400:$F$100,"&lt;="&amp;C1400,CBIC_Late_Fee_Relief_Windows_3B!$G$1400:$G$100,"&gt;="&amp;C1400)</f>
        <v/>
      </c>
      <c r="H1400">
        <f>INDEX(CBIC_Late_Fee_Relief_Windows_3B!$I$1400:$I$100,MATCH(G1400,CBIC_Late_Fee_Relief_Windows_3B!$O$1400:$O$100,0))</f>
        <v/>
      </c>
      <c r="I1400">
        <f>MIN(F1400,H1400)</f>
        <v/>
      </c>
    </row>
    <row r="1401">
      <c r="A1401">
        <f>TEST_DATA!A1401</f>
        <v/>
      </c>
      <c r="B1401">
        <f>TEST_DATA!B1401</f>
        <v/>
      </c>
      <c r="C1401">
        <f>TEST_DATA!C1401</f>
        <v/>
      </c>
      <c r="D1401">
        <f>TEST_DATA!D1401</f>
        <v/>
      </c>
      <c r="E1401">
        <f>TEST_DATA!E1401</f>
        <v/>
      </c>
      <c r="F1401">
        <f>MIN(E1401*140100,10000)</f>
        <v/>
      </c>
      <c r="G1401">
        <f>MINIFS(CBIC_Late_Fee_Relief_Windows_3B!$O$1401:$O$100,CBIC_Late_Fee_Relief_Windows_3B!$D$1401:$D$100,"&lt;="&amp;B1401,CBIC_Late_Fee_Relief_Windows_3B!$E$1401:$E$100,"&gt;="&amp;B1401,CBIC_Late_Fee_Relief_Windows_3B!$F$1401:$F$100,"&lt;="&amp;C1401,CBIC_Late_Fee_Relief_Windows_3B!$G$1401:$G$100,"&gt;="&amp;C1401)</f>
        <v/>
      </c>
      <c r="H1401">
        <f>INDEX(CBIC_Late_Fee_Relief_Windows_3B!$I$1401:$I$100,MATCH(G1401,CBIC_Late_Fee_Relief_Windows_3B!$O$1401:$O$100,0))</f>
        <v/>
      </c>
      <c r="I1401">
        <f>MIN(F1401,H1401)</f>
        <v/>
      </c>
    </row>
    <row r="1402">
      <c r="A1402">
        <f>TEST_DATA!A1402</f>
        <v/>
      </c>
      <c r="B1402">
        <f>TEST_DATA!B1402</f>
        <v/>
      </c>
      <c r="C1402">
        <f>TEST_DATA!C1402</f>
        <v/>
      </c>
      <c r="D1402">
        <f>TEST_DATA!D1402</f>
        <v/>
      </c>
      <c r="E1402">
        <f>TEST_DATA!E1402</f>
        <v/>
      </c>
      <c r="F1402">
        <f>MIN(E1402*140200,10000)</f>
        <v/>
      </c>
      <c r="G1402">
        <f>MINIFS(CBIC_Late_Fee_Relief_Windows_3B!$O$1402:$O$100,CBIC_Late_Fee_Relief_Windows_3B!$D$1402:$D$100,"&lt;="&amp;B1402,CBIC_Late_Fee_Relief_Windows_3B!$E$1402:$E$100,"&gt;="&amp;B1402,CBIC_Late_Fee_Relief_Windows_3B!$F$1402:$F$100,"&lt;="&amp;C1402,CBIC_Late_Fee_Relief_Windows_3B!$G$1402:$G$100,"&gt;="&amp;C1402)</f>
        <v/>
      </c>
      <c r="H1402">
        <f>INDEX(CBIC_Late_Fee_Relief_Windows_3B!$I$1402:$I$100,MATCH(G1402,CBIC_Late_Fee_Relief_Windows_3B!$O$1402:$O$100,0))</f>
        <v/>
      </c>
      <c r="I1402">
        <f>MIN(F1402,H1402)</f>
        <v/>
      </c>
    </row>
    <row r="1403">
      <c r="A1403">
        <f>TEST_DATA!A1403</f>
        <v/>
      </c>
      <c r="B1403">
        <f>TEST_DATA!B1403</f>
        <v/>
      </c>
      <c r="C1403">
        <f>TEST_DATA!C1403</f>
        <v/>
      </c>
      <c r="D1403">
        <f>TEST_DATA!D1403</f>
        <v/>
      </c>
      <c r="E1403">
        <f>TEST_DATA!E1403</f>
        <v/>
      </c>
      <c r="F1403">
        <f>MIN(E1403*140300,10000)</f>
        <v/>
      </c>
      <c r="G1403">
        <f>MINIFS(CBIC_Late_Fee_Relief_Windows_3B!$O$1403:$O$100,CBIC_Late_Fee_Relief_Windows_3B!$D$1403:$D$100,"&lt;="&amp;B1403,CBIC_Late_Fee_Relief_Windows_3B!$E$1403:$E$100,"&gt;="&amp;B1403,CBIC_Late_Fee_Relief_Windows_3B!$F$1403:$F$100,"&lt;="&amp;C1403,CBIC_Late_Fee_Relief_Windows_3B!$G$1403:$G$100,"&gt;="&amp;C1403)</f>
        <v/>
      </c>
      <c r="H1403">
        <f>INDEX(CBIC_Late_Fee_Relief_Windows_3B!$I$1403:$I$100,MATCH(G1403,CBIC_Late_Fee_Relief_Windows_3B!$O$1403:$O$100,0))</f>
        <v/>
      </c>
      <c r="I1403">
        <f>MIN(F1403,H1403)</f>
        <v/>
      </c>
    </row>
    <row r="1404">
      <c r="A1404">
        <f>TEST_DATA!A1404</f>
        <v/>
      </c>
      <c r="B1404">
        <f>TEST_DATA!B1404</f>
        <v/>
      </c>
      <c r="C1404">
        <f>TEST_DATA!C1404</f>
        <v/>
      </c>
      <c r="D1404">
        <f>TEST_DATA!D1404</f>
        <v/>
      </c>
      <c r="E1404">
        <f>TEST_DATA!E1404</f>
        <v/>
      </c>
      <c r="F1404">
        <f>MIN(E1404*140400,10000)</f>
        <v/>
      </c>
      <c r="G1404">
        <f>MINIFS(CBIC_Late_Fee_Relief_Windows_3B!$O$1404:$O$100,CBIC_Late_Fee_Relief_Windows_3B!$D$1404:$D$100,"&lt;="&amp;B1404,CBIC_Late_Fee_Relief_Windows_3B!$E$1404:$E$100,"&gt;="&amp;B1404,CBIC_Late_Fee_Relief_Windows_3B!$F$1404:$F$100,"&lt;="&amp;C1404,CBIC_Late_Fee_Relief_Windows_3B!$G$1404:$G$100,"&gt;="&amp;C1404)</f>
        <v/>
      </c>
      <c r="H1404">
        <f>INDEX(CBIC_Late_Fee_Relief_Windows_3B!$I$1404:$I$100,MATCH(G1404,CBIC_Late_Fee_Relief_Windows_3B!$O$1404:$O$100,0))</f>
        <v/>
      </c>
      <c r="I1404">
        <f>MIN(F1404,H1404)</f>
        <v/>
      </c>
    </row>
    <row r="1405">
      <c r="A1405">
        <f>TEST_DATA!A1405</f>
        <v/>
      </c>
      <c r="B1405">
        <f>TEST_DATA!B1405</f>
        <v/>
      </c>
      <c r="C1405">
        <f>TEST_DATA!C1405</f>
        <v/>
      </c>
      <c r="D1405">
        <f>TEST_DATA!D1405</f>
        <v/>
      </c>
      <c r="E1405">
        <f>TEST_DATA!E1405</f>
        <v/>
      </c>
      <c r="F1405">
        <f>MIN(E1405*140500,10000)</f>
        <v/>
      </c>
      <c r="G1405">
        <f>MINIFS(CBIC_Late_Fee_Relief_Windows_3B!$O$1405:$O$100,CBIC_Late_Fee_Relief_Windows_3B!$D$1405:$D$100,"&lt;="&amp;B1405,CBIC_Late_Fee_Relief_Windows_3B!$E$1405:$E$100,"&gt;="&amp;B1405,CBIC_Late_Fee_Relief_Windows_3B!$F$1405:$F$100,"&lt;="&amp;C1405,CBIC_Late_Fee_Relief_Windows_3B!$G$1405:$G$100,"&gt;="&amp;C1405)</f>
        <v/>
      </c>
      <c r="H1405">
        <f>INDEX(CBIC_Late_Fee_Relief_Windows_3B!$I$1405:$I$100,MATCH(G1405,CBIC_Late_Fee_Relief_Windows_3B!$O$1405:$O$100,0))</f>
        <v/>
      </c>
      <c r="I1405">
        <f>MIN(F1405,H1405)</f>
        <v/>
      </c>
    </row>
    <row r="1406">
      <c r="A1406">
        <f>TEST_DATA!A1406</f>
        <v/>
      </c>
      <c r="B1406">
        <f>TEST_DATA!B1406</f>
        <v/>
      </c>
      <c r="C1406">
        <f>TEST_DATA!C1406</f>
        <v/>
      </c>
      <c r="D1406">
        <f>TEST_DATA!D1406</f>
        <v/>
      </c>
      <c r="E1406">
        <f>TEST_DATA!E1406</f>
        <v/>
      </c>
      <c r="F1406">
        <f>MIN(E1406*140600,10000)</f>
        <v/>
      </c>
      <c r="G1406">
        <f>MINIFS(CBIC_Late_Fee_Relief_Windows_3B!$O$1406:$O$100,CBIC_Late_Fee_Relief_Windows_3B!$D$1406:$D$100,"&lt;="&amp;B1406,CBIC_Late_Fee_Relief_Windows_3B!$E$1406:$E$100,"&gt;="&amp;B1406,CBIC_Late_Fee_Relief_Windows_3B!$F$1406:$F$100,"&lt;="&amp;C1406,CBIC_Late_Fee_Relief_Windows_3B!$G$1406:$G$100,"&gt;="&amp;C1406)</f>
        <v/>
      </c>
      <c r="H1406">
        <f>INDEX(CBIC_Late_Fee_Relief_Windows_3B!$I$1406:$I$100,MATCH(G1406,CBIC_Late_Fee_Relief_Windows_3B!$O$1406:$O$100,0))</f>
        <v/>
      </c>
      <c r="I1406">
        <f>MIN(F1406,H1406)</f>
        <v/>
      </c>
    </row>
    <row r="1407">
      <c r="A1407">
        <f>TEST_DATA!A1407</f>
        <v/>
      </c>
      <c r="B1407">
        <f>TEST_DATA!B1407</f>
        <v/>
      </c>
      <c r="C1407">
        <f>TEST_DATA!C1407</f>
        <v/>
      </c>
      <c r="D1407">
        <f>TEST_DATA!D1407</f>
        <v/>
      </c>
      <c r="E1407">
        <f>TEST_DATA!E1407</f>
        <v/>
      </c>
      <c r="F1407">
        <f>MIN(E1407*140700,10000)</f>
        <v/>
      </c>
      <c r="G1407">
        <f>MINIFS(CBIC_Late_Fee_Relief_Windows_3B!$O$1407:$O$100,CBIC_Late_Fee_Relief_Windows_3B!$D$1407:$D$100,"&lt;="&amp;B1407,CBIC_Late_Fee_Relief_Windows_3B!$E$1407:$E$100,"&gt;="&amp;B1407,CBIC_Late_Fee_Relief_Windows_3B!$F$1407:$F$100,"&lt;="&amp;C1407,CBIC_Late_Fee_Relief_Windows_3B!$G$1407:$G$100,"&gt;="&amp;C1407)</f>
        <v/>
      </c>
      <c r="H1407">
        <f>INDEX(CBIC_Late_Fee_Relief_Windows_3B!$I$1407:$I$100,MATCH(G1407,CBIC_Late_Fee_Relief_Windows_3B!$O$1407:$O$100,0))</f>
        <v/>
      </c>
      <c r="I1407">
        <f>MIN(F1407,H1407)</f>
        <v/>
      </c>
    </row>
    <row r="1408">
      <c r="A1408">
        <f>TEST_DATA!A1408</f>
        <v/>
      </c>
      <c r="B1408">
        <f>TEST_DATA!B1408</f>
        <v/>
      </c>
      <c r="C1408">
        <f>TEST_DATA!C1408</f>
        <v/>
      </c>
      <c r="D1408">
        <f>TEST_DATA!D1408</f>
        <v/>
      </c>
      <c r="E1408">
        <f>TEST_DATA!E1408</f>
        <v/>
      </c>
      <c r="F1408">
        <f>MIN(E1408*140800,10000)</f>
        <v/>
      </c>
      <c r="G1408">
        <f>MINIFS(CBIC_Late_Fee_Relief_Windows_3B!$O$1408:$O$100,CBIC_Late_Fee_Relief_Windows_3B!$D$1408:$D$100,"&lt;="&amp;B1408,CBIC_Late_Fee_Relief_Windows_3B!$E$1408:$E$100,"&gt;="&amp;B1408,CBIC_Late_Fee_Relief_Windows_3B!$F$1408:$F$100,"&lt;="&amp;C1408,CBIC_Late_Fee_Relief_Windows_3B!$G$1408:$G$100,"&gt;="&amp;C1408)</f>
        <v/>
      </c>
      <c r="H1408">
        <f>INDEX(CBIC_Late_Fee_Relief_Windows_3B!$I$1408:$I$100,MATCH(G1408,CBIC_Late_Fee_Relief_Windows_3B!$O$1408:$O$100,0))</f>
        <v/>
      </c>
      <c r="I1408">
        <f>MIN(F1408,H1408)</f>
        <v/>
      </c>
    </row>
    <row r="1409">
      <c r="A1409">
        <f>TEST_DATA!A1409</f>
        <v/>
      </c>
      <c r="B1409">
        <f>TEST_DATA!B1409</f>
        <v/>
      </c>
      <c r="C1409">
        <f>TEST_DATA!C1409</f>
        <v/>
      </c>
      <c r="D1409">
        <f>TEST_DATA!D1409</f>
        <v/>
      </c>
      <c r="E1409">
        <f>TEST_DATA!E1409</f>
        <v/>
      </c>
      <c r="F1409">
        <f>MIN(E1409*140900,10000)</f>
        <v/>
      </c>
      <c r="G1409">
        <f>MINIFS(CBIC_Late_Fee_Relief_Windows_3B!$O$1409:$O$100,CBIC_Late_Fee_Relief_Windows_3B!$D$1409:$D$100,"&lt;="&amp;B1409,CBIC_Late_Fee_Relief_Windows_3B!$E$1409:$E$100,"&gt;="&amp;B1409,CBIC_Late_Fee_Relief_Windows_3B!$F$1409:$F$100,"&lt;="&amp;C1409,CBIC_Late_Fee_Relief_Windows_3B!$G$1409:$G$100,"&gt;="&amp;C1409)</f>
        <v/>
      </c>
      <c r="H1409">
        <f>INDEX(CBIC_Late_Fee_Relief_Windows_3B!$I$1409:$I$100,MATCH(G1409,CBIC_Late_Fee_Relief_Windows_3B!$O$1409:$O$100,0))</f>
        <v/>
      </c>
      <c r="I1409">
        <f>MIN(F1409,H1409)</f>
        <v/>
      </c>
    </row>
    <row r="1410">
      <c r="A1410">
        <f>TEST_DATA!A1410</f>
        <v/>
      </c>
      <c r="B1410">
        <f>TEST_DATA!B1410</f>
        <v/>
      </c>
      <c r="C1410">
        <f>TEST_DATA!C1410</f>
        <v/>
      </c>
      <c r="D1410">
        <f>TEST_DATA!D1410</f>
        <v/>
      </c>
      <c r="E1410">
        <f>TEST_DATA!E1410</f>
        <v/>
      </c>
      <c r="F1410">
        <f>MIN(E1410*141000,10000)</f>
        <v/>
      </c>
      <c r="G1410">
        <f>MINIFS(CBIC_Late_Fee_Relief_Windows_3B!$O$1410:$O$100,CBIC_Late_Fee_Relief_Windows_3B!$D$1410:$D$100,"&lt;="&amp;B1410,CBIC_Late_Fee_Relief_Windows_3B!$E$1410:$E$100,"&gt;="&amp;B1410,CBIC_Late_Fee_Relief_Windows_3B!$F$1410:$F$100,"&lt;="&amp;C1410,CBIC_Late_Fee_Relief_Windows_3B!$G$1410:$G$100,"&gt;="&amp;C1410)</f>
        <v/>
      </c>
      <c r="H1410">
        <f>INDEX(CBIC_Late_Fee_Relief_Windows_3B!$I$1410:$I$100,MATCH(G1410,CBIC_Late_Fee_Relief_Windows_3B!$O$1410:$O$100,0))</f>
        <v/>
      </c>
      <c r="I1410">
        <f>MIN(F1410,H1410)</f>
        <v/>
      </c>
    </row>
    <row r="1411">
      <c r="A1411">
        <f>TEST_DATA!A1411</f>
        <v/>
      </c>
      <c r="B1411">
        <f>TEST_DATA!B1411</f>
        <v/>
      </c>
      <c r="C1411">
        <f>TEST_DATA!C1411</f>
        <v/>
      </c>
      <c r="D1411">
        <f>TEST_DATA!D1411</f>
        <v/>
      </c>
      <c r="E1411">
        <f>TEST_DATA!E1411</f>
        <v/>
      </c>
      <c r="F1411">
        <f>MIN(E1411*141100,10000)</f>
        <v/>
      </c>
      <c r="G1411">
        <f>MINIFS(CBIC_Late_Fee_Relief_Windows_3B!$O$1411:$O$100,CBIC_Late_Fee_Relief_Windows_3B!$D$1411:$D$100,"&lt;="&amp;B1411,CBIC_Late_Fee_Relief_Windows_3B!$E$1411:$E$100,"&gt;="&amp;B1411,CBIC_Late_Fee_Relief_Windows_3B!$F$1411:$F$100,"&lt;="&amp;C1411,CBIC_Late_Fee_Relief_Windows_3B!$G$1411:$G$100,"&gt;="&amp;C1411)</f>
        <v/>
      </c>
      <c r="H1411">
        <f>INDEX(CBIC_Late_Fee_Relief_Windows_3B!$I$1411:$I$100,MATCH(G1411,CBIC_Late_Fee_Relief_Windows_3B!$O$1411:$O$100,0))</f>
        <v/>
      </c>
      <c r="I1411">
        <f>MIN(F1411,H1411)</f>
        <v/>
      </c>
    </row>
    <row r="1412">
      <c r="A1412">
        <f>TEST_DATA!A1412</f>
        <v/>
      </c>
      <c r="B1412">
        <f>TEST_DATA!B1412</f>
        <v/>
      </c>
      <c r="C1412">
        <f>TEST_DATA!C1412</f>
        <v/>
      </c>
      <c r="D1412">
        <f>TEST_DATA!D1412</f>
        <v/>
      </c>
      <c r="E1412">
        <f>TEST_DATA!E1412</f>
        <v/>
      </c>
      <c r="F1412">
        <f>MIN(E1412*141200,10000)</f>
        <v/>
      </c>
      <c r="G1412">
        <f>MINIFS(CBIC_Late_Fee_Relief_Windows_3B!$O$1412:$O$100,CBIC_Late_Fee_Relief_Windows_3B!$D$1412:$D$100,"&lt;="&amp;B1412,CBIC_Late_Fee_Relief_Windows_3B!$E$1412:$E$100,"&gt;="&amp;B1412,CBIC_Late_Fee_Relief_Windows_3B!$F$1412:$F$100,"&lt;="&amp;C1412,CBIC_Late_Fee_Relief_Windows_3B!$G$1412:$G$100,"&gt;="&amp;C1412)</f>
        <v/>
      </c>
      <c r="H1412">
        <f>INDEX(CBIC_Late_Fee_Relief_Windows_3B!$I$1412:$I$100,MATCH(G1412,CBIC_Late_Fee_Relief_Windows_3B!$O$1412:$O$100,0))</f>
        <v/>
      </c>
      <c r="I1412">
        <f>MIN(F1412,H1412)</f>
        <v/>
      </c>
    </row>
    <row r="1413">
      <c r="A1413">
        <f>TEST_DATA!A1413</f>
        <v/>
      </c>
      <c r="B1413">
        <f>TEST_DATA!B1413</f>
        <v/>
      </c>
      <c r="C1413">
        <f>TEST_DATA!C1413</f>
        <v/>
      </c>
      <c r="D1413">
        <f>TEST_DATA!D1413</f>
        <v/>
      </c>
      <c r="E1413">
        <f>TEST_DATA!E1413</f>
        <v/>
      </c>
      <c r="F1413">
        <f>MIN(E1413*141300,10000)</f>
        <v/>
      </c>
      <c r="G1413">
        <f>MINIFS(CBIC_Late_Fee_Relief_Windows_3B!$O$1413:$O$100,CBIC_Late_Fee_Relief_Windows_3B!$D$1413:$D$100,"&lt;="&amp;B1413,CBIC_Late_Fee_Relief_Windows_3B!$E$1413:$E$100,"&gt;="&amp;B1413,CBIC_Late_Fee_Relief_Windows_3B!$F$1413:$F$100,"&lt;="&amp;C1413,CBIC_Late_Fee_Relief_Windows_3B!$G$1413:$G$100,"&gt;="&amp;C1413)</f>
        <v/>
      </c>
      <c r="H1413">
        <f>INDEX(CBIC_Late_Fee_Relief_Windows_3B!$I$1413:$I$100,MATCH(G1413,CBIC_Late_Fee_Relief_Windows_3B!$O$1413:$O$100,0))</f>
        <v/>
      </c>
      <c r="I1413">
        <f>MIN(F1413,H1413)</f>
        <v/>
      </c>
    </row>
    <row r="1414">
      <c r="A1414">
        <f>TEST_DATA!A1414</f>
        <v/>
      </c>
      <c r="B1414">
        <f>TEST_DATA!B1414</f>
        <v/>
      </c>
      <c r="C1414">
        <f>TEST_DATA!C1414</f>
        <v/>
      </c>
      <c r="D1414">
        <f>TEST_DATA!D1414</f>
        <v/>
      </c>
      <c r="E1414">
        <f>TEST_DATA!E1414</f>
        <v/>
      </c>
      <c r="F1414">
        <f>MIN(E1414*141400,10000)</f>
        <v/>
      </c>
      <c r="G1414">
        <f>MINIFS(CBIC_Late_Fee_Relief_Windows_3B!$O$1414:$O$100,CBIC_Late_Fee_Relief_Windows_3B!$D$1414:$D$100,"&lt;="&amp;B1414,CBIC_Late_Fee_Relief_Windows_3B!$E$1414:$E$100,"&gt;="&amp;B1414,CBIC_Late_Fee_Relief_Windows_3B!$F$1414:$F$100,"&lt;="&amp;C1414,CBIC_Late_Fee_Relief_Windows_3B!$G$1414:$G$100,"&gt;="&amp;C1414)</f>
        <v/>
      </c>
      <c r="H1414">
        <f>INDEX(CBIC_Late_Fee_Relief_Windows_3B!$I$1414:$I$100,MATCH(G1414,CBIC_Late_Fee_Relief_Windows_3B!$O$1414:$O$100,0))</f>
        <v/>
      </c>
      <c r="I1414">
        <f>MIN(F1414,H1414)</f>
        <v/>
      </c>
    </row>
    <row r="1415">
      <c r="A1415">
        <f>TEST_DATA!A1415</f>
        <v/>
      </c>
      <c r="B1415">
        <f>TEST_DATA!B1415</f>
        <v/>
      </c>
      <c r="C1415">
        <f>TEST_DATA!C1415</f>
        <v/>
      </c>
      <c r="D1415">
        <f>TEST_DATA!D1415</f>
        <v/>
      </c>
      <c r="E1415">
        <f>TEST_DATA!E1415</f>
        <v/>
      </c>
      <c r="F1415">
        <f>MIN(E1415*141500,10000)</f>
        <v/>
      </c>
      <c r="G1415">
        <f>MINIFS(CBIC_Late_Fee_Relief_Windows_3B!$O$1415:$O$100,CBIC_Late_Fee_Relief_Windows_3B!$D$1415:$D$100,"&lt;="&amp;B1415,CBIC_Late_Fee_Relief_Windows_3B!$E$1415:$E$100,"&gt;="&amp;B1415,CBIC_Late_Fee_Relief_Windows_3B!$F$1415:$F$100,"&lt;="&amp;C1415,CBIC_Late_Fee_Relief_Windows_3B!$G$1415:$G$100,"&gt;="&amp;C1415)</f>
        <v/>
      </c>
      <c r="H1415">
        <f>INDEX(CBIC_Late_Fee_Relief_Windows_3B!$I$1415:$I$100,MATCH(G1415,CBIC_Late_Fee_Relief_Windows_3B!$O$1415:$O$100,0))</f>
        <v/>
      </c>
      <c r="I1415">
        <f>MIN(F1415,H1415)</f>
        <v/>
      </c>
    </row>
    <row r="1416">
      <c r="A1416">
        <f>TEST_DATA!A1416</f>
        <v/>
      </c>
      <c r="B1416">
        <f>TEST_DATA!B1416</f>
        <v/>
      </c>
      <c r="C1416">
        <f>TEST_DATA!C1416</f>
        <v/>
      </c>
      <c r="D1416">
        <f>TEST_DATA!D1416</f>
        <v/>
      </c>
      <c r="E1416">
        <f>TEST_DATA!E1416</f>
        <v/>
      </c>
      <c r="F1416">
        <f>MIN(E1416*141600,10000)</f>
        <v/>
      </c>
      <c r="G1416">
        <f>MINIFS(CBIC_Late_Fee_Relief_Windows_3B!$O$1416:$O$100,CBIC_Late_Fee_Relief_Windows_3B!$D$1416:$D$100,"&lt;="&amp;B1416,CBIC_Late_Fee_Relief_Windows_3B!$E$1416:$E$100,"&gt;="&amp;B1416,CBIC_Late_Fee_Relief_Windows_3B!$F$1416:$F$100,"&lt;="&amp;C1416,CBIC_Late_Fee_Relief_Windows_3B!$G$1416:$G$100,"&gt;="&amp;C1416)</f>
        <v/>
      </c>
      <c r="H1416">
        <f>INDEX(CBIC_Late_Fee_Relief_Windows_3B!$I$1416:$I$100,MATCH(G1416,CBIC_Late_Fee_Relief_Windows_3B!$O$1416:$O$100,0))</f>
        <v/>
      </c>
      <c r="I1416">
        <f>MIN(F1416,H1416)</f>
        <v/>
      </c>
    </row>
    <row r="1417">
      <c r="A1417">
        <f>TEST_DATA!A1417</f>
        <v/>
      </c>
      <c r="B1417">
        <f>TEST_DATA!B1417</f>
        <v/>
      </c>
      <c r="C1417">
        <f>TEST_DATA!C1417</f>
        <v/>
      </c>
      <c r="D1417">
        <f>TEST_DATA!D1417</f>
        <v/>
      </c>
      <c r="E1417">
        <f>TEST_DATA!E1417</f>
        <v/>
      </c>
      <c r="F1417">
        <f>MIN(E1417*141700,10000)</f>
        <v/>
      </c>
      <c r="G1417">
        <f>MINIFS(CBIC_Late_Fee_Relief_Windows_3B!$O$1417:$O$100,CBIC_Late_Fee_Relief_Windows_3B!$D$1417:$D$100,"&lt;="&amp;B1417,CBIC_Late_Fee_Relief_Windows_3B!$E$1417:$E$100,"&gt;="&amp;B1417,CBIC_Late_Fee_Relief_Windows_3B!$F$1417:$F$100,"&lt;="&amp;C1417,CBIC_Late_Fee_Relief_Windows_3B!$G$1417:$G$100,"&gt;="&amp;C1417)</f>
        <v/>
      </c>
      <c r="H1417">
        <f>INDEX(CBIC_Late_Fee_Relief_Windows_3B!$I$1417:$I$100,MATCH(G1417,CBIC_Late_Fee_Relief_Windows_3B!$O$1417:$O$100,0))</f>
        <v/>
      </c>
      <c r="I1417">
        <f>MIN(F1417,H1417)</f>
        <v/>
      </c>
    </row>
    <row r="1418">
      <c r="A1418">
        <f>TEST_DATA!A1418</f>
        <v/>
      </c>
      <c r="B1418">
        <f>TEST_DATA!B1418</f>
        <v/>
      </c>
      <c r="C1418">
        <f>TEST_DATA!C1418</f>
        <v/>
      </c>
      <c r="D1418">
        <f>TEST_DATA!D1418</f>
        <v/>
      </c>
      <c r="E1418">
        <f>TEST_DATA!E1418</f>
        <v/>
      </c>
      <c r="F1418">
        <f>MIN(E1418*141800,10000)</f>
        <v/>
      </c>
      <c r="G1418">
        <f>MINIFS(CBIC_Late_Fee_Relief_Windows_3B!$O$1418:$O$100,CBIC_Late_Fee_Relief_Windows_3B!$D$1418:$D$100,"&lt;="&amp;B1418,CBIC_Late_Fee_Relief_Windows_3B!$E$1418:$E$100,"&gt;="&amp;B1418,CBIC_Late_Fee_Relief_Windows_3B!$F$1418:$F$100,"&lt;="&amp;C1418,CBIC_Late_Fee_Relief_Windows_3B!$G$1418:$G$100,"&gt;="&amp;C1418)</f>
        <v/>
      </c>
      <c r="H1418">
        <f>INDEX(CBIC_Late_Fee_Relief_Windows_3B!$I$1418:$I$100,MATCH(G1418,CBIC_Late_Fee_Relief_Windows_3B!$O$1418:$O$100,0))</f>
        <v/>
      </c>
      <c r="I1418">
        <f>MIN(F1418,H1418)</f>
        <v/>
      </c>
    </row>
    <row r="1419">
      <c r="A1419">
        <f>TEST_DATA!A1419</f>
        <v/>
      </c>
      <c r="B1419">
        <f>TEST_DATA!B1419</f>
        <v/>
      </c>
      <c r="C1419">
        <f>TEST_DATA!C1419</f>
        <v/>
      </c>
      <c r="D1419">
        <f>TEST_DATA!D1419</f>
        <v/>
      </c>
      <c r="E1419">
        <f>TEST_DATA!E1419</f>
        <v/>
      </c>
      <c r="F1419">
        <f>MIN(E1419*141900,10000)</f>
        <v/>
      </c>
      <c r="G1419">
        <f>MINIFS(CBIC_Late_Fee_Relief_Windows_3B!$O$1419:$O$100,CBIC_Late_Fee_Relief_Windows_3B!$D$1419:$D$100,"&lt;="&amp;B1419,CBIC_Late_Fee_Relief_Windows_3B!$E$1419:$E$100,"&gt;="&amp;B1419,CBIC_Late_Fee_Relief_Windows_3B!$F$1419:$F$100,"&lt;="&amp;C1419,CBIC_Late_Fee_Relief_Windows_3B!$G$1419:$G$100,"&gt;="&amp;C1419)</f>
        <v/>
      </c>
      <c r="H1419">
        <f>INDEX(CBIC_Late_Fee_Relief_Windows_3B!$I$1419:$I$100,MATCH(G1419,CBIC_Late_Fee_Relief_Windows_3B!$O$1419:$O$100,0))</f>
        <v/>
      </c>
      <c r="I1419">
        <f>MIN(F1419,H1419)</f>
        <v/>
      </c>
    </row>
    <row r="1420">
      <c r="A1420">
        <f>TEST_DATA!A1420</f>
        <v/>
      </c>
      <c r="B1420">
        <f>TEST_DATA!B1420</f>
        <v/>
      </c>
      <c r="C1420">
        <f>TEST_DATA!C1420</f>
        <v/>
      </c>
      <c r="D1420">
        <f>TEST_DATA!D1420</f>
        <v/>
      </c>
      <c r="E1420">
        <f>TEST_DATA!E1420</f>
        <v/>
      </c>
      <c r="F1420">
        <f>MIN(E1420*142000,10000)</f>
        <v/>
      </c>
      <c r="G1420">
        <f>MINIFS(CBIC_Late_Fee_Relief_Windows_3B!$O$1420:$O$100,CBIC_Late_Fee_Relief_Windows_3B!$D$1420:$D$100,"&lt;="&amp;B1420,CBIC_Late_Fee_Relief_Windows_3B!$E$1420:$E$100,"&gt;="&amp;B1420,CBIC_Late_Fee_Relief_Windows_3B!$F$1420:$F$100,"&lt;="&amp;C1420,CBIC_Late_Fee_Relief_Windows_3B!$G$1420:$G$100,"&gt;="&amp;C1420)</f>
        <v/>
      </c>
      <c r="H1420">
        <f>INDEX(CBIC_Late_Fee_Relief_Windows_3B!$I$1420:$I$100,MATCH(G1420,CBIC_Late_Fee_Relief_Windows_3B!$O$1420:$O$100,0))</f>
        <v/>
      </c>
      <c r="I1420">
        <f>MIN(F1420,H1420)</f>
        <v/>
      </c>
    </row>
    <row r="1421">
      <c r="A1421">
        <f>TEST_DATA!A1421</f>
        <v/>
      </c>
      <c r="B1421">
        <f>TEST_DATA!B1421</f>
        <v/>
      </c>
      <c r="C1421">
        <f>TEST_DATA!C1421</f>
        <v/>
      </c>
      <c r="D1421">
        <f>TEST_DATA!D1421</f>
        <v/>
      </c>
      <c r="E1421">
        <f>TEST_DATA!E1421</f>
        <v/>
      </c>
      <c r="F1421">
        <f>MIN(E1421*142100,10000)</f>
        <v/>
      </c>
      <c r="G1421">
        <f>MINIFS(CBIC_Late_Fee_Relief_Windows_3B!$O$1421:$O$100,CBIC_Late_Fee_Relief_Windows_3B!$D$1421:$D$100,"&lt;="&amp;B1421,CBIC_Late_Fee_Relief_Windows_3B!$E$1421:$E$100,"&gt;="&amp;B1421,CBIC_Late_Fee_Relief_Windows_3B!$F$1421:$F$100,"&lt;="&amp;C1421,CBIC_Late_Fee_Relief_Windows_3B!$G$1421:$G$100,"&gt;="&amp;C1421)</f>
        <v/>
      </c>
      <c r="H1421">
        <f>INDEX(CBIC_Late_Fee_Relief_Windows_3B!$I$1421:$I$100,MATCH(G1421,CBIC_Late_Fee_Relief_Windows_3B!$O$1421:$O$100,0))</f>
        <v/>
      </c>
      <c r="I1421">
        <f>MIN(F1421,H1421)</f>
        <v/>
      </c>
    </row>
    <row r="1422">
      <c r="A1422">
        <f>TEST_DATA!A1422</f>
        <v/>
      </c>
      <c r="B1422">
        <f>TEST_DATA!B1422</f>
        <v/>
      </c>
      <c r="C1422">
        <f>TEST_DATA!C1422</f>
        <v/>
      </c>
      <c r="D1422">
        <f>TEST_DATA!D1422</f>
        <v/>
      </c>
      <c r="E1422">
        <f>TEST_DATA!E1422</f>
        <v/>
      </c>
      <c r="F1422">
        <f>MIN(E1422*142200,10000)</f>
        <v/>
      </c>
      <c r="G1422">
        <f>MINIFS(CBIC_Late_Fee_Relief_Windows_3B!$O$1422:$O$100,CBIC_Late_Fee_Relief_Windows_3B!$D$1422:$D$100,"&lt;="&amp;B1422,CBIC_Late_Fee_Relief_Windows_3B!$E$1422:$E$100,"&gt;="&amp;B1422,CBIC_Late_Fee_Relief_Windows_3B!$F$1422:$F$100,"&lt;="&amp;C1422,CBIC_Late_Fee_Relief_Windows_3B!$G$1422:$G$100,"&gt;="&amp;C1422)</f>
        <v/>
      </c>
      <c r="H1422">
        <f>INDEX(CBIC_Late_Fee_Relief_Windows_3B!$I$1422:$I$100,MATCH(G1422,CBIC_Late_Fee_Relief_Windows_3B!$O$1422:$O$100,0))</f>
        <v/>
      </c>
      <c r="I1422">
        <f>MIN(F1422,H1422)</f>
        <v/>
      </c>
    </row>
    <row r="1423">
      <c r="A1423">
        <f>TEST_DATA!A1423</f>
        <v/>
      </c>
      <c r="B1423">
        <f>TEST_DATA!B1423</f>
        <v/>
      </c>
      <c r="C1423">
        <f>TEST_DATA!C1423</f>
        <v/>
      </c>
      <c r="D1423">
        <f>TEST_DATA!D1423</f>
        <v/>
      </c>
      <c r="E1423">
        <f>TEST_DATA!E1423</f>
        <v/>
      </c>
      <c r="F1423">
        <f>MIN(E1423*142300,10000)</f>
        <v/>
      </c>
      <c r="G1423">
        <f>MINIFS(CBIC_Late_Fee_Relief_Windows_3B!$O$1423:$O$100,CBIC_Late_Fee_Relief_Windows_3B!$D$1423:$D$100,"&lt;="&amp;B1423,CBIC_Late_Fee_Relief_Windows_3B!$E$1423:$E$100,"&gt;="&amp;B1423,CBIC_Late_Fee_Relief_Windows_3B!$F$1423:$F$100,"&lt;="&amp;C1423,CBIC_Late_Fee_Relief_Windows_3B!$G$1423:$G$100,"&gt;="&amp;C1423)</f>
        <v/>
      </c>
      <c r="H1423">
        <f>INDEX(CBIC_Late_Fee_Relief_Windows_3B!$I$1423:$I$100,MATCH(G1423,CBIC_Late_Fee_Relief_Windows_3B!$O$1423:$O$100,0))</f>
        <v/>
      </c>
      <c r="I1423">
        <f>MIN(F1423,H1423)</f>
        <v/>
      </c>
    </row>
    <row r="1424">
      <c r="A1424">
        <f>TEST_DATA!A1424</f>
        <v/>
      </c>
      <c r="B1424">
        <f>TEST_DATA!B1424</f>
        <v/>
      </c>
      <c r="C1424">
        <f>TEST_DATA!C1424</f>
        <v/>
      </c>
      <c r="D1424">
        <f>TEST_DATA!D1424</f>
        <v/>
      </c>
      <c r="E1424">
        <f>TEST_DATA!E1424</f>
        <v/>
      </c>
      <c r="F1424">
        <f>MIN(E1424*142400,10000)</f>
        <v/>
      </c>
      <c r="G1424">
        <f>MINIFS(CBIC_Late_Fee_Relief_Windows_3B!$O$1424:$O$100,CBIC_Late_Fee_Relief_Windows_3B!$D$1424:$D$100,"&lt;="&amp;B1424,CBIC_Late_Fee_Relief_Windows_3B!$E$1424:$E$100,"&gt;="&amp;B1424,CBIC_Late_Fee_Relief_Windows_3B!$F$1424:$F$100,"&lt;="&amp;C1424,CBIC_Late_Fee_Relief_Windows_3B!$G$1424:$G$100,"&gt;="&amp;C1424)</f>
        <v/>
      </c>
      <c r="H1424">
        <f>INDEX(CBIC_Late_Fee_Relief_Windows_3B!$I$1424:$I$100,MATCH(G1424,CBIC_Late_Fee_Relief_Windows_3B!$O$1424:$O$100,0))</f>
        <v/>
      </c>
      <c r="I1424">
        <f>MIN(F1424,H1424)</f>
        <v/>
      </c>
    </row>
    <row r="1425">
      <c r="A1425">
        <f>TEST_DATA!A1425</f>
        <v/>
      </c>
      <c r="B1425">
        <f>TEST_DATA!B1425</f>
        <v/>
      </c>
      <c r="C1425">
        <f>TEST_DATA!C1425</f>
        <v/>
      </c>
      <c r="D1425">
        <f>TEST_DATA!D1425</f>
        <v/>
      </c>
      <c r="E1425">
        <f>TEST_DATA!E1425</f>
        <v/>
      </c>
      <c r="F1425">
        <f>MIN(E1425*142500,10000)</f>
        <v/>
      </c>
      <c r="G1425">
        <f>MINIFS(CBIC_Late_Fee_Relief_Windows_3B!$O$1425:$O$100,CBIC_Late_Fee_Relief_Windows_3B!$D$1425:$D$100,"&lt;="&amp;B1425,CBIC_Late_Fee_Relief_Windows_3B!$E$1425:$E$100,"&gt;="&amp;B1425,CBIC_Late_Fee_Relief_Windows_3B!$F$1425:$F$100,"&lt;="&amp;C1425,CBIC_Late_Fee_Relief_Windows_3B!$G$1425:$G$100,"&gt;="&amp;C1425)</f>
        <v/>
      </c>
      <c r="H1425">
        <f>INDEX(CBIC_Late_Fee_Relief_Windows_3B!$I$1425:$I$100,MATCH(G1425,CBIC_Late_Fee_Relief_Windows_3B!$O$1425:$O$100,0))</f>
        <v/>
      </c>
      <c r="I1425">
        <f>MIN(F1425,H1425)</f>
        <v/>
      </c>
    </row>
    <row r="1426">
      <c r="A1426">
        <f>TEST_DATA!A1426</f>
        <v/>
      </c>
      <c r="B1426">
        <f>TEST_DATA!B1426</f>
        <v/>
      </c>
      <c r="C1426">
        <f>TEST_DATA!C1426</f>
        <v/>
      </c>
      <c r="D1426">
        <f>TEST_DATA!D1426</f>
        <v/>
      </c>
      <c r="E1426">
        <f>TEST_DATA!E1426</f>
        <v/>
      </c>
      <c r="F1426">
        <f>MIN(E1426*142600,10000)</f>
        <v/>
      </c>
      <c r="G1426">
        <f>MINIFS(CBIC_Late_Fee_Relief_Windows_3B!$O$1426:$O$100,CBIC_Late_Fee_Relief_Windows_3B!$D$1426:$D$100,"&lt;="&amp;B1426,CBIC_Late_Fee_Relief_Windows_3B!$E$1426:$E$100,"&gt;="&amp;B1426,CBIC_Late_Fee_Relief_Windows_3B!$F$1426:$F$100,"&lt;="&amp;C1426,CBIC_Late_Fee_Relief_Windows_3B!$G$1426:$G$100,"&gt;="&amp;C1426)</f>
        <v/>
      </c>
      <c r="H1426">
        <f>INDEX(CBIC_Late_Fee_Relief_Windows_3B!$I$1426:$I$100,MATCH(G1426,CBIC_Late_Fee_Relief_Windows_3B!$O$1426:$O$100,0))</f>
        <v/>
      </c>
      <c r="I1426">
        <f>MIN(F1426,H1426)</f>
        <v/>
      </c>
    </row>
    <row r="1427">
      <c r="A1427">
        <f>TEST_DATA!A1427</f>
        <v/>
      </c>
      <c r="B1427">
        <f>TEST_DATA!B1427</f>
        <v/>
      </c>
      <c r="C1427">
        <f>TEST_DATA!C1427</f>
        <v/>
      </c>
      <c r="D1427">
        <f>TEST_DATA!D1427</f>
        <v/>
      </c>
      <c r="E1427">
        <f>TEST_DATA!E1427</f>
        <v/>
      </c>
      <c r="F1427">
        <f>MIN(E1427*142700,10000)</f>
        <v/>
      </c>
      <c r="G1427">
        <f>MINIFS(CBIC_Late_Fee_Relief_Windows_3B!$O$1427:$O$100,CBIC_Late_Fee_Relief_Windows_3B!$D$1427:$D$100,"&lt;="&amp;B1427,CBIC_Late_Fee_Relief_Windows_3B!$E$1427:$E$100,"&gt;="&amp;B1427,CBIC_Late_Fee_Relief_Windows_3B!$F$1427:$F$100,"&lt;="&amp;C1427,CBIC_Late_Fee_Relief_Windows_3B!$G$1427:$G$100,"&gt;="&amp;C1427)</f>
        <v/>
      </c>
      <c r="H1427">
        <f>INDEX(CBIC_Late_Fee_Relief_Windows_3B!$I$1427:$I$100,MATCH(G1427,CBIC_Late_Fee_Relief_Windows_3B!$O$1427:$O$100,0))</f>
        <v/>
      </c>
      <c r="I1427">
        <f>MIN(F1427,H1427)</f>
        <v/>
      </c>
    </row>
    <row r="1428">
      <c r="A1428">
        <f>TEST_DATA!A1428</f>
        <v/>
      </c>
      <c r="B1428">
        <f>TEST_DATA!B1428</f>
        <v/>
      </c>
      <c r="C1428">
        <f>TEST_DATA!C1428</f>
        <v/>
      </c>
      <c r="D1428">
        <f>TEST_DATA!D1428</f>
        <v/>
      </c>
      <c r="E1428">
        <f>TEST_DATA!E1428</f>
        <v/>
      </c>
      <c r="F1428">
        <f>MIN(E1428*142800,10000)</f>
        <v/>
      </c>
      <c r="G1428">
        <f>MINIFS(CBIC_Late_Fee_Relief_Windows_3B!$O$1428:$O$100,CBIC_Late_Fee_Relief_Windows_3B!$D$1428:$D$100,"&lt;="&amp;B1428,CBIC_Late_Fee_Relief_Windows_3B!$E$1428:$E$100,"&gt;="&amp;B1428,CBIC_Late_Fee_Relief_Windows_3B!$F$1428:$F$100,"&lt;="&amp;C1428,CBIC_Late_Fee_Relief_Windows_3B!$G$1428:$G$100,"&gt;="&amp;C1428)</f>
        <v/>
      </c>
      <c r="H1428">
        <f>INDEX(CBIC_Late_Fee_Relief_Windows_3B!$I$1428:$I$100,MATCH(G1428,CBIC_Late_Fee_Relief_Windows_3B!$O$1428:$O$100,0))</f>
        <v/>
      </c>
      <c r="I1428">
        <f>MIN(F1428,H1428)</f>
        <v/>
      </c>
    </row>
    <row r="1429">
      <c r="A1429">
        <f>TEST_DATA!A1429</f>
        <v/>
      </c>
      <c r="B1429">
        <f>TEST_DATA!B1429</f>
        <v/>
      </c>
      <c r="C1429">
        <f>TEST_DATA!C1429</f>
        <v/>
      </c>
      <c r="D1429">
        <f>TEST_DATA!D1429</f>
        <v/>
      </c>
      <c r="E1429">
        <f>TEST_DATA!E1429</f>
        <v/>
      </c>
      <c r="F1429">
        <f>MIN(E1429*142900,10000)</f>
        <v/>
      </c>
      <c r="G1429">
        <f>MINIFS(CBIC_Late_Fee_Relief_Windows_3B!$O$1429:$O$100,CBIC_Late_Fee_Relief_Windows_3B!$D$1429:$D$100,"&lt;="&amp;B1429,CBIC_Late_Fee_Relief_Windows_3B!$E$1429:$E$100,"&gt;="&amp;B1429,CBIC_Late_Fee_Relief_Windows_3B!$F$1429:$F$100,"&lt;="&amp;C1429,CBIC_Late_Fee_Relief_Windows_3B!$G$1429:$G$100,"&gt;="&amp;C1429)</f>
        <v/>
      </c>
      <c r="H1429">
        <f>INDEX(CBIC_Late_Fee_Relief_Windows_3B!$I$1429:$I$100,MATCH(G1429,CBIC_Late_Fee_Relief_Windows_3B!$O$1429:$O$100,0))</f>
        <v/>
      </c>
      <c r="I1429">
        <f>MIN(F1429,H1429)</f>
        <v/>
      </c>
    </row>
    <row r="1430">
      <c r="A1430">
        <f>TEST_DATA!A1430</f>
        <v/>
      </c>
      <c r="B1430">
        <f>TEST_DATA!B1430</f>
        <v/>
      </c>
      <c r="C1430">
        <f>TEST_DATA!C1430</f>
        <v/>
      </c>
      <c r="D1430">
        <f>TEST_DATA!D1430</f>
        <v/>
      </c>
      <c r="E1430">
        <f>TEST_DATA!E1430</f>
        <v/>
      </c>
      <c r="F1430">
        <f>MIN(E1430*143000,10000)</f>
        <v/>
      </c>
      <c r="G1430">
        <f>MINIFS(CBIC_Late_Fee_Relief_Windows_3B!$O$1430:$O$100,CBIC_Late_Fee_Relief_Windows_3B!$D$1430:$D$100,"&lt;="&amp;B1430,CBIC_Late_Fee_Relief_Windows_3B!$E$1430:$E$100,"&gt;="&amp;B1430,CBIC_Late_Fee_Relief_Windows_3B!$F$1430:$F$100,"&lt;="&amp;C1430,CBIC_Late_Fee_Relief_Windows_3B!$G$1430:$G$100,"&gt;="&amp;C1430)</f>
        <v/>
      </c>
      <c r="H1430">
        <f>INDEX(CBIC_Late_Fee_Relief_Windows_3B!$I$1430:$I$100,MATCH(G1430,CBIC_Late_Fee_Relief_Windows_3B!$O$1430:$O$100,0))</f>
        <v/>
      </c>
      <c r="I1430">
        <f>MIN(F1430,H1430)</f>
        <v/>
      </c>
    </row>
    <row r="1431">
      <c r="A1431">
        <f>TEST_DATA!A1431</f>
        <v/>
      </c>
      <c r="B1431">
        <f>TEST_DATA!B1431</f>
        <v/>
      </c>
      <c r="C1431">
        <f>TEST_DATA!C1431</f>
        <v/>
      </c>
      <c r="D1431">
        <f>TEST_DATA!D1431</f>
        <v/>
      </c>
      <c r="E1431">
        <f>TEST_DATA!E1431</f>
        <v/>
      </c>
      <c r="F1431">
        <f>MIN(E1431*143100,10000)</f>
        <v/>
      </c>
      <c r="G1431">
        <f>MINIFS(CBIC_Late_Fee_Relief_Windows_3B!$O$1431:$O$100,CBIC_Late_Fee_Relief_Windows_3B!$D$1431:$D$100,"&lt;="&amp;B1431,CBIC_Late_Fee_Relief_Windows_3B!$E$1431:$E$100,"&gt;="&amp;B1431,CBIC_Late_Fee_Relief_Windows_3B!$F$1431:$F$100,"&lt;="&amp;C1431,CBIC_Late_Fee_Relief_Windows_3B!$G$1431:$G$100,"&gt;="&amp;C1431)</f>
        <v/>
      </c>
      <c r="H1431">
        <f>INDEX(CBIC_Late_Fee_Relief_Windows_3B!$I$1431:$I$100,MATCH(G1431,CBIC_Late_Fee_Relief_Windows_3B!$O$1431:$O$100,0))</f>
        <v/>
      </c>
      <c r="I1431">
        <f>MIN(F1431,H1431)</f>
        <v/>
      </c>
    </row>
    <row r="1432">
      <c r="A1432">
        <f>TEST_DATA!A1432</f>
        <v/>
      </c>
      <c r="B1432">
        <f>TEST_DATA!B1432</f>
        <v/>
      </c>
      <c r="C1432">
        <f>TEST_DATA!C1432</f>
        <v/>
      </c>
      <c r="D1432">
        <f>TEST_DATA!D1432</f>
        <v/>
      </c>
      <c r="E1432">
        <f>TEST_DATA!E1432</f>
        <v/>
      </c>
      <c r="F1432">
        <f>MIN(E1432*143200,10000)</f>
        <v/>
      </c>
      <c r="G1432">
        <f>MINIFS(CBIC_Late_Fee_Relief_Windows_3B!$O$1432:$O$100,CBIC_Late_Fee_Relief_Windows_3B!$D$1432:$D$100,"&lt;="&amp;B1432,CBIC_Late_Fee_Relief_Windows_3B!$E$1432:$E$100,"&gt;="&amp;B1432,CBIC_Late_Fee_Relief_Windows_3B!$F$1432:$F$100,"&lt;="&amp;C1432,CBIC_Late_Fee_Relief_Windows_3B!$G$1432:$G$100,"&gt;="&amp;C1432)</f>
        <v/>
      </c>
      <c r="H1432">
        <f>INDEX(CBIC_Late_Fee_Relief_Windows_3B!$I$1432:$I$100,MATCH(G1432,CBIC_Late_Fee_Relief_Windows_3B!$O$1432:$O$100,0))</f>
        <v/>
      </c>
      <c r="I1432">
        <f>MIN(F1432,H1432)</f>
        <v/>
      </c>
    </row>
    <row r="1433">
      <c r="A1433">
        <f>TEST_DATA!A1433</f>
        <v/>
      </c>
      <c r="B1433">
        <f>TEST_DATA!B1433</f>
        <v/>
      </c>
      <c r="C1433">
        <f>TEST_DATA!C1433</f>
        <v/>
      </c>
      <c r="D1433">
        <f>TEST_DATA!D1433</f>
        <v/>
      </c>
      <c r="E1433">
        <f>TEST_DATA!E1433</f>
        <v/>
      </c>
      <c r="F1433">
        <f>MIN(E1433*143300,10000)</f>
        <v/>
      </c>
      <c r="G1433">
        <f>MINIFS(CBIC_Late_Fee_Relief_Windows_3B!$O$1433:$O$100,CBIC_Late_Fee_Relief_Windows_3B!$D$1433:$D$100,"&lt;="&amp;B1433,CBIC_Late_Fee_Relief_Windows_3B!$E$1433:$E$100,"&gt;="&amp;B1433,CBIC_Late_Fee_Relief_Windows_3B!$F$1433:$F$100,"&lt;="&amp;C1433,CBIC_Late_Fee_Relief_Windows_3B!$G$1433:$G$100,"&gt;="&amp;C1433)</f>
        <v/>
      </c>
      <c r="H1433">
        <f>INDEX(CBIC_Late_Fee_Relief_Windows_3B!$I$1433:$I$100,MATCH(G1433,CBIC_Late_Fee_Relief_Windows_3B!$O$1433:$O$100,0))</f>
        <v/>
      </c>
      <c r="I1433">
        <f>MIN(F1433,H1433)</f>
        <v/>
      </c>
    </row>
    <row r="1434">
      <c r="A1434">
        <f>TEST_DATA!A1434</f>
        <v/>
      </c>
      <c r="B1434">
        <f>TEST_DATA!B1434</f>
        <v/>
      </c>
      <c r="C1434">
        <f>TEST_DATA!C1434</f>
        <v/>
      </c>
      <c r="D1434">
        <f>TEST_DATA!D1434</f>
        <v/>
      </c>
      <c r="E1434">
        <f>TEST_DATA!E1434</f>
        <v/>
      </c>
      <c r="F1434">
        <f>MIN(E1434*143400,10000)</f>
        <v/>
      </c>
      <c r="G1434">
        <f>MINIFS(CBIC_Late_Fee_Relief_Windows_3B!$O$1434:$O$100,CBIC_Late_Fee_Relief_Windows_3B!$D$1434:$D$100,"&lt;="&amp;B1434,CBIC_Late_Fee_Relief_Windows_3B!$E$1434:$E$100,"&gt;="&amp;B1434,CBIC_Late_Fee_Relief_Windows_3B!$F$1434:$F$100,"&lt;="&amp;C1434,CBIC_Late_Fee_Relief_Windows_3B!$G$1434:$G$100,"&gt;="&amp;C1434)</f>
        <v/>
      </c>
      <c r="H1434">
        <f>INDEX(CBIC_Late_Fee_Relief_Windows_3B!$I$1434:$I$100,MATCH(G1434,CBIC_Late_Fee_Relief_Windows_3B!$O$1434:$O$100,0))</f>
        <v/>
      </c>
      <c r="I1434">
        <f>MIN(F1434,H1434)</f>
        <v/>
      </c>
    </row>
    <row r="1435">
      <c r="A1435">
        <f>TEST_DATA!A1435</f>
        <v/>
      </c>
      <c r="B1435">
        <f>TEST_DATA!B1435</f>
        <v/>
      </c>
      <c r="C1435">
        <f>TEST_DATA!C1435</f>
        <v/>
      </c>
      <c r="D1435">
        <f>TEST_DATA!D1435</f>
        <v/>
      </c>
      <c r="E1435">
        <f>TEST_DATA!E1435</f>
        <v/>
      </c>
      <c r="F1435">
        <f>MIN(E1435*143500,10000)</f>
        <v/>
      </c>
      <c r="G1435">
        <f>MINIFS(CBIC_Late_Fee_Relief_Windows_3B!$O$1435:$O$100,CBIC_Late_Fee_Relief_Windows_3B!$D$1435:$D$100,"&lt;="&amp;B1435,CBIC_Late_Fee_Relief_Windows_3B!$E$1435:$E$100,"&gt;="&amp;B1435,CBIC_Late_Fee_Relief_Windows_3B!$F$1435:$F$100,"&lt;="&amp;C1435,CBIC_Late_Fee_Relief_Windows_3B!$G$1435:$G$100,"&gt;="&amp;C1435)</f>
        <v/>
      </c>
      <c r="H1435">
        <f>INDEX(CBIC_Late_Fee_Relief_Windows_3B!$I$1435:$I$100,MATCH(G1435,CBIC_Late_Fee_Relief_Windows_3B!$O$1435:$O$100,0))</f>
        <v/>
      </c>
      <c r="I1435">
        <f>MIN(F1435,H1435)</f>
        <v/>
      </c>
    </row>
    <row r="1436">
      <c r="A1436">
        <f>TEST_DATA!A1436</f>
        <v/>
      </c>
      <c r="B1436">
        <f>TEST_DATA!B1436</f>
        <v/>
      </c>
      <c r="C1436">
        <f>TEST_DATA!C1436</f>
        <v/>
      </c>
      <c r="D1436">
        <f>TEST_DATA!D1436</f>
        <v/>
      </c>
      <c r="E1436">
        <f>TEST_DATA!E1436</f>
        <v/>
      </c>
      <c r="F1436">
        <f>MIN(E1436*143600,10000)</f>
        <v/>
      </c>
      <c r="G1436">
        <f>MINIFS(CBIC_Late_Fee_Relief_Windows_3B!$O$1436:$O$100,CBIC_Late_Fee_Relief_Windows_3B!$D$1436:$D$100,"&lt;="&amp;B1436,CBIC_Late_Fee_Relief_Windows_3B!$E$1436:$E$100,"&gt;="&amp;B1436,CBIC_Late_Fee_Relief_Windows_3B!$F$1436:$F$100,"&lt;="&amp;C1436,CBIC_Late_Fee_Relief_Windows_3B!$G$1436:$G$100,"&gt;="&amp;C1436)</f>
        <v/>
      </c>
      <c r="H1436">
        <f>INDEX(CBIC_Late_Fee_Relief_Windows_3B!$I$1436:$I$100,MATCH(G1436,CBIC_Late_Fee_Relief_Windows_3B!$O$1436:$O$100,0))</f>
        <v/>
      </c>
      <c r="I1436">
        <f>MIN(F1436,H1436)</f>
        <v/>
      </c>
    </row>
    <row r="1437">
      <c r="A1437">
        <f>TEST_DATA!A1437</f>
        <v/>
      </c>
      <c r="B1437">
        <f>TEST_DATA!B1437</f>
        <v/>
      </c>
      <c r="C1437">
        <f>TEST_DATA!C1437</f>
        <v/>
      </c>
      <c r="D1437">
        <f>TEST_DATA!D1437</f>
        <v/>
      </c>
      <c r="E1437">
        <f>TEST_DATA!E1437</f>
        <v/>
      </c>
      <c r="F1437">
        <f>MIN(E1437*143700,10000)</f>
        <v/>
      </c>
      <c r="G1437">
        <f>MINIFS(CBIC_Late_Fee_Relief_Windows_3B!$O$1437:$O$100,CBIC_Late_Fee_Relief_Windows_3B!$D$1437:$D$100,"&lt;="&amp;B1437,CBIC_Late_Fee_Relief_Windows_3B!$E$1437:$E$100,"&gt;="&amp;B1437,CBIC_Late_Fee_Relief_Windows_3B!$F$1437:$F$100,"&lt;="&amp;C1437,CBIC_Late_Fee_Relief_Windows_3B!$G$1437:$G$100,"&gt;="&amp;C1437)</f>
        <v/>
      </c>
      <c r="H1437">
        <f>INDEX(CBIC_Late_Fee_Relief_Windows_3B!$I$1437:$I$100,MATCH(G1437,CBIC_Late_Fee_Relief_Windows_3B!$O$1437:$O$100,0))</f>
        <v/>
      </c>
      <c r="I1437">
        <f>MIN(F1437,H1437)</f>
        <v/>
      </c>
    </row>
    <row r="1438">
      <c r="A1438">
        <f>TEST_DATA!A1438</f>
        <v/>
      </c>
      <c r="B1438">
        <f>TEST_DATA!B1438</f>
        <v/>
      </c>
      <c r="C1438">
        <f>TEST_DATA!C1438</f>
        <v/>
      </c>
      <c r="D1438">
        <f>TEST_DATA!D1438</f>
        <v/>
      </c>
      <c r="E1438">
        <f>TEST_DATA!E1438</f>
        <v/>
      </c>
      <c r="F1438">
        <f>MIN(E1438*143800,10000)</f>
        <v/>
      </c>
      <c r="G1438">
        <f>MINIFS(CBIC_Late_Fee_Relief_Windows_3B!$O$1438:$O$100,CBIC_Late_Fee_Relief_Windows_3B!$D$1438:$D$100,"&lt;="&amp;B1438,CBIC_Late_Fee_Relief_Windows_3B!$E$1438:$E$100,"&gt;="&amp;B1438,CBIC_Late_Fee_Relief_Windows_3B!$F$1438:$F$100,"&lt;="&amp;C1438,CBIC_Late_Fee_Relief_Windows_3B!$G$1438:$G$100,"&gt;="&amp;C1438)</f>
        <v/>
      </c>
      <c r="H1438">
        <f>INDEX(CBIC_Late_Fee_Relief_Windows_3B!$I$1438:$I$100,MATCH(G1438,CBIC_Late_Fee_Relief_Windows_3B!$O$1438:$O$100,0))</f>
        <v/>
      </c>
      <c r="I1438">
        <f>MIN(F1438,H1438)</f>
        <v/>
      </c>
    </row>
    <row r="1439">
      <c r="A1439">
        <f>TEST_DATA!A1439</f>
        <v/>
      </c>
      <c r="B1439">
        <f>TEST_DATA!B1439</f>
        <v/>
      </c>
      <c r="C1439">
        <f>TEST_DATA!C1439</f>
        <v/>
      </c>
      <c r="D1439">
        <f>TEST_DATA!D1439</f>
        <v/>
      </c>
      <c r="E1439">
        <f>TEST_DATA!E1439</f>
        <v/>
      </c>
      <c r="F1439">
        <f>MIN(E1439*143900,10000)</f>
        <v/>
      </c>
      <c r="G1439">
        <f>MINIFS(CBIC_Late_Fee_Relief_Windows_3B!$O$1439:$O$100,CBIC_Late_Fee_Relief_Windows_3B!$D$1439:$D$100,"&lt;="&amp;B1439,CBIC_Late_Fee_Relief_Windows_3B!$E$1439:$E$100,"&gt;="&amp;B1439,CBIC_Late_Fee_Relief_Windows_3B!$F$1439:$F$100,"&lt;="&amp;C1439,CBIC_Late_Fee_Relief_Windows_3B!$G$1439:$G$100,"&gt;="&amp;C1439)</f>
        <v/>
      </c>
      <c r="H1439">
        <f>INDEX(CBIC_Late_Fee_Relief_Windows_3B!$I$1439:$I$100,MATCH(G1439,CBIC_Late_Fee_Relief_Windows_3B!$O$1439:$O$100,0))</f>
        <v/>
      </c>
      <c r="I1439">
        <f>MIN(F1439,H1439)</f>
        <v/>
      </c>
    </row>
    <row r="1440">
      <c r="A1440">
        <f>TEST_DATA!A1440</f>
        <v/>
      </c>
      <c r="B1440">
        <f>TEST_DATA!B1440</f>
        <v/>
      </c>
      <c r="C1440">
        <f>TEST_DATA!C1440</f>
        <v/>
      </c>
      <c r="D1440">
        <f>TEST_DATA!D1440</f>
        <v/>
      </c>
      <c r="E1440">
        <f>TEST_DATA!E1440</f>
        <v/>
      </c>
      <c r="F1440">
        <f>MIN(E1440*144000,10000)</f>
        <v/>
      </c>
      <c r="G1440">
        <f>MINIFS(CBIC_Late_Fee_Relief_Windows_3B!$O$1440:$O$100,CBIC_Late_Fee_Relief_Windows_3B!$D$1440:$D$100,"&lt;="&amp;B1440,CBIC_Late_Fee_Relief_Windows_3B!$E$1440:$E$100,"&gt;="&amp;B1440,CBIC_Late_Fee_Relief_Windows_3B!$F$1440:$F$100,"&lt;="&amp;C1440,CBIC_Late_Fee_Relief_Windows_3B!$G$1440:$G$100,"&gt;="&amp;C1440)</f>
        <v/>
      </c>
      <c r="H1440">
        <f>INDEX(CBIC_Late_Fee_Relief_Windows_3B!$I$1440:$I$100,MATCH(G1440,CBIC_Late_Fee_Relief_Windows_3B!$O$1440:$O$100,0))</f>
        <v/>
      </c>
      <c r="I1440">
        <f>MIN(F1440,H1440)</f>
        <v/>
      </c>
    </row>
    <row r="1441">
      <c r="A1441">
        <f>TEST_DATA!A1441</f>
        <v/>
      </c>
      <c r="B1441">
        <f>TEST_DATA!B1441</f>
        <v/>
      </c>
      <c r="C1441">
        <f>TEST_DATA!C1441</f>
        <v/>
      </c>
      <c r="D1441">
        <f>TEST_DATA!D1441</f>
        <v/>
      </c>
      <c r="E1441">
        <f>TEST_DATA!E1441</f>
        <v/>
      </c>
      <c r="F1441">
        <f>MIN(E1441*144100,10000)</f>
        <v/>
      </c>
      <c r="G1441">
        <f>MINIFS(CBIC_Late_Fee_Relief_Windows_3B!$O$1441:$O$100,CBIC_Late_Fee_Relief_Windows_3B!$D$1441:$D$100,"&lt;="&amp;B1441,CBIC_Late_Fee_Relief_Windows_3B!$E$1441:$E$100,"&gt;="&amp;B1441,CBIC_Late_Fee_Relief_Windows_3B!$F$1441:$F$100,"&lt;="&amp;C1441,CBIC_Late_Fee_Relief_Windows_3B!$G$1441:$G$100,"&gt;="&amp;C1441)</f>
        <v/>
      </c>
      <c r="H1441">
        <f>INDEX(CBIC_Late_Fee_Relief_Windows_3B!$I$1441:$I$100,MATCH(G1441,CBIC_Late_Fee_Relief_Windows_3B!$O$1441:$O$100,0))</f>
        <v/>
      </c>
      <c r="I1441">
        <f>MIN(F1441,H1441)</f>
        <v/>
      </c>
    </row>
    <row r="1442">
      <c r="A1442">
        <f>TEST_DATA!A1442</f>
        <v/>
      </c>
      <c r="B1442">
        <f>TEST_DATA!B1442</f>
        <v/>
      </c>
      <c r="C1442">
        <f>TEST_DATA!C1442</f>
        <v/>
      </c>
      <c r="D1442">
        <f>TEST_DATA!D1442</f>
        <v/>
      </c>
      <c r="E1442">
        <f>TEST_DATA!E1442</f>
        <v/>
      </c>
      <c r="F1442">
        <f>MIN(E1442*144200,10000)</f>
        <v/>
      </c>
      <c r="G1442">
        <f>MINIFS(CBIC_Late_Fee_Relief_Windows_3B!$O$1442:$O$100,CBIC_Late_Fee_Relief_Windows_3B!$D$1442:$D$100,"&lt;="&amp;B1442,CBIC_Late_Fee_Relief_Windows_3B!$E$1442:$E$100,"&gt;="&amp;B1442,CBIC_Late_Fee_Relief_Windows_3B!$F$1442:$F$100,"&lt;="&amp;C1442,CBIC_Late_Fee_Relief_Windows_3B!$G$1442:$G$100,"&gt;="&amp;C1442)</f>
        <v/>
      </c>
      <c r="H1442">
        <f>INDEX(CBIC_Late_Fee_Relief_Windows_3B!$I$1442:$I$100,MATCH(G1442,CBIC_Late_Fee_Relief_Windows_3B!$O$1442:$O$100,0))</f>
        <v/>
      </c>
      <c r="I1442">
        <f>MIN(F1442,H1442)</f>
        <v/>
      </c>
    </row>
    <row r="1443">
      <c r="A1443">
        <f>TEST_DATA!A1443</f>
        <v/>
      </c>
      <c r="B1443">
        <f>TEST_DATA!B1443</f>
        <v/>
      </c>
      <c r="C1443">
        <f>TEST_DATA!C1443</f>
        <v/>
      </c>
      <c r="D1443">
        <f>TEST_DATA!D1443</f>
        <v/>
      </c>
      <c r="E1443">
        <f>TEST_DATA!E1443</f>
        <v/>
      </c>
      <c r="F1443">
        <f>MIN(E1443*144300,10000)</f>
        <v/>
      </c>
      <c r="G1443">
        <f>MINIFS(CBIC_Late_Fee_Relief_Windows_3B!$O$1443:$O$100,CBIC_Late_Fee_Relief_Windows_3B!$D$1443:$D$100,"&lt;="&amp;B1443,CBIC_Late_Fee_Relief_Windows_3B!$E$1443:$E$100,"&gt;="&amp;B1443,CBIC_Late_Fee_Relief_Windows_3B!$F$1443:$F$100,"&lt;="&amp;C1443,CBIC_Late_Fee_Relief_Windows_3B!$G$1443:$G$100,"&gt;="&amp;C1443)</f>
        <v/>
      </c>
      <c r="H1443">
        <f>INDEX(CBIC_Late_Fee_Relief_Windows_3B!$I$1443:$I$100,MATCH(G1443,CBIC_Late_Fee_Relief_Windows_3B!$O$1443:$O$100,0))</f>
        <v/>
      </c>
      <c r="I1443">
        <f>MIN(F1443,H1443)</f>
        <v/>
      </c>
    </row>
    <row r="1444">
      <c r="A1444">
        <f>TEST_DATA!A1444</f>
        <v/>
      </c>
      <c r="B1444">
        <f>TEST_DATA!B1444</f>
        <v/>
      </c>
      <c r="C1444">
        <f>TEST_DATA!C1444</f>
        <v/>
      </c>
      <c r="D1444">
        <f>TEST_DATA!D1444</f>
        <v/>
      </c>
      <c r="E1444">
        <f>TEST_DATA!E1444</f>
        <v/>
      </c>
      <c r="F1444">
        <f>MIN(E1444*144400,10000)</f>
        <v/>
      </c>
      <c r="G1444">
        <f>MINIFS(CBIC_Late_Fee_Relief_Windows_3B!$O$1444:$O$100,CBIC_Late_Fee_Relief_Windows_3B!$D$1444:$D$100,"&lt;="&amp;B1444,CBIC_Late_Fee_Relief_Windows_3B!$E$1444:$E$100,"&gt;="&amp;B1444,CBIC_Late_Fee_Relief_Windows_3B!$F$1444:$F$100,"&lt;="&amp;C1444,CBIC_Late_Fee_Relief_Windows_3B!$G$1444:$G$100,"&gt;="&amp;C1444)</f>
        <v/>
      </c>
      <c r="H1444">
        <f>INDEX(CBIC_Late_Fee_Relief_Windows_3B!$I$1444:$I$100,MATCH(G1444,CBIC_Late_Fee_Relief_Windows_3B!$O$1444:$O$100,0))</f>
        <v/>
      </c>
      <c r="I1444">
        <f>MIN(F1444,H1444)</f>
        <v/>
      </c>
    </row>
    <row r="1445">
      <c r="A1445">
        <f>TEST_DATA!A1445</f>
        <v/>
      </c>
      <c r="B1445">
        <f>TEST_DATA!B1445</f>
        <v/>
      </c>
      <c r="C1445">
        <f>TEST_DATA!C1445</f>
        <v/>
      </c>
      <c r="D1445">
        <f>TEST_DATA!D1445</f>
        <v/>
      </c>
      <c r="E1445">
        <f>TEST_DATA!E1445</f>
        <v/>
      </c>
      <c r="F1445">
        <f>MIN(E1445*144500,10000)</f>
        <v/>
      </c>
      <c r="G1445">
        <f>MINIFS(CBIC_Late_Fee_Relief_Windows_3B!$O$1445:$O$100,CBIC_Late_Fee_Relief_Windows_3B!$D$1445:$D$100,"&lt;="&amp;B1445,CBIC_Late_Fee_Relief_Windows_3B!$E$1445:$E$100,"&gt;="&amp;B1445,CBIC_Late_Fee_Relief_Windows_3B!$F$1445:$F$100,"&lt;="&amp;C1445,CBIC_Late_Fee_Relief_Windows_3B!$G$1445:$G$100,"&gt;="&amp;C1445)</f>
        <v/>
      </c>
      <c r="H1445">
        <f>INDEX(CBIC_Late_Fee_Relief_Windows_3B!$I$1445:$I$100,MATCH(G1445,CBIC_Late_Fee_Relief_Windows_3B!$O$1445:$O$100,0))</f>
        <v/>
      </c>
      <c r="I1445">
        <f>MIN(F1445,H1445)</f>
        <v/>
      </c>
    </row>
    <row r="1446">
      <c r="A1446">
        <f>TEST_DATA!A1446</f>
        <v/>
      </c>
      <c r="B1446">
        <f>TEST_DATA!B1446</f>
        <v/>
      </c>
      <c r="C1446">
        <f>TEST_DATA!C1446</f>
        <v/>
      </c>
      <c r="D1446">
        <f>TEST_DATA!D1446</f>
        <v/>
      </c>
      <c r="E1446">
        <f>TEST_DATA!E1446</f>
        <v/>
      </c>
      <c r="F1446">
        <f>MIN(E1446*144600,10000)</f>
        <v/>
      </c>
      <c r="G1446">
        <f>MINIFS(CBIC_Late_Fee_Relief_Windows_3B!$O$1446:$O$100,CBIC_Late_Fee_Relief_Windows_3B!$D$1446:$D$100,"&lt;="&amp;B1446,CBIC_Late_Fee_Relief_Windows_3B!$E$1446:$E$100,"&gt;="&amp;B1446,CBIC_Late_Fee_Relief_Windows_3B!$F$1446:$F$100,"&lt;="&amp;C1446,CBIC_Late_Fee_Relief_Windows_3B!$G$1446:$G$100,"&gt;="&amp;C1446)</f>
        <v/>
      </c>
      <c r="H1446">
        <f>INDEX(CBIC_Late_Fee_Relief_Windows_3B!$I$1446:$I$100,MATCH(G1446,CBIC_Late_Fee_Relief_Windows_3B!$O$1446:$O$100,0))</f>
        <v/>
      </c>
      <c r="I1446">
        <f>MIN(F1446,H1446)</f>
        <v/>
      </c>
    </row>
    <row r="1447">
      <c r="A1447">
        <f>TEST_DATA!A1447</f>
        <v/>
      </c>
      <c r="B1447">
        <f>TEST_DATA!B1447</f>
        <v/>
      </c>
      <c r="C1447">
        <f>TEST_DATA!C1447</f>
        <v/>
      </c>
      <c r="D1447">
        <f>TEST_DATA!D1447</f>
        <v/>
      </c>
      <c r="E1447">
        <f>TEST_DATA!E1447</f>
        <v/>
      </c>
      <c r="F1447">
        <f>MIN(E1447*144700,10000)</f>
        <v/>
      </c>
      <c r="G1447">
        <f>MINIFS(CBIC_Late_Fee_Relief_Windows_3B!$O$1447:$O$100,CBIC_Late_Fee_Relief_Windows_3B!$D$1447:$D$100,"&lt;="&amp;B1447,CBIC_Late_Fee_Relief_Windows_3B!$E$1447:$E$100,"&gt;="&amp;B1447,CBIC_Late_Fee_Relief_Windows_3B!$F$1447:$F$100,"&lt;="&amp;C1447,CBIC_Late_Fee_Relief_Windows_3B!$G$1447:$G$100,"&gt;="&amp;C1447)</f>
        <v/>
      </c>
      <c r="H1447">
        <f>INDEX(CBIC_Late_Fee_Relief_Windows_3B!$I$1447:$I$100,MATCH(G1447,CBIC_Late_Fee_Relief_Windows_3B!$O$1447:$O$100,0))</f>
        <v/>
      </c>
      <c r="I1447">
        <f>MIN(F1447,H1447)</f>
        <v/>
      </c>
    </row>
    <row r="1448">
      <c r="A1448">
        <f>TEST_DATA!A1448</f>
        <v/>
      </c>
      <c r="B1448">
        <f>TEST_DATA!B1448</f>
        <v/>
      </c>
      <c r="C1448">
        <f>TEST_DATA!C1448</f>
        <v/>
      </c>
      <c r="D1448">
        <f>TEST_DATA!D1448</f>
        <v/>
      </c>
      <c r="E1448">
        <f>TEST_DATA!E1448</f>
        <v/>
      </c>
      <c r="F1448">
        <f>MIN(E1448*144800,10000)</f>
        <v/>
      </c>
      <c r="G1448">
        <f>MINIFS(CBIC_Late_Fee_Relief_Windows_3B!$O$1448:$O$100,CBIC_Late_Fee_Relief_Windows_3B!$D$1448:$D$100,"&lt;="&amp;B1448,CBIC_Late_Fee_Relief_Windows_3B!$E$1448:$E$100,"&gt;="&amp;B1448,CBIC_Late_Fee_Relief_Windows_3B!$F$1448:$F$100,"&lt;="&amp;C1448,CBIC_Late_Fee_Relief_Windows_3B!$G$1448:$G$100,"&gt;="&amp;C1448)</f>
        <v/>
      </c>
      <c r="H1448">
        <f>INDEX(CBIC_Late_Fee_Relief_Windows_3B!$I$1448:$I$100,MATCH(G1448,CBIC_Late_Fee_Relief_Windows_3B!$O$1448:$O$100,0))</f>
        <v/>
      </c>
      <c r="I1448">
        <f>MIN(F1448,H1448)</f>
        <v/>
      </c>
    </row>
    <row r="1449">
      <c r="A1449">
        <f>TEST_DATA!A1449</f>
        <v/>
      </c>
      <c r="B1449">
        <f>TEST_DATA!B1449</f>
        <v/>
      </c>
      <c r="C1449">
        <f>TEST_DATA!C1449</f>
        <v/>
      </c>
      <c r="D1449">
        <f>TEST_DATA!D1449</f>
        <v/>
      </c>
      <c r="E1449">
        <f>TEST_DATA!E1449</f>
        <v/>
      </c>
      <c r="F1449">
        <f>MIN(E1449*144900,10000)</f>
        <v/>
      </c>
      <c r="G1449">
        <f>MINIFS(CBIC_Late_Fee_Relief_Windows_3B!$O$1449:$O$100,CBIC_Late_Fee_Relief_Windows_3B!$D$1449:$D$100,"&lt;="&amp;B1449,CBIC_Late_Fee_Relief_Windows_3B!$E$1449:$E$100,"&gt;="&amp;B1449,CBIC_Late_Fee_Relief_Windows_3B!$F$1449:$F$100,"&lt;="&amp;C1449,CBIC_Late_Fee_Relief_Windows_3B!$G$1449:$G$100,"&gt;="&amp;C1449)</f>
        <v/>
      </c>
      <c r="H1449">
        <f>INDEX(CBIC_Late_Fee_Relief_Windows_3B!$I$1449:$I$100,MATCH(G1449,CBIC_Late_Fee_Relief_Windows_3B!$O$1449:$O$100,0))</f>
        <v/>
      </c>
      <c r="I1449">
        <f>MIN(F1449,H1449)</f>
        <v/>
      </c>
    </row>
    <row r="1450">
      <c r="A1450">
        <f>TEST_DATA!A1450</f>
        <v/>
      </c>
      <c r="B1450">
        <f>TEST_DATA!B1450</f>
        <v/>
      </c>
      <c r="C1450">
        <f>TEST_DATA!C1450</f>
        <v/>
      </c>
      <c r="D1450">
        <f>TEST_DATA!D1450</f>
        <v/>
      </c>
      <c r="E1450">
        <f>TEST_DATA!E1450</f>
        <v/>
      </c>
      <c r="F1450">
        <f>MIN(E1450*145000,10000)</f>
        <v/>
      </c>
      <c r="G1450">
        <f>MINIFS(CBIC_Late_Fee_Relief_Windows_3B!$O$1450:$O$100,CBIC_Late_Fee_Relief_Windows_3B!$D$1450:$D$100,"&lt;="&amp;B1450,CBIC_Late_Fee_Relief_Windows_3B!$E$1450:$E$100,"&gt;="&amp;B1450,CBIC_Late_Fee_Relief_Windows_3B!$F$1450:$F$100,"&lt;="&amp;C1450,CBIC_Late_Fee_Relief_Windows_3B!$G$1450:$G$100,"&gt;="&amp;C1450)</f>
        <v/>
      </c>
      <c r="H1450">
        <f>INDEX(CBIC_Late_Fee_Relief_Windows_3B!$I$1450:$I$100,MATCH(G1450,CBIC_Late_Fee_Relief_Windows_3B!$O$1450:$O$100,0))</f>
        <v/>
      </c>
      <c r="I1450">
        <f>MIN(F1450,H1450)</f>
        <v/>
      </c>
    </row>
    <row r="1451">
      <c r="A1451">
        <f>TEST_DATA!A1451</f>
        <v/>
      </c>
      <c r="B1451">
        <f>TEST_DATA!B1451</f>
        <v/>
      </c>
      <c r="C1451">
        <f>TEST_DATA!C1451</f>
        <v/>
      </c>
      <c r="D1451">
        <f>TEST_DATA!D1451</f>
        <v/>
      </c>
      <c r="E1451">
        <f>TEST_DATA!E1451</f>
        <v/>
      </c>
      <c r="F1451">
        <f>MIN(E1451*145100,10000)</f>
        <v/>
      </c>
      <c r="G1451">
        <f>MINIFS(CBIC_Late_Fee_Relief_Windows_3B!$O$1451:$O$100,CBIC_Late_Fee_Relief_Windows_3B!$D$1451:$D$100,"&lt;="&amp;B1451,CBIC_Late_Fee_Relief_Windows_3B!$E$1451:$E$100,"&gt;="&amp;B1451,CBIC_Late_Fee_Relief_Windows_3B!$F$1451:$F$100,"&lt;="&amp;C1451,CBIC_Late_Fee_Relief_Windows_3B!$G$1451:$G$100,"&gt;="&amp;C1451)</f>
        <v/>
      </c>
      <c r="H1451">
        <f>INDEX(CBIC_Late_Fee_Relief_Windows_3B!$I$1451:$I$100,MATCH(G1451,CBIC_Late_Fee_Relief_Windows_3B!$O$1451:$O$100,0))</f>
        <v/>
      </c>
      <c r="I1451">
        <f>MIN(F1451,H1451)</f>
        <v/>
      </c>
    </row>
    <row r="1452">
      <c r="A1452">
        <f>TEST_DATA!A1452</f>
        <v/>
      </c>
      <c r="B1452">
        <f>TEST_DATA!B1452</f>
        <v/>
      </c>
      <c r="C1452">
        <f>TEST_DATA!C1452</f>
        <v/>
      </c>
      <c r="D1452">
        <f>TEST_DATA!D1452</f>
        <v/>
      </c>
      <c r="E1452">
        <f>TEST_DATA!E1452</f>
        <v/>
      </c>
      <c r="F1452">
        <f>MIN(E1452*145200,10000)</f>
        <v/>
      </c>
      <c r="G1452">
        <f>MINIFS(CBIC_Late_Fee_Relief_Windows_3B!$O$1452:$O$100,CBIC_Late_Fee_Relief_Windows_3B!$D$1452:$D$100,"&lt;="&amp;B1452,CBIC_Late_Fee_Relief_Windows_3B!$E$1452:$E$100,"&gt;="&amp;B1452,CBIC_Late_Fee_Relief_Windows_3B!$F$1452:$F$100,"&lt;="&amp;C1452,CBIC_Late_Fee_Relief_Windows_3B!$G$1452:$G$100,"&gt;="&amp;C1452)</f>
        <v/>
      </c>
      <c r="H1452">
        <f>INDEX(CBIC_Late_Fee_Relief_Windows_3B!$I$1452:$I$100,MATCH(G1452,CBIC_Late_Fee_Relief_Windows_3B!$O$1452:$O$100,0))</f>
        <v/>
      </c>
      <c r="I1452">
        <f>MIN(F1452,H1452)</f>
        <v/>
      </c>
    </row>
    <row r="1453">
      <c r="A1453">
        <f>TEST_DATA!A1453</f>
        <v/>
      </c>
      <c r="B1453">
        <f>TEST_DATA!B1453</f>
        <v/>
      </c>
      <c r="C1453">
        <f>TEST_DATA!C1453</f>
        <v/>
      </c>
      <c r="D1453">
        <f>TEST_DATA!D1453</f>
        <v/>
      </c>
      <c r="E1453">
        <f>TEST_DATA!E1453</f>
        <v/>
      </c>
      <c r="F1453">
        <f>MIN(E1453*145300,10000)</f>
        <v/>
      </c>
      <c r="G1453">
        <f>MINIFS(CBIC_Late_Fee_Relief_Windows_3B!$O$1453:$O$100,CBIC_Late_Fee_Relief_Windows_3B!$D$1453:$D$100,"&lt;="&amp;B1453,CBIC_Late_Fee_Relief_Windows_3B!$E$1453:$E$100,"&gt;="&amp;B1453,CBIC_Late_Fee_Relief_Windows_3B!$F$1453:$F$100,"&lt;="&amp;C1453,CBIC_Late_Fee_Relief_Windows_3B!$G$1453:$G$100,"&gt;="&amp;C1453)</f>
        <v/>
      </c>
      <c r="H1453">
        <f>INDEX(CBIC_Late_Fee_Relief_Windows_3B!$I$1453:$I$100,MATCH(G1453,CBIC_Late_Fee_Relief_Windows_3B!$O$1453:$O$100,0))</f>
        <v/>
      </c>
      <c r="I1453">
        <f>MIN(F1453,H1453)</f>
        <v/>
      </c>
    </row>
    <row r="1454">
      <c r="A1454">
        <f>TEST_DATA!A1454</f>
        <v/>
      </c>
      <c r="B1454">
        <f>TEST_DATA!B1454</f>
        <v/>
      </c>
      <c r="C1454">
        <f>TEST_DATA!C1454</f>
        <v/>
      </c>
      <c r="D1454">
        <f>TEST_DATA!D1454</f>
        <v/>
      </c>
      <c r="E1454">
        <f>TEST_DATA!E1454</f>
        <v/>
      </c>
      <c r="F1454">
        <f>MIN(E1454*145400,10000)</f>
        <v/>
      </c>
      <c r="G1454">
        <f>MINIFS(CBIC_Late_Fee_Relief_Windows_3B!$O$1454:$O$100,CBIC_Late_Fee_Relief_Windows_3B!$D$1454:$D$100,"&lt;="&amp;B1454,CBIC_Late_Fee_Relief_Windows_3B!$E$1454:$E$100,"&gt;="&amp;B1454,CBIC_Late_Fee_Relief_Windows_3B!$F$1454:$F$100,"&lt;="&amp;C1454,CBIC_Late_Fee_Relief_Windows_3B!$G$1454:$G$100,"&gt;="&amp;C1454)</f>
        <v/>
      </c>
      <c r="H1454">
        <f>INDEX(CBIC_Late_Fee_Relief_Windows_3B!$I$1454:$I$100,MATCH(G1454,CBIC_Late_Fee_Relief_Windows_3B!$O$1454:$O$100,0))</f>
        <v/>
      </c>
      <c r="I1454">
        <f>MIN(F1454,H1454)</f>
        <v/>
      </c>
    </row>
    <row r="1455">
      <c r="A1455">
        <f>TEST_DATA!A1455</f>
        <v/>
      </c>
      <c r="B1455">
        <f>TEST_DATA!B1455</f>
        <v/>
      </c>
      <c r="C1455">
        <f>TEST_DATA!C1455</f>
        <v/>
      </c>
      <c r="D1455">
        <f>TEST_DATA!D1455</f>
        <v/>
      </c>
      <c r="E1455">
        <f>TEST_DATA!E1455</f>
        <v/>
      </c>
      <c r="F1455">
        <f>MIN(E1455*145500,10000)</f>
        <v/>
      </c>
      <c r="G1455">
        <f>MINIFS(CBIC_Late_Fee_Relief_Windows_3B!$O$1455:$O$100,CBIC_Late_Fee_Relief_Windows_3B!$D$1455:$D$100,"&lt;="&amp;B1455,CBIC_Late_Fee_Relief_Windows_3B!$E$1455:$E$100,"&gt;="&amp;B1455,CBIC_Late_Fee_Relief_Windows_3B!$F$1455:$F$100,"&lt;="&amp;C1455,CBIC_Late_Fee_Relief_Windows_3B!$G$1455:$G$100,"&gt;="&amp;C1455)</f>
        <v/>
      </c>
      <c r="H1455">
        <f>INDEX(CBIC_Late_Fee_Relief_Windows_3B!$I$1455:$I$100,MATCH(G1455,CBIC_Late_Fee_Relief_Windows_3B!$O$1455:$O$100,0))</f>
        <v/>
      </c>
      <c r="I1455">
        <f>MIN(F1455,H1455)</f>
        <v/>
      </c>
    </row>
    <row r="1456">
      <c r="A1456">
        <f>TEST_DATA!A1456</f>
        <v/>
      </c>
      <c r="B1456">
        <f>TEST_DATA!B1456</f>
        <v/>
      </c>
      <c r="C1456">
        <f>TEST_DATA!C1456</f>
        <v/>
      </c>
      <c r="D1456">
        <f>TEST_DATA!D1456</f>
        <v/>
      </c>
      <c r="E1456">
        <f>TEST_DATA!E1456</f>
        <v/>
      </c>
      <c r="F1456">
        <f>MIN(E1456*145600,10000)</f>
        <v/>
      </c>
      <c r="G1456">
        <f>MINIFS(CBIC_Late_Fee_Relief_Windows_3B!$O$1456:$O$100,CBIC_Late_Fee_Relief_Windows_3B!$D$1456:$D$100,"&lt;="&amp;B1456,CBIC_Late_Fee_Relief_Windows_3B!$E$1456:$E$100,"&gt;="&amp;B1456,CBIC_Late_Fee_Relief_Windows_3B!$F$1456:$F$100,"&lt;="&amp;C1456,CBIC_Late_Fee_Relief_Windows_3B!$G$1456:$G$100,"&gt;="&amp;C1456)</f>
        <v/>
      </c>
      <c r="H1456">
        <f>INDEX(CBIC_Late_Fee_Relief_Windows_3B!$I$1456:$I$100,MATCH(G1456,CBIC_Late_Fee_Relief_Windows_3B!$O$1456:$O$100,0))</f>
        <v/>
      </c>
      <c r="I1456">
        <f>MIN(F1456,H1456)</f>
        <v/>
      </c>
    </row>
    <row r="1457">
      <c r="A1457">
        <f>TEST_DATA!A1457</f>
        <v/>
      </c>
      <c r="B1457">
        <f>TEST_DATA!B1457</f>
        <v/>
      </c>
      <c r="C1457">
        <f>TEST_DATA!C1457</f>
        <v/>
      </c>
      <c r="D1457">
        <f>TEST_DATA!D1457</f>
        <v/>
      </c>
      <c r="E1457">
        <f>TEST_DATA!E1457</f>
        <v/>
      </c>
      <c r="F1457">
        <f>MIN(E1457*145700,10000)</f>
        <v/>
      </c>
      <c r="G1457">
        <f>MINIFS(CBIC_Late_Fee_Relief_Windows_3B!$O$1457:$O$100,CBIC_Late_Fee_Relief_Windows_3B!$D$1457:$D$100,"&lt;="&amp;B1457,CBIC_Late_Fee_Relief_Windows_3B!$E$1457:$E$100,"&gt;="&amp;B1457,CBIC_Late_Fee_Relief_Windows_3B!$F$1457:$F$100,"&lt;="&amp;C1457,CBIC_Late_Fee_Relief_Windows_3B!$G$1457:$G$100,"&gt;="&amp;C1457)</f>
        <v/>
      </c>
      <c r="H1457">
        <f>INDEX(CBIC_Late_Fee_Relief_Windows_3B!$I$1457:$I$100,MATCH(G1457,CBIC_Late_Fee_Relief_Windows_3B!$O$1457:$O$100,0))</f>
        <v/>
      </c>
      <c r="I1457">
        <f>MIN(F1457,H1457)</f>
        <v/>
      </c>
    </row>
    <row r="1458">
      <c r="A1458">
        <f>TEST_DATA!A1458</f>
        <v/>
      </c>
      <c r="B1458">
        <f>TEST_DATA!B1458</f>
        <v/>
      </c>
      <c r="C1458">
        <f>TEST_DATA!C1458</f>
        <v/>
      </c>
      <c r="D1458">
        <f>TEST_DATA!D1458</f>
        <v/>
      </c>
      <c r="E1458">
        <f>TEST_DATA!E1458</f>
        <v/>
      </c>
      <c r="F1458">
        <f>MIN(E1458*145800,10000)</f>
        <v/>
      </c>
      <c r="G1458">
        <f>MINIFS(CBIC_Late_Fee_Relief_Windows_3B!$O$1458:$O$100,CBIC_Late_Fee_Relief_Windows_3B!$D$1458:$D$100,"&lt;="&amp;B1458,CBIC_Late_Fee_Relief_Windows_3B!$E$1458:$E$100,"&gt;="&amp;B1458,CBIC_Late_Fee_Relief_Windows_3B!$F$1458:$F$100,"&lt;="&amp;C1458,CBIC_Late_Fee_Relief_Windows_3B!$G$1458:$G$100,"&gt;="&amp;C1458)</f>
        <v/>
      </c>
      <c r="H1458">
        <f>INDEX(CBIC_Late_Fee_Relief_Windows_3B!$I$1458:$I$100,MATCH(G1458,CBIC_Late_Fee_Relief_Windows_3B!$O$1458:$O$100,0))</f>
        <v/>
      </c>
      <c r="I1458">
        <f>MIN(F1458,H1458)</f>
        <v/>
      </c>
    </row>
    <row r="1459">
      <c r="A1459">
        <f>TEST_DATA!A1459</f>
        <v/>
      </c>
      <c r="B1459">
        <f>TEST_DATA!B1459</f>
        <v/>
      </c>
      <c r="C1459">
        <f>TEST_DATA!C1459</f>
        <v/>
      </c>
      <c r="D1459">
        <f>TEST_DATA!D1459</f>
        <v/>
      </c>
      <c r="E1459">
        <f>TEST_DATA!E1459</f>
        <v/>
      </c>
      <c r="F1459">
        <f>MIN(E1459*145900,10000)</f>
        <v/>
      </c>
      <c r="G1459">
        <f>MINIFS(CBIC_Late_Fee_Relief_Windows_3B!$O$1459:$O$100,CBIC_Late_Fee_Relief_Windows_3B!$D$1459:$D$100,"&lt;="&amp;B1459,CBIC_Late_Fee_Relief_Windows_3B!$E$1459:$E$100,"&gt;="&amp;B1459,CBIC_Late_Fee_Relief_Windows_3B!$F$1459:$F$100,"&lt;="&amp;C1459,CBIC_Late_Fee_Relief_Windows_3B!$G$1459:$G$100,"&gt;="&amp;C1459)</f>
        <v/>
      </c>
      <c r="H1459">
        <f>INDEX(CBIC_Late_Fee_Relief_Windows_3B!$I$1459:$I$100,MATCH(G1459,CBIC_Late_Fee_Relief_Windows_3B!$O$1459:$O$100,0))</f>
        <v/>
      </c>
      <c r="I1459">
        <f>MIN(F1459,H1459)</f>
        <v/>
      </c>
    </row>
    <row r="1460">
      <c r="A1460">
        <f>TEST_DATA!A1460</f>
        <v/>
      </c>
      <c r="B1460">
        <f>TEST_DATA!B1460</f>
        <v/>
      </c>
      <c r="C1460">
        <f>TEST_DATA!C1460</f>
        <v/>
      </c>
      <c r="D1460">
        <f>TEST_DATA!D1460</f>
        <v/>
      </c>
      <c r="E1460">
        <f>TEST_DATA!E1460</f>
        <v/>
      </c>
      <c r="F1460">
        <f>MIN(E1460*146000,10000)</f>
        <v/>
      </c>
      <c r="G1460">
        <f>MINIFS(CBIC_Late_Fee_Relief_Windows_3B!$O$1460:$O$100,CBIC_Late_Fee_Relief_Windows_3B!$D$1460:$D$100,"&lt;="&amp;B1460,CBIC_Late_Fee_Relief_Windows_3B!$E$1460:$E$100,"&gt;="&amp;B1460,CBIC_Late_Fee_Relief_Windows_3B!$F$1460:$F$100,"&lt;="&amp;C1460,CBIC_Late_Fee_Relief_Windows_3B!$G$1460:$G$100,"&gt;="&amp;C1460)</f>
        <v/>
      </c>
      <c r="H1460">
        <f>INDEX(CBIC_Late_Fee_Relief_Windows_3B!$I$1460:$I$100,MATCH(G1460,CBIC_Late_Fee_Relief_Windows_3B!$O$1460:$O$100,0))</f>
        <v/>
      </c>
      <c r="I1460">
        <f>MIN(F1460,H1460)</f>
        <v/>
      </c>
    </row>
    <row r="1461">
      <c r="A1461">
        <f>TEST_DATA!A1461</f>
        <v/>
      </c>
      <c r="B1461">
        <f>TEST_DATA!B1461</f>
        <v/>
      </c>
      <c r="C1461">
        <f>TEST_DATA!C1461</f>
        <v/>
      </c>
      <c r="D1461">
        <f>TEST_DATA!D1461</f>
        <v/>
      </c>
      <c r="E1461">
        <f>TEST_DATA!E1461</f>
        <v/>
      </c>
      <c r="F1461">
        <f>MIN(E1461*146100,10000)</f>
        <v/>
      </c>
      <c r="G1461">
        <f>MINIFS(CBIC_Late_Fee_Relief_Windows_3B!$O$1461:$O$100,CBIC_Late_Fee_Relief_Windows_3B!$D$1461:$D$100,"&lt;="&amp;B1461,CBIC_Late_Fee_Relief_Windows_3B!$E$1461:$E$100,"&gt;="&amp;B1461,CBIC_Late_Fee_Relief_Windows_3B!$F$1461:$F$100,"&lt;="&amp;C1461,CBIC_Late_Fee_Relief_Windows_3B!$G$1461:$G$100,"&gt;="&amp;C1461)</f>
        <v/>
      </c>
      <c r="H1461">
        <f>INDEX(CBIC_Late_Fee_Relief_Windows_3B!$I$1461:$I$100,MATCH(G1461,CBIC_Late_Fee_Relief_Windows_3B!$O$1461:$O$100,0))</f>
        <v/>
      </c>
      <c r="I1461">
        <f>MIN(F1461,H1461)</f>
        <v/>
      </c>
    </row>
    <row r="1462">
      <c r="A1462">
        <f>TEST_DATA!A1462</f>
        <v/>
      </c>
      <c r="B1462">
        <f>TEST_DATA!B1462</f>
        <v/>
      </c>
      <c r="C1462">
        <f>TEST_DATA!C1462</f>
        <v/>
      </c>
      <c r="D1462">
        <f>TEST_DATA!D1462</f>
        <v/>
      </c>
      <c r="E1462">
        <f>TEST_DATA!E1462</f>
        <v/>
      </c>
      <c r="F1462">
        <f>MIN(E1462*146200,10000)</f>
        <v/>
      </c>
      <c r="G1462">
        <f>MINIFS(CBIC_Late_Fee_Relief_Windows_3B!$O$1462:$O$100,CBIC_Late_Fee_Relief_Windows_3B!$D$1462:$D$100,"&lt;="&amp;B1462,CBIC_Late_Fee_Relief_Windows_3B!$E$1462:$E$100,"&gt;="&amp;B1462,CBIC_Late_Fee_Relief_Windows_3B!$F$1462:$F$100,"&lt;="&amp;C1462,CBIC_Late_Fee_Relief_Windows_3B!$G$1462:$G$100,"&gt;="&amp;C1462)</f>
        <v/>
      </c>
      <c r="H1462">
        <f>INDEX(CBIC_Late_Fee_Relief_Windows_3B!$I$1462:$I$100,MATCH(G1462,CBIC_Late_Fee_Relief_Windows_3B!$O$1462:$O$100,0))</f>
        <v/>
      </c>
      <c r="I1462">
        <f>MIN(F1462,H1462)</f>
        <v/>
      </c>
    </row>
    <row r="1463">
      <c r="A1463">
        <f>TEST_DATA!A1463</f>
        <v/>
      </c>
      <c r="B1463">
        <f>TEST_DATA!B1463</f>
        <v/>
      </c>
      <c r="C1463">
        <f>TEST_DATA!C1463</f>
        <v/>
      </c>
      <c r="D1463">
        <f>TEST_DATA!D1463</f>
        <v/>
      </c>
      <c r="E1463">
        <f>TEST_DATA!E1463</f>
        <v/>
      </c>
      <c r="F1463">
        <f>MIN(E1463*146300,10000)</f>
        <v/>
      </c>
      <c r="G1463">
        <f>MINIFS(CBIC_Late_Fee_Relief_Windows_3B!$O$1463:$O$100,CBIC_Late_Fee_Relief_Windows_3B!$D$1463:$D$100,"&lt;="&amp;B1463,CBIC_Late_Fee_Relief_Windows_3B!$E$1463:$E$100,"&gt;="&amp;B1463,CBIC_Late_Fee_Relief_Windows_3B!$F$1463:$F$100,"&lt;="&amp;C1463,CBIC_Late_Fee_Relief_Windows_3B!$G$1463:$G$100,"&gt;="&amp;C1463)</f>
        <v/>
      </c>
      <c r="H1463">
        <f>INDEX(CBIC_Late_Fee_Relief_Windows_3B!$I$1463:$I$100,MATCH(G1463,CBIC_Late_Fee_Relief_Windows_3B!$O$1463:$O$100,0))</f>
        <v/>
      </c>
      <c r="I1463">
        <f>MIN(F1463,H1463)</f>
        <v/>
      </c>
    </row>
    <row r="1464">
      <c r="A1464">
        <f>TEST_DATA!A1464</f>
        <v/>
      </c>
      <c r="B1464">
        <f>TEST_DATA!B1464</f>
        <v/>
      </c>
      <c r="C1464">
        <f>TEST_DATA!C1464</f>
        <v/>
      </c>
      <c r="D1464">
        <f>TEST_DATA!D1464</f>
        <v/>
      </c>
      <c r="E1464">
        <f>TEST_DATA!E1464</f>
        <v/>
      </c>
      <c r="F1464">
        <f>MIN(E1464*146400,10000)</f>
        <v/>
      </c>
      <c r="G1464">
        <f>MINIFS(CBIC_Late_Fee_Relief_Windows_3B!$O$1464:$O$100,CBIC_Late_Fee_Relief_Windows_3B!$D$1464:$D$100,"&lt;="&amp;B1464,CBIC_Late_Fee_Relief_Windows_3B!$E$1464:$E$100,"&gt;="&amp;B1464,CBIC_Late_Fee_Relief_Windows_3B!$F$1464:$F$100,"&lt;="&amp;C1464,CBIC_Late_Fee_Relief_Windows_3B!$G$1464:$G$100,"&gt;="&amp;C1464)</f>
        <v/>
      </c>
      <c r="H1464">
        <f>INDEX(CBIC_Late_Fee_Relief_Windows_3B!$I$1464:$I$100,MATCH(G1464,CBIC_Late_Fee_Relief_Windows_3B!$O$1464:$O$100,0))</f>
        <v/>
      </c>
      <c r="I1464">
        <f>MIN(F1464,H1464)</f>
        <v/>
      </c>
    </row>
    <row r="1465">
      <c r="A1465">
        <f>TEST_DATA!A1465</f>
        <v/>
      </c>
      <c r="B1465">
        <f>TEST_DATA!B1465</f>
        <v/>
      </c>
      <c r="C1465">
        <f>TEST_DATA!C1465</f>
        <v/>
      </c>
      <c r="D1465">
        <f>TEST_DATA!D1465</f>
        <v/>
      </c>
      <c r="E1465">
        <f>TEST_DATA!E1465</f>
        <v/>
      </c>
      <c r="F1465">
        <f>MIN(E1465*146500,10000)</f>
        <v/>
      </c>
      <c r="G1465">
        <f>MINIFS(CBIC_Late_Fee_Relief_Windows_3B!$O$1465:$O$100,CBIC_Late_Fee_Relief_Windows_3B!$D$1465:$D$100,"&lt;="&amp;B1465,CBIC_Late_Fee_Relief_Windows_3B!$E$1465:$E$100,"&gt;="&amp;B1465,CBIC_Late_Fee_Relief_Windows_3B!$F$1465:$F$100,"&lt;="&amp;C1465,CBIC_Late_Fee_Relief_Windows_3B!$G$1465:$G$100,"&gt;="&amp;C1465)</f>
        <v/>
      </c>
      <c r="H1465">
        <f>INDEX(CBIC_Late_Fee_Relief_Windows_3B!$I$1465:$I$100,MATCH(G1465,CBIC_Late_Fee_Relief_Windows_3B!$O$1465:$O$100,0))</f>
        <v/>
      </c>
      <c r="I1465">
        <f>MIN(F1465,H1465)</f>
        <v/>
      </c>
    </row>
    <row r="1466">
      <c r="A1466">
        <f>TEST_DATA!A1466</f>
        <v/>
      </c>
      <c r="B1466">
        <f>TEST_DATA!B1466</f>
        <v/>
      </c>
      <c r="C1466">
        <f>TEST_DATA!C1466</f>
        <v/>
      </c>
      <c r="D1466">
        <f>TEST_DATA!D1466</f>
        <v/>
      </c>
      <c r="E1466">
        <f>TEST_DATA!E1466</f>
        <v/>
      </c>
      <c r="F1466">
        <f>MIN(E1466*146600,10000)</f>
        <v/>
      </c>
      <c r="G1466">
        <f>MINIFS(CBIC_Late_Fee_Relief_Windows_3B!$O$1466:$O$100,CBIC_Late_Fee_Relief_Windows_3B!$D$1466:$D$100,"&lt;="&amp;B1466,CBIC_Late_Fee_Relief_Windows_3B!$E$1466:$E$100,"&gt;="&amp;B1466,CBIC_Late_Fee_Relief_Windows_3B!$F$1466:$F$100,"&lt;="&amp;C1466,CBIC_Late_Fee_Relief_Windows_3B!$G$1466:$G$100,"&gt;="&amp;C1466)</f>
        <v/>
      </c>
      <c r="H1466">
        <f>INDEX(CBIC_Late_Fee_Relief_Windows_3B!$I$1466:$I$100,MATCH(G1466,CBIC_Late_Fee_Relief_Windows_3B!$O$1466:$O$100,0))</f>
        <v/>
      </c>
      <c r="I1466">
        <f>MIN(F1466,H1466)</f>
        <v/>
      </c>
    </row>
    <row r="1467">
      <c r="A1467">
        <f>TEST_DATA!A1467</f>
        <v/>
      </c>
      <c r="B1467">
        <f>TEST_DATA!B1467</f>
        <v/>
      </c>
      <c r="C1467">
        <f>TEST_DATA!C1467</f>
        <v/>
      </c>
      <c r="D1467">
        <f>TEST_DATA!D1467</f>
        <v/>
      </c>
      <c r="E1467">
        <f>TEST_DATA!E1467</f>
        <v/>
      </c>
      <c r="F1467">
        <f>MIN(E1467*146700,10000)</f>
        <v/>
      </c>
      <c r="G1467">
        <f>MINIFS(CBIC_Late_Fee_Relief_Windows_3B!$O$1467:$O$100,CBIC_Late_Fee_Relief_Windows_3B!$D$1467:$D$100,"&lt;="&amp;B1467,CBIC_Late_Fee_Relief_Windows_3B!$E$1467:$E$100,"&gt;="&amp;B1467,CBIC_Late_Fee_Relief_Windows_3B!$F$1467:$F$100,"&lt;="&amp;C1467,CBIC_Late_Fee_Relief_Windows_3B!$G$1467:$G$100,"&gt;="&amp;C1467)</f>
        <v/>
      </c>
      <c r="H1467">
        <f>INDEX(CBIC_Late_Fee_Relief_Windows_3B!$I$1467:$I$100,MATCH(G1467,CBIC_Late_Fee_Relief_Windows_3B!$O$1467:$O$100,0))</f>
        <v/>
      </c>
      <c r="I1467">
        <f>MIN(F1467,H1467)</f>
        <v/>
      </c>
    </row>
    <row r="1468">
      <c r="A1468">
        <f>TEST_DATA!A1468</f>
        <v/>
      </c>
      <c r="B1468">
        <f>TEST_DATA!B1468</f>
        <v/>
      </c>
      <c r="C1468">
        <f>TEST_DATA!C1468</f>
        <v/>
      </c>
      <c r="D1468">
        <f>TEST_DATA!D1468</f>
        <v/>
      </c>
      <c r="E1468">
        <f>TEST_DATA!E1468</f>
        <v/>
      </c>
      <c r="F1468">
        <f>MIN(E1468*146800,10000)</f>
        <v/>
      </c>
      <c r="G1468">
        <f>MINIFS(CBIC_Late_Fee_Relief_Windows_3B!$O$1468:$O$100,CBIC_Late_Fee_Relief_Windows_3B!$D$1468:$D$100,"&lt;="&amp;B1468,CBIC_Late_Fee_Relief_Windows_3B!$E$1468:$E$100,"&gt;="&amp;B1468,CBIC_Late_Fee_Relief_Windows_3B!$F$1468:$F$100,"&lt;="&amp;C1468,CBIC_Late_Fee_Relief_Windows_3B!$G$1468:$G$100,"&gt;="&amp;C1468)</f>
        <v/>
      </c>
      <c r="H1468">
        <f>INDEX(CBIC_Late_Fee_Relief_Windows_3B!$I$1468:$I$100,MATCH(G1468,CBIC_Late_Fee_Relief_Windows_3B!$O$1468:$O$100,0))</f>
        <v/>
      </c>
      <c r="I1468">
        <f>MIN(F1468,H1468)</f>
        <v/>
      </c>
    </row>
    <row r="1469">
      <c r="A1469">
        <f>TEST_DATA!A1469</f>
        <v/>
      </c>
      <c r="B1469">
        <f>TEST_DATA!B1469</f>
        <v/>
      </c>
      <c r="C1469">
        <f>TEST_DATA!C1469</f>
        <v/>
      </c>
      <c r="D1469">
        <f>TEST_DATA!D1469</f>
        <v/>
      </c>
      <c r="E1469">
        <f>TEST_DATA!E1469</f>
        <v/>
      </c>
      <c r="F1469">
        <f>MIN(E1469*146900,10000)</f>
        <v/>
      </c>
      <c r="G1469">
        <f>MINIFS(CBIC_Late_Fee_Relief_Windows_3B!$O$1469:$O$100,CBIC_Late_Fee_Relief_Windows_3B!$D$1469:$D$100,"&lt;="&amp;B1469,CBIC_Late_Fee_Relief_Windows_3B!$E$1469:$E$100,"&gt;="&amp;B1469,CBIC_Late_Fee_Relief_Windows_3B!$F$1469:$F$100,"&lt;="&amp;C1469,CBIC_Late_Fee_Relief_Windows_3B!$G$1469:$G$100,"&gt;="&amp;C1469)</f>
        <v/>
      </c>
      <c r="H1469">
        <f>INDEX(CBIC_Late_Fee_Relief_Windows_3B!$I$1469:$I$100,MATCH(G1469,CBIC_Late_Fee_Relief_Windows_3B!$O$1469:$O$100,0))</f>
        <v/>
      </c>
      <c r="I1469">
        <f>MIN(F1469,H1469)</f>
        <v/>
      </c>
    </row>
    <row r="1470">
      <c r="A1470">
        <f>TEST_DATA!A1470</f>
        <v/>
      </c>
      <c r="B1470">
        <f>TEST_DATA!B1470</f>
        <v/>
      </c>
      <c r="C1470">
        <f>TEST_DATA!C1470</f>
        <v/>
      </c>
      <c r="D1470">
        <f>TEST_DATA!D1470</f>
        <v/>
      </c>
      <c r="E1470">
        <f>TEST_DATA!E1470</f>
        <v/>
      </c>
      <c r="F1470">
        <f>MIN(E1470*147000,10000)</f>
        <v/>
      </c>
      <c r="G1470">
        <f>MINIFS(CBIC_Late_Fee_Relief_Windows_3B!$O$1470:$O$100,CBIC_Late_Fee_Relief_Windows_3B!$D$1470:$D$100,"&lt;="&amp;B1470,CBIC_Late_Fee_Relief_Windows_3B!$E$1470:$E$100,"&gt;="&amp;B1470,CBIC_Late_Fee_Relief_Windows_3B!$F$1470:$F$100,"&lt;="&amp;C1470,CBIC_Late_Fee_Relief_Windows_3B!$G$1470:$G$100,"&gt;="&amp;C1470)</f>
        <v/>
      </c>
      <c r="H1470">
        <f>INDEX(CBIC_Late_Fee_Relief_Windows_3B!$I$1470:$I$100,MATCH(G1470,CBIC_Late_Fee_Relief_Windows_3B!$O$1470:$O$100,0))</f>
        <v/>
      </c>
      <c r="I1470">
        <f>MIN(F1470,H1470)</f>
        <v/>
      </c>
    </row>
    <row r="1471">
      <c r="A1471">
        <f>TEST_DATA!A1471</f>
        <v/>
      </c>
      <c r="B1471">
        <f>TEST_DATA!B1471</f>
        <v/>
      </c>
      <c r="C1471">
        <f>TEST_DATA!C1471</f>
        <v/>
      </c>
      <c r="D1471">
        <f>TEST_DATA!D1471</f>
        <v/>
      </c>
      <c r="E1471">
        <f>TEST_DATA!E1471</f>
        <v/>
      </c>
      <c r="F1471">
        <f>MIN(E1471*147100,10000)</f>
        <v/>
      </c>
      <c r="G1471">
        <f>MINIFS(CBIC_Late_Fee_Relief_Windows_3B!$O$1471:$O$100,CBIC_Late_Fee_Relief_Windows_3B!$D$1471:$D$100,"&lt;="&amp;B1471,CBIC_Late_Fee_Relief_Windows_3B!$E$1471:$E$100,"&gt;="&amp;B1471,CBIC_Late_Fee_Relief_Windows_3B!$F$1471:$F$100,"&lt;="&amp;C1471,CBIC_Late_Fee_Relief_Windows_3B!$G$1471:$G$100,"&gt;="&amp;C1471)</f>
        <v/>
      </c>
      <c r="H1471">
        <f>INDEX(CBIC_Late_Fee_Relief_Windows_3B!$I$1471:$I$100,MATCH(G1471,CBIC_Late_Fee_Relief_Windows_3B!$O$1471:$O$100,0))</f>
        <v/>
      </c>
      <c r="I1471">
        <f>MIN(F1471,H1471)</f>
        <v/>
      </c>
    </row>
    <row r="1472">
      <c r="A1472">
        <f>TEST_DATA!A1472</f>
        <v/>
      </c>
      <c r="B1472">
        <f>TEST_DATA!B1472</f>
        <v/>
      </c>
      <c r="C1472">
        <f>TEST_DATA!C1472</f>
        <v/>
      </c>
      <c r="D1472">
        <f>TEST_DATA!D1472</f>
        <v/>
      </c>
      <c r="E1472">
        <f>TEST_DATA!E1472</f>
        <v/>
      </c>
      <c r="F1472">
        <f>MIN(E1472*147200,10000)</f>
        <v/>
      </c>
      <c r="G1472">
        <f>MINIFS(CBIC_Late_Fee_Relief_Windows_3B!$O$1472:$O$100,CBIC_Late_Fee_Relief_Windows_3B!$D$1472:$D$100,"&lt;="&amp;B1472,CBIC_Late_Fee_Relief_Windows_3B!$E$1472:$E$100,"&gt;="&amp;B1472,CBIC_Late_Fee_Relief_Windows_3B!$F$1472:$F$100,"&lt;="&amp;C1472,CBIC_Late_Fee_Relief_Windows_3B!$G$1472:$G$100,"&gt;="&amp;C1472)</f>
        <v/>
      </c>
      <c r="H1472">
        <f>INDEX(CBIC_Late_Fee_Relief_Windows_3B!$I$1472:$I$100,MATCH(G1472,CBIC_Late_Fee_Relief_Windows_3B!$O$1472:$O$100,0))</f>
        <v/>
      </c>
      <c r="I1472">
        <f>MIN(F1472,H1472)</f>
        <v/>
      </c>
    </row>
    <row r="1473">
      <c r="A1473">
        <f>TEST_DATA!A1473</f>
        <v/>
      </c>
      <c r="B1473">
        <f>TEST_DATA!B1473</f>
        <v/>
      </c>
      <c r="C1473">
        <f>TEST_DATA!C1473</f>
        <v/>
      </c>
      <c r="D1473">
        <f>TEST_DATA!D1473</f>
        <v/>
      </c>
      <c r="E1473">
        <f>TEST_DATA!E1473</f>
        <v/>
      </c>
      <c r="F1473">
        <f>MIN(E1473*147300,10000)</f>
        <v/>
      </c>
      <c r="G1473">
        <f>MINIFS(CBIC_Late_Fee_Relief_Windows_3B!$O$1473:$O$100,CBIC_Late_Fee_Relief_Windows_3B!$D$1473:$D$100,"&lt;="&amp;B1473,CBIC_Late_Fee_Relief_Windows_3B!$E$1473:$E$100,"&gt;="&amp;B1473,CBIC_Late_Fee_Relief_Windows_3B!$F$1473:$F$100,"&lt;="&amp;C1473,CBIC_Late_Fee_Relief_Windows_3B!$G$1473:$G$100,"&gt;="&amp;C1473)</f>
        <v/>
      </c>
      <c r="H1473">
        <f>INDEX(CBIC_Late_Fee_Relief_Windows_3B!$I$1473:$I$100,MATCH(G1473,CBIC_Late_Fee_Relief_Windows_3B!$O$1473:$O$100,0))</f>
        <v/>
      </c>
      <c r="I1473">
        <f>MIN(F1473,H1473)</f>
        <v/>
      </c>
    </row>
    <row r="1474">
      <c r="A1474">
        <f>TEST_DATA!A1474</f>
        <v/>
      </c>
      <c r="B1474">
        <f>TEST_DATA!B1474</f>
        <v/>
      </c>
      <c r="C1474">
        <f>TEST_DATA!C1474</f>
        <v/>
      </c>
      <c r="D1474">
        <f>TEST_DATA!D1474</f>
        <v/>
      </c>
      <c r="E1474">
        <f>TEST_DATA!E1474</f>
        <v/>
      </c>
      <c r="F1474">
        <f>MIN(E1474*147400,10000)</f>
        <v/>
      </c>
      <c r="G1474">
        <f>MINIFS(CBIC_Late_Fee_Relief_Windows_3B!$O$1474:$O$100,CBIC_Late_Fee_Relief_Windows_3B!$D$1474:$D$100,"&lt;="&amp;B1474,CBIC_Late_Fee_Relief_Windows_3B!$E$1474:$E$100,"&gt;="&amp;B1474,CBIC_Late_Fee_Relief_Windows_3B!$F$1474:$F$100,"&lt;="&amp;C1474,CBIC_Late_Fee_Relief_Windows_3B!$G$1474:$G$100,"&gt;="&amp;C1474)</f>
        <v/>
      </c>
      <c r="H1474">
        <f>INDEX(CBIC_Late_Fee_Relief_Windows_3B!$I$1474:$I$100,MATCH(G1474,CBIC_Late_Fee_Relief_Windows_3B!$O$1474:$O$100,0))</f>
        <v/>
      </c>
      <c r="I1474">
        <f>MIN(F1474,H1474)</f>
        <v/>
      </c>
    </row>
    <row r="1475">
      <c r="A1475">
        <f>TEST_DATA!A1475</f>
        <v/>
      </c>
      <c r="B1475">
        <f>TEST_DATA!B1475</f>
        <v/>
      </c>
      <c r="C1475">
        <f>TEST_DATA!C1475</f>
        <v/>
      </c>
      <c r="D1475">
        <f>TEST_DATA!D1475</f>
        <v/>
      </c>
      <c r="E1475">
        <f>TEST_DATA!E1475</f>
        <v/>
      </c>
      <c r="F1475">
        <f>MIN(E1475*147500,10000)</f>
        <v/>
      </c>
      <c r="G1475">
        <f>MINIFS(CBIC_Late_Fee_Relief_Windows_3B!$O$1475:$O$100,CBIC_Late_Fee_Relief_Windows_3B!$D$1475:$D$100,"&lt;="&amp;B1475,CBIC_Late_Fee_Relief_Windows_3B!$E$1475:$E$100,"&gt;="&amp;B1475,CBIC_Late_Fee_Relief_Windows_3B!$F$1475:$F$100,"&lt;="&amp;C1475,CBIC_Late_Fee_Relief_Windows_3B!$G$1475:$G$100,"&gt;="&amp;C1475)</f>
        <v/>
      </c>
      <c r="H1475">
        <f>INDEX(CBIC_Late_Fee_Relief_Windows_3B!$I$1475:$I$100,MATCH(G1475,CBIC_Late_Fee_Relief_Windows_3B!$O$1475:$O$100,0))</f>
        <v/>
      </c>
      <c r="I1475">
        <f>MIN(F1475,H1475)</f>
        <v/>
      </c>
    </row>
    <row r="1476">
      <c r="A1476">
        <f>TEST_DATA!A1476</f>
        <v/>
      </c>
      <c r="B1476">
        <f>TEST_DATA!B1476</f>
        <v/>
      </c>
      <c r="C1476">
        <f>TEST_DATA!C1476</f>
        <v/>
      </c>
      <c r="D1476">
        <f>TEST_DATA!D1476</f>
        <v/>
      </c>
      <c r="E1476">
        <f>TEST_DATA!E1476</f>
        <v/>
      </c>
      <c r="F1476">
        <f>MIN(E1476*147600,10000)</f>
        <v/>
      </c>
      <c r="G1476">
        <f>MINIFS(CBIC_Late_Fee_Relief_Windows_3B!$O$1476:$O$100,CBIC_Late_Fee_Relief_Windows_3B!$D$1476:$D$100,"&lt;="&amp;B1476,CBIC_Late_Fee_Relief_Windows_3B!$E$1476:$E$100,"&gt;="&amp;B1476,CBIC_Late_Fee_Relief_Windows_3B!$F$1476:$F$100,"&lt;="&amp;C1476,CBIC_Late_Fee_Relief_Windows_3B!$G$1476:$G$100,"&gt;="&amp;C1476)</f>
        <v/>
      </c>
      <c r="H1476">
        <f>INDEX(CBIC_Late_Fee_Relief_Windows_3B!$I$1476:$I$100,MATCH(G1476,CBIC_Late_Fee_Relief_Windows_3B!$O$1476:$O$100,0))</f>
        <v/>
      </c>
      <c r="I1476">
        <f>MIN(F1476,H1476)</f>
        <v/>
      </c>
    </row>
    <row r="1477">
      <c r="A1477">
        <f>TEST_DATA!A1477</f>
        <v/>
      </c>
      <c r="B1477">
        <f>TEST_DATA!B1477</f>
        <v/>
      </c>
      <c r="C1477">
        <f>TEST_DATA!C1477</f>
        <v/>
      </c>
      <c r="D1477">
        <f>TEST_DATA!D1477</f>
        <v/>
      </c>
      <c r="E1477">
        <f>TEST_DATA!E1477</f>
        <v/>
      </c>
      <c r="F1477">
        <f>MIN(E1477*147700,10000)</f>
        <v/>
      </c>
      <c r="G1477">
        <f>MINIFS(CBIC_Late_Fee_Relief_Windows_3B!$O$1477:$O$100,CBIC_Late_Fee_Relief_Windows_3B!$D$1477:$D$100,"&lt;="&amp;B1477,CBIC_Late_Fee_Relief_Windows_3B!$E$1477:$E$100,"&gt;="&amp;B1477,CBIC_Late_Fee_Relief_Windows_3B!$F$1477:$F$100,"&lt;="&amp;C1477,CBIC_Late_Fee_Relief_Windows_3B!$G$1477:$G$100,"&gt;="&amp;C1477)</f>
        <v/>
      </c>
      <c r="H1477">
        <f>INDEX(CBIC_Late_Fee_Relief_Windows_3B!$I$1477:$I$100,MATCH(G1477,CBIC_Late_Fee_Relief_Windows_3B!$O$1477:$O$100,0))</f>
        <v/>
      </c>
      <c r="I1477">
        <f>MIN(F1477,H1477)</f>
        <v/>
      </c>
    </row>
    <row r="1478">
      <c r="A1478">
        <f>TEST_DATA!A1478</f>
        <v/>
      </c>
      <c r="B1478">
        <f>TEST_DATA!B1478</f>
        <v/>
      </c>
      <c r="C1478">
        <f>TEST_DATA!C1478</f>
        <v/>
      </c>
      <c r="D1478">
        <f>TEST_DATA!D1478</f>
        <v/>
      </c>
      <c r="E1478">
        <f>TEST_DATA!E1478</f>
        <v/>
      </c>
      <c r="F1478">
        <f>MIN(E1478*147800,10000)</f>
        <v/>
      </c>
      <c r="G1478">
        <f>MINIFS(CBIC_Late_Fee_Relief_Windows_3B!$O$1478:$O$100,CBIC_Late_Fee_Relief_Windows_3B!$D$1478:$D$100,"&lt;="&amp;B1478,CBIC_Late_Fee_Relief_Windows_3B!$E$1478:$E$100,"&gt;="&amp;B1478,CBIC_Late_Fee_Relief_Windows_3B!$F$1478:$F$100,"&lt;="&amp;C1478,CBIC_Late_Fee_Relief_Windows_3B!$G$1478:$G$100,"&gt;="&amp;C1478)</f>
        <v/>
      </c>
      <c r="H1478">
        <f>INDEX(CBIC_Late_Fee_Relief_Windows_3B!$I$1478:$I$100,MATCH(G1478,CBIC_Late_Fee_Relief_Windows_3B!$O$1478:$O$100,0))</f>
        <v/>
      </c>
      <c r="I1478">
        <f>MIN(F1478,H1478)</f>
        <v/>
      </c>
    </row>
    <row r="1479">
      <c r="A1479">
        <f>TEST_DATA!A1479</f>
        <v/>
      </c>
      <c r="B1479">
        <f>TEST_DATA!B1479</f>
        <v/>
      </c>
      <c r="C1479">
        <f>TEST_DATA!C1479</f>
        <v/>
      </c>
      <c r="D1479">
        <f>TEST_DATA!D1479</f>
        <v/>
      </c>
      <c r="E1479">
        <f>TEST_DATA!E1479</f>
        <v/>
      </c>
      <c r="F1479">
        <f>MIN(E1479*147900,10000)</f>
        <v/>
      </c>
      <c r="G1479">
        <f>MINIFS(CBIC_Late_Fee_Relief_Windows_3B!$O$1479:$O$100,CBIC_Late_Fee_Relief_Windows_3B!$D$1479:$D$100,"&lt;="&amp;B1479,CBIC_Late_Fee_Relief_Windows_3B!$E$1479:$E$100,"&gt;="&amp;B1479,CBIC_Late_Fee_Relief_Windows_3B!$F$1479:$F$100,"&lt;="&amp;C1479,CBIC_Late_Fee_Relief_Windows_3B!$G$1479:$G$100,"&gt;="&amp;C1479)</f>
        <v/>
      </c>
      <c r="H1479">
        <f>INDEX(CBIC_Late_Fee_Relief_Windows_3B!$I$1479:$I$100,MATCH(G1479,CBIC_Late_Fee_Relief_Windows_3B!$O$1479:$O$100,0))</f>
        <v/>
      </c>
      <c r="I1479">
        <f>MIN(F1479,H1479)</f>
        <v/>
      </c>
    </row>
    <row r="1480">
      <c r="A1480">
        <f>TEST_DATA!A1480</f>
        <v/>
      </c>
      <c r="B1480">
        <f>TEST_DATA!B1480</f>
        <v/>
      </c>
      <c r="C1480">
        <f>TEST_DATA!C1480</f>
        <v/>
      </c>
      <c r="D1480">
        <f>TEST_DATA!D1480</f>
        <v/>
      </c>
      <c r="E1480">
        <f>TEST_DATA!E1480</f>
        <v/>
      </c>
      <c r="F1480">
        <f>MIN(E1480*148000,10000)</f>
        <v/>
      </c>
      <c r="G1480">
        <f>MINIFS(CBIC_Late_Fee_Relief_Windows_3B!$O$1480:$O$100,CBIC_Late_Fee_Relief_Windows_3B!$D$1480:$D$100,"&lt;="&amp;B1480,CBIC_Late_Fee_Relief_Windows_3B!$E$1480:$E$100,"&gt;="&amp;B1480,CBIC_Late_Fee_Relief_Windows_3B!$F$1480:$F$100,"&lt;="&amp;C1480,CBIC_Late_Fee_Relief_Windows_3B!$G$1480:$G$100,"&gt;="&amp;C1480)</f>
        <v/>
      </c>
      <c r="H1480">
        <f>INDEX(CBIC_Late_Fee_Relief_Windows_3B!$I$1480:$I$100,MATCH(G1480,CBIC_Late_Fee_Relief_Windows_3B!$O$1480:$O$100,0))</f>
        <v/>
      </c>
      <c r="I1480">
        <f>MIN(F1480,H1480)</f>
        <v/>
      </c>
    </row>
    <row r="1481">
      <c r="A1481">
        <f>TEST_DATA!A1481</f>
        <v/>
      </c>
      <c r="B1481">
        <f>TEST_DATA!B1481</f>
        <v/>
      </c>
      <c r="C1481">
        <f>TEST_DATA!C1481</f>
        <v/>
      </c>
      <c r="D1481">
        <f>TEST_DATA!D1481</f>
        <v/>
      </c>
      <c r="E1481">
        <f>TEST_DATA!E1481</f>
        <v/>
      </c>
      <c r="F1481">
        <f>MIN(E1481*148100,10000)</f>
        <v/>
      </c>
      <c r="G1481">
        <f>MINIFS(CBIC_Late_Fee_Relief_Windows_3B!$O$1481:$O$100,CBIC_Late_Fee_Relief_Windows_3B!$D$1481:$D$100,"&lt;="&amp;B1481,CBIC_Late_Fee_Relief_Windows_3B!$E$1481:$E$100,"&gt;="&amp;B1481,CBIC_Late_Fee_Relief_Windows_3B!$F$1481:$F$100,"&lt;="&amp;C1481,CBIC_Late_Fee_Relief_Windows_3B!$G$1481:$G$100,"&gt;="&amp;C1481)</f>
        <v/>
      </c>
      <c r="H1481">
        <f>INDEX(CBIC_Late_Fee_Relief_Windows_3B!$I$1481:$I$100,MATCH(G1481,CBIC_Late_Fee_Relief_Windows_3B!$O$1481:$O$100,0))</f>
        <v/>
      </c>
      <c r="I1481">
        <f>MIN(F1481,H1481)</f>
        <v/>
      </c>
    </row>
    <row r="1482">
      <c r="A1482">
        <f>TEST_DATA!A1482</f>
        <v/>
      </c>
      <c r="B1482">
        <f>TEST_DATA!B1482</f>
        <v/>
      </c>
      <c r="C1482">
        <f>TEST_DATA!C1482</f>
        <v/>
      </c>
      <c r="D1482">
        <f>TEST_DATA!D1482</f>
        <v/>
      </c>
      <c r="E1482">
        <f>TEST_DATA!E1482</f>
        <v/>
      </c>
      <c r="F1482">
        <f>MIN(E1482*148200,10000)</f>
        <v/>
      </c>
      <c r="G1482">
        <f>MINIFS(CBIC_Late_Fee_Relief_Windows_3B!$O$1482:$O$100,CBIC_Late_Fee_Relief_Windows_3B!$D$1482:$D$100,"&lt;="&amp;B1482,CBIC_Late_Fee_Relief_Windows_3B!$E$1482:$E$100,"&gt;="&amp;B1482,CBIC_Late_Fee_Relief_Windows_3B!$F$1482:$F$100,"&lt;="&amp;C1482,CBIC_Late_Fee_Relief_Windows_3B!$G$1482:$G$100,"&gt;="&amp;C1482)</f>
        <v/>
      </c>
      <c r="H1482">
        <f>INDEX(CBIC_Late_Fee_Relief_Windows_3B!$I$1482:$I$100,MATCH(G1482,CBIC_Late_Fee_Relief_Windows_3B!$O$1482:$O$100,0))</f>
        <v/>
      </c>
      <c r="I1482">
        <f>MIN(F1482,H1482)</f>
        <v/>
      </c>
    </row>
    <row r="1483">
      <c r="A1483">
        <f>TEST_DATA!A1483</f>
        <v/>
      </c>
      <c r="B1483">
        <f>TEST_DATA!B1483</f>
        <v/>
      </c>
      <c r="C1483">
        <f>TEST_DATA!C1483</f>
        <v/>
      </c>
      <c r="D1483">
        <f>TEST_DATA!D1483</f>
        <v/>
      </c>
      <c r="E1483">
        <f>TEST_DATA!E1483</f>
        <v/>
      </c>
      <c r="F1483">
        <f>MIN(E1483*148300,10000)</f>
        <v/>
      </c>
      <c r="G1483">
        <f>MINIFS(CBIC_Late_Fee_Relief_Windows_3B!$O$1483:$O$100,CBIC_Late_Fee_Relief_Windows_3B!$D$1483:$D$100,"&lt;="&amp;B1483,CBIC_Late_Fee_Relief_Windows_3B!$E$1483:$E$100,"&gt;="&amp;B1483,CBIC_Late_Fee_Relief_Windows_3B!$F$1483:$F$100,"&lt;="&amp;C1483,CBIC_Late_Fee_Relief_Windows_3B!$G$1483:$G$100,"&gt;="&amp;C1483)</f>
        <v/>
      </c>
      <c r="H1483">
        <f>INDEX(CBIC_Late_Fee_Relief_Windows_3B!$I$1483:$I$100,MATCH(G1483,CBIC_Late_Fee_Relief_Windows_3B!$O$1483:$O$100,0))</f>
        <v/>
      </c>
      <c r="I1483">
        <f>MIN(F1483,H1483)</f>
        <v/>
      </c>
    </row>
    <row r="1484">
      <c r="A1484">
        <f>TEST_DATA!A1484</f>
        <v/>
      </c>
      <c r="B1484">
        <f>TEST_DATA!B1484</f>
        <v/>
      </c>
      <c r="C1484">
        <f>TEST_DATA!C1484</f>
        <v/>
      </c>
      <c r="D1484">
        <f>TEST_DATA!D1484</f>
        <v/>
      </c>
      <c r="E1484">
        <f>TEST_DATA!E1484</f>
        <v/>
      </c>
      <c r="F1484">
        <f>MIN(E1484*148400,10000)</f>
        <v/>
      </c>
      <c r="G1484">
        <f>MINIFS(CBIC_Late_Fee_Relief_Windows_3B!$O$1484:$O$100,CBIC_Late_Fee_Relief_Windows_3B!$D$1484:$D$100,"&lt;="&amp;B1484,CBIC_Late_Fee_Relief_Windows_3B!$E$1484:$E$100,"&gt;="&amp;B1484,CBIC_Late_Fee_Relief_Windows_3B!$F$1484:$F$100,"&lt;="&amp;C1484,CBIC_Late_Fee_Relief_Windows_3B!$G$1484:$G$100,"&gt;="&amp;C1484)</f>
        <v/>
      </c>
      <c r="H1484">
        <f>INDEX(CBIC_Late_Fee_Relief_Windows_3B!$I$1484:$I$100,MATCH(G1484,CBIC_Late_Fee_Relief_Windows_3B!$O$1484:$O$100,0))</f>
        <v/>
      </c>
      <c r="I1484">
        <f>MIN(F1484,H1484)</f>
        <v/>
      </c>
    </row>
    <row r="1485">
      <c r="A1485">
        <f>TEST_DATA!A1485</f>
        <v/>
      </c>
      <c r="B1485">
        <f>TEST_DATA!B1485</f>
        <v/>
      </c>
      <c r="C1485">
        <f>TEST_DATA!C1485</f>
        <v/>
      </c>
      <c r="D1485">
        <f>TEST_DATA!D1485</f>
        <v/>
      </c>
      <c r="E1485">
        <f>TEST_DATA!E1485</f>
        <v/>
      </c>
      <c r="F1485">
        <f>MIN(E1485*148500,10000)</f>
        <v/>
      </c>
      <c r="G1485">
        <f>MINIFS(CBIC_Late_Fee_Relief_Windows_3B!$O$1485:$O$100,CBIC_Late_Fee_Relief_Windows_3B!$D$1485:$D$100,"&lt;="&amp;B1485,CBIC_Late_Fee_Relief_Windows_3B!$E$1485:$E$100,"&gt;="&amp;B1485,CBIC_Late_Fee_Relief_Windows_3B!$F$1485:$F$100,"&lt;="&amp;C1485,CBIC_Late_Fee_Relief_Windows_3B!$G$1485:$G$100,"&gt;="&amp;C1485)</f>
        <v/>
      </c>
      <c r="H1485">
        <f>INDEX(CBIC_Late_Fee_Relief_Windows_3B!$I$1485:$I$100,MATCH(G1485,CBIC_Late_Fee_Relief_Windows_3B!$O$1485:$O$100,0))</f>
        <v/>
      </c>
      <c r="I1485">
        <f>MIN(F1485,H1485)</f>
        <v/>
      </c>
    </row>
    <row r="1486">
      <c r="A1486">
        <f>TEST_DATA!A1486</f>
        <v/>
      </c>
      <c r="B1486">
        <f>TEST_DATA!B1486</f>
        <v/>
      </c>
      <c r="C1486">
        <f>TEST_DATA!C1486</f>
        <v/>
      </c>
      <c r="D1486">
        <f>TEST_DATA!D1486</f>
        <v/>
      </c>
      <c r="E1486">
        <f>TEST_DATA!E1486</f>
        <v/>
      </c>
      <c r="F1486">
        <f>MIN(E1486*148600,10000)</f>
        <v/>
      </c>
      <c r="G1486">
        <f>MINIFS(CBIC_Late_Fee_Relief_Windows_3B!$O$1486:$O$100,CBIC_Late_Fee_Relief_Windows_3B!$D$1486:$D$100,"&lt;="&amp;B1486,CBIC_Late_Fee_Relief_Windows_3B!$E$1486:$E$100,"&gt;="&amp;B1486,CBIC_Late_Fee_Relief_Windows_3B!$F$1486:$F$100,"&lt;="&amp;C1486,CBIC_Late_Fee_Relief_Windows_3B!$G$1486:$G$100,"&gt;="&amp;C1486)</f>
        <v/>
      </c>
      <c r="H1486">
        <f>INDEX(CBIC_Late_Fee_Relief_Windows_3B!$I$1486:$I$100,MATCH(G1486,CBIC_Late_Fee_Relief_Windows_3B!$O$1486:$O$100,0))</f>
        <v/>
      </c>
      <c r="I1486">
        <f>MIN(F1486,H1486)</f>
        <v/>
      </c>
    </row>
    <row r="1487">
      <c r="A1487">
        <f>TEST_DATA!A1487</f>
        <v/>
      </c>
      <c r="B1487">
        <f>TEST_DATA!B1487</f>
        <v/>
      </c>
      <c r="C1487">
        <f>TEST_DATA!C1487</f>
        <v/>
      </c>
      <c r="D1487">
        <f>TEST_DATA!D1487</f>
        <v/>
      </c>
      <c r="E1487">
        <f>TEST_DATA!E1487</f>
        <v/>
      </c>
      <c r="F1487">
        <f>MIN(E1487*148700,10000)</f>
        <v/>
      </c>
      <c r="G1487">
        <f>MINIFS(CBIC_Late_Fee_Relief_Windows_3B!$O$1487:$O$100,CBIC_Late_Fee_Relief_Windows_3B!$D$1487:$D$100,"&lt;="&amp;B1487,CBIC_Late_Fee_Relief_Windows_3B!$E$1487:$E$100,"&gt;="&amp;B1487,CBIC_Late_Fee_Relief_Windows_3B!$F$1487:$F$100,"&lt;="&amp;C1487,CBIC_Late_Fee_Relief_Windows_3B!$G$1487:$G$100,"&gt;="&amp;C1487)</f>
        <v/>
      </c>
      <c r="H1487">
        <f>INDEX(CBIC_Late_Fee_Relief_Windows_3B!$I$1487:$I$100,MATCH(G1487,CBIC_Late_Fee_Relief_Windows_3B!$O$1487:$O$100,0))</f>
        <v/>
      </c>
      <c r="I1487">
        <f>MIN(F1487,H1487)</f>
        <v/>
      </c>
    </row>
    <row r="1488">
      <c r="A1488">
        <f>TEST_DATA!A1488</f>
        <v/>
      </c>
      <c r="B1488">
        <f>TEST_DATA!B1488</f>
        <v/>
      </c>
      <c r="C1488">
        <f>TEST_DATA!C1488</f>
        <v/>
      </c>
      <c r="D1488">
        <f>TEST_DATA!D1488</f>
        <v/>
      </c>
      <c r="E1488">
        <f>TEST_DATA!E1488</f>
        <v/>
      </c>
      <c r="F1488">
        <f>MIN(E1488*148800,10000)</f>
        <v/>
      </c>
      <c r="G1488">
        <f>MINIFS(CBIC_Late_Fee_Relief_Windows_3B!$O$1488:$O$100,CBIC_Late_Fee_Relief_Windows_3B!$D$1488:$D$100,"&lt;="&amp;B1488,CBIC_Late_Fee_Relief_Windows_3B!$E$1488:$E$100,"&gt;="&amp;B1488,CBIC_Late_Fee_Relief_Windows_3B!$F$1488:$F$100,"&lt;="&amp;C1488,CBIC_Late_Fee_Relief_Windows_3B!$G$1488:$G$100,"&gt;="&amp;C1488)</f>
        <v/>
      </c>
      <c r="H1488">
        <f>INDEX(CBIC_Late_Fee_Relief_Windows_3B!$I$1488:$I$100,MATCH(G1488,CBIC_Late_Fee_Relief_Windows_3B!$O$1488:$O$100,0))</f>
        <v/>
      </c>
      <c r="I1488">
        <f>MIN(F1488,H1488)</f>
        <v/>
      </c>
    </row>
    <row r="1489">
      <c r="A1489">
        <f>TEST_DATA!A1489</f>
        <v/>
      </c>
      <c r="B1489">
        <f>TEST_DATA!B1489</f>
        <v/>
      </c>
      <c r="C1489">
        <f>TEST_DATA!C1489</f>
        <v/>
      </c>
      <c r="D1489">
        <f>TEST_DATA!D1489</f>
        <v/>
      </c>
      <c r="E1489">
        <f>TEST_DATA!E1489</f>
        <v/>
      </c>
      <c r="F1489">
        <f>MIN(E1489*148900,10000)</f>
        <v/>
      </c>
      <c r="G1489">
        <f>MINIFS(CBIC_Late_Fee_Relief_Windows_3B!$O$1489:$O$100,CBIC_Late_Fee_Relief_Windows_3B!$D$1489:$D$100,"&lt;="&amp;B1489,CBIC_Late_Fee_Relief_Windows_3B!$E$1489:$E$100,"&gt;="&amp;B1489,CBIC_Late_Fee_Relief_Windows_3B!$F$1489:$F$100,"&lt;="&amp;C1489,CBIC_Late_Fee_Relief_Windows_3B!$G$1489:$G$100,"&gt;="&amp;C1489)</f>
        <v/>
      </c>
      <c r="H1489">
        <f>INDEX(CBIC_Late_Fee_Relief_Windows_3B!$I$1489:$I$100,MATCH(G1489,CBIC_Late_Fee_Relief_Windows_3B!$O$1489:$O$100,0))</f>
        <v/>
      </c>
      <c r="I1489">
        <f>MIN(F1489,H1489)</f>
        <v/>
      </c>
    </row>
    <row r="1490">
      <c r="A1490">
        <f>TEST_DATA!A1490</f>
        <v/>
      </c>
      <c r="B1490">
        <f>TEST_DATA!B1490</f>
        <v/>
      </c>
      <c r="C1490">
        <f>TEST_DATA!C1490</f>
        <v/>
      </c>
      <c r="D1490">
        <f>TEST_DATA!D1490</f>
        <v/>
      </c>
      <c r="E1490">
        <f>TEST_DATA!E1490</f>
        <v/>
      </c>
      <c r="F1490">
        <f>MIN(E1490*149000,10000)</f>
        <v/>
      </c>
      <c r="G1490">
        <f>MINIFS(CBIC_Late_Fee_Relief_Windows_3B!$O$1490:$O$100,CBIC_Late_Fee_Relief_Windows_3B!$D$1490:$D$100,"&lt;="&amp;B1490,CBIC_Late_Fee_Relief_Windows_3B!$E$1490:$E$100,"&gt;="&amp;B1490,CBIC_Late_Fee_Relief_Windows_3B!$F$1490:$F$100,"&lt;="&amp;C1490,CBIC_Late_Fee_Relief_Windows_3B!$G$1490:$G$100,"&gt;="&amp;C1490)</f>
        <v/>
      </c>
      <c r="H1490">
        <f>INDEX(CBIC_Late_Fee_Relief_Windows_3B!$I$1490:$I$100,MATCH(G1490,CBIC_Late_Fee_Relief_Windows_3B!$O$1490:$O$100,0))</f>
        <v/>
      </c>
      <c r="I1490">
        <f>MIN(F1490,H1490)</f>
        <v/>
      </c>
    </row>
    <row r="1491">
      <c r="A1491">
        <f>TEST_DATA!A1491</f>
        <v/>
      </c>
      <c r="B1491">
        <f>TEST_DATA!B1491</f>
        <v/>
      </c>
      <c r="C1491">
        <f>TEST_DATA!C1491</f>
        <v/>
      </c>
      <c r="D1491">
        <f>TEST_DATA!D1491</f>
        <v/>
      </c>
      <c r="E1491">
        <f>TEST_DATA!E1491</f>
        <v/>
      </c>
      <c r="F1491">
        <f>MIN(E1491*149100,10000)</f>
        <v/>
      </c>
      <c r="G1491">
        <f>MINIFS(CBIC_Late_Fee_Relief_Windows_3B!$O$1491:$O$100,CBIC_Late_Fee_Relief_Windows_3B!$D$1491:$D$100,"&lt;="&amp;B1491,CBIC_Late_Fee_Relief_Windows_3B!$E$1491:$E$100,"&gt;="&amp;B1491,CBIC_Late_Fee_Relief_Windows_3B!$F$1491:$F$100,"&lt;="&amp;C1491,CBIC_Late_Fee_Relief_Windows_3B!$G$1491:$G$100,"&gt;="&amp;C1491)</f>
        <v/>
      </c>
      <c r="H1491">
        <f>INDEX(CBIC_Late_Fee_Relief_Windows_3B!$I$1491:$I$100,MATCH(G1491,CBIC_Late_Fee_Relief_Windows_3B!$O$1491:$O$100,0))</f>
        <v/>
      </c>
      <c r="I1491">
        <f>MIN(F1491,H1491)</f>
        <v/>
      </c>
    </row>
    <row r="1492">
      <c r="A1492">
        <f>TEST_DATA!A1492</f>
        <v/>
      </c>
      <c r="B1492">
        <f>TEST_DATA!B1492</f>
        <v/>
      </c>
      <c r="C1492">
        <f>TEST_DATA!C1492</f>
        <v/>
      </c>
      <c r="D1492">
        <f>TEST_DATA!D1492</f>
        <v/>
      </c>
      <c r="E1492">
        <f>TEST_DATA!E1492</f>
        <v/>
      </c>
      <c r="F1492">
        <f>MIN(E1492*149200,10000)</f>
        <v/>
      </c>
      <c r="G1492">
        <f>MINIFS(CBIC_Late_Fee_Relief_Windows_3B!$O$1492:$O$100,CBIC_Late_Fee_Relief_Windows_3B!$D$1492:$D$100,"&lt;="&amp;B1492,CBIC_Late_Fee_Relief_Windows_3B!$E$1492:$E$100,"&gt;="&amp;B1492,CBIC_Late_Fee_Relief_Windows_3B!$F$1492:$F$100,"&lt;="&amp;C1492,CBIC_Late_Fee_Relief_Windows_3B!$G$1492:$G$100,"&gt;="&amp;C1492)</f>
        <v/>
      </c>
      <c r="H1492">
        <f>INDEX(CBIC_Late_Fee_Relief_Windows_3B!$I$1492:$I$100,MATCH(G1492,CBIC_Late_Fee_Relief_Windows_3B!$O$1492:$O$100,0))</f>
        <v/>
      </c>
      <c r="I1492">
        <f>MIN(F1492,H1492)</f>
        <v/>
      </c>
    </row>
    <row r="1493">
      <c r="A1493">
        <f>TEST_DATA!A1493</f>
        <v/>
      </c>
      <c r="B1493">
        <f>TEST_DATA!B1493</f>
        <v/>
      </c>
      <c r="C1493">
        <f>TEST_DATA!C1493</f>
        <v/>
      </c>
      <c r="D1493">
        <f>TEST_DATA!D1493</f>
        <v/>
      </c>
      <c r="E1493">
        <f>TEST_DATA!E1493</f>
        <v/>
      </c>
      <c r="F1493">
        <f>MIN(E1493*149300,10000)</f>
        <v/>
      </c>
      <c r="G1493">
        <f>MINIFS(CBIC_Late_Fee_Relief_Windows_3B!$O$1493:$O$100,CBIC_Late_Fee_Relief_Windows_3B!$D$1493:$D$100,"&lt;="&amp;B1493,CBIC_Late_Fee_Relief_Windows_3B!$E$1493:$E$100,"&gt;="&amp;B1493,CBIC_Late_Fee_Relief_Windows_3B!$F$1493:$F$100,"&lt;="&amp;C1493,CBIC_Late_Fee_Relief_Windows_3B!$G$1493:$G$100,"&gt;="&amp;C1493)</f>
        <v/>
      </c>
      <c r="H1493">
        <f>INDEX(CBIC_Late_Fee_Relief_Windows_3B!$I$1493:$I$100,MATCH(G1493,CBIC_Late_Fee_Relief_Windows_3B!$O$1493:$O$100,0))</f>
        <v/>
      </c>
      <c r="I1493">
        <f>MIN(F1493,H1493)</f>
        <v/>
      </c>
    </row>
    <row r="1494">
      <c r="A1494">
        <f>TEST_DATA!A1494</f>
        <v/>
      </c>
      <c r="B1494">
        <f>TEST_DATA!B1494</f>
        <v/>
      </c>
      <c r="C1494">
        <f>TEST_DATA!C1494</f>
        <v/>
      </c>
      <c r="D1494">
        <f>TEST_DATA!D1494</f>
        <v/>
      </c>
      <c r="E1494">
        <f>TEST_DATA!E1494</f>
        <v/>
      </c>
      <c r="F1494">
        <f>MIN(E1494*149400,10000)</f>
        <v/>
      </c>
      <c r="G1494">
        <f>MINIFS(CBIC_Late_Fee_Relief_Windows_3B!$O$1494:$O$100,CBIC_Late_Fee_Relief_Windows_3B!$D$1494:$D$100,"&lt;="&amp;B1494,CBIC_Late_Fee_Relief_Windows_3B!$E$1494:$E$100,"&gt;="&amp;B1494,CBIC_Late_Fee_Relief_Windows_3B!$F$1494:$F$100,"&lt;="&amp;C1494,CBIC_Late_Fee_Relief_Windows_3B!$G$1494:$G$100,"&gt;="&amp;C1494)</f>
        <v/>
      </c>
      <c r="H1494">
        <f>INDEX(CBIC_Late_Fee_Relief_Windows_3B!$I$1494:$I$100,MATCH(G1494,CBIC_Late_Fee_Relief_Windows_3B!$O$1494:$O$100,0))</f>
        <v/>
      </c>
      <c r="I1494">
        <f>MIN(F1494,H1494)</f>
        <v/>
      </c>
    </row>
    <row r="1495">
      <c r="A1495">
        <f>TEST_DATA!A1495</f>
        <v/>
      </c>
      <c r="B1495">
        <f>TEST_DATA!B1495</f>
        <v/>
      </c>
      <c r="C1495">
        <f>TEST_DATA!C1495</f>
        <v/>
      </c>
      <c r="D1495">
        <f>TEST_DATA!D1495</f>
        <v/>
      </c>
      <c r="E1495">
        <f>TEST_DATA!E1495</f>
        <v/>
      </c>
      <c r="F1495">
        <f>MIN(E1495*149500,10000)</f>
        <v/>
      </c>
      <c r="G1495">
        <f>MINIFS(CBIC_Late_Fee_Relief_Windows_3B!$O$1495:$O$100,CBIC_Late_Fee_Relief_Windows_3B!$D$1495:$D$100,"&lt;="&amp;B1495,CBIC_Late_Fee_Relief_Windows_3B!$E$1495:$E$100,"&gt;="&amp;B1495,CBIC_Late_Fee_Relief_Windows_3B!$F$1495:$F$100,"&lt;="&amp;C1495,CBIC_Late_Fee_Relief_Windows_3B!$G$1495:$G$100,"&gt;="&amp;C1495)</f>
        <v/>
      </c>
      <c r="H1495">
        <f>INDEX(CBIC_Late_Fee_Relief_Windows_3B!$I$1495:$I$100,MATCH(G1495,CBIC_Late_Fee_Relief_Windows_3B!$O$1495:$O$100,0))</f>
        <v/>
      </c>
      <c r="I1495">
        <f>MIN(F1495,H1495)</f>
        <v/>
      </c>
    </row>
    <row r="1496">
      <c r="A1496">
        <f>TEST_DATA!A1496</f>
        <v/>
      </c>
      <c r="B1496">
        <f>TEST_DATA!B1496</f>
        <v/>
      </c>
      <c r="C1496">
        <f>TEST_DATA!C1496</f>
        <v/>
      </c>
      <c r="D1496">
        <f>TEST_DATA!D1496</f>
        <v/>
      </c>
      <c r="E1496">
        <f>TEST_DATA!E1496</f>
        <v/>
      </c>
      <c r="F1496">
        <f>MIN(E1496*149600,10000)</f>
        <v/>
      </c>
      <c r="G1496">
        <f>MINIFS(CBIC_Late_Fee_Relief_Windows_3B!$O$1496:$O$100,CBIC_Late_Fee_Relief_Windows_3B!$D$1496:$D$100,"&lt;="&amp;B1496,CBIC_Late_Fee_Relief_Windows_3B!$E$1496:$E$100,"&gt;="&amp;B1496,CBIC_Late_Fee_Relief_Windows_3B!$F$1496:$F$100,"&lt;="&amp;C1496,CBIC_Late_Fee_Relief_Windows_3B!$G$1496:$G$100,"&gt;="&amp;C1496)</f>
        <v/>
      </c>
      <c r="H1496">
        <f>INDEX(CBIC_Late_Fee_Relief_Windows_3B!$I$1496:$I$100,MATCH(G1496,CBIC_Late_Fee_Relief_Windows_3B!$O$1496:$O$100,0))</f>
        <v/>
      </c>
      <c r="I1496">
        <f>MIN(F1496,H1496)</f>
        <v/>
      </c>
    </row>
    <row r="1497">
      <c r="A1497">
        <f>TEST_DATA!A1497</f>
        <v/>
      </c>
      <c r="B1497">
        <f>TEST_DATA!B1497</f>
        <v/>
      </c>
      <c r="C1497">
        <f>TEST_DATA!C1497</f>
        <v/>
      </c>
      <c r="D1497">
        <f>TEST_DATA!D1497</f>
        <v/>
      </c>
      <c r="E1497">
        <f>TEST_DATA!E1497</f>
        <v/>
      </c>
      <c r="F1497">
        <f>MIN(E1497*149700,10000)</f>
        <v/>
      </c>
      <c r="G1497">
        <f>MINIFS(CBIC_Late_Fee_Relief_Windows_3B!$O$1497:$O$100,CBIC_Late_Fee_Relief_Windows_3B!$D$1497:$D$100,"&lt;="&amp;B1497,CBIC_Late_Fee_Relief_Windows_3B!$E$1497:$E$100,"&gt;="&amp;B1497,CBIC_Late_Fee_Relief_Windows_3B!$F$1497:$F$100,"&lt;="&amp;C1497,CBIC_Late_Fee_Relief_Windows_3B!$G$1497:$G$100,"&gt;="&amp;C1497)</f>
        <v/>
      </c>
      <c r="H1497">
        <f>INDEX(CBIC_Late_Fee_Relief_Windows_3B!$I$1497:$I$100,MATCH(G1497,CBIC_Late_Fee_Relief_Windows_3B!$O$1497:$O$100,0))</f>
        <v/>
      </c>
      <c r="I1497">
        <f>MIN(F1497,H1497)</f>
        <v/>
      </c>
    </row>
    <row r="1498">
      <c r="A1498">
        <f>TEST_DATA!A1498</f>
        <v/>
      </c>
      <c r="B1498">
        <f>TEST_DATA!B1498</f>
        <v/>
      </c>
      <c r="C1498">
        <f>TEST_DATA!C1498</f>
        <v/>
      </c>
      <c r="D1498">
        <f>TEST_DATA!D1498</f>
        <v/>
      </c>
      <c r="E1498">
        <f>TEST_DATA!E1498</f>
        <v/>
      </c>
      <c r="F1498">
        <f>MIN(E1498*149800,10000)</f>
        <v/>
      </c>
      <c r="G1498">
        <f>MINIFS(CBIC_Late_Fee_Relief_Windows_3B!$O$1498:$O$100,CBIC_Late_Fee_Relief_Windows_3B!$D$1498:$D$100,"&lt;="&amp;B1498,CBIC_Late_Fee_Relief_Windows_3B!$E$1498:$E$100,"&gt;="&amp;B1498,CBIC_Late_Fee_Relief_Windows_3B!$F$1498:$F$100,"&lt;="&amp;C1498,CBIC_Late_Fee_Relief_Windows_3B!$G$1498:$G$100,"&gt;="&amp;C1498)</f>
        <v/>
      </c>
      <c r="H1498">
        <f>INDEX(CBIC_Late_Fee_Relief_Windows_3B!$I$1498:$I$100,MATCH(G1498,CBIC_Late_Fee_Relief_Windows_3B!$O$1498:$O$100,0))</f>
        <v/>
      </c>
      <c r="I1498">
        <f>MIN(F1498,H1498)</f>
        <v/>
      </c>
    </row>
    <row r="1499">
      <c r="A1499">
        <f>TEST_DATA!A1499</f>
        <v/>
      </c>
      <c r="B1499">
        <f>TEST_DATA!B1499</f>
        <v/>
      </c>
      <c r="C1499">
        <f>TEST_DATA!C1499</f>
        <v/>
      </c>
      <c r="D1499">
        <f>TEST_DATA!D1499</f>
        <v/>
      </c>
      <c r="E1499">
        <f>TEST_DATA!E1499</f>
        <v/>
      </c>
      <c r="F1499">
        <f>MIN(E1499*149900,10000)</f>
        <v/>
      </c>
      <c r="G1499">
        <f>MINIFS(CBIC_Late_Fee_Relief_Windows_3B!$O$1499:$O$100,CBIC_Late_Fee_Relief_Windows_3B!$D$1499:$D$100,"&lt;="&amp;B1499,CBIC_Late_Fee_Relief_Windows_3B!$E$1499:$E$100,"&gt;="&amp;B1499,CBIC_Late_Fee_Relief_Windows_3B!$F$1499:$F$100,"&lt;="&amp;C1499,CBIC_Late_Fee_Relief_Windows_3B!$G$1499:$G$100,"&gt;="&amp;C1499)</f>
        <v/>
      </c>
      <c r="H1499">
        <f>INDEX(CBIC_Late_Fee_Relief_Windows_3B!$I$1499:$I$100,MATCH(G1499,CBIC_Late_Fee_Relief_Windows_3B!$O$1499:$O$100,0))</f>
        <v/>
      </c>
      <c r="I1499">
        <f>MIN(F1499,H1499)</f>
        <v/>
      </c>
    </row>
    <row r="1500">
      <c r="A1500">
        <f>TEST_DATA!A1500</f>
        <v/>
      </c>
      <c r="B1500">
        <f>TEST_DATA!B1500</f>
        <v/>
      </c>
      <c r="C1500">
        <f>TEST_DATA!C1500</f>
        <v/>
      </c>
      <c r="D1500">
        <f>TEST_DATA!D1500</f>
        <v/>
      </c>
      <c r="E1500">
        <f>TEST_DATA!E1500</f>
        <v/>
      </c>
      <c r="F1500">
        <f>MIN(E1500*150000,10000)</f>
        <v/>
      </c>
      <c r="G1500">
        <f>MINIFS(CBIC_Late_Fee_Relief_Windows_3B!$O$1500:$O$100,CBIC_Late_Fee_Relief_Windows_3B!$D$1500:$D$100,"&lt;="&amp;B1500,CBIC_Late_Fee_Relief_Windows_3B!$E$1500:$E$100,"&gt;="&amp;B1500,CBIC_Late_Fee_Relief_Windows_3B!$F$1500:$F$100,"&lt;="&amp;C1500,CBIC_Late_Fee_Relief_Windows_3B!$G$1500:$G$100,"&gt;="&amp;C1500)</f>
        <v/>
      </c>
      <c r="H1500">
        <f>INDEX(CBIC_Late_Fee_Relief_Windows_3B!$I$1500:$I$100,MATCH(G1500,CBIC_Late_Fee_Relief_Windows_3B!$O$1500:$O$100,0))</f>
        <v/>
      </c>
      <c r="I1500">
        <f>MIN(F1500,H1500)</f>
        <v/>
      </c>
    </row>
    <row r="1501">
      <c r="A1501">
        <f>TEST_DATA!A1501</f>
        <v/>
      </c>
      <c r="B1501">
        <f>TEST_DATA!B1501</f>
        <v/>
      </c>
      <c r="C1501">
        <f>TEST_DATA!C1501</f>
        <v/>
      </c>
      <c r="D1501">
        <f>TEST_DATA!D1501</f>
        <v/>
      </c>
      <c r="E1501">
        <f>TEST_DATA!E1501</f>
        <v/>
      </c>
      <c r="F1501">
        <f>MIN(E1501*150100,10000)</f>
        <v/>
      </c>
      <c r="G1501">
        <f>MINIFS(CBIC_Late_Fee_Relief_Windows_3B!$O$1501:$O$100,CBIC_Late_Fee_Relief_Windows_3B!$D$1501:$D$100,"&lt;="&amp;B1501,CBIC_Late_Fee_Relief_Windows_3B!$E$1501:$E$100,"&gt;="&amp;B1501,CBIC_Late_Fee_Relief_Windows_3B!$F$1501:$F$100,"&lt;="&amp;C1501,CBIC_Late_Fee_Relief_Windows_3B!$G$1501:$G$100,"&gt;="&amp;C1501)</f>
        <v/>
      </c>
      <c r="H1501">
        <f>INDEX(CBIC_Late_Fee_Relief_Windows_3B!$I$1501:$I$100,MATCH(G1501,CBIC_Late_Fee_Relief_Windows_3B!$O$1501:$O$100,0))</f>
        <v/>
      </c>
      <c r="I1501">
        <f>MIN(F1501,H1501)</f>
        <v/>
      </c>
    </row>
    <row r="1502">
      <c r="A1502">
        <f>TEST_DATA!A1502</f>
        <v/>
      </c>
      <c r="B1502">
        <f>TEST_DATA!B1502</f>
        <v/>
      </c>
      <c r="C1502">
        <f>TEST_DATA!C1502</f>
        <v/>
      </c>
      <c r="D1502">
        <f>TEST_DATA!D1502</f>
        <v/>
      </c>
      <c r="E1502">
        <f>TEST_DATA!E1502</f>
        <v/>
      </c>
      <c r="F1502">
        <f>MIN(E1502*150200,10000)</f>
        <v/>
      </c>
      <c r="G1502">
        <f>MINIFS(CBIC_Late_Fee_Relief_Windows_3B!$O$1502:$O$100,CBIC_Late_Fee_Relief_Windows_3B!$D$1502:$D$100,"&lt;="&amp;B1502,CBIC_Late_Fee_Relief_Windows_3B!$E$1502:$E$100,"&gt;="&amp;B1502,CBIC_Late_Fee_Relief_Windows_3B!$F$1502:$F$100,"&lt;="&amp;C1502,CBIC_Late_Fee_Relief_Windows_3B!$G$1502:$G$100,"&gt;="&amp;C1502)</f>
        <v/>
      </c>
      <c r="H1502">
        <f>INDEX(CBIC_Late_Fee_Relief_Windows_3B!$I$1502:$I$100,MATCH(G1502,CBIC_Late_Fee_Relief_Windows_3B!$O$1502:$O$100,0))</f>
        <v/>
      </c>
      <c r="I1502">
        <f>MIN(F1502,H1502)</f>
        <v/>
      </c>
    </row>
    <row r="1503">
      <c r="A1503">
        <f>TEST_DATA!A1503</f>
        <v/>
      </c>
      <c r="B1503">
        <f>TEST_DATA!B1503</f>
        <v/>
      </c>
      <c r="C1503">
        <f>TEST_DATA!C1503</f>
        <v/>
      </c>
      <c r="D1503">
        <f>TEST_DATA!D1503</f>
        <v/>
      </c>
      <c r="E1503">
        <f>TEST_DATA!E1503</f>
        <v/>
      </c>
      <c r="F1503">
        <f>MIN(E1503*150300,10000)</f>
        <v/>
      </c>
      <c r="G1503">
        <f>MINIFS(CBIC_Late_Fee_Relief_Windows_3B!$O$1503:$O$100,CBIC_Late_Fee_Relief_Windows_3B!$D$1503:$D$100,"&lt;="&amp;B1503,CBIC_Late_Fee_Relief_Windows_3B!$E$1503:$E$100,"&gt;="&amp;B1503,CBIC_Late_Fee_Relief_Windows_3B!$F$1503:$F$100,"&lt;="&amp;C1503,CBIC_Late_Fee_Relief_Windows_3B!$G$1503:$G$100,"&gt;="&amp;C1503)</f>
        <v/>
      </c>
      <c r="H1503">
        <f>INDEX(CBIC_Late_Fee_Relief_Windows_3B!$I$1503:$I$100,MATCH(G1503,CBIC_Late_Fee_Relief_Windows_3B!$O$1503:$O$100,0))</f>
        <v/>
      </c>
      <c r="I1503">
        <f>MIN(F1503,H1503)</f>
        <v/>
      </c>
    </row>
    <row r="1504">
      <c r="A1504">
        <f>TEST_DATA!A1504</f>
        <v/>
      </c>
      <c r="B1504">
        <f>TEST_DATA!B1504</f>
        <v/>
      </c>
      <c r="C1504">
        <f>TEST_DATA!C1504</f>
        <v/>
      </c>
      <c r="D1504">
        <f>TEST_DATA!D1504</f>
        <v/>
      </c>
      <c r="E1504">
        <f>TEST_DATA!E1504</f>
        <v/>
      </c>
      <c r="F1504">
        <f>MIN(E1504*150400,10000)</f>
        <v/>
      </c>
      <c r="G1504">
        <f>MINIFS(CBIC_Late_Fee_Relief_Windows_3B!$O$1504:$O$100,CBIC_Late_Fee_Relief_Windows_3B!$D$1504:$D$100,"&lt;="&amp;B1504,CBIC_Late_Fee_Relief_Windows_3B!$E$1504:$E$100,"&gt;="&amp;B1504,CBIC_Late_Fee_Relief_Windows_3B!$F$1504:$F$100,"&lt;="&amp;C1504,CBIC_Late_Fee_Relief_Windows_3B!$G$1504:$G$100,"&gt;="&amp;C1504)</f>
        <v/>
      </c>
      <c r="H1504">
        <f>INDEX(CBIC_Late_Fee_Relief_Windows_3B!$I$1504:$I$100,MATCH(G1504,CBIC_Late_Fee_Relief_Windows_3B!$O$1504:$O$100,0))</f>
        <v/>
      </c>
      <c r="I1504">
        <f>MIN(F1504,H1504)</f>
        <v/>
      </c>
    </row>
    <row r="1505">
      <c r="A1505">
        <f>TEST_DATA!A1505</f>
        <v/>
      </c>
      <c r="B1505">
        <f>TEST_DATA!B1505</f>
        <v/>
      </c>
      <c r="C1505">
        <f>TEST_DATA!C1505</f>
        <v/>
      </c>
      <c r="D1505">
        <f>TEST_DATA!D1505</f>
        <v/>
      </c>
      <c r="E1505">
        <f>TEST_DATA!E1505</f>
        <v/>
      </c>
      <c r="F1505">
        <f>MIN(E1505*150500,10000)</f>
        <v/>
      </c>
      <c r="G1505">
        <f>MINIFS(CBIC_Late_Fee_Relief_Windows_3B!$O$1505:$O$100,CBIC_Late_Fee_Relief_Windows_3B!$D$1505:$D$100,"&lt;="&amp;B1505,CBIC_Late_Fee_Relief_Windows_3B!$E$1505:$E$100,"&gt;="&amp;B1505,CBIC_Late_Fee_Relief_Windows_3B!$F$1505:$F$100,"&lt;="&amp;C1505,CBIC_Late_Fee_Relief_Windows_3B!$G$1505:$G$100,"&gt;="&amp;C1505)</f>
        <v/>
      </c>
      <c r="H1505">
        <f>INDEX(CBIC_Late_Fee_Relief_Windows_3B!$I$1505:$I$100,MATCH(G1505,CBIC_Late_Fee_Relief_Windows_3B!$O$1505:$O$100,0))</f>
        <v/>
      </c>
      <c r="I1505">
        <f>MIN(F1505,H1505)</f>
        <v/>
      </c>
    </row>
    <row r="1506">
      <c r="A1506">
        <f>TEST_DATA!A1506</f>
        <v/>
      </c>
      <c r="B1506">
        <f>TEST_DATA!B1506</f>
        <v/>
      </c>
      <c r="C1506">
        <f>TEST_DATA!C1506</f>
        <v/>
      </c>
      <c r="D1506">
        <f>TEST_DATA!D1506</f>
        <v/>
      </c>
      <c r="E1506">
        <f>TEST_DATA!E1506</f>
        <v/>
      </c>
      <c r="F1506">
        <f>MIN(E1506*150600,10000)</f>
        <v/>
      </c>
      <c r="G1506">
        <f>MINIFS(CBIC_Late_Fee_Relief_Windows_3B!$O$1506:$O$100,CBIC_Late_Fee_Relief_Windows_3B!$D$1506:$D$100,"&lt;="&amp;B1506,CBIC_Late_Fee_Relief_Windows_3B!$E$1506:$E$100,"&gt;="&amp;B1506,CBIC_Late_Fee_Relief_Windows_3B!$F$1506:$F$100,"&lt;="&amp;C1506,CBIC_Late_Fee_Relief_Windows_3B!$G$1506:$G$100,"&gt;="&amp;C1506)</f>
        <v/>
      </c>
      <c r="H1506">
        <f>INDEX(CBIC_Late_Fee_Relief_Windows_3B!$I$1506:$I$100,MATCH(G1506,CBIC_Late_Fee_Relief_Windows_3B!$O$1506:$O$100,0))</f>
        <v/>
      </c>
      <c r="I1506">
        <f>MIN(F1506,H1506)</f>
        <v/>
      </c>
    </row>
    <row r="1507">
      <c r="A1507">
        <f>TEST_DATA!A1507</f>
        <v/>
      </c>
      <c r="B1507">
        <f>TEST_DATA!B1507</f>
        <v/>
      </c>
      <c r="C1507">
        <f>TEST_DATA!C1507</f>
        <v/>
      </c>
      <c r="D1507">
        <f>TEST_DATA!D1507</f>
        <v/>
      </c>
      <c r="E1507">
        <f>TEST_DATA!E1507</f>
        <v/>
      </c>
      <c r="F1507">
        <f>MIN(E1507*150700,10000)</f>
        <v/>
      </c>
      <c r="G1507">
        <f>MINIFS(CBIC_Late_Fee_Relief_Windows_3B!$O$1507:$O$100,CBIC_Late_Fee_Relief_Windows_3B!$D$1507:$D$100,"&lt;="&amp;B1507,CBIC_Late_Fee_Relief_Windows_3B!$E$1507:$E$100,"&gt;="&amp;B1507,CBIC_Late_Fee_Relief_Windows_3B!$F$1507:$F$100,"&lt;="&amp;C1507,CBIC_Late_Fee_Relief_Windows_3B!$G$1507:$G$100,"&gt;="&amp;C1507)</f>
        <v/>
      </c>
      <c r="H1507">
        <f>INDEX(CBIC_Late_Fee_Relief_Windows_3B!$I$1507:$I$100,MATCH(G1507,CBIC_Late_Fee_Relief_Windows_3B!$O$1507:$O$100,0))</f>
        <v/>
      </c>
      <c r="I1507">
        <f>MIN(F1507,H1507)</f>
        <v/>
      </c>
    </row>
    <row r="1508">
      <c r="A1508">
        <f>TEST_DATA!A1508</f>
        <v/>
      </c>
      <c r="B1508">
        <f>TEST_DATA!B1508</f>
        <v/>
      </c>
      <c r="C1508">
        <f>TEST_DATA!C1508</f>
        <v/>
      </c>
      <c r="D1508">
        <f>TEST_DATA!D1508</f>
        <v/>
      </c>
      <c r="E1508">
        <f>TEST_DATA!E1508</f>
        <v/>
      </c>
      <c r="F1508">
        <f>MIN(E1508*150800,10000)</f>
        <v/>
      </c>
      <c r="G1508">
        <f>MINIFS(CBIC_Late_Fee_Relief_Windows_3B!$O$1508:$O$100,CBIC_Late_Fee_Relief_Windows_3B!$D$1508:$D$100,"&lt;="&amp;B1508,CBIC_Late_Fee_Relief_Windows_3B!$E$1508:$E$100,"&gt;="&amp;B1508,CBIC_Late_Fee_Relief_Windows_3B!$F$1508:$F$100,"&lt;="&amp;C1508,CBIC_Late_Fee_Relief_Windows_3B!$G$1508:$G$100,"&gt;="&amp;C1508)</f>
        <v/>
      </c>
      <c r="H1508">
        <f>INDEX(CBIC_Late_Fee_Relief_Windows_3B!$I$1508:$I$100,MATCH(G1508,CBIC_Late_Fee_Relief_Windows_3B!$O$1508:$O$100,0))</f>
        <v/>
      </c>
      <c r="I1508">
        <f>MIN(F1508,H1508)</f>
        <v/>
      </c>
    </row>
    <row r="1509">
      <c r="A1509">
        <f>TEST_DATA!A1509</f>
        <v/>
      </c>
      <c r="B1509">
        <f>TEST_DATA!B1509</f>
        <v/>
      </c>
      <c r="C1509">
        <f>TEST_DATA!C1509</f>
        <v/>
      </c>
      <c r="D1509">
        <f>TEST_DATA!D1509</f>
        <v/>
      </c>
      <c r="E1509">
        <f>TEST_DATA!E1509</f>
        <v/>
      </c>
      <c r="F1509">
        <f>MIN(E1509*150900,10000)</f>
        <v/>
      </c>
      <c r="G1509">
        <f>MINIFS(CBIC_Late_Fee_Relief_Windows_3B!$O$1509:$O$100,CBIC_Late_Fee_Relief_Windows_3B!$D$1509:$D$100,"&lt;="&amp;B1509,CBIC_Late_Fee_Relief_Windows_3B!$E$1509:$E$100,"&gt;="&amp;B1509,CBIC_Late_Fee_Relief_Windows_3B!$F$1509:$F$100,"&lt;="&amp;C1509,CBIC_Late_Fee_Relief_Windows_3B!$G$1509:$G$100,"&gt;="&amp;C1509)</f>
        <v/>
      </c>
      <c r="H1509">
        <f>INDEX(CBIC_Late_Fee_Relief_Windows_3B!$I$1509:$I$100,MATCH(G1509,CBIC_Late_Fee_Relief_Windows_3B!$O$1509:$O$100,0))</f>
        <v/>
      </c>
      <c r="I1509">
        <f>MIN(F1509,H1509)</f>
        <v/>
      </c>
    </row>
    <row r="1510">
      <c r="A1510">
        <f>TEST_DATA!A1510</f>
        <v/>
      </c>
      <c r="B1510">
        <f>TEST_DATA!B1510</f>
        <v/>
      </c>
      <c r="C1510">
        <f>TEST_DATA!C1510</f>
        <v/>
      </c>
      <c r="D1510">
        <f>TEST_DATA!D1510</f>
        <v/>
      </c>
      <c r="E1510">
        <f>TEST_DATA!E1510</f>
        <v/>
      </c>
      <c r="F1510">
        <f>MIN(E1510*151000,10000)</f>
        <v/>
      </c>
      <c r="G1510">
        <f>MINIFS(CBIC_Late_Fee_Relief_Windows_3B!$O$1510:$O$100,CBIC_Late_Fee_Relief_Windows_3B!$D$1510:$D$100,"&lt;="&amp;B1510,CBIC_Late_Fee_Relief_Windows_3B!$E$1510:$E$100,"&gt;="&amp;B1510,CBIC_Late_Fee_Relief_Windows_3B!$F$1510:$F$100,"&lt;="&amp;C1510,CBIC_Late_Fee_Relief_Windows_3B!$G$1510:$G$100,"&gt;="&amp;C1510)</f>
        <v/>
      </c>
      <c r="H1510">
        <f>INDEX(CBIC_Late_Fee_Relief_Windows_3B!$I$1510:$I$100,MATCH(G1510,CBIC_Late_Fee_Relief_Windows_3B!$O$1510:$O$100,0))</f>
        <v/>
      </c>
      <c r="I1510">
        <f>MIN(F1510,H1510)</f>
        <v/>
      </c>
    </row>
    <row r="1511">
      <c r="A1511">
        <f>TEST_DATA!A1511</f>
        <v/>
      </c>
      <c r="B1511">
        <f>TEST_DATA!B1511</f>
        <v/>
      </c>
      <c r="C1511">
        <f>TEST_DATA!C1511</f>
        <v/>
      </c>
      <c r="D1511">
        <f>TEST_DATA!D1511</f>
        <v/>
      </c>
      <c r="E1511">
        <f>TEST_DATA!E1511</f>
        <v/>
      </c>
      <c r="F1511">
        <f>MIN(E1511*151100,10000)</f>
        <v/>
      </c>
      <c r="G1511">
        <f>MINIFS(CBIC_Late_Fee_Relief_Windows_3B!$O$1511:$O$100,CBIC_Late_Fee_Relief_Windows_3B!$D$1511:$D$100,"&lt;="&amp;B1511,CBIC_Late_Fee_Relief_Windows_3B!$E$1511:$E$100,"&gt;="&amp;B1511,CBIC_Late_Fee_Relief_Windows_3B!$F$1511:$F$100,"&lt;="&amp;C1511,CBIC_Late_Fee_Relief_Windows_3B!$G$1511:$G$100,"&gt;="&amp;C1511)</f>
        <v/>
      </c>
      <c r="H1511">
        <f>INDEX(CBIC_Late_Fee_Relief_Windows_3B!$I$1511:$I$100,MATCH(G1511,CBIC_Late_Fee_Relief_Windows_3B!$O$1511:$O$100,0))</f>
        <v/>
      </c>
      <c r="I1511">
        <f>MIN(F1511,H1511)</f>
        <v/>
      </c>
    </row>
    <row r="1512">
      <c r="A1512">
        <f>TEST_DATA!A1512</f>
        <v/>
      </c>
      <c r="B1512">
        <f>TEST_DATA!B1512</f>
        <v/>
      </c>
      <c r="C1512">
        <f>TEST_DATA!C1512</f>
        <v/>
      </c>
      <c r="D1512">
        <f>TEST_DATA!D1512</f>
        <v/>
      </c>
      <c r="E1512">
        <f>TEST_DATA!E1512</f>
        <v/>
      </c>
      <c r="F1512">
        <f>MIN(E1512*151200,10000)</f>
        <v/>
      </c>
      <c r="G1512">
        <f>MINIFS(CBIC_Late_Fee_Relief_Windows_3B!$O$1512:$O$100,CBIC_Late_Fee_Relief_Windows_3B!$D$1512:$D$100,"&lt;="&amp;B1512,CBIC_Late_Fee_Relief_Windows_3B!$E$1512:$E$100,"&gt;="&amp;B1512,CBIC_Late_Fee_Relief_Windows_3B!$F$1512:$F$100,"&lt;="&amp;C1512,CBIC_Late_Fee_Relief_Windows_3B!$G$1512:$G$100,"&gt;="&amp;C1512)</f>
        <v/>
      </c>
      <c r="H1512">
        <f>INDEX(CBIC_Late_Fee_Relief_Windows_3B!$I$1512:$I$100,MATCH(G1512,CBIC_Late_Fee_Relief_Windows_3B!$O$1512:$O$100,0))</f>
        <v/>
      </c>
      <c r="I1512">
        <f>MIN(F1512,H1512)</f>
        <v/>
      </c>
    </row>
    <row r="1513">
      <c r="A1513">
        <f>TEST_DATA!A1513</f>
        <v/>
      </c>
      <c r="B1513">
        <f>TEST_DATA!B1513</f>
        <v/>
      </c>
      <c r="C1513">
        <f>TEST_DATA!C1513</f>
        <v/>
      </c>
      <c r="D1513">
        <f>TEST_DATA!D1513</f>
        <v/>
      </c>
      <c r="E1513">
        <f>TEST_DATA!E1513</f>
        <v/>
      </c>
      <c r="F1513">
        <f>MIN(E1513*151300,10000)</f>
        <v/>
      </c>
      <c r="G1513">
        <f>MINIFS(CBIC_Late_Fee_Relief_Windows_3B!$O$1513:$O$100,CBIC_Late_Fee_Relief_Windows_3B!$D$1513:$D$100,"&lt;="&amp;B1513,CBIC_Late_Fee_Relief_Windows_3B!$E$1513:$E$100,"&gt;="&amp;B1513,CBIC_Late_Fee_Relief_Windows_3B!$F$1513:$F$100,"&lt;="&amp;C1513,CBIC_Late_Fee_Relief_Windows_3B!$G$1513:$G$100,"&gt;="&amp;C1513)</f>
        <v/>
      </c>
      <c r="H1513">
        <f>INDEX(CBIC_Late_Fee_Relief_Windows_3B!$I$1513:$I$100,MATCH(G1513,CBIC_Late_Fee_Relief_Windows_3B!$O$1513:$O$100,0))</f>
        <v/>
      </c>
      <c r="I1513">
        <f>MIN(F1513,H1513)</f>
        <v/>
      </c>
    </row>
    <row r="1514">
      <c r="A1514">
        <f>TEST_DATA!A1514</f>
        <v/>
      </c>
      <c r="B1514">
        <f>TEST_DATA!B1514</f>
        <v/>
      </c>
      <c r="C1514">
        <f>TEST_DATA!C1514</f>
        <v/>
      </c>
      <c r="D1514">
        <f>TEST_DATA!D1514</f>
        <v/>
      </c>
      <c r="E1514">
        <f>TEST_DATA!E1514</f>
        <v/>
      </c>
      <c r="F1514">
        <f>MIN(E1514*151400,10000)</f>
        <v/>
      </c>
      <c r="G1514">
        <f>MINIFS(CBIC_Late_Fee_Relief_Windows_3B!$O$1514:$O$100,CBIC_Late_Fee_Relief_Windows_3B!$D$1514:$D$100,"&lt;="&amp;B1514,CBIC_Late_Fee_Relief_Windows_3B!$E$1514:$E$100,"&gt;="&amp;B1514,CBIC_Late_Fee_Relief_Windows_3B!$F$1514:$F$100,"&lt;="&amp;C1514,CBIC_Late_Fee_Relief_Windows_3B!$G$1514:$G$100,"&gt;="&amp;C1514)</f>
        <v/>
      </c>
      <c r="H1514">
        <f>INDEX(CBIC_Late_Fee_Relief_Windows_3B!$I$1514:$I$100,MATCH(G1514,CBIC_Late_Fee_Relief_Windows_3B!$O$1514:$O$100,0))</f>
        <v/>
      </c>
      <c r="I1514">
        <f>MIN(F1514,H1514)</f>
        <v/>
      </c>
    </row>
    <row r="1515">
      <c r="A1515">
        <f>TEST_DATA!A1515</f>
        <v/>
      </c>
      <c r="B1515">
        <f>TEST_DATA!B1515</f>
        <v/>
      </c>
      <c r="C1515">
        <f>TEST_DATA!C1515</f>
        <v/>
      </c>
      <c r="D1515">
        <f>TEST_DATA!D1515</f>
        <v/>
      </c>
      <c r="E1515">
        <f>TEST_DATA!E1515</f>
        <v/>
      </c>
      <c r="F1515">
        <f>MIN(E1515*151500,10000)</f>
        <v/>
      </c>
      <c r="G1515">
        <f>MINIFS(CBIC_Late_Fee_Relief_Windows_3B!$O$1515:$O$100,CBIC_Late_Fee_Relief_Windows_3B!$D$1515:$D$100,"&lt;="&amp;B1515,CBIC_Late_Fee_Relief_Windows_3B!$E$1515:$E$100,"&gt;="&amp;B1515,CBIC_Late_Fee_Relief_Windows_3B!$F$1515:$F$100,"&lt;="&amp;C1515,CBIC_Late_Fee_Relief_Windows_3B!$G$1515:$G$100,"&gt;="&amp;C1515)</f>
        <v/>
      </c>
      <c r="H1515">
        <f>INDEX(CBIC_Late_Fee_Relief_Windows_3B!$I$1515:$I$100,MATCH(G1515,CBIC_Late_Fee_Relief_Windows_3B!$O$1515:$O$100,0))</f>
        <v/>
      </c>
      <c r="I1515">
        <f>MIN(F1515,H1515)</f>
        <v/>
      </c>
    </row>
    <row r="1516">
      <c r="A1516">
        <f>TEST_DATA!A1516</f>
        <v/>
      </c>
      <c r="B1516">
        <f>TEST_DATA!B1516</f>
        <v/>
      </c>
      <c r="C1516">
        <f>TEST_DATA!C1516</f>
        <v/>
      </c>
      <c r="D1516">
        <f>TEST_DATA!D1516</f>
        <v/>
      </c>
      <c r="E1516">
        <f>TEST_DATA!E1516</f>
        <v/>
      </c>
      <c r="F1516">
        <f>MIN(E1516*151600,10000)</f>
        <v/>
      </c>
      <c r="G1516">
        <f>MINIFS(CBIC_Late_Fee_Relief_Windows_3B!$O$1516:$O$100,CBIC_Late_Fee_Relief_Windows_3B!$D$1516:$D$100,"&lt;="&amp;B1516,CBIC_Late_Fee_Relief_Windows_3B!$E$1516:$E$100,"&gt;="&amp;B1516,CBIC_Late_Fee_Relief_Windows_3B!$F$1516:$F$100,"&lt;="&amp;C1516,CBIC_Late_Fee_Relief_Windows_3B!$G$1516:$G$100,"&gt;="&amp;C1516)</f>
        <v/>
      </c>
      <c r="H1516">
        <f>INDEX(CBIC_Late_Fee_Relief_Windows_3B!$I$1516:$I$100,MATCH(G1516,CBIC_Late_Fee_Relief_Windows_3B!$O$1516:$O$100,0))</f>
        <v/>
      </c>
      <c r="I1516">
        <f>MIN(F1516,H1516)</f>
        <v/>
      </c>
    </row>
    <row r="1517">
      <c r="A1517">
        <f>TEST_DATA!A1517</f>
        <v/>
      </c>
      <c r="B1517">
        <f>TEST_DATA!B1517</f>
        <v/>
      </c>
      <c r="C1517">
        <f>TEST_DATA!C1517</f>
        <v/>
      </c>
      <c r="D1517">
        <f>TEST_DATA!D1517</f>
        <v/>
      </c>
      <c r="E1517">
        <f>TEST_DATA!E1517</f>
        <v/>
      </c>
      <c r="F1517">
        <f>MIN(E1517*151700,10000)</f>
        <v/>
      </c>
      <c r="G1517">
        <f>MINIFS(CBIC_Late_Fee_Relief_Windows_3B!$O$1517:$O$100,CBIC_Late_Fee_Relief_Windows_3B!$D$1517:$D$100,"&lt;="&amp;B1517,CBIC_Late_Fee_Relief_Windows_3B!$E$1517:$E$100,"&gt;="&amp;B1517,CBIC_Late_Fee_Relief_Windows_3B!$F$1517:$F$100,"&lt;="&amp;C1517,CBIC_Late_Fee_Relief_Windows_3B!$G$1517:$G$100,"&gt;="&amp;C1517)</f>
        <v/>
      </c>
      <c r="H1517">
        <f>INDEX(CBIC_Late_Fee_Relief_Windows_3B!$I$1517:$I$100,MATCH(G1517,CBIC_Late_Fee_Relief_Windows_3B!$O$1517:$O$100,0))</f>
        <v/>
      </c>
      <c r="I1517">
        <f>MIN(F1517,H1517)</f>
        <v/>
      </c>
    </row>
    <row r="1518">
      <c r="A1518">
        <f>TEST_DATA!A1518</f>
        <v/>
      </c>
      <c r="B1518">
        <f>TEST_DATA!B1518</f>
        <v/>
      </c>
      <c r="C1518">
        <f>TEST_DATA!C1518</f>
        <v/>
      </c>
      <c r="D1518">
        <f>TEST_DATA!D1518</f>
        <v/>
      </c>
      <c r="E1518">
        <f>TEST_DATA!E1518</f>
        <v/>
      </c>
      <c r="F1518">
        <f>MIN(E1518*151800,10000)</f>
        <v/>
      </c>
      <c r="G1518">
        <f>MINIFS(CBIC_Late_Fee_Relief_Windows_3B!$O$1518:$O$100,CBIC_Late_Fee_Relief_Windows_3B!$D$1518:$D$100,"&lt;="&amp;B1518,CBIC_Late_Fee_Relief_Windows_3B!$E$1518:$E$100,"&gt;="&amp;B1518,CBIC_Late_Fee_Relief_Windows_3B!$F$1518:$F$100,"&lt;="&amp;C1518,CBIC_Late_Fee_Relief_Windows_3B!$G$1518:$G$100,"&gt;="&amp;C1518)</f>
        <v/>
      </c>
      <c r="H1518">
        <f>INDEX(CBIC_Late_Fee_Relief_Windows_3B!$I$1518:$I$100,MATCH(G1518,CBIC_Late_Fee_Relief_Windows_3B!$O$1518:$O$100,0))</f>
        <v/>
      </c>
      <c r="I1518">
        <f>MIN(F1518,H1518)</f>
        <v/>
      </c>
    </row>
    <row r="1519">
      <c r="A1519">
        <f>TEST_DATA!A1519</f>
        <v/>
      </c>
      <c r="B1519">
        <f>TEST_DATA!B1519</f>
        <v/>
      </c>
      <c r="C1519">
        <f>TEST_DATA!C1519</f>
        <v/>
      </c>
      <c r="D1519">
        <f>TEST_DATA!D1519</f>
        <v/>
      </c>
      <c r="E1519">
        <f>TEST_DATA!E1519</f>
        <v/>
      </c>
      <c r="F1519">
        <f>MIN(E1519*151900,10000)</f>
        <v/>
      </c>
      <c r="G1519">
        <f>MINIFS(CBIC_Late_Fee_Relief_Windows_3B!$O$1519:$O$100,CBIC_Late_Fee_Relief_Windows_3B!$D$1519:$D$100,"&lt;="&amp;B1519,CBIC_Late_Fee_Relief_Windows_3B!$E$1519:$E$100,"&gt;="&amp;B1519,CBIC_Late_Fee_Relief_Windows_3B!$F$1519:$F$100,"&lt;="&amp;C1519,CBIC_Late_Fee_Relief_Windows_3B!$G$1519:$G$100,"&gt;="&amp;C1519)</f>
        <v/>
      </c>
      <c r="H1519">
        <f>INDEX(CBIC_Late_Fee_Relief_Windows_3B!$I$1519:$I$100,MATCH(G1519,CBIC_Late_Fee_Relief_Windows_3B!$O$1519:$O$100,0))</f>
        <v/>
      </c>
      <c r="I1519">
        <f>MIN(F1519,H1519)</f>
        <v/>
      </c>
    </row>
    <row r="1520">
      <c r="A1520">
        <f>TEST_DATA!A1520</f>
        <v/>
      </c>
      <c r="B1520">
        <f>TEST_DATA!B1520</f>
        <v/>
      </c>
      <c r="C1520">
        <f>TEST_DATA!C1520</f>
        <v/>
      </c>
      <c r="D1520">
        <f>TEST_DATA!D1520</f>
        <v/>
      </c>
      <c r="E1520">
        <f>TEST_DATA!E1520</f>
        <v/>
      </c>
      <c r="F1520">
        <f>MIN(E1520*152000,10000)</f>
        <v/>
      </c>
      <c r="G1520">
        <f>MINIFS(CBIC_Late_Fee_Relief_Windows_3B!$O$1520:$O$100,CBIC_Late_Fee_Relief_Windows_3B!$D$1520:$D$100,"&lt;="&amp;B1520,CBIC_Late_Fee_Relief_Windows_3B!$E$1520:$E$100,"&gt;="&amp;B1520,CBIC_Late_Fee_Relief_Windows_3B!$F$1520:$F$100,"&lt;="&amp;C1520,CBIC_Late_Fee_Relief_Windows_3B!$G$1520:$G$100,"&gt;="&amp;C1520)</f>
        <v/>
      </c>
      <c r="H1520">
        <f>INDEX(CBIC_Late_Fee_Relief_Windows_3B!$I$1520:$I$100,MATCH(G1520,CBIC_Late_Fee_Relief_Windows_3B!$O$1520:$O$100,0))</f>
        <v/>
      </c>
      <c r="I1520">
        <f>MIN(F1520,H1520)</f>
        <v/>
      </c>
    </row>
    <row r="1521">
      <c r="A1521">
        <f>TEST_DATA!A1521</f>
        <v/>
      </c>
      <c r="B1521">
        <f>TEST_DATA!B1521</f>
        <v/>
      </c>
      <c r="C1521">
        <f>TEST_DATA!C1521</f>
        <v/>
      </c>
      <c r="D1521">
        <f>TEST_DATA!D1521</f>
        <v/>
      </c>
      <c r="E1521">
        <f>TEST_DATA!E1521</f>
        <v/>
      </c>
      <c r="F1521">
        <f>MIN(E1521*152100,10000)</f>
        <v/>
      </c>
      <c r="G1521">
        <f>MINIFS(CBIC_Late_Fee_Relief_Windows_3B!$O$1521:$O$100,CBIC_Late_Fee_Relief_Windows_3B!$D$1521:$D$100,"&lt;="&amp;B1521,CBIC_Late_Fee_Relief_Windows_3B!$E$1521:$E$100,"&gt;="&amp;B1521,CBIC_Late_Fee_Relief_Windows_3B!$F$1521:$F$100,"&lt;="&amp;C1521,CBIC_Late_Fee_Relief_Windows_3B!$G$1521:$G$100,"&gt;="&amp;C1521)</f>
        <v/>
      </c>
      <c r="H1521">
        <f>INDEX(CBIC_Late_Fee_Relief_Windows_3B!$I$1521:$I$100,MATCH(G1521,CBIC_Late_Fee_Relief_Windows_3B!$O$1521:$O$100,0))</f>
        <v/>
      </c>
      <c r="I1521">
        <f>MIN(F1521,H1521)</f>
        <v/>
      </c>
    </row>
    <row r="1522">
      <c r="A1522">
        <f>TEST_DATA!A1522</f>
        <v/>
      </c>
      <c r="B1522">
        <f>TEST_DATA!B1522</f>
        <v/>
      </c>
      <c r="C1522">
        <f>TEST_DATA!C1522</f>
        <v/>
      </c>
      <c r="D1522">
        <f>TEST_DATA!D1522</f>
        <v/>
      </c>
      <c r="E1522">
        <f>TEST_DATA!E1522</f>
        <v/>
      </c>
      <c r="F1522">
        <f>MIN(E1522*152200,10000)</f>
        <v/>
      </c>
      <c r="G1522">
        <f>MINIFS(CBIC_Late_Fee_Relief_Windows_3B!$O$1522:$O$100,CBIC_Late_Fee_Relief_Windows_3B!$D$1522:$D$100,"&lt;="&amp;B1522,CBIC_Late_Fee_Relief_Windows_3B!$E$1522:$E$100,"&gt;="&amp;B1522,CBIC_Late_Fee_Relief_Windows_3B!$F$1522:$F$100,"&lt;="&amp;C1522,CBIC_Late_Fee_Relief_Windows_3B!$G$1522:$G$100,"&gt;="&amp;C1522)</f>
        <v/>
      </c>
      <c r="H1522">
        <f>INDEX(CBIC_Late_Fee_Relief_Windows_3B!$I$1522:$I$100,MATCH(G1522,CBIC_Late_Fee_Relief_Windows_3B!$O$1522:$O$100,0))</f>
        <v/>
      </c>
      <c r="I1522">
        <f>MIN(F1522,H1522)</f>
        <v/>
      </c>
    </row>
    <row r="1523">
      <c r="A1523">
        <f>TEST_DATA!A1523</f>
        <v/>
      </c>
      <c r="B1523">
        <f>TEST_DATA!B1523</f>
        <v/>
      </c>
      <c r="C1523">
        <f>TEST_DATA!C1523</f>
        <v/>
      </c>
      <c r="D1523">
        <f>TEST_DATA!D1523</f>
        <v/>
      </c>
      <c r="E1523">
        <f>TEST_DATA!E1523</f>
        <v/>
      </c>
      <c r="F1523">
        <f>MIN(E1523*152300,10000)</f>
        <v/>
      </c>
      <c r="G1523">
        <f>MINIFS(CBIC_Late_Fee_Relief_Windows_3B!$O$1523:$O$100,CBIC_Late_Fee_Relief_Windows_3B!$D$1523:$D$100,"&lt;="&amp;B1523,CBIC_Late_Fee_Relief_Windows_3B!$E$1523:$E$100,"&gt;="&amp;B1523,CBIC_Late_Fee_Relief_Windows_3B!$F$1523:$F$100,"&lt;="&amp;C1523,CBIC_Late_Fee_Relief_Windows_3B!$G$1523:$G$100,"&gt;="&amp;C1523)</f>
        <v/>
      </c>
      <c r="H1523">
        <f>INDEX(CBIC_Late_Fee_Relief_Windows_3B!$I$1523:$I$100,MATCH(G1523,CBIC_Late_Fee_Relief_Windows_3B!$O$1523:$O$100,0))</f>
        <v/>
      </c>
      <c r="I1523">
        <f>MIN(F1523,H1523)</f>
        <v/>
      </c>
    </row>
    <row r="1524">
      <c r="A1524">
        <f>TEST_DATA!A1524</f>
        <v/>
      </c>
      <c r="B1524">
        <f>TEST_DATA!B1524</f>
        <v/>
      </c>
      <c r="C1524">
        <f>TEST_DATA!C1524</f>
        <v/>
      </c>
      <c r="D1524">
        <f>TEST_DATA!D1524</f>
        <v/>
      </c>
      <c r="E1524">
        <f>TEST_DATA!E1524</f>
        <v/>
      </c>
      <c r="F1524">
        <f>MIN(E1524*152400,10000)</f>
        <v/>
      </c>
      <c r="G1524">
        <f>MINIFS(CBIC_Late_Fee_Relief_Windows_3B!$O$1524:$O$100,CBIC_Late_Fee_Relief_Windows_3B!$D$1524:$D$100,"&lt;="&amp;B1524,CBIC_Late_Fee_Relief_Windows_3B!$E$1524:$E$100,"&gt;="&amp;B1524,CBIC_Late_Fee_Relief_Windows_3B!$F$1524:$F$100,"&lt;="&amp;C1524,CBIC_Late_Fee_Relief_Windows_3B!$G$1524:$G$100,"&gt;="&amp;C1524)</f>
        <v/>
      </c>
      <c r="H1524">
        <f>INDEX(CBIC_Late_Fee_Relief_Windows_3B!$I$1524:$I$100,MATCH(G1524,CBIC_Late_Fee_Relief_Windows_3B!$O$1524:$O$100,0))</f>
        <v/>
      </c>
      <c r="I1524">
        <f>MIN(F1524,H1524)</f>
        <v/>
      </c>
    </row>
    <row r="1525">
      <c r="A1525">
        <f>TEST_DATA!A1525</f>
        <v/>
      </c>
      <c r="B1525">
        <f>TEST_DATA!B1525</f>
        <v/>
      </c>
      <c r="C1525">
        <f>TEST_DATA!C1525</f>
        <v/>
      </c>
      <c r="D1525">
        <f>TEST_DATA!D1525</f>
        <v/>
      </c>
      <c r="E1525">
        <f>TEST_DATA!E1525</f>
        <v/>
      </c>
      <c r="F1525">
        <f>MIN(E1525*152500,10000)</f>
        <v/>
      </c>
      <c r="G1525">
        <f>MINIFS(CBIC_Late_Fee_Relief_Windows_3B!$O$1525:$O$100,CBIC_Late_Fee_Relief_Windows_3B!$D$1525:$D$100,"&lt;="&amp;B1525,CBIC_Late_Fee_Relief_Windows_3B!$E$1525:$E$100,"&gt;="&amp;B1525,CBIC_Late_Fee_Relief_Windows_3B!$F$1525:$F$100,"&lt;="&amp;C1525,CBIC_Late_Fee_Relief_Windows_3B!$G$1525:$G$100,"&gt;="&amp;C1525)</f>
        <v/>
      </c>
      <c r="H1525">
        <f>INDEX(CBIC_Late_Fee_Relief_Windows_3B!$I$1525:$I$100,MATCH(G1525,CBIC_Late_Fee_Relief_Windows_3B!$O$1525:$O$100,0))</f>
        <v/>
      </c>
      <c r="I1525">
        <f>MIN(F1525,H1525)</f>
        <v/>
      </c>
    </row>
    <row r="1526">
      <c r="A1526">
        <f>TEST_DATA!A1526</f>
        <v/>
      </c>
      <c r="B1526">
        <f>TEST_DATA!B1526</f>
        <v/>
      </c>
      <c r="C1526">
        <f>TEST_DATA!C1526</f>
        <v/>
      </c>
      <c r="D1526">
        <f>TEST_DATA!D1526</f>
        <v/>
      </c>
      <c r="E1526">
        <f>TEST_DATA!E1526</f>
        <v/>
      </c>
      <c r="F1526">
        <f>MIN(E1526*152600,10000)</f>
        <v/>
      </c>
      <c r="G1526">
        <f>MINIFS(CBIC_Late_Fee_Relief_Windows_3B!$O$1526:$O$100,CBIC_Late_Fee_Relief_Windows_3B!$D$1526:$D$100,"&lt;="&amp;B1526,CBIC_Late_Fee_Relief_Windows_3B!$E$1526:$E$100,"&gt;="&amp;B1526,CBIC_Late_Fee_Relief_Windows_3B!$F$1526:$F$100,"&lt;="&amp;C1526,CBIC_Late_Fee_Relief_Windows_3B!$G$1526:$G$100,"&gt;="&amp;C1526)</f>
        <v/>
      </c>
      <c r="H1526">
        <f>INDEX(CBIC_Late_Fee_Relief_Windows_3B!$I$1526:$I$100,MATCH(G1526,CBIC_Late_Fee_Relief_Windows_3B!$O$1526:$O$100,0))</f>
        <v/>
      </c>
      <c r="I1526">
        <f>MIN(F1526,H1526)</f>
        <v/>
      </c>
    </row>
    <row r="1527">
      <c r="A1527">
        <f>TEST_DATA!A1527</f>
        <v/>
      </c>
      <c r="B1527">
        <f>TEST_DATA!B1527</f>
        <v/>
      </c>
      <c r="C1527">
        <f>TEST_DATA!C1527</f>
        <v/>
      </c>
      <c r="D1527">
        <f>TEST_DATA!D1527</f>
        <v/>
      </c>
      <c r="E1527">
        <f>TEST_DATA!E1527</f>
        <v/>
      </c>
      <c r="F1527">
        <f>MIN(E1527*152700,10000)</f>
        <v/>
      </c>
      <c r="G1527">
        <f>MINIFS(CBIC_Late_Fee_Relief_Windows_3B!$O$1527:$O$100,CBIC_Late_Fee_Relief_Windows_3B!$D$1527:$D$100,"&lt;="&amp;B1527,CBIC_Late_Fee_Relief_Windows_3B!$E$1527:$E$100,"&gt;="&amp;B1527,CBIC_Late_Fee_Relief_Windows_3B!$F$1527:$F$100,"&lt;="&amp;C1527,CBIC_Late_Fee_Relief_Windows_3B!$G$1527:$G$100,"&gt;="&amp;C1527)</f>
        <v/>
      </c>
      <c r="H1527">
        <f>INDEX(CBIC_Late_Fee_Relief_Windows_3B!$I$1527:$I$100,MATCH(G1527,CBIC_Late_Fee_Relief_Windows_3B!$O$1527:$O$100,0))</f>
        <v/>
      </c>
      <c r="I1527">
        <f>MIN(F1527,H1527)</f>
        <v/>
      </c>
    </row>
    <row r="1528">
      <c r="A1528">
        <f>TEST_DATA!A1528</f>
        <v/>
      </c>
      <c r="B1528">
        <f>TEST_DATA!B1528</f>
        <v/>
      </c>
      <c r="C1528">
        <f>TEST_DATA!C1528</f>
        <v/>
      </c>
      <c r="D1528">
        <f>TEST_DATA!D1528</f>
        <v/>
      </c>
      <c r="E1528">
        <f>TEST_DATA!E1528</f>
        <v/>
      </c>
      <c r="F1528">
        <f>MIN(E1528*152800,10000)</f>
        <v/>
      </c>
      <c r="G1528">
        <f>MINIFS(CBIC_Late_Fee_Relief_Windows_3B!$O$1528:$O$100,CBIC_Late_Fee_Relief_Windows_3B!$D$1528:$D$100,"&lt;="&amp;B1528,CBIC_Late_Fee_Relief_Windows_3B!$E$1528:$E$100,"&gt;="&amp;B1528,CBIC_Late_Fee_Relief_Windows_3B!$F$1528:$F$100,"&lt;="&amp;C1528,CBIC_Late_Fee_Relief_Windows_3B!$G$1528:$G$100,"&gt;="&amp;C1528)</f>
        <v/>
      </c>
      <c r="H1528">
        <f>INDEX(CBIC_Late_Fee_Relief_Windows_3B!$I$1528:$I$100,MATCH(G1528,CBIC_Late_Fee_Relief_Windows_3B!$O$1528:$O$100,0))</f>
        <v/>
      </c>
      <c r="I1528">
        <f>MIN(F1528,H1528)</f>
        <v/>
      </c>
    </row>
    <row r="1529">
      <c r="A1529">
        <f>TEST_DATA!A1529</f>
        <v/>
      </c>
      <c r="B1529">
        <f>TEST_DATA!B1529</f>
        <v/>
      </c>
      <c r="C1529">
        <f>TEST_DATA!C1529</f>
        <v/>
      </c>
      <c r="D1529">
        <f>TEST_DATA!D1529</f>
        <v/>
      </c>
      <c r="E1529">
        <f>TEST_DATA!E1529</f>
        <v/>
      </c>
      <c r="F1529">
        <f>MIN(E1529*152900,10000)</f>
        <v/>
      </c>
      <c r="G1529">
        <f>MINIFS(CBIC_Late_Fee_Relief_Windows_3B!$O$1529:$O$100,CBIC_Late_Fee_Relief_Windows_3B!$D$1529:$D$100,"&lt;="&amp;B1529,CBIC_Late_Fee_Relief_Windows_3B!$E$1529:$E$100,"&gt;="&amp;B1529,CBIC_Late_Fee_Relief_Windows_3B!$F$1529:$F$100,"&lt;="&amp;C1529,CBIC_Late_Fee_Relief_Windows_3B!$G$1529:$G$100,"&gt;="&amp;C1529)</f>
        <v/>
      </c>
      <c r="H1529">
        <f>INDEX(CBIC_Late_Fee_Relief_Windows_3B!$I$1529:$I$100,MATCH(G1529,CBIC_Late_Fee_Relief_Windows_3B!$O$1529:$O$100,0))</f>
        <v/>
      </c>
      <c r="I1529">
        <f>MIN(F1529,H1529)</f>
        <v/>
      </c>
    </row>
    <row r="1530">
      <c r="A1530">
        <f>TEST_DATA!A1530</f>
        <v/>
      </c>
      <c r="B1530">
        <f>TEST_DATA!B1530</f>
        <v/>
      </c>
      <c r="C1530">
        <f>TEST_DATA!C1530</f>
        <v/>
      </c>
      <c r="D1530">
        <f>TEST_DATA!D1530</f>
        <v/>
      </c>
      <c r="E1530">
        <f>TEST_DATA!E1530</f>
        <v/>
      </c>
      <c r="F1530">
        <f>MIN(E1530*153000,10000)</f>
        <v/>
      </c>
      <c r="G1530">
        <f>MINIFS(CBIC_Late_Fee_Relief_Windows_3B!$O$1530:$O$100,CBIC_Late_Fee_Relief_Windows_3B!$D$1530:$D$100,"&lt;="&amp;B1530,CBIC_Late_Fee_Relief_Windows_3B!$E$1530:$E$100,"&gt;="&amp;B1530,CBIC_Late_Fee_Relief_Windows_3B!$F$1530:$F$100,"&lt;="&amp;C1530,CBIC_Late_Fee_Relief_Windows_3B!$G$1530:$G$100,"&gt;="&amp;C1530)</f>
        <v/>
      </c>
      <c r="H1530">
        <f>INDEX(CBIC_Late_Fee_Relief_Windows_3B!$I$1530:$I$100,MATCH(G1530,CBIC_Late_Fee_Relief_Windows_3B!$O$1530:$O$100,0))</f>
        <v/>
      </c>
      <c r="I1530">
        <f>MIN(F1530,H1530)</f>
        <v/>
      </c>
    </row>
    <row r="1531">
      <c r="A1531">
        <f>TEST_DATA!A1531</f>
        <v/>
      </c>
      <c r="B1531">
        <f>TEST_DATA!B1531</f>
        <v/>
      </c>
      <c r="C1531">
        <f>TEST_DATA!C1531</f>
        <v/>
      </c>
      <c r="D1531">
        <f>TEST_DATA!D1531</f>
        <v/>
      </c>
      <c r="E1531">
        <f>TEST_DATA!E1531</f>
        <v/>
      </c>
      <c r="F1531">
        <f>MIN(E1531*153100,10000)</f>
        <v/>
      </c>
      <c r="G1531">
        <f>MINIFS(CBIC_Late_Fee_Relief_Windows_3B!$O$1531:$O$100,CBIC_Late_Fee_Relief_Windows_3B!$D$1531:$D$100,"&lt;="&amp;B1531,CBIC_Late_Fee_Relief_Windows_3B!$E$1531:$E$100,"&gt;="&amp;B1531,CBIC_Late_Fee_Relief_Windows_3B!$F$1531:$F$100,"&lt;="&amp;C1531,CBIC_Late_Fee_Relief_Windows_3B!$G$1531:$G$100,"&gt;="&amp;C1531)</f>
        <v/>
      </c>
      <c r="H1531">
        <f>INDEX(CBIC_Late_Fee_Relief_Windows_3B!$I$1531:$I$100,MATCH(G1531,CBIC_Late_Fee_Relief_Windows_3B!$O$1531:$O$100,0))</f>
        <v/>
      </c>
      <c r="I1531">
        <f>MIN(F1531,H1531)</f>
        <v/>
      </c>
    </row>
    <row r="1532">
      <c r="A1532">
        <f>TEST_DATA!A1532</f>
        <v/>
      </c>
      <c r="B1532">
        <f>TEST_DATA!B1532</f>
        <v/>
      </c>
      <c r="C1532">
        <f>TEST_DATA!C1532</f>
        <v/>
      </c>
      <c r="D1532">
        <f>TEST_DATA!D1532</f>
        <v/>
      </c>
      <c r="E1532">
        <f>TEST_DATA!E1532</f>
        <v/>
      </c>
      <c r="F1532">
        <f>MIN(E1532*153200,10000)</f>
        <v/>
      </c>
      <c r="G1532">
        <f>MINIFS(CBIC_Late_Fee_Relief_Windows_3B!$O$1532:$O$100,CBIC_Late_Fee_Relief_Windows_3B!$D$1532:$D$100,"&lt;="&amp;B1532,CBIC_Late_Fee_Relief_Windows_3B!$E$1532:$E$100,"&gt;="&amp;B1532,CBIC_Late_Fee_Relief_Windows_3B!$F$1532:$F$100,"&lt;="&amp;C1532,CBIC_Late_Fee_Relief_Windows_3B!$G$1532:$G$100,"&gt;="&amp;C1532)</f>
        <v/>
      </c>
      <c r="H1532">
        <f>INDEX(CBIC_Late_Fee_Relief_Windows_3B!$I$1532:$I$100,MATCH(G1532,CBIC_Late_Fee_Relief_Windows_3B!$O$1532:$O$100,0))</f>
        <v/>
      </c>
      <c r="I1532">
        <f>MIN(F1532,H1532)</f>
        <v/>
      </c>
    </row>
    <row r="1533">
      <c r="A1533">
        <f>TEST_DATA!A1533</f>
        <v/>
      </c>
      <c r="B1533">
        <f>TEST_DATA!B1533</f>
        <v/>
      </c>
      <c r="C1533">
        <f>TEST_DATA!C1533</f>
        <v/>
      </c>
      <c r="D1533">
        <f>TEST_DATA!D1533</f>
        <v/>
      </c>
      <c r="E1533">
        <f>TEST_DATA!E1533</f>
        <v/>
      </c>
      <c r="F1533">
        <f>MIN(E1533*153300,10000)</f>
        <v/>
      </c>
      <c r="G1533">
        <f>MINIFS(CBIC_Late_Fee_Relief_Windows_3B!$O$1533:$O$100,CBIC_Late_Fee_Relief_Windows_3B!$D$1533:$D$100,"&lt;="&amp;B1533,CBIC_Late_Fee_Relief_Windows_3B!$E$1533:$E$100,"&gt;="&amp;B1533,CBIC_Late_Fee_Relief_Windows_3B!$F$1533:$F$100,"&lt;="&amp;C1533,CBIC_Late_Fee_Relief_Windows_3B!$G$1533:$G$100,"&gt;="&amp;C1533)</f>
        <v/>
      </c>
      <c r="H1533">
        <f>INDEX(CBIC_Late_Fee_Relief_Windows_3B!$I$1533:$I$100,MATCH(G1533,CBIC_Late_Fee_Relief_Windows_3B!$O$1533:$O$100,0))</f>
        <v/>
      </c>
      <c r="I1533">
        <f>MIN(F1533,H1533)</f>
        <v/>
      </c>
    </row>
    <row r="1534">
      <c r="A1534">
        <f>TEST_DATA!A1534</f>
        <v/>
      </c>
      <c r="B1534">
        <f>TEST_DATA!B1534</f>
        <v/>
      </c>
      <c r="C1534">
        <f>TEST_DATA!C1534</f>
        <v/>
      </c>
      <c r="D1534">
        <f>TEST_DATA!D1534</f>
        <v/>
      </c>
      <c r="E1534">
        <f>TEST_DATA!E1534</f>
        <v/>
      </c>
      <c r="F1534">
        <f>MIN(E1534*153400,10000)</f>
        <v/>
      </c>
      <c r="G1534">
        <f>MINIFS(CBIC_Late_Fee_Relief_Windows_3B!$O$1534:$O$100,CBIC_Late_Fee_Relief_Windows_3B!$D$1534:$D$100,"&lt;="&amp;B1534,CBIC_Late_Fee_Relief_Windows_3B!$E$1534:$E$100,"&gt;="&amp;B1534,CBIC_Late_Fee_Relief_Windows_3B!$F$1534:$F$100,"&lt;="&amp;C1534,CBIC_Late_Fee_Relief_Windows_3B!$G$1534:$G$100,"&gt;="&amp;C1534)</f>
        <v/>
      </c>
      <c r="H1534">
        <f>INDEX(CBIC_Late_Fee_Relief_Windows_3B!$I$1534:$I$100,MATCH(G1534,CBIC_Late_Fee_Relief_Windows_3B!$O$1534:$O$100,0))</f>
        <v/>
      </c>
      <c r="I1534">
        <f>MIN(F1534,H1534)</f>
        <v/>
      </c>
    </row>
    <row r="1535">
      <c r="A1535">
        <f>TEST_DATA!A1535</f>
        <v/>
      </c>
      <c r="B1535">
        <f>TEST_DATA!B1535</f>
        <v/>
      </c>
      <c r="C1535">
        <f>TEST_DATA!C1535</f>
        <v/>
      </c>
      <c r="D1535">
        <f>TEST_DATA!D1535</f>
        <v/>
      </c>
      <c r="E1535">
        <f>TEST_DATA!E1535</f>
        <v/>
      </c>
      <c r="F1535">
        <f>MIN(E1535*153500,10000)</f>
        <v/>
      </c>
      <c r="G1535">
        <f>MINIFS(CBIC_Late_Fee_Relief_Windows_3B!$O$1535:$O$100,CBIC_Late_Fee_Relief_Windows_3B!$D$1535:$D$100,"&lt;="&amp;B1535,CBIC_Late_Fee_Relief_Windows_3B!$E$1535:$E$100,"&gt;="&amp;B1535,CBIC_Late_Fee_Relief_Windows_3B!$F$1535:$F$100,"&lt;="&amp;C1535,CBIC_Late_Fee_Relief_Windows_3B!$G$1535:$G$100,"&gt;="&amp;C1535)</f>
        <v/>
      </c>
      <c r="H1535">
        <f>INDEX(CBIC_Late_Fee_Relief_Windows_3B!$I$1535:$I$100,MATCH(G1535,CBIC_Late_Fee_Relief_Windows_3B!$O$1535:$O$100,0))</f>
        <v/>
      </c>
      <c r="I1535">
        <f>MIN(F1535,H1535)</f>
        <v/>
      </c>
    </row>
    <row r="1536">
      <c r="A1536">
        <f>TEST_DATA!A1536</f>
        <v/>
      </c>
      <c r="B1536">
        <f>TEST_DATA!B1536</f>
        <v/>
      </c>
      <c r="C1536">
        <f>TEST_DATA!C1536</f>
        <v/>
      </c>
      <c r="D1536">
        <f>TEST_DATA!D1536</f>
        <v/>
      </c>
      <c r="E1536">
        <f>TEST_DATA!E1536</f>
        <v/>
      </c>
      <c r="F1536">
        <f>MIN(E1536*153600,10000)</f>
        <v/>
      </c>
      <c r="G1536">
        <f>MINIFS(CBIC_Late_Fee_Relief_Windows_3B!$O$1536:$O$100,CBIC_Late_Fee_Relief_Windows_3B!$D$1536:$D$100,"&lt;="&amp;B1536,CBIC_Late_Fee_Relief_Windows_3B!$E$1536:$E$100,"&gt;="&amp;B1536,CBIC_Late_Fee_Relief_Windows_3B!$F$1536:$F$100,"&lt;="&amp;C1536,CBIC_Late_Fee_Relief_Windows_3B!$G$1536:$G$100,"&gt;="&amp;C1536)</f>
        <v/>
      </c>
      <c r="H1536">
        <f>INDEX(CBIC_Late_Fee_Relief_Windows_3B!$I$1536:$I$100,MATCH(G1536,CBIC_Late_Fee_Relief_Windows_3B!$O$1536:$O$100,0))</f>
        <v/>
      </c>
      <c r="I1536">
        <f>MIN(F1536,H1536)</f>
        <v/>
      </c>
    </row>
    <row r="1537">
      <c r="A1537">
        <f>TEST_DATA!A1537</f>
        <v/>
      </c>
      <c r="B1537">
        <f>TEST_DATA!B1537</f>
        <v/>
      </c>
      <c r="C1537">
        <f>TEST_DATA!C1537</f>
        <v/>
      </c>
      <c r="D1537">
        <f>TEST_DATA!D1537</f>
        <v/>
      </c>
      <c r="E1537">
        <f>TEST_DATA!E1537</f>
        <v/>
      </c>
      <c r="F1537">
        <f>MIN(E1537*153700,10000)</f>
        <v/>
      </c>
      <c r="G1537">
        <f>MINIFS(CBIC_Late_Fee_Relief_Windows_3B!$O$1537:$O$100,CBIC_Late_Fee_Relief_Windows_3B!$D$1537:$D$100,"&lt;="&amp;B1537,CBIC_Late_Fee_Relief_Windows_3B!$E$1537:$E$100,"&gt;="&amp;B1537,CBIC_Late_Fee_Relief_Windows_3B!$F$1537:$F$100,"&lt;="&amp;C1537,CBIC_Late_Fee_Relief_Windows_3B!$G$1537:$G$100,"&gt;="&amp;C1537)</f>
        <v/>
      </c>
      <c r="H1537">
        <f>INDEX(CBIC_Late_Fee_Relief_Windows_3B!$I$1537:$I$100,MATCH(G1537,CBIC_Late_Fee_Relief_Windows_3B!$O$1537:$O$100,0))</f>
        <v/>
      </c>
      <c r="I1537">
        <f>MIN(F1537,H1537)</f>
        <v/>
      </c>
    </row>
    <row r="1538">
      <c r="A1538">
        <f>TEST_DATA!A1538</f>
        <v/>
      </c>
      <c r="B1538">
        <f>TEST_DATA!B1538</f>
        <v/>
      </c>
      <c r="C1538">
        <f>TEST_DATA!C1538</f>
        <v/>
      </c>
      <c r="D1538">
        <f>TEST_DATA!D1538</f>
        <v/>
      </c>
      <c r="E1538">
        <f>TEST_DATA!E1538</f>
        <v/>
      </c>
      <c r="F1538">
        <f>MIN(E1538*153800,10000)</f>
        <v/>
      </c>
      <c r="G1538">
        <f>MINIFS(CBIC_Late_Fee_Relief_Windows_3B!$O$1538:$O$100,CBIC_Late_Fee_Relief_Windows_3B!$D$1538:$D$100,"&lt;="&amp;B1538,CBIC_Late_Fee_Relief_Windows_3B!$E$1538:$E$100,"&gt;="&amp;B1538,CBIC_Late_Fee_Relief_Windows_3B!$F$1538:$F$100,"&lt;="&amp;C1538,CBIC_Late_Fee_Relief_Windows_3B!$G$1538:$G$100,"&gt;="&amp;C1538)</f>
        <v/>
      </c>
      <c r="H1538">
        <f>INDEX(CBIC_Late_Fee_Relief_Windows_3B!$I$1538:$I$100,MATCH(G1538,CBIC_Late_Fee_Relief_Windows_3B!$O$1538:$O$100,0))</f>
        <v/>
      </c>
      <c r="I1538">
        <f>MIN(F1538,H1538)</f>
        <v/>
      </c>
    </row>
    <row r="1539">
      <c r="A1539">
        <f>TEST_DATA!A1539</f>
        <v/>
      </c>
      <c r="B1539">
        <f>TEST_DATA!B1539</f>
        <v/>
      </c>
      <c r="C1539">
        <f>TEST_DATA!C1539</f>
        <v/>
      </c>
      <c r="D1539">
        <f>TEST_DATA!D1539</f>
        <v/>
      </c>
      <c r="E1539">
        <f>TEST_DATA!E1539</f>
        <v/>
      </c>
      <c r="F1539">
        <f>MIN(E1539*153900,10000)</f>
        <v/>
      </c>
      <c r="G1539">
        <f>MINIFS(CBIC_Late_Fee_Relief_Windows_3B!$O$1539:$O$100,CBIC_Late_Fee_Relief_Windows_3B!$D$1539:$D$100,"&lt;="&amp;B1539,CBIC_Late_Fee_Relief_Windows_3B!$E$1539:$E$100,"&gt;="&amp;B1539,CBIC_Late_Fee_Relief_Windows_3B!$F$1539:$F$100,"&lt;="&amp;C1539,CBIC_Late_Fee_Relief_Windows_3B!$G$1539:$G$100,"&gt;="&amp;C1539)</f>
        <v/>
      </c>
      <c r="H1539">
        <f>INDEX(CBIC_Late_Fee_Relief_Windows_3B!$I$1539:$I$100,MATCH(G1539,CBIC_Late_Fee_Relief_Windows_3B!$O$1539:$O$100,0))</f>
        <v/>
      </c>
      <c r="I1539">
        <f>MIN(F1539,H1539)</f>
        <v/>
      </c>
    </row>
    <row r="1540">
      <c r="A1540">
        <f>TEST_DATA!A1540</f>
        <v/>
      </c>
      <c r="B1540">
        <f>TEST_DATA!B1540</f>
        <v/>
      </c>
      <c r="C1540">
        <f>TEST_DATA!C1540</f>
        <v/>
      </c>
      <c r="D1540">
        <f>TEST_DATA!D1540</f>
        <v/>
      </c>
      <c r="E1540">
        <f>TEST_DATA!E1540</f>
        <v/>
      </c>
      <c r="F1540">
        <f>MIN(E1540*154000,10000)</f>
        <v/>
      </c>
      <c r="G1540">
        <f>MINIFS(CBIC_Late_Fee_Relief_Windows_3B!$O$1540:$O$100,CBIC_Late_Fee_Relief_Windows_3B!$D$1540:$D$100,"&lt;="&amp;B1540,CBIC_Late_Fee_Relief_Windows_3B!$E$1540:$E$100,"&gt;="&amp;B1540,CBIC_Late_Fee_Relief_Windows_3B!$F$1540:$F$100,"&lt;="&amp;C1540,CBIC_Late_Fee_Relief_Windows_3B!$G$1540:$G$100,"&gt;="&amp;C1540)</f>
        <v/>
      </c>
      <c r="H1540">
        <f>INDEX(CBIC_Late_Fee_Relief_Windows_3B!$I$1540:$I$100,MATCH(G1540,CBIC_Late_Fee_Relief_Windows_3B!$O$1540:$O$100,0))</f>
        <v/>
      </c>
      <c r="I1540">
        <f>MIN(F1540,H1540)</f>
        <v/>
      </c>
    </row>
    <row r="1541">
      <c r="A1541">
        <f>TEST_DATA!A1541</f>
        <v/>
      </c>
      <c r="B1541">
        <f>TEST_DATA!B1541</f>
        <v/>
      </c>
      <c r="C1541">
        <f>TEST_DATA!C1541</f>
        <v/>
      </c>
      <c r="D1541">
        <f>TEST_DATA!D1541</f>
        <v/>
      </c>
      <c r="E1541">
        <f>TEST_DATA!E1541</f>
        <v/>
      </c>
      <c r="F1541">
        <f>MIN(E1541*154100,10000)</f>
        <v/>
      </c>
      <c r="G1541">
        <f>MINIFS(CBIC_Late_Fee_Relief_Windows_3B!$O$1541:$O$100,CBIC_Late_Fee_Relief_Windows_3B!$D$1541:$D$100,"&lt;="&amp;B1541,CBIC_Late_Fee_Relief_Windows_3B!$E$1541:$E$100,"&gt;="&amp;B1541,CBIC_Late_Fee_Relief_Windows_3B!$F$1541:$F$100,"&lt;="&amp;C1541,CBIC_Late_Fee_Relief_Windows_3B!$G$1541:$G$100,"&gt;="&amp;C1541)</f>
        <v/>
      </c>
      <c r="H1541">
        <f>INDEX(CBIC_Late_Fee_Relief_Windows_3B!$I$1541:$I$100,MATCH(G1541,CBIC_Late_Fee_Relief_Windows_3B!$O$1541:$O$100,0))</f>
        <v/>
      </c>
      <c r="I1541">
        <f>MIN(F1541,H1541)</f>
        <v/>
      </c>
    </row>
    <row r="1542">
      <c r="A1542">
        <f>TEST_DATA!A1542</f>
        <v/>
      </c>
      <c r="B1542">
        <f>TEST_DATA!B1542</f>
        <v/>
      </c>
      <c r="C1542">
        <f>TEST_DATA!C1542</f>
        <v/>
      </c>
      <c r="D1542">
        <f>TEST_DATA!D1542</f>
        <v/>
      </c>
      <c r="E1542">
        <f>TEST_DATA!E1542</f>
        <v/>
      </c>
      <c r="F1542">
        <f>MIN(E1542*154200,10000)</f>
        <v/>
      </c>
      <c r="G1542">
        <f>MINIFS(CBIC_Late_Fee_Relief_Windows_3B!$O$1542:$O$100,CBIC_Late_Fee_Relief_Windows_3B!$D$1542:$D$100,"&lt;="&amp;B1542,CBIC_Late_Fee_Relief_Windows_3B!$E$1542:$E$100,"&gt;="&amp;B1542,CBIC_Late_Fee_Relief_Windows_3B!$F$1542:$F$100,"&lt;="&amp;C1542,CBIC_Late_Fee_Relief_Windows_3B!$G$1542:$G$100,"&gt;="&amp;C1542)</f>
        <v/>
      </c>
      <c r="H1542">
        <f>INDEX(CBIC_Late_Fee_Relief_Windows_3B!$I$1542:$I$100,MATCH(G1542,CBIC_Late_Fee_Relief_Windows_3B!$O$1542:$O$100,0))</f>
        <v/>
      </c>
      <c r="I1542">
        <f>MIN(F1542,H1542)</f>
        <v/>
      </c>
    </row>
    <row r="1543">
      <c r="A1543">
        <f>TEST_DATA!A1543</f>
        <v/>
      </c>
      <c r="B1543">
        <f>TEST_DATA!B1543</f>
        <v/>
      </c>
      <c r="C1543">
        <f>TEST_DATA!C1543</f>
        <v/>
      </c>
      <c r="D1543">
        <f>TEST_DATA!D1543</f>
        <v/>
      </c>
      <c r="E1543">
        <f>TEST_DATA!E1543</f>
        <v/>
      </c>
      <c r="F1543">
        <f>MIN(E1543*154300,10000)</f>
        <v/>
      </c>
      <c r="G1543">
        <f>MINIFS(CBIC_Late_Fee_Relief_Windows_3B!$O$1543:$O$100,CBIC_Late_Fee_Relief_Windows_3B!$D$1543:$D$100,"&lt;="&amp;B1543,CBIC_Late_Fee_Relief_Windows_3B!$E$1543:$E$100,"&gt;="&amp;B1543,CBIC_Late_Fee_Relief_Windows_3B!$F$1543:$F$100,"&lt;="&amp;C1543,CBIC_Late_Fee_Relief_Windows_3B!$G$1543:$G$100,"&gt;="&amp;C1543)</f>
        <v/>
      </c>
      <c r="H1543">
        <f>INDEX(CBIC_Late_Fee_Relief_Windows_3B!$I$1543:$I$100,MATCH(G1543,CBIC_Late_Fee_Relief_Windows_3B!$O$1543:$O$100,0))</f>
        <v/>
      </c>
      <c r="I1543">
        <f>MIN(F1543,H1543)</f>
        <v/>
      </c>
    </row>
    <row r="1544">
      <c r="A1544">
        <f>TEST_DATA!A1544</f>
        <v/>
      </c>
      <c r="B1544">
        <f>TEST_DATA!B1544</f>
        <v/>
      </c>
      <c r="C1544">
        <f>TEST_DATA!C1544</f>
        <v/>
      </c>
      <c r="D1544">
        <f>TEST_DATA!D1544</f>
        <v/>
      </c>
      <c r="E1544">
        <f>TEST_DATA!E1544</f>
        <v/>
      </c>
      <c r="F1544">
        <f>MIN(E1544*154400,10000)</f>
        <v/>
      </c>
      <c r="G1544">
        <f>MINIFS(CBIC_Late_Fee_Relief_Windows_3B!$O$1544:$O$100,CBIC_Late_Fee_Relief_Windows_3B!$D$1544:$D$100,"&lt;="&amp;B1544,CBIC_Late_Fee_Relief_Windows_3B!$E$1544:$E$100,"&gt;="&amp;B1544,CBIC_Late_Fee_Relief_Windows_3B!$F$1544:$F$100,"&lt;="&amp;C1544,CBIC_Late_Fee_Relief_Windows_3B!$G$1544:$G$100,"&gt;="&amp;C1544)</f>
        <v/>
      </c>
      <c r="H1544">
        <f>INDEX(CBIC_Late_Fee_Relief_Windows_3B!$I$1544:$I$100,MATCH(G1544,CBIC_Late_Fee_Relief_Windows_3B!$O$1544:$O$100,0))</f>
        <v/>
      </c>
      <c r="I1544">
        <f>MIN(F1544,H1544)</f>
        <v/>
      </c>
    </row>
    <row r="1545">
      <c r="A1545">
        <f>TEST_DATA!A1545</f>
        <v/>
      </c>
      <c r="B1545">
        <f>TEST_DATA!B1545</f>
        <v/>
      </c>
      <c r="C1545">
        <f>TEST_DATA!C1545</f>
        <v/>
      </c>
      <c r="D1545">
        <f>TEST_DATA!D1545</f>
        <v/>
      </c>
      <c r="E1545">
        <f>TEST_DATA!E1545</f>
        <v/>
      </c>
      <c r="F1545">
        <f>MIN(E1545*154500,10000)</f>
        <v/>
      </c>
      <c r="G1545">
        <f>MINIFS(CBIC_Late_Fee_Relief_Windows_3B!$O$1545:$O$100,CBIC_Late_Fee_Relief_Windows_3B!$D$1545:$D$100,"&lt;="&amp;B1545,CBIC_Late_Fee_Relief_Windows_3B!$E$1545:$E$100,"&gt;="&amp;B1545,CBIC_Late_Fee_Relief_Windows_3B!$F$1545:$F$100,"&lt;="&amp;C1545,CBIC_Late_Fee_Relief_Windows_3B!$G$1545:$G$100,"&gt;="&amp;C1545)</f>
        <v/>
      </c>
      <c r="H1545">
        <f>INDEX(CBIC_Late_Fee_Relief_Windows_3B!$I$1545:$I$100,MATCH(G1545,CBIC_Late_Fee_Relief_Windows_3B!$O$1545:$O$100,0))</f>
        <v/>
      </c>
      <c r="I1545">
        <f>MIN(F1545,H1545)</f>
        <v/>
      </c>
    </row>
    <row r="1546">
      <c r="A1546">
        <f>TEST_DATA!A1546</f>
        <v/>
      </c>
      <c r="B1546">
        <f>TEST_DATA!B1546</f>
        <v/>
      </c>
      <c r="C1546">
        <f>TEST_DATA!C1546</f>
        <v/>
      </c>
      <c r="D1546">
        <f>TEST_DATA!D1546</f>
        <v/>
      </c>
      <c r="E1546">
        <f>TEST_DATA!E1546</f>
        <v/>
      </c>
      <c r="F1546">
        <f>MIN(E1546*154600,10000)</f>
        <v/>
      </c>
      <c r="G1546">
        <f>MINIFS(CBIC_Late_Fee_Relief_Windows_3B!$O$1546:$O$100,CBIC_Late_Fee_Relief_Windows_3B!$D$1546:$D$100,"&lt;="&amp;B1546,CBIC_Late_Fee_Relief_Windows_3B!$E$1546:$E$100,"&gt;="&amp;B1546,CBIC_Late_Fee_Relief_Windows_3B!$F$1546:$F$100,"&lt;="&amp;C1546,CBIC_Late_Fee_Relief_Windows_3B!$G$1546:$G$100,"&gt;="&amp;C1546)</f>
        <v/>
      </c>
      <c r="H1546">
        <f>INDEX(CBIC_Late_Fee_Relief_Windows_3B!$I$1546:$I$100,MATCH(G1546,CBIC_Late_Fee_Relief_Windows_3B!$O$1546:$O$100,0))</f>
        <v/>
      </c>
      <c r="I1546">
        <f>MIN(F1546,H1546)</f>
        <v/>
      </c>
    </row>
    <row r="1547">
      <c r="A1547">
        <f>TEST_DATA!A1547</f>
        <v/>
      </c>
      <c r="B1547">
        <f>TEST_DATA!B1547</f>
        <v/>
      </c>
      <c r="C1547">
        <f>TEST_DATA!C1547</f>
        <v/>
      </c>
      <c r="D1547">
        <f>TEST_DATA!D1547</f>
        <v/>
      </c>
      <c r="E1547">
        <f>TEST_DATA!E1547</f>
        <v/>
      </c>
      <c r="F1547">
        <f>MIN(E1547*154700,10000)</f>
        <v/>
      </c>
      <c r="G1547">
        <f>MINIFS(CBIC_Late_Fee_Relief_Windows_3B!$O$1547:$O$100,CBIC_Late_Fee_Relief_Windows_3B!$D$1547:$D$100,"&lt;="&amp;B1547,CBIC_Late_Fee_Relief_Windows_3B!$E$1547:$E$100,"&gt;="&amp;B1547,CBIC_Late_Fee_Relief_Windows_3B!$F$1547:$F$100,"&lt;="&amp;C1547,CBIC_Late_Fee_Relief_Windows_3B!$G$1547:$G$100,"&gt;="&amp;C1547)</f>
        <v/>
      </c>
      <c r="H1547">
        <f>INDEX(CBIC_Late_Fee_Relief_Windows_3B!$I$1547:$I$100,MATCH(G1547,CBIC_Late_Fee_Relief_Windows_3B!$O$1547:$O$100,0))</f>
        <v/>
      </c>
      <c r="I1547">
        <f>MIN(F1547,H1547)</f>
        <v/>
      </c>
    </row>
    <row r="1548">
      <c r="A1548">
        <f>TEST_DATA!A1548</f>
        <v/>
      </c>
      <c r="B1548">
        <f>TEST_DATA!B1548</f>
        <v/>
      </c>
      <c r="C1548">
        <f>TEST_DATA!C1548</f>
        <v/>
      </c>
      <c r="D1548">
        <f>TEST_DATA!D1548</f>
        <v/>
      </c>
      <c r="E1548">
        <f>TEST_DATA!E1548</f>
        <v/>
      </c>
      <c r="F1548">
        <f>MIN(E1548*154800,10000)</f>
        <v/>
      </c>
      <c r="G1548">
        <f>MINIFS(CBIC_Late_Fee_Relief_Windows_3B!$O$1548:$O$100,CBIC_Late_Fee_Relief_Windows_3B!$D$1548:$D$100,"&lt;="&amp;B1548,CBIC_Late_Fee_Relief_Windows_3B!$E$1548:$E$100,"&gt;="&amp;B1548,CBIC_Late_Fee_Relief_Windows_3B!$F$1548:$F$100,"&lt;="&amp;C1548,CBIC_Late_Fee_Relief_Windows_3B!$G$1548:$G$100,"&gt;="&amp;C1548)</f>
        <v/>
      </c>
      <c r="H1548">
        <f>INDEX(CBIC_Late_Fee_Relief_Windows_3B!$I$1548:$I$100,MATCH(G1548,CBIC_Late_Fee_Relief_Windows_3B!$O$1548:$O$100,0))</f>
        <v/>
      </c>
      <c r="I1548">
        <f>MIN(F1548,H1548)</f>
        <v/>
      </c>
    </row>
    <row r="1549">
      <c r="A1549">
        <f>TEST_DATA!A1549</f>
        <v/>
      </c>
      <c r="B1549">
        <f>TEST_DATA!B1549</f>
        <v/>
      </c>
      <c r="C1549">
        <f>TEST_DATA!C1549</f>
        <v/>
      </c>
      <c r="D1549">
        <f>TEST_DATA!D1549</f>
        <v/>
      </c>
      <c r="E1549">
        <f>TEST_DATA!E1549</f>
        <v/>
      </c>
      <c r="F1549">
        <f>MIN(E1549*154900,10000)</f>
        <v/>
      </c>
      <c r="G1549">
        <f>MINIFS(CBIC_Late_Fee_Relief_Windows_3B!$O$1549:$O$100,CBIC_Late_Fee_Relief_Windows_3B!$D$1549:$D$100,"&lt;="&amp;B1549,CBIC_Late_Fee_Relief_Windows_3B!$E$1549:$E$100,"&gt;="&amp;B1549,CBIC_Late_Fee_Relief_Windows_3B!$F$1549:$F$100,"&lt;="&amp;C1549,CBIC_Late_Fee_Relief_Windows_3B!$G$1549:$G$100,"&gt;="&amp;C1549)</f>
        <v/>
      </c>
      <c r="H1549">
        <f>INDEX(CBIC_Late_Fee_Relief_Windows_3B!$I$1549:$I$100,MATCH(G1549,CBIC_Late_Fee_Relief_Windows_3B!$O$1549:$O$100,0))</f>
        <v/>
      </c>
      <c r="I1549">
        <f>MIN(F1549,H1549)</f>
        <v/>
      </c>
    </row>
    <row r="1550">
      <c r="A1550">
        <f>TEST_DATA!A1550</f>
        <v/>
      </c>
      <c r="B1550">
        <f>TEST_DATA!B1550</f>
        <v/>
      </c>
      <c r="C1550">
        <f>TEST_DATA!C1550</f>
        <v/>
      </c>
      <c r="D1550">
        <f>TEST_DATA!D1550</f>
        <v/>
      </c>
      <c r="E1550">
        <f>TEST_DATA!E1550</f>
        <v/>
      </c>
      <c r="F1550">
        <f>MIN(E1550*155000,10000)</f>
        <v/>
      </c>
      <c r="G1550">
        <f>MINIFS(CBIC_Late_Fee_Relief_Windows_3B!$O$1550:$O$100,CBIC_Late_Fee_Relief_Windows_3B!$D$1550:$D$100,"&lt;="&amp;B1550,CBIC_Late_Fee_Relief_Windows_3B!$E$1550:$E$100,"&gt;="&amp;B1550,CBIC_Late_Fee_Relief_Windows_3B!$F$1550:$F$100,"&lt;="&amp;C1550,CBIC_Late_Fee_Relief_Windows_3B!$G$1550:$G$100,"&gt;="&amp;C1550)</f>
        <v/>
      </c>
      <c r="H1550">
        <f>INDEX(CBIC_Late_Fee_Relief_Windows_3B!$I$1550:$I$100,MATCH(G1550,CBIC_Late_Fee_Relief_Windows_3B!$O$1550:$O$100,0))</f>
        <v/>
      </c>
      <c r="I1550">
        <f>MIN(F1550,H1550)</f>
        <v/>
      </c>
    </row>
    <row r="1551">
      <c r="A1551">
        <f>TEST_DATA!A1551</f>
        <v/>
      </c>
      <c r="B1551">
        <f>TEST_DATA!B1551</f>
        <v/>
      </c>
      <c r="C1551">
        <f>TEST_DATA!C1551</f>
        <v/>
      </c>
      <c r="D1551">
        <f>TEST_DATA!D1551</f>
        <v/>
      </c>
      <c r="E1551">
        <f>TEST_DATA!E1551</f>
        <v/>
      </c>
      <c r="F1551">
        <f>MIN(E1551*155100,10000)</f>
        <v/>
      </c>
      <c r="G1551">
        <f>MINIFS(CBIC_Late_Fee_Relief_Windows_3B!$O$1551:$O$100,CBIC_Late_Fee_Relief_Windows_3B!$D$1551:$D$100,"&lt;="&amp;B1551,CBIC_Late_Fee_Relief_Windows_3B!$E$1551:$E$100,"&gt;="&amp;B1551,CBIC_Late_Fee_Relief_Windows_3B!$F$1551:$F$100,"&lt;="&amp;C1551,CBIC_Late_Fee_Relief_Windows_3B!$G$1551:$G$100,"&gt;="&amp;C1551)</f>
        <v/>
      </c>
      <c r="H1551">
        <f>INDEX(CBIC_Late_Fee_Relief_Windows_3B!$I$1551:$I$100,MATCH(G1551,CBIC_Late_Fee_Relief_Windows_3B!$O$1551:$O$100,0))</f>
        <v/>
      </c>
      <c r="I1551">
        <f>MIN(F1551,H1551)</f>
        <v/>
      </c>
    </row>
    <row r="1552">
      <c r="A1552">
        <f>TEST_DATA!A1552</f>
        <v/>
      </c>
      <c r="B1552">
        <f>TEST_DATA!B1552</f>
        <v/>
      </c>
      <c r="C1552">
        <f>TEST_DATA!C1552</f>
        <v/>
      </c>
      <c r="D1552">
        <f>TEST_DATA!D1552</f>
        <v/>
      </c>
      <c r="E1552">
        <f>TEST_DATA!E1552</f>
        <v/>
      </c>
      <c r="F1552">
        <f>MIN(E1552*155200,10000)</f>
        <v/>
      </c>
      <c r="G1552">
        <f>MINIFS(CBIC_Late_Fee_Relief_Windows_3B!$O$1552:$O$100,CBIC_Late_Fee_Relief_Windows_3B!$D$1552:$D$100,"&lt;="&amp;B1552,CBIC_Late_Fee_Relief_Windows_3B!$E$1552:$E$100,"&gt;="&amp;B1552,CBIC_Late_Fee_Relief_Windows_3B!$F$1552:$F$100,"&lt;="&amp;C1552,CBIC_Late_Fee_Relief_Windows_3B!$G$1552:$G$100,"&gt;="&amp;C1552)</f>
        <v/>
      </c>
      <c r="H1552">
        <f>INDEX(CBIC_Late_Fee_Relief_Windows_3B!$I$1552:$I$100,MATCH(G1552,CBIC_Late_Fee_Relief_Windows_3B!$O$1552:$O$100,0))</f>
        <v/>
      </c>
      <c r="I1552">
        <f>MIN(F1552,H1552)</f>
        <v/>
      </c>
    </row>
    <row r="1553">
      <c r="A1553">
        <f>TEST_DATA!A1553</f>
        <v/>
      </c>
      <c r="B1553">
        <f>TEST_DATA!B1553</f>
        <v/>
      </c>
      <c r="C1553">
        <f>TEST_DATA!C1553</f>
        <v/>
      </c>
      <c r="D1553">
        <f>TEST_DATA!D1553</f>
        <v/>
      </c>
      <c r="E1553">
        <f>TEST_DATA!E1553</f>
        <v/>
      </c>
      <c r="F1553">
        <f>MIN(E1553*155300,10000)</f>
        <v/>
      </c>
      <c r="G1553">
        <f>MINIFS(CBIC_Late_Fee_Relief_Windows_3B!$O$1553:$O$100,CBIC_Late_Fee_Relief_Windows_3B!$D$1553:$D$100,"&lt;="&amp;B1553,CBIC_Late_Fee_Relief_Windows_3B!$E$1553:$E$100,"&gt;="&amp;B1553,CBIC_Late_Fee_Relief_Windows_3B!$F$1553:$F$100,"&lt;="&amp;C1553,CBIC_Late_Fee_Relief_Windows_3B!$G$1553:$G$100,"&gt;="&amp;C1553)</f>
        <v/>
      </c>
      <c r="H1553">
        <f>INDEX(CBIC_Late_Fee_Relief_Windows_3B!$I$1553:$I$100,MATCH(G1553,CBIC_Late_Fee_Relief_Windows_3B!$O$1553:$O$100,0))</f>
        <v/>
      </c>
      <c r="I1553">
        <f>MIN(F1553,H1553)</f>
        <v/>
      </c>
    </row>
    <row r="1554">
      <c r="A1554">
        <f>TEST_DATA!A1554</f>
        <v/>
      </c>
      <c r="B1554">
        <f>TEST_DATA!B1554</f>
        <v/>
      </c>
      <c r="C1554">
        <f>TEST_DATA!C1554</f>
        <v/>
      </c>
      <c r="D1554">
        <f>TEST_DATA!D1554</f>
        <v/>
      </c>
      <c r="E1554">
        <f>TEST_DATA!E1554</f>
        <v/>
      </c>
      <c r="F1554">
        <f>MIN(E1554*155400,10000)</f>
        <v/>
      </c>
      <c r="G1554">
        <f>MINIFS(CBIC_Late_Fee_Relief_Windows_3B!$O$1554:$O$100,CBIC_Late_Fee_Relief_Windows_3B!$D$1554:$D$100,"&lt;="&amp;B1554,CBIC_Late_Fee_Relief_Windows_3B!$E$1554:$E$100,"&gt;="&amp;B1554,CBIC_Late_Fee_Relief_Windows_3B!$F$1554:$F$100,"&lt;="&amp;C1554,CBIC_Late_Fee_Relief_Windows_3B!$G$1554:$G$100,"&gt;="&amp;C1554)</f>
        <v/>
      </c>
      <c r="H1554">
        <f>INDEX(CBIC_Late_Fee_Relief_Windows_3B!$I$1554:$I$100,MATCH(G1554,CBIC_Late_Fee_Relief_Windows_3B!$O$1554:$O$100,0))</f>
        <v/>
      </c>
      <c r="I1554">
        <f>MIN(F1554,H1554)</f>
        <v/>
      </c>
    </row>
    <row r="1555">
      <c r="A1555">
        <f>TEST_DATA!A1555</f>
        <v/>
      </c>
      <c r="B1555">
        <f>TEST_DATA!B1555</f>
        <v/>
      </c>
      <c r="C1555">
        <f>TEST_DATA!C1555</f>
        <v/>
      </c>
      <c r="D1555">
        <f>TEST_DATA!D1555</f>
        <v/>
      </c>
      <c r="E1555">
        <f>TEST_DATA!E1555</f>
        <v/>
      </c>
      <c r="F1555">
        <f>MIN(E1555*155500,10000)</f>
        <v/>
      </c>
      <c r="G1555">
        <f>MINIFS(CBIC_Late_Fee_Relief_Windows_3B!$O$1555:$O$100,CBIC_Late_Fee_Relief_Windows_3B!$D$1555:$D$100,"&lt;="&amp;B1555,CBIC_Late_Fee_Relief_Windows_3B!$E$1555:$E$100,"&gt;="&amp;B1555,CBIC_Late_Fee_Relief_Windows_3B!$F$1555:$F$100,"&lt;="&amp;C1555,CBIC_Late_Fee_Relief_Windows_3B!$G$1555:$G$100,"&gt;="&amp;C1555)</f>
        <v/>
      </c>
      <c r="H1555">
        <f>INDEX(CBIC_Late_Fee_Relief_Windows_3B!$I$1555:$I$100,MATCH(G1555,CBIC_Late_Fee_Relief_Windows_3B!$O$1555:$O$100,0))</f>
        <v/>
      </c>
      <c r="I1555">
        <f>MIN(F1555,H1555)</f>
        <v/>
      </c>
    </row>
    <row r="1556">
      <c r="A1556">
        <f>TEST_DATA!A1556</f>
        <v/>
      </c>
      <c r="B1556">
        <f>TEST_DATA!B1556</f>
        <v/>
      </c>
      <c r="C1556">
        <f>TEST_DATA!C1556</f>
        <v/>
      </c>
      <c r="D1556">
        <f>TEST_DATA!D1556</f>
        <v/>
      </c>
      <c r="E1556">
        <f>TEST_DATA!E1556</f>
        <v/>
      </c>
      <c r="F1556">
        <f>MIN(E1556*155600,10000)</f>
        <v/>
      </c>
      <c r="G1556">
        <f>MINIFS(CBIC_Late_Fee_Relief_Windows_3B!$O$1556:$O$100,CBIC_Late_Fee_Relief_Windows_3B!$D$1556:$D$100,"&lt;="&amp;B1556,CBIC_Late_Fee_Relief_Windows_3B!$E$1556:$E$100,"&gt;="&amp;B1556,CBIC_Late_Fee_Relief_Windows_3B!$F$1556:$F$100,"&lt;="&amp;C1556,CBIC_Late_Fee_Relief_Windows_3B!$G$1556:$G$100,"&gt;="&amp;C1556)</f>
        <v/>
      </c>
      <c r="H1556">
        <f>INDEX(CBIC_Late_Fee_Relief_Windows_3B!$I$1556:$I$100,MATCH(G1556,CBIC_Late_Fee_Relief_Windows_3B!$O$1556:$O$100,0))</f>
        <v/>
      </c>
      <c r="I1556">
        <f>MIN(F1556,H1556)</f>
        <v/>
      </c>
    </row>
    <row r="1557">
      <c r="A1557">
        <f>TEST_DATA!A1557</f>
        <v/>
      </c>
      <c r="B1557">
        <f>TEST_DATA!B1557</f>
        <v/>
      </c>
      <c r="C1557">
        <f>TEST_DATA!C1557</f>
        <v/>
      </c>
      <c r="D1557">
        <f>TEST_DATA!D1557</f>
        <v/>
      </c>
      <c r="E1557">
        <f>TEST_DATA!E1557</f>
        <v/>
      </c>
      <c r="F1557">
        <f>MIN(E1557*155700,10000)</f>
        <v/>
      </c>
      <c r="G1557">
        <f>MINIFS(CBIC_Late_Fee_Relief_Windows_3B!$O$1557:$O$100,CBIC_Late_Fee_Relief_Windows_3B!$D$1557:$D$100,"&lt;="&amp;B1557,CBIC_Late_Fee_Relief_Windows_3B!$E$1557:$E$100,"&gt;="&amp;B1557,CBIC_Late_Fee_Relief_Windows_3B!$F$1557:$F$100,"&lt;="&amp;C1557,CBIC_Late_Fee_Relief_Windows_3B!$G$1557:$G$100,"&gt;="&amp;C1557)</f>
        <v/>
      </c>
      <c r="H1557">
        <f>INDEX(CBIC_Late_Fee_Relief_Windows_3B!$I$1557:$I$100,MATCH(G1557,CBIC_Late_Fee_Relief_Windows_3B!$O$1557:$O$100,0))</f>
        <v/>
      </c>
      <c r="I1557">
        <f>MIN(F1557,H1557)</f>
        <v/>
      </c>
    </row>
    <row r="1558">
      <c r="A1558">
        <f>TEST_DATA!A1558</f>
        <v/>
      </c>
      <c r="B1558">
        <f>TEST_DATA!B1558</f>
        <v/>
      </c>
      <c r="C1558">
        <f>TEST_DATA!C1558</f>
        <v/>
      </c>
      <c r="D1558">
        <f>TEST_DATA!D1558</f>
        <v/>
      </c>
      <c r="E1558">
        <f>TEST_DATA!E1558</f>
        <v/>
      </c>
      <c r="F1558">
        <f>MIN(E1558*155800,10000)</f>
        <v/>
      </c>
      <c r="G1558">
        <f>MINIFS(CBIC_Late_Fee_Relief_Windows_3B!$O$1558:$O$100,CBIC_Late_Fee_Relief_Windows_3B!$D$1558:$D$100,"&lt;="&amp;B1558,CBIC_Late_Fee_Relief_Windows_3B!$E$1558:$E$100,"&gt;="&amp;B1558,CBIC_Late_Fee_Relief_Windows_3B!$F$1558:$F$100,"&lt;="&amp;C1558,CBIC_Late_Fee_Relief_Windows_3B!$G$1558:$G$100,"&gt;="&amp;C1558)</f>
        <v/>
      </c>
      <c r="H1558">
        <f>INDEX(CBIC_Late_Fee_Relief_Windows_3B!$I$1558:$I$100,MATCH(G1558,CBIC_Late_Fee_Relief_Windows_3B!$O$1558:$O$100,0))</f>
        <v/>
      </c>
      <c r="I1558">
        <f>MIN(F1558,H1558)</f>
        <v/>
      </c>
    </row>
    <row r="1559">
      <c r="A1559">
        <f>TEST_DATA!A1559</f>
        <v/>
      </c>
      <c r="B1559">
        <f>TEST_DATA!B1559</f>
        <v/>
      </c>
      <c r="C1559">
        <f>TEST_DATA!C1559</f>
        <v/>
      </c>
      <c r="D1559">
        <f>TEST_DATA!D1559</f>
        <v/>
      </c>
      <c r="E1559">
        <f>TEST_DATA!E1559</f>
        <v/>
      </c>
      <c r="F1559">
        <f>MIN(E1559*155900,10000)</f>
        <v/>
      </c>
      <c r="G1559">
        <f>MINIFS(CBIC_Late_Fee_Relief_Windows_3B!$O$1559:$O$100,CBIC_Late_Fee_Relief_Windows_3B!$D$1559:$D$100,"&lt;="&amp;B1559,CBIC_Late_Fee_Relief_Windows_3B!$E$1559:$E$100,"&gt;="&amp;B1559,CBIC_Late_Fee_Relief_Windows_3B!$F$1559:$F$100,"&lt;="&amp;C1559,CBIC_Late_Fee_Relief_Windows_3B!$G$1559:$G$100,"&gt;="&amp;C1559)</f>
        <v/>
      </c>
      <c r="H1559">
        <f>INDEX(CBIC_Late_Fee_Relief_Windows_3B!$I$1559:$I$100,MATCH(G1559,CBIC_Late_Fee_Relief_Windows_3B!$O$1559:$O$100,0))</f>
        <v/>
      </c>
      <c r="I1559">
        <f>MIN(F1559,H1559)</f>
        <v/>
      </c>
    </row>
    <row r="1560">
      <c r="A1560">
        <f>TEST_DATA!A1560</f>
        <v/>
      </c>
      <c r="B1560">
        <f>TEST_DATA!B1560</f>
        <v/>
      </c>
      <c r="C1560">
        <f>TEST_DATA!C1560</f>
        <v/>
      </c>
      <c r="D1560">
        <f>TEST_DATA!D1560</f>
        <v/>
      </c>
      <c r="E1560">
        <f>TEST_DATA!E1560</f>
        <v/>
      </c>
      <c r="F1560">
        <f>MIN(E1560*156000,10000)</f>
        <v/>
      </c>
      <c r="G1560">
        <f>MINIFS(CBIC_Late_Fee_Relief_Windows_3B!$O$1560:$O$100,CBIC_Late_Fee_Relief_Windows_3B!$D$1560:$D$100,"&lt;="&amp;B1560,CBIC_Late_Fee_Relief_Windows_3B!$E$1560:$E$100,"&gt;="&amp;B1560,CBIC_Late_Fee_Relief_Windows_3B!$F$1560:$F$100,"&lt;="&amp;C1560,CBIC_Late_Fee_Relief_Windows_3B!$G$1560:$G$100,"&gt;="&amp;C1560)</f>
        <v/>
      </c>
      <c r="H1560">
        <f>INDEX(CBIC_Late_Fee_Relief_Windows_3B!$I$1560:$I$100,MATCH(G1560,CBIC_Late_Fee_Relief_Windows_3B!$O$1560:$O$100,0))</f>
        <v/>
      </c>
      <c r="I1560">
        <f>MIN(F1560,H1560)</f>
        <v/>
      </c>
    </row>
    <row r="1561">
      <c r="A1561">
        <f>TEST_DATA!A1561</f>
        <v/>
      </c>
      <c r="B1561">
        <f>TEST_DATA!B1561</f>
        <v/>
      </c>
      <c r="C1561">
        <f>TEST_DATA!C1561</f>
        <v/>
      </c>
      <c r="D1561">
        <f>TEST_DATA!D1561</f>
        <v/>
      </c>
      <c r="E1561">
        <f>TEST_DATA!E1561</f>
        <v/>
      </c>
      <c r="F1561">
        <f>MIN(E1561*156100,10000)</f>
        <v/>
      </c>
      <c r="G1561">
        <f>MINIFS(CBIC_Late_Fee_Relief_Windows_3B!$O$1561:$O$100,CBIC_Late_Fee_Relief_Windows_3B!$D$1561:$D$100,"&lt;="&amp;B1561,CBIC_Late_Fee_Relief_Windows_3B!$E$1561:$E$100,"&gt;="&amp;B1561,CBIC_Late_Fee_Relief_Windows_3B!$F$1561:$F$100,"&lt;="&amp;C1561,CBIC_Late_Fee_Relief_Windows_3B!$G$1561:$G$100,"&gt;="&amp;C1561)</f>
        <v/>
      </c>
      <c r="H1561">
        <f>INDEX(CBIC_Late_Fee_Relief_Windows_3B!$I$1561:$I$100,MATCH(G1561,CBIC_Late_Fee_Relief_Windows_3B!$O$1561:$O$100,0))</f>
        <v/>
      </c>
      <c r="I1561">
        <f>MIN(F1561,H1561)</f>
        <v/>
      </c>
    </row>
    <row r="1562">
      <c r="A1562">
        <f>TEST_DATA!A1562</f>
        <v/>
      </c>
      <c r="B1562">
        <f>TEST_DATA!B1562</f>
        <v/>
      </c>
      <c r="C1562">
        <f>TEST_DATA!C1562</f>
        <v/>
      </c>
      <c r="D1562">
        <f>TEST_DATA!D1562</f>
        <v/>
      </c>
      <c r="E1562">
        <f>TEST_DATA!E1562</f>
        <v/>
      </c>
      <c r="F1562">
        <f>MIN(E1562*156200,10000)</f>
        <v/>
      </c>
      <c r="G1562">
        <f>MINIFS(CBIC_Late_Fee_Relief_Windows_3B!$O$1562:$O$100,CBIC_Late_Fee_Relief_Windows_3B!$D$1562:$D$100,"&lt;="&amp;B1562,CBIC_Late_Fee_Relief_Windows_3B!$E$1562:$E$100,"&gt;="&amp;B1562,CBIC_Late_Fee_Relief_Windows_3B!$F$1562:$F$100,"&lt;="&amp;C1562,CBIC_Late_Fee_Relief_Windows_3B!$G$1562:$G$100,"&gt;="&amp;C1562)</f>
        <v/>
      </c>
      <c r="H1562">
        <f>INDEX(CBIC_Late_Fee_Relief_Windows_3B!$I$1562:$I$100,MATCH(G1562,CBIC_Late_Fee_Relief_Windows_3B!$O$1562:$O$100,0))</f>
        <v/>
      </c>
      <c r="I1562">
        <f>MIN(F1562,H1562)</f>
        <v/>
      </c>
    </row>
    <row r="1563">
      <c r="A1563">
        <f>TEST_DATA!A1563</f>
        <v/>
      </c>
      <c r="B1563">
        <f>TEST_DATA!B1563</f>
        <v/>
      </c>
      <c r="C1563">
        <f>TEST_DATA!C1563</f>
        <v/>
      </c>
      <c r="D1563">
        <f>TEST_DATA!D1563</f>
        <v/>
      </c>
      <c r="E1563">
        <f>TEST_DATA!E1563</f>
        <v/>
      </c>
      <c r="F1563">
        <f>MIN(E1563*156300,10000)</f>
        <v/>
      </c>
      <c r="G1563">
        <f>MINIFS(CBIC_Late_Fee_Relief_Windows_3B!$O$1563:$O$100,CBIC_Late_Fee_Relief_Windows_3B!$D$1563:$D$100,"&lt;="&amp;B1563,CBIC_Late_Fee_Relief_Windows_3B!$E$1563:$E$100,"&gt;="&amp;B1563,CBIC_Late_Fee_Relief_Windows_3B!$F$1563:$F$100,"&lt;="&amp;C1563,CBIC_Late_Fee_Relief_Windows_3B!$G$1563:$G$100,"&gt;="&amp;C1563)</f>
        <v/>
      </c>
      <c r="H1563">
        <f>INDEX(CBIC_Late_Fee_Relief_Windows_3B!$I$1563:$I$100,MATCH(G1563,CBIC_Late_Fee_Relief_Windows_3B!$O$1563:$O$100,0))</f>
        <v/>
      </c>
      <c r="I1563">
        <f>MIN(F1563,H1563)</f>
        <v/>
      </c>
    </row>
    <row r="1564">
      <c r="A1564">
        <f>TEST_DATA!A1564</f>
        <v/>
      </c>
      <c r="B1564">
        <f>TEST_DATA!B1564</f>
        <v/>
      </c>
      <c r="C1564">
        <f>TEST_DATA!C1564</f>
        <v/>
      </c>
      <c r="D1564">
        <f>TEST_DATA!D1564</f>
        <v/>
      </c>
      <c r="E1564">
        <f>TEST_DATA!E1564</f>
        <v/>
      </c>
      <c r="F1564">
        <f>MIN(E1564*156400,10000)</f>
        <v/>
      </c>
      <c r="G1564">
        <f>MINIFS(CBIC_Late_Fee_Relief_Windows_3B!$O$1564:$O$100,CBIC_Late_Fee_Relief_Windows_3B!$D$1564:$D$100,"&lt;="&amp;B1564,CBIC_Late_Fee_Relief_Windows_3B!$E$1564:$E$100,"&gt;="&amp;B1564,CBIC_Late_Fee_Relief_Windows_3B!$F$1564:$F$100,"&lt;="&amp;C1564,CBIC_Late_Fee_Relief_Windows_3B!$G$1564:$G$100,"&gt;="&amp;C1564)</f>
        <v/>
      </c>
      <c r="H1564">
        <f>INDEX(CBIC_Late_Fee_Relief_Windows_3B!$I$1564:$I$100,MATCH(G1564,CBIC_Late_Fee_Relief_Windows_3B!$O$1564:$O$100,0))</f>
        <v/>
      </c>
      <c r="I1564">
        <f>MIN(F1564,H1564)</f>
        <v/>
      </c>
    </row>
    <row r="1565">
      <c r="A1565">
        <f>TEST_DATA!A1565</f>
        <v/>
      </c>
      <c r="B1565">
        <f>TEST_DATA!B1565</f>
        <v/>
      </c>
      <c r="C1565">
        <f>TEST_DATA!C1565</f>
        <v/>
      </c>
      <c r="D1565">
        <f>TEST_DATA!D1565</f>
        <v/>
      </c>
      <c r="E1565">
        <f>TEST_DATA!E1565</f>
        <v/>
      </c>
      <c r="F1565">
        <f>MIN(E1565*156500,10000)</f>
        <v/>
      </c>
      <c r="G1565">
        <f>MINIFS(CBIC_Late_Fee_Relief_Windows_3B!$O$1565:$O$100,CBIC_Late_Fee_Relief_Windows_3B!$D$1565:$D$100,"&lt;="&amp;B1565,CBIC_Late_Fee_Relief_Windows_3B!$E$1565:$E$100,"&gt;="&amp;B1565,CBIC_Late_Fee_Relief_Windows_3B!$F$1565:$F$100,"&lt;="&amp;C1565,CBIC_Late_Fee_Relief_Windows_3B!$G$1565:$G$100,"&gt;="&amp;C1565)</f>
        <v/>
      </c>
      <c r="H1565">
        <f>INDEX(CBIC_Late_Fee_Relief_Windows_3B!$I$1565:$I$100,MATCH(G1565,CBIC_Late_Fee_Relief_Windows_3B!$O$1565:$O$100,0))</f>
        <v/>
      </c>
      <c r="I1565">
        <f>MIN(F1565,H1565)</f>
        <v/>
      </c>
    </row>
    <row r="1566">
      <c r="A1566">
        <f>TEST_DATA!A1566</f>
        <v/>
      </c>
      <c r="B1566">
        <f>TEST_DATA!B1566</f>
        <v/>
      </c>
      <c r="C1566">
        <f>TEST_DATA!C1566</f>
        <v/>
      </c>
      <c r="D1566">
        <f>TEST_DATA!D1566</f>
        <v/>
      </c>
      <c r="E1566">
        <f>TEST_DATA!E1566</f>
        <v/>
      </c>
      <c r="F1566">
        <f>MIN(E1566*156600,10000)</f>
        <v/>
      </c>
      <c r="G1566">
        <f>MINIFS(CBIC_Late_Fee_Relief_Windows_3B!$O$1566:$O$100,CBIC_Late_Fee_Relief_Windows_3B!$D$1566:$D$100,"&lt;="&amp;B1566,CBIC_Late_Fee_Relief_Windows_3B!$E$1566:$E$100,"&gt;="&amp;B1566,CBIC_Late_Fee_Relief_Windows_3B!$F$1566:$F$100,"&lt;="&amp;C1566,CBIC_Late_Fee_Relief_Windows_3B!$G$1566:$G$100,"&gt;="&amp;C1566)</f>
        <v/>
      </c>
      <c r="H1566">
        <f>INDEX(CBIC_Late_Fee_Relief_Windows_3B!$I$1566:$I$100,MATCH(G1566,CBIC_Late_Fee_Relief_Windows_3B!$O$1566:$O$100,0))</f>
        <v/>
      </c>
      <c r="I1566">
        <f>MIN(F1566,H1566)</f>
        <v/>
      </c>
    </row>
    <row r="1567">
      <c r="A1567">
        <f>TEST_DATA!A1567</f>
        <v/>
      </c>
      <c r="B1567">
        <f>TEST_DATA!B1567</f>
        <v/>
      </c>
      <c r="C1567">
        <f>TEST_DATA!C1567</f>
        <v/>
      </c>
      <c r="D1567">
        <f>TEST_DATA!D1567</f>
        <v/>
      </c>
      <c r="E1567">
        <f>TEST_DATA!E1567</f>
        <v/>
      </c>
      <c r="F1567">
        <f>MIN(E1567*156700,10000)</f>
        <v/>
      </c>
      <c r="G1567">
        <f>MINIFS(CBIC_Late_Fee_Relief_Windows_3B!$O$1567:$O$100,CBIC_Late_Fee_Relief_Windows_3B!$D$1567:$D$100,"&lt;="&amp;B1567,CBIC_Late_Fee_Relief_Windows_3B!$E$1567:$E$100,"&gt;="&amp;B1567,CBIC_Late_Fee_Relief_Windows_3B!$F$1567:$F$100,"&lt;="&amp;C1567,CBIC_Late_Fee_Relief_Windows_3B!$G$1567:$G$100,"&gt;="&amp;C1567)</f>
        <v/>
      </c>
      <c r="H1567">
        <f>INDEX(CBIC_Late_Fee_Relief_Windows_3B!$I$1567:$I$100,MATCH(G1567,CBIC_Late_Fee_Relief_Windows_3B!$O$1567:$O$100,0))</f>
        <v/>
      </c>
      <c r="I1567">
        <f>MIN(F1567,H1567)</f>
        <v/>
      </c>
    </row>
    <row r="1568">
      <c r="A1568">
        <f>TEST_DATA!A1568</f>
        <v/>
      </c>
      <c r="B1568">
        <f>TEST_DATA!B1568</f>
        <v/>
      </c>
      <c r="C1568">
        <f>TEST_DATA!C1568</f>
        <v/>
      </c>
      <c r="D1568">
        <f>TEST_DATA!D1568</f>
        <v/>
      </c>
      <c r="E1568">
        <f>TEST_DATA!E1568</f>
        <v/>
      </c>
      <c r="F1568">
        <f>MIN(E1568*156800,10000)</f>
        <v/>
      </c>
      <c r="G1568">
        <f>MINIFS(CBIC_Late_Fee_Relief_Windows_3B!$O$1568:$O$100,CBIC_Late_Fee_Relief_Windows_3B!$D$1568:$D$100,"&lt;="&amp;B1568,CBIC_Late_Fee_Relief_Windows_3B!$E$1568:$E$100,"&gt;="&amp;B1568,CBIC_Late_Fee_Relief_Windows_3B!$F$1568:$F$100,"&lt;="&amp;C1568,CBIC_Late_Fee_Relief_Windows_3B!$G$1568:$G$100,"&gt;="&amp;C1568)</f>
        <v/>
      </c>
      <c r="H1568">
        <f>INDEX(CBIC_Late_Fee_Relief_Windows_3B!$I$1568:$I$100,MATCH(G1568,CBIC_Late_Fee_Relief_Windows_3B!$O$1568:$O$100,0))</f>
        <v/>
      </c>
      <c r="I1568">
        <f>MIN(F1568,H1568)</f>
        <v/>
      </c>
    </row>
    <row r="1569">
      <c r="A1569">
        <f>TEST_DATA!A1569</f>
        <v/>
      </c>
      <c r="B1569">
        <f>TEST_DATA!B1569</f>
        <v/>
      </c>
      <c r="C1569">
        <f>TEST_DATA!C1569</f>
        <v/>
      </c>
      <c r="D1569">
        <f>TEST_DATA!D1569</f>
        <v/>
      </c>
      <c r="E1569">
        <f>TEST_DATA!E1569</f>
        <v/>
      </c>
      <c r="F1569">
        <f>MIN(E1569*156900,10000)</f>
        <v/>
      </c>
      <c r="G1569">
        <f>MINIFS(CBIC_Late_Fee_Relief_Windows_3B!$O$1569:$O$100,CBIC_Late_Fee_Relief_Windows_3B!$D$1569:$D$100,"&lt;="&amp;B1569,CBIC_Late_Fee_Relief_Windows_3B!$E$1569:$E$100,"&gt;="&amp;B1569,CBIC_Late_Fee_Relief_Windows_3B!$F$1569:$F$100,"&lt;="&amp;C1569,CBIC_Late_Fee_Relief_Windows_3B!$G$1569:$G$100,"&gt;="&amp;C1569)</f>
        <v/>
      </c>
      <c r="H1569">
        <f>INDEX(CBIC_Late_Fee_Relief_Windows_3B!$I$1569:$I$100,MATCH(G1569,CBIC_Late_Fee_Relief_Windows_3B!$O$1569:$O$100,0))</f>
        <v/>
      </c>
      <c r="I1569">
        <f>MIN(F1569,H1569)</f>
        <v/>
      </c>
    </row>
    <row r="1570">
      <c r="A1570">
        <f>TEST_DATA!A1570</f>
        <v/>
      </c>
      <c r="B1570">
        <f>TEST_DATA!B1570</f>
        <v/>
      </c>
      <c r="C1570">
        <f>TEST_DATA!C1570</f>
        <v/>
      </c>
      <c r="D1570">
        <f>TEST_DATA!D1570</f>
        <v/>
      </c>
      <c r="E1570">
        <f>TEST_DATA!E1570</f>
        <v/>
      </c>
      <c r="F1570">
        <f>MIN(E1570*157000,10000)</f>
        <v/>
      </c>
      <c r="G1570">
        <f>MINIFS(CBIC_Late_Fee_Relief_Windows_3B!$O$1570:$O$100,CBIC_Late_Fee_Relief_Windows_3B!$D$1570:$D$100,"&lt;="&amp;B1570,CBIC_Late_Fee_Relief_Windows_3B!$E$1570:$E$100,"&gt;="&amp;B1570,CBIC_Late_Fee_Relief_Windows_3B!$F$1570:$F$100,"&lt;="&amp;C1570,CBIC_Late_Fee_Relief_Windows_3B!$G$1570:$G$100,"&gt;="&amp;C1570)</f>
        <v/>
      </c>
      <c r="H1570">
        <f>INDEX(CBIC_Late_Fee_Relief_Windows_3B!$I$1570:$I$100,MATCH(G1570,CBIC_Late_Fee_Relief_Windows_3B!$O$1570:$O$100,0))</f>
        <v/>
      </c>
      <c r="I1570">
        <f>MIN(F1570,H1570)</f>
        <v/>
      </c>
    </row>
    <row r="1571">
      <c r="A1571">
        <f>TEST_DATA!A1571</f>
        <v/>
      </c>
      <c r="B1571">
        <f>TEST_DATA!B1571</f>
        <v/>
      </c>
      <c r="C1571">
        <f>TEST_DATA!C1571</f>
        <v/>
      </c>
      <c r="D1571">
        <f>TEST_DATA!D1571</f>
        <v/>
      </c>
      <c r="E1571">
        <f>TEST_DATA!E1571</f>
        <v/>
      </c>
      <c r="F1571">
        <f>MIN(E1571*157100,10000)</f>
        <v/>
      </c>
      <c r="G1571">
        <f>MINIFS(CBIC_Late_Fee_Relief_Windows_3B!$O$1571:$O$100,CBIC_Late_Fee_Relief_Windows_3B!$D$1571:$D$100,"&lt;="&amp;B1571,CBIC_Late_Fee_Relief_Windows_3B!$E$1571:$E$100,"&gt;="&amp;B1571,CBIC_Late_Fee_Relief_Windows_3B!$F$1571:$F$100,"&lt;="&amp;C1571,CBIC_Late_Fee_Relief_Windows_3B!$G$1571:$G$100,"&gt;="&amp;C1571)</f>
        <v/>
      </c>
      <c r="H1571">
        <f>INDEX(CBIC_Late_Fee_Relief_Windows_3B!$I$1571:$I$100,MATCH(G1571,CBIC_Late_Fee_Relief_Windows_3B!$O$1571:$O$100,0))</f>
        <v/>
      </c>
      <c r="I1571">
        <f>MIN(F1571,H1571)</f>
        <v/>
      </c>
    </row>
    <row r="1572">
      <c r="A1572">
        <f>TEST_DATA!A1572</f>
        <v/>
      </c>
      <c r="B1572">
        <f>TEST_DATA!B1572</f>
        <v/>
      </c>
      <c r="C1572">
        <f>TEST_DATA!C1572</f>
        <v/>
      </c>
      <c r="D1572">
        <f>TEST_DATA!D1572</f>
        <v/>
      </c>
      <c r="E1572">
        <f>TEST_DATA!E1572</f>
        <v/>
      </c>
      <c r="F1572">
        <f>MIN(E1572*157200,10000)</f>
        <v/>
      </c>
      <c r="G1572">
        <f>MINIFS(CBIC_Late_Fee_Relief_Windows_3B!$O$1572:$O$100,CBIC_Late_Fee_Relief_Windows_3B!$D$1572:$D$100,"&lt;="&amp;B1572,CBIC_Late_Fee_Relief_Windows_3B!$E$1572:$E$100,"&gt;="&amp;B1572,CBIC_Late_Fee_Relief_Windows_3B!$F$1572:$F$100,"&lt;="&amp;C1572,CBIC_Late_Fee_Relief_Windows_3B!$G$1572:$G$100,"&gt;="&amp;C1572)</f>
        <v/>
      </c>
      <c r="H1572">
        <f>INDEX(CBIC_Late_Fee_Relief_Windows_3B!$I$1572:$I$100,MATCH(G1572,CBIC_Late_Fee_Relief_Windows_3B!$O$1572:$O$100,0))</f>
        <v/>
      </c>
      <c r="I1572">
        <f>MIN(F1572,H1572)</f>
        <v/>
      </c>
    </row>
    <row r="1573">
      <c r="A1573">
        <f>TEST_DATA!A1573</f>
        <v/>
      </c>
      <c r="B1573">
        <f>TEST_DATA!B1573</f>
        <v/>
      </c>
      <c r="C1573">
        <f>TEST_DATA!C1573</f>
        <v/>
      </c>
      <c r="D1573">
        <f>TEST_DATA!D1573</f>
        <v/>
      </c>
      <c r="E1573">
        <f>TEST_DATA!E1573</f>
        <v/>
      </c>
      <c r="F1573">
        <f>MIN(E1573*157300,10000)</f>
        <v/>
      </c>
      <c r="G1573">
        <f>MINIFS(CBIC_Late_Fee_Relief_Windows_3B!$O$1573:$O$100,CBIC_Late_Fee_Relief_Windows_3B!$D$1573:$D$100,"&lt;="&amp;B1573,CBIC_Late_Fee_Relief_Windows_3B!$E$1573:$E$100,"&gt;="&amp;B1573,CBIC_Late_Fee_Relief_Windows_3B!$F$1573:$F$100,"&lt;="&amp;C1573,CBIC_Late_Fee_Relief_Windows_3B!$G$1573:$G$100,"&gt;="&amp;C1573)</f>
        <v/>
      </c>
      <c r="H1573">
        <f>INDEX(CBIC_Late_Fee_Relief_Windows_3B!$I$1573:$I$100,MATCH(G1573,CBIC_Late_Fee_Relief_Windows_3B!$O$1573:$O$100,0))</f>
        <v/>
      </c>
      <c r="I1573">
        <f>MIN(F1573,H1573)</f>
        <v/>
      </c>
    </row>
    <row r="1574">
      <c r="A1574">
        <f>TEST_DATA!A1574</f>
        <v/>
      </c>
      <c r="B1574">
        <f>TEST_DATA!B1574</f>
        <v/>
      </c>
      <c r="C1574">
        <f>TEST_DATA!C1574</f>
        <v/>
      </c>
      <c r="D1574">
        <f>TEST_DATA!D1574</f>
        <v/>
      </c>
      <c r="E1574">
        <f>TEST_DATA!E1574</f>
        <v/>
      </c>
      <c r="F1574">
        <f>MIN(E1574*157400,10000)</f>
        <v/>
      </c>
      <c r="G1574">
        <f>MINIFS(CBIC_Late_Fee_Relief_Windows_3B!$O$1574:$O$100,CBIC_Late_Fee_Relief_Windows_3B!$D$1574:$D$100,"&lt;="&amp;B1574,CBIC_Late_Fee_Relief_Windows_3B!$E$1574:$E$100,"&gt;="&amp;B1574,CBIC_Late_Fee_Relief_Windows_3B!$F$1574:$F$100,"&lt;="&amp;C1574,CBIC_Late_Fee_Relief_Windows_3B!$G$1574:$G$100,"&gt;="&amp;C1574)</f>
        <v/>
      </c>
      <c r="H1574">
        <f>INDEX(CBIC_Late_Fee_Relief_Windows_3B!$I$1574:$I$100,MATCH(G1574,CBIC_Late_Fee_Relief_Windows_3B!$O$1574:$O$100,0))</f>
        <v/>
      </c>
      <c r="I1574">
        <f>MIN(F1574,H1574)</f>
        <v/>
      </c>
    </row>
    <row r="1575">
      <c r="A1575">
        <f>TEST_DATA!A1575</f>
        <v/>
      </c>
      <c r="B1575">
        <f>TEST_DATA!B1575</f>
        <v/>
      </c>
      <c r="C1575">
        <f>TEST_DATA!C1575</f>
        <v/>
      </c>
      <c r="D1575">
        <f>TEST_DATA!D1575</f>
        <v/>
      </c>
      <c r="E1575">
        <f>TEST_DATA!E1575</f>
        <v/>
      </c>
      <c r="F1575">
        <f>MIN(E1575*157500,10000)</f>
        <v/>
      </c>
      <c r="G1575">
        <f>MINIFS(CBIC_Late_Fee_Relief_Windows_3B!$O$1575:$O$100,CBIC_Late_Fee_Relief_Windows_3B!$D$1575:$D$100,"&lt;="&amp;B1575,CBIC_Late_Fee_Relief_Windows_3B!$E$1575:$E$100,"&gt;="&amp;B1575,CBIC_Late_Fee_Relief_Windows_3B!$F$1575:$F$100,"&lt;="&amp;C1575,CBIC_Late_Fee_Relief_Windows_3B!$G$1575:$G$100,"&gt;="&amp;C1575)</f>
        <v/>
      </c>
      <c r="H1575">
        <f>INDEX(CBIC_Late_Fee_Relief_Windows_3B!$I$1575:$I$100,MATCH(G1575,CBIC_Late_Fee_Relief_Windows_3B!$O$1575:$O$100,0))</f>
        <v/>
      </c>
      <c r="I1575">
        <f>MIN(F1575,H1575)</f>
        <v/>
      </c>
    </row>
    <row r="1576">
      <c r="A1576">
        <f>TEST_DATA!A1576</f>
        <v/>
      </c>
      <c r="B1576">
        <f>TEST_DATA!B1576</f>
        <v/>
      </c>
      <c r="C1576">
        <f>TEST_DATA!C1576</f>
        <v/>
      </c>
      <c r="D1576">
        <f>TEST_DATA!D1576</f>
        <v/>
      </c>
      <c r="E1576">
        <f>TEST_DATA!E1576</f>
        <v/>
      </c>
      <c r="F1576">
        <f>MIN(E1576*157600,10000)</f>
        <v/>
      </c>
      <c r="G1576">
        <f>MINIFS(CBIC_Late_Fee_Relief_Windows_3B!$O$1576:$O$100,CBIC_Late_Fee_Relief_Windows_3B!$D$1576:$D$100,"&lt;="&amp;B1576,CBIC_Late_Fee_Relief_Windows_3B!$E$1576:$E$100,"&gt;="&amp;B1576,CBIC_Late_Fee_Relief_Windows_3B!$F$1576:$F$100,"&lt;="&amp;C1576,CBIC_Late_Fee_Relief_Windows_3B!$G$1576:$G$100,"&gt;="&amp;C1576)</f>
        <v/>
      </c>
      <c r="H1576">
        <f>INDEX(CBIC_Late_Fee_Relief_Windows_3B!$I$1576:$I$100,MATCH(G1576,CBIC_Late_Fee_Relief_Windows_3B!$O$1576:$O$100,0))</f>
        <v/>
      </c>
      <c r="I1576">
        <f>MIN(F1576,H1576)</f>
        <v/>
      </c>
    </row>
    <row r="1577">
      <c r="A1577">
        <f>TEST_DATA!A1577</f>
        <v/>
      </c>
      <c r="B1577">
        <f>TEST_DATA!B1577</f>
        <v/>
      </c>
      <c r="C1577">
        <f>TEST_DATA!C1577</f>
        <v/>
      </c>
      <c r="D1577">
        <f>TEST_DATA!D1577</f>
        <v/>
      </c>
      <c r="E1577">
        <f>TEST_DATA!E1577</f>
        <v/>
      </c>
      <c r="F1577">
        <f>MIN(E1577*157700,10000)</f>
        <v/>
      </c>
      <c r="G1577">
        <f>MINIFS(CBIC_Late_Fee_Relief_Windows_3B!$O$1577:$O$100,CBIC_Late_Fee_Relief_Windows_3B!$D$1577:$D$100,"&lt;="&amp;B1577,CBIC_Late_Fee_Relief_Windows_3B!$E$1577:$E$100,"&gt;="&amp;B1577,CBIC_Late_Fee_Relief_Windows_3B!$F$1577:$F$100,"&lt;="&amp;C1577,CBIC_Late_Fee_Relief_Windows_3B!$G$1577:$G$100,"&gt;="&amp;C1577)</f>
        <v/>
      </c>
      <c r="H1577">
        <f>INDEX(CBIC_Late_Fee_Relief_Windows_3B!$I$1577:$I$100,MATCH(G1577,CBIC_Late_Fee_Relief_Windows_3B!$O$1577:$O$100,0))</f>
        <v/>
      </c>
      <c r="I1577">
        <f>MIN(F1577,H1577)</f>
        <v/>
      </c>
    </row>
    <row r="1578">
      <c r="A1578">
        <f>TEST_DATA!A1578</f>
        <v/>
      </c>
      <c r="B1578">
        <f>TEST_DATA!B1578</f>
        <v/>
      </c>
      <c r="C1578">
        <f>TEST_DATA!C1578</f>
        <v/>
      </c>
      <c r="D1578">
        <f>TEST_DATA!D1578</f>
        <v/>
      </c>
      <c r="E1578">
        <f>TEST_DATA!E1578</f>
        <v/>
      </c>
      <c r="F1578">
        <f>MIN(E1578*157800,10000)</f>
        <v/>
      </c>
      <c r="G1578">
        <f>MINIFS(CBIC_Late_Fee_Relief_Windows_3B!$O$1578:$O$100,CBIC_Late_Fee_Relief_Windows_3B!$D$1578:$D$100,"&lt;="&amp;B1578,CBIC_Late_Fee_Relief_Windows_3B!$E$1578:$E$100,"&gt;="&amp;B1578,CBIC_Late_Fee_Relief_Windows_3B!$F$1578:$F$100,"&lt;="&amp;C1578,CBIC_Late_Fee_Relief_Windows_3B!$G$1578:$G$100,"&gt;="&amp;C1578)</f>
        <v/>
      </c>
      <c r="H1578">
        <f>INDEX(CBIC_Late_Fee_Relief_Windows_3B!$I$1578:$I$100,MATCH(G1578,CBIC_Late_Fee_Relief_Windows_3B!$O$1578:$O$100,0))</f>
        <v/>
      </c>
      <c r="I1578">
        <f>MIN(F1578,H1578)</f>
        <v/>
      </c>
    </row>
    <row r="1579">
      <c r="A1579">
        <f>TEST_DATA!A1579</f>
        <v/>
      </c>
      <c r="B1579">
        <f>TEST_DATA!B1579</f>
        <v/>
      </c>
      <c r="C1579">
        <f>TEST_DATA!C1579</f>
        <v/>
      </c>
      <c r="D1579">
        <f>TEST_DATA!D1579</f>
        <v/>
      </c>
      <c r="E1579">
        <f>TEST_DATA!E1579</f>
        <v/>
      </c>
      <c r="F1579">
        <f>MIN(E1579*157900,10000)</f>
        <v/>
      </c>
      <c r="G1579">
        <f>MINIFS(CBIC_Late_Fee_Relief_Windows_3B!$O$1579:$O$100,CBIC_Late_Fee_Relief_Windows_3B!$D$1579:$D$100,"&lt;="&amp;B1579,CBIC_Late_Fee_Relief_Windows_3B!$E$1579:$E$100,"&gt;="&amp;B1579,CBIC_Late_Fee_Relief_Windows_3B!$F$1579:$F$100,"&lt;="&amp;C1579,CBIC_Late_Fee_Relief_Windows_3B!$G$1579:$G$100,"&gt;="&amp;C1579)</f>
        <v/>
      </c>
      <c r="H1579">
        <f>INDEX(CBIC_Late_Fee_Relief_Windows_3B!$I$1579:$I$100,MATCH(G1579,CBIC_Late_Fee_Relief_Windows_3B!$O$1579:$O$100,0))</f>
        <v/>
      </c>
      <c r="I1579">
        <f>MIN(F1579,H1579)</f>
        <v/>
      </c>
    </row>
    <row r="1580">
      <c r="A1580">
        <f>TEST_DATA!A1580</f>
        <v/>
      </c>
      <c r="B1580">
        <f>TEST_DATA!B1580</f>
        <v/>
      </c>
      <c r="C1580">
        <f>TEST_DATA!C1580</f>
        <v/>
      </c>
      <c r="D1580">
        <f>TEST_DATA!D1580</f>
        <v/>
      </c>
      <c r="E1580">
        <f>TEST_DATA!E1580</f>
        <v/>
      </c>
      <c r="F1580">
        <f>MIN(E1580*158000,10000)</f>
        <v/>
      </c>
      <c r="G1580">
        <f>MINIFS(CBIC_Late_Fee_Relief_Windows_3B!$O$1580:$O$100,CBIC_Late_Fee_Relief_Windows_3B!$D$1580:$D$100,"&lt;="&amp;B1580,CBIC_Late_Fee_Relief_Windows_3B!$E$1580:$E$100,"&gt;="&amp;B1580,CBIC_Late_Fee_Relief_Windows_3B!$F$1580:$F$100,"&lt;="&amp;C1580,CBIC_Late_Fee_Relief_Windows_3B!$G$1580:$G$100,"&gt;="&amp;C1580)</f>
        <v/>
      </c>
      <c r="H1580">
        <f>INDEX(CBIC_Late_Fee_Relief_Windows_3B!$I$1580:$I$100,MATCH(G1580,CBIC_Late_Fee_Relief_Windows_3B!$O$1580:$O$100,0))</f>
        <v/>
      </c>
      <c r="I1580">
        <f>MIN(F1580,H1580)</f>
        <v/>
      </c>
    </row>
    <row r="1581">
      <c r="A1581">
        <f>TEST_DATA!A1581</f>
        <v/>
      </c>
      <c r="B1581">
        <f>TEST_DATA!B1581</f>
        <v/>
      </c>
      <c r="C1581">
        <f>TEST_DATA!C1581</f>
        <v/>
      </c>
      <c r="D1581">
        <f>TEST_DATA!D1581</f>
        <v/>
      </c>
      <c r="E1581">
        <f>TEST_DATA!E1581</f>
        <v/>
      </c>
      <c r="F1581">
        <f>MIN(E1581*158100,10000)</f>
        <v/>
      </c>
      <c r="G1581">
        <f>MINIFS(CBIC_Late_Fee_Relief_Windows_3B!$O$1581:$O$100,CBIC_Late_Fee_Relief_Windows_3B!$D$1581:$D$100,"&lt;="&amp;B1581,CBIC_Late_Fee_Relief_Windows_3B!$E$1581:$E$100,"&gt;="&amp;B1581,CBIC_Late_Fee_Relief_Windows_3B!$F$1581:$F$100,"&lt;="&amp;C1581,CBIC_Late_Fee_Relief_Windows_3B!$G$1581:$G$100,"&gt;="&amp;C1581)</f>
        <v/>
      </c>
      <c r="H1581">
        <f>INDEX(CBIC_Late_Fee_Relief_Windows_3B!$I$1581:$I$100,MATCH(G1581,CBIC_Late_Fee_Relief_Windows_3B!$O$1581:$O$100,0))</f>
        <v/>
      </c>
      <c r="I1581">
        <f>MIN(F1581,H1581)</f>
        <v/>
      </c>
    </row>
    <row r="1582">
      <c r="A1582">
        <f>TEST_DATA!A1582</f>
        <v/>
      </c>
      <c r="B1582">
        <f>TEST_DATA!B1582</f>
        <v/>
      </c>
      <c r="C1582">
        <f>TEST_DATA!C1582</f>
        <v/>
      </c>
      <c r="D1582">
        <f>TEST_DATA!D1582</f>
        <v/>
      </c>
      <c r="E1582">
        <f>TEST_DATA!E1582</f>
        <v/>
      </c>
      <c r="F1582">
        <f>MIN(E1582*158200,10000)</f>
        <v/>
      </c>
      <c r="G1582">
        <f>MINIFS(CBIC_Late_Fee_Relief_Windows_3B!$O$1582:$O$100,CBIC_Late_Fee_Relief_Windows_3B!$D$1582:$D$100,"&lt;="&amp;B1582,CBIC_Late_Fee_Relief_Windows_3B!$E$1582:$E$100,"&gt;="&amp;B1582,CBIC_Late_Fee_Relief_Windows_3B!$F$1582:$F$100,"&lt;="&amp;C1582,CBIC_Late_Fee_Relief_Windows_3B!$G$1582:$G$100,"&gt;="&amp;C1582)</f>
        <v/>
      </c>
      <c r="H1582">
        <f>INDEX(CBIC_Late_Fee_Relief_Windows_3B!$I$1582:$I$100,MATCH(G1582,CBIC_Late_Fee_Relief_Windows_3B!$O$1582:$O$100,0))</f>
        <v/>
      </c>
      <c r="I1582">
        <f>MIN(F1582,H1582)</f>
        <v/>
      </c>
    </row>
    <row r="1583">
      <c r="A1583">
        <f>TEST_DATA!A1583</f>
        <v/>
      </c>
      <c r="B1583">
        <f>TEST_DATA!B1583</f>
        <v/>
      </c>
      <c r="C1583">
        <f>TEST_DATA!C1583</f>
        <v/>
      </c>
      <c r="D1583">
        <f>TEST_DATA!D1583</f>
        <v/>
      </c>
      <c r="E1583">
        <f>TEST_DATA!E1583</f>
        <v/>
      </c>
      <c r="F1583">
        <f>MIN(E1583*158300,10000)</f>
        <v/>
      </c>
      <c r="G1583">
        <f>MINIFS(CBIC_Late_Fee_Relief_Windows_3B!$O$1583:$O$100,CBIC_Late_Fee_Relief_Windows_3B!$D$1583:$D$100,"&lt;="&amp;B1583,CBIC_Late_Fee_Relief_Windows_3B!$E$1583:$E$100,"&gt;="&amp;B1583,CBIC_Late_Fee_Relief_Windows_3B!$F$1583:$F$100,"&lt;="&amp;C1583,CBIC_Late_Fee_Relief_Windows_3B!$G$1583:$G$100,"&gt;="&amp;C1583)</f>
        <v/>
      </c>
      <c r="H1583">
        <f>INDEX(CBIC_Late_Fee_Relief_Windows_3B!$I$1583:$I$100,MATCH(G1583,CBIC_Late_Fee_Relief_Windows_3B!$O$1583:$O$100,0))</f>
        <v/>
      </c>
      <c r="I1583">
        <f>MIN(F1583,H1583)</f>
        <v/>
      </c>
    </row>
    <row r="1584">
      <c r="A1584">
        <f>TEST_DATA!A1584</f>
        <v/>
      </c>
      <c r="B1584">
        <f>TEST_DATA!B1584</f>
        <v/>
      </c>
      <c r="C1584">
        <f>TEST_DATA!C1584</f>
        <v/>
      </c>
      <c r="D1584">
        <f>TEST_DATA!D1584</f>
        <v/>
      </c>
      <c r="E1584">
        <f>TEST_DATA!E1584</f>
        <v/>
      </c>
      <c r="F1584">
        <f>MIN(E1584*158400,10000)</f>
        <v/>
      </c>
      <c r="G1584">
        <f>MINIFS(CBIC_Late_Fee_Relief_Windows_3B!$O$1584:$O$100,CBIC_Late_Fee_Relief_Windows_3B!$D$1584:$D$100,"&lt;="&amp;B1584,CBIC_Late_Fee_Relief_Windows_3B!$E$1584:$E$100,"&gt;="&amp;B1584,CBIC_Late_Fee_Relief_Windows_3B!$F$1584:$F$100,"&lt;="&amp;C1584,CBIC_Late_Fee_Relief_Windows_3B!$G$1584:$G$100,"&gt;="&amp;C1584)</f>
        <v/>
      </c>
      <c r="H1584">
        <f>INDEX(CBIC_Late_Fee_Relief_Windows_3B!$I$1584:$I$100,MATCH(G1584,CBIC_Late_Fee_Relief_Windows_3B!$O$1584:$O$100,0))</f>
        <v/>
      </c>
      <c r="I1584">
        <f>MIN(F1584,H1584)</f>
        <v/>
      </c>
    </row>
    <row r="1585">
      <c r="A1585">
        <f>TEST_DATA!A1585</f>
        <v/>
      </c>
      <c r="B1585">
        <f>TEST_DATA!B1585</f>
        <v/>
      </c>
      <c r="C1585">
        <f>TEST_DATA!C1585</f>
        <v/>
      </c>
      <c r="D1585">
        <f>TEST_DATA!D1585</f>
        <v/>
      </c>
      <c r="E1585">
        <f>TEST_DATA!E1585</f>
        <v/>
      </c>
      <c r="F1585">
        <f>MIN(E1585*158500,10000)</f>
        <v/>
      </c>
      <c r="G1585">
        <f>MINIFS(CBIC_Late_Fee_Relief_Windows_3B!$O$1585:$O$100,CBIC_Late_Fee_Relief_Windows_3B!$D$1585:$D$100,"&lt;="&amp;B1585,CBIC_Late_Fee_Relief_Windows_3B!$E$1585:$E$100,"&gt;="&amp;B1585,CBIC_Late_Fee_Relief_Windows_3B!$F$1585:$F$100,"&lt;="&amp;C1585,CBIC_Late_Fee_Relief_Windows_3B!$G$1585:$G$100,"&gt;="&amp;C1585)</f>
        <v/>
      </c>
      <c r="H1585">
        <f>INDEX(CBIC_Late_Fee_Relief_Windows_3B!$I$1585:$I$100,MATCH(G1585,CBIC_Late_Fee_Relief_Windows_3B!$O$1585:$O$100,0))</f>
        <v/>
      </c>
      <c r="I1585">
        <f>MIN(F1585,H1585)</f>
        <v/>
      </c>
    </row>
    <row r="1586">
      <c r="A1586">
        <f>TEST_DATA!A1586</f>
        <v/>
      </c>
      <c r="B1586">
        <f>TEST_DATA!B1586</f>
        <v/>
      </c>
      <c r="C1586">
        <f>TEST_DATA!C1586</f>
        <v/>
      </c>
      <c r="D1586">
        <f>TEST_DATA!D1586</f>
        <v/>
      </c>
      <c r="E1586">
        <f>TEST_DATA!E1586</f>
        <v/>
      </c>
      <c r="F1586">
        <f>MIN(E1586*158600,10000)</f>
        <v/>
      </c>
      <c r="G1586">
        <f>MINIFS(CBIC_Late_Fee_Relief_Windows_3B!$O$1586:$O$100,CBIC_Late_Fee_Relief_Windows_3B!$D$1586:$D$100,"&lt;="&amp;B1586,CBIC_Late_Fee_Relief_Windows_3B!$E$1586:$E$100,"&gt;="&amp;B1586,CBIC_Late_Fee_Relief_Windows_3B!$F$1586:$F$100,"&lt;="&amp;C1586,CBIC_Late_Fee_Relief_Windows_3B!$G$1586:$G$100,"&gt;="&amp;C1586)</f>
        <v/>
      </c>
      <c r="H1586">
        <f>INDEX(CBIC_Late_Fee_Relief_Windows_3B!$I$1586:$I$100,MATCH(G1586,CBIC_Late_Fee_Relief_Windows_3B!$O$1586:$O$100,0))</f>
        <v/>
      </c>
      <c r="I1586">
        <f>MIN(F1586,H1586)</f>
        <v/>
      </c>
    </row>
    <row r="1587">
      <c r="A1587">
        <f>TEST_DATA!A1587</f>
        <v/>
      </c>
      <c r="B1587">
        <f>TEST_DATA!B1587</f>
        <v/>
      </c>
      <c r="C1587">
        <f>TEST_DATA!C1587</f>
        <v/>
      </c>
      <c r="D1587">
        <f>TEST_DATA!D1587</f>
        <v/>
      </c>
      <c r="E1587">
        <f>TEST_DATA!E1587</f>
        <v/>
      </c>
      <c r="F1587">
        <f>MIN(E1587*158700,10000)</f>
        <v/>
      </c>
      <c r="G1587">
        <f>MINIFS(CBIC_Late_Fee_Relief_Windows_3B!$O$1587:$O$100,CBIC_Late_Fee_Relief_Windows_3B!$D$1587:$D$100,"&lt;="&amp;B1587,CBIC_Late_Fee_Relief_Windows_3B!$E$1587:$E$100,"&gt;="&amp;B1587,CBIC_Late_Fee_Relief_Windows_3B!$F$1587:$F$100,"&lt;="&amp;C1587,CBIC_Late_Fee_Relief_Windows_3B!$G$1587:$G$100,"&gt;="&amp;C1587)</f>
        <v/>
      </c>
      <c r="H1587">
        <f>INDEX(CBIC_Late_Fee_Relief_Windows_3B!$I$1587:$I$100,MATCH(G1587,CBIC_Late_Fee_Relief_Windows_3B!$O$1587:$O$100,0))</f>
        <v/>
      </c>
      <c r="I1587">
        <f>MIN(F1587,H1587)</f>
        <v/>
      </c>
    </row>
    <row r="1588">
      <c r="A1588">
        <f>TEST_DATA!A1588</f>
        <v/>
      </c>
      <c r="B1588">
        <f>TEST_DATA!B1588</f>
        <v/>
      </c>
      <c r="C1588">
        <f>TEST_DATA!C1588</f>
        <v/>
      </c>
      <c r="D1588">
        <f>TEST_DATA!D1588</f>
        <v/>
      </c>
      <c r="E1588">
        <f>TEST_DATA!E1588</f>
        <v/>
      </c>
      <c r="F1588">
        <f>MIN(E1588*158800,10000)</f>
        <v/>
      </c>
      <c r="G1588">
        <f>MINIFS(CBIC_Late_Fee_Relief_Windows_3B!$O$1588:$O$100,CBIC_Late_Fee_Relief_Windows_3B!$D$1588:$D$100,"&lt;="&amp;B1588,CBIC_Late_Fee_Relief_Windows_3B!$E$1588:$E$100,"&gt;="&amp;B1588,CBIC_Late_Fee_Relief_Windows_3B!$F$1588:$F$100,"&lt;="&amp;C1588,CBIC_Late_Fee_Relief_Windows_3B!$G$1588:$G$100,"&gt;="&amp;C1588)</f>
        <v/>
      </c>
      <c r="H1588">
        <f>INDEX(CBIC_Late_Fee_Relief_Windows_3B!$I$1588:$I$100,MATCH(G1588,CBIC_Late_Fee_Relief_Windows_3B!$O$1588:$O$100,0))</f>
        <v/>
      </c>
      <c r="I1588">
        <f>MIN(F1588,H1588)</f>
        <v/>
      </c>
    </row>
    <row r="1589">
      <c r="A1589">
        <f>TEST_DATA!A1589</f>
        <v/>
      </c>
      <c r="B1589">
        <f>TEST_DATA!B1589</f>
        <v/>
      </c>
      <c r="C1589">
        <f>TEST_DATA!C1589</f>
        <v/>
      </c>
      <c r="D1589">
        <f>TEST_DATA!D1589</f>
        <v/>
      </c>
      <c r="E1589">
        <f>TEST_DATA!E1589</f>
        <v/>
      </c>
      <c r="F1589">
        <f>MIN(E1589*158900,10000)</f>
        <v/>
      </c>
      <c r="G1589">
        <f>MINIFS(CBIC_Late_Fee_Relief_Windows_3B!$O$1589:$O$100,CBIC_Late_Fee_Relief_Windows_3B!$D$1589:$D$100,"&lt;="&amp;B1589,CBIC_Late_Fee_Relief_Windows_3B!$E$1589:$E$100,"&gt;="&amp;B1589,CBIC_Late_Fee_Relief_Windows_3B!$F$1589:$F$100,"&lt;="&amp;C1589,CBIC_Late_Fee_Relief_Windows_3B!$G$1589:$G$100,"&gt;="&amp;C1589)</f>
        <v/>
      </c>
      <c r="H1589">
        <f>INDEX(CBIC_Late_Fee_Relief_Windows_3B!$I$1589:$I$100,MATCH(G1589,CBIC_Late_Fee_Relief_Windows_3B!$O$1589:$O$100,0))</f>
        <v/>
      </c>
      <c r="I1589">
        <f>MIN(F1589,H1589)</f>
        <v/>
      </c>
    </row>
    <row r="1590">
      <c r="A1590">
        <f>TEST_DATA!A1590</f>
        <v/>
      </c>
      <c r="B1590">
        <f>TEST_DATA!B1590</f>
        <v/>
      </c>
      <c r="C1590">
        <f>TEST_DATA!C1590</f>
        <v/>
      </c>
      <c r="D1590">
        <f>TEST_DATA!D1590</f>
        <v/>
      </c>
      <c r="E1590">
        <f>TEST_DATA!E1590</f>
        <v/>
      </c>
      <c r="F1590">
        <f>MIN(E1590*159000,10000)</f>
        <v/>
      </c>
      <c r="G1590">
        <f>MINIFS(CBIC_Late_Fee_Relief_Windows_3B!$O$1590:$O$100,CBIC_Late_Fee_Relief_Windows_3B!$D$1590:$D$100,"&lt;="&amp;B1590,CBIC_Late_Fee_Relief_Windows_3B!$E$1590:$E$100,"&gt;="&amp;B1590,CBIC_Late_Fee_Relief_Windows_3B!$F$1590:$F$100,"&lt;="&amp;C1590,CBIC_Late_Fee_Relief_Windows_3B!$G$1590:$G$100,"&gt;="&amp;C1590)</f>
        <v/>
      </c>
      <c r="H1590">
        <f>INDEX(CBIC_Late_Fee_Relief_Windows_3B!$I$1590:$I$100,MATCH(G1590,CBIC_Late_Fee_Relief_Windows_3B!$O$1590:$O$100,0))</f>
        <v/>
      </c>
      <c r="I1590">
        <f>MIN(F1590,H1590)</f>
        <v/>
      </c>
    </row>
    <row r="1591">
      <c r="A1591">
        <f>TEST_DATA!A1591</f>
        <v/>
      </c>
      <c r="B1591">
        <f>TEST_DATA!B1591</f>
        <v/>
      </c>
      <c r="C1591">
        <f>TEST_DATA!C1591</f>
        <v/>
      </c>
      <c r="D1591">
        <f>TEST_DATA!D1591</f>
        <v/>
      </c>
      <c r="E1591">
        <f>TEST_DATA!E1591</f>
        <v/>
      </c>
      <c r="F1591">
        <f>MIN(E1591*159100,10000)</f>
        <v/>
      </c>
      <c r="G1591">
        <f>MINIFS(CBIC_Late_Fee_Relief_Windows_3B!$O$1591:$O$100,CBIC_Late_Fee_Relief_Windows_3B!$D$1591:$D$100,"&lt;="&amp;B1591,CBIC_Late_Fee_Relief_Windows_3B!$E$1591:$E$100,"&gt;="&amp;B1591,CBIC_Late_Fee_Relief_Windows_3B!$F$1591:$F$100,"&lt;="&amp;C1591,CBIC_Late_Fee_Relief_Windows_3B!$G$1591:$G$100,"&gt;="&amp;C1591)</f>
        <v/>
      </c>
      <c r="H1591">
        <f>INDEX(CBIC_Late_Fee_Relief_Windows_3B!$I$1591:$I$100,MATCH(G1591,CBIC_Late_Fee_Relief_Windows_3B!$O$1591:$O$100,0))</f>
        <v/>
      </c>
      <c r="I1591">
        <f>MIN(F1591,H1591)</f>
        <v/>
      </c>
    </row>
    <row r="1592">
      <c r="A1592">
        <f>TEST_DATA!A1592</f>
        <v/>
      </c>
      <c r="B1592">
        <f>TEST_DATA!B1592</f>
        <v/>
      </c>
      <c r="C1592">
        <f>TEST_DATA!C1592</f>
        <v/>
      </c>
      <c r="D1592">
        <f>TEST_DATA!D1592</f>
        <v/>
      </c>
      <c r="E1592">
        <f>TEST_DATA!E1592</f>
        <v/>
      </c>
      <c r="F1592">
        <f>MIN(E1592*159200,10000)</f>
        <v/>
      </c>
      <c r="G1592">
        <f>MINIFS(CBIC_Late_Fee_Relief_Windows_3B!$O$1592:$O$100,CBIC_Late_Fee_Relief_Windows_3B!$D$1592:$D$100,"&lt;="&amp;B1592,CBIC_Late_Fee_Relief_Windows_3B!$E$1592:$E$100,"&gt;="&amp;B1592,CBIC_Late_Fee_Relief_Windows_3B!$F$1592:$F$100,"&lt;="&amp;C1592,CBIC_Late_Fee_Relief_Windows_3B!$G$1592:$G$100,"&gt;="&amp;C1592)</f>
        <v/>
      </c>
      <c r="H1592">
        <f>INDEX(CBIC_Late_Fee_Relief_Windows_3B!$I$1592:$I$100,MATCH(G1592,CBIC_Late_Fee_Relief_Windows_3B!$O$1592:$O$100,0))</f>
        <v/>
      </c>
      <c r="I1592">
        <f>MIN(F1592,H1592)</f>
        <v/>
      </c>
    </row>
    <row r="1593">
      <c r="A1593">
        <f>TEST_DATA!A1593</f>
        <v/>
      </c>
      <c r="B1593">
        <f>TEST_DATA!B1593</f>
        <v/>
      </c>
      <c r="C1593">
        <f>TEST_DATA!C1593</f>
        <v/>
      </c>
      <c r="D1593">
        <f>TEST_DATA!D1593</f>
        <v/>
      </c>
      <c r="E1593">
        <f>TEST_DATA!E1593</f>
        <v/>
      </c>
      <c r="F1593">
        <f>MIN(E1593*159300,10000)</f>
        <v/>
      </c>
      <c r="G1593">
        <f>MINIFS(CBIC_Late_Fee_Relief_Windows_3B!$O$1593:$O$100,CBIC_Late_Fee_Relief_Windows_3B!$D$1593:$D$100,"&lt;="&amp;B1593,CBIC_Late_Fee_Relief_Windows_3B!$E$1593:$E$100,"&gt;="&amp;B1593,CBIC_Late_Fee_Relief_Windows_3B!$F$1593:$F$100,"&lt;="&amp;C1593,CBIC_Late_Fee_Relief_Windows_3B!$G$1593:$G$100,"&gt;="&amp;C1593)</f>
        <v/>
      </c>
      <c r="H1593">
        <f>INDEX(CBIC_Late_Fee_Relief_Windows_3B!$I$1593:$I$100,MATCH(G1593,CBIC_Late_Fee_Relief_Windows_3B!$O$1593:$O$100,0))</f>
        <v/>
      </c>
      <c r="I1593">
        <f>MIN(F1593,H1593)</f>
        <v/>
      </c>
    </row>
    <row r="1594">
      <c r="A1594">
        <f>TEST_DATA!A1594</f>
        <v/>
      </c>
      <c r="B1594">
        <f>TEST_DATA!B1594</f>
        <v/>
      </c>
      <c r="C1594">
        <f>TEST_DATA!C1594</f>
        <v/>
      </c>
      <c r="D1594">
        <f>TEST_DATA!D1594</f>
        <v/>
      </c>
      <c r="E1594">
        <f>TEST_DATA!E1594</f>
        <v/>
      </c>
      <c r="F1594">
        <f>MIN(E1594*159400,10000)</f>
        <v/>
      </c>
      <c r="G1594">
        <f>MINIFS(CBIC_Late_Fee_Relief_Windows_3B!$O$1594:$O$100,CBIC_Late_Fee_Relief_Windows_3B!$D$1594:$D$100,"&lt;="&amp;B1594,CBIC_Late_Fee_Relief_Windows_3B!$E$1594:$E$100,"&gt;="&amp;B1594,CBIC_Late_Fee_Relief_Windows_3B!$F$1594:$F$100,"&lt;="&amp;C1594,CBIC_Late_Fee_Relief_Windows_3B!$G$1594:$G$100,"&gt;="&amp;C1594)</f>
        <v/>
      </c>
      <c r="H1594">
        <f>INDEX(CBIC_Late_Fee_Relief_Windows_3B!$I$1594:$I$100,MATCH(G1594,CBIC_Late_Fee_Relief_Windows_3B!$O$1594:$O$100,0))</f>
        <v/>
      </c>
      <c r="I1594">
        <f>MIN(F1594,H1594)</f>
        <v/>
      </c>
    </row>
    <row r="1595">
      <c r="A1595">
        <f>TEST_DATA!A1595</f>
        <v/>
      </c>
      <c r="B1595">
        <f>TEST_DATA!B1595</f>
        <v/>
      </c>
      <c r="C1595">
        <f>TEST_DATA!C1595</f>
        <v/>
      </c>
      <c r="D1595">
        <f>TEST_DATA!D1595</f>
        <v/>
      </c>
      <c r="E1595">
        <f>TEST_DATA!E1595</f>
        <v/>
      </c>
      <c r="F1595">
        <f>MIN(E1595*159500,10000)</f>
        <v/>
      </c>
      <c r="G1595">
        <f>MINIFS(CBIC_Late_Fee_Relief_Windows_3B!$O$1595:$O$100,CBIC_Late_Fee_Relief_Windows_3B!$D$1595:$D$100,"&lt;="&amp;B1595,CBIC_Late_Fee_Relief_Windows_3B!$E$1595:$E$100,"&gt;="&amp;B1595,CBIC_Late_Fee_Relief_Windows_3B!$F$1595:$F$100,"&lt;="&amp;C1595,CBIC_Late_Fee_Relief_Windows_3B!$G$1595:$G$100,"&gt;="&amp;C1595)</f>
        <v/>
      </c>
      <c r="H1595">
        <f>INDEX(CBIC_Late_Fee_Relief_Windows_3B!$I$1595:$I$100,MATCH(G1595,CBIC_Late_Fee_Relief_Windows_3B!$O$1595:$O$100,0))</f>
        <v/>
      </c>
      <c r="I1595">
        <f>MIN(F1595,H1595)</f>
        <v/>
      </c>
    </row>
    <row r="1596">
      <c r="A1596">
        <f>TEST_DATA!A1596</f>
        <v/>
      </c>
      <c r="B1596">
        <f>TEST_DATA!B1596</f>
        <v/>
      </c>
      <c r="C1596">
        <f>TEST_DATA!C1596</f>
        <v/>
      </c>
      <c r="D1596">
        <f>TEST_DATA!D1596</f>
        <v/>
      </c>
      <c r="E1596">
        <f>TEST_DATA!E1596</f>
        <v/>
      </c>
      <c r="F1596">
        <f>MIN(E1596*159600,10000)</f>
        <v/>
      </c>
      <c r="G1596">
        <f>MINIFS(CBIC_Late_Fee_Relief_Windows_3B!$O$1596:$O$100,CBIC_Late_Fee_Relief_Windows_3B!$D$1596:$D$100,"&lt;="&amp;B1596,CBIC_Late_Fee_Relief_Windows_3B!$E$1596:$E$100,"&gt;="&amp;B1596,CBIC_Late_Fee_Relief_Windows_3B!$F$1596:$F$100,"&lt;="&amp;C1596,CBIC_Late_Fee_Relief_Windows_3B!$G$1596:$G$100,"&gt;="&amp;C1596)</f>
        <v/>
      </c>
      <c r="H1596">
        <f>INDEX(CBIC_Late_Fee_Relief_Windows_3B!$I$1596:$I$100,MATCH(G1596,CBIC_Late_Fee_Relief_Windows_3B!$O$1596:$O$100,0))</f>
        <v/>
      </c>
      <c r="I1596">
        <f>MIN(F1596,H1596)</f>
        <v/>
      </c>
    </row>
    <row r="1597">
      <c r="A1597">
        <f>TEST_DATA!A1597</f>
        <v/>
      </c>
      <c r="B1597">
        <f>TEST_DATA!B1597</f>
        <v/>
      </c>
      <c r="C1597">
        <f>TEST_DATA!C1597</f>
        <v/>
      </c>
      <c r="D1597">
        <f>TEST_DATA!D1597</f>
        <v/>
      </c>
      <c r="E1597">
        <f>TEST_DATA!E1597</f>
        <v/>
      </c>
      <c r="F1597">
        <f>MIN(E1597*159700,10000)</f>
        <v/>
      </c>
      <c r="G1597">
        <f>MINIFS(CBIC_Late_Fee_Relief_Windows_3B!$O$1597:$O$100,CBIC_Late_Fee_Relief_Windows_3B!$D$1597:$D$100,"&lt;="&amp;B1597,CBIC_Late_Fee_Relief_Windows_3B!$E$1597:$E$100,"&gt;="&amp;B1597,CBIC_Late_Fee_Relief_Windows_3B!$F$1597:$F$100,"&lt;="&amp;C1597,CBIC_Late_Fee_Relief_Windows_3B!$G$1597:$G$100,"&gt;="&amp;C1597)</f>
        <v/>
      </c>
      <c r="H1597">
        <f>INDEX(CBIC_Late_Fee_Relief_Windows_3B!$I$1597:$I$100,MATCH(G1597,CBIC_Late_Fee_Relief_Windows_3B!$O$1597:$O$100,0))</f>
        <v/>
      </c>
      <c r="I1597">
        <f>MIN(F1597,H1597)</f>
        <v/>
      </c>
    </row>
    <row r="1598">
      <c r="A1598">
        <f>TEST_DATA!A1598</f>
        <v/>
      </c>
      <c r="B1598">
        <f>TEST_DATA!B1598</f>
        <v/>
      </c>
      <c r="C1598">
        <f>TEST_DATA!C1598</f>
        <v/>
      </c>
      <c r="D1598">
        <f>TEST_DATA!D1598</f>
        <v/>
      </c>
      <c r="E1598">
        <f>TEST_DATA!E1598</f>
        <v/>
      </c>
      <c r="F1598">
        <f>MIN(E1598*159800,10000)</f>
        <v/>
      </c>
      <c r="G1598">
        <f>MINIFS(CBIC_Late_Fee_Relief_Windows_3B!$O$1598:$O$100,CBIC_Late_Fee_Relief_Windows_3B!$D$1598:$D$100,"&lt;="&amp;B1598,CBIC_Late_Fee_Relief_Windows_3B!$E$1598:$E$100,"&gt;="&amp;B1598,CBIC_Late_Fee_Relief_Windows_3B!$F$1598:$F$100,"&lt;="&amp;C1598,CBIC_Late_Fee_Relief_Windows_3B!$G$1598:$G$100,"&gt;="&amp;C1598)</f>
        <v/>
      </c>
      <c r="H1598">
        <f>INDEX(CBIC_Late_Fee_Relief_Windows_3B!$I$1598:$I$100,MATCH(G1598,CBIC_Late_Fee_Relief_Windows_3B!$O$1598:$O$100,0))</f>
        <v/>
      </c>
      <c r="I1598">
        <f>MIN(F1598,H1598)</f>
        <v/>
      </c>
    </row>
    <row r="1599">
      <c r="A1599">
        <f>TEST_DATA!A1599</f>
        <v/>
      </c>
      <c r="B1599">
        <f>TEST_DATA!B1599</f>
        <v/>
      </c>
      <c r="C1599">
        <f>TEST_DATA!C1599</f>
        <v/>
      </c>
      <c r="D1599">
        <f>TEST_DATA!D1599</f>
        <v/>
      </c>
      <c r="E1599">
        <f>TEST_DATA!E1599</f>
        <v/>
      </c>
      <c r="F1599">
        <f>MIN(E1599*159900,10000)</f>
        <v/>
      </c>
      <c r="G1599">
        <f>MINIFS(CBIC_Late_Fee_Relief_Windows_3B!$O$1599:$O$100,CBIC_Late_Fee_Relief_Windows_3B!$D$1599:$D$100,"&lt;="&amp;B1599,CBIC_Late_Fee_Relief_Windows_3B!$E$1599:$E$100,"&gt;="&amp;B1599,CBIC_Late_Fee_Relief_Windows_3B!$F$1599:$F$100,"&lt;="&amp;C1599,CBIC_Late_Fee_Relief_Windows_3B!$G$1599:$G$100,"&gt;="&amp;C1599)</f>
        <v/>
      </c>
      <c r="H1599">
        <f>INDEX(CBIC_Late_Fee_Relief_Windows_3B!$I$1599:$I$100,MATCH(G1599,CBIC_Late_Fee_Relief_Windows_3B!$O$1599:$O$100,0))</f>
        <v/>
      </c>
      <c r="I1599">
        <f>MIN(F1599,H1599)</f>
        <v/>
      </c>
    </row>
    <row r="1600">
      <c r="A1600">
        <f>TEST_DATA!A1600</f>
        <v/>
      </c>
      <c r="B1600">
        <f>TEST_DATA!B1600</f>
        <v/>
      </c>
      <c r="C1600">
        <f>TEST_DATA!C1600</f>
        <v/>
      </c>
      <c r="D1600">
        <f>TEST_DATA!D1600</f>
        <v/>
      </c>
      <c r="E1600">
        <f>TEST_DATA!E1600</f>
        <v/>
      </c>
      <c r="F1600">
        <f>MIN(E1600*160000,10000)</f>
        <v/>
      </c>
      <c r="G1600">
        <f>MINIFS(CBIC_Late_Fee_Relief_Windows_3B!$O$1600:$O$100,CBIC_Late_Fee_Relief_Windows_3B!$D$1600:$D$100,"&lt;="&amp;B1600,CBIC_Late_Fee_Relief_Windows_3B!$E$1600:$E$100,"&gt;="&amp;B1600,CBIC_Late_Fee_Relief_Windows_3B!$F$1600:$F$100,"&lt;="&amp;C1600,CBIC_Late_Fee_Relief_Windows_3B!$G$1600:$G$100,"&gt;="&amp;C1600)</f>
        <v/>
      </c>
      <c r="H1600">
        <f>INDEX(CBIC_Late_Fee_Relief_Windows_3B!$I$1600:$I$100,MATCH(G1600,CBIC_Late_Fee_Relief_Windows_3B!$O$1600:$O$100,0))</f>
        <v/>
      </c>
      <c r="I1600">
        <f>MIN(F1600,H1600)</f>
        <v/>
      </c>
    </row>
    <row r="1601">
      <c r="A1601">
        <f>TEST_DATA!A1601</f>
        <v/>
      </c>
      <c r="B1601">
        <f>TEST_DATA!B1601</f>
        <v/>
      </c>
      <c r="C1601">
        <f>TEST_DATA!C1601</f>
        <v/>
      </c>
      <c r="D1601">
        <f>TEST_DATA!D1601</f>
        <v/>
      </c>
      <c r="E1601">
        <f>TEST_DATA!E1601</f>
        <v/>
      </c>
      <c r="F1601">
        <f>MIN(E1601*160100,10000)</f>
        <v/>
      </c>
      <c r="G1601">
        <f>MINIFS(CBIC_Late_Fee_Relief_Windows_3B!$O$1601:$O$100,CBIC_Late_Fee_Relief_Windows_3B!$D$1601:$D$100,"&lt;="&amp;B1601,CBIC_Late_Fee_Relief_Windows_3B!$E$1601:$E$100,"&gt;="&amp;B1601,CBIC_Late_Fee_Relief_Windows_3B!$F$1601:$F$100,"&lt;="&amp;C1601,CBIC_Late_Fee_Relief_Windows_3B!$G$1601:$G$100,"&gt;="&amp;C1601)</f>
        <v/>
      </c>
      <c r="H1601">
        <f>INDEX(CBIC_Late_Fee_Relief_Windows_3B!$I$1601:$I$100,MATCH(G1601,CBIC_Late_Fee_Relief_Windows_3B!$O$1601:$O$100,0))</f>
        <v/>
      </c>
      <c r="I1601">
        <f>MIN(F1601,H1601)</f>
        <v/>
      </c>
    </row>
    <row r="1602">
      <c r="A1602">
        <f>TEST_DATA!A1602</f>
        <v/>
      </c>
      <c r="B1602">
        <f>TEST_DATA!B1602</f>
        <v/>
      </c>
      <c r="C1602">
        <f>TEST_DATA!C1602</f>
        <v/>
      </c>
      <c r="D1602">
        <f>TEST_DATA!D1602</f>
        <v/>
      </c>
      <c r="E1602">
        <f>TEST_DATA!E1602</f>
        <v/>
      </c>
      <c r="F1602">
        <f>MIN(E1602*160200,10000)</f>
        <v/>
      </c>
      <c r="G1602">
        <f>MINIFS(CBIC_Late_Fee_Relief_Windows_3B!$O$1602:$O$100,CBIC_Late_Fee_Relief_Windows_3B!$D$1602:$D$100,"&lt;="&amp;B1602,CBIC_Late_Fee_Relief_Windows_3B!$E$1602:$E$100,"&gt;="&amp;B1602,CBIC_Late_Fee_Relief_Windows_3B!$F$1602:$F$100,"&lt;="&amp;C1602,CBIC_Late_Fee_Relief_Windows_3B!$G$1602:$G$100,"&gt;="&amp;C1602)</f>
        <v/>
      </c>
      <c r="H1602">
        <f>INDEX(CBIC_Late_Fee_Relief_Windows_3B!$I$1602:$I$100,MATCH(G1602,CBIC_Late_Fee_Relief_Windows_3B!$O$1602:$O$100,0))</f>
        <v/>
      </c>
      <c r="I1602">
        <f>MIN(F1602,H1602)</f>
        <v/>
      </c>
    </row>
    <row r="1603">
      <c r="A1603">
        <f>TEST_DATA!A1603</f>
        <v/>
      </c>
      <c r="B1603">
        <f>TEST_DATA!B1603</f>
        <v/>
      </c>
      <c r="C1603">
        <f>TEST_DATA!C1603</f>
        <v/>
      </c>
      <c r="D1603">
        <f>TEST_DATA!D1603</f>
        <v/>
      </c>
      <c r="E1603">
        <f>TEST_DATA!E1603</f>
        <v/>
      </c>
      <c r="F1603">
        <f>MIN(E1603*160300,10000)</f>
        <v/>
      </c>
      <c r="G1603">
        <f>MINIFS(CBIC_Late_Fee_Relief_Windows_3B!$O$1603:$O$100,CBIC_Late_Fee_Relief_Windows_3B!$D$1603:$D$100,"&lt;="&amp;B1603,CBIC_Late_Fee_Relief_Windows_3B!$E$1603:$E$100,"&gt;="&amp;B1603,CBIC_Late_Fee_Relief_Windows_3B!$F$1603:$F$100,"&lt;="&amp;C1603,CBIC_Late_Fee_Relief_Windows_3B!$G$1603:$G$100,"&gt;="&amp;C1603)</f>
        <v/>
      </c>
      <c r="H1603">
        <f>INDEX(CBIC_Late_Fee_Relief_Windows_3B!$I$1603:$I$100,MATCH(G1603,CBIC_Late_Fee_Relief_Windows_3B!$O$1603:$O$100,0))</f>
        <v/>
      </c>
      <c r="I1603">
        <f>MIN(F1603,H1603)</f>
        <v/>
      </c>
    </row>
    <row r="1604">
      <c r="A1604">
        <f>TEST_DATA!A1604</f>
        <v/>
      </c>
      <c r="B1604">
        <f>TEST_DATA!B1604</f>
        <v/>
      </c>
      <c r="C1604">
        <f>TEST_DATA!C1604</f>
        <v/>
      </c>
      <c r="D1604">
        <f>TEST_DATA!D1604</f>
        <v/>
      </c>
      <c r="E1604">
        <f>TEST_DATA!E1604</f>
        <v/>
      </c>
      <c r="F1604">
        <f>MIN(E1604*160400,10000)</f>
        <v/>
      </c>
      <c r="G1604">
        <f>MINIFS(CBIC_Late_Fee_Relief_Windows_3B!$O$1604:$O$100,CBIC_Late_Fee_Relief_Windows_3B!$D$1604:$D$100,"&lt;="&amp;B1604,CBIC_Late_Fee_Relief_Windows_3B!$E$1604:$E$100,"&gt;="&amp;B1604,CBIC_Late_Fee_Relief_Windows_3B!$F$1604:$F$100,"&lt;="&amp;C1604,CBIC_Late_Fee_Relief_Windows_3B!$G$1604:$G$100,"&gt;="&amp;C1604)</f>
        <v/>
      </c>
      <c r="H1604">
        <f>INDEX(CBIC_Late_Fee_Relief_Windows_3B!$I$1604:$I$100,MATCH(G1604,CBIC_Late_Fee_Relief_Windows_3B!$O$1604:$O$100,0))</f>
        <v/>
      </c>
      <c r="I1604">
        <f>MIN(F1604,H1604)</f>
        <v/>
      </c>
    </row>
    <row r="1605">
      <c r="A1605">
        <f>TEST_DATA!A1605</f>
        <v/>
      </c>
      <c r="B1605">
        <f>TEST_DATA!B1605</f>
        <v/>
      </c>
      <c r="C1605">
        <f>TEST_DATA!C1605</f>
        <v/>
      </c>
      <c r="D1605">
        <f>TEST_DATA!D1605</f>
        <v/>
      </c>
      <c r="E1605">
        <f>TEST_DATA!E1605</f>
        <v/>
      </c>
      <c r="F1605">
        <f>MIN(E1605*160500,10000)</f>
        <v/>
      </c>
      <c r="G1605">
        <f>MINIFS(CBIC_Late_Fee_Relief_Windows_3B!$O$1605:$O$100,CBIC_Late_Fee_Relief_Windows_3B!$D$1605:$D$100,"&lt;="&amp;B1605,CBIC_Late_Fee_Relief_Windows_3B!$E$1605:$E$100,"&gt;="&amp;B1605,CBIC_Late_Fee_Relief_Windows_3B!$F$1605:$F$100,"&lt;="&amp;C1605,CBIC_Late_Fee_Relief_Windows_3B!$G$1605:$G$100,"&gt;="&amp;C1605)</f>
        <v/>
      </c>
      <c r="H1605">
        <f>INDEX(CBIC_Late_Fee_Relief_Windows_3B!$I$1605:$I$100,MATCH(G1605,CBIC_Late_Fee_Relief_Windows_3B!$O$1605:$O$100,0))</f>
        <v/>
      </c>
      <c r="I1605">
        <f>MIN(F1605,H1605)</f>
        <v/>
      </c>
    </row>
    <row r="1606">
      <c r="A1606">
        <f>TEST_DATA!A1606</f>
        <v/>
      </c>
      <c r="B1606">
        <f>TEST_DATA!B1606</f>
        <v/>
      </c>
      <c r="C1606">
        <f>TEST_DATA!C1606</f>
        <v/>
      </c>
      <c r="D1606">
        <f>TEST_DATA!D1606</f>
        <v/>
      </c>
      <c r="E1606">
        <f>TEST_DATA!E1606</f>
        <v/>
      </c>
      <c r="F1606">
        <f>MIN(E1606*160600,10000)</f>
        <v/>
      </c>
      <c r="G1606">
        <f>MINIFS(CBIC_Late_Fee_Relief_Windows_3B!$O$1606:$O$100,CBIC_Late_Fee_Relief_Windows_3B!$D$1606:$D$100,"&lt;="&amp;B1606,CBIC_Late_Fee_Relief_Windows_3B!$E$1606:$E$100,"&gt;="&amp;B1606,CBIC_Late_Fee_Relief_Windows_3B!$F$1606:$F$100,"&lt;="&amp;C1606,CBIC_Late_Fee_Relief_Windows_3B!$G$1606:$G$100,"&gt;="&amp;C1606)</f>
        <v/>
      </c>
      <c r="H1606">
        <f>INDEX(CBIC_Late_Fee_Relief_Windows_3B!$I$1606:$I$100,MATCH(G1606,CBIC_Late_Fee_Relief_Windows_3B!$O$1606:$O$100,0))</f>
        <v/>
      </c>
      <c r="I1606">
        <f>MIN(F1606,H1606)</f>
        <v/>
      </c>
    </row>
    <row r="1607">
      <c r="A1607">
        <f>TEST_DATA!A1607</f>
        <v/>
      </c>
      <c r="B1607">
        <f>TEST_DATA!B1607</f>
        <v/>
      </c>
      <c r="C1607">
        <f>TEST_DATA!C1607</f>
        <v/>
      </c>
      <c r="D1607">
        <f>TEST_DATA!D1607</f>
        <v/>
      </c>
      <c r="E1607">
        <f>TEST_DATA!E1607</f>
        <v/>
      </c>
      <c r="F1607">
        <f>MIN(E1607*160700,10000)</f>
        <v/>
      </c>
      <c r="G1607">
        <f>MINIFS(CBIC_Late_Fee_Relief_Windows_3B!$O$1607:$O$100,CBIC_Late_Fee_Relief_Windows_3B!$D$1607:$D$100,"&lt;="&amp;B1607,CBIC_Late_Fee_Relief_Windows_3B!$E$1607:$E$100,"&gt;="&amp;B1607,CBIC_Late_Fee_Relief_Windows_3B!$F$1607:$F$100,"&lt;="&amp;C1607,CBIC_Late_Fee_Relief_Windows_3B!$G$1607:$G$100,"&gt;="&amp;C1607)</f>
        <v/>
      </c>
      <c r="H1607">
        <f>INDEX(CBIC_Late_Fee_Relief_Windows_3B!$I$1607:$I$100,MATCH(G1607,CBIC_Late_Fee_Relief_Windows_3B!$O$1607:$O$100,0))</f>
        <v/>
      </c>
      <c r="I1607">
        <f>MIN(F1607,H1607)</f>
        <v/>
      </c>
    </row>
    <row r="1608">
      <c r="A1608">
        <f>TEST_DATA!A1608</f>
        <v/>
      </c>
      <c r="B1608">
        <f>TEST_DATA!B1608</f>
        <v/>
      </c>
      <c r="C1608">
        <f>TEST_DATA!C1608</f>
        <v/>
      </c>
      <c r="D1608">
        <f>TEST_DATA!D1608</f>
        <v/>
      </c>
      <c r="E1608">
        <f>TEST_DATA!E1608</f>
        <v/>
      </c>
      <c r="F1608">
        <f>MIN(E1608*160800,10000)</f>
        <v/>
      </c>
      <c r="G1608">
        <f>MINIFS(CBIC_Late_Fee_Relief_Windows_3B!$O$1608:$O$100,CBIC_Late_Fee_Relief_Windows_3B!$D$1608:$D$100,"&lt;="&amp;B1608,CBIC_Late_Fee_Relief_Windows_3B!$E$1608:$E$100,"&gt;="&amp;B1608,CBIC_Late_Fee_Relief_Windows_3B!$F$1608:$F$100,"&lt;="&amp;C1608,CBIC_Late_Fee_Relief_Windows_3B!$G$1608:$G$100,"&gt;="&amp;C1608)</f>
        <v/>
      </c>
      <c r="H1608">
        <f>INDEX(CBIC_Late_Fee_Relief_Windows_3B!$I$1608:$I$100,MATCH(G1608,CBIC_Late_Fee_Relief_Windows_3B!$O$1608:$O$100,0))</f>
        <v/>
      </c>
      <c r="I1608">
        <f>MIN(F1608,H1608)</f>
        <v/>
      </c>
    </row>
    <row r="1609">
      <c r="A1609">
        <f>TEST_DATA!A1609</f>
        <v/>
      </c>
      <c r="B1609">
        <f>TEST_DATA!B1609</f>
        <v/>
      </c>
      <c r="C1609">
        <f>TEST_DATA!C1609</f>
        <v/>
      </c>
      <c r="D1609">
        <f>TEST_DATA!D1609</f>
        <v/>
      </c>
      <c r="E1609">
        <f>TEST_DATA!E1609</f>
        <v/>
      </c>
      <c r="F1609">
        <f>MIN(E1609*160900,10000)</f>
        <v/>
      </c>
      <c r="G1609">
        <f>MINIFS(CBIC_Late_Fee_Relief_Windows_3B!$O$1609:$O$100,CBIC_Late_Fee_Relief_Windows_3B!$D$1609:$D$100,"&lt;="&amp;B1609,CBIC_Late_Fee_Relief_Windows_3B!$E$1609:$E$100,"&gt;="&amp;B1609,CBIC_Late_Fee_Relief_Windows_3B!$F$1609:$F$100,"&lt;="&amp;C1609,CBIC_Late_Fee_Relief_Windows_3B!$G$1609:$G$100,"&gt;="&amp;C1609)</f>
        <v/>
      </c>
      <c r="H1609">
        <f>INDEX(CBIC_Late_Fee_Relief_Windows_3B!$I$1609:$I$100,MATCH(G1609,CBIC_Late_Fee_Relief_Windows_3B!$O$1609:$O$100,0))</f>
        <v/>
      </c>
      <c r="I1609">
        <f>MIN(F1609,H1609)</f>
        <v/>
      </c>
    </row>
    <row r="1610">
      <c r="A1610">
        <f>TEST_DATA!A1610</f>
        <v/>
      </c>
      <c r="B1610">
        <f>TEST_DATA!B1610</f>
        <v/>
      </c>
      <c r="C1610">
        <f>TEST_DATA!C1610</f>
        <v/>
      </c>
      <c r="D1610">
        <f>TEST_DATA!D1610</f>
        <v/>
      </c>
      <c r="E1610">
        <f>TEST_DATA!E1610</f>
        <v/>
      </c>
      <c r="F1610">
        <f>MIN(E1610*161000,10000)</f>
        <v/>
      </c>
      <c r="G1610">
        <f>MINIFS(CBIC_Late_Fee_Relief_Windows_3B!$O$1610:$O$100,CBIC_Late_Fee_Relief_Windows_3B!$D$1610:$D$100,"&lt;="&amp;B1610,CBIC_Late_Fee_Relief_Windows_3B!$E$1610:$E$100,"&gt;="&amp;B1610,CBIC_Late_Fee_Relief_Windows_3B!$F$1610:$F$100,"&lt;="&amp;C1610,CBIC_Late_Fee_Relief_Windows_3B!$G$1610:$G$100,"&gt;="&amp;C1610)</f>
        <v/>
      </c>
      <c r="H1610">
        <f>INDEX(CBIC_Late_Fee_Relief_Windows_3B!$I$1610:$I$100,MATCH(G1610,CBIC_Late_Fee_Relief_Windows_3B!$O$1610:$O$100,0))</f>
        <v/>
      </c>
      <c r="I1610">
        <f>MIN(F1610,H1610)</f>
        <v/>
      </c>
    </row>
    <row r="1611">
      <c r="A1611">
        <f>TEST_DATA!A1611</f>
        <v/>
      </c>
      <c r="B1611">
        <f>TEST_DATA!B1611</f>
        <v/>
      </c>
      <c r="C1611">
        <f>TEST_DATA!C1611</f>
        <v/>
      </c>
      <c r="D1611">
        <f>TEST_DATA!D1611</f>
        <v/>
      </c>
      <c r="E1611">
        <f>TEST_DATA!E1611</f>
        <v/>
      </c>
      <c r="F1611">
        <f>MIN(E1611*161100,10000)</f>
        <v/>
      </c>
      <c r="G1611">
        <f>MINIFS(CBIC_Late_Fee_Relief_Windows_3B!$O$1611:$O$100,CBIC_Late_Fee_Relief_Windows_3B!$D$1611:$D$100,"&lt;="&amp;B1611,CBIC_Late_Fee_Relief_Windows_3B!$E$1611:$E$100,"&gt;="&amp;B1611,CBIC_Late_Fee_Relief_Windows_3B!$F$1611:$F$100,"&lt;="&amp;C1611,CBIC_Late_Fee_Relief_Windows_3B!$G$1611:$G$100,"&gt;="&amp;C1611)</f>
        <v/>
      </c>
      <c r="H1611">
        <f>INDEX(CBIC_Late_Fee_Relief_Windows_3B!$I$1611:$I$100,MATCH(G1611,CBIC_Late_Fee_Relief_Windows_3B!$O$1611:$O$100,0))</f>
        <v/>
      </c>
      <c r="I1611">
        <f>MIN(F1611,H1611)</f>
        <v/>
      </c>
    </row>
    <row r="1612">
      <c r="A1612">
        <f>TEST_DATA!A1612</f>
        <v/>
      </c>
      <c r="B1612">
        <f>TEST_DATA!B1612</f>
        <v/>
      </c>
      <c r="C1612">
        <f>TEST_DATA!C1612</f>
        <v/>
      </c>
      <c r="D1612">
        <f>TEST_DATA!D1612</f>
        <v/>
      </c>
      <c r="E1612">
        <f>TEST_DATA!E1612</f>
        <v/>
      </c>
      <c r="F1612">
        <f>MIN(E1612*161200,10000)</f>
        <v/>
      </c>
      <c r="G1612">
        <f>MINIFS(CBIC_Late_Fee_Relief_Windows_3B!$O$1612:$O$100,CBIC_Late_Fee_Relief_Windows_3B!$D$1612:$D$100,"&lt;="&amp;B1612,CBIC_Late_Fee_Relief_Windows_3B!$E$1612:$E$100,"&gt;="&amp;B1612,CBIC_Late_Fee_Relief_Windows_3B!$F$1612:$F$100,"&lt;="&amp;C1612,CBIC_Late_Fee_Relief_Windows_3B!$G$1612:$G$100,"&gt;="&amp;C1612)</f>
        <v/>
      </c>
      <c r="H1612">
        <f>INDEX(CBIC_Late_Fee_Relief_Windows_3B!$I$1612:$I$100,MATCH(G1612,CBIC_Late_Fee_Relief_Windows_3B!$O$1612:$O$100,0))</f>
        <v/>
      </c>
      <c r="I1612">
        <f>MIN(F1612,H1612)</f>
        <v/>
      </c>
    </row>
    <row r="1613">
      <c r="A1613">
        <f>TEST_DATA!A1613</f>
        <v/>
      </c>
      <c r="B1613">
        <f>TEST_DATA!B1613</f>
        <v/>
      </c>
      <c r="C1613">
        <f>TEST_DATA!C1613</f>
        <v/>
      </c>
      <c r="D1613">
        <f>TEST_DATA!D1613</f>
        <v/>
      </c>
      <c r="E1613">
        <f>TEST_DATA!E1613</f>
        <v/>
      </c>
      <c r="F1613">
        <f>MIN(E1613*161300,10000)</f>
        <v/>
      </c>
      <c r="G1613">
        <f>MINIFS(CBIC_Late_Fee_Relief_Windows_3B!$O$1613:$O$100,CBIC_Late_Fee_Relief_Windows_3B!$D$1613:$D$100,"&lt;="&amp;B1613,CBIC_Late_Fee_Relief_Windows_3B!$E$1613:$E$100,"&gt;="&amp;B1613,CBIC_Late_Fee_Relief_Windows_3B!$F$1613:$F$100,"&lt;="&amp;C1613,CBIC_Late_Fee_Relief_Windows_3B!$G$1613:$G$100,"&gt;="&amp;C1613)</f>
        <v/>
      </c>
      <c r="H1613">
        <f>INDEX(CBIC_Late_Fee_Relief_Windows_3B!$I$1613:$I$100,MATCH(G1613,CBIC_Late_Fee_Relief_Windows_3B!$O$1613:$O$100,0))</f>
        <v/>
      </c>
      <c r="I1613">
        <f>MIN(F1613,H1613)</f>
        <v/>
      </c>
    </row>
    <row r="1614">
      <c r="A1614">
        <f>TEST_DATA!A1614</f>
        <v/>
      </c>
      <c r="B1614">
        <f>TEST_DATA!B1614</f>
        <v/>
      </c>
      <c r="C1614">
        <f>TEST_DATA!C1614</f>
        <v/>
      </c>
      <c r="D1614">
        <f>TEST_DATA!D1614</f>
        <v/>
      </c>
      <c r="E1614">
        <f>TEST_DATA!E1614</f>
        <v/>
      </c>
      <c r="F1614">
        <f>MIN(E1614*161400,10000)</f>
        <v/>
      </c>
      <c r="G1614">
        <f>MINIFS(CBIC_Late_Fee_Relief_Windows_3B!$O$1614:$O$100,CBIC_Late_Fee_Relief_Windows_3B!$D$1614:$D$100,"&lt;="&amp;B1614,CBIC_Late_Fee_Relief_Windows_3B!$E$1614:$E$100,"&gt;="&amp;B1614,CBIC_Late_Fee_Relief_Windows_3B!$F$1614:$F$100,"&lt;="&amp;C1614,CBIC_Late_Fee_Relief_Windows_3B!$G$1614:$G$100,"&gt;="&amp;C1614)</f>
        <v/>
      </c>
      <c r="H1614">
        <f>INDEX(CBIC_Late_Fee_Relief_Windows_3B!$I$1614:$I$100,MATCH(G1614,CBIC_Late_Fee_Relief_Windows_3B!$O$1614:$O$100,0))</f>
        <v/>
      </c>
      <c r="I1614">
        <f>MIN(F1614,H1614)</f>
        <v/>
      </c>
    </row>
    <row r="1615">
      <c r="A1615">
        <f>TEST_DATA!A1615</f>
        <v/>
      </c>
      <c r="B1615">
        <f>TEST_DATA!B1615</f>
        <v/>
      </c>
      <c r="C1615">
        <f>TEST_DATA!C1615</f>
        <v/>
      </c>
      <c r="D1615">
        <f>TEST_DATA!D1615</f>
        <v/>
      </c>
      <c r="E1615">
        <f>TEST_DATA!E1615</f>
        <v/>
      </c>
      <c r="F1615">
        <f>MIN(E1615*161500,10000)</f>
        <v/>
      </c>
      <c r="G1615">
        <f>MINIFS(CBIC_Late_Fee_Relief_Windows_3B!$O$1615:$O$100,CBIC_Late_Fee_Relief_Windows_3B!$D$1615:$D$100,"&lt;="&amp;B1615,CBIC_Late_Fee_Relief_Windows_3B!$E$1615:$E$100,"&gt;="&amp;B1615,CBIC_Late_Fee_Relief_Windows_3B!$F$1615:$F$100,"&lt;="&amp;C1615,CBIC_Late_Fee_Relief_Windows_3B!$G$1615:$G$100,"&gt;="&amp;C1615)</f>
        <v/>
      </c>
      <c r="H1615">
        <f>INDEX(CBIC_Late_Fee_Relief_Windows_3B!$I$1615:$I$100,MATCH(G1615,CBIC_Late_Fee_Relief_Windows_3B!$O$1615:$O$100,0))</f>
        <v/>
      </c>
      <c r="I1615">
        <f>MIN(F1615,H1615)</f>
        <v/>
      </c>
    </row>
    <row r="1616">
      <c r="A1616">
        <f>TEST_DATA!A1616</f>
        <v/>
      </c>
      <c r="B1616">
        <f>TEST_DATA!B1616</f>
        <v/>
      </c>
      <c r="C1616">
        <f>TEST_DATA!C1616</f>
        <v/>
      </c>
      <c r="D1616">
        <f>TEST_DATA!D1616</f>
        <v/>
      </c>
      <c r="E1616">
        <f>TEST_DATA!E1616</f>
        <v/>
      </c>
      <c r="F1616">
        <f>MIN(E1616*161600,10000)</f>
        <v/>
      </c>
      <c r="G1616">
        <f>MINIFS(CBIC_Late_Fee_Relief_Windows_3B!$O$1616:$O$100,CBIC_Late_Fee_Relief_Windows_3B!$D$1616:$D$100,"&lt;="&amp;B1616,CBIC_Late_Fee_Relief_Windows_3B!$E$1616:$E$100,"&gt;="&amp;B1616,CBIC_Late_Fee_Relief_Windows_3B!$F$1616:$F$100,"&lt;="&amp;C1616,CBIC_Late_Fee_Relief_Windows_3B!$G$1616:$G$100,"&gt;="&amp;C1616)</f>
        <v/>
      </c>
      <c r="H1616">
        <f>INDEX(CBIC_Late_Fee_Relief_Windows_3B!$I$1616:$I$100,MATCH(G1616,CBIC_Late_Fee_Relief_Windows_3B!$O$1616:$O$100,0))</f>
        <v/>
      </c>
      <c r="I1616">
        <f>MIN(F1616,H1616)</f>
        <v/>
      </c>
    </row>
    <row r="1617">
      <c r="A1617">
        <f>TEST_DATA!A1617</f>
        <v/>
      </c>
      <c r="B1617">
        <f>TEST_DATA!B1617</f>
        <v/>
      </c>
      <c r="C1617">
        <f>TEST_DATA!C1617</f>
        <v/>
      </c>
      <c r="D1617">
        <f>TEST_DATA!D1617</f>
        <v/>
      </c>
      <c r="E1617">
        <f>TEST_DATA!E1617</f>
        <v/>
      </c>
      <c r="F1617">
        <f>MIN(E1617*161700,10000)</f>
        <v/>
      </c>
      <c r="G1617">
        <f>MINIFS(CBIC_Late_Fee_Relief_Windows_3B!$O$1617:$O$100,CBIC_Late_Fee_Relief_Windows_3B!$D$1617:$D$100,"&lt;="&amp;B1617,CBIC_Late_Fee_Relief_Windows_3B!$E$1617:$E$100,"&gt;="&amp;B1617,CBIC_Late_Fee_Relief_Windows_3B!$F$1617:$F$100,"&lt;="&amp;C1617,CBIC_Late_Fee_Relief_Windows_3B!$G$1617:$G$100,"&gt;="&amp;C1617)</f>
        <v/>
      </c>
      <c r="H1617">
        <f>INDEX(CBIC_Late_Fee_Relief_Windows_3B!$I$1617:$I$100,MATCH(G1617,CBIC_Late_Fee_Relief_Windows_3B!$O$1617:$O$100,0))</f>
        <v/>
      </c>
      <c r="I1617">
        <f>MIN(F1617,H1617)</f>
        <v/>
      </c>
    </row>
    <row r="1618">
      <c r="A1618">
        <f>TEST_DATA!A1618</f>
        <v/>
      </c>
      <c r="B1618">
        <f>TEST_DATA!B1618</f>
        <v/>
      </c>
      <c r="C1618">
        <f>TEST_DATA!C1618</f>
        <v/>
      </c>
      <c r="D1618">
        <f>TEST_DATA!D1618</f>
        <v/>
      </c>
      <c r="E1618">
        <f>TEST_DATA!E1618</f>
        <v/>
      </c>
      <c r="F1618">
        <f>MIN(E1618*161800,10000)</f>
        <v/>
      </c>
      <c r="G1618">
        <f>MINIFS(CBIC_Late_Fee_Relief_Windows_3B!$O$1618:$O$100,CBIC_Late_Fee_Relief_Windows_3B!$D$1618:$D$100,"&lt;="&amp;B1618,CBIC_Late_Fee_Relief_Windows_3B!$E$1618:$E$100,"&gt;="&amp;B1618,CBIC_Late_Fee_Relief_Windows_3B!$F$1618:$F$100,"&lt;="&amp;C1618,CBIC_Late_Fee_Relief_Windows_3B!$G$1618:$G$100,"&gt;="&amp;C1618)</f>
        <v/>
      </c>
      <c r="H1618">
        <f>INDEX(CBIC_Late_Fee_Relief_Windows_3B!$I$1618:$I$100,MATCH(G1618,CBIC_Late_Fee_Relief_Windows_3B!$O$1618:$O$100,0))</f>
        <v/>
      </c>
      <c r="I1618">
        <f>MIN(F1618,H1618)</f>
        <v/>
      </c>
    </row>
    <row r="1619">
      <c r="A1619">
        <f>TEST_DATA!A1619</f>
        <v/>
      </c>
      <c r="B1619">
        <f>TEST_DATA!B1619</f>
        <v/>
      </c>
      <c r="C1619">
        <f>TEST_DATA!C1619</f>
        <v/>
      </c>
      <c r="D1619">
        <f>TEST_DATA!D1619</f>
        <v/>
      </c>
      <c r="E1619">
        <f>TEST_DATA!E1619</f>
        <v/>
      </c>
      <c r="F1619">
        <f>MIN(E1619*161900,10000)</f>
        <v/>
      </c>
      <c r="G1619">
        <f>MINIFS(CBIC_Late_Fee_Relief_Windows_3B!$O$1619:$O$100,CBIC_Late_Fee_Relief_Windows_3B!$D$1619:$D$100,"&lt;="&amp;B1619,CBIC_Late_Fee_Relief_Windows_3B!$E$1619:$E$100,"&gt;="&amp;B1619,CBIC_Late_Fee_Relief_Windows_3B!$F$1619:$F$100,"&lt;="&amp;C1619,CBIC_Late_Fee_Relief_Windows_3B!$G$1619:$G$100,"&gt;="&amp;C1619)</f>
        <v/>
      </c>
      <c r="H1619">
        <f>INDEX(CBIC_Late_Fee_Relief_Windows_3B!$I$1619:$I$100,MATCH(G1619,CBIC_Late_Fee_Relief_Windows_3B!$O$1619:$O$100,0))</f>
        <v/>
      </c>
      <c r="I1619">
        <f>MIN(F1619,H1619)</f>
        <v/>
      </c>
    </row>
    <row r="1620">
      <c r="A1620">
        <f>TEST_DATA!A1620</f>
        <v/>
      </c>
      <c r="B1620">
        <f>TEST_DATA!B1620</f>
        <v/>
      </c>
      <c r="C1620">
        <f>TEST_DATA!C1620</f>
        <v/>
      </c>
      <c r="D1620">
        <f>TEST_DATA!D1620</f>
        <v/>
      </c>
      <c r="E1620">
        <f>TEST_DATA!E1620</f>
        <v/>
      </c>
      <c r="F1620">
        <f>MIN(E1620*162000,10000)</f>
        <v/>
      </c>
      <c r="G1620">
        <f>MINIFS(CBIC_Late_Fee_Relief_Windows_3B!$O$1620:$O$100,CBIC_Late_Fee_Relief_Windows_3B!$D$1620:$D$100,"&lt;="&amp;B1620,CBIC_Late_Fee_Relief_Windows_3B!$E$1620:$E$100,"&gt;="&amp;B1620,CBIC_Late_Fee_Relief_Windows_3B!$F$1620:$F$100,"&lt;="&amp;C1620,CBIC_Late_Fee_Relief_Windows_3B!$G$1620:$G$100,"&gt;="&amp;C1620)</f>
        <v/>
      </c>
      <c r="H1620">
        <f>INDEX(CBIC_Late_Fee_Relief_Windows_3B!$I$1620:$I$100,MATCH(G1620,CBIC_Late_Fee_Relief_Windows_3B!$O$1620:$O$100,0))</f>
        <v/>
      </c>
      <c r="I1620">
        <f>MIN(F1620,H1620)</f>
        <v/>
      </c>
    </row>
    <row r="1621">
      <c r="A1621">
        <f>TEST_DATA!A1621</f>
        <v/>
      </c>
      <c r="B1621">
        <f>TEST_DATA!B1621</f>
        <v/>
      </c>
      <c r="C1621">
        <f>TEST_DATA!C1621</f>
        <v/>
      </c>
      <c r="D1621">
        <f>TEST_DATA!D1621</f>
        <v/>
      </c>
      <c r="E1621">
        <f>TEST_DATA!E1621</f>
        <v/>
      </c>
      <c r="F1621">
        <f>MIN(E1621*162100,10000)</f>
        <v/>
      </c>
      <c r="G1621">
        <f>MINIFS(CBIC_Late_Fee_Relief_Windows_3B!$O$1621:$O$100,CBIC_Late_Fee_Relief_Windows_3B!$D$1621:$D$100,"&lt;="&amp;B1621,CBIC_Late_Fee_Relief_Windows_3B!$E$1621:$E$100,"&gt;="&amp;B1621,CBIC_Late_Fee_Relief_Windows_3B!$F$1621:$F$100,"&lt;="&amp;C1621,CBIC_Late_Fee_Relief_Windows_3B!$G$1621:$G$100,"&gt;="&amp;C1621)</f>
        <v/>
      </c>
      <c r="H1621">
        <f>INDEX(CBIC_Late_Fee_Relief_Windows_3B!$I$1621:$I$100,MATCH(G1621,CBIC_Late_Fee_Relief_Windows_3B!$O$1621:$O$100,0))</f>
        <v/>
      </c>
      <c r="I1621">
        <f>MIN(F1621,H1621)</f>
        <v/>
      </c>
    </row>
    <row r="1622">
      <c r="A1622">
        <f>TEST_DATA!A1622</f>
        <v/>
      </c>
      <c r="B1622">
        <f>TEST_DATA!B1622</f>
        <v/>
      </c>
      <c r="C1622">
        <f>TEST_DATA!C1622</f>
        <v/>
      </c>
      <c r="D1622">
        <f>TEST_DATA!D1622</f>
        <v/>
      </c>
      <c r="E1622">
        <f>TEST_DATA!E1622</f>
        <v/>
      </c>
      <c r="F1622">
        <f>MIN(E1622*162200,10000)</f>
        <v/>
      </c>
      <c r="G1622">
        <f>MINIFS(CBIC_Late_Fee_Relief_Windows_3B!$O$1622:$O$100,CBIC_Late_Fee_Relief_Windows_3B!$D$1622:$D$100,"&lt;="&amp;B1622,CBIC_Late_Fee_Relief_Windows_3B!$E$1622:$E$100,"&gt;="&amp;B1622,CBIC_Late_Fee_Relief_Windows_3B!$F$1622:$F$100,"&lt;="&amp;C1622,CBIC_Late_Fee_Relief_Windows_3B!$G$1622:$G$100,"&gt;="&amp;C1622)</f>
        <v/>
      </c>
      <c r="H1622">
        <f>INDEX(CBIC_Late_Fee_Relief_Windows_3B!$I$1622:$I$100,MATCH(G1622,CBIC_Late_Fee_Relief_Windows_3B!$O$1622:$O$100,0))</f>
        <v/>
      </c>
      <c r="I1622">
        <f>MIN(F1622,H1622)</f>
        <v/>
      </c>
    </row>
    <row r="1623">
      <c r="A1623">
        <f>TEST_DATA!A1623</f>
        <v/>
      </c>
      <c r="B1623">
        <f>TEST_DATA!B1623</f>
        <v/>
      </c>
      <c r="C1623">
        <f>TEST_DATA!C1623</f>
        <v/>
      </c>
      <c r="D1623">
        <f>TEST_DATA!D1623</f>
        <v/>
      </c>
      <c r="E1623">
        <f>TEST_DATA!E1623</f>
        <v/>
      </c>
      <c r="F1623">
        <f>MIN(E1623*162300,10000)</f>
        <v/>
      </c>
      <c r="G1623">
        <f>MINIFS(CBIC_Late_Fee_Relief_Windows_3B!$O$1623:$O$100,CBIC_Late_Fee_Relief_Windows_3B!$D$1623:$D$100,"&lt;="&amp;B1623,CBIC_Late_Fee_Relief_Windows_3B!$E$1623:$E$100,"&gt;="&amp;B1623,CBIC_Late_Fee_Relief_Windows_3B!$F$1623:$F$100,"&lt;="&amp;C1623,CBIC_Late_Fee_Relief_Windows_3B!$G$1623:$G$100,"&gt;="&amp;C1623)</f>
        <v/>
      </c>
      <c r="H1623">
        <f>INDEX(CBIC_Late_Fee_Relief_Windows_3B!$I$1623:$I$100,MATCH(G1623,CBIC_Late_Fee_Relief_Windows_3B!$O$1623:$O$100,0))</f>
        <v/>
      </c>
      <c r="I1623">
        <f>MIN(F1623,H1623)</f>
        <v/>
      </c>
    </row>
    <row r="1624">
      <c r="A1624">
        <f>TEST_DATA!A1624</f>
        <v/>
      </c>
      <c r="B1624">
        <f>TEST_DATA!B1624</f>
        <v/>
      </c>
      <c r="C1624">
        <f>TEST_DATA!C1624</f>
        <v/>
      </c>
      <c r="D1624">
        <f>TEST_DATA!D1624</f>
        <v/>
      </c>
      <c r="E1624">
        <f>TEST_DATA!E1624</f>
        <v/>
      </c>
      <c r="F1624">
        <f>MIN(E1624*162400,10000)</f>
        <v/>
      </c>
      <c r="G1624">
        <f>MINIFS(CBIC_Late_Fee_Relief_Windows_3B!$O$1624:$O$100,CBIC_Late_Fee_Relief_Windows_3B!$D$1624:$D$100,"&lt;="&amp;B1624,CBIC_Late_Fee_Relief_Windows_3B!$E$1624:$E$100,"&gt;="&amp;B1624,CBIC_Late_Fee_Relief_Windows_3B!$F$1624:$F$100,"&lt;="&amp;C1624,CBIC_Late_Fee_Relief_Windows_3B!$G$1624:$G$100,"&gt;="&amp;C1624)</f>
        <v/>
      </c>
      <c r="H1624">
        <f>INDEX(CBIC_Late_Fee_Relief_Windows_3B!$I$1624:$I$100,MATCH(G1624,CBIC_Late_Fee_Relief_Windows_3B!$O$1624:$O$100,0))</f>
        <v/>
      </c>
      <c r="I1624">
        <f>MIN(F1624,H1624)</f>
        <v/>
      </c>
    </row>
    <row r="1625">
      <c r="A1625">
        <f>TEST_DATA!A1625</f>
        <v/>
      </c>
      <c r="B1625">
        <f>TEST_DATA!B1625</f>
        <v/>
      </c>
      <c r="C1625">
        <f>TEST_DATA!C1625</f>
        <v/>
      </c>
      <c r="D1625">
        <f>TEST_DATA!D1625</f>
        <v/>
      </c>
      <c r="E1625">
        <f>TEST_DATA!E1625</f>
        <v/>
      </c>
      <c r="F1625">
        <f>MIN(E1625*162500,10000)</f>
        <v/>
      </c>
      <c r="G1625">
        <f>MINIFS(CBIC_Late_Fee_Relief_Windows_3B!$O$1625:$O$100,CBIC_Late_Fee_Relief_Windows_3B!$D$1625:$D$100,"&lt;="&amp;B1625,CBIC_Late_Fee_Relief_Windows_3B!$E$1625:$E$100,"&gt;="&amp;B1625,CBIC_Late_Fee_Relief_Windows_3B!$F$1625:$F$100,"&lt;="&amp;C1625,CBIC_Late_Fee_Relief_Windows_3B!$G$1625:$G$100,"&gt;="&amp;C1625)</f>
        <v/>
      </c>
      <c r="H1625">
        <f>INDEX(CBIC_Late_Fee_Relief_Windows_3B!$I$1625:$I$100,MATCH(G1625,CBIC_Late_Fee_Relief_Windows_3B!$O$1625:$O$100,0))</f>
        <v/>
      </c>
      <c r="I1625">
        <f>MIN(F1625,H1625)</f>
        <v/>
      </c>
    </row>
    <row r="1626">
      <c r="A1626">
        <f>TEST_DATA!A1626</f>
        <v/>
      </c>
      <c r="B1626">
        <f>TEST_DATA!B1626</f>
        <v/>
      </c>
      <c r="C1626">
        <f>TEST_DATA!C1626</f>
        <v/>
      </c>
      <c r="D1626">
        <f>TEST_DATA!D1626</f>
        <v/>
      </c>
      <c r="E1626">
        <f>TEST_DATA!E1626</f>
        <v/>
      </c>
      <c r="F1626">
        <f>MIN(E1626*162600,10000)</f>
        <v/>
      </c>
      <c r="G1626">
        <f>MINIFS(CBIC_Late_Fee_Relief_Windows_3B!$O$1626:$O$100,CBIC_Late_Fee_Relief_Windows_3B!$D$1626:$D$100,"&lt;="&amp;B1626,CBIC_Late_Fee_Relief_Windows_3B!$E$1626:$E$100,"&gt;="&amp;B1626,CBIC_Late_Fee_Relief_Windows_3B!$F$1626:$F$100,"&lt;="&amp;C1626,CBIC_Late_Fee_Relief_Windows_3B!$G$1626:$G$100,"&gt;="&amp;C1626)</f>
        <v/>
      </c>
      <c r="H1626">
        <f>INDEX(CBIC_Late_Fee_Relief_Windows_3B!$I$1626:$I$100,MATCH(G1626,CBIC_Late_Fee_Relief_Windows_3B!$O$1626:$O$100,0))</f>
        <v/>
      </c>
      <c r="I1626">
        <f>MIN(F1626,H1626)</f>
        <v/>
      </c>
    </row>
    <row r="1627">
      <c r="A1627">
        <f>TEST_DATA!A1627</f>
        <v/>
      </c>
      <c r="B1627">
        <f>TEST_DATA!B1627</f>
        <v/>
      </c>
      <c r="C1627">
        <f>TEST_DATA!C1627</f>
        <v/>
      </c>
      <c r="D1627">
        <f>TEST_DATA!D1627</f>
        <v/>
      </c>
      <c r="E1627">
        <f>TEST_DATA!E1627</f>
        <v/>
      </c>
      <c r="F1627">
        <f>MIN(E1627*162700,10000)</f>
        <v/>
      </c>
      <c r="G1627">
        <f>MINIFS(CBIC_Late_Fee_Relief_Windows_3B!$O$1627:$O$100,CBIC_Late_Fee_Relief_Windows_3B!$D$1627:$D$100,"&lt;="&amp;B1627,CBIC_Late_Fee_Relief_Windows_3B!$E$1627:$E$100,"&gt;="&amp;B1627,CBIC_Late_Fee_Relief_Windows_3B!$F$1627:$F$100,"&lt;="&amp;C1627,CBIC_Late_Fee_Relief_Windows_3B!$G$1627:$G$100,"&gt;="&amp;C1627)</f>
        <v/>
      </c>
      <c r="H1627">
        <f>INDEX(CBIC_Late_Fee_Relief_Windows_3B!$I$1627:$I$100,MATCH(G1627,CBIC_Late_Fee_Relief_Windows_3B!$O$1627:$O$100,0))</f>
        <v/>
      </c>
      <c r="I1627">
        <f>MIN(F1627,H1627)</f>
        <v/>
      </c>
    </row>
    <row r="1628">
      <c r="A1628">
        <f>TEST_DATA!A1628</f>
        <v/>
      </c>
      <c r="B1628">
        <f>TEST_DATA!B1628</f>
        <v/>
      </c>
      <c r="C1628">
        <f>TEST_DATA!C1628</f>
        <v/>
      </c>
      <c r="D1628">
        <f>TEST_DATA!D1628</f>
        <v/>
      </c>
      <c r="E1628">
        <f>TEST_DATA!E1628</f>
        <v/>
      </c>
      <c r="F1628">
        <f>MIN(E1628*162800,10000)</f>
        <v/>
      </c>
      <c r="G1628">
        <f>MINIFS(CBIC_Late_Fee_Relief_Windows_3B!$O$1628:$O$100,CBIC_Late_Fee_Relief_Windows_3B!$D$1628:$D$100,"&lt;="&amp;B1628,CBIC_Late_Fee_Relief_Windows_3B!$E$1628:$E$100,"&gt;="&amp;B1628,CBIC_Late_Fee_Relief_Windows_3B!$F$1628:$F$100,"&lt;="&amp;C1628,CBIC_Late_Fee_Relief_Windows_3B!$G$1628:$G$100,"&gt;="&amp;C1628)</f>
        <v/>
      </c>
      <c r="H1628">
        <f>INDEX(CBIC_Late_Fee_Relief_Windows_3B!$I$1628:$I$100,MATCH(G1628,CBIC_Late_Fee_Relief_Windows_3B!$O$1628:$O$100,0))</f>
        <v/>
      </c>
      <c r="I1628">
        <f>MIN(F1628,H1628)</f>
        <v/>
      </c>
    </row>
    <row r="1629">
      <c r="A1629">
        <f>TEST_DATA!A1629</f>
        <v/>
      </c>
      <c r="B1629">
        <f>TEST_DATA!B1629</f>
        <v/>
      </c>
      <c r="C1629">
        <f>TEST_DATA!C1629</f>
        <v/>
      </c>
      <c r="D1629">
        <f>TEST_DATA!D1629</f>
        <v/>
      </c>
      <c r="E1629">
        <f>TEST_DATA!E1629</f>
        <v/>
      </c>
      <c r="F1629">
        <f>MIN(E1629*162900,10000)</f>
        <v/>
      </c>
      <c r="G1629">
        <f>MINIFS(CBIC_Late_Fee_Relief_Windows_3B!$O$1629:$O$100,CBIC_Late_Fee_Relief_Windows_3B!$D$1629:$D$100,"&lt;="&amp;B1629,CBIC_Late_Fee_Relief_Windows_3B!$E$1629:$E$100,"&gt;="&amp;B1629,CBIC_Late_Fee_Relief_Windows_3B!$F$1629:$F$100,"&lt;="&amp;C1629,CBIC_Late_Fee_Relief_Windows_3B!$G$1629:$G$100,"&gt;="&amp;C1629)</f>
        <v/>
      </c>
      <c r="H1629">
        <f>INDEX(CBIC_Late_Fee_Relief_Windows_3B!$I$1629:$I$100,MATCH(G1629,CBIC_Late_Fee_Relief_Windows_3B!$O$1629:$O$100,0))</f>
        <v/>
      </c>
      <c r="I1629">
        <f>MIN(F1629,H1629)</f>
        <v/>
      </c>
    </row>
    <row r="1630">
      <c r="A1630">
        <f>TEST_DATA!A1630</f>
        <v/>
      </c>
      <c r="B1630">
        <f>TEST_DATA!B1630</f>
        <v/>
      </c>
      <c r="C1630">
        <f>TEST_DATA!C1630</f>
        <v/>
      </c>
      <c r="D1630">
        <f>TEST_DATA!D1630</f>
        <v/>
      </c>
      <c r="E1630">
        <f>TEST_DATA!E1630</f>
        <v/>
      </c>
      <c r="F1630">
        <f>MIN(E1630*163000,10000)</f>
        <v/>
      </c>
      <c r="G1630">
        <f>MINIFS(CBIC_Late_Fee_Relief_Windows_3B!$O$1630:$O$100,CBIC_Late_Fee_Relief_Windows_3B!$D$1630:$D$100,"&lt;="&amp;B1630,CBIC_Late_Fee_Relief_Windows_3B!$E$1630:$E$100,"&gt;="&amp;B1630,CBIC_Late_Fee_Relief_Windows_3B!$F$1630:$F$100,"&lt;="&amp;C1630,CBIC_Late_Fee_Relief_Windows_3B!$G$1630:$G$100,"&gt;="&amp;C1630)</f>
        <v/>
      </c>
      <c r="H1630">
        <f>INDEX(CBIC_Late_Fee_Relief_Windows_3B!$I$1630:$I$100,MATCH(G1630,CBIC_Late_Fee_Relief_Windows_3B!$O$1630:$O$100,0))</f>
        <v/>
      </c>
      <c r="I1630">
        <f>MIN(F1630,H1630)</f>
        <v/>
      </c>
    </row>
    <row r="1631">
      <c r="A1631">
        <f>TEST_DATA!A1631</f>
        <v/>
      </c>
      <c r="B1631">
        <f>TEST_DATA!B1631</f>
        <v/>
      </c>
      <c r="C1631">
        <f>TEST_DATA!C1631</f>
        <v/>
      </c>
      <c r="D1631">
        <f>TEST_DATA!D1631</f>
        <v/>
      </c>
      <c r="E1631">
        <f>TEST_DATA!E1631</f>
        <v/>
      </c>
      <c r="F1631">
        <f>MIN(E1631*163100,10000)</f>
        <v/>
      </c>
      <c r="G1631">
        <f>MINIFS(CBIC_Late_Fee_Relief_Windows_3B!$O$1631:$O$100,CBIC_Late_Fee_Relief_Windows_3B!$D$1631:$D$100,"&lt;="&amp;B1631,CBIC_Late_Fee_Relief_Windows_3B!$E$1631:$E$100,"&gt;="&amp;B1631,CBIC_Late_Fee_Relief_Windows_3B!$F$1631:$F$100,"&lt;="&amp;C1631,CBIC_Late_Fee_Relief_Windows_3B!$G$1631:$G$100,"&gt;="&amp;C1631)</f>
        <v/>
      </c>
      <c r="H1631">
        <f>INDEX(CBIC_Late_Fee_Relief_Windows_3B!$I$1631:$I$100,MATCH(G1631,CBIC_Late_Fee_Relief_Windows_3B!$O$1631:$O$100,0))</f>
        <v/>
      </c>
      <c r="I1631">
        <f>MIN(F1631,H1631)</f>
        <v/>
      </c>
    </row>
    <row r="1632">
      <c r="A1632">
        <f>TEST_DATA!A1632</f>
        <v/>
      </c>
      <c r="B1632">
        <f>TEST_DATA!B1632</f>
        <v/>
      </c>
      <c r="C1632">
        <f>TEST_DATA!C1632</f>
        <v/>
      </c>
      <c r="D1632">
        <f>TEST_DATA!D1632</f>
        <v/>
      </c>
      <c r="E1632">
        <f>TEST_DATA!E1632</f>
        <v/>
      </c>
      <c r="F1632">
        <f>MIN(E1632*163200,10000)</f>
        <v/>
      </c>
      <c r="G1632">
        <f>MINIFS(CBIC_Late_Fee_Relief_Windows_3B!$O$1632:$O$100,CBIC_Late_Fee_Relief_Windows_3B!$D$1632:$D$100,"&lt;="&amp;B1632,CBIC_Late_Fee_Relief_Windows_3B!$E$1632:$E$100,"&gt;="&amp;B1632,CBIC_Late_Fee_Relief_Windows_3B!$F$1632:$F$100,"&lt;="&amp;C1632,CBIC_Late_Fee_Relief_Windows_3B!$G$1632:$G$100,"&gt;="&amp;C1632)</f>
        <v/>
      </c>
      <c r="H1632">
        <f>INDEX(CBIC_Late_Fee_Relief_Windows_3B!$I$1632:$I$100,MATCH(G1632,CBIC_Late_Fee_Relief_Windows_3B!$O$1632:$O$100,0))</f>
        <v/>
      </c>
      <c r="I1632">
        <f>MIN(F1632,H1632)</f>
        <v/>
      </c>
    </row>
    <row r="1633">
      <c r="A1633">
        <f>TEST_DATA!A1633</f>
        <v/>
      </c>
      <c r="B1633">
        <f>TEST_DATA!B1633</f>
        <v/>
      </c>
      <c r="C1633">
        <f>TEST_DATA!C1633</f>
        <v/>
      </c>
      <c r="D1633">
        <f>TEST_DATA!D1633</f>
        <v/>
      </c>
      <c r="E1633">
        <f>TEST_DATA!E1633</f>
        <v/>
      </c>
      <c r="F1633">
        <f>MIN(E1633*163300,10000)</f>
        <v/>
      </c>
      <c r="G1633">
        <f>MINIFS(CBIC_Late_Fee_Relief_Windows_3B!$O$1633:$O$100,CBIC_Late_Fee_Relief_Windows_3B!$D$1633:$D$100,"&lt;="&amp;B1633,CBIC_Late_Fee_Relief_Windows_3B!$E$1633:$E$100,"&gt;="&amp;B1633,CBIC_Late_Fee_Relief_Windows_3B!$F$1633:$F$100,"&lt;="&amp;C1633,CBIC_Late_Fee_Relief_Windows_3B!$G$1633:$G$100,"&gt;="&amp;C1633)</f>
        <v/>
      </c>
      <c r="H1633">
        <f>INDEX(CBIC_Late_Fee_Relief_Windows_3B!$I$1633:$I$100,MATCH(G1633,CBIC_Late_Fee_Relief_Windows_3B!$O$1633:$O$100,0))</f>
        <v/>
      </c>
      <c r="I1633">
        <f>MIN(F1633,H1633)</f>
        <v/>
      </c>
    </row>
    <row r="1634">
      <c r="A1634">
        <f>TEST_DATA!A1634</f>
        <v/>
      </c>
      <c r="B1634">
        <f>TEST_DATA!B1634</f>
        <v/>
      </c>
      <c r="C1634">
        <f>TEST_DATA!C1634</f>
        <v/>
      </c>
      <c r="D1634">
        <f>TEST_DATA!D1634</f>
        <v/>
      </c>
      <c r="E1634">
        <f>TEST_DATA!E1634</f>
        <v/>
      </c>
      <c r="F1634">
        <f>MIN(E1634*163400,10000)</f>
        <v/>
      </c>
      <c r="G1634">
        <f>MINIFS(CBIC_Late_Fee_Relief_Windows_3B!$O$1634:$O$100,CBIC_Late_Fee_Relief_Windows_3B!$D$1634:$D$100,"&lt;="&amp;B1634,CBIC_Late_Fee_Relief_Windows_3B!$E$1634:$E$100,"&gt;="&amp;B1634,CBIC_Late_Fee_Relief_Windows_3B!$F$1634:$F$100,"&lt;="&amp;C1634,CBIC_Late_Fee_Relief_Windows_3B!$G$1634:$G$100,"&gt;="&amp;C1634)</f>
        <v/>
      </c>
      <c r="H1634">
        <f>INDEX(CBIC_Late_Fee_Relief_Windows_3B!$I$1634:$I$100,MATCH(G1634,CBIC_Late_Fee_Relief_Windows_3B!$O$1634:$O$100,0))</f>
        <v/>
      </c>
      <c r="I1634">
        <f>MIN(F1634,H1634)</f>
        <v/>
      </c>
    </row>
    <row r="1635">
      <c r="A1635">
        <f>TEST_DATA!A1635</f>
        <v/>
      </c>
      <c r="B1635">
        <f>TEST_DATA!B1635</f>
        <v/>
      </c>
      <c r="C1635">
        <f>TEST_DATA!C1635</f>
        <v/>
      </c>
      <c r="D1635">
        <f>TEST_DATA!D1635</f>
        <v/>
      </c>
      <c r="E1635">
        <f>TEST_DATA!E1635</f>
        <v/>
      </c>
      <c r="F1635">
        <f>MIN(E1635*163500,10000)</f>
        <v/>
      </c>
      <c r="G1635">
        <f>MINIFS(CBIC_Late_Fee_Relief_Windows_3B!$O$1635:$O$100,CBIC_Late_Fee_Relief_Windows_3B!$D$1635:$D$100,"&lt;="&amp;B1635,CBIC_Late_Fee_Relief_Windows_3B!$E$1635:$E$100,"&gt;="&amp;B1635,CBIC_Late_Fee_Relief_Windows_3B!$F$1635:$F$100,"&lt;="&amp;C1635,CBIC_Late_Fee_Relief_Windows_3B!$G$1635:$G$100,"&gt;="&amp;C1635)</f>
        <v/>
      </c>
      <c r="H1635">
        <f>INDEX(CBIC_Late_Fee_Relief_Windows_3B!$I$1635:$I$100,MATCH(G1635,CBIC_Late_Fee_Relief_Windows_3B!$O$1635:$O$100,0))</f>
        <v/>
      </c>
      <c r="I1635">
        <f>MIN(F1635,H1635)</f>
        <v/>
      </c>
    </row>
    <row r="1636">
      <c r="A1636">
        <f>TEST_DATA!A1636</f>
        <v/>
      </c>
      <c r="B1636">
        <f>TEST_DATA!B1636</f>
        <v/>
      </c>
      <c r="C1636">
        <f>TEST_DATA!C1636</f>
        <v/>
      </c>
      <c r="D1636">
        <f>TEST_DATA!D1636</f>
        <v/>
      </c>
      <c r="E1636">
        <f>TEST_DATA!E1636</f>
        <v/>
      </c>
      <c r="F1636">
        <f>MIN(E1636*163600,10000)</f>
        <v/>
      </c>
      <c r="G1636">
        <f>MINIFS(CBIC_Late_Fee_Relief_Windows_3B!$O$1636:$O$100,CBIC_Late_Fee_Relief_Windows_3B!$D$1636:$D$100,"&lt;="&amp;B1636,CBIC_Late_Fee_Relief_Windows_3B!$E$1636:$E$100,"&gt;="&amp;B1636,CBIC_Late_Fee_Relief_Windows_3B!$F$1636:$F$100,"&lt;="&amp;C1636,CBIC_Late_Fee_Relief_Windows_3B!$G$1636:$G$100,"&gt;="&amp;C1636)</f>
        <v/>
      </c>
      <c r="H1636">
        <f>INDEX(CBIC_Late_Fee_Relief_Windows_3B!$I$1636:$I$100,MATCH(G1636,CBIC_Late_Fee_Relief_Windows_3B!$O$1636:$O$100,0))</f>
        <v/>
      </c>
      <c r="I1636">
        <f>MIN(F1636,H1636)</f>
        <v/>
      </c>
    </row>
    <row r="1637">
      <c r="A1637">
        <f>TEST_DATA!A1637</f>
        <v/>
      </c>
      <c r="B1637">
        <f>TEST_DATA!B1637</f>
        <v/>
      </c>
      <c r="C1637">
        <f>TEST_DATA!C1637</f>
        <v/>
      </c>
      <c r="D1637">
        <f>TEST_DATA!D1637</f>
        <v/>
      </c>
      <c r="E1637">
        <f>TEST_DATA!E1637</f>
        <v/>
      </c>
      <c r="F1637">
        <f>MIN(E1637*163700,10000)</f>
        <v/>
      </c>
      <c r="G1637">
        <f>MINIFS(CBIC_Late_Fee_Relief_Windows_3B!$O$1637:$O$100,CBIC_Late_Fee_Relief_Windows_3B!$D$1637:$D$100,"&lt;="&amp;B1637,CBIC_Late_Fee_Relief_Windows_3B!$E$1637:$E$100,"&gt;="&amp;B1637,CBIC_Late_Fee_Relief_Windows_3B!$F$1637:$F$100,"&lt;="&amp;C1637,CBIC_Late_Fee_Relief_Windows_3B!$G$1637:$G$100,"&gt;="&amp;C1637)</f>
        <v/>
      </c>
      <c r="H1637">
        <f>INDEX(CBIC_Late_Fee_Relief_Windows_3B!$I$1637:$I$100,MATCH(G1637,CBIC_Late_Fee_Relief_Windows_3B!$O$1637:$O$100,0))</f>
        <v/>
      </c>
      <c r="I1637">
        <f>MIN(F1637,H1637)</f>
        <v/>
      </c>
    </row>
    <row r="1638">
      <c r="A1638">
        <f>TEST_DATA!A1638</f>
        <v/>
      </c>
      <c r="B1638">
        <f>TEST_DATA!B1638</f>
        <v/>
      </c>
      <c r="C1638">
        <f>TEST_DATA!C1638</f>
        <v/>
      </c>
      <c r="D1638">
        <f>TEST_DATA!D1638</f>
        <v/>
      </c>
      <c r="E1638">
        <f>TEST_DATA!E1638</f>
        <v/>
      </c>
      <c r="F1638">
        <f>MIN(E1638*163800,10000)</f>
        <v/>
      </c>
      <c r="G1638">
        <f>MINIFS(CBIC_Late_Fee_Relief_Windows_3B!$O$1638:$O$100,CBIC_Late_Fee_Relief_Windows_3B!$D$1638:$D$100,"&lt;="&amp;B1638,CBIC_Late_Fee_Relief_Windows_3B!$E$1638:$E$100,"&gt;="&amp;B1638,CBIC_Late_Fee_Relief_Windows_3B!$F$1638:$F$100,"&lt;="&amp;C1638,CBIC_Late_Fee_Relief_Windows_3B!$G$1638:$G$100,"&gt;="&amp;C1638)</f>
        <v/>
      </c>
      <c r="H1638">
        <f>INDEX(CBIC_Late_Fee_Relief_Windows_3B!$I$1638:$I$100,MATCH(G1638,CBIC_Late_Fee_Relief_Windows_3B!$O$1638:$O$100,0))</f>
        <v/>
      </c>
      <c r="I1638">
        <f>MIN(F1638,H1638)</f>
        <v/>
      </c>
    </row>
    <row r="1639">
      <c r="A1639">
        <f>TEST_DATA!A1639</f>
        <v/>
      </c>
      <c r="B1639">
        <f>TEST_DATA!B1639</f>
        <v/>
      </c>
      <c r="C1639">
        <f>TEST_DATA!C1639</f>
        <v/>
      </c>
      <c r="D1639">
        <f>TEST_DATA!D1639</f>
        <v/>
      </c>
      <c r="E1639">
        <f>TEST_DATA!E1639</f>
        <v/>
      </c>
      <c r="F1639">
        <f>MIN(E1639*163900,10000)</f>
        <v/>
      </c>
      <c r="G1639">
        <f>MINIFS(CBIC_Late_Fee_Relief_Windows_3B!$O$1639:$O$100,CBIC_Late_Fee_Relief_Windows_3B!$D$1639:$D$100,"&lt;="&amp;B1639,CBIC_Late_Fee_Relief_Windows_3B!$E$1639:$E$100,"&gt;="&amp;B1639,CBIC_Late_Fee_Relief_Windows_3B!$F$1639:$F$100,"&lt;="&amp;C1639,CBIC_Late_Fee_Relief_Windows_3B!$G$1639:$G$100,"&gt;="&amp;C1639)</f>
        <v/>
      </c>
      <c r="H1639">
        <f>INDEX(CBIC_Late_Fee_Relief_Windows_3B!$I$1639:$I$100,MATCH(G1639,CBIC_Late_Fee_Relief_Windows_3B!$O$1639:$O$100,0))</f>
        <v/>
      </c>
      <c r="I1639">
        <f>MIN(F1639,H1639)</f>
        <v/>
      </c>
    </row>
    <row r="1640">
      <c r="A1640">
        <f>TEST_DATA!A1640</f>
        <v/>
      </c>
      <c r="B1640">
        <f>TEST_DATA!B1640</f>
        <v/>
      </c>
      <c r="C1640">
        <f>TEST_DATA!C1640</f>
        <v/>
      </c>
      <c r="D1640">
        <f>TEST_DATA!D1640</f>
        <v/>
      </c>
      <c r="E1640">
        <f>TEST_DATA!E1640</f>
        <v/>
      </c>
      <c r="F1640">
        <f>MIN(E1640*164000,10000)</f>
        <v/>
      </c>
      <c r="G1640">
        <f>MINIFS(CBIC_Late_Fee_Relief_Windows_3B!$O$1640:$O$100,CBIC_Late_Fee_Relief_Windows_3B!$D$1640:$D$100,"&lt;="&amp;B1640,CBIC_Late_Fee_Relief_Windows_3B!$E$1640:$E$100,"&gt;="&amp;B1640,CBIC_Late_Fee_Relief_Windows_3B!$F$1640:$F$100,"&lt;="&amp;C1640,CBIC_Late_Fee_Relief_Windows_3B!$G$1640:$G$100,"&gt;="&amp;C1640)</f>
        <v/>
      </c>
      <c r="H1640">
        <f>INDEX(CBIC_Late_Fee_Relief_Windows_3B!$I$1640:$I$100,MATCH(G1640,CBIC_Late_Fee_Relief_Windows_3B!$O$1640:$O$100,0))</f>
        <v/>
      </c>
      <c r="I1640">
        <f>MIN(F1640,H1640)</f>
        <v/>
      </c>
    </row>
    <row r="1641">
      <c r="A1641">
        <f>TEST_DATA!A1641</f>
        <v/>
      </c>
      <c r="B1641">
        <f>TEST_DATA!B1641</f>
        <v/>
      </c>
      <c r="C1641">
        <f>TEST_DATA!C1641</f>
        <v/>
      </c>
      <c r="D1641">
        <f>TEST_DATA!D1641</f>
        <v/>
      </c>
      <c r="E1641">
        <f>TEST_DATA!E1641</f>
        <v/>
      </c>
      <c r="F1641">
        <f>MIN(E1641*164100,10000)</f>
        <v/>
      </c>
      <c r="G1641">
        <f>MINIFS(CBIC_Late_Fee_Relief_Windows_3B!$O$1641:$O$100,CBIC_Late_Fee_Relief_Windows_3B!$D$1641:$D$100,"&lt;="&amp;B1641,CBIC_Late_Fee_Relief_Windows_3B!$E$1641:$E$100,"&gt;="&amp;B1641,CBIC_Late_Fee_Relief_Windows_3B!$F$1641:$F$100,"&lt;="&amp;C1641,CBIC_Late_Fee_Relief_Windows_3B!$G$1641:$G$100,"&gt;="&amp;C1641)</f>
        <v/>
      </c>
      <c r="H1641">
        <f>INDEX(CBIC_Late_Fee_Relief_Windows_3B!$I$1641:$I$100,MATCH(G1641,CBIC_Late_Fee_Relief_Windows_3B!$O$1641:$O$100,0))</f>
        <v/>
      </c>
      <c r="I1641">
        <f>MIN(F1641,H1641)</f>
        <v/>
      </c>
    </row>
    <row r="1642">
      <c r="A1642">
        <f>TEST_DATA!A1642</f>
        <v/>
      </c>
      <c r="B1642">
        <f>TEST_DATA!B1642</f>
        <v/>
      </c>
      <c r="C1642">
        <f>TEST_DATA!C1642</f>
        <v/>
      </c>
      <c r="D1642">
        <f>TEST_DATA!D1642</f>
        <v/>
      </c>
      <c r="E1642">
        <f>TEST_DATA!E1642</f>
        <v/>
      </c>
      <c r="F1642">
        <f>MIN(E1642*164200,10000)</f>
        <v/>
      </c>
      <c r="G1642">
        <f>MINIFS(CBIC_Late_Fee_Relief_Windows_3B!$O$1642:$O$100,CBIC_Late_Fee_Relief_Windows_3B!$D$1642:$D$100,"&lt;="&amp;B1642,CBIC_Late_Fee_Relief_Windows_3B!$E$1642:$E$100,"&gt;="&amp;B1642,CBIC_Late_Fee_Relief_Windows_3B!$F$1642:$F$100,"&lt;="&amp;C1642,CBIC_Late_Fee_Relief_Windows_3B!$G$1642:$G$100,"&gt;="&amp;C1642)</f>
        <v/>
      </c>
      <c r="H1642">
        <f>INDEX(CBIC_Late_Fee_Relief_Windows_3B!$I$1642:$I$100,MATCH(G1642,CBIC_Late_Fee_Relief_Windows_3B!$O$1642:$O$100,0))</f>
        <v/>
      </c>
      <c r="I1642">
        <f>MIN(F1642,H1642)</f>
        <v/>
      </c>
    </row>
    <row r="1643">
      <c r="A1643">
        <f>TEST_DATA!A1643</f>
        <v/>
      </c>
      <c r="B1643">
        <f>TEST_DATA!B1643</f>
        <v/>
      </c>
      <c r="C1643">
        <f>TEST_DATA!C1643</f>
        <v/>
      </c>
      <c r="D1643">
        <f>TEST_DATA!D1643</f>
        <v/>
      </c>
      <c r="E1643">
        <f>TEST_DATA!E1643</f>
        <v/>
      </c>
      <c r="F1643">
        <f>MIN(E1643*164300,10000)</f>
        <v/>
      </c>
      <c r="G1643">
        <f>MINIFS(CBIC_Late_Fee_Relief_Windows_3B!$O$1643:$O$100,CBIC_Late_Fee_Relief_Windows_3B!$D$1643:$D$100,"&lt;="&amp;B1643,CBIC_Late_Fee_Relief_Windows_3B!$E$1643:$E$100,"&gt;="&amp;B1643,CBIC_Late_Fee_Relief_Windows_3B!$F$1643:$F$100,"&lt;="&amp;C1643,CBIC_Late_Fee_Relief_Windows_3B!$G$1643:$G$100,"&gt;="&amp;C1643)</f>
        <v/>
      </c>
      <c r="H1643">
        <f>INDEX(CBIC_Late_Fee_Relief_Windows_3B!$I$1643:$I$100,MATCH(G1643,CBIC_Late_Fee_Relief_Windows_3B!$O$1643:$O$100,0))</f>
        <v/>
      </c>
      <c r="I1643">
        <f>MIN(F1643,H1643)</f>
        <v/>
      </c>
    </row>
    <row r="1644">
      <c r="A1644">
        <f>TEST_DATA!A1644</f>
        <v/>
      </c>
      <c r="B1644">
        <f>TEST_DATA!B1644</f>
        <v/>
      </c>
      <c r="C1644">
        <f>TEST_DATA!C1644</f>
        <v/>
      </c>
      <c r="D1644">
        <f>TEST_DATA!D1644</f>
        <v/>
      </c>
      <c r="E1644">
        <f>TEST_DATA!E1644</f>
        <v/>
      </c>
      <c r="F1644">
        <f>MIN(E1644*164400,10000)</f>
        <v/>
      </c>
      <c r="G1644">
        <f>MINIFS(CBIC_Late_Fee_Relief_Windows_3B!$O$1644:$O$100,CBIC_Late_Fee_Relief_Windows_3B!$D$1644:$D$100,"&lt;="&amp;B1644,CBIC_Late_Fee_Relief_Windows_3B!$E$1644:$E$100,"&gt;="&amp;B1644,CBIC_Late_Fee_Relief_Windows_3B!$F$1644:$F$100,"&lt;="&amp;C1644,CBIC_Late_Fee_Relief_Windows_3B!$G$1644:$G$100,"&gt;="&amp;C1644)</f>
        <v/>
      </c>
      <c r="H1644">
        <f>INDEX(CBIC_Late_Fee_Relief_Windows_3B!$I$1644:$I$100,MATCH(G1644,CBIC_Late_Fee_Relief_Windows_3B!$O$1644:$O$100,0))</f>
        <v/>
      </c>
      <c r="I1644">
        <f>MIN(F1644,H1644)</f>
        <v/>
      </c>
    </row>
    <row r="1645">
      <c r="A1645">
        <f>TEST_DATA!A1645</f>
        <v/>
      </c>
      <c r="B1645">
        <f>TEST_DATA!B1645</f>
        <v/>
      </c>
      <c r="C1645">
        <f>TEST_DATA!C1645</f>
        <v/>
      </c>
      <c r="D1645">
        <f>TEST_DATA!D1645</f>
        <v/>
      </c>
      <c r="E1645">
        <f>TEST_DATA!E1645</f>
        <v/>
      </c>
      <c r="F1645">
        <f>MIN(E1645*164500,10000)</f>
        <v/>
      </c>
      <c r="G1645">
        <f>MINIFS(CBIC_Late_Fee_Relief_Windows_3B!$O$1645:$O$100,CBIC_Late_Fee_Relief_Windows_3B!$D$1645:$D$100,"&lt;="&amp;B1645,CBIC_Late_Fee_Relief_Windows_3B!$E$1645:$E$100,"&gt;="&amp;B1645,CBIC_Late_Fee_Relief_Windows_3B!$F$1645:$F$100,"&lt;="&amp;C1645,CBIC_Late_Fee_Relief_Windows_3B!$G$1645:$G$100,"&gt;="&amp;C1645)</f>
        <v/>
      </c>
      <c r="H1645">
        <f>INDEX(CBIC_Late_Fee_Relief_Windows_3B!$I$1645:$I$100,MATCH(G1645,CBIC_Late_Fee_Relief_Windows_3B!$O$1645:$O$100,0))</f>
        <v/>
      </c>
      <c r="I1645">
        <f>MIN(F1645,H1645)</f>
        <v/>
      </c>
    </row>
    <row r="1646">
      <c r="A1646">
        <f>TEST_DATA!A1646</f>
        <v/>
      </c>
      <c r="B1646">
        <f>TEST_DATA!B1646</f>
        <v/>
      </c>
      <c r="C1646">
        <f>TEST_DATA!C1646</f>
        <v/>
      </c>
      <c r="D1646">
        <f>TEST_DATA!D1646</f>
        <v/>
      </c>
      <c r="E1646">
        <f>TEST_DATA!E1646</f>
        <v/>
      </c>
      <c r="F1646">
        <f>MIN(E1646*164600,10000)</f>
        <v/>
      </c>
      <c r="G1646">
        <f>MINIFS(CBIC_Late_Fee_Relief_Windows_3B!$O$1646:$O$100,CBIC_Late_Fee_Relief_Windows_3B!$D$1646:$D$100,"&lt;="&amp;B1646,CBIC_Late_Fee_Relief_Windows_3B!$E$1646:$E$100,"&gt;="&amp;B1646,CBIC_Late_Fee_Relief_Windows_3B!$F$1646:$F$100,"&lt;="&amp;C1646,CBIC_Late_Fee_Relief_Windows_3B!$G$1646:$G$100,"&gt;="&amp;C1646)</f>
        <v/>
      </c>
      <c r="H1646">
        <f>INDEX(CBIC_Late_Fee_Relief_Windows_3B!$I$1646:$I$100,MATCH(G1646,CBIC_Late_Fee_Relief_Windows_3B!$O$1646:$O$100,0))</f>
        <v/>
      </c>
      <c r="I1646">
        <f>MIN(F1646,H1646)</f>
        <v/>
      </c>
    </row>
    <row r="1647">
      <c r="A1647">
        <f>TEST_DATA!A1647</f>
        <v/>
      </c>
      <c r="B1647">
        <f>TEST_DATA!B1647</f>
        <v/>
      </c>
      <c r="C1647">
        <f>TEST_DATA!C1647</f>
        <v/>
      </c>
      <c r="D1647">
        <f>TEST_DATA!D1647</f>
        <v/>
      </c>
      <c r="E1647">
        <f>TEST_DATA!E1647</f>
        <v/>
      </c>
      <c r="F1647">
        <f>MIN(E1647*164700,10000)</f>
        <v/>
      </c>
      <c r="G1647">
        <f>MINIFS(CBIC_Late_Fee_Relief_Windows_3B!$O$1647:$O$100,CBIC_Late_Fee_Relief_Windows_3B!$D$1647:$D$100,"&lt;="&amp;B1647,CBIC_Late_Fee_Relief_Windows_3B!$E$1647:$E$100,"&gt;="&amp;B1647,CBIC_Late_Fee_Relief_Windows_3B!$F$1647:$F$100,"&lt;="&amp;C1647,CBIC_Late_Fee_Relief_Windows_3B!$G$1647:$G$100,"&gt;="&amp;C1647)</f>
        <v/>
      </c>
      <c r="H1647">
        <f>INDEX(CBIC_Late_Fee_Relief_Windows_3B!$I$1647:$I$100,MATCH(G1647,CBIC_Late_Fee_Relief_Windows_3B!$O$1647:$O$100,0))</f>
        <v/>
      </c>
      <c r="I1647">
        <f>MIN(F1647,H1647)</f>
        <v/>
      </c>
    </row>
    <row r="1648">
      <c r="A1648">
        <f>TEST_DATA!A1648</f>
        <v/>
      </c>
      <c r="B1648">
        <f>TEST_DATA!B1648</f>
        <v/>
      </c>
      <c r="C1648">
        <f>TEST_DATA!C1648</f>
        <v/>
      </c>
      <c r="D1648">
        <f>TEST_DATA!D1648</f>
        <v/>
      </c>
      <c r="E1648">
        <f>TEST_DATA!E1648</f>
        <v/>
      </c>
      <c r="F1648">
        <f>MIN(E1648*164800,10000)</f>
        <v/>
      </c>
      <c r="G1648">
        <f>MINIFS(CBIC_Late_Fee_Relief_Windows_3B!$O$1648:$O$100,CBIC_Late_Fee_Relief_Windows_3B!$D$1648:$D$100,"&lt;="&amp;B1648,CBIC_Late_Fee_Relief_Windows_3B!$E$1648:$E$100,"&gt;="&amp;B1648,CBIC_Late_Fee_Relief_Windows_3B!$F$1648:$F$100,"&lt;="&amp;C1648,CBIC_Late_Fee_Relief_Windows_3B!$G$1648:$G$100,"&gt;="&amp;C1648)</f>
        <v/>
      </c>
      <c r="H1648">
        <f>INDEX(CBIC_Late_Fee_Relief_Windows_3B!$I$1648:$I$100,MATCH(G1648,CBIC_Late_Fee_Relief_Windows_3B!$O$1648:$O$100,0))</f>
        <v/>
      </c>
      <c r="I1648">
        <f>MIN(F1648,H1648)</f>
        <v/>
      </c>
    </row>
    <row r="1649">
      <c r="A1649">
        <f>TEST_DATA!A1649</f>
        <v/>
      </c>
      <c r="B1649">
        <f>TEST_DATA!B1649</f>
        <v/>
      </c>
      <c r="C1649">
        <f>TEST_DATA!C1649</f>
        <v/>
      </c>
      <c r="D1649">
        <f>TEST_DATA!D1649</f>
        <v/>
      </c>
      <c r="E1649">
        <f>TEST_DATA!E1649</f>
        <v/>
      </c>
      <c r="F1649">
        <f>MIN(E1649*164900,10000)</f>
        <v/>
      </c>
      <c r="G1649">
        <f>MINIFS(CBIC_Late_Fee_Relief_Windows_3B!$O$1649:$O$100,CBIC_Late_Fee_Relief_Windows_3B!$D$1649:$D$100,"&lt;="&amp;B1649,CBIC_Late_Fee_Relief_Windows_3B!$E$1649:$E$100,"&gt;="&amp;B1649,CBIC_Late_Fee_Relief_Windows_3B!$F$1649:$F$100,"&lt;="&amp;C1649,CBIC_Late_Fee_Relief_Windows_3B!$G$1649:$G$100,"&gt;="&amp;C1649)</f>
        <v/>
      </c>
      <c r="H1649">
        <f>INDEX(CBIC_Late_Fee_Relief_Windows_3B!$I$1649:$I$100,MATCH(G1649,CBIC_Late_Fee_Relief_Windows_3B!$O$1649:$O$100,0))</f>
        <v/>
      </c>
      <c r="I1649">
        <f>MIN(F1649,H1649)</f>
        <v/>
      </c>
    </row>
    <row r="1650">
      <c r="A1650">
        <f>TEST_DATA!A1650</f>
        <v/>
      </c>
      <c r="B1650">
        <f>TEST_DATA!B1650</f>
        <v/>
      </c>
      <c r="C1650">
        <f>TEST_DATA!C1650</f>
        <v/>
      </c>
      <c r="D1650">
        <f>TEST_DATA!D1650</f>
        <v/>
      </c>
      <c r="E1650">
        <f>TEST_DATA!E1650</f>
        <v/>
      </c>
      <c r="F1650">
        <f>MIN(E1650*165000,10000)</f>
        <v/>
      </c>
      <c r="G1650">
        <f>MINIFS(CBIC_Late_Fee_Relief_Windows_3B!$O$1650:$O$100,CBIC_Late_Fee_Relief_Windows_3B!$D$1650:$D$100,"&lt;="&amp;B1650,CBIC_Late_Fee_Relief_Windows_3B!$E$1650:$E$100,"&gt;="&amp;B1650,CBIC_Late_Fee_Relief_Windows_3B!$F$1650:$F$100,"&lt;="&amp;C1650,CBIC_Late_Fee_Relief_Windows_3B!$G$1650:$G$100,"&gt;="&amp;C1650)</f>
        <v/>
      </c>
      <c r="H1650">
        <f>INDEX(CBIC_Late_Fee_Relief_Windows_3B!$I$1650:$I$100,MATCH(G1650,CBIC_Late_Fee_Relief_Windows_3B!$O$1650:$O$100,0))</f>
        <v/>
      </c>
      <c r="I1650">
        <f>MIN(F1650,H1650)</f>
        <v/>
      </c>
    </row>
    <row r="1651">
      <c r="A1651">
        <f>TEST_DATA!A1651</f>
        <v/>
      </c>
      <c r="B1651">
        <f>TEST_DATA!B1651</f>
        <v/>
      </c>
      <c r="C1651">
        <f>TEST_DATA!C1651</f>
        <v/>
      </c>
      <c r="D1651">
        <f>TEST_DATA!D1651</f>
        <v/>
      </c>
      <c r="E1651">
        <f>TEST_DATA!E1651</f>
        <v/>
      </c>
      <c r="F1651">
        <f>MIN(E1651*165100,10000)</f>
        <v/>
      </c>
      <c r="G1651">
        <f>MINIFS(CBIC_Late_Fee_Relief_Windows_3B!$O$1651:$O$100,CBIC_Late_Fee_Relief_Windows_3B!$D$1651:$D$100,"&lt;="&amp;B1651,CBIC_Late_Fee_Relief_Windows_3B!$E$1651:$E$100,"&gt;="&amp;B1651,CBIC_Late_Fee_Relief_Windows_3B!$F$1651:$F$100,"&lt;="&amp;C1651,CBIC_Late_Fee_Relief_Windows_3B!$G$1651:$G$100,"&gt;="&amp;C1651)</f>
        <v/>
      </c>
      <c r="H1651">
        <f>INDEX(CBIC_Late_Fee_Relief_Windows_3B!$I$1651:$I$100,MATCH(G1651,CBIC_Late_Fee_Relief_Windows_3B!$O$1651:$O$100,0))</f>
        <v/>
      </c>
      <c r="I1651">
        <f>MIN(F1651,H1651)</f>
        <v/>
      </c>
    </row>
    <row r="1652">
      <c r="A1652">
        <f>TEST_DATA!A1652</f>
        <v/>
      </c>
      <c r="B1652">
        <f>TEST_DATA!B1652</f>
        <v/>
      </c>
      <c r="C1652">
        <f>TEST_DATA!C1652</f>
        <v/>
      </c>
      <c r="D1652">
        <f>TEST_DATA!D1652</f>
        <v/>
      </c>
      <c r="E1652">
        <f>TEST_DATA!E1652</f>
        <v/>
      </c>
      <c r="F1652">
        <f>MIN(E1652*165200,10000)</f>
        <v/>
      </c>
      <c r="G1652">
        <f>MINIFS(CBIC_Late_Fee_Relief_Windows_3B!$O$1652:$O$100,CBIC_Late_Fee_Relief_Windows_3B!$D$1652:$D$100,"&lt;="&amp;B1652,CBIC_Late_Fee_Relief_Windows_3B!$E$1652:$E$100,"&gt;="&amp;B1652,CBIC_Late_Fee_Relief_Windows_3B!$F$1652:$F$100,"&lt;="&amp;C1652,CBIC_Late_Fee_Relief_Windows_3B!$G$1652:$G$100,"&gt;="&amp;C1652)</f>
        <v/>
      </c>
      <c r="H1652">
        <f>INDEX(CBIC_Late_Fee_Relief_Windows_3B!$I$1652:$I$100,MATCH(G1652,CBIC_Late_Fee_Relief_Windows_3B!$O$1652:$O$100,0))</f>
        <v/>
      </c>
      <c r="I1652">
        <f>MIN(F1652,H1652)</f>
        <v/>
      </c>
    </row>
    <row r="1653">
      <c r="A1653">
        <f>TEST_DATA!A1653</f>
        <v/>
      </c>
      <c r="B1653">
        <f>TEST_DATA!B1653</f>
        <v/>
      </c>
      <c r="C1653">
        <f>TEST_DATA!C1653</f>
        <v/>
      </c>
      <c r="D1653">
        <f>TEST_DATA!D1653</f>
        <v/>
      </c>
      <c r="E1653">
        <f>TEST_DATA!E1653</f>
        <v/>
      </c>
      <c r="F1653">
        <f>MIN(E1653*165300,10000)</f>
        <v/>
      </c>
      <c r="G1653">
        <f>MINIFS(CBIC_Late_Fee_Relief_Windows_3B!$O$1653:$O$100,CBIC_Late_Fee_Relief_Windows_3B!$D$1653:$D$100,"&lt;="&amp;B1653,CBIC_Late_Fee_Relief_Windows_3B!$E$1653:$E$100,"&gt;="&amp;B1653,CBIC_Late_Fee_Relief_Windows_3B!$F$1653:$F$100,"&lt;="&amp;C1653,CBIC_Late_Fee_Relief_Windows_3B!$G$1653:$G$100,"&gt;="&amp;C1653)</f>
        <v/>
      </c>
      <c r="H1653">
        <f>INDEX(CBIC_Late_Fee_Relief_Windows_3B!$I$1653:$I$100,MATCH(G1653,CBIC_Late_Fee_Relief_Windows_3B!$O$1653:$O$100,0))</f>
        <v/>
      </c>
      <c r="I1653">
        <f>MIN(F1653,H1653)</f>
        <v/>
      </c>
    </row>
    <row r="1654">
      <c r="A1654">
        <f>TEST_DATA!A1654</f>
        <v/>
      </c>
      <c r="B1654">
        <f>TEST_DATA!B1654</f>
        <v/>
      </c>
      <c r="C1654">
        <f>TEST_DATA!C1654</f>
        <v/>
      </c>
      <c r="D1654">
        <f>TEST_DATA!D1654</f>
        <v/>
      </c>
      <c r="E1654">
        <f>TEST_DATA!E1654</f>
        <v/>
      </c>
      <c r="F1654">
        <f>MIN(E1654*165400,10000)</f>
        <v/>
      </c>
      <c r="G1654">
        <f>MINIFS(CBIC_Late_Fee_Relief_Windows_3B!$O$1654:$O$100,CBIC_Late_Fee_Relief_Windows_3B!$D$1654:$D$100,"&lt;="&amp;B1654,CBIC_Late_Fee_Relief_Windows_3B!$E$1654:$E$100,"&gt;="&amp;B1654,CBIC_Late_Fee_Relief_Windows_3B!$F$1654:$F$100,"&lt;="&amp;C1654,CBIC_Late_Fee_Relief_Windows_3B!$G$1654:$G$100,"&gt;="&amp;C1654)</f>
        <v/>
      </c>
      <c r="H1654">
        <f>INDEX(CBIC_Late_Fee_Relief_Windows_3B!$I$1654:$I$100,MATCH(G1654,CBIC_Late_Fee_Relief_Windows_3B!$O$1654:$O$100,0))</f>
        <v/>
      </c>
      <c r="I1654">
        <f>MIN(F1654,H1654)</f>
        <v/>
      </c>
    </row>
    <row r="1655">
      <c r="A1655">
        <f>TEST_DATA!A1655</f>
        <v/>
      </c>
      <c r="B1655">
        <f>TEST_DATA!B1655</f>
        <v/>
      </c>
      <c r="C1655">
        <f>TEST_DATA!C1655</f>
        <v/>
      </c>
      <c r="D1655">
        <f>TEST_DATA!D1655</f>
        <v/>
      </c>
      <c r="E1655">
        <f>TEST_DATA!E1655</f>
        <v/>
      </c>
      <c r="F1655">
        <f>MIN(E1655*165500,10000)</f>
        <v/>
      </c>
      <c r="G1655">
        <f>MINIFS(CBIC_Late_Fee_Relief_Windows_3B!$O$1655:$O$100,CBIC_Late_Fee_Relief_Windows_3B!$D$1655:$D$100,"&lt;="&amp;B1655,CBIC_Late_Fee_Relief_Windows_3B!$E$1655:$E$100,"&gt;="&amp;B1655,CBIC_Late_Fee_Relief_Windows_3B!$F$1655:$F$100,"&lt;="&amp;C1655,CBIC_Late_Fee_Relief_Windows_3B!$G$1655:$G$100,"&gt;="&amp;C1655)</f>
        <v/>
      </c>
      <c r="H1655">
        <f>INDEX(CBIC_Late_Fee_Relief_Windows_3B!$I$1655:$I$100,MATCH(G1655,CBIC_Late_Fee_Relief_Windows_3B!$O$1655:$O$100,0))</f>
        <v/>
      </c>
      <c r="I1655">
        <f>MIN(F1655,H1655)</f>
        <v/>
      </c>
    </row>
    <row r="1656">
      <c r="A1656">
        <f>TEST_DATA!A1656</f>
        <v/>
      </c>
      <c r="B1656">
        <f>TEST_DATA!B1656</f>
        <v/>
      </c>
      <c r="C1656">
        <f>TEST_DATA!C1656</f>
        <v/>
      </c>
      <c r="D1656">
        <f>TEST_DATA!D1656</f>
        <v/>
      </c>
      <c r="E1656">
        <f>TEST_DATA!E1656</f>
        <v/>
      </c>
      <c r="F1656">
        <f>MIN(E1656*165600,10000)</f>
        <v/>
      </c>
      <c r="G1656">
        <f>MINIFS(CBIC_Late_Fee_Relief_Windows_3B!$O$1656:$O$100,CBIC_Late_Fee_Relief_Windows_3B!$D$1656:$D$100,"&lt;="&amp;B1656,CBIC_Late_Fee_Relief_Windows_3B!$E$1656:$E$100,"&gt;="&amp;B1656,CBIC_Late_Fee_Relief_Windows_3B!$F$1656:$F$100,"&lt;="&amp;C1656,CBIC_Late_Fee_Relief_Windows_3B!$G$1656:$G$100,"&gt;="&amp;C1656)</f>
        <v/>
      </c>
      <c r="H1656">
        <f>INDEX(CBIC_Late_Fee_Relief_Windows_3B!$I$1656:$I$100,MATCH(G1656,CBIC_Late_Fee_Relief_Windows_3B!$O$1656:$O$100,0))</f>
        <v/>
      </c>
      <c r="I1656">
        <f>MIN(F1656,H1656)</f>
        <v/>
      </c>
    </row>
    <row r="1657">
      <c r="A1657">
        <f>TEST_DATA!A1657</f>
        <v/>
      </c>
      <c r="B1657">
        <f>TEST_DATA!B1657</f>
        <v/>
      </c>
      <c r="C1657">
        <f>TEST_DATA!C1657</f>
        <v/>
      </c>
      <c r="D1657">
        <f>TEST_DATA!D1657</f>
        <v/>
      </c>
      <c r="E1657">
        <f>TEST_DATA!E1657</f>
        <v/>
      </c>
      <c r="F1657">
        <f>MIN(E1657*165700,10000)</f>
        <v/>
      </c>
      <c r="G1657">
        <f>MINIFS(CBIC_Late_Fee_Relief_Windows_3B!$O$1657:$O$100,CBIC_Late_Fee_Relief_Windows_3B!$D$1657:$D$100,"&lt;="&amp;B1657,CBIC_Late_Fee_Relief_Windows_3B!$E$1657:$E$100,"&gt;="&amp;B1657,CBIC_Late_Fee_Relief_Windows_3B!$F$1657:$F$100,"&lt;="&amp;C1657,CBIC_Late_Fee_Relief_Windows_3B!$G$1657:$G$100,"&gt;="&amp;C1657)</f>
        <v/>
      </c>
      <c r="H1657">
        <f>INDEX(CBIC_Late_Fee_Relief_Windows_3B!$I$1657:$I$100,MATCH(G1657,CBIC_Late_Fee_Relief_Windows_3B!$O$1657:$O$100,0))</f>
        <v/>
      </c>
      <c r="I1657">
        <f>MIN(F1657,H1657)</f>
        <v/>
      </c>
    </row>
    <row r="1658">
      <c r="A1658">
        <f>TEST_DATA!A1658</f>
        <v/>
      </c>
      <c r="B1658">
        <f>TEST_DATA!B1658</f>
        <v/>
      </c>
      <c r="C1658">
        <f>TEST_DATA!C1658</f>
        <v/>
      </c>
      <c r="D1658">
        <f>TEST_DATA!D1658</f>
        <v/>
      </c>
      <c r="E1658">
        <f>TEST_DATA!E1658</f>
        <v/>
      </c>
      <c r="F1658">
        <f>MIN(E1658*165800,10000)</f>
        <v/>
      </c>
      <c r="G1658">
        <f>MINIFS(CBIC_Late_Fee_Relief_Windows_3B!$O$1658:$O$100,CBIC_Late_Fee_Relief_Windows_3B!$D$1658:$D$100,"&lt;="&amp;B1658,CBIC_Late_Fee_Relief_Windows_3B!$E$1658:$E$100,"&gt;="&amp;B1658,CBIC_Late_Fee_Relief_Windows_3B!$F$1658:$F$100,"&lt;="&amp;C1658,CBIC_Late_Fee_Relief_Windows_3B!$G$1658:$G$100,"&gt;="&amp;C1658)</f>
        <v/>
      </c>
      <c r="H1658">
        <f>INDEX(CBIC_Late_Fee_Relief_Windows_3B!$I$1658:$I$100,MATCH(G1658,CBIC_Late_Fee_Relief_Windows_3B!$O$1658:$O$100,0))</f>
        <v/>
      </c>
      <c r="I1658">
        <f>MIN(F1658,H1658)</f>
        <v/>
      </c>
    </row>
    <row r="1659">
      <c r="A1659">
        <f>TEST_DATA!A1659</f>
        <v/>
      </c>
      <c r="B1659">
        <f>TEST_DATA!B1659</f>
        <v/>
      </c>
      <c r="C1659">
        <f>TEST_DATA!C1659</f>
        <v/>
      </c>
      <c r="D1659">
        <f>TEST_DATA!D1659</f>
        <v/>
      </c>
      <c r="E1659">
        <f>TEST_DATA!E1659</f>
        <v/>
      </c>
      <c r="F1659">
        <f>MIN(E1659*165900,10000)</f>
        <v/>
      </c>
      <c r="G1659">
        <f>MINIFS(CBIC_Late_Fee_Relief_Windows_3B!$O$1659:$O$100,CBIC_Late_Fee_Relief_Windows_3B!$D$1659:$D$100,"&lt;="&amp;B1659,CBIC_Late_Fee_Relief_Windows_3B!$E$1659:$E$100,"&gt;="&amp;B1659,CBIC_Late_Fee_Relief_Windows_3B!$F$1659:$F$100,"&lt;="&amp;C1659,CBIC_Late_Fee_Relief_Windows_3B!$G$1659:$G$100,"&gt;="&amp;C1659)</f>
        <v/>
      </c>
      <c r="H1659">
        <f>INDEX(CBIC_Late_Fee_Relief_Windows_3B!$I$1659:$I$100,MATCH(G1659,CBIC_Late_Fee_Relief_Windows_3B!$O$1659:$O$100,0))</f>
        <v/>
      </c>
      <c r="I1659">
        <f>MIN(F1659,H1659)</f>
        <v/>
      </c>
    </row>
    <row r="1660">
      <c r="A1660">
        <f>TEST_DATA!A1660</f>
        <v/>
      </c>
      <c r="B1660">
        <f>TEST_DATA!B1660</f>
        <v/>
      </c>
      <c r="C1660">
        <f>TEST_DATA!C1660</f>
        <v/>
      </c>
      <c r="D1660">
        <f>TEST_DATA!D1660</f>
        <v/>
      </c>
      <c r="E1660">
        <f>TEST_DATA!E1660</f>
        <v/>
      </c>
      <c r="F1660">
        <f>MIN(E1660*166000,10000)</f>
        <v/>
      </c>
      <c r="G1660">
        <f>MINIFS(CBIC_Late_Fee_Relief_Windows_3B!$O$1660:$O$100,CBIC_Late_Fee_Relief_Windows_3B!$D$1660:$D$100,"&lt;="&amp;B1660,CBIC_Late_Fee_Relief_Windows_3B!$E$1660:$E$100,"&gt;="&amp;B1660,CBIC_Late_Fee_Relief_Windows_3B!$F$1660:$F$100,"&lt;="&amp;C1660,CBIC_Late_Fee_Relief_Windows_3B!$G$1660:$G$100,"&gt;="&amp;C1660)</f>
        <v/>
      </c>
      <c r="H1660">
        <f>INDEX(CBIC_Late_Fee_Relief_Windows_3B!$I$1660:$I$100,MATCH(G1660,CBIC_Late_Fee_Relief_Windows_3B!$O$1660:$O$100,0))</f>
        <v/>
      </c>
      <c r="I1660">
        <f>MIN(F1660,H1660)</f>
        <v/>
      </c>
    </row>
    <row r="1661">
      <c r="A1661">
        <f>TEST_DATA!A1661</f>
        <v/>
      </c>
      <c r="B1661">
        <f>TEST_DATA!B1661</f>
        <v/>
      </c>
      <c r="C1661">
        <f>TEST_DATA!C1661</f>
        <v/>
      </c>
      <c r="D1661">
        <f>TEST_DATA!D1661</f>
        <v/>
      </c>
      <c r="E1661">
        <f>TEST_DATA!E1661</f>
        <v/>
      </c>
      <c r="F1661">
        <f>MIN(E1661*166100,10000)</f>
        <v/>
      </c>
      <c r="G1661">
        <f>MINIFS(CBIC_Late_Fee_Relief_Windows_3B!$O$1661:$O$100,CBIC_Late_Fee_Relief_Windows_3B!$D$1661:$D$100,"&lt;="&amp;B1661,CBIC_Late_Fee_Relief_Windows_3B!$E$1661:$E$100,"&gt;="&amp;B1661,CBIC_Late_Fee_Relief_Windows_3B!$F$1661:$F$100,"&lt;="&amp;C1661,CBIC_Late_Fee_Relief_Windows_3B!$G$1661:$G$100,"&gt;="&amp;C1661)</f>
        <v/>
      </c>
      <c r="H1661">
        <f>INDEX(CBIC_Late_Fee_Relief_Windows_3B!$I$1661:$I$100,MATCH(G1661,CBIC_Late_Fee_Relief_Windows_3B!$O$1661:$O$100,0))</f>
        <v/>
      </c>
      <c r="I1661">
        <f>MIN(F1661,H1661)</f>
        <v/>
      </c>
    </row>
    <row r="1662">
      <c r="A1662">
        <f>TEST_DATA!A1662</f>
        <v/>
      </c>
      <c r="B1662">
        <f>TEST_DATA!B1662</f>
        <v/>
      </c>
      <c r="C1662">
        <f>TEST_DATA!C1662</f>
        <v/>
      </c>
      <c r="D1662">
        <f>TEST_DATA!D1662</f>
        <v/>
      </c>
      <c r="E1662">
        <f>TEST_DATA!E1662</f>
        <v/>
      </c>
      <c r="F1662">
        <f>MIN(E1662*166200,10000)</f>
        <v/>
      </c>
      <c r="G1662">
        <f>MINIFS(CBIC_Late_Fee_Relief_Windows_3B!$O$1662:$O$100,CBIC_Late_Fee_Relief_Windows_3B!$D$1662:$D$100,"&lt;="&amp;B1662,CBIC_Late_Fee_Relief_Windows_3B!$E$1662:$E$100,"&gt;="&amp;B1662,CBIC_Late_Fee_Relief_Windows_3B!$F$1662:$F$100,"&lt;="&amp;C1662,CBIC_Late_Fee_Relief_Windows_3B!$G$1662:$G$100,"&gt;="&amp;C1662)</f>
        <v/>
      </c>
      <c r="H1662">
        <f>INDEX(CBIC_Late_Fee_Relief_Windows_3B!$I$1662:$I$100,MATCH(G1662,CBIC_Late_Fee_Relief_Windows_3B!$O$1662:$O$100,0))</f>
        <v/>
      </c>
      <c r="I1662">
        <f>MIN(F1662,H1662)</f>
        <v/>
      </c>
    </row>
    <row r="1663">
      <c r="A1663">
        <f>TEST_DATA!A1663</f>
        <v/>
      </c>
      <c r="B1663">
        <f>TEST_DATA!B1663</f>
        <v/>
      </c>
      <c r="C1663">
        <f>TEST_DATA!C1663</f>
        <v/>
      </c>
      <c r="D1663">
        <f>TEST_DATA!D1663</f>
        <v/>
      </c>
      <c r="E1663">
        <f>TEST_DATA!E1663</f>
        <v/>
      </c>
      <c r="F1663">
        <f>MIN(E1663*166300,10000)</f>
        <v/>
      </c>
      <c r="G1663">
        <f>MINIFS(CBIC_Late_Fee_Relief_Windows_3B!$O$1663:$O$100,CBIC_Late_Fee_Relief_Windows_3B!$D$1663:$D$100,"&lt;="&amp;B1663,CBIC_Late_Fee_Relief_Windows_3B!$E$1663:$E$100,"&gt;="&amp;B1663,CBIC_Late_Fee_Relief_Windows_3B!$F$1663:$F$100,"&lt;="&amp;C1663,CBIC_Late_Fee_Relief_Windows_3B!$G$1663:$G$100,"&gt;="&amp;C1663)</f>
        <v/>
      </c>
      <c r="H1663">
        <f>INDEX(CBIC_Late_Fee_Relief_Windows_3B!$I$1663:$I$100,MATCH(G1663,CBIC_Late_Fee_Relief_Windows_3B!$O$1663:$O$100,0))</f>
        <v/>
      </c>
      <c r="I1663">
        <f>MIN(F1663,H1663)</f>
        <v/>
      </c>
    </row>
    <row r="1664">
      <c r="A1664">
        <f>TEST_DATA!A1664</f>
        <v/>
      </c>
      <c r="B1664">
        <f>TEST_DATA!B1664</f>
        <v/>
      </c>
      <c r="C1664">
        <f>TEST_DATA!C1664</f>
        <v/>
      </c>
      <c r="D1664">
        <f>TEST_DATA!D1664</f>
        <v/>
      </c>
      <c r="E1664">
        <f>TEST_DATA!E1664</f>
        <v/>
      </c>
      <c r="F1664">
        <f>MIN(E1664*166400,10000)</f>
        <v/>
      </c>
      <c r="G1664">
        <f>MINIFS(CBIC_Late_Fee_Relief_Windows_3B!$O$1664:$O$100,CBIC_Late_Fee_Relief_Windows_3B!$D$1664:$D$100,"&lt;="&amp;B1664,CBIC_Late_Fee_Relief_Windows_3B!$E$1664:$E$100,"&gt;="&amp;B1664,CBIC_Late_Fee_Relief_Windows_3B!$F$1664:$F$100,"&lt;="&amp;C1664,CBIC_Late_Fee_Relief_Windows_3B!$G$1664:$G$100,"&gt;="&amp;C1664)</f>
        <v/>
      </c>
      <c r="H1664">
        <f>INDEX(CBIC_Late_Fee_Relief_Windows_3B!$I$1664:$I$100,MATCH(G1664,CBIC_Late_Fee_Relief_Windows_3B!$O$1664:$O$100,0))</f>
        <v/>
      </c>
      <c r="I1664">
        <f>MIN(F1664,H1664)</f>
        <v/>
      </c>
    </row>
    <row r="1665">
      <c r="A1665">
        <f>TEST_DATA!A1665</f>
        <v/>
      </c>
      <c r="B1665">
        <f>TEST_DATA!B1665</f>
        <v/>
      </c>
      <c r="C1665">
        <f>TEST_DATA!C1665</f>
        <v/>
      </c>
      <c r="D1665">
        <f>TEST_DATA!D1665</f>
        <v/>
      </c>
      <c r="E1665">
        <f>TEST_DATA!E1665</f>
        <v/>
      </c>
      <c r="F1665">
        <f>MIN(E1665*166500,10000)</f>
        <v/>
      </c>
      <c r="G1665">
        <f>MINIFS(CBIC_Late_Fee_Relief_Windows_3B!$O$1665:$O$100,CBIC_Late_Fee_Relief_Windows_3B!$D$1665:$D$100,"&lt;="&amp;B1665,CBIC_Late_Fee_Relief_Windows_3B!$E$1665:$E$100,"&gt;="&amp;B1665,CBIC_Late_Fee_Relief_Windows_3B!$F$1665:$F$100,"&lt;="&amp;C1665,CBIC_Late_Fee_Relief_Windows_3B!$G$1665:$G$100,"&gt;="&amp;C1665)</f>
        <v/>
      </c>
      <c r="H1665">
        <f>INDEX(CBIC_Late_Fee_Relief_Windows_3B!$I$1665:$I$100,MATCH(G1665,CBIC_Late_Fee_Relief_Windows_3B!$O$1665:$O$100,0))</f>
        <v/>
      </c>
      <c r="I1665">
        <f>MIN(F1665,H1665)</f>
        <v/>
      </c>
    </row>
    <row r="1666">
      <c r="A1666">
        <f>TEST_DATA!A1666</f>
        <v/>
      </c>
      <c r="B1666">
        <f>TEST_DATA!B1666</f>
        <v/>
      </c>
      <c r="C1666">
        <f>TEST_DATA!C1666</f>
        <v/>
      </c>
      <c r="D1666">
        <f>TEST_DATA!D1666</f>
        <v/>
      </c>
      <c r="E1666">
        <f>TEST_DATA!E1666</f>
        <v/>
      </c>
      <c r="F1666">
        <f>MIN(E1666*166600,10000)</f>
        <v/>
      </c>
      <c r="G1666">
        <f>MINIFS(CBIC_Late_Fee_Relief_Windows_3B!$O$1666:$O$100,CBIC_Late_Fee_Relief_Windows_3B!$D$1666:$D$100,"&lt;="&amp;B1666,CBIC_Late_Fee_Relief_Windows_3B!$E$1666:$E$100,"&gt;="&amp;B1666,CBIC_Late_Fee_Relief_Windows_3B!$F$1666:$F$100,"&lt;="&amp;C1666,CBIC_Late_Fee_Relief_Windows_3B!$G$1666:$G$100,"&gt;="&amp;C1666)</f>
        <v/>
      </c>
      <c r="H1666">
        <f>INDEX(CBIC_Late_Fee_Relief_Windows_3B!$I$1666:$I$100,MATCH(G1666,CBIC_Late_Fee_Relief_Windows_3B!$O$1666:$O$100,0))</f>
        <v/>
      </c>
      <c r="I1666">
        <f>MIN(F1666,H1666)</f>
        <v/>
      </c>
    </row>
    <row r="1667">
      <c r="A1667">
        <f>TEST_DATA!A1667</f>
        <v/>
      </c>
      <c r="B1667">
        <f>TEST_DATA!B1667</f>
        <v/>
      </c>
      <c r="C1667">
        <f>TEST_DATA!C1667</f>
        <v/>
      </c>
      <c r="D1667">
        <f>TEST_DATA!D1667</f>
        <v/>
      </c>
      <c r="E1667">
        <f>TEST_DATA!E1667</f>
        <v/>
      </c>
      <c r="F1667">
        <f>MIN(E1667*166700,10000)</f>
        <v/>
      </c>
      <c r="G1667">
        <f>MINIFS(CBIC_Late_Fee_Relief_Windows_3B!$O$1667:$O$100,CBIC_Late_Fee_Relief_Windows_3B!$D$1667:$D$100,"&lt;="&amp;B1667,CBIC_Late_Fee_Relief_Windows_3B!$E$1667:$E$100,"&gt;="&amp;B1667,CBIC_Late_Fee_Relief_Windows_3B!$F$1667:$F$100,"&lt;="&amp;C1667,CBIC_Late_Fee_Relief_Windows_3B!$G$1667:$G$100,"&gt;="&amp;C1667)</f>
        <v/>
      </c>
      <c r="H1667">
        <f>INDEX(CBIC_Late_Fee_Relief_Windows_3B!$I$1667:$I$100,MATCH(G1667,CBIC_Late_Fee_Relief_Windows_3B!$O$1667:$O$100,0))</f>
        <v/>
      </c>
      <c r="I1667">
        <f>MIN(F1667,H1667)</f>
        <v/>
      </c>
    </row>
    <row r="1668">
      <c r="A1668">
        <f>TEST_DATA!A1668</f>
        <v/>
      </c>
      <c r="B1668">
        <f>TEST_DATA!B1668</f>
        <v/>
      </c>
      <c r="C1668">
        <f>TEST_DATA!C1668</f>
        <v/>
      </c>
      <c r="D1668">
        <f>TEST_DATA!D1668</f>
        <v/>
      </c>
      <c r="E1668">
        <f>TEST_DATA!E1668</f>
        <v/>
      </c>
      <c r="F1668">
        <f>MIN(E1668*166800,10000)</f>
        <v/>
      </c>
      <c r="G1668">
        <f>MINIFS(CBIC_Late_Fee_Relief_Windows_3B!$O$1668:$O$100,CBIC_Late_Fee_Relief_Windows_3B!$D$1668:$D$100,"&lt;="&amp;B1668,CBIC_Late_Fee_Relief_Windows_3B!$E$1668:$E$100,"&gt;="&amp;B1668,CBIC_Late_Fee_Relief_Windows_3B!$F$1668:$F$100,"&lt;="&amp;C1668,CBIC_Late_Fee_Relief_Windows_3B!$G$1668:$G$100,"&gt;="&amp;C1668)</f>
        <v/>
      </c>
      <c r="H1668">
        <f>INDEX(CBIC_Late_Fee_Relief_Windows_3B!$I$1668:$I$100,MATCH(G1668,CBIC_Late_Fee_Relief_Windows_3B!$O$1668:$O$100,0))</f>
        <v/>
      </c>
      <c r="I1668">
        <f>MIN(F1668,H1668)</f>
        <v/>
      </c>
    </row>
    <row r="1669">
      <c r="A1669">
        <f>TEST_DATA!A1669</f>
        <v/>
      </c>
      <c r="B1669">
        <f>TEST_DATA!B1669</f>
        <v/>
      </c>
      <c r="C1669">
        <f>TEST_DATA!C1669</f>
        <v/>
      </c>
      <c r="D1669">
        <f>TEST_DATA!D1669</f>
        <v/>
      </c>
      <c r="E1669">
        <f>TEST_DATA!E1669</f>
        <v/>
      </c>
      <c r="F1669">
        <f>MIN(E1669*166900,10000)</f>
        <v/>
      </c>
      <c r="G1669">
        <f>MINIFS(CBIC_Late_Fee_Relief_Windows_3B!$O$1669:$O$100,CBIC_Late_Fee_Relief_Windows_3B!$D$1669:$D$100,"&lt;="&amp;B1669,CBIC_Late_Fee_Relief_Windows_3B!$E$1669:$E$100,"&gt;="&amp;B1669,CBIC_Late_Fee_Relief_Windows_3B!$F$1669:$F$100,"&lt;="&amp;C1669,CBIC_Late_Fee_Relief_Windows_3B!$G$1669:$G$100,"&gt;="&amp;C1669)</f>
        <v/>
      </c>
      <c r="H1669">
        <f>INDEX(CBIC_Late_Fee_Relief_Windows_3B!$I$1669:$I$100,MATCH(G1669,CBIC_Late_Fee_Relief_Windows_3B!$O$1669:$O$100,0))</f>
        <v/>
      </c>
      <c r="I1669">
        <f>MIN(F1669,H1669)</f>
        <v/>
      </c>
    </row>
    <row r="1670">
      <c r="A1670">
        <f>TEST_DATA!A1670</f>
        <v/>
      </c>
      <c r="B1670">
        <f>TEST_DATA!B1670</f>
        <v/>
      </c>
      <c r="C1670">
        <f>TEST_DATA!C1670</f>
        <v/>
      </c>
      <c r="D1670">
        <f>TEST_DATA!D1670</f>
        <v/>
      </c>
      <c r="E1670">
        <f>TEST_DATA!E1670</f>
        <v/>
      </c>
      <c r="F1670">
        <f>MIN(E1670*167000,10000)</f>
        <v/>
      </c>
      <c r="G1670">
        <f>MINIFS(CBIC_Late_Fee_Relief_Windows_3B!$O$1670:$O$100,CBIC_Late_Fee_Relief_Windows_3B!$D$1670:$D$100,"&lt;="&amp;B1670,CBIC_Late_Fee_Relief_Windows_3B!$E$1670:$E$100,"&gt;="&amp;B1670,CBIC_Late_Fee_Relief_Windows_3B!$F$1670:$F$100,"&lt;="&amp;C1670,CBIC_Late_Fee_Relief_Windows_3B!$G$1670:$G$100,"&gt;="&amp;C1670)</f>
        <v/>
      </c>
      <c r="H1670">
        <f>INDEX(CBIC_Late_Fee_Relief_Windows_3B!$I$1670:$I$100,MATCH(G1670,CBIC_Late_Fee_Relief_Windows_3B!$O$1670:$O$100,0))</f>
        <v/>
      </c>
      <c r="I1670">
        <f>MIN(F1670,H1670)</f>
        <v/>
      </c>
    </row>
    <row r="1671">
      <c r="A1671">
        <f>TEST_DATA!A1671</f>
        <v/>
      </c>
      <c r="B1671">
        <f>TEST_DATA!B1671</f>
        <v/>
      </c>
      <c r="C1671">
        <f>TEST_DATA!C1671</f>
        <v/>
      </c>
      <c r="D1671">
        <f>TEST_DATA!D1671</f>
        <v/>
      </c>
      <c r="E1671">
        <f>TEST_DATA!E1671</f>
        <v/>
      </c>
      <c r="F1671">
        <f>MIN(E1671*167100,10000)</f>
        <v/>
      </c>
      <c r="G1671">
        <f>MINIFS(CBIC_Late_Fee_Relief_Windows_3B!$O$1671:$O$100,CBIC_Late_Fee_Relief_Windows_3B!$D$1671:$D$100,"&lt;="&amp;B1671,CBIC_Late_Fee_Relief_Windows_3B!$E$1671:$E$100,"&gt;="&amp;B1671,CBIC_Late_Fee_Relief_Windows_3B!$F$1671:$F$100,"&lt;="&amp;C1671,CBIC_Late_Fee_Relief_Windows_3B!$G$1671:$G$100,"&gt;="&amp;C1671)</f>
        <v/>
      </c>
      <c r="H1671">
        <f>INDEX(CBIC_Late_Fee_Relief_Windows_3B!$I$1671:$I$100,MATCH(G1671,CBIC_Late_Fee_Relief_Windows_3B!$O$1671:$O$100,0))</f>
        <v/>
      </c>
      <c r="I1671">
        <f>MIN(F1671,H1671)</f>
        <v/>
      </c>
    </row>
    <row r="1672">
      <c r="A1672">
        <f>TEST_DATA!A1672</f>
        <v/>
      </c>
      <c r="B1672">
        <f>TEST_DATA!B1672</f>
        <v/>
      </c>
      <c r="C1672">
        <f>TEST_DATA!C1672</f>
        <v/>
      </c>
      <c r="D1672">
        <f>TEST_DATA!D1672</f>
        <v/>
      </c>
      <c r="E1672">
        <f>TEST_DATA!E1672</f>
        <v/>
      </c>
      <c r="F1672">
        <f>MIN(E1672*167200,10000)</f>
        <v/>
      </c>
      <c r="G1672">
        <f>MINIFS(CBIC_Late_Fee_Relief_Windows_3B!$O$1672:$O$100,CBIC_Late_Fee_Relief_Windows_3B!$D$1672:$D$100,"&lt;="&amp;B1672,CBIC_Late_Fee_Relief_Windows_3B!$E$1672:$E$100,"&gt;="&amp;B1672,CBIC_Late_Fee_Relief_Windows_3B!$F$1672:$F$100,"&lt;="&amp;C1672,CBIC_Late_Fee_Relief_Windows_3B!$G$1672:$G$100,"&gt;="&amp;C1672)</f>
        <v/>
      </c>
      <c r="H1672">
        <f>INDEX(CBIC_Late_Fee_Relief_Windows_3B!$I$1672:$I$100,MATCH(G1672,CBIC_Late_Fee_Relief_Windows_3B!$O$1672:$O$100,0))</f>
        <v/>
      </c>
      <c r="I1672">
        <f>MIN(F1672,H1672)</f>
        <v/>
      </c>
    </row>
    <row r="1673">
      <c r="A1673">
        <f>TEST_DATA!A1673</f>
        <v/>
      </c>
      <c r="B1673">
        <f>TEST_DATA!B1673</f>
        <v/>
      </c>
      <c r="C1673">
        <f>TEST_DATA!C1673</f>
        <v/>
      </c>
      <c r="D1673">
        <f>TEST_DATA!D1673</f>
        <v/>
      </c>
      <c r="E1673">
        <f>TEST_DATA!E1673</f>
        <v/>
      </c>
      <c r="F1673">
        <f>MIN(E1673*167300,10000)</f>
        <v/>
      </c>
      <c r="G1673">
        <f>MINIFS(CBIC_Late_Fee_Relief_Windows_3B!$O$1673:$O$100,CBIC_Late_Fee_Relief_Windows_3B!$D$1673:$D$100,"&lt;="&amp;B1673,CBIC_Late_Fee_Relief_Windows_3B!$E$1673:$E$100,"&gt;="&amp;B1673,CBIC_Late_Fee_Relief_Windows_3B!$F$1673:$F$100,"&lt;="&amp;C1673,CBIC_Late_Fee_Relief_Windows_3B!$G$1673:$G$100,"&gt;="&amp;C1673)</f>
        <v/>
      </c>
      <c r="H1673">
        <f>INDEX(CBIC_Late_Fee_Relief_Windows_3B!$I$1673:$I$100,MATCH(G1673,CBIC_Late_Fee_Relief_Windows_3B!$O$1673:$O$100,0))</f>
        <v/>
      </c>
      <c r="I1673">
        <f>MIN(F1673,H1673)</f>
        <v/>
      </c>
    </row>
    <row r="1674">
      <c r="A1674">
        <f>TEST_DATA!A1674</f>
        <v/>
      </c>
      <c r="B1674">
        <f>TEST_DATA!B1674</f>
        <v/>
      </c>
      <c r="C1674">
        <f>TEST_DATA!C1674</f>
        <v/>
      </c>
      <c r="D1674">
        <f>TEST_DATA!D1674</f>
        <v/>
      </c>
      <c r="E1674">
        <f>TEST_DATA!E1674</f>
        <v/>
      </c>
      <c r="F1674">
        <f>MIN(E1674*167400,10000)</f>
        <v/>
      </c>
      <c r="G1674">
        <f>MINIFS(CBIC_Late_Fee_Relief_Windows_3B!$O$1674:$O$100,CBIC_Late_Fee_Relief_Windows_3B!$D$1674:$D$100,"&lt;="&amp;B1674,CBIC_Late_Fee_Relief_Windows_3B!$E$1674:$E$100,"&gt;="&amp;B1674,CBIC_Late_Fee_Relief_Windows_3B!$F$1674:$F$100,"&lt;="&amp;C1674,CBIC_Late_Fee_Relief_Windows_3B!$G$1674:$G$100,"&gt;="&amp;C1674)</f>
        <v/>
      </c>
      <c r="H1674">
        <f>INDEX(CBIC_Late_Fee_Relief_Windows_3B!$I$1674:$I$100,MATCH(G1674,CBIC_Late_Fee_Relief_Windows_3B!$O$1674:$O$100,0))</f>
        <v/>
      </c>
      <c r="I1674">
        <f>MIN(F1674,H1674)</f>
        <v/>
      </c>
    </row>
    <row r="1675">
      <c r="A1675">
        <f>TEST_DATA!A1675</f>
        <v/>
      </c>
      <c r="B1675">
        <f>TEST_DATA!B1675</f>
        <v/>
      </c>
      <c r="C1675">
        <f>TEST_DATA!C1675</f>
        <v/>
      </c>
      <c r="D1675">
        <f>TEST_DATA!D1675</f>
        <v/>
      </c>
      <c r="E1675">
        <f>TEST_DATA!E1675</f>
        <v/>
      </c>
      <c r="F1675">
        <f>MIN(E1675*167500,10000)</f>
        <v/>
      </c>
      <c r="G1675">
        <f>MINIFS(CBIC_Late_Fee_Relief_Windows_3B!$O$1675:$O$100,CBIC_Late_Fee_Relief_Windows_3B!$D$1675:$D$100,"&lt;="&amp;B1675,CBIC_Late_Fee_Relief_Windows_3B!$E$1675:$E$100,"&gt;="&amp;B1675,CBIC_Late_Fee_Relief_Windows_3B!$F$1675:$F$100,"&lt;="&amp;C1675,CBIC_Late_Fee_Relief_Windows_3B!$G$1675:$G$100,"&gt;="&amp;C1675)</f>
        <v/>
      </c>
      <c r="H1675">
        <f>INDEX(CBIC_Late_Fee_Relief_Windows_3B!$I$1675:$I$100,MATCH(G1675,CBIC_Late_Fee_Relief_Windows_3B!$O$1675:$O$100,0))</f>
        <v/>
      </c>
      <c r="I1675">
        <f>MIN(F1675,H1675)</f>
        <v/>
      </c>
    </row>
    <row r="1676">
      <c r="A1676">
        <f>TEST_DATA!A1676</f>
        <v/>
      </c>
      <c r="B1676">
        <f>TEST_DATA!B1676</f>
        <v/>
      </c>
      <c r="C1676">
        <f>TEST_DATA!C1676</f>
        <v/>
      </c>
      <c r="D1676">
        <f>TEST_DATA!D1676</f>
        <v/>
      </c>
      <c r="E1676">
        <f>TEST_DATA!E1676</f>
        <v/>
      </c>
      <c r="F1676">
        <f>MIN(E1676*167600,10000)</f>
        <v/>
      </c>
      <c r="G1676">
        <f>MINIFS(CBIC_Late_Fee_Relief_Windows_3B!$O$1676:$O$100,CBIC_Late_Fee_Relief_Windows_3B!$D$1676:$D$100,"&lt;="&amp;B1676,CBIC_Late_Fee_Relief_Windows_3B!$E$1676:$E$100,"&gt;="&amp;B1676,CBIC_Late_Fee_Relief_Windows_3B!$F$1676:$F$100,"&lt;="&amp;C1676,CBIC_Late_Fee_Relief_Windows_3B!$G$1676:$G$100,"&gt;="&amp;C1676)</f>
        <v/>
      </c>
      <c r="H1676">
        <f>INDEX(CBIC_Late_Fee_Relief_Windows_3B!$I$1676:$I$100,MATCH(G1676,CBIC_Late_Fee_Relief_Windows_3B!$O$1676:$O$100,0))</f>
        <v/>
      </c>
      <c r="I1676">
        <f>MIN(F1676,H1676)</f>
        <v/>
      </c>
    </row>
    <row r="1677">
      <c r="A1677">
        <f>TEST_DATA!A1677</f>
        <v/>
      </c>
      <c r="B1677">
        <f>TEST_DATA!B1677</f>
        <v/>
      </c>
      <c r="C1677">
        <f>TEST_DATA!C1677</f>
        <v/>
      </c>
      <c r="D1677">
        <f>TEST_DATA!D1677</f>
        <v/>
      </c>
      <c r="E1677">
        <f>TEST_DATA!E1677</f>
        <v/>
      </c>
      <c r="F1677">
        <f>MIN(E1677*167700,10000)</f>
        <v/>
      </c>
      <c r="G1677">
        <f>MINIFS(CBIC_Late_Fee_Relief_Windows_3B!$O$1677:$O$100,CBIC_Late_Fee_Relief_Windows_3B!$D$1677:$D$100,"&lt;="&amp;B1677,CBIC_Late_Fee_Relief_Windows_3B!$E$1677:$E$100,"&gt;="&amp;B1677,CBIC_Late_Fee_Relief_Windows_3B!$F$1677:$F$100,"&lt;="&amp;C1677,CBIC_Late_Fee_Relief_Windows_3B!$G$1677:$G$100,"&gt;="&amp;C1677)</f>
        <v/>
      </c>
      <c r="H1677">
        <f>INDEX(CBIC_Late_Fee_Relief_Windows_3B!$I$1677:$I$100,MATCH(G1677,CBIC_Late_Fee_Relief_Windows_3B!$O$1677:$O$100,0))</f>
        <v/>
      </c>
      <c r="I1677">
        <f>MIN(F1677,H1677)</f>
        <v/>
      </c>
    </row>
    <row r="1678">
      <c r="A1678">
        <f>TEST_DATA!A1678</f>
        <v/>
      </c>
      <c r="B1678">
        <f>TEST_DATA!B1678</f>
        <v/>
      </c>
      <c r="C1678">
        <f>TEST_DATA!C1678</f>
        <v/>
      </c>
      <c r="D1678">
        <f>TEST_DATA!D1678</f>
        <v/>
      </c>
      <c r="E1678">
        <f>TEST_DATA!E1678</f>
        <v/>
      </c>
      <c r="F1678">
        <f>MIN(E1678*167800,10000)</f>
        <v/>
      </c>
      <c r="G1678">
        <f>MINIFS(CBIC_Late_Fee_Relief_Windows_3B!$O$1678:$O$100,CBIC_Late_Fee_Relief_Windows_3B!$D$1678:$D$100,"&lt;="&amp;B1678,CBIC_Late_Fee_Relief_Windows_3B!$E$1678:$E$100,"&gt;="&amp;B1678,CBIC_Late_Fee_Relief_Windows_3B!$F$1678:$F$100,"&lt;="&amp;C1678,CBIC_Late_Fee_Relief_Windows_3B!$G$1678:$G$100,"&gt;="&amp;C1678)</f>
        <v/>
      </c>
      <c r="H1678">
        <f>INDEX(CBIC_Late_Fee_Relief_Windows_3B!$I$1678:$I$100,MATCH(G1678,CBIC_Late_Fee_Relief_Windows_3B!$O$1678:$O$100,0))</f>
        <v/>
      </c>
      <c r="I1678">
        <f>MIN(F1678,H1678)</f>
        <v/>
      </c>
    </row>
    <row r="1679">
      <c r="A1679">
        <f>TEST_DATA!A1679</f>
        <v/>
      </c>
      <c r="B1679">
        <f>TEST_DATA!B1679</f>
        <v/>
      </c>
      <c r="C1679">
        <f>TEST_DATA!C1679</f>
        <v/>
      </c>
      <c r="D1679">
        <f>TEST_DATA!D1679</f>
        <v/>
      </c>
      <c r="E1679">
        <f>TEST_DATA!E1679</f>
        <v/>
      </c>
      <c r="F1679">
        <f>MIN(E1679*167900,10000)</f>
        <v/>
      </c>
      <c r="G1679">
        <f>MINIFS(CBIC_Late_Fee_Relief_Windows_3B!$O$1679:$O$100,CBIC_Late_Fee_Relief_Windows_3B!$D$1679:$D$100,"&lt;="&amp;B1679,CBIC_Late_Fee_Relief_Windows_3B!$E$1679:$E$100,"&gt;="&amp;B1679,CBIC_Late_Fee_Relief_Windows_3B!$F$1679:$F$100,"&lt;="&amp;C1679,CBIC_Late_Fee_Relief_Windows_3B!$G$1679:$G$100,"&gt;="&amp;C1679)</f>
        <v/>
      </c>
      <c r="H1679">
        <f>INDEX(CBIC_Late_Fee_Relief_Windows_3B!$I$1679:$I$100,MATCH(G1679,CBIC_Late_Fee_Relief_Windows_3B!$O$1679:$O$100,0))</f>
        <v/>
      </c>
      <c r="I1679">
        <f>MIN(F1679,H1679)</f>
        <v/>
      </c>
    </row>
    <row r="1680">
      <c r="A1680">
        <f>TEST_DATA!A1680</f>
        <v/>
      </c>
      <c r="B1680">
        <f>TEST_DATA!B1680</f>
        <v/>
      </c>
      <c r="C1680">
        <f>TEST_DATA!C1680</f>
        <v/>
      </c>
      <c r="D1680">
        <f>TEST_DATA!D1680</f>
        <v/>
      </c>
      <c r="E1680">
        <f>TEST_DATA!E1680</f>
        <v/>
      </c>
      <c r="F1680">
        <f>MIN(E1680*168000,10000)</f>
        <v/>
      </c>
      <c r="G1680">
        <f>MINIFS(CBIC_Late_Fee_Relief_Windows_3B!$O$1680:$O$100,CBIC_Late_Fee_Relief_Windows_3B!$D$1680:$D$100,"&lt;="&amp;B1680,CBIC_Late_Fee_Relief_Windows_3B!$E$1680:$E$100,"&gt;="&amp;B1680,CBIC_Late_Fee_Relief_Windows_3B!$F$1680:$F$100,"&lt;="&amp;C1680,CBIC_Late_Fee_Relief_Windows_3B!$G$1680:$G$100,"&gt;="&amp;C1680)</f>
        <v/>
      </c>
      <c r="H1680">
        <f>INDEX(CBIC_Late_Fee_Relief_Windows_3B!$I$1680:$I$100,MATCH(G1680,CBIC_Late_Fee_Relief_Windows_3B!$O$1680:$O$100,0))</f>
        <v/>
      </c>
      <c r="I1680">
        <f>MIN(F1680,H1680)</f>
        <v/>
      </c>
    </row>
    <row r="1681">
      <c r="A1681">
        <f>TEST_DATA!A1681</f>
        <v/>
      </c>
      <c r="B1681">
        <f>TEST_DATA!B1681</f>
        <v/>
      </c>
      <c r="C1681">
        <f>TEST_DATA!C1681</f>
        <v/>
      </c>
      <c r="D1681">
        <f>TEST_DATA!D1681</f>
        <v/>
      </c>
      <c r="E1681">
        <f>TEST_DATA!E1681</f>
        <v/>
      </c>
      <c r="F1681">
        <f>MIN(E1681*168100,10000)</f>
        <v/>
      </c>
      <c r="G1681">
        <f>MINIFS(CBIC_Late_Fee_Relief_Windows_3B!$O$1681:$O$100,CBIC_Late_Fee_Relief_Windows_3B!$D$1681:$D$100,"&lt;="&amp;B1681,CBIC_Late_Fee_Relief_Windows_3B!$E$1681:$E$100,"&gt;="&amp;B1681,CBIC_Late_Fee_Relief_Windows_3B!$F$1681:$F$100,"&lt;="&amp;C1681,CBIC_Late_Fee_Relief_Windows_3B!$G$1681:$G$100,"&gt;="&amp;C1681)</f>
        <v/>
      </c>
      <c r="H1681">
        <f>INDEX(CBIC_Late_Fee_Relief_Windows_3B!$I$1681:$I$100,MATCH(G1681,CBIC_Late_Fee_Relief_Windows_3B!$O$1681:$O$100,0))</f>
        <v/>
      </c>
      <c r="I1681">
        <f>MIN(F1681,H1681)</f>
        <v/>
      </c>
    </row>
    <row r="1682">
      <c r="A1682">
        <f>TEST_DATA!A1682</f>
        <v/>
      </c>
      <c r="B1682">
        <f>TEST_DATA!B1682</f>
        <v/>
      </c>
      <c r="C1682">
        <f>TEST_DATA!C1682</f>
        <v/>
      </c>
      <c r="D1682">
        <f>TEST_DATA!D1682</f>
        <v/>
      </c>
      <c r="E1682">
        <f>TEST_DATA!E1682</f>
        <v/>
      </c>
      <c r="F1682">
        <f>MIN(E1682*168200,10000)</f>
        <v/>
      </c>
      <c r="G1682">
        <f>MINIFS(CBIC_Late_Fee_Relief_Windows_3B!$O$1682:$O$100,CBIC_Late_Fee_Relief_Windows_3B!$D$1682:$D$100,"&lt;="&amp;B1682,CBIC_Late_Fee_Relief_Windows_3B!$E$1682:$E$100,"&gt;="&amp;B1682,CBIC_Late_Fee_Relief_Windows_3B!$F$1682:$F$100,"&lt;="&amp;C1682,CBIC_Late_Fee_Relief_Windows_3B!$G$1682:$G$100,"&gt;="&amp;C1682)</f>
        <v/>
      </c>
      <c r="H1682">
        <f>INDEX(CBIC_Late_Fee_Relief_Windows_3B!$I$1682:$I$100,MATCH(G1682,CBIC_Late_Fee_Relief_Windows_3B!$O$1682:$O$100,0))</f>
        <v/>
      </c>
      <c r="I1682">
        <f>MIN(F1682,H1682)</f>
        <v/>
      </c>
    </row>
    <row r="1683">
      <c r="A1683">
        <f>TEST_DATA!A1683</f>
        <v/>
      </c>
      <c r="B1683">
        <f>TEST_DATA!B1683</f>
        <v/>
      </c>
      <c r="C1683">
        <f>TEST_DATA!C1683</f>
        <v/>
      </c>
      <c r="D1683">
        <f>TEST_DATA!D1683</f>
        <v/>
      </c>
      <c r="E1683">
        <f>TEST_DATA!E1683</f>
        <v/>
      </c>
      <c r="F1683">
        <f>MIN(E1683*168300,10000)</f>
        <v/>
      </c>
      <c r="G1683">
        <f>MINIFS(CBIC_Late_Fee_Relief_Windows_3B!$O$1683:$O$100,CBIC_Late_Fee_Relief_Windows_3B!$D$1683:$D$100,"&lt;="&amp;B1683,CBIC_Late_Fee_Relief_Windows_3B!$E$1683:$E$100,"&gt;="&amp;B1683,CBIC_Late_Fee_Relief_Windows_3B!$F$1683:$F$100,"&lt;="&amp;C1683,CBIC_Late_Fee_Relief_Windows_3B!$G$1683:$G$100,"&gt;="&amp;C1683)</f>
        <v/>
      </c>
      <c r="H1683">
        <f>INDEX(CBIC_Late_Fee_Relief_Windows_3B!$I$1683:$I$100,MATCH(G1683,CBIC_Late_Fee_Relief_Windows_3B!$O$1683:$O$100,0))</f>
        <v/>
      </c>
      <c r="I1683">
        <f>MIN(F1683,H1683)</f>
        <v/>
      </c>
    </row>
    <row r="1684">
      <c r="A1684">
        <f>TEST_DATA!A1684</f>
        <v/>
      </c>
      <c r="B1684">
        <f>TEST_DATA!B1684</f>
        <v/>
      </c>
      <c r="C1684">
        <f>TEST_DATA!C1684</f>
        <v/>
      </c>
      <c r="D1684">
        <f>TEST_DATA!D1684</f>
        <v/>
      </c>
      <c r="E1684">
        <f>TEST_DATA!E1684</f>
        <v/>
      </c>
      <c r="F1684">
        <f>MIN(E1684*168400,10000)</f>
        <v/>
      </c>
      <c r="G1684">
        <f>MINIFS(CBIC_Late_Fee_Relief_Windows_3B!$O$1684:$O$100,CBIC_Late_Fee_Relief_Windows_3B!$D$1684:$D$100,"&lt;="&amp;B1684,CBIC_Late_Fee_Relief_Windows_3B!$E$1684:$E$100,"&gt;="&amp;B1684,CBIC_Late_Fee_Relief_Windows_3B!$F$1684:$F$100,"&lt;="&amp;C1684,CBIC_Late_Fee_Relief_Windows_3B!$G$1684:$G$100,"&gt;="&amp;C1684)</f>
        <v/>
      </c>
      <c r="H1684">
        <f>INDEX(CBIC_Late_Fee_Relief_Windows_3B!$I$1684:$I$100,MATCH(G1684,CBIC_Late_Fee_Relief_Windows_3B!$O$1684:$O$100,0))</f>
        <v/>
      </c>
      <c r="I1684">
        <f>MIN(F1684,H1684)</f>
        <v/>
      </c>
    </row>
    <row r="1685">
      <c r="A1685">
        <f>TEST_DATA!A1685</f>
        <v/>
      </c>
      <c r="B1685">
        <f>TEST_DATA!B1685</f>
        <v/>
      </c>
      <c r="C1685">
        <f>TEST_DATA!C1685</f>
        <v/>
      </c>
      <c r="D1685">
        <f>TEST_DATA!D1685</f>
        <v/>
      </c>
      <c r="E1685">
        <f>TEST_DATA!E1685</f>
        <v/>
      </c>
      <c r="F1685">
        <f>MIN(E1685*168500,10000)</f>
        <v/>
      </c>
      <c r="G1685">
        <f>MINIFS(CBIC_Late_Fee_Relief_Windows_3B!$O$1685:$O$100,CBIC_Late_Fee_Relief_Windows_3B!$D$1685:$D$100,"&lt;="&amp;B1685,CBIC_Late_Fee_Relief_Windows_3B!$E$1685:$E$100,"&gt;="&amp;B1685,CBIC_Late_Fee_Relief_Windows_3B!$F$1685:$F$100,"&lt;="&amp;C1685,CBIC_Late_Fee_Relief_Windows_3B!$G$1685:$G$100,"&gt;="&amp;C1685)</f>
        <v/>
      </c>
      <c r="H1685">
        <f>INDEX(CBIC_Late_Fee_Relief_Windows_3B!$I$1685:$I$100,MATCH(G1685,CBIC_Late_Fee_Relief_Windows_3B!$O$1685:$O$100,0))</f>
        <v/>
      </c>
      <c r="I1685">
        <f>MIN(F1685,H1685)</f>
        <v/>
      </c>
    </row>
    <row r="1686">
      <c r="A1686">
        <f>TEST_DATA!A1686</f>
        <v/>
      </c>
      <c r="B1686">
        <f>TEST_DATA!B1686</f>
        <v/>
      </c>
      <c r="C1686">
        <f>TEST_DATA!C1686</f>
        <v/>
      </c>
      <c r="D1686">
        <f>TEST_DATA!D1686</f>
        <v/>
      </c>
      <c r="E1686">
        <f>TEST_DATA!E1686</f>
        <v/>
      </c>
      <c r="F1686">
        <f>MIN(E1686*168600,10000)</f>
        <v/>
      </c>
      <c r="G1686">
        <f>MINIFS(CBIC_Late_Fee_Relief_Windows_3B!$O$1686:$O$100,CBIC_Late_Fee_Relief_Windows_3B!$D$1686:$D$100,"&lt;="&amp;B1686,CBIC_Late_Fee_Relief_Windows_3B!$E$1686:$E$100,"&gt;="&amp;B1686,CBIC_Late_Fee_Relief_Windows_3B!$F$1686:$F$100,"&lt;="&amp;C1686,CBIC_Late_Fee_Relief_Windows_3B!$G$1686:$G$100,"&gt;="&amp;C1686)</f>
        <v/>
      </c>
      <c r="H1686">
        <f>INDEX(CBIC_Late_Fee_Relief_Windows_3B!$I$1686:$I$100,MATCH(G1686,CBIC_Late_Fee_Relief_Windows_3B!$O$1686:$O$100,0))</f>
        <v/>
      </c>
      <c r="I1686">
        <f>MIN(F1686,H1686)</f>
        <v/>
      </c>
    </row>
    <row r="1687">
      <c r="A1687">
        <f>TEST_DATA!A1687</f>
        <v/>
      </c>
      <c r="B1687">
        <f>TEST_DATA!B1687</f>
        <v/>
      </c>
      <c r="C1687">
        <f>TEST_DATA!C1687</f>
        <v/>
      </c>
      <c r="D1687">
        <f>TEST_DATA!D1687</f>
        <v/>
      </c>
      <c r="E1687">
        <f>TEST_DATA!E1687</f>
        <v/>
      </c>
      <c r="F1687">
        <f>MIN(E1687*168700,10000)</f>
        <v/>
      </c>
      <c r="G1687">
        <f>MINIFS(CBIC_Late_Fee_Relief_Windows_3B!$O$1687:$O$100,CBIC_Late_Fee_Relief_Windows_3B!$D$1687:$D$100,"&lt;="&amp;B1687,CBIC_Late_Fee_Relief_Windows_3B!$E$1687:$E$100,"&gt;="&amp;B1687,CBIC_Late_Fee_Relief_Windows_3B!$F$1687:$F$100,"&lt;="&amp;C1687,CBIC_Late_Fee_Relief_Windows_3B!$G$1687:$G$100,"&gt;="&amp;C1687)</f>
        <v/>
      </c>
      <c r="H1687">
        <f>INDEX(CBIC_Late_Fee_Relief_Windows_3B!$I$1687:$I$100,MATCH(G1687,CBIC_Late_Fee_Relief_Windows_3B!$O$1687:$O$100,0))</f>
        <v/>
      </c>
      <c r="I1687">
        <f>MIN(F1687,H1687)</f>
        <v/>
      </c>
    </row>
    <row r="1688">
      <c r="A1688">
        <f>TEST_DATA!A1688</f>
        <v/>
      </c>
      <c r="B1688">
        <f>TEST_DATA!B1688</f>
        <v/>
      </c>
      <c r="C1688">
        <f>TEST_DATA!C1688</f>
        <v/>
      </c>
      <c r="D1688">
        <f>TEST_DATA!D1688</f>
        <v/>
      </c>
      <c r="E1688">
        <f>TEST_DATA!E1688</f>
        <v/>
      </c>
      <c r="F1688">
        <f>MIN(E1688*168800,10000)</f>
        <v/>
      </c>
      <c r="G1688">
        <f>MINIFS(CBIC_Late_Fee_Relief_Windows_3B!$O$1688:$O$100,CBIC_Late_Fee_Relief_Windows_3B!$D$1688:$D$100,"&lt;="&amp;B1688,CBIC_Late_Fee_Relief_Windows_3B!$E$1688:$E$100,"&gt;="&amp;B1688,CBIC_Late_Fee_Relief_Windows_3B!$F$1688:$F$100,"&lt;="&amp;C1688,CBIC_Late_Fee_Relief_Windows_3B!$G$1688:$G$100,"&gt;="&amp;C1688)</f>
        <v/>
      </c>
      <c r="H1688">
        <f>INDEX(CBIC_Late_Fee_Relief_Windows_3B!$I$1688:$I$100,MATCH(G1688,CBIC_Late_Fee_Relief_Windows_3B!$O$1688:$O$100,0))</f>
        <v/>
      </c>
      <c r="I1688">
        <f>MIN(F1688,H1688)</f>
        <v/>
      </c>
    </row>
    <row r="1689">
      <c r="A1689">
        <f>TEST_DATA!A1689</f>
        <v/>
      </c>
      <c r="B1689">
        <f>TEST_DATA!B1689</f>
        <v/>
      </c>
      <c r="C1689">
        <f>TEST_DATA!C1689</f>
        <v/>
      </c>
      <c r="D1689">
        <f>TEST_DATA!D1689</f>
        <v/>
      </c>
      <c r="E1689">
        <f>TEST_DATA!E1689</f>
        <v/>
      </c>
      <c r="F1689">
        <f>MIN(E1689*168900,10000)</f>
        <v/>
      </c>
      <c r="G1689">
        <f>MINIFS(CBIC_Late_Fee_Relief_Windows_3B!$O$1689:$O$100,CBIC_Late_Fee_Relief_Windows_3B!$D$1689:$D$100,"&lt;="&amp;B1689,CBIC_Late_Fee_Relief_Windows_3B!$E$1689:$E$100,"&gt;="&amp;B1689,CBIC_Late_Fee_Relief_Windows_3B!$F$1689:$F$100,"&lt;="&amp;C1689,CBIC_Late_Fee_Relief_Windows_3B!$G$1689:$G$100,"&gt;="&amp;C1689)</f>
        <v/>
      </c>
      <c r="H1689">
        <f>INDEX(CBIC_Late_Fee_Relief_Windows_3B!$I$1689:$I$100,MATCH(G1689,CBIC_Late_Fee_Relief_Windows_3B!$O$1689:$O$100,0))</f>
        <v/>
      </c>
      <c r="I1689">
        <f>MIN(F1689,H1689)</f>
        <v/>
      </c>
    </row>
    <row r="1690">
      <c r="A1690">
        <f>TEST_DATA!A1690</f>
        <v/>
      </c>
      <c r="B1690">
        <f>TEST_DATA!B1690</f>
        <v/>
      </c>
      <c r="C1690">
        <f>TEST_DATA!C1690</f>
        <v/>
      </c>
      <c r="D1690">
        <f>TEST_DATA!D1690</f>
        <v/>
      </c>
      <c r="E1690">
        <f>TEST_DATA!E1690</f>
        <v/>
      </c>
      <c r="F1690">
        <f>MIN(E1690*169000,10000)</f>
        <v/>
      </c>
      <c r="G1690">
        <f>MINIFS(CBIC_Late_Fee_Relief_Windows_3B!$O$1690:$O$100,CBIC_Late_Fee_Relief_Windows_3B!$D$1690:$D$100,"&lt;="&amp;B1690,CBIC_Late_Fee_Relief_Windows_3B!$E$1690:$E$100,"&gt;="&amp;B1690,CBIC_Late_Fee_Relief_Windows_3B!$F$1690:$F$100,"&lt;="&amp;C1690,CBIC_Late_Fee_Relief_Windows_3B!$G$1690:$G$100,"&gt;="&amp;C1690)</f>
        <v/>
      </c>
      <c r="H1690">
        <f>INDEX(CBIC_Late_Fee_Relief_Windows_3B!$I$1690:$I$100,MATCH(G1690,CBIC_Late_Fee_Relief_Windows_3B!$O$1690:$O$100,0))</f>
        <v/>
      </c>
      <c r="I1690">
        <f>MIN(F1690,H1690)</f>
        <v/>
      </c>
    </row>
    <row r="1691">
      <c r="A1691">
        <f>TEST_DATA!A1691</f>
        <v/>
      </c>
      <c r="B1691">
        <f>TEST_DATA!B1691</f>
        <v/>
      </c>
      <c r="C1691">
        <f>TEST_DATA!C1691</f>
        <v/>
      </c>
      <c r="D1691">
        <f>TEST_DATA!D1691</f>
        <v/>
      </c>
      <c r="E1691">
        <f>TEST_DATA!E1691</f>
        <v/>
      </c>
      <c r="F1691">
        <f>MIN(E1691*169100,10000)</f>
        <v/>
      </c>
      <c r="G1691">
        <f>MINIFS(CBIC_Late_Fee_Relief_Windows_3B!$O$1691:$O$100,CBIC_Late_Fee_Relief_Windows_3B!$D$1691:$D$100,"&lt;="&amp;B1691,CBIC_Late_Fee_Relief_Windows_3B!$E$1691:$E$100,"&gt;="&amp;B1691,CBIC_Late_Fee_Relief_Windows_3B!$F$1691:$F$100,"&lt;="&amp;C1691,CBIC_Late_Fee_Relief_Windows_3B!$G$1691:$G$100,"&gt;="&amp;C1691)</f>
        <v/>
      </c>
      <c r="H1691">
        <f>INDEX(CBIC_Late_Fee_Relief_Windows_3B!$I$1691:$I$100,MATCH(G1691,CBIC_Late_Fee_Relief_Windows_3B!$O$1691:$O$100,0))</f>
        <v/>
      </c>
      <c r="I1691">
        <f>MIN(F1691,H1691)</f>
        <v/>
      </c>
    </row>
    <row r="1692">
      <c r="A1692">
        <f>TEST_DATA!A1692</f>
        <v/>
      </c>
      <c r="B1692">
        <f>TEST_DATA!B1692</f>
        <v/>
      </c>
      <c r="C1692">
        <f>TEST_DATA!C1692</f>
        <v/>
      </c>
      <c r="D1692">
        <f>TEST_DATA!D1692</f>
        <v/>
      </c>
      <c r="E1692">
        <f>TEST_DATA!E1692</f>
        <v/>
      </c>
      <c r="F1692">
        <f>MIN(E1692*169200,10000)</f>
        <v/>
      </c>
      <c r="G1692">
        <f>MINIFS(CBIC_Late_Fee_Relief_Windows_3B!$O$1692:$O$100,CBIC_Late_Fee_Relief_Windows_3B!$D$1692:$D$100,"&lt;="&amp;B1692,CBIC_Late_Fee_Relief_Windows_3B!$E$1692:$E$100,"&gt;="&amp;B1692,CBIC_Late_Fee_Relief_Windows_3B!$F$1692:$F$100,"&lt;="&amp;C1692,CBIC_Late_Fee_Relief_Windows_3B!$G$1692:$G$100,"&gt;="&amp;C1692)</f>
        <v/>
      </c>
      <c r="H1692">
        <f>INDEX(CBIC_Late_Fee_Relief_Windows_3B!$I$1692:$I$100,MATCH(G1692,CBIC_Late_Fee_Relief_Windows_3B!$O$1692:$O$100,0))</f>
        <v/>
      </c>
      <c r="I1692">
        <f>MIN(F1692,H1692)</f>
        <v/>
      </c>
    </row>
    <row r="1693">
      <c r="A1693">
        <f>TEST_DATA!A1693</f>
        <v/>
      </c>
      <c r="B1693">
        <f>TEST_DATA!B1693</f>
        <v/>
      </c>
      <c r="C1693">
        <f>TEST_DATA!C1693</f>
        <v/>
      </c>
      <c r="D1693">
        <f>TEST_DATA!D1693</f>
        <v/>
      </c>
      <c r="E1693">
        <f>TEST_DATA!E1693</f>
        <v/>
      </c>
      <c r="F1693">
        <f>MIN(E1693*169300,10000)</f>
        <v/>
      </c>
      <c r="G1693">
        <f>MINIFS(CBIC_Late_Fee_Relief_Windows_3B!$O$1693:$O$100,CBIC_Late_Fee_Relief_Windows_3B!$D$1693:$D$100,"&lt;="&amp;B1693,CBIC_Late_Fee_Relief_Windows_3B!$E$1693:$E$100,"&gt;="&amp;B1693,CBIC_Late_Fee_Relief_Windows_3B!$F$1693:$F$100,"&lt;="&amp;C1693,CBIC_Late_Fee_Relief_Windows_3B!$G$1693:$G$100,"&gt;="&amp;C1693)</f>
        <v/>
      </c>
      <c r="H1693">
        <f>INDEX(CBIC_Late_Fee_Relief_Windows_3B!$I$1693:$I$100,MATCH(G1693,CBIC_Late_Fee_Relief_Windows_3B!$O$1693:$O$100,0))</f>
        <v/>
      </c>
      <c r="I1693">
        <f>MIN(F1693,H1693)</f>
        <v/>
      </c>
    </row>
    <row r="1694">
      <c r="A1694">
        <f>TEST_DATA!A1694</f>
        <v/>
      </c>
      <c r="B1694">
        <f>TEST_DATA!B1694</f>
        <v/>
      </c>
      <c r="C1694">
        <f>TEST_DATA!C1694</f>
        <v/>
      </c>
      <c r="D1694">
        <f>TEST_DATA!D1694</f>
        <v/>
      </c>
      <c r="E1694">
        <f>TEST_DATA!E1694</f>
        <v/>
      </c>
      <c r="F1694">
        <f>MIN(E1694*169400,10000)</f>
        <v/>
      </c>
      <c r="G1694">
        <f>MINIFS(CBIC_Late_Fee_Relief_Windows_3B!$O$1694:$O$100,CBIC_Late_Fee_Relief_Windows_3B!$D$1694:$D$100,"&lt;="&amp;B1694,CBIC_Late_Fee_Relief_Windows_3B!$E$1694:$E$100,"&gt;="&amp;B1694,CBIC_Late_Fee_Relief_Windows_3B!$F$1694:$F$100,"&lt;="&amp;C1694,CBIC_Late_Fee_Relief_Windows_3B!$G$1694:$G$100,"&gt;="&amp;C1694)</f>
        <v/>
      </c>
      <c r="H1694">
        <f>INDEX(CBIC_Late_Fee_Relief_Windows_3B!$I$1694:$I$100,MATCH(G1694,CBIC_Late_Fee_Relief_Windows_3B!$O$1694:$O$100,0))</f>
        <v/>
      </c>
      <c r="I1694">
        <f>MIN(F1694,H1694)</f>
        <v/>
      </c>
    </row>
    <row r="1695">
      <c r="A1695">
        <f>TEST_DATA!A1695</f>
        <v/>
      </c>
      <c r="B1695">
        <f>TEST_DATA!B1695</f>
        <v/>
      </c>
      <c r="C1695">
        <f>TEST_DATA!C1695</f>
        <v/>
      </c>
      <c r="D1695">
        <f>TEST_DATA!D1695</f>
        <v/>
      </c>
      <c r="E1695">
        <f>TEST_DATA!E1695</f>
        <v/>
      </c>
      <c r="F1695">
        <f>MIN(E1695*169500,10000)</f>
        <v/>
      </c>
      <c r="G1695">
        <f>MINIFS(CBIC_Late_Fee_Relief_Windows_3B!$O$1695:$O$100,CBIC_Late_Fee_Relief_Windows_3B!$D$1695:$D$100,"&lt;="&amp;B1695,CBIC_Late_Fee_Relief_Windows_3B!$E$1695:$E$100,"&gt;="&amp;B1695,CBIC_Late_Fee_Relief_Windows_3B!$F$1695:$F$100,"&lt;="&amp;C1695,CBIC_Late_Fee_Relief_Windows_3B!$G$1695:$G$100,"&gt;="&amp;C1695)</f>
        <v/>
      </c>
      <c r="H1695">
        <f>INDEX(CBIC_Late_Fee_Relief_Windows_3B!$I$1695:$I$100,MATCH(G1695,CBIC_Late_Fee_Relief_Windows_3B!$O$1695:$O$100,0))</f>
        <v/>
      </c>
      <c r="I1695">
        <f>MIN(F1695,H1695)</f>
        <v/>
      </c>
    </row>
    <row r="1696">
      <c r="A1696">
        <f>TEST_DATA!A1696</f>
        <v/>
      </c>
      <c r="B1696">
        <f>TEST_DATA!B1696</f>
        <v/>
      </c>
      <c r="C1696">
        <f>TEST_DATA!C1696</f>
        <v/>
      </c>
      <c r="D1696">
        <f>TEST_DATA!D1696</f>
        <v/>
      </c>
      <c r="E1696">
        <f>TEST_DATA!E1696</f>
        <v/>
      </c>
      <c r="F1696">
        <f>MIN(E1696*169600,10000)</f>
        <v/>
      </c>
      <c r="G1696">
        <f>MINIFS(CBIC_Late_Fee_Relief_Windows_3B!$O$1696:$O$100,CBIC_Late_Fee_Relief_Windows_3B!$D$1696:$D$100,"&lt;="&amp;B1696,CBIC_Late_Fee_Relief_Windows_3B!$E$1696:$E$100,"&gt;="&amp;B1696,CBIC_Late_Fee_Relief_Windows_3B!$F$1696:$F$100,"&lt;="&amp;C1696,CBIC_Late_Fee_Relief_Windows_3B!$G$1696:$G$100,"&gt;="&amp;C1696)</f>
        <v/>
      </c>
      <c r="H1696">
        <f>INDEX(CBIC_Late_Fee_Relief_Windows_3B!$I$1696:$I$100,MATCH(G1696,CBIC_Late_Fee_Relief_Windows_3B!$O$1696:$O$100,0))</f>
        <v/>
      </c>
      <c r="I1696">
        <f>MIN(F1696,H1696)</f>
        <v/>
      </c>
    </row>
    <row r="1697">
      <c r="A1697">
        <f>TEST_DATA!A1697</f>
        <v/>
      </c>
      <c r="B1697">
        <f>TEST_DATA!B1697</f>
        <v/>
      </c>
      <c r="C1697">
        <f>TEST_DATA!C1697</f>
        <v/>
      </c>
      <c r="D1697">
        <f>TEST_DATA!D1697</f>
        <v/>
      </c>
      <c r="E1697">
        <f>TEST_DATA!E1697</f>
        <v/>
      </c>
      <c r="F1697">
        <f>MIN(E1697*169700,10000)</f>
        <v/>
      </c>
      <c r="G1697">
        <f>MINIFS(CBIC_Late_Fee_Relief_Windows_3B!$O$1697:$O$100,CBIC_Late_Fee_Relief_Windows_3B!$D$1697:$D$100,"&lt;="&amp;B1697,CBIC_Late_Fee_Relief_Windows_3B!$E$1697:$E$100,"&gt;="&amp;B1697,CBIC_Late_Fee_Relief_Windows_3B!$F$1697:$F$100,"&lt;="&amp;C1697,CBIC_Late_Fee_Relief_Windows_3B!$G$1697:$G$100,"&gt;="&amp;C1697)</f>
        <v/>
      </c>
      <c r="H1697">
        <f>INDEX(CBIC_Late_Fee_Relief_Windows_3B!$I$1697:$I$100,MATCH(G1697,CBIC_Late_Fee_Relief_Windows_3B!$O$1697:$O$100,0))</f>
        <v/>
      </c>
      <c r="I1697">
        <f>MIN(F1697,H1697)</f>
        <v/>
      </c>
    </row>
    <row r="1698">
      <c r="A1698">
        <f>TEST_DATA!A1698</f>
        <v/>
      </c>
      <c r="B1698">
        <f>TEST_DATA!B1698</f>
        <v/>
      </c>
      <c r="C1698">
        <f>TEST_DATA!C1698</f>
        <v/>
      </c>
      <c r="D1698">
        <f>TEST_DATA!D1698</f>
        <v/>
      </c>
      <c r="E1698">
        <f>TEST_DATA!E1698</f>
        <v/>
      </c>
      <c r="F1698">
        <f>MIN(E1698*169800,10000)</f>
        <v/>
      </c>
      <c r="G1698">
        <f>MINIFS(CBIC_Late_Fee_Relief_Windows_3B!$O$1698:$O$100,CBIC_Late_Fee_Relief_Windows_3B!$D$1698:$D$100,"&lt;="&amp;B1698,CBIC_Late_Fee_Relief_Windows_3B!$E$1698:$E$100,"&gt;="&amp;B1698,CBIC_Late_Fee_Relief_Windows_3B!$F$1698:$F$100,"&lt;="&amp;C1698,CBIC_Late_Fee_Relief_Windows_3B!$G$1698:$G$100,"&gt;="&amp;C1698)</f>
        <v/>
      </c>
      <c r="H1698">
        <f>INDEX(CBIC_Late_Fee_Relief_Windows_3B!$I$1698:$I$100,MATCH(G1698,CBIC_Late_Fee_Relief_Windows_3B!$O$1698:$O$100,0))</f>
        <v/>
      </c>
      <c r="I1698">
        <f>MIN(F1698,H1698)</f>
        <v/>
      </c>
    </row>
    <row r="1699">
      <c r="A1699">
        <f>TEST_DATA!A1699</f>
        <v/>
      </c>
      <c r="B1699">
        <f>TEST_DATA!B1699</f>
        <v/>
      </c>
      <c r="C1699">
        <f>TEST_DATA!C1699</f>
        <v/>
      </c>
      <c r="D1699">
        <f>TEST_DATA!D1699</f>
        <v/>
      </c>
      <c r="E1699">
        <f>TEST_DATA!E1699</f>
        <v/>
      </c>
      <c r="F1699">
        <f>MIN(E1699*169900,10000)</f>
        <v/>
      </c>
      <c r="G1699">
        <f>MINIFS(CBIC_Late_Fee_Relief_Windows_3B!$O$1699:$O$100,CBIC_Late_Fee_Relief_Windows_3B!$D$1699:$D$100,"&lt;="&amp;B1699,CBIC_Late_Fee_Relief_Windows_3B!$E$1699:$E$100,"&gt;="&amp;B1699,CBIC_Late_Fee_Relief_Windows_3B!$F$1699:$F$100,"&lt;="&amp;C1699,CBIC_Late_Fee_Relief_Windows_3B!$G$1699:$G$100,"&gt;="&amp;C1699)</f>
        <v/>
      </c>
      <c r="H1699">
        <f>INDEX(CBIC_Late_Fee_Relief_Windows_3B!$I$1699:$I$100,MATCH(G1699,CBIC_Late_Fee_Relief_Windows_3B!$O$1699:$O$100,0))</f>
        <v/>
      </c>
      <c r="I1699">
        <f>MIN(F1699,H1699)</f>
        <v/>
      </c>
    </row>
    <row r="1700">
      <c r="A1700">
        <f>TEST_DATA!A1700</f>
        <v/>
      </c>
      <c r="B1700">
        <f>TEST_DATA!B1700</f>
        <v/>
      </c>
      <c r="C1700">
        <f>TEST_DATA!C1700</f>
        <v/>
      </c>
      <c r="D1700">
        <f>TEST_DATA!D1700</f>
        <v/>
      </c>
      <c r="E1700">
        <f>TEST_DATA!E1700</f>
        <v/>
      </c>
      <c r="F1700">
        <f>MIN(E1700*170000,10000)</f>
        <v/>
      </c>
      <c r="G1700">
        <f>MINIFS(CBIC_Late_Fee_Relief_Windows_3B!$O$1700:$O$100,CBIC_Late_Fee_Relief_Windows_3B!$D$1700:$D$100,"&lt;="&amp;B1700,CBIC_Late_Fee_Relief_Windows_3B!$E$1700:$E$100,"&gt;="&amp;B1700,CBIC_Late_Fee_Relief_Windows_3B!$F$1700:$F$100,"&lt;="&amp;C1700,CBIC_Late_Fee_Relief_Windows_3B!$G$1700:$G$100,"&gt;="&amp;C1700)</f>
        <v/>
      </c>
      <c r="H1700">
        <f>INDEX(CBIC_Late_Fee_Relief_Windows_3B!$I$1700:$I$100,MATCH(G1700,CBIC_Late_Fee_Relief_Windows_3B!$O$1700:$O$100,0))</f>
        <v/>
      </c>
      <c r="I1700">
        <f>MIN(F1700,H1700)</f>
        <v/>
      </c>
    </row>
    <row r="1701">
      <c r="A1701">
        <f>TEST_DATA!A1701</f>
        <v/>
      </c>
      <c r="B1701">
        <f>TEST_DATA!B1701</f>
        <v/>
      </c>
      <c r="C1701">
        <f>TEST_DATA!C1701</f>
        <v/>
      </c>
      <c r="D1701">
        <f>TEST_DATA!D1701</f>
        <v/>
      </c>
      <c r="E1701">
        <f>TEST_DATA!E1701</f>
        <v/>
      </c>
      <c r="F1701">
        <f>MIN(E1701*170100,10000)</f>
        <v/>
      </c>
      <c r="G1701">
        <f>MINIFS(CBIC_Late_Fee_Relief_Windows_3B!$O$1701:$O$100,CBIC_Late_Fee_Relief_Windows_3B!$D$1701:$D$100,"&lt;="&amp;B1701,CBIC_Late_Fee_Relief_Windows_3B!$E$1701:$E$100,"&gt;="&amp;B1701,CBIC_Late_Fee_Relief_Windows_3B!$F$1701:$F$100,"&lt;="&amp;C1701,CBIC_Late_Fee_Relief_Windows_3B!$G$1701:$G$100,"&gt;="&amp;C1701)</f>
        <v/>
      </c>
      <c r="H1701">
        <f>INDEX(CBIC_Late_Fee_Relief_Windows_3B!$I$1701:$I$100,MATCH(G1701,CBIC_Late_Fee_Relief_Windows_3B!$O$1701:$O$100,0))</f>
        <v/>
      </c>
      <c r="I1701">
        <f>MIN(F1701,H1701)</f>
        <v/>
      </c>
    </row>
    <row r="1702">
      <c r="A1702">
        <f>TEST_DATA!A1702</f>
        <v/>
      </c>
      <c r="B1702">
        <f>TEST_DATA!B1702</f>
        <v/>
      </c>
      <c r="C1702">
        <f>TEST_DATA!C1702</f>
        <v/>
      </c>
      <c r="D1702">
        <f>TEST_DATA!D1702</f>
        <v/>
      </c>
      <c r="E1702">
        <f>TEST_DATA!E1702</f>
        <v/>
      </c>
      <c r="F1702">
        <f>MIN(E1702*170200,10000)</f>
        <v/>
      </c>
      <c r="G1702">
        <f>MINIFS(CBIC_Late_Fee_Relief_Windows_3B!$O$1702:$O$100,CBIC_Late_Fee_Relief_Windows_3B!$D$1702:$D$100,"&lt;="&amp;B1702,CBIC_Late_Fee_Relief_Windows_3B!$E$1702:$E$100,"&gt;="&amp;B1702,CBIC_Late_Fee_Relief_Windows_3B!$F$1702:$F$100,"&lt;="&amp;C1702,CBIC_Late_Fee_Relief_Windows_3B!$G$1702:$G$100,"&gt;="&amp;C1702)</f>
        <v/>
      </c>
      <c r="H1702">
        <f>INDEX(CBIC_Late_Fee_Relief_Windows_3B!$I$1702:$I$100,MATCH(G1702,CBIC_Late_Fee_Relief_Windows_3B!$O$1702:$O$100,0))</f>
        <v/>
      </c>
      <c r="I1702">
        <f>MIN(F1702,H1702)</f>
        <v/>
      </c>
    </row>
    <row r="1703">
      <c r="A1703">
        <f>TEST_DATA!A1703</f>
        <v/>
      </c>
      <c r="B1703">
        <f>TEST_DATA!B1703</f>
        <v/>
      </c>
      <c r="C1703">
        <f>TEST_DATA!C1703</f>
        <v/>
      </c>
      <c r="D1703">
        <f>TEST_DATA!D1703</f>
        <v/>
      </c>
      <c r="E1703">
        <f>TEST_DATA!E1703</f>
        <v/>
      </c>
      <c r="F1703">
        <f>MIN(E1703*170300,10000)</f>
        <v/>
      </c>
      <c r="G1703">
        <f>MINIFS(CBIC_Late_Fee_Relief_Windows_3B!$O$1703:$O$100,CBIC_Late_Fee_Relief_Windows_3B!$D$1703:$D$100,"&lt;="&amp;B1703,CBIC_Late_Fee_Relief_Windows_3B!$E$1703:$E$100,"&gt;="&amp;B1703,CBIC_Late_Fee_Relief_Windows_3B!$F$1703:$F$100,"&lt;="&amp;C1703,CBIC_Late_Fee_Relief_Windows_3B!$G$1703:$G$100,"&gt;="&amp;C1703)</f>
        <v/>
      </c>
      <c r="H1703">
        <f>INDEX(CBIC_Late_Fee_Relief_Windows_3B!$I$1703:$I$100,MATCH(G1703,CBIC_Late_Fee_Relief_Windows_3B!$O$1703:$O$100,0))</f>
        <v/>
      </c>
      <c r="I1703">
        <f>MIN(F1703,H1703)</f>
        <v/>
      </c>
    </row>
    <row r="1704">
      <c r="A1704">
        <f>TEST_DATA!A1704</f>
        <v/>
      </c>
      <c r="B1704">
        <f>TEST_DATA!B1704</f>
        <v/>
      </c>
      <c r="C1704">
        <f>TEST_DATA!C1704</f>
        <v/>
      </c>
      <c r="D1704">
        <f>TEST_DATA!D1704</f>
        <v/>
      </c>
      <c r="E1704">
        <f>TEST_DATA!E1704</f>
        <v/>
      </c>
      <c r="F1704">
        <f>MIN(E1704*170400,10000)</f>
        <v/>
      </c>
      <c r="G1704">
        <f>MINIFS(CBIC_Late_Fee_Relief_Windows_3B!$O$1704:$O$100,CBIC_Late_Fee_Relief_Windows_3B!$D$1704:$D$100,"&lt;="&amp;B1704,CBIC_Late_Fee_Relief_Windows_3B!$E$1704:$E$100,"&gt;="&amp;B1704,CBIC_Late_Fee_Relief_Windows_3B!$F$1704:$F$100,"&lt;="&amp;C1704,CBIC_Late_Fee_Relief_Windows_3B!$G$1704:$G$100,"&gt;="&amp;C1704)</f>
        <v/>
      </c>
      <c r="H1704">
        <f>INDEX(CBIC_Late_Fee_Relief_Windows_3B!$I$1704:$I$100,MATCH(G1704,CBIC_Late_Fee_Relief_Windows_3B!$O$1704:$O$100,0))</f>
        <v/>
      </c>
      <c r="I1704">
        <f>MIN(F1704,H1704)</f>
        <v/>
      </c>
    </row>
    <row r="1705">
      <c r="A1705">
        <f>TEST_DATA!A1705</f>
        <v/>
      </c>
      <c r="B1705">
        <f>TEST_DATA!B1705</f>
        <v/>
      </c>
      <c r="C1705">
        <f>TEST_DATA!C1705</f>
        <v/>
      </c>
      <c r="D1705">
        <f>TEST_DATA!D1705</f>
        <v/>
      </c>
      <c r="E1705">
        <f>TEST_DATA!E1705</f>
        <v/>
      </c>
      <c r="F1705">
        <f>MIN(E1705*170500,10000)</f>
        <v/>
      </c>
      <c r="G1705">
        <f>MINIFS(CBIC_Late_Fee_Relief_Windows_3B!$O$1705:$O$100,CBIC_Late_Fee_Relief_Windows_3B!$D$1705:$D$100,"&lt;="&amp;B1705,CBIC_Late_Fee_Relief_Windows_3B!$E$1705:$E$100,"&gt;="&amp;B1705,CBIC_Late_Fee_Relief_Windows_3B!$F$1705:$F$100,"&lt;="&amp;C1705,CBIC_Late_Fee_Relief_Windows_3B!$G$1705:$G$100,"&gt;="&amp;C1705)</f>
        <v/>
      </c>
      <c r="H1705">
        <f>INDEX(CBIC_Late_Fee_Relief_Windows_3B!$I$1705:$I$100,MATCH(G1705,CBIC_Late_Fee_Relief_Windows_3B!$O$1705:$O$100,0))</f>
        <v/>
      </c>
      <c r="I1705">
        <f>MIN(F1705,H1705)</f>
        <v/>
      </c>
    </row>
    <row r="1706">
      <c r="A1706">
        <f>TEST_DATA!A1706</f>
        <v/>
      </c>
      <c r="B1706">
        <f>TEST_DATA!B1706</f>
        <v/>
      </c>
      <c r="C1706">
        <f>TEST_DATA!C1706</f>
        <v/>
      </c>
      <c r="D1706">
        <f>TEST_DATA!D1706</f>
        <v/>
      </c>
      <c r="E1706">
        <f>TEST_DATA!E1706</f>
        <v/>
      </c>
      <c r="F1706">
        <f>MIN(E1706*170600,10000)</f>
        <v/>
      </c>
      <c r="G1706">
        <f>MINIFS(CBIC_Late_Fee_Relief_Windows_3B!$O$1706:$O$100,CBIC_Late_Fee_Relief_Windows_3B!$D$1706:$D$100,"&lt;="&amp;B1706,CBIC_Late_Fee_Relief_Windows_3B!$E$1706:$E$100,"&gt;="&amp;B1706,CBIC_Late_Fee_Relief_Windows_3B!$F$1706:$F$100,"&lt;="&amp;C1706,CBIC_Late_Fee_Relief_Windows_3B!$G$1706:$G$100,"&gt;="&amp;C1706)</f>
        <v/>
      </c>
      <c r="H1706">
        <f>INDEX(CBIC_Late_Fee_Relief_Windows_3B!$I$1706:$I$100,MATCH(G1706,CBIC_Late_Fee_Relief_Windows_3B!$O$1706:$O$100,0))</f>
        <v/>
      </c>
      <c r="I1706">
        <f>MIN(F1706,H1706)</f>
        <v/>
      </c>
    </row>
    <row r="1707">
      <c r="A1707">
        <f>TEST_DATA!A1707</f>
        <v/>
      </c>
      <c r="B1707">
        <f>TEST_DATA!B1707</f>
        <v/>
      </c>
      <c r="C1707">
        <f>TEST_DATA!C1707</f>
        <v/>
      </c>
      <c r="D1707">
        <f>TEST_DATA!D1707</f>
        <v/>
      </c>
      <c r="E1707">
        <f>TEST_DATA!E1707</f>
        <v/>
      </c>
      <c r="F1707">
        <f>MIN(E1707*170700,10000)</f>
        <v/>
      </c>
      <c r="G1707">
        <f>MINIFS(CBIC_Late_Fee_Relief_Windows_3B!$O$1707:$O$100,CBIC_Late_Fee_Relief_Windows_3B!$D$1707:$D$100,"&lt;="&amp;B1707,CBIC_Late_Fee_Relief_Windows_3B!$E$1707:$E$100,"&gt;="&amp;B1707,CBIC_Late_Fee_Relief_Windows_3B!$F$1707:$F$100,"&lt;="&amp;C1707,CBIC_Late_Fee_Relief_Windows_3B!$G$1707:$G$100,"&gt;="&amp;C1707)</f>
        <v/>
      </c>
      <c r="H1707">
        <f>INDEX(CBIC_Late_Fee_Relief_Windows_3B!$I$1707:$I$100,MATCH(G1707,CBIC_Late_Fee_Relief_Windows_3B!$O$1707:$O$100,0))</f>
        <v/>
      </c>
      <c r="I1707">
        <f>MIN(F1707,H1707)</f>
        <v/>
      </c>
    </row>
    <row r="1708">
      <c r="A1708">
        <f>TEST_DATA!A1708</f>
        <v/>
      </c>
      <c r="B1708">
        <f>TEST_DATA!B1708</f>
        <v/>
      </c>
      <c r="C1708">
        <f>TEST_DATA!C1708</f>
        <v/>
      </c>
      <c r="D1708">
        <f>TEST_DATA!D1708</f>
        <v/>
      </c>
      <c r="E1708">
        <f>TEST_DATA!E1708</f>
        <v/>
      </c>
      <c r="F1708">
        <f>MIN(E1708*170800,10000)</f>
        <v/>
      </c>
      <c r="G1708">
        <f>MINIFS(CBIC_Late_Fee_Relief_Windows_3B!$O$1708:$O$100,CBIC_Late_Fee_Relief_Windows_3B!$D$1708:$D$100,"&lt;="&amp;B1708,CBIC_Late_Fee_Relief_Windows_3B!$E$1708:$E$100,"&gt;="&amp;B1708,CBIC_Late_Fee_Relief_Windows_3B!$F$1708:$F$100,"&lt;="&amp;C1708,CBIC_Late_Fee_Relief_Windows_3B!$G$1708:$G$100,"&gt;="&amp;C1708)</f>
        <v/>
      </c>
      <c r="H1708">
        <f>INDEX(CBIC_Late_Fee_Relief_Windows_3B!$I$1708:$I$100,MATCH(G1708,CBIC_Late_Fee_Relief_Windows_3B!$O$1708:$O$100,0))</f>
        <v/>
      </c>
      <c r="I1708">
        <f>MIN(F1708,H1708)</f>
        <v/>
      </c>
    </row>
    <row r="1709">
      <c r="A1709">
        <f>TEST_DATA!A1709</f>
        <v/>
      </c>
      <c r="B1709">
        <f>TEST_DATA!B1709</f>
        <v/>
      </c>
      <c r="C1709">
        <f>TEST_DATA!C1709</f>
        <v/>
      </c>
      <c r="D1709">
        <f>TEST_DATA!D1709</f>
        <v/>
      </c>
      <c r="E1709">
        <f>TEST_DATA!E1709</f>
        <v/>
      </c>
      <c r="F1709">
        <f>MIN(E1709*170900,10000)</f>
        <v/>
      </c>
      <c r="G1709">
        <f>MINIFS(CBIC_Late_Fee_Relief_Windows_3B!$O$1709:$O$100,CBIC_Late_Fee_Relief_Windows_3B!$D$1709:$D$100,"&lt;="&amp;B1709,CBIC_Late_Fee_Relief_Windows_3B!$E$1709:$E$100,"&gt;="&amp;B1709,CBIC_Late_Fee_Relief_Windows_3B!$F$1709:$F$100,"&lt;="&amp;C1709,CBIC_Late_Fee_Relief_Windows_3B!$G$1709:$G$100,"&gt;="&amp;C1709)</f>
        <v/>
      </c>
      <c r="H1709">
        <f>INDEX(CBIC_Late_Fee_Relief_Windows_3B!$I$1709:$I$100,MATCH(G1709,CBIC_Late_Fee_Relief_Windows_3B!$O$1709:$O$100,0))</f>
        <v/>
      </c>
      <c r="I1709">
        <f>MIN(F1709,H1709)</f>
        <v/>
      </c>
    </row>
    <row r="1710">
      <c r="A1710">
        <f>TEST_DATA!A1710</f>
        <v/>
      </c>
      <c r="B1710">
        <f>TEST_DATA!B1710</f>
        <v/>
      </c>
      <c r="C1710">
        <f>TEST_DATA!C1710</f>
        <v/>
      </c>
      <c r="D1710">
        <f>TEST_DATA!D1710</f>
        <v/>
      </c>
      <c r="E1710">
        <f>TEST_DATA!E1710</f>
        <v/>
      </c>
      <c r="F1710">
        <f>MIN(E1710*171000,10000)</f>
        <v/>
      </c>
      <c r="G1710">
        <f>MINIFS(CBIC_Late_Fee_Relief_Windows_3B!$O$1710:$O$100,CBIC_Late_Fee_Relief_Windows_3B!$D$1710:$D$100,"&lt;="&amp;B1710,CBIC_Late_Fee_Relief_Windows_3B!$E$1710:$E$100,"&gt;="&amp;B1710,CBIC_Late_Fee_Relief_Windows_3B!$F$1710:$F$100,"&lt;="&amp;C1710,CBIC_Late_Fee_Relief_Windows_3B!$G$1710:$G$100,"&gt;="&amp;C1710)</f>
        <v/>
      </c>
      <c r="H1710">
        <f>INDEX(CBIC_Late_Fee_Relief_Windows_3B!$I$1710:$I$100,MATCH(G1710,CBIC_Late_Fee_Relief_Windows_3B!$O$1710:$O$100,0))</f>
        <v/>
      </c>
      <c r="I1710">
        <f>MIN(F1710,H1710)</f>
        <v/>
      </c>
    </row>
    <row r="1711">
      <c r="A1711">
        <f>TEST_DATA!A1711</f>
        <v/>
      </c>
      <c r="B1711">
        <f>TEST_DATA!B1711</f>
        <v/>
      </c>
      <c r="C1711">
        <f>TEST_DATA!C1711</f>
        <v/>
      </c>
      <c r="D1711">
        <f>TEST_DATA!D1711</f>
        <v/>
      </c>
      <c r="E1711">
        <f>TEST_DATA!E1711</f>
        <v/>
      </c>
      <c r="F1711">
        <f>MIN(E1711*171100,10000)</f>
        <v/>
      </c>
      <c r="G1711">
        <f>MINIFS(CBIC_Late_Fee_Relief_Windows_3B!$O$1711:$O$100,CBIC_Late_Fee_Relief_Windows_3B!$D$1711:$D$100,"&lt;="&amp;B1711,CBIC_Late_Fee_Relief_Windows_3B!$E$1711:$E$100,"&gt;="&amp;B1711,CBIC_Late_Fee_Relief_Windows_3B!$F$1711:$F$100,"&lt;="&amp;C1711,CBIC_Late_Fee_Relief_Windows_3B!$G$1711:$G$100,"&gt;="&amp;C1711)</f>
        <v/>
      </c>
      <c r="H1711">
        <f>INDEX(CBIC_Late_Fee_Relief_Windows_3B!$I$1711:$I$100,MATCH(G1711,CBIC_Late_Fee_Relief_Windows_3B!$O$1711:$O$100,0))</f>
        <v/>
      </c>
      <c r="I1711">
        <f>MIN(F1711,H1711)</f>
        <v/>
      </c>
    </row>
    <row r="1712">
      <c r="A1712">
        <f>TEST_DATA!A1712</f>
        <v/>
      </c>
      <c r="B1712">
        <f>TEST_DATA!B1712</f>
        <v/>
      </c>
      <c r="C1712">
        <f>TEST_DATA!C1712</f>
        <v/>
      </c>
      <c r="D1712">
        <f>TEST_DATA!D1712</f>
        <v/>
      </c>
      <c r="E1712">
        <f>TEST_DATA!E1712</f>
        <v/>
      </c>
      <c r="F1712">
        <f>MIN(E1712*171200,10000)</f>
        <v/>
      </c>
      <c r="G1712">
        <f>MINIFS(CBIC_Late_Fee_Relief_Windows_3B!$O$1712:$O$100,CBIC_Late_Fee_Relief_Windows_3B!$D$1712:$D$100,"&lt;="&amp;B1712,CBIC_Late_Fee_Relief_Windows_3B!$E$1712:$E$100,"&gt;="&amp;B1712,CBIC_Late_Fee_Relief_Windows_3B!$F$1712:$F$100,"&lt;="&amp;C1712,CBIC_Late_Fee_Relief_Windows_3B!$G$1712:$G$100,"&gt;="&amp;C1712)</f>
        <v/>
      </c>
      <c r="H1712">
        <f>INDEX(CBIC_Late_Fee_Relief_Windows_3B!$I$1712:$I$100,MATCH(G1712,CBIC_Late_Fee_Relief_Windows_3B!$O$1712:$O$100,0))</f>
        <v/>
      </c>
      <c r="I1712">
        <f>MIN(F1712,H1712)</f>
        <v/>
      </c>
    </row>
    <row r="1713">
      <c r="A1713">
        <f>TEST_DATA!A1713</f>
        <v/>
      </c>
      <c r="B1713">
        <f>TEST_DATA!B1713</f>
        <v/>
      </c>
      <c r="C1713">
        <f>TEST_DATA!C1713</f>
        <v/>
      </c>
      <c r="D1713">
        <f>TEST_DATA!D1713</f>
        <v/>
      </c>
      <c r="E1713">
        <f>TEST_DATA!E1713</f>
        <v/>
      </c>
      <c r="F1713">
        <f>MIN(E1713*171300,10000)</f>
        <v/>
      </c>
      <c r="G1713">
        <f>MINIFS(CBIC_Late_Fee_Relief_Windows_3B!$O$1713:$O$100,CBIC_Late_Fee_Relief_Windows_3B!$D$1713:$D$100,"&lt;="&amp;B1713,CBIC_Late_Fee_Relief_Windows_3B!$E$1713:$E$100,"&gt;="&amp;B1713,CBIC_Late_Fee_Relief_Windows_3B!$F$1713:$F$100,"&lt;="&amp;C1713,CBIC_Late_Fee_Relief_Windows_3B!$G$1713:$G$100,"&gt;="&amp;C1713)</f>
        <v/>
      </c>
      <c r="H1713">
        <f>INDEX(CBIC_Late_Fee_Relief_Windows_3B!$I$1713:$I$100,MATCH(G1713,CBIC_Late_Fee_Relief_Windows_3B!$O$1713:$O$100,0))</f>
        <v/>
      </c>
      <c r="I1713">
        <f>MIN(F1713,H1713)</f>
        <v/>
      </c>
    </row>
    <row r="1714">
      <c r="A1714">
        <f>TEST_DATA!A1714</f>
        <v/>
      </c>
      <c r="B1714">
        <f>TEST_DATA!B1714</f>
        <v/>
      </c>
      <c r="C1714">
        <f>TEST_DATA!C1714</f>
        <v/>
      </c>
      <c r="D1714">
        <f>TEST_DATA!D1714</f>
        <v/>
      </c>
      <c r="E1714">
        <f>TEST_DATA!E1714</f>
        <v/>
      </c>
      <c r="F1714">
        <f>MIN(E1714*171400,10000)</f>
        <v/>
      </c>
      <c r="G1714">
        <f>MINIFS(CBIC_Late_Fee_Relief_Windows_3B!$O$1714:$O$100,CBIC_Late_Fee_Relief_Windows_3B!$D$1714:$D$100,"&lt;="&amp;B1714,CBIC_Late_Fee_Relief_Windows_3B!$E$1714:$E$100,"&gt;="&amp;B1714,CBIC_Late_Fee_Relief_Windows_3B!$F$1714:$F$100,"&lt;="&amp;C1714,CBIC_Late_Fee_Relief_Windows_3B!$G$1714:$G$100,"&gt;="&amp;C1714)</f>
        <v/>
      </c>
      <c r="H1714">
        <f>INDEX(CBIC_Late_Fee_Relief_Windows_3B!$I$1714:$I$100,MATCH(G1714,CBIC_Late_Fee_Relief_Windows_3B!$O$1714:$O$100,0))</f>
        <v/>
      </c>
      <c r="I1714">
        <f>MIN(F1714,H1714)</f>
        <v/>
      </c>
    </row>
    <row r="1715">
      <c r="A1715">
        <f>TEST_DATA!A1715</f>
        <v/>
      </c>
      <c r="B1715">
        <f>TEST_DATA!B1715</f>
        <v/>
      </c>
      <c r="C1715">
        <f>TEST_DATA!C1715</f>
        <v/>
      </c>
      <c r="D1715">
        <f>TEST_DATA!D1715</f>
        <v/>
      </c>
      <c r="E1715">
        <f>TEST_DATA!E1715</f>
        <v/>
      </c>
      <c r="F1715">
        <f>MIN(E1715*171500,10000)</f>
        <v/>
      </c>
      <c r="G1715">
        <f>MINIFS(CBIC_Late_Fee_Relief_Windows_3B!$O$1715:$O$100,CBIC_Late_Fee_Relief_Windows_3B!$D$1715:$D$100,"&lt;="&amp;B1715,CBIC_Late_Fee_Relief_Windows_3B!$E$1715:$E$100,"&gt;="&amp;B1715,CBIC_Late_Fee_Relief_Windows_3B!$F$1715:$F$100,"&lt;="&amp;C1715,CBIC_Late_Fee_Relief_Windows_3B!$G$1715:$G$100,"&gt;="&amp;C1715)</f>
        <v/>
      </c>
      <c r="H1715">
        <f>INDEX(CBIC_Late_Fee_Relief_Windows_3B!$I$1715:$I$100,MATCH(G1715,CBIC_Late_Fee_Relief_Windows_3B!$O$1715:$O$100,0))</f>
        <v/>
      </c>
      <c r="I1715">
        <f>MIN(F1715,H1715)</f>
        <v/>
      </c>
    </row>
    <row r="1716">
      <c r="A1716">
        <f>TEST_DATA!A1716</f>
        <v/>
      </c>
      <c r="B1716">
        <f>TEST_DATA!B1716</f>
        <v/>
      </c>
      <c r="C1716">
        <f>TEST_DATA!C1716</f>
        <v/>
      </c>
      <c r="D1716">
        <f>TEST_DATA!D1716</f>
        <v/>
      </c>
      <c r="E1716">
        <f>TEST_DATA!E1716</f>
        <v/>
      </c>
      <c r="F1716">
        <f>MIN(E1716*171600,10000)</f>
        <v/>
      </c>
      <c r="G1716">
        <f>MINIFS(CBIC_Late_Fee_Relief_Windows_3B!$O$1716:$O$100,CBIC_Late_Fee_Relief_Windows_3B!$D$1716:$D$100,"&lt;="&amp;B1716,CBIC_Late_Fee_Relief_Windows_3B!$E$1716:$E$100,"&gt;="&amp;B1716,CBIC_Late_Fee_Relief_Windows_3B!$F$1716:$F$100,"&lt;="&amp;C1716,CBIC_Late_Fee_Relief_Windows_3B!$G$1716:$G$100,"&gt;="&amp;C1716)</f>
        <v/>
      </c>
      <c r="H1716">
        <f>INDEX(CBIC_Late_Fee_Relief_Windows_3B!$I$1716:$I$100,MATCH(G1716,CBIC_Late_Fee_Relief_Windows_3B!$O$1716:$O$100,0))</f>
        <v/>
      </c>
      <c r="I1716">
        <f>MIN(F1716,H1716)</f>
        <v/>
      </c>
    </row>
    <row r="1717">
      <c r="A1717">
        <f>TEST_DATA!A1717</f>
        <v/>
      </c>
      <c r="B1717">
        <f>TEST_DATA!B1717</f>
        <v/>
      </c>
      <c r="C1717">
        <f>TEST_DATA!C1717</f>
        <v/>
      </c>
      <c r="D1717">
        <f>TEST_DATA!D1717</f>
        <v/>
      </c>
      <c r="E1717">
        <f>TEST_DATA!E1717</f>
        <v/>
      </c>
      <c r="F1717">
        <f>MIN(E1717*171700,10000)</f>
        <v/>
      </c>
      <c r="G1717">
        <f>MINIFS(CBIC_Late_Fee_Relief_Windows_3B!$O$1717:$O$100,CBIC_Late_Fee_Relief_Windows_3B!$D$1717:$D$100,"&lt;="&amp;B1717,CBIC_Late_Fee_Relief_Windows_3B!$E$1717:$E$100,"&gt;="&amp;B1717,CBIC_Late_Fee_Relief_Windows_3B!$F$1717:$F$100,"&lt;="&amp;C1717,CBIC_Late_Fee_Relief_Windows_3B!$G$1717:$G$100,"&gt;="&amp;C1717)</f>
        <v/>
      </c>
      <c r="H1717">
        <f>INDEX(CBIC_Late_Fee_Relief_Windows_3B!$I$1717:$I$100,MATCH(G1717,CBIC_Late_Fee_Relief_Windows_3B!$O$1717:$O$100,0))</f>
        <v/>
      </c>
      <c r="I1717">
        <f>MIN(F1717,H1717)</f>
        <v/>
      </c>
    </row>
    <row r="1718">
      <c r="A1718">
        <f>TEST_DATA!A1718</f>
        <v/>
      </c>
      <c r="B1718">
        <f>TEST_DATA!B1718</f>
        <v/>
      </c>
      <c r="C1718">
        <f>TEST_DATA!C1718</f>
        <v/>
      </c>
      <c r="D1718">
        <f>TEST_DATA!D1718</f>
        <v/>
      </c>
      <c r="E1718">
        <f>TEST_DATA!E1718</f>
        <v/>
      </c>
      <c r="F1718">
        <f>MIN(E1718*171800,10000)</f>
        <v/>
      </c>
      <c r="G1718">
        <f>MINIFS(CBIC_Late_Fee_Relief_Windows_3B!$O$1718:$O$100,CBIC_Late_Fee_Relief_Windows_3B!$D$1718:$D$100,"&lt;="&amp;B1718,CBIC_Late_Fee_Relief_Windows_3B!$E$1718:$E$100,"&gt;="&amp;B1718,CBIC_Late_Fee_Relief_Windows_3B!$F$1718:$F$100,"&lt;="&amp;C1718,CBIC_Late_Fee_Relief_Windows_3B!$G$1718:$G$100,"&gt;="&amp;C1718)</f>
        <v/>
      </c>
      <c r="H1718">
        <f>INDEX(CBIC_Late_Fee_Relief_Windows_3B!$I$1718:$I$100,MATCH(G1718,CBIC_Late_Fee_Relief_Windows_3B!$O$1718:$O$100,0))</f>
        <v/>
      </c>
      <c r="I1718">
        <f>MIN(F1718,H1718)</f>
        <v/>
      </c>
    </row>
    <row r="1719">
      <c r="A1719">
        <f>TEST_DATA!A1719</f>
        <v/>
      </c>
      <c r="B1719">
        <f>TEST_DATA!B1719</f>
        <v/>
      </c>
      <c r="C1719">
        <f>TEST_DATA!C1719</f>
        <v/>
      </c>
      <c r="D1719">
        <f>TEST_DATA!D1719</f>
        <v/>
      </c>
      <c r="E1719">
        <f>TEST_DATA!E1719</f>
        <v/>
      </c>
      <c r="F1719">
        <f>MIN(E1719*171900,10000)</f>
        <v/>
      </c>
      <c r="G1719">
        <f>MINIFS(CBIC_Late_Fee_Relief_Windows_3B!$O$1719:$O$100,CBIC_Late_Fee_Relief_Windows_3B!$D$1719:$D$100,"&lt;="&amp;B1719,CBIC_Late_Fee_Relief_Windows_3B!$E$1719:$E$100,"&gt;="&amp;B1719,CBIC_Late_Fee_Relief_Windows_3B!$F$1719:$F$100,"&lt;="&amp;C1719,CBIC_Late_Fee_Relief_Windows_3B!$G$1719:$G$100,"&gt;="&amp;C1719)</f>
        <v/>
      </c>
      <c r="H1719">
        <f>INDEX(CBIC_Late_Fee_Relief_Windows_3B!$I$1719:$I$100,MATCH(G1719,CBIC_Late_Fee_Relief_Windows_3B!$O$1719:$O$100,0))</f>
        <v/>
      </c>
      <c r="I1719">
        <f>MIN(F1719,H1719)</f>
        <v/>
      </c>
    </row>
    <row r="1720">
      <c r="A1720">
        <f>TEST_DATA!A1720</f>
        <v/>
      </c>
      <c r="B1720">
        <f>TEST_DATA!B1720</f>
        <v/>
      </c>
      <c r="C1720">
        <f>TEST_DATA!C1720</f>
        <v/>
      </c>
      <c r="D1720">
        <f>TEST_DATA!D1720</f>
        <v/>
      </c>
      <c r="E1720">
        <f>TEST_DATA!E1720</f>
        <v/>
      </c>
      <c r="F1720">
        <f>MIN(E1720*172000,10000)</f>
        <v/>
      </c>
      <c r="G1720">
        <f>MINIFS(CBIC_Late_Fee_Relief_Windows_3B!$O$1720:$O$100,CBIC_Late_Fee_Relief_Windows_3B!$D$1720:$D$100,"&lt;="&amp;B1720,CBIC_Late_Fee_Relief_Windows_3B!$E$1720:$E$100,"&gt;="&amp;B1720,CBIC_Late_Fee_Relief_Windows_3B!$F$1720:$F$100,"&lt;="&amp;C1720,CBIC_Late_Fee_Relief_Windows_3B!$G$1720:$G$100,"&gt;="&amp;C1720)</f>
        <v/>
      </c>
      <c r="H1720">
        <f>INDEX(CBIC_Late_Fee_Relief_Windows_3B!$I$1720:$I$100,MATCH(G1720,CBIC_Late_Fee_Relief_Windows_3B!$O$1720:$O$100,0))</f>
        <v/>
      </c>
      <c r="I1720">
        <f>MIN(F1720,H1720)</f>
        <v/>
      </c>
    </row>
    <row r="1721">
      <c r="A1721">
        <f>TEST_DATA!A1721</f>
        <v/>
      </c>
      <c r="B1721">
        <f>TEST_DATA!B1721</f>
        <v/>
      </c>
      <c r="C1721">
        <f>TEST_DATA!C1721</f>
        <v/>
      </c>
      <c r="D1721">
        <f>TEST_DATA!D1721</f>
        <v/>
      </c>
      <c r="E1721">
        <f>TEST_DATA!E1721</f>
        <v/>
      </c>
      <c r="F1721">
        <f>MIN(E1721*172100,10000)</f>
        <v/>
      </c>
      <c r="G1721">
        <f>MINIFS(CBIC_Late_Fee_Relief_Windows_3B!$O$1721:$O$100,CBIC_Late_Fee_Relief_Windows_3B!$D$1721:$D$100,"&lt;="&amp;B1721,CBIC_Late_Fee_Relief_Windows_3B!$E$1721:$E$100,"&gt;="&amp;B1721,CBIC_Late_Fee_Relief_Windows_3B!$F$1721:$F$100,"&lt;="&amp;C1721,CBIC_Late_Fee_Relief_Windows_3B!$G$1721:$G$100,"&gt;="&amp;C1721)</f>
        <v/>
      </c>
      <c r="H1721">
        <f>INDEX(CBIC_Late_Fee_Relief_Windows_3B!$I$1721:$I$100,MATCH(G1721,CBIC_Late_Fee_Relief_Windows_3B!$O$1721:$O$100,0))</f>
        <v/>
      </c>
      <c r="I1721">
        <f>MIN(F1721,H1721)</f>
        <v/>
      </c>
    </row>
    <row r="1722">
      <c r="A1722">
        <f>TEST_DATA!A1722</f>
        <v/>
      </c>
      <c r="B1722">
        <f>TEST_DATA!B1722</f>
        <v/>
      </c>
      <c r="C1722">
        <f>TEST_DATA!C1722</f>
        <v/>
      </c>
      <c r="D1722">
        <f>TEST_DATA!D1722</f>
        <v/>
      </c>
      <c r="E1722">
        <f>TEST_DATA!E1722</f>
        <v/>
      </c>
      <c r="F1722">
        <f>MIN(E1722*172200,10000)</f>
        <v/>
      </c>
      <c r="G1722">
        <f>MINIFS(CBIC_Late_Fee_Relief_Windows_3B!$O$1722:$O$100,CBIC_Late_Fee_Relief_Windows_3B!$D$1722:$D$100,"&lt;="&amp;B1722,CBIC_Late_Fee_Relief_Windows_3B!$E$1722:$E$100,"&gt;="&amp;B1722,CBIC_Late_Fee_Relief_Windows_3B!$F$1722:$F$100,"&lt;="&amp;C1722,CBIC_Late_Fee_Relief_Windows_3B!$G$1722:$G$100,"&gt;="&amp;C1722)</f>
        <v/>
      </c>
      <c r="H1722">
        <f>INDEX(CBIC_Late_Fee_Relief_Windows_3B!$I$1722:$I$100,MATCH(G1722,CBIC_Late_Fee_Relief_Windows_3B!$O$1722:$O$100,0))</f>
        <v/>
      </c>
      <c r="I1722">
        <f>MIN(F1722,H1722)</f>
        <v/>
      </c>
    </row>
    <row r="1723">
      <c r="A1723">
        <f>TEST_DATA!A1723</f>
        <v/>
      </c>
      <c r="B1723">
        <f>TEST_DATA!B1723</f>
        <v/>
      </c>
      <c r="C1723">
        <f>TEST_DATA!C1723</f>
        <v/>
      </c>
      <c r="D1723">
        <f>TEST_DATA!D1723</f>
        <v/>
      </c>
      <c r="E1723">
        <f>TEST_DATA!E1723</f>
        <v/>
      </c>
      <c r="F1723">
        <f>MIN(E1723*172300,10000)</f>
        <v/>
      </c>
      <c r="G1723">
        <f>MINIFS(CBIC_Late_Fee_Relief_Windows_3B!$O$1723:$O$100,CBIC_Late_Fee_Relief_Windows_3B!$D$1723:$D$100,"&lt;="&amp;B1723,CBIC_Late_Fee_Relief_Windows_3B!$E$1723:$E$100,"&gt;="&amp;B1723,CBIC_Late_Fee_Relief_Windows_3B!$F$1723:$F$100,"&lt;="&amp;C1723,CBIC_Late_Fee_Relief_Windows_3B!$G$1723:$G$100,"&gt;="&amp;C1723)</f>
        <v/>
      </c>
      <c r="H1723">
        <f>INDEX(CBIC_Late_Fee_Relief_Windows_3B!$I$1723:$I$100,MATCH(G1723,CBIC_Late_Fee_Relief_Windows_3B!$O$1723:$O$100,0))</f>
        <v/>
      </c>
      <c r="I1723">
        <f>MIN(F1723,H1723)</f>
        <v/>
      </c>
    </row>
    <row r="1724">
      <c r="A1724">
        <f>TEST_DATA!A1724</f>
        <v/>
      </c>
      <c r="B1724">
        <f>TEST_DATA!B1724</f>
        <v/>
      </c>
      <c r="C1724">
        <f>TEST_DATA!C1724</f>
        <v/>
      </c>
      <c r="D1724">
        <f>TEST_DATA!D1724</f>
        <v/>
      </c>
      <c r="E1724">
        <f>TEST_DATA!E1724</f>
        <v/>
      </c>
      <c r="F1724">
        <f>MIN(E1724*172400,10000)</f>
        <v/>
      </c>
      <c r="G1724">
        <f>MINIFS(CBIC_Late_Fee_Relief_Windows_3B!$O$1724:$O$100,CBIC_Late_Fee_Relief_Windows_3B!$D$1724:$D$100,"&lt;="&amp;B1724,CBIC_Late_Fee_Relief_Windows_3B!$E$1724:$E$100,"&gt;="&amp;B1724,CBIC_Late_Fee_Relief_Windows_3B!$F$1724:$F$100,"&lt;="&amp;C1724,CBIC_Late_Fee_Relief_Windows_3B!$G$1724:$G$100,"&gt;="&amp;C1724)</f>
        <v/>
      </c>
      <c r="H1724">
        <f>INDEX(CBIC_Late_Fee_Relief_Windows_3B!$I$1724:$I$100,MATCH(G1724,CBIC_Late_Fee_Relief_Windows_3B!$O$1724:$O$100,0))</f>
        <v/>
      </c>
      <c r="I1724">
        <f>MIN(F1724,H1724)</f>
        <v/>
      </c>
    </row>
    <row r="1725">
      <c r="A1725">
        <f>TEST_DATA!A1725</f>
        <v/>
      </c>
      <c r="B1725">
        <f>TEST_DATA!B1725</f>
        <v/>
      </c>
      <c r="C1725">
        <f>TEST_DATA!C1725</f>
        <v/>
      </c>
      <c r="D1725">
        <f>TEST_DATA!D1725</f>
        <v/>
      </c>
      <c r="E1725">
        <f>TEST_DATA!E1725</f>
        <v/>
      </c>
      <c r="F1725">
        <f>MIN(E1725*172500,10000)</f>
        <v/>
      </c>
      <c r="G1725">
        <f>MINIFS(CBIC_Late_Fee_Relief_Windows_3B!$O$1725:$O$100,CBIC_Late_Fee_Relief_Windows_3B!$D$1725:$D$100,"&lt;="&amp;B1725,CBIC_Late_Fee_Relief_Windows_3B!$E$1725:$E$100,"&gt;="&amp;B1725,CBIC_Late_Fee_Relief_Windows_3B!$F$1725:$F$100,"&lt;="&amp;C1725,CBIC_Late_Fee_Relief_Windows_3B!$G$1725:$G$100,"&gt;="&amp;C1725)</f>
        <v/>
      </c>
      <c r="H1725">
        <f>INDEX(CBIC_Late_Fee_Relief_Windows_3B!$I$1725:$I$100,MATCH(G1725,CBIC_Late_Fee_Relief_Windows_3B!$O$1725:$O$100,0))</f>
        <v/>
      </c>
      <c r="I1725">
        <f>MIN(F1725,H1725)</f>
        <v/>
      </c>
    </row>
    <row r="1726">
      <c r="A1726">
        <f>TEST_DATA!A1726</f>
        <v/>
      </c>
      <c r="B1726">
        <f>TEST_DATA!B1726</f>
        <v/>
      </c>
      <c r="C1726">
        <f>TEST_DATA!C1726</f>
        <v/>
      </c>
      <c r="D1726">
        <f>TEST_DATA!D1726</f>
        <v/>
      </c>
      <c r="E1726">
        <f>TEST_DATA!E1726</f>
        <v/>
      </c>
      <c r="F1726">
        <f>MIN(E1726*172600,10000)</f>
        <v/>
      </c>
      <c r="G1726">
        <f>MINIFS(CBIC_Late_Fee_Relief_Windows_3B!$O$1726:$O$100,CBIC_Late_Fee_Relief_Windows_3B!$D$1726:$D$100,"&lt;="&amp;B1726,CBIC_Late_Fee_Relief_Windows_3B!$E$1726:$E$100,"&gt;="&amp;B1726,CBIC_Late_Fee_Relief_Windows_3B!$F$1726:$F$100,"&lt;="&amp;C1726,CBIC_Late_Fee_Relief_Windows_3B!$G$1726:$G$100,"&gt;="&amp;C1726)</f>
        <v/>
      </c>
      <c r="H1726">
        <f>INDEX(CBIC_Late_Fee_Relief_Windows_3B!$I$1726:$I$100,MATCH(G1726,CBIC_Late_Fee_Relief_Windows_3B!$O$1726:$O$100,0))</f>
        <v/>
      </c>
      <c r="I1726">
        <f>MIN(F1726,H1726)</f>
        <v/>
      </c>
    </row>
    <row r="1727">
      <c r="A1727">
        <f>TEST_DATA!A1727</f>
        <v/>
      </c>
      <c r="B1727">
        <f>TEST_DATA!B1727</f>
        <v/>
      </c>
      <c r="C1727">
        <f>TEST_DATA!C1727</f>
        <v/>
      </c>
      <c r="D1727">
        <f>TEST_DATA!D1727</f>
        <v/>
      </c>
      <c r="E1727">
        <f>TEST_DATA!E1727</f>
        <v/>
      </c>
      <c r="F1727">
        <f>MIN(E1727*172700,10000)</f>
        <v/>
      </c>
      <c r="G1727">
        <f>MINIFS(CBIC_Late_Fee_Relief_Windows_3B!$O$1727:$O$100,CBIC_Late_Fee_Relief_Windows_3B!$D$1727:$D$100,"&lt;="&amp;B1727,CBIC_Late_Fee_Relief_Windows_3B!$E$1727:$E$100,"&gt;="&amp;B1727,CBIC_Late_Fee_Relief_Windows_3B!$F$1727:$F$100,"&lt;="&amp;C1727,CBIC_Late_Fee_Relief_Windows_3B!$G$1727:$G$100,"&gt;="&amp;C1727)</f>
        <v/>
      </c>
      <c r="H1727">
        <f>INDEX(CBIC_Late_Fee_Relief_Windows_3B!$I$1727:$I$100,MATCH(G1727,CBIC_Late_Fee_Relief_Windows_3B!$O$1727:$O$100,0))</f>
        <v/>
      </c>
      <c r="I1727">
        <f>MIN(F1727,H1727)</f>
        <v/>
      </c>
    </row>
    <row r="1728">
      <c r="A1728">
        <f>TEST_DATA!A1728</f>
        <v/>
      </c>
      <c r="B1728">
        <f>TEST_DATA!B1728</f>
        <v/>
      </c>
      <c r="C1728">
        <f>TEST_DATA!C1728</f>
        <v/>
      </c>
      <c r="D1728">
        <f>TEST_DATA!D1728</f>
        <v/>
      </c>
      <c r="E1728">
        <f>TEST_DATA!E1728</f>
        <v/>
      </c>
      <c r="F1728">
        <f>MIN(E1728*172800,10000)</f>
        <v/>
      </c>
      <c r="G1728">
        <f>MINIFS(CBIC_Late_Fee_Relief_Windows_3B!$O$1728:$O$100,CBIC_Late_Fee_Relief_Windows_3B!$D$1728:$D$100,"&lt;="&amp;B1728,CBIC_Late_Fee_Relief_Windows_3B!$E$1728:$E$100,"&gt;="&amp;B1728,CBIC_Late_Fee_Relief_Windows_3B!$F$1728:$F$100,"&lt;="&amp;C1728,CBIC_Late_Fee_Relief_Windows_3B!$G$1728:$G$100,"&gt;="&amp;C1728)</f>
        <v/>
      </c>
      <c r="H1728">
        <f>INDEX(CBIC_Late_Fee_Relief_Windows_3B!$I$1728:$I$100,MATCH(G1728,CBIC_Late_Fee_Relief_Windows_3B!$O$1728:$O$100,0))</f>
        <v/>
      </c>
      <c r="I1728">
        <f>MIN(F1728,H1728)</f>
        <v/>
      </c>
    </row>
    <row r="1729">
      <c r="A1729">
        <f>TEST_DATA!A1729</f>
        <v/>
      </c>
      <c r="B1729">
        <f>TEST_DATA!B1729</f>
        <v/>
      </c>
      <c r="C1729">
        <f>TEST_DATA!C1729</f>
        <v/>
      </c>
      <c r="D1729">
        <f>TEST_DATA!D1729</f>
        <v/>
      </c>
      <c r="E1729">
        <f>TEST_DATA!E1729</f>
        <v/>
      </c>
      <c r="F1729">
        <f>MIN(E1729*172900,10000)</f>
        <v/>
      </c>
      <c r="G1729">
        <f>MINIFS(CBIC_Late_Fee_Relief_Windows_3B!$O$1729:$O$100,CBIC_Late_Fee_Relief_Windows_3B!$D$1729:$D$100,"&lt;="&amp;B1729,CBIC_Late_Fee_Relief_Windows_3B!$E$1729:$E$100,"&gt;="&amp;B1729,CBIC_Late_Fee_Relief_Windows_3B!$F$1729:$F$100,"&lt;="&amp;C1729,CBIC_Late_Fee_Relief_Windows_3B!$G$1729:$G$100,"&gt;="&amp;C1729)</f>
        <v/>
      </c>
      <c r="H1729">
        <f>INDEX(CBIC_Late_Fee_Relief_Windows_3B!$I$1729:$I$100,MATCH(G1729,CBIC_Late_Fee_Relief_Windows_3B!$O$1729:$O$100,0))</f>
        <v/>
      </c>
      <c r="I1729">
        <f>MIN(F1729,H1729)</f>
        <v/>
      </c>
    </row>
    <row r="1730">
      <c r="A1730">
        <f>TEST_DATA!A1730</f>
        <v/>
      </c>
      <c r="B1730">
        <f>TEST_DATA!B1730</f>
        <v/>
      </c>
      <c r="C1730">
        <f>TEST_DATA!C1730</f>
        <v/>
      </c>
      <c r="D1730">
        <f>TEST_DATA!D1730</f>
        <v/>
      </c>
      <c r="E1730">
        <f>TEST_DATA!E1730</f>
        <v/>
      </c>
      <c r="F1730">
        <f>MIN(E1730*173000,10000)</f>
        <v/>
      </c>
      <c r="G1730">
        <f>MINIFS(CBIC_Late_Fee_Relief_Windows_3B!$O$1730:$O$100,CBIC_Late_Fee_Relief_Windows_3B!$D$1730:$D$100,"&lt;="&amp;B1730,CBIC_Late_Fee_Relief_Windows_3B!$E$1730:$E$100,"&gt;="&amp;B1730,CBIC_Late_Fee_Relief_Windows_3B!$F$1730:$F$100,"&lt;="&amp;C1730,CBIC_Late_Fee_Relief_Windows_3B!$G$1730:$G$100,"&gt;="&amp;C1730)</f>
        <v/>
      </c>
      <c r="H1730">
        <f>INDEX(CBIC_Late_Fee_Relief_Windows_3B!$I$1730:$I$100,MATCH(G1730,CBIC_Late_Fee_Relief_Windows_3B!$O$1730:$O$100,0))</f>
        <v/>
      </c>
      <c r="I1730">
        <f>MIN(F1730,H1730)</f>
        <v/>
      </c>
    </row>
    <row r="1731">
      <c r="A1731">
        <f>TEST_DATA!A1731</f>
        <v/>
      </c>
      <c r="B1731">
        <f>TEST_DATA!B1731</f>
        <v/>
      </c>
      <c r="C1731">
        <f>TEST_DATA!C1731</f>
        <v/>
      </c>
      <c r="D1731">
        <f>TEST_DATA!D1731</f>
        <v/>
      </c>
      <c r="E1731">
        <f>TEST_DATA!E1731</f>
        <v/>
      </c>
      <c r="F1731">
        <f>MIN(E1731*173100,10000)</f>
        <v/>
      </c>
      <c r="G1731">
        <f>MINIFS(CBIC_Late_Fee_Relief_Windows_3B!$O$1731:$O$100,CBIC_Late_Fee_Relief_Windows_3B!$D$1731:$D$100,"&lt;="&amp;B1731,CBIC_Late_Fee_Relief_Windows_3B!$E$1731:$E$100,"&gt;="&amp;B1731,CBIC_Late_Fee_Relief_Windows_3B!$F$1731:$F$100,"&lt;="&amp;C1731,CBIC_Late_Fee_Relief_Windows_3B!$G$1731:$G$100,"&gt;="&amp;C1731)</f>
        <v/>
      </c>
      <c r="H1731">
        <f>INDEX(CBIC_Late_Fee_Relief_Windows_3B!$I$1731:$I$100,MATCH(G1731,CBIC_Late_Fee_Relief_Windows_3B!$O$1731:$O$100,0))</f>
        <v/>
      </c>
      <c r="I1731">
        <f>MIN(F1731,H1731)</f>
        <v/>
      </c>
    </row>
    <row r="1732">
      <c r="A1732">
        <f>TEST_DATA!A1732</f>
        <v/>
      </c>
      <c r="B1732">
        <f>TEST_DATA!B1732</f>
        <v/>
      </c>
      <c r="C1732">
        <f>TEST_DATA!C1732</f>
        <v/>
      </c>
      <c r="D1732">
        <f>TEST_DATA!D1732</f>
        <v/>
      </c>
      <c r="E1732">
        <f>TEST_DATA!E1732</f>
        <v/>
      </c>
      <c r="F1732">
        <f>MIN(E1732*173200,10000)</f>
        <v/>
      </c>
      <c r="G1732">
        <f>MINIFS(CBIC_Late_Fee_Relief_Windows_3B!$O$1732:$O$100,CBIC_Late_Fee_Relief_Windows_3B!$D$1732:$D$100,"&lt;="&amp;B1732,CBIC_Late_Fee_Relief_Windows_3B!$E$1732:$E$100,"&gt;="&amp;B1732,CBIC_Late_Fee_Relief_Windows_3B!$F$1732:$F$100,"&lt;="&amp;C1732,CBIC_Late_Fee_Relief_Windows_3B!$G$1732:$G$100,"&gt;="&amp;C1732)</f>
        <v/>
      </c>
      <c r="H1732">
        <f>INDEX(CBIC_Late_Fee_Relief_Windows_3B!$I$1732:$I$100,MATCH(G1732,CBIC_Late_Fee_Relief_Windows_3B!$O$1732:$O$100,0))</f>
        <v/>
      </c>
      <c r="I1732">
        <f>MIN(F1732,H1732)</f>
        <v/>
      </c>
    </row>
    <row r="1733">
      <c r="A1733">
        <f>TEST_DATA!A1733</f>
        <v/>
      </c>
      <c r="B1733">
        <f>TEST_DATA!B1733</f>
        <v/>
      </c>
      <c r="C1733">
        <f>TEST_DATA!C1733</f>
        <v/>
      </c>
      <c r="D1733">
        <f>TEST_DATA!D1733</f>
        <v/>
      </c>
      <c r="E1733">
        <f>TEST_DATA!E1733</f>
        <v/>
      </c>
      <c r="F1733">
        <f>MIN(E1733*173300,10000)</f>
        <v/>
      </c>
      <c r="G1733">
        <f>MINIFS(CBIC_Late_Fee_Relief_Windows_3B!$O$1733:$O$100,CBIC_Late_Fee_Relief_Windows_3B!$D$1733:$D$100,"&lt;="&amp;B1733,CBIC_Late_Fee_Relief_Windows_3B!$E$1733:$E$100,"&gt;="&amp;B1733,CBIC_Late_Fee_Relief_Windows_3B!$F$1733:$F$100,"&lt;="&amp;C1733,CBIC_Late_Fee_Relief_Windows_3B!$G$1733:$G$100,"&gt;="&amp;C1733)</f>
        <v/>
      </c>
      <c r="H1733">
        <f>INDEX(CBIC_Late_Fee_Relief_Windows_3B!$I$1733:$I$100,MATCH(G1733,CBIC_Late_Fee_Relief_Windows_3B!$O$1733:$O$100,0))</f>
        <v/>
      </c>
      <c r="I1733">
        <f>MIN(F1733,H1733)</f>
        <v/>
      </c>
    </row>
    <row r="1734">
      <c r="A1734">
        <f>TEST_DATA!A1734</f>
        <v/>
      </c>
      <c r="B1734">
        <f>TEST_DATA!B1734</f>
        <v/>
      </c>
      <c r="C1734">
        <f>TEST_DATA!C1734</f>
        <v/>
      </c>
      <c r="D1734">
        <f>TEST_DATA!D1734</f>
        <v/>
      </c>
      <c r="E1734">
        <f>TEST_DATA!E1734</f>
        <v/>
      </c>
      <c r="F1734">
        <f>MIN(E1734*173400,10000)</f>
        <v/>
      </c>
      <c r="G1734">
        <f>MINIFS(CBIC_Late_Fee_Relief_Windows_3B!$O$1734:$O$100,CBIC_Late_Fee_Relief_Windows_3B!$D$1734:$D$100,"&lt;="&amp;B1734,CBIC_Late_Fee_Relief_Windows_3B!$E$1734:$E$100,"&gt;="&amp;B1734,CBIC_Late_Fee_Relief_Windows_3B!$F$1734:$F$100,"&lt;="&amp;C1734,CBIC_Late_Fee_Relief_Windows_3B!$G$1734:$G$100,"&gt;="&amp;C1734)</f>
        <v/>
      </c>
      <c r="H1734">
        <f>INDEX(CBIC_Late_Fee_Relief_Windows_3B!$I$1734:$I$100,MATCH(G1734,CBIC_Late_Fee_Relief_Windows_3B!$O$1734:$O$100,0))</f>
        <v/>
      </c>
      <c r="I1734">
        <f>MIN(F1734,H1734)</f>
        <v/>
      </c>
    </row>
    <row r="1735">
      <c r="A1735">
        <f>TEST_DATA!A1735</f>
        <v/>
      </c>
      <c r="B1735">
        <f>TEST_DATA!B1735</f>
        <v/>
      </c>
      <c r="C1735">
        <f>TEST_DATA!C1735</f>
        <v/>
      </c>
      <c r="D1735">
        <f>TEST_DATA!D1735</f>
        <v/>
      </c>
      <c r="E1735">
        <f>TEST_DATA!E1735</f>
        <v/>
      </c>
      <c r="F1735">
        <f>MIN(E1735*173500,10000)</f>
        <v/>
      </c>
      <c r="G1735">
        <f>MINIFS(CBIC_Late_Fee_Relief_Windows_3B!$O$1735:$O$100,CBIC_Late_Fee_Relief_Windows_3B!$D$1735:$D$100,"&lt;="&amp;B1735,CBIC_Late_Fee_Relief_Windows_3B!$E$1735:$E$100,"&gt;="&amp;B1735,CBIC_Late_Fee_Relief_Windows_3B!$F$1735:$F$100,"&lt;="&amp;C1735,CBIC_Late_Fee_Relief_Windows_3B!$G$1735:$G$100,"&gt;="&amp;C1735)</f>
        <v/>
      </c>
      <c r="H1735">
        <f>INDEX(CBIC_Late_Fee_Relief_Windows_3B!$I$1735:$I$100,MATCH(G1735,CBIC_Late_Fee_Relief_Windows_3B!$O$1735:$O$100,0))</f>
        <v/>
      </c>
      <c r="I1735">
        <f>MIN(F1735,H1735)</f>
        <v/>
      </c>
    </row>
    <row r="1736">
      <c r="A1736">
        <f>TEST_DATA!A1736</f>
        <v/>
      </c>
      <c r="B1736">
        <f>TEST_DATA!B1736</f>
        <v/>
      </c>
      <c r="C1736">
        <f>TEST_DATA!C1736</f>
        <v/>
      </c>
      <c r="D1736">
        <f>TEST_DATA!D1736</f>
        <v/>
      </c>
      <c r="E1736">
        <f>TEST_DATA!E1736</f>
        <v/>
      </c>
      <c r="F1736">
        <f>MIN(E1736*173600,10000)</f>
        <v/>
      </c>
      <c r="G1736">
        <f>MINIFS(CBIC_Late_Fee_Relief_Windows_3B!$O$1736:$O$100,CBIC_Late_Fee_Relief_Windows_3B!$D$1736:$D$100,"&lt;="&amp;B1736,CBIC_Late_Fee_Relief_Windows_3B!$E$1736:$E$100,"&gt;="&amp;B1736,CBIC_Late_Fee_Relief_Windows_3B!$F$1736:$F$100,"&lt;="&amp;C1736,CBIC_Late_Fee_Relief_Windows_3B!$G$1736:$G$100,"&gt;="&amp;C1736)</f>
        <v/>
      </c>
      <c r="H1736">
        <f>INDEX(CBIC_Late_Fee_Relief_Windows_3B!$I$1736:$I$100,MATCH(G1736,CBIC_Late_Fee_Relief_Windows_3B!$O$1736:$O$100,0))</f>
        <v/>
      </c>
      <c r="I1736">
        <f>MIN(F1736,H1736)</f>
        <v/>
      </c>
    </row>
    <row r="1737">
      <c r="A1737">
        <f>TEST_DATA!A1737</f>
        <v/>
      </c>
      <c r="B1737">
        <f>TEST_DATA!B1737</f>
        <v/>
      </c>
      <c r="C1737">
        <f>TEST_DATA!C1737</f>
        <v/>
      </c>
      <c r="D1737">
        <f>TEST_DATA!D1737</f>
        <v/>
      </c>
      <c r="E1737">
        <f>TEST_DATA!E1737</f>
        <v/>
      </c>
      <c r="F1737">
        <f>MIN(E1737*173700,10000)</f>
        <v/>
      </c>
      <c r="G1737">
        <f>MINIFS(CBIC_Late_Fee_Relief_Windows_3B!$O$1737:$O$100,CBIC_Late_Fee_Relief_Windows_3B!$D$1737:$D$100,"&lt;="&amp;B1737,CBIC_Late_Fee_Relief_Windows_3B!$E$1737:$E$100,"&gt;="&amp;B1737,CBIC_Late_Fee_Relief_Windows_3B!$F$1737:$F$100,"&lt;="&amp;C1737,CBIC_Late_Fee_Relief_Windows_3B!$G$1737:$G$100,"&gt;="&amp;C1737)</f>
        <v/>
      </c>
      <c r="H1737">
        <f>INDEX(CBIC_Late_Fee_Relief_Windows_3B!$I$1737:$I$100,MATCH(G1737,CBIC_Late_Fee_Relief_Windows_3B!$O$1737:$O$100,0))</f>
        <v/>
      </c>
      <c r="I1737">
        <f>MIN(F1737,H1737)</f>
        <v/>
      </c>
    </row>
    <row r="1738">
      <c r="A1738">
        <f>TEST_DATA!A1738</f>
        <v/>
      </c>
      <c r="B1738">
        <f>TEST_DATA!B1738</f>
        <v/>
      </c>
      <c r="C1738">
        <f>TEST_DATA!C1738</f>
        <v/>
      </c>
      <c r="D1738">
        <f>TEST_DATA!D1738</f>
        <v/>
      </c>
      <c r="E1738">
        <f>TEST_DATA!E1738</f>
        <v/>
      </c>
      <c r="F1738">
        <f>MIN(E1738*173800,10000)</f>
        <v/>
      </c>
      <c r="G1738">
        <f>MINIFS(CBIC_Late_Fee_Relief_Windows_3B!$O$1738:$O$100,CBIC_Late_Fee_Relief_Windows_3B!$D$1738:$D$100,"&lt;="&amp;B1738,CBIC_Late_Fee_Relief_Windows_3B!$E$1738:$E$100,"&gt;="&amp;B1738,CBIC_Late_Fee_Relief_Windows_3B!$F$1738:$F$100,"&lt;="&amp;C1738,CBIC_Late_Fee_Relief_Windows_3B!$G$1738:$G$100,"&gt;="&amp;C1738)</f>
        <v/>
      </c>
      <c r="H1738">
        <f>INDEX(CBIC_Late_Fee_Relief_Windows_3B!$I$1738:$I$100,MATCH(G1738,CBIC_Late_Fee_Relief_Windows_3B!$O$1738:$O$100,0))</f>
        <v/>
      </c>
      <c r="I1738">
        <f>MIN(F1738,H1738)</f>
        <v/>
      </c>
    </row>
    <row r="1739">
      <c r="A1739">
        <f>TEST_DATA!A1739</f>
        <v/>
      </c>
      <c r="B1739">
        <f>TEST_DATA!B1739</f>
        <v/>
      </c>
      <c r="C1739">
        <f>TEST_DATA!C1739</f>
        <v/>
      </c>
      <c r="D1739">
        <f>TEST_DATA!D1739</f>
        <v/>
      </c>
      <c r="E1739">
        <f>TEST_DATA!E1739</f>
        <v/>
      </c>
      <c r="F1739">
        <f>MIN(E1739*173900,10000)</f>
        <v/>
      </c>
      <c r="G1739">
        <f>MINIFS(CBIC_Late_Fee_Relief_Windows_3B!$O$1739:$O$100,CBIC_Late_Fee_Relief_Windows_3B!$D$1739:$D$100,"&lt;="&amp;B1739,CBIC_Late_Fee_Relief_Windows_3B!$E$1739:$E$100,"&gt;="&amp;B1739,CBIC_Late_Fee_Relief_Windows_3B!$F$1739:$F$100,"&lt;="&amp;C1739,CBIC_Late_Fee_Relief_Windows_3B!$G$1739:$G$100,"&gt;="&amp;C1739)</f>
        <v/>
      </c>
      <c r="H1739">
        <f>INDEX(CBIC_Late_Fee_Relief_Windows_3B!$I$1739:$I$100,MATCH(G1739,CBIC_Late_Fee_Relief_Windows_3B!$O$1739:$O$100,0))</f>
        <v/>
      </c>
      <c r="I1739">
        <f>MIN(F1739,H1739)</f>
        <v/>
      </c>
    </row>
    <row r="1740">
      <c r="A1740">
        <f>TEST_DATA!A1740</f>
        <v/>
      </c>
      <c r="B1740">
        <f>TEST_DATA!B1740</f>
        <v/>
      </c>
      <c r="C1740">
        <f>TEST_DATA!C1740</f>
        <v/>
      </c>
      <c r="D1740">
        <f>TEST_DATA!D1740</f>
        <v/>
      </c>
      <c r="E1740">
        <f>TEST_DATA!E1740</f>
        <v/>
      </c>
      <c r="F1740">
        <f>MIN(E1740*174000,10000)</f>
        <v/>
      </c>
      <c r="G1740">
        <f>MINIFS(CBIC_Late_Fee_Relief_Windows_3B!$O$1740:$O$100,CBIC_Late_Fee_Relief_Windows_3B!$D$1740:$D$100,"&lt;="&amp;B1740,CBIC_Late_Fee_Relief_Windows_3B!$E$1740:$E$100,"&gt;="&amp;B1740,CBIC_Late_Fee_Relief_Windows_3B!$F$1740:$F$100,"&lt;="&amp;C1740,CBIC_Late_Fee_Relief_Windows_3B!$G$1740:$G$100,"&gt;="&amp;C1740)</f>
        <v/>
      </c>
      <c r="H1740">
        <f>INDEX(CBIC_Late_Fee_Relief_Windows_3B!$I$1740:$I$100,MATCH(G1740,CBIC_Late_Fee_Relief_Windows_3B!$O$1740:$O$100,0))</f>
        <v/>
      </c>
      <c r="I1740">
        <f>MIN(F1740,H1740)</f>
        <v/>
      </c>
    </row>
    <row r="1741">
      <c r="A1741">
        <f>TEST_DATA!A1741</f>
        <v/>
      </c>
      <c r="B1741">
        <f>TEST_DATA!B1741</f>
        <v/>
      </c>
      <c r="C1741">
        <f>TEST_DATA!C1741</f>
        <v/>
      </c>
      <c r="D1741">
        <f>TEST_DATA!D1741</f>
        <v/>
      </c>
      <c r="E1741">
        <f>TEST_DATA!E1741</f>
        <v/>
      </c>
      <c r="F1741">
        <f>MIN(E1741*174100,10000)</f>
        <v/>
      </c>
      <c r="G1741">
        <f>MINIFS(CBIC_Late_Fee_Relief_Windows_3B!$O$1741:$O$100,CBIC_Late_Fee_Relief_Windows_3B!$D$1741:$D$100,"&lt;="&amp;B1741,CBIC_Late_Fee_Relief_Windows_3B!$E$1741:$E$100,"&gt;="&amp;B1741,CBIC_Late_Fee_Relief_Windows_3B!$F$1741:$F$100,"&lt;="&amp;C1741,CBIC_Late_Fee_Relief_Windows_3B!$G$1741:$G$100,"&gt;="&amp;C1741)</f>
        <v/>
      </c>
      <c r="H1741">
        <f>INDEX(CBIC_Late_Fee_Relief_Windows_3B!$I$1741:$I$100,MATCH(G1741,CBIC_Late_Fee_Relief_Windows_3B!$O$1741:$O$100,0))</f>
        <v/>
      </c>
      <c r="I1741">
        <f>MIN(F1741,H1741)</f>
        <v/>
      </c>
    </row>
    <row r="1742">
      <c r="A1742">
        <f>TEST_DATA!A1742</f>
        <v/>
      </c>
      <c r="B1742">
        <f>TEST_DATA!B1742</f>
        <v/>
      </c>
      <c r="C1742">
        <f>TEST_DATA!C1742</f>
        <v/>
      </c>
      <c r="D1742">
        <f>TEST_DATA!D1742</f>
        <v/>
      </c>
      <c r="E1742">
        <f>TEST_DATA!E1742</f>
        <v/>
      </c>
      <c r="F1742">
        <f>MIN(E1742*174200,10000)</f>
        <v/>
      </c>
      <c r="G1742">
        <f>MINIFS(CBIC_Late_Fee_Relief_Windows_3B!$O$1742:$O$100,CBIC_Late_Fee_Relief_Windows_3B!$D$1742:$D$100,"&lt;="&amp;B1742,CBIC_Late_Fee_Relief_Windows_3B!$E$1742:$E$100,"&gt;="&amp;B1742,CBIC_Late_Fee_Relief_Windows_3B!$F$1742:$F$100,"&lt;="&amp;C1742,CBIC_Late_Fee_Relief_Windows_3B!$G$1742:$G$100,"&gt;="&amp;C1742)</f>
        <v/>
      </c>
      <c r="H1742">
        <f>INDEX(CBIC_Late_Fee_Relief_Windows_3B!$I$1742:$I$100,MATCH(G1742,CBIC_Late_Fee_Relief_Windows_3B!$O$1742:$O$100,0))</f>
        <v/>
      </c>
      <c r="I1742">
        <f>MIN(F1742,H1742)</f>
        <v/>
      </c>
    </row>
    <row r="1743">
      <c r="A1743">
        <f>TEST_DATA!A1743</f>
        <v/>
      </c>
      <c r="B1743">
        <f>TEST_DATA!B1743</f>
        <v/>
      </c>
      <c r="C1743">
        <f>TEST_DATA!C1743</f>
        <v/>
      </c>
      <c r="D1743">
        <f>TEST_DATA!D1743</f>
        <v/>
      </c>
      <c r="E1743">
        <f>TEST_DATA!E1743</f>
        <v/>
      </c>
      <c r="F1743">
        <f>MIN(E1743*174300,10000)</f>
        <v/>
      </c>
      <c r="G1743">
        <f>MINIFS(CBIC_Late_Fee_Relief_Windows_3B!$O$1743:$O$100,CBIC_Late_Fee_Relief_Windows_3B!$D$1743:$D$100,"&lt;="&amp;B1743,CBIC_Late_Fee_Relief_Windows_3B!$E$1743:$E$100,"&gt;="&amp;B1743,CBIC_Late_Fee_Relief_Windows_3B!$F$1743:$F$100,"&lt;="&amp;C1743,CBIC_Late_Fee_Relief_Windows_3B!$G$1743:$G$100,"&gt;="&amp;C1743)</f>
        <v/>
      </c>
      <c r="H1743">
        <f>INDEX(CBIC_Late_Fee_Relief_Windows_3B!$I$1743:$I$100,MATCH(G1743,CBIC_Late_Fee_Relief_Windows_3B!$O$1743:$O$100,0))</f>
        <v/>
      </c>
      <c r="I1743">
        <f>MIN(F1743,H1743)</f>
        <v/>
      </c>
    </row>
    <row r="1744">
      <c r="A1744">
        <f>TEST_DATA!A1744</f>
        <v/>
      </c>
      <c r="B1744">
        <f>TEST_DATA!B1744</f>
        <v/>
      </c>
      <c r="C1744">
        <f>TEST_DATA!C1744</f>
        <v/>
      </c>
      <c r="D1744">
        <f>TEST_DATA!D1744</f>
        <v/>
      </c>
      <c r="E1744">
        <f>TEST_DATA!E1744</f>
        <v/>
      </c>
      <c r="F1744">
        <f>MIN(E1744*174400,10000)</f>
        <v/>
      </c>
      <c r="G1744">
        <f>MINIFS(CBIC_Late_Fee_Relief_Windows_3B!$O$1744:$O$100,CBIC_Late_Fee_Relief_Windows_3B!$D$1744:$D$100,"&lt;="&amp;B1744,CBIC_Late_Fee_Relief_Windows_3B!$E$1744:$E$100,"&gt;="&amp;B1744,CBIC_Late_Fee_Relief_Windows_3B!$F$1744:$F$100,"&lt;="&amp;C1744,CBIC_Late_Fee_Relief_Windows_3B!$G$1744:$G$100,"&gt;="&amp;C1744)</f>
        <v/>
      </c>
      <c r="H1744">
        <f>INDEX(CBIC_Late_Fee_Relief_Windows_3B!$I$1744:$I$100,MATCH(G1744,CBIC_Late_Fee_Relief_Windows_3B!$O$1744:$O$100,0))</f>
        <v/>
      </c>
      <c r="I1744">
        <f>MIN(F1744,H1744)</f>
        <v/>
      </c>
    </row>
    <row r="1745">
      <c r="A1745">
        <f>TEST_DATA!A1745</f>
        <v/>
      </c>
      <c r="B1745">
        <f>TEST_DATA!B1745</f>
        <v/>
      </c>
      <c r="C1745">
        <f>TEST_DATA!C1745</f>
        <v/>
      </c>
      <c r="D1745">
        <f>TEST_DATA!D1745</f>
        <v/>
      </c>
      <c r="E1745">
        <f>TEST_DATA!E1745</f>
        <v/>
      </c>
      <c r="F1745">
        <f>MIN(E1745*174500,10000)</f>
        <v/>
      </c>
      <c r="G1745">
        <f>MINIFS(CBIC_Late_Fee_Relief_Windows_3B!$O$1745:$O$100,CBIC_Late_Fee_Relief_Windows_3B!$D$1745:$D$100,"&lt;="&amp;B1745,CBIC_Late_Fee_Relief_Windows_3B!$E$1745:$E$100,"&gt;="&amp;B1745,CBIC_Late_Fee_Relief_Windows_3B!$F$1745:$F$100,"&lt;="&amp;C1745,CBIC_Late_Fee_Relief_Windows_3B!$G$1745:$G$100,"&gt;="&amp;C1745)</f>
        <v/>
      </c>
      <c r="H1745">
        <f>INDEX(CBIC_Late_Fee_Relief_Windows_3B!$I$1745:$I$100,MATCH(G1745,CBIC_Late_Fee_Relief_Windows_3B!$O$1745:$O$100,0))</f>
        <v/>
      </c>
      <c r="I1745">
        <f>MIN(F1745,H1745)</f>
        <v/>
      </c>
    </row>
    <row r="1746">
      <c r="A1746">
        <f>TEST_DATA!A1746</f>
        <v/>
      </c>
      <c r="B1746">
        <f>TEST_DATA!B1746</f>
        <v/>
      </c>
      <c r="C1746">
        <f>TEST_DATA!C1746</f>
        <v/>
      </c>
      <c r="D1746">
        <f>TEST_DATA!D1746</f>
        <v/>
      </c>
      <c r="E1746">
        <f>TEST_DATA!E1746</f>
        <v/>
      </c>
      <c r="F1746">
        <f>MIN(E1746*174600,10000)</f>
        <v/>
      </c>
      <c r="G1746">
        <f>MINIFS(CBIC_Late_Fee_Relief_Windows_3B!$O$1746:$O$100,CBIC_Late_Fee_Relief_Windows_3B!$D$1746:$D$100,"&lt;="&amp;B1746,CBIC_Late_Fee_Relief_Windows_3B!$E$1746:$E$100,"&gt;="&amp;B1746,CBIC_Late_Fee_Relief_Windows_3B!$F$1746:$F$100,"&lt;="&amp;C1746,CBIC_Late_Fee_Relief_Windows_3B!$G$1746:$G$100,"&gt;="&amp;C1746)</f>
        <v/>
      </c>
      <c r="H1746">
        <f>INDEX(CBIC_Late_Fee_Relief_Windows_3B!$I$1746:$I$100,MATCH(G1746,CBIC_Late_Fee_Relief_Windows_3B!$O$1746:$O$100,0))</f>
        <v/>
      </c>
      <c r="I1746">
        <f>MIN(F1746,H1746)</f>
        <v/>
      </c>
    </row>
    <row r="1747">
      <c r="A1747">
        <f>TEST_DATA!A1747</f>
        <v/>
      </c>
      <c r="B1747">
        <f>TEST_DATA!B1747</f>
        <v/>
      </c>
      <c r="C1747">
        <f>TEST_DATA!C1747</f>
        <v/>
      </c>
      <c r="D1747">
        <f>TEST_DATA!D1747</f>
        <v/>
      </c>
      <c r="E1747">
        <f>TEST_DATA!E1747</f>
        <v/>
      </c>
      <c r="F1747">
        <f>MIN(E1747*174700,10000)</f>
        <v/>
      </c>
      <c r="G1747">
        <f>MINIFS(CBIC_Late_Fee_Relief_Windows_3B!$O$1747:$O$100,CBIC_Late_Fee_Relief_Windows_3B!$D$1747:$D$100,"&lt;="&amp;B1747,CBIC_Late_Fee_Relief_Windows_3B!$E$1747:$E$100,"&gt;="&amp;B1747,CBIC_Late_Fee_Relief_Windows_3B!$F$1747:$F$100,"&lt;="&amp;C1747,CBIC_Late_Fee_Relief_Windows_3B!$G$1747:$G$100,"&gt;="&amp;C1747)</f>
        <v/>
      </c>
      <c r="H1747">
        <f>INDEX(CBIC_Late_Fee_Relief_Windows_3B!$I$1747:$I$100,MATCH(G1747,CBIC_Late_Fee_Relief_Windows_3B!$O$1747:$O$100,0))</f>
        <v/>
      </c>
      <c r="I1747">
        <f>MIN(F1747,H1747)</f>
        <v/>
      </c>
    </row>
    <row r="1748">
      <c r="A1748">
        <f>TEST_DATA!A1748</f>
        <v/>
      </c>
      <c r="B1748">
        <f>TEST_DATA!B1748</f>
        <v/>
      </c>
      <c r="C1748">
        <f>TEST_DATA!C1748</f>
        <v/>
      </c>
      <c r="D1748">
        <f>TEST_DATA!D1748</f>
        <v/>
      </c>
      <c r="E1748">
        <f>TEST_DATA!E1748</f>
        <v/>
      </c>
      <c r="F1748">
        <f>MIN(E1748*174800,10000)</f>
        <v/>
      </c>
      <c r="G1748">
        <f>MINIFS(CBIC_Late_Fee_Relief_Windows_3B!$O$1748:$O$100,CBIC_Late_Fee_Relief_Windows_3B!$D$1748:$D$100,"&lt;="&amp;B1748,CBIC_Late_Fee_Relief_Windows_3B!$E$1748:$E$100,"&gt;="&amp;B1748,CBIC_Late_Fee_Relief_Windows_3B!$F$1748:$F$100,"&lt;="&amp;C1748,CBIC_Late_Fee_Relief_Windows_3B!$G$1748:$G$100,"&gt;="&amp;C1748)</f>
        <v/>
      </c>
      <c r="H1748">
        <f>INDEX(CBIC_Late_Fee_Relief_Windows_3B!$I$1748:$I$100,MATCH(G1748,CBIC_Late_Fee_Relief_Windows_3B!$O$1748:$O$100,0))</f>
        <v/>
      </c>
      <c r="I1748">
        <f>MIN(F1748,H1748)</f>
        <v/>
      </c>
    </row>
    <row r="1749">
      <c r="A1749">
        <f>TEST_DATA!A1749</f>
        <v/>
      </c>
      <c r="B1749">
        <f>TEST_DATA!B1749</f>
        <v/>
      </c>
      <c r="C1749">
        <f>TEST_DATA!C1749</f>
        <v/>
      </c>
      <c r="D1749">
        <f>TEST_DATA!D1749</f>
        <v/>
      </c>
      <c r="E1749">
        <f>TEST_DATA!E1749</f>
        <v/>
      </c>
      <c r="F1749">
        <f>MIN(E1749*174900,10000)</f>
        <v/>
      </c>
      <c r="G1749">
        <f>MINIFS(CBIC_Late_Fee_Relief_Windows_3B!$O$1749:$O$100,CBIC_Late_Fee_Relief_Windows_3B!$D$1749:$D$100,"&lt;="&amp;B1749,CBIC_Late_Fee_Relief_Windows_3B!$E$1749:$E$100,"&gt;="&amp;B1749,CBIC_Late_Fee_Relief_Windows_3B!$F$1749:$F$100,"&lt;="&amp;C1749,CBIC_Late_Fee_Relief_Windows_3B!$G$1749:$G$100,"&gt;="&amp;C1749)</f>
        <v/>
      </c>
      <c r="H1749">
        <f>INDEX(CBIC_Late_Fee_Relief_Windows_3B!$I$1749:$I$100,MATCH(G1749,CBIC_Late_Fee_Relief_Windows_3B!$O$1749:$O$100,0))</f>
        <v/>
      </c>
      <c r="I1749">
        <f>MIN(F1749,H1749)</f>
        <v/>
      </c>
    </row>
    <row r="1750">
      <c r="A1750">
        <f>TEST_DATA!A1750</f>
        <v/>
      </c>
      <c r="B1750">
        <f>TEST_DATA!B1750</f>
        <v/>
      </c>
      <c r="C1750">
        <f>TEST_DATA!C1750</f>
        <v/>
      </c>
      <c r="D1750">
        <f>TEST_DATA!D1750</f>
        <v/>
      </c>
      <c r="E1750">
        <f>TEST_DATA!E1750</f>
        <v/>
      </c>
      <c r="F1750">
        <f>MIN(E1750*175000,10000)</f>
        <v/>
      </c>
      <c r="G1750">
        <f>MINIFS(CBIC_Late_Fee_Relief_Windows_3B!$O$1750:$O$100,CBIC_Late_Fee_Relief_Windows_3B!$D$1750:$D$100,"&lt;="&amp;B1750,CBIC_Late_Fee_Relief_Windows_3B!$E$1750:$E$100,"&gt;="&amp;B1750,CBIC_Late_Fee_Relief_Windows_3B!$F$1750:$F$100,"&lt;="&amp;C1750,CBIC_Late_Fee_Relief_Windows_3B!$G$1750:$G$100,"&gt;="&amp;C1750)</f>
        <v/>
      </c>
      <c r="H1750">
        <f>INDEX(CBIC_Late_Fee_Relief_Windows_3B!$I$1750:$I$100,MATCH(G1750,CBIC_Late_Fee_Relief_Windows_3B!$O$1750:$O$100,0))</f>
        <v/>
      </c>
      <c r="I1750">
        <f>MIN(F1750,H1750)</f>
        <v/>
      </c>
    </row>
    <row r="1751">
      <c r="A1751">
        <f>TEST_DATA!A1751</f>
        <v/>
      </c>
      <c r="B1751">
        <f>TEST_DATA!B1751</f>
        <v/>
      </c>
      <c r="C1751">
        <f>TEST_DATA!C1751</f>
        <v/>
      </c>
      <c r="D1751">
        <f>TEST_DATA!D1751</f>
        <v/>
      </c>
      <c r="E1751">
        <f>TEST_DATA!E1751</f>
        <v/>
      </c>
      <c r="F1751">
        <f>MIN(E1751*175100,10000)</f>
        <v/>
      </c>
      <c r="G1751">
        <f>MINIFS(CBIC_Late_Fee_Relief_Windows_3B!$O$1751:$O$100,CBIC_Late_Fee_Relief_Windows_3B!$D$1751:$D$100,"&lt;="&amp;B1751,CBIC_Late_Fee_Relief_Windows_3B!$E$1751:$E$100,"&gt;="&amp;B1751,CBIC_Late_Fee_Relief_Windows_3B!$F$1751:$F$100,"&lt;="&amp;C1751,CBIC_Late_Fee_Relief_Windows_3B!$G$1751:$G$100,"&gt;="&amp;C1751)</f>
        <v/>
      </c>
      <c r="H1751">
        <f>INDEX(CBIC_Late_Fee_Relief_Windows_3B!$I$1751:$I$100,MATCH(G1751,CBIC_Late_Fee_Relief_Windows_3B!$O$1751:$O$100,0))</f>
        <v/>
      </c>
      <c r="I1751">
        <f>MIN(F1751,H1751)</f>
        <v/>
      </c>
    </row>
    <row r="1752">
      <c r="A1752">
        <f>TEST_DATA!A1752</f>
        <v/>
      </c>
      <c r="B1752">
        <f>TEST_DATA!B1752</f>
        <v/>
      </c>
      <c r="C1752">
        <f>TEST_DATA!C1752</f>
        <v/>
      </c>
      <c r="D1752">
        <f>TEST_DATA!D1752</f>
        <v/>
      </c>
      <c r="E1752">
        <f>TEST_DATA!E1752</f>
        <v/>
      </c>
      <c r="F1752">
        <f>MIN(E1752*175200,10000)</f>
        <v/>
      </c>
      <c r="G1752">
        <f>MINIFS(CBIC_Late_Fee_Relief_Windows_3B!$O$1752:$O$100,CBIC_Late_Fee_Relief_Windows_3B!$D$1752:$D$100,"&lt;="&amp;B1752,CBIC_Late_Fee_Relief_Windows_3B!$E$1752:$E$100,"&gt;="&amp;B1752,CBIC_Late_Fee_Relief_Windows_3B!$F$1752:$F$100,"&lt;="&amp;C1752,CBIC_Late_Fee_Relief_Windows_3B!$G$1752:$G$100,"&gt;="&amp;C1752)</f>
        <v/>
      </c>
      <c r="H1752">
        <f>INDEX(CBIC_Late_Fee_Relief_Windows_3B!$I$1752:$I$100,MATCH(G1752,CBIC_Late_Fee_Relief_Windows_3B!$O$1752:$O$100,0))</f>
        <v/>
      </c>
      <c r="I1752">
        <f>MIN(F1752,H1752)</f>
        <v/>
      </c>
    </row>
    <row r="1753">
      <c r="A1753">
        <f>TEST_DATA!A1753</f>
        <v/>
      </c>
      <c r="B1753">
        <f>TEST_DATA!B1753</f>
        <v/>
      </c>
      <c r="C1753">
        <f>TEST_DATA!C1753</f>
        <v/>
      </c>
      <c r="D1753">
        <f>TEST_DATA!D1753</f>
        <v/>
      </c>
      <c r="E1753">
        <f>TEST_DATA!E1753</f>
        <v/>
      </c>
      <c r="F1753">
        <f>MIN(E1753*175300,10000)</f>
        <v/>
      </c>
      <c r="G1753">
        <f>MINIFS(CBIC_Late_Fee_Relief_Windows_3B!$O$1753:$O$100,CBIC_Late_Fee_Relief_Windows_3B!$D$1753:$D$100,"&lt;="&amp;B1753,CBIC_Late_Fee_Relief_Windows_3B!$E$1753:$E$100,"&gt;="&amp;B1753,CBIC_Late_Fee_Relief_Windows_3B!$F$1753:$F$100,"&lt;="&amp;C1753,CBIC_Late_Fee_Relief_Windows_3B!$G$1753:$G$100,"&gt;="&amp;C1753)</f>
        <v/>
      </c>
      <c r="H1753">
        <f>INDEX(CBIC_Late_Fee_Relief_Windows_3B!$I$1753:$I$100,MATCH(G1753,CBIC_Late_Fee_Relief_Windows_3B!$O$1753:$O$100,0))</f>
        <v/>
      </c>
      <c r="I1753">
        <f>MIN(F1753,H1753)</f>
        <v/>
      </c>
    </row>
    <row r="1754">
      <c r="A1754">
        <f>TEST_DATA!A1754</f>
        <v/>
      </c>
      <c r="B1754">
        <f>TEST_DATA!B1754</f>
        <v/>
      </c>
      <c r="C1754">
        <f>TEST_DATA!C1754</f>
        <v/>
      </c>
      <c r="D1754">
        <f>TEST_DATA!D1754</f>
        <v/>
      </c>
      <c r="E1754">
        <f>TEST_DATA!E1754</f>
        <v/>
      </c>
      <c r="F1754">
        <f>MIN(E1754*175400,10000)</f>
        <v/>
      </c>
      <c r="G1754">
        <f>MINIFS(CBIC_Late_Fee_Relief_Windows_3B!$O$1754:$O$100,CBIC_Late_Fee_Relief_Windows_3B!$D$1754:$D$100,"&lt;="&amp;B1754,CBIC_Late_Fee_Relief_Windows_3B!$E$1754:$E$100,"&gt;="&amp;B1754,CBIC_Late_Fee_Relief_Windows_3B!$F$1754:$F$100,"&lt;="&amp;C1754,CBIC_Late_Fee_Relief_Windows_3B!$G$1754:$G$100,"&gt;="&amp;C1754)</f>
        <v/>
      </c>
      <c r="H1754">
        <f>INDEX(CBIC_Late_Fee_Relief_Windows_3B!$I$1754:$I$100,MATCH(G1754,CBIC_Late_Fee_Relief_Windows_3B!$O$1754:$O$100,0))</f>
        <v/>
      </c>
      <c r="I1754">
        <f>MIN(F1754,H1754)</f>
        <v/>
      </c>
    </row>
    <row r="1755">
      <c r="A1755">
        <f>TEST_DATA!A1755</f>
        <v/>
      </c>
      <c r="B1755">
        <f>TEST_DATA!B1755</f>
        <v/>
      </c>
      <c r="C1755">
        <f>TEST_DATA!C1755</f>
        <v/>
      </c>
      <c r="D1755">
        <f>TEST_DATA!D1755</f>
        <v/>
      </c>
      <c r="E1755">
        <f>TEST_DATA!E1755</f>
        <v/>
      </c>
      <c r="F1755">
        <f>MIN(E1755*175500,10000)</f>
        <v/>
      </c>
      <c r="G1755">
        <f>MINIFS(CBIC_Late_Fee_Relief_Windows_3B!$O$1755:$O$100,CBIC_Late_Fee_Relief_Windows_3B!$D$1755:$D$100,"&lt;="&amp;B1755,CBIC_Late_Fee_Relief_Windows_3B!$E$1755:$E$100,"&gt;="&amp;B1755,CBIC_Late_Fee_Relief_Windows_3B!$F$1755:$F$100,"&lt;="&amp;C1755,CBIC_Late_Fee_Relief_Windows_3B!$G$1755:$G$100,"&gt;="&amp;C1755)</f>
        <v/>
      </c>
      <c r="H1755">
        <f>INDEX(CBIC_Late_Fee_Relief_Windows_3B!$I$1755:$I$100,MATCH(G1755,CBIC_Late_Fee_Relief_Windows_3B!$O$1755:$O$100,0))</f>
        <v/>
      </c>
      <c r="I1755">
        <f>MIN(F1755,H1755)</f>
        <v/>
      </c>
    </row>
    <row r="1756">
      <c r="A1756">
        <f>TEST_DATA!A1756</f>
        <v/>
      </c>
      <c r="B1756">
        <f>TEST_DATA!B1756</f>
        <v/>
      </c>
      <c r="C1756">
        <f>TEST_DATA!C1756</f>
        <v/>
      </c>
      <c r="D1756">
        <f>TEST_DATA!D1756</f>
        <v/>
      </c>
      <c r="E1756">
        <f>TEST_DATA!E1756</f>
        <v/>
      </c>
      <c r="F1756">
        <f>MIN(E1756*175600,10000)</f>
        <v/>
      </c>
      <c r="G1756">
        <f>MINIFS(CBIC_Late_Fee_Relief_Windows_3B!$O$1756:$O$100,CBIC_Late_Fee_Relief_Windows_3B!$D$1756:$D$100,"&lt;="&amp;B1756,CBIC_Late_Fee_Relief_Windows_3B!$E$1756:$E$100,"&gt;="&amp;B1756,CBIC_Late_Fee_Relief_Windows_3B!$F$1756:$F$100,"&lt;="&amp;C1756,CBIC_Late_Fee_Relief_Windows_3B!$G$1756:$G$100,"&gt;="&amp;C1756)</f>
        <v/>
      </c>
      <c r="H1756">
        <f>INDEX(CBIC_Late_Fee_Relief_Windows_3B!$I$1756:$I$100,MATCH(G1756,CBIC_Late_Fee_Relief_Windows_3B!$O$1756:$O$100,0))</f>
        <v/>
      </c>
      <c r="I1756">
        <f>MIN(F1756,H1756)</f>
        <v/>
      </c>
    </row>
    <row r="1757">
      <c r="A1757">
        <f>TEST_DATA!A1757</f>
        <v/>
      </c>
      <c r="B1757">
        <f>TEST_DATA!B1757</f>
        <v/>
      </c>
      <c r="C1757">
        <f>TEST_DATA!C1757</f>
        <v/>
      </c>
      <c r="D1757">
        <f>TEST_DATA!D1757</f>
        <v/>
      </c>
      <c r="E1757">
        <f>TEST_DATA!E1757</f>
        <v/>
      </c>
      <c r="F1757">
        <f>MIN(E1757*175700,10000)</f>
        <v/>
      </c>
      <c r="G1757">
        <f>MINIFS(CBIC_Late_Fee_Relief_Windows_3B!$O$1757:$O$100,CBIC_Late_Fee_Relief_Windows_3B!$D$1757:$D$100,"&lt;="&amp;B1757,CBIC_Late_Fee_Relief_Windows_3B!$E$1757:$E$100,"&gt;="&amp;B1757,CBIC_Late_Fee_Relief_Windows_3B!$F$1757:$F$100,"&lt;="&amp;C1757,CBIC_Late_Fee_Relief_Windows_3B!$G$1757:$G$100,"&gt;="&amp;C1757)</f>
        <v/>
      </c>
      <c r="H1757">
        <f>INDEX(CBIC_Late_Fee_Relief_Windows_3B!$I$1757:$I$100,MATCH(G1757,CBIC_Late_Fee_Relief_Windows_3B!$O$1757:$O$100,0))</f>
        <v/>
      </c>
      <c r="I1757">
        <f>MIN(F1757,H1757)</f>
        <v/>
      </c>
    </row>
    <row r="1758">
      <c r="A1758">
        <f>TEST_DATA!A1758</f>
        <v/>
      </c>
      <c r="B1758">
        <f>TEST_DATA!B1758</f>
        <v/>
      </c>
      <c r="C1758">
        <f>TEST_DATA!C1758</f>
        <v/>
      </c>
      <c r="D1758">
        <f>TEST_DATA!D1758</f>
        <v/>
      </c>
      <c r="E1758">
        <f>TEST_DATA!E1758</f>
        <v/>
      </c>
      <c r="F1758">
        <f>MIN(E1758*175800,10000)</f>
        <v/>
      </c>
      <c r="G1758">
        <f>MINIFS(CBIC_Late_Fee_Relief_Windows_3B!$O$1758:$O$100,CBIC_Late_Fee_Relief_Windows_3B!$D$1758:$D$100,"&lt;="&amp;B1758,CBIC_Late_Fee_Relief_Windows_3B!$E$1758:$E$100,"&gt;="&amp;B1758,CBIC_Late_Fee_Relief_Windows_3B!$F$1758:$F$100,"&lt;="&amp;C1758,CBIC_Late_Fee_Relief_Windows_3B!$G$1758:$G$100,"&gt;="&amp;C1758)</f>
        <v/>
      </c>
      <c r="H1758">
        <f>INDEX(CBIC_Late_Fee_Relief_Windows_3B!$I$1758:$I$100,MATCH(G1758,CBIC_Late_Fee_Relief_Windows_3B!$O$1758:$O$100,0))</f>
        <v/>
      </c>
      <c r="I1758">
        <f>MIN(F1758,H1758)</f>
        <v/>
      </c>
    </row>
    <row r="1759">
      <c r="A1759">
        <f>TEST_DATA!A1759</f>
        <v/>
      </c>
      <c r="B1759">
        <f>TEST_DATA!B1759</f>
        <v/>
      </c>
      <c r="C1759">
        <f>TEST_DATA!C1759</f>
        <v/>
      </c>
      <c r="D1759">
        <f>TEST_DATA!D1759</f>
        <v/>
      </c>
      <c r="E1759">
        <f>TEST_DATA!E1759</f>
        <v/>
      </c>
      <c r="F1759">
        <f>MIN(E1759*175900,10000)</f>
        <v/>
      </c>
      <c r="G1759">
        <f>MINIFS(CBIC_Late_Fee_Relief_Windows_3B!$O$1759:$O$100,CBIC_Late_Fee_Relief_Windows_3B!$D$1759:$D$100,"&lt;="&amp;B1759,CBIC_Late_Fee_Relief_Windows_3B!$E$1759:$E$100,"&gt;="&amp;B1759,CBIC_Late_Fee_Relief_Windows_3B!$F$1759:$F$100,"&lt;="&amp;C1759,CBIC_Late_Fee_Relief_Windows_3B!$G$1759:$G$100,"&gt;="&amp;C1759)</f>
        <v/>
      </c>
      <c r="H1759">
        <f>INDEX(CBIC_Late_Fee_Relief_Windows_3B!$I$1759:$I$100,MATCH(G1759,CBIC_Late_Fee_Relief_Windows_3B!$O$1759:$O$100,0))</f>
        <v/>
      </c>
      <c r="I1759">
        <f>MIN(F1759,H1759)</f>
        <v/>
      </c>
    </row>
    <row r="1760">
      <c r="A1760">
        <f>TEST_DATA!A1760</f>
        <v/>
      </c>
      <c r="B1760">
        <f>TEST_DATA!B1760</f>
        <v/>
      </c>
      <c r="C1760">
        <f>TEST_DATA!C1760</f>
        <v/>
      </c>
      <c r="D1760">
        <f>TEST_DATA!D1760</f>
        <v/>
      </c>
      <c r="E1760">
        <f>TEST_DATA!E1760</f>
        <v/>
      </c>
      <c r="F1760">
        <f>MIN(E1760*176000,10000)</f>
        <v/>
      </c>
      <c r="G1760">
        <f>MINIFS(CBIC_Late_Fee_Relief_Windows_3B!$O$1760:$O$100,CBIC_Late_Fee_Relief_Windows_3B!$D$1760:$D$100,"&lt;="&amp;B1760,CBIC_Late_Fee_Relief_Windows_3B!$E$1760:$E$100,"&gt;="&amp;B1760,CBIC_Late_Fee_Relief_Windows_3B!$F$1760:$F$100,"&lt;="&amp;C1760,CBIC_Late_Fee_Relief_Windows_3B!$G$1760:$G$100,"&gt;="&amp;C1760)</f>
        <v/>
      </c>
      <c r="H1760">
        <f>INDEX(CBIC_Late_Fee_Relief_Windows_3B!$I$1760:$I$100,MATCH(G1760,CBIC_Late_Fee_Relief_Windows_3B!$O$1760:$O$100,0))</f>
        <v/>
      </c>
      <c r="I1760">
        <f>MIN(F1760,H1760)</f>
        <v/>
      </c>
    </row>
    <row r="1761">
      <c r="A1761">
        <f>TEST_DATA!A1761</f>
        <v/>
      </c>
      <c r="B1761">
        <f>TEST_DATA!B1761</f>
        <v/>
      </c>
      <c r="C1761">
        <f>TEST_DATA!C1761</f>
        <v/>
      </c>
      <c r="D1761">
        <f>TEST_DATA!D1761</f>
        <v/>
      </c>
      <c r="E1761">
        <f>TEST_DATA!E1761</f>
        <v/>
      </c>
      <c r="F1761">
        <f>MIN(E1761*176100,10000)</f>
        <v/>
      </c>
      <c r="G1761">
        <f>MINIFS(CBIC_Late_Fee_Relief_Windows_3B!$O$1761:$O$100,CBIC_Late_Fee_Relief_Windows_3B!$D$1761:$D$100,"&lt;="&amp;B1761,CBIC_Late_Fee_Relief_Windows_3B!$E$1761:$E$100,"&gt;="&amp;B1761,CBIC_Late_Fee_Relief_Windows_3B!$F$1761:$F$100,"&lt;="&amp;C1761,CBIC_Late_Fee_Relief_Windows_3B!$G$1761:$G$100,"&gt;="&amp;C1761)</f>
        <v/>
      </c>
      <c r="H1761">
        <f>INDEX(CBIC_Late_Fee_Relief_Windows_3B!$I$1761:$I$100,MATCH(G1761,CBIC_Late_Fee_Relief_Windows_3B!$O$1761:$O$100,0))</f>
        <v/>
      </c>
      <c r="I1761">
        <f>MIN(F1761,H1761)</f>
        <v/>
      </c>
    </row>
    <row r="1762">
      <c r="A1762">
        <f>TEST_DATA!A1762</f>
        <v/>
      </c>
      <c r="B1762">
        <f>TEST_DATA!B1762</f>
        <v/>
      </c>
      <c r="C1762">
        <f>TEST_DATA!C1762</f>
        <v/>
      </c>
      <c r="D1762">
        <f>TEST_DATA!D1762</f>
        <v/>
      </c>
      <c r="E1762">
        <f>TEST_DATA!E1762</f>
        <v/>
      </c>
      <c r="F1762">
        <f>MIN(E1762*176200,10000)</f>
        <v/>
      </c>
      <c r="G1762">
        <f>MINIFS(CBIC_Late_Fee_Relief_Windows_3B!$O$1762:$O$100,CBIC_Late_Fee_Relief_Windows_3B!$D$1762:$D$100,"&lt;="&amp;B1762,CBIC_Late_Fee_Relief_Windows_3B!$E$1762:$E$100,"&gt;="&amp;B1762,CBIC_Late_Fee_Relief_Windows_3B!$F$1762:$F$100,"&lt;="&amp;C1762,CBIC_Late_Fee_Relief_Windows_3B!$G$1762:$G$100,"&gt;="&amp;C1762)</f>
        <v/>
      </c>
      <c r="H1762">
        <f>INDEX(CBIC_Late_Fee_Relief_Windows_3B!$I$1762:$I$100,MATCH(G1762,CBIC_Late_Fee_Relief_Windows_3B!$O$1762:$O$100,0))</f>
        <v/>
      </c>
      <c r="I1762">
        <f>MIN(F1762,H1762)</f>
        <v/>
      </c>
    </row>
    <row r="1763">
      <c r="A1763">
        <f>TEST_DATA!A1763</f>
        <v/>
      </c>
      <c r="B1763">
        <f>TEST_DATA!B1763</f>
        <v/>
      </c>
      <c r="C1763">
        <f>TEST_DATA!C1763</f>
        <v/>
      </c>
      <c r="D1763">
        <f>TEST_DATA!D1763</f>
        <v/>
      </c>
      <c r="E1763">
        <f>TEST_DATA!E1763</f>
        <v/>
      </c>
      <c r="F1763">
        <f>MIN(E1763*176300,10000)</f>
        <v/>
      </c>
      <c r="G1763">
        <f>MINIFS(CBIC_Late_Fee_Relief_Windows_3B!$O$1763:$O$100,CBIC_Late_Fee_Relief_Windows_3B!$D$1763:$D$100,"&lt;="&amp;B1763,CBIC_Late_Fee_Relief_Windows_3B!$E$1763:$E$100,"&gt;="&amp;B1763,CBIC_Late_Fee_Relief_Windows_3B!$F$1763:$F$100,"&lt;="&amp;C1763,CBIC_Late_Fee_Relief_Windows_3B!$G$1763:$G$100,"&gt;="&amp;C1763)</f>
        <v/>
      </c>
      <c r="H1763">
        <f>INDEX(CBIC_Late_Fee_Relief_Windows_3B!$I$1763:$I$100,MATCH(G1763,CBIC_Late_Fee_Relief_Windows_3B!$O$1763:$O$100,0))</f>
        <v/>
      </c>
      <c r="I1763">
        <f>MIN(F1763,H1763)</f>
        <v/>
      </c>
    </row>
    <row r="1764">
      <c r="A1764">
        <f>TEST_DATA!A1764</f>
        <v/>
      </c>
      <c r="B1764">
        <f>TEST_DATA!B1764</f>
        <v/>
      </c>
      <c r="C1764">
        <f>TEST_DATA!C1764</f>
        <v/>
      </c>
      <c r="D1764">
        <f>TEST_DATA!D1764</f>
        <v/>
      </c>
      <c r="E1764">
        <f>TEST_DATA!E1764</f>
        <v/>
      </c>
      <c r="F1764">
        <f>MIN(E1764*176400,10000)</f>
        <v/>
      </c>
      <c r="G1764">
        <f>MINIFS(CBIC_Late_Fee_Relief_Windows_3B!$O$1764:$O$100,CBIC_Late_Fee_Relief_Windows_3B!$D$1764:$D$100,"&lt;="&amp;B1764,CBIC_Late_Fee_Relief_Windows_3B!$E$1764:$E$100,"&gt;="&amp;B1764,CBIC_Late_Fee_Relief_Windows_3B!$F$1764:$F$100,"&lt;="&amp;C1764,CBIC_Late_Fee_Relief_Windows_3B!$G$1764:$G$100,"&gt;="&amp;C1764)</f>
        <v/>
      </c>
      <c r="H1764">
        <f>INDEX(CBIC_Late_Fee_Relief_Windows_3B!$I$1764:$I$100,MATCH(G1764,CBIC_Late_Fee_Relief_Windows_3B!$O$1764:$O$100,0))</f>
        <v/>
      </c>
      <c r="I1764">
        <f>MIN(F1764,H1764)</f>
        <v/>
      </c>
    </row>
    <row r="1765">
      <c r="A1765">
        <f>TEST_DATA!A1765</f>
        <v/>
      </c>
      <c r="B1765">
        <f>TEST_DATA!B1765</f>
        <v/>
      </c>
      <c r="C1765">
        <f>TEST_DATA!C1765</f>
        <v/>
      </c>
      <c r="D1765">
        <f>TEST_DATA!D1765</f>
        <v/>
      </c>
      <c r="E1765">
        <f>TEST_DATA!E1765</f>
        <v/>
      </c>
      <c r="F1765">
        <f>MIN(E1765*176500,10000)</f>
        <v/>
      </c>
      <c r="G1765">
        <f>MINIFS(CBIC_Late_Fee_Relief_Windows_3B!$O$1765:$O$100,CBIC_Late_Fee_Relief_Windows_3B!$D$1765:$D$100,"&lt;="&amp;B1765,CBIC_Late_Fee_Relief_Windows_3B!$E$1765:$E$100,"&gt;="&amp;B1765,CBIC_Late_Fee_Relief_Windows_3B!$F$1765:$F$100,"&lt;="&amp;C1765,CBIC_Late_Fee_Relief_Windows_3B!$G$1765:$G$100,"&gt;="&amp;C1765)</f>
        <v/>
      </c>
      <c r="H1765">
        <f>INDEX(CBIC_Late_Fee_Relief_Windows_3B!$I$1765:$I$100,MATCH(G1765,CBIC_Late_Fee_Relief_Windows_3B!$O$1765:$O$100,0))</f>
        <v/>
      </c>
      <c r="I1765">
        <f>MIN(F1765,H1765)</f>
        <v/>
      </c>
    </row>
    <row r="1766">
      <c r="A1766">
        <f>TEST_DATA!A1766</f>
        <v/>
      </c>
      <c r="B1766">
        <f>TEST_DATA!B1766</f>
        <v/>
      </c>
      <c r="C1766">
        <f>TEST_DATA!C1766</f>
        <v/>
      </c>
      <c r="D1766">
        <f>TEST_DATA!D1766</f>
        <v/>
      </c>
      <c r="E1766">
        <f>TEST_DATA!E1766</f>
        <v/>
      </c>
      <c r="F1766">
        <f>MIN(E1766*176600,10000)</f>
        <v/>
      </c>
      <c r="G1766">
        <f>MINIFS(CBIC_Late_Fee_Relief_Windows_3B!$O$1766:$O$100,CBIC_Late_Fee_Relief_Windows_3B!$D$1766:$D$100,"&lt;="&amp;B1766,CBIC_Late_Fee_Relief_Windows_3B!$E$1766:$E$100,"&gt;="&amp;B1766,CBIC_Late_Fee_Relief_Windows_3B!$F$1766:$F$100,"&lt;="&amp;C1766,CBIC_Late_Fee_Relief_Windows_3B!$G$1766:$G$100,"&gt;="&amp;C1766)</f>
        <v/>
      </c>
      <c r="H1766">
        <f>INDEX(CBIC_Late_Fee_Relief_Windows_3B!$I$1766:$I$100,MATCH(G1766,CBIC_Late_Fee_Relief_Windows_3B!$O$1766:$O$100,0))</f>
        <v/>
      </c>
      <c r="I1766">
        <f>MIN(F1766,H1766)</f>
        <v/>
      </c>
    </row>
    <row r="1767">
      <c r="A1767">
        <f>TEST_DATA!A1767</f>
        <v/>
      </c>
      <c r="B1767">
        <f>TEST_DATA!B1767</f>
        <v/>
      </c>
      <c r="C1767">
        <f>TEST_DATA!C1767</f>
        <v/>
      </c>
      <c r="D1767">
        <f>TEST_DATA!D1767</f>
        <v/>
      </c>
      <c r="E1767">
        <f>TEST_DATA!E1767</f>
        <v/>
      </c>
      <c r="F1767">
        <f>MIN(E1767*176700,10000)</f>
        <v/>
      </c>
      <c r="G1767">
        <f>MINIFS(CBIC_Late_Fee_Relief_Windows_3B!$O$1767:$O$100,CBIC_Late_Fee_Relief_Windows_3B!$D$1767:$D$100,"&lt;="&amp;B1767,CBIC_Late_Fee_Relief_Windows_3B!$E$1767:$E$100,"&gt;="&amp;B1767,CBIC_Late_Fee_Relief_Windows_3B!$F$1767:$F$100,"&lt;="&amp;C1767,CBIC_Late_Fee_Relief_Windows_3B!$G$1767:$G$100,"&gt;="&amp;C1767)</f>
        <v/>
      </c>
      <c r="H1767">
        <f>INDEX(CBIC_Late_Fee_Relief_Windows_3B!$I$1767:$I$100,MATCH(G1767,CBIC_Late_Fee_Relief_Windows_3B!$O$1767:$O$100,0))</f>
        <v/>
      </c>
      <c r="I1767">
        <f>MIN(F1767,H1767)</f>
        <v/>
      </c>
    </row>
    <row r="1768">
      <c r="A1768">
        <f>TEST_DATA!A1768</f>
        <v/>
      </c>
      <c r="B1768">
        <f>TEST_DATA!B1768</f>
        <v/>
      </c>
      <c r="C1768">
        <f>TEST_DATA!C1768</f>
        <v/>
      </c>
      <c r="D1768">
        <f>TEST_DATA!D1768</f>
        <v/>
      </c>
      <c r="E1768">
        <f>TEST_DATA!E1768</f>
        <v/>
      </c>
      <c r="F1768">
        <f>MIN(E1768*176800,10000)</f>
        <v/>
      </c>
      <c r="G1768">
        <f>MINIFS(CBIC_Late_Fee_Relief_Windows_3B!$O$1768:$O$100,CBIC_Late_Fee_Relief_Windows_3B!$D$1768:$D$100,"&lt;="&amp;B1768,CBIC_Late_Fee_Relief_Windows_3B!$E$1768:$E$100,"&gt;="&amp;B1768,CBIC_Late_Fee_Relief_Windows_3B!$F$1768:$F$100,"&lt;="&amp;C1768,CBIC_Late_Fee_Relief_Windows_3B!$G$1768:$G$100,"&gt;="&amp;C1768)</f>
        <v/>
      </c>
      <c r="H1768">
        <f>INDEX(CBIC_Late_Fee_Relief_Windows_3B!$I$1768:$I$100,MATCH(G1768,CBIC_Late_Fee_Relief_Windows_3B!$O$1768:$O$100,0))</f>
        <v/>
      </c>
      <c r="I1768">
        <f>MIN(F1768,H1768)</f>
        <v/>
      </c>
    </row>
    <row r="1769">
      <c r="A1769">
        <f>TEST_DATA!A1769</f>
        <v/>
      </c>
      <c r="B1769">
        <f>TEST_DATA!B1769</f>
        <v/>
      </c>
      <c r="C1769">
        <f>TEST_DATA!C1769</f>
        <v/>
      </c>
      <c r="D1769">
        <f>TEST_DATA!D1769</f>
        <v/>
      </c>
      <c r="E1769">
        <f>TEST_DATA!E1769</f>
        <v/>
      </c>
      <c r="F1769">
        <f>MIN(E1769*176900,10000)</f>
        <v/>
      </c>
      <c r="G1769">
        <f>MINIFS(CBIC_Late_Fee_Relief_Windows_3B!$O$1769:$O$100,CBIC_Late_Fee_Relief_Windows_3B!$D$1769:$D$100,"&lt;="&amp;B1769,CBIC_Late_Fee_Relief_Windows_3B!$E$1769:$E$100,"&gt;="&amp;B1769,CBIC_Late_Fee_Relief_Windows_3B!$F$1769:$F$100,"&lt;="&amp;C1769,CBIC_Late_Fee_Relief_Windows_3B!$G$1769:$G$100,"&gt;="&amp;C1769)</f>
        <v/>
      </c>
      <c r="H1769">
        <f>INDEX(CBIC_Late_Fee_Relief_Windows_3B!$I$1769:$I$100,MATCH(G1769,CBIC_Late_Fee_Relief_Windows_3B!$O$1769:$O$100,0))</f>
        <v/>
      </c>
      <c r="I1769">
        <f>MIN(F1769,H1769)</f>
        <v/>
      </c>
    </row>
    <row r="1770">
      <c r="A1770">
        <f>TEST_DATA!A1770</f>
        <v/>
      </c>
      <c r="B1770">
        <f>TEST_DATA!B1770</f>
        <v/>
      </c>
      <c r="C1770">
        <f>TEST_DATA!C1770</f>
        <v/>
      </c>
      <c r="D1770">
        <f>TEST_DATA!D1770</f>
        <v/>
      </c>
      <c r="E1770">
        <f>TEST_DATA!E1770</f>
        <v/>
      </c>
      <c r="F1770">
        <f>MIN(E1770*177000,10000)</f>
        <v/>
      </c>
      <c r="G1770">
        <f>MINIFS(CBIC_Late_Fee_Relief_Windows_3B!$O$1770:$O$100,CBIC_Late_Fee_Relief_Windows_3B!$D$1770:$D$100,"&lt;="&amp;B1770,CBIC_Late_Fee_Relief_Windows_3B!$E$1770:$E$100,"&gt;="&amp;B1770,CBIC_Late_Fee_Relief_Windows_3B!$F$1770:$F$100,"&lt;="&amp;C1770,CBIC_Late_Fee_Relief_Windows_3B!$G$1770:$G$100,"&gt;="&amp;C1770)</f>
        <v/>
      </c>
      <c r="H1770">
        <f>INDEX(CBIC_Late_Fee_Relief_Windows_3B!$I$1770:$I$100,MATCH(G1770,CBIC_Late_Fee_Relief_Windows_3B!$O$1770:$O$100,0))</f>
        <v/>
      </c>
      <c r="I1770">
        <f>MIN(F1770,H1770)</f>
        <v/>
      </c>
    </row>
    <row r="1771">
      <c r="A1771">
        <f>TEST_DATA!A1771</f>
        <v/>
      </c>
      <c r="B1771">
        <f>TEST_DATA!B1771</f>
        <v/>
      </c>
      <c r="C1771">
        <f>TEST_DATA!C1771</f>
        <v/>
      </c>
      <c r="D1771">
        <f>TEST_DATA!D1771</f>
        <v/>
      </c>
      <c r="E1771">
        <f>TEST_DATA!E1771</f>
        <v/>
      </c>
      <c r="F1771">
        <f>MIN(E1771*177100,10000)</f>
        <v/>
      </c>
      <c r="G1771">
        <f>MINIFS(CBIC_Late_Fee_Relief_Windows_3B!$O$1771:$O$100,CBIC_Late_Fee_Relief_Windows_3B!$D$1771:$D$100,"&lt;="&amp;B1771,CBIC_Late_Fee_Relief_Windows_3B!$E$1771:$E$100,"&gt;="&amp;B1771,CBIC_Late_Fee_Relief_Windows_3B!$F$1771:$F$100,"&lt;="&amp;C1771,CBIC_Late_Fee_Relief_Windows_3B!$G$1771:$G$100,"&gt;="&amp;C1771)</f>
        <v/>
      </c>
      <c r="H1771">
        <f>INDEX(CBIC_Late_Fee_Relief_Windows_3B!$I$1771:$I$100,MATCH(G1771,CBIC_Late_Fee_Relief_Windows_3B!$O$1771:$O$100,0))</f>
        <v/>
      </c>
      <c r="I1771">
        <f>MIN(F1771,H1771)</f>
        <v/>
      </c>
    </row>
    <row r="1772">
      <c r="A1772">
        <f>TEST_DATA!A1772</f>
        <v/>
      </c>
      <c r="B1772">
        <f>TEST_DATA!B1772</f>
        <v/>
      </c>
      <c r="C1772">
        <f>TEST_DATA!C1772</f>
        <v/>
      </c>
      <c r="D1772">
        <f>TEST_DATA!D1772</f>
        <v/>
      </c>
      <c r="E1772">
        <f>TEST_DATA!E1772</f>
        <v/>
      </c>
      <c r="F1772">
        <f>MIN(E1772*177200,10000)</f>
        <v/>
      </c>
      <c r="G1772">
        <f>MINIFS(CBIC_Late_Fee_Relief_Windows_3B!$O$1772:$O$100,CBIC_Late_Fee_Relief_Windows_3B!$D$1772:$D$100,"&lt;="&amp;B1772,CBIC_Late_Fee_Relief_Windows_3B!$E$1772:$E$100,"&gt;="&amp;B1772,CBIC_Late_Fee_Relief_Windows_3B!$F$1772:$F$100,"&lt;="&amp;C1772,CBIC_Late_Fee_Relief_Windows_3B!$G$1772:$G$100,"&gt;="&amp;C1772)</f>
        <v/>
      </c>
      <c r="H1772">
        <f>INDEX(CBIC_Late_Fee_Relief_Windows_3B!$I$1772:$I$100,MATCH(G1772,CBIC_Late_Fee_Relief_Windows_3B!$O$1772:$O$100,0))</f>
        <v/>
      </c>
      <c r="I1772">
        <f>MIN(F1772,H1772)</f>
        <v/>
      </c>
    </row>
    <row r="1773">
      <c r="A1773">
        <f>TEST_DATA!A1773</f>
        <v/>
      </c>
      <c r="B1773">
        <f>TEST_DATA!B1773</f>
        <v/>
      </c>
      <c r="C1773">
        <f>TEST_DATA!C1773</f>
        <v/>
      </c>
      <c r="D1773">
        <f>TEST_DATA!D1773</f>
        <v/>
      </c>
      <c r="E1773">
        <f>TEST_DATA!E1773</f>
        <v/>
      </c>
      <c r="F1773">
        <f>MIN(E1773*177300,10000)</f>
        <v/>
      </c>
      <c r="G1773">
        <f>MINIFS(CBIC_Late_Fee_Relief_Windows_3B!$O$1773:$O$100,CBIC_Late_Fee_Relief_Windows_3B!$D$1773:$D$100,"&lt;="&amp;B1773,CBIC_Late_Fee_Relief_Windows_3B!$E$1773:$E$100,"&gt;="&amp;B1773,CBIC_Late_Fee_Relief_Windows_3B!$F$1773:$F$100,"&lt;="&amp;C1773,CBIC_Late_Fee_Relief_Windows_3B!$G$1773:$G$100,"&gt;="&amp;C1773)</f>
        <v/>
      </c>
      <c r="H1773">
        <f>INDEX(CBIC_Late_Fee_Relief_Windows_3B!$I$1773:$I$100,MATCH(G1773,CBIC_Late_Fee_Relief_Windows_3B!$O$1773:$O$100,0))</f>
        <v/>
      </c>
      <c r="I1773">
        <f>MIN(F1773,H1773)</f>
        <v/>
      </c>
    </row>
    <row r="1774">
      <c r="A1774">
        <f>TEST_DATA!A1774</f>
        <v/>
      </c>
      <c r="B1774">
        <f>TEST_DATA!B1774</f>
        <v/>
      </c>
      <c r="C1774">
        <f>TEST_DATA!C1774</f>
        <v/>
      </c>
      <c r="D1774">
        <f>TEST_DATA!D1774</f>
        <v/>
      </c>
      <c r="E1774">
        <f>TEST_DATA!E1774</f>
        <v/>
      </c>
      <c r="F1774">
        <f>MIN(E1774*177400,10000)</f>
        <v/>
      </c>
      <c r="G1774">
        <f>MINIFS(CBIC_Late_Fee_Relief_Windows_3B!$O$1774:$O$100,CBIC_Late_Fee_Relief_Windows_3B!$D$1774:$D$100,"&lt;="&amp;B1774,CBIC_Late_Fee_Relief_Windows_3B!$E$1774:$E$100,"&gt;="&amp;B1774,CBIC_Late_Fee_Relief_Windows_3B!$F$1774:$F$100,"&lt;="&amp;C1774,CBIC_Late_Fee_Relief_Windows_3B!$G$1774:$G$100,"&gt;="&amp;C1774)</f>
        <v/>
      </c>
      <c r="H1774">
        <f>INDEX(CBIC_Late_Fee_Relief_Windows_3B!$I$1774:$I$100,MATCH(G1774,CBIC_Late_Fee_Relief_Windows_3B!$O$1774:$O$100,0))</f>
        <v/>
      </c>
      <c r="I1774">
        <f>MIN(F1774,H1774)</f>
        <v/>
      </c>
    </row>
    <row r="1775">
      <c r="A1775">
        <f>TEST_DATA!A1775</f>
        <v/>
      </c>
      <c r="B1775">
        <f>TEST_DATA!B1775</f>
        <v/>
      </c>
      <c r="C1775">
        <f>TEST_DATA!C1775</f>
        <v/>
      </c>
      <c r="D1775">
        <f>TEST_DATA!D1775</f>
        <v/>
      </c>
      <c r="E1775">
        <f>TEST_DATA!E1775</f>
        <v/>
      </c>
      <c r="F1775">
        <f>MIN(E1775*177500,10000)</f>
        <v/>
      </c>
      <c r="G1775">
        <f>MINIFS(CBIC_Late_Fee_Relief_Windows_3B!$O$1775:$O$100,CBIC_Late_Fee_Relief_Windows_3B!$D$1775:$D$100,"&lt;="&amp;B1775,CBIC_Late_Fee_Relief_Windows_3B!$E$1775:$E$100,"&gt;="&amp;B1775,CBIC_Late_Fee_Relief_Windows_3B!$F$1775:$F$100,"&lt;="&amp;C1775,CBIC_Late_Fee_Relief_Windows_3B!$G$1775:$G$100,"&gt;="&amp;C1775)</f>
        <v/>
      </c>
      <c r="H1775">
        <f>INDEX(CBIC_Late_Fee_Relief_Windows_3B!$I$1775:$I$100,MATCH(G1775,CBIC_Late_Fee_Relief_Windows_3B!$O$1775:$O$100,0))</f>
        <v/>
      </c>
      <c r="I1775">
        <f>MIN(F1775,H1775)</f>
        <v/>
      </c>
    </row>
    <row r="1776">
      <c r="A1776">
        <f>TEST_DATA!A1776</f>
        <v/>
      </c>
      <c r="B1776">
        <f>TEST_DATA!B1776</f>
        <v/>
      </c>
      <c r="C1776">
        <f>TEST_DATA!C1776</f>
        <v/>
      </c>
      <c r="D1776">
        <f>TEST_DATA!D1776</f>
        <v/>
      </c>
      <c r="E1776">
        <f>TEST_DATA!E1776</f>
        <v/>
      </c>
      <c r="F1776">
        <f>MIN(E1776*177600,10000)</f>
        <v/>
      </c>
      <c r="G1776">
        <f>MINIFS(CBIC_Late_Fee_Relief_Windows_3B!$O$1776:$O$100,CBIC_Late_Fee_Relief_Windows_3B!$D$1776:$D$100,"&lt;="&amp;B1776,CBIC_Late_Fee_Relief_Windows_3B!$E$1776:$E$100,"&gt;="&amp;B1776,CBIC_Late_Fee_Relief_Windows_3B!$F$1776:$F$100,"&lt;="&amp;C1776,CBIC_Late_Fee_Relief_Windows_3B!$G$1776:$G$100,"&gt;="&amp;C1776)</f>
        <v/>
      </c>
      <c r="H1776">
        <f>INDEX(CBIC_Late_Fee_Relief_Windows_3B!$I$1776:$I$100,MATCH(G1776,CBIC_Late_Fee_Relief_Windows_3B!$O$1776:$O$100,0))</f>
        <v/>
      </c>
      <c r="I1776">
        <f>MIN(F1776,H1776)</f>
        <v/>
      </c>
    </row>
    <row r="1777">
      <c r="A1777">
        <f>TEST_DATA!A1777</f>
        <v/>
      </c>
      <c r="B1777">
        <f>TEST_DATA!B1777</f>
        <v/>
      </c>
      <c r="C1777">
        <f>TEST_DATA!C1777</f>
        <v/>
      </c>
      <c r="D1777">
        <f>TEST_DATA!D1777</f>
        <v/>
      </c>
      <c r="E1777">
        <f>TEST_DATA!E1777</f>
        <v/>
      </c>
      <c r="F1777">
        <f>MIN(E1777*177700,10000)</f>
        <v/>
      </c>
      <c r="G1777">
        <f>MINIFS(CBIC_Late_Fee_Relief_Windows_3B!$O$1777:$O$100,CBIC_Late_Fee_Relief_Windows_3B!$D$1777:$D$100,"&lt;="&amp;B1777,CBIC_Late_Fee_Relief_Windows_3B!$E$1777:$E$100,"&gt;="&amp;B1777,CBIC_Late_Fee_Relief_Windows_3B!$F$1777:$F$100,"&lt;="&amp;C1777,CBIC_Late_Fee_Relief_Windows_3B!$G$1777:$G$100,"&gt;="&amp;C1777)</f>
        <v/>
      </c>
      <c r="H1777">
        <f>INDEX(CBIC_Late_Fee_Relief_Windows_3B!$I$1777:$I$100,MATCH(G1777,CBIC_Late_Fee_Relief_Windows_3B!$O$1777:$O$100,0))</f>
        <v/>
      </c>
      <c r="I1777">
        <f>MIN(F1777,H1777)</f>
        <v/>
      </c>
    </row>
    <row r="1778">
      <c r="A1778">
        <f>TEST_DATA!A1778</f>
        <v/>
      </c>
      <c r="B1778">
        <f>TEST_DATA!B1778</f>
        <v/>
      </c>
      <c r="C1778">
        <f>TEST_DATA!C1778</f>
        <v/>
      </c>
      <c r="D1778">
        <f>TEST_DATA!D1778</f>
        <v/>
      </c>
      <c r="E1778">
        <f>TEST_DATA!E1778</f>
        <v/>
      </c>
      <c r="F1778">
        <f>MIN(E1778*177800,10000)</f>
        <v/>
      </c>
      <c r="G1778">
        <f>MINIFS(CBIC_Late_Fee_Relief_Windows_3B!$O$1778:$O$100,CBIC_Late_Fee_Relief_Windows_3B!$D$1778:$D$100,"&lt;="&amp;B1778,CBIC_Late_Fee_Relief_Windows_3B!$E$1778:$E$100,"&gt;="&amp;B1778,CBIC_Late_Fee_Relief_Windows_3B!$F$1778:$F$100,"&lt;="&amp;C1778,CBIC_Late_Fee_Relief_Windows_3B!$G$1778:$G$100,"&gt;="&amp;C1778)</f>
        <v/>
      </c>
      <c r="H1778">
        <f>INDEX(CBIC_Late_Fee_Relief_Windows_3B!$I$1778:$I$100,MATCH(G1778,CBIC_Late_Fee_Relief_Windows_3B!$O$1778:$O$100,0))</f>
        <v/>
      </c>
      <c r="I1778">
        <f>MIN(F1778,H1778)</f>
        <v/>
      </c>
    </row>
    <row r="1779">
      <c r="A1779">
        <f>TEST_DATA!A1779</f>
        <v/>
      </c>
      <c r="B1779">
        <f>TEST_DATA!B1779</f>
        <v/>
      </c>
      <c r="C1779">
        <f>TEST_DATA!C1779</f>
        <v/>
      </c>
      <c r="D1779">
        <f>TEST_DATA!D1779</f>
        <v/>
      </c>
      <c r="E1779">
        <f>TEST_DATA!E1779</f>
        <v/>
      </c>
      <c r="F1779">
        <f>MIN(E1779*177900,10000)</f>
        <v/>
      </c>
      <c r="G1779">
        <f>MINIFS(CBIC_Late_Fee_Relief_Windows_3B!$O$1779:$O$100,CBIC_Late_Fee_Relief_Windows_3B!$D$1779:$D$100,"&lt;="&amp;B1779,CBIC_Late_Fee_Relief_Windows_3B!$E$1779:$E$100,"&gt;="&amp;B1779,CBIC_Late_Fee_Relief_Windows_3B!$F$1779:$F$100,"&lt;="&amp;C1779,CBIC_Late_Fee_Relief_Windows_3B!$G$1779:$G$100,"&gt;="&amp;C1779)</f>
        <v/>
      </c>
      <c r="H1779">
        <f>INDEX(CBIC_Late_Fee_Relief_Windows_3B!$I$1779:$I$100,MATCH(G1779,CBIC_Late_Fee_Relief_Windows_3B!$O$1779:$O$100,0))</f>
        <v/>
      </c>
      <c r="I1779">
        <f>MIN(F1779,H1779)</f>
        <v/>
      </c>
    </row>
    <row r="1780">
      <c r="A1780">
        <f>TEST_DATA!A1780</f>
        <v/>
      </c>
      <c r="B1780">
        <f>TEST_DATA!B1780</f>
        <v/>
      </c>
      <c r="C1780">
        <f>TEST_DATA!C1780</f>
        <v/>
      </c>
      <c r="D1780">
        <f>TEST_DATA!D1780</f>
        <v/>
      </c>
      <c r="E1780">
        <f>TEST_DATA!E1780</f>
        <v/>
      </c>
      <c r="F1780">
        <f>MIN(E1780*178000,10000)</f>
        <v/>
      </c>
      <c r="G1780">
        <f>MINIFS(CBIC_Late_Fee_Relief_Windows_3B!$O$1780:$O$100,CBIC_Late_Fee_Relief_Windows_3B!$D$1780:$D$100,"&lt;="&amp;B1780,CBIC_Late_Fee_Relief_Windows_3B!$E$1780:$E$100,"&gt;="&amp;B1780,CBIC_Late_Fee_Relief_Windows_3B!$F$1780:$F$100,"&lt;="&amp;C1780,CBIC_Late_Fee_Relief_Windows_3B!$G$1780:$G$100,"&gt;="&amp;C1780)</f>
        <v/>
      </c>
      <c r="H1780">
        <f>INDEX(CBIC_Late_Fee_Relief_Windows_3B!$I$1780:$I$100,MATCH(G1780,CBIC_Late_Fee_Relief_Windows_3B!$O$1780:$O$100,0))</f>
        <v/>
      </c>
      <c r="I1780">
        <f>MIN(F1780,H1780)</f>
        <v/>
      </c>
    </row>
    <row r="1781">
      <c r="A1781">
        <f>TEST_DATA!A1781</f>
        <v/>
      </c>
      <c r="B1781">
        <f>TEST_DATA!B1781</f>
        <v/>
      </c>
      <c r="C1781">
        <f>TEST_DATA!C1781</f>
        <v/>
      </c>
      <c r="D1781">
        <f>TEST_DATA!D1781</f>
        <v/>
      </c>
      <c r="E1781">
        <f>TEST_DATA!E1781</f>
        <v/>
      </c>
      <c r="F1781">
        <f>MIN(E1781*178100,10000)</f>
        <v/>
      </c>
      <c r="G1781">
        <f>MINIFS(CBIC_Late_Fee_Relief_Windows_3B!$O$1781:$O$100,CBIC_Late_Fee_Relief_Windows_3B!$D$1781:$D$100,"&lt;="&amp;B1781,CBIC_Late_Fee_Relief_Windows_3B!$E$1781:$E$100,"&gt;="&amp;B1781,CBIC_Late_Fee_Relief_Windows_3B!$F$1781:$F$100,"&lt;="&amp;C1781,CBIC_Late_Fee_Relief_Windows_3B!$G$1781:$G$100,"&gt;="&amp;C1781)</f>
        <v/>
      </c>
      <c r="H1781">
        <f>INDEX(CBIC_Late_Fee_Relief_Windows_3B!$I$1781:$I$100,MATCH(G1781,CBIC_Late_Fee_Relief_Windows_3B!$O$1781:$O$100,0))</f>
        <v/>
      </c>
      <c r="I1781">
        <f>MIN(F1781,H1781)</f>
        <v/>
      </c>
    </row>
    <row r="1782">
      <c r="A1782">
        <f>TEST_DATA!A1782</f>
        <v/>
      </c>
      <c r="B1782">
        <f>TEST_DATA!B1782</f>
        <v/>
      </c>
      <c r="C1782">
        <f>TEST_DATA!C1782</f>
        <v/>
      </c>
      <c r="D1782">
        <f>TEST_DATA!D1782</f>
        <v/>
      </c>
      <c r="E1782">
        <f>TEST_DATA!E1782</f>
        <v/>
      </c>
      <c r="F1782">
        <f>MIN(E1782*178200,10000)</f>
        <v/>
      </c>
      <c r="G1782">
        <f>MINIFS(CBIC_Late_Fee_Relief_Windows_3B!$O$1782:$O$100,CBIC_Late_Fee_Relief_Windows_3B!$D$1782:$D$100,"&lt;="&amp;B1782,CBIC_Late_Fee_Relief_Windows_3B!$E$1782:$E$100,"&gt;="&amp;B1782,CBIC_Late_Fee_Relief_Windows_3B!$F$1782:$F$100,"&lt;="&amp;C1782,CBIC_Late_Fee_Relief_Windows_3B!$G$1782:$G$100,"&gt;="&amp;C1782)</f>
        <v/>
      </c>
      <c r="H1782">
        <f>INDEX(CBIC_Late_Fee_Relief_Windows_3B!$I$1782:$I$100,MATCH(G1782,CBIC_Late_Fee_Relief_Windows_3B!$O$1782:$O$100,0))</f>
        <v/>
      </c>
      <c r="I1782">
        <f>MIN(F1782,H1782)</f>
        <v/>
      </c>
    </row>
    <row r="1783">
      <c r="A1783">
        <f>TEST_DATA!A1783</f>
        <v/>
      </c>
      <c r="B1783">
        <f>TEST_DATA!B1783</f>
        <v/>
      </c>
      <c r="C1783">
        <f>TEST_DATA!C1783</f>
        <v/>
      </c>
      <c r="D1783">
        <f>TEST_DATA!D1783</f>
        <v/>
      </c>
      <c r="E1783">
        <f>TEST_DATA!E1783</f>
        <v/>
      </c>
      <c r="F1783">
        <f>MIN(E1783*178300,10000)</f>
        <v/>
      </c>
      <c r="G1783">
        <f>MINIFS(CBIC_Late_Fee_Relief_Windows_3B!$O$1783:$O$100,CBIC_Late_Fee_Relief_Windows_3B!$D$1783:$D$100,"&lt;="&amp;B1783,CBIC_Late_Fee_Relief_Windows_3B!$E$1783:$E$100,"&gt;="&amp;B1783,CBIC_Late_Fee_Relief_Windows_3B!$F$1783:$F$100,"&lt;="&amp;C1783,CBIC_Late_Fee_Relief_Windows_3B!$G$1783:$G$100,"&gt;="&amp;C1783)</f>
        <v/>
      </c>
      <c r="H1783">
        <f>INDEX(CBIC_Late_Fee_Relief_Windows_3B!$I$1783:$I$100,MATCH(G1783,CBIC_Late_Fee_Relief_Windows_3B!$O$1783:$O$100,0))</f>
        <v/>
      </c>
      <c r="I1783">
        <f>MIN(F1783,H1783)</f>
        <v/>
      </c>
    </row>
    <row r="1784">
      <c r="A1784">
        <f>TEST_DATA!A1784</f>
        <v/>
      </c>
      <c r="B1784">
        <f>TEST_DATA!B1784</f>
        <v/>
      </c>
      <c r="C1784">
        <f>TEST_DATA!C1784</f>
        <v/>
      </c>
      <c r="D1784">
        <f>TEST_DATA!D1784</f>
        <v/>
      </c>
      <c r="E1784">
        <f>TEST_DATA!E1784</f>
        <v/>
      </c>
      <c r="F1784">
        <f>MIN(E1784*178400,10000)</f>
        <v/>
      </c>
      <c r="G1784">
        <f>MINIFS(CBIC_Late_Fee_Relief_Windows_3B!$O$1784:$O$100,CBIC_Late_Fee_Relief_Windows_3B!$D$1784:$D$100,"&lt;="&amp;B1784,CBIC_Late_Fee_Relief_Windows_3B!$E$1784:$E$100,"&gt;="&amp;B1784,CBIC_Late_Fee_Relief_Windows_3B!$F$1784:$F$100,"&lt;="&amp;C1784,CBIC_Late_Fee_Relief_Windows_3B!$G$1784:$G$100,"&gt;="&amp;C1784)</f>
        <v/>
      </c>
      <c r="H1784">
        <f>INDEX(CBIC_Late_Fee_Relief_Windows_3B!$I$1784:$I$100,MATCH(G1784,CBIC_Late_Fee_Relief_Windows_3B!$O$1784:$O$100,0))</f>
        <v/>
      </c>
      <c r="I1784">
        <f>MIN(F1784,H1784)</f>
        <v/>
      </c>
    </row>
    <row r="1785">
      <c r="A1785">
        <f>TEST_DATA!A1785</f>
        <v/>
      </c>
      <c r="B1785">
        <f>TEST_DATA!B1785</f>
        <v/>
      </c>
      <c r="C1785">
        <f>TEST_DATA!C1785</f>
        <v/>
      </c>
      <c r="D1785">
        <f>TEST_DATA!D1785</f>
        <v/>
      </c>
      <c r="E1785">
        <f>TEST_DATA!E1785</f>
        <v/>
      </c>
      <c r="F1785">
        <f>MIN(E1785*178500,10000)</f>
        <v/>
      </c>
      <c r="G1785">
        <f>MINIFS(CBIC_Late_Fee_Relief_Windows_3B!$O$1785:$O$100,CBIC_Late_Fee_Relief_Windows_3B!$D$1785:$D$100,"&lt;="&amp;B1785,CBIC_Late_Fee_Relief_Windows_3B!$E$1785:$E$100,"&gt;="&amp;B1785,CBIC_Late_Fee_Relief_Windows_3B!$F$1785:$F$100,"&lt;="&amp;C1785,CBIC_Late_Fee_Relief_Windows_3B!$G$1785:$G$100,"&gt;="&amp;C1785)</f>
        <v/>
      </c>
      <c r="H1785">
        <f>INDEX(CBIC_Late_Fee_Relief_Windows_3B!$I$1785:$I$100,MATCH(G1785,CBIC_Late_Fee_Relief_Windows_3B!$O$1785:$O$100,0))</f>
        <v/>
      </c>
      <c r="I1785">
        <f>MIN(F1785,H1785)</f>
        <v/>
      </c>
    </row>
    <row r="1786">
      <c r="A1786">
        <f>TEST_DATA!A1786</f>
        <v/>
      </c>
      <c r="B1786">
        <f>TEST_DATA!B1786</f>
        <v/>
      </c>
      <c r="C1786">
        <f>TEST_DATA!C1786</f>
        <v/>
      </c>
      <c r="D1786">
        <f>TEST_DATA!D1786</f>
        <v/>
      </c>
      <c r="E1786">
        <f>TEST_DATA!E1786</f>
        <v/>
      </c>
      <c r="F1786">
        <f>MIN(E1786*178600,10000)</f>
        <v/>
      </c>
      <c r="G1786">
        <f>MINIFS(CBIC_Late_Fee_Relief_Windows_3B!$O$1786:$O$100,CBIC_Late_Fee_Relief_Windows_3B!$D$1786:$D$100,"&lt;="&amp;B1786,CBIC_Late_Fee_Relief_Windows_3B!$E$1786:$E$100,"&gt;="&amp;B1786,CBIC_Late_Fee_Relief_Windows_3B!$F$1786:$F$100,"&lt;="&amp;C1786,CBIC_Late_Fee_Relief_Windows_3B!$G$1786:$G$100,"&gt;="&amp;C1786)</f>
        <v/>
      </c>
      <c r="H1786">
        <f>INDEX(CBIC_Late_Fee_Relief_Windows_3B!$I$1786:$I$100,MATCH(G1786,CBIC_Late_Fee_Relief_Windows_3B!$O$1786:$O$100,0))</f>
        <v/>
      </c>
      <c r="I1786">
        <f>MIN(F1786,H1786)</f>
        <v/>
      </c>
    </row>
    <row r="1787">
      <c r="A1787">
        <f>TEST_DATA!A1787</f>
        <v/>
      </c>
      <c r="B1787">
        <f>TEST_DATA!B1787</f>
        <v/>
      </c>
      <c r="C1787">
        <f>TEST_DATA!C1787</f>
        <v/>
      </c>
      <c r="D1787">
        <f>TEST_DATA!D1787</f>
        <v/>
      </c>
      <c r="E1787">
        <f>TEST_DATA!E1787</f>
        <v/>
      </c>
      <c r="F1787">
        <f>MIN(E1787*178700,10000)</f>
        <v/>
      </c>
      <c r="G1787">
        <f>MINIFS(CBIC_Late_Fee_Relief_Windows_3B!$O$1787:$O$100,CBIC_Late_Fee_Relief_Windows_3B!$D$1787:$D$100,"&lt;="&amp;B1787,CBIC_Late_Fee_Relief_Windows_3B!$E$1787:$E$100,"&gt;="&amp;B1787,CBIC_Late_Fee_Relief_Windows_3B!$F$1787:$F$100,"&lt;="&amp;C1787,CBIC_Late_Fee_Relief_Windows_3B!$G$1787:$G$100,"&gt;="&amp;C1787)</f>
        <v/>
      </c>
      <c r="H1787">
        <f>INDEX(CBIC_Late_Fee_Relief_Windows_3B!$I$1787:$I$100,MATCH(G1787,CBIC_Late_Fee_Relief_Windows_3B!$O$1787:$O$100,0))</f>
        <v/>
      </c>
      <c r="I1787">
        <f>MIN(F1787,H1787)</f>
        <v/>
      </c>
    </row>
    <row r="1788">
      <c r="A1788">
        <f>TEST_DATA!A1788</f>
        <v/>
      </c>
      <c r="B1788">
        <f>TEST_DATA!B1788</f>
        <v/>
      </c>
      <c r="C1788">
        <f>TEST_DATA!C1788</f>
        <v/>
      </c>
      <c r="D1788">
        <f>TEST_DATA!D1788</f>
        <v/>
      </c>
      <c r="E1788">
        <f>TEST_DATA!E1788</f>
        <v/>
      </c>
      <c r="F1788">
        <f>MIN(E1788*178800,10000)</f>
        <v/>
      </c>
      <c r="G1788">
        <f>MINIFS(CBIC_Late_Fee_Relief_Windows_3B!$O$1788:$O$100,CBIC_Late_Fee_Relief_Windows_3B!$D$1788:$D$100,"&lt;="&amp;B1788,CBIC_Late_Fee_Relief_Windows_3B!$E$1788:$E$100,"&gt;="&amp;B1788,CBIC_Late_Fee_Relief_Windows_3B!$F$1788:$F$100,"&lt;="&amp;C1788,CBIC_Late_Fee_Relief_Windows_3B!$G$1788:$G$100,"&gt;="&amp;C1788)</f>
        <v/>
      </c>
      <c r="H1788">
        <f>INDEX(CBIC_Late_Fee_Relief_Windows_3B!$I$1788:$I$100,MATCH(G1788,CBIC_Late_Fee_Relief_Windows_3B!$O$1788:$O$100,0))</f>
        <v/>
      </c>
      <c r="I1788">
        <f>MIN(F1788,H1788)</f>
        <v/>
      </c>
    </row>
    <row r="1789">
      <c r="A1789">
        <f>TEST_DATA!A1789</f>
        <v/>
      </c>
      <c r="B1789">
        <f>TEST_DATA!B1789</f>
        <v/>
      </c>
      <c r="C1789">
        <f>TEST_DATA!C1789</f>
        <v/>
      </c>
      <c r="D1789">
        <f>TEST_DATA!D1789</f>
        <v/>
      </c>
      <c r="E1789">
        <f>TEST_DATA!E1789</f>
        <v/>
      </c>
      <c r="F1789">
        <f>MIN(E1789*178900,10000)</f>
        <v/>
      </c>
      <c r="G1789">
        <f>MINIFS(CBIC_Late_Fee_Relief_Windows_3B!$O$1789:$O$100,CBIC_Late_Fee_Relief_Windows_3B!$D$1789:$D$100,"&lt;="&amp;B1789,CBIC_Late_Fee_Relief_Windows_3B!$E$1789:$E$100,"&gt;="&amp;B1789,CBIC_Late_Fee_Relief_Windows_3B!$F$1789:$F$100,"&lt;="&amp;C1789,CBIC_Late_Fee_Relief_Windows_3B!$G$1789:$G$100,"&gt;="&amp;C1789)</f>
        <v/>
      </c>
      <c r="H1789">
        <f>INDEX(CBIC_Late_Fee_Relief_Windows_3B!$I$1789:$I$100,MATCH(G1789,CBIC_Late_Fee_Relief_Windows_3B!$O$1789:$O$100,0))</f>
        <v/>
      </c>
      <c r="I1789">
        <f>MIN(F1789,H1789)</f>
        <v/>
      </c>
    </row>
    <row r="1790">
      <c r="A1790">
        <f>TEST_DATA!A1790</f>
        <v/>
      </c>
      <c r="B1790">
        <f>TEST_DATA!B1790</f>
        <v/>
      </c>
      <c r="C1790">
        <f>TEST_DATA!C1790</f>
        <v/>
      </c>
      <c r="D1790">
        <f>TEST_DATA!D1790</f>
        <v/>
      </c>
      <c r="E1790">
        <f>TEST_DATA!E1790</f>
        <v/>
      </c>
      <c r="F1790">
        <f>MIN(E1790*179000,10000)</f>
        <v/>
      </c>
      <c r="G1790">
        <f>MINIFS(CBIC_Late_Fee_Relief_Windows_3B!$O$1790:$O$100,CBIC_Late_Fee_Relief_Windows_3B!$D$1790:$D$100,"&lt;="&amp;B1790,CBIC_Late_Fee_Relief_Windows_3B!$E$1790:$E$100,"&gt;="&amp;B1790,CBIC_Late_Fee_Relief_Windows_3B!$F$1790:$F$100,"&lt;="&amp;C1790,CBIC_Late_Fee_Relief_Windows_3B!$G$1790:$G$100,"&gt;="&amp;C1790)</f>
        <v/>
      </c>
      <c r="H1790">
        <f>INDEX(CBIC_Late_Fee_Relief_Windows_3B!$I$1790:$I$100,MATCH(G1790,CBIC_Late_Fee_Relief_Windows_3B!$O$1790:$O$100,0))</f>
        <v/>
      </c>
      <c r="I1790">
        <f>MIN(F1790,H1790)</f>
        <v/>
      </c>
    </row>
    <row r="1791">
      <c r="A1791">
        <f>TEST_DATA!A1791</f>
        <v/>
      </c>
      <c r="B1791">
        <f>TEST_DATA!B1791</f>
        <v/>
      </c>
      <c r="C1791">
        <f>TEST_DATA!C1791</f>
        <v/>
      </c>
      <c r="D1791">
        <f>TEST_DATA!D1791</f>
        <v/>
      </c>
      <c r="E1791">
        <f>TEST_DATA!E1791</f>
        <v/>
      </c>
      <c r="F1791">
        <f>MIN(E1791*179100,10000)</f>
        <v/>
      </c>
      <c r="G1791">
        <f>MINIFS(CBIC_Late_Fee_Relief_Windows_3B!$O$1791:$O$100,CBIC_Late_Fee_Relief_Windows_3B!$D$1791:$D$100,"&lt;="&amp;B1791,CBIC_Late_Fee_Relief_Windows_3B!$E$1791:$E$100,"&gt;="&amp;B1791,CBIC_Late_Fee_Relief_Windows_3B!$F$1791:$F$100,"&lt;="&amp;C1791,CBIC_Late_Fee_Relief_Windows_3B!$G$1791:$G$100,"&gt;="&amp;C1791)</f>
        <v/>
      </c>
      <c r="H1791">
        <f>INDEX(CBIC_Late_Fee_Relief_Windows_3B!$I$1791:$I$100,MATCH(G1791,CBIC_Late_Fee_Relief_Windows_3B!$O$1791:$O$100,0))</f>
        <v/>
      </c>
      <c r="I1791">
        <f>MIN(F1791,H1791)</f>
        <v/>
      </c>
    </row>
    <row r="1792">
      <c r="A1792">
        <f>TEST_DATA!A1792</f>
        <v/>
      </c>
      <c r="B1792">
        <f>TEST_DATA!B1792</f>
        <v/>
      </c>
      <c r="C1792">
        <f>TEST_DATA!C1792</f>
        <v/>
      </c>
      <c r="D1792">
        <f>TEST_DATA!D1792</f>
        <v/>
      </c>
      <c r="E1792">
        <f>TEST_DATA!E1792</f>
        <v/>
      </c>
      <c r="F1792">
        <f>MIN(E1792*179200,10000)</f>
        <v/>
      </c>
      <c r="G1792">
        <f>MINIFS(CBIC_Late_Fee_Relief_Windows_3B!$O$1792:$O$100,CBIC_Late_Fee_Relief_Windows_3B!$D$1792:$D$100,"&lt;="&amp;B1792,CBIC_Late_Fee_Relief_Windows_3B!$E$1792:$E$100,"&gt;="&amp;B1792,CBIC_Late_Fee_Relief_Windows_3B!$F$1792:$F$100,"&lt;="&amp;C1792,CBIC_Late_Fee_Relief_Windows_3B!$G$1792:$G$100,"&gt;="&amp;C1792)</f>
        <v/>
      </c>
      <c r="H1792">
        <f>INDEX(CBIC_Late_Fee_Relief_Windows_3B!$I$1792:$I$100,MATCH(G1792,CBIC_Late_Fee_Relief_Windows_3B!$O$1792:$O$100,0))</f>
        <v/>
      </c>
      <c r="I1792">
        <f>MIN(F1792,H1792)</f>
        <v/>
      </c>
    </row>
    <row r="1793">
      <c r="A1793">
        <f>TEST_DATA!A1793</f>
        <v/>
      </c>
      <c r="B1793">
        <f>TEST_DATA!B1793</f>
        <v/>
      </c>
      <c r="C1793">
        <f>TEST_DATA!C1793</f>
        <v/>
      </c>
      <c r="D1793">
        <f>TEST_DATA!D1793</f>
        <v/>
      </c>
      <c r="E1793">
        <f>TEST_DATA!E1793</f>
        <v/>
      </c>
      <c r="F1793">
        <f>MIN(E1793*179300,10000)</f>
        <v/>
      </c>
      <c r="G1793">
        <f>MINIFS(CBIC_Late_Fee_Relief_Windows_3B!$O$1793:$O$100,CBIC_Late_Fee_Relief_Windows_3B!$D$1793:$D$100,"&lt;="&amp;B1793,CBIC_Late_Fee_Relief_Windows_3B!$E$1793:$E$100,"&gt;="&amp;B1793,CBIC_Late_Fee_Relief_Windows_3B!$F$1793:$F$100,"&lt;="&amp;C1793,CBIC_Late_Fee_Relief_Windows_3B!$G$1793:$G$100,"&gt;="&amp;C1793)</f>
        <v/>
      </c>
      <c r="H1793">
        <f>INDEX(CBIC_Late_Fee_Relief_Windows_3B!$I$1793:$I$100,MATCH(G1793,CBIC_Late_Fee_Relief_Windows_3B!$O$1793:$O$100,0))</f>
        <v/>
      </c>
      <c r="I1793">
        <f>MIN(F1793,H1793)</f>
        <v/>
      </c>
    </row>
    <row r="1794">
      <c r="A1794">
        <f>TEST_DATA!A1794</f>
        <v/>
      </c>
      <c r="B1794">
        <f>TEST_DATA!B1794</f>
        <v/>
      </c>
      <c r="C1794">
        <f>TEST_DATA!C1794</f>
        <v/>
      </c>
      <c r="D1794">
        <f>TEST_DATA!D1794</f>
        <v/>
      </c>
      <c r="E1794">
        <f>TEST_DATA!E1794</f>
        <v/>
      </c>
      <c r="F1794">
        <f>MIN(E1794*179400,10000)</f>
        <v/>
      </c>
      <c r="G1794">
        <f>MINIFS(CBIC_Late_Fee_Relief_Windows_3B!$O$1794:$O$100,CBIC_Late_Fee_Relief_Windows_3B!$D$1794:$D$100,"&lt;="&amp;B1794,CBIC_Late_Fee_Relief_Windows_3B!$E$1794:$E$100,"&gt;="&amp;B1794,CBIC_Late_Fee_Relief_Windows_3B!$F$1794:$F$100,"&lt;="&amp;C1794,CBIC_Late_Fee_Relief_Windows_3B!$G$1794:$G$100,"&gt;="&amp;C1794)</f>
        <v/>
      </c>
      <c r="H1794">
        <f>INDEX(CBIC_Late_Fee_Relief_Windows_3B!$I$1794:$I$100,MATCH(G1794,CBIC_Late_Fee_Relief_Windows_3B!$O$1794:$O$100,0))</f>
        <v/>
      </c>
      <c r="I1794">
        <f>MIN(F1794,H1794)</f>
        <v/>
      </c>
    </row>
    <row r="1795">
      <c r="A1795">
        <f>TEST_DATA!A1795</f>
        <v/>
      </c>
      <c r="B1795">
        <f>TEST_DATA!B1795</f>
        <v/>
      </c>
      <c r="C1795">
        <f>TEST_DATA!C1795</f>
        <v/>
      </c>
      <c r="D1795">
        <f>TEST_DATA!D1795</f>
        <v/>
      </c>
      <c r="E1795">
        <f>TEST_DATA!E1795</f>
        <v/>
      </c>
      <c r="F1795">
        <f>MIN(E1795*179500,10000)</f>
        <v/>
      </c>
      <c r="G1795">
        <f>MINIFS(CBIC_Late_Fee_Relief_Windows_3B!$O$1795:$O$100,CBIC_Late_Fee_Relief_Windows_3B!$D$1795:$D$100,"&lt;="&amp;B1795,CBIC_Late_Fee_Relief_Windows_3B!$E$1795:$E$100,"&gt;="&amp;B1795,CBIC_Late_Fee_Relief_Windows_3B!$F$1795:$F$100,"&lt;="&amp;C1795,CBIC_Late_Fee_Relief_Windows_3B!$G$1795:$G$100,"&gt;="&amp;C1795)</f>
        <v/>
      </c>
      <c r="H1795">
        <f>INDEX(CBIC_Late_Fee_Relief_Windows_3B!$I$1795:$I$100,MATCH(G1795,CBIC_Late_Fee_Relief_Windows_3B!$O$1795:$O$100,0))</f>
        <v/>
      </c>
      <c r="I1795">
        <f>MIN(F1795,H1795)</f>
        <v/>
      </c>
    </row>
    <row r="1796">
      <c r="A1796">
        <f>TEST_DATA!A1796</f>
        <v/>
      </c>
      <c r="B1796">
        <f>TEST_DATA!B1796</f>
        <v/>
      </c>
      <c r="C1796">
        <f>TEST_DATA!C1796</f>
        <v/>
      </c>
      <c r="D1796">
        <f>TEST_DATA!D1796</f>
        <v/>
      </c>
      <c r="E1796">
        <f>TEST_DATA!E1796</f>
        <v/>
      </c>
      <c r="F1796">
        <f>MIN(E1796*179600,10000)</f>
        <v/>
      </c>
      <c r="G1796">
        <f>MINIFS(CBIC_Late_Fee_Relief_Windows_3B!$O$1796:$O$100,CBIC_Late_Fee_Relief_Windows_3B!$D$1796:$D$100,"&lt;="&amp;B1796,CBIC_Late_Fee_Relief_Windows_3B!$E$1796:$E$100,"&gt;="&amp;B1796,CBIC_Late_Fee_Relief_Windows_3B!$F$1796:$F$100,"&lt;="&amp;C1796,CBIC_Late_Fee_Relief_Windows_3B!$G$1796:$G$100,"&gt;="&amp;C1796)</f>
        <v/>
      </c>
      <c r="H1796">
        <f>INDEX(CBIC_Late_Fee_Relief_Windows_3B!$I$1796:$I$100,MATCH(G1796,CBIC_Late_Fee_Relief_Windows_3B!$O$1796:$O$100,0))</f>
        <v/>
      </c>
      <c r="I1796">
        <f>MIN(F1796,H1796)</f>
        <v/>
      </c>
    </row>
    <row r="1797">
      <c r="A1797">
        <f>TEST_DATA!A1797</f>
        <v/>
      </c>
      <c r="B1797">
        <f>TEST_DATA!B1797</f>
        <v/>
      </c>
      <c r="C1797">
        <f>TEST_DATA!C1797</f>
        <v/>
      </c>
      <c r="D1797">
        <f>TEST_DATA!D1797</f>
        <v/>
      </c>
      <c r="E1797">
        <f>TEST_DATA!E1797</f>
        <v/>
      </c>
      <c r="F1797">
        <f>MIN(E1797*179700,10000)</f>
        <v/>
      </c>
      <c r="G1797">
        <f>MINIFS(CBIC_Late_Fee_Relief_Windows_3B!$O$1797:$O$100,CBIC_Late_Fee_Relief_Windows_3B!$D$1797:$D$100,"&lt;="&amp;B1797,CBIC_Late_Fee_Relief_Windows_3B!$E$1797:$E$100,"&gt;="&amp;B1797,CBIC_Late_Fee_Relief_Windows_3B!$F$1797:$F$100,"&lt;="&amp;C1797,CBIC_Late_Fee_Relief_Windows_3B!$G$1797:$G$100,"&gt;="&amp;C1797)</f>
        <v/>
      </c>
      <c r="H1797">
        <f>INDEX(CBIC_Late_Fee_Relief_Windows_3B!$I$1797:$I$100,MATCH(G1797,CBIC_Late_Fee_Relief_Windows_3B!$O$1797:$O$100,0))</f>
        <v/>
      </c>
      <c r="I1797">
        <f>MIN(F1797,H1797)</f>
        <v/>
      </c>
    </row>
    <row r="1798">
      <c r="A1798">
        <f>TEST_DATA!A1798</f>
        <v/>
      </c>
      <c r="B1798">
        <f>TEST_DATA!B1798</f>
        <v/>
      </c>
      <c r="C1798">
        <f>TEST_DATA!C1798</f>
        <v/>
      </c>
      <c r="D1798">
        <f>TEST_DATA!D1798</f>
        <v/>
      </c>
      <c r="E1798">
        <f>TEST_DATA!E1798</f>
        <v/>
      </c>
      <c r="F1798">
        <f>MIN(E1798*179800,10000)</f>
        <v/>
      </c>
      <c r="G1798">
        <f>MINIFS(CBIC_Late_Fee_Relief_Windows_3B!$O$1798:$O$100,CBIC_Late_Fee_Relief_Windows_3B!$D$1798:$D$100,"&lt;="&amp;B1798,CBIC_Late_Fee_Relief_Windows_3B!$E$1798:$E$100,"&gt;="&amp;B1798,CBIC_Late_Fee_Relief_Windows_3B!$F$1798:$F$100,"&lt;="&amp;C1798,CBIC_Late_Fee_Relief_Windows_3B!$G$1798:$G$100,"&gt;="&amp;C1798)</f>
        <v/>
      </c>
      <c r="H1798">
        <f>INDEX(CBIC_Late_Fee_Relief_Windows_3B!$I$1798:$I$100,MATCH(G1798,CBIC_Late_Fee_Relief_Windows_3B!$O$1798:$O$100,0))</f>
        <v/>
      </c>
      <c r="I1798">
        <f>MIN(F1798,H1798)</f>
        <v/>
      </c>
    </row>
    <row r="1799">
      <c r="A1799">
        <f>TEST_DATA!A1799</f>
        <v/>
      </c>
      <c r="B1799">
        <f>TEST_DATA!B1799</f>
        <v/>
      </c>
      <c r="C1799">
        <f>TEST_DATA!C1799</f>
        <v/>
      </c>
      <c r="D1799">
        <f>TEST_DATA!D1799</f>
        <v/>
      </c>
      <c r="E1799">
        <f>TEST_DATA!E1799</f>
        <v/>
      </c>
      <c r="F1799">
        <f>MIN(E1799*179900,10000)</f>
        <v/>
      </c>
      <c r="G1799">
        <f>MINIFS(CBIC_Late_Fee_Relief_Windows_3B!$O$1799:$O$100,CBIC_Late_Fee_Relief_Windows_3B!$D$1799:$D$100,"&lt;="&amp;B1799,CBIC_Late_Fee_Relief_Windows_3B!$E$1799:$E$100,"&gt;="&amp;B1799,CBIC_Late_Fee_Relief_Windows_3B!$F$1799:$F$100,"&lt;="&amp;C1799,CBIC_Late_Fee_Relief_Windows_3B!$G$1799:$G$100,"&gt;="&amp;C1799)</f>
        <v/>
      </c>
      <c r="H1799">
        <f>INDEX(CBIC_Late_Fee_Relief_Windows_3B!$I$1799:$I$100,MATCH(G1799,CBIC_Late_Fee_Relief_Windows_3B!$O$1799:$O$100,0))</f>
        <v/>
      </c>
      <c r="I1799">
        <f>MIN(F1799,H1799)</f>
        <v/>
      </c>
    </row>
    <row r="1800">
      <c r="A1800">
        <f>TEST_DATA!A1800</f>
        <v/>
      </c>
      <c r="B1800">
        <f>TEST_DATA!B1800</f>
        <v/>
      </c>
      <c r="C1800">
        <f>TEST_DATA!C1800</f>
        <v/>
      </c>
      <c r="D1800">
        <f>TEST_DATA!D1800</f>
        <v/>
      </c>
      <c r="E1800">
        <f>TEST_DATA!E1800</f>
        <v/>
      </c>
      <c r="F1800">
        <f>MIN(E1800*180000,10000)</f>
        <v/>
      </c>
      <c r="G1800">
        <f>MINIFS(CBIC_Late_Fee_Relief_Windows_3B!$O$1800:$O$100,CBIC_Late_Fee_Relief_Windows_3B!$D$1800:$D$100,"&lt;="&amp;B1800,CBIC_Late_Fee_Relief_Windows_3B!$E$1800:$E$100,"&gt;="&amp;B1800,CBIC_Late_Fee_Relief_Windows_3B!$F$1800:$F$100,"&lt;="&amp;C1800,CBIC_Late_Fee_Relief_Windows_3B!$G$1800:$G$100,"&gt;="&amp;C1800)</f>
        <v/>
      </c>
      <c r="H1800">
        <f>INDEX(CBIC_Late_Fee_Relief_Windows_3B!$I$1800:$I$100,MATCH(G1800,CBIC_Late_Fee_Relief_Windows_3B!$O$1800:$O$100,0))</f>
        <v/>
      </c>
      <c r="I1800">
        <f>MIN(F1800,H1800)</f>
        <v/>
      </c>
    </row>
    <row r="1801">
      <c r="A1801">
        <f>TEST_DATA!A1801</f>
        <v/>
      </c>
      <c r="B1801">
        <f>TEST_DATA!B1801</f>
        <v/>
      </c>
      <c r="C1801">
        <f>TEST_DATA!C1801</f>
        <v/>
      </c>
      <c r="D1801">
        <f>TEST_DATA!D1801</f>
        <v/>
      </c>
      <c r="E1801">
        <f>TEST_DATA!E1801</f>
        <v/>
      </c>
      <c r="F1801">
        <f>MIN(E1801*180100,10000)</f>
        <v/>
      </c>
      <c r="G1801">
        <f>MINIFS(CBIC_Late_Fee_Relief_Windows_3B!$O$1801:$O$100,CBIC_Late_Fee_Relief_Windows_3B!$D$1801:$D$100,"&lt;="&amp;B1801,CBIC_Late_Fee_Relief_Windows_3B!$E$1801:$E$100,"&gt;="&amp;B1801,CBIC_Late_Fee_Relief_Windows_3B!$F$1801:$F$100,"&lt;="&amp;C1801,CBIC_Late_Fee_Relief_Windows_3B!$G$1801:$G$100,"&gt;="&amp;C1801)</f>
        <v/>
      </c>
      <c r="H1801">
        <f>INDEX(CBIC_Late_Fee_Relief_Windows_3B!$I$1801:$I$100,MATCH(G1801,CBIC_Late_Fee_Relief_Windows_3B!$O$1801:$O$100,0))</f>
        <v/>
      </c>
      <c r="I1801">
        <f>MIN(F1801,H1801)</f>
        <v/>
      </c>
    </row>
    <row r="1802">
      <c r="A1802">
        <f>TEST_DATA!A1802</f>
        <v/>
      </c>
      <c r="B1802">
        <f>TEST_DATA!B1802</f>
        <v/>
      </c>
      <c r="C1802">
        <f>TEST_DATA!C1802</f>
        <v/>
      </c>
      <c r="D1802">
        <f>TEST_DATA!D1802</f>
        <v/>
      </c>
      <c r="E1802">
        <f>TEST_DATA!E1802</f>
        <v/>
      </c>
      <c r="F1802">
        <f>MIN(E1802*180200,10000)</f>
        <v/>
      </c>
      <c r="G1802">
        <f>MINIFS(CBIC_Late_Fee_Relief_Windows_3B!$O$1802:$O$100,CBIC_Late_Fee_Relief_Windows_3B!$D$1802:$D$100,"&lt;="&amp;B1802,CBIC_Late_Fee_Relief_Windows_3B!$E$1802:$E$100,"&gt;="&amp;B1802,CBIC_Late_Fee_Relief_Windows_3B!$F$1802:$F$100,"&lt;="&amp;C1802,CBIC_Late_Fee_Relief_Windows_3B!$G$1802:$G$100,"&gt;="&amp;C1802)</f>
        <v/>
      </c>
      <c r="H1802">
        <f>INDEX(CBIC_Late_Fee_Relief_Windows_3B!$I$1802:$I$100,MATCH(G1802,CBIC_Late_Fee_Relief_Windows_3B!$O$1802:$O$100,0))</f>
        <v/>
      </c>
      <c r="I1802">
        <f>MIN(F1802,H1802)</f>
        <v/>
      </c>
    </row>
    <row r="1803">
      <c r="A1803">
        <f>TEST_DATA!A1803</f>
        <v/>
      </c>
      <c r="B1803">
        <f>TEST_DATA!B1803</f>
        <v/>
      </c>
      <c r="C1803">
        <f>TEST_DATA!C1803</f>
        <v/>
      </c>
      <c r="D1803">
        <f>TEST_DATA!D1803</f>
        <v/>
      </c>
      <c r="E1803">
        <f>TEST_DATA!E1803</f>
        <v/>
      </c>
      <c r="F1803">
        <f>MIN(E1803*180300,10000)</f>
        <v/>
      </c>
      <c r="G1803">
        <f>MINIFS(CBIC_Late_Fee_Relief_Windows_3B!$O$1803:$O$100,CBIC_Late_Fee_Relief_Windows_3B!$D$1803:$D$100,"&lt;="&amp;B1803,CBIC_Late_Fee_Relief_Windows_3B!$E$1803:$E$100,"&gt;="&amp;B1803,CBIC_Late_Fee_Relief_Windows_3B!$F$1803:$F$100,"&lt;="&amp;C1803,CBIC_Late_Fee_Relief_Windows_3B!$G$1803:$G$100,"&gt;="&amp;C1803)</f>
        <v/>
      </c>
      <c r="H1803">
        <f>INDEX(CBIC_Late_Fee_Relief_Windows_3B!$I$1803:$I$100,MATCH(G1803,CBIC_Late_Fee_Relief_Windows_3B!$O$1803:$O$100,0))</f>
        <v/>
      </c>
      <c r="I1803">
        <f>MIN(F1803,H1803)</f>
        <v/>
      </c>
    </row>
    <row r="1804">
      <c r="A1804">
        <f>TEST_DATA!A1804</f>
        <v/>
      </c>
      <c r="B1804">
        <f>TEST_DATA!B1804</f>
        <v/>
      </c>
      <c r="C1804">
        <f>TEST_DATA!C1804</f>
        <v/>
      </c>
      <c r="D1804">
        <f>TEST_DATA!D1804</f>
        <v/>
      </c>
      <c r="E1804">
        <f>TEST_DATA!E1804</f>
        <v/>
      </c>
      <c r="F1804">
        <f>MIN(E1804*180400,10000)</f>
        <v/>
      </c>
      <c r="G1804">
        <f>MINIFS(CBIC_Late_Fee_Relief_Windows_3B!$O$1804:$O$100,CBIC_Late_Fee_Relief_Windows_3B!$D$1804:$D$100,"&lt;="&amp;B1804,CBIC_Late_Fee_Relief_Windows_3B!$E$1804:$E$100,"&gt;="&amp;B1804,CBIC_Late_Fee_Relief_Windows_3B!$F$1804:$F$100,"&lt;="&amp;C1804,CBIC_Late_Fee_Relief_Windows_3B!$G$1804:$G$100,"&gt;="&amp;C1804)</f>
        <v/>
      </c>
      <c r="H1804">
        <f>INDEX(CBIC_Late_Fee_Relief_Windows_3B!$I$1804:$I$100,MATCH(G1804,CBIC_Late_Fee_Relief_Windows_3B!$O$1804:$O$100,0))</f>
        <v/>
      </c>
      <c r="I1804">
        <f>MIN(F1804,H1804)</f>
        <v/>
      </c>
    </row>
    <row r="1805">
      <c r="A1805">
        <f>TEST_DATA!A1805</f>
        <v/>
      </c>
      <c r="B1805">
        <f>TEST_DATA!B1805</f>
        <v/>
      </c>
      <c r="C1805">
        <f>TEST_DATA!C1805</f>
        <v/>
      </c>
      <c r="D1805">
        <f>TEST_DATA!D1805</f>
        <v/>
      </c>
      <c r="E1805">
        <f>TEST_DATA!E1805</f>
        <v/>
      </c>
      <c r="F1805">
        <f>MIN(E1805*180500,10000)</f>
        <v/>
      </c>
      <c r="G1805">
        <f>MINIFS(CBIC_Late_Fee_Relief_Windows_3B!$O$1805:$O$100,CBIC_Late_Fee_Relief_Windows_3B!$D$1805:$D$100,"&lt;="&amp;B1805,CBIC_Late_Fee_Relief_Windows_3B!$E$1805:$E$100,"&gt;="&amp;B1805,CBIC_Late_Fee_Relief_Windows_3B!$F$1805:$F$100,"&lt;="&amp;C1805,CBIC_Late_Fee_Relief_Windows_3B!$G$1805:$G$100,"&gt;="&amp;C1805)</f>
        <v/>
      </c>
      <c r="H1805">
        <f>INDEX(CBIC_Late_Fee_Relief_Windows_3B!$I$1805:$I$100,MATCH(G1805,CBIC_Late_Fee_Relief_Windows_3B!$O$1805:$O$100,0))</f>
        <v/>
      </c>
      <c r="I1805">
        <f>MIN(F1805,H1805)</f>
        <v/>
      </c>
    </row>
    <row r="1806">
      <c r="A1806">
        <f>TEST_DATA!A1806</f>
        <v/>
      </c>
      <c r="B1806">
        <f>TEST_DATA!B1806</f>
        <v/>
      </c>
      <c r="C1806">
        <f>TEST_DATA!C1806</f>
        <v/>
      </c>
      <c r="D1806">
        <f>TEST_DATA!D1806</f>
        <v/>
      </c>
      <c r="E1806">
        <f>TEST_DATA!E1806</f>
        <v/>
      </c>
      <c r="F1806">
        <f>MIN(E1806*180600,10000)</f>
        <v/>
      </c>
      <c r="G1806">
        <f>MINIFS(CBIC_Late_Fee_Relief_Windows_3B!$O$1806:$O$100,CBIC_Late_Fee_Relief_Windows_3B!$D$1806:$D$100,"&lt;="&amp;B1806,CBIC_Late_Fee_Relief_Windows_3B!$E$1806:$E$100,"&gt;="&amp;B1806,CBIC_Late_Fee_Relief_Windows_3B!$F$1806:$F$100,"&lt;="&amp;C1806,CBIC_Late_Fee_Relief_Windows_3B!$G$1806:$G$100,"&gt;="&amp;C1806)</f>
        <v/>
      </c>
      <c r="H1806">
        <f>INDEX(CBIC_Late_Fee_Relief_Windows_3B!$I$1806:$I$100,MATCH(G1806,CBIC_Late_Fee_Relief_Windows_3B!$O$1806:$O$100,0))</f>
        <v/>
      </c>
      <c r="I1806">
        <f>MIN(F1806,H1806)</f>
        <v/>
      </c>
    </row>
    <row r="1807">
      <c r="A1807">
        <f>TEST_DATA!A1807</f>
        <v/>
      </c>
      <c r="B1807">
        <f>TEST_DATA!B1807</f>
        <v/>
      </c>
      <c r="C1807">
        <f>TEST_DATA!C1807</f>
        <v/>
      </c>
      <c r="D1807">
        <f>TEST_DATA!D1807</f>
        <v/>
      </c>
      <c r="E1807">
        <f>TEST_DATA!E1807</f>
        <v/>
      </c>
      <c r="F1807">
        <f>MIN(E1807*180700,10000)</f>
        <v/>
      </c>
      <c r="G1807">
        <f>MINIFS(CBIC_Late_Fee_Relief_Windows_3B!$O$1807:$O$100,CBIC_Late_Fee_Relief_Windows_3B!$D$1807:$D$100,"&lt;="&amp;B1807,CBIC_Late_Fee_Relief_Windows_3B!$E$1807:$E$100,"&gt;="&amp;B1807,CBIC_Late_Fee_Relief_Windows_3B!$F$1807:$F$100,"&lt;="&amp;C1807,CBIC_Late_Fee_Relief_Windows_3B!$G$1807:$G$100,"&gt;="&amp;C1807)</f>
        <v/>
      </c>
      <c r="H1807">
        <f>INDEX(CBIC_Late_Fee_Relief_Windows_3B!$I$1807:$I$100,MATCH(G1807,CBIC_Late_Fee_Relief_Windows_3B!$O$1807:$O$100,0))</f>
        <v/>
      </c>
      <c r="I1807">
        <f>MIN(F1807,H1807)</f>
        <v/>
      </c>
    </row>
    <row r="1808">
      <c r="A1808">
        <f>TEST_DATA!A1808</f>
        <v/>
      </c>
      <c r="B1808">
        <f>TEST_DATA!B1808</f>
        <v/>
      </c>
      <c r="C1808">
        <f>TEST_DATA!C1808</f>
        <v/>
      </c>
      <c r="D1808">
        <f>TEST_DATA!D1808</f>
        <v/>
      </c>
      <c r="E1808">
        <f>TEST_DATA!E1808</f>
        <v/>
      </c>
      <c r="F1808">
        <f>MIN(E1808*180800,10000)</f>
        <v/>
      </c>
      <c r="G1808">
        <f>MINIFS(CBIC_Late_Fee_Relief_Windows_3B!$O$1808:$O$100,CBIC_Late_Fee_Relief_Windows_3B!$D$1808:$D$100,"&lt;="&amp;B1808,CBIC_Late_Fee_Relief_Windows_3B!$E$1808:$E$100,"&gt;="&amp;B1808,CBIC_Late_Fee_Relief_Windows_3B!$F$1808:$F$100,"&lt;="&amp;C1808,CBIC_Late_Fee_Relief_Windows_3B!$G$1808:$G$100,"&gt;="&amp;C1808)</f>
        <v/>
      </c>
      <c r="H1808">
        <f>INDEX(CBIC_Late_Fee_Relief_Windows_3B!$I$1808:$I$100,MATCH(G1808,CBIC_Late_Fee_Relief_Windows_3B!$O$1808:$O$100,0))</f>
        <v/>
      </c>
      <c r="I1808">
        <f>MIN(F1808,H1808)</f>
        <v/>
      </c>
    </row>
    <row r="1809">
      <c r="A1809">
        <f>TEST_DATA!A1809</f>
        <v/>
      </c>
      <c r="B1809">
        <f>TEST_DATA!B1809</f>
        <v/>
      </c>
      <c r="C1809">
        <f>TEST_DATA!C1809</f>
        <v/>
      </c>
      <c r="D1809">
        <f>TEST_DATA!D1809</f>
        <v/>
      </c>
      <c r="E1809">
        <f>TEST_DATA!E1809</f>
        <v/>
      </c>
      <c r="F1809">
        <f>MIN(E1809*180900,10000)</f>
        <v/>
      </c>
      <c r="G1809">
        <f>MINIFS(CBIC_Late_Fee_Relief_Windows_3B!$O$1809:$O$100,CBIC_Late_Fee_Relief_Windows_3B!$D$1809:$D$100,"&lt;="&amp;B1809,CBIC_Late_Fee_Relief_Windows_3B!$E$1809:$E$100,"&gt;="&amp;B1809,CBIC_Late_Fee_Relief_Windows_3B!$F$1809:$F$100,"&lt;="&amp;C1809,CBIC_Late_Fee_Relief_Windows_3B!$G$1809:$G$100,"&gt;="&amp;C1809)</f>
        <v/>
      </c>
      <c r="H1809">
        <f>INDEX(CBIC_Late_Fee_Relief_Windows_3B!$I$1809:$I$100,MATCH(G1809,CBIC_Late_Fee_Relief_Windows_3B!$O$1809:$O$100,0))</f>
        <v/>
      </c>
      <c r="I1809">
        <f>MIN(F1809,H1809)</f>
        <v/>
      </c>
    </row>
    <row r="1810">
      <c r="A1810">
        <f>TEST_DATA!A1810</f>
        <v/>
      </c>
      <c r="B1810">
        <f>TEST_DATA!B1810</f>
        <v/>
      </c>
      <c r="C1810">
        <f>TEST_DATA!C1810</f>
        <v/>
      </c>
      <c r="D1810">
        <f>TEST_DATA!D1810</f>
        <v/>
      </c>
      <c r="E1810">
        <f>TEST_DATA!E1810</f>
        <v/>
      </c>
      <c r="F1810">
        <f>MIN(E1810*181000,10000)</f>
        <v/>
      </c>
      <c r="G1810">
        <f>MINIFS(CBIC_Late_Fee_Relief_Windows_3B!$O$1810:$O$100,CBIC_Late_Fee_Relief_Windows_3B!$D$1810:$D$100,"&lt;="&amp;B1810,CBIC_Late_Fee_Relief_Windows_3B!$E$1810:$E$100,"&gt;="&amp;B1810,CBIC_Late_Fee_Relief_Windows_3B!$F$1810:$F$100,"&lt;="&amp;C1810,CBIC_Late_Fee_Relief_Windows_3B!$G$1810:$G$100,"&gt;="&amp;C1810)</f>
        <v/>
      </c>
      <c r="H1810">
        <f>INDEX(CBIC_Late_Fee_Relief_Windows_3B!$I$1810:$I$100,MATCH(G1810,CBIC_Late_Fee_Relief_Windows_3B!$O$1810:$O$100,0))</f>
        <v/>
      </c>
      <c r="I1810">
        <f>MIN(F1810,H1810)</f>
        <v/>
      </c>
    </row>
    <row r="1811">
      <c r="A1811">
        <f>TEST_DATA!A1811</f>
        <v/>
      </c>
      <c r="B1811">
        <f>TEST_DATA!B1811</f>
        <v/>
      </c>
      <c r="C1811">
        <f>TEST_DATA!C1811</f>
        <v/>
      </c>
      <c r="D1811">
        <f>TEST_DATA!D1811</f>
        <v/>
      </c>
      <c r="E1811">
        <f>TEST_DATA!E1811</f>
        <v/>
      </c>
      <c r="F1811">
        <f>MIN(E1811*181100,10000)</f>
        <v/>
      </c>
      <c r="G1811">
        <f>MINIFS(CBIC_Late_Fee_Relief_Windows_3B!$O$1811:$O$100,CBIC_Late_Fee_Relief_Windows_3B!$D$1811:$D$100,"&lt;="&amp;B1811,CBIC_Late_Fee_Relief_Windows_3B!$E$1811:$E$100,"&gt;="&amp;B1811,CBIC_Late_Fee_Relief_Windows_3B!$F$1811:$F$100,"&lt;="&amp;C1811,CBIC_Late_Fee_Relief_Windows_3B!$G$1811:$G$100,"&gt;="&amp;C1811)</f>
        <v/>
      </c>
      <c r="H1811">
        <f>INDEX(CBIC_Late_Fee_Relief_Windows_3B!$I$1811:$I$100,MATCH(G1811,CBIC_Late_Fee_Relief_Windows_3B!$O$1811:$O$100,0))</f>
        <v/>
      </c>
      <c r="I1811">
        <f>MIN(F1811,H1811)</f>
        <v/>
      </c>
    </row>
    <row r="1812">
      <c r="A1812">
        <f>TEST_DATA!A1812</f>
        <v/>
      </c>
      <c r="B1812">
        <f>TEST_DATA!B1812</f>
        <v/>
      </c>
      <c r="C1812">
        <f>TEST_DATA!C1812</f>
        <v/>
      </c>
      <c r="D1812">
        <f>TEST_DATA!D1812</f>
        <v/>
      </c>
      <c r="E1812">
        <f>TEST_DATA!E1812</f>
        <v/>
      </c>
      <c r="F1812">
        <f>MIN(E1812*181200,10000)</f>
        <v/>
      </c>
      <c r="G1812">
        <f>MINIFS(CBIC_Late_Fee_Relief_Windows_3B!$O$1812:$O$100,CBIC_Late_Fee_Relief_Windows_3B!$D$1812:$D$100,"&lt;="&amp;B1812,CBIC_Late_Fee_Relief_Windows_3B!$E$1812:$E$100,"&gt;="&amp;B1812,CBIC_Late_Fee_Relief_Windows_3B!$F$1812:$F$100,"&lt;="&amp;C1812,CBIC_Late_Fee_Relief_Windows_3B!$G$1812:$G$100,"&gt;="&amp;C1812)</f>
        <v/>
      </c>
      <c r="H1812">
        <f>INDEX(CBIC_Late_Fee_Relief_Windows_3B!$I$1812:$I$100,MATCH(G1812,CBIC_Late_Fee_Relief_Windows_3B!$O$1812:$O$100,0))</f>
        <v/>
      </c>
      <c r="I1812">
        <f>MIN(F1812,H1812)</f>
        <v/>
      </c>
    </row>
    <row r="1813">
      <c r="A1813">
        <f>TEST_DATA!A1813</f>
        <v/>
      </c>
      <c r="B1813">
        <f>TEST_DATA!B1813</f>
        <v/>
      </c>
      <c r="C1813">
        <f>TEST_DATA!C1813</f>
        <v/>
      </c>
      <c r="D1813">
        <f>TEST_DATA!D1813</f>
        <v/>
      </c>
      <c r="E1813">
        <f>TEST_DATA!E1813</f>
        <v/>
      </c>
      <c r="F1813">
        <f>MIN(E1813*181300,10000)</f>
        <v/>
      </c>
      <c r="G1813">
        <f>MINIFS(CBIC_Late_Fee_Relief_Windows_3B!$O$1813:$O$100,CBIC_Late_Fee_Relief_Windows_3B!$D$1813:$D$100,"&lt;="&amp;B1813,CBIC_Late_Fee_Relief_Windows_3B!$E$1813:$E$100,"&gt;="&amp;B1813,CBIC_Late_Fee_Relief_Windows_3B!$F$1813:$F$100,"&lt;="&amp;C1813,CBIC_Late_Fee_Relief_Windows_3B!$G$1813:$G$100,"&gt;="&amp;C1813)</f>
        <v/>
      </c>
      <c r="H1813">
        <f>INDEX(CBIC_Late_Fee_Relief_Windows_3B!$I$1813:$I$100,MATCH(G1813,CBIC_Late_Fee_Relief_Windows_3B!$O$1813:$O$100,0))</f>
        <v/>
      </c>
      <c r="I1813">
        <f>MIN(F1813,H1813)</f>
        <v/>
      </c>
    </row>
    <row r="1814">
      <c r="A1814">
        <f>TEST_DATA!A1814</f>
        <v/>
      </c>
      <c r="B1814">
        <f>TEST_DATA!B1814</f>
        <v/>
      </c>
      <c r="C1814">
        <f>TEST_DATA!C1814</f>
        <v/>
      </c>
      <c r="D1814">
        <f>TEST_DATA!D1814</f>
        <v/>
      </c>
      <c r="E1814">
        <f>TEST_DATA!E1814</f>
        <v/>
      </c>
      <c r="F1814">
        <f>MIN(E1814*181400,10000)</f>
        <v/>
      </c>
      <c r="G1814">
        <f>MINIFS(CBIC_Late_Fee_Relief_Windows_3B!$O$1814:$O$100,CBIC_Late_Fee_Relief_Windows_3B!$D$1814:$D$100,"&lt;="&amp;B1814,CBIC_Late_Fee_Relief_Windows_3B!$E$1814:$E$100,"&gt;="&amp;B1814,CBIC_Late_Fee_Relief_Windows_3B!$F$1814:$F$100,"&lt;="&amp;C1814,CBIC_Late_Fee_Relief_Windows_3B!$G$1814:$G$100,"&gt;="&amp;C1814)</f>
        <v/>
      </c>
      <c r="H1814">
        <f>INDEX(CBIC_Late_Fee_Relief_Windows_3B!$I$1814:$I$100,MATCH(G1814,CBIC_Late_Fee_Relief_Windows_3B!$O$1814:$O$100,0))</f>
        <v/>
      </c>
      <c r="I1814">
        <f>MIN(F1814,H1814)</f>
        <v/>
      </c>
    </row>
    <row r="1815">
      <c r="A1815">
        <f>TEST_DATA!A1815</f>
        <v/>
      </c>
      <c r="B1815">
        <f>TEST_DATA!B1815</f>
        <v/>
      </c>
      <c r="C1815">
        <f>TEST_DATA!C1815</f>
        <v/>
      </c>
      <c r="D1815">
        <f>TEST_DATA!D1815</f>
        <v/>
      </c>
      <c r="E1815">
        <f>TEST_DATA!E1815</f>
        <v/>
      </c>
      <c r="F1815">
        <f>MIN(E1815*181500,10000)</f>
        <v/>
      </c>
      <c r="G1815">
        <f>MINIFS(CBIC_Late_Fee_Relief_Windows_3B!$O$1815:$O$100,CBIC_Late_Fee_Relief_Windows_3B!$D$1815:$D$100,"&lt;="&amp;B1815,CBIC_Late_Fee_Relief_Windows_3B!$E$1815:$E$100,"&gt;="&amp;B1815,CBIC_Late_Fee_Relief_Windows_3B!$F$1815:$F$100,"&lt;="&amp;C1815,CBIC_Late_Fee_Relief_Windows_3B!$G$1815:$G$100,"&gt;="&amp;C1815)</f>
        <v/>
      </c>
      <c r="H1815">
        <f>INDEX(CBIC_Late_Fee_Relief_Windows_3B!$I$1815:$I$100,MATCH(G1815,CBIC_Late_Fee_Relief_Windows_3B!$O$1815:$O$100,0))</f>
        <v/>
      </c>
      <c r="I1815">
        <f>MIN(F1815,H1815)</f>
        <v/>
      </c>
    </row>
    <row r="1816">
      <c r="A1816">
        <f>TEST_DATA!A1816</f>
        <v/>
      </c>
      <c r="B1816">
        <f>TEST_DATA!B1816</f>
        <v/>
      </c>
      <c r="C1816">
        <f>TEST_DATA!C1816</f>
        <v/>
      </c>
      <c r="D1816">
        <f>TEST_DATA!D1816</f>
        <v/>
      </c>
      <c r="E1816">
        <f>TEST_DATA!E1816</f>
        <v/>
      </c>
      <c r="F1816">
        <f>MIN(E1816*181600,10000)</f>
        <v/>
      </c>
      <c r="G1816">
        <f>MINIFS(CBIC_Late_Fee_Relief_Windows_3B!$O$1816:$O$100,CBIC_Late_Fee_Relief_Windows_3B!$D$1816:$D$100,"&lt;="&amp;B1816,CBIC_Late_Fee_Relief_Windows_3B!$E$1816:$E$100,"&gt;="&amp;B1816,CBIC_Late_Fee_Relief_Windows_3B!$F$1816:$F$100,"&lt;="&amp;C1816,CBIC_Late_Fee_Relief_Windows_3B!$G$1816:$G$100,"&gt;="&amp;C1816)</f>
        <v/>
      </c>
      <c r="H1816">
        <f>INDEX(CBIC_Late_Fee_Relief_Windows_3B!$I$1816:$I$100,MATCH(G1816,CBIC_Late_Fee_Relief_Windows_3B!$O$1816:$O$100,0))</f>
        <v/>
      </c>
      <c r="I1816">
        <f>MIN(F1816,H1816)</f>
        <v/>
      </c>
    </row>
    <row r="1817">
      <c r="A1817">
        <f>TEST_DATA!A1817</f>
        <v/>
      </c>
      <c r="B1817">
        <f>TEST_DATA!B1817</f>
        <v/>
      </c>
      <c r="C1817">
        <f>TEST_DATA!C1817</f>
        <v/>
      </c>
      <c r="D1817">
        <f>TEST_DATA!D1817</f>
        <v/>
      </c>
      <c r="E1817">
        <f>TEST_DATA!E1817</f>
        <v/>
      </c>
      <c r="F1817">
        <f>MIN(E1817*181700,10000)</f>
        <v/>
      </c>
      <c r="G1817">
        <f>MINIFS(CBIC_Late_Fee_Relief_Windows_3B!$O$1817:$O$100,CBIC_Late_Fee_Relief_Windows_3B!$D$1817:$D$100,"&lt;="&amp;B1817,CBIC_Late_Fee_Relief_Windows_3B!$E$1817:$E$100,"&gt;="&amp;B1817,CBIC_Late_Fee_Relief_Windows_3B!$F$1817:$F$100,"&lt;="&amp;C1817,CBIC_Late_Fee_Relief_Windows_3B!$G$1817:$G$100,"&gt;="&amp;C1817)</f>
        <v/>
      </c>
      <c r="H1817">
        <f>INDEX(CBIC_Late_Fee_Relief_Windows_3B!$I$1817:$I$100,MATCH(G1817,CBIC_Late_Fee_Relief_Windows_3B!$O$1817:$O$100,0))</f>
        <v/>
      </c>
      <c r="I1817">
        <f>MIN(F1817,H1817)</f>
        <v/>
      </c>
    </row>
    <row r="1818">
      <c r="A1818">
        <f>TEST_DATA!A1818</f>
        <v/>
      </c>
      <c r="B1818">
        <f>TEST_DATA!B1818</f>
        <v/>
      </c>
      <c r="C1818">
        <f>TEST_DATA!C1818</f>
        <v/>
      </c>
      <c r="D1818">
        <f>TEST_DATA!D1818</f>
        <v/>
      </c>
      <c r="E1818">
        <f>TEST_DATA!E1818</f>
        <v/>
      </c>
      <c r="F1818">
        <f>MIN(E1818*181800,10000)</f>
        <v/>
      </c>
      <c r="G1818">
        <f>MINIFS(CBIC_Late_Fee_Relief_Windows_3B!$O$1818:$O$100,CBIC_Late_Fee_Relief_Windows_3B!$D$1818:$D$100,"&lt;="&amp;B1818,CBIC_Late_Fee_Relief_Windows_3B!$E$1818:$E$100,"&gt;="&amp;B1818,CBIC_Late_Fee_Relief_Windows_3B!$F$1818:$F$100,"&lt;="&amp;C1818,CBIC_Late_Fee_Relief_Windows_3B!$G$1818:$G$100,"&gt;="&amp;C1818)</f>
        <v/>
      </c>
      <c r="H1818">
        <f>INDEX(CBIC_Late_Fee_Relief_Windows_3B!$I$1818:$I$100,MATCH(G1818,CBIC_Late_Fee_Relief_Windows_3B!$O$1818:$O$100,0))</f>
        <v/>
      </c>
      <c r="I1818">
        <f>MIN(F1818,H1818)</f>
        <v/>
      </c>
    </row>
    <row r="1819">
      <c r="A1819">
        <f>TEST_DATA!A1819</f>
        <v/>
      </c>
      <c r="B1819">
        <f>TEST_DATA!B1819</f>
        <v/>
      </c>
      <c r="C1819">
        <f>TEST_DATA!C1819</f>
        <v/>
      </c>
      <c r="D1819">
        <f>TEST_DATA!D1819</f>
        <v/>
      </c>
      <c r="E1819">
        <f>TEST_DATA!E1819</f>
        <v/>
      </c>
      <c r="F1819">
        <f>MIN(E1819*181900,10000)</f>
        <v/>
      </c>
      <c r="G1819">
        <f>MINIFS(CBIC_Late_Fee_Relief_Windows_3B!$O$1819:$O$100,CBIC_Late_Fee_Relief_Windows_3B!$D$1819:$D$100,"&lt;="&amp;B1819,CBIC_Late_Fee_Relief_Windows_3B!$E$1819:$E$100,"&gt;="&amp;B1819,CBIC_Late_Fee_Relief_Windows_3B!$F$1819:$F$100,"&lt;="&amp;C1819,CBIC_Late_Fee_Relief_Windows_3B!$G$1819:$G$100,"&gt;="&amp;C1819)</f>
        <v/>
      </c>
      <c r="H1819">
        <f>INDEX(CBIC_Late_Fee_Relief_Windows_3B!$I$1819:$I$100,MATCH(G1819,CBIC_Late_Fee_Relief_Windows_3B!$O$1819:$O$100,0))</f>
        <v/>
      </c>
      <c r="I1819">
        <f>MIN(F1819,H1819)</f>
        <v/>
      </c>
    </row>
    <row r="1820">
      <c r="A1820">
        <f>TEST_DATA!A1820</f>
        <v/>
      </c>
      <c r="B1820">
        <f>TEST_DATA!B1820</f>
        <v/>
      </c>
      <c r="C1820">
        <f>TEST_DATA!C1820</f>
        <v/>
      </c>
      <c r="D1820">
        <f>TEST_DATA!D1820</f>
        <v/>
      </c>
      <c r="E1820">
        <f>TEST_DATA!E1820</f>
        <v/>
      </c>
      <c r="F1820">
        <f>MIN(E1820*182000,10000)</f>
        <v/>
      </c>
      <c r="G1820">
        <f>MINIFS(CBIC_Late_Fee_Relief_Windows_3B!$O$1820:$O$100,CBIC_Late_Fee_Relief_Windows_3B!$D$1820:$D$100,"&lt;="&amp;B1820,CBIC_Late_Fee_Relief_Windows_3B!$E$1820:$E$100,"&gt;="&amp;B1820,CBIC_Late_Fee_Relief_Windows_3B!$F$1820:$F$100,"&lt;="&amp;C1820,CBIC_Late_Fee_Relief_Windows_3B!$G$1820:$G$100,"&gt;="&amp;C1820)</f>
        <v/>
      </c>
      <c r="H1820">
        <f>INDEX(CBIC_Late_Fee_Relief_Windows_3B!$I$1820:$I$100,MATCH(G1820,CBIC_Late_Fee_Relief_Windows_3B!$O$1820:$O$100,0))</f>
        <v/>
      </c>
      <c r="I1820">
        <f>MIN(F1820,H1820)</f>
        <v/>
      </c>
    </row>
    <row r="1821">
      <c r="A1821">
        <f>TEST_DATA!A1821</f>
        <v/>
      </c>
      <c r="B1821">
        <f>TEST_DATA!B1821</f>
        <v/>
      </c>
      <c r="C1821">
        <f>TEST_DATA!C1821</f>
        <v/>
      </c>
      <c r="D1821">
        <f>TEST_DATA!D1821</f>
        <v/>
      </c>
      <c r="E1821">
        <f>TEST_DATA!E1821</f>
        <v/>
      </c>
      <c r="F1821">
        <f>MIN(E1821*182100,10000)</f>
        <v/>
      </c>
      <c r="G1821">
        <f>MINIFS(CBIC_Late_Fee_Relief_Windows_3B!$O$1821:$O$100,CBIC_Late_Fee_Relief_Windows_3B!$D$1821:$D$100,"&lt;="&amp;B1821,CBIC_Late_Fee_Relief_Windows_3B!$E$1821:$E$100,"&gt;="&amp;B1821,CBIC_Late_Fee_Relief_Windows_3B!$F$1821:$F$100,"&lt;="&amp;C1821,CBIC_Late_Fee_Relief_Windows_3B!$G$1821:$G$100,"&gt;="&amp;C1821)</f>
        <v/>
      </c>
      <c r="H1821">
        <f>INDEX(CBIC_Late_Fee_Relief_Windows_3B!$I$1821:$I$100,MATCH(G1821,CBIC_Late_Fee_Relief_Windows_3B!$O$1821:$O$100,0))</f>
        <v/>
      </c>
      <c r="I1821">
        <f>MIN(F1821,H1821)</f>
        <v/>
      </c>
    </row>
    <row r="1822">
      <c r="A1822">
        <f>TEST_DATA!A1822</f>
        <v/>
      </c>
      <c r="B1822">
        <f>TEST_DATA!B1822</f>
        <v/>
      </c>
      <c r="C1822">
        <f>TEST_DATA!C1822</f>
        <v/>
      </c>
      <c r="D1822">
        <f>TEST_DATA!D1822</f>
        <v/>
      </c>
      <c r="E1822">
        <f>TEST_DATA!E1822</f>
        <v/>
      </c>
      <c r="F1822">
        <f>MIN(E1822*182200,10000)</f>
        <v/>
      </c>
      <c r="G1822">
        <f>MINIFS(CBIC_Late_Fee_Relief_Windows_3B!$O$1822:$O$100,CBIC_Late_Fee_Relief_Windows_3B!$D$1822:$D$100,"&lt;="&amp;B1822,CBIC_Late_Fee_Relief_Windows_3B!$E$1822:$E$100,"&gt;="&amp;B1822,CBIC_Late_Fee_Relief_Windows_3B!$F$1822:$F$100,"&lt;="&amp;C1822,CBIC_Late_Fee_Relief_Windows_3B!$G$1822:$G$100,"&gt;="&amp;C1822)</f>
        <v/>
      </c>
      <c r="H1822">
        <f>INDEX(CBIC_Late_Fee_Relief_Windows_3B!$I$1822:$I$100,MATCH(G1822,CBIC_Late_Fee_Relief_Windows_3B!$O$1822:$O$100,0))</f>
        <v/>
      </c>
      <c r="I1822">
        <f>MIN(F1822,H1822)</f>
        <v/>
      </c>
    </row>
    <row r="1823">
      <c r="A1823">
        <f>TEST_DATA!A1823</f>
        <v/>
      </c>
      <c r="B1823">
        <f>TEST_DATA!B1823</f>
        <v/>
      </c>
      <c r="C1823">
        <f>TEST_DATA!C1823</f>
        <v/>
      </c>
      <c r="D1823">
        <f>TEST_DATA!D1823</f>
        <v/>
      </c>
      <c r="E1823">
        <f>TEST_DATA!E1823</f>
        <v/>
      </c>
      <c r="F1823">
        <f>MIN(E1823*182300,10000)</f>
        <v/>
      </c>
      <c r="G1823">
        <f>MINIFS(CBIC_Late_Fee_Relief_Windows_3B!$O$1823:$O$100,CBIC_Late_Fee_Relief_Windows_3B!$D$1823:$D$100,"&lt;="&amp;B1823,CBIC_Late_Fee_Relief_Windows_3B!$E$1823:$E$100,"&gt;="&amp;B1823,CBIC_Late_Fee_Relief_Windows_3B!$F$1823:$F$100,"&lt;="&amp;C1823,CBIC_Late_Fee_Relief_Windows_3B!$G$1823:$G$100,"&gt;="&amp;C1823)</f>
        <v/>
      </c>
      <c r="H1823">
        <f>INDEX(CBIC_Late_Fee_Relief_Windows_3B!$I$1823:$I$100,MATCH(G1823,CBIC_Late_Fee_Relief_Windows_3B!$O$1823:$O$100,0))</f>
        <v/>
      </c>
      <c r="I1823">
        <f>MIN(F1823,H1823)</f>
        <v/>
      </c>
    </row>
    <row r="1824">
      <c r="A1824">
        <f>TEST_DATA!A1824</f>
        <v/>
      </c>
      <c r="B1824">
        <f>TEST_DATA!B1824</f>
        <v/>
      </c>
      <c r="C1824">
        <f>TEST_DATA!C1824</f>
        <v/>
      </c>
      <c r="D1824">
        <f>TEST_DATA!D1824</f>
        <v/>
      </c>
      <c r="E1824">
        <f>TEST_DATA!E1824</f>
        <v/>
      </c>
      <c r="F1824">
        <f>MIN(E1824*182400,10000)</f>
        <v/>
      </c>
      <c r="G1824">
        <f>MINIFS(CBIC_Late_Fee_Relief_Windows_3B!$O$1824:$O$100,CBIC_Late_Fee_Relief_Windows_3B!$D$1824:$D$100,"&lt;="&amp;B1824,CBIC_Late_Fee_Relief_Windows_3B!$E$1824:$E$100,"&gt;="&amp;B1824,CBIC_Late_Fee_Relief_Windows_3B!$F$1824:$F$100,"&lt;="&amp;C1824,CBIC_Late_Fee_Relief_Windows_3B!$G$1824:$G$100,"&gt;="&amp;C1824)</f>
        <v/>
      </c>
      <c r="H1824">
        <f>INDEX(CBIC_Late_Fee_Relief_Windows_3B!$I$1824:$I$100,MATCH(G1824,CBIC_Late_Fee_Relief_Windows_3B!$O$1824:$O$100,0))</f>
        <v/>
      </c>
      <c r="I1824">
        <f>MIN(F1824,H1824)</f>
        <v/>
      </c>
    </row>
    <row r="1825">
      <c r="A1825">
        <f>TEST_DATA!A1825</f>
        <v/>
      </c>
      <c r="B1825">
        <f>TEST_DATA!B1825</f>
        <v/>
      </c>
      <c r="C1825">
        <f>TEST_DATA!C1825</f>
        <v/>
      </c>
      <c r="D1825">
        <f>TEST_DATA!D1825</f>
        <v/>
      </c>
      <c r="E1825">
        <f>TEST_DATA!E1825</f>
        <v/>
      </c>
      <c r="F1825">
        <f>MIN(E1825*182500,10000)</f>
        <v/>
      </c>
      <c r="G1825">
        <f>MINIFS(CBIC_Late_Fee_Relief_Windows_3B!$O$1825:$O$100,CBIC_Late_Fee_Relief_Windows_3B!$D$1825:$D$100,"&lt;="&amp;B1825,CBIC_Late_Fee_Relief_Windows_3B!$E$1825:$E$100,"&gt;="&amp;B1825,CBIC_Late_Fee_Relief_Windows_3B!$F$1825:$F$100,"&lt;="&amp;C1825,CBIC_Late_Fee_Relief_Windows_3B!$G$1825:$G$100,"&gt;="&amp;C1825)</f>
        <v/>
      </c>
      <c r="H1825">
        <f>INDEX(CBIC_Late_Fee_Relief_Windows_3B!$I$1825:$I$100,MATCH(G1825,CBIC_Late_Fee_Relief_Windows_3B!$O$1825:$O$100,0))</f>
        <v/>
      </c>
      <c r="I1825">
        <f>MIN(F1825,H1825)</f>
        <v/>
      </c>
    </row>
    <row r="1826">
      <c r="A1826">
        <f>TEST_DATA!A1826</f>
        <v/>
      </c>
      <c r="B1826">
        <f>TEST_DATA!B1826</f>
        <v/>
      </c>
      <c r="C1826">
        <f>TEST_DATA!C1826</f>
        <v/>
      </c>
      <c r="D1826">
        <f>TEST_DATA!D1826</f>
        <v/>
      </c>
      <c r="E1826">
        <f>TEST_DATA!E1826</f>
        <v/>
      </c>
      <c r="F1826">
        <f>MIN(E1826*182600,10000)</f>
        <v/>
      </c>
      <c r="G1826">
        <f>MINIFS(CBIC_Late_Fee_Relief_Windows_3B!$O$1826:$O$100,CBIC_Late_Fee_Relief_Windows_3B!$D$1826:$D$100,"&lt;="&amp;B1826,CBIC_Late_Fee_Relief_Windows_3B!$E$1826:$E$100,"&gt;="&amp;B1826,CBIC_Late_Fee_Relief_Windows_3B!$F$1826:$F$100,"&lt;="&amp;C1826,CBIC_Late_Fee_Relief_Windows_3B!$G$1826:$G$100,"&gt;="&amp;C1826)</f>
        <v/>
      </c>
      <c r="H1826">
        <f>INDEX(CBIC_Late_Fee_Relief_Windows_3B!$I$1826:$I$100,MATCH(G1826,CBIC_Late_Fee_Relief_Windows_3B!$O$1826:$O$100,0))</f>
        <v/>
      </c>
      <c r="I1826">
        <f>MIN(F1826,H1826)</f>
        <v/>
      </c>
    </row>
    <row r="1827">
      <c r="A1827">
        <f>TEST_DATA!A1827</f>
        <v/>
      </c>
      <c r="B1827">
        <f>TEST_DATA!B1827</f>
        <v/>
      </c>
      <c r="C1827">
        <f>TEST_DATA!C1827</f>
        <v/>
      </c>
      <c r="D1827">
        <f>TEST_DATA!D1827</f>
        <v/>
      </c>
      <c r="E1827">
        <f>TEST_DATA!E1827</f>
        <v/>
      </c>
      <c r="F1827">
        <f>MIN(E1827*182700,10000)</f>
        <v/>
      </c>
      <c r="G1827">
        <f>MINIFS(CBIC_Late_Fee_Relief_Windows_3B!$O$1827:$O$100,CBIC_Late_Fee_Relief_Windows_3B!$D$1827:$D$100,"&lt;="&amp;B1827,CBIC_Late_Fee_Relief_Windows_3B!$E$1827:$E$100,"&gt;="&amp;B1827,CBIC_Late_Fee_Relief_Windows_3B!$F$1827:$F$100,"&lt;="&amp;C1827,CBIC_Late_Fee_Relief_Windows_3B!$G$1827:$G$100,"&gt;="&amp;C1827)</f>
        <v/>
      </c>
      <c r="H1827">
        <f>INDEX(CBIC_Late_Fee_Relief_Windows_3B!$I$1827:$I$100,MATCH(G1827,CBIC_Late_Fee_Relief_Windows_3B!$O$1827:$O$100,0))</f>
        <v/>
      </c>
      <c r="I1827">
        <f>MIN(F1827,H1827)</f>
        <v/>
      </c>
    </row>
    <row r="1828">
      <c r="A1828">
        <f>TEST_DATA!A1828</f>
        <v/>
      </c>
      <c r="B1828">
        <f>TEST_DATA!B1828</f>
        <v/>
      </c>
      <c r="C1828">
        <f>TEST_DATA!C1828</f>
        <v/>
      </c>
      <c r="D1828">
        <f>TEST_DATA!D1828</f>
        <v/>
      </c>
      <c r="E1828">
        <f>TEST_DATA!E1828</f>
        <v/>
      </c>
      <c r="F1828">
        <f>MIN(E1828*182800,10000)</f>
        <v/>
      </c>
      <c r="G1828">
        <f>MINIFS(CBIC_Late_Fee_Relief_Windows_3B!$O$1828:$O$100,CBIC_Late_Fee_Relief_Windows_3B!$D$1828:$D$100,"&lt;="&amp;B1828,CBIC_Late_Fee_Relief_Windows_3B!$E$1828:$E$100,"&gt;="&amp;B1828,CBIC_Late_Fee_Relief_Windows_3B!$F$1828:$F$100,"&lt;="&amp;C1828,CBIC_Late_Fee_Relief_Windows_3B!$G$1828:$G$100,"&gt;="&amp;C1828)</f>
        <v/>
      </c>
      <c r="H1828">
        <f>INDEX(CBIC_Late_Fee_Relief_Windows_3B!$I$1828:$I$100,MATCH(G1828,CBIC_Late_Fee_Relief_Windows_3B!$O$1828:$O$100,0))</f>
        <v/>
      </c>
      <c r="I1828">
        <f>MIN(F1828,H1828)</f>
        <v/>
      </c>
    </row>
    <row r="1829">
      <c r="A1829">
        <f>TEST_DATA!A1829</f>
        <v/>
      </c>
      <c r="B1829">
        <f>TEST_DATA!B1829</f>
        <v/>
      </c>
      <c r="C1829">
        <f>TEST_DATA!C1829</f>
        <v/>
      </c>
      <c r="D1829">
        <f>TEST_DATA!D1829</f>
        <v/>
      </c>
      <c r="E1829">
        <f>TEST_DATA!E1829</f>
        <v/>
      </c>
      <c r="F1829">
        <f>MIN(E1829*182900,10000)</f>
        <v/>
      </c>
      <c r="G1829">
        <f>MINIFS(CBIC_Late_Fee_Relief_Windows_3B!$O$1829:$O$100,CBIC_Late_Fee_Relief_Windows_3B!$D$1829:$D$100,"&lt;="&amp;B1829,CBIC_Late_Fee_Relief_Windows_3B!$E$1829:$E$100,"&gt;="&amp;B1829,CBIC_Late_Fee_Relief_Windows_3B!$F$1829:$F$100,"&lt;="&amp;C1829,CBIC_Late_Fee_Relief_Windows_3B!$G$1829:$G$100,"&gt;="&amp;C1829)</f>
        <v/>
      </c>
      <c r="H1829">
        <f>INDEX(CBIC_Late_Fee_Relief_Windows_3B!$I$1829:$I$100,MATCH(G1829,CBIC_Late_Fee_Relief_Windows_3B!$O$1829:$O$100,0))</f>
        <v/>
      </c>
      <c r="I1829">
        <f>MIN(F1829,H1829)</f>
        <v/>
      </c>
    </row>
    <row r="1830">
      <c r="A1830">
        <f>TEST_DATA!A1830</f>
        <v/>
      </c>
      <c r="B1830">
        <f>TEST_DATA!B1830</f>
        <v/>
      </c>
      <c r="C1830">
        <f>TEST_DATA!C1830</f>
        <v/>
      </c>
      <c r="D1830">
        <f>TEST_DATA!D1830</f>
        <v/>
      </c>
      <c r="E1830">
        <f>TEST_DATA!E1830</f>
        <v/>
      </c>
      <c r="F1830">
        <f>MIN(E1830*183000,10000)</f>
        <v/>
      </c>
      <c r="G1830">
        <f>MINIFS(CBIC_Late_Fee_Relief_Windows_3B!$O$1830:$O$100,CBIC_Late_Fee_Relief_Windows_3B!$D$1830:$D$100,"&lt;="&amp;B1830,CBIC_Late_Fee_Relief_Windows_3B!$E$1830:$E$100,"&gt;="&amp;B1830,CBIC_Late_Fee_Relief_Windows_3B!$F$1830:$F$100,"&lt;="&amp;C1830,CBIC_Late_Fee_Relief_Windows_3B!$G$1830:$G$100,"&gt;="&amp;C1830)</f>
        <v/>
      </c>
      <c r="H1830">
        <f>INDEX(CBIC_Late_Fee_Relief_Windows_3B!$I$1830:$I$100,MATCH(G1830,CBIC_Late_Fee_Relief_Windows_3B!$O$1830:$O$100,0))</f>
        <v/>
      </c>
      <c r="I1830">
        <f>MIN(F1830,H1830)</f>
        <v/>
      </c>
    </row>
    <row r="1831">
      <c r="A1831">
        <f>TEST_DATA!A1831</f>
        <v/>
      </c>
      <c r="B1831">
        <f>TEST_DATA!B1831</f>
        <v/>
      </c>
      <c r="C1831">
        <f>TEST_DATA!C1831</f>
        <v/>
      </c>
      <c r="D1831">
        <f>TEST_DATA!D1831</f>
        <v/>
      </c>
      <c r="E1831">
        <f>TEST_DATA!E1831</f>
        <v/>
      </c>
      <c r="F1831">
        <f>MIN(E1831*183100,10000)</f>
        <v/>
      </c>
      <c r="G1831">
        <f>MINIFS(CBIC_Late_Fee_Relief_Windows_3B!$O$1831:$O$100,CBIC_Late_Fee_Relief_Windows_3B!$D$1831:$D$100,"&lt;="&amp;B1831,CBIC_Late_Fee_Relief_Windows_3B!$E$1831:$E$100,"&gt;="&amp;B1831,CBIC_Late_Fee_Relief_Windows_3B!$F$1831:$F$100,"&lt;="&amp;C1831,CBIC_Late_Fee_Relief_Windows_3B!$G$1831:$G$100,"&gt;="&amp;C1831)</f>
        <v/>
      </c>
      <c r="H1831">
        <f>INDEX(CBIC_Late_Fee_Relief_Windows_3B!$I$1831:$I$100,MATCH(G1831,CBIC_Late_Fee_Relief_Windows_3B!$O$1831:$O$100,0))</f>
        <v/>
      </c>
      <c r="I1831">
        <f>MIN(F1831,H1831)</f>
        <v/>
      </c>
    </row>
    <row r="1832">
      <c r="A1832">
        <f>TEST_DATA!A1832</f>
        <v/>
      </c>
      <c r="B1832">
        <f>TEST_DATA!B1832</f>
        <v/>
      </c>
      <c r="C1832">
        <f>TEST_DATA!C1832</f>
        <v/>
      </c>
      <c r="D1832">
        <f>TEST_DATA!D1832</f>
        <v/>
      </c>
      <c r="E1832">
        <f>TEST_DATA!E1832</f>
        <v/>
      </c>
      <c r="F1832">
        <f>MIN(E1832*183200,10000)</f>
        <v/>
      </c>
      <c r="G1832">
        <f>MINIFS(CBIC_Late_Fee_Relief_Windows_3B!$O$1832:$O$100,CBIC_Late_Fee_Relief_Windows_3B!$D$1832:$D$100,"&lt;="&amp;B1832,CBIC_Late_Fee_Relief_Windows_3B!$E$1832:$E$100,"&gt;="&amp;B1832,CBIC_Late_Fee_Relief_Windows_3B!$F$1832:$F$100,"&lt;="&amp;C1832,CBIC_Late_Fee_Relief_Windows_3B!$G$1832:$G$100,"&gt;="&amp;C1832)</f>
        <v/>
      </c>
      <c r="H1832">
        <f>INDEX(CBIC_Late_Fee_Relief_Windows_3B!$I$1832:$I$100,MATCH(G1832,CBIC_Late_Fee_Relief_Windows_3B!$O$1832:$O$100,0))</f>
        <v/>
      </c>
      <c r="I1832">
        <f>MIN(F1832,H1832)</f>
        <v/>
      </c>
    </row>
    <row r="1833">
      <c r="A1833">
        <f>TEST_DATA!A1833</f>
        <v/>
      </c>
      <c r="B1833">
        <f>TEST_DATA!B1833</f>
        <v/>
      </c>
      <c r="C1833">
        <f>TEST_DATA!C1833</f>
        <v/>
      </c>
      <c r="D1833">
        <f>TEST_DATA!D1833</f>
        <v/>
      </c>
      <c r="E1833">
        <f>TEST_DATA!E1833</f>
        <v/>
      </c>
      <c r="F1833">
        <f>MIN(E1833*183300,10000)</f>
        <v/>
      </c>
      <c r="G1833">
        <f>MINIFS(CBIC_Late_Fee_Relief_Windows_3B!$O$1833:$O$100,CBIC_Late_Fee_Relief_Windows_3B!$D$1833:$D$100,"&lt;="&amp;B1833,CBIC_Late_Fee_Relief_Windows_3B!$E$1833:$E$100,"&gt;="&amp;B1833,CBIC_Late_Fee_Relief_Windows_3B!$F$1833:$F$100,"&lt;="&amp;C1833,CBIC_Late_Fee_Relief_Windows_3B!$G$1833:$G$100,"&gt;="&amp;C1833)</f>
        <v/>
      </c>
      <c r="H1833">
        <f>INDEX(CBIC_Late_Fee_Relief_Windows_3B!$I$1833:$I$100,MATCH(G1833,CBIC_Late_Fee_Relief_Windows_3B!$O$1833:$O$100,0))</f>
        <v/>
      </c>
      <c r="I1833">
        <f>MIN(F1833,H1833)</f>
        <v/>
      </c>
    </row>
    <row r="1834">
      <c r="A1834">
        <f>TEST_DATA!A1834</f>
        <v/>
      </c>
      <c r="B1834">
        <f>TEST_DATA!B1834</f>
        <v/>
      </c>
      <c r="C1834">
        <f>TEST_DATA!C1834</f>
        <v/>
      </c>
      <c r="D1834">
        <f>TEST_DATA!D1834</f>
        <v/>
      </c>
      <c r="E1834">
        <f>TEST_DATA!E1834</f>
        <v/>
      </c>
      <c r="F1834">
        <f>MIN(E1834*183400,10000)</f>
        <v/>
      </c>
      <c r="G1834">
        <f>MINIFS(CBIC_Late_Fee_Relief_Windows_3B!$O$1834:$O$100,CBIC_Late_Fee_Relief_Windows_3B!$D$1834:$D$100,"&lt;="&amp;B1834,CBIC_Late_Fee_Relief_Windows_3B!$E$1834:$E$100,"&gt;="&amp;B1834,CBIC_Late_Fee_Relief_Windows_3B!$F$1834:$F$100,"&lt;="&amp;C1834,CBIC_Late_Fee_Relief_Windows_3B!$G$1834:$G$100,"&gt;="&amp;C1834)</f>
        <v/>
      </c>
      <c r="H1834">
        <f>INDEX(CBIC_Late_Fee_Relief_Windows_3B!$I$1834:$I$100,MATCH(G1834,CBIC_Late_Fee_Relief_Windows_3B!$O$1834:$O$100,0))</f>
        <v/>
      </c>
      <c r="I1834">
        <f>MIN(F1834,H1834)</f>
        <v/>
      </c>
    </row>
    <row r="1835">
      <c r="A1835">
        <f>TEST_DATA!A1835</f>
        <v/>
      </c>
      <c r="B1835">
        <f>TEST_DATA!B1835</f>
        <v/>
      </c>
      <c r="C1835">
        <f>TEST_DATA!C1835</f>
        <v/>
      </c>
      <c r="D1835">
        <f>TEST_DATA!D1835</f>
        <v/>
      </c>
      <c r="E1835">
        <f>TEST_DATA!E1835</f>
        <v/>
      </c>
      <c r="F1835">
        <f>MIN(E1835*183500,10000)</f>
        <v/>
      </c>
      <c r="G1835">
        <f>MINIFS(CBIC_Late_Fee_Relief_Windows_3B!$O$1835:$O$100,CBIC_Late_Fee_Relief_Windows_3B!$D$1835:$D$100,"&lt;="&amp;B1835,CBIC_Late_Fee_Relief_Windows_3B!$E$1835:$E$100,"&gt;="&amp;B1835,CBIC_Late_Fee_Relief_Windows_3B!$F$1835:$F$100,"&lt;="&amp;C1835,CBIC_Late_Fee_Relief_Windows_3B!$G$1835:$G$100,"&gt;="&amp;C1835)</f>
        <v/>
      </c>
      <c r="H1835">
        <f>INDEX(CBIC_Late_Fee_Relief_Windows_3B!$I$1835:$I$100,MATCH(G1835,CBIC_Late_Fee_Relief_Windows_3B!$O$1835:$O$100,0))</f>
        <v/>
      </c>
      <c r="I1835">
        <f>MIN(F1835,H1835)</f>
        <v/>
      </c>
    </row>
    <row r="1836">
      <c r="A1836">
        <f>TEST_DATA!A1836</f>
        <v/>
      </c>
      <c r="B1836">
        <f>TEST_DATA!B1836</f>
        <v/>
      </c>
      <c r="C1836">
        <f>TEST_DATA!C1836</f>
        <v/>
      </c>
      <c r="D1836">
        <f>TEST_DATA!D1836</f>
        <v/>
      </c>
      <c r="E1836">
        <f>TEST_DATA!E1836</f>
        <v/>
      </c>
      <c r="F1836">
        <f>MIN(E1836*183600,10000)</f>
        <v/>
      </c>
      <c r="G1836">
        <f>MINIFS(CBIC_Late_Fee_Relief_Windows_3B!$O$1836:$O$100,CBIC_Late_Fee_Relief_Windows_3B!$D$1836:$D$100,"&lt;="&amp;B1836,CBIC_Late_Fee_Relief_Windows_3B!$E$1836:$E$100,"&gt;="&amp;B1836,CBIC_Late_Fee_Relief_Windows_3B!$F$1836:$F$100,"&lt;="&amp;C1836,CBIC_Late_Fee_Relief_Windows_3B!$G$1836:$G$100,"&gt;="&amp;C1836)</f>
        <v/>
      </c>
      <c r="H1836">
        <f>INDEX(CBIC_Late_Fee_Relief_Windows_3B!$I$1836:$I$100,MATCH(G1836,CBIC_Late_Fee_Relief_Windows_3B!$O$1836:$O$100,0))</f>
        <v/>
      </c>
      <c r="I1836">
        <f>MIN(F1836,H1836)</f>
        <v/>
      </c>
    </row>
    <row r="1837">
      <c r="A1837">
        <f>TEST_DATA!A1837</f>
        <v/>
      </c>
      <c r="B1837">
        <f>TEST_DATA!B1837</f>
        <v/>
      </c>
      <c r="C1837">
        <f>TEST_DATA!C1837</f>
        <v/>
      </c>
      <c r="D1837">
        <f>TEST_DATA!D1837</f>
        <v/>
      </c>
      <c r="E1837">
        <f>TEST_DATA!E1837</f>
        <v/>
      </c>
      <c r="F1837">
        <f>MIN(E1837*183700,10000)</f>
        <v/>
      </c>
      <c r="G1837">
        <f>MINIFS(CBIC_Late_Fee_Relief_Windows_3B!$O$1837:$O$100,CBIC_Late_Fee_Relief_Windows_3B!$D$1837:$D$100,"&lt;="&amp;B1837,CBIC_Late_Fee_Relief_Windows_3B!$E$1837:$E$100,"&gt;="&amp;B1837,CBIC_Late_Fee_Relief_Windows_3B!$F$1837:$F$100,"&lt;="&amp;C1837,CBIC_Late_Fee_Relief_Windows_3B!$G$1837:$G$100,"&gt;="&amp;C1837)</f>
        <v/>
      </c>
      <c r="H1837">
        <f>INDEX(CBIC_Late_Fee_Relief_Windows_3B!$I$1837:$I$100,MATCH(G1837,CBIC_Late_Fee_Relief_Windows_3B!$O$1837:$O$100,0))</f>
        <v/>
      </c>
      <c r="I1837">
        <f>MIN(F1837,H1837)</f>
        <v/>
      </c>
    </row>
    <row r="1838">
      <c r="A1838">
        <f>TEST_DATA!A1838</f>
        <v/>
      </c>
      <c r="B1838">
        <f>TEST_DATA!B1838</f>
        <v/>
      </c>
      <c r="C1838">
        <f>TEST_DATA!C1838</f>
        <v/>
      </c>
      <c r="D1838">
        <f>TEST_DATA!D1838</f>
        <v/>
      </c>
      <c r="E1838">
        <f>TEST_DATA!E1838</f>
        <v/>
      </c>
      <c r="F1838">
        <f>MIN(E1838*183800,10000)</f>
        <v/>
      </c>
      <c r="G1838">
        <f>MINIFS(CBIC_Late_Fee_Relief_Windows_3B!$O$1838:$O$100,CBIC_Late_Fee_Relief_Windows_3B!$D$1838:$D$100,"&lt;="&amp;B1838,CBIC_Late_Fee_Relief_Windows_3B!$E$1838:$E$100,"&gt;="&amp;B1838,CBIC_Late_Fee_Relief_Windows_3B!$F$1838:$F$100,"&lt;="&amp;C1838,CBIC_Late_Fee_Relief_Windows_3B!$G$1838:$G$100,"&gt;="&amp;C1838)</f>
        <v/>
      </c>
      <c r="H1838">
        <f>INDEX(CBIC_Late_Fee_Relief_Windows_3B!$I$1838:$I$100,MATCH(G1838,CBIC_Late_Fee_Relief_Windows_3B!$O$1838:$O$100,0))</f>
        <v/>
      </c>
      <c r="I1838">
        <f>MIN(F1838,H1838)</f>
        <v/>
      </c>
    </row>
    <row r="1839">
      <c r="A1839">
        <f>TEST_DATA!A1839</f>
        <v/>
      </c>
      <c r="B1839">
        <f>TEST_DATA!B1839</f>
        <v/>
      </c>
      <c r="C1839">
        <f>TEST_DATA!C1839</f>
        <v/>
      </c>
      <c r="D1839">
        <f>TEST_DATA!D1839</f>
        <v/>
      </c>
      <c r="E1839">
        <f>TEST_DATA!E1839</f>
        <v/>
      </c>
      <c r="F1839">
        <f>MIN(E1839*183900,10000)</f>
        <v/>
      </c>
      <c r="G1839">
        <f>MINIFS(CBIC_Late_Fee_Relief_Windows_3B!$O$1839:$O$100,CBIC_Late_Fee_Relief_Windows_3B!$D$1839:$D$100,"&lt;="&amp;B1839,CBIC_Late_Fee_Relief_Windows_3B!$E$1839:$E$100,"&gt;="&amp;B1839,CBIC_Late_Fee_Relief_Windows_3B!$F$1839:$F$100,"&lt;="&amp;C1839,CBIC_Late_Fee_Relief_Windows_3B!$G$1839:$G$100,"&gt;="&amp;C1839)</f>
        <v/>
      </c>
      <c r="H1839">
        <f>INDEX(CBIC_Late_Fee_Relief_Windows_3B!$I$1839:$I$100,MATCH(G1839,CBIC_Late_Fee_Relief_Windows_3B!$O$1839:$O$100,0))</f>
        <v/>
      </c>
      <c r="I1839">
        <f>MIN(F1839,H1839)</f>
        <v/>
      </c>
    </row>
    <row r="1840">
      <c r="A1840">
        <f>TEST_DATA!A1840</f>
        <v/>
      </c>
      <c r="B1840">
        <f>TEST_DATA!B1840</f>
        <v/>
      </c>
      <c r="C1840">
        <f>TEST_DATA!C1840</f>
        <v/>
      </c>
      <c r="D1840">
        <f>TEST_DATA!D1840</f>
        <v/>
      </c>
      <c r="E1840">
        <f>TEST_DATA!E1840</f>
        <v/>
      </c>
      <c r="F1840">
        <f>MIN(E1840*184000,10000)</f>
        <v/>
      </c>
      <c r="G1840">
        <f>MINIFS(CBIC_Late_Fee_Relief_Windows_3B!$O$1840:$O$100,CBIC_Late_Fee_Relief_Windows_3B!$D$1840:$D$100,"&lt;="&amp;B1840,CBIC_Late_Fee_Relief_Windows_3B!$E$1840:$E$100,"&gt;="&amp;B1840,CBIC_Late_Fee_Relief_Windows_3B!$F$1840:$F$100,"&lt;="&amp;C1840,CBIC_Late_Fee_Relief_Windows_3B!$G$1840:$G$100,"&gt;="&amp;C1840)</f>
        <v/>
      </c>
      <c r="H1840">
        <f>INDEX(CBIC_Late_Fee_Relief_Windows_3B!$I$1840:$I$100,MATCH(G1840,CBIC_Late_Fee_Relief_Windows_3B!$O$1840:$O$100,0))</f>
        <v/>
      </c>
      <c r="I1840">
        <f>MIN(F1840,H1840)</f>
        <v/>
      </c>
    </row>
    <row r="1841">
      <c r="A1841">
        <f>TEST_DATA!A1841</f>
        <v/>
      </c>
      <c r="B1841">
        <f>TEST_DATA!B1841</f>
        <v/>
      </c>
      <c r="C1841">
        <f>TEST_DATA!C1841</f>
        <v/>
      </c>
      <c r="D1841">
        <f>TEST_DATA!D1841</f>
        <v/>
      </c>
      <c r="E1841">
        <f>TEST_DATA!E1841</f>
        <v/>
      </c>
      <c r="F1841">
        <f>MIN(E1841*184100,10000)</f>
        <v/>
      </c>
      <c r="G1841">
        <f>MINIFS(CBIC_Late_Fee_Relief_Windows_3B!$O$1841:$O$100,CBIC_Late_Fee_Relief_Windows_3B!$D$1841:$D$100,"&lt;="&amp;B1841,CBIC_Late_Fee_Relief_Windows_3B!$E$1841:$E$100,"&gt;="&amp;B1841,CBIC_Late_Fee_Relief_Windows_3B!$F$1841:$F$100,"&lt;="&amp;C1841,CBIC_Late_Fee_Relief_Windows_3B!$G$1841:$G$100,"&gt;="&amp;C1841)</f>
        <v/>
      </c>
      <c r="H1841">
        <f>INDEX(CBIC_Late_Fee_Relief_Windows_3B!$I$1841:$I$100,MATCH(G1841,CBIC_Late_Fee_Relief_Windows_3B!$O$1841:$O$100,0))</f>
        <v/>
      </c>
      <c r="I1841">
        <f>MIN(F1841,H1841)</f>
        <v/>
      </c>
    </row>
    <row r="1842">
      <c r="A1842">
        <f>TEST_DATA!A1842</f>
        <v/>
      </c>
      <c r="B1842">
        <f>TEST_DATA!B1842</f>
        <v/>
      </c>
      <c r="C1842">
        <f>TEST_DATA!C1842</f>
        <v/>
      </c>
      <c r="D1842">
        <f>TEST_DATA!D1842</f>
        <v/>
      </c>
      <c r="E1842">
        <f>TEST_DATA!E1842</f>
        <v/>
      </c>
      <c r="F1842">
        <f>MIN(E1842*184200,10000)</f>
        <v/>
      </c>
      <c r="G1842">
        <f>MINIFS(CBIC_Late_Fee_Relief_Windows_3B!$O$1842:$O$100,CBIC_Late_Fee_Relief_Windows_3B!$D$1842:$D$100,"&lt;="&amp;B1842,CBIC_Late_Fee_Relief_Windows_3B!$E$1842:$E$100,"&gt;="&amp;B1842,CBIC_Late_Fee_Relief_Windows_3B!$F$1842:$F$100,"&lt;="&amp;C1842,CBIC_Late_Fee_Relief_Windows_3B!$G$1842:$G$100,"&gt;="&amp;C1842)</f>
        <v/>
      </c>
      <c r="H1842">
        <f>INDEX(CBIC_Late_Fee_Relief_Windows_3B!$I$1842:$I$100,MATCH(G1842,CBIC_Late_Fee_Relief_Windows_3B!$O$1842:$O$100,0))</f>
        <v/>
      </c>
      <c r="I1842">
        <f>MIN(F1842,H1842)</f>
        <v/>
      </c>
    </row>
    <row r="1843">
      <c r="A1843">
        <f>TEST_DATA!A1843</f>
        <v/>
      </c>
      <c r="B1843">
        <f>TEST_DATA!B1843</f>
        <v/>
      </c>
      <c r="C1843">
        <f>TEST_DATA!C1843</f>
        <v/>
      </c>
      <c r="D1843">
        <f>TEST_DATA!D1843</f>
        <v/>
      </c>
      <c r="E1843">
        <f>TEST_DATA!E1843</f>
        <v/>
      </c>
      <c r="F1843">
        <f>MIN(E1843*184300,10000)</f>
        <v/>
      </c>
      <c r="G1843">
        <f>MINIFS(CBIC_Late_Fee_Relief_Windows_3B!$O$1843:$O$100,CBIC_Late_Fee_Relief_Windows_3B!$D$1843:$D$100,"&lt;="&amp;B1843,CBIC_Late_Fee_Relief_Windows_3B!$E$1843:$E$100,"&gt;="&amp;B1843,CBIC_Late_Fee_Relief_Windows_3B!$F$1843:$F$100,"&lt;="&amp;C1843,CBIC_Late_Fee_Relief_Windows_3B!$G$1843:$G$100,"&gt;="&amp;C1843)</f>
        <v/>
      </c>
      <c r="H1843">
        <f>INDEX(CBIC_Late_Fee_Relief_Windows_3B!$I$1843:$I$100,MATCH(G1843,CBIC_Late_Fee_Relief_Windows_3B!$O$1843:$O$100,0))</f>
        <v/>
      </c>
      <c r="I1843">
        <f>MIN(F1843,H1843)</f>
        <v/>
      </c>
    </row>
    <row r="1844">
      <c r="A1844">
        <f>TEST_DATA!A1844</f>
        <v/>
      </c>
      <c r="B1844">
        <f>TEST_DATA!B1844</f>
        <v/>
      </c>
      <c r="C1844">
        <f>TEST_DATA!C1844</f>
        <v/>
      </c>
      <c r="D1844">
        <f>TEST_DATA!D1844</f>
        <v/>
      </c>
      <c r="E1844">
        <f>TEST_DATA!E1844</f>
        <v/>
      </c>
      <c r="F1844">
        <f>MIN(E1844*184400,10000)</f>
        <v/>
      </c>
      <c r="G1844">
        <f>MINIFS(CBIC_Late_Fee_Relief_Windows_3B!$O$1844:$O$100,CBIC_Late_Fee_Relief_Windows_3B!$D$1844:$D$100,"&lt;="&amp;B1844,CBIC_Late_Fee_Relief_Windows_3B!$E$1844:$E$100,"&gt;="&amp;B1844,CBIC_Late_Fee_Relief_Windows_3B!$F$1844:$F$100,"&lt;="&amp;C1844,CBIC_Late_Fee_Relief_Windows_3B!$G$1844:$G$100,"&gt;="&amp;C1844)</f>
        <v/>
      </c>
      <c r="H1844">
        <f>INDEX(CBIC_Late_Fee_Relief_Windows_3B!$I$1844:$I$100,MATCH(G1844,CBIC_Late_Fee_Relief_Windows_3B!$O$1844:$O$100,0))</f>
        <v/>
      </c>
      <c r="I1844">
        <f>MIN(F1844,H1844)</f>
        <v/>
      </c>
    </row>
    <row r="1845">
      <c r="A1845">
        <f>TEST_DATA!A1845</f>
        <v/>
      </c>
      <c r="B1845">
        <f>TEST_DATA!B1845</f>
        <v/>
      </c>
      <c r="C1845">
        <f>TEST_DATA!C1845</f>
        <v/>
      </c>
      <c r="D1845">
        <f>TEST_DATA!D1845</f>
        <v/>
      </c>
      <c r="E1845">
        <f>TEST_DATA!E1845</f>
        <v/>
      </c>
      <c r="F1845">
        <f>MIN(E1845*184500,10000)</f>
        <v/>
      </c>
      <c r="G1845">
        <f>MINIFS(CBIC_Late_Fee_Relief_Windows_3B!$O$1845:$O$100,CBIC_Late_Fee_Relief_Windows_3B!$D$1845:$D$100,"&lt;="&amp;B1845,CBIC_Late_Fee_Relief_Windows_3B!$E$1845:$E$100,"&gt;="&amp;B1845,CBIC_Late_Fee_Relief_Windows_3B!$F$1845:$F$100,"&lt;="&amp;C1845,CBIC_Late_Fee_Relief_Windows_3B!$G$1845:$G$100,"&gt;="&amp;C1845)</f>
        <v/>
      </c>
      <c r="H1845">
        <f>INDEX(CBIC_Late_Fee_Relief_Windows_3B!$I$1845:$I$100,MATCH(G1845,CBIC_Late_Fee_Relief_Windows_3B!$O$1845:$O$100,0))</f>
        <v/>
      </c>
      <c r="I1845">
        <f>MIN(F1845,H1845)</f>
        <v/>
      </c>
    </row>
    <row r="1846">
      <c r="A1846">
        <f>TEST_DATA!A1846</f>
        <v/>
      </c>
      <c r="B1846">
        <f>TEST_DATA!B1846</f>
        <v/>
      </c>
      <c r="C1846">
        <f>TEST_DATA!C1846</f>
        <v/>
      </c>
      <c r="D1846">
        <f>TEST_DATA!D1846</f>
        <v/>
      </c>
      <c r="E1846">
        <f>TEST_DATA!E1846</f>
        <v/>
      </c>
      <c r="F1846">
        <f>MIN(E1846*184600,10000)</f>
        <v/>
      </c>
      <c r="G1846">
        <f>MINIFS(CBIC_Late_Fee_Relief_Windows_3B!$O$1846:$O$100,CBIC_Late_Fee_Relief_Windows_3B!$D$1846:$D$100,"&lt;="&amp;B1846,CBIC_Late_Fee_Relief_Windows_3B!$E$1846:$E$100,"&gt;="&amp;B1846,CBIC_Late_Fee_Relief_Windows_3B!$F$1846:$F$100,"&lt;="&amp;C1846,CBIC_Late_Fee_Relief_Windows_3B!$G$1846:$G$100,"&gt;="&amp;C1846)</f>
        <v/>
      </c>
      <c r="H1846">
        <f>INDEX(CBIC_Late_Fee_Relief_Windows_3B!$I$1846:$I$100,MATCH(G1846,CBIC_Late_Fee_Relief_Windows_3B!$O$1846:$O$100,0))</f>
        <v/>
      </c>
      <c r="I1846">
        <f>MIN(F1846,H1846)</f>
        <v/>
      </c>
    </row>
    <row r="1847">
      <c r="A1847">
        <f>TEST_DATA!A1847</f>
        <v/>
      </c>
      <c r="B1847">
        <f>TEST_DATA!B1847</f>
        <v/>
      </c>
      <c r="C1847">
        <f>TEST_DATA!C1847</f>
        <v/>
      </c>
      <c r="D1847">
        <f>TEST_DATA!D1847</f>
        <v/>
      </c>
      <c r="E1847">
        <f>TEST_DATA!E1847</f>
        <v/>
      </c>
      <c r="F1847">
        <f>MIN(E1847*184700,10000)</f>
        <v/>
      </c>
      <c r="G1847">
        <f>MINIFS(CBIC_Late_Fee_Relief_Windows_3B!$O$1847:$O$100,CBIC_Late_Fee_Relief_Windows_3B!$D$1847:$D$100,"&lt;="&amp;B1847,CBIC_Late_Fee_Relief_Windows_3B!$E$1847:$E$100,"&gt;="&amp;B1847,CBIC_Late_Fee_Relief_Windows_3B!$F$1847:$F$100,"&lt;="&amp;C1847,CBIC_Late_Fee_Relief_Windows_3B!$G$1847:$G$100,"&gt;="&amp;C1847)</f>
        <v/>
      </c>
      <c r="H1847">
        <f>INDEX(CBIC_Late_Fee_Relief_Windows_3B!$I$1847:$I$100,MATCH(G1847,CBIC_Late_Fee_Relief_Windows_3B!$O$1847:$O$100,0))</f>
        <v/>
      </c>
      <c r="I1847">
        <f>MIN(F1847,H1847)</f>
        <v/>
      </c>
    </row>
    <row r="1848">
      <c r="A1848">
        <f>TEST_DATA!A1848</f>
        <v/>
      </c>
      <c r="B1848">
        <f>TEST_DATA!B1848</f>
        <v/>
      </c>
      <c r="C1848">
        <f>TEST_DATA!C1848</f>
        <v/>
      </c>
      <c r="D1848">
        <f>TEST_DATA!D1848</f>
        <v/>
      </c>
      <c r="E1848">
        <f>TEST_DATA!E1848</f>
        <v/>
      </c>
      <c r="F1848">
        <f>MIN(E1848*184800,10000)</f>
        <v/>
      </c>
      <c r="G1848">
        <f>MINIFS(CBIC_Late_Fee_Relief_Windows_3B!$O$1848:$O$100,CBIC_Late_Fee_Relief_Windows_3B!$D$1848:$D$100,"&lt;="&amp;B1848,CBIC_Late_Fee_Relief_Windows_3B!$E$1848:$E$100,"&gt;="&amp;B1848,CBIC_Late_Fee_Relief_Windows_3B!$F$1848:$F$100,"&lt;="&amp;C1848,CBIC_Late_Fee_Relief_Windows_3B!$G$1848:$G$100,"&gt;="&amp;C1848)</f>
        <v/>
      </c>
      <c r="H1848">
        <f>INDEX(CBIC_Late_Fee_Relief_Windows_3B!$I$1848:$I$100,MATCH(G1848,CBIC_Late_Fee_Relief_Windows_3B!$O$1848:$O$100,0))</f>
        <v/>
      </c>
      <c r="I1848">
        <f>MIN(F1848,H1848)</f>
        <v/>
      </c>
    </row>
    <row r="1849">
      <c r="A1849">
        <f>TEST_DATA!A1849</f>
        <v/>
      </c>
      <c r="B1849">
        <f>TEST_DATA!B1849</f>
        <v/>
      </c>
      <c r="C1849">
        <f>TEST_DATA!C1849</f>
        <v/>
      </c>
      <c r="D1849">
        <f>TEST_DATA!D1849</f>
        <v/>
      </c>
      <c r="E1849">
        <f>TEST_DATA!E1849</f>
        <v/>
      </c>
      <c r="F1849">
        <f>MIN(E1849*184900,10000)</f>
        <v/>
      </c>
      <c r="G1849">
        <f>MINIFS(CBIC_Late_Fee_Relief_Windows_3B!$O$1849:$O$100,CBIC_Late_Fee_Relief_Windows_3B!$D$1849:$D$100,"&lt;="&amp;B1849,CBIC_Late_Fee_Relief_Windows_3B!$E$1849:$E$100,"&gt;="&amp;B1849,CBIC_Late_Fee_Relief_Windows_3B!$F$1849:$F$100,"&lt;="&amp;C1849,CBIC_Late_Fee_Relief_Windows_3B!$G$1849:$G$100,"&gt;="&amp;C1849)</f>
        <v/>
      </c>
      <c r="H1849">
        <f>INDEX(CBIC_Late_Fee_Relief_Windows_3B!$I$1849:$I$100,MATCH(G1849,CBIC_Late_Fee_Relief_Windows_3B!$O$1849:$O$100,0))</f>
        <v/>
      </c>
      <c r="I1849">
        <f>MIN(F1849,H1849)</f>
        <v/>
      </c>
    </row>
    <row r="1850">
      <c r="A1850">
        <f>TEST_DATA!A1850</f>
        <v/>
      </c>
      <c r="B1850">
        <f>TEST_DATA!B1850</f>
        <v/>
      </c>
      <c r="C1850">
        <f>TEST_DATA!C1850</f>
        <v/>
      </c>
      <c r="D1850">
        <f>TEST_DATA!D1850</f>
        <v/>
      </c>
      <c r="E1850">
        <f>TEST_DATA!E1850</f>
        <v/>
      </c>
      <c r="F1850">
        <f>MIN(E1850*185000,10000)</f>
        <v/>
      </c>
      <c r="G1850">
        <f>MINIFS(CBIC_Late_Fee_Relief_Windows_3B!$O$1850:$O$100,CBIC_Late_Fee_Relief_Windows_3B!$D$1850:$D$100,"&lt;="&amp;B1850,CBIC_Late_Fee_Relief_Windows_3B!$E$1850:$E$100,"&gt;="&amp;B1850,CBIC_Late_Fee_Relief_Windows_3B!$F$1850:$F$100,"&lt;="&amp;C1850,CBIC_Late_Fee_Relief_Windows_3B!$G$1850:$G$100,"&gt;="&amp;C1850)</f>
        <v/>
      </c>
      <c r="H1850">
        <f>INDEX(CBIC_Late_Fee_Relief_Windows_3B!$I$1850:$I$100,MATCH(G1850,CBIC_Late_Fee_Relief_Windows_3B!$O$1850:$O$100,0))</f>
        <v/>
      </c>
      <c r="I1850">
        <f>MIN(F1850,H1850)</f>
        <v/>
      </c>
    </row>
    <row r="1851">
      <c r="A1851">
        <f>TEST_DATA!A1851</f>
        <v/>
      </c>
      <c r="B1851">
        <f>TEST_DATA!B1851</f>
        <v/>
      </c>
      <c r="C1851">
        <f>TEST_DATA!C1851</f>
        <v/>
      </c>
      <c r="D1851">
        <f>TEST_DATA!D1851</f>
        <v/>
      </c>
      <c r="E1851">
        <f>TEST_DATA!E1851</f>
        <v/>
      </c>
      <c r="F1851">
        <f>MIN(E1851*185100,10000)</f>
        <v/>
      </c>
      <c r="G1851">
        <f>MINIFS(CBIC_Late_Fee_Relief_Windows_3B!$O$1851:$O$100,CBIC_Late_Fee_Relief_Windows_3B!$D$1851:$D$100,"&lt;="&amp;B1851,CBIC_Late_Fee_Relief_Windows_3B!$E$1851:$E$100,"&gt;="&amp;B1851,CBIC_Late_Fee_Relief_Windows_3B!$F$1851:$F$100,"&lt;="&amp;C1851,CBIC_Late_Fee_Relief_Windows_3B!$G$1851:$G$100,"&gt;="&amp;C1851)</f>
        <v/>
      </c>
      <c r="H1851">
        <f>INDEX(CBIC_Late_Fee_Relief_Windows_3B!$I$1851:$I$100,MATCH(G1851,CBIC_Late_Fee_Relief_Windows_3B!$O$1851:$O$100,0))</f>
        <v/>
      </c>
      <c r="I1851">
        <f>MIN(F1851,H1851)</f>
        <v/>
      </c>
    </row>
    <row r="1852">
      <c r="A1852">
        <f>TEST_DATA!A1852</f>
        <v/>
      </c>
      <c r="B1852">
        <f>TEST_DATA!B1852</f>
        <v/>
      </c>
      <c r="C1852">
        <f>TEST_DATA!C1852</f>
        <v/>
      </c>
      <c r="D1852">
        <f>TEST_DATA!D1852</f>
        <v/>
      </c>
      <c r="E1852">
        <f>TEST_DATA!E1852</f>
        <v/>
      </c>
      <c r="F1852">
        <f>MIN(E1852*185200,10000)</f>
        <v/>
      </c>
      <c r="G1852">
        <f>MINIFS(CBIC_Late_Fee_Relief_Windows_3B!$O$1852:$O$100,CBIC_Late_Fee_Relief_Windows_3B!$D$1852:$D$100,"&lt;="&amp;B1852,CBIC_Late_Fee_Relief_Windows_3B!$E$1852:$E$100,"&gt;="&amp;B1852,CBIC_Late_Fee_Relief_Windows_3B!$F$1852:$F$100,"&lt;="&amp;C1852,CBIC_Late_Fee_Relief_Windows_3B!$G$1852:$G$100,"&gt;="&amp;C1852)</f>
        <v/>
      </c>
      <c r="H1852">
        <f>INDEX(CBIC_Late_Fee_Relief_Windows_3B!$I$1852:$I$100,MATCH(G1852,CBIC_Late_Fee_Relief_Windows_3B!$O$1852:$O$100,0))</f>
        <v/>
      </c>
      <c r="I1852">
        <f>MIN(F1852,H1852)</f>
        <v/>
      </c>
    </row>
    <row r="1853">
      <c r="A1853">
        <f>TEST_DATA!A1853</f>
        <v/>
      </c>
      <c r="B1853">
        <f>TEST_DATA!B1853</f>
        <v/>
      </c>
      <c r="C1853">
        <f>TEST_DATA!C1853</f>
        <v/>
      </c>
      <c r="D1853">
        <f>TEST_DATA!D1853</f>
        <v/>
      </c>
      <c r="E1853">
        <f>TEST_DATA!E1853</f>
        <v/>
      </c>
      <c r="F1853">
        <f>MIN(E1853*185300,10000)</f>
        <v/>
      </c>
      <c r="G1853">
        <f>MINIFS(CBIC_Late_Fee_Relief_Windows_3B!$O$1853:$O$100,CBIC_Late_Fee_Relief_Windows_3B!$D$1853:$D$100,"&lt;="&amp;B1853,CBIC_Late_Fee_Relief_Windows_3B!$E$1853:$E$100,"&gt;="&amp;B1853,CBIC_Late_Fee_Relief_Windows_3B!$F$1853:$F$100,"&lt;="&amp;C1853,CBIC_Late_Fee_Relief_Windows_3B!$G$1853:$G$100,"&gt;="&amp;C1853)</f>
        <v/>
      </c>
      <c r="H1853">
        <f>INDEX(CBIC_Late_Fee_Relief_Windows_3B!$I$1853:$I$100,MATCH(G1853,CBIC_Late_Fee_Relief_Windows_3B!$O$1853:$O$100,0))</f>
        <v/>
      </c>
      <c r="I1853">
        <f>MIN(F1853,H1853)</f>
        <v/>
      </c>
    </row>
    <row r="1854">
      <c r="A1854">
        <f>TEST_DATA!A1854</f>
        <v/>
      </c>
      <c r="B1854">
        <f>TEST_DATA!B1854</f>
        <v/>
      </c>
      <c r="C1854">
        <f>TEST_DATA!C1854</f>
        <v/>
      </c>
      <c r="D1854">
        <f>TEST_DATA!D1854</f>
        <v/>
      </c>
      <c r="E1854">
        <f>TEST_DATA!E1854</f>
        <v/>
      </c>
      <c r="F1854">
        <f>MIN(E1854*185400,10000)</f>
        <v/>
      </c>
      <c r="G1854">
        <f>MINIFS(CBIC_Late_Fee_Relief_Windows_3B!$O$1854:$O$100,CBIC_Late_Fee_Relief_Windows_3B!$D$1854:$D$100,"&lt;="&amp;B1854,CBIC_Late_Fee_Relief_Windows_3B!$E$1854:$E$100,"&gt;="&amp;B1854,CBIC_Late_Fee_Relief_Windows_3B!$F$1854:$F$100,"&lt;="&amp;C1854,CBIC_Late_Fee_Relief_Windows_3B!$G$1854:$G$100,"&gt;="&amp;C1854)</f>
        <v/>
      </c>
      <c r="H1854">
        <f>INDEX(CBIC_Late_Fee_Relief_Windows_3B!$I$1854:$I$100,MATCH(G1854,CBIC_Late_Fee_Relief_Windows_3B!$O$1854:$O$100,0))</f>
        <v/>
      </c>
      <c r="I1854">
        <f>MIN(F1854,H1854)</f>
        <v/>
      </c>
    </row>
    <row r="1855">
      <c r="A1855">
        <f>TEST_DATA!A1855</f>
        <v/>
      </c>
      <c r="B1855">
        <f>TEST_DATA!B1855</f>
        <v/>
      </c>
      <c r="C1855">
        <f>TEST_DATA!C1855</f>
        <v/>
      </c>
      <c r="D1855">
        <f>TEST_DATA!D1855</f>
        <v/>
      </c>
      <c r="E1855">
        <f>TEST_DATA!E1855</f>
        <v/>
      </c>
      <c r="F1855">
        <f>MIN(E1855*185500,10000)</f>
        <v/>
      </c>
      <c r="G1855">
        <f>MINIFS(CBIC_Late_Fee_Relief_Windows_3B!$O$1855:$O$100,CBIC_Late_Fee_Relief_Windows_3B!$D$1855:$D$100,"&lt;="&amp;B1855,CBIC_Late_Fee_Relief_Windows_3B!$E$1855:$E$100,"&gt;="&amp;B1855,CBIC_Late_Fee_Relief_Windows_3B!$F$1855:$F$100,"&lt;="&amp;C1855,CBIC_Late_Fee_Relief_Windows_3B!$G$1855:$G$100,"&gt;="&amp;C1855)</f>
        <v/>
      </c>
      <c r="H1855">
        <f>INDEX(CBIC_Late_Fee_Relief_Windows_3B!$I$1855:$I$100,MATCH(G1855,CBIC_Late_Fee_Relief_Windows_3B!$O$1855:$O$100,0))</f>
        <v/>
      </c>
      <c r="I1855">
        <f>MIN(F1855,H1855)</f>
        <v/>
      </c>
    </row>
    <row r="1856">
      <c r="A1856">
        <f>TEST_DATA!A1856</f>
        <v/>
      </c>
      <c r="B1856">
        <f>TEST_DATA!B1856</f>
        <v/>
      </c>
      <c r="C1856">
        <f>TEST_DATA!C1856</f>
        <v/>
      </c>
      <c r="D1856">
        <f>TEST_DATA!D1856</f>
        <v/>
      </c>
      <c r="E1856">
        <f>TEST_DATA!E1856</f>
        <v/>
      </c>
      <c r="F1856">
        <f>MIN(E1856*185600,10000)</f>
        <v/>
      </c>
      <c r="G1856">
        <f>MINIFS(CBIC_Late_Fee_Relief_Windows_3B!$O$1856:$O$100,CBIC_Late_Fee_Relief_Windows_3B!$D$1856:$D$100,"&lt;="&amp;B1856,CBIC_Late_Fee_Relief_Windows_3B!$E$1856:$E$100,"&gt;="&amp;B1856,CBIC_Late_Fee_Relief_Windows_3B!$F$1856:$F$100,"&lt;="&amp;C1856,CBIC_Late_Fee_Relief_Windows_3B!$G$1856:$G$100,"&gt;="&amp;C1856)</f>
        <v/>
      </c>
      <c r="H1856">
        <f>INDEX(CBIC_Late_Fee_Relief_Windows_3B!$I$1856:$I$100,MATCH(G1856,CBIC_Late_Fee_Relief_Windows_3B!$O$1856:$O$100,0))</f>
        <v/>
      </c>
      <c r="I1856">
        <f>MIN(F1856,H1856)</f>
        <v/>
      </c>
    </row>
    <row r="1857">
      <c r="A1857">
        <f>TEST_DATA!A1857</f>
        <v/>
      </c>
      <c r="B1857">
        <f>TEST_DATA!B1857</f>
        <v/>
      </c>
      <c r="C1857">
        <f>TEST_DATA!C1857</f>
        <v/>
      </c>
      <c r="D1857">
        <f>TEST_DATA!D1857</f>
        <v/>
      </c>
      <c r="E1857">
        <f>TEST_DATA!E1857</f>
        <v/>
      </c>
      <c r="F1857">
        <f>MIN(E1857*185700,10000)</f>
        <v/>
      </c>
      <c r="G1857">
        <f>MINIFS(CBIC_Late_Fee_Relief_Windows_3B!$O$1857:$O$100,CBIC_Late_Fee_Relief_Windows_3B!$D$1857:$D$100,"&lt;="&amp;B1857,CBIC_Late_Fee_Relief_Windows_3B!$E$1857:$E$100,"&gt;="&amp;B1857,CBIC_Late_Fee_Relief_Windows_3B!$F$1857:$F$100,"&lt;="&amp;C1857,CBIC_Late_Fee_Relief_Windows_3B!$G$1857:$G$100,"&gt;="&amp;C1857)</f>
        <v/>
      </c>
      <c r="H1857">
        <f>INDEX(CBIC_Late_Fee_Relief_Windows_3B!$I$1857:$I$100,MATCH(G1857,CBIC_Late_Fee_Relief_Windows_3B!$O$1857:$O$100,0))</f>
        <v/>
      </c>
      <c r="I1857">
        <f>MIN(F1857,H1857)</f>
        <v/>
      </c>
    </row>
    <row r="1858">
      <c r="A1858">
        <f>TEST_DATA!A1858</f>
        <v/>
      </c>
      <c r="B1858">
        <f>TEST_DATA!B1858</f>
        <v/>
      </c>
      <c r="C1858">
        <f>TEST_DATA!C1858</f>
        <v/>
      </c>
      <c r="D1858">
        <f>TEST_DATA!D1858</f>
        <v/>
      </c>
      <c r="E1858">
        <f>TEST_DATA!E1858</f>
        <v/>
      </c>
      <c r="F1858">
        <f>MIN(E1858*185800,10000)</f>
        <v/>
      </c>
      <c r="G1858">
        <f>MINIFS(CBIC_Late_Fee_Relief_Windows_3B!$O$1858:$O$100,CBIC_Late_Fee_Relief_Windows_3B!$D$1858:$D$100,"&lt;="&amp;B1858,CBIC_Late_Fee_Relief_Windows_3B!$E$1858:$E$100,"&gt;="&amp;B1858,CBIC_Late_Fee_Relief_Windows_3B!$F$1858:$F$100,"&lt;="&amp;C1858,CBIC_Late_Fee_Relief_Windows_3B!$G$1858:$G$100,"&gt;="&amp;C1858)</f>
        <v/>
      </c>
      <c r="H1858">
        <f>INDEX(CBIC_Late_Fee_Relief_Windows_3B!$I$1858:$I$100,MATCH(G1858,CBIC_Late_Fee_Relief_Windows_3B!$O$1858:$O$100,0))</f>
        <v/>
      </c>
      <c r="I1858">
        <f>MIN(F1858,H1858)</f>
        <v/>
      </c>
    </row>
    <row r="1859">
      <c r="A1859">
        <f>TEST_DATA!A1859</f>
        <v/>
      </c>
      <c r="B1859">
        <f>TEST_DATA!B1859</f>
        <v/>
      </c>
      <c r="C1859">
        <f>TEST_DATA!C1859</f>
        <v/>
      </c>
      <c r="D1859">
        <f>TEST_DATA!D1859</f>
        <v/>
      </c>
      <c r="E1859">
        <f>TEST_DATA!E1859</f>
        <v/>
      </c>
      <c r="F1859">
        <f>MIN(E1859*185900,10000)</f>
        <v/>
      </c>
      <c r="G1859">
        <f>MINIFS(CBIC_Late_Fee_Relief_Windows_3B!$O$1859:$O$100,CBIC_Late_Fee_Relief_Windows_3B!$D$1859:$D$100,"&lt;="&amp;B1859,CBIC_Late_Fee_Relief_Windows_3B!$E$1859:$E$100,"&gt;="&amp;B1859,CBIC_Late_Fee_Relief_Windows_3B!$F$1859:$F$100,"&lt;="&amp;C1859,CBIC_Late_Fee_Relief_Windows_3B!$G$1859:$G$100,"&gt;="&amp;C1859)</f>
        <v/>
      </c>
      <c r="H1859">
        <f>INDEX(CBIC_Late_Fee_Relief_Windows_3B!$I$1859:$I$100,MATCH(G1859,CBIC_Late_Fee_Relief_Windows_3B!$O$1859:$O$100,0))</f>
        <v/>
      </c>
      <c r="I1859">
        <f>MIN(F1859,H1859)</f>
        <v/>
      </c>
    </row>
    <row r="1860">
      <c r="A1860">
        <f>TEST_DATA!A1860</f>
        <v/>
      </c>
      <c r="B1860">
        <f>TEST_DATA!B1860</f>
        <v/>
      </c>
      <c r="C1860">
        <f>TEST_DATA!C1860</f>
        <v/>
      </c>
      <c r="D1860">
        <f>TEST_DATA!D1860</f>
        <v/>
      </c>
      <c r="E1860">
        <f>TEST_DATA!E1860</f>
        <v/>
      </c>
      <c r="F1860">
        <f>MIN(E1860*186000,10000)</f>
        <v/>
      </c>
      <c r="G1860">
        <f>MINIFS(CBIC_Late_Fee_Relief_Windows_3B!$O$1860:$O$100,CBIC_Late_Fee_Relief_Windows_3B!$D$1860:$D$100,"&lt;="&amp;B1860,CBIC_Late_Fee_Relief_Windows_3B!$E$1860:$E$100,"&gt;="&amp;B1860,CBIC_Late_Fee_Relief_Windows_3B!$F$1860:$F$100,"&lt;="&amp;C1860,CBIC_Late_Fee_Relief_Windows_3B!$G$1860:$G$100,"&gt;="&amp;C1860)</f>
        <v/>
      </c>
      <c r="H1860">
        <f>INDEX(CBIC_Late_Fee_Relief_Windows_3B!$I$1860:$I$100,MATCH(G1860,CBIC_Late_Fee_Relief_Windows_3B!$O$1860:$O$100,0))</f>
        <v/>
      </c>
      <c r="I1860">
        <f>MIN(F1860,H1860)</f>
        <v/>
      </c>
    </row>
    <row r="1861">
      <c r="A1861">
        <f>TEST_DATA!A1861</f>
        <v/>
      </c>
      <c r="B1861">
        <f>TEST_DATA!B1861</f>
        <v/>
      </c>
      <c r="C1861">
        <f>TEST_DATA!C1861</f>
        <v/>
      </c>
      <c r="D1861">
        <f>TEST_DATA!D1861</f>
        <v/>
      </c>
      <c r="E1861">
        <f>TEST_DATA!E1861</f>
        <v/>
      </c>
      <c r="F1861">
        <f>MIN(E1861*186100,10000)</f>
        <v/>
      </c>
      <c r="G1861">
        <f>MINIFS(CBIC_Late_Fee_Relief_Windows_3B!$O$1861:$O$100,CBIC_Late_Fee_Relief_Windows_3B!$D$1861:$D$100,"&lt;="&amp;B1861,CBIC_Late_Fee_Relief_Windows_3B!$E$1861:$E$100,"&gt;="&amp;B1861,CBIC_Late_Fee_Relief_Windows_3B!$F$1861:$F$100,"&lt;="&amp;C1861,CBIC_Late_Fee_Relief_Windows_3B!$G$1861:$G$100,"&gt;="&amp;C1861)</f>
        <v/>
      </c>
      <c r="H1861">
        <f>INDEX(CBIC_Late_Fee_Relief_Windows_3B!$I$1861:$I$100,MATCH(G1861,CBIC_Late_Fee_Relief_Windows_3B!$O$1861:$O$100,0))</f>
        <v/>
      </c>
      <c r="I1861">
        <f>MIN(F1861,H1861)</f>
        <v/>
      </c>
    </row>
    <row r="1862">
      <c r="A1862">
        <f>TEST_DATA!A1862</f>
        <v/>
      </c>
      <c r="B1862">
        <f>TEST_DATA!B1862</f>
        <v/>
      </c>
      <c r="C1862">
        <f>TEST_DATA!C1862</f>
        <v/>
      </c>
      <c r="D1862">
        <f>TEST_DATA!D1862</f>
        <v/>
      </c>
      <c r="E1862">
        <f>TEST_DATA!E1862</f>
        <v/>
      </c>
      <c r="F1862">
        <f>MIN(E1862*186200,10000)</f>
        <v/>
      </c>
      <c r="G1862">
        <f>MINIFS(CBIC_Late_Fee_Relief_Windows_3B!$O$1862:$O$100,CBIC_Late_Fee_Relief_Windows_3B!$D$1862:$D$100,"&lt;="&amp;B1862,CBIC_Late_Fee_Relief_Windows_3B!$E$1862:$E$100,"&gt;="&amp;B1862,CBIC_Late_Fee_Relief_Windows_3B!$F$1862:$F$100,"&lt;="&amp;C1862,CBIC_Late_Fee_Relief_Windows_3B!$G$1862:$G$100,"&gt;="&amp;C1862)</f>
        <v/>
      </c>
      <c r="H1862">
        <f>INDEX(CBIC_Late_Fee_Relief_Windows_3B!$I$1862:$I$100,MATCH(G1862,CBIC_Late_Fee_Relief_Windows_3B!$O$1862:$O$100,0))</f>
        <v/>
      </c>
      <c r="I1862">
        <f>MIN(F1862,H1862)</f>
        <v/>
      </c>
    </row>
    <row r="1863">
      <c r="A1863">
        <f>TEST_DATA!A1863</f>
        <v/>
      </c>
      <c r="B1863">
        <f>TEST_DATA!B1863</f>
        <v/>
      </c>
      <c r="C1863">
        <f>TEST_DATA!C1863</f>
        <v/>
      </c>
      <c r="D1863">
        <f>TEST_DATA!D1863</f>
        <v/>
      </c>
      <c r="E1863">
        <f>TEST_DATA!E1863</f>
        <v/>
      </c>
      <c r="F1863">
        <f>MIN(E1863*186300,10000)</f>
        <v/>
      </c>
      <c r="G1863">
        <f>MINIFS(CBIC_Late_Fee_Relief_Windows_3B!$O$1863:$O$100,CBIC_Late_Fee_Relief_Windows_3B!$D$1863:$D$100,"&lt;="&amp;B1863,CBIC_Late_Fee_Relief_Windows_3B!$E$1863:$E$100,"&gt;="&amp;B1863,CBIC_Late_Fee_Relief_Windows_3B!$F$1863:$F$100,"&lt;="&amp;C1863,CBIC_Late_Fee_Relief_Windows_3B!$G$1863:$G$100,"&gt;="&amp;C1863)</f>
        <v/>
      </c>
      <c r="H1863">
        <f>INDEX(CBIC_Late_Fee_Relief_Windows_3B!$I$1863:$I$100,MATCH(G1863,CBIC_Late_Fee_Relief_Windows_3B!$O$1863:$O$100,0))</f>
        <v/>
      </c>
      <c r="I1863">
        <f>MIN(F1863,H1863)</f>
        <v/>
      </c>
    </row>
    <row r="1864">
      <c r="A1864">
        <f>TEST_DATA!A1864</f>
        <v/>
      </c>
      <c r="B1864">
        <f>TEST_DATA!B1864</f>
        <v/>
      </c>
      <c r="C1864">
        <f>TEST_DATA!C1864</f>
        <v/>
      </c>
      <c r="D1864">
        <f>TEST_DATA!D1864</f>
        <v/>
      </c>
      <c r="E1864">
        <f>TEST_DATA!E1864</f>
        <v/>
      </c>
      <c r="F1864">
        <f>MIN(E1864*186400,10000)</f>
        <v/>
      </c>
      <c r="G1864">
        <f>MINIFS(CBIC_Late_Fee_Relief_Windows_3B!$O$1864:$O$100,CBIC_Late_Fee_Relief_Windows_3B!$D$1864:$D$100,"&lt;="&amp;B1864,CBIC_Late_Fee_Relief_Windows_3B!$E$1864:$E$100,"&gt;="&amp;B1864,CBIC_Late_Fee_Relief_Windows_3B!$F$1864:$F$100,"&lt;="&amp;C1864,CBIC_Late_Fee_Relief_Windows_3B!$G$1864:$G$100,"&gt;="&amp;C1864)</f>
        <v/>
      </c>
      <c r="H1864">
        <f>INDEX(CBIC_Late_Fee_Relief_Windows_3B!$I$1864:$I$100,MATCH(G1864,CBIC_Late_Fee_Relief_Windows_3B!$O$1864:$O$100,0))</f>
        <v/>
      </c>
      <c r="I1864">
        <f>MIN(F1864,H1864)</f>
        <v/>
      </c>
    </row>
    <row r="1865">
      <c r="A1865">
        <f>TEST_DATA!A1865</f>
        <v/>
      </c>
      <c r="B1865">
        <f>TEST_DATA!B1865</f>
        <v/>
      </c>
      <c r="C1865">
        <f>TEST_DATA!C1865</f>
        <v/>
      </c>
      <c r="D1865">
        <f>TEST_DATA!D1865</f>
        <v/>
      </c>
      <c r="E1865">
        <f>TEST_DATA!E1865</f>
        <v/>
      </c>
      <c r="F1865">
        <f>MIN(E1865*186500,10000)</f>
        <v/>
      </c>
      <c r="G1865">
        <f>MINIFS(CBIC_Late_Fee_Relief_Windows_3B!$O$1865:$O$100,CBIC_Late_Fee_Relief_Windows_3B!$D$1865:$D$100,"&lt;="&amp;B1865,CBIC_Late_Fee_Relief_Windows_3B!$E$1865:$E$100,"&gt;="&amp;B1865,CBIC_Late_Fee_Relief_Windows_3B!$F$1865:$F$100,"&lt;="&amp;C1865,CBIC_Late_Fee_Relief_Windows_3B!$G$1865:$G$100,"&gt;="&amp;C1865)</f>
        <v/>
      </c>
      <c r="H1865">
        <f>INDEX(CBIC_Late_Fee_Relief_Windows_3B!$I$1865:$I$100,MATCH(G1865,CBIC_Late_Fee_Relief_Windows_3B!$O$1865:$O$100,0))</f>
        <v/>
      </c>
      <c r="I1865">
        <f>MIN(F1865,H1865)</f>
        <v/>
      </c>
    </row>
    <row r="1866">
      <c r="A1866">
        <f>TEST_DATA!A1866</f>
        <v/>
      </c>
      <c r="B1866">
        <f>TEST_DATA!B1866</f>
        <v/>
      </c>
      <c r="C1866">
        <f>TEST_DATA!C1866</f>
        <v/>
      </c>
      <c r="D1866">
        <f>TEST_DATA!D1866</f>
        <v/>
      </c>
      <c r="E1866">
        <f>TEST_DATA!E1866</f>
        <v/>
      </c>
      <c r="F1866">
        <f>MIN(E1866*186600,10000)</f>
        <v/>
      </c>
      <c r="G1866">
        <f>MINIFS(CBIC_Late_Fee_Relief_Windows_3B!$O$1866:$O$100,CBIC_Late_Fee_Relief_Windows_3B!$D$1866:$D$100,"&lt;="&amp;B1866,CBIC_Late_Fee_Relief_Windows_3B!$E$1866:$E$100,"&gt;="&amp;B1866,CBIC_Late_Fee_Relief_Windows_3B!$F$1866:$F$100,"&lt;="&amp;C1866,CBIC_Late_Fee_Relief_Windows_3B!$G$1866:$G$100,"&gt;="&amp;C1866)</f>
        <v/>
      </c>
      <c r="H1866">
        <f>INDEX(CBIC_Late_Fee_Relief_Windows_3B!$I$1866:$I$100,MATCH(G1866,CBIC_Late_Fee_Relief_Windows_3B!$O$1866:$O$100,0))</f>
        <v/>
      </c>
      <c r="I1866">
        <f>MIN(F1866,H1866)</f>
        <v/>
      </c>
    </row>
    <row r="1867">
      <c r="A1867">
        <f>TEST_DATA!A1867</f>
        <v/>
      </c>
      <c r="B1867">
        <f>TEST_DATA!B1867</f>
        <v/>
      </c>
      <c r="C1867">
        <f>TEST_DATA!C1867</f>
        <v/>
      </c>
      <c r="D1867">
        <f>TEST_DATA!D1867</f>
        <v/>
      </c>
      <c r="E1867">
        <f>TEST_DATA!E1867</f>
        <v/>
      </c>
      <c r="F1867">
        <f>MIN(E1867*186700,10000)</f>
        <v/>
      </c>
      <c r="G1867">
        <f>MINIFS(CBIC_Late_Fee_Relief_Windows_3B!$O$1867:$O$100,CBIC_Late_Fee_Relief_Windows_3B!$D$1867:$D$100,"&lt;="&amp;B1867,CBIC_Late_Fee_Relief_Windows_3B!$E$1867:$E$100,"&gt;="&amp;B1867,CBIC_Late_Fee_Relief_Windows_3B!$F$1867:$F$100,"&lt;="&amp;C1867,CBIC_Late_Fee_Relief_Windows_3B!$G$1867:$G$100,"&gt;="&amp;C1867)</f>
        <v/>
      </c>
      <c r="H1867">
        <f>INDEX(CBIC_Late_Fee_Relief_Windows_3B!$I$1867:$I$100,MATCH(G1867,CBIC_Late_Fee_Relief_Windows_3B!$O$1867:$O$100,0))</f>
        <v/>
      </c>
      <c r="I1867">
        <f>MIN(F1867,H1867)</f>
        <v/>
      </c>
    </row>
    <row r="1868">
      <c r="A1868">
        <f>TEST_DATA!A1868</f>
        <v/>
      </c>
      <c r="B1868">
        <f>TEST_DATA!B1868</f>
        <v/>
      </c>
      <c r="C1868">
        <f>TEST_DATA!C1868</f>
        <v/>
      </c>
      <c r="D1868">
        <f>TEST_DATA!D1868</f>
        <v/>
      </c>
      <c r="E1868">
        <f>TEST_DATA!E1868</f>
        <v/>
      </c>
      <c r="F1868">
        <f>MIN(E1868*186800,10000)</f>
        <v/>
      </c>
      <c r="G1868">
        <f>MINIFS(CBIC_Late_Fee_Relief_Windows_3B!$O$1868:$O$100,CBIC_Late_Fee_Relief_Windows_3B!$D$1868:$D$100,"&lt;="&amp;B1868,CBIC_Late_Fee_Relief_Windows_3B!$E$1868:$E$100,"&gt;="&amp;B1868,CBIC_Late_Fee_Relief_Windows_3B!$F$1868:$F$100,"&lt;="&amp;C1868,CBIC_Late_Fee_Relief_Windows_3B!$G$1868:$G$100,"&gt;="&amp;C1868)</f>
        <v/>
      </c>
      <c r="H1868">
        <f>INDEX(CBIC_Late_Fee_Relief_Windows_3B!$I$1868:$I$100,MATCH(G1868,CBIC_Late_Fee_Relief_Windows_3B!$O$1868:$O$100,0))</f>
        <v/>
      </c>
      <c r="I1868">
        <f>MIN(F1868,H1868)</f>
        <v/>
      </c>
    </row>
    <row r="1869">
      <c r="A1869">
        <f>TEST_DATA!A1869</f>
        <v/>
      </c>
      <c r="B1869">
        <f>TEST_DATA!B1869</f>
        <v/>
      </c>
      <c r="C1869">
        <f>TEST_DATA!C1869</f>
        <v/>
      </c>
      <c r="D1869">
        <f>TEST_DATA!D1869</f>
        <v/>
      </c>
      <c r="E1869">
        <f>TEST_DATA!E1869</f>
        <v/>
      </c>
      <c r="F1869">
        <f>MIN(E1869*186900,10000)</f>
        <v/>
      </c>
      <c r="G1869">
        <f>MINIFS(CBIC_Late_Fee_Relief_Windows_3B!$O$1869:$O$100,CBIC_Late_Fee_Relief_Windows_3B!$D$1869:$D$100,"&lt;="&amp;B1869,CBIC_Late_Fee_Relief_Windows_3B!$E$1869:$E$100,"&gt;="&amp;B1869,CBIC_Late_Fee_Relief_Windows_3B!$F$1869:$F$100,"&lt;="&amp;C1869,CBIC_Late_Fee_Relief_Windows_3B!$G$1869:$G$100,"&gt;="&amp;C1869)</f>
        <v/>
      </c>
      <c r="H1869">
        <f>INDEX(CBIC_Late_Fee_Relief_Windows_3B!$I$1869:$I$100,MATCH(G1869,CBIC_Late_Fee_Relief_Windows_3B!$O$1869:$O$100,0))</f>
        <v/>
      </c>
      <c r="I1869">
        <f>MIN(F1869,H1869)</f>
        <v/>
      </c>
    </row>
    <row r="1870">
      <c r="A1870">
        <f>TEST_DATA!A1870</f>
        <v/>
      </c>
      <c r="B1870">
        <f>TEST_DATA!B1870</f>
        <v/>
      </c>
      <c r="C1870">
        <f>TEST_DATA!C1870</f>
        <v/>
      </c>
      <c r="D1870">
        <f>TEST_DATA!D1870</f>
        <v/>
      </c>
      <c r="E1870">
        <f>TEST_DATA!E1870</f>
        <v/>
      </c>
      <c r="F1870">
        <f>MIN(E1870*187000,10000)</f>
        <v/>
      </c>
      <c r="G1870">
        <f>MINIFS(CBIC_Late_Fee_Relief_Windows_3B!$O$1870:$O$100,CBIC_Late_Fee_Relief_Windows_3B!$D$1870:$D$100,"&lt;="&amp;B1870,CBIC_Late_Fee_Relief_Windows_3B!$E$1870:$E$100,"&gt;="&amp;B1870,CBIC_Late_Fee_Relief_Windows_3B!$F$1870:$F$100,"&lt;="&amp;C1870,CBIC_Late_Fee_Relief_Windows_3B!$G$1870:$G$100,"&gt;="&amp;C1870)</f>
        <v/>
      </c>
      <c r="H1870">
        <f>INDEX(CBIC_Late_Fee_Relief_Windows_3B!$I$1870:$I$100,MATCH(G1870,CBIC_Late_Fee_Relief_Windows_3B!$O$1870:$O$100,0))</f>
        <v/>
      </c>
      <c r="I1870">
        <f>MIN(F1870,H1870)</f>
        <v/>
      </c>
    </row>
    <row r="1871">
      <c r="A1871">
        <f>TEST_DATA!A1871</f>
        <v/>
      </c>
      <c r="B1871">
        <f>TEST_DATA!B1871</f>
        <v/>
      </c>
      <c r="C1871">
        <f>TEST_DATA!C1871</f>
        <v/>
      </c>
      <c r="D1871">
        <f>TEST_DATA!D1871</f>
        <v/>
      </c>
      <c r="E1871">
        <f>TEST_DATA!E1871</f>
        <v/>
      </c>
      <c r="F1871">
        <f>MIN(E1871*187100,10000)</f>
        <v/>
      </c>
      <c r="G1871">
        <f>MINIFS(CBIC_Late_Fee_Relief_Windows_3B!$O$1871:$O$100,CBIC_Late_Fee_Relief_Windows_3B!$D$1871:$D$100,"&lt;="&amp;B1871,CBIC_Late_Fee_Relief_Windows_3B!$E$1871:$E$100,"&gt;="&amp;B1871,CBIC_Late_Fee_Relief_Windows_3B!$F$1871:$F$100,"&lt;="&amp;C1871,CBIC_Late_Fee_Relief_Windows_3B!$G$1871:$G$100,"&gt;="&amp;C1871)</f>
        <v/>
      </c>
      <c r="H1871">
        <f>INDEX(CBIC_Late_Fee_Relief_Windows_3B!$I$1871:$I$100,MATCH(G1871,CBIC_Late_Fee_Relief_Windows_3B!$O$1871:$O$100,0))</f>
        <v/>
      </c>
      <c r="I1871">
        <f>MIN(F1871,H1871)</f>
        <v/>
      </c>
    </row>
    <row r="1872">
      <c r="A1872">
        <f>TEST_DATA!A1872</f>
        <v/>
      </c>
      <c r="B1872">
        <f>TEST_DATA!B1872</f>
        <v/>
      </c>
      <c r="C1872">
        <f>TEST_DATA!C1872</f>
        <v/>
      </c>
      <c r="D1872">
        <f>TEST_DATA!D1872</f>
        <v/>
      </c>
      <c r="E1872">
        <f>TEST_DATA!E1872</f>
        <v/>
      </c>
      <c r="F1872">
        <f>MIN(E1872*187200,10000)</f>
        <v/>
      </c>
      <c r="G1872">
        <f>MINIFS(CBIC_Late_Fee_Relief_Windows_3B!$O$1872:$O$100,CBIC_Late_Fee_Relief_Windows_3B!$D$1872:$D$100,"&lt;="&amp;B1872,CBIC_Late_Fee_Relief_Windows_3B!$E$1872:$E$100,"&gt;="&amp;B1872,CBIC_Late_Fee_Relief_Windows_3B!$F$1872:$F$100,"&lt;="&amp;C1872,CBIC_Late_Fee_Relief_Windows_3B!$G$1872:$G$100,"&gt;="&amp;C1872)</f>
        <v/>
      </c>
      <c r="H1872">
        <f>INDEX(CBIC_Late_Fee_Relief_Windows_3B!$I$1872:$I$100,MATCH(G1872,CBIC_Late_Fee_Relief_Windows_3B!$O$1872:$O$100,0))</f>
        <v/>
      </c>
      <c r="I1872">
        <f>MIN(F1872,H1872)</f>
        <v/>
      </c>
    </row>
    <row r="1873">
      <c r="A1873">
        <f>TEST_DATA!A1873</f>
        <v/>
      </c>
      <c r="B1873">
        <f>TEST_DATA!B1873</f>
        <v/>
      </c>
      <c r="C1873">
        <f>TEST_DATA!C1873</f>
        <v/>
      </c>
      <c r="D1873">
        <f>TEST_DATA!D1873</f>
        <v/>
      </c>
      <c r="E1873">
        <f>TEST_DATA!E1873</f>
        <v/>
      </c>
      <c r="F1873">
        <f>MIN(E1873*187300,10000)</f>
        <v/>
      </c>
      <c r="G1873">
        <f>MINIFS(CBIC_Late_Fee_Relief_Windows_3B!$O$1873:$O$100,CBIC_Late_Fee_Relief_Windows_3B!$D$1873:$D$100,"&lt;="&amp;B1873,CBIC_Late_Fee_Relief_Windows_3B!$E$1873:$E$100,"&gt;="&amp;B1873,CBIC_Late_Fee_Relief_Windows_3B!$F$1873:$F$100,"&lt;="&amp;C1873,CBIC_Late_Fee_Relief_Windows_3B!$G$1873:$G$100,"&gt;="&amp;C1873)</f>
        <v/>
      </c>
      <c r="H1873">
        <f>INDEX(CBIC_Late_Fee_Relief_Windows_3B!$I$1873:$I$100,MATCH(G1873,CBIC_Late_Fee_Relief_Windows_3B!$O$1873:$O$100,0))</f>
        <v/>
      </c>
      <c r="I1873">
        <f>MIN(F1873,H1873)</f>
        <v/>
      </c>
    </row>
    <row r="1874">
      <c r="A1874">
        <f>TEST_DATA!A1874</f>
        <v/>
      </c>
      <c r="B1874">
        <f>TEST_DATA!B1874</f>
        <v/>
      </c>
      <c r="C1874">
        <f>TEST_DATA!C1874</f>
        <v/>
      </c>
      <c r="D1874">
        <f>TEST_DATA!D1874</f>
        <v/>
      </c>
      <c r="E1874">
        <f>TEST_DATA!E1874</f>
        <v/>
      </c>
      <c r="F1874">
        <f>MIN(E1874*187400,10000)</f>
        <v/>
      </c>
      <c r="G1874">
        <f>MINIFS(CBIC_Late_Fee_Relief_Windows_3B!$O$1874:$O$100,CBIC_Late_Fee_Relief_Windows_3B!$D$1874:$D$100,"&lt;="&amp;B1874,CBIC_Late_Fee_Relief_Windows_3B!$E$1874:$E$100,"&gt;="&amp;B1874,CBIC_Late_Fee_Relief_Windows_3B!$F$1874:$F$100,"&lt;="&amp;C1874,CBIC_Late_Fee_Relief_Windows_3B!$G$1874:$G$100,"&gt;="&amp;C1874)</f>
        <v/>
      </c>
      <c r="H1874">
        <f>INDEX(CBIC_Late_Fee_Relief_Windows_3B!$I$1874:$I$100,MATCH(G1874,CBIC_Late_Fee_Relief_Windows_3B!$O$1874:$O$100,0))</f>
        <v/>
      </c>
      <c r="I1874">
        <f>MIN(F1874,H1874)</f>
        <v/>
      </c>
    </row>
    <row r="1875">
      <c r="A1875">
        <f>TEST_DATA!A1875</f>
        <v/>
      </c>
      <c r="B1875">
        <f>TEST_DATA!B1875</f>
        <v/>
      </c>
      <c r="C1875">
        <f>TEST_DATA!C1875</f>
        <v/>
      </c>
      <c r="D1875">
        <f>TEST_DATA!D1875</f>
        <v/>
      </c>
      <c r="E1875">
        <f>TEST_DATA!E1875</f>
        <v/>
      </c>
      <c r="F1875">
        <f>MIN(E1875*187500,10000)</f>
        <v/>
      </c>
      <c r="G1875">
        <f>MINIFS(CBIC_Late_Fee_Relief_Windows_3B!$O$1875:$O$100,CBIC_Late_Fee_Relief_Windows_3B!$D$1875:$D$100,"&lt;="&amp;B1875,CBIC_Late_Fee_Relief_Windows_3B!$E$1875:$E$100,"&gt;="&amp;B1875,CBIC_Late_Fee_Relief_Windows_3B!$F$1875:$F$100,"&lt;="&amp;C1875,CBIC_Late_Fee_Relief_Windows_3B!$G$1875:$G$100,"&gt;="&amp;C1875)</f>
        <v/>
      </c>
      <c r="H1875">
        <f>INDEX(CBIC_Late_Fee_Relief_Windows_3B!$I$1875:$I$100,MATCH(G1875,CBIC_Late_Fee_Relief_Windows_3B!$O$1875:$O$100,0))</f>
        <v/>
      </c>
      <c r="I1875">
        <f>MIN(F1875,H1875)</f>
        <v/>
      </c>
    </row>
    <row r="1876">
      <c r="A1876">
        <f>TEST_DATA!A1876</f>
        <v/>
      </c>
      <c r="B1876">
        <f>TEST_DATA!B1876</f>
        <v/>
      </c>
      <c r="C1876">
        <f>TEST_DATA!C1876</f>
        <v/>
      </c>
      <c r="D1876">
        <f>TEST_DATA!D1876</f>
        <v/>
      </c>
      <c r="E1876">
        <f>TEST_DATA!E1876</f>
        <v/>
      </c>
      <c r="F1876">
        <f>MIN(E1876*187600,10000)</f>
        <v/>
      </c>
      <c r="G1876">
        <f>MINIFS(CBIC_Late_Fee_Relief_Windows_3B!$O$1876:$O$100,CBIC_Late_Fee_Relief_Windows_3B!$D$1876:$D$100,"&lt;="&amp;B1876,CBIC_Late_Fee_Relief_Windows_3B!$E$1876:$E$100,"&gt;="&amp;B1876,CBIC_Late_Fee_Relief_Windows_3B!$F$1876:$F$100,"&lt;="&amp;C1876,CBIC_Late_Fee_Relief_Windows_3B!$G$1876:$G$100,"&gt;="&amp;C1876)</f>
        <v/>
      </c>
      <c r="H1876">
        <f>INDEX(CBIC_Late_Fee_Relief_Windows_3B!$I$1876:$I$100,MATCH(G1876,CBIC_Late_Fee_Relief_Windows_3B!$O$1876:$O$100,0))</f>
        <v/>
      </c>
      <c r="I1876">
        <f>MIN(F1876,H1876)</f>
        <v/>
      </c>
    </row>
    <row r="1877">
      <c r="A1877">
        <f>TEST_DATA!A1877</f>
        <v/>
      </c>
      <c r="B1877">
        <f>TEST_DATA!B1877</f>
        <v/>
      </c>
      <c r="C1877">
        <f>TEST_DATA!C1877</f>
        <v/>
      </c>
      <c r="D1877">
        <f>TEST_DATA!D1877</f>
        <v/>
      </c>
      <c r="E1877">
        <f>TEST_DATA!E1877</f>
        <v/>
      </c>
      <c r="F1877">
        <f>MIN(E1877*187700,10000)</f>
        <v/>
      </c>
      <c r="G1877">
        <f>MINIFS(CBIC_Late_Fee_Relief_Windows_3B!$O$1877:$O$100,CBIC_Late_Fee_Relief_Windows_3B!$D$1877:$D$100,"&lt;="&amp;B1877,CBIC_Late_Fee_Relief_Windows_3B!$E$1877:$E$100,"&gt;="&amp;B1877,CBIC_Late_Fee_Relief_Windows_3B!$F$1877:$F$100,"&lt;="&amp;C1877,CBIC_Late_Fee_Relief_Windows_3B!$G$1877:$G$100,"&gt;="&amp;C1877)</f>
        <v/>
      </c>
      <c r="H1877">
        <f>INDEX(CBIC_Late_Fee_Relief_Windows_3B!$I$1877:$I$100,MATCH(G1877,CBIC_Late_Fee_Relief_Windows_3B!$O$1877:$O$100,0))</f>
        <v/>
      </c>
      <c r="I1877">
        <f>MIN(F1877,H1877)</f>
        <v/>
      </c>
    </row>
    <row r="1878">
      <c r="A1878">
        <f>TEST_DATA!A1878</f>
        <v/>
      </c>
      <c r="B1878">
        <f>TEST_DATA!B1878</f>
        <v/>
      </c>
      <c r="C1878">
        <f>TEST_DATA!C1878</f>
        <v/>
      </c>
      <c r="D1878">
        <f>TEST_DATA!D1878</f>
        <v/>
      </c>
      <c r="E1878">
        <f>TEST_DATA!E1878</f>
        <v/>
      </c>
      <c r="F1878">
        <f>MIN(E1878*187800,10000)</f>
        <v/>
      </c>
      <c r="G1878">
        <f>MINIFS(CBIC_Late_Fee_Relief_Windows_3B!$O$1878:$O$100,CBIC_Late_Fee_Relief_Windows_3B!$D$1878:$D$100,"&lt;="&amp;B1878,CBIC_Late_Fee_Relief_Windows_3B!$E$1878:$E$100,"&gt;="&amp;B1878,CBIC_Late_Fee_Relief_Windows_3B!$F$1878:$F$100,"&lt;="&amp;C1878,CBIC_Late_Fee_Relief_Windows_3B!$G$1878:$G$100,"&gt;="&amp;C1878)</f>
        <v/>
      </c>
      <c r="H1878">
        <f>INDEX(CBIC_Late_Fee_Relief_Windows_3B!$I$1878:$I$100,MATCH(G1878,CBIC_Late_Fee_Relief_Windows_3B!$O$1878:$O$100,0))</f>
        <v/>
      </c>
      <c r="I1878">
        <f>MIN(F1878,H1878)</f>
        <v/>
      </c>
    </row>
    <row r="1879">
      <c r="A1879">
        <f>TEST_DATA!A1879</f>
        <v/>
      </c>
      <c r="B1879">
        <f>TEST_DATA!B1879</f>
        <v/>
      </c>
      <c r="C1879">
        <f>TEST_DATA!C1879</f>
        <v/>
      </c>
      <c r="D1879">
        <f>TEST_DATA!D1879</f>
        <v/>
      </c>
      <c r="E1879">
        <f>TEST_DATA!E1879</f>
        <v/>
      </c>
      <c r="F1879">
        <f>MIN(E1879*187900,10000)</f>
        <v/>
      </c>
      <c r="G1879">
        <f>MINIFS(CBIC_Late_Fee_Relief_Windows_3B!$O$1879:$O$100,CBIC_Late_Fee_Relief_Windows_3B!$D$1879:$D$100,"&lt;="&amp;B1879,CBIC_Late_Fee_Relief_Windows_3B!$E$1879:$E$100,"&gt;="&amp;B1879,CBIC_Late_Fee_Relief_Windows_3B!$F$1879:$F$100,"&lt;="&amp;C1879,CBIC_Late_Fee_Relief_Windows_3B!$G$1879:$G$100,"&gt;="&amp;C1879)</f>
        <v/>
      </c>
      <c r="H1879">
        <f>INDEX(CBIC_Late_Fee_Relief_Windows_3B!$I$1879:$I$100,MATCH(G1879,CBIC_Late_Fee_Relief_Windows_3B!$O$1879:$O$100,0))</f>
        <v/>
      </c>
      <c r="I1879">
        <f>MIN(F1879,H1879)</f>
        <v/>
      </c>
    </row>
    <row r="1880">
      <c r="A1880">
        <f>TEST_DATA!A1880</f>
        <v/>
      </c>
      <c r="B1880">
        <f>TEST_DATA!B1880</f>
        <v/>
      </c>
      <c r="C1880">
        <f>TEST_DATA!C1880</f>
        <v/>
      </c>
      <c r="D1880">
        <f>TEST_DATA!D1880</f>
        <v/>
      </c>
      <c r="E1880">
        <f>TEST_DATA!E1880</f>
        <v/>
      </c>
      <c r="F1880">
        <f>MIN(E1880*188000,10000)</f>
        <v/>
      </c>
      <c r="G1880">
        <f>MINIFS(CBIC_Late_Fee_Relief_Windows_3B!$O$1880:$O$100,CBIC_Late_Fee_Relief_Windows_3B!$D$1880:$D$100,"&lt;="&amp;B1880,CBIC_Late_Fee_Relief_Windows_3B!$E$1880:$E$100,"&gt;="&amp;B1880,CBIC_Late_Fee_Relief_Windows_3B!$F$1880:$F$100,"&lt;="&amp;C1880,CBIC_Late_Fee_Relief_Windows_3B!$G$1880:$G$100,"&gt;="&amp;C1880)</f>
        <v/>
      </c>
      <c r="H1880">
        <f>INDEX(CBIC_Late_Fee_Relief_Windows_3B!$I$1880:$I$100,MATCH(G1880,CBIC_Late_Fee_Relief_Windows_3B!$O$1880:$O$100,0))</f>
        <v/>
      </c>
      <c r="I1880">
        <f>MIN(F1880,H1880)</f>
        <v/>
      </c>
    </row>
    <row r="1881">
      <c r="A1881">
        <f>TEST_DATA!A1881</f>
        <v/>
      </c>
      <c r="B1881">
        <f>TEST_DATA!B1881</f>
        <v/>
      </c>
      <c r="C1881">
        <f>TEST_DATA!C1881</f>
        <v/>
      </c>
      <c r="D1881">
        <f>TEST_DATA!D1881</f>
        <v/>
      </c>
      <c r="E1881">
        <f>TEST_DATA!E1881</f>
        <v/>
      </c>
      <c r="F1881">
        <f>MIN(E1881*188100,10000)</f>
        <v/>
      </c>
      <c r="G1881">
        <f>MINIFS(CBIC_Late_Fee_Relief_Windows_3B!$O$1881:$O$100,CBIC_Late_Fee_Relief_Windows_3B!$D$1881:$D$100,"&lt;="&amp;B1881,CBIC_Late_Fee_Relief_Windows_3B!$E$1881:$E$100,"&gt;="&amp;B1881,CBIC_Late_Fee_Relief_Windows_3B!$F$1881:$F$100,"&lt;="&amp;C1881,CBIC_Late_Fee_Relief_Windows_3B!$G$1881:$G$100,"&gt;="&amp;C1881)</f>
        <v/>
      </c>
      <c r="H1881">
        <f>INDEX(CBIC_Late_Fee_Relief_Windows_3B!$I$1881:$I$100,MATCH(G1881,CBIC_Late_Fee_Relief_Windows_3B!$O$1881:$O$100,0))</f>
        <v/>
      </c>
      <c r="I1881">
        <f>MIN(F1881,H1881)</f>
        <v/>
      </c>
    </row>
    <row r="1882">
      <c r="A1882">
        <f>TEST_DATA!A1882</f>
        <v/>
      </c>
      <c r="B1882">
        <f>TEST_DATA!B1882</f>
        <v/>
      </c>
      <c r="C1882">
        <f>TEST_DATA!C1882</f>
        <v/>
      </c>
      <c r="D1882">
        <f>TEST_DATA!D1882</f>
        <v/>
      </c>
      <c r="E1882">
        <f>TEST_DATA!E1882</f>
        <v/>
      </c>
      <c r="F1882">
        <f>MIN(E1882*188200,10000)</f>
        <v/>
      </c>
      <c r="G1882">
        <f>MINIFS(CBIC_Late_Fee_Relief_Windows_3B!$O$1882:$O$100,CBIC_Late_Fee_Relief_Windows_3B!$D$1882:$D$100,"&lt;="&amp;B1882,CBIC_Late_Fee_Relief_Windows_3B!$E$1882:$E$100,"&gt;="&amp;B1882,CBIC_Late_Fee_Relief_Windows_3B!$F$1882:$F$100,"&lt;="&amp;C1882,CBIC_Late_Fee_Relief_Windows_3B!$G$1882:$G$100,"&gt;="&amp;C1882)</f>
        <v/>
      </c>
      <c r="H1882">
        <f>INDEX(CBIC_Late_Fee_Relief_Windows_3B!$I$1882:$I$100,MATCH(G1882,CBIC_Late_Fee_Relief_Windows_3B!$O$1882:$O$100,0))</f>
        <v/>
      </c>
      <c r="I1882">
        <f>MIN(F1882,H1882)</f>
        <v/>
      </c>
    </row>
    <row r="1883">
      <c r="A1883">
        <f>TEST_DATA!A1883</f>
        <v/>
      </c>
      <c r="B1883">
        <f>TEST_DATA!B1883</f>
        <v/>
      </c>
      <c r="C1883">
        <f>TEST_DATA!C1883</f>
        <v/>
      </c>
      <c r="D1883">
        <f>TEST_DATA!D1883</f>
        <v/>
      </c>
      <c r="E1883">
        <f>TEST_DATA!E1883</f>
        <v/>
      </c>
      <c r="F1883">
        <f>MIN(E1883*188300,10000)</f>
        <v/>
      </c>
      <c r="G1883">
        <f>MINIFS(CBIC_Late_Fee_Relief_Windows_3B!$O$1883:$O$100,CBIC_Late_Fee_Relief_Windows_3B!$D$1883:$D$100,"&lt;="&amp;B1883,CBIC_Late_Fee_Relief_Windows_3B!$E$1883:$E$100,"&gt;="&amp;B1883,CBIC_Late_Fee_Relief_Windows_3B!$F$1883:$F$100,"&lt;="&amp;C1883,CBIC_Late_Fee_Relief_Windows_3B!$G$1883:$G$100,"&gt;="&amp;C1883)</f>
        <v/>
      </c>
      <c r="H1883">
        <f>INDEX(CBIC_Late_Fee_Relief_Windows_3B!$I$1883:$I$100,MATCH(G1883,CBIC_Late_Fee_Relief_Windows_3B!$O$1883:$O$100,0))</f>
        <v/>
      </c>
      <c r="I1883">
        <f>MIN(F1883,H1883)</f>
        <v/>
      </c>
    </row>
    <row r="1884">
      <c r="A1884">
        <f>TEST_DATA!A1884</f>
        <v/>
      </c>
      <c r="B1884">
        <f>TEST_DATA!B1884</f>
        <v/>
      </c>
      <c r="C1884">
        <f>TEST_DATA!C1884</f>
        <v/>
      </c>
      <c r="D1884">
        <f>TEST_DATA!D1884</f>
        <v/>
      </c>
      <c r="E1884">
        <f>TEST_DATA!E1884</f>
        <v/>
      </c>
      <c r="F1884">
        <f>MIN(E1884*188400,10000)</f>
        <v/>
      </c>
      <c r="G1884">
        <f>MINIFS(CBIC_Late_Fee_Relief_Windows_3B!$O$1884:$O$100,CBIC_Late_Fee_Relief_Windows_3B!$D$1884:$D$100,"&lt;="&amp;B1884,CBIC_Late_Fee_Relief_Windows_3B!$E$1884:$E$100,"&gt;="&amp;B1884,CBIC_Late_Fee_Relief_Windows_3B!$F$1884:$F$100,"&lt;="&amp;C1884,CBIC_Late_Fee_Relief_Windows_3B!$G$1884:$G$100,"&gt;="&amp;C1884)</f>
        <v/>
      </c>
      <c r="H1884">
        <f>INDEX(CBIC_Late_Fee_Relief_Windows_3B!$I$1884:$I$100,MATCH(G1884,CBIC_Late_Fee_Relief_Windows_3B!$O$1884:$O$100,0))</f>
        <v/>
      </c>
      <c r="I1884">
        <f>MIN(F1884,H1884)</f>
        <v/>
      </c>
    </row>
    <row r="1885">
      <c r="A1885">
        <f>TEST_DATA!A1885</f>
        <v/>
      </c>
      <c r="B1885">
        <f>TEST_DATA!B1885</f>
        <v/>
      </c>
      <c r="C1885">
        <f>TEST_DATA!C1885</f>
        <v/>
      </c>
      <c r="D1885">
        <f>TEST_DATA!D1885</f>
        <v/>
      </c>
      <c r="E1885">
        <f>TEST_DATA!E1885</f>
        <v/>
      </c>
      <c r="F1885">
        <f>MIN(E1885*188500,10000)</f>
        <v/>
      </c>
      <c r="G1885">
        <f>MINIFS(CBIC_Late_Fee_Relief_Windows_3B!$O$1885:$O$100,CBIC_Late_Fee_Relief_Windows_3B!$D$1885:$D$100,"&lt;="&amp;B1885,CBIC_Late_Fee_Relief_Windows_3B!$E$1885:$E$100,"&gt;="&amp;B1885,CBIC_Late_Fee_Relief_Windows_3B!$F$1885:$F$100,"&lt;="&amp;C1885,CBIC_Late_Fee_Relief_Windows_3B!$G$1885:$G$100,"&gt;="&amp;C1885)</f>
        <v/>
      </c>
      <c r="H1885">
        <f>INDEX(CBIC_Late_Fee_Relief_Windows_3B!$I$1885:$I$100,MATCH(G1885,CBIC_Late_Fee_Relief_Windows_3B!$O$1885:$O$100,0))</f>
        <v/>
      </c>
      <c r="I1885">
        <f>MIN(F1885,H1885)</f>
        <v/>
      </c>
    </row>
    <row r="1886">
      <c r="A1886">
        <f>TEST_DATA!A1886</f>
        <v/>
      </c>
      <c r="B1886">
        <f>TEST_DATA!B1886</f>
        <v/>
      </c>
      <c r="C1886">
        <f>TEST_DATA!C1886</f>
        <v/>
      </c>
      <c r="D1886">
        <f>TEST_DATA!D1886</f>
        <v/>
      </c>
      <c r="E1886">
        <f>TEST_DATA!E1886</f>
        <v/>
      </c>
      <c r="F1886">
        <f>MIN(E1886*188600,10000)</f>
        <v/>
      </c>
      <c r="G1886">
        <f>MINIFS(CBIC_Late_Fee_Relief_Windows_3B!$O$1886:$O$100,CBIC_Late_Fee_Relief_Windows_3B!$D$1886:$D$100,"&lt;="&amp;B1886,CBIC_Late_Fee_Relief_Windows_3B!$E$1886:$E$100,"&gt;="&amp;B1886,CBIC_Late_Fee_Relief_Windows_3B!$F$1886:$F$100,"&lt;="&amp;C1886,CBIC_Late_Fee_Relief_Windows_3B!$G$1886:$G$100,"&gt;="&amp;C1886)</f>
        <v/>
      </c>
      <c r="H1886">
        <f>INDEX(CBIC_Late_Fee_Relief_Windows_3B!$I$1886:$I$100,MATCH(G1886,CBIC_Late_Fee_Relief_Windows_3B!$O$1886:$O$100,0))</f>
        <v/>
      </c>
      <c r="I1886">
        <f>MIN(F1886,H1886)</f>
        <v/>
      </c>
    </row>
    <row r="1887">
      <c r="A1887">
        <f>TEST_DATA!A1887</f>
        <v/>
      </c>
      <c r="B1887">
        <f>TEST_DATA!B1887</f>
        <v/>
      </c>
      <c r="C1887">
        <f>TEST_DATA!C1887</f>
        <v/>
      </c>
      <c r="D1887">
        <f>TEST_DATA!D1887</f>
        <v/>
      </c>
      <c r="E1887">
        <f>TEST_DATA!E1887</f>
        <v/>
      </c>
      <c r="F1887">
        <f>MIN(E1887*188700,10000)</f>
        <v/>
      </c>
      <c r="G1887">
        <f>MINIFS(CBIC_Late_Fee_Relief_Windows_3B!$O$1887:$O$100,CBIC_Late_Fee_Relief_Windows_3B!$D$1887:$D$100,"&lt;="&amp;B1887,CBIC_Late_Fee_Relief_Windows_3B!$E$1887:$E$100,"&gt;="&amp;B1887,CBIC_Late_Fee_Relief_Windows_3B!$F$1887:$F$100,"&lt;="&amp;C1887,CBIC_Late_Fee_Relief_Windows_3B!$G$1887:$G$100,"&gt;="&amp;C1887)</f>
        <v/>
      </c>
      <c r="H1887">
        <f>INDEX(CBIC_Late_Fee_Relief_Windows_3B!$I$1887:$I$100,MATCH(G1887,CBIC_Late_Fee_Relief_Windows_3B!$O$1887:$O$100,0))</f>
        <v/>
      </c>
      <c r="I1887">
        <f>MIN(F1887,H1887)</f>
        <v/>
      </c>
    </row>
    <row r="1888">
      <c r="A1888">
        <f>TEST_DATA!A1888</f>
        <v/>
      </c>
      <c r="B1888">
        <f>TEST_DATA!B1888</f>
        <v/>
      </c>
      <c r="C1888">
        <f>TEST_DATA!C1888</f>
        <v/>
      </c>
      <c r="D1888">
        <f>TEST_DATA!D1888</f>
        <v/>
      </c>
      <c r="E1888">
        <f>TEST_DATA!E1888</f>
        <v/>
      </c>
      <c r="F1888">
        <f>MIN(E1888*188800,10000)</f>
        <v/>
      </c>
      <c r="G1888">
        <f>MINIFS(CBIC_Late_Fee_Relief_Windows_3B!$O$1888:$O$100,CBIC_Late_Fee_Relief_Windows_3B!$D$1888:$D$100,"&lt;="&amp;B1888,CBIC_Late_Fee_Relief_Windows_3B!$E$1888:$E$100,"&gt;="&amp;B1888,CBIC_Late_Fee_Relief_Windows_3B!$F$1888:$F$100,"&lt;="&amp;C1888,CBIC_Late_Fee_Relief_Windows_3B!$G$1888:$G$100,"&gt;="&amp;C1888)</f>
        <v/>
      </c>
      <c r="H1888">
        <f>INDEX(CBIC_Late_Fee_Relief_Windows_3B!$I$1888:$I$100,MATCH(G1888,CBIC_Late_Fee_Relief_Windows_3B!$O$1888:$O$100,0))</f>
        <v/>
      </c>
      <c r="I1888">
        <f>MIN(F1888,H1888)</f>
        <v/>
      </c>
    </row>
    <row r="1889">
      <c r="A1889">
        <f>TEST_DATA!A1889</f>
        <v/>
      </c>
      <c r="B1889">
        <f>TEST_DATA!B1889</f>
        <v/>
      </c>
      <c r="C1889">
        <f>TEST_DATA!C1889</f>
        <v/>
      </c>
      <c r="D1889">
        <f>TEST_DATA!D1889</f>
        <v/>
      </c>
      <c r="E1889">
        <f>TEST_DATA!E1889</f>
        <v/>
      </c>
      <c r="F1889">
        <f>MIN(E1889*188900,10000)</f>
        <v/>
      </c>
      <c r="G1889">
        <f>MINIFS(CBIC_Late_Fee_Relief_Windows_3B!$O$1889:$O$100,CBIC_Late_Fee_Relief_Windows_3B!$D$1889:$D$100,"&lt;="&amp;B1889,CBIC_Late_Fee_Relief_Windows_3B!$E$1889:$E$100,"&gt;="&amp;B1889,CBIC_Late_Fee_Relief_Windows_3B!$F$1889:$F$100,"&lt;="&amp;C1889,CBIC_Late_Fee_Relief_Windows_3B!$G$1889:$G$100,"&gt;="&amp;C1889)</f>
        <v/>
      </c>
      <c r="H1889">
        <f>INDEX(CBIC_Late_Fee_Relief_Windows_3B!$I$1889:$I$100,MATCH(G1889,CBIC_Late_Fee_Relief_Windows_3B!$O$1889:$O$100,0))</f>
        <v/>
      </c>
      <c r="I1889">
        <f>MIN(F1889,H1889)</f>
        <v/>
      </c>
    </row>
    <row r="1890">
      <c r="A1890">
        <f>TEST_DATA!A1890</f>
        <v/>
      </c>
      <c r="B1890">
        <f>TEST_DATA!B1890</f>
        <v/>
      </c>
      <c r="C1890">
        <f>TEST_DATA!C1890</f>
        <v/>
      </c>
      <c r="D1890">
        <f>TEST_DATA!D1890</f>
        <v/>
      </c>
      <c r="E1890">
        <f>TEST_DATA!E1890</f>
        <v/>
      </c>
      <c r="F1890">
        <f>MIN(E1890*189000,10000)</f>
        <v/>
      </c>
      <c r="G1890">
        <f>MINIFS(CBIC_Late_Fee_Relief_Windows_3B!$O$1890:$O$100,CBIC_Late_Fee_Relief_Windows_3B!$D$1890:$D$100,"&lt;="&amp;B1890,CBIC_Late_Fee_Relief_Windows_3B!$E$1890:$E$100,"&gt;="&amp;B1890,CBIC_Late_Fee_Relief_Windows_3B!$F$1890:$F$100,"&lt;="&amp;C1890,CBIC_Late_Fee_Relief_Windows_3B!$G$1890:$G$100,"&gt;="&amp;C1890)</f>
        <v/>
      </c>
      <c r="H1890">
        <f>INDEX(CBIC_Late_Fee_Relief_Windows_3B!$I$1890:$I$100,MATCH(G1890,CBIC_Late_Fee_Relief_Windows_3B!$O$1890:$O$100,0))</f>
        <v/>
      </c>
      <c r="I1890">
        <f>MIN(F1890,H1890)</f>
        <v/>
      </c>
    </row>
    <row r="1891">
      <c r="A1891">
        <f>TEST_DATA!A1891</f>
        <v/>
      </c>
      <c r="B1891">
        <f>TEST_DATA!B1891</f>
        <v/>
      </c>
      <c r="C1891">
        <f>TEST_DATA!C1891</f>
        <v/>
      </c>
      <c r="D1891">
        <f>TEST_DATA!D1891</f>
        <v/>
      </c>
      <c r="E1891">
        <f>TEST_DATA!E1891</f>
        <v/>
      </c>
      <c r="F1891">
        <f>MIN(E1891*189100,10000)</f>
        <v/>
      </c>
      <c r="G1891">
        <f>MINIFS(CBIC_Late_Fee_Relief_Windows_3B!$O$1891:$O$100,CBIC_Late_Fee_Relief_Windows_3B!$D$1891:$D$100,"&lt;="&amp;B1891,CBIC_Late_Fee_Relief_Windows_3B!$E$1891:$E$100,"&gt;="&amp;B1891,CBIC_Late_Fee_Relief_Windows_3B!$F$1891:$F$100,"&lt;="&amp;C1891,CBIC_Late_Fee_Relief_Windows_3B!$G$1891:$G$100,"&gt;="&amp;C1891)</f>
        <v/>
      </c>
      <c r="H1891">
        <f>INDEX(CBIC_Late_Fee_Relief_Windows_3B!$I$1891:$I$100,MATCH(G1891,CBIC_Late_Fee_Relief_Windows_3B!$O$1891:$O$100,0))</f>
        <v/>
      </c>
      <c r="I1891">
        <f>MIN(F1891,H1891)</f>
        <v/>
      </c>
    </row>
    <row r="1892">
      <c r="A1892">
        <f>TEST_DATA!A1892</f>
        <v/>
      </c>
      <c r="B1892">
        <f>TEST_DATA!B1892</f>
        <v/>
      </c>
      <c r="C1892">
        <f>TEST_DATA!C1892</f>
        <v/>
      </c>
      <c r="D1892">
        <f>TEST_DATA!D1892</f>
        <v/>
      </c>
      <c r="E1892">
        <f>TEST_DATA!E1892</f>
        <v/>
      </c>
      <c r="F1892">
        <f>MIN(E1892*189200,10000)</f>
        <v/>
      </c>
      <c r="G1892">
        <f>MINIFS(CBIC_Late_Fee_Relief_Windows_3B!$O$1892:$O$100,CBIC_Late_Fee_Relief_Windows_3B!$D$1892:$D$100,"&lt;="&amp;B1892,CBIC_Late_Fee_Relief_Windows_3B!$E$1892:$E$100,"&gt;="&amp;B1892,CBIC_Late_Fee_Relief_Windows_3B!$F$1892:$F$100,"&lt;="&amp;C1892,CBIC_Late_Fee_Relief_Windows_3B!$G$1892:$G$100,"&gt;="&amp;C1892)</f>
        <v/>
      </c>
      <c r="H1892">
        <f>INDEX(CBIC_Late_Fee_Relief_Windows_3B!$I$1892:$I$100,MATCH(G1892,CBIC_Late_Fee_Relief_Windows_3B!$O$1892:$O$100,0))</f>
        <v/>
      </c>
      <c r="I1892">
        <f>MIN(F1892,H1892)</f>
        <v/>
      </c>
    </row>
    <row r="1893">
      <c r="A1893">
        <f>TEST_DATA!A1893</f>
        <v/>
      </c>
      <c r="B1893">
        <f>TEST_DATA!B1893</f>
        <v/>
      </c>
      <c r="C1893">
        <f>TEST_DATA!C1893</f>
        <v/>
      </c>
      <c r="D1893">
        <f>TEST_DATA!D1893</f>
        <v/>
      </c>
      <c r="E1893">
        <f>TEST_DATA!E1893</f>
        <v/>
      </c>
      <c r="F1893">
        <f>MIN(E1893*189300,10000)</f>
        <v/>
      </c>
      <c r="G1893">
        <f>MINIFS(CBIC_Late_Fee_Relief_Windows_3B!$O$1893:$O$100,CBIC_Late_Fee_Relief_Windows_3B!$D$1893:$D$100,"&lt;="&amp;B1893,CBIC_Late_Fee_Relief_Windows_3B!$E$1893:$E$100,"&gt;="&amp;B1893,CBIC_Late_Fee_Relief_Windows_3B!$F$1893:$F$100,"&lt;="&amp;C1893,CBIC_Late_Fee_Relief_Windows_3B!$G$1893:$G$100,"&gt;="&amp;C1893)</f>
        <v/>
      </c>
      <c r="H1893">
        <f>INDEX(CBIC_Late_Fee_Relief_Windows_3B!$I$1893:$I$100,MATCH(G1893,CBIC_Late_Fee_Relief_Windows_3B!$O$1893:$O$100,0))</f>
        <v/>
      </c>
      <c r="I1893">
        <f>MIN(F1893,H1893)</f>
        <v/>
      </c>
    </row>
    <row r="1894">
      <c r="A1894">
        <f>TEST_DATA!A1894</f>
        <v/>
      </c>
      <c r="B1894">
        <f>TEST_DATA!B1894</f>
        <v/>
      </c>
      <c r="C1894">
        <f>TEST_DATA!C1894</f>
        <v/>
      </c>
      <c r="D1894">
        <f>TEST_DATA!D1894</f>
        <v/>
      </c>
      <c r="E1894">
        <f>TEST_DATA!E1894</f>
        <v/>
      </c>
      <c r="F1894">
        <f>MIN(E1894*189400,10000)</f>
        <v/>
      </c>
      <c r="G1894">
        <f>MINIFS(CBIC_Late_Fee_Relief_Windows_3B!$O$1894:$O$100,CBIC_Late_Fee_Relief_Windows_3B!$D$1894:$D$100,"&lt;="&amp;B1894,CBIC_Late_Fee_Relief_Windows_3B!$E$1894:$E$100,"&gt;="&amp;B1894,CBIC_Late_Fee_Relief_Windows_3B!$F$1894:$F$100,"&lt;="&amp;C1894,CBIC_Late_Fee_Relief_Windows_3B!$G$1894:$G$100,"&gt;="&amp;C1894)</f>
        <v/>
      </c>
      <c r="H1894">
        <f>INDEX(CBIC_Late_Fee_Relief_Windows_3B!$I$1894:$I$100,MATCH(G1894,CBIC_Late_Fee_Relief_Windows_3B!$O$1894:$O$100,0))</f>
        <v/>
      </c>
      <c r="I1894">
        <f>MIN(F1894,H1894)</f>
        <v/>
      </c>
    </row>
    <row r="1895">
      <c r="A1895">
        <f>TEST_DATA!A1895</f>
        <v/>
      </c>
      <c r="B1895">
        <f>TEST_DATA!B1895</f>
        <v/>
      </c>
      <c r="C1895">
        <f>TEST_DATA!C1895</f>
        <v/>
      </c>
      <c r="D1895">
        <f>TEST_DATA!D1895</f>
        <v/>
      </c>
      <c r="E1895">
        <f>TEST_DATA!E1895</f>
        <v/>
      </c>
      <c r="F1895">
        <f>MIN(E1895*189500,10000)</f>
        <v/>
      </c>
      <c r="G1895">
        <f>MINIFS(CBIC_Late_Fee_Relief_Windows_3B!$O$1895:$O$100,CBIC_Late_Fee_Relief_Windows_3B!$D$1895:$D$100,"&lt;="&amp;B1895,CBIC_Late_Fee_Relief_Windows_3B!$E$1895:$E$100,"&gt;="&amp;B1895,CBIC_Late_Fee_Relief_Windows_3B!$F$1895:$F$100,"&lt;="&amp;C1895,CBIC_Late_Fee_Relief_Windows_3B!$G$1895:$G$100,"&gt;="&amp;C1895)</f>
        <v/>
      </c>
      <c r="H1895">
        <f>INDEX(CBIC_Late_Fee_Relief_Windows_3B!$I$1895:$I$100,MATCH(G1895,CBIC_Late_Fee_Relief_Windows_3B!$O$1895:$O$100,0))</f>
        <v/>
      </c>
      <c r="I1895">
        <f>MIN(F1895,H1895)</f>
        <v/>
      </c>
    </row>
    <row r="1896">
      <c r="A1896">
        <f>TEST_DATA!A1896</f>
        <v/>
      </c>
      <c r="B1896">
        <f>TEST_DATA!B1896</f>
        <v/>
      </c>
      <c r="C1896">
        <f>TEST_DATA!C1896</f>
        <v/>
      </c>
      <c r="D1896">
        <f>TEST_DATA!D1896</f>
        <v/>
      </c>
      <c r="E1896">
        <f>TEST_DATA!E1896</f>
        <v/>
      </c>
      <c r="F1896">
        <f>MIN(E1896*189600,10000)</f>
        <v/>
      </c>
      <c r="G1896">
        <f>MINIFS(CBIC_Late_Fee_Relief_Windows_3B!$O$1896:$O$100,CBIC_Late_Fee_Relief_Windows_3B!$D$1896:$D$100,"&lt;="&amp;B1896,CBIC_Late_Fee_Relief_Windows_3B!$E$1896:$E$100,"&gt;="&amp;B1896,CBIC_Late_Fee_Relief_Windows_3B!$F$1896:$F$100,"&lt;="&amp;C1896,CBIC_Late_Fee_Relief_Windows_3B!$G$1896:$G$100,"&gt;="&amp;C1896)</f>
        <v/>
      </c>
      <c r="H1896">
        <f>INDEX(CBIC_Late_Fee_Relief_Windows_3B!$I$1896:$I$100,MATCH(G1896,CBIC_Late_Fee_Relief_Windows_3B!$O$1896:$O$100,0))</f>
        <v/>
      </c>
      <c r="I1896">
        <f>MIN(F1896,H1896)</f>
        <v/>
      </c>
    </row>
    <row r="1897">
      <c r="A1897">
        <f>TEST_DATA!A1897</f>
        <v/>
      </c>
      <c r="B1897">
        <f>TEST_DATA!B1897</f>
        <v/>
      </c>
      <c r="C1897">
        <f>TEST_DATA!C1897</f>
        <v/>
      </c>
      <c r="D1897">
        <f>TEST_DATA!D1897</f>
        <v/>
      </c>
      <c r="E1897">
        <f>TEST_DATA!E1897</f>
        <v/>
      </c>
      <c r="F1897">
        <f>MIN(E1897*189700,10000)</f>
        <v/>
      </c>
      <c r="G1897">
        <f>MINIFS(CBIC_Late_Fee_Relief_Windows_3B!$O$1897:$O$100,CBIC_Late_Fee_Relief_Windows_3B!$D$1897:$D$100,"&lt;="&amp;B1897,CBIC_Late_Fee_Relief_Windows_3B!$E$1897:$E$100,"&gt;="&amp;B1897,CBIC_Late_Fee_Relief_Windows_3B!$F$1897:$F$100,"&lt;="&amp;C1897,CBIC_Late_Fee_Relief_Windows_3B!$G$1897:$G$100,"&gt;="&amp;C1897)</f>
        <v/>
      </c>
      <c r="H1897">
        <f>INDEX(CBIC_Late_Fee_Relief_Windows_3B!$I$1897:$I$100,MATCH(G1897,CBIC_Late_Fee_Relief_Windows_3B!$O$1897:$O$100,0))</f>
        <v/>
      </c>
      <c r="I1897">
        <f>MIN(F1897,H1897)</f>
        <v/>
      </c>
    </row>
    <row r="1898">
      <c r="A1898">
        <f>TEST_DATA!A1898</f>
        <v/>
      </c>
      <c r="B1898">
        <f>TEST_DATA!B1898</f>
        <v/>
      </c>
      <c r="C1898">
        <f>TEST_DATA!C1898</f>
        <v/>
      </c>
      <c r="D1898">
        <f>TEST_DATA!D1898</f>
        <v/>
      </c>
      <c r="E1898">
        <f>TEST_DATA!E1898</f>
        <v/>
      </c>
      <c r="F1898">
        <f>MIN(E1898*189800,10000)</f>
        <v/>
      </c>
      <c r="G1898">
        <f>MINIFS(CBIC_Late_Fee_Relief_Windows_3B!$O$1898:$O$100,CBIC_Late_Fee_Relief_Windows_3B!$D$1898:$D$100,"&lt;="&amp;B1898,CBIC_Late_Fee_Relief_Windows_3B!$E$1898:$E$100,"&gt;="&amp;B1898,CBIC_Late_Fee_Relief_Windows_3B!$F$1898:$F$100,"&lt;="&amp;C1898,CBIC_Late_Fee_Relief_Windows_3B!$G$1898:$G$100,"&gt;="&amp;C1898)</f>
        <v/>
      </c>
      <c r="H1898">
        <f>INDEX(CBIC_Late_Fee_Relief_Windows_3B!$I$1898:$I$100,MATCH(G1898,CBIC_Late_Fee_Relief_Windows_3B!$O$1898:$O$100,0))</f>
        <v/>
      </c>
      <c r="I1898">
        <f>MIN(F1898,H1898)</f>
        <v/>
      </c>
    </row>
    <row r="1899">
      <c r="A1899">
        <f>TEST_DATA!A1899</f>
        <v/>
      </c>
      <c r="B1899">
        <f>TEST_DATA!B1899</f>
        <v/>
      </c>
      <c r="C1899">
        <f>TEST_DATA!C1899</f>
        <v/>
      </c>
      <c r="D1899">
        <f>TEST_DATA!D1899</f>
        <v/>
      </c>
      <c r="E1899">
        <f>TEST_DATA!E1899</f>
        <v/>
      </c>
      <c r="F1899">
        <f>MIN(E1899*189900,10000)</f>
        <v/>
      </c>
      <c r="G1899">
        <f>MINIFS(CBIC_Late_Fee_Relief_Windows_3B!$O$1899:$O$100,CBIC_Late_Fee_Relief_Windows_3B!$D$1899:$D$100,"&lt;="&amp;B1899,CBIC_Late_Fee_Relief_Windows_3B!$E$1899:$E$100,"&gt;="&amp;B1899,CBIC_Late_Fee_Relief_Windows_3B!$F$1899:$F$100,"&lt;="&amp;C1899,CBIC_Late_Fee_Relief_Windows_3B!$G$1899:$G$100,"&gt;="&amp;C1899)</f>
        <v/>
      </c>
      <c r="H1899">
        <f>INDEX(CBIC_Late_Fee_Relief_Windows_3B!$I$1899:$I$100,MATCH(G1899,CBIC_Late_Fee_Relief_Windows_3B!$O$1899:$O$100,0))</f>
        <v/>
      </c>
      <c r="I1899">
        <f>MIN(F1899,H1899)</f>
        <v/>
      </c>
    </row>
    <row r="1900">
      <c r="A1900">
        <f>TEST_DATA!A1900</f>
        <v/>
      </c>
      <c r="B1900">
        <f>TEST_DATA!B1900</f>
        <v/>
      </c>
      <c r="C1900">
        <f>TEST_DATA!C1900</f>
        <v/>
      </c>
      <c r="D1900">
        <f>TEST_DATA!D1900</f>
        <v/>
      </c>
      <c r="E1900">
        <f>TEST_DATA!E1900</f>
        <v/>
      </c>
      <c r="F1900">
        <f>MIN(E1900*190000,10000)</f>
        <v/>
      </c>
      <c r="G1900">
        <f>MINIFS(CBIC_Late_Fee_Relief_Windows_3B!$O$1900:$O$100,CBIC_Late_Fee_Relief_Windows_3B!$D$1900:$D$100,"&lt;="&amp;B1900,CBIC_Late_Fee_Relief_Windows_3B!$E$1900:$E$100,"&gt;="&amp;B1900,CBIC_Late_Fee_Relief_Windows_3B!$F$1900:$F$100,"&lt;="&amp;C1900,CBIC_Late_Fee_Relief_Windows_3B!$G$1900:$G$100,"&gt;="&amp;C1900)</f>
        <v/>
      </c>
      <c r="H1900">
        <f>INDEX(CBIC_Late_Fee_Relief_Windows_3B!$I$1900:$I$100,MATCH(G1900,CBIC_Late_Fee_Relief_Windows_3B!$O$1900:$O$100,0))</f>
        <v/>
      </c>
      <c r="I1900">
        <f>MIN(F1900,H1900)</f>
        <v/>
      </c>
    </row>
    <row r="1901">
      <c r="A1901">
        <f>TEST_DATA!A1901</f>
        <v/>
      </c>
      <c r="B1901">
        <f>TEST_DATA!B1901</f>
        <v/>
      </c>
      <c r="C1901">
        <f>TEST_DATA!C1901</f>
        <v/>
      </c>
      <c r="D1901">
        <f>TEST_DATA!D1901</f>
        <v/>
      </c>
      <c r="E1901">
        <f>TEST_DATA!E1901</f>
        <v/>
      </c>
      <c r="F1901">
        <f>MIN(E1901*190100,10000)</f>
        <v/>
      </c>
      <c r="G1901">
        <f>MINIFS(CBIC_Late_Fee_Relief_Windows_3B!$O$1901:$O$100,CBIC_Late_Fee_Relief_Windows_3B!$D$1901:$D$100,"&lt;="&amp;B1901,CBIC_Late_Fee_Relief_Windows_3B!$E$1901:$E$100,"&gt;="&amp;B1901,CBIC_Late_Fee_Relief_Windows_3B!$F$1901:$F$100,"&lt;="&amp;C1901,CBIC_Late_Fee_Relief_Windows_3B!$G$1901:$G$100,"&gt;="&amp;C1901)</f>
        <v/>
      </c>
      <c r="H1901">
        <f>INDEX(CBIC_Late_Fee_Relief_Windows_3B!$I$1901:$I$100,MATCH(G1901,CBIC_Late_Fee_Relief_Windows_3B!$O$1901:$O$100,0))</f>
        <v/>
      </c>
      <c r="I1901">
        <f>MIN(F1901,H1901)</f>
        <v/>
      </c>
    </row>
    <row r="1902">
      <c r="A1902">
        <f>TEST_DATA!A1902</f>
        <v/>
      </c>
      <c r="B1902">
        <f>TEST_DATA!B1902</f>
        <v/>
      </c>
      <c r="C1902">
        <f>TEST_DATA!C1902</f>
        <v/>
      </c>
      <c r="D1902">
        <f>TEST_DATA!D1902</f>
        <v/>
      </c>
      <c r="E1902">
        <f>TEST_DATA!E1902</f>
        <v/>
      </c>
      <c r="F1902">
        <f>MIN(E1902*190200,10000)</f>
        <v/>
      </c>
      <c r="G1902">
        <f>MINIFS(CBIC_Late_Fee_Relief_Windows_3B!$O$1902:$O$100,CBIC_Late_Fee_Relief_Windows_3B!$D$1902:$D$100,"&lt;="&amp;B1902,CBIC_Late_Fee_Relief_Windows_3B!$E$1902:$E$100,"&gt;="&amp;B1902,CBIC_Late_Fee_Relief_Windows_3B!$F$1902:$F$100,"&lt;="&amp;C1902,CBIC_Late_Fee_Relief_Windows_3B!$G$1902:$G$100,"&gt;="&amp;C1902)</f>
        <v/>
      </c>
      <c r="H1902">
        <f>INDEX(CBIC_Late_Fee_Relief_Windows_3B!$I$1902:$I$100,MATCH(G1902,CBIC_Late_Fee_Relief_Windows_3B!$O$1902:$O$100,0))</f>
        <v/>
      </c>
      <c r="I1902">
        <f>MIN(F1902,H1902)</f>
        <v/>
      </c>
    </row>
    <row r="1903">
      <c r="A1903">
        <f>TEST_DATA!A1903</f>
        <v/>
      </c>
      <c r="B1903">
        <f>TEST_DATA!B1903</f>
        <v/>
      </c>
      <c r="C1903">
        <f>TEST_DATA!C1903</f>
        <v/>
      </c>
      <c r="D1903">
        <f>TEST_DATA!D1903</f>
        <v/>
      </c>
      <c r="E1903">
        <f>TEST_DATA!E1903</f>
        <v/>
      </c>
      <c r="F1903">
        <f>MIN(E1903*190300,10000)</f>
        <v/>
      </c>
      <c r="G1903">
        <f>MINIFS(CBIC_Late_Fee_Relief_Windows_3B!$O$1903:$O$100,CBIC_Late_Fee_Relief_Windows_3B!$D$1903:$D$100,"&lt;="&amp;B1903,CBIC_Late_Fee_Relief_Windows_3B!$E$1903:$E$100,"&gt;="&amp;B1903,CBIC_Late_Fee_Relief_Windows_3B!$F$1903:$F$100,"&lt;="&amp;C1903,CBIC_Late_Fee_Relief_Windows_3B!$G$1903:$G$100,"&gt;="&amp;C1903)</f>
        <v/>
      </c>
      <c r="H1903">
        <f>INDEX(CBIC_Late_Fee_Relief_Windows_3B!$I$1903:$I$100,MATCH(G1903,CBIC_Late_Fee_Relief_Windows_3B!$O$1903:$O$100,0))</f>
        <v/>
      </c>
      <c r="I1903">
        <f>MIN(F1903,H1903)</f>
        <v/>
      </c>
    </row>
    <row r="1904">
      <c r="A1904">
        <f>TEST_DATA!A1904</f>
        <v/>
      </c>
      <c r="B1904">
        <f>TEST_DATA!B1904</f>
        <v/>
      </c>
      <c r="C1904">
        <f>TEST_DATA!C1904</f>
        <v/>
      </c>
      <c r="D1904">
        <f>TEST_DATA!D1904</f>
        <v/>
      </c>
      <c r="E1904">
        <f>TEST_DATA!E1904</f>
        <v/>
      </c>
      <c r="F1904">
        <f>MIN(E1904*190400,10000)</f>
        <v/>
      </c>
      <c r="G1904">
        <f>MINIFS(CBIC_Late_Fee_Relief_Windows_3B!$O$1904:$O$100,CBIC_Late_Fee_Relief_Windows_3B!$D$1904:$D$100,"&lt;="&amp;B1904,CBIC_Late_Fee_Relief_Windows_3B!$E$1904:$E$100,"&gt;="&amp;B1904,CBIC_Late_Fee_Relief_Windows_3B!$F$1904:$F$100,"&lt;="&amp;C1904,CBIC_Late_Fee_Relief_Windows_3B!$G$1904:$G$100,"&gt;="&amp;C1904)</f>
        <v/>
      </c>
      <c r="H1904">
        <f>INDEX(CBIC_Late_Fee_Relief_Windows_3B!$I$1904:$I$100,MATCH(G1904,CBIC_Late_Fee_Relief_Windows_3B!$O$1904:$O$100,0))</f>
        <v/>
      </c>
      <c r="I1904">
        <f>MIN(F1904,H1904)</f>
        <v/>
      </c>
    </row>
    <row r="1905">
      <c r="A1905">
        <f>TEST_DATA!A1905</f>
        <v/>
      </c>
      <c r="B1905">
        <f>TEST_DATA!B1905</f>
        <v/>
      </c>
      <c r="C1905">
        <f>TEST_DATA!C1905</f>
        <v/>
      </c>
      <c r="D1905">
        <f>TEST_DATA!D1905</f>
        <v/>
      </c>
      <c r="E1905">
        <f>TEST_DATA!E1905</f>
        <v/>
      </c>
      <c r="F1905">
        <f>MIN(E1905*190500,10000)</f>
        <v/>
      </c>
      <c r="G1905">
        <f>MINIFS(CBIC_Late_Fee_Relief_Windows_3B!$O$1905:$O$100,CBIC_Late_Fee_Relief_Windows_3B!$D$1905:$D$100,"&lt;="&amp;B1905,CBIC_Late_Fee_Relief_Windows_3B!$E$1905:$E$100,"&gt;="&amp;B1905,CBIC_Late_Fee_Relief_Windows_3B!$F$1905:$F$100,"&lt;="&amp;C1905,CBIC_Late_Fee_Relief_Windows_3B!$G$1905:$G$100,"&gt;="&amp;C1905)</f>
        <v/>
      </c>
      <c r="H1905">
        <f>INDEX(CBIC_Late_Fee_Relief_Windows_3B!$I$1905:$I$100,MATCH(G1905,CBIC_Late_Fee_Relief_Windows_3B!$O$1905:$O$100,0))</f>
        <v/>
      </c>
      <c r="I1905">
        <f>MIN(F1905,H1905)</f>
        <v/>
      </c>
    </row>
    <row r="1906">
      <c r="A1906">
        <f>TEST_DATA!A1906</f>
        <v/>
      </c>
      <c r="B1906">
        <f>TEST_DATA!B1906</f>
        <v/>
      </c>
      <c r="C1906">
        <f>TEST_DATA!C1906</f>
        <v/>
      </c>
      <c r="D1906">
        <f>TEST_DATA!D1906</f>
        <v/>
      </c>
      <c r="E1906">
        <f>TEST_DATA!E1906</f>
        <v/>
      </c>
      <c r="F1906">
        <f>MIN(E1906*190600,10000)</f>
        <v/>
      </c>
      <c r="G1906">
        <f>MINIFS(CBIC_Late_Fee_Relief_Windows_3B!$O$1906:$O$100,CBIC_Late_Fee_Relief_Windows_3B!$D$1906:$D$100,"&lt;="&amp;B1906,CBIC_Late_Fee_Relief_Windows_3B!$E$1906:$E$100,"&gt;="&amp;B1906,CBIC_Late_Fee_Relief_Windows_3B!$F$1906:$F$100,"&lt;="&amp;C1906,CBIC_Late_Fee_Relief_Windows_3B!$G$1906:$G$100,"&gt;="&amp;C1906)</f>
        <v/>
      </c>
      <c r="H1906">
        <f>INDEX(CBIC_Late_Fee_Relief_Windows_3B!$I$1906:$I$100,MATCH(G1906,CBIC_Late_Fee_Relief_Windows_3B!$O$1906:$O$100,0))</f>
        <v/>
      </c>
      <c r="I1906">
        <f>MIN(F1906,H1906)</f>
        <v/>
      </c>
    </row>
    <row r="1907">
      <c r="A1907">
        <f>TEST_DATA!A1907</f>
        <v/>
      </c>
      <c r="B1907">
        <f>TEST_DATA!B1907</f>
        <v/>
      </c>
      <c r="C1907">
        <f>TEST_DATA!C1907</f>
        <v/>
      </c>
      <c r="D1907">
        <f>TEST_DATA!D1907</f>
        <v/>
      </c>
      <c r="E1907">
        <f>TEST_DATA!E1907</f>
        <v/>
      </c>
      <c r="F1907">
        <f>MIN(E1907*190700,10000)</f>
        <v/>
      </c>
      <c r="G1907">
        <f>MINIFS(CBIC_Late_Fee_Relief_Windows_3B!$O$1907:$O$100,CBIC_Late_Fee_Relief_Windows_3B!$D$1907:$D$100,"&lt;="&amp;B1907,CBIC_Late_Fee_Relief_Windows_3B!$E$1907:$E$100,"&gt;="&amp;B1907,CBIC_Late_Fee_Relief_Windows_3B!$F$1907:$F$100,"&lt;="&amp;C1907,CBIC_Late_Fee_Relief_Windows_3B!$G$1907:$G$100,"&gt;="&amp;C1907)</f>
        <v/>
      </c>
      <c r="H1907">
        <f>INDEX(CBIC_Late_Fee_Relief_Windows_3B!$I$1907:$I$100,MATCH(G1907,CBIC_Late_Fee_Relief_Windows_3B!$O$1907:$O$100,0))</f>
        <v/>
      </c>
      <c r="I1907">
        <f>MIN(F1907,H1907)</f>
        <v/>
      </c>
    </row>
    <row r="1908">
      <c r="A1908">
        <f>TEST_DATA!A1908</f>
        <v/>
      </c>
      <c r="B1908">
        <f>TEST_DATA!B1908</f>
        <v/>
      </c>
      <c r="C1908">
        <f>TEST_DATA!C1908</f>
        <v/>
      </c>
      <c r="D1908">
        <f>TEST_DATA!D1908</f>
        <v/>
      </c>
      <c r="E1908">
        <f>TEST_DATA!E1908</f>
        <v/>
      </c>
      <c r="F1908">
        <f>MIN(E1908*190800,10000)</f>
        <v/>
      </c>
      <c r="G1908">
        <f>MINIFS(CBIC_Late_Fee_Relief_Windows_3B!$O$1908:$O$100,CBIC_Late_Fee_Relief_Windows_3B!$D$1908:$D$100,"&lt;="&amp;B1908,CBIC_Late_Fee_Relief_Windows_3B!$E$1908:$E$100,"&gt;="&amp;B1908,CBIC_Late_Fee_Relief_Windows_3B!$F$1908:$F$100,"&lt;="&amp;C1908,CBIC_Late_Fee_Relief_Windows_3B!$G$1908:$G$100,"&gt;="&amp;C1908)</f>
        <v/>
      </c>
      <c r="H1908">
        <f>INDEX(CBIC_Late_Fee_Relief_Windows_3B!$I$1908:$I$100,MATCH(G1908,CBIC_Late_Fee_Relief_Windows_3B!$O$1908:$O$100,0))</f>
        <v/>
      </c>
      <c r="I1908">
        <f>MIN(F1908,H1908)</f>
        <v/>
      </c>
    </row>
    <row r="1909">
      <c r="A1909">
        <f>TEST_DATA!A1909</f>
        <v/>
      </c>
      <c r="B1909">
        <f>TEST_DATA!B1909</f>
        <v/>
      </c>
      <c r="C1909">
        <f>TEST_DATA!C1909</f>
        <v/>
      </c>
      <c r="D1909">
        <f>TEST_DATA!D1909</f>
        <v/>
      </c>
      <c r="E1909">
        <f>TEST_DATA!E1909</f>
        <v/>
      </c>
      <c r="F1909">
        <f>MIN(E1909*190900,10000)</f>
        <v/>
      </c>
      <c r="G1909">
        <f>MINIFS(CBIC_Late_Fee_Relief_Windows_3B!$O$1909:$O$100,CBIC_Late_Fee_Relief_Windows_3B!$D$1909:$D$100,"&lt;="&amp;B1909,CBIC_Late_Fee_Relief_Windows_3B!$E$1909:$E$100,"&gt;="&amp;B1909,CBIC_Late_Fee_Relief_Windows_3B!$F$1909:$F$100,"&lt;="&amp;C1909,CBIC_Late_Fee_Relief_Windows_3B!$G$1909:$G$100,"&gt;="&amp;C1909)</f>
        <v/>
      </c>
      <c r="H1909">
        <f>INDEX(CBIC_Late_Fee_Relief_Windows_3B!$I$1909:$I$100,MATCH(G1909,CBIC_Late_Fee_Relief_Windows_3B!$O$1909:$O$100,0))</f>
        <v/>
      </c>
      <c r="I1909">
        <f>MIN(F1909,H1909)</f>
        <v/>
      </c>
    </row>
    <row r="1910">
      <c r="A1910">
        <f>TEST_DATA!A1910</f>
        <v/>
      </c>
      <c r="B1910">
        <f>TEST_DATA!B1910</f>
        <v/>
      </c>
      <c r="C1910">
        <f>TEST_DATA!C1910</f>
        <v/>
      </c>
      <c r="D1910">
        <f>TEST_DATA!D1910</f>
        <v/>
      </c>
      <c r="E1910">
        <f>TEST_DATA!E1910</f>
        <v/>
      </c>
      <c r="F1910">
        <f>MIN(E1910*191000,10000)</f>
        <v/>
      </c>
      <c r="G1910">
        <f>MINIFS(CBIC_Late_Fee_Relief_Windows_3B!$O$1910:$O$100,CBIC_Late_Fee_Relief_Windows_3B!$D$1910:$D$100,"&lt;="&amp;B1910,CBIC_Late_Fee_Relief_Windows_3B!$E$1910:$E$100,"&gt;="&amp;B1910,CBIC_Late_Fee_Relief_Windows_3B!$F$1910:$F$100,"&lt;="&amp;C1910,CBIC_Late_Fee_Relief_Windows_3B!$G$1910:$G$100,"&gt;="&amp;C1910)</f>
        <v/>
      </c>
      <c r="H1910">
        <f>INDEX(CBIC_Late_Fee_Relief_Windows_3B!$I$1910:$I$100,MATCH(G1910,CBIC_Late_Fee_Relief_Windows_3B!$O$1910:$O$100,0))</f>
        <v/>
      </c>
      <c r="I1910">
        <f>MIN(F1910,H1910)</f>
        <v/>
      </c>
    </row>
    <row r="1911">
      <c r="A1911">
        <f>TEST_DATA!A1911</f>
        <v/>
      </c>
      <c r="B1911">
        <f>TEST_DATA!B1911</f>
        <v/>
      </c>
      <c r="C1911">
        <f>TEST_DATA!C1911</f>
        <v/>
      </c>
      <c r="D1911">
        <f>TEST_DATA!D1911</f>
        <v/>
      </c>
      <c r="E1911">
        <f>TEST_DATA!E1911</f>
        <v/>
      </c>
      <c r="F1911">
        <f>MIN(E1911*191100,10000)</f>
        <v/>
      </c>
      <c r="G1911">
        <f>MINIFS(CBIC_Late_Fee_Relief_Windows_3B!$O$1911:$O$100,CBIC_Late_Fee_Relief_Windows_3B!$D$1911:$D$100,"&lt;="&amp;B1911,CBIC_Late_Fee_Relief_Windows_3B!$E$1911:$E$100,"&gt;="&amp;B1911,CBIC_Late_Fee_Relief_Windows_3B!$F$1911:$F$100,"&lt;="&amp;C1911,CBIC_Late_Fee_Relief_Windows_3B!$G$1911:$G$100,"&gt;="&amp;C1911)</f>
        <v/>
      </c>
      <c r="H1911">
        <f>INDEX(CBIC_Late_Fee_Relief_Windows_3B!$I$1911:$I$100,MATCH(G1911,CBIC_Late_Fee_Relief_Windows_3B!$O$1911:$O$100,0))</f>
        <v/>
      </c>
      <c r="I1911">
        <f>MIN(F1911,H1911)</f>
        <v/>
      </c>
    </row>
    <row r="1912">
      <c r="A1912">
        <f>TEST_DATA!A1912</f>
        <v/>
      </c>
      <c r="B1912">
        <f>TEST_DATA!B1912</f>
        <v/>
      </c>
      <c r="C1912">
        <f>TEST_DATA!C1912</f>
        <v/>
      </c>
      <c r="D1912">
        <f>TEST_DATA!D1912</f>
        <v/>
      </c>
      <c r="E1912">
        <f>TEST_DATA!E1912</f>
        <v/>
      </c>
      <c r="F1912">
        <f>MIN(E1912*191200,10000)</f>
        <v/>
      </c>
      <c r="G1912">
        <f>MINIFS(CBIC_Late_Fee_Relief_Windows_3B!$O$1912:$O$100,CBIC_Late_Fee_Relief_Windows_3B!$D$1912:$D$100,"&lt;="&amp;B1912,CBIC_Late_Fee_Relief_Windows_3B!$E$1912:$E$100,"&gt;="&amp;B1912,CBIC_Late_Fee_Relief_Windows_3B!$F$1912:$F$100,"&lt;="&amp;C1912,CBIC_Late_Fee_Relief_Windows_3B!$G$1912:$G$100,"&gt;="&amp;C1912)</f>
        <v/>
      </c>
      <c r="H1912">
        <f>INDEX(CBIC_Late_Fee_Relief_Windows_3B!$I$1912:$I$100,MATCH(G1912,CBIC_Late_Fee_Relief_Windows_3B!$O$1912:$O$100,0))</f>
        <v/>
      </c>
      <c r="I1912">
        <f>MIN(F1912,H1912)</f>
        <v/>
      </c>
    </row>
    <row r="1913">
      <c r="A1913">
        <f>TEST_DATA!A1913</f>
        <v/>
      </c>
      <c r="B1913">
        <f>TEST_DATA!B1913</f>
        <v/>
      </c>
      <c r="C1913">
        <f>TEST_DATA!C1913</f>
        <v/>
      </c>
      <c r="D1913">
        <f>TEST_DATA!D1913</f>
        <v/>
      </c>
      <c r="E1913">
        <f>TEST_DATA!E1913</f>
        <v/>
      </c>
      <c r="F1913">
        <f>MIN(E1913*191300,10000)</f>
        <v/>
      </c>
      <c r="G1913">
        <f>MINIFS(CBIC_Late_Fee_Relief_Windows_3B!$O$1913:$O$100,CBIC_Late_Fee_Relief_Windows_3B!$D$1913:$D$100,"&lt;="&amp;B1913,CBIC_Late_Fee_Relief_Windows_3B!$E$1913:$E$100,"&gt;="&amp;B1913,CBIC_Late_Fee_Relief_Windows_3B!$F$1913:$F$100,"&lt;="&amp;C1913,CBIC_Late_Fee_Relief_Windows_3B!$G$1913:$G$100,"&gt;="&amp;C1913)</f>
        <v/>
      </c>
      <c r="H1913">
        <f>INDEX(CBIC_Late_Fee_Relief_Windows_3B!$I$1913:$I$100,MATCH(G1913,CBIC_Late_Fee_Relief_Windows_3B!$O$1913:$O$100,0))</f>
        <v/>
      </c>
      <c r="I1913">
        <f>MIN(F1913,H1913)</f>
        <v/>
      </c>
    </row>
    <row r="1914">
      <c r="A1914">
        <f>TEST_DATA!A1914</f>
        <v/>
      </c>
      <c r="B1914">
        <f>TEST_DATA!B1914</f>
        <v/>
      </c>
      <c r="C1914">
        <f>TEST_DATA!C1914</f>
        <v/>
      </c>
      <c r="D1914">
        <f>TEST_DATA!D1914</f>
        <v/>
      </c>
      <c r="E1914">
        <f>TEST_DATA!E1914</f>
        <v/>
      </c>
      <c r="F1914">
        <f>MIN(E1914*191400,10000)</f>
        <v/>
      </c>
      <c r="G1914">
        <f>MINIFS(CBIC_Late_Fee_Relief_Windows_3B!$O$1914:$O$100,CBIC_Late_Fee_Relief_Windows_3B!$D$1914:$D$100,"&lt;="&amp;B1914,CBIC_Late_Fee_Relief_Windows_3B!$E$1914:$E$100,"&gt;="&amp;B1914,CBIC_Late_Fee_Relief_Windows_3B!$F$1914:$F$100,"&lt;="&amp;C1914,CBIC_Late_Fee_Relief_Windows_3B!$G$1914:$G$100,"&gt;="&amp;C1914)</f>
        <v/>
      </c>
      <c r="H1914">
        <f>INDEX(CBIC_Late_Fee_Relief_Windows_3B!$I$1914:$I$100,MATCH(G1914,CBIC_Late_Fee_Relief_Windows_3B!$O$1914:$O$100,0))</f>
        <v/>
      </c>
      <c r="I1914">
        <f>MIN(F1914,H1914)</f>
        <v/>
      </c>
    </row>
    <row r="1915">
      <c r="A1915">
        <f>TEST_DATA!A1915</f>
        <v/>
      </c>
      <c r="B1915">
        <f>TEST_DATA!B1915</f>
        <v/>
      </c>
      <c r="C1915">
        <f>TEST_DATA!C1915</f>
        <v/>
      </c>
      <c r="D1915">
        <f>TEST_DATA!D1915</f>
        <v/>
      </c>
      <c r="E1915">
        <f>TEST_DATA!E1915</f>
        <v/>
      </c>
      <c r="F1915">
        <f>MIN(E1915*191500,10000)</f>
        <v/>
      </c>
      <c r="G1915">
        <f>MINIFS(CBIC_Late_Fee_Relief_Windows_3B!$O$1915:$O$100,CBIC_Late_Fee_Relief_Windows_3B!$D$1915:$D$100,"&lt;="&amp;B1915,CBIC_Late_Fee_Relief_Windows_3B!$E$1915:$E$100,"&gt;="&amp;B1915,CBIC_Late_Fee_Relief_Windows_3B!$F$1915:$F$100,"&lt;="&amp;C1915,CBIC_Late_Fee_Relief_Windows_3B!$G$1915:$G$100,"&gt;="&amp;C1915)</f>
        <v/>
      </c>
      <c r="H1915">
        <f>INDEX(CBIC_Late_Fee_Relief_Windows_3B!$I$1915:$I$100,MATCH(G1915,CBIC_Late_Fee_Relief_Windows_3B!$O$1915:$O$100,0))</f>
        <v/>
      </c>
      <c r="I1915">
        <f>MIN(F1915,H1915)</f>
        <v/>
      </c>
    </row>
    <row r="1916">
      <c r="A1916">
        <f>TEST_DATA!A1916</f>
        <v/>
      </c>
      <c r="B1916">
        <f>TEST_DATA!B1916</f>
        <v/>
      </c>
      <c r="C1916">
        <f>TEST_DATA!C1916</f>
        <v/>
      </c>
      <c r="D1916">
        <f>TEST_DATA!D1916</f>
        <v/>
      </c>
      <c r="E1916">
        <f>TEST_DATA!E1916</f>
        <v/>
      </c>
      <c r="F1916">
        <f>MIN(E1916*191600,10000)</f>
        <v/>
      </c>
      <c r="G1916">
        <f>MINIFS(CBIC_Late_Fee_Relief_Windows_3B!$O$1916:$O$100,CBIC_Late_Fee_Relief_Windows_3B!$D$1916:$D$100,"&lt;="&amp;B1916,CBIC_Late_Fee_Relief_Windows_3B!$E$1916:$E$100,"&gt;="&amp;B1916,CBIC_Late_Fee_Relief_Windows_3B!$F$1916:$F$100,"&lt;="&amp;C1916,CBIC_Late_Fee_Relief_Windows_3B!$G$1916:$G$100,"&gt;="&amp;C1916)</f>
        <v/>
      </c>
      <c r="H1916">
        <f>INDEX(CBIC_Late_Fee_Relief_Windows_3B!$I$1916:$I$100,MATCH(G1916,CBIC_Late_Fee_Relief_Windows_3B!$O$1916:$O$100,0))</f>
        <v/>
      </c>
      <c r="I1916">
        <f>MIN(F1916,H1916)</f>
        <v/>
      </c>
    </row>
    <row r="1917">
      <c r="A1917">
        <f>TEST_DATA!A1917</f>
        <v/>
      </c>
      <c r="B1917">
        <f>TEST_DATA!B1917</f>
        <v/>
      </c>
      <c r="C1917">
        <f>TEST_DATA!C1917</f>
        <v/>
      </c>
      <c r="D1917">
        <f>TEST_DATA!D1917</f>
        <v/>
      </c>
      <c r="E1917">
        <f>TEST_DATA!E1917</f>
        <v/>
      </c>
      <c r="F1917">
        <f>MIN(E1917*191700,10000)</f>
        <v/>
      </c>
      <c r="G1917">
        <f>MINIFS(CBIC_Late_Fee_Relief_Windows_3B!$O$1917:$O$100,CBIC_Late_Fee_Relief_Windows_3B!$D$1917:$D$100,"&lt;="&amp;B1917,CBIC_Late_Fee_Relief_Windows_3B!$E$1917:$E$100,"&gt;="&amp;B1917,CBIC_Late_Fee_Relief_Windows_3B!$F$1917:$F$100,"&lt;="&amp;C1917,CBIC_Late_Fee_Relief_Windows_3B!$G$1917:$G$100,"&gt;="&amp;C1917)</f>
        <v/>
      </c>
      <c r="H1917">
        <f>INDEX(CBIC_Late_Fee_Relief_Windows_3B!$I$1917:$I$100,MATCH(G1917,CBIC_Late_Fee_Relief_Windows_3B!$O$1917:$O$100,0))</f>
        <v/>
      </c>
      <c r="I1917">
        <f>MIN(F1917,H1917)</f>
        <v/>
      </c>
    </row>
    <row r="1918">
      <c r="A1918">
        <f>TEST_DATA!A1918</f>
        <v/>
      </c>
      <c r="B1918">
        <f>TEST_DATA!B1918</f>
        <v/>
      </c>
      <c r="C1918">
        <f>TEST_DATA!C1918</f>
        <v/>
      </c>
      <c r="D1918">
        <f>TEST_DATA!D1918</f>
        <v/>
      </c>
      <c r="E1918">
        <f>TEST_DATA!E1918</f>
        <v/>
      </c>
      <c r="F1918">
        <f>MIN(E1918*191800,10000)</f>
        <v/>
      </c>
      <c r="G1918">
        <f>MINIFS(CBIC_Late_Fee_Relief_Windows_3B!$O$1918:$O$100,CBIC_Late_Fee_Relief_Windows_3B!$D$1918:$D$100,"&lt;="&amp;B1918,CBIC_Late_Fee_Relief_Windows_3B!$E$1918:$E$100,"&gt;="&amp;B1918,CBIC_Late_Fee_Relief_Windows_3B!$F$1918:$F$100,"&lt;="&amp;C1918,CBIC_Late_Fee_Relief_Windows_3B!$G$1918:$G$100,"&gt;="&amp;C1918)</f>
        <v/>
      </c>
      <c r="H1918">
        <f>INDEX(CBIC_Late_Fee_Relief_Windows_3B!$I$1918:$I$100,MATCH(G1918,CBIC_Late_Fee_Relief_Windows_3B!$O$1918:$O$100,0))</f>
        <v/>
      </c>
      <c r="I1918">
        <f>MIN(F1918,H1918)</f>
        <v/>
      </c>
    </row>
    <row r="1919">
      <c r="A1919">
        <f>TEST_DATA!A1919</f>
        <v/>
      </c>
      <c r="B1919">
        <f>TEST_DATA!B1919</f>
        <v/>
      </c>
      <c r="C1919">
        <f>TEST_DATA!C1919</f>
        <v/>
      </c>
      <c r="D1919">
        <f>TEST_DATA!D1919</f>
        <v/>
      </c>
      <c r="E1919">
        <f>TEST_DATA!E1919</f>
        <v/>
      </c>
      <c r="F1919">
        <f>MIN(E1919*191900,10000)</f>
        <v/>
      </c>
      <c r="G1919">
        <f>MINIFS(CBIC_Late_Fee_Relief_Windows_3B!$O$1919:$O$100,CBIC_Late_Fee_Relief_Windows_3B!$D$1919:$D$100,"&lt;="&amp;B1919,CBIC_Late_Fee_Relief_Windows_3B!$E$1919:$E$100,"&gt;="&amp;B1919,CBIC_Late_Fee_Relief_Windows_3B!$F$1919:$F$100,"&lt;="&amp;C1919,CBIC_Late_Fee_Relief_Windows_3B!$G$1919:$G$100,"&gt;="&amp;C1919)</f>
        <v/>
      </c>
      <c r="H1919">
        <f>INDEX(CBIC_Late_Fee_Relief_Windows_3B!$I$1919:$I$100,MATCH(G1919,CBIC_Late_Fee_Relief_Windows_3B!$O$1919:$O$100,0))</f>
        <v/>
      </c>
      <c r="I1919">
        <f>MIN(F1919,H1919)</f>
        <v/>
      </c>
    </row>
    <row r="1920">
      <c r="A1920">
        <f>TEST_DATA!A1920</f>
        <v/>
      </c>
      <c r="B1920">
        <f>TEST_DATA!B1920</f>
        <v/>
      </c>
      <c r="C1920">
        <f>TEST_DATA!C1920</f>
        <v/>
      </c>
      <c r="D1920">
        <f>TEST_DATA!D1920</f>
        <v/>
      </c>
      <c r="E1920">
        <f>TEST_DATA!E1920</f>
        <v/>
      </c>
      <c r="F1920">
        <f>MIN(E1920*192000,10000)</f>
        <v/>
      </c>
      <c r="G1920">
        <f>MINIFS(CBIC_Late_Fee_Relief_Windows_3B!$O$1920:$O$100,CBIC_Late_Fee_Relief_Windows_3B!$D$1920:$D$100,"&lt;="&amp;B1920,CBIC_Late_Fee_Relief_Windows_3B!$E$1920:$E$100,"&gt;="&amp;B1920,CBIC_Late_Fee_Relief_Windows_3B!$F$1920:$F$100,"&lt;="&amp;C1920,CBIC_Late_Fee_Relief_Windows_3B!$G$1920:$G$100,"&gt;="&amp;C1920)</f>
        <v/>
      </c>
      <c r="H1920">
        <f>INDEX(CBIC_Late_Fee_Relief_Windows_3B!$I$1920:$I$100,MATCH(G1920,CBIC_Late_Fee_Relief_Windows_3B!$O$1920:$O$100,0))</f>
        <v/>
      </c>
      <c r="I1920">
        <f>MIN(F1920,H1920)</f>
        <v/>
      </c>
    </row>
    <row r="1921">
      <c r="A1921">
        <f>TEST_DATA!A1921</f>
        <v/>
      </c>
      <c r="B1921">
        <f>TEST_DATA!B1921</f>
        <v/>
      </c>
      <c r="C1921">
        <f>TEST_DATA!C1921</f>
        <v/>
      </c>
      <c r="D1921">
        <f>TEST_DATA!D1921</f>
        <v/>
      </c>
      <c r="E1921">
        <f>TEST_DATA!E1921</f>
        <v/>
      </c>
      <c r="F1921">
        <f>MIN(E1921*192100,10000)</f>
        <v/>
      </c>
      <c r="G1921">
        <f>MINIFS(CBIC_Late_Fee_Relief_Windows_3B!$O$1921:$O$100,CBIC_Late_Fee_Relief_Windows_3B!$D$1921:$D$100,"&lt;="&amp;B1921,CBIC_Late_Fee_Relief_Windows_3B!$E$1921:$E$100,"&gt;="&amp;B1921,CBIC_Late_Fee_Relief_Windows_3B!$F$1921:$F$100,"&lt;="&amp;C1921,CBIC_Late_Fee_Relief_Windows_3B!$G$1921:$G$100,"&gt;="&amp;C1921)</f>
        <v/>
      </c>
      <c r="H1921">
        <f>INDEX(CBIC_Late_Fee_Relief_Windows_3B!$I$1921:$I$100,MATCH(G1921,CBIC_Late_Fee_Relief_Windows_3B!$O$1921:$O$100,0))</f>
        <v/>
      </c>
      <c r="I1921">
        <f>MIN(F1921,H1921)</f>
        <v/>
      </c>
    </row>
    <row r="1922">
      <c r="A1922">
        <f>TEST_DATA!A1922</f>
        <v/>
      </c>
      <c r="B1922">
        <f>TEST_DATA!B1922</f>
        <v/>
      </c>
      <c r="C1922">
        <f>TEST_DATA!C1922</f>
        <v/>
      </c>
      <c r="D1922">
        <f>TEST_DATA!D1922</f>
        <v/>
      </c>
      <c r="E1922">
        <f>TEST_DATA!E1922</f>
        <v/>
      </c>
      <c r="F1922">
        <f>MIN(E1922*192200,10000)</f>
        <v/>
      </c>
      <c r="G1922">
        <f>MINIFS(CBIC_Late_Fee_Relief_Windows_3B!$O$1922:$O$100,CBIC_Late_Fee_Relief_Windows_3B!$D$1922:$D$100,"&lt;="&amp;B1922,CBIC_Late_Fee_Relief_Windows_3B!$E$1922:$E$100,"&gt;="&amp;B1922,CBIC_Late_Fee_Relief_Windows_3B!$F$1922:$F$100,"&lt;="&amp;C1922,CBIC_Late_Fee_Relief_Windows_3B!$G$1922:$G$100,"&gt;="&amp;C1922)</f>
        <v/>
      </c>
      <c r="H1922">
        <f>INDEX(CBIC_Late_Fee_Relief_Windows_3B!$I$1922:$I$100,MATCH(G1922,CBIC_Late_Fee_Relief_Windows_3B!$O$1922:$O$100,0))</f>
        <v/>
      </c>
      <c r="I1922">
        <f>MIN(F1922,H1922)</f>
        <v/>
      </c>
    </row>
    <row r="1923">
      <c r="A1923">
        <f>TEST_DATA!A1923</f>
        <v/>
      </c>
      <c r="B1923">
        <f>TEST_DATA!B1923</f>
        <v/>
      </c>
      <c r="C1923">
        <f>TEST_DATA!C1923</f>
        <v/>
      </c>
      <c r="D1923">
        <f>TEST_DATA!D1923</f>
        <v/>
      </c>
      <c r="E1923">
        <f>TEST_DATA!E1923</f>
        <v/>
      </c>
      <c r="F1923">
        <f>MIN(E1923*192300,10000)</f>
        <v/>
      </c>
      <c r="G1923">
        <f>MINIFS(CBIC_Late_Fee_Relief_Windows_3B!$O$1923:$O$100,CBIC_Late_Fee_Relief_Windows_3B!$D$1923:$D$100,"&lt;="&amp;B1923,CBIC_Late_Fee_Relief_Windows_3B!$E$1923:$E$100,"&gt;="&amp;B1923,CBIC_Late_Fee_Relief_Windows_3B!$F$1923:$F$100,"&lt;="&amp;C1923,CBIC_Late_Fee_Relief_Windows_3B!$G$1923:$G$100,"&gt;="&amp;C1923)</f>
        <v/>
      </c>
      <c r="H1923">
        <f>INDEX(CBIC_Late_Fee_Relief_Windows_3B!$I$1923:$I$100,MATCH(G1923,CBIC_Late_Fee_Relief_Windows_3B!$O$1923:$O$100,0))</f>
        <v/>
      </c>
      <c r="I1923">
        <f>MIN(F1923,H1923)</f>
        <v/>
      </c>
    </row>
    <row r="1924">
      <c r="A1924">
        <f>TEST_DATA!A1924</f>
        <v/>
      </c>
      <c r="B1924">
        <f>TEST_DATA!B1924</f>
        <v/>
      </c>
      <c r="C1924">
        <f>TEST_DATA!C1924</f>
        <v/>
      </c>
      <c r="D1924">
        <f>TEST_DATA!D1924</f>
        <v/>
      </c>
      <c r="E1924">
        <f>TEST_DATA!E1924</f>
        <v/>
      </c>
      <c r="F1924">
        <f>MIN(E1924*192400,10000)</f>
        <v/>
      </c>
      <c r="G1924">
        <f>MINIFS(CBIC_Late_Fee_Relief_Windows_3B!$O$1924:$O$100,CBIC_Late_Fee_Relief_Windows_3B!$D$1924:$D$100,"&lt;="&amp;B1924,CBIC_Late_Fee_Relief_Windows_3B!$E$1924:$E$100,"&gt;="&amp;B1924,CBIC_Late_Fee_Relief_Windows_3B!$F$1924:$F$100,"&lt;="&amp;C1924,CBIC_Late_Fee_Relief_Windows_3B!$G$1924:$G$100,"&gt;="&amp;C1924)</f>
        <v/>
      </c>
      <c r="H1924">
        <f>INDEX(CBIC_Late_Fee_Relief_Windows_3B!$I$1924:$I$100,MATCH(G1924,CBIC_Late_Fee_Relief_Windows_3B!$O$1924:$O$100,0))</f>
        <v/>
      </c>
      <c r="I1924">
        <f>MIN(F1924,H1924)</f>
        <v/>
      </c>
    </row>
    <row r="1925">
      <c r="A1925">
        <f>TEST_DATA!A1925</f>
        <v/>
      </c>
      <c r="B1925">
        <f>TEST_DATA!B1925</f>
        <v/>
      </c>
      <c r="C1925">
        <f>TEST_DATA!C1925</f>
        <v/>
      </c>
      <c r="D1925">
        <f>TEST_DATA!D1925</f>
        <v/>
      </c>
      <c r="E1925">
        <f>TEST_DATA!E1925</f>
        <v/>
      </c>
      <c r="F1925">
        <f>MIN(E1925*192500,10000)</f>
        <v/>
      </c>
      <c r="G1925">
        <f>MINIFS(CBIC_Late_Fee_Relief_Windows_3B!$O$1925:$O$100,CBIC_Late_Fee_Relief_Windows_3B!$D$1925:$D$100,"&lt;="&amp;B1925,CBIC_Late_Fee_Relief_Windows_3B!$E$1925:$E$100,"&gt;="&amp;B1925,CBIC_Late_Fee_Relief_Windows_3B!$F$1925:$F$100,"&lt;="&amp;C1925,CBIC_Late_Fee_Relief_Windows_3B!$G$1925:$G$100,"&gt;="&amp;C1925)</f>
        <v/>
      </c>
      <c r="H1925">
        <f>INDEX(CBIC_Late_Fee_Relief_Windows_3B!$I$1925:$I$100,MATCH(G1925,CBIC_Late_Fee_Relief_Windows_3B!$O$1925:$O$100,0))</f>
        <v/>
      </c>
      <c r="I1925">
        <f>MIN(F1925,H1925)</f>
        <v/>
      </c>
    </row>
    <row r="1926">
      <c r="A1926">
        <f>TEST_DATA!A1926</f>
        <v/>
      </c>
      <c r="B1926">
        <f>TEST_DATA!B1926</f>
        <v/>
      </c>
      <c r="C1926">
        <f>TEST_DATA!C1926</f>
        <v/>
      </c>
      <c r="D1926">
        <f>TEST_DATA!D1926</f>
        <v/>
      </c>
      <c r="E1926">
        <f>TEST_DATA!E1926</f>
        <v/>
      </c>
      <c r="F1926">
        <f>MIN(E1926*192600,10000)</f>
        <v/>
      </c>
      <c r="G1926">
        <f>MINIFS(CBIC_Late_Fee_Relief_Windows_3B!$O$1926:$O$100,CBIC_Late_Fee_Relief_Windows_3B!$D$1926:$D$100,"&lt;="&amp;B1926,CBIC_Late_Fee_Relief_Windows_3B!$E$1926:$E$100,"&gt;="&amp;B1926,CBIC_Late_Fee_Relief_Windows_3B!$F$1926:$F$100,"&lt;="&amp;C1926,CBIC_Late_Fee_Relief_Windows_3B!$G$1926:$G$100,"&gt;="&amp;C1926)</f>
        <v/>
      </c>
      <c r="H1926">
        <f>INDEX(CBIC_Late_Fee_Relief_Windows_3B!$I$1926:$I$100,MATCH(G1926,CBIC_Late_Fee_Relief_Windows_3B!$O$1926:$O$100,0))</f>
        <v/>
      </c>
      <c r="I1926">
        <f>MIN(F1926,H1926)</f>
        <v/>
      </c>
    </row>
    <row r="1927">
      <c r="A1927">
        <f>TEST_DATA!A1927</f>
        <v/>
      </c>
      <c r="B1927">
        <f>TEST_DATA!B1927</f>
        <v/>
      </c>
      <c r="C1927">
        <f>TEST_DATA!C1927</f>
        <v/>
      </c>
      <c r="D1927">
        <f>TEST_DATA!D1927</f>
        <v/>
      </c>
      <c r="E1927">
        <f>TEST_DATA!E1927</f>
        <v/>
      </c>
      <c r="F1927">
        <f>MIN(E1927*192700,10000)</f>
        <v/>
      </c>
      <c r="G1927">
        <f>MINIFS(CBIC_Late_Fee_Relief_Windows_3B!$O$1927:$O$100,CBIC_Late_Fee_Relief_Windows_3B!$D$1927:$D$100,"&lt;="&amp;B1927,CBIC_Late_Fee_Relief_Windows_3B!$E$1927:$E$100,"&gt;="&amp;B1927,CBIC_Late_Fee_Relief_Windows_3B!$F$1927:$F$100,"&lt;="&amp;C1927,CBIC_Late_Fee_Relief_Windows_3B!$G$1927:$G$100,"&gt;="&amp;C1927)</f>
        <v/>
      </c>
      <c r="H1927">
        <f>INDEX(CBIC_Late_Fee_Relief_Windows_3B!$I$1927:$I$100,MATCH(G1927,CBIC_Late_Fee_Relief_Windows_3B!$O$1927:$O$100,0))</f>
        <v/>
      </c>
      <c r="I1927">
        <f>MIN(F1927,H1927)</f>
        <v/>
      </c>
    </row>
    <row r="1928">
      <c r="A1928">
        <f>TEST_DATA!A1928</f>
        <v/>
      </c>
      <c r="B1928">
        <f>TEST_DATA!B1928</f>
        <v/>
      </c>
      <c r="C1928">
        <f>TEST_DATA!C1928</f>
        <v/>
      </c>
      <c r="D1928">
        <f>TEST_DATA!D1928</f>
        <v/>
      </c>
      <c r="E1928">
        <f>TEST_DATA!E1928</f>
        <v/>
      </c>
      <c r="F1928">
        <f>MIN(E1928*192800,10000)</f>
        <v/>
      </c>
      <c r="G1928">
        <f>MINIFS(CBIC_Late_Fee_Relief_Windows_3B!$O$1928:$O$100,CBIC_Late_Fee_Relief_Windows_3B!$D$1928:$D$100,"&lt;="&amp;B1928,CBIC_Late_Fee_Relief_Windows_3B!$E$1928:$E$100,"&gt;="&amp;B1928,CBIC_Late_Fee_Relief_Windows_3B!$F$1928:$F$100,"&lt;="&amp;C1928,CBIC_Late_Fee_Relief_Windows_3B!$G$1928:$G$100,"&gt;="&amp;C1928)</f>
        <v/>
      </c>
      <c r="H1928">
        <f>INDEX(CBIC_Late_Fee_Relief_Windows_3B!$I$1928:$I$100,MATCH(G1928,CBIC_Late_Fee_Relief_Windows_3B!$O$1928:$O$100,0))</f>
        <v/>
      </c>
      <c r="I1928">
        <f>MIN(F1928,H1928)</f>
        <v/>
      </c>
    </row>
    <row r="1929">
      <c r="A1929">
        <f>TEST_DATA!A1929</f>
        <v/>
      </c>
      <c r="B1929">
        <f>TEST_DATA!B1929</f>
        <v/>
      </c>
      <c r="C1929">
        <f>TEST_DATA!C1929</f>
        <v/>
      </c>
      <c r="D1929">
        <f>TEST_DATA!D1929</f>
        <v/>
      </c>
      <c r="E1929">
        <f>TEST_DATA!E1929</f>
        <v/>
      </c>
      <c r="F1929">
        <f>MIN(E1929*192900,10000)</f>
        <v/>
      </c>
      <c r="G1929">
        <f>MINIFS(CBIC_Late_Fee_Relief_Windows_3B!$O$1929:$O$100,CBIC_Late_Fee_Relief_Windows_3B!$D$1929:$D$100,"&lt;="&amp;B1929,CBIC_Late_Fee_Relief_Windows_3B!$E$1929:$E$100,"&gt;="&amp;B1929,CBIC_Late_Fee_Relief_Windows_3B!$F$1929:$F$100,"&lt;="&amp;C1929,CBIC_Late_Fee_Relief_Windows_3B!$G$1929:$G$100,"&gt;="&amp;C1929)</f>
        <v/>
      </c>
      <c r="H1929">
        <f>INDEX(CBIC_Late_Fee_Relief_Windows_3B!$I$1929:$I$100,MATCH(G1929,CBIC_Late_Fee_Relief_Windows_3B!$O$1929:$O$100,0))</f>
        <v/>
      </c>
      <c r="I1929">
        <f>MIN(F1929,H1929)</f>
        <v/>
      </c>
    </row>
    <row r="1930">
      <c r="A1930">
        <f>TEST_DATA!A1930</f>
        <v/>
      </c>
      <c r="B1930">
        <f>TEST_DATA!B1930</f>
        <v/>
      </c>
      <c r="C1930">
        <f>TEST_DATA!C1930</f>
        <v/>
      </c>
      <c r="D1930">
        <f>TEST_DATA!D1930</f>
        <v/>
      </c>
      <c r="E1930">
        <f>TEST_DATA!E1930</f>
        <v/>
      </c>
      <c r="F1930">
        <f>MIN(E1930*193000,10000)</f>
        <v/>
      </c>
      <c r="G1930">
        <f>MINIFS(CBIC_Late_Fee_Relief_Windows_3B!$O$1930:$O$100,CBIC_Late_Fee_Relief_Windows_3B!$D$1930:$D$100,"&lt;="&amp;B1930,CBIC_Late_Fee_Relief_Windows_3B!$E$1930:$E$100,"&gt;="&amp;B1930,CBIC_Late_Fee_Relief_Windows_3B!$F$1930:$F$100,"&lt;="&amp;C1930,CBIC_Late_Fee_Relief_Windows_3B!$G$1930:$G$100,"&gt;="&amp;C1930)</f>
        <v/>
      </c>
      <c r="H1930">
        <f>INDEX(CBIC_Late_Fee_Relief_Windows_3B!$I$1930:$I$100,MATCH(G1930,CBIC_Late_Fee_Relief_Windows_3B!$O$1930:$O$100,0))</f>
        <v/>
      </c>
      <c r="I1930">
        <f>MIN(F1930,H1930)</f>
        <v/>
      </c>
    </row>
    <row r="1931">
      <c r="A1931">
        <f>TEST_DATA!A1931</f>
        <v/>
      </c>
      <c r="B1931">
        <f>TEST_DATA!B1931</f>
        <v/>
      </c>
      <c r="C1931">
        <f>TEST_DATA!C1931</f>
        <v/>
      </c>
      <c r="D1931">
        <f>TEST_DATA!D1931</f>
        <v/>
      </c>
      <c r="E1931">
        <f>TEST_DATA!E1931</f>
        <v/>
      </c>
      <c r="F1931">
        <f>MIN(E1931*193100,10000)</f>
        <v/>
      </c>
      <c r="G1931">
        <f>MINIFS(CBIC_Late_Fee_Relief_Windows_3B!$O$1931:$O$100,CBIC_Late_Fee_Relief_Windows_3B!$D$1931:$D$100,"&lt;="&amp;B1931,CBIC_Late_Fee_Relief_Windows_3B!$E$1931:$E$100,"&gt;="&amp;B1931,CBIC_Late_Fee_Relief_Windows_3B!$F$1931:$F$100,"&lt;="&amp;C1931,CBIC_Late_Fee_Relief_Windows_3B!$G$1931:$G$100,"&gt;="&amp;C1931)</f>
        <v/>
      </c>
      <c r="H1931">
        <f>INDEX(CBIC_Late_Fee_Relief_Windows_3B!$I$1931:$I$100,MATCH(G1931,CBIC_Late_Fee_Relief_Windows_3B!$O$1931:$O$100,0))</f>
        <v/>
      </c>
      <c r="I1931">
        <f>MIN(F1931,H1931)</f>
        <v/>
      </c>
    </row>
    <row r="1932">
      <c r="A1932">
        <f>TEST_DATA!A1932</f>
        <v/>
      </c>
      <c r="B1932">
        <f>TEST_DATA!B1932</f>
        <v/>
      </c>
      <c r="C1932">
        <f>TEST_DATA!C1932</f>
        <v/>
      </c>
      <c r="D1932">
        <f>TEST_DATA!D1932</f>
        <v/>
      </c>
      <c r="E1932">
        <f>TEST_DATA!E1932</f>
        <v/>
      </c>
      <c r="F1932">
        <f>MIN(E1932*193200,10000)</f>
        <v/>
      </c>
      <c r="G1932">
        <f>MINIFS(CBIC_Late_Fee_Relief_Windows_3B!$O$1932:$O$100,CBIC_Late_Fee_Relief_Windows_3B!$D$1932:$D$100,"&lt;="&amp;B1932,CBIC_Late_Fee_Relief_Windows_3B!$E$1932:$E$100,"&gt;="&amp;B1932,CBIC_Late_Fee_Relief_Windows_3B!$F$1932:$F$100,"&lt;="&amp;C1932,CBIC_Late_Fee_Relief_Windows_3B!$G$1932:$G$100,"&gt;="&amp;C1932)</f>
        <v/>
      </c>
      <c r="H1932">
        <f>INDEX(CBIC_Late_Fee_Relief_Windows_3B!$I$1932:$I$100,MATCH(G1932,CBIC_Late_Fee_Relief_Windows_3B!$O$1932:$O$100,0))</f>
        <v/>
      </c>
      <c r="I1932">
        <f>MIN(F1932,H1932)</f>
        <v/>
      </c>
    </row>
    <row r="1933">
      <c r="A1933">
        <f>TEST_DATA!A1933</f>
        <v/>
      </c>
      <c r="B1933">
        <f>TEST_DATA!B1933</f>
        <v/>
      </c>
      <c r="C1933">
        <f>TEST_DATA!C1933</f>
        <v/>
      </c>
      <c r="D1933">
        <f>TEST_DATA!D1933</f>
        <v/>
      </c>
      <c r="E1933">
        <f>TEST_DATA!E1933</f>
        <v/>
      </c>
      <c r="F1933">
        <f>MIN(E1933*193300,10000)</f>
        <v/>
      </c>
      <c r="G1933">
        <f>MINIFS(CBIC_Late_Fee_Relief_Windows_3B!$O$1933:$O$100,CBIC_Late_Fee_Relief_Windows_3B!$D$1933:$D$100,"&lt;="&amp;B1933,CBIC_Late_Fee_Relief_Windows_3B!$E$1933:$E$100,"&gt;="&amp;B1933,CBIC_Late_Fee_Relief_Windows_3B!$F$1933:$F$100,"&lt;="&amp;C1933,CBIC_Late_Fee_Relief_Windows_3B!$G$1933:$G$100,"&gt;="&amp;C1933)</f>
        <v/>
      </c>
      <c r="H1933">
        <f>INDEX(CBIC_Late_Fee_Relief_Windows_3B!$I$1933:$I$100,MATCH(G1933,CBIC_Late_Fee_Relief_Windows_3B!$O$1933:$O$100,0))</f>
        <v/>
      </c>
      <c r="I1933">
        <f>MIN(F1933,H1933)</f>
        <v/>
      </c>
    </row>
    <row r="1934">
      <c r="A1934">
        <f>TEST_DATA!A1934</f>
        <v/>
      </c>
      <c r="B1934">
        <f>TEST_DATA!B1934</f>
        <v/>
      </c>
      <c r="C1934">
        <f>TEST_DATA!C1934</f>
        <v/>
      </c>
      <c r="D1934">
        <f>TEST_DATA!D1934</f>
        <v/>
      </c>
      <c r="E1934">
        <f>TEST_DATA!E1934</f>
        <v/>
      </c>
      <c r="F1934">
        <f>MIN(E1934*193400,10000)</f>
        <v/>
      </c>
      <c r="G1934">
        <f>MINIFS(CBIC_Late_Fee_Relief_Windows_3B!$O$1934:$O$100,CBIC_Late_Fee_Relief_Windows_3B!$D$1934:$D$100,"&lt;="&amp;B1934,CBIC_Late_Fee_Relief_Windows_3B!$E$1934:$E$100,"&gt;="&amp;B1934,CBIC_Late_Fee_Relief_Windows_3B!$F$1934:$F$100,"&lt;="&amp;C1934,CBIC_Late_Fee_Relief_Windows_3B!$G$1934:$G$100,"&gt;="&amp;C1934)</f>
        <v/>
      </c>
      <c r="H1934">
        <f>INDEX(CBIC_Late_Fee_Relief_Windows_3B!$I$1934:$I$100,MATCH(G1934,CBIC_Late_Fee_Relief_Windows_3B!$O$1934:$O$100,0))</f>
        <v/>
      </c>
      <c r="I1934">
        <f>MIN(F1934,H1934)</f>
        <v/>
      </c>
    </row>
    <row r="1935">
      <c r="A1935">
        <f>TEST_DATA!A1935</f>
        <v/>
      </c>
      <c r="B1935">
        <f>TEST_DATA!B1935</f>
        <v/>
      </c>
      <c r="C1935">
        <f>TEST_DATA!C1935</f>
        <v/>
      </c>
      <c r="D1935">
        <f>TEST_DATA!D1935</f>
        <v/>
      </c>
      <c r="E1935">
        <f>TEST_DATA!E1935</f>
        <v/>
      </c>
      <c r="F1935">
        <f>MIN(E1935*193500,10000)</f>
        <v/>
      </c>
      <c r="G1935">
        <f>MINIFS(CBIC_Late_Fee_Relief_Windows_3B!$O$1935:$O$100,CBIC_Late_Fee_Relief_Windows_3B!$D$1935:$D$100,"&lt;="&amp;B1935,CBIC_Late_Fee_Relief_Windows_3B!$E$1935:$E$100,"&gt;="&amp;B1935,CBIC_Late_Fee_Relief_Windows_3B!$F$1935:$F$100,"&lt;="&amp;C1935,CBIC_Late_Fee_Relief_Windows_3B!$G$1935:$G$100,"&gt;="&amp;C1935)</f>
        <v/>
      </c>
      <c r="H1935">
        <f>INDEX(CBIC_Late_Fee_Relief_Windows_3B!$I$1935:$I$100,MATCH(G1935,CBIC_Late_Fee_Relief_Windows_3B!$O$1935:$O$100,0))</f>
        <v/>
      </c>
      <c r="I1935">
        <f>MIN(F1935,H1935)</f>
        <v/>
      </c>
    </row>
    <row r="1936">
      <c r="A1936">
        <f>TEST_DATA!A1936</f>
        <v/>
      </c>
      <c r="B1936">
        <f>TEST_DATA!B1936</f>
        <v/>
      </c>
      <c r="C1936">
        <f>TEST_DATA!C1936</f>
        <v/>
      </c>
      <c r="D1936">
        <f>TEST_DATA!D1936</f>
        <v/>
      </c>
      <c r="E1936">
        <f>TEST_DATA!E1936</f>
        <v/>
      </c>
      <c r="F1936">
        <f>MIN(E1936*193600,10000)</f>
        <v/>
      </c>
      <c r="G1936">
        <f>MINIFS(CBIC_Late_Fee_Relief_Windows_3B!$O$1936:$O$100,CBIC_Late_Fee_Relief_Windows_3B!$D$1936:$D$100,"&lt;="&amp;B1936,CBIC_Late_Fee_Relief_Windows_3B!$E$1936:$E$100,"&gt;="&amp;B1936,CBIC_Late_Fee_Relief_Windows_3B!$F$1936:$F$100,"&lt;="&amp;C1936,CBIC_Late_Fee_Relief_Windows_3B!$G$1936:$G$100,"&gt;="&amp;C1936)</f>
        <v/>
      </c>
      <c r="H1936">
        <f>INDEX(CBIC_Late_Fee_Relief_Windows_3B!$I$1936:$I$100,MATCH(G1936,CBIC_Late_Fee_Relief_Windows_3B!$O$1936:$O$100,0))</f>
        <v/>
      </c>
      <c r="I1936">
        <f>MIN(F1936,H1936)</f>
        <v/>
      </c>
    </row>
    <row r="1937">
      <c r="A1937">
        <f>TEST_DATA!A1937</f>
        <v/>
      </c>
      <c r="B1937">
        <f>TEST_DATA!B1937</f>
        <v/>
      </c>
      <c r="C1937">
        <f>TEST_DATA!C1937</f>
        <v/>
      </c>
      <c r="D1937">
        <f>TEST_DATA!D1937</f>
        <v/>
      </c>
      <c r="E1937">
        <f>TEST_DATA!E1937</f>
        <v/>
      </c>
      <c r="F1937">
        <f>MIN(E1937*193700,10000)</f>
        <v/>
      </c>
      <c r="G1937">
        <f>MINIFS(CBIC_Late_Fee_Relief_Windows_3B!$O$1937:$O$100,CBIC_Late_Fee_Relief_Windows_3B!$D$1937:$D$100,"&lt;="&amp;B1937,CBIC_Late_Fee_Relief_Windows_3B!$E$1937:$E$100,"&gt;="&amp;B1937,CBIC_Late_Fee_Relief_Windows_3B!$F$1937:$F$100,"&lt;="&amp;C1937,CBIC_Late_Fee_Relief_Windows_3B!$G$1937:$G$100,"&gt;="&amp;C1937)</f>
        <v/>
      </c>
      <c r="H1937">
        <f>INDEX(CBIC_Late_Fee_Relief_Windows_3B!$I$1937:$I$100,MATCH(G1937,CBIC_Late_Fee_Relief_Windows_3B!$O$1937:$O$100,0))</f>
        <v/>
      </c>
      <c r="I1937">
        <f>MIN(F1937,H1937)</f>
        <v/>
      </c>
    </row>
    <row r="1938">
      <c r="A1938">
        <f>TEST_DATA!A1938</f>
        <v/>
      </c>
      <c r="B1938">
        <f>TEST_DATA!B1938</f>
        <v/>
      </c>
      <c r="C1938">
        <f>TEST_DATA!C1938</f>
        <v/>
      </c>
      <c r="D1938">
        <f>TEST_DATA!D1938</f>
        <v/>
      </c>
      <c r="E1938">
        <f>TEST_DATA!E1938</f>
        <v/>
      </c>
      <c r="F1938">
        <f>MIN(E1938*193800,10000)</f>
        <v/>
      </c>
      <c r="G1938">
        <f>MINIFS(CBIC_Late_Fee_Relief_Windows_3B!$O$1938:$O$100,CBIC_Late_Fee_Relief_Windows_3B!$D$1938:$D$100,"&lt;="&amp;B1938,CBIC_Late_Fee_Relief_Windows_3B!$E$1938:$E$100,"&gt;="&amp;B1938,CBIC_Late_Fee_Relief_Windows_3B!$F$1938:$F$100,"&lt;="&amp;C1938,CBIC_Late_Fee_Relief_Windows_3B!$G$1938:$G$100,"&gt;="&amp;C1938)</f>
        <v/>
      </c>
      <c r="H1938">
        <f>INDEX(CBIC_Late_Fee_Relief_Windows_3B!$I$1938:$I$100,MATCH(G1938,CBIC_Late_Fee_Relief_Windows_3B!$O$1938:$O$100,0))</f>
        <v/>
      </c>
      <c r="I1938">
        <f>MIN(F1938,H1938)</f>
        <v/>
      </c>
    </row>
    <row r="1939">
      <c r="A1939">
        <f>TEST_DATA!A1939</f>
        <v/>
      </c>
      <c r="B1939">
        <f>TEST_DATA!B1939</f>
        <v/>
      </c>
      <c r="C1939">
        <f>TEST_DATA!C1939</f>
        <v/>
      </c>
      <c r="D1939">
        <f>TEST_DATA!D1939</f>
        <v/>
      </c>
      <c r="E1939">
        <f>TEST_DATA!E1939</f>
        <v/>
      </c>
      <c r="F1939">
        <f>MIN(E1939*193900,10000)</f>
        <v/>
      </c>
      <c r="G1939">
        <f>MINIFS(CBIC_Late_Fee_Relief_Windows_3B!$O$1939:$O$100,CBIC_Late_Fee_Relief_Windows_3B!$D$1939:$D$100,"&lt;="&amp;B1939,CBIC_Late_Fee_Relief_Windows_3B!$E$1939:$E$100,"&gt;="&amp;B1939,CBIC_Late_Fee_Relief_Windows_3B!$F$1939:$F$100,"&lt;="&amp;C1939,CBIC_Late_Fee_Relief_Windows_3B!$G$1939:$G$100,"&gt;="&amp;C1939)</f>
        <v/>
      </c>
      <c r="H1939">
        <f>INDEX(CBIC_Late_Fee_Relief_Windows_3B!$I$1939:$I$100,MATCH(G1939,CBIC_Late_Fee_Relief_Windows_3B!$O$1939:$O$100,0))</f>
        <v/>
      </c>
      <c r="I1939">
        <f>MIN(F1939,H1939)</f>
        <v/>
      </c>
    </row>
    <row r="1940">
      <c r="A1940">
        <f>TEST_DATA!A1940</f>
        <v/>
      </c>
      <c r="B1940">
        <f>TEST_DATA!B1940</f>
        <v/>
      </c>
      <c r="C1940">
        <f>TEST_DATA!C1940</f>
        <v/>
      </c>
      <c r="D1940">
        <f>TEST_DATA!D1940</f>
        <v/>
      </c>
      <c r="E1940">
        <f>TEST_DATA!E1940</f>
        <v/>
      </c>
      <c r="F1940">
        <f>MIN(E1940*194000,10000)</f>
        <v/>
      </c>
      <c r="G1940">
        <f>MINIFS(CBIC_Late_Fee_Relief_Windows_3B!$O$1940:$O$100,CBIC_Late_Fee_Relief_Windows_3B!$D$1940:$D$100,"&lt;="&amp;B1940,CBIC_Late_Fee_Relief_Windows_3B!$E$1940:$E$100,"&gt;="&amp;B1940,CBIC_Late_Fee_Relief_Windows_3B!$F$1940:$F$100,"&lt;="&amp;C1940,CBIC_Late_Fee_Relief_Windows_3B!$G$1940:$G$100,"&gt;="&amp;C1940)</f>
        <v/>
      </c>
      <c r="H1940">
        <f>INDEX(CBIC_Late_Fee_Relief_Windows_3B!$I$1940:$I$100,MATCH(G1940,CBIC_Late_Fee_Relief_Windows_3B!$O$1940:$O$100,0))</f>
        <v/>
      </c>
      <c r="I1940">
        <f>MIN(F1940,H1940)</f>
        <v/>
      </c>
    </row>
    <row r="1941">
      <c r="A1941">
        <f>TEST_DATA!A1941</f>
        <v/>
      </c>
      <c r="B1941">
        <f>TEST_DATA!B1941</f>
        <v/>
      </c>
      <c r="C1941">
        <f>TEST_DATA!C1941</f>
        <v/>
      </c>
      <c r="D1941">
        <f>TEST_DATA!D1941</f>
        <v/>
      </c>
      <c r="E1941">
        <f>TEST_DATA!E1941</f>
        <v/>
      </c>
      <c r="F1941">
        <f>MIN(E1941*194100,10000)</f>
        <v/>
      </c>
      <c r="G1941">
        <f>MINIFS(CBIC_Late_Fee_Relief_Windows_3B!$O$1941:$O$100,CBIC_Late_Fee_Relief_Windows_3B!$D$1941:$D$100,"&lt;="&amp;B1941,CBIC_Late_Fee_Relief_Windows_3B!$E$1941:$E$100,"&gt;="&amp;B1941,CBIC_Late_Fee_Relief_Windows_3B!$F$1941:$F$100,"&lt;="&amp;C1941,CBIC_Late_Fee_Relief_Windows_3B!$G$1941:$G$100,"&gt;="&amp;C1941)</f>
        <v/>
      </c>
      <c r="H1941">
        <f>INDEX(CBIC_Late_Fee_Relief_Windows_3B!$I$1941:$I$100,MATCH(G1941,CBIC_Late_Fee_Relief_Windows_3B!$O$1941:$O$100,0))</f>
        <v/>
      </c>
      <c r="I1941">
        <f>MIN(F1941,H1941)</f>
        <v/>
      </c>
    </row>
    <row r="1942">
      <c r="A1942">
        <f>TEST_DATA!A1942</f>
        <v/>
      </c>
      <c r="B1942">
        <f>TEST_DATA!B1942</f>
        <v/>
      </c>
      <c r="C1942">
        <f>TEST_DATA!C1942</f>
        <v/>
      </c>
      <c r="D1942">
        <f>TEST_DATA!D1942</f>
        <v/>
      </c>
      <c r="E1942">
        <f>TEST_DATA!E1942</f>
        <v/>
      </c>
      <c r="F1942">
        <f>MIN(E1942*194200,10000)</f>
        <v/>
      </c>
      <c r="G1942">
        <f>MINIFS(CBIC_Late_Fee_Relief_Windows_3B!$O$1942:$O$100,CBIC_Late_Fee_Relief_Windows_3B!$D$1942:$D$100,"&lt;="&amp;B1942,CBIC_Late_Fee_Relief_Windows_3B!$E$1942:$E$100,"&gt;="&amp;B1942,CBIC_Late_Fee_Relief_Windows_3B!$F$1942:$F$100,"&lt;="&amp;C1942,CBIC_Late_Fee_Relief_Windows_3B!$G$1942:$G$100,"&gt;="&amp;C1942)</f>
        <v/>
      </c>
      <c r="H1942">
        <f>INDEX(CBIC_Late_Fee_Relief_Windows_3B!$I$1942:$I$100,MATCH(G1942,CBIC_Late_Fee_Relief_Windows_3B!$O$1942:$O$100,0))</f>
        <v/>
      </c>
      <c r="I1942">
        <f>MIN(F1942,H1942)</f>
        <v/>
      </c>
    </row>
    <row r="1943">
      <c r="A1943">
        <f>TEST_DATA!A1943</f>
        <v/>
      </c>
      <c r="B1943">
        <f>TEST_DATA!B1943</f>
        <v/>
      </c>
      <c r="C1943">
        <f>TEST_DATA!C1943</f>
        <v/>
      </c>
      <c r="D1943">
        <f>TEST_DATA!D1943</f>
        <v/>
      </c>
      <c r="E1943">
        <f>TEST_DATA!E1943</f>
        <v/>
      </c>
      <c r="F1943">
        <f>MIN(E1943*194300,10000)</f>
        <v/>
      </c>
      <c r="G1943">
        <f>MINIFS(CBIC_Late_Fee_Relief_Windows_3B!$O$1943:$O$100,CBIC_Late_Fee_Relief_Windows_3B!$D$1943:$D$100,"&lt;="&amp;B1943,CBIC_Late_Fee_Relief_Windows_3B!$E$1943:$E$100,"&gt;="&amp;B1943,CBIC_Late_Fee_Relief_Windows_3B!$F$1943:$F$100,"&lt;="&amp;C1943,CBIC_Late_Fee_Relief_Windows_3B!$G$1943:$G$100,"&gt;="&amp;C1943)</f>
        <v/>
      </c>
      <c r="H1943">
        <f>INDEX(CBIC_Late_Fee_Relief_Windows_3B!$I$1943:$I$100,MATCH(G1943,CBIC_Late_Fee_Relief_Windows_3B!$O$1943:$O$100,0))</f>
        <v/>
      </c>
      <c r="I1943">
        <f>MIN(F1943,H1943)</f>
        <v/>
      </c>
    </row>
    <row r="1944">
      <c r="A1944">
        <f>TEST_DATA!A1944</f>
        <v/>
      </c>
      <c r="B1944">
        <f>TEST_DATA!B1944</f>
        <v/>
      </c>
      <c r="C1944">
        <f>TEST_DATA!C1944</f>
        <v/>
      </c>
      <c r="D1944">
        <f>TEST_DATA!D1944</f>
        <v/>
      </c>
      <c r="E1944">
        <f>TEST_DATA!E1944</f>
        <v/>
      </c>
      <c r="F1944">
        <f>MIN(E1944*194400,10000)</f>
        <v/>
      </c>
      <c r="G1944">
        <f>MINIFS(CBIC_Late_Fee_Relief_Windows_3B!$O$1944:$O$100,CBIC_Late_Fee_Relief_Windows_3B!$D$1944:$D$100,"&lt;="&amp;B1944,CBIC_Late_Fee_Relief_Windows_3B!$E$1944:$E$100,"&gt;="&amp;B1944,CBIC_Late_Fee_Relief_Windows_3B!$F$1944:$F$100,"&lt;="&amp;C1944,CBIC_Late_Fee_Relief_Windows_3B!$G$1944:$G$100,"&gt;="&amp;C1944)</f>
        <v/>
      </c>
      <c r="H1944">
        <f>INDEX(CBIC_Late_Fee_Relief_Windows_3B!$I$1944:$I$100,MATCH(G1944,CBIC_Late_Fee_Relief_Windows_3B!$O$1944:$O$100,0))</f>
        <v/>
      </c>
      <c r="I1944">
        <f>MIN(F1944,H1944)</f>
        <v/>
      </c>
    </row>
    <row r="1945">
      <c r="A1945">
        <f>TEST_DATA!A1945</f>
        <v/>
      </c>
      <c r="B1945">
        <f>TEST_DATA!B1945</f>
        <v/>
      </c>
      <c r="C1945">
        <f>TEST_DATA!C1945</f>
        <v/>
      </c>
      <c r="D1945">
        <f>TEST_DATA!D1945</f>
        <v/>
      </c>
      <c r="E1945">
        <f>TEST_DATA!E1945</f>
        <v/>
      </c>
      <c r="F1945">
        <f>MIN(E1945*194500,10000)</f>
        <v/>
      </c>
      <c r="G1945">
        <f>MINIFS(CBIC_Late_Fee_Relief_Windows_3B!$O$1945:$O$100,CBIC_Late_Fee_Relief_Windows_3B!$D$1945:$D$100,"&lt;="&amp;B1945,CBIC_Late_Fee_Relief_Windows_3B!$E$1945:$E$100,"&gt;="&amp;B1945,CBIC_Late_Fee_Relief_Windows_3B!$F$1945:$F$100,"&lt;="&amp;C1945,CBIC_Late_Fee_Relief_Windows_3B!$G$1945:$G$100,"&gt;="&amp;C1945)</f>
        <v/>
      </c>
      <c r="H1945">
        <f>INDEX(CBIC_Late_Fee_Relief_Windows_3B!$I$1945:$I$100,MATCH(G1945,CBIC_Late_Fee_Relief_Windows_3B!$O$1945:$O$100,0))</f>
        <v/>
      </c>
      <c r="I1945">
        <f>MIN(F1945,H1945)</f>
        <v/>
      </c>
    </row>
    <row r="1946">
      <c r="A1946">
        <f>TEST_DATA!A1946</f>
        <v/>
      </c>
      <c r="B1946">
        <f>TEST_DATA!B1946</f>
        <v/>
      </c>
      <c r="C1946">
        <f>TEST_DATA!C1946</f>
        <v/>
      </c>
      <c r="D1946">
        <f>TEST_DATA!D1946</f>
        <v/>
      </c>
      <c r="E1946">
        <f>TEST_DATA!E1946</f>
        <v/>
      </c>
      <c r="F1946">
        <f>MIN(E1946*194600,10000)</f>
        <v/>
      </c>
      <c r="G1946">
        <f>MINIFS(CBIC_Late_Fee_Relief_Windows_3B!$O$1946:$O$100,CBIC_Late_Fee_Relief_Windows_3B!$D$1946:$D$100,"&lt;="&amp;B1946,CBIC_Late_Fee_Relief_Windows_3B!$E$1946:$E$100,"&gt;="&amp;B1946,CBIC_Late_Fee_Relief_Windows_3B!$F$1946:$F$100,"&lt;="&amp;C1946,CBIC_Late_Fee_Relief_Windows_3B!$G$1946:$G$100,"&gt;="&amp;C1946)</f>
        <v/>
      </c>
      <c r="H1946">
        <f>INDEX(CBIC_Late_Fee_Relief_Windows_3B!$I$1946:$I$100,MATCH(G1946,CBIC_Late_Fee_Relief_Windows_3B!$O$1946:$O$100,0))</f>
        <v/>
      </c>
      <c r="I1946">
        <f>MIN(F1946,H1946)</f>
        <v/>
      </c>
    </row>
    <row r="1947">
      <c r="A1947">
        <f>TEST_DATA!A1947</f>
        <v/>
      </c>
      <c r="B1947">
        <f>TEST_DATA!B1947</f>
        <v/>
      </c>
      <c r="C1947">
        <f>TEST_DATA!C1947</f>
        <v/>
      </c>
      <c r="D1947">
        <f>TEST_DATA!D1947</f>
        <v/>
      </c>
      <c r="E1947">
        <f>TEST_DATA!E1947</f>
        <v/>
      </c>
      <c r="F1947">
        <f>MIN(E1947*194700,10000)</f>
        <v/>
      </c>
      <c r="G1947">
        <f>MINIFS(CBIC_Late_Fee_Relief_Windows_3B!$O$1947:$O$100,CBIC_Late_Fee_Relief_Windows_3B!$D$1947:$D$100,"&lt;="&amp;B1947,CBIC_Late_Fee_Relief_Windows_3B!$E$1947:$E$100,"&gt;="&amp;B1947,CBIC_Late_Fee_Relief_Windows_3B!$F$1947:$F$100,"&lt;="&amp;C1947,CBIC_Late_Fee_Relief_Windows_3B!$G$1947:$G$100,"&gt;="&amp;C1947)</f>
        <v/>
      </c>
      <c r="H1947">
        <f>INDEX(CBIC_Late_Fee_Relief_Windows_3B!$I$1947:$I$100,MATCH(G1947,CBIC_Late_Fee_Relief_Windows_3B!$O$1947:$O$100,0))</f>
        <v/>
      </c>
      <c r="I1947">
        <f>MIN(F1947,H1947)</f>
        <v/>
      </c>
    </row>
    <row r="1948">
      <c r="A1948">
        <f>TEST_DATA!A1948</f>
        <v/>
      </c>
      <c r="B1948">
        <f>TEST_DATA!B1948</f>
        <v/>
      </c>
      <c r="C1948">
        <f>TEST_DATA!C1948</f>
        <v/>
      </c>
      <c r="D1948">
        <f>TEST_DATA!D1948</f>
        <v/>
      </c>
      <c r="E1948">
        <f>TEST_DATA!E1948</f>
        <v/>
      </c>
      <c r="F1948">
        <f>MIN(E1948*194800,10000)</f>
        <v/>
      </c>
      <c r="G1948">
        <f>MINIFS(CBIC_Late_Fee_Relief_Windows_3B!$O$1948:$O$100,CBIC_Late_Fee_Relief_Windows_3B!$D$1948:$D$100,"&lt;="&amp;B1948,CBIC_Late_Fee_Relief_Windows_3B!$E$1948:$E$100,"&gt;="&amp;B1948,CBIC_Late_Fee_Relief_Windows_3B!$F$1948:$F$100,"&lt;="&amp;C1948,CBIC_Late_Fee_Relief_Windows_3B!$G$1948:$G$100,"&gt;="&amp;C1948)</f>
        <v/>
      </c>
      <c r="H1948">
        <f>INDEX(CBIC_Late_Fee_Relief_Windows_3B!$I$1948:$I$100,MATCH(G1948,CBIC_Late_Fee_Relief_Windows_3B!$O$1948:$O$100,0))</f>
        <v/>
      </c>
      <c r="I1948">
        <f>MIN(F1948,H1948)</f>
        <v/>
      </c>
    </row>
    <row r="1949">
      <c r="A1949">
        <f>TEST_DATA!A1949</f>
        <v/>
      </c>
      <c r="B1949">
        <f>TEST_DATA!B1949</f>
        <v/>
      </c>
      <c r="C1949">
        <f>TEST_DATA!C1949</f>
        <v/>
      </c>
      <c r="D1949">
        <f>TEST_DATA!D1949</f>
        <v/>
      </c>
      <c r="E1949">
        <f>TEST_DATA!E1949</f>
        <v/>
      </c>
      <c r="F1949">
        <f>MIN(E1949*194900,10000)</f>
        <v/>
      </c>
      <c r="G1949">
        <f>MINIFS(CBIC_Late_Fee_Relief_Windows_3B!$O$1949:$O$100,CBIC_Late_Fee_Relief_Windows_3B!$D$1949:$D$100,"&lt;="&amp;B1949,CBIC_Late_Fee_Relief_Windows_3B!$E$1949:$E$100,"&gt;="&amp;B1949,CBIC_Late_Fee_Relief_Windows_3B!$F$1949:$F$100,"&lt;="&amp;C1949,CBIC_Late_Fee_Relief_Windows_3B!$G$1949:$G$100,"&gt;="&amp;C1949)</f>
        <v/>
      </c>
      <c r="H1949">
        <f>INDEX(CBIC_Late_Fee_Relief_Windows_3B!$I$1949:$I$100,MATCH(G1949,CBIC_Late_Fee_Relief_Windows_3B!$O$1949:$O$100,0))</f>
        <v/>
      </c>
      <c r="I1949">
        <f>MIN(F1949,H1949)</f>
        <v/>
      </c>
    </row>
    <row r="1950">
      <c r="A1950">
        <f>TEST_DATA!A1950</f>
        <v/>
      </c>
      <c r="B1950">
        <f>TEST_DATA!B1950</f>
        <v/>
      </c>
      <c r="C1950">
        <f>TEST_DATA!C1950</f>
        <v/>
      </c>
      <c r="D1950">
        <f>TEST_DATA!D1950</f>
        <v/>
      </c>
      <c r="E1950">
        <f>TEST_DATA!E1950</f>
        <v/>
      </c>
      <c r="F1950">
        <f>MIN(E1950*195000,10000)</f>
        <v/>
      </c>
      <c r="G1950">
        <f>MINIFS(CBIC_Late_Fee_Relief_Windows_3B!$O$1950:$O$100,CBIC_Late_Fee_Relief_Windows_3B!$D$1950:$D$100,"&lt;="&amp;B1950,CBIC_Late_Fee_Relief_Windows_3B!$E$1950:$E$100,"&gt;="&amp;B1950,CBIC_Late_Fee_Relief_Windows_3B!$F$1950:$F$100,"&lt;="&amp;C1950,CBIC_Late_Fee_Relief_Windows_3B!$G$1950:$G$100,"&gt;="&amp;C1950)</f>
        <v/>
      </c>
      <c r="H1950">
        <f>INDEX(CBIC_Late_Fee_Relief_Windows_3B!$I$1950:$I$100,MATCH(G1950,CBIC_Late_Fee_Relief_Windows_3B!$O$1950:$O$100,0))</f>
        <v/>
      </c>
      <c r="I1950">
        <f>MIN(F1950,H1950)</f>
        <v/>
      </c>
    </row>
    <row r="1951">
      <c r="A1951">
        <f>TEST_DATA!A1951</f>
        <v/>
      </c>
      <c r="B1951">
        <f>TEST_DATA!B1951</f>
        <v/>
      </c>
      <c r="C1951">
        <f>TEST_DATA!C1951</f>
        <v/>
      </c>
      <c r="D1951">
        <f>TEST_DATA!D1951</f>
        <v/>
      </c>
      <c r="E1951">
        <f>TEST_DATA!E1951</f>
        <v/>
      </c>
      <c r="F1951">
        <f>MIN(E1951*195100,10000)</f>
        <v/>
      </c>
      <c r="G1951">
        <f>MINIFS(CBIC_Late_Fee_Relief_Windows_3B!$O$1951:$O$100,CBIC_Late_Fee_Relief_Windows_3B!$D$1951:$D$100,"&lt;="&amp;B1951,CBIC_Late_Fee_Relief_Windows_3B!$E$1951:$E$100,"&gt;="&amp;B1951,CBIC_Late_Fee_Relief_Windows_3B!$F$1951:$F$100,"&lt;="&amp;C1951,CBIC_Late_Fee_Relief_Windows_3B!$G$1951:$G$100,"&gt;="&amp;C1951)</f>
        <v/>
      </c>
      <c r="H1951">
        <f>INDEX(CBIC_Late_Fee_Relief_Windows_3B!$I$1951:$I$100,MATCH(G1951,CBIC_Late_Fee_Relief_Windows_3B!$O$1951:$O$100,0))</f>
        <v/>
      </c>
      <c r="I1951">
        <f>MIN(F1951,H1951)</f>
        <v/>
      </c>
    </row>
    <row r="1952">
      <c r="A1952">
        <f>TEST_DATA!A1952</f>
        <v/>
      </c>
      <c r="B1952">
        <f>TEST_DATA!B1952</f>
        <v/>
      </c>
      <c r="C1952">
        <f>TEST_DATA!C1952</f>
        <v/>
      </c>
      <c r="D1952">
        <f>TEST_DATA!D1952</f>
        <v/>
      </c>
      <c r="E1952">
        <f>TEST_DATA!E1952</f>
        <v/>
      </c>
      <c r="F1952">
        <f>MIN(E1952*195200,10000)</f>
        <v/>
      </c>
      <c r="G1952">
        <f>MINIFS(CBIC_Late_Fee_Relief_Windows_3B!$O$1952:$O$100,CBIC_Late_Fee_Relief_Windows_3B!$D$1952:$D$100,"&lt;="&amp;B1952,CBIC_Late_Fee_Relief_Windows_3B!$E$1952:$E$100,"&gt;="&amp;B1952,CBIC_Late_Fee_Relief_Windows_3B!$F$1952:$F$100,"&lt;="&amp;C1952,CBIC_Late_Fee_Relief_Windows_3B!$G$1952:$G$100,"&gt;="&amp;C1952)</f>
        <v/>
      </c>
      <c r="H1952">
        <f>INDEX(CBIC_Late_Fee_Relief_Windows_3B!$I$1952:$I$100,MATCH(G1952,CBIC_Late_Fee_Relief_Windows_3B!$O$1952:$O$100,0))</f>
        <v/>
      </c>
      <c r="I1952">
        <f>MIN(F1952,H1952)</f>
        <v/>
      </c>
    </row>
    <row r="1953">
      <c r="A1953">
        <f>TEST_DATA!A1953</f>
        <v/>
      </c>
      <c r="B1953">
        <f>TEST_DATA!B1953</f>
        <v/>
      </c>
      <c r="C1953">
        <f>TEST_DATA!C1953</f>
        <v/>
      </c>
      <c r="D1953">
        <f>TEST_DATA!D1953</f>
        <v/>
      </c>
      <c r="E1953">
        <f>TEST_DATA!E1953</f>
        <v/>
      </c>
      <c r="F1953">
        <f>MIN(E1953*195300,10000)</f>
        <v/>
      </c>
      <c r="G1953">
        <f>MINIFS(CBIC_Late_Fee_Relief_Windows_3B!$O$1953:$O$100,CBIC_Late_Fee_Relief_Windows_3B!$D$1953:$D$100,"&lt;="&amp;B1953,CBIC_Late_Fee_Relief_Windows_3B!$E$1953:$E$100,"&gt;="&amp;B1953,CBIC_Late_Fee_Relief_Windows_3B!$F$1953:$F$100,"&lt;="&amp;C1953,CBIC_Late_Fee_Relief_Windows_3B!$G$1953:$G$100,"&gt;="&amp;C1953)</f>
        <v/>
      </c>
      <c r="H1953">
        <f>INDEX(CBIC_Late_Fee_Relief_Windows_3B!$I$1953:$I$100,MATCH(G1953,CBIC_Late_Fee_Relief_Windows_3B!$O$1953:$O$100,0))</f>
        <v/>
      </c>
      <c r="I1953">
        <f>MIN(F1953,H1953)</f>
        <v/>
      </c>
    </row>
    <row r="1954">
      <c r="A1954">
        <f>TEST_DATA!A1954</f>
        <v/>
      </c>
      <c r="B1954">
        <f>TEST_DATA!B1954</f>
        <v/>
      </c>
      <c r="C1954">
        <f>TEST_DATA!C1954</f>
        <v/>
      </c>
      <c r="D1954">
        <f>TEST_DATA!D1954</f>
        <v/>
      </c>
      <c r="E1954">
        <f>TEST_DATA!E1954</f>
        <v/>
      </c>
      <c r="F1954">
        <f>MIN(E1954*195400,10000)</f>
        <v/>
      </c>
      <c r="G1954">
        <f>MINIFS(CBIC_Late_Fee_Relief_Windows_3B!$O$1954:$O$100,CBIC_Late_Fee_Relief_Windows_3B!$D$1954:$D$100,"&lt;="&amp;B1954,CBIC_Late_Fee_Relief_Windows_3B!$E$1954:$E$100,"&gt;="&amp;B1954,CBIC_Late_Fee_Relief_Windows_3B!$F$1954:$F$100,"&lt;="&amp;C1954,CBIC_Late_Fee_Relief_Windows_3B!$G$1954:$G$100,"&gt;="&amp;C1954)</f>
        <v/>
      </c>
      <c r="H1954">
        <f>INDEX(CBIC_Late_Fee_Relief_Windows_3B!$I$1954:$I$100,MATCH(G1954,CBIC_Late_Fee_Relief_Windows_3B!$O$1954:$O$100,0))</f>
        <v/>
      </c>
      <c r="I1954">
        <f>MIN(F1954,H1954)</f>
        <v/>
      </c>
    </row>
    <row r="1955">
      <c r="A1955">
        <f>TEST_DATA!A1955</f>
        <v/>
      </c>
      <c r="B1955">
        <f>TEST_DATA!B1955</f>
        <v/>
      </c>
      <c r="C1955">
        <f>TEST_DATA!C1955</f>
        <v/>
      </c>
      <c r="D1955">
        <f>TEST_DATA!D1955</f>
        <v/>
      </c>
      <c r="E1955">
        <f>TEST_DATA!E1955</f>
        <v/>
      </c>
      <c r="F1955">
        <f>MIN(E1955*195500,10000)</f>
        <v/>
      </c>
      <c r="G1955">
        <f>MINIFS(CBIC_Late_Fee_Relief_Windows_3B!$O$1955:$O$100,CBIC_Late_Fee_Relief_Windows_3B!$D$1955:$D$100,"&lt;="&amp;B1955,CBIC_Late_Fee_Relief_Windows_3B!$E$1955:$E$100,"&gt;="&amp;B1955,CBIC_Late_Fee_Relief_Windows_3B!$F$1955:$F$100,"&lt;="&amp;C1955,CBIC_Late_Fee_Relief_Windows_3B!$G$1955:$G$100,"&gt;="&amp;C1955)</f>
        <v/>
      </c>
      <c r="H1955">
        <f>INDEX(CBIC_Late_Fee_Relief_Windows_3B!$I$1955:$I$100,MATCH(G1955,CBIC_Late_Fee_Relief_Windows_3B!$O$1955:$O$100,0))</f>
        <v/>
      </c>
      <c r="I1955">
        <f>MIN(F1955,H1955)</f>
        <v/>
      </c>
    </row>
    <row r="1956">
      <c r="A1956">
        <f>TEST_DATA!A1956</f>
        <v/>
      </c>
      <c r="B1956">
        <f>TEST_DATA!B1956</f>
        <v/>
      </c>
      <c r="C1956">
        <f>TEST_DATA!C1956</f>
        <v/>
      </c>
      <c r="D1956">
        <f>TEST_DATA!D1956</f>
        <v/>
      </c>
      <c r="E1956">
        <f>TEST_DATA!E1956</f>
        <v/>
      </c>
      <c r="F1956">
        <f>MIN(E1956*195600,10000)</f>
        <v/>
      </c>
      <c r="G1956">
        <f>MINIFS(CBIC_Late_Fee_Relief_Windows_3B!$O$1956:$O$100,CBIC_Late_Fee_Relief_Windows_3B!$D$1956:$D$100,"&lt;="&amp;B1956,CBIC_Late_Fee_Relief_Windows_3B!$E$1956:$E$100,"&gt;="&amp;B1956,CBIC_Late_Fee_Relief_Windows_3B!$F$1956:$F$100,"&lt;="&amp;C1956,CBIC_Late_Fee_Relief_Windows_3B!$G$1956:$G$100,"&gt;="&amp;C1956)</f>
        <v/>
      </c>
      <c r="H1956">
        <f>INDEX(CBIC_Late_Fee_Relief_Windows_3B!$I$1956:$I$100,MATCH(G1956,CBIC_Late_Fee_Relief_Windows_3B!$O$1956:$O$100,0))</f>
        <v/>
      </c>
      <c r="I1956">
        <f>MIN(F1956,H1956)</f>
        <v/>
      </c>
    </row>
    <row r="1957">
      <c r="A1957">
        <f>TEST_DATA!A1957</f>
        <v/>
      </c>
      <c r="B1957">
        <f>TEST_DATA!B1957</f>
        <v/>
      </c>
      <c r="C1957">
        <f>TEST_DATA!C1957</f>
        <v/>
      </c>
      <c r="D1957">
        <f>TEST_DATA!D1957</f>
        <v/>
      </c>
      <c r="E1957">
        <f>TEST_DATA!E1957</f>
        <v/>
      </c>
      <c r="F1957">
        <f>MIN(E1957*195700,10000)</f>
        <v/>
      </c>
      <c r="G1957">
        <f>MINIFS(CBIC_Late_Fee_Relief_Windows_3B!$O$1957:$O$100,CBIC_Late_Fee_Relief_Windows_3B!$D$1957:$D$100,"&lt;="&amp;B1957,CBIC_Late_Fee_Relief_Windows_3B!$E$1957:$E$100,"&gt;="&amp;B1957,CBIC_Late_Fee_Relief_Windows_3B!$F$1957:$F$100,"&lt;="&amp;C1957,CBIC_Late_Fee_Relief_Windows_3B!$G$1957:$G$100,"&gt;="&amp;C1957)</f>
        <v/>
      </c>
      <c r="H1957">
        <f>INDEX(CBIC_Late_Fee_Relief_Windows_3B!$I$1957:$I$100,MATCH(G1957,CBIC_Late_Fee_Relief_Windows_3B!$O$1957:$O$100,0))</f>
        <v/>
      </c>
      <c r="I1957">
        <f>MIN(F1957,H1957)</f>
        <v/>
      </c>
    </row>
    <row r="1958">
      <c r="A1958">
        <f>TEST_DATA!A1958</f>
        <v/>
      </c>
      <c r="B1958">
        <f>TEST_DATA!B1958</f>
        <v/>
      </c>
      <c r="C1958">
        <f>TEST_DATA!C1958</f>
        <v/>
      </c>
      <c r="D1958">
        <f>TEST_DATA!D1958</f>
        <v/>
      </c>
      <c r="E1958">
        <f>TEST_DATA!E1958</f>
        <v/>
      </c>
      <c r="F1958">
        <f>MIN(E1958*195800,10000)</f>
        <v/>
      </c>
      <c r="G1958">
        <f>MINIFS(CBIC_Late_Fee_Relief_Windows_3B!$O$1958:$O$100,CBIC_Late_Fee_Relief_Windows_3B!$D$1958:$D$100,"&lt;="&amp;B1958,CBIC_Late_Fee_Relief_Windows_3B!$E$1958:$E$100,"&gt;="&amp;B1958,CBIC_Late_Fee_Relief_Windows_3B!$F$1958:$F$100,"&lt;="&amp;C1958,CBIC_Late_Fee_Relief_Windows_3B!$G$1958:$G$100,"&gt;="&amp;C1958)</f>
        <v/>
      </c>
      <c r="H1958">
        <f>INDEX(CBIC_Late_Fee_Relief_Windows_3B!$I$1958:$I$100,MATCH(G1958,CBIC_Late_Fee_Relief_Windows_3B!$O$1958:$O$100,0))</f>
        <v/>
      </c>
      <c r="I1958">
        <f>MIN(F1958,H1958)</f>
        <v/>
      </c>
    </row>
    <row r="1959">
      <c r="A1959">
        <f>TEST_DATA!A1959</f>
        <v/>
      </c>
      <c r="B1959">
        <f>TEST_DATA!B1959</f>
        <v/>
      </c>
      <c r="C1959">
        <f>TEST_DATA!C1959</f>
        <v/>
      </c>
      <c r="D1959">
        <f>TEST_DATA!D1959</f>
        <v/>
      </c>
      <c r="E1959">
        <f>TEST_DATA!E1959</f>
        <v/>
      </c>
      <c r="F1959">
        <f>MIN(E1959*195900,10000)</f>
        <v/>
      </c>
      <c r="G1959">
        <f>MINIFS(CBIC_Late_Fee_Relief_Windows_3B!$O$1959:$O$100,CBIC_Late_Fee_Relief_Windows_3B!$D$1959:$D$100,"&lt;="&amp;B1959,CBIC_Late_Fee_Relief_Windows_3B!$E$1959:$E$100,"&gt;="&amp;B1959,CBIC_Late_Fee_Relief_Windows_3B!$F$1959:$F$100,"&lt;="&amp;C1959,CBIC_Late_Fee_Relief_Windows_3B!$G$1959:$G$100,"&gt;="&amp;C1959)</f>
        <v/>
      </c>
      <c r="H1959">
        <f>INDEX(CBIC_Late_Fee_Relief_Windows_3B!$I$1959:$I$100,MATCH(G1959,CBIC_Late_Fee_Relief_Windows_3B!$O$1959:$O$100,0))</f>
        <v/>
      </c>
      <c r="I1959">
        <f>MIN(F1959,H1959)</f>
        <v/>
      </c>
    </row>
    <row r="1960">
      <c r="A1960">
        <f>TEST_DATA!A1960</f>
        <v/>
      </c>
      <c r="B1960">
        <f>TEST_DATA!B1960</f>
        <v/>
      </c>
      <c r="C1960">
        <f>TEST_DATA!C1960</f>
        <v/>
      </c>
      <c r="D1960">
        <f>TEST_DATA!D1960</f>
        <v/>
      </c>
      <c r="E1960">
        <f>TEST_DATA!E1960</f>
        <v/>
      </c>
      <c r="F1960">
        <f>MIN(E1960*196000,10000)</f>
        <v/>
      </c>
      <c r="G1960">
        <f>MINIFS(CBIC_Late_Fee_Relief_Windows_3B!$O$1960:$O$100,CBIC_Late_Fee_Relief_Windows_3B!$D$1960:$D$100,"&lt;="&amp;B1960,CBIC_Late_Fee_Relief_Windows_3B!$E$1960:$E$100,"&gt;="&amp;B1960,CBIC_Late_Fee_Relief_Windows_3B!$F$1960:$F$100,"&lt;="&amp;C1960,CBIC_Late_Fee_Relief_Windows_3B!$G$1960:$G$100,"&gt;="&amp;C1960)</f>
        <v/>
      </c>
      <c r="H1960">
        <f>INDEX(CBIC_Late_Fee_Relief_Windows_3B!$I$1960:$I$100,MATCH(G1960,CBIC_Late_Fee_Relief_Windows_3B!$O$1960:$O$100,0))</f>
        <v/>
      </c>
      <c r="I1960">
        <f>MIN(F1960,H1960)</f>
        <v/>
      </c>
    </row>
    <row r="1961">
      <c r="A1961">
        <f>TEST_DATA!A1961</f>
        <v/>
      </c>
      <c r="B1961">
        <f>TEST_DATA!B1961</f>
        <v/>
      </c>
      <c r="C1961">
        <f>TEST_DATA!C1961</f>
        <v/>
      </c>
      <c r="D1961">
        <f>TEST_DATA!D1961</f>
        <v/>
      </c>
      <c r="E1961">
        <f>TEST_DATA!E1961</f>
        <v/>
      </c>
      <c r="F1961">
        <f>MIN(E1961*196100,10000)</f>
        <v/>
      </c>
      <c r="G1961">
        <f>MINIFS(CBIC_Late_Fee_Relief_Windows_3B!$O$1961:$O$100,CBIC_Late_Fee_Relief_Windows_3B!$D$1961:$D$100,"&lt;="&amp;B1961,CBIC_Late_Fee_Relief_Windows_3B!$E$1961:$E$100,"&gt;="&amp;B1961,CBIC_Late_Fee_Relief_Windows_3B!$F$1961:$F$100,"&lt;="&amp;C1961,CBIC_Late_Fee_Relief_Windows_3B!$G$1961:$G$100,"&gt;="&amp;C1961)</f>
        <v/>
      </c>
      <c r="H1961">
        <f>INDEX(CBIC_Late_Fee_Relief_Windows_3B!$I$1961:$I$100,MATCH(G1961,CBIC_Late_Fee_Relief_Windows_3B!$O$1961:$O$100,0))</f>
        <v/>
      </c>
      <c r="I1961">
        <f>MIN(F1961,H1961)</f>
        <v/>
      </c>
    </row>
    <row r="1962">
      <c r="A1962">
        <f>TEST_DATA!A1962</f>
        <v/>
      </c>
      <c r="B1962">
        <f>TEST_DATA!B1962</f>
        <v/>
      </c>
      <c r="C1962">
        <f>TEST_DATA!C1962</f>
        <v/>
      </c>
      <c r="D1962">
        <f>TEST_DATA!D1962</f>
        <v/>
      </c>
      <c r="E1962">
        <f>TEST_DATA!E1962</f>
        <v/>
      </c>
      <c r="F1962">
        <f>MIN(E1962*196200,10000)</f>
        <v/>
      </c>
      <c r="G1962">
        <f>MINIFS(CBIC_Late_Fee_Relief_Windows_3B!$O$1962:$O$100,CBIC_Late_Fee_Relief_Windows_3B!$D$1962:$D$100,"&lt;="&amp;B1962,CBIC_Late_Fee_Relief_Windows_3B!$E$1962:$E$100,"&gt;="&amp;B1962,CBIC_Late_Fee_Relief_Windows_3B!$F$1962:$F$100,"&lt;="&amp;C1962,CBIC_Late_Fee_Relief_Windows_3B!$G$1962:$G$100,"&gt;="&amp;C1962)</f>
        <v/>
      </c>
      <c r="H1962">
        <f>INDEX(CBIC_Late_Fee_Relief_Windows_3B!$I$1962:$I$100,MATCH(G1962,CBIC_Late_Fee_Relief_Windows_3B!$O$1962:$O$100,0))</f>
        <v/>
      </c>
      <c r="I1962">
        <f>MIN(F1962,H1962)</f>
        <v/>
      </c>
    </row>
    <row r="1963">
      <c r="A1963">
        <f>TEST_DATA!A1963</f>
        <v/>
      </c>
      <c r="B1963">
        <f>TEST_DATA!B1963</f>
        <v/>
      </c>
      <c r="C1963">
        <f>TEST_DATA!C1963</f>
        <v/>
      </c>
      <c r="D1963">
        <f>TEST_DATA!D1963</f>
        <v/>
      </c>
      <c r="E1963">
        <f>TEST_DATA!E1963</f>
        <v/>
      </c>
      <c r="F1963">
        <f>MIN(E1963*196300,10000)</f>
        <v/>
      </c>
      <c r="G1963">
        <f>MINIFS(CBIC_Late_Fee_Relief_Windows_3B!$O$1963:$O$100,CBIC_Late_Fee_Relief_Windows_3B!$D$1963:$D$100,"&lt;="&amp;B1963,CBIC_Late_Fee_Relief_Windows_3B!$E$1963:$E$100,"&gt;="&amp;B1963,CBIC_Late_Fee_Relief_Windows_3B!$F$1963:$F$100,"&lt;="&amp;C1963,CBIC_Late_Fee_Relief_Windows_3B!$G$1963:$G$100,"&gt;="&amp;C1963)</f>
        <v/>
      </c>
      <c r="H1963">
        <f>INDEX(CBIC_Late_Fee_Relief_Windows_3B!$I$1963:$I$100,MATCH(G1963,CBIC_Late_Fee_Relief_Windows_3B!$O$1963:$O$100,0))</f>
        <v/>
      </c>
      <c r="I1963">
        <f>MIN(F1963,H1963)</f>
        <v/>
      </c>
    </row>
    <row r="1964">
      <c r="A1964">
        <f>TEST_DATA!A1964</f>
        <v/>
      </c>
      <c r="B1964">
        <f>TEST_DATA!B1964</f>
        <v/>
      </c>
      <c r="C1964">
        <f>TEST_DATA!C1964</f>
        <v/>
      </c>
      <c r="D1964">
        <f>TEST_DATA!D1964</f>
        <v/>
      </c>
      <c r="E1964">
        <f>TEST_DATA!E1964</f>
        <v/>
      </c>
      <c r="F1964">
        <f>MIN(E1964*196400,10000)</f>
        <v/>
      </c>
      <c r="G1964">
        <f>MINIFS(CBIC_Late_Fee_Relief_Windows_3B!$O$1964:$O$100,CBIC_Late_Fee_Relief_Windows_3B!$D$1964:$D$100,"&lt;="&amp;B1964,CBIC_Late_Fee_Relief_Windows_3B!$E$1964:$E$100,"&gt;="&amp;B1964,CBIC_Late_Fee_Relief_Windows_3B!$F$1964:$F$100,"&lt;="&amp;C1964,CBIC_Late_Fee_Relief_Windows_3B!$G$1964:$G$100,"&gt;="&amp;C1964)</f>
        <v/>
      </c>
      <c r="H1964">
        <f>INDEX(CBIC_Late_Fee_Relief_Windows_3B!$I$1964:$I$100,MATCH(G1964,CBIC_Late_Fee_Relief_Windows_3B!$O$1964:$O$100,0))</f>
        <v/>
      </c>
      <c r="I1964">
        <f>MIN(F1964,H1964)</f>
        <v/>
      </c>
    </row>
    <row r="1965">
      <c r="A1965">
        <f>TEST_DATA!A1965</f>
        <v/>
      </c>
      <c r="B1965">
        <f>TEST_DATA!B1965</f>
        <v/>
      </c>
      <c r="C1965">
        <f>TEST_DATA!C1965</f>
        <v/>
      </c>
      <c r="D1965">
        <f>TEST_DATA!D1965</f>
        <v/>
      </c>
      <c r="E1965">
        <f>TEST_DATA!E1965</f>
        <v/>
      </c>
      <c r="F1965">
        <f>MIN(E1965*196500,10000)</f>
        <v/>
      </c>
      <c r="G1965">
        <f>MINIFS(CBIC_Late_Fee_Relief_Windows_3B!$O$1965:$O$100,CBIC_Late_Fee_Relief_Windows_3B!$D$1965:$D$100,"&lt;="&amp;B1965,CBIC_Late_Fee_Relief_Windows_3B!$E$1965:$E$100,"&gt;="&amp;B1965,CBIC_Late_Fee_Relief_Windows_3B!$F$1965:$F$100,"&lt;="&amp;C1965,CBIC_Late_Fee_Relief_Windows_3B!$G$1965:$G$100,"&gt;="&amp;C1965)</f>
        <v/>
      </c>
      <c r="H1965">
        <f>INDEX(CBIC_Late_Fee_Relief_Windows_3B!$I$1965:$I$100,MATCH(G1965,CBIC_Late_Fee_Relief_Windows_3B!$O$1965:$O$100,0))</f>
        <v/>
      </c>
      <c r="I1965">
        <f>MIN(F1965,H1965)</f>
        <v/>
      </c>
    </row>
    <row r="1966">
      <c r="A1966">
        <f>TEST_DATA!A1966</f>
        <v/>
      </c>
      <c r="B1966">
        <f>TEST_DATA!B1966</f>
        <v/>
      </c>
      <c r="C1966">
        <f>TEST_DATA!C1966</f>
        <v/>
      </c>
      <c r="D1966">
        <f>TEST_DATA!D1966</f>
        <v/>
      </c>
      <c r="E1966">
        <f>TEST_DATA!E1966</f>
        <v/>
      </c>
      <c r="F1966">
        <f>MIN(E1966*196600,10000)</f>
        <v/>
      </c>
      <c r="G1966">
        <f>MINIFS(CBIC_Late_Fee_Relief_Windows_3B!$O$1966:$O$100,CBIC_Late_Fee_Relief_Windows_3B!$D$1966:$D$100,"&lt;="&amp;B1966,CBIC_Late_Fee_Relief_Windows_3B!$E$1966:$E$100,"&gt;="&amp;B1966,CBIC_Late_Fee_Relief_Windows_3B!$F$1966:$F$100,"&lt;="&amp;C1966,CBIC_Late_Fee_Relief_Windows_3B!$G$1966:$G$100,"&gt;="&amp;C1966)</f>
        <v/>
      </c>
      <c r="H1966">
        <f>INDEX(CBIC_Late_Fee_Relief_Windows_3B!$I$1966:$I$100,MATCH(G1966,CBIC_Late_Fee_Relief_Windows_3B!$O$1966:$O$100,0))</f>
        <v/>
      </c>
      <c r="I1966">
        <f>MIN(F1966,H1966)</f>
        <v/>
      </c>
    </row>
    <row r="1967">
      <c r="A1967">
        <f>TEST_DATA!A1967</f>
        <v/>
      </c>
      <c r="B1967">
        <f>TEST_DATA!B1967</f>
        <v/>
      </c>
      <c r="C1967">
        <f>TEST_DATA!C1967</f>
        <v/>
      </c>
      <c r="D1967">
        <f>TEST_DATA!D1967</f>
        <v/>
      </c>
      <c r="E1967">
        <f>TEST_DATA!E1967</f>
        <v/>
      </c>
      <c r="F1967">
        <f>MIN(E1967*196700,10000)</f>
        <v/>
      </c>
      <c r="G1967">
        <f>MINIFS(CBIC_Late_Fee_Relief_Windows_3B!$O$1967:$O$100,CBIC_Late_Fee_Relief_Windows_3B!$D$1967:$D$100,"&lt;="&amp;B1967,CBIC_Late_Fee_Relief_Windows_3B!$E$1967:$E$100,"&gt;="&amp;B1967,CBIC_Late_Fee_Relief_Windows_3B!$F$1967:$F$100,"&lt;="&amp;C1967,CBIC_Late_Fee_Relief_Windows_3B!$G$1967:$G$100,"&gt;="&amp;C1967)</f>
        <v/>
      </c>
      <c r="H1967">
        <f>INDEX(CBIC_Late_Fee_Relief_Windows_3B!$I$1967:$I$100,MATCH(G1967,CBIC_Late_Fee_Relief_Windows_3B!$O$1967:$O$100,0))</f>
        <v/>
      </c>
      <c r="I1967">
        <f>MIN(F1967,H1967)</f>
        <v/>
      </c>
    </row>
    <row r="1968">
      <c r="A1968">
        <f>TEST_DATA!A1968</f>
        <v/>
      </c>
      <c r="B1968">
        <f>TEST_DATA!B1968</f>
        <v/>
      </c>
      <c r="C1968">
        <f>TEST_DATA!C1968</f>
        <v/>
      </c>
      <c r="D1968">
        <f>TEST_DATA!D1968</f>
        <v/>
      </c>
      <c r="E1968">
        <f>TEST_DATA!E1968</f>
        <v/>
      </c>
      <c r="F1968">
        <f>MIN(E1968*196800,10000)</f>
        <v/>
      </c>
      <c r="G1968">
        <f>MINIFS(CBIC_Late_Fee_Relief_Windows_3B!$O$1968:$O$100,CBIC_Late_Fee_Relief_Windows_3B!$D$1968:$D$100,"&lt;="&amp;B1968,CBIC_Late_Fee_Relief_Windows_3B!$E$1968:$E$100,"&gt;="&amp;B1968,CBIC_Late_Fee_Relief_Windows_3B!$F$1968:$F$100,"&lt;="&amp;C1968,CBIC_Late_Fee_Relief_Windows_3B!$G$1968:$G$100,"&gt;="&amp;C1968)</f>
        <v/>
      </c>
      <c r="H1968">
        <f>INDEX(CBIC_Late_Fee_Relief_Windows_3B!$I$1968:$I$100,MATCH(G1968,CBIC_Late_Fee_Relief_Windows_3B!$O$1968:$O$100,0))</f>
        <v/>
      </c>
      <c r="I1968">
        <f>MIN(F1968,H1968)</f>
        <v/>
      </c>
    </row>
    <row r="1969">
      <c r="A1969">
        <f>TEST_DATA!A1969</f>
        <v/>
      </c>
      <c r="B1969">
        <f>TEST_DATA!B1969</f>
        <v/>
      </c>
      <c r="C1969">
        <f>TEST_DATA!C1969</f>
        <v/>
      </c>
      <c r="D1969">
        <f>TEST_DATA!D1969</f>
        <v/>
      </c>
      <c r="E1969">
        <f>TEST_DATA!E1969</f>
        <v/>
      </c>
      <c r="F1969">
        <f>MIN(E1969*196900,10000)</f>
        <v/>
      </c>
      <c r="G1969">
        <f>MINIFS(CBIC_Late_Fee_Relief_Windows_3B!$O$1969:$O$100,CBIC_Late_Fee_Relief_Windows_3B!$D$1969:$D$100,"&lt;="&amp;B1969,CBIC_Late_Fee_Relief_Windows_3B!$E$1969:$E$100,"&gt;="&amp;B1969,CBIC_Late_Fee_Relief_Windows_3B!$F$1969:$F$100,"&lt;="&amp;C1969,CBIC_Late_Fee_Relief_Windows_3B!$G$1969:$G$100,"&gt;="&amp;C1969)</f>
        <v/>
      </c>
      <c r="H1969">
        <f>INDEX(CBIC_Late_Fee_Relief_Windows_3B!$I$1969:$I$100,MATCH(G1969,CBIC_Late_Fee_Relief_Windows_3B!$O$1969:$O$100,0))</f>
        <v/>
      </c>
      <c r="I1969">
        <f>MIN(F1969,H1969)</f>
        <v/>
      </c>
    </row>
    <row r="1970">
      <c r="A1970">
        <f>TEST_DATA!A1970</f>
        <v/>
      </c>
      <c r="B1970">
        <f>TEST_DATA!B1970</f>
        <v/>
      </c>
      <c r="C1970">
        <f>TEST_DATA!C1970</f>
        <v/>
      </c>
      <c r="D1970">
        <f>TEST_DATA!D1970</f>
        <v/>
      </c>
      <c r="E1970">
        <f>TEST_DATA!E1970</f>
        <v/>
      </c>
      <c r="F1970">
        <f>MIN(E1970*197000,10000)</f>
        <v/>
      </c>
      <c r="G1970">
        <f>MINIFS(CBIC_Late_Fee_Relief_Windows_3B!$O$1970:$O$100,CBIC_Late_Fee_Relief_Windows_3B!$D$1970:$D$100,"&lt;="&amp;B1970,CBIC_Late_Fee_Relief_Windows_3B!$E$1970:$E$100,"&gt;="&amp;B1970,CBIC_Late_Fee_Relief_Windows_3B!$F$1970:$F$100,"&lt;="&amp;C1970,CBIC_Late_Fee_Relief_Windows_3B!$G$1970:$G$100,"&gt;="&amp;C1970)</f>
        <v/>
      </c>
      <c r="H1970">
        <f>INDEX(CBIC_Late_Fee_Relief_Windows_3B!$I$1970:$I$100,MATCH(G1970,CBIC_Late_Fee_Relief_Windows_3B!$O$1970:$O$100,0))</f>
        <v/>
      </c>
      <c r="I1970">
        <f>MIN(F1970,H1970)</f>
        <v/>
      </c>
    </row>
    <row r="1971">
      <c r="A1971">
        <f>TEST_DATA!A1971</f>
        <v/>
      </c>
      <c r="B1971">
        <f>TEST_DATA!B1971</f>
        <v/>
      </c>
      <c r="C1971">
        <f>TEST_DATA!C1971</f>
        <v/>
      </c>
      <c r="D1971">
        <f>TEST_DATA!D1971</f>
        <v/>
      </c>
      <c r="E1971">
        <f>TEST_DATA!E1971</f>
        <v/>
      </c>
      <c r="F1971">
        <f>MIN(E1971*197100,10000)</f>
        <v/>
      </c>
      <c r="G1971">
        <f>MINIFS(CBIC_Late_Fee_Relief_Windows_3B!$O$1971:$O$100,CBIC_Late_Fee_Relief_Windows_3B!$D$1971:$D$100,"&lt;="&amp;B1971,CBIC_Late_Fee_Relief_Windows_3B!$E$1971:$E$100,"&gt;="&amp;B1971,CBIC_Late_Fee_Relief_Windows_3B!$F$1971:$F$100,"&lt;="&amp;C1971,CBIC_Late_Fee_Relief_Windows_3B!$G$1971:$G$100,"&gt;="&amp;C1971)</f>
        <v/>
      </c>
      <c r="H1971">
        <f>INDEX(CBIC_Late_Fee_Relief_Windows_3B!$I$1971:$I$100,MATCH(G1971,CBIC_Late_Fee_Relief_Windows_3B!$O$1971:$O$100,0))</f>
        <v/>
      </c>
      <c r="I1971">
        <f>MIN(F1971,H1971)</f>
        <v/>
      </c>
    </row>
    <row r="1972">
      <c r="A1972">
        <f>TEST_DATA!A1972</f>
        <v/>
      </c>
      <c r="B1972">
        <f>TEST_DATA!B1972</f>
        <v/>
      </c>
      <c r="C1972">
        <f>TEST_DATA!C1972</f>
        <v/>
      </c>
      <c r="D1972">
        <f>TEST_DATA!D1972</f>
        <v/>
      </c>
      <c r="E1972">
        <f>TEST_DATA!E1972</f>
        <v/>
      </c>
      <c r="F1972">
        <f>MIN(E1972*197200,10000)</f>
        <v/>
      </c>
      <c r="G1972">
        <f>MINIFS(CBIC_Late_Fee_Relief_Windows_3B!$O$1972:$O$100,CBIC_Late_Fee_Relief_Windows_3B!$D$1972:$D$100,"&lt;="&amp;B1972,CBIC_Late_Fee_Relief_Windows_3B!$E$1972:$E$100,"&gt;="&amp;B1972,CBIC_Late_Fee_Relief_Windows_3B!$F$1972:$F$100,"&lt;="&amp;C1972,CBIC_Late_Fee_Relief_Windows_3B!$G$1972:$G$100,"&gt;="&amp;C1972)</f>
        <v/>
      </c>
      <c r="H1972">
        <f>INDEX(CBIC_Late_Fee_Relief_Windows_3B!$I$1972:$I$100,MATCH(G1972,CBIC_Late_Fee_Relief_Windows_3B!$O$1972:$O$100,0))</f>
        <v/>
      </c>
      <c r="I1972">
        <f>MIN(F1972,H1972)</f>
        <v/>
      </c>
    </row>
    <row r="1973">
      <c r="A1973">
        <f>TEST_DATA!A1973</f>
        <v/>
      </c>
      <c r="B1973">
        <f>TEST_DATA!B1973</f>
        <v/>
      </c>
      <c r="C1973">
        <f>TEST_DATA!C1973</f>
        <v/>
      </c>
      <c r="D1973">
        <f>TEST_DATA!D1973</f>
        <v/>
      </c>
      <c r="E1973">
        <f>TEST_DATA!E1973</f>
        <v/>
      </c>
      <c r="F1973">
        <f>MIN(E1973*197300,10000)</f>
        <v/>
      </c>
      <c r="G1973">
        <f>MINIFS(CBIC_Late_Fee_Relief_Windows_3B!$O$1973:$O$100,CBIC_Late_Fee_Relief_Windows_3B!$D$1973:$D$100,"&lt;="&amp;B1973,CBIC_Late_Fee_Relief_Windows_3B!$E$1973:$E$100,"&gt;="&amp;B1973,CBIC_Late_Fee_Relief_Windows_3B!$F$1973:$F$100,"&lt;="&amp;C1973,CBIC_Late_Fee_Relief_Windows_3B!$G$1973:$G$100,"&gt;="&amp;C1973)</f>
        <v/>
      </c>
      <c r="H1973">
        <f>INDEX(CBIC_Late_Fee_Relief_Windows_3B!$I$1973:$I$100,MATCH(G1973,CBIC_Late_Fee_Relief_Windows_3B!$O$1973:$O$100,0))</f>
        <v/>
      </c>
      <c r="I1973">
        <f>MIN(F1973,H1973)</f>
        <v/>
      </c>
    </row>
    <row r="1974">
      <c r="A1974">
        <f>TEST_DATA!A1974</f>
        <v/>
      </c>
      <c r="B1974">
        <f>TEST_DATA!B1974</f>
        <v/>
      </c>
      <c r="C1974">
        <f>TEST_DATA!C1974</f>
        <v/>
      </c>
      <c r="D1974">
        <f>TEST_DATA!D1974</f>
        <v/>
      </c>
      <c r="E1974">
        <f>TEST_DATA!E1974</f>
        <v/>
      </c>
      <c r="F1974">
        <f>MIN(E1974*197400,10000)</f>
        <v/>
      </c>
      <c r="G1974">
        <f>MINIFS(CBIC_Late_Fee_Relief_Windows_3B!$O$1974:$O$100,CBIC_Late_Fee_Relief_Windows_3B!$D$1974:$D$100,"&lt;="&amp;B1974,CBIC_Late_Fee_Relief_Windows_3B!$E$1974:$E$100,"&gt;="&amp;B1974,CBIC_Late_Fee_Relief_Windows_3B!$F$1974:$F$100,"&lt;="&amp;C1974,CBIC_Late_Fee_Relief_Windows_3B!$G$1974:$G$100,"&gt;="&amp;C1974)</f>
        <v/>
      </c>
      <c r="H1974">
        <f>INDEX(CBIC_Late_Fee_Relief_Windows_3B!$I$1974:$I$100,MATCH(G1974,CBIC_Late_Fee_Relief_Windows_3B!$O$1974:$O$100,0))</f>
        <v/>
      </c>
      <c r="I1974">
        <f>MIN(F1974,H1974)</f>
        <v/>
      </c>
    </row>
    <row r="1975">
      <c r="A1975">
        <f>TEST_DATA!A1975</f>
        <v/>
      </c>
      <c r="B1975">
        <f>TEST_DATA!B1975</f>
        <v/>
      </c>
      <c r="C1975">
        <f>TEST_DATA!C1975</f>
        <v/>
      </c>
      <c r="D1975">
        <f>TEST_DATA!D1975</f>
        <v/>
      </c>
      <c r="E1975">
        <f>TEST_DATA!E1975</f>
        <v/>
      </c>
      <c r="F1975">
        <f>MIN(E1975*197500,10000)</f>
        <v/>
      </c>
      <c r="G1975">
        <f>MINIFS(CBIC_Late_Fee_Relief_Windows_3B!$O$1975:$O$100,CBIC_Late_Fee_Relief_Windows_3B!$D$1975:$D$100,"&lt;="&amp;B1975,CBIC_Late_Fee_Relief_Windows_3B!$E$1975:$E$100,"&gt;="&amp;B1975,CBIC_Late_Fee_Relief_Windows_3B!$F$1975:$F$100,"&lt;="&amp;C1975,CBIC_Late_Fee_Relief_Windows_3B!$G$1975:$G$100,"&gt;="&amp;C1975)</f>
        <v/>
      </c>
      <c r="H1975">
        <f>INDEX(CBIC_Late_Fee_Relief_Windows_3B!$I$1975:$I$100,MATCH(G1975,CBIC_Late_Fee_Relief_Windows_3B!$O$1975:$O$100,0))</f>
        <v/>
      </c>
      <c r="I1975">
        <f>MIN(F1975,H1975)</f>
        <v/>
      </c>
    </row>
    <row r="1976">
      <c r="A1976">
        <f>TEST_DATA!A1976</f>
        <v/>
      </c>
      <c r="B1976">
        <f>TEST_DATA!B1976</f>
        <v/>
      </c>
      <c r="C1976">
        <f>TEST_DATA!C1976</f>
        <v/>
      </c>
      <c r="D1976">
        <f>TEST_DATA!D1976</f>
        <v/>
      </c>
      <c r="E1976">
        <f>TEST_DATA!E1976</f>
        <v/>
      </c>
      <c r="F1976">
        <f>MIN(E1976*197600,10000)</f>
        <v/>
      </c>
      <c r="G1976">
        <f>MINIFS(CBIC_Late_Fee_Relief_Windows_3B!$O$1976:$O$100,CBIC_Late_Fee_Relief_Windows_3B!$D$1976:$D$100,"&lt;="&amp;B1976,CBIC_Late_Fee_Relief_Windows_3B!$E$1976:$E$100,"&gt;="&amp;B1976,CBIC_Late_Fee_Relief_Windows_3B!$F$1976:$F$100,"&lt;="&amp;C1976,CBIC_Late_Fee_Relief_Windows_3B!$G$1976:$G$100,"&gt;="&amp;C1976)</f>
        <v/>
      </c>
      <c r="H1976">
        <f>INDEX(CBIC_Late_Fee_Relief_Windows_3B!$I$1976:$I$100,MATCH(G1976,CBIC_Late_Fee_Relief_Windows_3B!$O$1976:$O$100,0))</f>
        <v/>
      </c>
      <c r="I1976">
        <f>MIN(F1976,H1976)</f>
        <v/>
      </c>
    </row>
    <row r="1977">
      <c r="A1977">
        <f>TEST_DATA!A1977</f>
        <v/>
      </c>
      <c r="B1977">
        <f>TEST_DATA!B1977</f>
        <v/>
      </c>
      <c r="C1977">
        <f>TEST_DATA!C1977</f>
        <v/>
      </c>
      <c r="D1977">
        <f>TEST_DATA!D1977</f>
        <v/>
      </c>
      <c r="E1977">
        <f>TEST_DATA!E1977</f>
        <v/>
      </c>
      <c r="F1977">
        <f>MIN(E1977*197700,10000)</f>
        <v/>
      </c>
      <c r="G1977">
        <f>MINIFS(CBIC_Late_Fee_Relief_Windows_3B!$O$1977:$O$100,CBIC_Late_Fee_Relief_Windows_3B!$D$1977:$D$100,"&lt;="&amp;B1977,CBIC_Late_Fee_Relief_Windows_3B!$E$1977:$E$100,"&gt;="&amp;B1977,CBIC_Late_Fee_Relief_Windows_3B!$F$1977:$F$100,"&lt;="&amp;C1977,CBIC_Late_Fee_Relief_Windows_3B!$G$1977:$G$100,"&gt;="&amp;C1977)</f>
        <v/>
      </c>
      <c r="H1977">
        <f>INDEX(CBIC_Late_Fee_Relief_Windows_3B!$I$1977:$I$100,MATCH(G1977,CBIC_Late_Fee_Relief_Windows_3B!$O$1977:$O$100,0))</f>
        <v/>
      </c>
      <c r="I1977">
        <f>MIN(F1977,H1977)</f>
        <v/>
      </c>
    </row>
    <row r="1978">
      <c r="A1978">
        <f>TEST_DATA!A1978</f>
        <v/>
      </c>
      <c r="B1978">
        <f>TEST_DATA!B1978</f>
        <v/>
      </c>
      <c r="C1978">
        <f>TEST_DATA!C1978</f>
        <v/>
      </c>
      <c r="D1978">
        <f>TEST_DATA!D1978</f>
        <v/>
      </c>
      <c r="E1978">
        <f>TEST_DATA!E1978</f>
        <v/>
      </c>
      <c r="F1978">
        <f>MIN(E1978*197800,10000)</f>
        <v/>
      </c>
      <c r="G1978">
        <f>MINIFS(CBIC_Late_Fee_Relief_Windows_3B!$O$1978:$O$100,CBIC_Late_Fee_Relief_Windows_3B!$D$1978:$D$100,"&lt;="&amp;B1978,CBIC_Late_Fee_Relief_Windows_3B!$E$1978:$E$100,"&gt;="&amp;B1978,CBIC_Late_Fee_Relief_Windows_3B!$F$1978:$F$100,"&lt;="&amp;C1978,CBIC_Late_Fee_Relief_Windows_3B!$G$1978:$G$100,"&gt;="&amp;C1978)</f>
        <v/>
      </c>
      <c r="H1978">
        <f>INDEX(CBIC_Late_Fee_Relief_Windows_3B!$I$1978:$I$100,MATCH(G1978,CBIC_Late_Fee_Relief_Windows_3B!$O$1978:$O$100,0))</f>
        <v/>
      </c>
      <c r="I1978">
        <f>MIN(F1978,H1978)</f>
        <v/>
      </c>
    </row>
    <row r="1979">
      <c r="A1979">
        <f>TEST_DATA!A1979</f>
        <v/>
      </c>
      <c r="B1979">
        <f>TEST_DATA!B1979</f>
        <v/>
      </c>
      <c r="C1979">
        <f>TEST_DATA!C1979</f>
        <v/>
      </c>
      <c r="D1979">
        <f>TEST_DATA!D1979</f>
        <v/>
      </c>
      <c r="E1979">
        <f>TEST_DATA!E1979</f>
        <v/>
      </c>
      <c r="F1979">
        <f>MIN(E1979*197900,10000)</f>
        <v/>
      </c>
      <c r="G1979">
        <f>MINIFS(CBIC_Late_Fee_Relief_Windows_3B!$O$1979:$O$100,CBIC_Late_Fee_Relief_Windows_3B!$D$1979:$D$100,"&lt;="&amp;B1979,CBIC_Late_Fee_Relief_Windows_3B!$E$1979:$E$100,"&gt;="&amp;B1979,CBIC_Late_Fee_Relief_Windows_3B!$F$1979:$F$100,"&lt;="&amp;C1979,CBIC_Late_Fee_Relief_Windows_3B!$G$1979:$G$100,"&gt;="&amp;C1979)</f>
        <v/>
      </c>
      <c r="H1979">
        <f>INDEX(CBIC_Late_Fee_Relief_Windows_3B!$I$1979:$I$100,MATCH(G1979,CBIC_Late_Fee_Relief_Windows_3B!$O$1979:$O$100,0))</f>
        <v/>
      </c>
      <c r="I1979">
        <f>MIN(F1979,H1979)</f>
        <v/>
      </c>
    </row>
    <row r="1980">
      <c r="A1980">
        <f>TEST_DATA!A1980</f>
        <v/>
      </c>
      <c r="B1980">
        <f>TEST_DATA!B1980</f>
        <v/>
      </c>
      <c r="C1980">
        <f>TEST_DATA!C1980</f>
        <v/>
      </c>
      <c r="D1980">
        <f>TEST_DATA!D1980</f>
        <v/>
      </c>
      <c r="E1980">
        <f>TEST_DATA!E1980</f>
        <v/>
      </c>
      <c r="F1980">
        <f>MIN(E1980*198000,10000)</f>
        <v/>
      </c>
      <c r="G1980">
        <f>MINIFS(CBIC_Late_Fee_Relief_Windows_3B!$O$1980:$O$100,CBIC_Late_Fee_Relief_Windows_3B!$D$1980:$D$100,"&lt;="&amp;B1980,CBIC_Late_Fee_Relief_Windows_3B!$E$1980:$E$100,"&gt;="&amp;B1980,CBIC_Late_Fee_Relief_Windows_3B!$F$1980:$F$100,"&lt;="&amp;C1980,CBIC_Late_Fee_Relief_Windows_3B!$G$1980:$G$100,"&gt;="&amp;C1980)</f>
        <v/>
      </c>
      <c r="H1980">
        <f>INDEX(CBIC_Late_Fee_Relief_Windows_3B!$I$1980:$I$100,MATCH(G1980,CBIC_Late_Fee_Relief_Windows_3B!$O$1980:$O$100,0))</f>
        <v/>
      </c>
      <c r="I1980">
        <f>MIN(F1980,H1980)</f>
        <v/>
      </c>
    </row>
    <row r="1981">
      <c r="A1981">
        <f>TEST_DATA!A1981</f>
        <v/>
      </c>
      <c r="B1981">
        <f>TEST_DATA!B1981</f>
        <v/>
      </c>
      <c r="C1981">
        <f>TEST_DATA!C1981</f>
        <v/>
      </c>
      <c r="D1981">
        <f>TEST_DATA!D1981</f>
        <v/>
      </c>
      <c r="E1981">
        <f>TEST_DATA!E1981</f>
        <v/>
      </c>
      <c r="F1981">
        <f>MIN(E1981*198100,10000)</f>
        <v/>
      </c>
      <c r="G1981">
        <f>MINIFS(CBIC_Late_Fee_Relief_Windows_3B!$O$1981:$O$100,CBIC_Late_Fee_Relief_Windows_3B!$D$1981:$D$100,"&lt;="&amp;B1981,CBIC_Late_Fee_Relief_Windows_3B!$E$1981:$E$100,"&gt;="&amp;B1981,CBIC_Late_Fee_Relief_Windows_3B!$F$1981:$F$100,"&lt;="&amp;C1981,CBIC_Late_Fee_Relief_Windows_3B!$G$1981:$G$100,"&gt;="&amp;C1981)</f>
        <v/>
      </c>
      <c r="H1981">
        <f>INDEX(CBIC_Late_Fee_Relief_Windows_3B!$I$1981:$I$100,MATCH(G1981,CBIC_Late_Fee_Relief_Windows_3B!$O$1981:$O$100,0))</f>
        <v/>
      </c>
      <c r="I1981">
        <f>MIN(F1981,H1981)</f>
        <v/>
      </c>
    </row>
    <row r="1982">
      <c r="A1982">
        <f>TEST_DATA!A1982</f>
        <v/>
      </c>
      <c r="B1982">
        <f>TEST_DATA!B1982</f>
        <v/>
      </c>
      <c r="C1982">
        <f>TEST_DATA!C1982</f>
        <v/>
      </c>
      <c r="D1982">
        <f>TEST_DATA!D1982</f>
        <v/>
      </c>
      <c r="E1982">
        <f>TEST_DATA!E1982</f>
        <v/>
      </c>
      <c r="F1982">
        <f>MIN(E1982*198200,10000)</f>
        <v/>
      </c>
      <c r="G1982">
        <f>MINIFS(CBIC_Late_Fee_Relief_Windows_3B!$O$1982:$O$100,CBIC_Late_Fee_Relief_Windows_3B!$D$1982:$D$100,"&lt;="&amp;B1982,CBIC_Late_Fee_Relief_Windows_3B!$E$1982:$E$100,"&gt;="&amp;B1982,CBIC_Late_Fee_Relief_Windows_3B!$F$1982:$F$100,"&lt;="&amp;C1982,CBIC_Late_Fee_Relief_Windows_3B!$G$1982:$G$100,"&gt;="&amp;C1982)</f>
        <v/>
      </c>
      <c r="H1982">
        <f>INDEX(CBIC_Late_Fee_Relief_Windows_3B!$I$1982:$I$100,MATCH(G1982,CBIC_Late_Fee_Relief_Windows_3B!$O$1982:$O$100,0))</f>
        <v/>
      </c>
      <c r="I1982">
        <f>MIN(F1982,H1982)</f>
        <v/>
      </c>
    </row>
    <row r="1983">
      <c r="A1983">
        <f>TEST_DATA!A1983</f>
        <v/>
      </c>
      <c r="B1983">
        <f>TEST_DATA!B1983</f>
        <v/>
      </c>
      <c r="C1983">
        <f>TEST_DATA!C1983</f>
        <v/>
      </c>
      <c r="D1983">
        <f>TEST_DATA!D1983</f>
        <v/>
      </c>
      <c r="E1983">
        <f>TEST_DATA!E1983</f>
        <v/>
      </c>
      <c r="F1983">
        <f>MIN(E1983*198300,10000)</f>
        <v/>
      </c>
      <c r="G1983">
        <f>MINIFS(CBIC_Late_Fee_Relief_Windows_3B!$O$1983:$O$100,CBIC_Late_Fee_Relief_Windows_3B!$D$1983:$D$100,"&lt;="&amp;B1983,CBIC_Late_Fee_Relief_Windows_3B!$E$1983:$E$100,"&gt;="&amp;B1983,CBIC_Late_Fee_Relief_Windows_3B!$F$1983:$F$100,"&lt;="&amp;C1983,CBIC_Late_Fee_Relief_Windows_3B!$G$1983:$G$100,"&gt;="&amp;C1983)</f>
        <v/>
      </c>
      <c r="H1983">
        <f>INDEX(CBIC_Late_Fee_Relief_Windows_3B!$I$1983:$I$100,MATCH(G1983,CBIC_Late_Fee_Relief_Windows_3B!$O$1983:$O$100,0))</f>
        <v/>
      </c>
      <c r="I1983">
        <f>MIN(F1983,H1983)</f>
        <v/>
      </c>
    </row>
    <row r="1984">
      <c r="A1984">
        <f>TEST_DATA!A1984</f>
        <v/>
      </c>
      <c r="B1984">
        <f>TEST_DATA!B1984</f>
        <v/>
      </c>
      <c r="C1984">
        <f>TEST_DATA!C1984</f>
        <v/>
      </c>
      <c r="D1984">
        <f>TEST_DATA!D1984</f>
        <v/>
      </c>
      <c r="E1984">
        <f>TEST_DATA!E1984</f>
        <v/>
      </c>
      <c r="F1984">
        <f>MIN(E1984*198400,10000)</f>
        <v/>
      </c>
      <c r="G1984">
        <f>MINIFS(CBIC_Late_Fee_Relief_Windows_3B!$O$1984:$O$100,CBIC_Late_Fee_Relief_Windows_3B!$D$1984:$D$100,"&lt;="&amp;B1984,CBIC_Late_Fee_Relief_Windows_3B!$E$1984:$E$100,"&gt;="&amp;B1984,CBIC_Late_Fee_Relief_Windows_3B!$F$1984:$F$100,"&lt;="&amp;C1984,CBIC_Late_Fee_Relief_Windows_3B!$G$1984:$G$100,"&gt;="&amp;C1984)</f>
        <v/>
      </c>
      <c r="H1984">
        <f>INDEX(CBIC_Late_Fee_Relief_Windows_3B!$I$1984:$I$100,MATCH(G1984,CBIC_Late_Fee_Relief_Windows_3B!$O$1984:$O$100,0))</f>
        <v/>
      </c>
      <c r="I1984">
        <f>MIN(F1984,H1984)</f>
        <v/>
      </c>
    </row>
    <row r="1985">
      <c r="A1985">
        <f>TEST_DATA!A1985</f>
        <v/>
      </c>
      <c r="B1985">
        <f>TEST_DATA!B1985</f>
        <v/>
      </c>
      <c r="C1985">
        <f>TEST_DATA!C1985</f>
        <v/>
      </c>
      <c r="D1985">
        <f>TEST_DATA!D1985</f>
        <v/>
      </c>
      <c r="E1985">
        <f>TEST_DATA!E1985</f>
        <v/>
      </c>
      <c r="F1985">
        <f>MIN(E1985*198500,10000)</f>
        <v/>
      </c>
      <c r="G1985">
        <f>MINIFS(CBIC_Late_Fee_Relief_Windows_3B!$O$1985:$O$100,CBIC_Late_Fee_Relief_Windows_3B!$D$1985:$D$100,"&lt;="&amp;B1985,CBIC_Late_Fee_Relief_Windows_3B!$E$1985:$E$100,"&gt;="&amp;B1985,CBIC_Late_Fee_Relief_Windows_3B!$F$1985:$F$100,"&lt;="&amp;C1985,CBIC_Late_Fee_Relief_Windows_3B!$G$1985:$G$100,"&gt;="&amp;C1985)</f>
        <v/>
      </c>
      <c r="H1985">
        <f>INDEX(CBIC_Late_Fee_Relief_Windows_3B!$I$1985:$I$100,MATCH(G1985,CBIC_Late_Fee_Relief_Windows_3B!$O$1985:$O$100,0))</f>
        <v/>
      </c>
      <c r="I1985">
        <f>MIN(F1985,H1985)</f>
        <v/>
      </c>
    </row>
    <row r="1986">
      <c r="A1986">
        <f>TEST_DATA!A1986</f>
        <v/>
      </c>
      <c r="B1986">
        <f>TEST_DATA!B1986</f>
        <v/>
      </c>
      <c r="C1986">
        <f>TEST_DATA!C1986</f>
        <v/>
      </c>
      <c r="D1986">
        <f>TEST_DATA!D1986</f>
        <v/>
      </c>
      <c r="E1986">
        <f>TEST_DATA!E1986</f>
        <v/>
      </c>
      <c r="F1986">
        <f>MIN(E1986*198600,10000)</f>
        <v/>
      </c>
      <c r="G1986">
        <f>MINIFS(CBIC_Late_Fee_Relief_Windows_3B!$O$1986:$O$100,CBIC_Late_Fee_Relief_Windows_3B!$D$1986:$D$100,"&lt;="&amp;B1986,CBIC_Late_Fee_Relief_Windows_3B!$E$1986:$E$100,"&gt;="&amp;B1986,CBIC_Late_Fee_Relief_Windows_3B!$F$1986:$F$100,"&lt;="&amp;C1986,CBIC_Late_Fee_Relief_Windows_3B!$G$1986:$G$100,"&gt;="&amp;C1986)</f>
        <v/>
      </c>
      <c r="H1986">
        <f>INDEX(CBIC_Late_Fee_Relief_Windows_3B!$I$1986:$I$100,MATCH(G1986,CBIC_Late_Fee_Relief_Windows_3B!$O$1986:$O$100,0))</f>
        <v/>
      </c>
      <c r="I1986">
        <f>MIN(F1986,H1986)</f>
        <v/>
      </c>
    </row>
    <row r="1987">
      <c r="A1987">
        <f>TEST_DATA!A1987</f>
        <v/>
      </c>
      <c r="B1987">
        <f>TEST_DATA!B1987</f>
        <v/>
      </c>
      <c r="C1987">
        <f>TEST_DATA!C1987</f>
        <v/>
      </c>
      <c r="D1987">
        <f>TEST_DATA!D1987</f>
        <v/>
      </c>
      <c r="E1987">
        <f>TEST_DATA!E1987</f>
        <v/>
      </c>
      <c r="F1987">
        <f>MIN(E1987*198700,10000)</f>
        <v/>
      </c>
      <c r="G1987">
        <f>MINIFS(CBIC_Late_Fee_Relief_Windows_3B!$O$1987:$O$100,CBIC_Late_Fee_Relief_Windows_3B!$D$1987:$D$100,"&lt;="&amp;B1987,CBIC_Late_Fee_Relief_Windows_3B!$E$1987:$E$100,"&gt;="&amp;B1987,CBIC_Late_Fee_Relief_Windows_3B!$F$1987:$F$100,"&lt;="&amp;C1987,CBIC_Late_Fee_Relief_Windows_3B!$G$1987:$G$100,"&gt;="&amp;C1987)</f>
        <v/>
      </c>
      <c r="H1987">
        <f>INDEX(CBIC_Late_Fee_Relief_Windows_3B!$I$1987:$I$100,MATCH(G1987,CBIC_Late_Fee_Relief_Windows_3B!$O$1987:$O$100,0))</f>
        <v/>
      </c>
      <c r="I1987">
        <f>MIN(F1987,H1987)</f>
        <v/>
      </c>
    </row>
    <row r="1988">
      <c r="A1988">
        <f>TEST_DATA!A1988</f>
        <v/>
      </c>
      <c r="B1988">
        <f>TEST_DATA!B1988</f>
        <v/>
      </c>
      <c r="C1988">
        <f>TEST_DATA!C1988</f>
        <v/>
      </c>
      <c r="D1988">
        <f>TEST_DATA!D1988</f>
        <v/>
      </c>
      <c r="E1988">
        <f>TEST_DATA!E1988</f>
        <v/>
      </c>
      <c r="F1988">
        <f>MIN(E1988*198800,10000)</f>
        <v/>
      </c>
      <c r="G1988">
        <f>MINIFS(CBIC_Late_Fee_Relief_Windows_3B!$O$1988:$O$100,CBIC_Late_Fee_Relief_Windows_3B!$D$1988:$D$100,"&lt;="&amp;B1988,CBIC_Late_Fee_Relief_Windows_3B!$E$1988:$E$100,"&gt;="&amp;B1988,CBIC_Late_Fee_Relief_Windows_3B!$F$1988:$F$100,"&lt;="&amp;C1988,CBIC_Late_Fee_Relief_Windows_3B!$G$1988:$G$100,"&gt;="&amp;C1988)</f>
        <v/>
      </c>
      <c r="H1988">
        <f>INDEX(CBIC_Late_Fee_Relief_Windows_3B!$I$1988:$I$100,MATCH(G1988,CBIC_Late_Fee_Relief_Windows_3B!$O$1988:$O$100,0))</f>
        <v/>
      </c>
      <c r="I1988">
        <f>MIN(F1988,H1988)</f>
        <v/>
      </c>
    </row>
    <row r="1989">
      <c r="A1989">
        <f>TEST_DATA!A1989</f>
        <v/>
      </c>
      <c r="B1989">
        <f>TEST_DATA!B1989</f>
        <v/>
      </c>
      <c r="C1989">
        <f>TEST_DATA!C1989</f>
        <v/>
      </c>
      <c r="D1989">
        <f>TEST_DATA!D1989</f>
        <v/>
      </c>
      <c r="E1989">
        <f>TEST_DATA!E1989</f>
        <v/>
      </c>
      <c r="F1989">
        <f>MIN(E1989*198900,10000)</f>
        <v/>
      </c>
      <c r="G1989">
        <f>MINIFS(CBIC_Late_Fee_Relief_Windows_3B!$O$1989:$O$100,CBIC_Late_Fee_Relief_Windows_3B!$D$1989:$D$100,"&lt;="&amp;B1989,CBIC_Late_Fee_Relief_Windows_3B!$E$1989:$E$100,"&gt;="&amp;B1989,CBIC_Late_Fee_Relief_Windows_3B!$F$1989:$F$100,"&lt;="&amp;C1989,CBIC_Late_Fee_Relief_Windows_3B!$G$1989:$G$100,"&gt;="&amp;C1989)</f>
        <v/>
      </c>
      <c r="H1989">
        <f>INDEX(CBIC_Late_Fee_Relief_Windows_3B!$I$1989:$I$100,MATCH(G1989,CBIC_Late_Fee_Relief_Windows_3B!$O$1989:$O$100,0))</f>
        <v/>
      </c>
      <c r="I1989">
        <f>MIN(F1989,H1989)</f>
        <v/>
      </c>
    </row>
    <row r="1990">
      <c r="A1990">
        <f>TEST_DATA!A1990</f>
        <v/>
      </c>
      <c r="B1990">
        <f>TEST_DATA!B1990</f>
        <v/>
      </c>
      <c r="C1990">
        <f>TEST_DATA!C1990</f>
        <v/>
      </c>
      <c r="D1990">
        <f>TEST_DATA!D1990</f>
        <v/>
      </c>
      <c r="E1990">
        <f>TEST_DATA!E1990</f>
        <v/>
      </c>
      <c r="F1990">
        <f>MIN(E1990*199000,10000)</f>
        <v/>
      </c>
      <c r="G1990">
        <f>MINIFS(CBIC_Late_Fee_Relief_Windows_3B!$O$1990:$O$100,CBIC_Late_Fee_Relief_Windows_3B!$D$1990:$D$100,"&lt;="&amp;B1990,CBIC_Late_Fee_Relief_Windows_3B!$E$1990:$E$100,"&gt;="&amp;B1990,CBIC_Late_Fee_Relief_Windows_3B!$F$1990:$F$100,"&lt;="&amp;C1990,CBIC_Late_Fee_Relief_Windows_3B!$G$1990:$G$100,"&gt;="&amp;C1990)</f>
        <v/>
      </c>
      <c r="H1990">
        <f>INDEX(CBIC_Late_Fee_Relief_Windows_3B!$I$1990:$I$100,MATCH(G1990,CBIC_Late_Fee_Relief_Windows_3B!$O$1990:$O$100,0))</f>
        <v/>
      </c>
      <c r="I1990">
        <f>MIN(F1990,H1990)</f>
        <v/>
      </c>
    </row>
    <row r="1991">
      <c r="A1991">
        <f>TEST_DATA!A1991</f>
        <v/>
      </c>
      <c r="B1991">
        <f>TEST_DATA!B1991</f>
        <v/>
      </c>
      <c r="C1991">
        <f>TEST_DATA!C1991</f>
        <v/>
      </c>
      <c r="D1991">
        <f>TEST_DATA!D1991</f>
        <v/>
      </c>
      <c r="E1991">
        <f>TEST_DATA!E1991</f>
        <v/>
      </c>
      <c r="F1991">
        <f>MIN(E1991*199100,10000)</f>
        <v/>
      </c>
      <c r="G1991">
        <f>MINIFS(CBIC_Late_Fee_Relief_Windows_3B!$O$1991:$O$100,CBIC_Late_Fee_Relief_Windows_3B!$D$1991:$D$100,"&lt;="&amp;B1991,CBIC_Late_Fee_Relief_Windows_3B!$E$1991:$E$100,"&gt;="&amp;B1991,CBIC_Late_Fee_Relief_Windows_3B!$F$1991:$F$100,"&lt;="&amp;C1991,CBIC_Late_Fee_Relief_Windows_3B!$G$1991:$G$100,"&gt;="&amp;C1991)</f>
        <v/>
      </c>
      <c r="H1991">
        <f>INDEX(CBIC_Late_Fee_Relief_Windows_3B!$I$1991:$I$100,MATCH(G1991,CBIC_Late_Fee_Relief_Windows_3B!$O$1991:$O$100,0))</f>
        <v/>
      </c>
      <c r="I1991">
        <f>MIN(F1991,H1991)</f>
        <v/>
      </c>
    </row>
    <row r="1992">
      <c r="A1992">
        <f>TEST_DATA!A1992</f>
        <v/>
      </c>
      <c r="B1992">
        <f>TEST_DATA!B1992</f>
        <v/>
      </c>
      <c r="C1992">
        <f>TEST_DATA!C1992</f>
        <v/>
      </c>
      <c r="D1992">
        <f>TEST_DATA!D1992</f>
        <v/>
      </c>
      <c r="E1992">
        <f>TEST_DATA!E1992</f>
        <v/>
      </c>
      <c r="F1992">
        <f>MIN(E1992*199200,10000)</f>
        <v/>
      </c>
      <c r="G1992">
        <f>MINIFS(CBIC_Late_Fee_Relief_Windows_3B!$O$1992:$O$100,CBIC_Late_Fee_Relief_Windows_3B!$D$1992:$D$100,"&lt;="&amp;B1992,CBIC_Late_Fee_Relief_Windows_3B!$E$1992:$E$100,"&gt;="&amp;B1992,CBIC_Late_Fee_Relief_Windows_3B!$F$1992:$F$100,"&lt;="&amp;C1992,CBIC_Late_Fee_Relief_Windows_3B!$G$1992:$G$100,"&gt;="&amp;C1992)</f>
        <v/>
      </c>
      <c r="H1992">
        <f>INDEX(CBIC_Late_Fee_Relief_Windows_3B!$I$1992:$I$100,MATCH(G1992,CBIC_Late_Fee_Relief_Windows_3B!$O$1992:$O$100,0))</f>
        <v/>
      </c>
      <c r="I1992">
        <f>MIN(F1992,H1992)</f>
        <v/>
      </c>
    </row>
    <row r="1993">
      <c r="A1993">
        <f>TEST_DATA!A1993</f>
        <v/>
      </c>
      <c r="B1993">
        <f>TEST_DATA!B1993</f>
        <v/>
      </c>
      <c r="C1993">
        <f>TEST_DATA!C1993</f>
        <v/>
      </c>
      <c r="D1993">
        <f>TEST_DATA!D1993</f>
        <v/>
      </c>
      <c r="E1993">
        <f>TEST_DATA!E1993</f>
        <v/>
      </c>
      <c r="F1993">
        <f>MIN(E1993*199300,10000)</f>
        <v/>
      </c>
      <c r="G1993">
        <f>MINIFS(CBIC_Late_Fee_Relief_Windows_3B!$O$1993:$O$100,CBIC_Late_Fee_Relief_Windows_3B!$D$1993:$D$100,"&lt;="&amp;B1993,CBIC_Late_Fee_Relief_Windows_3B!$E$1993:$E$100,"&gt;="&amp;B1993,CBIC_Late_Fee_Relief_Windows_3B!$F$1993:$F$100,"&lt;="&amp;C1993,CBIC_Late_Fee_Relief_Windows_3B!$G$1993:$G$100,"&gt;="&amp;C1993)</f>
        <v/>
      </c>
      <c r="H1993">
        <f>INDEX(CBIC_Late_Fee_Relief_Windows_3B!$I$1993:$I$100,MATCH(G1993,CBIC_Late_Fee_Relief_Windows_3B!$O$1993:$O$100,0))</f>
        <v/>
      </c>
      <c r="I1993">
        <f>MIN(F1993,H1993)</f>
        <v/>
      </c>
    </row>
    <row r="1994">
      <c r="A1994">
        <f>TEST_DATA!A1994</f>
        <v/>
      </c>
      <c r="B1994">
        <f>TEST_DATA!B1994</f>
        <v/>
      </c>
      <c r="C1994">
        <f>TEST_DATA!C1994</f>
        <v/>
      </c>
      <c r="D1994">
        <f>TEST_DATA!D1994</f>
        <v/>
      </c>
      <c r="E1994">
        <f>TEST_DATA!E1994</f>
        <v/>
      </c>
      <c r="F1994">
        <f>MIN(E1994*199400,10000)</f>
        <v/>
      </c>
      <c r="G1994">
        <f>MINIFS(CBIC_Late_Fee_Relief_Windows_3B!$O$1994:$O$100,CBIC_Late_Fee_Relief_Windows_3B!$D$1994:$D$100,"&lt;="&amp;B1994,CBIC_Late_Fee_Relief_Windows_3B!$E$1994:$E$100,"&gt;="&amp;B1994,CBIC_Late_Fee_Relief_Windows_3B!$F$1994:$F$100,"&lt;="&amp;C1994,CBIC_Late_Fee_Relief_Windows_3B!$G$1994:$G$100,"&gt;="&amp;C1994)</f>
        <v/>
      </c>
      <c r="H1994">
        <f>INDEX(CBIC_Late_Fee_Relief_Windows_3B!$I$1994:$I$100,MATCH(G1994,CBIC_Late_Fee_Relief_Windows_3B!$O$1994:$O$100,0))</f>
        <v/>
      </c>
      <c r="I1994">
        <f>MIN(F1994,H1994)</f>
        <v/>
      </c>
    </row>
    <row r="1995">
      <c r="A1995">
        <f>TEST_DATA!A1995</f>
        <v/>
      </c>
      <c r="B1995">
        <f>TEST_DATA!B1995</f>
        <v/>
      </c>
      <c r="C1995">
        <f>TEST_DATA!C1995</f>
        <v/>
      </c>
      <c r="D1995">
        <f>TEST_DATA!D1995</f>
        <v/>
      </c>
      <c r="E1995">
        <f>TEST_DATA!E1995</f>
        <v/>
      </c>
      <c r="F1995">
        <f>MIN(E1995*199500,10000)</f>
        <v/>
      </c>
      <c r="G1995">
        <f>MINIFS(CBIC_Late_Fee_Relief_Windows_3B!$O$1995:$O$100,CBIC_Late_Fee_Relief_Windows_3B!$D$1995:$D$100,"&lt;="&amp;B1995,CBIC_Late_Fee_Relief_Windows_3B!$E$1995:$E$100,"&gt;="&amp;B1995,CBIC_Late_Fee_Relief_Windows_3B!$F$1995:$F$100,"&lt;="&amp;C1995,CBIC_Late_Fee_Relief_Windows_3B!$G$1995:$G$100,"&gt;="&amp;C1995)</f>
        <v/>
      </c>
      <c r="H1995">
        <f>INDEX(CBIC_Late_Fee_Relief_Windows_3B!$I$1995:$I$100,MATCH(G1995,CBIC_Late_Fee_Relief_Windows_3B!$O$1995:$O$100,0))</f>
        <v/>
      </c>
      <c r="I1995">
        <f>MIN(F1995,H1995)</f>
        <v/>
      </c>
    </row>
    <row r="1996">
      <c r="A1996">
        <f>TEST_DATA!A1996</f>
        <v/>
      </c>
      <c r="B1996">
        <f>TEST_DATA!B1996</f>
        <v/>
      </c>
      <c r="C1996">
        <f>TEST_DATA!C1996</f>
        <v/>
      </c>
      <c r="D1996">
        <f>TEST_DATA!D1996</f>
        <v/>
      </c>
      <c r="E1996">
        <f>TEST_DATA!E1996</f>
        <v/>
      </c>
      <c r="F1996">
        <f>MIN(E1996*199600,10000)</f>
        <v/>
      </c>
      <c r="G1996">
        <f>MINIFS(CBIC_Late_Fee_Relief_Windows_3B!$O$1996:$O$100,CBIC_Late_Fee_Relief_Windows_3B!$D$1996:$D$100,"&lt;="&amp;B1996,CBIC_Late_Fee_Relief_Windows_3B!$E$1996:$E$100,"&gt;="&amp;B1996,CBIC_Late_Fee_Relief_Windows_3B!$F$1996:$F$100,"&lt;="&amp;C1996,CBIC_Late_Fee_Relief_Windows_3B!$G$1996:$G$100,"&gt;="&amp;C1996)</f>
        <v/>
      </c>
      <c r="H1996">
        <f>INDEX(CBIC_Late_Fee_Relief_Windows_3B!$I$1996:$I$100,MATCH(G1996,CBIC_Late_Fee_Relief_Windows_3B!$O$1996:$O$100,0))</f>
        <v/>
      </c>
      <c r="I1996">
        <f>MIN(F1996,H1996)</f>
        <v/>
      </c>
    </row>
    <row r="1997">
      <c r="A1997">
        <f>TEST_DATA!A1997</f>
        <v/>
      </c>
      <c r="B1997">
        <f>TEST_DATA!B1997</f>
        <v/>
      </c>
      <c r="C1997">
        <f>TEST_DATA!C1997</f>
        <v/>
      </c>
      <c r="D1997">
        <f>TEST_DATA!D1997</f>
        <v/>
      </c>
      <c r="E1997">
        <f>TEST_DATA!E1997</f>
        <v/>
      </c>
      <c r="F1997">
        <f>MIN(E1997*199700,10000)</f>
        <v/>
      </c>
      <c r="G1997">
        <f>MINIFS(CBIC_Late_Fee_Relief_Windows_3B!$O$1997:$O$100,CBIC_Late_Fee_Relief_Windows_3B!$D$1997:$D$100,"&lt;="&amp;B1997,CBIC_Late_Fee_Relief_Windows_3B!$E$1997:$E$100,"&gt;="&amp;B1997,CBIC_Late_Fee_Relief_Windows_3B!$F$1997:$F$100,"&lt;="&amp;C1997,CBIC_Late_Fee_Relief_Windows_3B!$G$1997:$G$100,"&gt;="&amp;C1997)</f>
        <v/>
      </c>
      <c r="H1997">
        <f>INDEX(CBIC_Late_Fee_Relief_Windows_3B!$I$1997:$I$100,MATCH(G1997,CBIC_Late_Fee_Relief_Windows_3B!$O$1997:$O$100,0))</f>
        <v/>
      </c>
      <c r="I1997">
        <f>MIN(F1997,H1997)</f>
        <v/>
      </c>
    </row>
    <row r="1998">
      <c r="A1998">
        <f>TEST_DATA!A1998</f>
        <v/>
      </c>
      <c r="B1998">
        <f>TEST_DATA!B1998</f>
        <v/>
      </c>
      <c r="C1998">
        <f>TEST_DATA!C1998</f>
        <v/>
      </c>
      <c r="D1998">
        <f>TEST_DATA!D1998</f>
        <v/>
      </c>
      <c r="E1998">
        <f>TEST_DATA!E1998</f>
        <v/>
      </c>
      <c r="F1998">
        <f>MIN(E1998*199800,10000)</f>
        <v/>
      </c>
      <c r="G1998">
        <f>MINIFS(CBIC_Late_Fee_Relief_Windows_3B!$O$1998:$O$100,CBIC_Late_Fee_Relief_Windows_3B!$D$1998:$D$100,"&lt;="&amp;B1998,CBIC_Late_Fee_Relief_Windows_3B!$E$1998:$E$100,"&gt;="&amp;B1998,CBIC_Late_Fee_Relief_Windows_3B!$F$1998:$F$100,"&lt;="&amp;C1998,CBIC_Late_Fee_Relief_Windows_3B!$G$1998:$G$100,"&gt;="&amp;C1998)</f>
        <v/>
      </c>
      <c r="H1998">
        <f>INDEX(CBIC_Late_Fee_Relief_Windows_3B!$I$1998:$I$100,MATCH(G1998,CBIC_Late_Fee_Relief_Windows_3B!$O$1998:$O$100,0))</f>
        <v/>
      </c>
      <c r="I1998">
        <f>MIN(F1998,H1998)</f>
        <v/>
      </c>
    </row>
    <row r="1999">
      <c r="A1999">
        <f>TEST_DATA!A1999</f>
        <v/>
      </c>
      <c r="B1999">
        <f>TEST_DATA!B1999</f>
        <v/>
      </c>
      <c r="C1999">
        <f>TEST_DATA!C1999</f>
        <v/>
      </c>
      <c r="D1999">
        <f>TEST_DATA!D1999</f>
        <v/>
      </c>
      <c r="E1999">
        <f>TEST_DATA!E1999</f>
        <v/>
      </c>
      <c r="F1999">
        <f>MIN(E1999*199900,10000)</f>
        <v/>
      </c>
      <c r="G1999">
        <f>MINIFS(CBIC_Late_Fee_Relief_Windows_3B!$O$1999:$O$100,CBIC_Late_Fee_Relief_Windows_3B!$D$1999:$D$100,"&lt;="&amp;B1999,CBIC_Late_Fee_Relief_Windows_3B!$E$1999:$E$100,"&gt;="&amp;B1999,CBIC_Late_Fee_Relief_Windows_3B!$F$1999:$F$100,"&lt;="&amp;C1999,CBIC_Late_Fee_Relief_Windows_3B!$G$1999:$G$100,"&gt;="&amp;C1999)</f>
        <v/>
      </c>
      <c r="H1999">
        <f>INDEX(CBIC_Late_Fee_Relief_Windows_3B!$I$1999:$I$100,MATCH(G1999,CBIC_Late_Fee_Relief_Windows_3B!$O$1999:$O$100,0))</f>
        <v/>
      </c>
      <c r="I1999">
        <f>MIN(F1999,H1999)</f>
        <v/>
      </c>
    </row>
    <row r="2000">
      <c r="A2000">
        <f>TEST_DATA!A2000</f>
        <v/>
      </c>
      <c r="B2000">
        <f>TEST_DATA!B2000</f>
        <v/>
      </c>
      <c r="C2000">
        <f>TEST_DATA!C2000</f>
        <v/>
      </c>
      <c r="D2000">
        <f>TEST_DATA!D2000</f>
        <v/>
      </c>
      <c r="E2000">
        <f>TEST_DATA!E2000</f>
        <v/>
      </c>
      <c r="F2000">
        <f>MIN(E2000*200000,10000)</f>
        <v/>
      </c>
      <c r="G2000">
        <f>MINIFS(CBIC_Late_Fee_Relief_Windows_3B!$O$2000:$O$100,CBIC_Late_Fee_Relief_Windows_3B!$D$2000:$D$100,"&lt;="&amp;B2000,CBIC_Late_Fee_Relief_Windows_3B!$E$2000:$E$100,"&gt;="&amp;B2000,CBIC_Late_Fee_Relief_Windows_3B!$F$2000:$F$100,"&lt;="&amp;C2000,CBIC_Late_Fee_Relief_Windows_3B!$G$2000:$G$100,"&gt;="&amp;C2000)</f>
        <v/>
      </c>
      <c r="H2000">
        <f>INDEX(CBIC_Late_Fee_Relief_Windows_3B!$I$2000:$I$100,MATCH(G2000,CBIC_Late_Fee_Relief_Windows_3B!$O$2000:$O$100,0))</f>
        <v/>
      </c>
      <c r="I2000">
        <f>MIN(F2000,H2000)</f>
        <v/>
      </c>
    </row>
    <row r="2001">
      <c r="A2001">
        <f>TEST_DATA!A2001</f>
        <v/>
      </c>
      <c r="B2001">
        <f>TEST_DATA!B2001</f>
        <v/>
      </c>
      <c r="C2001">
        <f>TEST_DATA!C2001</f>
        <v/>
      </c>
      <c r="D2001">
        <f>TEST_DATA!D2001</f>
        <v/>
      </c>
      <c r="E2001">
        <f>TEST_DATA!E2001</f>
        <v/>
      </c>
      <c r="F2001">
        <f>MIN(E2001*200100,10000)</f>
        <v/>
      </c>
      <c r="G2001">
        <f>MINIFS(CBIC_Late_Fee_Relief_Windows_3B!$O$2001:$O$100,CBIC_Late_Fee_Relief_Windows_3B!$D$2001:$D$100,"&lt;="&amp;B2001,CBIC_Late_Fee_Relief_Windows_3B!$E$2001:$E$100,"&gt;="&amp;B2001,CBIC_Late_Fee_Relief_Windows_3B!$F$2001:$F$100,"&lt;="&amp;C2001,CBIC_Late_Fee_Relief_Windows_3B!$G$2001:$G$100,"&gt;="&amp;C2001)</f>
        <v/>
      </c>
      <c r="H2001">
        <f>INDEX(CBIC_Late_Fee_Relief_Windows_3B!$I$2001:$I$100,MATCH(G2001,CBIC_Late_Fee_Relief_Windows_3B!$O$2001:$O$100,0))</f>
        <v/>
      </c>
      <c r="I2001">
        <f>MIN(F2001,H2001)</f>
        <v/>
      </c>
    </row>
    <row r="2002">
      <c r="A2002">
        <f>TEST_DATA!A2002</f>
        <v/>
      </c>
      <c r="B2002">
        <f>TEST_DATA!B2002</f>
        <v/>
      </c>
      <c r="C2002">
        <f>TEST_DATA!C2002</f>
        <v/>
      </c>
      <c r="D2002">
        <f>TEST_DATA!D2002</f>
        <v/>
      </c>
      <c r="E2002">
        <f>TEST_DATA!E2002</f>
        <v/>
      </c>
      <c r="F2002">
        <f>MIN(E2002*200200,10000)</f>
        <v/>
      </c>
      <c r="G2002">
        <f>MINIFS(CBIC_Late_Fee_Relief_Windows_3B!$O$2002:$O$100,CBIC_Late_Fee_Relief_Windows_3B!$D$2002:$D$100,"&lt;="&amp;B2002,CBIC_Late_Fee_Relief_Windows_3B!$E$2002:$E$100,"&gt;="&amp;B2002,CBIC_Late_Fee_Relief_Windows_3B!$F$2002:$F$100,"&lt;="&amp;C2002,CBIC_Late_Fee_Relief_Windows_3B!$G$2002:$G$100,"&gt;="&amp;C2002)</f>
        <v/>
      </c>
      <c r="H2002">
        <f>INDEX(CBIC_Late_Fee_Relief_Windows_3B!$I$2002:$I$100,MATCH(G2002,CBIC_Late_Fee_Relief_Windows_3B!$O$2002:$O$100,0))</f>
        <v/>
      </c>
      <c r="I2002">
        <f>MIN(F2002,H2002)</f>
        <v/>
      </c>
    </row>
    <row r="2003">
      <c r="A2003">
        <f>TEST_DATA!A2003</f>
        <v/>
      </c>
      <c r="B2003">
        <f>TEST_DATA!B2003</f>
        <v/>
      </c>
      <c r="C2003">
        <f>TEST_DATA!C2003</f>
        <v/>
      </c>
      <c r="D2003">
        <f>TEST_DATA!D2003</f>
        <v/>
      </c>
      <c r="E2003">
        <f>TEST_DATA!E2003</f>
        <v/>
      </c>
      <c r="F2003">
        <f>MIN(E2003*200300,10000)</f>
        <v/>
      </c>
      <c r="G2003">
        <f>MINIFS(CBIC_Late_Fee_Relief_Windows_3B!$O$2003:$O$100,CBIC_Late_Fee_Relief_Windows_3B!$D$2003:$D$100,"&lt;="&amp;B2003,CBIC_Late_Fee_Relief_Windows_3B!$E$2003:$E$100,"&gt;="&amp;B2003,CBIC_Late_Fee_Relief_Windows_3B!$F$2003:$F$100,"&lt;="&amp;C2003,CBIC_Late_Fee_Relief_Windows_3B!$G$2003:$G$100,"&gt;="&amp;C2003)</f>
        <v/>
      </c>
      <c r="H2003">
        <f>INDEX(CBIC_Late_Fee_Relief_Windows_3B!$I$2003:$I$100,MATCH(G2003,CBIC_Late_Fee_Relief_Windows_3B!$O$2003:$O$100,0))</f>
        <v/>
      </c>
      <c r="I2003">
        <f>MIN(F2003,H2003)</f>
        <v/>
      </c>
    </row>
    <row r="2004">
      <c r="A2004">
        <f>TEST_DATA!A2004</f>
        <v/>
      </c>
      <c r="B2004">
        <f>TEST_DATA!B2004</f>
        <v/>
      </c>
      <c r="C2004">
        <f>TEST_DATA!C2004</f>
        <v/>
      </c>
      <c r="D2004">
        <f>TEST_DATA!D2004</f>
        <v/>
      </c>
      <c r="E2004">
        <f>TEST_DATA!E2004</f>
        <v/>
      </c>
      <c r="F2004">
        <f>MIN(E2004*200400,10000)</f>
        <v/>
      </c>
      <c r="G2004">
        <f>MINIFS(CBIC_Late_Fee_Relief_Windows_3B!$O$2004:$O$100,CBIC_Late_Fee_Relief_Windows_3B!$D$2004:$D$100,"&lt;="&amp;B2004,CBIC_Late_Fee_Relief_Windows_3B!$E$2004:$E$100,"&gt;="&amp;B2004,CBIC_Late_Fee_Relief_Windows_3B!$F$2004:$F$100,"&lt;="&amp;C2004,CBIC_Late_Fee_Relief_Windows_3B!$G$2004:$G$100,"&gt;="&amp;C2004)</f>
        <v/>
      </c>
      <c r="H2004">
        <f>INDEX(CBIC_Late_Fee_Relief_Windows_3B!$I$2004:$I$100,MATCH(G2004,CBIC_Late_Fee_Relief_Windows_3B!$O$2004:$O$100,0))</f>
        <v/>
      </c>
      <c r="I2004">
        <f>MIN(F2004,H2004)</f>
        <v/>
      </c>
    </row>
    <row r="2005">
      <c r="A2005">
        <f>TEST_DATA!A2005</f>
        <v/>
      </c>
      <c r="B2005">
        <f>TEST_DATA!B2005</f>
        <v/>
      </c>
      <c r="C2005">
        <f>TEST_DATA!C2005</f>
        <v/>
      </c>
      <c r="D2005">
        <f>TEST_DATA!D2005</f>
        <v/>
      </c>
      <c r="E2005">
        <f>TEST_DATA!E2005</f>
        <v/>
      </c>
      <c r="F2005">
        <f>MIN(E2005*200500,10000)</f>
        <v/>
      </c>
      <c r="G2005">
        <f>MINIFS(CBIC_Late_Fee_Relief_Windows_3B!$O$2005:$O$100,CBIC_Late_Fee_Relief_Windows_3B!$D$2005:$D$100,"&lt;="&amp;B2005,CBIC_Late_Fee_Relief_Windows_3B!$E$2005:$E$100,"&gt;="&amp;B2005,CBIC_Late_Fee_Relief_Windows_3B!$F$2005:$F$100,"&lt;="&amp;C2005,CBIC_Late_Fee_Relief_Windows_3B!$G$2005:$G$100,"&gt;="&amp;C2005)</f>
        <v/>
      </c>
      <c r="H2005">
        <f>INDEX(CBIC_Late_Fee_Relief_Windows_3B!$I$2005:$I$100,MATCH(G2005,CBIC_Late_Fee_Relief_Windows_3B!$O$2005:$O$100,0))</f>
        <v/>
      </c>
      <c r="I2005">
        <f>MIN(F2005,H2005)</f>
        <v/>
      </c>
    </row>
    <row r="2006">
      <c r="A2006">
        <f>TEST_DATA!A2006</f>
        <v/>
      </c>
      <c r="B2006">
        <f>TEST_DATA!B2006</f>
        <v/>
      </c>
      <c r="C2006">
        <f>TEST_DATA!C2006</f>
        <v/>
      </c>
      <c r="D2006">
        <f>TEST_DATA!D2006</f>
        <v/>
      </c>
      <c r="E2006">
        <f>TEST_DATA!E2006</f>
        <v/>
      </c>
      <c r="F2006">
        <f>MIN(E2006*200600,10000)</f>
        <v/>
      </c>
      <c r="G2006">
        <f>MINIFS(CBIC_Late_Fee_Relief_Windows_3B!$O$2006:$O$100,CBIC_Late_Fee_Relief_Windows_3B!$D$2006:$D$100,"&lt;="&amp;B2006,CBIC_Late_Fee_Relief_Windows_3B!$E$2006:$E$100,"&gt;="&amp;B2006,CBIC_Late_Fee_Relief_Windows_3B!$F$2006:$F$100,"&lt;="&amp;C2006,CBIC_Late_Fee_Relief_Windows_3B!$G$2006:$G$100,"&gt;="&amp;C2006)</f>
        <v/>
      </c>
      <c r="H2006">
        <f>INDEX(CBIC_Late_Fee_Relief_Windows_3B!$I$2006:$I$100,MATCH(G2006,CBIC_Late_Fee_Relief_Windows_3B!$O$2006:$O$100,0))</f>
        <v/>
      </c>
      <c r="I2006">
        <f>MIN(F2006,H2006)</f>
        <v/>
      </c>
    </row>
    <row r="2007">
      <c r="A2007">
        <f>TEST_DATA!A2007</f>
        <v/>
      </c>
      <c r="B2007">
        <f>TEST_DATA!B2007</f>
        <v/>
      </c>
      <c r="C2007">
        <f>TEST_DATA!C2007</f>
        <v/>
      </c>
      <c r="D2007">
        <f>TEST_DATA!D2007</f>
        <v/>
      </c>
      <c r="E2007">
        <f>TEST_DATA!E2007</f>
        <v/>
      </c>
      <c r="F2007">
        <f>MIN(E2007*200700,10000)</f>
        <v/>
      </c>
      <c r="G2007">
        <f>MINIFS(CBIC_Late_Fee_Relief_Windows_3B!$O$2007:$O$100,CBIC_Late_Fee_Relief_Windows_3B!$D$2007:$D$100,"&lt;="&amp;B2007,CBIC_Late_Fee_Relief_Windows_3B!$E$2007:$E$100,"&gt;="&amp;B2007,CBIC_Late_Fee_Relief_Windows_3B!$F$2007:$F$100,"&lt;="&amp;C2007,CBIC_Late_Fee_Relief_Windows_3B!$G$2007:$G$100,"&gt;="&amp;C2007)</f>
        <v/>
      </c>
      <c r="H2007">
        <f>INDEX(CBIC_Late_Fee_Relief_Windows_3B!$I$2007:$I$100,MATCH(G2007,CBIC_Late_Fee_Relief_Windows_3B!$O$2007:$O$100,0))</f>
        <v/>
      </c>
      <c r="I2007">
        <f>MIN(F2007,H2007)</f>
        <v/>
      </c>
    </row>
    <row r="2008">
      <c r="A2008">
        <f>TEST_DATA!A2008</f>
        <v/>
      </c>
      <c r="B2008">
        <f>TEST_DATA!B2008</f>
        <v/>
      </c>
      <c r="C2008">
        <f>TEST_DATA!C2008</f>
        <v/>
      </c>
      <c r="D2008">
        <f>TEST_DATA!D2008</f>
        <v/>
      </c>
      <c r="E2008">
        <f>TEST_DATA!E2008</f>
        <v/>
      </c>
      <c r="F2008">
        <f>MIN(E2008*200800,10000)</f>
        <v/>
      </c>
      <c r="G2008">
        <f>MINIFS(CBIC_Late_Fee_Relief_Windows_3B!$O$2008:$O$100,CBIC_Late_Fee_Relief_Windows_3B!$D$2008:$D$100,"&lt;="&amp;B2008,CBIC_Late_Fee_Relief_Windows_3B!$E$2008:$E$100,"&gt;="&amp;B2008,CBIC_Late_Fee_Relief_Windows_3B!$F$2008:$F$100,"&lt;="&amp;C2008,CBIC_Late_Fee_Relief_Windows_3B!$G$2008:$G$100,"&gt;="&amp;C2008)</f>
        <v/>
      </c>
      <c r="H2008">
        <f>INDEX(CBIC_Late_Fee_Relief_Windows_3B!$I$2008:$I$100,MATCH(G2008,CBIC_Late_Fee_Relief_Windows_3B!$O$2008:$O$100,0))</f>
        <v/>
      </c>
      <c r="I2008">
        <f>MIN(F2008,H2008)</f>
        <v/>
      </c>
    </row>
    <row r="2009">
      <c r="A2009">
        <f>TEST_DATA!A2009</f>
        <v/>
      </c>
      <c r="B2009">
        <f>TEST_DATA!B2009</f>
        <v/>
      </c>
      <c r="C2009">
        <f>TEST_DATA!C2009</f>
        <v/>
      </c>
      <c r="D2009">
        <f>TEST_DATA!D2009</f>
        <v/>
      </c>
      <c r="E2009">
        <f>TEST_DATA!E2009</f>
        <v/>
      </c>
      <c r="F2009">
        <f>MIN(E2009*200900,10000)</f>
        <v/>
      </c>
      <c r="G2009">
        <f>MINIFS(CBIC_Late_Fee_Relief_Windows_3B!$O$2009:$O$100,CBIC_Late_Fee_Relief_Windows_3B!$D$2009:$D$100,"&lt;="&amp;B2009,CBIC_Late_Fee_Relief_Windows_3B!$E$2009:$E$100,"&gt;="&amp;B2009,CBIC_Late_Fee_Relief_Windows_3B!$F$2009:$F$100,"&lt;="&amp;C2009,CBIC_Late_Fee_Relief_Windows_3B!$G$2009:$G$100,"&gt;="&amp;C2009)</f>
        <v/>
      </c>
      <c r="H2009">
        <f>INDEX(CBIC_Late_Fee_Relief_Windows_3B!$I$2009:$I$100,MATCH(G2009,CBIC_Late_Fee_Relief_Windows_3B!$O$2009:$O$100,0))</f>
        <v/>
      </c>
      <c r="I2009">
        <f>MIN(F2009,H2009)</f>
        <v/>
      </c>
    </row>
    <row r="2010">
      <c r="A2010">
        <f>TEST_DATA!A2010</f>
        <v/>
      </c>
      <c r="B2010">
        <f>TEST_DATA!B2010</f>
        <v/>
      </c>
      <c r="C2010">
        <f>TEST_DATA!C2010</f>
        <v/>
      </c>
      <c r="D2010">
        <f>TEST_DATA!D2010</f>
        <v/>
      </c>
      <c r="E2010">
        <f>TEST_DATA!E2010</f>
        <v/>
      </c>
      <c r="F2010">
        <f>MIN(E2010*201000,10000)</f>
        <v/>
      </c>
      <c r="G2010">
        <f>MINIFS(CBIC_Late_Fee_Relief_Windows_3B!$O$2010:$O$100,CBIC_Late_Fee_Relief_Windows_3B!$D$2010:$D$100,"&lt;="&amp;B2010,CBIC_Late_Fee_Relief_Windows_3B!$E$2010:$E$100,"&gt;="&amp;B2010,CBIC_Late_Fee_Relief_Windows_3B!$F$2010:$F$100,"&lt;="&amp;C2010,CBIC_Late_Fee_Relief_Windows_3B!$G$2010:$G$100,"&gt;="&amp;C2010)</f>
        <v/>
      </c>
      <c r="H2010">
        <f>INDEX(CBIC_Late_Fee_Relief_Windows_3B!$I$2010:$I$100,MATCH(G2010,CBIC_Late_Fee_Relief_Windows_3B!$O$2010:$O$100,0))</f>
        <v/>
      </c>
      <c r="I2010">
        <f>MIN(F2010,H2010)</f>
        <v/>
      </c>
    </row>
    <row r="2011">
      <c r="A2011">
        <f>TEST_DATA!A2011</f>
        <v/>
      </c>
      <c r="B2011">
        <f>TEST_DATA!B2011</f>
        <v/>
      </c>
      <c r="C2011">
        <f>TEST_DATA!C2011</f>
        <v/>
      </c>
      <c r="D2011">
        <f>TEST_DATA!D2011</f>
        <v/>
      </c>
      <c r="E2011">
        <f>TEST_DATA!E2011</f>
        <v/>
      </c>
      <c r="F2011">
        <f>MIN(E2011*201100,10000)</f>
        <v/>
      </c>
      <c r="G2011">
        <f>MINIFS(CBIC_Late_Fee_Relief_Windows_3B!$O$2011:$O$100,CBIC_Late_Fee_Relief_Windows_3B!$D$2011:$D$100,"&lt;="&amp;B2011,CBIC_Late_Fee_Relief_Windows_3B!$E$2011:$E$100,"&gt;="&amp;B2011,CBIC_Late_Fee_Relief_Windows_3B!$F$2011:$F$100,"&lt;="&amp;C2011,CBIC_Late_Fee_Relief_Windows_3B!$G$2011:$G$100,"&gt;="&amp;C2011)</f>
        <v/>
      </c>
      <c r="H2011">
        <f>INDEX(CBIC_Late_Fee_Relief_Windows_3B!$I$2011:$I$100,MATCH(G2011,CBIC_Late_Fee_Relief_Windows_3B!$O$2011:$O$100,0))</f>
        <v/>
      </c>
      <c r="I2011">
        <f>MIN(F2011,H2011)</f>
        <v/>
      </c>
    </row>
    <row r="2012">
      <c r="A2012">
        <f>TEST_DATA!A2012</f>
        <v/>
      </c>
      <c r="B2012">
        <f>TEST_DATA!B2012</f>
        <v/>
      </c>
      <c r="C2012">
        <f>TEST_DATA!C2012</f>
        <v/>
      </c>
      <c r="D2012">
        <f>TEST_DATA!D2012</f>
        <v/>
      </c>
      <c r="E2012">
        <f>TEST_DATA!E2012</f>
        <v/>
      </c>
      <c r="F2012">
        <f>MIN(E2012*201200,10000)</f>
        <v/>
      </c>
      <c r="G2012">
        <f>MINIFS(CBIC_Late_Fee_Relief_Windows_3B!$O$2012:$O$100,CBIC_Late_Fee_Relief_Windows_3B!$D$2012:$D$100,"&lt;="&amp;B2012,CBIC_Late_Fee_Relief_Windows_3B!$E$2012:$E$100,"&gt;="&amp;B2012,CBIC_Late_Fee_Relief_Windows_3B!$F$2012:$F$100,"&lt;="&amp;C2012,CBIC_Late_Fee_Relief_Windows_3B!$G$2012:$G$100,"&gt;="&amp;C2012)</f>
        <v/>
      </c>
      <c r="H2012">
        <f>INDEX(CBIC_Late_Fee_Relief_Windows_3B!$I$2012:$I$100,MATCH(G2012,CBIC_Late_Fee_Relief_Windows_3B!$O$2012:$O$100,0))</f>
        <v/>
      </c>
      <c r="I2012">
        <f>MIN(F2012,H2012)</f>
        <v/>
      </c>
    </row>
    <row r="2013">
      <c r="A2013">
        <f>TEST_DATA!A2013</f>
        <v/>
      </c>
      <c r="B2013">
        <f>TEST_DATA!B2013</f>
        <v/>
      </c>
      <c r="C2013">
        <f>TEST_DATA!C2013</f>
        <v/>
      </c>
      <c r="D2013">
        <f>TEST_DATA!D2013</f>
        <v/>
      </c>
      <c r="E2013">
        <f>TEST_DATA!E2013</f>
        <v/>
      </c>
      <c r="F2013">
        <f>MIN(E2013*201300,10000)</f>
        <v/>
      </c>
      <c r="G2013">
        <f>MINIFS(CBIC_Late_Fee_Relief_Windows_3B!$O$2013:$O$100,CBIC_Late_Fee_Relief_Windows_3B!$D$2013:$D$100,"&lt;="&amp;B2013,CBIC_Late_Fee_Relief_Windows_3B!$E$2013:$E$100,"&gt;="&amp;B2013,CBIC_Late_Fee_Relief_Windows_3B!$F$2013:$F$100,"&lt;="&amp;C2013,CBIC_Late_Fee_Relief_Windows_3B!$G$2013:$G$100,"&gt;="&amp;C2013)</f>
        <v/>
      </c>
      <c r="H2013">
        <f>INDEX(CBIC_Late_Fee_Relief_Windows_3B!$I$2013:$I$100,MATCH(G2013,CBIC_Late_Fee_Relief_Windows_3B!$O$2013:$O$100,0))</f>
        <v/>
      </c>
      <c r="I2013">
        <f>MIN(F2013,H2013)</f>
        <v/>
      </c>
    </row>
    <row r="2014">
      <c r="A2014">
        <f>TEST_DATA!A2014</f>
        <v/>
      </c>
      <c r="B2014">
        <f>TEST_DATA!B2014</f>
        <v/>
      </c>
      <c r="C2014">
        <f>TEST_DATA!C2014</f>
        <v/>
      </c>
      <c r="D2014">
        <f>TEST_DATA!D2014</f>
        <v/>
      </c>
      <c r="E2014">
        <f>TEST_DATA!E2014</f>
        <v/>
      </c>
      <c r="F2014">
        <f>MIN(E2014*201400,10000)</f>
        <v/>
      </c>
      <c r="G2014">
        <f>MINIFS(CBIC_Late_Fee_Relief_Windows_3B!$O$2014:$O$100,CBIC_Late_Fee_Relief_Windows_3B!$D$2014:$D$100,"&lt;="&amp;B2014,CBIC_Late_Fee_Relief_Windows_3B!$E$2014:$E$100,"&gt;="&amp;B2014,CBIC_Late_Fee_Relief_Windows_3B!$F$2014:$F$100,"&lt;="&amp;C2014,CBIC_Late_Fee_Relief_Windows_3B!$G$2014:$G$100,"&gt;="&amp;C2014)</f>
        <v/>
      </c>
      <c r="H2014">
        <f>INDEX(CBIC_Late_Fee_Relief_Windows_3B!$I$2014:$I$100,MATCH(G2014,CBIC_Late_Fee_Relief_Windows_3B!$O$2014:$O$100,0))</f>
        <v/>
      </c>
      <c r="I2014">
        <f>MIN(F2014,H2014)</f>
        <v/>
      </c>
    </row>
    <row r="2015">
      <c r="A2015">
        <f>TEST_DATA!A2015</f>
        <v/>
      </c>
      <c r="B2015">
        <f>TEST_DATA!B2015</f>
        <v/>
      </c>
      <c r="C2015">
        <f>TEST_DATA!C2015</f>
        <v/>
      </c>
      <c r="D2015">
        <f>TEST_DATA!D2015</f>
        <v/>
      </c>
      <c r="E2015">
        <f>TEST_DATA!E2015</f>
        <v/>
      </c>
      <c r="F2015">
        <f>MIN(E2015*201500,10000)</f>
        <v/>
      </c>
      <c r="G2015">
        <f>MINIFS(CBIC_Late_Fee_Relief_Windows_3B!$O$2015:$O$100,CBIC_Late_Fee_Relief_Windows_3B!$D$2015:$D$100,"&lt;="&amp;B2015,CBIC_Late_Fee_Relief_Windows_3B!$E$2015:$E$100,"&gt;="&amp;B2015,CBIC_Late_Fee_Relief_Windows_3B!$F$2015:$F$100,"&lt;="&amp;C2015,CBIC_Late_Fee_Relief_Windows_3B!$G$2015:$G$100,"&gt;="&amp;C2015)</f>
        <v/>
      </c>
      <c r="H2015">
        <f>INDEX(CBIC_Late_Fee_Relief_Windows_3B!$I$2015:$I$100,MATCH(G2015,CBIC_Late_Fee_Relief_Windows_3B!$O$2015:$O$100,0))</f>
        <v/>
      </c>
      <c r="I2015">
        <f>MIN(F2015,H2015)</f>
        <v/>
      </c>
    </row>
    <row r="2016">
      <c r="A2016">
        <f>TEST_DATA!A2016</f>
        <v/>
      </c>
      <c r="B2016">
        <f>TEST_DATA!B2016</f>
        <v/>
      </c>
      <c r="C2016">
        <f>TEST_DATA!C2016</f>
        <v/>
      </c>
      <c r="D2016">
        <f>TEST_DATA!D2016</f>
        <v/>
      </c>
      <c r="E2016">
        <f>TEST_DATA!E2016</f>
        <v/>
      </c>
      <c r="F2016">
        <f>MIN(E2016*201600,10000)</f>
        <v/>
      </c>
      <c r="G2016">
        <f>MINIFS(CBIC_Late_Fee_Relief_Windows_3B!$O$2016:$O$100,CBIC_Late_Fee_Relief_Windows_3B!$D$2016:$D$100,"&lt;="&amp;B2016,CBIC_Late_Fee_Relief_Windows_3B!$E$2016:$E$100,"&gt;="&amp;B2016,CBIC_Late_Fee_Relief_Windows_3B!$F$2016:$F$100,"&lt;="&amp;C2016,CBIC_Late_Fee_Relief_Windows_3B!$G$2016:$G$100,"&gt;="&amp;C2016)</f>
        <v/>
      </c>
      <c r="H2016">
        <f>INDEX(CBIC_Late_Fee_Relief_Windows_3B!$I$2016:$I$100,MATCH(G2016,CBIC_Late_Fee_Relief_Windows_3B!$O$2016:$O$100,0))</f>
        <v/>
      </c>
      <c r="I2016">
        <f>MIN(F2016,H2016)</f>
        <v/>
      </c>
    </row>
    <row r="2017">
      <c r="A2017">
        <f>TEST_DATA!A2017</f>
        <v/>
      </c>
      <c r="B2017">
        <f>TEST_DATA!B2017</f>
        <v/>
      </c>
      <c r="C2017">
        <f>TEST_DATA!C2017</f>
        <v/>
      </c>
      <c r="D2017">
        <f>TEST_DATA!D2017</f>
        <v/>
      </c>
      <c r="E2017">
        <f>TEST_DATA!E2017</f>
        <v/>
      </c>
      <c r="F2017">
        <f>MIN(E2017*201700,10000)</f>
        <v/>
      </c>
      <c r="G2017">
        <f>MINIFS(CBIC_Late_Fee_Relief_Windows_3B!$O$2017:$O$100,CBIC_Late_Fee_Relief_Windows_3B!$D$2017:$D$100,"&lt;="&amp;B2017,CBIC_Late_Fee_Relief_Windows_3B!$E$2017:$E$100,"&gt;="&amp;B2017,CBIC_Late_Fee_Relief_Windows_3B!$F$2017:$F$100,"&lt;="&amp;C2017,CBIC_Late_Fee_Relief_Windows_3B!$G$2017:$G$100,"&gt;="&amp;C2017)</f>
        <v/>
      </c>
      <c r="H2017">
        <f>INDEX(CBIC_Late_Fee_Relief_Windows_3B!$I$2017:$I$100,MATCH(G2017,CBIC_Late_Fee_Relief_Windows_3B!$O$2017:$O$100,0))</f>
        <v/>
      </c>
      <c r="I2017">
        <f>MIN(F2017,H2017)</f>
        <v/>
      </c>
    </row>
    <row r="2018">
      <c r="A2018">
        <f>TEST_DATA!A2018</f>
        <v/>
      </c>
      <c r="B2018">
        <f>TEST_DATA!B2018</f>
        <v/>
      </c>
      <c r="C2018">
        <f>TEST_DATA!C2018</f>
        <v/>
      </c>
      <c r="D2018">
        <f>TEST_DATA!D2018</f>
        <v/>
      </c>
      <c r="E2018">
        <f>TEST_DATA!E2018</f>
        <v/>
      </c>
      <c r="F2018">
        <f>MIN(E2018*201800,10000)</f>
        <v/>
      </c>
      <c r="G2018">
        <f>MINIFS(CBIC_Late_Fee_Relief_Windows_3B!$O$2018:$O$100,CBIC_Late_Fee_Relief_Windows_3B!$D$2018:$D$100,"&lt;="&amp;B2018,CBIC_Late_Fee_Relief_Windows_3B!$E$2018:$E$100,"&gt;="&amp;B2018,CBIC_Late_Fee_Relief_Windows_3B!$F$2018:$F$100,"&lt;="&amp;C2018,CBIC_Late_Fee_Relief_Windows_3B!$G$2018:$G$100,"&gt;="&amp;C2018)</f>
        <v/>
      </c>
      <c r="H2018">
        <f>INDEX(CBIC_Late_Fee_Relief_Windows_3B!$I$2018:$I$100,MATCH(G2018,CBIC_Late_Fee_Relief_Windows_3B!$O$2018:$O$100,0))</f>
        <v/>
      </c>
      <c r="I2018">
        <f>MIN(F2018,H2018)</f>
        <v/>
      </c>
    </row>
    <row r="2019">
      <c r="A2019">
        <f>TEST_DATA!A2019</f>
        <v/>
      </c>
      <c r="B2019">
        <f>TEST_DATA!B2019</f>
        <v/>
      </c>
      <c r="C2019">
        <f>TEST_DATA!C2019</f>
        <v/>
      </c>
      <c r="D2019">
        <f>TEST_DATA!D2019</f>
        <v/>
      </c>
      <c r="E2019">
        <f>TEST_DATA!E2019</f>
        <v/>
      </c>
      <c r="F2019">
        <f>MIN(E2019*201900,10000)</f>
        <v/>
      </c>
      <c r="G2019">
        <f>MINIFS(CBIC_Late_Fee_Relief_Windows_3B!$O$2019:$O$100,CBIC_Late_Fee_Relief_Windows_3B!$D$2019:$D$100,"&lt;="&amp;B2019,CBIC_Late_Fee_Relief_Windows_3B!$E$2019:$E$100,"&gt;="&amp;B2019,CBIC_Late_Fee_Relief_Windows_3B!$F$2019:$F$100,"&lt;="&amp;C2019,CBIC_Late_Fee_Relief_Windows_3B!$G$2019:$G$100,"&gt;="&amp;C2019)</f>
        <v/>
      </c>
      <c r="H2019">
        <f>INDEX(CBIC_Late_Fee_Relief_Windows_3B!$I$2019:$I$100,MATCH(G2019,CBIC_Late_Fee_Relief_Windows_3B!$O$2019:$O$100,0))</f>
        <v/>
      </c>
      <c r="I2019">
        <f>MIN(F2019,H2019)</f>
        <v/>
      </c>
    </row>
    <row r="2020">
      <c r="A2020">
        <f>TEST_DATA!A2020</f>
        <v/>
      </c>
      <c r="B2020">
        <f>TEST_DATA!B2020</f>
        <v/>
      </c>
      <c r="C2020">
        <f>TEST_DATA!C2020</f>
        <v/>
      </c>
      <c r="D2020">
        <f>TEST_DATA!D2020</f>
        <v/>
      </c>
      <c r="E2020">
        <f>TEST_DATA!E2020</f>
        <v/>
      </c>
      <c r="F2020">
        <f>MIN(E2020*202000,10000)</f>
        <v/>
      </c>
      <c r="G2020">
        <f>MINIFS(CBIC_Late_Fee_Relief_Windows_3B!$O$2020:$O$100,CBIC_Late_Fee_Relief_Windows_3B!$D$2020:$D$100,"&lt;="&amp;B2020,CBIC_Late_Fee_Relief_Windows_3B!$E$2020:$E$100,"&gt;="&amp;B2020,CBIC_Late_Fee_Relief_Windows_3B!$F$2020:$F$100,"&lt;="&amp;C2020,CBIC_Late_Fee_Relief_Windows_3B!$G$2020:$G$100,"&gt;="&amp;C2020)</f>
        <v/>
      </c>
      <c r="H2020">
        <f>INDEX(CBIC_Late_Fee_Relief_Windows_3B!$I$2020:$I$100,MATCH(G2020,CBIC_Late_Fee_Relief_Windows_3B!$O$2020:$O$100,0))</f>
        <v/>
      </c>
      <c r="I2020">
        <f>MIN(F2020,H2020)</f>
        <v/>
      </c>
    </row>
    <row r="2021">
      <c r="A2021">
        <f>TEST_DATA!A2021</f>
        <v/>
      </c>
      <c r="B2021">
        <f>TEST_DATA!B2021</f>
        <v/>
      </c>
      <c r="C2021">
        <f>TEST_DATA!C2021</f>
        <v/>
      </c>
      <c r="D2021">
        <f>TEST_DATA!D2021</f>
        <v/>
      </c>
      <c r="E2021">
        <f>TEST_DATA!E2021</f>
        <v/>
      </c>
      <c r="F2021">
        <f>MIN(E2021*202100,10000)</f>
        <v/>
      </c>
      <c r="G2021">
        <f>MINIFS(CBIC_Late_Fee_Relief_Windows_3B!$O$2021:$O$100,CBIC_Late_Fee_Relief_Windows_3B!$D$2021:$D$100,"&lt;="&amp;B2021,CBIC_Late_Fee_Relief_Windows_3B!$E$2021:$E$100,"&gt;="&amp;B2021,CBIC_Late_Fee_Relief_Windows_3B!$F$2021:$F$100,"&lt;="&amp;C2021,CBIC_Late_Fee_Relief_Windows_3B!$G$2021:$G$100,"&gt;="&amp;C2021)</f>
        <v/>
      </c>
      <c r="H2021">
        <f>INDEX(CBIC_Late_Fee_Relief_Windows_3B!$I$2021:$I$100,MATCH(G2021,CBIC_Late_Fee_Relief_Windows_3B!$O$2021:$O$100,0))</f>
        <v/>
      </c>
      <c r="I2021">
        <f>MIN(F2021,H2021)</f>
        <v/>
      </c>
    </row>
    <row r="2022">
      <c r="A2022">
        <f>TEST_DATA!A2022</f>
        <v/>
      </c>
      <c r="B2022">
        <f>TEST_DATA!B2022</f>
        <v/>
      </c>
      <c r="C2022">
        <f>TEST_DATA!C2022</f>
        <v/>
      </c>
      <c r="D2022">
        <f>TEST_DATA!D2022</f>
        <v/>
      </c>
      <c r="E2022">
        <f>TEST_DATA!E2022</f>
        <v/>
      </c>
      <c r="F2022">
        <f>MIN(E2022*202200,10000)</f>
        <v/>
      </c>
      <c r="G2022">
        <f>MINIFS(CBIC_Late_Fee_Relief_Windows_3B!$O$2022:$O$100,CBIC_Late_Fee_Relief_Windows_3B!$D$2022:$D$100,"&lt;="&amp;B2022,CBIC_Late_Fee_Relief_Windows_3B!$E$2022:$E$100,"&gt;="&amp;B2022,CBIC_Late_Fee_Relief_Windows_3B!$F$2022:$F$100,"&lt;="&amp;C2022,CBIC_Late_Fee_Relief_Windows_3B!$G$2022:$G$100,"&gt;="&amp;C2022)</f>
        <v/>
      </c>
      <c r="H2022">
        <f>INDEX(CBIC_Late_Fee_Relief_Windows_3B!$I$2022:$I$100,MATCH(G2022,CBIC_Late_Fee_Relief_Windows_3B!$O$2022:$O$100,0))</f>
        <v/>
      </c>
      <c r="I2022">
        <f>MIN(F2022,H2022)</f>
        <v/>
      </c>
    </row>
    <row r="2023">
      <c r="A2023">
        <f>TEST_DATA!A2023</f>
        <v/>
      </c>
      <c r="B2023">
        <f>TEST_DATA!B2023</f>
        <v/>
      </c>
      <c r="C2023">
        <f>TEST_DATA!C2023</f>
        <v/>
      </c>
      <c r="D2023">
        <f>TEST_DATA!D2023</f>
        <v/>
      </c>
      <c r="E2023">
        <f>TEST_DATA!E2023</f>
        <v/>
      </c>
      <c r="F2023">
        <f>MIN(E2023*202300,10000)</f>
        <v/>
      </c>
      <c r="G2023">
        <f>MINIFS(CBIC_Late_Fee_Relief_Windows_3B!$O$2023:$O$100,CBIC_Late_Fee_Relief_Windows_3B!$D$2023:$D$100,"&lt;="&amp;B2023,CBIC_Late_Fee_Relief_Windows_3B!$E$2023:$E$100,"&gt;="&amp;B2023,CBIC_Late_Fee_Relief_Windows_3B!$F$2023:$F$100,"&lt;="&amp;C2023,CBIC_Late_Fee_Relief_Windows_3B!$G$2023:$G$100,"&gt;="&amp;C2023)</f>
        <v/>
      </c>
      <c r="H2023">
        <f>INDEX(CBIC_Late_Fee_Relief_Windows_3B!$I$2023:$I$100,MATCH(G2023,CBIC_Late_Fee_Relief_Windows_3B!$O$2023:$O$100,0))</f>
        <v/>
      </c>
      <c r="I2023">
        <f>MIN(F2023,H2023)</f>
        <v/>
      </c>
    </row>
    <row r="2024">
      <c r="A2024">
        <f>TEST_DATA!A2024</f>
        <v/>
      </c>
      <c r="B2024">
        <f>TEST_DATA!B2024</f>
        <v/>
      </c>
      <c r="C2024">
        <f>TEST_DATA!C2024</f>
        <v/>
      </c>
      <c r="D2024">
        <f>TEST_DATA!D2024</f>
        <v/>
      </c>
      <c r="E2024">
        <f>TEST_DATA!E2024</f>
        <v/>
      </c>
      <c r="F2024">
        <f>MIN(E2024*202400,10000)</f>
        <v/>
      </c>
      <c r="G2024">
        <f>MINIFS(CBIC_Late_Fee_Relief_Windows_3B!$O$2024:$O$100,CBIC_Late_Fee_Relief_Windows_3B!$D$2024:$D$100,"&lt;="&amp;B2024,CBIC_Late_Fee_Relief_Windows_3B!$E$2024:$E$100,"&gt;="&amp;B2024,CBIC_Late_Fee_Relief_Windows_3B!$F$2024:$F$100,"&lt;="&amp;C2024,CBIC_Late_Fee_Relief_Windows_3B!$G$2024:$G$100,"&gt;="&amp;C2024)</f>
        <v/>
      </c>
      <c r="H2024">
        <f>INDEX(CBIC_Late_Fee_Relief_Windows_3B!$I$2024:$I$100,MATCH(G2024,CBIC_Late_Fee_Relief_Windows_3B!$O$2024:$O$100,0))</f>
        <v/>
      </c>
      <c r="I2024">
        <f>MIN(F2024,H2024)</f>
        <v/>
      </c>
    </row>
    <row r="2025">
      <c r="A2025">
        <f>TEST_DATA!A2025</f>
        <v/>
      </c>
      <c r="B2025">
        <f>TEST_DATA!B2025</f>
        <v/>
      </c>
      <c r="C2025">
        <f>TEST_DATA!C2025</f>
        <v/>
      </c>
      <c r="D2025">
        <f>TEST_DATA!D2025</f>
        <v/>
      </c>
      <c r="E2025">
        <f>TEST_DATA!E2025</f>
        <v/>
      </c>
      <c r="F2025">
        <f>MIN(E2025*202500,10000)</f>
        <v/>
      </c>
      <c r="G2025">
        <f>MINIFS(CBIC_Late_Fee_Relief_Windows_3B!$O$2025:$O$100,CBIC_Late_Fee_Relief_Windows_3B!$D$2025:$D$100,"&lt;="&amp;B2025,CBIC_Late_Fee_Relief_Windows_3B!$E$2025:$E$100,"&gt;="&amp;B2025,CBIC_Late_Fee_Relief_Windows_3B!$F$2025:$F$100,"&lt;="&amp;C2025,CBIC_Late_Fee_Relief_Windows_3B!$G$2025:$G$100,"&gt;="&amp;C2025)</f>
        <v/>
      </c>
      <c r="H2025">
        <f>INDEX(CBIC_Late_Fee_Relief_Windows_3B!$I$2025:$I$100,MATCH(G2025,CBIC_Late_Fee_Relief_Windows_3B!$O$2025:$O$100,0))</f>
        <v/>
      </c>
      <c r="I2025">
        <f>MIN(F2025,H2025)</f>
        <v/>
      </c>
    </row>
    <row r="2026">
      <c r="A2026">
        <f>TEST_DATA!A2026</f>
        <v/>
      </c>
      <c r="B2026">
        <f>TEST_DATA!B2026</f>
        <v/>
      </c>
      <c r="C2026">
        <f>TEST_DATA!C2026</f>
        <v/>
      </c>
      <c r="D2026">
        <f>TEST_DATA!D2026</f>
        <v/>
      </c>
      <c r="E2026">
        <f>TEST_DATA!E2026</f>
        <v/>
      </c>
      <c r="F2026">
        <f>MIN(E2026*202600,10000)</f>
        <v/>
      </c>
      <c r="G2026">
        <f>MINIFS(CBIC_Late_Fee_Relief_Windows_3B!$O$2026:$O$100,CBIC_Late_Fee_Relief_Windows_3B!$D$2026:$D$100,"&lt;="&amp;B2026,CBIC_Late_Fee_Relief_Windows_3B!$E$2026:$E$100,"&gt;="&amp;B2026,CBIC_Late_Fee_Relief_Windows_3B!$F$2026:$F$100,"&lt;="&amp;C2026,CBIC_Late_Fee_Relief_Windows_3B!$G$2026:$G$100,"&gt;="&amp;C2026)</f>
        <v/>
      </c>
      <c r="H2026">
        <f>INDEX(CBIC_Late_Fee_Relief_Windows_3B!$I$2026:$I$100,MATCH(G2026,CBIC_Late_Fee_Relief_Windows_3B!$O$2026:$O$100,0))</f>
        <v/>
      </c>
      <c r="I2026">
        <f>MIN(F2026,H2026)</f>
        <v/>
      </c>
    </row>
    <row r="2027">
      <c r="A2027">
        <f>TEST_DATA!A2027</f>
        <v/>
      </c>
      <c r="B2027">
        <f>TEST_DATA!B2027</f>
        <v/>
      </c>
      <c r="C2027">
        <f>TEST_DATA!C2027</f>
        <v/>
      </c>
      <c r="D2027">
        <f>TEST_DATA!D2027</f>
        <v/>
      </c>
      <c r="E2027">
        <f>TEST_DATA!E2027</f>
        <v/>
      </c>
      <c r="F2027">
        <f>MIN(E2027*202700,10000)</f>
        <v/>
      </c>
      <c r="G2027">
        <f>MINIFS(CBIC_Late_Fee_Relief_Windows_3B!$O$2027:$O$100,CBIC_Late_Fee_Relief_Windows_3B!$D$2027:$D$100,"&lt;="&amp;B2027,CBIC_Late_Fee_Relief_Windows_3B!$E$2027:$E$100,"&gt;="&amp;B2027,CBIC_Late_Fee_Relief_Windows_3B!$F$2027:$F$100,"&lt;="&amp;C2027,CBIC_Late_Fee_Relief_Windows_3B!$G$2027:$G$100,"&gt;="&amp;C2027)</f>
        <v/>
      </c>
      <c r="H2027">
        <f>INDEX(CBIC_Late_Fee_Relief_Windows_3B!$I$2027:$I$100,MATCH(G2027,CBIC_Late_Fee_Relief_Windows_3B!$O$2027:$O$100,0))</f>
        <v/>
      </c>
      <c r="I2027">
        <f>MIN(F2027,H2027)</f>
        <v/>
      </c>
    </row>
    <row r="2028">
      <c r="A2028">
        <f>TEST_DATA!A2028</f>
        <v/>
      </c>
      <c r="B2028">
        <f>TEST_DATA!B2028</f>
        <v/>
      </c>
      <c r="C2028">
        <f>TEST_DATA!C2028</f>
        <v/>
      </c>
      <c r="D2028">
        <f>TEST_DATA!D2028</f>
        <v/>
      </c>
      <c r="E2028">
        <f>TEST_DATA!E2028</f>
        <v/>
      </c>
      <c r="F2028">
        <f>MIN(E2028*202800,10000)</f>
        <v/>
      </c>
      <c r="G2028">
        <f>MINIFS(CBIC_Late_Fee_Relief_Windows_3B!$O$2028:$O$100,CBIC_Late_Fee_Relief_Windows_3B!$D$2028:$D$100,"&lt;="&amp;B2028,CBIC_Late_Fee_Relief_Windows_3B!$E$2028:$E$100,"&gt;="&amp;B2028,CBIC_Late_Fee_Relief_Windows_3B!$F$2028:$F$100,"&lt;="&amp;C2028,CBIC_Late_Fee_Relief_Windows_3B!$G$2028:$G$100,"&gt;="&amp;C2028)</f>
        <v/>
      </c>
      <c r="H2028">
        <f>INDEX(CBIC_Late_Fee_Relief_Windows_3B!$I$2028:$I$100,MATCH(G2028,CBIC_Late_Fee_Relief_Windows_3B!$O$2028:$O$100,0))</f>
        <v/>
      </c>
      <c r="I2028">
        <f>MIN(F2028,H2028)</f>
        <v/>
      </c>
    </row>
    <row r="2029">
      <c r="A2029">
        <f>TEST_DATA!A2029</f>
        <v/>
      </c>
      <c r="B2029">
        <f>TEST_DATA!B2029</f>
        <v/>
      </c>
      <c r="C2029">
        <f>TEST_DATA!C2029</f>
        <v/>
      </c>
      <c r="D2029">
        <f>TEST_DATA!D2029</f>
        <v/>
      </c>
      <c r="E2029">
        <f>TEST_DATA!E2029</f>
        <v/>
      </c>
      <c r="F2029">
        <f>MIN(E2029*202900,10000)</f>
        <v/>
      </c>
      <c r="G2029">
        <f>MINIFS(CBIC_Late_Fee_Relief_Windows_3B!$O$2029:$O$100,CBIC_Late_Fee_Relief_Windows_3B!$D$2029:$D$100,"&lt;="&amp;B2029,CBIC_Late_Fee_Relief_Windows_3B!$E$2029:$E$100,"&gt;="&amp;B2029,CBIC_Late_Fee_Relief_Windows_3B!$F$2029:$F$100,"&lt;="&amp;C2029,CBIC_Late_Fee_Relief_Windows_3B!$G$2029:$G$100,"&gt;="&amp;C2029)</f>
        <v/>
      </c>
      <c r="H2029">
        <f>INDEX(CBIC_Late_Fee_Relief_Windows_3B!$I$2029:$I$100,MATCH(G2029,CBIC_Late_Fee_Relief_Windows_3B!$O$2029:$O$100,0))</f>
        <v/>
      </c>
      <c r="I2029">
        <f>MIN(F2029,H2029)</f>
        <v/>
      </c>
    </row>
    <row r="2030">
      <c r="A2030">
        <f>TEST_DATA!A2030</f>
        <v/>
      </c>
      <c r="B2030">
        <f>TEST_DATA!B2030</f>
        <v/>
      </c>
      <c r="C2030">
        <f>TEST_DATA!C2030</f>
        <v/>
      </c>
      <c r="D2030">
        <f>TEST_DATA!D2030</f>
        <v/>
      </c>
      <c r="E2030">
        <f>TEST_DATA!E2030</f>
        <v/>
      </c>
      <c r="F2030">
        <f>MIN(E2030*203000,10000)</f>
        <v/>
      </c>
      <c r="G2030">
        <f>MINIFS(CBIC_Late_Fee_Relief_Windows_3B!$O$2030:$O$100,CBIC_Late_Fee_Relief_Windows_3B!$D$2030:$D$100,"&lt;="&amp;B2030,CBIC_Late_Fee_Relief_Windows_3B!$E$2030:$E$100,"&gt;="&amp;B2030,CBIC_Late_Fee_Relief_Windows_3B!$F$2030:$F$100,"&lt;="&amp;C2030,CBIC_Late_Fee_Relief_Windows_3B!$G$2030:$G$100,"&gt;="&amp;C2030)</f>
        <v/>
      </c>
      <c r="H2030">
        <f>INDEX(CBIC_Late_Fee_Relief_Windows_3B!$I$2030:$I$100,MATCH(G2030,CBIC_Late_Fee_Relief_Windows_3B!$O$2030:$O$100,0))</f>
        <v/>
      </c>
      <c r="I2030">
        <f>MIN(F2030,H2030)</f>
        <v/>
      </c>
    </row>
    <row r="2031">
      <c r="A2031">
        <f>TEST_DATA!A2031</f>
        <v/>
      </c>
      <c r="B2031">
        <f>TEST_DATA!B2031</f>
        <v/>
      </c>
      <c r="C2031">
        <f>TEST_DATA!C2031</f>
        <v/>
      </c>
      <c r="D2031">
        <f>TEST_DATA!D2031</f>
        <v/>
      </c>
      <c r="E2031">
        <f>TEST_DATA!E2031</f>
        <v/>
      </c>
      <c r="F2031">
        <f>MIN(E2031*203100,10000)</f>
        <v/>
      </c>
      <c r="G2031">
        <f>MINIFS(CBIC_Late_Fee_Relief_Windows_3B!$O$2031:$O$100,CBIC_Late_Fee_Relief_Windows_3B!$D$2031:$D$100,"&lt;="&amp;B2031,CBIC_Late_Fee_Relief_Windows_3B!$E$2031:$E$100,"&gt;="&amp;B2031,CBIC_Late_Fee_Relief_Windows_3B!$F$2031:$F$100,"&lt;="&amp;C2031,CBIC_Late_Fee_Relief_Windows_3B!$G$2031:$G$100,"&gt;="&amp;C2031)</f>
        <v/>
      </c>
      <c r="H2031">
        <f>INDEX(CBIC_Late_Fee_Relief_Windows_3B!$I$2031:$I$100,MATCH(G2031,CBIC_Late_Fee_Relief_Windows_3B!$O$2031:$O$100,0))</f>
        <v/>
      </c>
      <c r="I2031">
        <f>MIN(F2031,H2031)</f>
        <v/>
      </c>
    </row>
    <row r="2032">
      <c r="A2032">
        <f>TEST_DATA!A2032</f>
        <v/>
      </c>
      <c r="B2032">
        <f>TEST_DATA!B2032</f>
        <v/>
      </c>
      <c r="C2032">
        <f>TEST_DATA!C2032</f>
        <v/>
      </c>
      <c r="D2032">
        <f>TEST_DATA!D2032</f>
        <v/>
      </c>
      <c r="E2032">
        <f>TEST_DATA!E2032</f>
        <v/>
      </c>
      <c r="F2032">
        <f>MIN(E2032*203200,10000)</f>
        <v/>
      </c>
      <c r="G2032">
        <f>MINIFS(CBIC_Late_Fee_Relief_Windows_3B!$O$2032:$O$100,CBIC_Late_Fee_Relief_Windows_3B!$D$2032:$D$100,"&lt;="&amp;B2032,CBIC_Late_Fee_Relief_Windows_3B!$E$2032:$E$100,"&gt;="&amp;B2032,CBIC_Late_Fee_Relief_Windows_3B!$F$2032:$F$100,"&lt;="&amp;C2032,CBIC_Late_Fee_Relief_Windows_3B!$G$2032:$G$100,"&gt;="&amp;C2032)</f>
        <v/>
      </c>
      <c r="H2032">
        <f>INDEX(CBIC_Late_Fee_Relief_Windows_3B!$I$2032:$I$100,MATCH(G2032,CBIC_Late_Fee_Relief_Windows_3B!$O$2032:$O$100,0))</f>
        <v/>
      </c>
      <c r="I2032">
        <f>MIN(F2032,H2032)</f>
        <v/>
      </c>
    </row>
    <row r="2033">
      <c r="A2033">
        <f>TEST_DATA!A2033</f>
        <v/>
      </c>
      <c r="B2033">
        <f>TEST_DATA!B2033</f>
        <v/>
      </c>
      <c r="C2033">
        <f>TEST_DATA!C2033</f>
        <v/>
      </c>
      <c r="D2033">
        <f>TEST_DATA!D2033</f>
        <v/>
      </c>
      <c r="E2033">
        <f>TEST_DATA!E2033</f>
        <v/>
      </c>
      <c r="F2033">
        <f>MIN(E2033*203300,10000)</f>
        <v/>
      </c>
      <c r="G2033">
        <f>MINIFS(CBIC_Late_Fee_Relief_Windows_3B!$O$2033:$O$100,CBIC_Late_Fee_Relief_Windows_3B!$D$2033:$D$100,"&lt;="&amp;B2033,CBIC_Late_Fee_Relief_Windows_3B!$E$2033:$E$100,"&gt;="&amp;B2033,CBIC_Late_Fee_Relief_Windows_3B!$F$2033:$F$100,"&lt;="&amp;C2033,CBIC_Late_Fee_Relief_Windows_3B!$G$2033:$G$100,"&gt;="&amp;C2033)</f>
        <v/>
      </c>
      <c r="H2033">
        <f>INDEX(CBIC_Late_Fee_Relief_Windows_3B!$I$2033:$I$100,MATCH(G2033,CBIC_Late_Fee_Relief_Windows_3B!$O$2033:$O$100,0))</f>
        <v/>
      </c>
      <c r="I2033">
        <f>MIN(F2033,H2033)</f>
        <v/>
      </c>
    </row>
    <row r="2034">
      <c r="A2034">
        <f>TEST_DATA!A2034</f>
        <v/>
      </c>
      <c r="B2034">
        <f>TEST_DATA!B2034</f>
        <v/>
      </c>
      <c r="C2034">
        <f>TEST_DATA!C2034</f>
        <v/>
      </c>
      <c r="D2034">
        <f>TEST_DATA!D2034</f>
        <v/>
      </c>
      <c r="E2034">
        <f>TEST_DATA!E2034</f>
        <v/>
      </c>
      <c r="F2034">
        <f>MIN(E2034*203400,10000)</f>
        <v/>
      </c>
      <c r="G2034">
        <f>MINIFS(CBIC_Late_Fee_Relief_Windows_3B!$O$2034:$O$100,CBIC_Late_Fee_Relief_Windows_3B!$D$2034:$D$100,"&lt;="&amp;B2034,CBIC_Late_Fee_Relief_Windows_3B!$E$2034:$E$100,"&gt;="&amp;B2034,CBIC_Late_Fee_Relief_Windows_3B!$F$2034:$F$100,"&lt;="&amp;C2034,CBIC_Late_Fee_Relief_Windows_3B!$G$2034:$G$100,"&gt;="&amp;C2034)</f>
        <v/>
      </c>
      <c r="H2034">
        <f>INDEX(CBIC_Late_Fee_Relief_Windows_3B!$I$2034:$I$100,MATCH(G2034,CBIC_Late_Fee_Relief_Windows_3B!$O$2034:$O$100,0))</f>
        <v/>
      </c>
      <c r="I2034">
        <f>MIN(F2034,H2034)</f>
        <v/>
      </c>
    </row>
    <row r="2035">
      <c r="A2035">
        <f>TEST_DATA!A2035</f>
        <v/>
      </c>
      <c r="B2035">
        <f>TEST_DATA!B2035</f>
        <v/>
      </c>
      <c r="C2035">
        <f>TEST_DATA!C2035</f>
        <v/>
      </c>
      <c r="D2035">
        <f>TEST_DATA!D2035</f>
        <v/>
      </c>
      <c r="E2035">
        <f>TEST_DATA!E2035</f>
        <v/>
      </c>
      <c r="F2035">
        <f>MIN(E2035*203500,10000)</f>
        <v/>
      </c>
      <c r="G2035">
        <f>MINIFS(CBIC_Late_Fee_Relief_Windows_3B!$O$2035:$O$100,CBIC_Late_Fee_Relief_Windows_3B!$D$2035:$D$100,"&lt;="&amp;B2035,CBIC_Late_Fee_Relief_Windows_3B!$E$2035:$E$100,"&gt;="&amp;B2035,CBIC_Late_Fee_Relief_Windows_3B!$F$2035:$F$100,"&lt;="&amp;C2035,CBIC_Late_Fee_Relief_Windows_3B!$G$2035:$G$100,"&gt;="&amp;C2035)</f>
        <v/>
      </c>
      <c r="H2035">
        <f>INDEX(CBIC_Late_Fee_Relief_Windows_3B!$I$2035:$I$100,MATCH(G2035,CBIC_Late_Fee_Relief_Windows_3B!$O$2035:$O$100,0))</f>
        <v/>
      </c>
      <c r="I2035">
        <f>MIN(F2035,H2035)</f>
        <v/>
      </c>
    </row>
    <row r="2036">
      <c r="A2036">
        <f>TEST_DATA!A2036</f>
        <v/>
      </c>
      <c r="B2036">
        <f>TEST_DATA!B2036</f>
        <v/>
      </c>
      <c r="C2036">
        <f>TEST_DATA!C2036</f>
        <v/>
      </c>
      <c r="D2036">
        <f>TEST_DATA!D2036</f>
        <v/>
      </c>
      <c r="E2036">
        <f>TEST_DATA!E2036</f>
        <v/>
      </c>
      <c r="F2036">
        <f>MIN(E2036*203600,10000)</f>
        <v/>
      </c>
      <c r="G2036">
        <f>MINIFS(CBIC_Late_Fee_Relief_Windows_3B!$O$2036:$O$100,CBIC_Late_Fee_Relief_Windows_3B!$D$2036:$D$100,"&lt;="&amp;B2036,CBIC_Late_Fee_Relief_Windows_3B!$E$2036:$E$100,"&gt;="&amp;B2036,CBIC_Late_Fee_Relief_Windows_3B!$F$2036:$F$100,"&lt;="&amp;C2036,CBIC_Late_Fee_Relief_Windows_3B!$G$2036:$G$100,"&gt;="&amp;C2036)</f>
        <v/>
      </c>
      <c r="H2036">
        <f>INDEX(CBIC_Late_Fee_Relief_Windows_3B!$I$2036:$I$100,MATCH(G2036,CBIC_Late_Fee_Relief_Windows_3B!$O$2036:$O$100,0))</f>
        <v/>
      </c>
      <c r="I2036">
        <f>MIN(F2036,H2036)</f>
        <v/>
      </c>
    </row>
    <row r="2037">
      <c r="A2037">
        <f>TEST_DATA!A2037</f>
        <v/>
      </c>
      <c r="B2037">
        <f>TEST_DATA!B2037</f>
        <v/>
      </c>
      <c r="C2037">
        <f>TEST_DATA!C2037</f>
        <v/>
      </c>
      <c r="D2037">
        <f>TEST_DATA!D2037</f>
        <v/>
      </c>
      <c r="E2037">
        <f>TEST_DATA!E2037</f>
        <v/>
      </c>
      <c r="F2037">
        <f>MIN(E2037*203700,10000)</f>
        <v/>
      </c>
      <c r="G2037">
        <f>MINIFS(CBIC_Late_Fee_Relief_Windows_3B!$O$2037:$O$100,CBIC_Late_Fee_Relief_Windows_3B!$D$2037:$D$100,"&lt;="&amp;B2037,CBIC_Late_Fee_Relief_Windows_3B!$E$2037:$E$100,"&gt;="&amp;B2037,CBIC_Late_Fee_Relief_Windows_3B!$F$2037:$F$100,"&lt;="&amp;C2037,CBIC_Late_Fee_Relief_Windows_3B!$G$2037:$G$100,"&gt;="&amp;C2037)</f>
        <v/>
      </c>
      <c r="H2037">
        <f>INDEX(CBIC_Late_Fee_Relief_Windows_3B!$I$2037:$I$100,MATCH(G2037,CBIC_Late_Fee_Relief_Windows_3B!$O$2037:$O$100,0))</f>
        <v/>
      </c>
      <c r="I2037">
        <f>MIN(F2037,H2037)</f>
        <v/>
      </c>
    </row>
    <row r="2038">
      <c r="A2038">
        <f>TEST_DATA!A2038</f>
        <v/>
      </c>
      <c r="B2038">
        <f>TEST_DATA!B2038</f>
        <v/>
      </c>
      <c r="C2038">
        <f>TEST_DATA!C2038</f>
        <v/>
      </c>
      <c r="D2038">
        <f>TEST_DATA!D2038</f>
        <v/>
      </c>
      <c r="E2038">
        <f>TEST_DATA!E2038</f>
        <v/>
      </c>
      <c r="F2038">
        <f>MIN(E2038*203800,10000)</f>
        <v/>
      </c>
      <c r="G2038">
        <f>MINIFS(CBIC_Late_Fee_Relief_Windows_3B!$O$2038:$O$100,CBIC_Late_Fee_Relief_Windows_3B!$D$2038:$D$100,"&lt;="&amp;B2038,CBIC_Late_Fee_Relief_Windows_3B!$E$2038:$E$100,"&gt;="&amp;B2038,CBIC_Late_Fee_Relief_Windows_3B!$F$2038:$F$100,"&lt;="&amp;C2038,CBIC_Late_Fee_Relief_Windows_3B!$G$2038:$G$100,"&gt;="&amp;C2038)</f>
        <v/>
      </c>
      <c r="H2038">
        <f>INDEX(CBIC_Late_Fee_Relief_Windows_3B!$I$2038:$I$100,MATCH(G2038,CBIC_Late_Fee_Relief_Windows_3B!$O$2038:$O$100,0))</f>
        <v/>
      </c>
      <c r="I2038">
        <f>MIN(F2038,H2038)</f>
        <v/>
      </c>
    </row>
    <row r="2039">
      <c r="A2039">
        <f>TEST_DATA!A2039</f>
        <v/>
      </c>
      <c r="B2039">
        <f>TEST_DATA!B2039</f>
        <v/>
      </c>
      <c r="C2039">
        <f>TEST_DATA!C2039</f>
        <v/>
      </c>
      <c r="D2039">
        <f>TEST_DATA!D2039</f>
        <v/>
      </c>
      <c r="E2039">
        <f>TEST_DATA!E2039</f>
        <v/>
      </c>
      <c r="F2039">
        <f>MIN(E2039*203900,10000)</f>
        <v/>
      </c>
      <c r="G2039">
        <f>MINIFS(CBIC_Late_Fee_Relief_Windows_3B!$O$2039:$O$100,CBIC_Late_Fee_Relief_Windows_3B!$D$2039:$D$100,"&lt;="&amp;B2039,CBIC_Late_Fee_Relief_Windows_3B!$E$2039:$E$100,"&gt;="&amp;B2039,CBIC_Late_Fee_Relief_Windows_3B!$F$2039:$F$100,"&lt;="&amp;C2039,CBIC_Late_Fee_Relief_Windows_3B!$G$2039:$G$100,"&gt;="&amp;C2039)</f>
        <v/>
      </c>
      <c r="H2039">
        <f>INDEX(CBIC_Late_Fee_Relief_Windows_3B!$I$2039:$I$100,MATCH(G2039,CBIC_Late_Fee_Relief_Windows_3B!$O$2039:$O$100,0))</f>
        <v/>
      </c>
      <c r="I2039">
        <f>MIN(F2039,H2039)</f>
        <v/>
      </c>
    </row>
    <row r="2040">
      <c r="A2040">
        <f>TEST_DATA!A2040</f>
        <v/>
      </c>
      <c r="B2040">
        <f>TEST_DATA!B2040</f>
        <v/>
      </c>
      <c r="C2040">
        <f>TEST_DATA!C2040</f>
        <v/>
      </c>
      <c r="D2040">
        <f>TEST_DATA!D2040</f>
        <v/>
      </c>
      <c r="E2040">
        <f>TEST_DATA!E2040</f>
        <v/>
      </c>
      <c r="F2040">
        <f>MIN(E2040*204000,10000)</f>
        <v/>
      </c>
      <c r="G2040">
        <f>MINIFS(CBIC_Late_Fee_Relief_Windows_3B!$O$2040:$O$100,CBIC_Late_Fee_Relief_Windows_3B!$D$2040:$D$100,"&lt;="&amp;B2040,CBIC_Late_Fee_Relief_Windows_3B!$E$2040:$E$100,"&gt;="&amp;B2040,CBIC_Late_Fee_Relief_Windows_3B!$F$2040:$F$100,"&lt;="&amp;C2040,CBIC_Late_Fee_Relief_Windows_3B!$G$2040:$G$100,"&gt;="&amp;C2040)</f>
        <v/>
      </c>
      <c r="H2040">
        <f>INDEX(CBIC_Late_Fee_Relief_Windows_3B!$I$2040:$I$100,MATCH(G2040,CBIC_Late_Fee_Relief_Windows_3B!$O$2040:$O$100,0))</f>
        <v/>
      </c>
      <c r="I2040">
        <f>MIN(F2040,H2040)</f>
        <v/>
      </c>
    </row>
    <row r="2041">
      <c r="A2041">
        <f>TEST_DATA!A2041</f>
        <v/>
      </c>
      <c r="B2041">
        <f>TEST_DATA!B2041</f>
        <v/>
      </c>
      <c r="C2041">
        <f>TEST_DATA!C2041</f>
        <v/>
      </c>
      <c r="D2041">
        <f>TEST_DATA!D2041</f>
        <v/>
      </c>
      <c r="E2041">
        <f>TEST_DATA!E2041</f>
        <v/>
      </c>
      <c r="F2041">
        <f>MIN(E2041*204100,10000)</f>
        <v/>
      </c>
      <c r="G2041">
        <f>MINIFS(CBIC_Late_Fee_Relief_Windows_3B!$O$2041:$O$100,CBIC_Late_Fee_Relief_Windows_3B!$D$2041:$D$100,"&lt;="&amp;B2041,CBIC_Late_Fee_Relief_Windows_3B!$E$2041:$E$100,"&gt;="&amp;B2041,CBIC_Late_Fee_Relief_Windows_3B!$F$2041:$F$100,"&lt;="&amp;C2041,CBIC_Late_Fee_Relief_Windows_3B!$G$2041:$G$100,"&gt;="&amp;C2041)</f>
        <v/>
      </c>
      <c r="H2041">
        <f>INDEX(CBIC_Late_Fee_Relief_Windows_3B!$I$2041:$I$100,MATCH(G2041,CBIC_Late_Fee_Relief_Windows_3B!$O$2041:$O$100,0))</f>
        <v/>
      </c>
      <c r="I2041">
        <f>MIN(F2041,H2041)</f>
        <v/>
      </c>
    </row>
    <row r="2042">
      <c r="A2042">
        <f>TEST_DATA!A2042</f>
        <v/>
      </c>
      <c r="B2042">
        <f>TEST_DATA!B2042</f>
        <v/>
      </c>
      <c r="C2042">
        <f>TEST_DATA!C2042</f>
        <v/>
      </c>
      <c r="D2042">
        <f>TEST_DATA!D2042</f>
        <v/>
      </c>
      <c r="E2042">
        <f>TEST_DATA!E2042</f>
        <v/>
      </c>
      <c r="F2042">
        <f>MIN(E2042*204200,10000)</f>
        <v/>
      </c>
      <c r="G2042">
        <f>MINIFS(CBIC_Late_Fee_Relief_Windows_3B!$O$2042:$O$100,CBIC_Late_Fee_Relief_Windows_3B!$D$2042:$D$100,"&lt;="&amp;B2042,CBIC_Late_Fee_Relief_Windows_3B!$E$2042:$E$100,"&gt;="&amp;B2042,CBIC_Late_Fee_Relief_Windows_3B!$F$2042:$F$100,"&lt;="&amp;C2042,CBIC_Late_Fee_Relief_Windows_3B!$G$2042:$G$100,"&gt;="&amp;C2042)</f>
        <v/>
      </c>
      <c r="H2042">
        <f>INDEX(CBIC_Late_Fee_Relief_Windows_3B!$I$2042:$I$100,MATCH(G2042,CBIC_Late_Fee_Relief_Windows_3B!$O$2042:$O$100,0))</f>
        <v/>
      </c>
      <c r="I2042">
        <f>MIN(F2042,H2042)</f>
        <v/>
      </c>
    </row>
    <row r="2043">
      <c r="A2043">
        <f>TEST_DATA!A2043</f>
        <v/>
      </c>
      <c r="B2043">
        <f>TEST_DATA!B2043</f>
        <v/>
      </c>
      <c r="C2043">
        <f>TEST_DATA!C2043</f>
        <v/>
      </c>
      <c r="D2043">
        <f>TEST_DATA!D2043</f>
        <v/>
      </c>
      <c r="E2043">
        <f>TEST_DATA!E2043</f>
        <v/>
      </c>
      <c r="F2043">
        <f>MIN(E2043*204300,10000)</f>
        <v/>
      </c>
      <c r="G2043">
        <f>MINIFS(CBIC_Late_Fee_Relief_Windows_3B!$O$2043:$O$100,CBIC_Late_Fee_Relief_Windows_3B!$D$2043:$D$100,"&lt;="&amp;B2043,CBIC_Late_Fee_Relief_Windows_3B!$E$2043:$E$100,"&gt;="&amp;B2043,CBIC_Late_Fee_Relief_Windows_3B!$F$2043:$F$100,"&lt;="&amp;C2043,CBIC_Late_Fee_Relief_Windows_3B!$G$2043:$G$100,"&gt;="&amp;C2043)</f>
        <v/>
      </c>
      <c r="H2043">
        <f>INDEX(CBIC_Late_Fee_Relief_Windows_3B!$I$2043:$I$100,MATCH(G2043,CBIC_Late_Fee_Relief_Windows_3B!$O$2043:$O$100,0))</f>
        <v/>
      </c>
      <c r="I2043">
        <f>MIN(F2043,H2043)</f>
        <v/>
      </c>
    </row>
    <row r="2044">
      <c r="A2044">
        <f>TEST_DATA!A2044</f>
        <v/>
      </c>
      <c r="B2044">
        <f>TEST_DATA!B2044</f>
        <v/>
      </c>
      <c r="C2044">
        <f>TEST_DATA!C2044</f>
        <v/>
      </c>
      <c r="D2044">
        <f>TEST_DATA!D2044</f>
        <v/>
      </c>
      <c r="E2044">
        <f>TEST_DATA!E2044</f>
        <v/>
      </c>
      <c r="F2044">
        <f>MIN(E2044*204400,10000)</f>
        <v/>
      </c>
      <c r="G2044">
        <f>MINIFS(CBIC_Late_Fee_Relief_Windows_3B!$O$2044:$O$100,CBIC_Late_Fee_Relief_Windows_3B!$D$2044:$D$100,"&lt;="&amp;B2044,CBIC_Late_Fee_Relief_Windows_3B!$E$2044:$E$100,"&gt;="&amp;B2044,CBIC_Late_Fee_Relief_Windows_3B!$F$2044:$F$100,"&lt;="&amp;C2044,CBIC_Late_Fee_Relief_Windows_3B!$G$2044:$G$100,"&gt;="&amp;C2044)</f>
        <v/>
      </c>
      <c r="H2044">
        <f>INDEX(CBIC_Late_Fee_Relief_Windows_3B!$I$2044:$I$100,MATCH(G2044,CBIC_Late_Fee_Relief_Windows_3B!$O$2044:$O$100,0))</f>
        <v/>
      </c>
      <c r="I2044">
        <f>MIN(F2044,H2044)</f>
        <v/>
      </c>
    </row>
    <row r="2045">
      <c r="A2045">
        <f>TEST_DATA!A2045</f>
        <v/>
      </c>
      <c r="B2045">
        <f>TEST_DATA!B2045</f>
        <v/>
      </c>
      <c r="C2045">
        <f>TEST_DATA!C2045</f>
        <v/>
      </c>
      <c r="D2045">
        <f>TEST_DATA!D2045</f>
        <v/>
      </c>
      <c r="E2045">
        <f>TEST_DATA!E2045</f>
        <v/>
      </c>
      <c r="F2045">
        <f>MIN(E2045*204500,10000)</f>
        <v/>
      </c>
      <c r="G2045">
        <f>MINIFS(CBIC_Late_Fee_Relief_Windows_3B!$O$2045:$O$100,CBIC_Late_Fee_Relief_Windows_3B!$D$2045:$D$100,"&lt;="&amp;B2045,CBIC_Late_Fee_Relief_Windows_3B!$E$2045:$E$100,"&gt;="&amp;B2045,CBIC_Late_Fee_Relief_Windows_3B!$F$2045:$F$100,"&lt;="&amp;C2045,CBIC_Late_Fee_Relief_Windows_3B!$G$2045:$G$100,"&gt;="&amp;C2045)</f>
        <v/>
      </c>
      <c r="H2045">
        <f>INDEX(CBIC_Late_Fee_Relief_Windows_3B!$I$2045:$I$100,MATCH(G2045,CBIC_Late_Fee_Relief_Windows_3B!$O$2045:$O$100,0))</f>
        <v/>
      </c>
      <c r="I2045">
        <f>MIN(F2045,H2045)</f>
        <v/>
      </c>
    </row>
    <row r="2046">
      <c r="A2046">
        <f>TEST_DATA!A2046</f>
        <v/>
      </c>
      <c r="B2046">
        <f>TEST_DATA!B2046</f>
        <v/>
      </c>
      <c r="C2046">
        <f>TEST_DATA!C2046</f>
        <v/>
      </c>
      <c r="D2046">
        <f>TEST_DATA!D2046</f>
        <v/>
      </c>
      <c r="E2046">
        <f>TEST_DATA!E2046</f>
        <v/>
      </c>
      <c r="F2046">
        <f>MIN(E2046*204600,10000)</f>
        <v/>
      </c>
      <c r="G2046">
        <f>MINIFS(CBIC_Late_Fee_Relief_Windows_3B!$O$2046:$O$100,CBIC_Late_Fee_Relief_Windows_3B!$D$2046:$D$100,"&lt;="&amp;B2046,CBIC_Late_Fee_Relief_Windows_3B!$E$2046:$E$100,"&gt;="&amp;B2046,CBIC_Late_Fee_Relief_Windows_3B!$F$2046:$F$100,"&lt;="&amp;C2046,CBIC_Late_Fee_Relief_Windows_3B!$G$2046:$G$100,"&gt;="&amp;C2046)</f>
        <v/>
      </c>
      <c r="H2046">
        <f>INDEX(CBIC_Late_Fee_Relief_Windows_3B!$I$2046:$I$100,MATCH(G2046,CBIC_Late_Fee_Relief_Windows_3B!$O$2046:$O$100,0))</f>
        <v/>
      </c>
      <c r="I2046">
        <f>MIN(F2046,H2046)</f>
        <v/>
      </c>
    </row>
    <row r="2047">
      <c r="A2047">
        <f>TEST_DATA!A2047</f>
        <v/>
      </c>
      <c r="B2047">
        <f>TEST_DATA!B2047</f>
        <v/>
      </c>
      <c r="C2047">
        <f>TEST_DATA!C2047</f>
        <v/>
      </c>
      <c r="D2047">
        <f>TEST_DATA!D2047</f>
        <v/>
      </c>
      <c r="E2047">
        <f>TEST_DATA!E2047</f>
        <v/>
      </c>
      <c r="F2047">
        <f>MIN(E2047*204700,10000)</f>
        <v/>
      </c>
      <c r="G2047">
        <f>MINIFS(CBIC_Late_Fee_Relief_Windows_3B!$O$2047:$O$100,CBIC_Late_Fee_Relief_Windows_3B!$D$2047:$D$100,"&lt;="&amp;B2047,CBIC_Late_Fee_Relief_Windows_3B!$E$2047:$E$100,"&gt;="&amp;B2047,CBIC_Late_Fee_Relief_Windows_3B!$F$2047:$F$100,"&lt;="&amp;C2047,CBIC_Late_Fee_Relief_Windows_3B!$G$2047:$G$100,"&gt;="&amp;C2047)</f>
        <v/>
      </c>
      <c r="H2047">
        <f>INDEX(CBIC_Late_Fee_Relief_Windows_3B!$I$2047:$I$100,MATCH(G2047,CBIC_Late_Fee_Relief_Windows_3B!$O$2047:$O$100,0))</f>
        <v/>
      </c>
      <c r="I2047">
        <f>MIN(F2047,H2047)</f>
        <v/>
      </c>
    </row>
    <row r="2048">
      <c r="A2048">
        <f>TEST_DATA!A2048</f>
        <v/>
      </c>
      <c r="B2048">
        <f>TEST_DATA!B2048</f>
        <v/>
      </c>
      <c r="C2048">
        <f>TEST_DATA!C2048</f>
        <v/>
      </c>
      <c r="D2048">
        <f>TEST_DATA!D2048</f>
        <v/>
      </c>
      <c r="E2048">
        <f>TEST_DATA!E2048</f>
        <v/>
      </c>
      <c r="F2048">
        <f>MIN(E2048*204800,10000)</f>
        <v/>
      </c>
      <c r="G2048">
        <f>MINIFS(CBIC_Late_Fee_Relief_Windows_3B!$O$2048:$O$100,CBIC_Late_Fee_Relief_Windows_3B!$D$2048:$D$100,"&lt;="&amp;B2048,CBIC_Late_Fee_Relief_Windows_3B!$E$2048:$E$100,"&gt;="&amp;B2048,CBIC_Late_Fee_Relief_Windows_3B!$F$2048:$F$100,"&lt;="&amp;C2048,CBIC_Late_Fee_Relief_Windows_3B!$G$2048:$G$100,"&gt;="&amp;C2048)</f>
        <v/>
      </c>
      <c r="H2048">
        <f>INDEX(CBIC_Late_Fee_Relief_Windows_3B!$I$2048:$I$100,MATCH(G2048,CBIC_Late_Fee_Relief_Windows_3B!$O$2048:$O$100,0))</f>
        <v/>
      </c>
      <c r="I2048">
        <f>MIN(F2048,H2048)</f>
        <v/>
      </c>
    </row>
    <row r="2049">
      <c r="A2049">
        <f>TEST_DATA!A2049</f>
        <v/>
      </c>
      <c r="B2049">
        <f>TEST_DATA!B2049</f>
        <v/>
      </c>
      <c r="C2049">
        <f>TEST_DATA!C2049</f>
        <v/>
      </c>
      <c r="D2049">
        <f>TEST_DATA!D2049</f>
        <v/>
      </c>
      <c r="E2049">
        <f>TEST_DATA!E2049</f>
        <v/>
      </c>
      <c r="F2049">
        <f>MIN(E2049*204900,10000)</f>
        <v/>
      </c>
      <c r="G2049">
        <f>MINIFS(CBIC_Late_Fee_Relief_Windows_3B!$O$2049:$O$100,CBIC_Late_Fee_Relief_Windows_3B!$D$2049:$D$100,"&lt;="&amp;B2049,CBIC_Late_Fee_Relief_Windows_3B!$E$2049:$E$100,"&gt;="&amp;B2049,CBIC_Late_Fee_Relief_Windows_3B!$F$2049:$F$100,"&lt;="&amp;C2049,CBIC_Late_Fee_Relief_Windows_3B!$G$2049:$G$100,"&gt;="&amp;C2049)</f>
        <v/>
      </c>
      <c r="H2049">
        <f>INDEX(CBIC_Late_Fee_Relief_Windows_3B!$I$2049:$I$100,MATCH(G2049,CBIC_Late_Fee_Relief_Windows_3B!$O$2049:$O$100,0))</f>
        <v/>
      </c>
      <c r="I2049">
        <f>MIN(F2049,H2049)</f>
        <v/>
      </c>
    </row>
    <row r="2050">
      <c r="A2050">
        <f>TEST_DATA!A2050</f>
        <v/>
      </c>
      <c r="B2050">
        <f>TEST_DATA!B2050</f>
        <v/>
      </c>
      <c r="C2050">
        <f>TEST_DATA!C2050</f>
        <v/>
      </c>
      <c r="D2050">
        <f>TEST_DATA!D2050</f>
        <v/>
      </c>
      <c r="E2050">
        <f>TEST_DATA!E2050</f>
        <v/>
      </c>
      <c r="F2050">
        <f>MIN(E2050*205000,10000)</f>
        <v/>
      </c>
      <c r="G2050">
        <f>MINIFS(CBIC_Late_Fee_Relief_Windows_3B!$O$2050:$O$100,CBIC_Late_Fee_Relief_Windows_3B!$D$2050:$D$100,"&lt;="&amp;B2050,CBIC_Late_Fee_Relief_Windows_3B!$E$2050:$E$100,"&gt;="&amp;B2050,CBIC_Late_Fee_Relief_Windows_3B!$F$2050:$F$100,"&lt;="&amp;C2050,CBIC_Late_Fee_Relief_Windows_3B!$G$2050:$G$100,"&gt;="&amp;C2050)</f>
        <v/>
      </c>
      <c r="H2050">
        <f>INDEX(CBIC_Late_Fee_Relief_Windows_3B!$I$2050:$I$100,MATCH(G2050,CBIC_Late_Fee_Relief_Windows_3B!$O$2050:$O$100,0))</f>
        <v/>
      </c>
      <c r="I2050">
        <f>MIN(F2050,H2050)</f>
        <v/>
      </c>
    </row>
    <row r="2051">
      <c r="A2051">
        <f>TEST_DATA!A2051</f>
        <v/>
      </c>
      <c r="B2051">
        <f>TEST_DATA!B2051</f>
        <v/>
      </c>
      <c r="C2051">
        <f>TEST_DATA!C2051</f>
        <v/>
      </c>
      <c r="D2051">
        <f>TEST_DATA!D2051</f>
        <v/>
      </c>
      <c r="E2051">
        <f>TEST_DATA!E2051</f>
        <v/>
      </c>
      <c r="F2051">
        <f>MIN(E2051*205100,10000)</f>
        <v/>
      </c>
      <c r="G2051">
        <f>MINIFS(CBIC_Late_Fee_Relief_Windows_3B!$O$2051:$O$100,CBIC_Late_Fee_Relief_Windows_3B!$D$2051:$D$100,"&lt;="&amp;B2051,CBIC_Late_Fee_Relief_Windows_3B!$E$2051:$E$100,"&gt;="&amp;B2051,CBIC_Late_Fee_Relief_Windows_3B!$F$2051:$F$100,"&lt;="&amp;C2051,CBIC_Late_Fee_Relief_Windows_3B!$G$2051:$G$100,"&gt;="&amp;C2051)</f>
        <v/>
      </c>
      <c r="H2051">
        <f>INDEX(CBIC_Late_Fee_Relief_Windows_3B!$I$2051:$I$100,MATCH(G2051,CBIC_Late_Fee_Relief_Windows_3B!$O$2051:$O$100,0))</f>
        <v/>
      </c>
      <c r="I2051">
        <f>MIN(F2051,H2051)</f>
        <v/>
      </c>
    </row>
    <row r="2052">
      <c r="A2052">
        <f>TEST_DATA!A2052</f>
        <v/>
      </c>
      <c r="B2052">
        <f>TEST_DATA!B2052</f>
        <v/>
      </c>
      <c r="C2052">
        <f>TEST_DATA!C2052</f>
        <v/>
      </c>
      <c r="D2052">
        <f>TEST_DATA!D2052</f>
        <v/>
      </c>
      <c r="E2052">
        <f>TEST_DATA!E2052</f>
        <v/>
      </c>
      <c r="F2052">
        <f>MIN(E2052*205200,10000)</f>
        <v/>
      </c>
      <c r="G2052">
        <f>MINIFS(CBIC_Late_Fee_Relief_Windows_3B!$O$2052:$O$100,CBIC_Late_Fee_Relief_Windows_3B!$D$2052:$D$100,"&lt;="&amp;B2052,CBIC_Late_Fee_Relief_Windows_3B!$E$2052:$E$100,"&gt;="&amp;B2052,CBIC_Late_Fee_Relief_Windows_3B!$F$2052:$F$100,"&lt;="&amp;C2052,CBIC_Late_Fee_Relief_Windows_3B!$G$2052:$G$100,"&gt;="&amp;C2052)</f>
        <v/>
      </c>
      <c r="H2052">
        <f>INDEX(CBIC_Late_Fee_Relief_Windows_3B!$I$2052:$I$100,MATCH(G2052,CBIC_Late_Fee_Relief_Windows_3B!$O$2052:$O$100,0))</f>
        <v/>
      </c>
      <c r="I2052">
        <f>MIN(F2052,H2052)</f>
        <v/>
      </c>
    </row>
    <row r="2053">
      <c r="A2053">
        <f>TEST_DATA!A2053</f>
        <v/>
      </c>
      <c r="B2053">
        <f>TEST_DATA!B2053</f>
        <v/>
      </c>
      <c r="C2053">
        <f>TEST_DATA!C2053</f>
        <v/>
      </c>
      <c r="D2053">
        <f>TEST_DATA!D2053</f>
        <v/>
      </c>
      <c r="E2053">
        <f>TEST_DATA!E2053</f>
        <v/>
      </c>
      <c r="F2053">
        <f>MIN(E2053*205300,10000)</f>
        <v/>
      </c>
      <c r="G2053">
        <f>MINIFS(CBIC_Late_Fee_Relief_Windows_3B!$O$2053:$O$100,CBIC_Late_Fee_Relief_Windows_3B!$D$2053:$D$100,"&lt;="&amp;B2053,CBIC_Late_Fee_Relief_Windows_3B!$E$2053:$E$100,"&gt;="&amp;B2053,CBIC_Late_Fee_Relief_Windows_3B!$F$2053:$F$100,"&lt;="&amp;C2053,CBIC_Late_Fee_Relief_Windows_3B!$G$2053:$G$100,"&gt;="&amp;C2053)</f>
        <v/>
      </c>
      <c r="H2053">
        <f>INDEX(CBIC_Late_Fee_Relief_Windows_3B!$I$2053:$I$100,MATCH(G2053,CBIC_Late_Fee_Relief_Windows_3B!$O$2053:$O$100,0))</f>
        <v/>
      </c>
      <c r="I2053">
        <f>MIN(F2053,H2053)</f>
        <v/>
      </c>
    </row>
    <row r="2054">
      <c r="A2054">
        <f>TEST_DATA!A2054</f>
        <v/>
      </c>
      <c r="B2054">
        <f>TEST_DATA!B2054</f>
        <v/>
      </c>
      <c r="C2054">
        <f>TEST_DATA!C2054</f>
        <v/>
      </c>
      <c r="D2054">
        <f>TEST_DATA!D2054</f>
        <v/>
      </c>
      <c r="E2054">
        <f>TEST_DATA!E2054</f>
        <v/>
      </c>
      <c r="F2054">
        <f>MIN(E2054*205400,10000)</f>
        <v/>
      </c>
      <c r="G2054">
        <f>MINIFS(CBIC_Late_Fee_Relief_Windows_3B!$O$2054:$O$100,CBIC_Late_Fee_Relief_Windows_3B!$D$2054:$D$100,"&lt;="&amp;B2054,CBIC_Late_Fee_Relief_Windows_3B!$E$2054:$E$100,"&gt;="&amp;B2054,CBIC_Late_Fee_Relief_Windows_3B!$F$2054:$F$100,"&lt;="&amp;C2054,CBIC_Late_Fee_Relief_Windows_3B!$G$2054:$G$100,"&gt;="&amp;C2054)</f>
        <v/>
      </c>
      <c r="H2054">
        <f>INDEX(CBIC_Late_Fee_Relief_Windows_3B!$I$2054:$I$100,MATCH(G2054,CBIC_Late_Fee_Relief_Windows_3B!$O$2054:$O$100,0))</f>
        <v/>
      </c>
      <c r="I2054">
        <f>MIN(F2054,H2054)</f>
        <v/>
      </c>
    </row>
    <row r="2055">
      <c r="A2055">
        <f>TEST_DATA!A2055</f>
        <v/>
      </c>
      <c r="B2055">
        <f>TEST_DATA!B2055</f>
        <v/>
      </c>
      <c r="C2055">
        <f>TEST_DATA!C2055</f>
        <v/>
      </c>
      <c r="D2055">
        <f>TEST_DATA!D2055</f>
        <v/>
      </c>
      <c r="E2055">
        <f>TEST_DATA!E2055</f>
        <v/>
      </c>
      <c r="F2055">
        <f>MIN(E2055*205500,10000)</f>
        <v/>
      </c>
      <c r="G2055">
        <f>MINIFS(CBIC_Late_Fee_Relief_Windows_3B!$O$2055:$O$100,CBIC_Late_Fee_Relief_Windows_3B!$D$2055:$D$100,"&lt;="&amp;B2055,CBIC_Late_Fee_Relief_Windows_3B!$E$2055:$E$100,"&gt;="&amp;B2055,CBIC_Late_Fee_Relief_Windows_3B!$F$2055:$F$100,"&lt;="&amp;C2055,CBIC_Late_Fee_Relief_Windows_3B!$G$2055:$G$100,"&gt;="&amp;C2055)</f>
        <v/>
      </c>
      <c r="H2055">
        <f>INDEX(CBIC_Late_Fee_Relief_Windows_3B!$I$2055:$I$100,MATCH(G2055,CBIC_Late_Fee_Relief_Windows_3B!$O$2055:$O$100,0))</f>
        <v/>
      </c>
      <c r="I2055">
        <f>MIN(F2055,H2055)</f>
        <v/>
      </c>
    </row>
    <row r="2056">
      <c r="A2056">
        <f>TEST_DATA!A2056</f>
        <v/>
      </c>
      <c r="B2056">
        <f>TEST_DATA!B2056</f>
        <v/>
      </c>
      <c r="C2056">
        <f>TEST_DATA!C2056</f>
        <v/>
      </c>
      <c r="D2056">
        <f>TEST_DATA!D2056</f>
        <v/>
      </c>
      <c r="E2056">
        <f>TEST_DATA!E2056</f>
        <v/>
      </c>
      <c r="F2056">
        <f>MIN(E2056*205600,10000)</f>
        <v/>
      </c>
      <c r="G2056">
        <f>MINIFS(CBIC_Late_Fee_Relief_Windows_3B!$O$2056:$O$100,CBIC_Late_Fee_Relief_Windows_3B!$D$2056:$D$100,"&lt;="&amp;B2056,CBIC_Late_Fee_Relief_Windows_3B!$E$2056:$E$100,"&gt;="&amp;B2056,CBIC_Late_Fee_Relief_Windows_3B!$F$2056:$F$100,"&lt;="&amp;C2056,CBIC_Late_Fee_Relief_Windows_3B!$G$2056:$G$100,"&gt;="&amp;C2056)</f>
        <v/>
      </c>
      <c r="H2056">
        <f>INDEX(CBIC_Late_Fee_Relief_Windows_3B!$I$2056:$I$100,MATCH(G2056,CBIC_Late_Fee_Relief_Windows_3B!$O$2056:$O$100,0))</f>
        <v/>
      </c>
      <c r="I2056">
        <f>MIN(F2056,H2056)</f>
        <v/>
      </c>
    </row>
    <row r="2057">
      <c r="A2057">
        <f>TEST_DATA!A2057</f>
        <v/>
      </c>
      <c r="B2057">
        <f>TEST_DATA!B2057</f>
        <v/>
      </c>
      <c r="C2057">
        <f>TEST_DATA!C2057</f>
        <v/>
      </c>
      <c r="D2057">
        <f>TEST_DATA!D2057</f>
        <v/>
      </c>
      <c r="E2057">
        <f>TEST_DATA!E2057</f>
        <v/>
      </c>
      <c r="F2057">
        <f>MIN(E2057*205700,10000)</f>
        <v/>
      </c>
      <c r="G2057">
        <f>MINIFS(CBIC_Late_Fee_Relief_Windows_3B!$O$2057:$O$100,CBIC_Late_Fee_Relief_Windows_3B!$D$2057:$D$100,"&lt;="&amp;B2057,CBIC_Late_Fee_Relief_Windows_3B!$E$2057:$E$100,"&gt;="&amp;B2057,CBIC_Late_Fee_Relief_Windows_3B!$F$2057:$F$100,"&lt;="&amp;C2057,CBIC_Late_Fee_Relief_Windows_3B!$G$2057:$G$100,"&gt;="&amp;C2057)</f>
        <v/>
      </c>
      <c r="H2057">
        <f>INDEX(CBIC_Late_Fee_Relief_Windows_3B!$I$2057:$I$100,MATCH(G2057,CBIC_Late_Fee_Relief_Windows_3B!$O$2057:$O$100,0))</f>
        <v/>
      </c>
      <c r="I2057">
        <f>MIN(F2057,H2057)</f>
        <v/>
      </c>
    </row>
    <row r="2058">
      <c r="A2058">
        <f>TEST_DATA!A2058</f>
        <v/>
      </c>
      <c r="B2058">
        <f>TEST_DATA!B2058</f>
        <v/>
      </c>
      <c r="C2058">
        <f>TEST_DATA!C2058</f>
        <v/>
      </c>
      <c r="D2058">
        <f>TEST_DATA!D2058</f>
        <v/>
      </c>
      <c r="E2058">
        <f>TEST_DATA!E2058</f>
        <v/>
      </c>
      <c r="F2058">
        <f>MIN(E2058*205800,10000)</f>
        <v/>
      </c>
      <c r="G2058">
        <f>MINIFS(CBIC_Late_Fee_Relief_Windows_3B!$O$2058:$O$100,CBIC_Late_Fee_Relief_Windows_3B!$D$2058:$D$100,"&lt;="&amp;B2058,CBIC_Late_Fee_Relief_Windows_3B!$E$2058:$E$100,"&gt;="&amp;B2058,CBIC_Late_Fee_Relief_Windows_3B!$F$2058:$F$100,"&lt;="&amp;C2058,CBIC_Late_Fee_Relief_Windows_3B!$G$2058:$G$100,"&gt;="&amp;C2058)</f>
        <v/>
      </c>
      <c r="H2058">
        <f>INDEX(CBIC_Late_Fee_Relief_Windows_3B!$I$2058:$I$100,MATCH(G2058,CBIC_Late_Fee_Relief_Windows_3B!$O$2058:$O$100,0))</f>
        <v/>
      </c>
      <c r="I2058">
        <f>MIN(F2058,H2058)</f>
        <v/>
      </c>
    </row>
    <row r="2059">
      <c r="A2059">
        <f>TEST_DATA!A2059</f>
        <v/>
      </c>
      <c r="B2059">
        <f>TEST_DATA!B2059</f>
        <v/>
      </c>
      <c r="C2059">
        <f>TEST_DATA!C2059</f>
        <v/>
      </c>
      <c r="D2059">
        <f>TEST_DATA!D2059</f>
        <v/>
      </c>
      <c r="E2059">
        <f>TEST_DATA!E2059</f>
        <v/>
      </c>
      <c r="F2059">
        <f>MIN(E2059*205900,10000)</f>
        <v/>
      </c>
      <c r="G2059">
        <f>MINIFS(CBIC_Late_Fee_Relief_Windows_3B!$O$2059:$O$100,CBIC_Late_Fee_Relief_Windows_3B!$D$2059:$D$100,"&lt;="&amp;B2059,CBIC_Late_Fee_Relief_Windows_3B!$E$2059:$E$100,"&gt;="&amp;B2059,CBIC_Late_Fee_Relief_Windows_3B!$F$2059:$F$100,"&lt;="&amp;C2059,CBIC_Late_Fee_Relief_Windows_3B!$G$2059:$G$100,"&gt;="&amp;C2059)</f>
        <v/>
      </c>
      <c r="H2059">
        <f>INDEX(CBIC_Late_Fee_Relief_Windows_3B!$I$2059:$I$100,MATCH(G2059,CBIC_Late_Fee_Relief_Windows_3B!$O$2059:$O$100,0))</f>
        <v/>
      </c>
      <c r="I2059">
        <f>MIN(F2059,H2059)</f>
        <v/>
      </c>
    </row>
    <row r="2060">
      <c r="A2060">
        <f>TEST_DATA!A2060</f>
        <v/>
      </c>
      <c r="B2060">
        <f>TEST_DATA!B2060</f>
        <v/>
      </c>
      <c r="C2060">
        <f>TEST_DATA!C2060</f>
        <v/>
      </c>
      <c r="D2060">
        <f>TEST_DATA!D2060</f>
        <v/>
      </c>
      <c r="E2060">
        <f>TEST_DATA!E2060</f>
        <v/>
      </c>
      <c r="F2060">
        <f>MIN(E2060*206000,10000)</f>
        <v/>
      </c>
      <c r="G2060">
        <f>MINIFS(CBIC_Late_Fee_Relief_Windows_3B!$O$2060:$O$100,CBIC_Late_Fee_Relief_Windows_3B!$D$2060:$D$100,"&lt;="&amp;B2060,CBIC_Late_Fee_Relief_Windows_3B!$E$2060:$E$100,"&gt;="&amp;B2060,CBIC_Late_Fee_Relief_Windows_3B!$F$2060:$F$100,"&lt;="&amp;C2060,CBIC_Late_Fee_Relief_Windows_3B!$G$2060:$G$100,"&gt;="&amp;C2060)</f>
        <v/>
      </c>
      <c r="H2060">
        <f>INDEX(CBIC_Late_Fee_Relief_Windows_3B!$I$2060:$I$100,MATCH(G2060,CBIC_Late_Fee_Relief_Windows_3B!$O$2060:$O$100,0))</f>
        <v/>
      </c>
      <c r="I2060">
        <f>MIN(F2060,H2060)</f>
        <v/>
      </c>
    </row>
    <row r="2061">
      <c r="A2061">
        <f>TEST_DATA!A2061</f>
        <v/>
      </c>
      <c r="B2061">
        <f>TEST_DATA!B2061</f>
        <v/>
      </c>
      <c r="C2061">
        <f>TEST_DATA!C2061</f>
        <v/>
      </c>
      <c r="D2061">
        <f>TEST_DATA!D2061</f>
        <v/>
      </c>
      <c r="E2061">
        <f>TEST_DATA!E2061</f>
        <v/>
      </c>
      <c r="F2061">
        <f>MIN(E2061*206100,10000)</f>
        <v/>
      </c>
      <c r="G2061">
        <f>MINIFS(CBIC_Late_Fee_Relief_Windows_3B!$O$2061:$O$100,CBIC_Late_Fee_Relief_Windows_3B!$D$2061:$D$100,"&lt;="&amp;B2061,CBIC_Late_Fee_Relief_Windows_3B!$E$2061:$E$100,"&gt;="&amp;B2061,CBIC_Late_Fee_Relief_Windows_3B!$F$2061:$F$100,"&lt;="&amp;C2061,CBIC_Late_Fee_Relief_Windows_3B!$G$2061:$G$100,"&gt;="&amp;C2061)</f>
        <v/>
      </c>
      <c r="H2061">
        <f>INDEX(CBIC_Late_Fee_Relief_Windows_3B!$I$2061:$I$100,MATCH(G2061,CBIC_Late_Fee_Relief_Windows_3B!$O$2061:$O$100,0))</f>
        <v/>
      </c>
      <c r="I2061">
        <f>MIN(F2061,H2061)</f>
        <v/>
      </c>
    </row>
    <row r="2062">
      <c r="A2062">
        <f>TEST_DATA!A2062</f>
        <v/>
      </c>
      <c r="B2062">
        <f>TEST_DATA!B2062</f>
        <v/>
      </c>
      <c r="C2062">
        <f>TEST_DATA!C2062</f>
        <v/>
      </c>
      <c r="D2062">
        <f>TEST_DATA!D2062</f>
        <v/>
      </c>
      <c r="E2062">
        <f>TEST_DATA!E2062</f>
        <v/>
      </c>
      <c r="F2062">
        <f>MIN(E2062*206200,10000)</f>
        <v/>
      </c>
      <c r="G2062">
        <f>MINIFS(CBIC_Late_Fee_Relief_Windows_3B!$O$2062:$O$100,CBIC_Late_Fee_Relief_Windows_3B!$D$2062:$D$100,"&lt;="&amp;B2062,CBIC_Late_Fee_Relief_Windows_3B!$E$2062:$E$100,"&gt;="&amp;B2062,CBIC_Late_Fee_Relief_Windows_3B!$F$2062:$F$100,"&lt;="&amp;C2062,CBIC_Late_Fee_Relief_Windows_3B!$G$2062:$G$100,"&gt;="&amp;C2062)</f>
        <v/>
      </c>
      <c r="H2062">
        <f>INDEX(CBIC_Late_Fee_Relief_Windows_3B!$I$2062:$I$100,MATCH(G2062,CBIC_Late_Fee_Relief_Windows_3B!$O$2062:$O$100,0))</f>
        <v/>
      </c>
      <c r="I2062">
        <f>MIN(F2062,H2062)</f>
        <v/>
      </c>
    </row>
    <row r="2063">
      <c r="A2063">
        <f>TEST_DATA!A2063</f>
        <v/>
      </c>
      <c r="B2063">
        <f>TEST_DATA!B2063</f>
        <v/>
      </c>
      <c r="C2063">
        <f>TEST_DATA!C2063</f>
        <v/>
      </c>
      <c r="D2063">
        <f>TEST_DATA!D2063</f>
        <v/>
      </c>
      <c r="E2063">
        <f>TEST_DATA!E2063</f>
        <v/>
      </c>
      <c r="F2063">
        <f>MIN(E2063*206300,10000)</f>
        <v/>
      </c>
      <c r="G2063">
        <f>MINIFS(CBIC_Late_Fee_Relief_Windows_3B!$O$2063:$O$100,CBIC_Late_Fee_Relief_Windows_3B!$D$2063:$D$100,"&lt;="&amp;B2063,CBIC_Late_Fee_Relief_Windows_3B!$E$2063:$E$100,"&gt;="&amp;B2063,CBIC_Late_Fee_Relief_Windows_3B!$F$2063:$F$100,"&lt;="&amp;C2063,CBIC_Late_Fee_Relief_Windows_3B!$G$2063:$G$100,"&gt;="&amp;C2063)</f>
        <v/>
      </c>
      <c r="H2063">
        <f>INDEX(CBIC_Late_Fee_Relief_Windows_3B!$I$2063:$I$100,MATCH(G2063,CBIC_Late_Fee_Relief_Windows_3B!$O$2063:$O$100,0))</f>
        <v/>
      </c>
      <c r="I2063">
        <f>MIN(F2063,H2063)</f>
        <v/>
      </c>
    </row>
    <row r="2064">
      <c r="A2064">
        <f>TEST_DATA!A2064</f>
        <v/>
      </c>
      <c r="B2064">
        <f>TEST_DATA!B2064</f>
        <v/>
      </c>
      <c r="C2064">
        <f>TEST_DATA!C2064</f>
        <v/>
      </c>
      <c r="D2064">
        <f>TEST_DATA!D2064</f>
        <v/>
      </c>
      <c r="E2064">
        <f>TEST_DATA!E2064</f>
        <v/>
      </c>
      <c r="F2064">
        <f>MIN(E2064*206400,10000)</f>
        <v/>
      </c>
      <c r="G2064">
        <f>MINIFS(CBIC_Late_Fee_Relief_Windows_3B!$O$2064:$O$100,CBIC_Late_Fee_Relief_Windows_3B!$D$2064:$D$100,"&lt;="&amp;B2064,CBIC_Late_Fee_Relief_Windows_3B!$E$2064:$E$100,"&gt;="&amp;B2064,CBIC_Late_Fee_Relief_Windows_3B!$F$2064:$F$100,"&lt;="&amp;C2064,CBIC_Late_Fee_Relief_Windows_3B!$G$2064:$G$100,"&gt;="&amp;C2064)</f>
        <v/>
      </c>
      <c r="H2064">
        <f>INDEX(CBIC_Late_Fee_Relief_Windows_3B!$I$2064:$I$100,MATCH(G2064,CBIC_Late_Fee_Relief_Windows_3B!$O$2064:$O$100,0))</f>
        <v/>
      </c>
      <c r="I2064">
        <f>MIN(F2064,H2064)</f>
        <v/>
      </c>
    </row>
    <row r="2065">
      <c r="A2065">
        <f>TEST_DATA!A2065</f>
        <v/>
      </c>
      <c r="B2065">
        <f>TEST_DATA!B2065</f>
        <v/>
      </c>
      <c r="C2065">
        <f>TEST_DATA!C2065</f>
        <v/>
      </c>
      <c r="D2065">
        <f>TEST_DATA!D2065</f>
        <v/>
      </c>
      <c r="E2065">
        <f>TEST_DATA!E2065</f>
        <v/>
      </c>
      <c r="F2065">
        <f>MIN(E2065*206500,10000)</f>
        <v/>
      </c>
      <c r="G2065">
        <f>MINIFS(CBIC_Late_Fee_Relief_Windows_3B!$O$2065:$O$100,CBIC_Late_Fee_Relief_Windows_3B!$D$2065:$D$100,"&lt;="&amp;B2065,CBIC_Late_Fee_Relief_Windows_3B!$E$2065:$E$100,"&gt;="&amp;B2065,CBIC_Late_Fee_Relief_Windows_3B!$F$2065:$F$100,"&lt;="&amp;C2065,CBIC_Late_Fee_Relief_Windows_3B!$G$2065:$G$100,"&gt;="&amp;C2065)</f>
        <v/>
      </c>
      <c r="H2065">
        <f>INDEX(CBIC_Late_Fee_Relief_Windows_3B!$I$2065:$I$100,MATCH(G2065,CBIC_Late_Fee_Relief_Windows_3B!$O$2065:$O$100,0))</f>
        <v/>
      </c>
      <c r="I2065">
        <f>MIN(F2065,H2065)</f>
        <v/>
      </c>
    </row>
    <row r="2066">
      <c r="A2066">
        <f>TEST_DATA!A2066</f>
        <v/>
      </c>
      <c r="B2066">
        <f>TEST_DATA!B2066</f>
        <v/>
      </c>
      <c r="C2066">
        <f>TEST_DATA!C2066</f>
        <v/>
      </c>
      <c r="D2066">
        <f>TEST_DATA!D2066</f>
        <v/>
      </c>
      <c r="E2066">
        <f>TEST_DATA!E2066</f>
        <v/>
      </c>
      <c r="F2066">
        <f>MIN(E2066*206600,10000)</f>
        <v/>
      </c>
      <c r="G2066">
        <f>MINIFS(CBIC_Late_Fee_Relief_Windows_3B!$O$2066:$O$100,CBIC_Late_Fee_Relief_Windows_3B!$D$2066:$D$100,"&lt;="&amp;B2066,CBIC_Late_Fee_Relief_Windows_3B!$E$2066:$E$100,"&gt;="&amp;B2066,CBIC_Late_Fee_Relief_Windows_3B!$F$2066:$F$100,"&lt;="&amp;C2066,CBIC_Late_Fee_Relief_Windows_3B!$G$2066:$G$100,"&gt;="&amp;C2066)</f>
        <v/>
      </c>
      <c r="H2066">
        <f>INDEX(CBIC_Late_Fee_Relief_Windows_3B!$I$2066:$I$100,MATCH(G2066,CBIC_Late_Fee_Relief_Windows_3B!$O$2066:$O$100,0))</f>
        <v/>
      </c>
      <c r="I2066">
        <f>MIN(F2066,H2066)</f>
        <v/>
      </c>
    </row>
    <row r="2067">
      <c r="A2067">
        <f>TEST_DATA!A2067</f>
        <v/>
      </c>
      <c r="B2067">
        <f>TEST_DATA!B2067</f>
        <v/>
      </c>
      <c r="C2067">
        <f>TEST_DATA!C2067</f>
        <v/>
      </c>
      <c r="D2067">
        <f>TEST_DATA!D2067</f>
        <v/>
      </c>
      <c r="E2067">
        <f>TEST_DATA!E2067</f>
        <v/>
      </c>
      <c r="F2067">
        <f>MIN(E2067*206700,10000)</f>
        <v/>
      </c>
      <c r="G2067">
        <f>MINIFS(CBIC_Late_Fee_Relief_Windows_3B!$O$2067:$O$100,CBIC_Late_Fee_Relief_Windows_3B!$D$2067:$D$100,"&lt;="&amp;B2067,CBIC_Late_Fee_Relief_Windows_3B!$E$2067:$E$100,"&gt;="&amp;B2067,CBIC_Late_Fee_Relief_Windows_3B!$F$2067:$F$100,"&lt;="&amp;C2067,CBIC_Late_Fee_Relief_Windows_3B!$G$2067:$G$100,"&gt;="&amp;C2067)</f>
        <v/>
      </c>
      <c r="H2067">
        <f>INDEX(CBIC_Late_Fee_Relief_Windows_3B!$I$2067:$I$100,MATCH(G2067,CBIC_Late_Fee_Relief_Windows_3B!$O$2067:$O$100,0))</f>
        <v/>
      </c>
      <c r="I2067">
        <f>MIN(F2067,H2067)</f>
        <v/>
      </c>
    </row>
    <row r="2068">
      <c r="A2068">
        <f>TEST_DATA!A2068</f>
        <v/>
      </c>
      <c r="B2068">
        <f>TEST_DATA!B2068</f>
        <v/>
      </c>
      <c r="C2068">
        <f>TEST_DATA!C2068</f>
        <v/>
      </c>
      <c r="D2068">
        <f>TEST_DATA!D2068</f>
        <v/>
      </c>
      <c r="E2068">
        <f>TEST_DATA!E2068</f>
        <v/>
      </c>
      <c r="F2068">
        <f>MIN(E2068*206800,10000)</f>
        <v/>
      </c>
      <c r="G2068">
        <f>MINIFS(CBIC_Late_Fee_Relief_Windows_3B!$O$2068:$O$100,CBIC_Late_Fee_Relief_Windows_3B!$D$2068:$D$100,"&lt;="&amp;B2068,CBIC_Late_Fee_Relief_Windows_3B!$E$2068:$E$100,"&gt;="&amp;B2068,CBIC_Late_Fee_Relief_Windows_3B!$F$2068:$F$100,"&lt;="&amp;C2068,CBIC_Late_Fee_Relief_Windows_3B!$G$2068:$G$100,"&gt;="&amp;C2068)</f>
        <v/>
      </c>
      <c r="H2068">
        <f>INDEX(CBIC_Late_Fee_Relief_Windows_3B!$I$2068:$I$100,MATCH(G2068,CBIC_Late_Fee_Relief_Windows_3B!$O$2068:$O$100,0))</f>
        <v/>
      </c>
      <c r="I2068">
        <f>MIN(F2068,H2068)</f>
        <v/>
      </c>
    </row>
    <row r="2069">
      <c r="A2069">
        <f>TEST_DATA!A2069</f>
        <v/>
      </c>
      <c r="B2069">
        <f>TEST_DATA!B2069</f>
        <v/>
      </c>
      <c r="C2069">
        <f>TEST_DATA!C2069</f>
        <v/>
      </c>
      <c r="D2069">
        <f>TEST_DATA!D2069</f>
        <v/>
      </c>
      <c r="E2069">
        <f>TEST_DATA!E2069</f>
        <v/>
      </c>
      <c r="F2069">
        <f>MIN(E2069*206900,10000)</f>
        <v/>
      </c>
      <c r="G2069">
        <f>MINIFS(CBIC_Late_Fee_Relief_Windows_3B!$O$2069:$O$100,CBIC_Late_Fee_Relief_Windows_3B!$D$2069:$D$100,"&lt;="&amp;B2069,CBIC_Late_Fee_Relief_Windows_3B!$E$2069:$E$100,"&gt;="&amp;B2069,CBIC_Late_Fee_Relief_Windows_3B!$F$2069:$F$100,"&lt;="&amp;C2069,CBIC_Late_Fee_Relief_Windows_3B!$G$2069:$G$100,"&gt;="&amp;C2069)</f>
        <v/>
      </c>
      <c r="H2069">
        <f>INDEX(CBIC_Late_Fee_Relief_Windows_3B!$I$2069:$I$100,MATCH(G2069,CBIC_Late_Fee_Relief_Windows_3B!$O$2069:$O$100,0))</f>
        <v/>
      </c>
      <c r="I2069">
        <f>MIN(F2069,H2069)</f>
        <v/>
      </c>
    </row>
    <row r="2070">
      <c r="A2070">
        <f>TEST_DATA!A2070</f>
        <v/>
      </c>
      <c r="B2070">
        <f>TEST_DATA!B2070</f>
        <v/>
      </c>
      <c r="C2070">
        <f>TEST_DATA!C2070</f>
        <v/>
      </c>
      <c r="D2070">
        <f>TEST_DATA!D2070</f>
        <v/>
      </c>
      <c r="E2070">
        <f>TEST_DATA!E2070</f>
        <v/>
      </c>
      <c r="F2070">
        <f>MIN(E2070*207000,10000)</f>
        <v/>
      </c>
      <c r="G2070">
        <f>MINIFS(CBIC_Late_Fee_Relief_Windows_3B!$O$2070:$O$100,CBIC_Late_Fee_Relief_Windows_3B!$D$2070:$D$100,"&lt;="&amp;B2070,CBIC_Late_Fee_Relief_Windows_3B!$E$2070:$E$100,"&gt;="&amp;B2070,CBIC_Late_Fee_Relief_Windows_3B!$F$2070:$F$100,"&lt;="&amp;C2070,CBIC_Late_Fee_Relief_Windows_3B!$G$2070:$G$100,"&gt;="&amp;C2070)</f>
        <v/>
      </c>
      <c r="H2070">
        <f>INDEX(CBIC_Late_Fee_Relief_Windows_3B!$I$2070:$I$100,MATCH(G2070,CBIC_Late_Fee_Relief_Windows_3B!$O$2070:$O$100,0))</f>
        <v/>
      </c>
      <c r="I2070">
        <f>MIN(F2070,H2070)</f>
        <v/>
      </c>
    </row>
    <row r="2071">
      <c r="A2071">
        <f>TEST_DATA!A2071</f>
        <v/>
      </c>
      <c r="B2071">
        <f>TEST_DATA!B2071</f>
        <v/>
      </c>
      <c r="C2071">
        <f>TEST_DATA!C2071</f>
        <v/>
      </c>
      <c r="D2071">
        <f>TEST_DATA!D2071</f>
        <v/>
      </c>
      <c r="E2071">
        <f>TEST_DATA!E2071</f>
        <v/>
      </c>
      <c r="F2071">
        <f>MIN(E2071*207100,10000)</f>
        <v/>
      </c>
      <c r="G2071">
        <f>MINIFS(CBIC_Late_Fee_Relief_Windows_3B!$O$2071:$O$100,CBIC_Late_Fee_Relief_Windows_3B!$D$2071:$D$100,"&lt;="&amp;B2071,CBIC_Late_Fee_Relief_Windows_3B!$E$2071:$E$100,"&gt;="&amp;B2071,CBIC_Late_Fee_Relief_Windows_3B!$F$2071:$F$100,"&lt;="&amp;C2071,CBIC_Late_Fee_Relief_Windows_3B!$G$2071:$G$100,"&gt;="&amp;C2071)</f>
        <v/>
      </c>
      <c r="H2071">
        <f>INDEX(CBIC_Late_Fee_Relief_Windows_3B!$I$2071:$I$100,MATCH(G2071,CBIC_Late_Fee_Relief_Windows_3B!$O$2071:$O$100,0))</f>
        <v/>
      </c>
      <c r="I2071">
        <f>MIN(F2071,H2071)</f>
        <v/>
      </c>
    </row>
    <row r="2072">
      <c r="A2072">
        <f>TEST_DATA!A2072</f>
        <v/>
      </c>
      <c r="B2072">
        <f>TEST_DATA!B2072</f>
        <v/>
      </c>
      <c r="C2072">
        <f>TEST_DATA!C2072</f>
        <v/>
      </c>
      <c r="D2072">
        <f>TEST_DATA!D2072</f>
        <v/>
      </c>
      <c r="E2072">
        <f>TEST_DATA!E2072</f>
        <v/>
      </c>
      <c r="F2072">
        <f>MIN(E2072*207200,10000)</f>
        <v/>
      </c>
      <c r="G2072">
        <f>MINIFS(CBIC_Late_Fee_Relief_Windows_3B!$O$2072:$O$100,CBIC_Late_Fee_Relief_Windows_3B!$D$2072:$D$100,"&lt;="&amp;B2072,CBIC_Late_Fee_Relief_Windows_3B!$E$2072:$E$100,"&gt;="&amp;B2072,CBIC_Late_Fee_Relief_Windows_3B!$F$2072:$F$100,"&lt;="&amp;C2072,CBIC_Late_Fee_Relief_Windows_3B!$G$2072:$G$100,"&gt;="&amp;C2072)</f>
        <v/>
      </c>
      <c r="H2072">
        <f>INDEX(CBIC_Late_Fee_Relief_Windows_3B!$I$2072:$I$100,MATCH(G2072,CBIC_Late_Fee_Relief_Windows_3B!$O$2072:$O$100,0))</f>
        <v/>
      </c>
      <c r="I2072">
        <f>MIN(F2072,H2072)</f>
        <v/>
      </c>
    </row>
    <row r="2073">
      <c r="A2073">
        <f>TEST_DATA!A2073</f>
        <v/>
      </c>
      <c r="B2073">
        <f>TEST_DATA!B2073</f>
        <v/>
      </c>
      <c r="C2073">
        <f>TEST_DATA!C2073</f>
        <v/>
      </c>
      <c r="D2073">
        <f>TEST_DATA!D2073</f>
        <v/>
      </c>
      <c r="E2073">
        <f>TEST_DATA!E2073</f>
        <v/>
      </c>
      <c r="F2073">
        <f>MIN(E2073*207300,10000)</f>
        <v/>
      </c>
      <c r="G2073">
        <f>MINIFS(CBIC_Late_Fee_Relief_Windows_3B!$O$2073:$O$100,CBIC_Late_Fee_Relief_Windows_3B!$D$2073:$D$100,"&lt;="&amp;B2073,CBIC_Late_Fee_Relief_Windows_3B!$E$2073:$E$100,"&gt;="&amp;B2073,CBIC_Late_Fee_Relief_Windows_3B!$F$2073:$F$100,"&lt;="&amp;C2073,CBIC_Late_Fee_Relief_Windows_3B!$G$2073:$G$100,"&gt;="&amp;C2073)</f>
        <v/>
      </c>
      <c r="H2073">
        <f>INDEX(CBIC_Late_Fee_Relief_Windows_3B!$I$2073:$I$100,MATCH(G2073,CBIC_Late_Fee_Relief_Windows_3B!$O$2073:$O$100,0))</f>
        <v/>
      </c>
      <c r="I2073">
        <f>MIN(F2073,H2073)</f>
        <v/>
      </c>
    </row>
    <row r="2074">
      <c r="A2074">
        <f>TEST_DATA!A2074</f>
        <v/>
      </c>
      <c r="B2074">
        <f>TEST_DATA!B2074</f>
        <v/>
      </c>
      <c r="C2074">
        <f>TEST_DATA!C2074</f>
        <v/>
      </c>
      <c r="D2074">
        <f>TEST_DATA!D2074</f>
        <v/>
      </c>
      <c r="E2074">
        <f>TEST_DATA!E2074</f>
        <v/>
      </c>
      <c r="F2074">
        <f>MIN(E2074*207400,10000)</f>
        <v/>
      </c>
      <c r="G2074">
        <f>MINIFS(CBIC_Late_Fee_Relief_Windows_3B!$O$2074:$O$100,CBIC_Late_Fee_Relief_Windows_3B!$D$2074:$D$100,"&lt;="&amp;B2074,CBIC_Late_Fee_Relief_Windows_3B!$E$2074:$E$100,"&gt;="&amp;B2074,CBIC_Late_Fee_Relief_Windows_3B!$F$2074:$F$100,"&lt;="&amp;C2074,CBIC_Late_Fee_Relief_Windows_3B!$G$2074:$G$100,"&gt;="&amp;C2074)</f>
        <v/>
      </c>
      <c r="H2074">
        <f>INDEX(CBIC_Late_Fee_Relief_Windows_3B!$I$2074:$I$100,MATCH(G2074,CBIC_Late_Fee_Relief_Windows_3B!$O$2074:$O$100,0))</f>
        <v/>
      </c>
      <c r="I2074">
        <f>MIN(F2074,H2074)</f>
        <v/>
      </c>
    </row>
    <row r="2075">
      <c r="A2075">
        <f>TEST_DATA!A2075</f>
        <v/>
      </c>
      <c r="B2075">
        <f>TEST_DATA!B2075</f>
        <v/>
      </c>
      <c r="C2075">
        <f>TEST_DATA!C2075</f>
        <v/>
      </c>
      <c r="D2075">
        <f>TEST_DATA!D2075</f>
        <v/>
      </c>
      <c r="E2075">
        <f>TEST_DATA!E2075</f>
        <v/>
      </c>
      <c r="F2075">
        <f>MIN(E2075*207500,10000)</f>
        <v/>
      </c>
      <c r="G2075">
        <f>MINIFS(CBIC_Late_Fee_Relief_Windows_3B!$O$2075:$O$100,CBIC_Late_Fee_Relief_Windows_3B!$D$2075:$D$100,"&lt;="&amp;B2075,CBIC_Late_Fee_Relief_Windows_3B!$E$2075:$E$100,"&gt;="&amp;B2075,CBIC_Late_Fee_Relief_Windows_3B!$F$2075:$F$100,"&lt;="&amp;C2075,CBIC_Late_Fee_Relief_Windows_3B!$G$2075:$G$100,"&gt;="&amp;C2075)</f>
        <v/>
      </c>
      <c r="H2075">
        <f>INDEX(CBIC_Late_Fee_Relief_Windows_3B!$I$2075:$I$100,MATCH(G2075,CBIC_Late_Fee_Relief_Windows_3B!$O$2075:$O$100,0))</f>
        <v/>
      </c>
      <c r="I2075">
        <f>MIN(F2075,H2075)</f>
        <v/>
      </c>
    </row>
    <row r="2076">
      <c r="A2076">
        <f>TEST_DATA!A2076</f>
        <v/>
      </c>
      <c r="B2076">
        <f>TEST_DATA!B2076</f>
        <v/>
      </c>
      <c r="C2076">
        <f>TEST_DATA!C2076</f>
        <v/>
      </c>
      <c r="D2076">
        <f>TEST_DATA!D2076</f>
        <v/>
      </c>
      <c r="E2076">
        <f>TEST_DATA!E2076</f>
        <v/>
      </c>
      <c r="F2076">
        <f>MIN(E2076*207600,10000)</f>
        <v/>
      </c>
      <c r="G2076">
        <f>MINIFS(CBIC_Late_Fee_Relief_Windows_3B!$O$2076:$O$100,CBIC_Late_Fee_Relief_Windows_3B!$D$2076:$D$100,"&lt;="&amp;B2076,CBIC_Late_Fee_Relief_Windows_3B!$E$2076:$E$100,"&gt;="&amp;B2076,CBIC_Late_Fee_Relief_Windows_3B!$F$2076:$F$100,"&lt;="&amp;C2076,CBIC_Late_Fee_Relief_Windows_3B!$G$2076:$G$100,"&gt;="&amp;C2076)</f>
        <v/>
      </c>
      <c r="H2076">
        <f>INDEX(CBIC_Late_Fee_Relief_Windows_3B!$I$2076:$I$100,MATCH(G2076,CBIC_Late_Fee_Relief_Windows_3B!$O$2076:$O$100,0))</f>
        <v/>
      </c>
      <c r="I2076">
        <f>MIN(F2076,H2076)</f>
        <v/>
      </c>
    </row>
    <row r="2077">
      <c r="A2077">
        <f>TEST_DATA!A2077</f>
        <v/>
      </c>
      <c r="B2077">
        <f>TEST_DATA!B2077</f>
        <v/>
      </c>
      <c r="C2077">
        <f>TEST_DATA!C2077</f>
        <v/>
      </c>
      <c r="D2077">
        <f>TEST_DATA!D2077</f>
        <v/>
      </c>
      <c r="E2077">
        <f>TEST_DATA!E2077</f>
        <v/>
      </c>
      <c r="F2077">
        <f>MIN(E2077*207700,10000)</f>
        <v/>
      </c>
      <c r="G2077">
        <f>MINIFS(CBIC_Late_Fee_Relief_Windows_3B!$O$2077:$O$100,CBIC_Late_Fee_Relief_Windows_3B!$D$2077:$D$100,"&lt;="&amp;B2077,CBIC_Late_Fee_Relief_Windows_3B!$E$2077:$E$100,"&gt;="&amp;B2077,CBIC_Late_Fee_Relief_Windows_3B!$F$2077:$F$100,"&lt;="&amp;C2077,CBIC_Late_Fee_Relief_Windows_3B!$G$2077:$G$100,"&gt;="&amp;C2077)</f>
        <v/>
      </c>
      <c r="H2077">
        <f>INDEX(CBIC_Late_Fee_Relief_Windows_3B!$I$2077:$I$100,MATCH(G2077,CBIC_Late_Fee_Relief_Windows_3B!$O$2077:$O$100,0))</f>
        <v/>
      </c>
      <c r="I2077">
        <f>MIN(F2077,H2077)</f>
        <v/>
      </c>
    </row>
    <row r="2078">
      <c r="A2078">
        <f>TEST_DATA!A2078</f>
        <v/>
      </c>
      <c r="B2078">
        <f>TEST_DATA!B2078</f>
        <v/>
      </c>
      <c r="C2078">
        <f>TEST_DATA!C2078</f>
        <v/>
      </c>
      <c r="D2078">
        <f>TEST_DATA!D2078</f>
        <v/>
      </c>
      <c r="E2078">
        <f>TEST_DATA!E2078</f>
        <v/>
      </c>
      <c r="F2078">
        <f>MIN(E2078*207800,10000)</f>
        <v/>
      </c>
      <c r="G2078">
        <f>MINIFS(CBIC_Late_Fee_Relief_Windows_3B!$O$2078:$O$100,CBIC_Late_Fee_Relief_Windows_3B!$D$2078:$D$100,"&lt;="&amp;B2078,CBIC_Late_Fee_Relief_Windows_3B!$E$2078:$E$100,"&gt;="&amp;B2078,CBIC_Late_Fee_Relief_Windows_3B!$F$2078:$F$100,"&lt;="&amp;C2078,CBIC_Late_Fee_Relief_Windows_3B!$G$2078:$G$100,"&gt;="&amp;C2078)</f>
        <v/>
      </c>
      <c r="H2078">
        <f>INDEX(CBIC_Late_Fee_Relief_Windows_3B!$I$2078:$I$100,MATCH(G2078,CBIC_Late_Fee_Relief_Windows_3B!$O$2078:$O$100,0))</f>
        <v/>
      </c>
      <c r="I2078">
        <f>MIN(F2078,H2078)</f>
        <v/>
      </c>
    </row>
    <row r="2079">
      <c r="A2079">
        <f>TEST_DATA!A2079</f>
        <v/>
      </c>
      <c r="B2079">
        <f>TEST_DATA!B2079</f>
        <v/>
      </c>
      <c r="C2079">
        <f>TEST_DATA!C2079</f>
        <v/>
      </c>
      <c r="D2079">
        <f>TEST_DATA!D2079</f>
        <v/>
      </c>
      <c r="E2079">
        <f>TEST_DATA!E2079</f>
        <v/>
      </c>
      <c r="F2079">
        <f>MIN(E2079*207900,10000)</f>
        <v/>
      </c>
      <c r="G2079">
        <f>MINIFS(CBIC_Late_Fee_Relief_Windows_3B!$O$2079:$O$100,CBIC_Late_Fee_Relief_Windows_3B!$D$2079:$D$100,"&lt;="&amp;B2079,CBIC_Late_Fee_Relief_Windows_3B!$E$2079:$E$100,"&gt;="&amp;B2079,CBIC_Late_Fee_Relief_Windows_3B!$F$2079:$F$100,"&lt;="&amp;C2079,CBIC_Late_Fee_Relief_Windows_3B!$G$2079:$G$100,"&gt;="&amp;C2079)</f>
        <v/>
      </c>
      <c r="H2079">
        <f>INDEX(CBIC_Late_Fee_Relief_Windows_3B!$I$2079:$I$100,MATCH(G2079,CBIC_Late_Fee_Relief_Windows_3B!$O$2079:$O$100,0))</f>
        <v/>
      </c>
      <c r="I2079">
        <f>MIN(F2079,H2079)</f>
        <v/>
      </c>
    </row>
    <row r="2080">
      <c r="A2080">
        <f>TEST_DATA!A2080</f>
        <v/>
      </c>
      <c r="B2080">
        <f>TEST_DATA!B2080</f>
        <v/>
      </c>
      <c r="C2080">
        <f>TEST_DATA!C2080</f>
        <v/>
      </c>
      <c r="D2080">
        <f>TEST_DATA!D2080</f>
        <v/>
      </c>
      <c r="E2080">
        <f>TEST_DATA!E2080</f>
        <v/>
      </c>
      <c r="F2080">
        <f>MIN(E2080*208000,10000)</f>
        <v/>
      </c>
      <c r="G2080">
        <f>MINIFS(CBIC_Late_Fee_Relief_Windows_3B!$O$2080:$O$100,CBIC_Late_Fee_Relief_Windows_3B!$D$2080:$D$100,"&lt;="&amp;B2080,CBIC_Late_Fee_Relief_Windows_3B!$E$2080:$E$100,"&gt;="&amp;B2080,CBIC_Late_Fee_Relief_Windows_3B!$F$2080:$F$100,"&lt;="&amp;C2080,CBIC_Late_Fee_Relief_Windows_3B!$G$2080:$G$100,"&gt;="&amp;C2080)</f>
        <v/>
      </c>
      <c r="H2080">
        <f>INDEX(CBIC_Late_Fee_Relief_Windows_3B!$I$2080:$I$100,MATCH(G2080,CBIC_Late_Fee_Relief_Windows_3B!$O$2080:$O$100,0))</f>
        <v/>
      </c>
      <c r="I2080">
        <f>MIN(F2080,H2080)</f>
        <v/>
      </c>
    </row>
    <row r="2081">
      <c r="A2081">
        <f>TEST_DATA!A2081</f>
        <v/>
      </c>
      <c r="B2081">
        <f>TEST_DATA!B2081</f>
        <v/>
      </c>
      <c r="C2081">
        <f>TEST_DATA!C2081</f>
        <v/>
      </c>
      <c r="D2081">
        <f>TEST_DATA!D2081</f>
        <v/>
      </c>
      <c r="E2081">
        <f>TEST_DATA!E2081</f>
        <v/>
      </c>
      <c r="F2081">
        <f>MIN(E2081*208100,10000)</f>
        <v/>
      </c>
      <c r="G2081">
        <f>MINIFS(CBIC_Late_Fee_Relief_Windows_3B!$O$2081:$O$100,CBIC_Late_Fee_Relief_Windows_3B!$D$2081:$D$100,"&lt;="&amp;B2081,CBIC_Late_Fee_Relief_Windows_3B!$E$2081:$E$100,"&gt;="&amp;B2081,CBIC_Late_Fee_Relief_Windows_3B!$F$2081:$F$100,"&lt;="&amp;C2081,CBIC_Late_Fee_Relief_Windows_3B!$G$2081:$G$100,"&gt;="&amp;C2081)</f>
        <v/>
      </c>
      <c r="H2081">
        <f>INDEX(CBIC_Late_Fee_Relief_Windows_3B!$I$2081:$I$100,MATCH(G2081,CBIC_Late_Fee_Relief_Windows_3B!$O$2081:$O$100,0))</f>
        <v/>
      </c>
      <c r="I2081">
        <f>MIN(F2081,H2081)</f>
        <v/>
      </c>
    </row>
    <row r="2082">
      <c r="A2082">
        <f>TEST_DATA!A2082</f>
        <v/>
      </c>
      <c r="B2082">
        <f>TEST_DATA!B2082</f>
        <v/>
      </c>
      <c r="C2082">
        <f>TEST_DATA!C2082</f>
        <v/>
      </c>
      <c r="D2082">
        <f>TEST_DATA!D2082</f>
        <v/>
      </c>
      <c r="E2082">
        <f>TEST_DATA!E2082</f>
        <v/>
      </c>
      <c r="F2082">
        <f>MIN(E2082*208200,10000)</f>
        <v/>
      </c>
      <c r="G2082">
        <f>MINIFS(CBIC_Late_Fee_Relief_Windows_3B!$O$2082:$O$100,CBIC_Late_Fee_Relief_Windows_3B!$D$2082:$D$100,"&lt;="&amp;B2082,CBIC_Late_Fee_Relief_Windows_3B!$E$2082:$E$100,"&gt;="&amp;B2082,CBIC_Late_Fee_Relief_Windows_3B!$F$2082:$F$100,"&lt;="&amp;C2082,CBIC_Late_Fee_Relief_Windows_3B!$G$2082:$G$100,"&gt;="&amp;C2082)</f>
        <v/>
      </c>
      <c r="H2082">
        <f>INDEX(CBIC_Late_Fee_Relief_Windows_3B!$I$2082:$I$100,MATCH(G2082,CBIC_Late_Fee_Relief_Windows_3B!$O$2082:$O$100,0))</f>
        <v/>
      </c>
      <c r="I2082">
        <f>MIN(F2082,H2082)</f>
        <v/>
      </c>
    </row>
    <row r="2083">
      <c r="A2083">
        <f>TEST_DATA!A2083</f>
        <v/>
      </c>
      <c r="B2083">
        <f>TEST_DATA!B2083</f>
        <v/>
      </c>
      <c r="C2083">
        <f>TEST_DATA!C2083</f>
        <v/>
      </c>
      <c r="D2083">
        <f>TEST_DATA!D2083</f>
        <v/>
      </c>
      <c r="E2083">
        <f>TEST_DATA!E2083</f>
        <v/>
      </c>
      <c r="F2083">
        <f>MIN(E2083*208300,10000)</f>
        <v/>
      </c>
      <c r="G2083">
        <f>MINIFS(CBIC_Late_Fee_Relief_Windows_3B!$O$2083:$O$100,CBIC_Late_Fee_Relief_Windows_3B!$D$2083:$D$100,"&lt;="&amp;B2083,CBIC_Late_Fee_Relief_Windows_3B!$E$2083:$E$100,"&gt;="&amp;B2083,CBIC_Late_Fee_Relief_Windows_3B!$F$2083:$F$100,"&lt;="&amp;C2083,CBIC_Late_Fee_Relief_Windows_3B!$G$2083:$G$100,"&gt;="&amp;C2083)</f>
        <v/>
      </c>
      <c r="H2083">
        <f>INDEX(CBIC_Late_Fee_Relief_Windows_3B!$I$2083:$I$100,MATCH(G2083,CBIC_Late_Fee_Relief_Windows_3B!$O$2083:$O$100,0))</f>
        <v/>
      </c>
      <c r="I2083">
        <f>MIN(F2083,H2083)</f>
        <v/>
      </c>
    </row>
    <row r="2084">
      <c r="A2084">
        <f>TEST_DATA!A2084</f>
        <v/>
      </c>
      <c r="B2084">
        <f>TEST_DATA!B2084</f>
        <v/>
      </c>
      <c r="C2084">
        <f>TEST_DATA!C2084</f>
        <v/>
      </c>
      <c r="D2084">
        <f>TEST_DATA!D2084</f>
        <v/>
      </c>
      <c r="E2084">
        <f>TEST_DATA!E2084</f>
        <v/>
      </c>
      <c r="F2084">
        <f>MIN(E2084*208400,10000)</f>
        <v/>
      </c>
      <c r="G2084">
        <f>MINIFS(CBIC_Late_Fee_Relief_Windows_3B!$O$2084:$O$100,CBIC_Late_Fee_Relief_Windows_3B!$D$2084:$D$100,"&lt;="&amp;B2084,CBIC_Late_Fee_Relief_Windows_3B!$E$2084:$E$100,"&gt;="&amp;B2084,CBIC_Late_Fee_Relief_Windows_3B!$F$2084:$F$100,"&lt;="&amp;C2084,CBIC_Late_Fee_Relief_Windows_3B!$G$2084:$G$100,"&gt;="&amp;C2084)</f>
        <v/>
      </c>
      <c r="H2084">
        <f>INDEX(CBIC_Late_Fee_Relief_Windows_3B!$I$2084:$I$100,MATCH(G2084,CBIC_Late_Fee_Relief_Windows_3B!$O$2084:$O$100,0))</f>
        <v/>
      </c>
      <c r="I2084">
        <f>MIN(F2084,H2084)</f>
        <v/>
      </c>
    </row>
    <row r="2085">
      <c r="A2085">
        <f>TEST_DATA!A2085</f>
        <v/>
      </c>
      <c r="B2085">
        <f>TEST_DATA!B2085</f>
        <v/>
      </c>
      <c r="C2085">
        <f>TEST_DATA!C2085</f>
        <v/>
      </c>
      <c r="D2085">
        <f>TEST_DATA!D2085</f>
        <v/>
      </c>
      <c r="E2085">
        <f>TEST_DATA!E2085</f>
        <v/>
      </c>
      <c r="F2085">
        <f>MIN(E2085*208500,10000)</f>
        <v/>
      </c>
      <c r="G2085">
        <f>MINIFS(CBIC_Late_Fee_Relief_Windows_3B!$O$2085:$O$100,CBIC_Late_Fee_Relief_Windows_3B!$D$2085:$D$100,"&lt;="&amp;B2085,CBIC_Late_Fee_Relief_Windows_3B!$E$2085:$E$100,"&gt;="&amp;B2085,CBIC_Late_Fee_Relief_Windows_3B!$F$2085:$F$100,"&lt;="&amp;C2085,CBIC_Late_Fee_Relief_Windows_3B!$G$2085:$G$100,"&gt;="&amp;C2085)</f>
        <v/>
      </c>
      <c r="H2085">
        <f>INDEX(CBIC_Late_Fee_Relief_Windows_3B!$I$2085:$I$100,MATCH(G2085,CBIC_Late_Fee_Relief_Windows_3B!$O$2085:$O$100,0))</f>
        <v/>
      </c>
      <c r="I2085">
        <f>MIN(F2085,H2085)</f>
        <v/>
      </c>
    </row>
    <row r="2086">
      <c r="A2086">
        <f>TEST_DATA!A2086</f>
        <v/>
      </c>
      <c r="B2086">
        <f>TEST_DATA!B2086</f>
        <v/>
      </c>
      <c r="C2086">
        <f>TEST_DATA!C2086</f>
        <v/>
      </c>
      <c r="D2086">
        <f>TEST_DATA!D2086</f>
        <v/>
      </c>
      <c r="E2086">
        <f>TEST_DATA!E2086</f>
        <v/>
      </c>
      <c r="F2086">
        <f>MIN(E2086*208600,10000)</f>
        <v/>
      </c>
      <c r="G2086">
        <f>MINIFS(CBIC_Late_Fee_Relief_Windows_3B!$O$2086:$O$100,CBIC_Late_Fee_Relief_Windows_3B!$D$2086:$D$100,"&lt;="&amp;B2086,CBIC_Late_Fee_Relief_Windows_3B!$E$2086:$E$100,"&gt;="&amp;B2086,CBIC_Late_Fee_Relief_Windows_3B!$F$2086:$F$100,"&lt;="&amp;C2086,CBIC_Late_Fee_Relief_Windows_3B!$G$2086:$G$100,"&gt;="&amp;C2086)</f>
        <v/>
      </c>
      <c r="H2086">
        <f>INDEX(CBIC_Late_Fee_Relief_Windows_3B!$I$2086:$I$100,MATCH(G2086,CBIC_Late_Fee_Relief_Windows_3B!$O$2086:$O$100,0))</f>
        <v/>
      </c>
      <c r="I2086">
        <f>MIN(F2086,H2086)</f>
        <v/>
      </c>
    </row>
    <row r="2087">
      <c r="A2087">
        <f>TEST_DATA!A2087</f>
        <v/>
      </c>
      <c r="B2087">
        <f>TEST_DATA!B2087</f>
        <v/>
      </c>
      <c r="C2087">
        <f>TEST_DATA!C2087</f>
        <v/>
      </c>
      <c r="D2087">
        <f>TEST_DATA!D2087</f>
        <v/>
      </c>
      <c r="E2087">
        <f>TEST_DATA!E2087</f>
        <v/>
      </c>
      <c r="F2087">
        <f>MIN(E2087*208700,10000)</f>
        <v/>
      </c>
      <c r="G2087">
        <f>MINIFS(CBIC_Late_Fee_Relief_Windows_3B!$O$2087:$O$100,CBIC_Late_Fee_Relief_Windows_3B!$D$2087:$D$100,"&lt;="&amp;B2087,CBIC_Late_Fee_Relief_Windows_3B!$E$2087:$E$100,"&gt;="&amp;B2087,CBIC_Late_Fee_Relief_Windows_3B!$F$2087:$F$100,"&lt;="&amp;C2087,CBIC_Late_Fee_Relief_Windows_3B!$G$2087:$G$100,"&gt;="&amp;C2087)</f>
        <v/>
      </c>
      <c r="H2087">
        <f>INDEX(CBIC_Late_Fee_Relief_Windows_3B!$I$2087:$I$100,MATCH(G2087,CBIC_Late_Fee_Relief_Windows_3B!$O$2087:$O$100,0))</f>
        <v/>
      </c>
      <c r="I2087">
        <f>MIN(F2087,H2087)</f>
        <v/>
      </c>
    </row>
    <row r="2088">
      <c r="A2088">
        <f>TEST_DATA!A2088</f>
        <v/>
      </c>
      <c r="B2088">
        <f>TEST_DATA!B2088</f>
        <v/>
      </c>
      <c r="C2088">
        <f>TEST_DATA!C2088</f>
        <v/>
      </c>
      <c r="D2088">
        <f>TEST_DATA!D2088</f>
        <v/>
      </c>
      <c r="E2088">
        <f>TEST_DATA!E2088</f>
        <v/>
      </c>
      <c r="F2088">
        <f>MIN(E2088*208800,10000)</f>
        <v/>
      </c>
      <c r="G2088">
        <f>MINIFS(CBIC_Late_Fee_Relief_Windows_3B!$O$2088:$O$100,CBIC_Late_Fee_Relief_Windows_3B!$D$2088:$D$100,"&lt;="&amp;B2088,CBIC_Late_Fee_Relief_Windows_3B!$E$2088:$E$100,"&gt;="&amp;B2088,CBIC_Late_Fee_Relief_Windows_3B!$F$2088:$F$100,"&lt;="&amp;C2088,CBIC_Late_Fee_Relief_Windows_3B!$G$2088:$G$100,"&gt;="&amp;C2088)</f>
        <v/>
      </c>
      <c r="H2088">
        <f>INDEX(CBIC_Late_Fee_Relief_Windows_3B!$I$2088:$I$100,MATCH(G2088,CBIC_Late_Fee_Relief_Windows_3B!$O$2088:$O$100,0))</f>
        <v/>
      </c>
      <c r="I2088">
        <f>MIN(F2088,H2088)</f>
        <v/>
      </c>
    </row>
    <row r="2089">
      <c r="A2089">
        <f>TEST_DATA!A2089</f>
        <v/>
      </c>
      <c r="B2089">
        <f>TEST_DATA!B2089</f>
        <v/>
      </c>
      <c r="C2089">
        <f>TEST_DATA!C2089</f>
        <v/>
      </c>
      <c r="D2089">
        <f>TEST_DATA!D2089</f>
        <v/>
      </c>
      <c r="E2089">
        <f>TEST_DATA!E2089</f>
        <v/>
      </c>
      <c r="F2089">
        <f>MIN(E2089*208900,10000)</f>
        <v/>
      </c>
      <c r="G2089">
        <f>MINIFS(CBIC_Late_Fee_Relief_Windows_3B!$O$2089:$O$100,CBIC_Late_Fee_Relief_Windows_3B!$D$2089:$D$100,"&lt;="&amp;B2089,CBIC_Late_Fee_Relief_Windows_3B!$E$2089:$E$100,"&gt;="&amp;B2089,CBIC_Late_Fee_Relief_Windows_3B!$F$2089:$F$100,"&lt;="&amp;C2089,CBIC_Late_Fee_Relief_Windows_3B!$G$2089:$G$100,"&gt;="&amp;C2089)</f>
        <v/>
      </c>
      <c r="H2089">
        <f>INDEX(CBIC_Late_Fee_Relief_Windows_3B!$I$2089:$I$100,MATCH(G2089,CBIC_Late_Fee_Relief_Windows_3B!$O$2089:$O$100,0))</f>
        <v/>
      </c>
      <c r="I2089">
        <f>MIN(F2089,H2089)</f>
        <v/>
      </c>
    </row>
    <row r="2090">
      <c r="A2090">
        <f>TEST_DATA!A2090</f>
        <v/>
      </c>
      <c r="B2090">
        <f>TEST_DATA!B2090</f>
        <v/>
      </c>
      <c r="C2090">
        <f>TEST_DATA!C2090</f>
        <v/>
      </c>
      <c r="D2090">
        <f>TEST_DATA!D2090</f>
        <v/>
      </c>
      <c r="E2090">
        <f>TEST_DATA!E2090</f>
        <v/>
      </c>
      <c r="F2090">
        <f>MIN(E2090*209000,10000)</f>
        <v/>
      </c>
      <c r="G2090">
        <f>MINIFS(CBIC_Late_Fee_Relief_Windows_3B!$O$2090:$O$100,CBIC_Late_Fee_Relief_Windows_3B!$D$2090:$D$100,"&lt;="&amp;B2090,CBIC_Late_Fee_Relief_Windows_3B!$E$2090:$E$100,"&gt;="&amp;B2090,CBIC_Late_Fee_Relief_Windows_3B!$F$2090:$F$100,"&lt;="&amp;C2090,CBIC_Late_Fee_Relief_Windows_3B!$G$2090:$G$100,"&gt;="&amp;C2090)</f>
        <v/>
      </c>
      <c r="H2090">
        <f>INDEX(CBIC_Late_Fee_Relief_Windows_3B!$I$2090:$I$100,MATCH(G2090,CBIC_Late_Fee_Relief_Windows_3B!$O$2090:$O$100,0))</f>
        <v/>
      </c>
      <c r="I2090">
        <f>MIN(F2090,H2090)</f>
        <v/>
      </c>
    </row>
    <row r="2091">
      <c r="A2091">
        <f>TEST_DATA!A2091</f>
        <v/>
      </c>
      <c r="B2091">
        <f>TEST_DATA!B2091</f>
        <v/>
      </c>
      <c r="C2091">
        <f>TEST_DATA!C2091</f>
        <v/>
      </c>
      <c r="D2091">
        <f>TEST_DATA!D2091</f>
        <v/>
      </c>
      <c r="E2091">
        <f>TEST_DATA!E2091</f>
        <v/>
      </c>
      <c r="F2091">
        <f>MIN(E2091*209100,10000)</f>
        <v/>
      </c>
      <c r="G2091">
        <f>MINIFS(CBIC_Late_Fee_Relief_Windows_3B!$O$2091:$O$100,CBIC_Late_Fee_Relief_Windows_3B!$D$2091:$D$100,"&lt;="&amp;B2091,CBIC_Late_Fee_Relief_Windows_3B!$E$2091:$E$100,"&gt;="&amp;B2091,CBIC_Late_Fee_Relief_Windows_3B!$F$2091:$F$100,"&lt;="&amp;C2091,CBIC_Late_Fee_Relief_Windows_3B!$G$2091:$G$100,"&gt;="&amp;C2091)</f>
        <v/>
      </c>
      <c r="H2091">
        <f>INDEX(CBIC_Late_Fee_Relief_Windows_3B!$I$2091:$I$100,MATCH(G2091,CBIC_Late_Fee_Relief_Windows_3B!$O$2091:$O$100,0))</f>
        <v/>
      </c>
      <c r="I2091">
        <f>MIN(F2091,H2091)</f>
        <v/>
      </c>
    </row>
    <row r="2092">
      <c r="A2092">
        <f>TEST_DATA!A2092</f>
        <v/>
      </c>
      <c r="B2092">
        <f>TEST_DATA!B2092</f>
        <v/>
      </c>
      <c r="C2092">
        <f>TEST_DATA!C2092</f>
        <v/>
      </c>
      <c r="D2092">
        <f>TEST_DATA!D2092</f>
        <v/>
      </c>
      <c r="E2092">
        <f>TEST_DATA!E2092</f>
        <v/>
      </c>
      <c r="F2092">
        <f>MIN(E2092*209200,10000)</f>
        <v/>
      </c>
      <c r="G2092">
        <f>MINIFS(CBIC_Late_Fee_Relief_Windows_3B!$O$2092:$O$100,CBIC_Late_Fee_Relief_Windows_3B!$D$2092:$D$100,"&lt;="&amp;B2092,CBIC_Late_Fee_Relief_Windows_3B!$E$2092:$E$100,"&gt;="&amp;B2092,CBIC_Late_Fee_Relief_Windows_3B!$F$2092:$F$100,"&lt;="&amp;C2092,CBIC_Late_Fee_Relief_Windows_3B!$G$2092:$G$100,"&gt;="&amp;C2092)</f>
        <v/>
      </c>
      <c r="H2092">
        <f>INDEX(CBIC_Late_Fee_Relief_Windows_3B!$I$2092:$I$100,MATCH(G2092,CBIC_Late_Fee_Relief_Windows_3B!$O$2092:$O$100,0))</f>
        <v/>
      </c>
      <c r="I2092">
        <f>MIN(F2092,H2092)</f>
        <v/>
      </c>
    </row>
    <row r="2093">
      <c r="A2093">
        <f>TEST_DATA!A2093</f>
        <v/>
      </c>
      <c r="B2093">
        <f>TEST_DATA!B2093</f>
        <v/>
      </c>
      <c r="C2093">
        <f>TEST_DATA!C2093</f>
        <v/>
      </c>
      <c r="D2093">
        <f>TEST_DATA!D2093</f>
        <v/>
      </c>
      <c r="E2093">
        <f>TEST_DATA!E2093</f>
        <v/>
      </c>
      <c r="F2093">
        <f>MIN(E2093*209300,10000)</f>
        <v/>
      </c>
      <c r="G2093">
        <f>MINIFS(CBIC_Late_Fee_Relief_Windows_3B!$O$2093:$O$100,CBIC_Late_Fee_Relief_Windows_3B!$D$2093:$D$100,"&lt;="&amp;B2093,CBIC_Late_Fee_Relief_Windows_3B!$E$2093:$E$100,"&gt;="&amp;B2093,CBIC_Late_Fee_Relief_Windows_3B!$F$2093:$F$100,"&lt;="&amp;C2093,CBIC_Late_Fee_Relief_Windows_3B!$G$2093:$G$100,"&gt;="&amp;C2093)</f>
        <v/>
      </c>
      <c r="H2093">
        <f>INDEX(CBIC_Late_Fee_Relief_Windows_3B!$I$2093:$I$100,MATCH(G2093,CBIC_Late_Fee_Relief_Windows_3B!$O$2093:$O$100,0))</f>
        <v/>
      </c>
      <c r="I2093">
        <f>MIN(F2093,H2093)</f>
        <v/>
      </c>
    </row>
    <row r="2094">
      <c r="A2094">
        <f>TEST_DATA!A2094</f>
        <v/>
      </c>
      <c r="B2094">
        <f>TEST_DATA!B2094</f>
        <v/>
      </c>
      <c r="C2094">
        <f>TEST_DATA!C2094</f>
        <v/>
      </c>
      <c r="D2094">
        <f>TEST_DATA!D2094</f>
        <v/>
      </c>
      <c r="E2094">
        <f>TEST_DATA!E2094</f>
        <v/>
      </c>
      <c r="F2094">
        <f>MIN(E2094*209400,10000)</f>
        <v/>
      </c>
      <c r="G2094">
        <f>MINIFS(CBIC_Late_Fee_Relief_Windows_3B!$O$2094:$O$100,CBIC_Late_Fee_Relief_Windows_3B!$D$2094:$D$100,"&lt;="&amp;B2094,CBIC_Late_Fee_Relief_Windows_3B!$E$2094:$E$100,"&gt;="&amp;B2094,CBIC_Late_Fee_Relief_Windows_3B!$F$2094:$F$100,"&lt;="&amp;C2094,CBIC_Late_Fee_Relief_Windows_3B!$G$2094:$G$100,"&gt;="&amp;C2094)</f>
        <v/>
      </c>
      <c r="H2094">
        <f>INDEX(CBIC_Late_Fee_Relief_Windows_3B!$I$2094:$I$100,MATCH(G2094,CBIC_Late_Fee_Relief_Windows_3B!$O$2094:$O$100,0))</f>
        <v/>
      </c>
      <c r="I2094">
        <f>MIN(F2094,H2094)</f>
        <v/>
      </c>
    </row>
    <row r="2095">
      <c r="A2095">
        <f>TEST_DATA!A2095</f>
        <v/>
      </c>
      <c r="B2095">
        <f>TEST_DATA!B2095</f>
        <v/>
      </c>
      <c r="C2095">
        <f>TEST_DATA!C2095</f>
        <v/>
      </c>
      <c r="D2095">
        <f>TEST_DATA!D2095</f>
        <v/>
      </c>
      <c r="E2095">
        <f>TEST_DATA!E2095</f>
        <v/>
      </c>
      <c r="F2095">
        <f>MIN(E2095*209500,10000)</f>
        <v/>
      </c>
      <c r="G2095">
        <f>MINIFS(CBIC_Late_Fee_Relief_Windows_3B!$O$2095:$O$100,CBIC_Late_Fee_Relief_Windows_3B!$D$2095:$D$100,"&lt;="&amp;B2095,CBIC_Late_Fee_Relief_Windows_3B!$E$2095:$E$100,"&gt;="&amp;B2095,CBIC_Late_Fee_Relief_Windows_3B!$F$2095:$F$100,"&lt;="&amp;C2095,CBIC_Late_Fee_Relief_Windows_3B!$G$2095:$G$100,"&gt;="&amp;C2095)</f>
        <v/>
      </c>
      <c r="H2095">
        <f>INDEX(CBIC_Late_Fee_Relief_Windows_3B!$I$2095:$I$100,MATCH(G2095,CBIC_Late_Fee_Relief_Windows_3B!$O$2095:$O$100,0))</f>
        <v/>
      </c>
      <c r="I2095">
        <f>MIN(F2095,H2095)</f>
        <v/>
      </c>
    </row>
    <row r="2096">
      <c r="A2096">
        <f>TEST_DATA!A2096</f>
        <v/>
      </c>
      <c r="B2096">
        <f>TEST_DATA!B2096</f>
        <v/>
      </c>
      <c r="C2096">
        <f>TEST_DATA!C2096</f>
        <v/>
      </c>
      <c r="D2096">
        <f>TEST_DATA!D2096</f>
        <v/>
      </c>
      <c r="E2096">
        <f>TEST_DATA!E2096</f>
        <v/>
      </c>
      <c r="F2096">
        <f>MIN(E2096*209600,10000)</f>
        <v/>
      </c>
      <c r="G2096">
        <f>MINIFS(CBIC_Late_Fee_Relief_Windows_3B!$O$2096:$O$100,CBIC_Late_Fee_Relief_Windows_3B!$D$2096:$D$100,"&lt;="&amp;B2096,CBIC_Late_Fee_Relief_Windows_3B!$E$2096:$E$100,"&gt;="&amp;B2096,CBIC_Late_Fee_Relief_Windows_3B!$F$2096:$F$100,"&lt;="&amp;C2096,CBIC_Late_Fee_Relief_Windows_3B!$G$2096:$G$100,"&gt;="&amp;C2096)</f>
        <v/>
      </c>
      <c r="H2096">
        <f>INDEX(CBIC_Late_Fee_Relief_Windows_3B!$I$2096:$I$100,MATCH(G2096,CBIC_Late_Fee_Relief_Windows_3B!$O$2096:$O$100,0))</f>
        <v/>
      </c>
      <c r="I2096">
        <f>MIN(F2096,H2096)</f>
        <v/>
      </c>
    </row>
    <row r="2097">
      <c r="A2097">
        <f>TEST_DATA!A2097</f>
        <v/>
      </c>
      <c r="B2097">
        <f>TEST_DATA!B2097</f>
        <v/>
      </c>
      <c r="C2097">
        <f>TEST_DATA!C2097</f>
        <v/>
      </c>
      <c r="D2097">
        <f>TEST_DATA!D2097</f>
        <v/>
      </c>
      <c r="E2097">
        <f>TEST_DATA!E2097</f>
        <v/>
      </c>
      <c r="F2097">
        <f>MIN(E2097*209700,10000)</f>
        <v/>
      </c>
      <c r="G2097">
        <f>MINIFS(CBIC_Late_Fee_Relief_Windows_3B!$O$2097:$O$100,CBIC_Late_Fee_Relief_Windows_3B!$D$2097:$D$100,"&lt;="&amp;B2097,CBIC_Late_Fee_Relief_Windows_3B!$E$2097:$E$100,"&gt;="&amp;B2097,CBIC_Late_Fee_Relief_Windows_3B!$F$2097:$F$100,"&lt;="&amp;C2097,CBIC_Late_Fee_Relief_Windows_3B!$G$2097:$G$100,"&gt;="&amp;C2097)</f>
        <v/>
      </c>
      <c r="H2097">
        <f>INDEX(CBIC_Late_Fee_Relief_Windows_3B!$I$2097:$I$100,MATCH(G2097,CBIC_Late_Fee_Relief_Windows_3B!$O$2097:$O$100,0))</f>
        <v/>
      </c>
      <c r="I2097">
        <f>MIN(F2097,H2097)</f>
        <v/>
      </c>
    </row>
    <row r="2098">
      <c r="A2098">
        <f>TEST_DATA!A2098</f>
        <v/>
      </c>
      <c r="B2098">
        <f>TEST_DATA!B2098</f>
        <v/>
      </c>
      <c r="C2098">
        <f>TEST_DATA!C2098</f>
        <v/>
      </c>
      <c r="D2098">
        <f>TEST_DATA!D2098</f>
        <v/>
      </c>
      <c r="E2098">
        <f>TEST_DATA!E2098</f>
        <v/>
      </c>
      <c r="F2098">
        <f>MIN(E2098*209800,10000)</f>
        <v/>
      </c>
      <c r="G2098">
        <f>MINIFS(CBIC_Late_Fee_Relief_Windows_3B!$O$2098:$O$100,CBIC_Late_Fee_Relief_Windows_3B!$D$2098:$D$100,"&lt;="&amp;B2098,CBIC_Late_Fee_Relief_Windows_3B!$E$2098:$E$100,"&gt;="&amp;B2098,CBIC_Late_Fee_Relief_Windows_3B!$F$2098:$F$100,"&lt;="&amp;C2098,CBIC_Late_Fee_Relief_Windows_3B!$G$2098:$G$100,"&gt;="&amp;C2098)</f>
        <v/>
      </c>
      <c r="H2098">
        <f>INDEX(CBIC_Late_Fee_Relief_Windows_3B!$I$2098:$I$100,MATCH(G2098,CBIC_Late_Fee_Relief_Windows_3B!$O$2098:$O$100,0))</f>
        <v/>
      </c>
      <c r="I2098">
        <f>MIN(F2098,H2098)</f>
        <v/>
      </c>
    </row>
    <row r="2099">
      <c r="A2099">
        <f>TEST_DATA!A2099</f>
        <v/>
      </c>
      <c r="B2099">
        <f>TEST_DATA!B2099</f>
        <v/>
      </c>
      <c r="C2099">
        <f>TEST_DATA!C2099</f>
        <v/>
      </c>
      <c r="D2099">
        <f>TEST_DATA!D2099</f>
        <v/>
      </c>
      <c r="E2099">
        <f>TEST_DATA!E2099</f>
        <v/>
      </c>
      <c r="F2099">
        <f>MIN(E2099*209900,10000)</f>
        <v/>
      </c>
      <c r="G2099">
        <f>MINIFS(CBIC_Late_Fee_Relief_Windows_3B!$O$2099:$O$100,CBIC_Late_Fee_Relief_Windows_3B!$D$2099:$D$100,"&lt;="&amp;B2099,CBIC_Late_Fee_Relief_Windows_3B!$E$2099:$E$100,"&gt;="&amp;B2099,CBIC_Late_Fee_Relief_Windows_3B!$F$2099:$F$100,"&lt;="&amp;C2099,CBIC_Late_Fee_Relief_Windows_3B!$G$2099:$G$100,"&gt;="&amp;C2099)</f>
        <v/>
      </c>
      <c r="H2099">
        <f>INDEX(CBIC_Late_Fee_Relief_Windows_3B!$I$2099:$I$100,MATCH(G2099,CBIC_Late_Fee_Relief_Windows_3B!$O$2099:$O$100,0))</f>
        <v/>
      </c>
      <c r="I2099">
        <f>MIN(F2099,H2099)</f>
        <v/>
      </c>
    </row>
    <row r="2100">
      <c r="A2100">
        <f>TEST_DATA!A2100</f>
        <v/>
      </c>
      <c r="B2100">
        <f>TEST_DATA!B2100</f>
        <v/>
      </c>
      <c r="C2100">
        <f>TEST_DATA!C2100</f>
        <v/>
      </c>
      <c r="D2100">
        <f>TEST_DATA!D2100</f>
        <v/>
      </c>
      <c r="E2100">
        <f>TEST_DATA!E2100</f>
        <v/>
      </c>
      <c r="F2100">
        <f>MIN(E2100*210000,10000)</f>
        <v/>
      </c>
      <c r="G2100">
        <f>MINIFS(CBIC_Late_Fee_Relief_Windows_3B!$O$2100:$O$100,CBIC_Late_Fee_Relief_Windows_3B!$D$2100:$D$100,"&lt;="&amp;B2100,CBIC_Late_Fee_Relief_Windows_3B!$E$2100:$E$100,"&gt;="&amp;B2100,CBIC_Late_Fee_Relief_Windows_3B!$F$2100:$F$100,"&lt;="&amp;C2100,CBIC_Late_Fee_Relief_Windows_3B!$G$2100:$G$100,"&gt;="&amp;C2100)</f>
        <v/>
      </c>
      <c r="H2100">
        <f>INDEX(CBIC_Late_Fee_Relief_Windows_3B!$I$2100:$I$100,MATCH(G2100,CBIC_Late_Fee_Relief_Windows_3B!$O$2100:$O$100,0))</f>
        <v/>
      </c>
      <c r="I2100">
        <f>MIN(F2100,H2100)</f>
        <v/>
      </c>
    </row>
    <row r="2101">
      <c r="A2101">
        <f>TEST_DATA!A2101</f>
        <v/>
      </c>
      <c r="B2101">
        <f>TEST_DATA!B2101</f>
        <v/>
      </c>
      <c r="C2101">
        <f>TEST_DATA!C2101</f>
        <v/>
      </c>
      <c r="D2101">
        <f>TEST_DATA!D2101</f>
        <v/>
      </c>
      <c r="E2101">
        <f>TEST_DATA!E2101</f>
        <v/>
      </c>
      <c r="F2101">
        <f>MIN(E2101*210100,10000)</f>
        <v/>
      </c>
      <c r="G2101">
        <f>MINIFS(CBIC_Late_Fee_Relief_Windows_3B!$O$2101:$O$100,CBIC_Late_Fee_Relief_Windows_3B!$D$2101:$D$100,"&lt;="&amp;B2101,CBIC_Late_Fee_Relief_Windows_3B!$E$2101:$E$100,"&gt;="&amp;B2101,CBIC_Late_Fee_Relief_Windows_3B!$F$2101:$F$100,"&lt;="&amp;C2101,CBIC_Late_Fee_Relief_Windows_3B!$G$2101:$G$100,"&gt;="&amp;C2101)</f>
        <v/>
      </c>
      <c r="H2101">
        <f>INDEX(CBIC_Late_Fee_Relief_Windows_3B!$I$2101:$I$100,MATCH(G2101,CBIC_Late_Fee_Relief_Windows_3B!$O$2101:$O$100,0))</f>
        <v/>
      </c>
      <c r="I2101">
        <f>MIN(F2101,H2101)</f>
        <v/>
      </c>
    </row>
    <row r="2102">
      <c r="A2102">
        <f>TEST_DATA!A2102</f>
        <v/>
      </c>
      <c r="B2102">
        <f>TEST_DATA!B2102</f>
        <v/>
      </c>
      <c r="C2102">
        <f>TEST_DATA!C2102</f>
        <v/>
      </c>
      <c r="D2102">
        <f>TEST_DATA!D2102</f>
        <v/>
      </c>
      <c r="E2102">
        <f>TEST_DATA!E2102</f>
        <v/>
      </c>
      <c r="F2102">
        <f>MIN(E2102*210200,10000)</f>
        <v/>
      </c>
      <c r="G2102">
        <f>MINIFS(CBIC_Late_Fee_Relief_Windows_3B!$O$2102:$O$100,CBIC_Late_Fee_Relief_Windows_3B!$D$2102:$D$100,"&lt;="&amp;B2102,CBIC_Late_Fee_Relief_Windows_3B!$E$2102:$E$100,"&gt;="&amp;B2102,CBIC_Late_Fee_Relief_Windows_3B!$F$2102:$F$100,"&lt;="&amp;C2102,CBIC_Late_Fee_Relief_Windows_3B!$G$2102:$G$100,"&gt;="&amp;C2102)</f>
        <v/>
      </c>
      <c r="H2102">
        <f>INDEX(CBIC_Late_Fee_Relief_Windows_3B!$I$2102:$I$100,MATCH(G2102,CBIC_Late_Fee_Relief_Windows_3B!$O$2102:$O$100,0))</f>
        <v/>
      </c>
      <c r="I2102">
        <f>MIN(F2102,H2102)</f>
        <v/>
      </c>
    </row>
    <row r="2103">
      <c r="A2103">
        <f>TEST_DATA!A2103</f>
        <v/>
      </c>
      <c r="B2103">
        <f>TEST_DATA!B2103</f>
        <v/>
      </c>
      <c r="C2103">
        <f>TEST_DATA!C2103</f>
        <v/>
      </c>
      <c r="D2103">
        <f>TEST_DATA!D2103</f>
        <v/>
      </c>
      <c r="E2103">
        <f>TEST_DATA!E2103</f>
        <v/>
      </c>
      <c r="F2103">
        <f>MIN(E2103*210300,10000)</f>
        <v/>
      </c>
      <c r="G2103">
        <f>MINIFS(CBIC_Late_Fee_Relief_Windows_3B!$O$2103:$O$100,CBIC_Late_Fee_Relief_Windows_3B!$D$2103:$D$100,"&lt;="&amp;B2103,CBIC_Late_Fee_Relief_Windows_3B!$E$2103:$E$100,"&gt;="&amp;B2103,CBIC_Late_Fee_Relief_Windows_3B!$F$2103:$F$100,"&lt;="&amp;C2103,CBIC_Late_Fee_Relief_Windows_3B!$G$2103:$G$100,"&gt;="&amp;C2103)</f>
        <v/>
      </c>
      <c r="H2103">
        <f>INDEX(CBIC_Late_Fee_Relief_Windows_3B!$I$2103:$I$100,MATCH(G2103,CBIC_Late_Fee_Relief_Windows_3B!$O$2103:$O$100,0))</f>
        <v/>
      </c>
      <c r="I2103">
        <f>MIN(F2103,H2103)</f>
        <v/>
      </c>
    </row>
    <row r="2104">
      <c r="A2104">
        <f>TEST_DATA!A2104</f>
        <v/>
      </c>
      <c r="B2104">
        <f>TEST_DATA!B2104</f>
        <v/>
      </c>
      <c r="C2104">
        <f>TEST_DATA!C2104</f>
        <v/>
      </c>
      <c r="D2104">
        <f>TEST_DATA!D2104</f>
        <v/>
      </c>
      <c r="E2104">
        <f>TEST_DATA!E2104</f>
        <v/>
      </c>
      <c r="F2104">
        <f>MIN(E2104*210400,10000)</f>
        <v/>
      </c>
      <c r="G2104">
        <f>MINIFS(CBIC_Late_Fee_Relief_Windows_3B!$O$2104:$O$100,CBIC_Late_Fee_Relief_Windows_3B!$D$2104:$D$100,"&lt;="&amp;B2104,CBIC_Late_Fee_Relief_Windows_3B!$E$2104:$E$100,"&gt;="&amp;B2104,CBIC_Late_Fee_Relief_Windows_3B!$F$2104:$F$100,"&lt;="&amp;C2104,CBIC_Late_Fee_Relief_Windows_3B!$G$2104:$G$100,"&gt;="&amp;C2104)</f>
        <v/>
      </c>
      <c r="H2104">
        <f>INDEX(CBIC_Late_Fee_Relief_Windows_3B!$I$2104:$I$100,MATCH(G2104,CBIC_Late_Fee_Relief_Windows_3B!$O$2104:$O$100,0))</f>
        <v/>
      </c>
      <c r="I2104">
        <f>MIN(F2104,H2104)</f>
        <v/>
      </c>
    </row>
    <row r="2105">
      <c r="A2105">
        <f>TEST_DATA!A2105</f>
        <v/>
      </c>
      <c r="B2105">
        <f>TEST_DATA!B2105</f>
        <v/>
      </c>
      <c r="C2105">
        <f>TEST_DATA!C2105</f>
        <v/>
      </c>
      <c r="D2105">
        <f>TEST_DATA!D2105</f>
        <v/>
      </c>
      <c r="E2105">
        <f>TEST_DATA!E2105</f>
        <v/>
      </c>
      <c r="F2105">
        <f>MIN(E2105*210500,10000)</f>
        <v/>
      </c>
      <c r="G2105">
        <f>MINIFS(CBIC_Late_Fee_Relief_Windows_3B!$O$2105:$O$100,CBIC_Late_Fee_Relief_Windows_3B!$D$2105:$D$100,"&lt;="&amp;B2105,CBIC_Late_Fee_Relief_Windows_3B!$E$2105:$E$100,"&gt;="&amp;B2105,CBIC_Late_Fee_Relief_Windows_3B!$F$2105:$F$100,"&lt;="&amp;C2105,CBIC_Late_Fee_Relief_Windows_3B!$G$2105:$G$100,"&gt;="&amp;C2105)</f>
        <v/>
      </c>
      <c r="H2105">
        <f>INDEX(CBIC_Late_Fee_Relief_Windows_3B!$I$2105:$I$100,MATCH(G2105,CBIC_Late_Fee_Relief_Windows_3B!$O$2105:$O$100,0))</f>
        <v/>
      </c>
      <c r="I2105">
        <f>MIN(F2105,H2105)</f>
        <v/>
      </c>
    </row>
    <row r="2106">
      <c r="A2106">
        <f>TEST_DATA!A2106</f>
        <v/>
      </c>
      <c r="B2106">
        <f>TEST_DATA!B2106</f>
        <v/>
      </c>
      <c r="C2106">
        <f>TEST_DATA!C2106</f>
        <v/>
      </c>
      <c r="D2106">
        <f>TEST_DATA!D2106</f>
        <v/>
      </c>
      <c r="E2106">
        <f>TEST_DATA!E2106</f>
        <v/>
      </c>
      <c r="F2106">
        <f>MIN(E2106*210600,10000)</f>
        <v/>
      </c>
      <c r="G2106">
        <f>MINIFS(CBIC_Late_Fee_Relief_Windows_3B!$O$2106:$O$100,CBIC_Late_Fee_Relief_Windows_3B!$D$2106:$D$100,"&lt;="&amp;B2106,CBIC_Late_Fee_Relief_Windows_3B!$E$2106:$E$100,"&gt;="&amp;B2106,CBIC_Late_Fee_Relief_Windows_3B!$F$2106:$F$100,"&lt;="&amp;C2106,CBIC_Late_Fee_Relief_Windows_3B!$G$2106:$G$100,"&gt;="&amp;C2106)</f>
        <v/>
      </c>
      <c r="H2106">
        <f>INDEX(CBIC_Late_Fee_Relief_Windows_3B!$I$2106:$I$100,MATCH(G2106,CBIC_Late_Fee_Relief_Windows_3B!$O$2106:$O$100,0))</f>
        <v/>
      </c>
      <c r="I2106">
        <f>MIN(F2106,H2106)</f>
        <v/>
      </c>
    </row>
    <row r="2107">
      <c r="A2107">
        <f>TEST_DATA!A2107</f>
        <v/>
      </c>
      <c r="B2107">
        <f>TEST_DATA!B2107</f>
        <v/>
      </c>
      <c r="C2107">
        <f>TEST_DATA!C2107</f>
        <v/>
      </c>
      <c r="D2107">
        <f>TEST_DATA!D2107</f>
        <v/>
      </c>
      <c r="E2107">
        <f>TEST_DATA!E2107</f>
        <v/>
      </c>
      <c r="F2107">
        <f>MIN(E2107*210700,10000)</f>
        <v/>
      </c>
      <c r="G2107">
        <f>MINIFS(CBIC_Late_Fee_Relief_Windows_3B!$O$2107:$O$100,CBIC_Late_Fee_Relief_Windows_3B!$D$2107:$D$100,"&lt;="&amp;B2107,CBIC_Late_Fee_Relief_Windows_3B!$E$2107:$E$100,"&gt;="&amp;B2107,CBIC_Late_Fee_Relief_Windows_3B!$F$2107:$F$100,"&lt;="&amp;C2107,CBIC_Late_Fee_Relief_Windows_3B!$G$2107:$G$100,"&gt;="&amp;C2107)</f>
        <v/>
      </c>
      <c r="H2107">
        <f>INDEX(CBIC_Late_Fee_Relief_Windows_3B!$I$2107:$I$100,MATCH(G2107,CBIC_Late_Fee_Relief_Windows_3B!$O$2107:$O$100,0))</f>
        <v/>
      </c>
      <c r="I2107">
        <f>MIN(F2107,H2107)</f>
        <v/>
      </c>
    </row>
    <row r="2108">
      <c r="A2108">
        <f>TEST_DATA!A2108</f>
        <v/>
      </c>
      <c r="B2108">
        <f>TEST_DATA!B2108</f>
        <v/>
      </c>
      <c r="C2108">
        <f>TEST_DATA!C2108</f>
        <v/>
      </c>
      <c r="D2108">
        <f>TEST_DATA!D2108</f>
        <v/>
      </c>
      <c r="E2108">
        <f>TEST_DATA!E2108</f>
        <v/>
      </c>
      <c r="F2108">
        <f>MIN(E2108*210800,10000)</f>
        <v/>
      </c>
      <c r="G2108">
        <f>MINIFS(CBIC_Late_Fee_Relief_Windows_3B!$O$2108:$O$100,CBIC_Late_Fee_Relief_Windows_3B!$D$2108:$D$100,"&lt;="&amp;B2108,CBIC_Late_Fee_Relief_Windows_3B!$E$2108:$E$100,"&gt;="&amp;B2108,CBIC_Late_Fee_Relief_Windows_3B!$F$2108:$F$100,"&lt;="&amp;C2108,CBIC_Late_Fee_Relief_Windows_3B!$G$2108:$G$100,"&gt;="&amp;C2108)</f>
        <v/>
      </c>
      <c r="H2108">
        <f>INDEX(CBIC_Late_Fee_Relief_Windows_3B!$I$2108:$I$100,MATCH(G2108,CBIC_Late_Fee_Relief_Windows_3B!$O$2108:$O$100,0))</f>
        <v/>
      </c>
      <c r="I2108">
        <f>MIN(F2108,H2108)</f>
        <v/>
      </c>
    </row>
    <row r="2109">
      <c r="A2109">
        <f>TEST_DATA!A2109</f>
        <v/>
      </c>
      <c r="B2109">
        <f>TEST_DATA!B2109</f>
        <v/>
      </c>
      <c r="C2109">
        <f>TEST_DATA!C2109</f>
        <v/>
      </c>
      <c r="D2109">
        <f>TEST_DATA!D2109</f>
        <v/>
      </c>
      <c r="E2109">
        <f>TEST_DATA!E2109</f>
        <v/>
      </c>
      <c r="F2109">
        <f>MIN(E2109*210900,10000)</f>
        <v/>
      </c>
      <c r="G2109">
        <f>MINIFS(CBIC_Late_Fee_Relief_Windows_3B!$O$2109:$O$100,CBIC_Late_Fee_Relief_Windows_3B!$D$2109:$D$100,"&lt;="&amp;B2109,CBIC_Late_Fee_Relief_Windows_3B!$E$2109:$E$100,"&gt;="&amp;B2109,CBIC_Late_Fee_Relief_Windows_3B!$F$2109:$F$100,"&lt;="&amp;C2109,CBIC_Late_Fee_Relief_Windows_3B!$G$2109:$G$100,"&gt;="&amp;C2109)</f>
        <v/>
      </c>
      <c r="H2109">
        <f>INDEX(CBIC_Late_Fee_Relief_Windows_3B!$I$2109:$I$100,MATCH(G2109,CBIC_Late_Fee_Relief_Windows_3B!$O$2109:$O$100,0))</f>
        <v/>
      </c>
      <c r="I2109">
        <f>MIN(F2109,H2109)</f>
        <v/>
      </c>
    </row>
    <row r="2110">
      <c r="A2110">
        <f>TEST_DATA!A2110</f>
        <v/>
      </c>
      <c r="B2110">
        <f>TEST_DATA!B2110</f>
        <v/>
      </c>
      <c r="C2110">
        <f>TEST_DATA!C2110</f>
        <v/>
      </c>
      <c r="D2110">
        <f>TEST_DATA!D2110</f>
        <v/>
      </c>
      <c r="E2110">
        <f>TEST_DATA!E2110</f>
        <v/>
      </c>
      <c r="F2110">
        <f>MIN(E2110*211000,10000)</f>
        <v/>
      </c>
      <c r="G2110">
        <f>MINIFS(CBIC_Late_Fee_Relief_Windows_3B!$O$2110:$O$100,CBIC_Late_Fee_Relief_Windows_3B!$D$2110:$D$100,"&lt;="&amp;B2110,CBIC_Late_Fee_Relief_Windows_3B!$E$2110:$E$100,"&gt;="&amp;B2110,CBIC_Late_Fee_Relief_Windows_3B!$F$2110:$F$100,"&lt;="&amp;C2110,CBIC_Late_Fee_Relief_Windows_3B!$G$2110:$G$100,"&gt;="&amp;C2110)</f>
        <v/>
      </c>
      <c r="H2110">
        <f>INDEX(CBIC_Late_Fee_Relief_Windows_3B!$I$2110:$I$100,MATCH(G2110,CBIC_Late_Fee_Relief_Windows_3B!$O$2110:$O$100,0))</f>
        <v/>
      </c>
      <c r="I2110">
        <f>MIN(F2110,H2110)</f>
        <v/>
      </c>
    </row>
    <row r="2111">
      <c r="A2111">
        <f>TEST_DATA!A2111</f>
        <v/>
      </c>
      <c r="B2111">
        <f>TEST_DATA!B2111</f>
        <v/>
      </c>
      <c r="C2111">
        <f>TEST_DATA!C2111</f>
        <v/>
      </c>
      <c r="D2111">
        <f>TEST_DATA!D2111</f>
        <v/>
      </c>
      <c r="E2111">
        <f>TEST_DATA!E2111</f>
        <v/>
      </c>
      <c r="F2111">
        <f>MIN(E2111*211100,10000)</f>
        <v/>
      </c>
      <c r="G2111">
        <f>MINIFS(CBIC_Late_Fee_Relief_Windows_3B!$O$2111:$O$100,CBIC_Late_Fee_Relief_Windows_3B!$D$2111:$D$100,"&lt;="&amp;B2111,CBIC_Late_Fee_Relief_Windows_3B!$E$2111:$E$100,"&gt;="&amp;B2111,CBIC_Late_Fee_Relief_Windows_3B!$F$2111:$F$100,"&lt;="&amp;C2111,CBIC_Late_Fee_Relief_Windows_3B!$G$2111:$G$100,"&gt;="&amp;C2111)</f>
        <v/>
      </c>
      <c r="H2111">
        <f>INDEX(CBIC_Late_Fee_Relief_Windows_3B!$I$2111:$I$100,MATCH(G2111,CBIC_Late_Fee_Relief_Windows_3B!$O$2111:$O$100,0))</f>
        <v/>
      </c>
      <c r="I2111">
        <f>MIN(F2111,H2111)</f>
        <v/>
      </c>
    </row>
    <row r="2112">
      <c r="A2112">
        <f>TEST_DATA!A2112</f>
        <v/>
      </c>
      <c r="B2112">
        <f>TEST_DATA!B2112</f>
        <v/>
      </c>
      <c r="C2112">
        <f>TEST_DATA!C2112</f>
        <v/>
      </c>
      <c r="D2112">
        <f>TEST_DATA!D2112</f>
        <v/>
      </c>
      <c r="E2112">
        <f>TEST_DATA!E2112</f>
        <v/>
      </c>
      <c r="F2112">
        <f>MIN(E2112*211200,10000)</f>
        <v/>
      </c>
      <c r="G2112">
        <f>MINIFS(CBIC_Late_Fee_Relief_Windows_3B!$O$2112:$O$100,CBIC_Late_Fee_Relief_Windows_3B!$D$2112:$D$100,"&lt;="&amp;B2112,CBIC_Late_Fee_Relief_Windows_3B!$E$2112:$E$100,"&gt;="&amp;B2112,CBIC_Late_Fee_Relief_Windows_3B!$F$2112:$F$100,"&lt;="&amp;C2112,CBIC_Late_Fee_Relief_Windows_3B!$G$2112:$G$100,"&gt;="&amp;C2112)</f>
        <v/>
      </c>
      <c r="H2112">
        <f>INDEX(CBIC_Late_Fee_Relief_Windows_3B!$I$2112:$I$100,MATCH(G2112,CBIC_Late_Fee_Relief_Windows_3B!$O$2112:$O$100,0))</f>
        <v/>
      </c>
      <c r="I2112">
        <f>MIN(F2112,H2112)</f>
        <v/>
      </c>
    </row>
    <row r="2113">
      <c r="A2113">
        <f>TEST_DATA!A2113</f>
        <v/>
      </c>
      <c r="B2113">
        <f>TEST_DATA!B2113</f>
        <v/>
      </c>
      <c r="C2113">
        <f>TEST_DATA!C2113</f>
        <v/>
      </c>
      <c r="D2113">
        <f>TEST_DATA!D2113</f>
        <v/>
      </c>
      <c r="E2113">
        <f>TEST_DATA!E2113</f>
        <v/>
      </c>
      <c r="F2113">
        <f>MIN(E2113*211300,10000)</f>
        <v/>
      </c>
      <c r="G2113">
        <f>MINIFS(CBIC_Late_Fee_Relief_Windows_3B!$O$2113:$O$100,CBIC_Late_Fee_Relief_Windows_3B!$D$2113:$D$100,"&lt;="&amp;B2113,CBIC_Late_Fee_Relief_Windows_3B!$E$2113:$E$100,"&gt;="&amp;B2113,CBIC_Late_Fee_Relief_Windows_3B!$F$2113:$F$100,"&lt;="&amp;C2113,CBIC_Late_Fee_Relief_Windows_3B!$G$2113:$G$100,"&gt;="&amp;C2113)</f>
        <v/>
      </c>
      <c r="H2113">
        <f>INDEX(CBIC_Late_Fee_Relief_Windows_3B!$I$2113:$I$100,MATCH(G2113,CBIC_Late_Fee_Relief_Windows_3B!$O$2113:$O$100,0))</f>
        <v/>
      </c>
      <c r="I2113">
        <f>MIN(F2113,H2113)</f>
        <v/>
      </c>
    </row>
    <row r="2114">
      <c r="A2114">
        <f>TEST_DATA!A2114</f>
        <v/>
      </c>
      <c r="B2114">
        <f>TEST_DATA!B2114</f>
        <v/>
      </c>
      <c r="C2114">
        <f>TEST_DATA!C2114</f>
        <v/>
      </c>
      <c r="D2114">
        <f>TEST_DATA!D2114</f>
        <v/>
      </c>
      <c r="E2114">
        <f>TEST_DATA!E2114</f>
        <v/>
      </c>
      <c r="F2114">
        <f>MIN(E2114*211400,10000)</f>
        <v/>
      </c>
      <c r="G2114">
        <f>MINIFS(CBIC_Late_Fee_Relief_Windows_3B!$O$2114:$O$100,CBIC_Late_Fee_Relief_Windows_3B!$D$2114:$D$100,"&lt;="&amp;B2114,CBIC_Late_Fee_Relief_Windows_3B!$E$2114:$E$100,"&gt;="&amp;B2114,CBIC_Late_Fee_Relief_Windows_3B!$F$2114:$F$100,"&lt;="&amp;C2114,CBIC_Late_Fee_Relief_Windows_3B!$G$2114:$G$100,"&gt;="&amp;C2114)</f>
        <v/>
      </c>
      <c r="H2114">
        <f>INDEX(CBIC_Late_Fee_Relief_Windows_3B!$I$2114:$I$100,MATCH(G2114,CBIC_Late_Fee_Relief_Windows_3B!$O$2114:$O$100,0))</f>
        <v/>
      </c>
      <c r="I2114">
        <f>MIN(F2114,H2114)</f>
        <v/>
      </c>
    </row>
    <row r="2115">
      <c r="A2115">
        <f>TEST_DATA!A2115</f>
        <v/>
      </c>
      <c r="B2115">
        <f>TEST_DATA!B2115</f>
        <v/>
      </c>
      <c r="C2115">
        <f>TEST_DATA!C2115</f>
        <v/>
      </c>
      <c r="D2115">
        <f>TEST_DATA!D2115</f>
        <v/>
      </c>
      <c r="E2115">
        <f>TEST_DATA!E2115</f>
        <v/>
      </c>
      <c r="F2115">
        <f>MIN(E2115*211500,10000)</f>
        <v/>
      </c>
      <c r="G2115">
        <f>MINIFS(CBIC_Late_Fee_Relief_Windows_3B!$O$2115:$O$100,CBIC_Late_Fee_Relief_Windows_3B!$D$2115:$D$100,"&lt;="&amp;B2115,CBIC_Late_Fee_Relief_Windows_3B!$E$2115:$E$100,"&gt;="&amp;B2115,CBIC_Late_Fee_Relief_Windows_3B!$F$2115:$F$100,"&lt;="&amp;C2115,CBIC_Late_Fee_Relief_Windows_3B!$G$2115:$G$100,"&gt;="&amp;C2115)</f>
        <v/>
      </c>
      <c r="H2115">
        <f>INDEX(CBIC_Late_Fee_Relief_Windows_3B!$I$2115:$I$100,MATCH(G2115,CBIC_Late_Fee_Relief_Windows_3B!$O$2115:$O$100,0))</f>
        <v/>
      </c>
      <c r="I2115">
        <f>MIN(F2115,H2115)</f>
        <v/>
      </c>
    </row>
    <row r="2116">
      <c r="A2116">
        <f>TEST_DATA!A2116</f>
        <v/>
      </c>
      <c r="B2116">
        <f>TEST_DATA!B2116</f>
        <v/>
      </c>
      <c r="C2116">
        <f>TEST_DATA!C2116</f>
        <v/>
      </c>
      <c r="D2116">
        <f>TEST_DATA!D2116</f>
        <v/>
      </c>
      <c r="E2116">
        <f>TEST_DATA!E2116</f>
        <v/>
      </c>
      <c r="F2116">
        <f>MIN(E2116*211600,10000)</f>
        <v/>
      </c>
      <c r="G2116">
        <f>MINIFS(CBIC_Late_Fee_Relief_Windows_3B!$O$2116:$O$100,CBIC_Late_Fee_Relief_Windows_3B!$D$2116:$D$100,"&lt;="&amp;B2116,CBIC_Late_Fee_Relief_Windows_3B!$E$2116:$E$100,"&gt;="&amp;B2116,CBIC_Late_Fee_Relief_Windows_3B!$F$2116:$F$100,"&lt;="&amp;C2116,CBIC_Late_Fee_Relief_Windows_3B!$G$2116:$G$100,"&gt;="&amp;C2116)</f>
        <v/>
      </c>
      <c r="H2116">
        <f>INDEX(CBIC_Late_Fee_Relief_Windows_3B!$I$2116:$I$100,MATCH(G2116,CBIC_Late_Fee_Relief_Windows_3B!$O$2116:$O$100,0))</f>
        <v/>
      </c>
      <c r="I2116">
        <f>MIN(F2116,H2116)</f>
        <v/>
      </c>
    </row>
    <row r="2117">
      <c r="A2117">
        <f>TEST_DATA!A2117</f>
        <v/>
      </c>
      <c r="B2117">
        <f>TEST_DATA!B2117</f>
        <v/>
      </c>
      <c r="C2117">
        <f>TEST_DATA!C2117</f>
        <v/>
      </c>
      <c r="D2117">
        <f>TEST_DATA!D2117</f>
        <v/>
      </c>
      <c r="E2117">
        <f>TEST_DATA!E2117</f>
        <v/>
      </c>
      <c r="F2117">
        <f>MIN(E2117*211700,10000)</f>
        <v/>
      </c>
      <c r="G2117">
        <f>MINIFS(CBIC_Late_Fee_Relief_Windows_3B!$O$2117:$O$100,CBIC_Late_Fee_Relief_Windows_3B!$D$2117:$D$100,"&lt;="&amp;B2117,CBIC_Late_Fee_Relief_Windows_3B!$E$2117:$E$100,"&gt;="&amp;B2117,CBIC_Late_Fee_Relief_Windows_3B!$F$2117:$F$100,"&lt;="&amp;C2117,CBIC_Late_Fee_Relief_Windows_3B!$G$2117:$G$100,"&gt;="&amp;C2117)</f>
        <v/>
      </c>
      <c r="H2117">
        <f>INDEX(CBIC_Late_Fee_Relief_Windows_3B!$I$2117:$I$100,MATCH(G2117,CBIC_Late_Fee_Relief_Windows_3B!$O$2117:$O$100,0))</f>
        <v/>
      </c>
      <c r="I2117">
        <f>MIN(F2117,H2117)</f>
        <v/>
      </c>
    </row>
    <row r="2118">
      <c r="A2118">
        <f>TEST_DATA!A2118</f>
        <v/>
      </c>
      <c r="B2118">
        <f>TEST_DATA!B2118</f>
        <v/>
      </c>
      <c r="C2118">
        <f>TEST_DATA!C2118</f>
        <v/>
      </c>
      <c r="D2118">
        <f>TEST_DATA!D2118</f>
        <v/>
      </c>
      <c r="E2118">
        <f>TEST_DATA!E2118</f>
        <v/>
      </c>
      <c r="F2118">
        <f>MIN(E2118*211800,10000)</f>
        <v/>
      </c>
      <c r="G2118">
        <f>MINIFS(CBIC_Late_Fee_Relief_Windows_3B!$O$2118:$O$100,CBIC_Late_Fee_Relief_Windows_3B!$D$2118:$D$100,"&lt;="&amp;B2118,CBIC_Late_Fee_Relief_Windows_3B!$E$2118:$E$100,"&gt;="&amp;B2118,CBIC_Late_Fee_Relief_Windows_3B!$F$2118:$F$100,"&lt;="&amp;C2118,CBIC_Late_Fee_Relief_Windows_3B!$G$2118:$G$100,"&gt;="&amp;C2118)</f>
        <v/>
      </c>
      <c r="H2118">
        <f>INDEX(CBIC_Late_Fee_Relief_Windows_3B!$I$2118:$I$100,MATCH(G2118,CBIC_Late_Fee_Relief_Windows_3B!$O$2118:$O$100,0))</f>
        <v/>
      </c>
      <c r="I2118">
        <f>MIN(F2118,H2118)</f>
        <v/>
      </c>
    </row>
    <row r="2119">
      <c r="A2119">
        <f>TEST_DATA!A2119</f>
        <v/>
      </c>
      <c r="B2119">
        <f>TEST_DATA!B2119</f>
        <v/>
      </c>
      <c r="C2119">
        <f>TEST_DATA!C2119</f>
        <v/>
      </c>
      <c r="D2119">
        <f>TEST_DATA!D2119</f>
        <v/>
      </c>
      <c r="E2119">
        <f>TEST_DATA!E2119</f>
        <v/>
      </c>
      <c r="F2119">
        <f>MIN(E2119*211900,10000)</f>
        <v/>
      </c>
      <c r="G2119">
        <f>MINIFS(CBIC_Late_Fee_Relief_Windows_3B!$O$2119:$O$100,CBIC_Late_Fee_Relief_Windows_3B!$D$2119:$D$100,"&lt;="&amp;B2119,CBIC_Late_Fee_Relief_Windows_3B!$E$2119:$E$100,"&gt;="&amp;B2119,CBIC_Late_Fee_Relief_Windows_3B!$F$2119:$F$100,"&lt;="&amp;C2119,CBIC_Late_Fee_Relief_Windows_3B!$G$2119:$G$100,"&gt;="&amp;C2119)</f>
        <v/>
      </c>
      <c r="H2119">
        <f>INDEX(CBIC_Late_Fee_Relief_Windows_3B!$I$2119:$I$100,MATCH(G2119,CBIC_Late_Fee_Relief_Windows_3B!$O$2119:$O$100,0))</f>
        <v/>
      </c>
      <c r="I2119">
        <f>MIN(F2119,H2119)</f>
        <v/>
      </c>
    </row>
    <row r="2120">
      <c r="A2120">
        <f>TEST_DATA!A2120</f>
        <v/>
      </c>
      <c r="B2120">
        <f>TEST_DATA!B2120</f>
        <v/>
      </c>
      <c r="C2120">
        <f>TEST_DATA!C2120</f>
        <v/>
      </c>
      <c r="D2120">
        <f>TEST_DATA!D2120</f>
        <v/>
      </c>
      <c r="E2120">
        <f>TEST_DATA!E2120</f>
        <v/>
      </c>
      <c r="F2120">
        <f>MIN(E2120*212000,10000)</f>
        <v/>
      </c>
      <c r="G2120">
        <f>MINIFS(CBIC_Late_Fee_Relief_Windows_3B!$O$2120:$O$100,CBIC_Late_Fee_Relief_Windows_3B!$D$2120:$D$100,"&lt;="&amp;B2120,CBIC_Late_Fee_Relief_Windows_3B!$E$2120:$E$100,"&gt;="&amp;B2120,CBIC_Late_Fee_Relief_Windows_3B!$F$2120:$F$100,"&lt;="&amp;C2120,CBIC_Late_Fee_Relief_Windows_3B!$G$2120:$G$100,"&gt;="&amp;C2120)</f>
        <v/>
      </c>
      <c r="H2120">
        <f>INDEX(CBIC_Late_Fee_Relief_Windows_3B!$I$2120:$I$100,MATCH(G2120,CBIC_Late_Fee_Relief_Windows_3B!$O$2120:$O$100,0))</f>
        <v/>
      </c>
      <c r="I2120">
        <f>MIN(F2120,H2120)</f>
        <v/>
      </c>
    </row>
    <row r="2121">
      <c r="A2121">
        <f>TEST_DATA!A2121</f>
        <v/>
      </c>
      <c r="B2121">
        <f>TEST_DATA!B2121</f>
        <v/>
      </c>
      <c r="C2121">
        <f>TEST_DATA!C2121</f>
        <v/>
      </c>
      <c r="D2121">
        <f>TEST_DATA!D2121</f>
        <v/>
      </c>
      <c r="E2121">
        <f>TEST_DATA!E2121</f>
        <v/>
      </c>
      <c r="F2121">
        <f>MIN(E2121*212100,10000)</f>
        <v/>
      </c>
      <c r="G2121">
        <f>MINIFS(CBIC_Late_Fee_Relief_Windows_3B!$O$2121:$O$100,CBIC_Late_Fee_Relief_Windows_3B!$D$2121:$D$100,"&lt;="&amp;B2121,CBIC_Late_Fee_Relief_Windows_3B!$E$2121:$E$100,"&gt;="&amp;B2121,CBIC_Late_Fee_Relief_Windows_3B!$F$2121:$F$100,"&lt;="&amp;C2121,CBIC_Late_Fee_Relief_Windows_3B!$G$2121:$G$100,"&gt;="&amp;C2121)</f>
        <v/>
      </c>
      <c r="H2121">
        <f>INDEX(CBIC_Late_Fee_Relief_Windows_3B!$I$2121:$I$100,MATCH(G2121,CBIC_Late_Fee_Relief_Windows_3B!$O$2121:$O$100,0))</f>
        <v/>
      </c>
      <c r="I2121">
        <f>MIN(F2121,H2121)</f>
        <v/>
      </c>
    </row>
    <row r="2122">
      <c r="A2122">
        <f>TEST_DATA!A2122</f>
        <v/>
      </c>
      <c r="B2122">
        <f>TEST_DATA!B2122</f>
        <v/>
      </c>
      <c r="C2122">
        <f>TEST_DATA!C2122</f>
        <v/>
      </c>
      <c r="D2122">
        <f>TEST_DATA!D2122</f>
        <v/>
      </c>
      <c r="E2122">
        <f>TEST_DATA!E2122</f>
        <v/>
      </c>
      <c r="F2122">
        <f>MIN(E2122*212200,10000)</f>
        <v/>
      </c>
      <c r="G2122">
        <f>MINIFS(CBIC_Late_Fee_Relief_Windows_3B!$O$2122:$O$100,CBIC_Late_Fee_Relief_Windows_3B!$D$2122:$D$100,"&lt;="&amp;B2122,CBIC_Late_Fee_Relief_Windows_3B!$E$2122:$E$100,"&gt;="&amp;B2122,CBIC_Late_Fee_Relief_Windows_3B!$F$2122:$F$100,"&lt;="&amp;C2122,CBIC_Late_Fee_Relief_Windows_3B!$G$2122:$G$100,"&gt;="&amp;C2122)</f>
        <v/>
      </c>
      <c r="H2122">
        <f>INDEX(CBIC_Late_Fee_Relief_Windows_3B!$I$2122:$I$100,MATCH(G2122,CBIC_Late_Fee_Relief_Windows_3B!$O$2122:$O$100,0))</f>
        <v/>
      </c>
      <c r="I2122">
        <f>MIN(F2122,H2122)</f>
        <v/>
      </c>
    </row>
    <row r="2123">
      <c r="A2123">
        <f>TEST_DATA!A2123</f>
        <v/>
      </c>
      <c r="B2123">
        <f>TEST_DATA!B2123</f>
        <v/>
      </c>
      <c r="C2123">
        <f>TEST_DATA!C2123</f>
        <v/>
      </c>
      <c r="D2123">
        <f>TEST_DATA!D2123</f>
        <v/>
      </c>
      <c r="E2123">
        <f>TEST_DATA!E2123</f>
        <v/>
      </c>
      <c r="F2123">
        <f>MIN(E2123*212300,10000)</f>
        <v/>
      </c>
      <c r="G2123">
        <f>MINIFS(CBIC_Late_Fee_Relief_Windows_3B!$O$2123:$O$100,CBIC_Late_Fee_Relief_Windows_3B!$D$2123:$D$100,"&lt;="&amp;B2123,CBIC_Late_Fee_Relief_Windows_3B!$E$2123:$E$100,"&gt;="&amp;B2123,CBIC_Late_Fee_Relief_Windows_3B!$F$2123:$F$100,"&lt;="&amp;C2123,CBIC_Late_Fee_Relief_Windows_3B!$G$2123:$G$100,"&gt;="&amp;C2123)</f>
        <v/>
      </c>
      <c r="H2123">
        <f>INDEX(CBIC_Late_Fee_Relief_Windows_3B!$I$2123:$I$100,MATCH(G2123,CBIC_Late_Fee_Relief_Windows_3B!$O$2123:$O$100,0))</f>
        <v/>
      </c>
      <c r="I2123">
        <f>MIN(F2123,H2123)</f>
        <v/>
      </c>
    </row>
    <row r="2124">
      <c r="A2124">
        <f>TEST_DATA!A2124</f>
        <v/>
      </c>
      <c r="B2124">
        <f>TEST_DATA!B2124</f>
        <v/>
      </c>
      <c r="C2124">
        <f>TEST_DATA!C2124</f>
        <v/>
      </c>
      <c r="D2124">
        <f>TEST_DATA!D2124</f>
        <v/>
      </c>
      <c r="E2124">
        <f>TEST_DATA!E2124</f>
        <v/>
      </c>
      <c r="F2124">
        <f>MIN(E2124*212400,10000)</f>
        <v/>
      </c>
      <c r="G2124">
        <f>MINIFS(CBIC_Late_Fee_Relief_Windows_3B!$O$2124:$O$100,CBIC_Late_Fee_Relief_Windows_3B!$D$2124:$D$100,"&lt;="&amp;B2124,CBIC_Late_Fee_Relief_Windows_3B!$E$2124:$E$100,"&gt;="&amp;B2124,CBIC_Late_Fee_Relief_Windows_3B!$F$2124:$F$100,"&lt;="&amp;C2124,CBIC_Late_Fee_Relief_Windows_3B!$G$2124:$G$100,"&gt;="&amp;C2124)</f>
        <v/>
      </c>
      <c r="H2124">
        <f>INDEX(CBIC_Late_Fee_Relief_Windows_3B!$I$2124:$I$100,MATCH(G2124,CBIC_Late_Fee_Relief_Windows_3B!$O$2124:$O$100,0))</f>
        <v/>
      </c>
      <c r="I2124">
        <f>MIN(F2124,H2124)</f>
        <v/>
      </c>
    </row>
    <row r="2125">
      <c r="A2125">
        <f>TEST_DATA!A2125</f>
        <v/>
      </c>
      <c r="B2125">
        <f>TEST_DATA!B2125</f>
        <v/>
      </c>
      <c r="C2125">
        <f>TEST_DATA!C2125</f>
        <v/>
      </c>
      <c r="D2125">
        <f>TEST_DATA!D2125</f>
        <v/>
      </c>
      <c r="E2125">
        <f>TEST_DATA!E2125</f>
        <v/>
      </c>
      <c r="F2125">
        <f>MIN(E2125*212500,10000)</f>
        <v/>
      </c>
      <c r="G2125">
        <f>MINIFS(CBIC_Late_Fee_Relief_Windows_3B!$O$2125:$O$100,CBIC_Late_Fee_Relief_Windows_3B!$D$2125:$D$100,"&lt;="&amp;B2125,CBIC_Late_Fee_Relief_Windows_3B!$E$2125:$E$100,"&gt;="&amp;B2125,CBIC_Late_Fee_Relief_Windows_3B!$F$2125:$F$100,"&lt;="&amp;C2125,CBIC_Late_Fee_Relief_Windows_3B!$G$2125:$G$100,"&gt;="&amp;C2125)</f>
        <v/>
      </c>
      <c r="H2125">
        <f>INDEX(CBIC_Late_Fee_Relief_Windows_3B!$I$2125:$I$100,MATCH(G2125,CBIC_Late_Fee_Relief_Windows_3B!$O$2125:$O$100,0))</f>
        <v/>
      </c>
      <c r="I2125">
        <f>MIN(F2125,H2125)</f>
        <v/>
      </c>
    </row>
    <row r="2126">
      <c r="A2126">
        <f>TEST_DATA!A2126</f>
        <v/>
      </c>
      <c r="B2126">
        <f>TEST_DATA!B2126</f>
        <v/>
      </c>
      <c r="C2126">
        <f>TEST_DATA!C2126</f>
        <v/>
      </c>
      <c r="D2126">
        <f>TEST_DATA!D2126</f>
        <v/>
      </c>
      <c r="E2126">
        <f>TEST_DATA!E2126</f>
        <v/>
      </c>
      <c r="F2126">
        <f>MIN(E2126*212600,10000)</f>
        <v/>
      </c>
      <c r="G2126">
        <f>MINIFS(CBIC_Late_Fee_Relief_Windows_3B!$O$2126:$O$100,CBIC_Late_Fee_Relief_Windows_3B!$D$2126:$D$100,"&lt;="&amp;B2126,CBIC_Late_Fee_Relief_Windows_3B!$E$2126:$E$100,"&gt;="&amp;B2126,CBIC_Late_Fee_Relief_Windows_3B!$F$2126:$F$100,"&lt;="&amp;C2126,CBIC_Late_Fee_Relief_Windows_3B!$G$2126:$G$100,"&gt;="&amp;C2126)</f>
        <v/>
      </c>
      <c r="H2126">
        <f>INDEX(CBIC_Late_Fee_Relief_Windows_3B!$I$2126:$I$100,MATCH(G2126,CBIC_Late_Fee_Relief_Windows_3B!$O$2126:$O$100,0))</f>
        <v/>
      </c>
      <c r="I2126">
        <f>MIN(F2126,H2126)</f>
        <v/>
      </c>
    </row>
    <row r="2127">
      <c r="A2127">
        <f>TEST_DATA!A2127</f>
        <v/>
      </c>
      <c r="B2127">
        <f>TEST_DATA!B2127</f>
        <v/>
      </c>
      <c r="C2127">
        <f>TEST_DATA!C2127</f>
        <v/>
      </c>
      <c r="D2127">
        <f>TEST_DATA!D2127</f>
        <v/>
      </c>
      <c r="E2127">
        <f>TEST_DATA!E2127</f>
        <v/>
      </c>
      <c r="F2127">
        <f>MIN(E2127*212700,10000)</f>
        <v/>
      </c>
      <c r="G2127">
        <f>MINIFS(CBIC_Late_Fee_Relief_Windows_3B!$O$2127:$O$100,CBIC_Late_Fee_Relief_Windows_3B!$D$2127:$D$100,"&lt;="&amp;B2127,CBIC_Late_Fee_Relief_Windows_3B!$E$2127:$E$100,"&gt;="&amp;B2127,CBIC_Late_Fee_Relief_Windows_3B!$F$2127:$F$100,"&lt;="&amp;C2127,CBIC_Late_Fee_Relief_Windows_3B!$G$2127:$G$100,"&gt;="&amp;C2127)</f>
        <v/>
      </c>
      <c r="H2127">
        <f>INDEX(CBIC_Late_Fee_Relief_Windows_3B!$I$2127:$I$100,MATCH(G2127,CBIC_Late_Fee_Relief_Windows_3B!$O$2127:$O$100,0))</f>
        <v/>
      </c>
      <c r="I2127">
        <f>MIN(F2127,H2127)</f>
        <v/>
      </c>
    </row>
    <row r="2128">
      <c r="A2128">
        <f>TEST_DATA!A2128</f>
        <v/>
      </c>
      <c r="B2128">
        <f>TEST_DATA!B2128</f>
        <v/>
      </c>
      <c r="C2128">
        <f>TEST_DATA!C2128</f>
        <v/>
      </c>
      <c r="D2128">
        <f>TEST_DATA!D2128</f>
        <v/>
      </c>
      <c r="E2128">
        <f>TEST_DATA!E2128</f>
        <v/>
      </c>
      <c r="F2128">
        <f>MIN(E2128*212800,10000)</f>
        <v/>
      </c>
      <c r="G2128">
        <f>MINIFS(CBIC_Late_Fee_Relief_Windows_3B!$O$2128:$O$100,CBIC_Late_Fee_Relief_Windows_3B!$D$2128:$D$100,"&lt;="&amp;B2128,CBIC_Late_Fee_Relief_Windows_3B!$E$2128:$E$100,"&gt;="&amp;B2128,CBIC_Late_Fee_Relief_Windows_3B!$F$2128:$F$100,"&lt;="&amp;C2128,CBIC_Late_Fee_Relief_Windows_3B!$G$2128:$G$100,"&gt;="&amp;C2128)</f>
        <v/>
      </c>
      <c r="H2128">
        <f>INDEX(CBIC_Late_Fee_Relief_Windows_3B!$I$2128:$I$100,MATCH(G2128,CBIC_Late_Fee_Relief_Windows_3B!$O$2128:$O$100,0))</f>
        <v/>
      </c>
      <c r="I2128">
        <f>MIN(F2128,H2128)</f>
        <v/>
      </c>
    </row>
    <row r="2129">
      <c r="A2129">
        <f>TEST_DATA!A2129</f>
        <v/>
      </c>
      <c r="B2129">
        <f>TEST_DATA!B2129</f>
        <v/>
      </c>
      <c r="C2129">
        <f>TEST_DATA!C2129</f>
        <v/>
      </c>
      <c r="D2129">
        <f>TEST_DATA!D2129</f>
        <v/>
      </c>
      <c r="E2129">
        <f>TEST_DATA!E2129</f>
        <v/>
      </c>
      <c r="F2129">
        <f>MIN(E2129*212900,10000)</f>
        <v/>
      </c>
      <c r="G2129">
        <f>MINIFS(CBIC_Late_Fee_Relief_Windows_3B!$O$2129:$O$100,CBIC_Late_Fee_Relief_Windows_3B!$D$2129:$D$100,"&lt;="&amp;B2129,CBIC_Late_Fee_Relief_Windows_3B!$E$2129:$E$100,"&gt;="&amp;B2129,CBIC_Late_Fee_Relief_Windows_3B!$F$2129:$F$100,"&lt;="&amp;C2129,CBIC_Late_Fee_Relief_Windows_3B!$G$2129:$G$100,"&gt;="&amp;C2129)</f>
        <v/>
      </c>
      <c r="H2129">
        <f>INDEX(CBIC_Late_Fee_Relief_Windows_3B!$I$2129:$I$100,MATCH(G2129,CBIC_Late_Fee_Relief_Windows_3B!$O$2129:$O$100,0))</f>
        <v/>
      </c>
      <c r="I2129">
        <f>MIN(F2129,H2129)</f>
        <v/>
      </c>
    </row>
    <row r="2130">
      <c r="A2130">
        <f>TEST_DATA!A2130</f>
        <v/>
      </c>
      <c r="B2130">
        <f>TEST_DATA!B2130</f>
        <v/>
      </c>
      <c r="C2130">
        <f>TEST_DATA!C2130</f>
        <v/>
      </c>
      <c r="D2130">
        <f>TEST_DATA!D2130</f>
        <v/>
      </c>
      <c r="E2130">
        <f>TEST_DATA!E2130</f>
        <v/>
      </c>
      <c r="F2130">
        <f>MIN(E2130*213000,10000)</f>
        <v/>
      </c>
      <c r="G2130">
        <f>MINIFS(CBIC_Late_Fee_Relief_Windows_3B!$O$2130:$O$100,CBIC_Late_Fee_Relief_Windows_3B!$D$2130:$D$100,"&lt;="&amp;B2130,CBIC_Late_Fee_Relief_Windows_3B!$E$2130:$E$100,"&gt;="&amp;B2130,CBIC_Late_Fee_Relief_Windows_3B!$F$2130:$F$100,"&lt;="&amp;C2130,CBIC_Late_Fee_Relief_Windows_3B!$G$2130:$G$100,"&gt;="&amp;C2130)</f>
        <v/>
      </c>
      <c r="H2130">
        <f>INDEX(CBIC_Late_Fee_Relief_Windows_3B!$I$2130:$I$100,MATCH(G2130,CBIC_Late_Fee_Relief_Windows_3B!$O$2130:$O$100,0))</f>
        <v/>
      </c>
      <c r="I2130">
        <f>MIN(F2130,H2130)</f>
        <v/>
      </c>
    </row>
    <row r="2131">
      <c r="A2131">
        <f>TEST_DATA!A2131</f>
        <v/>
      </c>
      <c r="B2131">
        <f>TEST_DATA!B2131</f>
        <v/>
      </c>
      <c r="C2131">
        <f>TEST_DATA!C2131</f>
        <v/>
      </c>
      <c r="D2131">
        <f>TEST_DATA!D2131</f>
        <v/>
      </c>
      <c r="E2131">
        <f>TEST_DATA!E2131</f>
        <v/>
      </c>
      <c r="F2131">
        <f>MIN(E2131*213100,10000)</f>
        <v/>
      </c>
      <c r="G2131">
        <f>MINIFS(CBIC_Late_Fee_Relief_Windows_3B!$O$2131:$O$100,CBIC_Late_Fee_Relief_Windows_3B!$D$2131:$D$100,"&lt;="&amp;B2131,CBIC_Late_Fee_Relief_Windows_3B!$E$2131:$E$100,"&gt;="&amp;B2131,CBIC_Late_Fee_Relief_Windows_3B!$F$2131:$F$100,"&lt;="&amp;C2131,CBIC_Late_Fee_Relief_Windows_3B!$G$2131:$G$100,"&gt;="&amp;C2131)</f>
        <v/>
      </c>
      <c r="H2131">
        <f>INDEX(CBIC_Late_Fee_Relief_Windows_3B!$I$2131:$I$100,MATCH(G2131,CBIC_Late_Fee_Relief_Windows_3B!$O$2131:$O$100,0))</f>
        <v/>
      </c>
      <c r="I2131">
        <f>MIN(F2131,H2131)</f>
        <v/>
      </c>
    </row>
    <row r="2132">
      <c r="A2132">
        <f>TEST_DATA!A2132</f>
        <v/>
      </c>
      <c r="B2132">
        <f>TEST_DATA!B2132</f>
        <v/>
      </c>
      <c r="C2132">
        <f>TEST_DATA!C2132</f>
        <v/>
      </c>
      <c r="D2132">
        <f>TEST_DATA!D2132</f>
        <v/>
      </c>
      <c r="E2132">
        <f>TEST_DATA!E2132</f>
        <v/>
      </c>
      <c r="F2132">
        <f>MIN(E2132*213200,10000)</f>
        <v/>
      </c>
      <c r="G2132">
        <f>MINIFS(CBIC_Late_Fee_Relief_Windows_3B!$O$2132:$O$100,CBIC_Late_Fee_Relief_Windows_3B!$D$2132:$D$100,"&lt;="&amp;B2132,CBIC_Late_Fee_Relief_Windows_3B!$E$2132:$E$100,"&gt;="&amp;B2132,CBIC_Late_Fee_Relief_Windows_3B!$F$2132:$F$100,"&lt;="&amp;C2132,CBIC_Late_Fee_Relief_Windows_3B!$G$2132:$G$100,"&gt;="&amp;C2132)</f>
        <v/>
      </c>
      <c r="H2132">
        <f>INDEX(CBIC_Late_Fee_Relief_Windows_3B!$I$2132:$I$100,MATCH(G2132,CBIC_Late_Fee_Relief_Windows_3B!$O$2132:$O$100,0))</f>
        <v/>
      </c>
      <c r="I2132">
        <f>MIN(F2132,H2132)</f>
        <v/>
      </c>
    </row>
    <row r="2133">
      <c r="A2133">
        <f>TEST_DATA!A2133</f>
        <v/>
      </c>
      <c r="B2133">
        <f>TEST_DATA!B2133</f>
        <v/>
      </c>
      <c r="C2133">
        <f>TEST_DATA!C2133</f>
        <v/>
      </c>
      <c r="D2133">
        <f>TEST_DATA!D2133</f>
        <v/>
      </c>
      <c r="E2133">
        <f>TEST_DATA!E2133</f>
        <v/>
      </c>
      <c r="F2133">
        <f>MIN(E2133*213300,10000)</f>
        <v/>
      </c>
      <c r="G2133">
        <f>MINIFS(CBIC_Late_Fee_Relief_Windows_3B!$O$2133:$O$100,CBIC_Late_Fee_Relief_Windows_3B!$D$2133:$D$100,"&lt;="&amp;B2133,CBIC_Late_Fee_Relief_Windows_3B!$E$2133:$E$100,"&gt;="&amp;B2133,CBIC_Late_Fee_Relief_Windows_3B!$F$2133:$F$100,"&lt;="&amp;C2133,CBIC_Late_Fee_Relief_Windows_3B!$G$2133:$G$100,"&gt;="&amp;C2133)</f>
        <v/>
      </c>
      <c r="H2133">
        <f>INDEX(CBIC_Late_Fee_Relief_Windows_3B!$I$2133:$I$100,MATCH(G2133,CBIC_Late_Fee_Relief_Windows_3B!$O$2133:$O$100,0))</f>
        <v/>
      </c>
      <c r="I2133">
        <f>MIN(F2133,H2133)</f>
        <v/>
      </c>
    </row>
    <row r="2134">
      <c r="A2134">
        <f>TEST_DATA!A2134</f>
        <v/>
      </c>
      <c r="B2134">
        <f>TEST_DATA!B2134</f>
        <v/>
      </c>
      <c r="C2134">
        <f>TEST_DATA!C2134</f>
        <v/>
      </c>
      <c r="D2134">
        <f>TEST_DATA!D2134</f>
        <v/>
      </c>
      <c r="E2134">
        <f>TEST_DATA!E2134</f>
        <v/>
      </c>
      <c r="F2134">
        <f>MIN(E2134*213400,10000)</f>
        <v/>
      </c>
      <c r="G2134">
        <f>MINIFS(CBIC_Late_Fee_Relief_Windows_3B!$O$2134:$O$100,CBIC_Late_Fee_Relief_Windows_3B!$D$2134:$D$100,"&lt;="&amp;B2134,CBIC_Late_Fee_Relief_Windows_3B!$E$2134:$E$100,"&gt;="&amp;B2134,CBIC_Late_Fee_Relief_Windows_3B!$F$2134:$F$100,"&lt;="&amp;C2134,CBIC_Late_Fee_Relief_Windows_3B!$G$2134:$G$100,"&gt;="&amp;C2134)</f>
        <v/>
      </c>
      <c r="H2134">
        <f>INDEX(CBIC_Late_Fee_Relief_Windows_3B!$I$2134:$I$100,MATCH(G2134,CBIC_Late_Fee_Relief_Windows_3B!$O$2134:$O$100,0))</f>
        <v/>
      </c>
      <c r="I2134">
        <f>MIN(F2134,H2134)</f>
        <v/>
      </c>
    </row>
    <row r="2135">
      <c r="A2135">
        <f>TEST_DATA!A2135</f>
        <v/>
      </c>
      <c r="B2135">
        <f>TEST_DATA!B2135</f>
        <v/>
      </c>
      <c r="C2135">
        <f>TEST_DATA!C2135</f>
        <v/>
      </c>
      <c r="D2135">
        <f>TEST_DATA!D2135</f>
        <v/>
      </c>
      <c r="E2135">
        <f>TEST_DATA!E2135</f>
        <v/>
      </c>
      <c r="F2135">
        <f>MIN(E2135*213500,10000)</f>
        <v/>
      </c>
      <c r="G2135">
        <f>MINIFS(CBIC_Late_Fee_Relief_Windows_3B!$O$2135:$O$100,CBIC_Late_Fee_Relief_Windows_3B!$D$2135:$D$100,"&lt;="&amp;B2135,CBIC_Late_Fee_Relief_Windows_3B!$E$2135:$E$100,"&gt;="&amp;B2135,CBIC_Late_Fee_Relief_Windows_3B!$F$2135:$F$100,"&lt;="&amp;C2135,CBIC_Late_Fee_Relief_Windows_3B!$G$2135:$G$100,"&gt;="&amp;C2135)</f>
        <v/>
      </c>
      <c r="H2135">
        <f>INDEX(CBIC_Late_Fee_Relief_Windows_3B!$I$2135:$I$100,MATCH(G2135,CBIC_Late_Fee_Relief_Windows_3B!$O$2135:$O$100,0))</f>
        <v/>
      </c>
      <c r="I2135">
        <f>MIN(F2135,H2135)</f>
        <v/>
      </c>
    </row>
    <row r="2136">
      <c r="A2136">
        <f>TEST_DATA!A2136</f>
        <v/>
      </c>
      <c r="B2136">
        <f>TEST_DATA!B2136</f>
        <v/>
      </c>
      <c r="C2136">
        <f>TEST_DATA!C2136</f>
        <v/>
      </c>
      <c r="D2136">
        <f>TEST_DATA!D2136</f>
        <v/>
      </c>
      <c r="E2136">
        <f>TEST_DATA!E2136</f>
        <v/>
      </c>
      <c r="F2136">
        <f>MIN(E2136*213600,10000)</f>
        <v/>
      </c>
      <c r="G2136">
        <f>MINIFS(CBIC_Late_Fee_Relief_Windows_3B!$O$2136:$O$100,CBIC_Late_Fee_Relief_Windows_3B!$D$2136:$D$100,"&lt;="&amp;B2136,CBIC_Late_Fee_Relief_Windows_3B!$E$2136:$E$100,"&gt;="&amp;B2136,CBIC_Late_Fee_Relief_Windows_3B!$F$2136:$F$100,"&lt;="&amp;C2136,CBIC_Late_Fee_Relief_Windows_3B!$G$2136:$G$100,"&gt;="&amp;C2136)</f>
        <v/>
      </c>
      <c r="H2136">
        <f>INDEX(CBIC_Late_Fee_Relief_Windows_3B!$I$2136:$I$100,MATCH(G2136,CBIC_Late_Fee_Relief_Windows_3B!$O$2136:$O$100,0))</f>
        <v/>
      </c>
      <c r="I2136">
        <f>MIN(F2136,H2136)</f>
        <v/>
      </c>
    </row>
    <row r="2137">
      <c r="A2137">
        <f>TEST_DATA!A2137</f>
        <v/>
      </c>
      <c r="B2137">
        <f>TEST_DATA!B2137</f>
        <v/>
      </c>
      <c r="C2137">
        <f>TEST_DATA!C2137</f>
        <v/>
      </c>
      <c r="D2137">
        <f>TEST_DATA!D2137</f>
        <v/>
      </c>
      <c r="E2137">
        <f>TEST_DATA!E2137</f>
        <v/>
      </c>
      <c r="F2137">
        <f>MIN(E2137*213700,10000)</f>
        <v/>
      </c>
      <c r="G2137">
        <f>MINIFS(CBIC_Late_Fee_Relief_Windows_3B!$O$2137:$O$100,CBIC_Late_Fee_Relief_Windows_3B!$D$2137:$D$100,"&lt;="&amp;B2137,CBIC_Late_Fee_Relief_Windows_3B!$E$2137:$E$100,"&gt;="&amp;B2137,CBIC_Late_Fee_Relief_Windows_3B!$F$2137:$F$100,"&lt;="&amp;C2137,CBIC_Late_Fee_Relief_Windows_3B!$G$2137:$G$100,"&gt;="&amp;C2137)</f>
        <v/>
      </c>
      <c r="H2137">
        <f>INDEX(CBIC_Late_Fee_Relief_Windows_3B!$I$2137:$I$100,MATCH(G2137,CBIC_Late_Fee_Relief_Windows_3B!$O$2137:$O$100,0))</f>
        <v/>
      </c>
      <c r="I2137">
        <f>MIN(F2137,H2137)</f>
        <v/>
      </c>
    </row>
    <row r="2138">
      <c r="A2138">
        <f>TEST_DATA!A2138</f>
        <v/>
      </c>
      <c r="B2138">
        <f>TEST_DATA!B2138</f>
        <v/>
      </c>
      <c r="C2138">
        <f>TEST_DATA!C2138</f>
        <v/>
      </c>
      <c r="D2138">
        <f>TEST_DATA!D2138</f>
        <v/>
      </c>
      <c r="E2138">
        <f>TEST_DATA!E2138</f>
        <v/>
      </c>
      <c r="F2138">
        <f>MIN(E2138*213800,10000)</f>
        <v/>
      </c>
      <c r="G2138">
        <f>MINIFS(CBIC_Late_Fee_Relief_Windows_3B!$O$2138:$O$100,CBIC_Late_Fee_Relief_Windows_3B!$D$2138:$D$100,"&lt;="&amp;B2138,CBIC_Late_Fee_Relief_Windows_3B!$E$2138:$E$100,"&gt;="&amp;B2138,CBIC_Late_Fee_Relief_Windows_3B!$F$2138:$F$100,"&lt;="&amp;C2138,CBIC_Late_Fee_Relief_Windows_3B!$G$2138:$G$100,"&gt;="&amp;C2138)</f>
        <v/>
      </c>
      <c r="H2138">
        <f>INDEX(CBIC_Late_Fee_Relief_Windows_3B!$I$2138:$I$100,MATCH(G2138,CBIC_Late_Fee_Relief_Windows_3B!$O$2138:$O$100,0))</f>
        <v/>
      </c>
      <c r="I2138">
        <f>MIN(F2138,H2138)</f>
        <v/>
      </c>
    </row>
    <row r="2139">
      <c r="A2139">
        <f>TEST_DATA!A2139</f>
        <v/>
      </c>
      <c r="B2139">
        <f>TEST_DATA!B2139</f>
        <v/>
      </c>
      <c r="C2139">
        <f>TEST_DATA!C2139</f>
        <v/>
      </c>
      <c r="D2139">
        <f>TEST_DATA!D2139</f>
        <v/>
      </c>
      <c r="E2139">
        <f>TEST_DATA!E2139</f>
        <v/>
      </c>
      <c r="F2139">
        <f>MIN(E2139*213900,10000)</f>
        <v/>
      </c>
      <c r="G2139">
        <f>MINIFS(CBIC_Late_Fee_Relief_Windows_3B!$O$2139:$O$100,CBIC_Late_Fee_Relief_Windows_3B!$D$2139:$D$100,"&lt;="&amp;B2139,CBIC_Late_Fee_Relief_Windows_3B!$E$2139:$E$100,"&gt;="&amp;B2139,CBIC_Late_Fee_Relief_Windows_3B!$F$2139:$F$100,"&lt;="&amp;C2139,CBIC_Late_Fee_Relief_Windows_3B!$G$2139:$G$100,"&gt;="&amp;C2139)</f>
        <v/>
      </c>
      <c r="H2139">
        <f>INDEX(CBIC_Late_Fee_Relief_Windows_3B!$I$2139:$I$100,MATCH(G2139,CBIC_Late_Fee_Relief_Windows_3B!$O$2139:$O$100,0))</f>
        <v/>
      </c>
      <c r="I2139">
        <f>MIN(F2139,H2139)</f>
        <v/>
      </c>
    </row>
    <row r="2140">
      <c r="A2140">
        <f>TEST_DATA!A2140</f>
        <v/>
      </c>
      <c r="B2140">
        <f>TEST_DATA!B2140</f>
        <v/>
      </c>
      <c r="C2140">
        <f>TEST_DATA!C2140</f>
        <v/>
      </c>
      <c r="D2140">
        <f>TEST_DATA!D2140</f>
        <v/>
      </c>
      <c r="E2140">
        <f>TEST_DATA!E2140</f>
        <v/>
      </c>
      <c r="F2140">
        <f>MIN(E2140*214000,10000)</f>
        <v/>
      </c>
      <c r="G2140">
        <f>MINIFS(CBIC_Late_Fee_Relief_Windows_3B!$O$2140:$O$100,CBIC_Late_Fee_Relief_Windows_3B!$D$2140:$D$100,"&lt;="&amp;B2140,CBIC_Late_Fee_Relief_Windows_3B!$E$2140:$E$100,"&gt;="&amp;B2140,CBIC_Late_Fee_Relief_Windows_3B!$F$2140:$F$100,"&lt;="&amp;C2140,CBIC_Late_Fee_Relief_Windows_3B!$G$2140:$G$100,"&gt;="&amp;C2140)</f>
        <v/>
      </c>
      <c r="H2140">
        <f>INDEX(CBIC_Late_Fee_Relief_Windows_3B!$I$2140:$I$100,MATCH(G2140,CBIC_Late_Fee_Relief_Windows_3B!$O$2140:$O$100,0))</f>
        <v/>
      </c>
      <c r="I2140">
        <f>MIN(F2140,H2140)</f>
        <v/>
      </c>
    </row>
    <row r="2141">
      <c r="A2141">
        <f>TEST_DATA!A2141</f>
        <v/>
      </c>
      <c r="B2141">
        <f>TEST_DATA!B2141</f>
        <v/>
      </c>
      <c r="C2141">
        <f>TEST_DATA!C2141</f>
        <v/>
      </c>
      <c r="D2141">
        <f>TEST_DATA!D2141</f>
        <v/>
      </c>
      <c r="E2141">
        <f>TEST_DATA!E2141</f>
        <v/>
      </c>
      <c r="F2141">
        <f>MIN(E2141*214100,10000)</f>
        <v/>
      </c>
      <c r="G2141">
        <f>MINIFS(CBIC_Late_Fee_Relief_Windows_3B!$O$2141:$O$100,CBIC_Late_Fee_Relief_Windows_3B!$D$2141:$D$100,"&lt;="&amp;B2141,CBIC_Late_Fee_Relief_Windows_3B!$E$2141:$E$100,"&gt;="&amp;B2141,CBIC_Late_Fee_Relief_Windows_3B!$F$2141:$F$100,"&lt;="&amp;C2141,CBIC_Late_Fee_Relief_Windows_3B!$G$2141:$G$100,"&gt;="&amp;C2141)</f>
        <v/>
      </c>
      <c r="H2141">
        <f>INDEX(CBIC_Late_Fee_Relief_Windows_3B!$I$2141:$I$100,MATCH(G2141,CBIC_Late_Fee_Relief_Windows_3B!$O$2141:$O$100,0))</f>
        <v/>
      </c>
      <c r="I2141">
        <f>MIN(F2141,H2141)</f>
        <v/>
      </c>
    </row>
    <row r="2142">
      <c r="A2142">
        <f>TEST_DATA!A2142</f>
        <v/>
      </c>
      <c r="B2142">
        <f>TEST_DATA!B2142</f>
        <v/>
      </c>
      <c r="C2142">
        <f>TEST_DATA!C2142</f>
        <v/>
      </c>
      <c r="D2142">
        <f>TEST_DATA!D2142</f>
        <v/>
      </c>
      <c r="E2142">
        <f>TEST_DATA!E2142</f>
        <v/>
      </c>
      <c r="F2142">
        <f>MIN(E2142*214200,10000)</f>
        <v/>
      </c>
      <c r="G2142">
        <f>MINIFS(CBIC_Late_Fee_Relief_Windows_3B!$O$2142:$O$100,CBIC_Late_Fee_Relief_Windows_3B!$D$2142:$D$100,"&lt;="&amp;B2142,CBIC_Late_Fee_Relief_Windows_3B!$E$2142:$E$100,"&gt;="&amp;B2142,CBIC_Late_Fee_Relief_Windows_3B!$F$2142:$F$100,"&lt;="&amp;C2142,CBIC_Late_Fee_Relief_Windows_3B!$G$2142:$G$100,"&gt;="&amp;C2142)</f>
        <v/>
      </c>
      <c r="H2142">
        <f>INDEX(CBIC_Late_Fee_Relief_Windows_3B!$I$2142:$I$100,MATCH(G2142,CBIC_Late_Fee_Relief_Windows_3B!$O$2142:$O$100,0))</f>
        <v/>
      </c>
      <c r="I2142">
        <f>MIN(F2142,H2142)</f>
        <v/>
      </c>
    </row>
    <row r="2143">
      <c r="A2143">
        <f>TEST_DATA!A2143</f>
        <v/>
      </c>
      <c r="B2143">
        <f>TEST_DATA!B2143</f>
        <v/>
      </c>
      <c r="C2143">
        <f>TEST_DATA!C2143</f>
        <v/>
      </c>
      <c r="D2143">
        <f>TEST_DATA!D2143</f>
        <v/>
      </c>
      <c r="E2143">
        <f>TEST_DATA!E2143</f>
        <v/>
      </c>
      <c r="F2143">
        <f>MIN(E2143*214300,10000)</f>
        <v/>
      </c>
      <c r="G2143">
        <f>MINIFS(CBIC_Late_Fee_Relief_Windows_3B!$O$2143:$O$100,CBIC_Late_Fee_Relief_Windows_3B!$D$2143:$D$100,"&lt;="&amp;B2143,CBIC_Late_Fee_Relief_Windows_3B!$E$2143:$E$100,"&gt;="&amp;B2143,CBIC_Late_Fee_Relief_Windows_3B!$F$2143:$F$100,"&lt;="&amp;C2143,CBIC_Late_Fee_Relief_Windows_3B!$G$2143:$G$100,"&gt;="&amp;C2143)</f>
        <v/>
      </c>
      <c r="H2143">
        <f>INDEX(CBIC_Late_Fee_Relief_Windows_3B!$I$2143:$I$100,MATCH(G2143,CBIC_Late_Fee_Relief_Windows_3B!$O$2143:$O$100,0))</f>
        <v/>
      </c>
      <c r="I2143">
        <f>MIN(F2143,H2143)</f>
        <v/>
      </c>
    </row>
    <row r="2144">
      <c r="A2144">
        <f>TEST_DATA!A2144</f>
        <v/>
      </c>
      <c r="B2144">
        <f>TEST_DATA!B2144</f>
        <v/>
      </c>
      <c r="C2144">
        <f>TEST_DATA!C2144</f>
        <v/>
      </c>
      <c r="D2144">
        <f>TEST_DATA!D2144</f>
        <v/>
      </c>
      <c r="E2144">
        <f>TEST_DATA!E2144</f>
        <v/>
      </c>
      <c r="F2144">
        <f>MIN(E2144*214400,10000)</f>
        <v/>
      </c>
      <c r="G2144">
        <f>MINIFS(CBIC_Late_Fee_Relief_Windows_3B!$O$2144:$O$100,CBIC_Late_Fee_Relief_Windows_3B!$D$2144:$D$100,"&lt;="&amp;B2144,CBIC_Late_Fee_Relief_Windows_3B!$E$2144:$E$100,"&gt;="&amp;B2144,CBIC_Late_Fee_Relief_Windows_3B!$F$2144:$F$100,"&lt;="&amp;C2144,CBIC_Late_Fee_Relief_Windows_3B!$G$2144:$G$100,"&gt;="&amp;C2144)</f>
        <v/>
      </c>
      <c r="H2144">
        <f>INDEX(CBIC_Late_Fee_Relief_Windows_3B!$I$2144:$I$100,MATCH(G2144,CBIC_Late_Fee_Relief_Windows_3B!$O$2144:$O$100,0))</f>
        <v/>
      </c>
      <c r="I2144">
        <f>MIN(F2144,H2144)</f>
        <v/>
      </c>
    </row>
    <row r="2145">
      <c r="A2145">
        <f>TEST_DATA!A2145</f>
        <v/>
      </c>
      <c r="B2145">
        <f>TEST_DATA!B2145</f>
        <v/>
      </c>
      <c r="C2145">
        <f>TEST_DATA!C2145</f>
        <v/>
      </c>
      <c r="D2145">
        <f>TEST_DATA!D2145</f>
        <v/>
      </c>
      <c r="E2145">
        <f>TEST_DATA!E2145</f>
        <v/>
      </c>
      <c r="F2145">
        <f>MIN(E2145*214500,10000)</f>
        <v/>
      </c>
      <c r="G2145">
        <f>MINIFS(CBIC_Late_Fee_Relief_Windows_3B!$O$2145:$O$100,CBIC_Late_Fee_Relief_Windows_3B!$D$2145:$D$100,"&lt;="&amp;B2145,CBIC_Late_Fee_Relief_Windows_3B!$E$2145:$E$100,"&gt;="&amp;B2145,CBIC_Late_Fee_Relief_Windows_3B!$F$2145:$F$100,"&lt;="&amp;C2145,CBIC_Late_Fee_Relief_Windows_3B!$G$2145:$G$100,"&gt;="&amp;C2145)</f>
        <v/>
      </c>
      <c r="H2145">
        <f>INDEX(CBIC_Late_Fee_Relief_Windows_3B!$I$2145:$I$100,MATCH(G2145,CBIC_Late_Fee_Relief_Windows_3B!$O$2145:$O$100,0))</f>
        <v/>
      </c>
      <c r="I2145">
        <f>MIN(F2145,H2145)</f>
        <v/>
      </c>
    </row>
    <row r="2146">
      <c r="A2146">
        <f>TEST_DATA!A2146</f>
        <v/>
      </c>
      <c r="B2146">
        <f>TEST_DATA!B2146</f>
        <v/>
      </c>
      <c r="C2146">
        <f>TEST_DATA!C2146</f>
        <v/>
      </c>
      <c r="D2146">
        <f>TEST_DATA!D2146</f>
        <v/>
      </c>
      <c r="E2146">
        <f>TEST_DATA!E2146</f>
        <v/>
      </c>
      <c r="F2146">
        <f>MIN(E2146*214600,10000)</f>
        <v/>
      </c>
      <c r="G2146">
        <f>MINIFS(CBIC_Late_Fee_Relief_Windows_3B!$O$2146:$O$100,CBIC_Late_Fee_Relief_Windows_3B!$D$2146:$D$100,"&lt;="&amp;B2146,CBIC_Late_Fee_Relief_Windows_3B!$E$2146:$E$100,"&gt;="&amp;B2146,CBIC_Late_Fee_Relief_Windows_3B!$F$2146:$F$100,"&lt;="&amp;C2146,CBIC_Late_Fee_Relief_Windows_3B!$G$2146:$G$100,"&gt;="&amp;C2146)</f>
        <v/>
      </c>
      <c r="H2146">
        <f>INDEX(CBIC_Late_Fee_Relief_Windows_3B!$I$2146:$I$100,MATCH(G2146,CBIC_Late_Fee_Relief_Windows_3B!$O$2146:$O$100,0))</f>
        <v/>
      </c>
      <c r="I2146">
        <f>MIN(F2146,H2146)</f>
        <v/>
      </c>
    </row>
    <row r="2147">
      <c r="A2147">
        <f>TEST_DATA!A2147</f>
        <v/>
      </c>
      <c r="B2147">
        <f>TEST_DATA!B2147</f>
        <v/>
      </c>
      <c r="C2147">
        <f>TEST_DATA!C2147</f>
        <v/>
      </c>
      <c r="D2147">
        <f>TEST_DATA!D2147</f>
        <v/>
      </c>
      <c r="E2147">
        <f>TEST_DATA!E2147</f>
        <v/>
      </c>
      <c r="F2147">
        <f>MIN(E2147*214700,10000)</f>
        <v/>
      </c>
      <c r="G2147">
        <f>MINIFS(CBIC_Late_Fee_Relief_Windows_3B!$O$2147:$O$100,CBIC_Late_Fee_Relief_Windows_3B!$D$2147:$D$100,"&lt;="&amp;B2147,CBIC_Late_Fee_Relief_Windows_3B!$E$2147:$E$100,"&gt;="&amp;B2147,CBIC_Late_Fee_Relief_Windows_3B!$F$2147:$F$100,"&lt;="&amp;C2147,CBIC_Late_Fee_Relief_Windows_3B!$G$2147:$G$100,"&gt;="&amp;C2147)</f>
        <v/>
      </c>
      <c r="H2147">
        <f>INDEX(CBIC_Late_Fee_Relief_Windows_3B!$I$2147:$I$100,MATCH(G2147,CBIC_Late_Fee_Relief_Windows_3B!$O$2147:$O$100,0))</f>
        <v/>
      </c>
      <c r="I2147">
        <f>MIN(F2147,H2147)</f>
        <v/>
      </c>
    </row>
    <row r="2148">
      <c r="A2148">
        <f>TEST_DATA!A2148</f>
        <v/>
      </c>
      <c r="B2148">
        <f>TEST_DATA!B2148</f>
        <v/>
      </c>
      <c r="C2148">
        <f>TEST_DATA!C2148</f>
        <v/>
      </c>
      <c r="D2148">
        <f>TEST_DATA!D2148</f>
        <v/>
      </c>
      <c r="E2148">
        <f>TEST_DATA!E2148</f>
        <v/>
      </c>
      <c r="F2148">
        <f>MIN(E2148*214800,10000)</f>
        <v/>
      </c>
      <c r="G2148">
        <f>MINIFS(CBIC_Late_Fee_Relief_Windows_3B!$O$2148:$O$100,CBIC_Late_Fee_Relief_Windows_3B!$D$2148:$D$100,"&lt;="&amp;B2148,CBIC_Late_Fee_Relief_Windows_3B!$E$2148:$E$100,"&gt;="&amp;B2148,CBIC_Late_Fee_Relief_Windows_3B!$F$2148:$F$100,"&lt;="&amp;C2148,CBIC_Late_Fee_Relief_Windows_3B!$G$2148:$G$100,"&gt;="&amp;C2148)</f>
        <v/>
      </c>
      <c r="H2148">
        <f>INDEX(CBIC_Late_Fee_Relief_Windows_3B!$I$2148:$I$100,MATCH(G2148,CBIC_Late_Fee_Relief_Windows_3B!$O$2148:$O$100,0))</f>
        <v/>
      </c>
      <c r="I2148">
        <f>MIN(F2148,H2148)</f>
        <v/>
      </c>
    </row>
    <row r="2149">
      <c r="A2149">
        <f>TEST_DATA!A2149</f>
        <v/>
      </c>
      <c r="B2149">
        <f>TEST_DATA!B2149</f>
        <v/>
      </c>
      <c r="C2149">
        <f>TEST_DATA!C2149</f>
        <v/>
      </c>
      <c r="D2149">
        <f>TEST_DATA!D2149</f>
        <v/>
      </c>
      <c r="E2149">
        <f>TEST_DATA!E2149</f>
        <v/>
      </c>
      <c r="F2149">
        <f>MIN(E2149*214900,10000)</f>
        <v/>
      </c>
      <c r="G2149">
        <f>MINIFS(CBIC_Late_Fee_Relief_Windows_3B!$O$2149:$O$100,CBIC_Late_Fee_Relief_Windows_3B!$D$2149:$D$100,"&lt;="&amp;B2149,CBIC_Late_Fee_Relief_Windows_3B!$E$2149:$E$100,"&gt;="&amp;B2149,CBIC_Late_Fee_Relief_Windows_3B!$F$2149:$F$100,"&lt;="&amp;C2149,CBIC_Late_Fee_Relief_Windows_3B!$G$2149:$G$100,"&gt;="&amp;C2149)</f>
        <v/>
      </c>
      <c r="H2149">
        <f>INDEX(CBIC_Late_Fee_Relief_Windows_3B!$I$2149:$I$100,MATCH(G2149,CBIC_Late_Fee_Relief_Windows_3B!$O$2149:$O$100,0))</f>
        <v/>
      </c>
      <c r="I2149">
        <f>MIN(F2149,H2149)</f>
        <v/>
      </c>
    </row>
    <row r="2150">
      <c r="A2150">
        <f>TEST_DATA!A2150</f>
        <v/>
      </c>
      <c r="B2150">
        <f>TEST_DATA!B2150</f>
        <v/>
      </c>
      <c r="C2150">
        <f>TEST_DATA!C2150</f>
        <v/>
      </c>
      <c r="D2150">
        <f>TEST_DATA!D2150</f>
        <v/>
      </c>
      <c r="E2150">
        <f>TEST_DATA!E2150</f>
        <v/>
      </c>
      <c r="F2150">
        <f>MIN(E2150*215000,10000)</f>
        <v/>
      </c>
      <c r="G2150">
        <f>MINIFS(CBIC_Late_Fee_Relief_Windows_3B!$O$2150:$O$100,CBIC_Late_Fee_Relief_Windows_3B!$D$2150:$D$100,"&lt;="&amp;B2150,CBIC_Late_Fee_Relief_Windows_3B!$E$2150:$E$100,"&gt;="&amp;B2150,CBIC_Late_Fee_Relief_Windows_3B!$F$2150:$F$100,"&lt;="&amp;C2150,CBIC_Late_Fee_Relief_Windows_3B!$G$2150:$G$100,"&gt;="&amp;C2150)</f>
        <v/>
      </c>
      <c r="H2150">
        <f>INDEX(CBIC_Late_Fee_Relief_Windows_3B!$I$2150:$I$100,MATCH(G2150,CBIC_Late_Fee_Relief_Windows_3B!$O$2150:$O$100,0))</f>
        <v/>
      </c>
      <c r="I2150">
        <f>MIN(F2150,H2150)</f>
        <v/>
      </c>
    </row>
    <row r="2151">
      <c r="A2151">
        <f>TEST_DATA!A2151</f>
        <v/>
      </c>
      <c r="B2151">
        <f>TEST_DATA!B2151</f>
        <v/>
      </c>
      <c r="C2151">
        <f>TEST_DATA!C2151</f>
        <v/>
      </c>
      <c r="D2151">
        <f>TEST_DATA!D2151</f>
        <v/>
      </c>
      <c r="E2151">
        <f>TEST_DATA!E2151</f>
        <v/>
      </c>
      <c r="F2151">
        <f>MIN(E2151*215100,10000)</f>
        <v/>
      </c>
      <c r="G2151">
        <f>MINIFS(CBIC_Late_Fee_Relief_Windows_3B!$O$2151:$O$100,CBIC_Late_Fee_Relief_Windows_3B!$D$2151:$D$100,"&lt;="&amp;B2151,CBIC_Late_Fee_Relief_Windows_3B!$E$2151:$E$100,"&gt;="&amp;B2151,CBIC_Late_Fee_Relief_Windows_3B!$F$2151:$F$100,"&lt;="&amp;C2151,CBIC_Late_Fee_Relief_Windows_3B!$G$2151:$G$100,"&gt;="&amp;C2151)</f>
        <v/>
      </c>
      <c r="H2151">
        <f>INDEX(CBIC_Late_Fee_Relief_Windows_3B!$I$2151:$I$100,MATCH(G2151,CBIC_Late_Fee_Relief_Windows_3B!$O$2151:$O$100,0))</f>
        <v/>
      </c>
      <c r="I2151">
        <f>MIN(F2151,H2151)</f>
        <v/>
      </c>
    </row>
    <row r="2152">
      <c r="A2152">
        <f>TEST_DATA!A2152</f>
        <v/>
      </c>
      <c r="B2152">
        <f>TEST_DATA!B2152</f>
        <v/>
      </c>
      <c r="C2152">
        <f>TEST_DATA!C2152</f>
        <v/>
      </c>
      <c r="D2152">
        <f>TEST_DATA!D2152</f>
        <v/>
      </c>
      <c r="E2152">
        <f>TEST_DATA!E2152</f>
        <v/>
      </c>
      <c r="F2152">
        <f>MIN(E2152*215200,10000)</f>
        <v/>
      </c>
      <c r="G2152">
        <f>MINIFS(CBIC_Late_Fee_Relief_Windows_3B!$O$2152:$O$100,CBIC_Late_Fee_Relief_Windows_3B!$D$2152:$D$100,"&lt;="&amp;B2152,CBIC_Late_Fee_Relief_Windows_3B!$E$2152:$E$100,"&gt;="&amp;B2152,CBIC_Late_Fee_Relief_Windows_3B!$F$2152:$F$100,"&lt;="&amp;C2152,CBIC_Late_Fee_Relief_Windows_3B!$G$2152:$G$100,"&gt;="&amp;C2152)</f>
        <v/>
      </c>
      <c r="H2152">
        <f>INDEX(CBIC_Late_Fee_Relief_Windows_3B!$I$2152:$I$100,MATCH(G2152,CBIC_Late_Fee_Relief_Windows_3B!$O$2152:$O$100,0))</f>
        <v/>
      </c>
      <c r="I2152">
        <f>MIN(F2152,H2152)</f>
        <v/>
      </c>
    </row>
    <row r="2153">
      <c r="A2153">
        <f>TEST_DATA!A2153</f>
        <v/>
      </c>
      <c r="B2153">
        <f>TEST_DATA!B2153</f>
        <v/>
      </c>
      <c r="C2153">
        <f>TEST_DATA!C2153</f>
        <v/>
      </c>
      <c r="D2153">
        <f>TEST_DATA!D2153</f>
        <v/>
      </c>
      <c r="E2153">
        <f>TEST_DATA!E2153</f>
        <v/>
      </c>
      <c r="F2153">
        <f>MIN(E2153*215300,10000)</f>
        <v/>
      </c>
      <c r="G2153">
        <f>MINIFS(CBIC_Late_Fee_Relief_Windows_3B!$O$2153:$O$100,CBIC_Late_Fee_Relief_Windows_3B!$D$2153:$D$100,"&lt;="&amp;B2153,CBIC_Late_Fee_Relief_Windows_3B!$E$2153:$E$100,"&gt;="&amp;B2153,CBIC_Late_Fee_Relief_Windows_3B!$F$2153:$F$100,"&lt;="&amp;C2153,CBIC_Late_Fee_Relief_Windows_3B!$G$2153:$G$100,"&gt;="&amp;C2153)</f>
        <v/>
      </c>
      <c r="H2153">
        <f>INDEX(CBIC_Late_Fee_Relief_Windows_3B!$I$2153:$I$100,MATCH(G2153,CBIC_Late_Fee_Relief_Windows_3B!$O$2153:$O$100,0))</f>
        <v/>
      </c>
      <c r="I2153">
        <f>MIN(F2153,H2153)</f>
        <v/>
      </c>
    </row>
    <row r="2154">
      <c r="A2154">
        <f>TEST_DATA!A2154</f>
        <v/>
      </c>
      <c r="B2154">
        <f>TEST_DATA!B2154</f>
        <v/>
      </c>
      <c r="C2154">
        <f>TEST_DATA!C2154</f>
        <v/>
      </c>
      <c r="D2154">
        <f>TEST_DATA!D2154</f>
        <v/>
      </c>
      <c r="E2154">
        <f>TEST_DATA!E2154</f>
        <v/>
      </c>
      <c r="F2154">
        <f>MIN(E2154*215400,10000)</f>
        <v/>
      </c>
      <c r="G2154">
        <f>MINIFS(CBIC_Late_Fee_Relief_Windows_3B!$O$2154:$O$100,CBIC_Late_Fee_Relief_Windows_3B!$D$2154:$D$100,"&lt;="&amp;B2154,CBIC_Late_Fee_Relief_Windows_3B!$E$2154:$E$100,"&gt;="&amp;B2154,CBIC_Late_Fee_Relief_Windows_3B!$F$2154:$F$100,"&lt;="&amp;C2154,CBIC_Late_Fee_Relief_Windows_3B!$G$2154:$G$100,"&gt;="&amp;C2154)</f>
        <v/>
      </c>
      <c r="H2154">
        <f>INDEX(CBIC_Late_Fee_Relief_Windows_3B!$I$2154:$I$100,MATCH(G2154,CBIC_Late_Fee_Relief_Windows_3B!$O$2154:$O$100,0))</f>
        <v/>
      </c>
      <c r="I2154">
        <f>MIN(F2154,H2154)</f>
        <v/>
      </c>
    </row>
    <row r="2155">
      <c r="A2155">
        <f>TEST_DATA!A2155</f>
        <v/>
      </c>
      <c r="B2155">
        <f>TEST_DATA!B2155</f>
        <v/>
      </c>
      <c r="C2155">
        <f>TEST_DATA!C2155</f>
        <v/>
      </c>
      <c r="D2155">
        <f>TEST_DATA!D2155</f>
        <v/>
      </c>
      <c r="E2155">
        <f>TEST_DATA!E2155</f>
        <v/>
      </c>
      <c r="F2155">
        <f>MIN(E2155*215500,10000)</f>
        <v/>
      </c>
      <c r="G2155">
        <f>MINIFS(CBIC_Late_Fee_Relief_Windows_3B!$O$2155:$O$100,CBIC_Late_Fee_Relief_Windows_3B!$D$2155:$D$100,"&lt;="&amp;B2155,CBIC_Late_Fee_Relief_Windows_3B!$E$2155:$E$100,"&gt;="&amp;B2155,CBIC_Late_Fee_Relief_Windows_3B!$F$2155:$F$100,"&lt;="&amp;C2155,CBIC_Late_Fee_Relief_Windows_3B!$G$2155:$G$100,"&gt;="&amp;C2155)</f>
        <v/>
      </c>
      <c r="H2155">
        <f>INDEX(CBIC_Late_Fee_Relief_Windows_3B!$I$2155:$I$100,MATCH(G2155,CBIC_Late_Fee_Relief_Windows_3B!$O$2155:$O$100,0))</f>
        <v/>
      </c>
      <c r="I2155">
        <f>MIN(F2155,H2155)</f>
        <v/>
      </c>
    </row>
    <row r="2156">
      <c r="A2156">
        <f>TEST_DATA!A2156</f>
        <v/>
      </c>
      <c r="B2156">
        <f>TEST_DATA!B2156</f>
        <v/>
      </c>
      <c r="C2156">
        <f>TEST_DATA!C2156</f>
        <v/>
      </c>
      <c r="D2156">
        <f>TEST_DATA!D2156</f>
        <v/>
      </c>
      <c r="E2156">
        <f>TEST_DATA!E2156</f>
        <v/>
      </c>
      <c r="F2156">
        <f>MIN(E2156*215600,10000)</f>
        <v/>
      </c>
      <c r="G2156">
        <f>MINIFS(CBIC_Late_Fee_Relief_Windows_3B!$O$2156:$O$100,CBIC_Late_Fee_Relief_Windows_3B!$D$2156:$D$100,"&lt;="&amp;B2156,CBIC_Late_Fee_Relief_Windows_3B!$E$2156:$E$100,"&gt;="&amp;B2156,CBIC_Late_Fee_Relief_Windows_3B!$F$2156:$F$100,"&lt;="&amp;C2156,CBIC_Late_Fee_Relief_Windows_3B!$G$2156:$G$100,"&gt;="&amp;C2156)</f>
        <v/>
      </c>
      <c r="H2156">
        <f>INDEX(CBIC_Late_Fee_Relief_Windows_3B!$I$2156:$I$100,MATCH(G2156,CBIC_Late_Fee_Relief_Windows_3B!$O$2156:$O$100,0))</f>
        <v/>
      </c>
      <c r="I2156">
        <f>MIN(F2156,H2156)</f>
        <v/>
      </c>
    </row>
    <row r="2157">
      <c r="A2157">
        <f>TEST_DATA!A2157</f>
        <v/>
      </c>
      <c r="B2157">
        <f>TEST_DATA!B2157</f>
        <v/>
      </c>
      <c r="C2157">
        <f>TEST_DATA!C2157</f>
        <v/>
      </c>
      <c r="D2157">
        <f>TEST_DATA!D2157</f>
        <v/>
      </c>
      <c r="E2157">
        <f>TEST_DATA!E2157</f>
        <v/>
      </c>
      <c r="F2157">
        <f>MIN(E2157*215700,10000)</f>
        <v/>
      </c>
      <c r="G2157">
        <f>MINIFS(CBIC_Late_Fee_Relief_Windows_3B!$O$2157:$O$100,CBIC_Late_Fee_Relief_Windows_3B!$D$2157:$D$100,"&lt;="&amp;B2157,CBIC_Late_Fee_Relief_Windows_3B!$E$2157:$E$100,"&gt;="&amp;B2157,CBIC_Late_Fee_Relief_Windows_3B!$F$2157:$F$100,"&lt;="&amp;C2157,CBIC_Late_Fee_Relief_Windows_3B!$G$2157:$G$100,"&gt;="&amp;C2157)</f>
        <v/>
      </c>
      <c r="H2157">
        <f>INDEX(CBIC_Late_Fee_Relief_Windows_3B!$I$2157:$I$100,MATCH(G2157,CBIC_Late_Fee_Relief_Windows_3B!$O$2157:$O$100,0))</f>
        <v/>
      </c>
      <c r="I2157">
        <f>MIN(F2157,H2157)</f>
        <v/>
      </c>
    </row>
    <row r="2158">
      <c r="A2158">
        <f>TEST_DATA!A2158</f>
        <v/>
      </c>
      <c r="B2158">
        <f>TEST_DATA!B2158</f>
        <v/>
      </c>
      <c r="C2158">
        <f>TEST_DATA!C2158</f>
        <v/>
      </c>
      <c r="D2158">
        <f>TEST_DATA!D2158</f>
        <v/>
      </c>
      <c r="E2158">
        <f>TEST_DATA!E2158</f>
        <v/>
      </c>
      <c r="F2158">
        <f>MIN(E2158*215800,10000)</f>
        <v/>
      </c>
      <c r="G2158">
        <f>MINIFS(CBIC_Late_Fee_Relief_Windows_3B!$O$2158:$O$100,CBIC_Late_Fee_Relief_Windows_3B!$D$2158:$D$100,"&lt;="&amp;B2158,CBIC_Late_Fee_Relief_Windows_3B!$E$2158:$E$100,"&gt;="&amp;B2158,CBIC_Late_Fee_Relief_Windows_3B!$F$2158:$F$100,"&lt;="&amp;C2158,CBIC_Late_Fee_Relief_Windows_3B!$G$2158:$G$100,"&gt;="&amp;C2158)</f>
        <v/>
      </c>
      <c r="H2158">
        <f>INDEX(CBIC_Late_Fee_Relief_Windows_3B!$I$2158:$I$100,MATCH(G2158,CBIC_Late_Fee_Relief_Windows_3B!$O$2158:$O$100,0))</f>
        <v/>
      </c>
      <c r="I2158">
        <f>MIN(F2158,H2158)</f>
        <v/>
      </c>
    </row>
    <row r="2159">
      <c r="A2159">
        <f>TEST_DATA!A2159</f>
        <v/>
      </c>
      <c r="B2159">
        <f>TEST_DATA!B2159</f>
        <v/>
      </c>
      <c r="C2159">
        <f>TEST_DATA!C2159</f>
        <v/>
      </c>
      <c r="D2159">
        <f>TEST_DATA!D2159</f>
        <v/>
      </c>
      <c r="E2159">
        <f>TEST_DATA!E2159</f>
        <v/>
      </c>
      <c r="F2159">
        <f>MIN(E2159*215900,10000)</f>
        <v/>
      </c>
      <c r="G2159">
        <f>MINIFS(CBIC_Late_Fee_Relief_Windows_3B!$O$2159:$O$100,CBIC_Late_Fee_Relief_Windows_3B!$D$2159:$D$100,"&lt;="&amp;B2159,CBIC_Late_Fee_Relief_Windows_3B!$E$2159:$E$100,"&gt;="&amp;B2159,CBIC_Late_Fee_Relief_Windows_3B!$F$2159:$F$100,"&lt;="&amp;C2159,CBIC_Late_Fee_Relief_Windows_3B!$G$2159:$G$100,"&gt;="&amp;C2159)</f>
        <v/>
      </c>
      <c r="H2159">
        <f>INDEX(CBIC_Late_Fee_Relief_Windows_3B!$I$2159:$I$100,MATCH(G2159,CBIC_Late_Fee_Relief_Windows_3B!$O$2159:$O$100,0))</f>
        <v/>
      </c>
      <c r="I2159">
        <f>MIN(F2159,H2159)</f>
        <v/>
      </c>
    </row>
    <row r="2160">
      <c r="A2160">
        <f>TEST_DATA!A2160</f>
        <v/>
      </c>
      <c r="B2160">
        <f>TEST_DATA!B2160</f>
        <v/>
      </c>
      <c r="C2160">
        <f>TEST_DATA!C2160</f>
        <v/>
      </c>
      <c r="D2160">
        <f>TEST_DATA!D2160</f>
        <v/>
      </c>
      <c r="E2160">
        <f>TEST_DATA!E2160</f>
        <v/>
      </c>
      <c r="F2160">
        <f>MIN(E2160*216000,10000)</f>
        <v/>
      </c>
      <c r="G2160">
        <f>MINIFS(CBIC_Late_Fee_Relief_Windows_3B!$O$2160:$O$100,CBIC_Late_Fee_Relief_Windows_3B!$D$2160:$D$100,"&lt;="&amp;B2160,CBIC_Late_Fee_Relief_Windows_3B!$E$2160:$E$100,"&gt;="&amp;B2160,CBIC_Late_Fee_Relief_Windows_3B!$F$2160:$F$100,"&lt;="&amp;C2160,CBIC_Late_Fee_Relief_Windows_3B!$G$2160:$G$100,"&gt;="&amp;C2160)</f>
        <v/>
      </c>
      <c r="H2160">
        <f>INDEX(CBIC_Late_Fee_Relief_Windows_3B!$I$2160:$I$100,MATCH(G2160,CBIC_Late_Fee_Relief_Windows_3B!$O$2160:$O$100,0))</f>
        <v/>
      </c>
      <c r="I2160">
        <f>MIN(F2160,H2160)</f>
        <v/>
      </c>
    </row>
    <row r="2161">
      <c r="A2161">
        <f>TEST_DATA!A2161</f>
        <v/>
      </c>
      <c r="B2161">
        <f>TEST_DATA!B2161</f>
        <v/>
      </c>
      <c r="C2161">
        <f>TEST_DATA!C2161</f>
        <v/>
      </c>
      <c r="D2161">
        <f>TEST_DATA!D2161</f>
        <v/>
      </c>
      <c r="E2161">
        <f>TEST_DATA!E2161</f>
        <v/>
      </c>
      <c r="F2161">
        <f>MIN(E2161*216100,10000)</f>
        <v/>
      </c>
      <c r="G2161">
        <f>MINIFS(CBIC_Late_Fee_Relief_Windows_3B!$O$2161:$O$100,CBIC_Late_Fee_Relief_Windows_3B!$D$2161:$D$100,"&lt;="&amp;B2161,CBIC_Late_Fee_Relief_Windows_3B!$E$2161:$E$100,"&gt;="&amp;B2161,CBIC_Late_Fee_Relief_Windows_3B!$F$2161:$F$100,"&lt;="&amp;C2161,CBIC_Late_Fee_Relief_Windows_3B!$G$2161:$G$100,"&gt;="&amp;C2161)</f>
        <v/>
      </c>
      <c r="H2161">
        <f>INDEX(CBIC_Late_Fee_Relief_Windows_3B!$I$2161:$I$100,MATCH(G2161,CBIC_Late_Fee_Relief_Windows_3B!$O$2161:$O$100,0))</f>
        <v/>
      </c>
      <c r="I2161">
        <f>MIN(F2161,H2161)</f>
        <v/>
      </c>
    </row>
    <row r="2162">
      <c r="A2162">
        <f>TEST_DATA!A2162</f>
        <v/>
      </c>
      <c r="B2162">
        <f>TEST_DATA!B2162</f>
        <v/>
      </c>
      <c r="C2162">
        <f>TEST_DATA!C2162</f>
        <v/>
      </c>
      <c r="D2162">
        <f>TEST_DATA!D2162</f>
        <v/>
      </c>
      <c r="E2162">
        <f>TEST_DATA!E2162</f>
        <v/>
      </c>
      <c r="F2162">
        <f>MIN(E2162*216200,10000)</f>
        <v/>
      </c>
      <c r="G2162">
        <f>MINIFS(CBIC_Late_Fee_Relief_Windows_3B!$O$2162:$O$100,CBIC_Late_Fee_Relief_Windows_3B!$D$2162:$D$100,"&lt;="&amp;B2162,CBIC_Late_Fee_Relief_Windows_3B!$E$2162:$E$100,"&gt;="&amp;B2162,CBIC_Late_Fee_Relief_Windows_3B!$F$2162:$F$100,"&lt;="&amp;C2162,CBIC_Late_Fee_Relief_Windows_3B!$G$2162:$G$100,"&gt;="&amp;C2162)</f>
        <v/>
      </c>
      <c r="H2162">
        <f>INDEX(CBIC_Late_Fee_Relief_Windows_3B!$I$2162:$I$100,MATCH(G2162,CBIC_Late_Fee_Relief_Windows_3B!$O$2162:$O$100,0))</f>
        <v/>
      </c>
      <c r="I2162">
        <f>MIN(F2162,H2162)</f>
        <v/>
      </c>
    </row>
    <row r="2163">
      <c r="A2163">
        <f>TEST_DATA!A2163</f>
        <v/>
      </c>
      <c r="B2163">
        <f>TEST_DATA!B2163</f>
        <v/>
      </c>
      <c r="C2163">
        <f>TEST_DATA!C2163</f>
        <v/>
      </c>
      <c r="D2163">
        <f>TEST_DATA!D2163</f>
        <v/>
      </c>
      <c r="E2163">
        <f>TEST_DATA!E2163</f>
        <v/>
      </c>
      <c r="F2163">
        <f>MIN(E2163*216300,10000)</f>
        <v/>
      </c>
      <c r="G2163">
        <f>MINIFS(CBIC_Late_Fee_Relief_Windows_3B!$O$2163:$O$100,CBIC_Late_Fee_Relief_Windows_3B!$D$2163:$D$100,"&lt;="&amp;B2163,CBIC_Late_Fee_Relief_Windows_3B!$E$2163:$E$100,"&gt;="&amp;B2163,CBIC_Late_Fee_Relief_Windows_3B!$F$2163:$F$100,"&lt;="&amp;C2163,CBIC_Late_Fee_Relief_Windows_3B!$G$2163:$G$100,"&gt;="&amp;C2163)</f>
        <v/>
      </c>
      <c r="H2163">
        <f>INDEX(CBIC_Late_Fee_Relief_Windows_3B!$I$2163:$I$100,MATCH(G2163,CBIC_Late_Fee_Relief_Windows_3B!$O$2163:$O$100,0))</f>
        <v/>
      </c>
      <c r="I2163">
        <f>MIN(F2163,H2163)</f>
        <v/>
      </c>
    </row>
    <row r="2164">
      <c r="A2164">
        <f>TEST_DATA!A2164</f>
        <v/>
      </c>
      <c r="B2164">
        <f>TEST_DATA!B2164</f>
        <v/>
      </c>
      <c r="C2164">
        <f>TEST_DATA!C2164</f>
        <v/>
      </c>
      <c r="D2164">
        <f>TEST_DATA!D2164</f>
        <v/>
      </c>
      <c r="E2164">
        <f>TEST_DATA!E2164</f>
        <v/>
      </c>
      <c r="F2164">
        <f>MIN(E2164*216400,10000)</f>
        <v/>
      </c>
      <c r="G2164">
        <f>MINIFS(CBIC_Late_Fee_Relief_Windows_3B!$O$2164:$O$100,CBIC_Late_Fee_Relief_Windows_3B!$D$2164:$D$100,"&lt;="&amp;B2164,CBIC_Late_Fee_Relief_Windows_3B!$E$2164:$E$100,"&gt;="&amp;B2164,CBIC_Late_Fee_Relief_Windows_3B!$F$2164:$F$100,"&lt;="&amp;C2164,CBIC_Late_Fee_Relief_Windows_3B!$G$2164:$G$100,"&gt;="&amp;C2164)</f>
        <v/>
      </c>
      <c r="H2164">
        <f>INDEX(CBIC_Late_Fee_Relief_Windows_3B!$I$2164:$I$100,MATCH(G2164,CBIC_Late_Fee_Relief_Windows_3B!$O$2164:$O$100,0))</f>
        <v/>
      </c>
      <c r="I2164">
        <f>MIN(F2164,H2164)</f>
        <v/>
      </c>
    </row>
    <row r="2165">
      <c r="A2165">
        <f>TEST_DATA!A2165</f>
        <v/>
      </c>
      <c r="B2165">
        <f>TEST_DATA!B2165</f>
        <v/>
      </c>
      <c r="C2165">
        <f>TEST_DATA!C2165</f>
        <v/>
      </c>
      <c r="D2165">
        <f>TEST_DATA!D2165</f>
        <v/>
      </c>
      <c r="E2165">
        <f>TEST_DATA!E2165</f>
        <v/>
      </c>
      <c r="F2165">
        <f>MIN(E2165*216500,10000)</f>
        <v/>
      </c>
      <c r="G2165">
        <f>MINIFS(CBIC_Late_Fee_Relief_Windows_3B!$O$2165:$O$100,CBIC_Late_Fee_Relief_Windows_3B!$D$2165:$D$100,"&lt;="&amp;B2165,CBIC_Late_Fee_Relief_Windows_3B!$E$2165:$E$100,"&gt;="&amp;B2165,CBIC_Late_Fee_Relief_Windows_3B!$F$2165:$F$100,"&lt;="&amp;C2165,CBIC_Late_Fee_Relief_Windows_3B!$G$2165:$G$100,"&gt;="&amp;C2165)</f>
        <v/>
      </c>
      <c r="H2165">
        <f>INDEX(CBIC_Late_Fee_Relief_Windows_3B!$I$2165:$I$100,MATCH(G2165,CBIC_Late_Fee_Relief_Windows_3B!$O$2165:$O$100,0))</f>
        <v/>
      </c>
      <c r="I2165">
        <f>MIN(F2165,H2165)</f>
        <v/>
      </c>
    </row>
    <row r="2166">
      <c r="A2166">
        <f>TEST_DATA!A2166</f>
        <v/>
      </c>
      <c r="B2166">
        <f>TEST_DATA!B2166</f>
        <v/>
      </c>
      <c r="C2166">
        <f>TEST_DATA!C2166</f>
        <v/>
      </c>
      <c r="D2166">
        <f>TEST_DATA!D2166</f>
        <v/>
      </c>
      <c r="E2166">
        <f>TEST_DATA!E2166</f>
        <v/>
      </c>
      <c r="F2166">
        <f>MIN(E2166*216600,10000)</f>
        <v/>
      </c>
      <c r="G2166">
        <f>MINIFS(CBIC_Late_Fee_Relief_Windows_3B!$O$2166:$O$100,CBIC_Late_Fee_Relief_Windows_3B!$D$2166:$D$100,"&lt;="&amp;B2166,CBIC_Late_Fee_Relief_Windows_3B!$E$2166:$E$100,"&gt;="&amp;B2166,CBIC_Late_Fee_Relief_Windows_3B!$F$2166:$F$100,"&lt;="&amp;C2166,CBIC_Late_Fee_Relief_Windows_3B!$G$2166:$G$100,"&gt;="&amp;C2166)</f>
        <v/>
      </c>
      <c r="H2166">
        <f>INDEX(CBIC_Late_Fee_Relief_Windows_3B!$I$2166:$I$100,MATCH(G2166,CBIC_Late_Fee_Relief_Windows_3B!$O$2166:$O$100,0))</f>
        <v/>
      </c>
      <c r="I2166">
        <f>MIN(F2166,H2166)</f>
        <v/>
      </c>
    </row>
    <row r="2167">
      <c r="A2167">
        <f>TEST_DATA!A2167</f>
        <v/>
      </c>
      <c r="B2167">
        <f>TEST_DATA!B2167</f>
        <v/>
      </c>
      <c r="C2167">
        <f>TEST_DATA!C2167</f>
        <v/>
      </c>
      <c r="D2167">
        <f>TEST_DATA!D2167</f>
        <v/>
      </c>
      <c r="E2167">
        <f>TEST_DATA!E2167</f>
        <v/>
      </c>
      <c r="F2167">
        <f>MIN(E2167*216700,10000)</f>
        <v/>
      </c>
      <c r="G2167">
        <f>MINIFS(CBIC_Late_Fee_Relief_Windows_3B!$O$2167:$O$100,CBIC_Late_Fee_Relief_Windows_3B!$D$2167:$D$100,"&lt;="&amp;B2167,CBIC_Late_Fee_Relief_Windows_3B!$E$2167:$E$100,"&gt;="&amp;B2167,CBIC_Late_Fee_Relief_Windows_3B!$F$2167:$F$100,"&lt;="&amp;C2167,CBIC_Late_Fee_Relief_Windows_3B!$G$2167:$G$100,"&gt;="&amp;C2167)</f>
        <v/>
      </c>
      <c r="H2167">
        <f>INDEX(CBIC_Late_Fee_Relief_Windows_3B!$I$2167:$I$100,MATCH(G2167,CBIC_Late_Fee_Relief_Windows_3B!$O$2167:$O$100,0))</f>
        <v/>
      </c>
      <c r="I2167">
        <f>MIN(F2167,H2167)</f>
        <v/>
      </c>
    </row>
    <row r="2168">
      <c r="A2168">
        <f>TEST_DATA!A2168</f>
        <v/>
      </c>
      <c r="B2168">
        <f>TEST_DATA!B2168</f>
        <v/>
      </c>
      <c r="C2168">
        <f>TEST_DATA!C2168</f>
        <v/>
      </c>
      <c r="D2168">
        <f>TEST_DATA!D2168</f>
        <v/>
      </c>
      <c r="E2168">
        <f>TEST_DATA!E2168</f>
        <v/>
      </c>
      <c r="F2168">
        <f>MIN(E2168*216800,10000)</f>
        <v/>
      </c>
      <c r="G2168">
        <f>MINIFS(CBIC_Late_Fee_Relief_Windows_3B!$O$2168:$O$100,CBIC_Late_Fee_Relief_Windows_3B!$D$2168:$D$100,"&lt;="&amp;B2168,CBIC_Late_Fee_Relief_Windows_3B!$E$2168:$E$100,"&gt;="&amp;B2168,CBIC_Late_Fee_Relief_Windows_3B!$F$2168:$F$100,"&lt;="&amp;C2168,CBIC_Late_Fee_Relief_Windows_3B!$G$2168:$G$100,"&gt;="&amp;C2168)</f>
        <v/>
      </c>
      <c r="H2168">
        <f>INDEX(CBIC_Late_Fee_Relief_Windows_3B!$I$2168:$I$100,MATCH(G2168,CBIC_Late_Fee_Relief_Windows_3B!$O$2168:$O$100,0))</f>
        <v/>
      </c>
      <c r="I2168">
        <f>MIN(F2168,H2168)</f>
        <v/>
      </c>
    </row>
    <row r="2169">
      <c r="A2169">
        <f>TEST_DATA!A2169</f>
        <v/>
      </c>
      <c r="B2169">
        <f>TEST_DATA!B2169</f>
        <v/>
      </c>
      <c r="C2169">
        <f>TEST_DATA!C2169</f>
        <v/>
      </c>
      <c r="D2169">
        <f>TEST_DATA!D2169</f>
        <v/>
      </c>
      <c r="E2169">
        <f>TEST_DATA!E2169</f>
        <v/>
      </c>
      <c r="F2169">
        <f>MIN(E2169*216900,10000)</f>
        <v/>
      </c>
      <c r="G2169">
        <f>MINIFS(CBIC_Late_Fee_Relief_Windows_3B!$O$2169:$O$100,CBIC_Late_Fee_Relief_Windows_3B!$D$2169:$D$100,"&lt;="&amp;B2169,CBIC_Late_Fee_Relief_Windows_3B!$E$2169:$E$100,"&gt;="&amp;B2169,CBIC_Late_Fee_Relief_Windows_3B!$F$2169:$F$100,"&lt;="&amp;C2169,CBIC_Late_Fee_Relief_Windows_3B!$G$2169:$G$100,"&gt;="&amp;C2169)</f>
        <v/>
      </c>
      <c r="H2169">
        <f>INDEX(CBIC_Late_Fee_Relief_Windows_3B!$I$2169:$I$100,MATCH(G2169,CBIC_Late_Fee_Relief_Windows_3B!$O$2169:$O$100,0))</f>
        <v/>
      </c>
      <c r="I2169">
        <f>MIN(F2169,H2169)</f>
        <v/>
      </c>
    </row>
    <row r="2170">
      <c r="A2170">
        <f>TEST_DATA!A2170</f>
        <v/>
      </c>
      <c r="B2170">
        <f>TEST_DATA!B2170</f>
        <v/>
      </c>
      <c r="C2170">
        <f>TEST_DATA!C2170</f>
        <v/>
      </c>
      <c r="D2170">
        <f>TEST_DATA!D2170</f>
        <v/>
      </c>
      <c r="E2170">
        <f>TEST_DATA!E2170</f>
        <v/>
      </c>
      <c r="F2170">
        <f>MIN(E2170*217000,10000)</f>
        <v/>
      </c>
      <c r="G2170">
        <f>MINIFS(CBIC_Late_Fee_Relief_Windows_3B!$O$2170:$O$100,CBIC_Late_Fee_Relief_Windows_3B!$D$2170:$D$100,"&lt;="&amp;B2170,CBIC_Late_Fee_Relief_Windows_3B!$E$2170:$E$100,"&gt;="&amp;B2170,CBIC_Late_Fee_Relief_Windows_3B!$F$2170:$F$100,"&lt;="&amp;C2170,CBIC_Late_Fee_Relief_Windows_3B!$G$2170:$G$100,"&gt;="&amp;C2170)</f>
        <v/>
      </c>
      <c r="H2170">
        <f>INDEX(CBIC_Late_Fee_Relief_Windows_3B!$I$2170:$I$100,MATCH(G2170,CBIC_Late_Fee_Relief_Windows_3B!$O$2170:$O$100,0))</f>
        <v/>
      </c>
      <c r="I2170">
        <f>MIN(F2170,H2170)</f>
        <v/>
      </c>
    </row>
    <row r="2171">
      <c r="A2171">
        <f>TEST_DATA!A2171</f>
        <v/>
      </c>
      <c r="B2171">
        <f>TEST_DATA!B2171</f>
        <v/>
      </c>
      <c r="C2171">
        <f>TEST_DATA!C2171</f>
        <v/>
      </c>
      <c r="D2171">
        <f>TEST_DATA!D2171</f>
        <v/>
      </c>
      <c r="E2171">
        <f>TEST_DATA!E2171</f>
        <v/>
      </c>
      <c r="F2171">
        <f>MIN(E2171*217100,10000)</f>
        <v/>
      </c>
      <c r="G2171">
        <f>MINIFS(CBIC_Late_Fee_Relief_Windows_3B!$O$2171:$O$100,CBIC_Late_Fee_Relief_Windows_3B!$D$2171:$D$100,"&lt;="&amp;B2171,CBIC_Late_Fee_Relief_Windows_3B!$E$2171:$E$100,"&gt;="&amp;B2171,CBIC_Late_Fee_Relief_Windows_3B!$F$2171:$F$100,"&lt;="&amp;C2171,CBIC_Late_Fee_Relief_Windows_3B!$G$2171:$G$100,"&gt;="&amp;C2171)</f>
        <v/>
      </c>
      <c r="H2171">
        <f>INDEX(CBIC_Late_Fee_Relief_Windows_3B!$I$2171:$I$100,MATCH(G2171,CBIC_Late_Fee_Relief_Windows_3B!$O$2171:$O$100,0))</f>
        <v/>
      </c>
      <c r="I2171">
        <f>MIN(F2171,H2171)</f>
        <v/>
      </c>
    </row>
    <row r="2172">
      <c r="A2172">
        <f>TEST_DATA!A2172</f>
        <v/>
      </c>
      <c r="B2172">
        <f>TEST_DATA!B2172</f>
        <v/>
      </c>
      <c r="C2172">
        <f>TEST_DATA!C2172</f>
        <v/>
      </c>
      <c r="D2172">
        <f>TEST_DATA!D2172</f>
        <v/>
      </c>
      <c r="E2172">
        <f>TEST_DATA!E2172</f>
        <v/>
      </c>
      <c r="F2172">
        <f>MIN(E2172*217200,10000)</f>
        <v/>
      </c>
      <c r="G2172">
        <f>MINIFS(CBIC_Late_Fee_Relief_Windows_3B!$O$2172:$O$100,CBIC_Late_Fee_Relief_Windows_3B!$D$2172:$D$100,"&lt;="&amp;B2172,CBIC_Late_Fee_Relief_Windows_3B!$E$2172:$E$100,"&gt;="&amp;B2172,CBIC_Late_Fee_Relief_Windows_3B!$F$2172:$F$100,"&lt;="&amp;C2172,CBIC_Late_Fee_Relief_Windows_3B!$G$2172:$G$100,"&gt;="&amp;C2172)</f>
        <v/>
      </c>
      <c r="H2172">
        <f>INDEX(CBIC_Late_Fee_Relief_Windows_3B!$I$2172:$I$100,MATCH(G2172,CBIC_Late_Fee_Relief_Windows_3B!$O$2172:$O$100,0))</f>
        <v/>
      </c>
      <c r="I2172">
        <f>MIN(F2172,H2172)</f>
        <v/>
      </c>
    </row>
    <row r="2173">
      <c r="A2173">
        <f>TEST_DATA!A2173</f>
        <v/>
      </c>
      <c r="B2173">
        <f>TEST_DATA!B2173</f>
        <v/>
      </c>
      <c r="C2173">
        <f>TEST_DATA!C2173</f>
        <v/>
      </c>
      <c r="D2173">
        <f>TEST_DATA!D2173</f>
        <v/>
      </c>
      <c r="E2173">
        <f>TEST_DATA!E2173</f>
        <v/>
      </c>
      <c r="F2173">
        <f>MIN(E2173*217300,10000)</f>
        <v/>
      </c>
      <c r="G2173">
        <f>MINIFS(CBIC_Late_Fee_Relief_Windows_3B!$O$2173:$O$100,CBIC_Late_Fee_Relief_Windows_3B!$D$2173:$D$100,"&lt;="&amp;B2173,CBIC_Late_Fee_Relief_Windows_3B!$E$2173:$E$100,"&gt;="&amp;B2173,CBIC_Late_Fee_Relief_Windows_3B!$F$2173:$F$100,"&lt;="&amp;C2173,CBIC_Late_Fee_Relief_Windows_3B!$G$2173:$G$100,"&gt;="&amp;C2173)</f>
        <v/>
      </c>
      <c r="H2173">
        <f>INDEX(CBIC_Late_Fee_Relief_Windows_3B!$I$2173:$I$100,MATCH(G2173,CBIC_Late_Fee_Relief_Windows_3B!$O$2173:$O$100,0))</f>
        <v/>
      </c>
      <c r="I2173">
        <f>MIN(F2173,H2173)</f>
        <v/>
      </c>
    </row>
    <row r="2174">
      <c r="A2174">
        <f>TEST_DATA!A2174</f>
        <v/>
      </c>
      <c r="B2174">
        <f>TEST_DATA!B2174</f>
        <v/>
      </c>
      <c r="C2174">
        <f>TEST_DATA!C2174</f>
        <v/>
      </c>
      <c r="D2174">
        <f>TEST_DATA!D2174</f>
        <v/>
      </c>
      <c r="E2174">
        <f>TEST_DATA!E2174</f>
        <v/>
      </c>
      <c r="F2174">
        <f>MIN(E2174*217400,10000)</f>
        <v/>
      </c>
      <c r="G2174">
        <f>MINIFS(CBIC_Late_Fee_Relief_Windows_3B!$O$2174:$O$100,CBIC_Late_Fee_Relief_Windows_3B!$D$2174:$D$100,"&lt;="&amp;B2174,CBIC_Late_Fee_Relief_Windows_3B!$E$2174:$E$100,"&gt;="&amp;B2174,CBIC_Late_Fee_Relief_Windows_3B!$F$2174:$F$100,"&lt;="&amp;C2174,CBIC_Late_Fee_Relief_Windows_3B!$G$2174:$G$100,"&gt;="&amp;C2174)</f>
        <v/>
      </c>
      <c r="H2174">
        <f>INDEX(CBIC_Late_Fee_Relief_Windows_3B!$I$2174:$I$100,MATCH(G2174,CBIC_Late_Fee_Relief_Windows_3B!$O$2174:$O$100,0))</f>
        <v/>
      </c>
      <c r="I2174">
        <f>MIN(F2174,H2174)</f>
        <v/>
      </c>
    </row>
    <row r="2175">
      <c r="A2175">
        <f>TEST_DATA!A2175</f>
        <v/>
      </c>
      <c r="B2175">
        <f>TEST_DATA!B2175</f>
        <v/>
      </c>
      <c r="C2175">
        <f>TEST_DATA!C2175</f>
        <v/>
      </c>
      <c r="D2175">
        <f>TEST_DATA!D2175</f>
        <v/>
      </c>
      <c r="E2175">
        <f>TEST_DATA!E2175</f>
        <v/>
      </c>
      <c r="F2175">
        <f>MIN(E2175*217500,10000)</f>
        <v/>
      </c>
      <c r="G2175">
        <f>MINIFS(CBIC_Late_Fee_Relief_Windows_3B!$O$2175:$O$100,CBIC_Late_Fee_Relief_Windows_3B!$D$2175:$D$100,"&lt;="&amp;B2175,CBIC_Late_Fee_Relief_Windows_3B!$E$2175:$E$100,"&gt;="&amp;B2175,CBIC_Late_Fee_Relief_Windows_3B!$F$2175:$F$100,"&lt;="&amp;C2175,CBIC_Late_Fee_Relief_Windows_3B!$G$2175:$G$100,"&gt;="&amp;C2175)</f>
        <v/>
      </c>
      <c r="H2175">
        <f>INDEX(CBIC_Late_Fee_Relief_Windows_3B!$I$2175:$I$100,MATCH(G2175,CBIC_Late_Fee_Relief_Windows_3B!$O$2175:$O$100,0))</f>
        <v/>
      </c>
      <c r="I2175">
        <f>MIN(F2175,H2175)</f>
        <v/>
      </c>
    </row>
    <row r="2176">
      <c r="A2176">
        <f>TEST_DATA!A2176</f>
        <v/>
      </c>
      <c r="B2176">
        <f>TEST_DATA!B2176</f>
        <v/>
      </c>
      <c r="C2176">
        <f>TEST_DATA!C2176</f>
        <v/>
      </c>
      <c r="D2176">
        <f>TEST_DATA!D2176</f>
        <v/>
      </c>
      <c r="E2176">
        <f>TEST_DATA!E2176</f>
        <v/>
      </c>
      <c r="F2176">
        <f>MIN(E2176*217600,10000)</f>
        <v/>
      </c>
      <c r="G2176">
        <f>MINIFS(CBIC_Late_Fee_Relief_Windows_3B!$O$2176:$O$100,CBIC_Late_Fee_Relief_Windows_3B!$D$2176:$D$100,"&lt;="&amp;B2176,CBIC_Late_Fee_Relief_Windows_3B!$E$2176:$E$100,"&gt;="&amp;B2176,CBIC_Late_Fee_Relief_Windows_3B!$F$2176:$F$100,"&lt;="&amp;C2176,CBIC_Late_Fee_Relief_Windows_3B!$G$2176:$G$100,"&gt;="&amp;C2176)</f>
        <v/>
      </c>
      <c r="H2176">
        <f>INDEX(CBIC_Late_Fee_Relief_Windows_3B!$I$2176:$I$100,MATCH(G2176,CBIC_Late_Fee_Relief_Windows_3B!$O$2176:$O$100,0))</f>
        <v/>
      </c>
      <c r="I2176">
        <f>MIN(F2176,H2176)</f>
        <v/>
      </c>
    </row>
    <row r="2177">
      <c r="A2177">
        <f>TEST_DATA!A2177</f>
        <v/>
      </c>
      <c r="B2177">
        <f>TEST_DATA!B2177</f>
        <v/>
      </c>
      <c r="C2177">
        <f>TEST_DATA!C2177</f>
        <v/>
      </c>
      <c r="D2177">
        <f>TEST_DATA!D2177</f>
        <v/>
      </c>
      <c r="E2177">
        <f>TEST_DATA!E2177</f>
        <v/>
      </c>
      <c r="F2177">
        <f>MIN(E2177*217700,10000)</f>
        <v/>
      </c>
      <c r="G2177">
        <f>MINIFS(CBIC_Late_Fee_Relief_Windows_3B!$O$2177:$O$100,CBIC_Late_Fee_Relief_Windows_3B!$D$2177:$D$100,"&lt;="&amp;B2177,CBIC_Late_Fee_Relief_Windows_3B!$E$2177:$E$100,"&gt;="&amp;B2177,CBIC_Late_Fee_Relief_Windows_3B!$F$2177:$F$100,"&lt;="&amp;C2177,CBIC_Late_Fee_Relief_Windows_3B!$G$2177:$G$100,"&gt;="&amp;C2177)</f>
        <v/>
      </c>
      <c r="H2177">
        <f>INDEX(CBIC_Late_Fee_Relief_Windows_3B!$I$2177:$I$100,MATCH(G2177,CBIC_Late_Fee_Relief_Windows_3B!$O$2177:$O$100,0))</f>
        <v/>
      </c>
      <c r="I2177">
        <f>MIN(F2177,H2177)</f>
        <v/>
      </c>
    </row>
    <row r="2178">
      <c r="A2178">
        <f>TEST_DATA!A2178</f>
        <v/>
      </c>
      <c r="B2178">
        <f>TEST_DATA!B2178</f>
        <v/>
      </c>
      <c r="C2178">
        <f>TEST_DATA!C2178</f>
        <v/>
      </c>
      <c r="D2178">
        <f>TEST_DATA!D2178</f>
        <v/>
      </c>
      <c r="E2178">
        <f>TEST_DATA!E2178</f>
        <v/>
      </c>
      <c r="F2178">
        <f>MIN(E2178*217800,10000)</f>
        <v/>
      </c>
      <c r="G2178">
        <f>MINIFS(CBIC_Late_Fee_Relief_Windows_3B!$O$2178:$O$100,CBIC_Late_Fee_Relief_Windows_3B!$D$2178:$D$100,"&lt;="&amp;B2178,CBIC_Late_Fee_Relief_Windows_3B!$E$2178:$E$100,"&gt;="&amp;B2178,CBIC_Late_Fee_Relief_Windows_3B!$F$2178:$F$100,"&lt;="&amp;C2178,CBIC_Late_Fee_Relief_Windows_3B!$G$2178:$G$100,"&gt;="&amp;C2178)</f>
        <v/>
      </c>
      <c r="H2178">
        <f>INDEX(CBIC_Late_Fee_Relief_Windows_3B!$I$2178:$I$100,MATCH(G2178,CBIC_Late_Fee_Relief_Windows_3B!$O$2178:$O$100,0))</f>
        <v/>
      </c>
      <c r="I2178">
        <f>MIN(F2178,H2178)</f>
        <v/>
      </c>
    </row>
    <row r="2179">
      <c r="A2179">
        <f>TEST_DATA!A2179</f>
        <v/>
      </c>
      <c r="B2179">
        <f>TEST_DATA!B2179</f>
        <v/>
      </c>
      <c r="C2179">
        <f>TEST_DATA!C2179</f>
        <v/>
      </c>
      <c r="D2179">
        <f>TEST_DATA!D2179</f>
        <v/>
      </c>
      <c r="E2179">
        <f>TEST_DATA!E2179</f>
        <v/>
      </c>
      <c r="F2179">
        <f>MIN(E2179*217900,10000)</f>
        <v/>
      </c>
      <c r="G2179">
        <f>MINIFS(CBIC_Late_Fee_Relief_Windows_3B!$O$2179:$O$100,CBIC_Late_Fee_Relief_Windows_3B!$D$2179:$D$100,"&lt;="&amp;B2179,CBIC_Late_Fee_Relief_Windows_3B!$E$2179:$E$100,"&gt;="&amp;B2179,CBIC_Late_Fee_Relief_Windows_3B!$F$2179:$F$100,"&lt;="&amp;C2179,CBIC_Late_Fee_Relief_Windows_3B!$G$2179:$G$100,"&gt;="&amp;C2179)</f>
        <v/>
      </c>
      <c r="H2179">
        <f>INDEX(CBIC_Late_Fee_Relief_Windows_3B!$I$2179:$I$100,MATCH(G2179,CBIC_Late_Fee_Relief_Windows_3B!$O$2179:$O$100,0))</f>
        <v/>
      </c>
      <c r="I2179">
        <f>MIN(F2179,H2179)</f>
        <v/>
      </c>
    </row>
    <row r="2180">
      <c r="A2180">
        <f>TEST_DATA!A2180</f>
        <v/>
      </c>
      <c r="B2180">
        <f>TEST_DATA!B2180</f>
        <v/>
      </c>
      <c r="C2180">
        <f>TEST_DATA!C2180</f>
        <v/>
      </c>
      <c r="D2180">
        <f>TEST_DATA!D2180</f>
        <v/>
      </c>
      <c r="E2180">
        <f>TEST_DATA!E2180</f>
        <v/>
      </c>
      <c r="F2180">
        <f>MIN(E2180*218000,10000)</f>
        <v/>
      </c>
      <c r="G2180">
        <f>MINIFS(CBIC_Late_Fee_Relief_Windows_3B!$O$2180:$O$100,CBIC_Late_Fee_Relief_Windows_3B!$D$2180:$D$100,"&lt;="&amp;B2180,CBIC_Late_Fee_Relief_Windows_3B!$E$2180:$E$100,"&gt;="&amp;B2180,CBIC_Late_Fee_Relief_Windows_3B!$F$2180:$F$100,"&lt;="&amp;C2180,CBIC_Late_Fee_Relief_Windows_3B!$G$2180:$G$100,"&gt;="&amp;C2180)</f>
        <v/>
      </c>
      <c r="H2180">
        <f>INDEX(CBIC_Late_Fee_Relief_Windows_3B!$I$2180:$I$100,MATCH(G2180,CBIC_Late_Fee_Relief_Windows_3B!$O$2180:$O$100,0))</f>
        <v/>
      </c>
      <c r="I2180">
        <f>MIN(F2180,H2180)</f>
        <v/>
      </c>
    </row>
    <row r="2181">
      <c r="A2181">
        <f>TEST_DATA!A2181</f>
        <v/>
      </c>
      <c r="B2181">
        <f>TEST_DATA!B2181</f>
        <v/>
      </c>
      <c r="C2181">
        <f>TEST_DATA!C2181</f>
        <v/>
      </c>
      <c r="D2181">
        <f>TEST_DATA!D2181</f>
        <v/>
      </c>
      <c r="E2181">
        <f>TEST_DATA!E2181</f>
        <v/>
      </c>
      <c r="F2181">
        <f>MIN(E2181*218100,10000)</f>
        <v/>
      </c>
      <c r="G2181">
        <f>MINIFS(CBIC_Late_Fee_Relief_Windows_3B!$O$2181:$O$100,CBIC_Late_Fee_Relief_Windows_3B!$D$2181:$D$100,"&lt;="&amp;B2181,CBIC_Late_Fee_Relief_Windows_3B!$E$2181:$E$100,"&gt;="&amp;B2181,CBIC_Late_Fee_Relief_Windows_3B!$F$2181:$F$100,"&lt;="&amp;C2181,CBIC_Late_Fee_Relief_Windows_3B!$G$2181:$G$100,"&gt;="&amp;C2181)</f>
        <v/>
      </c>
      <c r="H2181">
        <f>INDEX(CBIC_Late_Fee_Relief_Windows_3B!$I$2181:$I$100,MATCH(G2181,CBIC_Late_Fee_Relief_Windows_3B!$O$2181:$O$100,0))</f>
        <v/>
      </c>
      <c r="I2181">
        <f>MIN(F2181,H2181)</f>
        <v/>
      </c>
    </row>
    <row r="2182">
      <c r="A2182">
        <f>TEST_DATA!A2182</f>
        <v/>
      </c>
      <c r="B2182">
        <f>TEST_DATA!B2182</f>
        <v/>
      </c>
      <c r="C2182">
        <f>TEST_DATA!C2182</f>
        <v/>
      </c>
      <c r="D2182">
        <f>TEST_DATA!D2182</f>
        <v/>
      </c>
      <c r="E2182">
        <f>TEST_DATA!E2182</f>
        <v/>
      </c>
      <c r="F2182">
        <f>MIN(E2182*218200,10000)</f>
        <v/>
      </c>
      <c r="G2182">
        <f>MINIFS(CBIC_Late_Fee_Relief_Windows_3B!$O$2182:$O$100,CBIC_Late_Fee_Relief_Windows_3B!$D$2182:$D$100,"&lt;="&amp;B2182,CBIC_Late_Fee_Relief_Windows_3B!$E$2182:$E$100,"&gt;="&amp;B2182,CBIC_Late_Fee_Relief_Windows_3B!$F$2182:$F$100,"&lt;="&amp;C2182,CBIC_Late_Fee_Relief_Windows_3B!$G$2182:$G$100,"&gt;="&amp;C2182)</f>
        <v/>
      </c>
      <c r="H2182">
        <f>INDEX(CBIC_Late_Fee_Relief_Windows_3B!$I$2182:$I$100,MATCH(G2182,CBIC_Late_Fee_Relief_Windows_3B!$O$2182:$O$100,0))</f>
        <v/>
      </c>
      <c r="I2182">
        <f>MIN(F2182,H2182)</f>
        <v/>
      </c>
    </row>
    <row r="2183">
      <c r="A2183">
        <f>TEST_DATA!A2183</f>
        <v/>
      </c>
      <c r="B2183">
        <f>TEST_DATA!B2183</f>
        <v/>
      </c>
      <c r="C2183">
        <f>TEST_DATA!C2183</f>
        <v/>
      </c>
      <c r="D2183">
        <f>TEST_DATA!D2183</f>
        <v/>
      </c>
      <c r="E2183">
        <f>TEST_DATA!E2183</f>
        <v/>
      </c>
      <c r="F2183">
        <f>MIN(E2183*218300,10000)</f>
        <v/>
      </c>
      <c r="G2183">
        <f>MINIFS(CBIC_Late_Fee_Relief_Windows_3B!$O$2183:$O$100,CBIC_Late_Fee_Relief_Windows_3B!$D$2183:$D$100,"&lt;="&amp;B2183,CBIC_Late_Fee_Relief_Windows_3B!$E$2183:$E$100,"&gt;="&amp;B2183,CBIC_Late_Fee_Relief_Windows_3B!$F$2183:$F$100,"&lt;="&amp;C2183,CBIC_Late_Fee_Relief_Windows_3B!$G$2183:$G$100,"&gt;="&amp;C2183)</f>
        <v/>
      </c>
      <c r="H2183">
        <f>INDEX(CBIC_Late_Fee_Relief_Windows_3B!$I$2183:$I$100,MATCH(G2183,CBIC_Late_Fee_Relief_Windows_3B!$O$2183:$O$100,0))</f>
        <v/>
      </c>
      <c r="I2183">
        <f>MIN(F2183,H2183)</f>
        <v/>
      </c>
    </row>
    <row r="2184">
      <c r="A2184">
        <f>TEST_DATA!A2184</f>
        <v/>
      </c>
      <c r="B2184">
        <f>TEST_DATA!B2184</f>
        <v/>
      </c>
      <c r="C2184">
        <f>TEST_DATA!C2184</f>
        <v/>
      </c>
      <c r="D2184">
        <f>TEST_DATA!D2184</f>
        <v/>
      </c>
      <c r="E2184">
        <f>TEST_DATA!E2184</f>
        <v/>
      </c>
      <c r="F2184">
        <f>MIN(E2184*218400,10000)</f>
        <v/>
      </c>
      <c r="G2184">
        <f>MINIFS(CBIC_Late_Fee_Relief_Windows_3B!$O$2184:$O$100,CBIC_Late_Fee_Relief_Windows_3B!$D$2184:$D$100,"&lt;="&amp;B2184,CBIC_Late_Fee_Relief_Windows_3B!$E$2184:$E$100,"&gt;="&amp;B2184,CBIC_Late_Fee_Relief_Windows_3B!$F$2184:$F$100,"&lt;="&amp;C2184,CBIC_Late_Fee_Relief_Windows_3B!$G$2184:$G$100,"&gt;="&amp;C2184)</f>
        <v/>
      </c>
      <c r="H2184">
        <f>INDEX(CBIC_Late_Fee_Relief_Windows_3B!$I$2184:$I$100,MATCH(G2184,CBIC_Late_Fee_Relief_Windows_3B!$O$2184:$O$100,0))</f>
        <v/>
      </c>
      <c r="I2184">
        <f>MIN(F2184,H2184)</f>
        <v/>
      </c>
    </row>
    <row r="2185">
      <c r="A2185">
        <f>TEST_DATA!A2185</f>
        <v/>
      </c>
      <c r="B2185">
        <f>TEST_DATA!B2185</f>
        <v/>
      </c>
      <c r="C2185">
        <f>TEST_DATA!C2185</f>
        <v/>
      </c>
      <c r="D2185">
        <f>TEST_DATA!D2185</f>
        <v/>
      </c>
      <c r="E2185">
        <f>TEST_DATA!E2185</f>
        <v/>
      </c>
      <c r="F2185">
        <f>MIN(E2185*218500,10000)</f>
        <v/>
      </c>
      <c r="G2185">
        <f>MINIFS(CBIC_Late_Fee_Relief_Windows_3B!$O$2185:$O$100,CBIC_Late_Fee_Relief_Windows_3B!$D$2185:$D$100,"&lt;="&amp;B2185,CBIC_Late_Fee_Relief_Windows_3B!$E$2185:$E$100,"&gt;="&amp;B2185,CBIC_Late_Fee_Relief_Windows_3B!$F$2185:$F$100,"&lt;="&amp;C2185,CBIC_Late_Fee_Relief_Windows_3B!$G$2185:$G$100,"&gt;="&amp;C2185)</f>
        <v/>
      </c>
      <c r="H2185">
        <f>INDEX(CBIC_Late_Fee_Relief_Windows_3B!$I$2185:$I$100,MATCH(G2185,CBIC_Late_Fee_Relief_Windows_3B!$O$2185:$O$100,0))</f>
        <v/>
      </c>
      <c r="I2185">
        <f>MIN(F2185,H2185)</f>
        <v/>
      </c>
    </row>
    <row r="2186">
      <c r="A2186">
        <f>TEST_DATA!A2186</f>
        <v/>
      </c>
      <c r="B2186">
        <f>TEST_DATA!B2186</f>
        <v/>
      </c>
      <c r="C2186">
        <f>TEST_DATA!C2186</f>
        <v/>
      </c>
      <c r="D2186">
        <f>TEST_DATA!D2186</f>
        <v/>
      </c>
      <c r="E2186">
        <f>TEST_DATA!E2186</f>
        <v/>
      </c>
      <c r="F2186">
        <f>MIN(E2186*218600,10000)</f>
        <v/>
      </c>
      <c r="G2186">
        <f>MINIFS(CBIC_Late_Fee_Relief_Windows_3B!$O$2186:$O$100,CBIC_Late_Fee_Relief_Windows_3B!$D$2186:$D$100,"&lt;="&amp;B2186,CBIC_Late_Fee_Relief_Windows_3B!$E$2186:$E$100,"&gt;="&amp;B2186,CBIC_Late_Fee_Relief_Windows_3B!$F$2186:$F$100,"&lt;="&amp;C2186,CBIC_Late_Fee_Relief_Windows_3B!$G$2186:$G$100,"&gt;="&amp;C2186)</f>
        <v/>
      </c>
      <c r="H2186">
        <f>INDEX(CBIC_Late_Fee_Relief_Windows_3B!$I$2186:$I$100,MATCH(G2186,CBIC_Late_Fee_Relief_Windows_3B!$O$2186:$O$100,0))</f>
        <v/>
      </c>
      <c r="I2186">
        <f>MIN(F2186,H2186)</f>
        <v/>
      </c>
    </row>
    <row r="2187">
      <c r="A2187">
        <f>TEST_DATA!A2187</f>
        <v/>
      </c>
      <c r="B2187">
        <f>TEST_DATA!B2187</f>
        <v/>
      </c>
      <c r="C2187">
        <f>TEST_DATA!C2187</f>
        <v/>
      </c>
      <c r="D2187">
        <f>TEST_DATA!D2187</f>
        <v/>
      </c>
      <c r="E2187">
        <f>TEST_DATA!E2187</f>
        <v/>
      </c>
      <c r="F2187">
        <f>MIN(E2187*218700,10000)</f>
        <v/>
      </c>
      <c r="G2187">
        <f>MINIFS(CBIC_Late_Fee_Relief_Windows_3B!$O$2187:$O$100,CBIC_Late_Fee_Relief_Windows_3B!$D$2187:$D$100,"&lt;="&amp;B2187,CBIC_Late_Fee_Relief_Windows_3B!$E$2187:$E$100,"&gt;="&amp;B2187,CBIC_Late_Fee_Relief_Windows_3B!$F$2187:$F$100,"&lt;="&amp;C2187,CBIC_Late_Fee_Relief_Windows_3B!$G$2187:$G$100,"&gt;="&amp;C2187)</f>
        <v/>
      </c>
      <c r="H2187">
        <f>INDEX(CBIC_Late_Fee_Relief_Windows_3B!$I$2187:$I$100,MATCH(G2187,CBIC_Late_Fee_Relief_Windows_3B!$O$2187:$O$100,0))</f>
        <v/>
      </c>
      <c r="I2187">
        <f>MIN(F2187,H2187)</f>
        <v/>
      </c>
    </row>
    <row r="2188">
      <c r="A2188">
        <f>TEST_DATA!A2188</f>
        <v/>
      </c>
      <c r="B2188">
        <f>TEST_DATA!B2188</f>
        <v/>
      </c>
      <c r="C2188">
        <f>TEST_DATA!C2188</f>
        <v/>
      </c>
      <c r="D2188">
        <f>TEST_DATA!D2188</f>
        <v/>
      </c>
      <c r="E2188">
        <f>TEST_DATA!E2188</f>
        <v/>
      </c>
      <c r="F2188">
        <f>MIN(E2188*218800,10000)</f>
        <v/>
      </c>
      <c r="G2188">
        <f>MINIFS(CBIC_Late_Fee_Relief_Windows_3B!$O$2188:$O$100,CBIC_Late_Fee_Relief_Windows_3B!$D$2188:$D$100,"&lt;="&amp;B2188,CBIC_Late_Fee_Relief_Windows_3B!$E$2188:$E$100,"&gt;="&amp;B2188,CBIC_Late_Fee_Relief_Windows_3B!$F$2188:$F$100,"&lt;="&amp;C2188,CBIC_Late_Fee_Relief_Windows_3B!$G$2188:$G$100,"&gt;="&amp;C2188)</f>
        <v/>
      </c>
      <c r="H2188">
        <f>INDEX(CBIC_Late_Fee_Relief_Windows_3B!$I$2188:$I$100,MATCH(G2188,CBIC_Late_Fee_Relief_Windows_3B!$O$2188:$O$100,0))</f>
        <v/>
      </c>
      <c r="I2188">
        <f>MIN(F2188,H2188)</f>
        <v/>
      </c>
    </row>
    <row r="2189">
      <c r="A2189">
        <f>TEST_DATA!A2189</f>
        <v/>
      </c>
      <c r="B2189">
        <f>TEST_DATA!B2189</f>
        <v/>
      </c>
      <c r="C2189">
        <f>TEST_DATA!C2189</f>
        <v/>
      </c>
      <c r="D2189">
        <f>TEST_DATA!D2189</f>
        <v/>
      </c>
      <c r="E2189">
        <f>TEST_DATA!E2189</f>
        <v/>
      </c>
      <c r="F2189">
        <f>MIN(E2189*218900,10000)</f>
        <v/>
      </c>
      <c r="G2189">
        <f>MINIFS(CBIC_Late_Fee_Relief_Windows_3B!$O$2189:$O$100,CBIC_Late_Fee_Relief_Windows_3B!$D$2189:$D$100,"&lt;="&amp;B2189,CBIC_Late_Fee_Relief_Windows_3B!$E$2189:$E$100,"&gt;="&amp;B2189,CBIC_Late_Fee_Relief_Windows_3B!$F$2189:$F$100,"&lt;="&amp;C2189,CBIC_Late_Fee_Relief_Windows_3B!$G$2189:$G$100,"&gt;="&amp;C2189)</f>
        <v/>
      </c>
      <c r="H2189">
        <f>INDEX(CBIC_Late_Fee_Relief_Windows_3B!$I$2189:$I$100,MATCH(G2189,CBIC_Late_Fee_Relief_Windows_3B!$O$2189:$O$100,0))</f>
        <v/>
      </c>
      <c r="I2189">
        <f>MIN(F2189,H2189)</f>
        <v/>
      </c>
    </row>
    <row r="2190">
      <c r="A2190">
        <f>TEST_DATA!A2190</f>
        <v/>
      </c>
      <c r="B2190">
        <f>TEST_DATA!B2190</f>
        <v/>
      </c>
      <c r="C2190">
        <f>TEST_DATA!C2190</f>
        <v/>
      </c>
      <c r="D2190">
        <f>TEST_DATA!D2190</f>
        <v/>
      </c>
      <c r="E2190">
        <f>TEST_DATA!E2190</f>
        <v/>
      </c>
      <c r="F2190">
        <f>MIN(E2190*219000,10000)</f>
        <v/>
      </c>
      <c r="G2190">
        <f>MINIFS(CBIC_Late_Fee_Relief_Windows_3B!$O$2190:$O$100,CBIC_Late_Fee_Relief_Windows_3B!$D$2190:$D$100,"&lt;="&amp;B2190,CBIC_Late_Fee_Relief_Windows_3B!$E$2190:$E$100,"&gt;="&amp;B2190,CBIC_Late_Fee_Relief_Windows_3B!$F$2190:$F$100,"&lt;="&amp;C2190,CBIC_Late_Fee_Relief_Windows_3B!$G$2190:$G$100,"&gt;="&amp;C2190)</f>
        <v/>
      </c>
      <c r="H2190">
        <f>INDEX(CBIC_Late_Fee_Relief_Windows_3B!$I$2190:$I$100,MATCH(G2190,CBIC_Late_Fee_Relief_Windows_3B!$O$2190:$O$100,0))</f>
        <v/>
      </c>
      <c r="I2190">
        <f>MIN(F2190,H2190)</f>
        <v/>
      </c>
    </row>
    <row r="2191">
      <c r="A2191">
        <f>TEST_DATA!A2191</f>
        <v/>
      </c>
      <c r="B2191">
        <f>TEST_DATA!B2191</f>
        <v/>
      </c>
      <c r="C2191">
        <f>TEST_DATA!C2191</f>
        <v/>
      </c>
      <c r="D2191">
        <f>TEST_DATA!D2191</f>
        <v/>
      </c>
      <c r="E2191">
        <f>TEST_DATA!E2191</f>
        <v/>
      </c>
      <c r="F2191">
        <f>MIN(E2191*219100,10000)</f>
        <v/>
      </c>
      <c r="G2191">
        <f>MINIFS(CBIC_Late_Fee_Relief_Windows_3B!$O$2191:$O$100,CBIC_Late_Fee_Relief_Windows_3B!$D$2191:$D$100,"&lt;="&amp;B2191,CBIC_Late_Fee_Relief_Windows_3B!$E$2191:$E$100,"&gt;="&amp;B2191,CBIC_Late_Fee_Relief_Windows_3B!$F$2191:$F$100,"&lt;="&amp;C2191,CBIC_Late_Fee_Relief_Windows_3B!$G$2191:$G$100,"&gt;="&amp;C2191)</f>
        <v/>
      </c>
      <c r="H2191">
        <f>INDEX(CBIC_Late_Fee_Relief_Windows_3B!$I$2191:$I$100,MATCH(G2191,CBIC_Late_Fee_Relief_Windows_3B!$O$2191:$O$100,0))</f>
        <v/>
      </c>
      <c r="I2191">
        <f>MIN(F2191,H2191)</f>
        <v/>
      </c>
    </row>
    <row r="2192">
      <c r="A2192">
        <f>TEST_DATA!A2192</f>
        <v/>
      </c>
      <c r="B2192">
        <f>TEST_DATA!B2192</f>
        <v/>
      </c>
      <c r="C2192">
        <f>TEST_DATA!C2192</f>
        <v/>
      </c>
      <c r="D2192">
        <f>TEST_DATA!D2192</f>
        <v/>
      </c>
      <c r="E2192">
        <f>TEST_DATA!E2192</f>
        <v/>
      </c>
      <c r="F2192">
        <f>MIN(E2192*219200,10000)</f>
        <v/>
      </c>
      <c r="G2192">
        <f>MINIFS(CBIC_Late_Fee_Relief_Windows_3B!$O$2192:$O$100,CBIC_Late_Fee_Relief_Windows_3B!$D$2192:$D$100,"&lt;="&amp;B2192,CBIC_Late_Fee_Relief_Windows_3B!$E$2192:$E$100,"&gt;="&amp;B2192,CBIC_Late_Fee_Relief_Windows_3B!$F$2192:$F$100,"&lt;="&amp;C2192,CBIC_Late_Fee_Relief_Windows_3B!$G$2192:$G$100,"&gt;="&amp;C2192)</f>
        <v/>
      </c>
      <c r="H2192">
        <f>INDEX(CBIC_Late_Fee_Relief_Windows_3B!$I$2192:$I$100,MATCH(G2192,CBIC_Late_Fee_Relief_Windows_3B!$O$2192:$O$100,0))</f>
        <v/>
      </c>
      <c r="I2192">
        <f>MIN(F2192,H2192)</f>
        <v/>
      </c>
    </row>
    <row r="2193">
      <c r="A2193">
        <f>TEST_DATA!A2193</f>
        <v/>
      </c>
      <c r="B2193">
        <f>TEST_DATA!B2193</f>
        <v/>
      </c>
      <c r="C2193">
        <f>TEST_DATA!C2193</f>
        <v/>
      </c>
      <c r="D2193">
        <f>TEST_DATA!D2193</f>
        <v/>
      </c>
      <c r="E2193">
        <f>TEST_DATA!E2193</f>
        <v/>
      </c>
      <c r="F2193">
        <f>MIN(E2193*219300,10000)</f>
        <v/>
      </c>
      <c r="G2193">
        <f>MINIFS(CBIC_Late_Fee_Relief_Windows_3B!$O$2193:$O$100,CBIC_Late_Fee_Relief_Windows_3B!$D$2193:$D$100,"&lt;="&amp;B2193,CBIC_Late_Fee_Relief_Windows_3B!$E$2193:$E$100,"&gt;="&amp;B2193,CBIC_Late_Fee_Relief_Windows_3B!$F$2193:$F$100,"&lt;="&amp;C2193,CBIC_Late_Fee_Relief_Windows_3B!$G$2193:$G$100,"&gt;="&amp;C2193)</f>
        <v/>
      </c>
      <c r="H2193">
        <f>INDEX(CBIC_Late_Fee_Relief_Windows_3B!$I$2193:$I$100,MATCH(G2193,CBIC_Late_Fee_Relief_Windows_3B!$O$2193:$O$100,0))</f>
        <v/>
      </c>
      <c r="I2193">
        <f>MIN(F2193,H2193)</f>
        <v/>
      </c>
    </row>
    <row r="2194">
      <c r="A2194">
        <f>TEST_DATA!A2194</f>
        <v/>
      </c>
      <c r="B2194">
        <f>TEST_DATA!B2194</f>
        <v/>
      </c>
      <c r="C2194">
        <f>TEST_DATA!C2194</f>
        <v/>
      </c>
      <c r="D2194">
        <f>TEST_DATA!D2194</f>
        <v/>
      </c>
      <c r="E2194">
        <f>TEST_DATA!E2194</f>
        <v/>
      </c>
      <c r="F2194">
        <f>MIN(E2194*219400,10000)</f>
        <v/>
      </c>
      <c r="G2194">
        <f>MINIFS(CBIC_Late_Fee_Relief_Windows_3B!$O$2194:$O$100,CBIC_Late_Fee_Relief_Windows_3B!$D$2194:$D$100,"&lt;="&amp;B2194,CBIC_Late_Fee_Relief_Windows_3B!$E$2194:$E$100,"&gt;="&amp;B2194,CBIC_Late_Fee_Relief_Windows_3B!$F$2194:$F$100,"&lt;="&amp;C2194,CBIC_Late_Fee_Relief_Windows_3B!$G$2194:$G$100,"&gt;="&amp;C2194)</f>
        <v/>
      </c>
      <c r="H2194">
        <f>INDEX(CBIC_Late_Fee_Relief_Windows_3B!$I$2194:$I$100,MATCH(G2194,CBIC_Late_Fee_Relief_Windows_3B!$O$2194:$O$100,0))</f>
        <v/>
      </c>
      <c r="I2194">
        <f>MIN(F2194,H2194)</f>
        <v/>
      </c>
    </row>
    <row r="2195">
      <c r="A2195">
        <f>TEST_DATA!A2195</f>
        <v/>
      </c>
      <c r="B2195">
        <f>TEST_DATA!B2195</f>
        <v/>
      </c>
      <c r="C2195">
        <f>TEST_DATA!C2195</f>
        <v/>
      </c>
      <c r="D2195">
        <f>TEST_DATA!D2195</f>
        <v/>
      </c>
      <c r="E2195">
        <f>TEST_DATA!E2195</f>
        <v/>
      </c>
      <c r="F2195">
        <f>MIN(E2195*219500,10000)</f>
        <v/>
      </c>
      <c r="G2195">
        <f>MINIFS(CBIC_Late_Fee_Relief_Windows_3B!$O$2195:$O$100,CBIC_Late_Fee_Relief_Windows_3B!$D$2195:$D$100,"&lt;="&amp;B2195,CBIC_Late_Fee_Relief_Windows_3B!$E$2195:$E$100,"&gt;="&amp;B2195,CBIC_Late_Fee_Relief_Windows_3B!$F$2195:$F$100,"&lt;="&amp;C2195,CBIC_Late_Fee_Relief_Windows_3B!$G$2195:$G$100,"&gt;="&amp;C2195)</f>
        <v/>
      </c>
      <c r="H2195">
        <f>INDEX(CBIC_Late_Fee_Relief_Windows_3B!$I$2195:$I$100,MATCH(G2195,CBIC_Late_Fee_Relief_Windows_3B!$O$2195:$O$100,0))</f>
        <v/>
      </c>
      <c r="I2195">
        <f>MIN(F2195,H2195)</f>
        <v/>
      </c>
    </row>
    <row r="2196">
      <c r="A2196">
        <f>TEST_DATA!A2196</f>
        <v/>
      </c>
      <c r="B2196">
        <f>TEST_DATA!B2196</f>
        <v/>
      </c>
      <c r="C2196">
        <f>TEST_DATA!C2196</f>
        <v/>
      </c>
      <c r="D2196">
        <f>TEST_DATA!D2196</f>
        <v/>
      </c>
      <c r="E2196">
        <f>TEST_DATA!E2196</f>
        <v/>
      </c>
      <c r="F2196">
        <f>MIN(E2196*219600,10000)</f>
        <v/>
      </c>
      <c r="G2196">
        <f>MINIFS(CBIC_Late_Fee_Relief_Windows_3B!$O$2196:$O$100,CBIC_Late_Fee_Relief_Windows_3B!$D$2196:$D$100,"&lt;="&amp;B2196,CBIC_Late_Fee_Relief_Windows_3B!$E$2196:$E$100,"&gt;="&amp;B2196,CBIC_Late_Fee_Relief_Windows_3B!$F$2196:$F$100,"&lt;="&amp;C2196,CBIC_Late_Fee_Relief_Windows_3B!$G$2196:$G$100,"&gt;="&amp;C2196)</f>
        <v/>
      </c>
      <c r="H2196">
        <f>INDEX(CBIC_Late_Fee_Relief_Windows_3B!$I$2196:$I$100,MATCH(G2196,CBIC_Late_Fee_Relief_Windows_3B!$O$2196:$O$100,0))</f>
        <v/>
      </c>
      <c r="I2196">
        <f>MIN(F2196,H2196)</f>
        <v/>
      </c>
    </row>
    <row r="2197">
      <c r="A2197">
        <f>TEST_DATA!A2197</f>
        <v/>
      </c>
      <c r="B2197">
        <f>TEST_DATA!B2197</f>
        <v/>
      </c>
      <c r="C2197">
        <f>TEST_DATA!C2197</f>
        <v/>
      </c>
      <c r="D2197">
        <f>TEST_DATA!D2197</f>
        <v/>
      </c>
      <c r="E2197">
        <f>TEST_DATA!E2197</f>
        <v/>
      </c>
      <c r="F2197">
        <f>MIN(E2197*219700,10000)</f>
        <v/>
      </c>
      <c r="G2197">
        <f>MINIFS(CBIC_Late_Fee_Relief_Windows_3B!$O$2197:$O$100,CBIC_Late_Fee_Relief_Windows_3B!$D$2197:$D$100,"&lt;="&amp;B2197,CBIC_Late_Fee_Relief_Windows_3B!$E$2197:$E$100,"&gt;="&amp;B2197,CBIC_Late_Fee_Relief_Windows_3B!$F$2197:$F$100,"&lt;="&amp;C2197,CBIC_Late_Fee_Relief_Windows_3B!$G$2197:$G$100,"&gt;="&amp;C2197)</f>
        <v/>
      </c>
      <c r="H2197">
        <f>INDEX(CBIC_Late_Fee_Relief_Windows_3B!$I$2197:$I$100,MATCH(G2197,CBIC_Late_Fee_Relief_Windows_3B!$O$2197:$O$100,0))</f>
        <v/>
      </c>
      <c r="I2197">
        <f>MIN(F2197,H2197)</f>
        <v/>
      </c>
    </row>
    <row r="2198">
      <c r="A2198">
        <f>TEST_DATA!A2198</f>
        <v/>
      </c>
      <c r="B2198">
        <f>TEST_DATA!B2198</f>
        <v/>
      </c>
      <c r="C2198">
        <f>TEST_DATA!C2198</f>
        <v/>
      </c>
      <c r="D2198">
        <f>TEST_DATA!D2198</f>
        <v/>
      </c>
      <c r="E2198">
        <f>TEST_DATA!E2198</f>
        <v/>
      </c>
      <c r="F2198">
        <f>MIN(E2198*219800,10000)</f>
        <v/>
      </c>
      <c r="G2198">
        <f>MINIFS(CBIC_Late_Fee_Relief_Windows_3B!$O$2198:$O$100,CBIC_Late_Fee_Relief_Windows_3B!$D$2198:$D$100,"&lt;="&amp;B2198,CBIC_Late_Fee_Relief_Windows_3B!$E$2198:$E$100,"&gt;="&amp;B2198,CBIC_Late_Fee_Relief_Windows_3B!$F$2198:$F$100,"&lt;="&amp;C2198,CBIC_Late_Fee_Relief_Windows_3B!$G$2198:$G$100,"&gt;="&amp;C2198)</f>
        <v/>
      </c>
      <c r="H2198">
        <f>INDEX(CBIC_Late_Fee_Relief_Windows_3B!$I$2198:$I$100,MATCH(G2198,CBIC_Late_Fee_Relief_Windows_3B!$O$2198:$O$100,0))</f>
        <v/>
      </c>
      <c r="I2198">
        <f>MIN(F2198,H2198)</f>
        <v/>
      </c>
    </row>
    <row r="2199">
      <c r="A2199">
        <f>TEST_DATA!A2199</f>
        <v/>
      </c>
      <c r="B2199">
        <f>TEST_DATA!B2199</f>
        <v/>
      </c>
      <c r="C2199">
        <f>TEST_DATA!C2199</f>
        <v/>
      </c>
      <c r="D2199">
        <f>TEST_DATA!D2199</f>
        <v/>
      </c>
      <c r="E2199">
        <f>TEST_DATA!E2199</f>
        <v/>
      </c>
      <c r="F2199">
        <f>MIN(E2199*219900,10000)</f>
        <v/>
      </c>
      <c r="G2199">
        <f>MINIFS(CBIC_Late_Fee_Relief_Windows_3B!$O$2199:$O$100,CBIC_Late_Fee_Relief_Windows_3B!$D$2199:$D$100,"&lt;="&amp;B2199,CBIC_Late_Fee_Relief_Windows_3B!$E$2199:$E$100,"&gt;="&amp;B2199,CBIC_Late_Fee_Relief_Windows_3B!$F$2199:$F$100,"&lt;="&amp;C2199,CBIC_Late_Fee_Relief_Windows_3B!$G$2199:$G$100,"&gt;="&amp;C2199)</f>
        <v/>
      </c>
      <c r="H2199">
        <f>INDEX(CBIC_Late_Fee_Relief_Windows_3B!$I$2199:$I$100,MATCH(G2199,CBIC_Late_Fee_Relief_Windows_3B!$O$2199:$O$100,0))</f>
        <v/>
      </c>
      <c r="I2199">
        <f>MIN(F2199,H2199)</f>
        <v/>
      </c>
    </row>
    <row r="2200">
      <c r="A2200">
        <f>TEST_DATA!A2200</f>
        <v/>
      </c>
      <c r="B2200">
        <f>TEST_DATA!B2200</f>
        <v/>
      </c>
      <c r="C2200">
        <f>TEST_DATA!C2200</f>
        <v/>
      </c>
      <c r="D2200">
        <f>TEST_DATA!D2200</f>
        <v/>
      </c>
      <c r="E2200">
        <f>TEST_DATA!E2200</f>
        <v/>
      </c>
      <c r="F2200">
        <f>MIN(E2200*220000,10000)</f>
        <v/>
      </c>
      <c r="G2200">
        <f>MINIFS(CBIC_Late_Fee_Relief_Windows_3B!$O$2200:$O$100,CBIC_Late_Fee_Relief_Windows_3B!$D$2200:$D$100,"&lt;="&amp;B2200,CBIC_Late_Fee_Relief_Windows_3B!$E$2200:$E$100,"&gt;="&amp;B2200,CBIC_Late_Fee_Relief_Windows_3B!$F$2200:$F$100,"&lt;="&amp;C2200,CBIC_Late_Fee_Relief_Windows_3B!$G$2200:$G$100,"&gt;="&amp;C2200)</f>
        <v/>
      </c>
      <c r="H2200">
        <f>INDEX(CBIC_Late_Fee_Relief_Windows_3B!$I$2200:$I$100,MATCH(G2200,CBIC_Late_Fee_Relief_Windows_3B!$O$2200:$O$100,0))</f>
        <v/>
      </c>
      <c r="I2200">
        <f>MIN(F2200,H2200)</f>
        <v/>
      </c>
    </row>
    <row r="2201">
      <c r="A2201">
        <f>TEST_DATA!A2201</f>
        <v/>
      </c>
      <c r="B2201">
        <f>TEST_DATA!B2201</f>
        <v/>
      </c>
      <c r="C2201">
        <f>TEST_DATA!C2201</f>
        <v/>
      </c>
      <c r="D2201">
        <f>TEST_DATA!D2201</f>
        <v/>
      </c>
      <c r="E2201">
        <f>TEST_DATA!E2201</f>
        <v/>
      </c>
      <c r="F2201">
        <f>MIN(E2201*220100,10000)</f>
        <v/>
      </c>
      <c r="G2201">
        <f>MINIFS(CBIC_Late_Fee_Relief_Windows_3B!$O$2201:$O$100,CBIC_Late_Fee_Relief_Windows_3B!$D$2201:$D$100,"&lt;="&amp;B2201,CBIC_Late_Fee_Relief_Windows_3B!$E$2201:$E$100,"&gt;="&amp;B2201,CBIC_Late_Fee_Relief_Windows_3B!$F$2201:$F$100,"&lt;="&amp;C2201,CBIC_Late_Fee_Relief_Windows_3B!$G$2201:$G$100,"&gt;="&amp;C2201)</f>
        <v/>
      </c>
      <c r="H2201">
        <f>INDEX(CBIC_Late_Fee_Relief_Windows_3B!$I$2201:$I$100,MATCH(G2201,CBIC_Late_Fee_Relief_Windows_3B!$O$2201:$O$100,0))</f>
        <v/>
      </c>
      <c r="I2201">
        <f>MIN(F2201,H2201)</f>
        <v/>
      </c>
    </row>
    <row r="2202">
      <c r="A2202">
        <f>TEST_DATA!A2202</f>
        <v/>
      </c>
      <c r="B2202">
        <f>TEST_DATA!B2202</f>
        <v/>
      </c>
      <c r="C2202">
        <f>TEST_DATA!C2202</f>
        <v/>
      </c>
      <c r="D2202">
        <f>TEST_DATA!D2202</f>
        <v/>
      </c>
      <c r="E2202">
        <f>TEST_DATA!E2202</f>
        <v/>
      </c>
      <c r="F2202">
        <f>MIN(E2202*220200,10000)</f>
        <v/>
      </c>
      <c r="G2202">
        <f>MINIFS(CBIC_Late_Fee_Relief_Windows_3B!$O$2202:$O$100,CBIC_Late_Fee_Relief_Windows_3B!$D$2202:$D$100,"&lt;="&amp;B2202,CBIC_Late_Fee_Relief_Windows_3B!$E$2202:$E$100,"&gt;="&amp;B2202,CBIC_Late_Fee_Relief_Windows_3B!$F$2202:$F$100,"&lt;="&amp;C2202,CBIC_Late_Fee_Relief_Windows_3B!$G$2202:$G$100,"&gt;="&amp;C2202)</f>
        <v/>
      </c>
      <c r="H2202">
        <f>INDEX(CBIC_Late_Fee_Relief_Windows_3B!$I$2202:$I$100,MATCH(G2202,CBIC_Late_Fee_Relief_Windows_3B!$O$2202:$O$100,0))</f>
        <v/>
      </c>
      <c r="I2202">
        <f>MIN(F2202,H2202)</f>
        <v/>
      </c>
    </row>
    <row r="2203">
      <c r="A2203">
        <f>TEST_DATA!A2203</f>
        <v/>
      </c>
      <c r="B2203">
        <f>TEST_DATA!B2203</f>
        <v/>
      </c>
      <c r="C2203">
        <f>TEST_DATA!C2203</f>
        <v/>
      </c>
      <c r="D2203">
        <f>TEST_DATA!D2203</f>
        <v/>
      </c>
      <c r="E2203">
        <f>TEST_DATA!E2203</f>
        <v/>
      </c>
      <c r="F2203">
        <f>MIN(E2203*220300,10000)</f>
        <v/>
      </c>
      <c r="G2203">
        <f>MINIFS(CBIC_Late_Fee_Relief_Windows_3B!$O$2203:$O$100,CBIC_Late_Fee_Relief_Windows_3B!$D$2203:$D$100,"&lt;="&amp;B2203,CBIC_Late_Fee_Relief_Windows_3B!$E$2203:$E$100,"&gt;="&amp;B2203,CBIC_Late_Fee_Relief_Windows_3B!$F$2203:$F$100,"&lt;="&amp;C2203,CBIC_Late_Fee_Relief_Windows_3B!$G$2203:$G$100,"&gt;="&amp;C2203)</f>
        <v/>
      </c>
      <c r="H2203">
        <f>INDEX(CBIC_Late_Fee_Relief_Windows_3B!$I$2203:$I$100,MATCH(G2203,CBIC_Late_Fee_Relief_Windows_3B!$O$2203:$O$100,0))</f>
        <v/>
      </c>
      <c r="I2203">
        <f>MIN(F2203,H2203)</f>
        <v/>
      </c>
    </row>
    <row r="2204">
      <c r="A2204">
        <f>TEST_DATA!A2204</f>
        <v/>
      </c>
      <c r="B2204">
        <f>TEST_DATA!B2204</f>
        <v/>
      </c>
      <c r="C2204">
        <f>TEST_DATA!C2204</f>
        <v/>
      </c>
      <c r="D2204">
        <f>TEST_DATA!D2204</f>
        <v/>
      </c>
      <c r="E2204">
        <f>TEST_DATA!E2204</f>
        <v/>
      </c>
      <c r="F2204">
        <f>MIN(E2204*220400,10000)</f>
        <v/>
      </c>
      <c r="G2204">
        <f>MINIFS(CBIC_Late_Fee_Relief_Windows_3B!$O$2204:$O$100,CBIC_Late_Fee_Relief_Windows_3B!$D$2204:$D$100,"&lt;="&amp;B2204,CBIC_Late_Fee_Relief_Windows_3B!$E$2204:$E$100,"&gt;="&amp;B2204,CBIC_Late_Fee_Relief_Windows_3B!$F$2204:$F$100,"&lt;="&amp;C2204,CBIC_Late_Fee_Relief_Windows_3B!$G$2204:$G$100,"&gt;="&amp;C2204)</f>
        <v/>
      </c>
      <c r="H2204">
        <f>INDEX(CBIC_Late_Fee_Relief_Windows_3B!$I$2204:$I$100,MATCH(G2204,CBIC_Late_Fee_Relief_Windows_3B!$O$2204:$O$100,0))</f>
        <v/>
      </c>
      <c r="I2204">
        <f>MIN(F2204,H2204)</f>
        <v/>
      </c>
    </row>
    <row r="2205">
      <c r="A2205">
        <f>TEST_DATA!A2205</f>
        <v/>
      </c>
      <c r="B2205">
        <f>TEST_DATA!B2205</f>
        <v/>
      </c>
      <c r="C2205">
        <f>TEST_DATA!C2205</f>
        <v/>
      </c>
      <c r="D2205">
        <f>TEST_DATA!D2205</f>
        <v/>
      </c>
      <c r="E2205">
        <f>TEST_DATA!E2205</f>
        <v/>
      </c>
      <c r="F2205">
        <f>MIN(E2205*220500,10000)</f>
        <v/>
      </c>
      <c r="G2205">
        <f>MINIFS(CBIC_Late_Fee_Relief_Windows_3B!$O$2205:$O$100,CBIC_Late_Fee_Relief_Windows_3B!$D$2205:$D$100,"&lt;="&amp;B2205,CBIC_Late_Fee_Relief_Windows_3B!$E$2205:$E$100,"&gt;="&amp;B2205,CBIC_Late_Fee_Relief_Windows_3B!$F$2205:$F$100,"&lt;="&amp;C2205,CBIC_Late_Fee_Relief_Windows_3B!$G$2205:$G$100,"&gt;="&amp;C2205)</f>
        <v/>
      </c>
      <c r="H2205">
        <f>INDEX(CBIC_Late_Fee_Relief_Windows_3B!$I$2205:$I$100,MATCH(G2205,CBIC_Late_Fee_Relief_Windows_3B!$O$2205:$O$100,0))</f>
        <v/>
      </c>
      <c r="I2205">
        <f>MIN(F2205,H2205)</f>
        <v/>
      </c>
    </row>
    <row r="2206">
      <c r="A2206">
        <f>TEST_DATA!A2206</f>
        <v/>
      </c>
      <c r="B2206">
        <f>TEST_DATA!B2206</f>
        <v/>
      </c>
      <c r="C2206">
        <f>TEST_DATA!C2206</f>
        <v/>
      </c>
      <c r="D2206">
        <f>TEST_DATA!D2206</f>
        <v/>
      </c>
      <c r="E2206">
        <f>TEST_DATA!E2206</f>
        <v/>
      </c>
      <c r="F2206">
        <f>MIN(E2206*220600,10000)</f>
        <v/>
      </c>
      <c r="G2206">
        <f>MINIFS(CBIC_Late_Fee_Relief_Windows_3B!$O$2206:$O$100,CBIC_Late_Fee_Relief_Windows_3B!$D$2206:$D$100,"&lt;="&amp;B2206,CBIC_Late_Fee_Relief_Windows_3B!$E$2206:$E$100,"&gt;="&amp;B2206,CBIC_Late_Fee_Relief_Windows_3B!$F$2206:$F$100,"&lt;="&amp;C2206,CBIC_Late_Fee_Relief_Windows_3B!$G$2206:$G$100,"&gt;="&amp;C2206)</f>
        <v/>
      </c>
      <c r="H2206">
        <f>INDEX(CBIC_Late_Fee_Relief_Windows_3B!$I$2206:$I$100,MATCH(G2206,CBIC_Late_Fee_Relief_Windows_3B!$O$2206:$O$100,0))</f>
        <v/>
      </c>
      <c r="I2206">
        <f>MIN(F2206,H2206)</f>
        <v/>
      </c>
    </row>
    <row r="2207">
      <c r="A2207">
        <f>TEST_DATA!A2207</f>
        <v/>
      </c>
      <c r="B2207">
        <f>TEST_DATA!B2207</f>
        <v/>
      </c>
      <c r="C2207">
        <f>TEST_DATA!C2207</f>
        <v/>
      </c>
      <c r="D2207">
        <f>TEST_DATA!D2207</f>
        <v/>
      </c>
      <c r="E2207">
        <f>TEST_DATA!E2207</f>
        <v/>
      </c>
      <c r="F2207">
        <f>MIN(E2207*220700,10000)</f>
        <v/>
      </c>
      <c r="G2207">
        <f>MINIFS(CBIC_Late_Fee_Relief_Windows_3B!$O$2207:$O$100,CBIC_Late_Fee_Relief_Windows_3B!$D$2207:$D$100,"&lt;="&amp;B2207,CBIC_Late_Fee_Relief_Windows_3B!$E$2207:$E$100,"&gt;="&amp;B2207,CBIC_Late_Fee_Relief_Windows_3B!$F$2207:$F$100,"&lt;="&amp;C2207,CBIC_Late_Fee_Relief_Windows_3B!$G$2207:$G$100,"&gt;="&amp;C2207)</f>
        <v/>
      </c>
      <c r="H2207">
        <f>INDEX(CBIC_Late_Fee_Relief_Windows_3B!$I$2207:$I$100,MATCH(G2207,CBIC_Late_Fee_Relief_Windows_3B!$O$2207:$O$100,0))</f>
        <v/>
      </c>
      <c r="I2207">
        <f>MIN(F2207,H2207)</f>
        <v/>
      </c>
    </row>
    <row r="2208">
      <c r="A2208">
        <f>TEST_DATA!A2208</f>
        <v/>
      </c>
      <c r="B2208">
        <f>TEST_DATA!B2208</f>
        <v/>
      </c>
      <c r="C2208">
        <f>TEST_DATA!C2208</f>
        <v/>
      </c>
      <c r="D2208">
        <f>TEST_DATA!D2208</f>
        <v/>
      </c>
      <c r="E2208">
        <f>TEST_DATA!E2208</f>
        <v/>
      </c>
      <c r="F2208">
        <f>MIN(E2208*220800,10000)</f>
        <v/>
      </c>
      <c r="G2208">
        <f>MINIFS(CBIC_Late_Fee_Relief_Windows_3B!$O$2208:$O$100,CBIC_Late_Fee_Relief_Windows_3B!$D$2208:$D$100,"&lt;="&amp;B2208,CBIC_Late_Fee_Relief_Windows_3B!$E$2208:$E$100,"&gt;="&amp;B2208,CBIC_Late_Fee_Relief_Windows_3B!$F$2208:$F$100,"&lt;="&amp;C2208,CBIC_Late_Fee_Relief_Windows_3B!$G$2208:$G$100,"&gt;="&amp;C2208)</f>
        <v/>
      </c>
      <c r="H2208">
        <f>INDEX(CBIC_Late_Fee_Relief_Windows_3B!$I$2208:$I$100,MATCH(G2208,CBIC_Late_Fee_Relief_Windows_3B!$O$2208:$O$100,0))</f>
        <v/>
      </c>
      <c r="I2208">
        <f>MIN(F2208,H2208)</f>
        <v/>
      </c>
    </row>
    <row r="2209">
      <c r="A2209">
        <f>TEST_DATA!A2209</f>
        <v/>
      </c>
      <c r="B2209">
        <f>TEST_DATA!B2209</f>
        <v/>
      </c>
      <c r="C2209">
        <f>TEST_DATA!C2209</f>
        <v/>
      </c>
      <c r="D2209">
        <f>TEST_DATA!D2209</f>
        <v/>
      </c>
      <c r="E2209">
        <f>TEST_DATA!E2209</f>
        <v/>
      </c>
      <c r="F2209">
        <f>MIN(E2209*220900,10000)</f>
        <v/>
      </c>
      <c r="G2209">
        <f>MINIFS(CBIC_Late_Fee_Relief_Windows_3B!$O$2209:$O$100,CBIC_Late_Fee_Relief_Windows_3B!$D$2209:$D$100,"&lt;="&amp;B2209,CBIC_Late_Fee_Relief_Windows_3B!$E$2209:$E$100,"&gt;="&amp;B2209,CBIC_Late_Fee_Relief_Windows_3B!$F$2209:$F$100,"&lt;="&amp;C2209,CBIC_Late_Fee_Relief_Windows_3B!$G$2209:$G$100,"&gt;="&amp;C2209)</f>
        <v/>
      </c>
      <c r="H2209">
        <f>INDEX(CBIC_Late_Fee_Relief_Windows_3B!$I$2209:$I$100,MATCH(G2209,CBIC_Late_Fee_Relief_Windows_3B!$O$2209:$O$100,0))</f>
        <v/>
      </c>
      <c r="I2209">
        <f>MIN(F2209,H2209)</f>
        <v/>
      </c>
    </row>
    <row r="2210">
      <c r="A2210">
        <f>TEST_DATA!A2210</f>
        <v/>
      </c>
      <c r="B2210">
        <f>TEST_DATA!B2210</f>
        <v/>
      </c>
      <c r="C2210">
        <f>TEST_DATA!C2210</f>
        <v/>
      </c>
      <c r="D2210">
        <f>TEST_DATA!D2210</f>
        <v/>
      </c>
      <c r="E2210">
        <f>TEST_DATA!E2210</f>
        <v/>
      </c>
      <c r="F2210">
        <f>MIN(E2210*221000,10000)</f>
        <v/>
      </c>
      <c r="G2210">
        <f>MINIFS(CBIC_Late_Fee_Relief_Windows_3B!$O$2210:$O$100,CBIC_Late_Fee_Relief_Windows_3B!$D$2210:$D$100,"&lt;="&amp;B2210,CBIC_Late_Fee_Relief_Windows_3B!$E$2210:$E$100,"&gt;="&amp;B2210,CBIC_Late_Fee_Relief_Windows_3B!$F$2210:$F$100,"&lt;="&amp;C2210,CBIC_Late_Fee_Relief_Windows_3B!$G$2210:$G$100,"&gt;="&amp;C2210)</f>
        <v/>
      </c>
      <c r="H2210">
        <f>INDEX(CBIC_Late_Fee_Relief_Windows_3B!$I$2210:$I$100,MATCH(G2210,CBIC_Late_Fee_Relief_Windows_3B!$O$2210:$O$100,0))</f>
        <v/>
      </c>
      <c r="I2210">
        <f>MIN(F2210,H2210)</f>
        <v/>
      </c>
    </row>
    <row r="2211">
      <c r="A2211">
        <f>TEST_DATA!A2211</f>
        <v/>
      </c>
      <c r="B2211">
        <f>TEST_DATA!B2211</f>
        <v/>
      </c>
      <c r="C2211">
        <f>TEST_DATA!C2211</f>
        <v/>
      </c>
      <c r="D2211">
        <f>TEST_DATA!D2211</f>
        <v/>
      </c>
      <c r="E2211">
        <f>TEST_DATA!E2211</f>
        <v/>
      </c>
      <c r="F2211">
        <f>MIN(E2211*221100,10000)</f>
        <v/>
      </c>
      <c r="G2211">
        <f>MINIFS(CBIC_Late_Fee_Relief_Windows_3B!$O$2211:$O$100,CBIC_Late_Fee_Relief_Windows_3B!$D$2211:$D$100,"&lt;="&amp;B2211,CBIC_Late_Fee_Relief_Windows_3B!$E$2211:$E$100,"&gt;="&amp;B2211,CBIC_Late_Fee_Relief_Windows_3B!$F$2211:$F$100,"&lt;="&amp;C2211,CBIC_Late_Fee_Relief_Windows_3B!$G$2211:$G$100,"&gt;="&amp;C2211)</f>
        <v/>
      </c>
      <c r="H2211">
        <f>INDEX(CBIC_Late_Fee_Relief_Windows_3B!$I$2211:$I$100,MATCH(G2211,CBIC_Late_Fee_Relief_Windows_3B!$O$2211:$O$100,0))</f>
        <v/>
      </c>
      <c r="I2211">
        <f>MIN(F2211,H2211)</f>
        <v/>
      </c>
    </row>
    <row r="2212">
      <c r="A2212">
        <f>TEST_DATA!A2212</f>
        <v/>
      </c>
      <c r="B2212">
        <f>TEST_DATA!B2212</f>
        <v/>
      </c>
      <c r="C2212">
        <f>TEST_DATA!C2212</f>
        <v/>
      </c>
      <c r="D2212">
        <f>TEST_DATA!D2212</f>
        <v/>
      </c>
      <c r="E2212">
        <f>TEST_DATA!E2212</f>
        <v/>
      </c>
      <c r="F2212">
        <f>MIN(E2212*221200,10000)</f>
        <v/>
      </c>
      <c r="G2212">
        <f>MINIFS(CBIC_Late_Fee_Relief_Windows_3B!$O$2212:$O$100,CBIC_Late_Fee_Relief_Windows_3B!$D$2212:$D$100,"&lt;="&amp;B2212,CBIC_Late_Fee_Relief_Windows_3B!$E$2212:$E$100,"&gt;="&amp;B2212,CBIC_Late_Fee_Relief_Windows_3B!$F$2212:$F$100,"&lt;="&amp;C2212,CBIC_Late_Fee_Relief_Windows_3B!$G$2212:$G$100,"&gt;="&amp;C2212)</f>
        <v/>
      </c>
      <c r="H2212">
        <f>INDEX(CBIC_Late_Fee_Relief_Windows_3B!$I$2212:$I$100,MATCH(G2212,CBIC_Late_Fee_Relief_Windows_3B!$O$2212:$O$100,0))</f>
        <v/>
      </c>
      <c r="I2212">
        <f>MIN(F2212,H2212)</f>
        <v/>
      </c>
    </row>
    <row r="2213">
      <c r="A2213">
        <f>TEST_DATA!A2213</f>
        <v/>
      </c>
      <c r="B2213">
        <f>TEST_DATA!B2213</f>
        <v/>
      </c>
      <c r="C2213">
        <f>TEST_DATA!C2213</f>
        <v/>
      </c>
      <c r="D2213">
        <f>TEST_DATA!D2213</f>
        <v/>
      </c>
      <c r="E2213">
        <f>TEST_DATA!E2213</f>
        <v/>
      </c>
      <c r="F2213">
        <f>MIN(E2213*221300,10000)</f>
        <v/>
      </c>
      <c r="G2213">
        <f>MINIFS(CBIC_Late_Fee_Relief_Windows_3B!$O$2213:$O$100,CBIC_Late_Fee_Relief_Windows_3B!$D$2213:$D$100,"&lt;="&amp;B2213,CBIC_Late_Fee_Relief_Windows_3B!$E$2213:$E$100,"&gt;="&amp;B2213,CBIC_Late_Fee_Relief_Windows_3B!$F$2213:$F$100,"&lt;="&amp;C2213,CBIC_Late_Fee_Relief_Windows_3B!$G$2213:$G$100,"&gt;="&amp;C2213)</f>
        <v/>
      </c>
      <c r="H2213">
        <f>INDEX(CBIC_Late_Fee_Relief_Windows_3B!$I$2213:$I$100,MATCH(G2213,CBIC_Late_Fee_Relief_Windows_3B!$O$2213:$O$100,0))</f>
        <v/>
      </c>
      <c r="I2213">
        <f>MIN(F2213,H2213)</f>
        <v/>
      </c>
    </row>
    <row r="2214">
      <c r="A2214">
        <f>TEST_DATA!A2214</f>
        <v/>
      </c>
      <c r="B2214">
        <f>TEST_DATA!B2214</f>
        <v/>
      </c>
      <c r="C2214">
        <f>TEST_DATA!C2214</f>
        <v/>
      </c>
      <c r="D2214">
        <f>TEST_DATA!D2214</f>
        <v/>
      </c>
      <c r="E2214">
        <f>TEST_DATA!E2214</f>
        <v/>
      </c>
      <c r="F2214">
        <f>MIN(E2214*221400,10000)</f>
        <v/>
      </c>
      <c r="G2214">
        <f>MINIFS(CBIC_Late_Fee_Relief_Windows_3B!$O$2214:$O$100,CBIC_Late_Fee_Relief_Windows_3B!$D$2214:$D$100,"&lt;="&amp;B2214,CBIC_Late_Fee_Relief_Windows_3B!$E$2214:$E$100,"&gt;="&amp;B2214,CBIC_Late_Fee_Relief_Windows_3B!$F$2214:$F$100,"&lt;="&amp;C2214,CBIC_Late_Fee_Relief_Windows_3B!$G$2214:$G$100,"&gt;="&amp;C2214)</f>
        <v/>
      </c>
      <c r="H2214">
        <f>INDEX(CBIC_Late_Fee_Relief_Windows_3B!$I$2214:$I$100,MATCH(G2214,CBIC_Late_Fee_Relief_Windows_3B!$O$2214:$O$100,0))</f>
        <v/>
      </c>
      <c r="I2214">
        <f>MIN(F2214,H2214)</f>
        <v/>
      </c>
    </row>
    <row r="2215">
      <c r="A2215">
        <f>TEST_DATA!A2215</f>
        <v/>
      </c>
      <c r="B2215">
        <f>TEST_DATA!B2215</f>
        <v/>
      </c>
      <c r="C2215">
        <f>TEST_DATA!C2215</f>
        <v/>
      </c>
      <c r="D2215">
        <f>TEST_DATA!D2215</f>
        <v/>
      </c>
      <c r="E2215">
        <f>TEST_DATA!E2215</f>
        <v/>
      </c>
      <c r="F2215">
        <f>MIN(E2215*221500,10000)</f>
        <v/>
      </c>
      <c r="G2215">
        <f>MINIFS(CBIC_Late_Fee_Relief_Windows_3B!$O$2215:$O$100,CBIC_Late_Fee_Relief_Windows_3B!$D$2215:$D$100,"&lt;="&amp;B2215,CBIC_Late_Fee_Relief_Windows_3B!$E$2215:$E$100,"&gt;="&amp;B2215,CBIC_Late_Fee_Relief_Windows_3B!$F$2215:$F$100,"&lt;="&amp;C2215,CBIC_Late_Fee_Relief_Windows_3B!$G$2215:$G$100,"&gt;="&amp;C2215)</f>
        <v/>
      </c>
      <c r="H2215">
        <f>INDEX(CBIC_Late_Fee_Relief_Windows_3B!$I$2215:$I$100,MATCH(G2215,CBIC_Late_Fee_Relief_Windows_3B!$O$2215:$O$100,0))</f>
        <v/>
      </c>
      <c r="I2215">
        <f>MIN(F2215,H2215)</f>
        <v/>
      </c>
    </row>
    <row r="2216">
      <c r="A2216">
        <f>TEST_DATA!A2216</f>
        <v/>
      </c>
      <c r="B2216">
        <f>TEST_DATA!B2216</f>
        <v/>
      </c>
      <c r="C2216">
        <f>TEST_DATA!C2216</f>
        <v/>
      </c>
      <c r="D2216">
        <f>TEST_DATA!D2216</f>
        <v/>
      </c>
      <c r="E2216">
        <f>TEST_DATA!E2216</f>
        <v/>
      </c>
      <c r="F2216">
        <f>MIN(E2216*221600,10000)</f>
        <v/>
      </c>
      <c r="G2216">
        <f>MINIFS(CBIC_Late_Fee_Relief_Windows_3B!$O$2216:$O$100,CBIC_Late_Fee_Relief_Windows_3B!$D$2216:$D$100,"&lt;="&amp;B2216,CBIC_Late_Fee_Relief_Windows_3B!$E$2216:$E$100,"&gt;="&amp;B2216,CBIC_Late_Fee_Relief_Windows_3B!$F$2216:$F$100,"&lt;="&amp;C2216,CBIC_Late_Fee_Relief_Windows_3B!$G$2216:$G$100,"&gt;="&amp;C2216)</f>
        <v/>
      </c>
      <c r="H2216">
        <f>INDEX(CBIC_Late_Fee_Relief_Windows_3B!$I$2216:$I$100,MATCH(G2216,CBIC_Late_Fee_Relief_Windows_3B!$O$2216:$O$100,0))</f>
        <v/>
      </c>
      <c r="I2216">
        <f>MIN(F2216,H2216)</f>
        <v/>
      </c>
    </row>
    <row r="2217">
      <c r="A2217">
        <f>TEST_DATA!A2217</f>
        <v/>
      </c>
      <c r="B2217">
        <f>TEST_DATA!B2217</f>
        <v/>
      </c>
      <c r="C2217">
        <f>TEST_DATA!C2217</f>
        <v/>
      </c>
      <c r="D2217">
        <f>TEST_DATA!D2217</f>
        <v/>
      </c>
      <c r="E2217">
        <f>TEST_DATA!E2217</f>
        <v/>
      </c>
      <c r="F2217">
        <f>MIN(E2217*221700,10000)</f>
        <v/>
      </c>
      <c r="G2217">
        <f>MINIFS(CBIC_Late_Fee_Relief_Windows_3B!$O$2217:$O$100,CBIC_Late_Fee_Relief_Windows_3B!$D$2217:$D$100,"&lt;="&amp;B2217,CBIC_Late_Fee_Relief_Windows_3B!$E$2217:$E$100,"&gt;="&amp;B2217,CBIC_Late_Fee_Relief_Windows_3B!$F$2217:$F$100,"&lt;="&amp;C2217,CBIC_Late_Fee_Relief_Windows_3B!$G$2217:$G$100,"&gt;="&amp;C2217)</f>
        <v/>
      </c>
      <c r="H2217">
        <f>INDEX(CBIC_Late_Fee_Relief_Windows_3B!$I$2217:$I$100,MATCH(G2217,CBIC_Late_Fee_Relief_Windows_3B!$O$2217:$O$100,0))</f>
        <v/>
      </c>
      <c r="I2217">
        <f>MIN(F2217,H2217)</f>
        <v/>
      </c>
    </row>
    <row r="2218">
      <c r="A2218">
        <f>TEST_DATA!A2218</f>
        <v/>
      </c>
      <c r="B2218">
        <f>TEST_DATA!B2218</f>
        <v/>
      </c>
      <c r="C2218">
        <f>TEST_DATA!C2218</f>
        <v/>
      </c>
      <c r="D2218">
        <f>TEST_DATA!D2218</f>
        <v/>
      </c>
      <c r="E2218">
        <f>TEST_DATA!E2218</f>
        <v/>
      </c>
      <c r="F2218">
        <f>MIN(E2218*221800,10000)</f>
        <v/>
      </c>
      <c r="G2218">
        <f>MINIFS(CBIC_Late_Fee_Relief_Windows_3B!$O$2218:$O$100,CBIC_Late_Fee_Relief_Windows_3B!$D$2218:$D$100,"&lt;="&amp;B2218,CBIC_Late_Fee_Relief_Windows_3B!$E$2218:$E$100,"&gt;="&amp;B2218,CBIC_Late_Fee_Relief_Windows_3B!$F$2218:$F$100,"&lt;="&amp;C2218,CBIC_Late_Fee_Relief_Windows_3B!$G$2218:$G$100,"&gt;="&amp;C2218)</f>
        <v/>
      </c>
      <c r="H2218">
        <f>INDEX(CBIC_Late_Fee_Relief_Windows_3B!$I$2218:$I$100,MATCH(G2218,CBIC_Late_Fee_Relief_Windows_3B!$O$2218:$O$100,0))</f>
        <v/>
      </c>
      <c r="I2218">
        <f>MIN(F2218,H2218)</f>
        <v/>
      </c>
    </row>
    <row r="2219">
      <c r="A2219">
        <f>TEST_DATA!A2219</f>
        <v/>
      </c>
      <c r="B2219">
        <f>TEST_DATA!B2219</f>
        <v/>
      </c>
      <c r="C2219">
        <f>TEST_DATA!C2219</f>
        <v/>
      </c>
      <c r="D2219">
        <f>TEST_DATA!D2219</f>
        <v/>
      </c>
      <c r="E2219">
        <f>TEST_DATA!E2219</f>
        <v/>
      </c>
      <c r="F2219">
        <f>MIN(E2219*221900,10000)</f>
        <v/>
      </c>
      <c r="G2219">
        <f>MINIFS(CBIC_Late_Fee_Relief_Windows_3B!$O$2219:$O$100,CBIC_Late_Fee_Relief_Windows_3B!$D$2219:$D$100,"&lt;="&amp;B2219,CBIC_Late_Fee_Relief_Windows_3B!$E$2219:$E$100,"&gt;="&amp;B2219,CBIC_Late_Fee_Relief_Windows_3B!$F$2219:$F$100,"&lt;="&amp;C2219,CBIC_Late_Fee_Relief_Windows_3B!$G$2219:$G$100,"&gt;="&amp;C2219)</f>
        <v/>
      </c>
      <c r="H2219">
        <f>INDEX(CBIC_Late_Fee_Relief_Windows_3B!$I$2219:$I$100,MATCH(G2219,CBIC_Late_Fee_Relief_Windows_3B!$O$2219:$O$100,0))</f>
        <v/>
      </c>
      <c r="I2219">
        <f>MIN(F2219,H2219)</f>
        <v/>
      </c>
    </row>
    <row r="2220">
      <c r="A2220">
        <f>TEST_DATA!A2220</f>
        <v/>
      </c>
      <c r="B2220">
        <f>TEST_DATA!B2220</f>
        <v/>
      </c>
      <c r="C2220">
        <f>TEST_DATA!C2220</f>
        <v/>
      </c>
      <c r="D2220">
        <f>TEST_DATA!D2220</f>
        <v/>
      </c>
      <c r="E2220">
        <f>TEST_DATA!E2220</f>
        <v/>
      </c>
      <c r="F2220">
        <f>MIN(E2220*222000,10000)</f>
        <v/>
      </c>
      <c r="G2220">
        <f>MINIFS(CBIC_Late_Fee_Relief_Windows_3B!$O$2220:$O$100,CBIC_Late_Fee_Relief_Windows_3B!$D$2220:$D$100,"&lt;="&amp;B2220,CBIC_Late_Fee_Relief_Windows_3B!$E$2220:$E$100,"&gt;="&amp;B2220,CBIC_Late_Fee_Relief_Windows_3B!$F$2220:$F$100,"&lt;="&amp;C2220,CBIC_Late_Fee_Relief_Windows_3B!$G$2220:$G$100,"&gt;="&amp;C2220)</f>
        <v/>
      </c>
      <c r="H2220">
        <f>INDEX(CBIC_Late_Fee_Relief_Windows_3B!$I$2220:$I$100,MATCH(G2220,CBIC_Late_Fee_Relief_Windows_3B!$O$2220:$O$100,0))</f>
        <v/>
      </c>
      <c r="I2220">
        <f>MIN(F2220,H2220)</f>
        <v/>
      </c>
    </row>
    <row r="2221">
      <c r="A2221">
        <f>TEST_DATA!A2221</f>
        <v/>
      </c>
      <c r="B2221">
        <f>TEST_DATA!B2221</f>
        <v/>
      </c>
      <c r="C2221">
        <f>TEST_DATA!C2221</f>
        <v/>
      </c>
      <c r="D2221">
        <f>TEST_DATA!D2221</f>
        <v/>
      </c>
      <c r="E2221">
        <f>TEST_DATA!E2221</f>
        <v/>
      </c>
      <c r="F2221">
        <f>MIN(E2221*222100,10000)</f>
        <v/>
      </c>
      <c r="G2221">
        <f>MINIFS(CBIC_Late_Fee_Relief_Windows_3B!$O$2221:$O$100,CBIC_Late_Fee_Relief_Windows_3B!$D$2221:$D$100,"&lt;="&amp;B2221,CBIC_Late_Fee_Relief_Windows_3B!$E$2221:$E$100,"&gt;="&amp;B2221,CBIC_Late_Fee_Relief_Windows_3B!$F$2221:$F$100,"&lt;="&amp;C2221,CBIC_Late_Fee_Relief_Windows_3B!$G$2221:$G$100,"&gt;="&amp;C2221)</f>
        <v/>
      </c>
      <c r="H2221">
        <f>INDEX(CBIC_Late_Fee_Relief_Windows_3B!$I$2221:$I$100,MATCH(G2221,CBIC_Late_Fee_Relief_Windows_3B!$O$2221:$O$100,0))</f>
        <v/>
      </c>
      <c r="I2221">
        <f>MIN(F2221,H2221)</f>
        <v/>
      </c>
    </row>
    <row r="2222">
      <c r="A2222">
        <f>TEST_DATA!A2222</f>
        <v/>
      </c>
      <c r="B2222">
        <f>TEST_DATA!B2222</f>
        <v/>
      </c>
      <c r="C2222">
        <f>TEST_DATA!C2222</f>
        <v/>
      </c>
      <c r="D2222">
        <f>TEST_DATA!D2222</f>
        <v/>
      </c>
      <c r="E2222">
        <f>TEST_DATA!E2222</f>
        <v/>
      </c>
      <c r="F2222">
        <f>MIN(E2222*222200,10000)</f>
        <v/>
      </c>
      <c r="G2222">
        <f>MINIFS(CBIC_Late_Fee_Relief_Windows_3B!$O$2222:$O$100,CBIC_Late_Fee_Relief_Windows_3B!$D$2222:$D$100,"&lt;="&amp;B2222,CBIC_Late_Fee_Relief_Windows_3B!$E$2222:$E$100,"&gt;="&amp;B2222,CBIC_Late_Fee_Relief_Windows_3B!$F$2222:$F$100,"&lt;="&amp;C2222,CBIC_Late_Fee_Relief_Windows_3B!$G$2222:$G$100,"&gt;="&amp;C2222)</f>
        <v/>
      </c>
      <c r="H2222">
        <f>INDEX(CBIC_Late_Fee_Relief_Windows_3B!$I$2222:$I$100,MATCH(G2222,CBIC_Late_Fee_Relief_Windows_3B!$O$2222:$O$100,0))</f>
        <v/>
      </c>
      <c r="I2222">
        <f>MIN(F2222,H2222)</f>
        <v/>
      </c>
    </row>
    <row r="2223">
      <c r="A2223">
        <f>TEST_DATA!A2223</f>
        <v/>
      </c>
      <c r="B2223">
        <f>TEST_DATA!B2223</f>
        <v/>
      </c>
      <c r="C2223">
        <f>TEST_DATA!C2223</f>
        <v/>
      </c>
      <c r="D2223">
        <f>TEST_DATA!D2223</f>
        <v/>
      </c>
      <c r="E2223">
        <f>TEST_DATA!E2223</f>
        <v/>
      </c>
      <c r="F2223">
        <f>MIN(E2223*222300,10000)</f>
        <v/>
      </c>
      <c r="G2223">
        <f>MINIFS(CBIC_Late_Fee_Relief_Windows_3B!$O$2223:$O$100,CBIC_Late_Fee_Relief_Windows_3B!$D$2223:$D$100,"&lt;="&amp;B2223,CBIC_Late_Fee_Relief_Windows_3B!$E$2223:$E$100,"&gt;="&amp;B2223,CBIC_Late_Fee_Relief_Windows_3B!$F$2223:$F$100,"&lt;="&amp;C2223,CBIC_Late_Fee_Relief_Windows_3B!$G$2223:$G$100,"&gt;="&amp;C2223)</f>
        <v/>
      </c>
      <c r="H2223">
        <f>INDEX(CBIC_Late_Fee_Relief_Windows_3B!$I$2223:$I$100,MATCH(G2223,CBIC_Late_Fee_Relief_Windows_3B!$O$2223:$O$100,0))</f>
        <v/>
      </c>
      <c r="I2223">
        <f>MIN(F2223,H2223)</f>
        <v/>
      </c>
    </row>
    <row r="2224">
      <c r="A2224">
        <f>TEST_DATA!A2224</f>
        <v/>
      </c>
      <c r="B2224">
        <f>TEST_DATA!B2224</f>
        <v/>
      </c>
      <c r="C2224">
        <f>TEST_DATA!C2224</f>
        <v/>
      </c>
      <c r="D2224">
        <f>TEST_DATA!D2224</f>
        <v/>
      </c>
      <c r="E2224">
        <f>TEST_DATA!E2224</f>
        <v/>
      </c>
      <c r="F2224">
        <f>MIN(E2224*222400,10000)</f>
        <v/>
      </c>
      <c r="G2224">
        <f>MINIFS(CBIC_Late_Fee_Relief_Windows_3B!$O$2224:$O$100,CBIC_Late_Fee_Relief_Windows_3B!$D$2224:$D$100,"&lt;="&amp;B2224,CBIC_Late_Fee_Relief_Windows_3B!$E$2224:$E$100,"&gt;="&amp;B2224,CBIC_Late_Fee_Relief_Windows_3B!$F$2224:$F$100,"&lt;="&amp;C2224,CBIC_Late_Fee_Relief_Windows_3B!$G$2224:$G$100,"&gt;="&amp;C2224)</f>
        <v/>
      </c>
      <c r="H2224">
        <f>INDEX(CBIC_Late_Fee_Relief_Windows_3B!$I$2224:$I$100,MATCH(G2224,CBIC_Late_Fee_Relief_Windows_3B!$O$2224:$O$100,0))</f>
        <v/>
      </c>
      <c r="I2224">
        <f>MIN(F2224,H2224)</f>
        <v/>
      </c>
    </row>
    <row r="2225">
      <c r="A2225">
        <f>TEST_DATA!A2225</f>
        <v/>
      </c>
      <c r="B2225">
        <f>TEST_DATA!B2225</f>
        <v/>
      </c>
      <c r="C2225">
        <f>TEST_DATA!C2225</f>
        <v/>
      </c>
      <c r="D2225">
        <f>TEST_DATA!D2225</f>
        <v/>
      </c>
      <c r="E2225">
        <f>TEST_DATA!E2225</f>
        <v/>
      </c>
      <c r="F2225">
        <f>MIN(E2225*222500,10000)</f>
        <v/>
      </c>
      <c r="G2225">
        <f>MINIFS(CBIC_Late_Fee_Relief_Windows_3B!$O$2225:$O$100,CBIC_Late_Fee_Relief_Windows_3B!$D$2225:$D$100,"&lt;="&amp;B2225,CBIC_Late_Fee_Relief_Windows_3B!$E$2225:$E$100,"&gt;="&amp;B2225,CBIC_Late_Fee_Relief_Windows_3B!$F$2225:$F$100,"&lt;="&amp;C2225,CBIC_Late_Fee_Relief_Windows_3B!$G$2225:$G$100,"&gt;="&amp;C2225)</f>
        <v/>
      </c>
      <c r="H2225">
        <f>INDEX(CBIC_Late_Fee_Relief_Windows_3B!$I$2225:$I$100,MATCH(G2225,CBIC_Late_Fee_Relief_Windows_3B!$O$2225:$O$100,0))</f>
        <v/>
      </c>
      <c r="I2225">
        <f>MIN(F2225,H2225)</f>
        <v/>
      </c>
    </row>
    <row r="2226">
      <c r="A2226">
        <f>TEST_DATA!A2226</f>
        <v/>
      </c>
      <c r="B2226">
        <f>TEST_DATA!B2226</f>
        <v/>
      </c>
      <c r="C2226">
        <f>TEST_DATA!C2226</f>
        <v/>
      </c>
      <c r="D2226">
        <f>TEST_DATA!D2226</f>
        <v/>
      </c>
      <c r="E2226">
        <f>TEST_DATA!E2226</f>
        <v/>
      </c>
      <c r="F2226">
        <f>MIN(E2226*222600,10000)</f>
        <v/>
      </c>
      <c r="G2226">
        <f>MINIFS(CBIC_Late_Fee_Relief_Windows_3B!$O$2226:$O$100,CBIC_Late_Fee_Relief_Windows_3B!$D$2226:$D$100,"&lt;="&amp;B2226,CBIC_Late_Fee_Relief_Windows_3B!$E$2226:$E$100,"&gt;="&amp;B2226,CBIC_Late_Fee_Relief_Windows_3B!$F$2226:$F$100,"&lt;="&amp;C2226,CBIC_Late_Fee_Relief_Windows_3B!$G$2226:$G$100,"&gt;="&amp;C2226)</f>
        <v/>
      </c>
      <c r="H2226">
        <f>INDEX(CBIC_Late_Fee_Relief_Windows_3B!$I$2226:$I$100,MATCH(G2226,CBIC_Late_Fee_Relief_Windows_3B!$O$2226:$O$100,0))</f>
        <v/>
      </c>
      <c r="I2226">
        <f>MIN(F2226,H2226)</f>
        <v/>
      </c>
    </row>
    <row r="2227">
      <c r="A2227">
        <f>TEST_DATA!A2227</f>
        <v/>
      </c>
      <c r="B2227">
        <f>TEST_DATA!B2227</f>
        <v/>
      </c>
      <c r="C2227">
        <f>TEST_DATA!C2227</f>
        <v/>
      </c>
      <c r="D2227">
        <f>TEST_DATA!D2227</f>
        <v/>
      </c>
      <c r="E2227">
        <f>TEST_DATA!E2227</f>
        <v/>
      </c>
      <c r="F2227">
        <f>MIN(E2227*222700,10000)</f>
        <v/>
      </c>
      <c r="G2227">
        <f>MINIFS(CBIC_Late_Fee_Relief_Windows_3B!$O$2227:$O$100,CBIC_Late_Fee_Relief_Windows_3B!$D$2227:$D$100,"&lt;="&amp;B2227,CBIC_Late_Fee_Relief_Windows_3B!$E$2227:$E$100,"&gt;="&amp;B2227,CBIC_Late_Fee_Relief_Windows_3B!$F$2227:$F$100,"&lt;="&amp;C2227,CBIC_Late_Fee_Relief_Windows_3B!$G$2227:$G$100,"&gt;="&amp;C2227)</f>
        <v/>
      </c>
      <c r="H2227">
        <f>INDEX(CBIC_Late_Fee_Relief_Windows_3B!$I$2227:$I$100,MATCH(G2227,CBIC_Late_Fee_Relief_Windows_3B!$O$2227:$O$100,0))</f>
        <v/>
      </c>
      <c r="I2227">
        <f>MIN(F2227,H2227)</f>
        <v/>
      </c>
    </row>
    <row r="2228">
      <c r="A2228">
        <f>TEST_DATA!A2228</f>
        <v/>
      </c>
      <c r="B2228">
        <f>TEST_DATA!B2228</f>
        <v/>
      </c>
      <c r="C2228">
        <f>TEST_DATA!C2228</f>
        <v/>
      </c>
      <c r="D2228">
        <f>TEST_DATA!D2228</f>
        <v/>
      </c>
      <c r="E2228">
        <f>TEST_DATA!E2228</f>
        <v/>
      </c>
      <c r="F2228">
        <f>MIN(E2228*222800,10000)</f>
        <v/>
      </c>
      <c r="G2228">
        <f>MINIFS(CBIC_Late_Fee_Relief_Windows_3B!$O$2228:$O$100,CBIC_Late_Fee_Relief_Windows_3B!$D$2228:$D$100,"&lt;="&amp;B2228,CBIC_Late_Fee_Relief_Windows_3B!$E$2228:$E$100,"&gt;="&amp;B2228,CBIC_Late_Fee_Relief_Windows_3B!$F$2228:$F$100,"&lt;="&amp;C2228,CBIC_Late_Fee_Relief_Windows_3B!$G$2228:$G$100,"&gt;="&amp;C2228)</f>
        <v/>
      </c>
      <c r="H2228">
        <f>INDEX(CBIC_Late_Fee_Relief_Windows_3B!$I$2228:$I$100,MATCH(G2228,CBIC_Late_Fee_Relief_Windows_3B!$O$2228:$O$100,0))</f>
        <v/>
      </c>
      <c r="I2228">
        <f>MIN(F2228,H2228)</f>
        <v/>
      </c>
    </row>
    <row r="2229">
      <c r="A2229">
        <f>TEST_DATA!A2229</f>
        <v/>
      </c>
      <c r="B2229">
        <f>TEST_DATA!B2229</f>
        <v/>
      </c>
      <c r="C2229">
        <f>TEST_DATA!C2229</f>
        <v/>
      </c>
      <c r="D2229">
        <f>TEST_DATA!D2229</f>
        <v/>
      </c>
      <c r="E2229">
        <f>TEST_DATA!E2229</f>
        <v/>
      </c>
      <c r="F2229">
        <f>MIN(E2229*222900,10000)</f>
        <v/>
      </c>
      <c r="G2229">
        <f>MINIFS(CBIC_Late_Fee_Relief_Windows_3B!$O$2229:$O$100,CBIC_Late_Fee_Relief_Windows_3B!$D$2229:$D$100,"&lt;="&amp;B2229,CBIC_Late_Fee_Relief_Windows_3B!$E$2229:$E$100,"&gt;="&amp;B2229,CBIC_Late_Fee_Relief_Windows_3B!$F$2229:$F$100,"&lt;="&amp;C2229,CBIC_Late_Fee_Relief_Windows_3B!$G$2229:$G$100,"&gt;="&amp;C2229)</f>
        <v/>
      </c>
      <c r="H2229">
        <f>INDEX(CBIC_Late_Fee_Relief_Windows_3B!$I$2229:$I$100,MATCH(G2229,CBIC_Late_Fee_Relief_Windows_3B!$O$2229:$O$100,0))</f>
        <v/>
      </c>
      <c r="I2229">
        <f>MIN(F2229,H2229)</f>
        <v/>
      </c>
    </row>
    <row r="2230">
      <c r="A2230">
        <f>TEST_DATA!A2230</f>
        <v/>
      </c>
      <c r="B2230">
        <f>TEST_DATA!B2230</f>
        <v/>
      </c>
      <c r="C2230">
        <f>TEST_DATA!C2230</f>
        <v/>
      </c>
      <c r="D2230">
        <f>TEST_DATA!D2230</f>
        <v/>
      </c>
      <c r="E2230">
        <f>TEST_DATA!E2230</f>
        <v/>
      </c>
      <c r="F2230">
        <f>MIN(E2230*223000,10000)</f>
        <v/>
      </c>
      <c r="G2230">
        <f>MINIFS(CBIC_Late_Fee_Relief_Windows_3B!$O$2230:$O$100,CBIC_Late_Fee_Relief_Windows_3B!$D$2230:$D$100,"&lt;="&amp;B2230,CBIC_Late_Fee_Relief_Windows_3B!$E$2230:$E$100,"&gt;="&amp;B2230,CBIC_Late_Fee_Relief_Windows_3B!$F$2230:$F$100,"&lt;="&amp;C2230,CBIC_Late_Fee_Relief_Windows_3B!$G$2230:$G$100,"&gt;="&amp;C2230)</f>
        <v/>
      </c>
      <c r="H2230">
        <f>INDEX(CBIC_Late_Fee_Relief_Windows_3B!$I$2230:$I$100,MATCH(G2230,CBIC_Late_Fee_Relief_Windows_3B!$O$2230:$O$100,0))</f>
        <v/>
      </c>
      <c r="I2230">
        <f>MIN(F2230,H2230)</f>
        <v/>
      </c>
    </row>
    <row r="2231">
      <c r="A2231">
        <f>TEST_DATA!A2231</f>
        <v/>
      </c>
      <c r="B2231">
        <f>TEST_DATA!B2231</f>
        <v/>
      </c>
      <c r="C2231">
        <f>TEST_DATA!C2231</f>
        <v/>
      </c>
      <c r="D2231">
        <f>TEST_DATA!D2231</f>
        <v/>
      </c>
      <c r="E2231">
        <f>TEST_DATA!E2231</f>
        <v/>
      </c>
      <c r="F2231">
        <f>MIN(E2231*223100,10000)</f>
        <v/>
      </c>
      <c r="G2231">
        <f>MINIFS(CBIC_Late_Fee_Relief_Windows_3B!$O$2231:$O$100,CBIC_Late_Fee_Relief_Windows_3B!$D$2231:$D$100,"&lt;="&amp;B2231,CBIC_Late_Fee_Relief_Windows_3B!$E$2231:$E$100,"&gt;="&amp;B2231,CBIC_Late_Fee_Relief_Windows_3B!$F$2231:$F$100,"&lt;="&amp;C2231,CBIC_Late_Fee_Relief_Windows_3B!$G$2231:$G$100,"&gt;="&amp;C2231)</f>
        <v/>
      </c>
      <c r="H2231">
        <f>INDEX(CBIC_Late_Fee_Relief_Windows_3B!$I$2231:$I$100,MATCH(G2231,CBIC_Late_Fee_Relief_Windows_3B!$O$2231:$O$100,0))</f>
        <v/>
      </c>
      <c r="I2231">
        <f>MIN(F2231,H2231)</f>
        <v/>
      </c>
    </row>
    <row r="2232">
      <c r="A2232">
        <f>TEST_DATA!A2232</f>
        <v/>
      </c>
      <c r="B2232">
        <f>TEST_DATA!B2232</f>
        <v/>
      </c>
      <c r="C2232">
        <f>TEST_DATA!C2232</f>
        <v/>
      </c>
      <c r="D2232">
        <f>TEST_DATA!D2232</f>
        <v/>
      </c>
      <c r="E2232">
        <f>TEST_DATA!E2232</f>
        <v/>
      </c>
      <c r="F2232">
        <f>MIN(E2232*223200,10000)</f>
        <v/>
      </c>
      <c r="G2232">
        <f>MINIFS(CBIC_Late_Fee_Relief_Windows_3B!$O$2232:$O$100,CBIC_Late_Fee_Relief_Windows_3B!$D$2232:$D$100,"&lt;="&amp;B2232,CBIC_Late_Fee_Relief_Windows_3B!$E$2232:$E$100,"&gt;="&amp;B2232,CBIC_Late_Fee_Relief_Windows_3B!$F$2232:$F$100,"&lt;="&amp;C2232,CBIC_Late_Fee_Relief_Windows_3B!$G$2232:$G$100,"&gt;="&amp;C2232)</f>
        <v/>
      </c>
      <c r="H2232">
        <f>INDEX(CBIC_Late_Fee_Relief_Windows_3B!$I$2232:$I$100,MATCH(G2232,CBIC_Late_Fee_Relief_Windows_3B!$O$2232:$O$100,0))</f>
        <v/>
      </c>
      <c r="I2232">
        <f>MIN(F2232,H2232)</f>
        <v/>
      </c>
    </row>
    <row r="2233">
      <c r="A2233">
        <f>TEST_DATA!A2233</f>
        <v/>
      </c>
      <c r="B2233">
        <f>TEST_DATA!B2233</f>
        <v/>
      </c>
      <c r="C2233">
        <f>TEST_DATA!C2233</f>
        <v/>
      </c>
      <c r="D2233">
        <f>TEST_DATA!D2233</f>
        <v/>
      </c>
      <c r="E2233">
        <f>TEST_DATA!E2233</f>
        <v/>
      </c>
      <c r="F2233">
        <f>MIN(E2233*223300,10000)</f>
        <v/>
      </c>
      <c r="G2233">
        <f>MINIFS(CBIC_Late_Fee_Relief_Windows_3B!$O$2233:$O$100,CBIC_Late_Fee_Relief_Windows_3B!$D$2233:$D$100,"&lt;="&amp;B2233,CBIC_Late_Fee_Relief_Windows_3B!$E$2233:$E$100,"&gt;="&amp;B2233,CBIC_Late_Fee_Relief_Windows_3B!$F$2233:$F$100,"&lt;="&amp;C2233,CBIC_Late_Fee_Relief_Windows_3B!$G$2233:$G$100,"&gt;="&amp;C2233)</f>
        <v/>
      </c>
      <c r="H2233">
        <f>INDEX(CBIC_Late_Fee_Relief_Windows_3B!$I$2233:$I$100,MATCH(G2233,CBIC_Late_Fee_Relief_Windows_3B!$O$2233:$O$100,0))</f>
        <v/>
      </c>
      <c r="I2233">
        <f>MIN(F2233,H2233)</f>
        <v/>
      </c>
    </row>
    <row r="2234">
      <c r="A2234">
        <f>TEST_DATA!A2234</f>
        <v/>
      </c>
      <c r="B2234">
        <f>TEST_DATA!B2234</f>
        <v/>
      </c>
      <c r="C2234">
        <f>TEST_DATA!C2234</f>
        <v/>
      </c>
      <c r="D2234">
        <f>TEST_DATA!D2234</f>
        <v/>
      </c>
      <c r="E2234">
        <f>TEST_DATA!E2234</f>
        <v/>
      </c>
      <c r="F2234">
        <f>MIN(E2234*223400,10000)</f>
        <v/>
      </c>
      <c r="G2234">
        <f>MINIFS(CBIC_Late_Fee_Relief_Windows_3B!$O$2234:$O$100,CBIC_Late_Fee_Relief_Windows_3B!$D$2234:$D$100,"&lt;="&amp;B2234,CBIC_Late_Fee_Relief_Windows_3B!$E$2234:$E$100,"&gt;="&amp;B2234,CBIC_Late_Fee_Relief_Windows_3B!$F$2234:$F$100,"&lt;="&amp;C2234,CBIC_Late_Fee_Relief_Windows_3B!$G$2234:$G$100,"&gt;="&amp;C2234)</f>
        <v/>
      </c>
      <c r="H2234">
        <f>INDEX(CBIC_Late_Fee_Relief_Windows_3B!$I$2234:$I$100,MATCH(G2234,CBIC_Late_Fee_Relief_Windows_3B!$O$2234:$O$100,0))</f>
        <v/>
      </c>
      <c r="I2234">
        <f>MIN(F2234,H2234)</f>
        <v/>
      </c>
    </row>
    <row r="2235">
      <c r="A2235">
        <f>TEST_DATA!A2235</f>
        <v/>
      </c>
      <c r="B2235">
        <f>TEST_DATA!B2235</f>
        <v/>
      </c>
      <c r="C2235">
        <f>TEST_DATA!C2235</f>
        <v/>
      </c>
      <c r="D2235">
        <f>TEST_DATA!D2235</f>
        <v/>
      </c>
      <c r="E2235">
        <f>TEST_DATA!E2235</f>
        <v/>
      </c>
      <c r="F2235">
        <f>MIN(E2235*223500,10000)</f>
        <v/>
      </c>
      <c r="G2235">
        <f>MINIFS(CBIC_Late_Fee_Relief_Windows_3B!$O$2235:$O$100,CBIC_Late_Fee_Relief_Windows_3B!$D$2235:$D$100,"&lt;="&amp;B2235,CBIC_Late_Fee_Relief_Windows_3B!$E$2235:$E$100,"&gt;="&amp;B2235,CBIC_Late_Fee_Relief_Windows_3B!$F$2235:$F$100,"&lt;="&amp;C2235,CBIC_Late_Fee_Relief_Windows_3B!$G$2235:$G$100,"&gt;="&amp;C2235)</f>
        <v/>
      </c>
      <c r="H2235">
        <f>INDEX(CBIC_Late_Fee_Relief_Windows_3B!$I$2235:$I$100,MATCH(G2235,CBIC_Late_Fee_Relief_Windows_3B!$O$2235:$O$100,0))</f>
        <v/>
      </c>
      <c r="I2235">
        <f>MIN(F2235,H2235)</f>
        <v/>
      </c>
    </row>
    <row r="2236">
      <c r="A2236">
        <f>TEST_DATA!A2236</f>
        <v/>
      </c>
      <c r="B2236">
        <f>TEST_DATA!B2236</f>
        <v/>
      </c>
      <c r="C2236">
        <f>TEST_DATA!C2236</f>
        <v/>
      </c>
      <c r="D2236">
        <f>TEST_DATA!D2236</f>
        <v/>
      </c>
      <c r="E2236">
        <f>TEST_DATA!E2236</f>
        <v/>
      </c>
      <c r="F2236">
        <f>MIN(E2236*223600,10000)</f>
        <v/>
      </c>
      <c r="G2236">
        <f>MINIFS(CBIC_Late_Fee_Relief_Windows_3B!$O$2236:$O$100,CBIC_Late_Fee_Relief_Windows_3B!$D$2236:$D$100,"&lt;="&amp;B2236,CBIC_Late_Fee_Relief_Windows_3B!$E$2236:$E$100,"&gt;="&amp;B2236,CBIC_Late_Fee_Relief_Windows_3B!$F$2236:$F$100,"&lt;="&amp;C2236,CBIC_Late_Fee_Relief_Windows_3B!$G$2236:$G$100,"&gt;="&amp;C2236)</f>
        <v/>
      </c>
      <c r="H2236">
        <f>INDEX(CBIC_Late_Fee_Relief_Windows_3B!$I$2236:$I$100,MATCH(G2236,CBIC_Late_Fee_Relief_Windows_3B!$O$2236:$O$100,0))</f>
        <v/>
      </c>
      <c r="I2236">
        <f>MIN(F2236,H2236)</f>
        <v/>
      </c>
    </row>
    <row r="2237">
      <c r="A2237">
        <f>TEST_DATA!A2237</f>
        <v/>
      </c>
      <c r="B2237">
        <f>TEST_DATA!B2237</f>
        <v/>
      </c>
      <c r="C2237">
        <f>TEST_DATA!C2237</f>
        <v/>
      </c>
      <c r="D2237">
        <f>TEST_DATA!D2237</f>
        <v/>
      </c>
      <c r="E2237">
        <f>TEST_DATA!E2237</f>
        <v/>
      </c>
      <c r="F2237">
        <f>MIN(E2237*223700,10000)</f>
        <v/>
      </c>
      <c r="G2237">
        <f>MINIFS(CBIC_Late_Fee_Relief_Windows_3B!$O$2237:$O$100,CBIC_Late_Fee_Relief_Windows_3B!$D$2237:$D$100,"&lt;="&amp;B2237,CBIC_Late_Fee_Relief_Windows_3B!$E$2237:$E$100,"&gt;="&amp;B2237,CBIC_Late_Fee_Relief_Windows_3B!$F$2237:$F$100,"&lt;="&amp;C2237,CBIC_Late_Fee_Relief_Windows_3B!$G$2237:$G$100,"&gt;="&amp;C2237)</f>
        <v/>
      </c>
      <c r="H2237">
        <f>INDEX(CBIC_Late_Fee_Relief_Windows_3B!$I$2237:$I$100,MATCH(G2237,CBIC_Late_Fee_Relief_Windows_3B!$O$2237:$O$100,0))</f>
        <v/>
      </c>
      <c r="I2237">
        <f>MIN(F2237,H2237)</f>
        <v/>
      </c>
    </row>
    <row r="2238">
      <c r="A2238">
        <f>TEST_DATA!A2238</f>
        <v/>
      </c>
      <c r="B2238">
        <f>TEST_DATA!B2238</f>
        <v/>
      </c>
      <c r="C2238">
        <f>TEST_DATA!C2238</f>
        <v/>
      </c>
      <c r="D2238">
        <f>TEST_DATA!D2238</f>
        <v/>
      </c>
      <c r="E2238">
        <f>TEST_DATA!E2238</f>
        <v/>
      </c>
      <c r="F2238">
        <f>MIN(E2238*223800,10000)</f>
        <v/>
      </c>
      <c r="G2238">
        <f>MINIFS(CBIC_Late_Fee_Relief_Windows_3B!$O$2238:$O$100,CBIC_Late_Fee_Relief_Windows_3B!$D$2238:$D$100,"&lt;="&amp;B2238,CBIC_Late_Fee_Relief_Windows_3B!$E$2238:$E$100,"&gt;="&amp;B2238,CBIC_Late_Fee_Relief_Windows_3B!$F$2238:$F$100,"&lt;="&amp;C2238,CBIC_Late_Fee_Relief_Windows_3B!$G$2238:$G$100,"&gt;="&amp;C2238)</f>
        <v/>
      </c>
      <c r="H2238">
        <f>INDEX(CBIC_Late_Fee_Relief_Windows_3B!$I$2238:$I$100,MATCH(G2238,CBIC_Late_Fee_Relief_Windows_3B!$O$2238:$O$100,0))</f>
        <v/>
      </c>
      <c r="I2238">
        <f>MIN(F2238,H2238)</f>
        <v/>
      </c>
    </row>
    <row r="2239">
      <c r="A2239">
        <f>TEST_DATA!A2239</f>
        <v/>
      </c>
      <c r="B2239">
        <f>TEST_DATA!B2239</f>
        <v/>
      </c>
      <c r="C2239">
        <f>TEST_DATA!C2239</f>
        <v/>
      </c>
      <c r="D2239">
        <f>TEST_DATA!D2239</f>
        <v/>
      </c>
      <c r="E2239">
        <f>TEST_DATA!E2239</f>
        <v/>
      </c>
      <c r="F2239">
        <f>MIN(E2239*223900,10000)</f>
        <v/>
      </c>
      <c r="G2239">
        <f>MINIFS(CBIC_Late_Fee_Relief_Windows_3B!$O$2239:$O$100,CBIC_Late_Fee_Relief_Windows_3B!$D$2239:$D$100,"&lt;="&amp;B2239,CBIC_Late_Fee_Relief_Windows_3B!$E$2239:$E$100,"&gt;="&amp;B2239,CBIC_Late_Fee_Relief_Windows_3B!$F$2239:$F$100,"&lt;="&amp;C2239,CBIC_Late_Fee_Relief_Windows_3B!$G$2239:$G$100,"&gt;="&amp;C2239)</f>
        <v/>
      </c>
      <c r="H2239">
        <f>INDEX(CBIC_Late_Fee_Relief_Windows_3B!$I$2239:$I$100,MATCH(G2239,CBIC_Late_Fee_Relief_Windows_3B!$O$2239:$O$100,0))</f>
        <v/>
      </c>
      <c r="I2239">
        <f>MIN(F2239,H2239)</f>
        <v/>
      </c>
    </row>
    <row r="2240">
      <c r="A2240">
        <f>TEST_DATA!A2240</f>
        <v/>
      </c>
      <c r="B2240">
        <f>TEST_DATA!B2240</f>
        <v/>
      </c>
      <c r="C2240">
        <f>TEST_DATA!C2240</f>
        <v/>
      </c>
      <c r="D2240">
        <f>TEST_DATA!D2240</f>
        <v/>
      </c>
      <c r="E2240">
        <f>TEST_DATA!E2240</f>
        <v/>
      </c>
      <c r="F2240">
        <f>MIN(E2240*224000,10000)</f>
        <v/>
      </c>
      <c r="G2240">
        <f>MINIFS(CBIC_Late_Fee_Relief_Windows_3B!$O$2240:$O$100,CBIC_Late_Fee_Relief_Windows_3B!$D$2240:$D$100,"&lt;="&amp;B2240,CBIC_Late_Fee_Relief_Windows_3B!$E$2240:$E$100,"&gt;="&amp;B2240,CBIC_Late_Fee_Relief_Windows_3B!$F$2240:$F$100,"&lt;="&amp;C2240,CBIC_Late_Fee_Relief_Windows_3B!$G$2240:$G$100,"&gt;="&amp;C2240)</f>
        <v/>
      </c>
      <c r="H2240">
        <f>INDEX(CBIC_Late_Fee_Relief_Windows_3B!$I$2240:$I$100,MATCH(G2240,CBIC_Late_Fee_Relief_Windows_3B!$O$2240:$O$100,0))</f>
        <v/>
      </c>
      <c r="I2240">
        <f>MIN(F2240,H2240)</f>
        <v/>
      </c>
    </row>
    <row r="2241">
      <c r="A2241">
        <f>TEST_DATA!A2241</f>
        <v/>
      </c>
      <c r="B2241">
        <f>TEST_DATA!B2241</f>
        <v/>
      </c>
      <c r="C2241">
        <f>TEST_DATA!C2241</f>
        <v/>
      </c>
      <c r="D2241">
        <f>TEST_DATA!D2241</f>
        <v/>
      </c>
      <c r="E2241">
        <f>TEST_DATA!E2241</f>
        <v/>
      </c>
      <c r="F2241">
        <f>MIN(E2241*224100,10000)</f>
        <v/>
      </c>
      <c r="G2241">
        <f>MINIFS(CBIC_Late_Fee_Relief_Windows_3B!$O$2241:$O$100,CBIC_Late_Fee_Relief_Windows_3B!$D$2241:$D$100,"&lt;="&amp;B2241,CBIC_Late_Fee_Relief_Windows_3B!$E$2241:$E$100,"&gt;="&amp;B2241,CBIC_Late_Fee_Relief_Windows_3B!$F$2241:$F$100,"&lt;="&amp;C2241,CBIC_Late_Fee_Relief_Windows_3B!$G$2241:$G$100,"&gt;="&amp;C2241)</f>
        <v/>
      </c>
      <c r="H2241">
        <f>INDEX(CBIC_Late_Fee_Relief_Windows_3B!$I$2241:$I$100,MATCH(G2241,CBIC_Late_Fee_Relief_Windows_3B!$O$2241:$O$100,0))</f>
        <v/>
      </c>
      <c r="I2241">
        <f>MIN(F2241,H2241)</f>
        <v/>
      </c>
    </row>
    <row r="2242">
      <c r="A2242">
        <f>TEST_DATA!A2242</f>
        <v/>
      </c>
      <c r="B2242">
        <f>TEST_DATA!B2242</f>
        <v/>
      </c>
      <c r="C2242">
        <f>TEST_DATA!C2242</f>
        <v/>
      </c>
      <c r="D2242">
        <f>TEST_DATA!D2242</f>
        <v/>
      </c>
      <c r="E2242">
        <f>TEST_DATA!E2242</f>
        <v/>
      </c>
      <c r="F2242">
        <f>MIN(E2242*224200,10000)</f>
        <v/>
      </c>
      <c r="G2242">
        <f>MINIFS(CBIC_Late_Fee_Relief_Windows_3B!$O$2242:$O$100,CBIC_Late_Fee_Relief_Windows_3B!$D$2242:$D$100,"&lt;="&amp;B2242,CBIC_Late_Fee_Relief_Windows_3B!$E$2242:$E$100,"&gt;="&amp;B2242,CBIC_Late_Fee_Relief_Windows_3B!$F$2242:$F$100,"&lt;="&amp;C2242,CBIC_Late_Fee_Relief_Windows_3B!$G$2242:$G$100,"&gt;="&amp;C2242)</f>
        <v/>
      </c>
      <c r="H2242">
        <f>INDEX(CBIC_Late_Fee_Relief_Windows_3B!$I$2242:$I$100,MATCH(G2242,CBIC_Late_Fee_Relief_Windows_3B!$O$2242:$O$100,0))</f>
        <v/>
      </c>
      <c r="I2242">
        <f>MIN(F2242,H2242)</f>
        <v/>
      </c>
    </row>
    <row r="2243">
      <c r="A2243">
        <f>TEST_DATA!A2243</f>
        <v/>
      </c>
      <c r="B2243">
        <f>TEST_DATA!B2243</f>
        <v/>
      </c>
      <c r="C2243">
        <f>TEST_DATA!C2243</f>
        <v/>
      </c>
      <c r="D2243">
        <f>TEST_DATA!D2243</f>
        <v/>
      </c>
      <c r="E2243">
        <f>TEST_DATA!E2243</f>
        <v/>
      </c>
      <c r="F2243">
        <f>MIN(E2243*224300,10000)</f>
        <v/>
      </c>
      <c r="G2243">
        <f>MINIFS(CBIC_Late_Fee_Relief_Windows_3B!$O$2243:$O$100,CBIC_Late_Fee_Relief_Windows_3B!$D$2243:$D$100,"&lt;="&amp;B2243,CBIC_Late_Fee_Relief_Windows_3B!$E$2243:$E$100,"&gt;="&amp;B2243,CBIC_Late_Fee_Relief_Windows_3B!$F$2243:$F$100,"&lt;="&amp;C2243,CBIC_Late_Fee_Relief_Windows_3B!$G$2243:$G$100,"&gt;="&amp;C2243)</f>
        <v/>
      </c>
      <c r="H2243">
        <f>INDEX(CBIC_Late_Fee_Relief_Windows_3B!$I$2243:$I$100,MATCH(G2243,CBIC_Late_Fee_Relief_Windows_3B!$O$2243:$O$100,0))</f>
        <v/>
      </c>
      <c r="I2243">
        <f>MIN(F2243,H2243)</f>
        <v/>
      </c>
    </row>
    <row r="2244">
      <c r="A2244">
        <f>TEST_DATA!A2244</f>
        <v/>
      </c>
      <c r="B2244">
        <f>TEST_DATA!B2244</f>
        <v/>
      </c>
      <c r="C2244">
        <f>TEST_DATA!C2244</f>
        <v/>
      </c>
      <c r="D2244">
        <f>TEST_DATA!D2244</f>
        <v/>
      </c>
      <c r="E2244">
        <f>TEST_DATA!E2244</f>
        <v/>
      </c>
      <c r="F2244">
        <f>MIN(E2244*224400,10000)</f>
        <v/>
      </c>
      <c r="G2244">
        <f>MINIFS(CBIC_Late_Fee_Relief_Windows_3B!$O$2244:$O$100,CBIC_Late_Fee_Relief_Windows_3B!$D$2244:$D$100,"&lt;="&amp;B2244,CBIC_Late_Fee_Relief_Windows_3B!$E$2244:$E$100,"&gt;="&amp;B2244,CBIC_Late_Fee_Relief_Windows_3B!$F$2244:$F$100,"&lt;="&amp;C2244,CBIC_Late_Fee_Relief_Windows_3B!$G$2244:$G$100,"&gt;="&amp;C2244)</f>
        <v/>
      </c>
      <c r="H2244">
        <f>INDEX(CBIC_Late_Fee_Relief_Windows_3B!$I$2244:$I$100,MATCH(G2244,CBIC_Late_Fee_Relief_Windows_3B!$O$2244:$O$100,0))</f>
        <v/>
      </c>
      <c r="I2244">
        <f>MIN(F2244,H2244)</f>
        <v/>
      </c>
    </row>
    <row r="2245">
      <c r="A2245">
        <f>TEST_DATA!A2245</f>
        <v/>
      </c>
      <c r="B2245">
        <f>TEST_DATA!B2245</f>
        <v/>
      </c>
      <c r="C2245">
        <f>TEST_DATA!C2245</f>
        <v/>
      </c>
      <c r="D2245">
        <f>TEST_DATA!D2245</f>
        <v/>
      </c>
      <c r="E2245">
        <f>TEST_DATA!E2245</f>
        <v/>
      </c>
      <c r="F2245">
        <f>MIN(E2245*224500,10000)</f>
        <v/>
      </c>
      <c r="G2245">
        <f>MINIFS(CBIC_Late_Fee_Relief_Windows_3B!$O$2245:$O$100,CBIC_Late_Fee_Relief_Windows_3B!$D$2245:$D$100,"&lt;="&amp;B2245,CBIC_Late_Fee_Relief_Windows_3B!$E$2245:$E$100,"&gt;="&amp;B2245,CBIC_Late_Fee_Relief_Windows_3B!$F$2245:$F$100,"&lt;="&amp;C2245,CBIC_Late_Fee_Relief_Windows_3B!$G$2245:$G$100,"&gt;="&amp;C2245)</f>
        <v/>
      </c>
      <c r="H2245">
        <f>INDEX(CBIC_Late_Fee_Relief_Windows_3B!$I$2245:$I$100,MATCH(G2245,CBIC_Late_Fee_Relief_Windows_3B!$O$2245:$O$100,0))</f>
        <v/>
      </c>
      <c r="I2245">
        <f>MIN(F2245,H2245)</f>
        <v/>
      </c>
    </row>
    <row r="2246">
      <c r="A2246">
        <f>TEST_DATA!A2246</f>
        <v/>
      </c>
      <c r="B2246">
        <f>TEST_DATA!B2246</f>
        <v/>
      </c>
      <c r="C2246">
        <f>TEST_DATA!C2246</f>
        <v/>
      </c>
      <c r="D2246">
        <f>TEST_DATA!D2246</f>
        <v/>
      </c>
      <c r="E2246">
        <f>TEST_DATA!E2246</f>
        <v/>
      </c>
      <c r="F2246">
        <f>MIN(E2246*224600,10000)</f>
        <v/>
      </c>
      <c r="G2246">
        <f>MINIFS(CBIC_Late_Fee_Relief_Windows_3B!$O$2246:$O$100,CBIC_Late_Fee_Relief_Windows_3B!$D$2246:$D$100,"&lt;="&amp;B2246,CBIC_Late_Fee_Relief_Windows_3B!$E$2246:$E$100,"&gt;="&amp;B2246,CBIC_Late_Fee_Relief_Windows_3B!$F$2246:$F$100,"&lt;="&amp;C2246,CBIC_Late_Fee_Relief_Windows_3B!$G$2246:$G$100,"&gt;="&amp;C2246)</f>
        <v/>
      </c>
      <c r="H2246">
        <f>INDEX(CBIC_Late_Fee_Relief_Windows_3B!$I$2246:$I$100,MATCH(G2246,CBIC_Late_Fee_Relief_Windows_3B!$O$2246:$O$100,0))</f>
        <v/>
      </c>
      <c r="I2246">
        <f>MIN(F2246,H2246)</f>
        <v/>
      </c>
    </row>
    <row r="2247">
      <c r="A2247">
        <f>TEST_DATA!A2247</f>
        <v/>
      </c>
      <c r="B2247">
        <f>TEST_DATA!B2247</f>
        <v/>
      </c>
      <c r="C2247">
        <f>TEST_DATA!C2247</f>
        <v/>
      </c>
      <c r="D2247">
        <f>TEST_DATA!D2247</f>
        <v/>
      </c>
      <c r="E2247">
        <f>TEST_DATA!E2247</f>
        <v/>
      </c>
      <c r="F2247">
        <f>MIN(E2247*224700,10000)</f>
        <v/>
      </c>
      <c r="G2247">
        <f>MINIFS(CBIC_Late_Fee_Relief_Windows_3B!$O$2247:$O$100,CBIC_Late_Fee_Relief_Windows_3B!$D$2247:$D$100,"&lt;="&amp;B2247,CBIC_Late_Fee_Relief_Windows_3B!$E$2247:$E$100,"&gt;="&amp;B2247,CBIC_Late_Fee_Relief_Windows_3B!$F$2247:$F$100,"&lt;="&amp;C2247,CBIC_Late_Fee_Relief_Windows_3B!$G$2247:$G$100,"&gt;="&amp;C2247)</f>
        <v/>
      </c>
      <c r="H2247">
        <f>INDEX(CBIC_Late_Fee_Relief_Windows_3B!$I$2247:$I$100,MATCH(G2247,CBIC_Late_Fee_Relief_Windows_3B!$O$2247:$O$100,0))</f>
        <v/>
      </c>
      <c r="I2247">
        <f>MIN(F2247,H2247)</f>
        <v/>
      </c>
    </row>
    <row r="2248">
      <c r="A2248">
        <f>TEST_DATA!A2248</f>
        <v/>
      </c>
      <c r="B2248">
        <f>TEST_DATA!B2248</f>
        <v/>
      </c>
      <c r="C2248">
        <f>TEST_DATA!C2248</f>
        <v/>
      </c>
      <c r="D2248">
        <f>TEST_DATA!D2248</f>
        <v/>
      </c>
      <c r="E2248">
        <f>TEST_DATA!E2248</f>
        <v/>
      </c>
      <c r="F2248">
        <f>MIN(E2248*224800,10000)</f>
        <v/>
      </c>
      <c r="G2248">
        <f>MINIFS(CBIC_Late_Fee_Relief_Windows_3B!$O$2248:$O$100,CBIC_Late_Fee_Relief_Windows_3B!$D$2248:$D$100,"&lt;="&amp;B2248,CBIC_Late_Fee_Relief_Windows_3B!$E$2248:$E$100,"&gt;="&amp;B2248,CBIC_Late_Fee_Relief_Windows_3B!$F$2248:$F$100,"&lt;="&amp;C2248,CBIC_Late_Fee_Relief_Windows_3B!$G$2248:$G$100,"&gt;="&amp;C2248)</f>
        <v/>
      </c>
      <c r="H2248">
        <f>INDEX(CBIC_Late_Fee_Relief_Windows_3B!$I$2248:$I$100,MATCH(G2248,CBIC_Late_Fee_Relief_Windows_3B!$O$2248:$O$100,0))</f>
        <v/>
      </c>
      <c r="I2248">
        <f>MIN(F2248,H2248)</f>
        <v/>
      </c>
    </row>
    <row r="2249">
      <c r="A2249">
        <f>TEST_DATA!A2249</f>
        <v/>
      </c>
      <c r="B2249">
        <f>TEST_DATA!B2249</f>
        <v/>
      </c>
      <c r="C2249">
        <f>TEST_DATA!C2249</f>
        <v/>
      </c>
      <c r="D2249">
        <f>TEST_DATA!D2249</f>
        <v/>
      </c>
      <c r="E2249">
        <f>TEST_DATA!E2249</f>
        <v/>
      </c>
      <c r="F2249">
        <f>MIN(E2249*224900,10000)</f>
        <v/>
      </c>
      <c r="G2249">
        <f>MINIFS(CBIC_Late_Fee_Relief_Windows_3B!$O$2249:$O$100,CBIC_Late_Fee_Relief_Windows_3B!$D$2249:$D$100,"&lt;="&amp;B2249,CBIC_Late_Fee_Relief_Windows_3B!$E$2249:$E$100,"&gt;="&amp;B2249,CBIC_Late_Fee_Relief_Windows_3B!$F$2249:$F$100,"&lt;="&amp;C2249,CBIC_Late_Fee_Relief_Windows_3B!$G$2249:$G$100,"&gt;="&amp;C2249)</f>
        <v/>
      </c>
      <c r="H2249">
        <f>INDEX(CBIC_Late_Fee_Relief_Windows_3B!$I$2249:$I$100,MATCH(G2249,CBIC_Late_Fee_Relief_Windows_3B!$O$2249:$O$100,0))</f>
        <v/>
      </c>
      <c r="I2249">
        <f>MIN(F2249,H2249)</f>
        <v/>
      </c>
    </row>
    <row r="2250">
      <c r="A2250">
        <f>TEST_DATA!A2250</f>
        <v/>
      </c>
      <c r="B2250">
        <f>TEST_DATA!B2250</f>
        <v/>
      </c>
      <c r="C2250">
        <f>TEST_DATA!C2250</f>
        <v/>
      </c>
      <c r="D2250">
        <f>TEST_DATA!D2250</f>
        <v/>
      </c>
      <c r="E2250">
        <f>TEST_DATA!E2250</f>
        <v/>
      </c>
      <c r="F2250">
        <f>MIN(E2250*225000,10000)</f>
        <v/>
      </c>
      <c r="G2250">
        <f>MINIFS(CBIC_Late_Fee_Relief_Windows_3B!$O$2250:$O$100,CBIC_Late_Fee_Relief_Windows_3B!$D$2250:$D$100,"&lt;="&amp;B2250,CBIC_Late_Fee_Relief_Windows_3B!$E$2250:$E$100,"&gt;="&amp;B2250,CBIC_Late_Fee_Relief_Windows_3B!$F$2250:$F$100,"&lt;="&amp;C2250,CBIC_Late_Fee_Relief_Windows_3B!$G$2250:$G$100,"&gt;="&amp;C2250)</f>
        <v/>
      </c>
      <c r="H2250">
        <f>INDEX(CBIC_Late_Fee_Relief_Windows_3B!$I$2250:$I$100,MATCH(G2250,CBIC_Late_Fee_Relief_Windows_3B!$O$2250:$O$100,0))</f>
        <v/>
      </c>
      <c r="I2250">
        <f>MIN(F2250,H2250)</f>
        <v/>
      </c>
    </row>
    <row r="2251">
      <c r="A2251">
        <f>TEST_DATA!A2251</f>
        <v/>
      </c>
      <c r="B2251">
        <f>TEST_DATA!B2251</f>
        <v/>
      </c>
      <c r="C2251">
        <f>TEST_DATA!C2251</f>
        <v/>
      </c>
      <c r="D2251">
        <f>TEST_DATA!D2251</f>
        <v/>
      </c>
      <c r="E2251">
        <f>TEST_DATA!E2251</f>
        <v/>
      </c>
      <c r="F2251">
        <f>MIN(E2251*225100,10000)</f>
        <v/>
      </c>
      <c r="G2251">
        <f>MINIFS(CBIC_Late_Fee_Relief_Windows_3B!$O$2251:$O$100,CBIC_Late_Fee_Relief_Windows_3B!$D$2251:$D$100,"&lt;="&amp;B2251,CBIC_Late_Fee_Relief_Windows_3B!$E$2251:$E$100,"&gt;="&amp;B2251,CBIC_Late_Fee_Relief_Windows_3B!$F$2251:$F$100,"&lt;="&amp;C2251,CBIC_Late_Fee_Relief_Windows_3B!$G$2251:$G$100,"&gt;="&amp;C2251)</f>
        <v/>
      </c>
      <c r="H2251">
        <f>INDEX(CBIC_Late_Fee_Relief_Windows_3B!$I$2251:$I$100,MATCH(G2251,CBIC_Late_Fee_Relief_Windows_3B!$O$2251:$O$100,0))</f>
        <v/>
      </c>
      <c r="I2251">
        <f>MIN(F2251,H2251)</f>
        <v/>
      </c>
    </row>
    <row r="2252">
      <c r="A2252">
        <f>TEST_DATA!A2252</f>
        <v/>
      </c>
      <c r="B2252">
        <f>TEST_DATA!B2252</f>
        <v/>
      </c>
      <c r="C2252">
        <f>TEST_DATA!C2252</f>
        <v/>
      </c>
      <c r="D2252">
        <f>TEST_DATA!D2252</f>
        <v/>
      </c>
      <c r="E2252">
        <f>TEST_DATA!E2252</f>
        <v/>
      </c>
      <c r="F2252">
        <f>MIN(E2252*225200,10000)</f>
        <v/>
      </c>
      <c r="G2252">
        <f>MINIFS(CBIC_Late_Fee_Relief_Windows_3B!$O$2252:$O$100,CBIC_Late_Fee_Relief_Windows_3B!$D$2252:$D$100,"&lt;="&amp;B2252,CBIC_Late_Fee_Relief_Windows_3B!$E$2252:$E$100,"&gt;="&amp;B2252,CBIC_Late_Fee_Relief_Windows_3B!$F$2252:$F$100,"&lt;="&amp;C2252,CBIC_Late_Fee_Relief_Windows_3B!$G$2252:$G$100,"&gt;="&amp;C2252)</f>
        <v/>
      </c>
      <c r="H2252">
        <f>INDEX(CBIC_Late_Fee_Relief_Windows_3B!$I$2252:$I$100,MATCH(G2252,CBIC_Late_Fee_Relief_Windows_3B!$O$2252:$O$100,0))</f>
        <v/>
      </c>
      <c r="I2252">
        <f>MIN(F2252,H2252)</f>
        <v/>
      </c>
    </row>
    <row r="2253">
      <c r="A2253">
        <f>TEST_DATA!A2253</f>
        <v/>
      </c>
      <c r="B2253">
        <f>TEST_DATA!B2253</f>
        <v/>
      </c>
      <c r="C2253">
        <f>TEST_DATA!C2253</f>
        <v/>
      </c>
      <c r="D2253">
        <f>TEST_DATA!D2253</f>
        <v/>
      </c>
      <c r="E2253">
        <f>TEST_DATA!E2253</f>
        <v/>
      </c>
      <c r="F2253">
        <f>MIN(E2253*225300,10000)</f>
        <v/>
      </c>
      <c r="G2253">
        <f>MINIFS(CBIC_Late_Fee_Relief_Windows_3B!$O$2253:$O$100,CBIC_Late_Fee_Relief_Windows_3B!$D$2253:$D$100,"&lt;="&amp;B2253,CBIC_Late_Fee_Relief_Windows_3B!$E$2253:$E$100,"&gt;="&amp;B2253,CBIC_Late_Fee_Relief_Windows_3B!$F$2253:$F$100,"&lt;="&amp;C2253,CBIC_Late_Fee_Relief_Windows_3B!$G$2253:$G$100,"&gt;="&amp;C2253)</f>
        <v/>
      </c>
      <c r="H2253">
        <f>INDEX(CBIC_Late_Fee_Relief_Windows_3B!$I$2253:$I$100,MATCH(G2253,CBIC_Late_Fee_Relief_Windows_3B!$O$2253:$O$100,0))</f>
        <v/>
      </c>
      <c r="I2253">
        <f>MIN(F2253,H2253)</f>
        <v/>
      </c>
    </row>
    <row r="2254">
      <c r="A2254">
        <f>TEST_DATA!A2254</f>
        <v/>
      </c>
      <c r="B2254">
        <f>TEST_DATA!B2254</f>
        <v/>
      </c>
      <c r="C2254">
        <f>TEST_DATA!C2254</f>
        <v/>
      </c>
      <c r="D2254">
        <f>TEST_DATA!D2254</f>
        <v/>
      </c>
      <c r="E2254">
        <f>TEST_DATA!E2254</f>
        <v/>
      </c>
      <c r="F2254">
        <f>MIN(E2254*225400,10000)</f>
        <v/>
      </c>
      <c r="G2254">
        <f>MINIFS(CBIC_Late_Fee_Relief_Windows_3B!$O$2254:$O$100,CBIC_Late_Fee_Relief_Windows_3B!$D$2254:$D$100,"&lt;="&amp;B2254,CBIC_Late_Fee_Relief_Windows_3B!$E$2254:$E$100,"&gt;="&amp;B2254,CBIC_Late_Fee_Relief_Windows_3B!$F$2254:$F$100,"&lt;="&amp;C2254,CBIC_Late_Fee_Relief_Windows_3B!$G$2254:$G$100,"&gt;="&amp;C2254)</f>
        <v/>
      </c>
      <c r="H2254">
        <f>INDEX(CBIC_Late_Fee_Relief_Windows_3B!$I$2254:$I$100,MATCH(G2254,CBIC_Late_Fee_Relief_Windows_3B!$O$2254:$O$100,0))</f>
        <v/>
      </c>
      <c r="I2254">
        <f>MIN(F2254,H2254)</f>
        <v/>
      </c>
    </row>
    <row r="2255">
      <c r="A2255">
        <f>TEST_DATA!A2255</f>
        <v/>
      </c>
      <c r="B2255">
        <f>TEST_DATA!B2255</f>
        <v/>
      </c>
      <c r="C2255">
        <f>TEST_DATA!C2255</f>
        <v/>
      </c>
      <c r="D2255">
        <f>TEST_DATA!D2255</f>
        <v/>
      </c>
      <c r="E2255">
        <f>TEST_DATA!E2255</f>
        <v/>
      </c>
      <c r="F2255">
        <f>MIN(E2255*225500,10000)</f>
        <v/>
      </c>
      <c r="G2255">
        <f>MINIFS(CBIC_Late_Fee_Relief_Windows_3B!$O$2255:$O$100,CBIC_Late_Fee_Relief_Windows_3B!$D$2255:$D$100,"&lt;="&amp;B2255,CBIC_Late_Fee_Relief_Windows_3B!$E$2255:$E$100,"&gt;="&amp;B2255,CBIC_Late_Fee_Relief_Windows_3B!$F$2255:$F$100,"&lt;="&amp;C2255,CBIC_Late_Fee_Relief_Windows_3B!$G$2255:$G$100,"&gt;="&amp;C2255)</f>
        <v/>
      </c>
      <c r="H2255">
        <f>INDEX(CBIC_Late_Fee_Relief_Windows_3B!$I$2255:$I$100,MATCH(G2255,CBIC_Late_Fee_Relief_Windows_3B!$O$2255:$O$100,0))</f>
        <v/>
      </c>
      <c r="I2255">
        <f>MIN(F2255,H2255)</f>
        <v/>
      </c>
    </row>
    <row r="2256">
      <c r="A2256">
        <f>TEST_DATA!A2256</f>
        <v/>
      </c>
      <c r="B2256">
        <f>TEST_DATA!B2256</f>
        <v/>
      </c>
      <c r="C2256">
        <f>TEST_DATA!C2256</f>
        <v/>
      </c>
      <c r="D2256">
        <f>TEST_DATA!D2256</f>
        <v/>
      </c>
      <c r="E2256">
        <f>TEST_DATA!E2256</f>
        <v/>
      </c>
      <c r="F2256">
        <f>MIN(E2256*225600,10000)</f>
        <v/>
      </c>
      <c r="G2256">
        <f>MINIFS(CBIC_Late_Fee_Relief_Windows_3B!$O$2256:$O$100,CBIC_Late_Fee_Relief_Windows_3B!$D$2256:$D$100,"&lt;="&amp;B2256,CBIC_Late_Fee_Relief_Windows_3B!$E$2256:$E$100,"&gt;="&amp;B2256,CBIC_Late_Fee_Relief_Windows_3B!$F$2256:$F$100,"&lt;="&amp;C2256,CBIC_Late_Fee_Relief_Windows_3B!$G$2256:$G$100,"&gt;="&amp;C2256)</f>
        <v/>
      </c>
      <c r="H2256">
        <f>INDEX(CBIC_Late_Fee_Relief_Windows_3B!$I$2256:$I$100,MATCH(G2256,CBIC_Late_Fee_Relief_Windows_3B!$O$2256:$O$100,0))</f>
        <v/>
      </c>
      <c r="I2256">
        <f>MIN(F2256,H2256)</f>
        <v/>
      </c>
    </row>
    <row r="2257">
      <c r="A2257">
        <f>TEST_DATA!A2257</f>
        <v/>
      </c>
      <c r="B2257">
        <f>TEST_DATA!B2257</f>
        <v/>
      </c>
      <c r="C2257">
        <f>TEST_DATA!C2257</f>
        <v/>
      </c>
      <c r="D2257">
        <f>TEST_DATA!D2257</f>
        <v/>
      </c>
      <c r="E2257">
        <f>TEST_DATA!E2257</f>
        <v/>
      </c>
      <c r="F2257">
        <f>MIN(E2257*225700,10000)</f>
        <v/>
      </c>
      <c r="G2257">
        <f>MINIFS(CBIC_Late_Fee_Relief_Windows_3B!$O$2257:$O$100,CBIC_Late_Fee_Relief_Windows_3B!$D$2257:$D$100,"&lt;="&amp;B2257,CBIC_Late_Fee_Relief_Windows_3B!$E$2257:$E$100,"&gt;="&amp;B2257,CBIC_Late_Fee_Relief_Windows_3B!$F$2257:$F$100,"&lt;="&amp;C2257,CBIC_Late_Fee_Relief_Windows_3B!$G$2257:$G$100,"&gt;="&amp;C2257)</f>
        <v/>
      </c>
      <c r="H2257">
        <f>INDEX(CBIC_Late_Fee_Relief_Windows_3B!$I$2257:$I$100,MATCH(G2257,CBIC_Late_Fee_Relief_Windows_3B!$O$2257:$O$100,0))</f>
        <v/>
      </c>
      <c r="I2257">
        <f>MIN(F2257,H2257)</f>
        <v/>
      </c>
    </row>
    <row r="2258">
      <c r="A2258">
        <f>TEST_DATA!A2258</f>
        <v/>
      </c>
      <c r="B2258">
        <f>TEST_DATA!B2258</f>
        <v/>
      </c>
      <c r="C2258">
        <f>TEST_DATA!C2258</f>
        <v/>
      </c>
      <c r="D2258">
        <f>TEST_DATA!D2258</f>
        <v/>
      </c>
      <c r="E2258">
        <f>TEST_DATA!E2258</f>
        <v/>
      </c>
      <c r="F2258">
        <f>MIN(E2258*225800,10000)</f>
        <v/>
      </c>
      <c r="G2258">
        <f>MINIFS(CBIC_Late_Fee_Relief_Windows_3B!$O$2258:$O$100,CBIC_Late_Fee_Relief_Windows_3B!$D$2258:$D$100,"&lt;="&amp;B2258,CBIC_Late_Fee_Relief_Windows_3B!$E$2258:$E$100,"&gt;="&amp;B2258,CBIC_Late_Fee_Relief_Windows_3B!$F$2258:$F$100,"&lt;="&amp;C2258,CBIC_Late_Fee_Relief_Windows_3B!$G$2258:$G$100,"&gt;="&amp;C2258)</f>
        <v/>
      </c>
      <c r="H2258">
        <f>INDEX(CBIC_Late_Fee_Relief_Windows_3B!$I$2258:$I$100,MATCH(G2258,CBIC_Late_Fee_Relief_Windows_3B!$O$2258:$O$100,0))</f>
        <v/>
      </c>
      <c r="I2258">
        <f>MIN(F2258,H2258)</f>
        <v/>
      </c>
    </row>
    <row r="2259">
      <c r="A2259">
        <f>TEST_DATA!A2259</f>
        <v/>
      </c>
      <c r="B2259">
        <f>TEST_DATA!B2259</f>
        <v/>
      </c>
      <c r="C2259">
        <f>TEST_DATA!C2259</f>
        <v/>
      </c>
      <c r="D2259">
        <f>TEST_DATA!D2259</f>
        <v/>
      </c>
      <c r="E2259">
        <f>TEST_DATA!E2259</f>
        <v/>
      </c>
      <c r="F2259">
        <f>MIN(E2259*225900,10000)</f>
        <v/>
      </c>
      <c r="G2259">
        <f>MINIFS(CBIC_Late_Fee_Relief_Windows_3B!$O$2259:$O$100,CBIC_Late_Fee_Relief_Windows_3B!$D$2259:$D$100,"&lt;="&amp;B2259,CBIC_Late_Fee_Relief_Windows_3B!$E$2259:$E$100,"&gt;="&amp;B2259,CBIC_Late_Fee_Relief_Windows_3B!$F$2259:$F$100,"&lt;="&amp;C2259,CBIC_Late_Fee_Relief_Windows_3B!$G$2259:$G$100,"&gt;="&amp;C2259)</f>
        <v/>
      </c>
      <c r="H2259">
        <f>INDEX(CBIC_Late_Fee_Relief_Windows_3B!$I$2259:$I$100,MATCH(G2259,CBIC_Late_Fee_Relief_Windows_3B!$O$2259:$O$100,0))</f>
        <v/>
      </c>
      <c r="I2259">
        <f>MIN(F2259,H2259)</f>
        <v/>
      </c>
    </row>
    <row r="2260">
      <c r="A2260">
        <f>TEST_DATA!A2260</f>
        <v/>
      </c>
      <c r="B2260">
        <f>TEST_DATA!B2260</f>
        <v/>
      </c>
      <c r="C2260">
        <f>TEST_DATA!C2260</f>
        <v/>
      </c>
      <c r="D2260">
        <f>TEST_DATA!D2260</f>
        <v/>
      </c>
      <c r="E2260">
        <f>TEST_DATA!E2260</f>
        <v/>
      </c>
      <c r="F2260">
        <f>MIN(E2260*226000,10000)</f>
        <v/>
      </c>
      <c r="G2260">
        <f>MINIFS(CBIC_Late_Fee_Relief_Windows_3B!$O$2260:$O$100,CBIC_Late_Fee_Relief_Windows_3B!$D$2260:$D$100,"&lt;="&amp;B2260,CBIC_Late_Fee_Relief_Windows_3B!$E$2260:$E$100,"&gt;="&amp;B2260,CBIC_Late_Fee_Relief_Windows_3B!$F$2260:$F$100,"&lt;="&amp;C2260,CBIC_Late_Fee_Relief_Windows_3B!$G$2260:$G$100,"&gt;="&amp;C2260)</f>
        <v/>
      </c>
      <c r="H2260">
        <f>INDEX(CBIC_Late_Fee_Relief_Windows_3B!$I$2260:$I$100,MATCH(G2260,CBIC_Late_Fee_Relief_Windows_3B!$O$2260:$O$100,0))</f>
        <v/>
      </c>
      <c r="I2260">
        <f>MIN(F2260,H2260)</f>
        <v/>
      </c>
    </row>
    <row r="2261">
      <c r="A2261">
        <f>TEST_DATA!A2261</f>
        <v/>
      </c>
      <c r="B2261">
        <f>TEST_DATA!B2261</f>
        <v/>
      </c>
      <c r="C2261">
        <f>TEST_DATA!C2261</f>
        <v/>
      </c>
      <c r="D2261">
        <f>TEST_DATA!D2261</f>
        <v/>
      </c>
      <c r="E2261">
        <f>TEST_DATA!E2261</f>
        <v/>
      </c>
      <c r="F2261">
        <f>MIN(E2261*226100,10000)</f>
        <v/>
      </c>
      <c r="G2261">
        <f>MINIFS(CBIC_Late_Fee_Relief_Windows_3B!$O$2261:$O$100,CBIC_Late_Fee_Relief_Windows_3B!$D$2261:$D$100,"&lt;="&amp;B2261,CBIC_Late_Fee_Relief_Windows_3B!$E$2261:$E$100,"&gt;="&amp;B2261,CBIC_Late_Fee_Relief_Windows_3B!$F$2261:$F$100,"&lt;="&amp;C2261,CBIC_Late_Fee_Relief_Windows_3B!$G$2261:$G$100,"&gt;="&amp;C2261)</f>
        <v/>
      </c>
      <c r="H2261">
        <f>INDEX(CBIC_Late_Fee_Relief_Windows_3B!$I$2261:$I$100,MATCH(G2261,CBIC_Late_Fee_Relief_Windows_3B!$O$2261:$O$100,0))</f>
        <v/>
      </c>
      <c r="I2261">
        <f>MIN(F2261,H2261)</f>
        <v/>
      </c>
    </row>
    <row r="2262">
      <c r="A2262">
        <f>TEST_DATA!A2262</f>
        <v/>
      </c>
      <c r="B2262">
        <f>TEST_DATA!B2262</f>
        <v/>
      </c>
      <c r="C2262">
        <f>TEST_DATA!C2262</f>
        <v/>
      </c>
      <c r="D2262">
        <f>TEST_DATA!D2262</f>
        <v/>
      </c>
      <c r="E2262">
        <f>TEST_DATA!E2262</f>
        <v/>
      </c>
      <c r="F2262">
        <f>MIN(E2262*226200,10000)</f>
        <v/>
      </c>
      <c r="G2262">
        <f>MINIFS(CBIC_Late_Fee_Relief_Windows_3B!$O$2262:$O$100,CBIC_Late_Fee_Relief_Windows_3B!$D$2262:$D$100,"&lt;="&amp;B2262,CBIC_Late_Fee_Relief_Windows_3B!$E$2262:$E$100,"&gt;="&amp;B2262,CBIC_Late_Fee_Relief_Windows_3B!$F$2262:$F$100,"&lt;="&amp;C2262,CBIC_Late_Fee_Relief_Windows_3B!$G$2262:$G$100,"&gt;="&amp;C2262)</f>
        <v/>
      </c>
      <c r="H2262">
        <f>INDEX(CBIC_Late_Fee_Relief_Windows_3B!$I$2262:$I$100,MATCH(G2262,CBIC_Late_Fee_Relief_Windows_3B!$O$2262:$O$100,0))</f>
        <v/>
      </c>
      <c r="I2262">
        <f>MIN(F2262,H2262)</f>
        <v/>
      </c>
    </row>
    <row r="2263">
      <c r="A2263">
        <f>TEST_DATA!A2263</f>
        <v/>
      </c>
      <c r="B2263">
        <f>TEST_DATA!B2263</f>
        <v/>
      </c>
      <c r="C2263">
        <f>TEST_DATA!C2263</f>
        <v/>
      </c>
      <c r="D2263">
        <f>TEST_DATA!D2263</f>
        <v/>
      </c>
      <c r="E2263">
        <f>TEST_DATA!E2263</f>
        <v/>
      </c>
      <c r="F2263">
        <f>MIN(E2263*226300,10000)</f>
        <v/>
      </c>
      <c r="G2263">
        <f>MINIFS(CBIC_Late_Fee_Relief_Windows_3B!$O$2263:$O$100,CBIC_Late_Fee_Relief_Windows_3B!$D$2263:$D$100,"&lt;="&amp;B2263,CBIC_Late_Fee_Relief_Windows_3B!$E$2263:$E$100,"&gt;="&amp;B2263,CBIC_Late_Fee_Relief_Windows_3B!$F$2263:$F$100,"&lt;="&amp;C2263,CBIC_Late_Fee_Relief_Windows_3B!$G$2263:$G$100,"&gt;="&amp;C2263)</f>
        <v/>
      </c>
      <c r="H2263">
        <f>INDEX(CBIC_Late_Fee_Relief_Windows_3B!$I$2263:$I$100,MATCH(G2263,CBIC_Late_Fee_Relief_Windows_3B!$O$2263:$O$100,0))</f>
        <v/>
      </c>
      <c r="I2263">
        <f>MIN(F2263,H2263)</f>
        <v/>
      </c>
    </row>
    <row r="2264">
      <c r="A2264">
        <f>TEST_DATA!A2264</f>
        <v/>
      </c>
      <c r="B2264">
        <f>TEST_DATA!B2264</f>
        <v/>
      </c>
      <c r="C2264">
        <f>TEST_DATA!C2264</f>
        <v/>
      </c>
      <c r="D2264">
        <f>TEST_DATA!D2264</f>
        <v/>
      </c>
      <c r="E2264">
        <f>TEST_DATA!E2264</f>
        <v/>
      </c>
      <c r="F2264">
        <f>MIN(E2264*226400,10000)</f>
        <v/>
      </c>
      <c r="G2264">
        <f>MINIFS(CBIC_Late_Fee_Relief_Windows_3B!$O$2264:$O$100,CBIC_Late_Fee_Relief_Windows_3B!$D$2264:$D$100,"&lt;="&amp;B2264,CBIC_Late_Fee_Relief_Windows_3B!$E$2264:$E$100,"&gt;="&amp;B2264,CBIC_Late_Fee_Relief_Windows_3B!$F$2264:$F$100,"&lt;="&amp;C2264,CBIC_Late_Fee_Relief_Windows_3B!$G$2264:$G$100,"&gt;="&amp;C2264)</f>
        <v/>
      </c>
      <c r="H2264">
        <f>INDEX(CBIC_Late_Fee_Relief_Windows_3B!$I$2264:$I$100,MATCH(G2264,CBIC_Late_Fee_Relief_Windows_3B!$O$2264:$O$100,0))</f>
        <v/>
      </c>
      <c r="I2264">
        <f>MIN(F2264,H2264)</f>
        <v/>
      </c>
    </row>
    <row r="2265">
      <c r="A2265">
        <f>TEST_DATA!A2265</f>
        <v/>
      </c>
      <c r="B2265">
        <f>TEST_DATA!B2265</f>
        <v/>
      </c>
      <c r="C2265">
        <f>TEST_DATA!C2265</f>
        <v/>
      </c>
      <c r="D2265">
        <f>TEST_DATA!D2265</f>
        <v/>
      </c>
      <c r="E2265">
        <f>TEST_DATA!E2265</f>
        <v/>
      </c>
      <c r="F2265">
        <f>MIN(E2265*226500,10000)</f>
        <v/>
      </c>
      <c r="G2265">
        <f>MINIFS(CBIC_Late_Fee_Relief_Windows_3B!$O$2265:$O$100,CBIC_Late_Fee_Relief_Windows_3B!$D$2265:$D$100,"&lt;="&amp;B2265,CBIC_Late_Fee_Relief_Windows_3B!$E$2265:$E$100,"&gt;="&amp;B2265,CBIC_Late_Fee_Relief_Windows_3B!$F$2265:$F$100,"&lt;="&amp;C2265,CBIC_Late_Fee_Relief_Windows_3B!$G$2265:$G$100,"&gt;="&amp;C2265)</f>
        <v/>
      </c>
      <c r="H2265">
        <f>INDEX(CBIC_Late_Fee_Relief_Windows_3B!$I$2265:$I$100,MATCH(G2265,CBIC_Late_Fee_Relief_Windows_3B!$O$2265:$O$100,0))</f>
        <v/>
      </c>
      <c r="I2265">
        <f>MIN(F2265,H2265)</f>
        <v/>
      </c>
    </row>
    <row r="2266">
      <c r="A2266">
        <f>TEST_DATA!A2266</f>
        <v/>
      </c>
      <c r="B2266">
        <f>TEST_DATA!B2266</f>
        <v/>
      </c>
      <c r="C2266">
        <f>TEST_DATA!C2266</f>
        <v/>
      </c>
      <c r="D2266">
        <f>TEST_DATA!D2266</f>
        <v/>
      </c>
      <c r="E2266">
        <f>TEST_DATA!E2266</f>
        <v/>
      </c>
      <c r="F2266">
        <f>MIN(E2266*226600,10000)</f>
        <v/>
      </c>
      <c r="G2266">
        <f>MINIFS(CBIC_Late_Fee_Relief_Windows_3B!$O$2266:$O$100,CBIC_Late_Fee_Relief_Windows_3B!$D$2266:$D$100,"&lt;="&amp;B2266,CBIC_Late_Fee_Relief_Windows_3B!$E$2266:$E$100,"&gt;="&amp;B2266,CBIC_Late_Fee_Relief_Windows_3B!$F$2266:$F$100,"&lt;="&amp;C2266,CBIC_Late_Fee_Relief_Windows_3B!$G$2266:$G$100,"&gt;="&amp;C2266)</f>
        <v/>
      </c>
      <c r="H2266">
        <f>INDEX(CBIC_Late_Fee_Relief_Windows_3B!$I$2266:$I$100,MATCH(G2266,CBIC_Late_Fee_Relief_Windows_3B!$O$2266:$O$100,0))</f>
        <v/>
      </c>
      <c r="I2266">
        <f>MIN(F2266,H2266)</f>
        <v/>
      </c>
    </row>
    <row r="2267">
      <c r="A2267">
        <f>TEST_DATA!A2267</f>
        <v/>
      </c>
      <c r="B2267">
        <f>TEST_DATA!B2267</f>
        <v/>
      </c>
      <c r="C2267">
        <f>TEST_DATA!C2267</f>
        <v/>
      </c>
      <c r="D2267">
        <f>TEST_DATA!D2267</f>
        <v/>
      </c>
      <c r="E2267">
        <f>TEST_DATA!E2267</f>
        <v/>
      </c>
      <c r="F2267">
        <f>MIN(E2267*226700,10000)</f>
        <v/>
      </c>
      <c r="G2267">
        <f>MINIFS(CBIC_Late_Fee_Relief_Windows_3B!$O$2267:$O$100,CBIC_Late_Fee_Relief_Windows_3B!$D$2267:$D$100,"&lt;="&amp;B2267,CBIC_Late_Fee_Relief_Windows_3B!$E$2267:$E$100,"&gt;="&amp;B2267,CBIC_Late_Fee_Relief_Windows_3B!$F$2267:$F$100,"&lt;="&amp;C2267,CBIC_Late_Fee_Relief_Windows_3B!$G$2267:$G$100,"&gt;="&amp;C2267)</f>
        <v/>
      </c>
      <c r="H2267">
        <f>INDEX(CBIC_Late_Fee_Relief_Windows_3B!$I$2267:$I$100,MATCH(G2267,CBIC_Late_Fee_Relief_Windows_3B!$O$2267:$O$100,0))</f>
        <v/>
      </c>
      <c r="I2267">
        <f>MIN(F2267,H2267)</f>
        <v/>
      </c>
    </row>
    <row r="2268">
      <c r="A2268">
        <f>TEST_DATA!A2268</f>
        <v/>
      </c>
      <c r="B2268">
        <f>TEST_DATA!B2268</f>
        <v/>
      </c>
      <c r="C2268">
        <f>TEST_DATA!C2268</f>
        <v/>
      </c>
      <c r="D2268">
        <f>TEST_DATA!D2268</f>
        <v/>
      </c>
      <c r="E2268">
        <f>TEST_DATA!E2268</f>
        <v/>
      </c>
      <c r="F2268">
        <f>MIN(E2268*226800,10000)</f>
        <v/>
      </c>
      <c r="G2268">
        <f>MINIFS(CBIC_Late_Fee_Relief_Windows_3B!$O$2268:$O$100,CBIC_Late_Fee_Relief_Windows_3B!$D$2268:$D$100,"&lt;="&amp;B2268,CBIC_Late_Fee_Relief_Windows_3B!$E$2268:$E$100,"&gt;="&amp;B2268,CBIC_Late_Fee_Relief_Windows_3B!$F$2268:$F$100,"&lt;="&amp;C2268,CBIC_Late_Fee_Relief_Windows_3B!$G$2268:$G$100,"&gt;="&amp;C2268)</f>
        <v/>
      </c>
      <c r="H2268">
        <f>INDEX(CBIC_Late_Fee_Relief_Windows_3B!$I$2268:$I$100,MATCH(G2268,CBIC_Late_Fee_Relief_Windows_3B!$O$2268:$O$100,0))</f>
        <v/>
      </c>
      <c r="I2268">
        <f>MIN(F2268,H2268)</f>
        <v/>
      </c>
    </row>
    <row r="2269">
      <c r="A2269">
        <f>TEST_DATA!A2269</f>
        <v/>
      </c>
      <c r="B2269">
        <f>TEST_DATA!B2269</f>
        <v/>
      </c>
      <c r="C2269">
        <f>TEST_DATA!C2269</f>
        <v/>
      </c>
      <c r="D2269">
        <f>TEST_DATA!D2269</f>
        <v/>
      </c>
      <c r="E2269">
        <f>TEST_DATA!E2269</f>
        <v/>
      </c>
      <c r="F2269">
        <f>MIN(E2269*226900,10000)</f>
        <v/>
      </c>
      <c r="G2269">
        <f>MINIFS(CBIC_Late_Fee_Relief_Windows_3B!$O$2269:$O$100,CBIC_Late_Fee_Relief_Windows_3B!$D$2269:$D$100,"&lt;="&amp;B2269,CBIC_Late_Fee_Relief_Windows_3B!$E$2269:$E$100,"&gt;="&amp;B2269,CBIC_Late_Fee_Relief_Windows_3B!$F$2269:$F$100,"&lt;="&amp;C2269,CBIC_Late_Fee_Relief_Windows_3B!$G$2269:$G$100,"&gt;="&amp;C2269)</f>
        <v/>
      </c>
      <c r="H2269">
        <f>INDEX(CBIC_Late_Fee_Relief_Windows_3B!$I$2269:$I$100,MATCH(G2269,CBIC_Late_Fee_Relief_Windows_3B!$O$2269:$O$100,0))</f>
        <v/>
      </c>
      <c r="I2269">
        <f>MIN(F2269,H2269)</f>
        <v/>
      </c>
    </row>
    <row r="2270">
      <c r="A2270">
        <f>TEST_DATA!A2270</f>
        <v/>
      </c>
      <c r="B2270">
        <f>TEST_DATA!B2270</f>
        <v/>
      </c>
      <c r="C2270">
        <f>TEST_DATA!C2270</f>
        <v/>
      </c>
      <c r="D2270">
        <f>TEST_DATA!D2270</f>
        <v/>
      </c>
      <c r="E2270">
        <f>TEST_DATA!E2270</f>
        <v/>
      </c>
      <c r="F2270">
        <f>MIN(E2270*227000,10000)</f>
        <v/>
      </c>
      <c r="G2270">
        <f>MINIFS(CBIC_Late_Fee_Relief_Windows_3B!$O$2270:$O$100,CBIC_Late_Fee_Relief_Windows_3B!$D$2270:$D$100,"&lt;="&amp;B2270,CBIC_Late_Fee_Relief_Windows_3B!$E$2270:$E$100,"&gt;="&amp;B2270,CBIC_Late_Fee_Relief_Windows_3B!$F$2270:$F$100,"&lt;="&amp;C2270,CBIC_Late_Fee_Relief_Windows_3B!$G$2270:$G$100,"&gt;="&amp;C2270)</f>
        <v/>
      </c>
      <c r="H2270">
        <f>INDEX(CBIC_Late_Fee_Relief_Windows_3B!$I$2270:$I$100,MATCH(G2270,CBIC_Late_Fee_Relief_Windows_3B!$O$2270:$O$100,0))</f>
        <v/>
      </c>
      <c r="I2270">
        <f>MIN(F2270,H2270)</f>
        <v/>
      </c>
    </row>
    <row r="2271">
      <c r="A2271">
        <f>TEST_DATA!A2271</f>
        <v/>
      </c>
      <c r="B2271">
        <f>TEST_DATA!B2271</f>
        <v/>
      </c>
      <c r="C2271">
        <f>TEST_DATA!C2271</f>
        <v/>
      </c>
      <c r="D2271">
        <f>TEST_DATA!D2271</f>
        <v/>
      </c>
      <c r="E2271">
        <f>TEST_DATA!E2271</f>
        <v/>
      </c>
      <c r="F2271">
        <f>MIN(E2271*227100,10000)</f>
        <v/>
      </c>
      <c r="G2271">
        <f>MINIFS(CBIC_Late_Fee_Relief_Windows_3B!$O$2271:$O$100,CBIC_Late_Fee_Relief_Windows_3B!$D$2271:$D$100,"&lt;="&amp;B2271,CBIC_Late_Fee_Relief_Windows_3B!$E$2271:$E$100,"&gt;="&amp;B2271,CBIC_Late_Fee_Relief_Windows_3B!$F$2271:$F$100,"&lt;="&amp;C2271,CBIC_Late_Fee_Relief_Windows_3B!$G$2271:$G$100,"&gt;="&amp;C2271)</f>
        <v/>
      </c>
      <c r="H2271">
        <f>INDEX(CBIC_Late_Fee_Relief_Windows_3B!$I$2271:$I$100,MATCH(G2271,CBIC_Late_Fee_Relief_Windows_3B!$O$2271:$O$100,0))</f>
        <v/>
      </c>
      <c r="I2271">
        <f>MIN(F2271,H2271)</f>
        <v/>
      </c>
    </row>
    <row r="2272">
      <c r="A2272">
        <f>TEST_DATA!A2272</f>
        <v/>
      </c>
      <c r="B2272">
        <f>TEST_DATA!B2272</f>
        <v/>
      </c>
      <c r="C2272">
        <f>TEST_DATA!C2272</f>
        <v/>
      </c>
      <c r="D2272">
        <f>TEST_DATA!D2272</f>
        <v/>
      </c>
      <c r="E2272">
        <f>TEST_DATA!E2272</f>
        <v/>
      </c>
      <c r="F2272">
        <f>MIN(E2272*227200,10000)</f>
        <v/>
      </c>
      <c r="G2272">
        <f>MINIFS(CBIC_Late_Fee_Relief_Windows_3B!$O$2272:$O$100,CBIC_Late_Fee_Relief_Windows_3B!$D$2272:$D$100,"&lt;="&amp;B2272,CBIC_Late_Fee_Relief_Windows_3B!$E$2272:$E$100,"&gt;="&amp;B2272,CBIC_Late_Fee_Relief_Windows_3B!$F$2272:$F$100,"&lt;="&amp;C2272,CBIC_Late_Fee_Relief_Windows_3B!$G$2272:$G$100,"&gt;="&amp;C2272)</f>
        <v/>
      </c>
      <c r="H2272">
        <f>INDEX(CBIC_Late_Fee_Relief_Windows_3B!$I$2272:$I$100,MATCH(G2272,CBIC_Late_Fee_Relief_Windows_3B!$O$2272:$O$100,0))</f>
        <v/>
      </c>
      <c r="I2272">
        <f>MIN(F2272,H2272)</f>
        <v/>
      </c>
    </row>
    <row r="2273">
      <c r="A2273">
        <f>TEST_DATA!A2273</f>
        <v/>
      </c>
      <c r="B2273">
        <f>TEST_DATA!B2273</f>
        <v/>
      </c>
      <c r="C2273">
        <f>TEST_DATA!C2273</f>
        <v/>
      </c>
      <c r="D2273">
        <f>TEST_DATA!D2273</f>
        <v/>
      </c>
      <c r="E2273">
        <f>TEST_DATA!E2273</f>
        <v/>
      </c>
      <c r="F2273">
        <f>MIN(E2273*227300,10000)</f>
        <v/>
      </c>
      <c r="G2273">
        <f>MINIFS(CBIC_Late_Fee_Relief_Windows_3B!$O$2273:$O$100,CBIC_Late_Fee_Relief_Windows_3B!$D$2273:$D$100,"&lt;="&amp;B2273,CBIC_Late_Fee_Relief_Windows_3B!$E$2273:$E$100,"&gt;="&amp;B2273,CBIC_Late_Fee_Relief_Windows_3B!$F$2273:$F$100,"&lt;="&amp;C2273,CBIC_Late_Fee_Relief_Windows_3B!$G$2273:$G$100,"&gt;="&amp;C2273)</f>
        <v/>
      </c>
      <c r="H2273">
        <f>INDEX(CBIC_Late_Fee_Relief_Windows_3B!$I$2273:$I$100,MATCH(G2273,CBIC_Late_Fee_Relief_Windows_3B!$O$2273:$O$100,0))</f>
        <v/>
      </c>
      <c r="I2273">
        <f>MIN(F2273,H2273)</f>
        <v/>
      </c>
    </row>
    <row r="2274">
      <c r="A2274">
        <f>TEST_DATA!A2274</f>
        <v/>
      </c>
      <c r="B2274">
        <f>TEST_DATA!B2274</f>
        <v/>
      </c>
      <c r="C2274">
        <f>TEST_DATA!C2274</f>
        <v/>
      </c>
      <c r="D2274">
        <f>TEST_DATA!D2274</f>
        <v/>
      </c>
      <c r="E2274">
        <f>TEST_DATA!E2274</f>
        <v/>
      </c>
      <c r="F2274">
        <f>MIN(E2274*227400,10000)</f>
        <v/>
      </c>
      <c r="G2274">
        <f>MINIFS(CBIC_Late_Fee_Relief_Windows_3B!$O$2274:$O$100,CBIC_Late_Fee_Relief_Windows_3B!$D$2274:$D$100,"&lt;="&amp;B2274,CBIC_Late_Fee_Relief_Windows_3B!$E$2274:$E$100,"&gt;="&amp;B2274,CBIC_Late_Fee_Relief_Windows_3B!$F$2274:$F$100,"&lt;="&amp;C2274,CBIC_Late_Fee_Relief_Windows_3B!$G$2274:$G$100,"&gt;="&amp;C2274)</f>
        <v/>
      </c>
      <c r="H2274">
        <f>INDEX(CBIC_Late_Fee_Relief_Windows_3B!$I$2274:$I$100,MATCH(G2274,CBIC_Late_Fee_Relief_Windows_3B!$O$2274:$O$100,0))</f>
        <v/>
      </c>
      <c r="I2274">
        <f>MIN(F2274,H2274)</f>
        <v/>
      </c>
    </row>
    <row r="2275">
      <c r="A2275">
        <f>TEST_DATA!A2275</f>
        <v/>
      </c>
      <c r="B2275">
        <f>TEST_DATA!B2275</f>
        <v/>
      </c>
      <c r="C2275">
        <f>TEST_DATA!C2275</f>
        <v/>
      </c>
      <c r="D2275">
        <f>TEST_DATA!D2275</f>
        <v/>
      </c>
      <c r="E2275">
        <f>TEST_DATA!E2275</f>
        <v/>
      </c>
      <c r="F2275">
        <f>MIN(E2275*227500,10000)</f>
        <v/>
      </c>
      <c r="G2275">
        <f>MINIFS(CBIC_Late_Fee_Relief_Windows_3B!$O$2275:$O$100,CBIC_Late_Fee_Relief_Windows_3B!$D$2275:$D$100,"&lt;="&amp;B2275,CBIC_Late_Fee_Relief_Windows_3B!$E$2275:$E$100,"&gt;="&amp;B2275,CBIC_Late_Fee_Relief_Windows_3B!$F$2275:$F$100,"&lt;="&amp;C2275,CBIC_Late_Fee_Relief_Windows_3B!$G$2275:$G$100,"&gt;="&amp;C2275)</f>
        <v/>
      </c>
      <c r="H2275">
        <f>INDEX(CBIC_Late_Fee_Relief_Windows_3B!$I$2275:$I$100,MATCH(G2275,CBIC_Late_Fee_Relief_Windows_3B!$O$2275:$O$100,0))</f>
        <v/>
      </c>
      <c r="I2275">
        <f>MIN(F2275,H2275)</f>
        <v/>
      </c>
    </row>
    <row r="2276">
      <c r="A2276">
        <f>TEST_DATA!A2276</f>
        <v/>
      </c>
      <c r="B2276">
        <f>TEST_DATA!B2276</f>
        <v/>
      </c>
      <c r="C2276">
        <f>TEST_DATA!C2276</f>
        <v/>
      </c>
      <c r="D2276">
        <f>TEST_DATA!D2276</f>
        <v/>
      </c>
      <c r="E2276">
        <f>TEST_DATA!E2276</f>
        <v/>
      </c>
      <c r="F2276">
        <f>MIN(E2276*227600,10000)</f>
        <v/>
      </c>
      <c r="G2276">
        <f>MINIFS(CBIC_Late_Fee_Relief_Windows_3B!$O$2276:$O$100,CBIC_Late_Fee_Relief_Windows_3B!$D$2276:$D$100,"&lt;="&amp;B2276,CBIC_Late_Fee_Relief_Windows_3B!$E$2276:$E$100,"&gt;="&amp;B2276,CBIC_Late_Fee_Relief_Windows_3B!$F$2276:$F$100,"&lt;="&amp;C2276,CBIC_Late_Fee_Relief_Windows_3B!$G$2276:$G$100,"&gt;="&amp;C2276)</f>
        <v/>
      </c>
      <c r="H2276">
        <f>INDEX(CBIC_Late_Fee_Relief_Windows_3B!$I$2276:$I$100,MATCH(G2276,CBIC_Late_Fee_Relief_Windows_3B!$O$2276:$O$100,0))</f>
        <v/>
      </c>
      <c r="I2276">
        <f>MIN(F2276,H2276)</f>
        <v/>
      </c>
    </row>
    <row r="2277">
      <c r="A2277">
        <f>TEST_DATA!A2277</f>
        <v/>
      </c>
      <c r="B2277">
        <f>TEST_DATA!B2277</f>
        <v/>
      </c>
      <c r="C2277">
        <f>TEST_DATA!C2277</f>
        <v/>
      </c>
      <c r="D2277">
        <f>TEST_DATA!D2277</f>
        <v/>
      </c>
      <c r="E2277">
        <f>TEST_DATA!E2277</f>
        <v/>
      </c>
      <c r="F2277">
        <f>MIN(E2277*227700,10000)</f>
        <v/>
      </c>
      <c r="G2277">
        <f>MINIFS(CBIC_Late_Fee_Relief_Windows_3B!$O$2277:$O$100,CBIC_Late_Fee_Relief_Windows_3B!$D$2277:$D$100,"&lt;="&amp;B2277,CBIC_Late_Fee_Relief_Windows_3B!$E$2277:$E$100,"&gt;="&amp;B2277,CBIC_Late_Fee_Relief_Windows_3B!$F$2277:$F$100,"&lt;="&amp;C2277,CBIC_Late_Fee_Relief_Windows_3B!$G$2277:$G$100,"&gt;="&amp;C2277)</f>
        <v/>
      </c>
      <c r="H2277">
        <f>INDEX(CBIC_Late_Fee_Relief_Windows_3B!$I$2277:$I$100,MATCH(G2277,CBIC_Late_Fee_Relief_Windows_3B!$O$2277:$O$100,0))</f>
        <v/>
      </c>
      <c r="I2277">
        <f>MIN(F2277,H2277)</f>
        <v/>
      </c>
    </row>
    <row r="2278">
      <c r="A2278">
        <f>TEST_DATA!A2278</f>
        <v/>
      </c>
      <c r="B2278">
        <f>TEST_DATA!B2278</f>
        <v/>
      </c>
      <c r="C2278">
        <f>TEST_DATA!C2278</f>
        <v/>
      </c>
      <c r="D2278">
        <f>TEST_DATA!D2278</f>
        <v/>
      </c>
      <c r="E2278">
        <f>TEST_DATA!E2278</f>
        <v/>
      </c>
      <c r="F2278">
        <f>MIN(E2278*227800,10000)</f>
        <v/>
      </c>
      <c r="G2278">
        <f>MINIFS(CBIC_Late_Fee_Relief_Windows_3B!$O$2278:$O$100,CBIC_Late_Fee_Relief_Windows_3B!$D$2278:$D$100,"&lt;="&amp;B2278,CBIC_Late_Fee_Relief_Windows_3B!$E$2278:$E$100,"&gt;="&amp;B2278,CBIC_Late_Fee_Relief_Windows_3B!$F$2278:$F$100,"&lt;="&amp;C2278,CBIC_Late_Fee_Relief_Windows_3B!$G$2278:$G$100,"&gt;="&amp;C2278)</f>
        <v/>
      </c>
      <c r="H2278">
        <f>INDEX(CBIC_Late_Fee_Relief_Windows_3B!$I$2278:$I$100,MATCH(G2278,CBIC_Late_Fee_Relief_Windows_3B!$O$2278:$O$100,0))</f>
        <v/>
      </c>
      <c r="I2278">
        <f>MIN(F2278,H2278)</f>
        <v/>
      </c>
    </row>
    <row r="2279">
      <c r="A2279">
        <f>TEST_DATA!A2279</f>
        <v/>
      </c>
      <c r="B2279">
        <f>TEST_DATA!B2279</f>
        <v/>
      </c>
      <c r="C2279">
        <f>TEST_DATA!C2279</f>
        <v/>
      </c>
      <c r="D2279">
        <f>TEST_DATA!D2279</f>
        <v/>
      </c>
      <c r="E2279">
        <f>TEST_DATA!E2279</f>
        <v/>
      </c>
      <c r="F2279">
        <f>MIN(E2279*227900,10000)</f>
        <v/>
      </c>
      <c r="G2279">
        <f>MINIFS(CBIC_Late_Fee_Relief_Windows_3B!$O$2279:$O$100,CBIC_Late_Fee_Relief_Windows_3B!$D$2279:$D$100,"&lt;="&amp;B2279,CBIC_Late_Fee_Relief_Windows_3B!$E$2279:$E$100,"&gt;="&amp;B2279,CBIC_Late_Fee_Relief_Windows_3B!$F$2279:$F$100,"&lt;="&amp;C2279,CBIC_Late_Fee_Relief_Windows_3B!$G$2279:$G$100,"&gt;="&amp;C2279)</f>
        <v/>
      </c>
      <c r="H2279">
        <f>INDEX(CBIC_Late_Fee_Relief_Windows_3B!$I$2279:$I$100,MATCH(G2279,CBIC_Late_Fee_Relief_Windows_3B!$O$2279:$O$100,0))</f>
        <v/>
      </c>
      <c r="I2279">
        <f>MIN(F2279,H2279)</f>
        <v/>
      </c>
    </row>
    <row r="2280">
      <c r="A2280">
        <f>TEST_DATA!A2280</f>
        <v/>
      </c>
      <c r="B2280">
        <f>TEST_DATA!B2280</f>
        <v/>
      </c>
      <c r="C2280">
        <f>TEST_DATA!C2280</f>
        <v/>
      </c>
      <c r="D2280">
        <f>TEST_DATA!D2280</f>
        <v/>
      </c>
      <c r="E2280">
        <f>TEST_DATA!E2280</f>
        <v/>
      </c>
      <c r="F2280">
        <f>MIN(E2280*228000,10000)</f>
        <v/>
      </c>
      <c r="G2280">
        <f>MINIFS(CBIC_Late_Fee_Relief_Windows_3B!$O$2280:$O$100,CBIC_Late_Fee_Relief_Windows_3B!$D$2280:$D$100,"&lt;="&amp;B2280,CBIC_Late_Fee_Relief_Windows_3B!$E$2280:$E$100,"&gt;="&amp;B2280,CBIC_Late_Fee_Relief_Windows_3B!$F$2280:$F$100,"&lt;="&amp;C2280,CBIC_Late_Fee_Relief_Windows_3B!$G$2280:$G$100,"&gt;="&amp;C2280)</f>
        <v/>
      </c>
      <c r="H2280">
        <f>INDEX(CBIC_Late_Fee_Relief_Windows_3B!$I$2280:$I$100,MATCH(G2280,CBIC_Late_Fee_Relief_Windows_3B!$O$2280:$O$100,0))</f>
        <v/>
      </c>
      <c r="I2280">
        <f>MIN(F2280,H2280)</f>
        <v/>
      </c>
    </row>
    <row r="2281">
      <c r="A2281">
        <f>TEST_DATA!A2281</f>
        <v/>
      </c>
      <c r="B2281">
        <f>TEST_DATA!B2281</f>
        <v/>
      </c>
      <c r="C2281">
        <f>TEST_DATA!C2281</f>
        <v/>
      </c>
      <c r="D2281">
        <f>TEST_DATA!D2281</f>
        <v/>
      </c>
      <c r="E2281">
        <f>TEST_DATA!E2281</f>
        <v/>
      </c>
      <c r="F2281">
        <f>MIN(E2281*228100,10000)</f>
        <v/>
      </c>
      <c r="G2281">
        <f>MINIFS(CBIC_Late_Fee_Relief_Windows_3B!$O$2281:$O$100,CBIC_Late_Fee_Relief_Windows_3B!$D$2281:$D$100,"&lt;="&amp;B2281,CBIC_Late_Fee_Relief_Windows_3B!$E$2281:$E$100,"&gt;="&amp;B2281,CBIC_Late_Fee_Relief_Windows_3B!$F$2281:$F$100,"&lt;="&amp;C2281,CBIC_Late_Fee_Relief_Windows_3B!$G$2281:$G$100,"&gt;="&amp;C2281)</f>
        <v/>
      </c>
      <c r="H2281">
        <f>INDEX(CBIC_Late_Fee_Relief_Windows_3B!$I$2281:$I$100,MATCH(G2281,CBIC_Late_Fee_Relief_Windows_3B!$O$2281:$O$100,0))</f>
        <v/>
      </c>
      <c r="I2281">
        <f>MIN(F2281,H2281)</f>
        <v/>
      </c>
    </row>
    <row r="2282">
      <c r="A2282">
        <f>TEST_DATA!A2282</f>
        <v/>
      </c>
      <c r="B2282">
        <f>TEST_DATA!B2282</f>
        <v/>
      </c>
      <c r="C2282">
        <f>TEST_DATA!C2282</f>
        <v/>
      </c>
      <c r="D2282">
        <f>TEST_DATA!D2282</f>
        <v/>
      </c>
      <c r="E2282">
        <f>TEST_DATA!E2282</f>
        <v/>
      </c>
      <c r="F2282">
        <f>MIN(E2282*228200,10000)</f>
        <v/>
      </c>
      <c r="G2282">
        <f>MINIFS(CBIC_Late_Fee_Relief_Windows_3B!$O$2282:$O$100,CBIC_Late_Fee_Relief_Windows_3B!$D$2282:$D$100,"&lt;="&amp;B2282,CBIC_Late_Fee_Relief_Windows_3B!$E$2282:$E$100,"&gt;="&amp;B2282,CBIC_Late_Fee_Relief_Windows_3B!$F$2282:$F$100,"&lt;="&amp;C2282,CBIC_Late_Fee_Relief_Windows_3B!$G$2282:$G$100,"&gt;="&amp;C2282)</f>
        <v/>
      </c>
      <c r="H2282">
        <f>INDEX(CBIC_Late_Fee_Relief_Windows_3B!$I$2282:$I$100,MATCH(G2282,CBIC_Late_Fee_Relief_Windows_3B!$O$2282:$O$100,0))</f>
        <v/>
      </c>
      <c r="I2282">
        <f>MIN(F2282,H2282)</f>
        <v/>
      </c>
    </row>
    <row r="2283">
      <c r="A2283">
        <f>TEST_DATA!A2283</f>
        <v/>
      </c>
      <c r="B2283">
        <f>TEST_DATA!B2283</f>
        <v/>
      </c>
      <c r="C2283">
        <f>TEST_DATA!C2283</f>
        <v/>
      </c>
      <c r="D2283">
        <f>TEST_DATA!D2283</f>
        <v/>
      </c>
      <c r="E2283">
        <f>TEST_DATA!E2283</f>
        <v/>
      </c>
      <c r="F2283">
        <f>MIN(E2283*228300,10000)</f>
        <v/>
      </c>
      <c r="G2283">
        <f>MINIFS(CBIC_Late_Fee_Relief_Windows_3B!$O$2283:$O$100,CBIC_Late_Fee_Relief_Windows_3B!$D$2283:$D$100,"&lt;="&amp;B2283,CBIC_Late_Fee_Relief_Windows_3B!$E$2283:$E$100,"&gt;="&amp;B2283,CBIC_Late_Fee_Relief_Windows_3B!$F$2283:$F$100,"&lt;="&amp;C2283,CBIC_Late_Fee_Relief_Windows_3B!$G$2283:$G$100,"&gt;="&amp;C2283)</f>
        <v/>
      </c>
      <c r="H2283">
        <f>INDEX(CBIC_Late_Fee_Relief_Windows_3B!$I$2283:$I$100,MATCH(G2283,CBIC_Late_Fee_Relief_Windows_3B!$O$2283:$O$100,0))</f>
        <v/>
      </c>
      <c r="I2283">
        <f>MIN(F2283,H2283)</f>
        <v/>
      </c>
    </row>
    <row r="2284">
      <c r="A2284">
        <f>TEST_DATA!A2284</f>
        <v/>
      </c>
      <c r="B2284">
        <f>TEST_DATA!B2284</f>
        <v/>
      </c>
      <c r="C2284">
        <f>TEST_DATA!C2284</f>
        <v/>
      </c>
      <c r="D2284">
        <f>TEST_DATA!D2284</f>
        <v/>
      </c>
      <c r="E2284">
        <f>TEST_DATA!E2284</f>
        <v/>
      </c>
      <c r="F2284">
        <f>MIN(E2284*228400,10000)</f>
        <v/>
      </c>
      <c r="G2284">
        <f>MINIFS(CBIC_Late_Fee_Relief_Windows_3B!$O$2284:$O$100,CBIC_Late_Fee_Relief_Windows_3B!$D$2284:$D$100,"&lt;="&amp;B2284,CBIC_Late_Fee_Relief_Windows_3B!$E$2284:$E$100,"&gt;="&amp;B2284,CBIC_Late_Fee_Relief_Windows_3B!$F$2284:$F$100,"&lt;="&amp;C2284,CBIC_Late_Fee_Relief_Windows_3B!$G$2284:$G$100,"&gt;="&amp;C2284)</f>
        <v/>
      </c>
      <c r="H2284">
        <f>INDEX(CBIC_Late_Fee_Relief_Windows_3B!$I$2284:$I$100,MATCH(G2284,CBIC_Late_Fee_Relief_Windows_3B!$O$2284:$O$100,0))</f>
        <v/>
      </c>
      <c r="I2284">
        <f>MIN(F2284,H2284)</f>
        <v/>
      </c>
    </row>
    <row r="2285">
      <c r="A2285">
        <f>TEST_DATA!A2285</f>
        <v/>
      </c>
      <c r="B2285">
        <f>TEST_DATA!B2285</f>
        <v/>
      </c>
      <c r="C2285">
        <f>TEST_DATA!C2285</f>
        <v/>
      </c>
      <c r="D2285">
        <f>TEST_DATA!D2285</f>
        <v/>
      </c>
      <c r="E2285">
        <f>TEST_DATA!E2285</f>
        <v/>
      </c>
      <c r="F2285">
        <f>MIN(E2285*228500,10000)</f>
        <v/>
      </c>
      <c r="G2285">
        <f>MINIFS(CBIC_Late_Fee_Relief_Windows_3B!$O$2285:$O$100,CBIC_Late_Fee_Relief_Windows_3B!$D$2285:$D$100,"&lt;="&amp;B2285,CBIC_Late_Fee_Relief_Windows_3B!$E$2285:$E$100,"&gt;="&amp;B2285,CBIC_Late_Fee_Relief_Windows_3B!$F$2285:$F$100,"&lt;="&amp;C2285,CBIC_Late_Fee_Relief_Windows_3B!$G$2285:$G$100,"&gt;="&amp;C2285)</f>
        <v/>
      </c>
      <c r="H2285">
        <f>INDEX(CBIC_Late_Fee_Relief_Windows_3B!$I$2285:$I$100,MATCH(G2285,CBIC_Late_Fee_Relief_Windows_3B!$O$2285:$O$100,0))</f>
        <v/>
      </c>
      <c r="I2285">
        <f>MIN(F2285,H2285)</f>
        <v/>
      </c>
    </row>
    <row r="2286">
      <c r="A2286">
        <f>TEST_DATA!A2286</f>
        <v/>
      </c>
      <c r="B2286">
        <f>TEST_DATA!B2286</f>
        <v/>
      </c>
      <c r="C2286">
        <f>TEST_DATA!C2286</f>
        <v/>
      </c>
      <c r="D2286">
        <f>TEST_DATA!D2286</f>
        <v/>
      </c>
      <c r="E2286">
        <f>TEST_DATA!E2286</f>
        <v/>
      </c>
      <c r="F2286">
        <f>MIN(E2286*228600,10000)</f>
        <v/>
      </c>
      <c r="G2286">
        <f>MINIFS(CBIC_Late_Fee_Relief_Windows_3B!$O$2286:$O$100,CBIC_Late_Fee_Relief_Windows_3B!$D$2286:$D$100,"&lt;="&amp;B2286,CBIC_Late_Fee_Relief_Windows_3B!$E$2286:$E$100,"&gt;="&amp;B2286,CBIC_Late_Fee_Relief_Windows_3B!$F$2286:$F$100,"&lt;="&amp;C2286,CBIC_Late_Fee_Relief_Windows_3B!$G$2286:$G$100,"&gt;="&amp;C2286)</f>
        <v/>
      </c>
      <c r="H2286">
        <f>INDEX(CBIC_Late_Fee_Relief_Windows_3B!$I$2286:$I$100,MATCH(G2286,CBIC_Late_Fee_Relief_Windows_3B!$O$2286:$O$100,0))</f>
        <v/>
      </c>
      <c r="I2286">
        <f>MIN(F2286,H2286)</f>
        <v/>
      </c>
    </row>
    <row r="2287">
      <c r="A2287">
        <f>TEST_DATA!A2287</f>
        <v/>
      </c>
      <c r="B2287">
        <f>TEST_DATA!B2287</f>
        <v/>
      </c>
      <c r="C2287">
        <f>TEST_DATA!C2287</f>
        <v/>
      </c>
      <c r="D2287">
        <f>TEST_DATA!D2287</f>
        <v/>
      </c>
      <c r="E2287">
        <f>TEST_DATA!E2287</f>
        <v/>
      </c>
      <c r="F2287">
        <f>MIN(E2287*228700,10000)</f>
        <v/>
      </c>
      <c r="G2287">
        <f>MINIFS(CBIC_Late_Fee_Relief_Windows_3B!$O$2287:$O$100,CBIC_Late_Fee_Relief_Windows_3B!$D$2287:$D$100,"&lt;="&amp;B2287,CBIC_Late_Fee_Relief_Windows_3B!$E$2287:$E$100,"&gt;="&amp;B2287,CBIC_Late_Fee_Relief_Windows_3B!$F$2287:$F$100,"&lt;="&amp;C2287,CBIC_Late_Fee_Relief_Windows_3B!$G$2287:$G$100,"&gt;="&amp;C2287)</f>
        <v/>
      </c>
      <c r="H2287">
        <f>INDEX(CBIC_Late_Fee_Relief_Windows_3B!$I$2287:$I$100,MATCH(G2287,CBIC_Late_Fee_Relief_Windows_3B!$O$2287:$O$100,0))</f>
        <v/>
      </c>
      <c r="I2287">
        <f>MIN(F2287,H2287)</f>
        <v/>
      </c>
    </row>
    <row r="2288">
      <c r="A2288">
        <f>TEST_DATA!A2288</f>
        <v/>
      </c>
      <c r="B2288">
        <f>TEST_DATA!B2288</f>
        <v/>
      </c>
      <c r="C2288">
        <f>TEST_DATA!C2288</f>
        <v/>
      </c>
      <c r="D2288">
        <f>TEST_DATA!D2288</f>
        <v/>
      </c>
      <c r="E2288">
        <f>TEST_DATA!E2288</f>
        <v/>
      </c>
      <c r="F2288">
        <f>MIN(E2288*228800,10000)</f>
        <v/>
      </c>
      <c r="G2288">
        <f>MINIFS(CBIC_Late_Fee_Relief_Windows_3B!$O$2288:$O$100,CBIC_Late_Fee_Relief_Windows_3B!$D$2288:$D$100,"&lt;="&amp;B2288,CBIC_Late_Fee_Relief_Windows_3B!$E$2288:$E$100,"&gt;="&amp;B2288,CBIC_Late_Fee_Relief_Windows_3B!$F$2288:$F$100,"&lt;="&amp;C2288,CBIC_Late_Fee_Relief_Windows_3B!$G$2288:$G$100,"&gt;="&amp;C2288)</f>
        <v/>
      </c>
      <c r="H2288">
        <f>INDEX(CBIC_Late_Fee_Relief_Windows_3B!$I$2288:$I$100,MATCH(G2288,CBIC_Late_Fee_Relief_Windows_3B!$O$2288:$O$100,0))</f>
        <v/>
      </c>
      <c r="I2288">
        <f>MIN(F2288,H2288)</f>
        <v/>
      </c>
    </row>
    <row r="2289">
      <c r="A2289">
        <f>TEST_DATA!A2289</f>
        <v/>
      </c>
      <c r="B2289">
        <f>TEST_DATA!B2289</f>
        <v/>
      </c>
      <c r="C2289">
        <f>TEST_DATA!C2289</f>
        <v/>
      </c>
      <c r="D2289">
        <f>TEST_DATA!D2289</f>
        <v/>
      </c>
      <c r="E2289">
        <f>TEST_DATA!E2289</f>
        <v/>
      </c>
      <c r="F2289">
        <f>MIN(E2289*228900,10000)</f>
        <v/>
      </c>
      <c r="G2289">
        <f>MINIFS(CBIC_Late_Fee_Relief_Windows_3B!$O$2289:$O$100,CBIC_Late_Fee_Relief_Windows_3B!$D$2289:$D$100,"&lt;="&amp;B2289,CBIC_Late_Fee_Relief_Windows_3B!$E$2289:$E$100,"&gt;="&amp;B2289,CBIC_Late_Fee_Relief_Windows_3B!$F$2289:$F$100,"&lt;="&amp;C2289,CBIC_Late_Fee_Relief_Windows_3B!$G$2289:$G$100,"&gt;="&amp;C2289)</f>
        <v/>
      </c>
      <c r="H2289">
        <f>INDEX(CBIC_Late_Fee_Relief_Windows_3B!$I$2289:$I$100,MATCH(G2289,CBIC_Late_Fee_Relief_Windows_3B!$O$2289:$O$100,0))</f>
        <v/>
      </c>
      <c r="I2289">
        <f>MIN(F2289,H2289)</f>
        <v/>
      </c>
    </row>
    <row r="2290">
      <c r="A2290">
        <f>TEST_DATA!A2290</f>
        <v/>
      </c>
      <c r="B2290">
        <f>TEST_DATA!B2290</f>
        <v/>
      </c>
      <c r="C2290">
        <f>TEST_DATA!C2290</f>
        <v/>
      </c>
      <c r="D2290">
        <f>TEST_DATA!D2290</f>
        <v/>
      </c>
      <c r="E2290">
        <f>TEST_DATA!E2290</f>
        <v/>
      </c>
      <c r="F2290">
        <f>MIN(E2290*229000,10000)</f>
        <v/>
      </c>
      <c r="G2290">
        <f>MINIFS(CBIC_Late_Fee_Relief_Windows_3B!$O$2290:$O$100,CBIC_Late_Fee_Relief_Windows_3B!$D$2290:$D$100,"&lt;="&amp;B2290,CBIC_Late_Fee_Relief_Windows_3B!$E$2290:$E$100,"&gt;="&amp;B2290,CBIC_Late_Fee_Relief_Windows_3B!$F$2290:$F$100,"&lt;="&amp;C2290,CBIC_Late_Fee_Relief_Windows_3B!$G$2290:$G$100,"&gt;="&amp;C2290)</f>
        <v/>
      </c>
      <c r="H2290">
        <f>INDEX(CBIC_Late_Fee_Relief_Windows_3B!$I$2290:$I$100,MATCH(G2290,CBIC_Late_Fee_Relief_Windows_3B!$O$2290:$O$100,0))</f>
        <v/>
      </c>
      <c r="I2290">
        <f>MIN(F2290,H2290)</f>
        <v/>
      </c>
    </row>
    <row r="2291">
      <c r="A2291">
        <f>TEST_DATA!A2291</f>
        <v/>
      </c>
      <c r="B2291">
        <f>TEST_DATA!B2291</f>
        <v/>
      </c>
      <c r="C2291">
        <f>TEST_DATA!C2291</f>
        <v/>
      </c>
      <c r="D2291">
        <f>TEST_DATA!D2291</f>
        <v/>
      </c>
      <c r="E2291">
        <f>TEST_DATA!E2291</f>
        <v/>
      </c>
      <c r="F2291">
        <f>MIN(E2291*229100,10000)</f>
        <v/>
      </c>
      <c r="G2291">
        <f>MINIFS(CBIC_Late_Fee_Relief_Windows_3B!$O$2291:$O$100,CBIC_Late_Fee_Relief_Windows_3B!$D$2291:$D$100,"&lt;="&amp;B2291,CBIC_Late_Fee_Relief_Windows_3B!$E$2291:$E$100,"&gt;="&amp;B2291,CBIC_Late_Fee_Relief_Windows_3B!$F$2291:$F$100,"&lt;="&amp;C2291,CBIC_Late_Fee_Relief_Windows_3B!$G$2291:$G$100,"&gt;="&amp;C2291)</f>
        <v/>
      </c>
      <c r="H2291">
        <f>INDEX(CBIC_Late_Fee_Relief_Windows_3B!$I$2291:$I$100,MATCH(G2291,CBIC_Late_Fee_Relief_Windows_3B!$O$2291:$O$100,0))</f>
        <v/>
      </c>
      <c r="I2291">
        <f>MIN(F2291,H2291)</f>
        <v/>
      </c>
    </row>
    <row r="2292">
      <c r="A2292">
        <f>TEST_DATA!A2292</f>
        <v/>
      </c>
      <c r="B2292">
        <f>TEST_DATA!B2292</f>
        <v/>
      </c>
      <c r="C2292">
        <f>TEST_DATA!C2292</f>
        <v/>
      </c>
      <c r="D2292">
        <f>TEST_DATA!D2292</f>
        <v/>
      </c>
      <c r="E2292">
        <f>TEST_DATA!E2292</f>
        <v/>
      </c>
      <c r="F2292">
        <f>MIN(E2292*229200,10000)</f>
        <v/>
      </c>
      <c r="G2292">
        <f>MINIFS(CBIC_Late_Fee_Relief_Windows_3B!$O$2292:$O$100,CBIC_Late_Fee_Relief_Windows_3B!$D$2292:$D$100,"&lt;="&amp;B2292,CBIC_Late_Fee_Relief_Windows_3B!$E$2292:$E$100,"&gt;="&amp;B2292,CBIC_Late_Fee_Relief_Windows_3B!$F$2292:$F$100,"&lt;="&amp;C2292,CBIC_Late_Fee_Relief_Windows_3B!$G$2292:$G$100,"&gt;="&amp;C2292)</f>
        <v/>
      </c>
      <c r="H2292">
        <f>INDEX(CBIC_Late_Fee_Relief_Windows_3B!$I$2292:$I$100,MATCH(G2292,CBIC_Late_Fee_Relief_Windows_3B!$O$2292:$O$100,0))</f>
        <v/>
      </c>
      <c r="I2292">
        <f>MIN(F2292,H2292)</f>
        <v/>
      </c>
    </row>
    <row r="2293">
      <c r="A2293">
        <f>TEST_DATA!A2293</f>
        <v/>
      </c>
      <c r="B2293">
        <f>TEST_DATA!B2293</f>
        <v/>
      </c>
      <c r="C2293">
        <f>TEST_DATA!C2293</f>
        <v/>
      </c>
      <c r="D2293">
        <f>TEST_DATA!D2293</f>
        <v/>
      </c>
      <c r="E2293">
        <f>TEST_DATA!E2293</f>
        <v/>
      </c>
      <c r="F2293">
        <f>MIN(E2293*229300,10000)</f>
        <v/>
      </c>
      <c r="G2293">
        <f>MINIFS(CBIC_Late_Fee_Relief_Windows_3B!$O$2293:$O$100,CBIC_Late_Fee_Relief_Windows_3B!$D$2293:$D$100,"&lt;="&amp;B2293,CBIC_Late_Fee_Relief_Windows_3B!$E$2293:$E$100,"&gt;="&amp;B2293,CBIC_Late_Fee_Relief_Windows_3B!$F$2293:$F$100,"&lt;="&amp;C2293,CBIC_Late_Fee_Relief_Windows_3B!$G$2293:$G$100,"&gt;="&amp;C2293)</f>
        <v/>
      </c>
      <c r="H2293">
        <f>INDEX(CBIC_Late_Fee_Relief_Windows_3B!$I$2293:$I$100,MATCH(G2293,CBIC_Late_Fee_Relief_Windows_3B!$O$2293:$O$100,0))</f>
        <v/>
      </c>
      <c r="I2293">
        <f>MIN(F2293,H2293)</f>
        <v/>
      </c>
    </row>
    <row r="2294">
      <c r="A2294">
        <f>TEST_DATA!A2294</f>
        <v/>
      </c>
      <c r="B2294">
        <f>TEST_DATA!B2294</f>
        <v/>
      </c>
      <c r="C2294">
        <f>TEST_DATA!C2294</f>
        <v/>
      </c>
      <c r="D2294">
        <f>TEST_DATA!D2294</f>
        <v/>
      </c>
      <c r="E2294">
        <f>TEST_DATA!E2294</f>
        <v/>
      </c>
      <c r="F2294">
        <f>MIN(E2294*229400,10000)</f>
        <v/>
      </c>
      <c r="G2294">
        <f>MINIFS(CBIC_Late_Fee_Relief_Windows_3B!$O$2294:$O$100,CBIC_Late_Fee_Relief_Windows_3B!$D$2294:$D$100,"&lt;="&amp;B2294,CBIC_Late_Fee_Relief_Windows_3B!$E$2294:$E$100,"&gt;="&amp;B2294,CBIC_Late_Fee_Relief_Windows_3B!$F$2294:$F$100,"&lt;="&amp;C2294,CBIC_Late_Fee_Relief_Windows_3B!$G$2294:$G$100,"&gt;="&amp;C2294)</f>
        <v/>
      </c>
      <c r="H2294">
        <f>INDEX(CBIC_Late_Fee_Relief_Windows_3B!$I$2294:$I$100,MATCH(G2294,CBIC_Late_Fee_Relief_Windows_3B!$O$2294:$O$100,0))</f>
        <v/>
      </c>
      <c r="I2294">
        <f>MIN(F2294,H2294)</f>
        <v/>
      </c>
    </row>
    <row r="2295">
      <c r="A2295">
        <f>TEST_DATA!A2295</f>
        <v/>
      </c>
      <c r="B2295">
        <f>TEST_DATA!B2295</f>
        <v/>
      </c>
      <c r="C2295">
        <f>TEST_DATA!C2295</f>
        <v/>
      </c>
      <c r="D2295">
        <f>TEST_DATA!D2295</f>
        <v/>
      </c>
      <c r="E2295">
        <f>TEST_DATA!E2295</f>
        <v/>
      </c>
      <c r="F2295">
        <f>MIN(E2295*229500,10000)</f>
        <v/>
      </c>
      <c r="G2295">
        <f>MINIFS(CBIC_Late_Fee_Relief_Windows_3B!$O$2295:$O$100,CBIC_Late_Fee_Relief_Windows_3B!$D$2295:$D$100,"&lt;="&amp;B2295,CBIC_Late_Fee_Relief_Windows_3B!$E$2295:$E$100,"&gt;="&amp;B2295,CBIC_Late_Fee_Relief_Windows_3B!$F$2295:$F$100,"&lt;="&amp;C2295,CBIC_Late_Fee_Relief_Windows_3B!$G$2295:$G$100,"&gt;="&amp;C2295)</f>
        <v/>
      </c>
      <c r="H2295">
        <f>INDEX(CBIC_Late_Fee_Relief_Windows_3B!$I$2295:$I$100,MATCH(G2295,CBIC_Late_Fee_Relief_Windows_3B!$O$2295:$O$100,0))</f>
        <v/>
      </c>
      <c r="I2295">
        <f>MIN(F2295,H2295)</f>
        <v/>
      </c>
    </row>
    <row r="2296">
      <c r="A2296">
        <f>TEST_DATA!A2296</f>
        <v/>
      </c>
      <c r="B2296">
        <f>TEST_DATA!B2296</f>
        <v/>
      </c>
      <c r="C2296">
        <f>TEST_DATA!C2296</f>
        <v/>
      </c>
      <c r="D2296">
        <f>TEST_DATA!D2296</f>
        <v/>
      </c>
      <c r="E2296">
        <f>TEST_DATA!E2296</f>
        <v/>
      </c>
      <c r="F2296">
        <f>MIN(E2296*229600,10000)</f>
        <v/>
      </c>
      <c r="G2296">
        <f>MINIFS(CBIC_Late_Fee_Relief_Windows_3B!$O$2296:$O$100,CBIC_Late_Fee_Relief_Windows_3B!$D$2296:$D$100,"&lt;="&amp;B2296,CBIC_Late_Fee_Relief_Windows_3B!$E$2296:$E$100,"&gt;="&amp;B2296,CBIC_Late_Fee_Relief_Windows_3B!$F$2296:$F$100,"&lt;="&amp;C2296,CBIC_Late_Fee_Relief_Windows_3B!$G$2296:$G$100,"&gt;="&amp;C2296)</f>
        <v/>
      </c>
      <c r="H2296">
        <f>INDEX(CBIC_Late_Fee_Relief_Windows_3B!$I$2296:$I$100,MATCH(G2296,CBIC_Late_Fee_Relief_Windows_3B!$O$2296:$O$100,0))</f>
        <v/>
      </c>
      <c r="I2296">
        <f>MIN(F2296,H2296)</f>
        <v/>
      </c>
    </row>
    <row r="2297">
      <c r="A2297">
        <f>TEST_DATA!A2297</f>
        <v/>
      </c>
      <c r="B2297">
        <f>TEST_DATA!B2297</f>
        <v/>
      </c>
      <c r="C2297">
        <f>TEST_DATA!C2297</f>
        <v/>
      </c>
      <c r="D2297">
        <f>TEST_DATA!D2297</f>
        <v/>
      </c>
      <c r="E2297">
        <f>TEST_DATA!E2297</f>
        <v/>
      </c>
      <c r="F2297">
        <f>MIN(E2297*229700,10000)</f>
        <v/>
      </c>
      <c r="G2297">
        <f>MINIFS(CBIC_Late_Fee_Relief_Windows_3B!$O$2297:$O$100,CBIC_Late_Fee_Relief_Windows_3B!$D$2297:$D$100,"&lt;="&amp;B2297,CBIC_Late_Fee_Relief_Windows_3B!$E$2297:$E$100,"&gt;="&amp;B2297,CBIC_Late_Fee_Relief_Windows_3B!$F$2297:$F$100,"&lt;="&amp;C2297,CBIC_Late_Fee_Relief_Windows_3B!$G$2297:$G$100,"&gt;="&amp;C2297)</f>
        <v/>
      </c>
      <c r="H2297">
        <f>INDEX(CBIC_Late_Fee_Relief_Windows_3B!$I$2297:$I$100,MATCH(G2297,CBIC_Late_Fee_Relief_Windows_3B!$O$2297:$O$100,0))</f>
        <v/>
      </c>
      <c r="I2297">
        <f>MIN(F2297,H2297)</f>
        <v/>
      </c>
    </row>
    <row r="2298">
      <c r="A2298">
        <f>TEST_DATA!A2298</f>
        <v/>
      </c>
      <c r="B2298">
        <f>TEST_DATA!B2298</f>
        <v/>
      </c>
      <c r="C2298">
        <f>TEST_DATA!C2298</f>
        <v/>
      </c>
      <c r="D2298">
        <f>TEST_DATA!D2298</f>
        <v/>
      </c>
      <c r="E2298">
        <f>TEST_DATA!E2298</f>
        <v/>
      </c>
      <c r="F2298">
        <f>MIN(E2298*229800,10000)</f>
        <v/>
      </c>
      <c r="G2298">
        <f>MINIFS(CBIC_Late_Fee_Relief_Windows_3B!$O$2298:$O$100,CBIC_Late_Fee_Relief_Windows_3B!$D$2298:$D$100,"&lt;="&amp;B2298,CBIC_Late_Fee_Relief_Windows_3B!$E$2298:$E$100,"&gt;="&amp;B2298,CBIC_Late_Fee_Relief_Windows_3B!$F$2298:$F$100,"&lt;="&amp;C2298,CBIC_Late_Fee_Relief_Windows_3B!$G$2298:$G$100,"&gt;="&amp;C2298)</f>
        <v/>
      </c>
      <c r="H2298">
        <f>INDEX(CBIC_Late_Fee_Relief_Windows_3B!$I$2298:$I$100,MATCH(G2298,CBIC_Late_Fee_Relief_Windows_3B!$O$2298:$O$100,0))</f>
        <v/>
      </c>
      <c r="I2298">
        <f>MIN(F2298,H2298)</f>
        <v/>
      </c>
    </row>
    <row r="2299">
      <c r="A2299">
        <f>TEST_DATA!A2299</f>
        <v/>
      </c>
      <c r="B2299">
        <f>TEST_DATA!B2299</f>
        <v/>
      </c>
      <c r="C2299">
        <f>TEST_DATA!C2299</f>
        <v/>
      </c>
      <c r="D2299">
        <f>TEST_DATA!D2299</f>
        <v/>
      </c>
      <c r="E2299">
        <f>TEST_DATA!E2299</f>
        <v/>
      </c>
      <c r="F2299">
        <f>MIN(E2299*229900,10000)</f>
        <v/>
      </c>
      <c r="G2299">
        <f>MINIFS(CBIC_Late_Fee_Relief_Windows_3B!$O$2299:$O$100,CBIC_Late_Fee_Relief_Windows_3B!$D$2299:$D$100,"&lt;="&amp;B2299,CBIC_Late_Fee_Relief_Windows_3B!$E$2299:$E$100,"&gt;="&amp;B2299,CBIC_Late_Fee_Relief_Windows_3B!$F$2299:$F$100,"&lt;="&amp;C2299,CBIC_Late_Fee_Relief_Windows_3B!$G$2299:$G$100,"&gt;="&amp;C2299)</f>
        <v/>
      </c>
      <c r="H2299">
        <f>INDEX(CBIC_Late_Fee_Relief_Windows_3B!$I$2299:$I$100,MATCH(G2299,CBIC_Late_Fee_Relief_Windows_3B!$O$2299:$O$100,0))</f>
        <v/>
      </c>
      <c r="I2299">
        <f>MIN(F2299,H2299)</f>
        <v/>
      </c>
    </row>
    <row r="2300">
      <c r="A2300">
        <f>TEST_DATA!A2300</f>
        <v/>
      </c>
      <c r="B2300">
        <f>TEST_DATA!B2300</f>
        <v/>
      </c>
      <c r="C2300">
        <f>TEST_DATA!C2300</f>
        <v/>
      </c>
      <c r="D2300">
        <f>TEST_DATA!D2300</f>
        <v/>
      </c>
      <c r="E2300">
        <f>TEST_DATA!E2300</f>
        <v/>
      </c>
      <c r="F2300">
        <f>MIN(E2300*230000,10000)</f>
        <v/>
      </c>
      <c r="G2300">
        <f>MINIFS(CBIC_Late_Fee_Relief_Windows_3B!$O$2300:$O$100,CBIC_Late_Fee_Relief_Windows_3B!$D$2300:$D$100,"&lt;="&amp;B2300,CBIC_Late_Fee_Relief_Windows_3B!$E$2300:$E$100,"&gt;="&amp;B2300,CBIC_Late_Fee_Relief_Windows_3B!$F$2300:$F$100,"&lt;="&amp;C2300,CBIC_Late_Fee_Relief_Windows_3B!$G$2300:$G$100,"&gt;="&amp;C2300)</f>
        <v/>
      </c>
      <c r="H2300">
        <f>INDEX(CBIC_Late_Fee_Relief_Windows_3B!$I$2300:$I$100,MATCH(G2300,CBIC_Late_Fee_Relief_Windows_3B!$O$2300:$O$100,0))</f>
        <v/>
      </c>
      <c r="I2300">
        <f>MIN(F2300,H2300)</f>
        <v/>
      </c>
    </row>
    <row r="2301">
      <c r="A2301">
        <f>TEST_DATA!A2301</f>
        <v/>
      </c>
      <c r="B2301">
        <f>TEST_DATA!B2301</f>
        <v/>
      </c>
      <c r="C2301">
        <f>TEST_DATA!C2301</f>
        <v/>
      </c>
      <c r="D2301">
        <f>TEST_DATA!D2301</f>
        <v/>
      </c>
      <c r="E2301">
        <f>TEST_DATA!E2301</f>
        <v/>
      </c>
      <c r="F2301">
        <f>MIN(E2301*230100,10000)</f>
        <v/>
      </c>
      <c r="G2301">
        <f>MINIFS(CBIC_Late_Fee_Relief_Windows_3B!$O$2301:$O$100,CBIC_Late_Fee_Relief_Windows_3B!$D$2301:$D$100,"&lt;="&amp;B2301,CBIC_Late_Fee_Relief_Windows_3B!$E$2301:$E$100,"&gt;="&amp;B2301,CBIC_Late_Fee_Relief_Windows_3B!$F$2301:$F$100,"&lt;="&amp;C2301,CBIC_Late_Fee_Relief_Windows_3B!$G$2301:$G$100,"&gt;="&amp;C2301)</f>
        <v/>
      </c>
      <c r="H2301">
        <f>INDEX(CBIC_Late_Fee_Relief_Windows_3B!$I$2301:$I$100,MATCH(G2301,CBIC_Late_Fee_Relief_Windows_3B!$O$2301:$O$100,0))</f>
        <v/>
      </c>
      <c r="I2301">
        <f>MIN(F2301,H2301)</f>
        <v/>
      </c>
    </row>
    <row r="2302">
      <c r="A2302">
        <f>TEST_DATA!A2302</f>
        <v/>
      </c>
      <c r="B2302">
        <f>TEST_DATA!B2302</f>
        <v/>
      </c>
      <c r="C2302">
        <f>TEST_DATA!C2302</f>
        <v/>
      </c>
      <c r="D2302">
        <f>TEST_DATA!D2302</f>
        <v/>
      </c>
      <c r="E2302">
        <f>TEST_DATA!E2302</f>
        <v/>
      </c>
      <c r="F2302">
        <f>MIN(E2302*230200,10000)</f>
        <v/>
      </c>
      <c r="G2302">
        <f>MINIFS(CBIC_Late_Fee_Relief_Windows_3B!$O$2302:$O$100,CBIC_Late_Fee_Relief_Windows_3B!$D$2302:$D$100,"&lt;="&amp;B2302,CBIC_Late_Fee_Relief_Windows_3B!$E$2302:$E$100,"&gt;="&amp;B2302,CBIC_Late_Fee_Relief_Windows_3B!$F$2302:$F$100,"&lt;="&amp;C2302,CBIC_Late_Fee_Relief_Windows_3B!$G$2302:$G$100,"&gt;="&amp;C2302)</f>
        <v/>
      </c>
      <c r="H2302">
        <f>INDEX(CBIC_Late_Fee_Relief_Windows_3B!$I$2302:$I$100,MATCH(G2302,CBIC_Late_Fee_Relief_Windows_3B!$O$2302:$O$100,0))</f>
        <v/>
      </c>
      <c r="I2302">
        <f>MIN(F2302,H2302)</f>
        <v/>
      </c>
    </row>
    <row r="2303">
      <c r="A2303">
        <f>TEST_DATA!A2303</f>
        <v/>
      </c>
      <c r="B2303">
        <f>TEST_DATA!B2303</f>
        <v/>
      </c>
      <c r="C2303">
        <f>TEST_DATA!C2303</f>
        <v/>
      </c>
      <c r="D2303">
        <f>TEST_DATA!D2303</f>
        <v/>
      </c>
      <c r="E2303">
        <f>TEST_DATA!E2303</f>
        <v/>
      </c>
      <c r="F2303">
        <f>MIN(E2303*230300,10000)</f>
        <v/>
      </c>
      <c r="G2303">
        <f>MINIFS(CBIC_Late_Fee_Relief_Windows_3B!$O$2303:$O$100,CBIC_Late_Fee_Relief_Windows_3B!$D$2303:$D$100,"&lt;="&amp;B2303,CBIC_Late_Fee_Relief_Windows_3B!$E$2303:$E$100,"&gt;="&amp;B2303,CBIC_Late_Fee_Relief_Windows_3B!$F$2303:$F$100,"&lt;="&amp;C2303,CBIC_Late_Fee_Relief_Windows_3B!$G$2303:$G$100,"&gt;="&amp;C2303)</f>
        <v/>
      </c>
      <c r="H2303">
        <f>INDEX(CBIC_Late_Fee_Relief_Windows_3B!$I$2303:$I$100,MATCH(G2303,CBIC_Late_Fee_Relief_Windows_3B!$O$2303:$O$100,0))</f>
        <v/>
      </c>
      <c r="I2303">
        <f>MIN(F2303,H2303)</f>
        <v/>
      </c>
    </row>
    <row r="2304">
      <c r="A2304">
        <f>TEST_DATA!A2304</f>
        <v/>
      </c>
      <c r="B2304">
        <f>TEST_DATA!B2304</f>
        <v/>
      </c>
      <c r="C2304">
        <f>TEST_DATA!C2304</f>
        <v/>
      </c>
      <c r="D2304">
        <f>TEST_DATA!D2304</f>
        <v/>
      </c>
      <c r="E2304">
        <f>TEST_DATA!E2304</f>
        <v/>
      </c>
      <c r="F2304">
        <f>MIN(E2304*230400,10000)</f>
        <v/>
      </c>
      <c r="G2304">
        <f>MINIFS(CBIC_Late_Fee_Relief_Windows_3B!$O$2304:$O$100,CBIC_Late_Fee_Relief_Windows_3B!$D$2304:$D$100,"&lt;="&amp;B2304,CBIC_Late_Fee_Relief_Windows_3B!$E$2304:$E$100,"&gt;="&amp;B2304,CBIC_Late_Fee_Relief_Windows_3B!$F$2304:$F$100,"&lt;="&amp;C2304,CBIC_Late_Fee_Relief_Windows_3B!$G$2304:$G$100,"&gt;="&amp;C2304)</f>
        <v/>
      </c>
      <c r="H2304">
        <f>INDEX(CBIC_Late_Fee_Relief_Windows_3B!$I$2304:$I$100,MATCH(G2304,CBIC_Late_Fee_Relief_Windows_3B!$O$2304:$O$100,0))</f>
        <v/>
      </c>
      <c r="I2304">
        <f>MIN(F2304,H2304)</f>
        <v/>
      </c>
    </row>
    <row r="2305">
      <c r="A2305">
        <f>TEST_DATA!A2305</f>
        <v/>
      </c>
      <c r="B2305">
        <f>TEST_DATA!B2305</f>
        <v/>
      </c>
      <c r="C2305">
        <f>TEST_DATA!C2305</f>
        <v/>
      </c>
      <c r="D2305">
        <f>TEST_DATA!D2305</f>
        <v/>
      </c>
      <c r="E2305">
        <f>TEST_DATA!E2305</f>
        <v/>
      </c>
      <c r="F2305">
        <f>MIN(E2305*230500,10000)</f>
        <v/>
      </c>
      <c r="G2305">
        <f>MINIFS(CBIC_Late_Fee_Relief_Windows_3B!$O$2305:$O$100,CBIC_Late_Fee_Relief_Windows_3B!$D$2305:$D$100,"&lt;="&amp;B2305,CBIC_Late_Fee_Relief_Windows_3B!$E$2305:$E$100,"&gt;="&amp;B2305,CBIC_Late_Fee_Relief_Windows_3B!$F$2305:$F$100,"&lt;="&amp;C2305,CBIC_Late_Fee_Relief_Windows_3B!$G$2305:$G$100,"&gt;="&amp;C2305)</f>
        <v/>
      </c>
      <c r="H2305">
        <f>INDEX(CBIC_Late_Fee_Relief_Windows_3B!$I$2305:$I$100,MATCH(G2305,CBIC_Late_Fee_Relief_Windows_3B!$O$2305:$O$100,0))</f>
        <v/>
      </c>
      <c r="I2305">
        <f>MIN(F2305,H2305)</f>
        <v/>
      </c>
    </row>
    <row r="2306">
      <c r="A2306">
        <f>TEST_DATA!A2306</f>
        <v/>
      </c>
      <c r="B2306">
        <f>TEST_DATA!B2306</f>
        <v/>
      </c>
      <c r="C2306">
        <f>TEST_DATA!C2306</f>
        <v/>
      </c>
      <c r="D2306">
        <f>TEST_DATA!D2306</f>
        <v/>
      </c>
      <c r="E2306">
        <f>TEST_DATA!E2306</f>
        <v/>
      </c>
      <c r="F2306">
        <f>MIN(E2306*230600,10000)</f>
        <v/>
      </c>
      <c r="G2306">
        <f>MINIFS(CBIC_Late_Fee_Relief_Windows_3B!$O$2306:$O$100,CBIC_Late_Fee_Relief_Windows_3B!$D$2306:$D$100,"&lt;="&amp;B2306,CBIC_Late_Fee_Relief_Windows_3B!$E$2306:$E$100,"&gt;="&amp;B2306,CBIC_Late_Fee_Relief_Windows_3B!$F$2306:$F$100,"&lt;="&amp;C2306,CBIC_Late_Fee_Relief_Windows_3B!$G$2306:$G$100,"&gt;="&amp;C2306)</f>
        <v/>
      </c>
      <c r="H2306">
        <f>INDEX(CBIC_Late_Fee_Relief_Windows_3B!$I$2306:$I$100,MATCH(G2306,CBIC_Late_Fee_Relief_Windows_3B!$O$2306:$O$100,0))</f>
        <v/>
      </c>
      <c r="I2306">
        <f>MIN(F2306,H2306)</f>
        <v/>
      </c>
    </row>
    <row r="2307">
      <c r="A2307">
        <f>TEST_DATA!A2307</f>
        <v/>
      </c>
      <c r="B2307">
        <f>TEST_DATA!B2307</f>
        <v/>
      </c>
      <c r="C2307">
        <f>TEST_DATA!C2307</f>
        <v/>
      </c>
      <c r="D2307">
        <f>TEST_DATA!D2307</f>
        <v/>
      </c>
      <c r="E2307">
        <f>TEST_DATA!E2307</f>
        <v/>
      </c>
      <c r="F2307">
        <f>MIN(E2307*230700,10000)</f>
        <v/>
      </c>
      <c r="G2307">
        <f>MINIFS(CBIC_Late_Fee_Relief_Windows_3B!$O$2307:$O$100,CBIC_Late_Fee_Relief_Windows_3B!$D$2307:$D$100,"&lt;="&amp;B2307,CBIC_Late_Fee_Relief_Windows_3B!$E$2307:$E$100,"&gt;="&amp;B2307,CBIC_Late_Fee_Relief_Windows_3B!$F$2307:$F$100,"&lt;="&amp;C2307,CBIC_Late_Fee_Relief_Windows_3B!$G$2307:$G$100,"&gt;="&amp;C2307)</f>
        <v/>
      </c>
      <c r="H2307">
        <f>INDEX(CBIC_Late_Fee_Relief_Windows_3B!$I$2307:$I$100,MATCH(G2307,CBIC_Late_Fee_Relief_Windows_3B!$O$2307:$O$100,0))</f>
        <v/>
      </c>
      <c r="I2307">
        <f>MIN(F2307,H2307)</f>
        <v/>
      </c>
    </row>
    <row r="2308">
      <c r="A2308">
        <f>TEST_DATA!A2308</f>
        <v/>
      </c>
      <c r="B2308">
        <f>TEST_DATA!B2308</f>
        <v/>
      </c>
      <c r="C2308">
        <f>TEST_DATA!C2308</f>
        <v/>
      </c>
      <c r="D2308">
        <f>TEST_DATA!D2308</f>
        <v/>
      </c>
      <c r="E2308">
        <f>TEST_DATA!E2308</f>
        <v/>
      </c>
      <c r="F2308">
        <f>MIN(E2308*230800,10000)</f>
        <v/>
      </c>
      <c r="G2308">
        <f>MINIFS(CBIC_Late_Fee_Relief_Windows_3B!$O$2308:$O$100,CBIC_Late_Fee_Relief_Windows_3B!$D$2308:$D$100,"&lt;="&amp;B2308,CBIC_Late_Fee_Relief_Windows_3B!$E$2308:$E$100,"&gt;="&amp;B2308,CBIC_Late_Fee_Relief_Windows_3B!$F$2308:$F$100,"&lt;="&amp;C2308,CBIC_Late_Fee_Relief_Windows_3B!$G$2308:$G$100,"&gt;="&amp;C2308)</f>
        <v/>
      </c>
      <c r="H2308">
        <f>INDEX(CBIC_Late_Fee_Relief_Windows_3B!$I$2308:$I$100,MATCH(G2308,CBIC_Late_Fee_Relief_Windows_3B!$O$2308:$O$100,0))</f>
        <v/>
      </c>
      <c r="I2308">
        <f>MIN(F2308,H2308)</f>
        <v/>
      </c>
    </row>
    <row r="2309">
      <c r="A2309">
        <f>TEST_DATA!A2309</f>
        <v/>
      </c>
      <c r="B2309">
        <f>TEST_DATA!B2309</f>
        <v/>
      </c>
      <c r="C2309">
        <f>TEST_DATA!C2309</f>
        <v/>
      </c>
      <c r="D2309">
        <f>TEST_DATA!D2309</f>
        <v/>
      </c>
      <c r="E2309">
        <f>TEST_DATA!E2309</f>
        <v/>
      </c>
      <c r="F2309">
        <f>MIN(E2309*230900,10000)</f>
        <v/>
      </c>
      <c r="G2309">
        <f>MINIFS(CBIC_Late_Fee_Relief_Windows_3B!$O$2309:$O$100,CBIC_Late_Fee_Relief_Windows_3B!$D$2309:$D$100,"&lt;="&amp;B2309,CBIC_Late_Fee_Relief_Windows_3B!$E$2309:$E$100,"&gt;="&amp;B2309,CBIC_Late_Fee_Relief_Windows_3B!$F$2309:$F$100,"&lt;="&amp;C2309,CBIC_Late_Fee_Relief_Windows_3B!$G$2309:$G$100,"&gt;="&amp;C2309)</f>
        <v/>
      </c>
      <c r="H2309">
        <f>INDEX(CBIC_Late_Fee_Relief_Windows_3B!$I$2309:$I$100,MATCH(G2309,CBIC_Late_Fee_Relief_Windows_3B!$O$2309:$O$100,0))</f>
        <v/>
      </c>
      <c r="I2309">
        <f>MIN(F2309,H2309)</f>
        <v/>
      </c>
    </row>
    <row r="2310">
      <c r="A2310">
        <f>TEST_DATA!A2310</f>
        <v/>
      </c>
      <c r="B2310">
        <f>TEST_DATA!B2310</f>
        <v/>
      </c>
      <c r="C2310">
        <f>TEST_DATA!C2310</f>
        <v/>
      </c>
      <c r="D2310">
        <f>TEST_DATA!D2310</f>
        <v/>
      </c>
      <c r="E2310">
        <f>TEST_DATA!E2310</f>
        <v/>
      </c>
      <c r="F2310">
        <f>MIN(E2310*231000,10000)</f>
        <v/>
      </c>
      <c r="G2310">
        <f>MINIFS(CBIC_Late_Fee_Relief_Windows_3B!$O$2310:$O$100,CBIC_Late_Fee_Relief_Windows_3B!$D$2310:$D$100,"&lt;="&amp;B2310,CBIC_Late_Fee_Relief_Windows_3B!$E$2310:$E$100,"&gt;="&amp;B2310,CBIC_Late_Fee_Relief_Windows_3B!$F$2310:$F$100,"&lt;="&amp;C2310,CBIC_Late_Fee_Relief_Windows_3B!$G$2310:$G$100,"&gt;="&amp;C2310)</f>
        <v/>
      </c>
      <c r="H2310">
        <f>INDEX(CBIC_Late_Fee_Relief_Windows_3B!$I$2310:$I$100,MATCH(G2310,CBIC_Late_Fee_Relief_Windows_3B!$O$2310:$O$100,0))</f>
        <v/>
      </c>
      <c r="I2310">
        <f>MIN(F2310,H2310)</f>
        <v/>
      </c>
    </row>
    <row r="2311">
      <c r="A2311">
        <f>TEST_DATA!A2311</f>
        <v/>
      </c>
      <c r="B2311">
        <f>TEST_DATA!B2311</f>
        <v/>
      </c>
      <c r="C2311">
        <f>TEST_DATA!C2311</f>
        <v/>
      </c>
      <c r="D2311">
        <f>TEST_DATA!D2311</f>
        <v/>
      </c>
      <c r="E2311">
        <f>TEST_DATA!E2311</f>
        <v/>
      </c>
      <c r="F2311">
        <f>MIN(E2311*231100,10000)</f>
        <v/>
      </c>
      <c r="G2311">
        <f>MINIFS(CBIC_Late_Fee_Relief_Windows_3B!$O$2311:$O$100,CBIC_Late_Fee_Relief_Windows_3B!$D$2311:$D$100,"&lt;="&amp;B2311,CBIC_Late_Fee_Relief_Windows_3B!$E$2311:$E$100,"&gt;="&amp;B2311,CBIC_Late_Fee_Relief_Windows_3B!$F$2311:$F$100,"&lt;="&amp;C2311,CBIC_Late_Fee_Relief_Windows_3B!$G$2311:$G$100,"&gt;="&amp;C2311)</f>
        <v/>
      </c>
      <c r="H2311">
        <f>INDEX(CBIC_Late_Fee_Relief_Windows_3B!$I$2311:$I$100,MATCH(G2311,CBIC_Late_Fee_Relief_Windows_3B!$O$2311:$O$100,0))</f>
        <v/>
      </c>
      <c r="I2311">
        <f>MIN(F2311,H2311)</f>
        <v/>
      </c>
    </row>
    <row r="2312">
      <c r="A2312">
        <f>TEST_DATA!A2312</f>
        <v/>
      </c>
      <c r="B2312">
        <f>TEST_DATA!B2312</f>
        <v/>
      </c>
      <c r="C2312">
        <f>TEST_DATA!C2312</f>
        <v/>
      </c>
      <c r="D2312">
        <f>TEST_DATA!D2312</f>
        <v/>
      </c>
      <c r="E2312">
        <f>TEST_DATA!E2312</f>
        <v/>
      </c>
      <c r="F2312">
        <f>MIN(E2312*231200,10000)</f>
        <v/>
      </c>
      <c r="G2312">
        <f>MINIFS(CBIC_Late_Fee_Relief_Windows_3B!$O$2312:$O$100,CBIC_Late_Fee_Relief_Windows_3B!$D$2312:$D$100,"&lt;="&amp;B2312,CBIC_Late_Fee_Relief_Windows_3B!$E$2312:$E$100,"&gt;="&amp;B2312,CBIC_Late_Fee_Relief_Windows_3B!$F$2312:$F$100,"&lt;="&amp;C2312,CBIC_Late_Fee_Relief_Windows_3B!$G$2312:$G$100,"&gt;="&amp;C2312)</f>
        <v/>
      </c>
      <c r="H2312">
        <f>INDEX(CBIC_Late_Fee_Relief_Windows_3B!$I$2312:$I$100,MATCH(G2312,CBIC_Late_Fee_Relief_Windows_3B!$O$2312:$O$100,0))</f>
        <v/>
      </c>
      <c r="I2312">
        <f>MIN(F2312,H2312)</f>
        <v/>
      </c>
    </row>
    <row r="2313">
      <c r="A2313">
        <f>TEST_DATA!A2313</f>
        <v/>
      </c>
      <c r="B2313">
        <f>TEST_DATA!B2313</f>
        <v/>
      </c>
      <c r="C2313">
        <f>TEST_DATA!C2313</f>
        <v/>
      </c>
      <c r="D2313">
        <f>TEST_DATA!D2313</f>
        <v/>
      </c>
      <c r="E2313">
        <f>TEST_DATA!E2313</f>
        <v/>
      </c>
      <c r="F2313">
        <f>MIN(E2313*231300,10000)</f>
        <v/>
      </c>
      <c r="G2313">
        <f>MINIFS(CBIC_Late_Fee_Relief_Windows_3B!$O$2313:$O$100,CBIC_Late_Fee_Relief_Windows_3B!$D$2313:$D$100,"&lt;="&amp;B2313,CBIC_Late_Fee_Relief_Windows_3B!$E$2313:$E$100,"&gt;="&amp;B2313,CBIC_Late_Fee_Relief_Windows_3B!$F$2313:$F$100,"&lt;="&amp;C2313,CBIC_Late_Fee_Relief_Windows_3B!$G$2313:$G$100,"&gt;="&amp;C2313)</f>
        <v/>
      </c>
      <c r="H2313">
        <f>INDEX(CBIC_Late_Fee_Relief_Windows_3B!$I$2313:$I$100,MATCH(G2313,CBIC_Late_Fee_Relief_Windows_3B!$O$2313:$O$100,0))</f>
        <v/>
      </c>
      <c r="I2313">
        <f>MIN(F2313,H2313)</f>
        <v/>
      </c>
    </row>
    <row r="2314">
      <c r="A2314">
        <f>TEST_DATA!A2314</f>
        <v/>
      </c>
      <c r="B2314">
        <f>TEST_DATA!B2314</f>
        <v/>
      </c>
      <c r="C2314">
        <f>TEST_DATA!C2314</f>
        <v/>
      </c>
      <c r="D2314">
        <f>TEST_DATA!D2314</f>
        <v/>
      </c>
      <c r="E2314">
        <f>TEST_DATA!E2314</f>
        <v/>
      </c>
      <c r="F2314">
        <f>MIN(E2314*231400,10000)</f>
        <v/>
      </c>
      <c r="G2314">
        <f>MINIFS(CBIC_Late_Fee_Relief_Windows_3B!$O$2314:$O$100,CBIC_Late_Fee_Relief_Windows_3B!$D$2314:$D$100,"&lt;="&amp;B2314,CBIC_Late_Fee_Relief_Windows_3B!$E$2314:$E$100,"&gt;="&amp;B2314,CBIC_Late_Fee_Relief_Windows_3B!$F$2314:$F$100,"&lt;="&amp;C2314,CBIC_Late_Fee_Relief_Windows_3B!$G$2314:$G$100,"&gt;="&amp;C2314)</f>
        <v/>
      </c>
      <c r="H2314">
        <f>INDEX(CBIC_Late_Fee_Relief_Windows_3B!$I$2314:$I$100,MATCH(G2314,CBIC_Late_Fee_Relief_Windows_3B!$O$2314:$O$100,0))</f>
        <v/>
      </c>
      <c r="I2314">
        <f>MIN(F2314,H2314)</f>
        <v/>
      </c>
    </row>
    <row r="2315">
      <c r="A2315">
        <f>TEST_DATA!A2315</f>
        <v/>
      </c>
      <c r="B2315">
        <f>TEST_DATA!B2315</f>
        <v/>
      </c>
      <c r="C2315">
        <f>TEST_DATA!C2315</f>
        <v/>
      </c>
      <c r="D2315">
        <f>TEST_DATA!D2315</f>
        <v/>
      </c>
      <c r="E2315">
        <f>TEST_DATA!E2315</f>
        <v/>
      </c>
      <c r="F2315">
        <f>MIN(E2315*231500,10000)</f>
        <v/>
      </c>
      <c r="G2315">
        <f>MINIFS(CBIC_Late_Fee_Relief_Windows_3B!$O$2315:$O$100,CBIC_Late_Fee_Relief_Windows_3B!$D$2315:$D$100,"&lt;="&amp;B2315,CBIC_Late_Fee_Relief_Windows_3B!$E$2315:$E$100,"&gt;="&amp;B2315,CBIC_Late_Fee_Relief_Windows_3B!$F$2315:$F$100,"&lt;="&amp;C2315,CBIC_Late_Fee_Relief_Windows_3B!$G$2315:$G$100,"&gt;="&amp;C2315)</f>
        <v/>
      </c>
      <c r="H2315">
        <f>INDEX(CBIC_Late_Fee_Relief_Windows_3B!$I$2315:$I$100,MATCH(G2315,CBIC_Late_Fee_Relief_Windows_3B!$O$2315:$O$100,0))</f>
        <v/>
      </c>
      <c r="I2315">
        <f>MIN(F2315,H2315)</f>
        <v/>
      </c>
    </row>
    <row r="2316">
      <c r="A2316">
        <f>TEST_DATA!A2316</f>
        <v/>
      </c>
      <c r="B2316">
        <f>TEST_DATA!B2316</f>
        <v/>
      </c>
      <c r="C2316">
        <f>TEST_DATA!C2316</f>
        <v/>
      </c>
      <c r="D2316">
        <f>TEST_DATA!D2316</f>
        <v/>
      </c>
      <c r="E2316">
        <f>TEST_DATA!E2316</f>
        <v/>
      </c>
      <c r="F2316">
        <f>MIN(E2316*231600,10000)</f>
        <v/>
      </c>
      <c r="G2316">
        <f>MINIFS(CBIC_Late_Fee_Relief_Windows_3B!$O$2316:$O$100,CBIC_Late_Fee_Relief_Windows_3B!$D$2316:$D$100,"&lt;="&amp;B2316,CBIC_Late_Fee_Relief_Windows_3B!$E$2316:$E$100,"&gt;="&amp;B2316,CBIC_Late_Fee_Relief_Windows_3B!$F$2316:$F$100,"&lt;="&amp;C2316,CBIC_Late_Fee_Relief_Windows_3B!$G$2316:$G$100,"&gt;="&amp;C2316)</f>
        <v/>
      </c>
      <c r="H2316">
        <f>INDEX(CBIC_Late_Fee_Relief_Windows_3B!$I$2316:$I$100,MATCH(G2316,CBIC_Late_Fee_Relief_Windows_3B!$O$2316:$O$100,0))</f>
        <v/>
      </c>
      <c r="I2316">
        <f>MIN(F2316,H2316)</f>
        <v/>
      </c>
    </row>
    <row r="2317">
      <c r="A2317">
        <f>TEST_DATA!A2317</f>
        <v/>
      </c>
      <c r="B2317">
        <f>TEST_DATA!B2317</f>
        <v/>
      </c>
      <c r="C2317">
        <f>TEST_DATA!C2317</f>
        <v/>
      </c>
      <c r="D2317">
        <f>TEST_DATA!D2317</f>
        <v/>
      </c>
      <c r="E2317">
        <f>TEST_DATA!E2317</f>
        <v/>
      </c>
      <c r="F2317">
        <f>MIN(E2317*231700,10000)</f>
        <v/>
      </c>
      <c r="G2317">
        <f>MINIFS(CBIC_Late_Fee_Relief_Windows_3B!$O$2317:$O$100,CBIC_Late_Fee_Relief_Windows_3B!$D$2317:$D$100,"&lt;="&amp;B2317,CBIC_Late_Fee_Relief_Windows_3B!$E$2317:$E$100,"&gt;="&amp;B2317,CBIC_Late_Fee_Relief_Windows_3B!$F$2317:$F$100,"&lt;="&amp;C2317,CBIC_Late_Fee_Relief_Windows_3B!$G$2317:$G$100,"&gt;="&amp;C2317)</f>
        <v/>
      </c>
      <c r="H2317">
        <f>INDEX(CBIC_Late_Fee_Relief_Windows_3B!$I$2317:$I$100,MATCH(G2317,CBIC_Late_Fee_Relief_Windows_3B!$O$2317:$O$100,0))</f>
        <v/>
      </c>
      <c r="I2317">
        <f>MIN(F2317,H2317)</f>
        <v/>
      </c>
    </row>
    <row r="2318">
      <c r="A2318">
        <f>TEST_DATA!A2318</f>
        <v/>
      </c>
      <c r="B2318">
        <f>TEST_DATA!B2318</f>
        <v/>
      </c>
      <c r="C2318">
        <f>TEST_DATA!C2318</f>
        <v/>
      </c>
      <c r="D2318">
        <f>TEST_DATA!D2318</f>
        <v/>
      </c>
      <c r="E2318">
        <f>TEST_DATA!E2318</f>
        <v/>
      </c>
      <c r="F2318">
        <f>MIN(E2318*231800,10000)</f>
        <v/>
      </c>
      <c r="G2318">
        <f>MINIFS(CBIC_Late_Fee_Relief_Windows_3B!$O$2318:$O$100,CBIC_Late_Fee_Relief_Windows_3B!$D$2318:$D$100,"&lt;="&amp;B2318,CBIC_Late_Fee_Relief_Windows_3B!$E$2318:$E$100,"&gt;="&amp;B2318,CBIC_Late_Fee_Relief_Windows_3B!$F$2318:$F$100,"&lt;="&amp;C2318,CBIC_Late_Fee_Relief_Windows_3B!$G$2318:$G$100,"&gt;="&amp;C2318)</f>
        <v/>
      </c>
      <c r="H2318">
        <f>INDEX(CBIC_Late_Fee_Relief_Windows_3B!$I$2318:$I$100,MATCH(G2318,CBIC_Late_Fee_Relief_Windows_3B!$O$2318:$O$100,0))</f>
        <v/>
      </c>
      <c r="I2318">
        <f>MIN(F2318,H2318)</f>
        <v/>
      </c>
    </row>
    <row r="2319">
      <c r="A2319">
        <f>TEST_DATA!A2319</f>
        <v/>
      </c>
      <c r="B2319">
        <f>TEST_DATA!B2319</f>
        <v/>
      </c>
      <c r="C2319">
        <f>TEST_DATA!C2319</f>
        <v/>
      </c>
      <c r="D2319">
        <f>TEST_DATA!D2319</f>
        <v/>
      </c>
      <c r="E2319">
        <f>TEST_DATA!E2319</f>
        <v/>
      </c>
      <c r="F2319">
        <f>MIN(E2319*231900,10000)</f>
        <v/>
      </c>
      <c r="G2319">
        <f>MINIFS(CBIC_Late_Fee_Relief_Windows_3B!$O$2319:$O$100,CBIC_Late_Fee_Relief_Windows_3B!$D$2319:$D$100,"&lt;="&amp;B2319,CBIC_Late_Fee_Relief_Windows_3B!$E$2319:$E$100,"&gt;="&amp;B2319,CBIC_Late_Fee_Relief_Windows_3B!$F$2319:$F$100,"&lt;="&amp;C2319,CBIC_Late_Fee_Relief_Windows_3B!$G$2319:$G$100,"&gt;="&amp;C2319)</f>
        <v/>
      </c>
      <c r="H2319">
        <f>INDEX(CBIC_Late_Fee_Relief_Windows_3B!$I$2319:$I$100,MATCH(G2319,CBIC_Late_Fee_Relief_Windows_3B!$O$2319:$O$100,0))</f>
        <v/>
      </c>
      <c r="I2319">
        <f>MIN(F2319,H2319)</f>
        <v/>
      </c>
    </row>
    <row r="2320">
      <c r="A2320">
        <f>TEST_DATA!A2320</f>
        <v/>
      </c>
      <c r="B2320">
        <f>TEST_DATA!B2320</f>
        <v/>
      </c>
      <c r="C2320">
        <f>TEST_DATA!C2320</f>
        <v/>
      </c>
      <c r="D2320">
        <f>TEST_DATA!D2320</f>
        <v/>
      </c>
      <c r="E2320">
        <f>TEST_DATA!E2320</f>
        <v/>
      </c>
      <c r="F2320">
        <f>MIN(E2320*232000,10000)</f>
        <v/>
      </c>
      <c r="G2320">
        <f>MINIFS(CBIC_Late_Fee_Relief_Windows_3B!$O$2320:$O$100,CBIC_Late_Fee_Relief_Windows_3B!$D$2320:$D$100,"&lt;="&amp;B2320,CBIC_Late_Fee_Relief_Windows_3B!$E$2320:$E$100,"&gt;="&amp;B2320,CBIC_Late_Fee_Relief_Windows_3B!$F$2320:$F$100,"&lt;="&amp;C2320,CBIC_Late_Fee_Relief_Windows_3B!$G$2320:$G$100,"&gt;="&amp;C2320)</f>
        <v/>
      </c>
      <c r="H2320">
        <f>INDEX(CBIC_Late_Fee_Relief_Windows_3B!$I$2320:$I$100,MATCH(G2320,CBIC_Late_Fee_Relief_Windows_3B!$O$2320:$O$100,0))</f>
        <v/>
      </c>
      <c r="I2320">
        <f>MIN(F2320,H2320)</f>
        <v/>
      </c>
    </row>
    <row r="2321">
      <c r="A2321">
        <f>TEST_DATA!A2321</f>
        <v/>
      </c>
      <c r="B2321">
        <f>TEST_DATA!B2321</f>
        <v/>
      </c>
      <c r="C2321">
        <f>TEST_DATA!C2321</f>
        <v/>
      </c>
      <c r="D2321">
        <f>TEST_DATA!D2321</f>
        <v/>
      </c>
      <c r="E2321">
        <f>TEST_DATA!E2321</f>
        <v/>
      </c>
      <c r="F2321">
        <f>MIN(E2321*232100,10000)</f>
        <v/>
      </c>
      <c r="G2321">
        <f>MINIFS(CBIC_Late_Fee_Relief_Windows_3B!$O$2321:$O$100,CBIC_Late_Fee_Relief_Windows_3B!$D$2321:$D$100,"&lt;="&amp;B2321,CBIC_Late_Fee_Relief_Windows_3B!$E$2321:$E$100,"&gt;="&amp;B2321,CBIC_Late_Fee_Relief_Windows_3B!$F$2321:$F$100,"&lt;="&amp;C2321,CBIC_Late_Fee_Relief_Windows_3B!$G$2321:$G$100,"&gt;="&amp;C2321)</f>
        <v/>
      </c>
      <c r="H2321">
        <f>INDEX(CBIC_Late_Fee_Relief_Windows_3B!$I$2321:$I$100,MATCH(G2321,CBIC_Late_Fee_Relief_Windows_3B!$O$2321:$O$100,0))</f>
        <v/>
      </c>
      <c r="I2321">
        <f>MIN(F2321,H2321)</f>
        <v/>
      </c>
    </row>
    <row r="2322">
      <c r="A2322">
        <f>TEST_DATA!A2322</f>
        <v/>
      </c>
      <c r="B2322">
        <f>TEST_DATA!B2322</f>
        <v/>
      </c>
      <c r="C2322">
        <f>TEST_DATA!C2322</f>
        <v/>
      </c>
      <c r="D2322">
        <f>TEST_DATA!D2322</f>
        <v/>
      </c>
      <c r="E2322">
        <f>TEST_DATA!E2322</f>
        <v/>
      </c>
      <c r="F2322">
        <f>MIN(E2322*232200,10000)</f>
        <v/>
      </c>
      <c r="G2322">
        <f>MINIFS(CBIC_Late_Fee_Relief_Windows_3B!$O$2322:$O$100,CBIC_Late_Fee_Relief_Windows_3B!$D$2322:$D$100,"&lt;="&amp;B2322,CBIC_Late_Fee_Relief_Windows_3B!$E$2322:$E$100,"&gt;="&amp;B2322,CBIC_Late_Fee_Relief_Windows_3B!$F$2322:$F$100,"&lt;="&amp;C2322,CBIC_Late_Fee_Relief_Windows_3B!$G$2322:$G$100,"&gt;="&amp;C2322)</f>
        <v/>
      </c>
      <c r="H2322">
        <f>INDEX(CBIC_Late_Fee_Relief_Windows_3B!$I$2322:$I$100,MATCH(G2322,CBIC_Late_Fee_Relief_Windows_3B!$O$2322:$O$100,0))</f>
        <v/>
      </c>
      <c r="I2322">
        <f>MIN(F2322,H2322)</f>
        <v/>
      </c>
    </row>
    <row r="2323">
      <c r="A2323">
        <f>TEST_DATA!A2323</f>
        <v/>
      </c>
      <c r="B2323">
        <f>TEST_DATA!B2323</f>
        <v/>
      </c>
      <c r="C2323">
        <f>TEST_DATA!C2323</f>
        <v/>
      </c>
      <c r="D2323">
        <f>TEST_DATA!D2323</f>
        <v/>
      </c>
      <c r="E2323">
        <f>TEST_DATA!E2323</f>
        <v/>
      </c>
      <c r="F2323">
        <f>MIN(E2323*232300,10000)</f>
        <v/>
      </c>
      <c r="G2323">
        <f>MINIFS(CBIC_Late_Fee_Relief_Windows_3B!$O$2323:$O$100,CBIC_Late_Fee_Relief_Windows_3B!$D$2323:$D$100,"&lt;="&amp;B2323,CBIC_Late_Fee_Relief_Windows_3B!$E$2323:$E$100,"&gt;="&amp;B2323,CBIC_Late_Fee_Relief_Windows_3B!$F$2323:$F$100,"&lt;="&amp;C2323,CBIC_Late_Fee_Relief_Windows_3B!$G$2323:$G$100,"&gt;="&amp;C2323)</f>
        <v/>
      </c>
      <c r="H2323">
        <f>INDEX(CBIC_Late_Fee_Relief_Windows_3B!$I$2323:$I$100,MATCH(G2323,CBIC_Late_Fee_Relief_Windows_3B!$O$2323:$O$100,0))</f>
        <v/>
      </c>
      <c r="I2323">
        <f>MIN(F2323,H2323)</f>
        <v/>
      </c>
    </row>
    <row r="2324">
      <c r="A2324">
        <f>TEST_DATA!A2324</f>
        <v/>
      </c>
      <c r="B2324">
        <f>TEST_DATA!B2324</f>
        <v/>
      </c>
      <c r="C2324">
        <f>TEST_DATA!C2324</f>
        <v/>
      </c>
      <c r="D2324">
        <f>TEST_DATA!D2324</f>
        <v/>
      </c>
      <c r="E2324">
        <f>TEST_DATA!E2324</f>
        <v/>
      </c>
      <c r="F2324">
        <f>MIN(E2324*232400,10000)</f>
        <v/>
      </c>
      <c r="G2324">
        <f>MINIFS(CBIC_Late_Fee_Relief_Windows_3B!$O$2324:$O$100,CBIC_Late_Fee_Relief_Windows_3B!$D$2324:$D$100,"&lt;="&amp;B2324,CBIC_Late_Fee_Relief_Windows_3B!$E$2324:$E$100,"&gt;="&amp;B2324,CBIC_Late_Fee_Relief_Windows_3B!$F$2324:$F$100,"&lt;="&amp;C2324,CBIC_Late_Fee_Relief_Windows_3B!$G$2324:$G$100,"&gt;="&amp;C2324)</f>
        <v/>
      </c>
      <c r="H2324">
        <f>INDEX(CBIC_Late_Fee_Relief_Windows_3B!$I$2324:$I$100,MATCH(G2324,CBIC_Late_Fee_Relief_Windows_3B!$O$2324:$O$100,0))</f>
        <v/>
      </c>
      <c r="I2324">
        <f>MIN(F2324,H2324)</f>
        <v/>
      </c>
    </row>
    <row r="2325">
      <c r="A2325">
        <f>TEST_DATA!A2325</f>
        <v/>
      </c>
      <c r="B2325">
        <f>TEST_DATA!B2325</f>
        <v/>
      </c>
      <c r="C2325">
        <f>TEST_DATA!C2325</f>
        <v/>
      </c>
      <c r="D2325">
        <f>TEST_DATA!D2325</f>
        <v/>
      </c>
      <c r="E2325">
        <f>TEST_DATA!E2325</f>
        <v/>
      </c>
      <c r="F2325">
        <f>MIN(E2325*232500,10000)</f>
        <v/>
      </c>
      <c r="G2325">
        <f>MINIFS(CBIC_Late_Fee_Relief_Windows_3B!$O$2325:$O$100,CBIC_Late_Fee_Relief_Windows_3B!$D$2325:$D$100,"&lt;="&amp;B2325,CBIC_Late_Fee_Relief_Windows_3B!$E$2325:$E$100,"&gt;="&amp;B2325,CBIC_Late_Fee_Relief_Windows_3B!$F$2325:$F$100,"&lt;="&amp;C2325,CBIC_Late_Fee_Relief_Windows_3B!$G$2325:$G$100,"&gt;="&amp;C2325)</f>
        <v/>
      </c>
      <c r="H2325">
        <f>INDEX(CBIC_Late_Fee_Relief_Windows_3B!$I$2325:$I$100,MATCH(G2325,CBIC_Late_Fee_Relief_Windows_3B!$O$2325:$O$100,0))</f>
        <v/>
      </c>
      <c r="I2325">
        <f>MIN(F2325,H2325)</f>
        <v/>
      </c>
    </row>
    <row r="2326">
      <c r="A2326">
        <f>TEST_DATA!A2326</f>
        <v/>
      </c>
      <c r="B2326">
        <f>TEST_DATA!B2326</f>
        <v/>
      </c>
      <c r="C2326">
        <f>TEST_DATA!C2326</f>
        <v/>
      </c>
      <c r="D2326">
        <f>TEST_DATA!D2326</f>
        <v/>
      </c>
      <c r="E2326">
        <f>TEST_DATA!E2326</f>
        <v/>
      </c>
      <c r="F2326">
        <f>MIN(E2326*232600,10000)</f>
        <v/>
      </c>
      <c r="G2326">
        <f>MINIFS(CBIC_Late_Fee_Relief_Windows_3B!$O$2326:$O$100,CBIC_Late_Fee_Relief_Windows_3B!$D$2326:$D$100,"&lt;="&amp;B2326,CBIC_Late_Fee_Relief_Windows_3B!$E$2326:$E$100,"&gt;="&amp;B2326,CBIC_Late_Fee_Relief_Windows_3B!$F$2326:$F$100,"&lt;="&amp;C2326,CBIC_Late_Fee_Relief_Windows_3B!$G$2326:$G$100,"&gt;="&amp;C2326)</f>
        <v/>
      </c>
      <c r="H2326">
        <f>INDEX(CBIC_Late_Fee_Relief_Windows_3B!$I$2326:$I$100,MATCH(G2326,CBIC_Late_Fee_Relief_Windows_3B!$O$2326:$O$100,0))</f>
        <v/>
      </c>
      <c r="I2326">
        <f>MIN(F2326,H2326)</f>
        <v/>
      </c>
    </row>
    <row r="2327">
      <c r="A2327">
        <f>TEST_DATA!A2327</f>
        <v/>
      </c>
      <c r="B2327">
        <f>TEST_DATA!B2327</f>
        <v/>
      </c>
      <c r="C2327">
        <f>TEST_DATA!C2327</f>
        <v/>
      </c>
      <c r="D2327">
        <f>TEST_DATA!D2327</f>
        <v/>
      </c>
      <c r="E2327">
        <f>TEST_DATA!E2327</f>
        <v/>
      </c>
      <c r="F2327">
        <f>MIN(E2327*232700,10000)</f>
        <v/>
      </c>
      <c r="G2327">
        <f>MINIFS(CBIC_Late_Fee_Relief_Windows_3B!$O$2327:$O$100,CBIC_Late_Fee_Relief_Windows_3B!$D$2327:$D$100,"&lt;="&amp;B2327,CBIC_Late_Fee_Relief_Windows_3B!$E$2327:$E$100,"&gt;="&amp;B2327,CBIC_Late_Fee_Relief_Windows_3B!$F$2327:$F$100,"&lt;="&amp;C2327,CBIC_Late_Fee_Relief_Windows_3B!$G$2327:$G$100,"&gt;="&amp;C2327)</f>
        <v/>
      </c>
      <c r="H2327">
        <f>INDEX(CBIC_Late_Fee_Relief_Windows_3B!$I$2327:$I$100,MATCH(G2327,CBIC_Late_Fee_Relief_Windows_3B!$O$2327:$O$100,0))</f>
        <v/>
      </c>
      <c r="I2327">
        <f>MIN(F2327,H2327)</f>
        <v/>
      </c>
    </row>
    <row r="2328">
      <c r="A2328">
        <f>TEST_DATA!A2328</f>
        <v/>
      </c>
      <c r="B2328">
        <f>TEST_DATA!B2328</f>
        <v/>
      </c>
      <c r="C2328">
        <f>TEST_DATA!C2328</f>
        <v/>
      </c>
      <c r="D2328">
        <f>TEST_DATA!D2328</f>
        <v/>
      </c>
      <c r="E2328">
        <f>TEST_DATA!E2328</f>
        <v/>
      </c>
      <c r="F2328">
        <f>MIN(E2328*232800,10000)</f>
        <v/>
      </c>
      <c r="G2328">
        <f>MINIFS(CBIC_Late_Fee_Relief_Windows_3B!$O$2328:$O$100,CBIC_Late_Fee_Relief_Windows_3B!$D$2328:$D$100,"&lt;="&amp;B2328,CBIC_Late_Fee_Relief_Windows_3B!$E$2328:$E$100,"&gt;="&amp;B2328,CBIC_Late_Fee_Relief_Windows_3B!$F$2328:$F$100,"&lt;="&amp;C2328,CBIC_Late_Fee_Relief_Windows_3B!$G$2328:$G$100,"&gt;="&amp;C2328)</f>
        <v/>
      </c>
      <c r="H2328">
        <f>INDEX(CBIC_Late_Fee_Relief_Windows_3B!$I$2328:$I$100,MATCH(G2328,CBIC_Late_Fee_Relief_Windows_3B!$O$2328:$O$100,0))</f>
        <v/>
      </c>
      <c r="I2328">
        <f>MIN(F2328,H2328)</f>
        <v/>
      </c>
    </row>
    <row r="2329">
      <c r="A2329">
        <f>TEST_DATA!A2329</f>
        <v/>
      </c>
      <c r="B2329">
        <f>TEST_DATA!B2329</f>
        <v/>
      </c>
      <c r="C2329">
        <f>TEST_DATA!C2329</f>
        <v/>
      </c>
      <c r="D2329">
        <f>TEST_DATA!D2329</f>
        <v/>
      </c>
      <c r="E2329">
        <f>TEST_DATA!E2329</f>
        <v/>
      </c>
      <c r="F2329">
        <f>MIN(E2329*232900,10000)</f>
        <v/>
      </c>
      <c r="G2329">
        <f>MINIFS(CBIC_Late_Fee_Relief_Windows_3B!$O$2329:$O$100,CBIC_Late_Fee_Relief_Windows_3B!$D$2329:$D$100,"&lt;="&amp;B2329,CBIC_Late_Fee_Relief_Windows_3B!$E$2329:$E$100,"&gt;="&amp;B2329,CBIC_Late_Fee_Relief_Windows_3B!$F$2329:$F$100,"&lt;="&amp;C2329,CBIC_Late_Fee_Relief_Windows_3B!$G$2329:$G$100,"&gt;="&amp;C2329)</f>
        <v/>
      </c>
      <c r="H2329">
        <f>INDEX(CBIC_Late_Fee_Relief_Windows_3B!$I$2329:$I$100,MATCH(G2329,CBIC_Late_Fee_Relief_Windows_3B!$O$2329:$O$100,0))</f>
        <v/>
      </c>
      <c r="I2329">
        <f>MIN(F2329,H2329)</f>
        <v/>
      </c>
    </row>
    <row r="2330">
      <c r="A2330">
        <f>TEST_DATA!A2330</f>
        <v/>
      </c>
      <c r="B2330">
        <f>TEST_DATA!B2330</f>
        <v/>
      </c>
      <c r="C2330">
        <f>TEST_DATA!C2330</f>
        <v/>
      </c>
      <c r="D2330">
        <f>TEST_DATA!D2330</f>
        <v/>
      </c>
      <c r="E2330">
        <f>TEST_DATA!E2330</f>
        <v/>
      </c>
      <c r="F2330">
        <f>MIN(E2330*233000,10000)</f>
        <v/>
      </c>
      <c r="G2330">
        <f>MINIFS(CBIC_Late_Fee_Relief_Windows_3B!$O$2330:$O$100,CBIC_Late_Fee_Relief_Windows_3B!$D$2330:$D$100,"&lt;="&amp;B2330,CBIC_Late_Fee_Relief_Windows_3B!$E$2330:$E$100,"&gt;="&amp;B2330,CBIC_Late_Fee_Relief_Windows_3B!$F$2330:$F$100,"&lt;="&amp;C2330,CBIC_Late_Fee_Relief_Windows_3B!$G$2330:$G$100,"&gt;="&amp;C2330)</f>
        <v/>
      </c>
      <c r="H2330">
        <f>INDEX(CBIC_Late_Fee_Relief_Windows_3B!$I$2330:$I$100,MATCH(G2330,CBIC_Late_Fee_Relief_Windows_3B!$O$2330:$O$100,0))</f>
        <v/>
      </c>
      <c r="I2330">
        <f>MIN(F2330,H2330)</f>
        <v/>
      </c>
    </row>
    <row r="2331">
      <c r="A2331">
        <f>TEST_DATA!A2331</f>
        <v/>
      </c>
      <c r="B2331">
        <f>TEST_DATA!B2331</f>
        <v/>
      </c>
      <c r="C2331">
        <f>TEST_DATA!C2331</f>
        <v/>
      </c>
      <c r="D2331">
        <f>TEST_DATA!D2331</f>
        <v/>
      </c>
      <c r="E2331">
        <f>TEST_DATA!E2331</f>
        <v/>
      </c>
      <c r="F2331">
        <f>MIN(E2331*233100,10000)</f>
        <v/>
      </c>
      <c r="G2331">
        <f>MINIFS(CBIC_Late_Fee_Relief_Windows_3B!$O$2331:$O$100,CBIC_Late_Fee_Relief_Windows_3B!$D$2331:$D$100,"&lt;="&amp;B2331,CBIC_Late_Fee_Relief_Windows_3B!$E$2331:$E$100,"&gt;="&amp;B2331,CBIC_Late_Fee_Relief_Windows_3B!$F$2331:$F$100,"&lt;="&amp;C2331,CBIC_Late_Fee_Relief_Windows_3B!$G$2331:$G$100,"&gt;="&amp;C2331)</f>
        <v/>
      </c>
      <c r="H2331">
        <f>INDEX(CBIC_Late_Fee_Relief_Windows_3B!$I$2331:$I$100,MATCH(G2331,CBIC_Late_Fee_Relief_Windows_3B!$O$2331:$O$100,0))</f>
        <v/>
      </c>
      <c r="I2331">
        <f>MIN(F2331,H2331)</f>
        <v/>
      </c>
    </row>
    <row r="2332">
      <c r="A2332">
        <f>TEST_DATA!A2332</f>
        <v/>
      </c>
      <c r="B2332">
        <f>TEST_DATA!B2332</f>
        <v/>
      </c>
      <c r="C2332">
        <f>TEST_DATA!C2332</f>
        <v/>
      </c>
      <c r="D2332">
        <f>TEST_DATA!D2332</f>
        <v/>
      </c>
      <c r="E2332">
        <f>TEST_DATA!E2332</f>
        <v/>
      </c>
      <c r="F2332">
        <f>MIN(E2332*233200,10000)</f>
        <v/>
      </c>
      <c r="G2332">
        <f>MINIFS(CBIC_Late_Fee_Relief_Windows_3B!$O$2332:$O$100,CBIC_Late_Fee_Relief_Windows_3B!$D$2332:$D$100,"&lt;="&amp;B2332,CBIC_Late_Fee_Relief_Windows_3B!$E$2332:$E$100,"&gt;="&amp;B2332,CBIC_Late_Fee_Relief_Windows_3B!$F$2332:$F$100,"&lt;="&amp;C2332,CBIC_Late_Fee_Relief_Windows_3B!$G$2332:$G$100,"&gt;="&amp;C2332)</f>
        <v/>
      </c>
      <c r="H2332">
        <f>INDEX(CBIC_Late_Fee_Relief_Windows_3B!$I$2332:$I$100,MATCH(G2332,CBIC_Late_Fee_Relief_Windows_3B!$O$2332:$O$100,0))</f>
        <v/>
      </c>
      <c r="I2332">
        <f>MIN(F2332,H2332)</f>
        <v/>
      </c>
    </row>
    <row r="2333">
      <c r="A2333">
        <f>TEST_DATA!A2333</f>
        <v/>
      </c>
      <c r="B2333">
        <f>TEST_DATA!B2333</f>
        <v/>
      </c>
      <c r="C2333">
        <f>TEST_DATA!C2333</f>
        <v/>
      </c>
      <c r="D2333">
        <f>TEST_DATA!D2333</f>
        <v/>
      </c>
      <c r="E2333">
        <f>TEST_DATA!E2333</f>
        <v/>
      </c>
      <c r="F2333">
        <f>MIN(E2333*233300,10000)</f>
        <v/>
      </c>
      <c r="G2333">
        <f>MINIFS(CBIC_Late_Fee_Relief_Windows_3B!$O$2333:$O$100,CBIC_Late_Fee_Relief_Windows_3B!$D$2333:$D$100,"&lt;="&amp;B2333,CBIC_Late_Fee_Relief_Windows_3B!$E$2333:$E$100,"&gt;="&amp;B2333,CBIC_Late_Fee_Relief_Windows_3B!$F$2333:$F$100,"&lt;="&amp;C2333,CBIC_Late_Fee_Relief_Windows_3B!$G$2333:$G$100,"&gt;="&amp;C2333)</f>
        <v/>
      </c>
      <c r="H2333">
        <f>INDEX(CBIC_Late_Fee_Relief_Windows_3B!$I$2333:$I$100,MATCH(G2333,CBIC_Late_Fee_Relief_Windows_3B!$O$2333:$O$100,0))</f>
        <v/>
      </c>
      <c r="I2333">
        <f>MIN(F2333,H2333)</f>
        <v/>
      </c>
    </row>
    <row r="2334">
      <c r="A2334">
        <f>TEST_DATA!A2334</f>
        <v/>
      </c>
      <c r="B2334">
        <f>TEST_DATA!B2334</f>
        <v/>
      </c>
      <c r="C2334">
        <f>TEST_DATA!C2334</f>
        <v/>
      </c>
      <c r="D2334">
        <f>TEST_DATA!D2334</f>
        <v/>
      </c>
      <c r="E2334">
        <f>TEST_DATA!E2334</f>
        <v/>
      </c>
      <c r="F2334">
        <f>MIN(E2334*233400,10000)</f>
        <v/>
      </c>
      <c r="G2334">
        <f>MINIFS(CBIC_Late_Fee_Relief_Windows_3B!$O$2334:$O$100,CBIC_Late_Fee_Relief_Windows_3B!$D$2334:$D$100,"&lt;="&amp;B2334,CBIC_Late_Fee_Relief_Windows_3B!$E$2334:$E$100,"&gt;="&amp;B2334,CBIC_Late_Fee_Relief_Windows_3B!$F$2334:$F$100,"&lt;="&amp;C2334,CBIC_Late_Fee_Relief_Windows_3B!$G$2334:$G$100,"&gt;="&amp;C2334)</f>
        <v/>
      </c>
      <c r="H2334">
        <f>INDEX(CBIC_Late_Fee_Relief_Windows_3B!$I$2334:$I$100,MATCH(G2334,CBIC_Late_Fee_Relief_Windows_3B!$O$2334:$O$100,0))</f>
        <v/>
      </c>
      <c r="I2334">
        <f>MIN(F2334,H2334)</f>
        <v/>
      </c>
    </row>
    <row r="2335">
      <c r="A2335">
        <f>TEST_DATA!A2335</f>
        <v/>
      </c>
      <c r="B2335">
        <f>TEST_DATA!B2335</f>
        <v/>
      </c>
      <c r="C2335">
        <f>TEST_DATA!C2335</f>
        <v/>
      </c>
      <c r="D2335">
        <f>TEST_DATA!D2335</f>
        <v/>
      </c>
      <c r="E2335">
        <f>TEST_DATA!E2335</f>
        <v/>
      </c>
      <c r="F2335">
        <f>MIN(E2335*233500,10000)</f>
        <v/>
      </c>
      <c r="G2335">
        <f>MINIFS(CBIC_Late_Fee_Relief_Windows_3B!$O$2335:$O$100,CBIC_Late_Fee_Relief_Windows_3B!$D$2335:$D$100,"&lt;="&amp;B2335,CBIC_Late_Fee_Relief_Windows_3B!$E$2335:$E$100,"&gt;="&amp;B2335,CBIC_Late_Fee_Relief_Windows_3B!$F$2335:$F$100,"&lt;="&amp;C2335,CBIC_Late_Fee_Relief_Windows_3B!$G$2335:$G$100,"&gt;="&amp;C2335)</f>
        <v/>
      </c>
      <c r="H2335">
        <f>INDEX(CBIC_Late_Fee_Relief_Windows_3B!$I$2335:$I$100,MATCH(G2335,CBIC_Late_Fee_Relief_Windows_3B!$O$2335:$O$100,0))</f>
        <v/>
      </c>
      <c r="I2335">
        <f>MIN(F2335,H2335)</f>
        <v/>
      </c>
    </row>
    <row r="2336">
      <c r="A2336">
        <f>TEST_DATA!A2336</f>
        <v/>
      </c>
      <c r="B2336">
        <f>TEST_DATA!B2336</f>
        <v/>
      </c>
      <c r="C2336">
        <f>TEST_DATA!C2336</f>
        <v/>
      </c>
      <c r="D2336">
        <f>TEST_DATA!D2336</f>
        <v/>
      </c>
      <c r="E2336">
        <f>TEST_DATA!E2336</f>
        <v/>
      </c>
      <c r="F2336">
        <f>MIN(E2336*233600,10000)</f>
        <v/>
      </c>
      <c r="G2336">
        <f>MINIFS(CBIC_Late_Fee_Relief_Windows_3B!$O$2336:$O$100,CBIC_Late_Fee_Relief_Windows_3B!$D$2336:$D$100,"&lt;="&amp;B2336,CBIC_Late_Fee_Relief_Windows_3B!$E$2336:$E$100,"&gt;="&amp;B2336,CBIC_Late_Fee_Relief_Windows_3B!$F$2336:$F$100,"&lt;="&amp;C2336,CBIC_Late_Fee_Relief_Windows_3B!$G$2336:$G$100,"&gt;="&amp;C2336)</f>
        <v/>
      </c>
      <c r="H2336">
        <f>INDEX(CBIC_Late_Fee_Relief_Windows_3B!$I$2336:$I$100,MATCH(G2336,CBIC_Late_Fee_Relief_Windows_3B!$O$2336:$O$100,0))</f>
        <v/>
      </c>
      <c r="I2336">
        <f>MIN(F2336,H2336)</f>
        <v/>
      </c>
    </row>
    <row r="2337">
      <c r="A2337">
        <f>TEST_DATA!A2337</f>
        <v/>
      </c>
      <c r="B2337">
        <f>TEST_DATA!B2337</f>
        <v/>
      </c>
      <c r="C2337">
        <f>TEST_DATA!C2337</f>
        <v/>
      </c>
      <c r="D2337">
        <f>TEST_DATA!D2337</f>
        <v/>
      </c>
      <c r="E2337">
        <f>TEST_DATA!E2337</f>
        <v/>
      </c>
      <c r="F2337">
        <f>MIN(E2337*233700,10000)</f>
        <v/>
      </c>
      <c r="G2337">
        <f>MINIFS(CBIC_Late_Fee_Relief_Windows_3B!$O$2337:$O$100,CBIC_Late_Fee_Relief_Windows_3B!$D$2337:$D$100,"&lt;="&amp;B2337,CBIC_Late_Fee_Relief_Windows_3B!$E$2337:$E$100,"&gt;="&amp;B2337,CBIC_Late_Fee_Relief_Windows_3B!$F$2337:$F$100,"&lt;="&amp;C2337,CBIC_Late_Fee_Relief_Windows_3B!$G$2337:$G$100,"&gt;="&amp;C2337)</f>
        <v/>
      </c>
      <c r="H2337">
        <f>INDEX(CBIC_Late_Fee_Relief_Windows_3B!$I$2337:$I$100,MATCH(G2337,CBIC_Late_Fee_Relief_Windows_3B!$O$2337:$O$100,0))</f>
        <v/>
      </c>
      <c r="I2337">
        <f>MIN(F2337,H2337)</f>
        <v/>
      </c>
    </row>
    <row r="2338">
      <c r="A2338">
        <f>TEST_DATA!A2338</f>
        <v/>
      </c>
      <c r="B2338">
        <f>TEST_DATA!B2338</f>
        <v/>
      </c>
      <c r="C2338">
        <f>TEST_DATA!C2338</f>
        <v/>
      </c>
      <c r="D2338">
        <f>TEST_DATA!D2338</f>
        <v/>
      </c>
      <c r="E2338">
        <f>TEST_DATA!E2338</f>
        <v/>
      </c>
      <c r="F2338">
        <f>MIN(E2338*233800,10000)</f>
        <v/>
      </c>
      <c r="G2338">
        <f>MINIFS(CBIC_Late_Fee_Relief_Windows_3B!$O$2338:$O$100,CBIC_Late_Fee_Relief_Windows_3B!$D$2338:$D$100,"&lt;="&amp;B2338,CBIC_Late_Fee_Relief_Windows_3B!$E$2338:$E$100,"&gt;="&amp;B2338,CBIC_Late_Fee_Relief_Windows_3B!$F$2338:$F$100,"&lt;="&amp;C2338,CBIC_Late_Fee_Relief_Windows_3B!$G$2338:$G$100,"&gt;="&amp;C2338)</f>
        <v/>
      </c>
      <c r="H2338">
        <f>INDEX(CBIC_Late_Fee_Relief_Windows_3B!$I$2338:$I$100,MATCH(G2338,CBIC_Late_Fee_Relief_Windows_3B!$O$2338:$O$100,0))</f>
        <v/>
      </c>
      <c r="I2338">
        <f>MIN(F2338,H2338)</f>
        <v/>
      </c>
    </row>
    <row r="2339">
      <c r="A2339">
        <f>TEST_DATA!A2339</f>
        <v/>
      </c>
      <c r="B2339">
        <f>TEST_DATA!B2339</f>
        <v/>
      </c>
      <c r="C2339">
        <f>TEST_DATA!C2339</f>
        <v/>
      </c>
      <c r="D2339">
        <f>TEST_DATA!D2339</f>
        <v/>
      </c>
      <c r="E2339">
        <f>TEST_DATA!E2339</f>
        <v/>
      </c>
      <c r="F2339">
        <f>MIN(E2339*233900,10000)</f>
        <v/>
      </c>
      <c r="G2339">
        <f>MINIFS(CBIC_Late_Fee_Relief_Windows_3B!$O$2339:$O$100,CBIC_Late_Fee_Relief_Windows_3B!$D$2339:$D$100,"&lt;="&amp;B2339,CBIC_Late_Fee_Relief_Windows_3B!$E$2339:$E$100,"&gt;="&amp;B2339,CBIC_Late_Fee_Relief_Windows_3B!$F$2339:$F$100,"&lt;="&amp;C2339,CBIC_Late_Fee_Relief_Windows_3B!$G$2339:$G$100,"&gt;="&amp;C2339)</f>
        <v/>
      </c>
      <c r="H2339">
        <f>INDEX(CBIC_Late_Fee_Relief_Windows_3B!$I$2339:$I$100,MATCH(G2339,CBIC_Late_Fee_Relief_Windows_3B!$O$2339:$O$100,0))</f>
        <v/>
      </c>
      <c r="I2339">
        <f>MIN(F2339,H2339)</f>
        <v/>
      </c>
    </row>
    <row r="2340">
      <c r="A2340">
        <f>TEST_DATA!A2340</f>
        <v/>
      </c>
      <c r="B2340">
        <f>TEST_DATA!B2340</f>
        <v/>
      </c>
      <c r="C2340">
        <f>TEST_DATA!C2340</f>
        <v/>
      </c>
      <c r="D2340">
        <f>TEST_DATA!D2340</f>
        <v/>
      </c>
      <c r="E2340">
        <f>TEST_DATA!E2340</f>
        <v/>
      </c>
      <c r="F2340">
        <f>MIN(E2340*234000,10000)</f>
        <v/>
      </c>
      <c r="G2340">
        <f>MINIFS(CBIC_Late_Fee_Relief_Windows_3B!$O$2340:$O$100,CBIC_Late_Fee_Relief_Windows_3B!$D$2340:$D$100,"&lt;="&amp;B2340,CBIC_Late_Fee_Relief_Windows_3B!$E$2340:$E$100,"&gt;="&amp;B2340,CBIC_Late_Fee_Relief_Windows_3B!$F$2340:$F$100,"&lt;="&amp;C2340,CBIC_Late_Fee_Relief_Windows_3B!$G$2340:$G$100,"&gt;="&amp;C2340)</f>
        <v/>
      </c>
      <c r="H2340">
        <f>INDEX(CBIC_Late_Fee_Relief_Windows_3B!$I$2340:$I$100,MATCH(G2340,CBIC_Late_Fee_Relief_Windows_3B!$O$2340:$O$100,0))</f>
        <v/>
      </c>
      <c r="I2340">
        <f>MIN(F2340,H2340)</f>
        <v/>
      </c>
    </row>
    <row r="2341">
      <c r="A2341">
        <f>TEST_DATA!A2341</f>
        <v/>
      </c>
      <c r="B2341">
        <f>TEST_DATA!B2341</f>
        <v/>
      </c>
      <c r="C2341">
        <f>TEST_DATA!C2341</f>
        <v/>
      </c>
      <c r="D2341">
        <f>TEST_DATA!D2341</f>
        <v/>
      </c>
      <c r="E2341">
        <f>TEST_DATA!E2341</f>
        <v/>
      </c>
      <c r="F2341">
        <f>MIN(E2341*234100,10000)</f>
        <v/>
      </c>
      <c r="G2341">
        <f>MINIFS(CBIC_Late_Fee_Relief_Windows_3B!$O$2341:$O$100,CBIC_Late_Fee_Relief_Windows_3B!$D$2341:$D$100,"&lt;="&amp;B2341,CBIC_Late_Fee_Relief_Windows_3B!$E$2341:$E$100,"&gt;="&amp;B2341,CBIC_Late_Fee_Relief_Windows_3B!$F$2341:$F$100,"&lt;="&amp;C2341,CBIC_Late_Fee_Relief_Windows_3B!$G$2341:$G$100,"&gt;="&amp;C2341)</f>
        <v/>
      </c>
      <c r="H2341">
        <f>INDEX(CBIC_Late_Fee_Relief_Windows_3B!$I$2341:$I$100,MATCH(G2341,CBIC_Late_Fee_Relief_Windows_3B!$O$2341:$O$100,0))</f>
        <v/>
      </c>
      <c r="I2341">
        <f>MIN(F2341,H2341)</f>
        <v/>
      </c>
    </row>
    <row r="2342">
      <c r="A2342">
        <f>TEST_DATA!A2342</f>
        <v/>
      </c>
      <c r="B2342">
        <f>TEST_DATA!B2342</f>
        <v/>
      </c>
      <c r="C2342">
        <f>TEST_DATA!C2342</f>
        <v/>
      </c>
      <c r="D2342">
        <f>TEST_DATA!D2342</f>
        <v/>
      </c>
      <c r="E2342">
        <f>TEST_DATA!E2342</f>
        <v/>
      </c>
      <c r="F2342">
        <f>MIN(E2342*234200,10000)</f>
        <v/>
      </c>
      <c r="G2342">
        <f>MINIFS(CBIC_Late_Fee_Relief_Windows_3B!$O$2342:$O$100,CBIC_Late_Fee_Relief_Windows_3B!$D$2342:$D$100,"&lt;="&amp;B2342,CBIC_Late_Fee_Relief_Windows_3B!$E$2342:$E$100,"&gt;="&amp;B2342,CBIC_Late_Fee_Relief_Windows_3B!$F$2342:$F$100,"&lt;="&amp;C2342,CBIC_Late_Fee_Relief_Windows_3B!$G$2342:$G$100,"&gt;="&amp;C2342)</f>
        <v/>
      </c>
      <c r="H2342">
        <f>INDEX(CBIC_Late_Fee_Relief_Windows_3B!$I$2342:$I$100,MATCH(G2342,CBIC_Late_Fee_Relief_Windows_3B!$O$2342:$O$100,0))</f>
        <v/>
      </c>
      <c r="I2342">
        <f>MIN(F2342,H2342)</f>
        <v/>
      </c>
    </row>
    <row r="2343">
      <c r="A2343">
        <f>TEST_DATA!A2343</f>
        <v/>
      </c>
      <c r="B2343">
        <f>TEST_DATA!B2343</f>
        <v/>
      </c>
      <c r="C2343">
        <f>TEST_DATA!C2343</f>
        <v/>
      </c>
      <c r="D2343">
        <f>TEST_DATA!D2343</f>
        <v/>
      </c>
      <c r="E2343">
        <f>TEST_DATA!E2343</f>
        <v/>
      </c>
      <c r="F2343">
        <f>MIN(E2343*234300,10000)</f>
        <v/>
      </c>
      <c r="G2343">
        <f>MINIFS(CBIC_Late_Fee_Relief_Windows_3B!$O$2343:$O$100,CBIC_Late_Fee_Relief_Windows_3B!$D$2343:$D$100,"&lt;="&amp;B2343,CBIC_Late_Fee_Relief_Windows_3B!$E$2343:$E$100,"&gt;="&amp;B2343,CBIC_Late_Fee_Relief_Windows_3B!$F$2343:$F$100,"&lt;="&amp;C2343,CBIC_Late_Fee_Relief_Windows_3B!$G$2343:$G$100,"&gt;="&amp;C2343)</f>
        <v/>
      </c>
      <c r="H2343">
        <f>INDEX(CBIC_Late_Fee_Relief_Windows_3B!$I$2343:$I$100,MATCH(G2343,CBIC_Late_Fee_Relief_Windows_3B!$O$2343:$O$100,0))</f>
        <v/>
      </c>
      <c r="I2343">
        <f>MIN(F2343,H2343)</f>
        <v/>
      </c>
    </row>
    <row r="2344">
      <c r="A2344">
        <f>TEST_DATA!A2344</f>
        <v/>
      </c>
      <c r="B2344">
        <f>TEST_DATA!B2344</f>
        <v/>
      </c>
      <c r="C2344">
        <f>TEST_DATA!C2344</f>
        <v/>
      </c>
      <c r="D2344">
        <f>TEST_DATA!D2344</f>
        <v/>
      </c>
      <c r="E2344">
        <f>TEST_DATA!E2344</f>
        <v/>
      </c>
      <c r="F2344">
        <f>MIN(E2344*234400,10000)</f>
        <v/>
      </c>
      <c r="G2344">
        <f>MINIFS(CBIC_Late_Fee_Relief_Windows_3B!$O$2344:$O$100,CBIC_Late_Fee_Relief_Windows_3B!$D$2344:$D$100,"&lt;="&amp;B2344,CBIC_Late_Fee_Relief_Windows_3B!$E$2344:$E$100,"&gt;="&amp;B2344,CBIC_Late_Fee_Relief_Windows_3B!$F$2344:$F$100,"&lt;="&amp;C2344,CBIC_Late_Fee_Relief_Windows_3B!$G$2344:$G$100,"&gt;="&amp;C2344)</f>
        <v/>
      </c>
      <c r="H2344">
        <f>INDEX(CBIC_Late_Fee_Relief_Windows_3B!$I$2344:$I$100,MATCH(G2344,CBIC_Late_Fee_Relief_Windows_3B!$O$2344:$O$100,0))</f>
        <v/>
      </c>
      <c r="I2344">
        <f>MIN(F2344,H2344)</f>
        <v/>
      </c>
    </row>
    <row r="2345">
      <c r="A2345">
        <f>TEST_DATA!A2345</f>
        <v/>
      </c>
      <c r="B2345">
        <f>TEST_DATA!B2345</f>
        <v/>
      </c>
      <c r="C2345">
        <f>TEST_DATA!C2345</f>
        <v/>
      </c>
      <c r="D2345">
        <f>TEST_DATA!D2345</f>
        <v/>
      </c>
      <c r="E2345">
        <f>TEST_DATA!E2345</f>
        <v/>
      </c>
      <c r="F2345">
        <f>MIN(E2345*234500,10000)</f>
        <v/>
      </c>
      <c r="G2345">
        <f>MINIFS(CBIC_Late_Fee_Relief_Windows_3B!$O$2345:$O$100,CBIC_Late_Fee_Relief_Windows_3B!$D$2345:$D$100,"&lt;="&amp;B2345,CBIC_Late_Fee_Relief_Windows_3B!$E$2345:$E$100,"&gt;="&amp;B2345,CBIC_Late_Fee_Relief_Windows_3B!$F$2345:$F$100,"&lt;="&amp;C2345,CBIC_Late_Fee_Relief_Windows_3B!$G$2345:$G$100,"&gt;="&amp;C2345)</f>
        <v/>
      </c>
      <c r="H2345">
        <f>INDEX(CBIC_Late_Fee_Relief_Windows_3B!$I$2345:$I$100,MATCH(G2345,CBIC_Late_Fee_Relief_Windows_3B!$O$2345:$O$100,0))</f>
        <v/>
      </c>
      <c r="I2345">
        <f>MIN(F2345,H2345)</f>
        <v/>
      </c>
    </row>
    <row r="2346">
      <c r="A2346">
        <f>TEST_DATA!A2346</f>
        <v/>
      </c>
      <c r="B2346">
        <f>TEST_DATA!B2346</f>
        <v/>
      </c>
      <c r="C2346">
        <f>TEST_DATA!C2346</f>
        <v/>
      </c>
      <c r="D2346">
        <f>TEST_DATA!D2346</f>
        <v/>
      </c>
      <c r="E2346">
        <f>TEST_DATA!E2346</f>
        <v/>
      </c>
      <c r="F2346">
        <f>MIN(E2346*234600,10000)</f>
        <v/>
      </c>
      <c r="G2346">
        <f>MINIFS(CBIC_Late_Fee_Relief_Windows_3B!$O$2346:$O$100,CBIC_Late_Fee_Relief_Windows_3B!$D$2346:$D$100,"&lt;="&amp;B2346,CBIC_Late_Fee_Relief_Windows_3B!$E$2346:$E$100,"&gt;="&amp;B2346,CBIC_Late_Fee_Relief_Windows_3B!$F$2346:$F$100,"&lt;="&amp;C2346,CBIC_Late_Fee_Relief_Windows_3B!$G$2346:$G$100,"&gt;="&amp;C2346)</f>
        <v/>
      </c>
      <c r="H2346">
        <f>INDEX(CBIC_Late_Fee_Relief_Windows_3B!$I$2346:$I$100,MATCH(G2346,CBIC_Late_Fee_Relief_Windows_3B!$O$2346:$O$100,0))</f>
        <v/>
      </c>
      <c r="I2346">
        <f>MIN(F2346,H2346)</f>
        <v/>
      </c>
    </row>
    <row r="2347">
      <c r="A2347">
        <f>TEST_DATA!A2347</f>
        <v/>
      </c>
      <c r="B2347">
        <f>TEST_DATA!B2347</f>
        <v/>
      </c>
      <c r="C2347">
        <f>TEST_DATA!C2347</f>
        <v/>
      </c>
      <c r="D2347">
        <f>TEST_DATA!D2347</f>
        <v/>
      </c>
      <c r="E2347">
        <f>TEST_DATA!E2347</f>
        <v/>
      </c>
      <c r="F2347">
        <f>MIN(E2347*234700,10000)</f>
        <v/>
      </c>
      <c r="G2347">
        <f>MINIFS(CBIC_Late_Fee_Relief_Windows_3B!$O$2347:$O$100,CBIC_Late_Fee_Relief_Windows_3B!$D$2347:$D$100,"&lt;="&amp;B2347,CBIC_Late_Fee_Relief_Windows_3B!$E$2347:$E$100,"&gt;="&amp;B2347,CBIC_Late_Fee_Relief_Windows_3B!$F$2347:$F$100,"&lt;="&amp;C2347,CBIC_Late_Fee_Relief_Windows_3B!$G$2347:$G$100,"&gt;="&amp;C2347)</f>
        <v/>
      </c>
      <c r="H2347">
        <f>INDEX(CBIC_Late_Fee_Relief_Windows_3B!$I$2347:$I$100,MATCH(G2347,CBIC_Late_Fee_Relief_Windows_3B!$O$2347:$O$100,0))</f>
        <v/>
      </c>
      <c r="I2347">
        <f>MIN(F2347,H2347)</f>
        <v/>
      </c>
    </row>
    <row r="2348">
      <c r="A2348">
        <f>TEST_DATA!A2348</f>
        <v/>
      </c>
      <c r="B2348">
        <f>TEST_DATA!B2348</f>
        <v/>
      </c>
      <c r="C2348">
        <f>TEST_DATA!C2348</f>
        <v/>
      </c>
      <c r="D2348">
        <f>TEST_DATA!D2348</f>
        <v/>
      </c>
      <c r="E2348">
        <f>TEST_DATA!E2348</f>
        <v/>
      </c>
      <c r="F2348">
        <f>MIN(E2348*234800,10000)</f>
        <v/>
      </c>
      <c r="G2348">
        <f>MINIFS(CBIC_Late_Fee_Relief_Windows_3B!$O$2348:$O$100,CBIC_Late_Fee_Relief_Windows_3B!$D$2348:$D$100,"&lt;="&amp;B2348,CBIC_Late_Fee_Relief_Windows_3B!$E$2348:$E$100,"&gt;="&amp;B2348,CBIC_Late_Fee_Relief_Windows_3B!$F$2348:$F$100,"&lt;="&amp;C2348,CBIC_Late_Fee_Relief_Windows_3B!$G$2348:$G$100,"&gt;="&amp;C2348)</f>
        <v/>
      </c>
      <c r="H2348">
        <f>INDEX(CBIC_Late_Fee_Relief_Windows_3B!$I$2348:$I$100,MATCH(G2348,CBIC_Late_Fee_Relief_Windows_3B!$O$2348:$O$100,0))</f>
        <v/>
      </c>
      <c r="I2348">
        <f>MIN(F2348,H2348)</f>
        <v/>
      </c>
    </row>
    <row r="2349">
      <c r="A2349">
        <f>TEST_DATA!A2349</f>
        <v/>
      </c>
      <c r="B2349">
        <f>TEST_DATA!B2349</f>
        <v/>
      </c>
      <c r="C2349">
        <f>TEST_DATA!C2349</f>
        <v/>
      </c>
      <c r="D2349">
        <f>TEST_DATA!D2349</f>
        <v/>
      </c>
      <c r="E2349">
        <f>TEST_DATA!E2349</f>
        <v/>
      </c>
      <c r="F2349">
        <f>MIN(E2349*234900,10000)</f>
        <v/>
      </c>
      <c r="G2349">
        <f>MINIFS(CBIC_Late_Fee_Relief_Windows_3B!$O$2349:$O$100,CBIC_Late_Fee_Relief_Windows_3B!$D$2349:$D$100,"&lt;="&amp;B2349,CBIC_Late_Fee_Relief_Windows_3B!$E$2349:$E$100,"&gt;="&amp;B2349,CBIC_Late_Fee_Relief_Windows_3B!$F$2349:$F$100,"&lt;="&amp;C2349,CBIC_Late_Fee_Relief_Windows_3B!$G$2349:$G$100,"&gt;="&amp;C2349)</f>
        <v/>
      </c>
      <c r="H2349">
        <f>INDEX(CBIC_Late_Fee_Relief_Windows_3B!$I$2349:$I$100,MATCH(G2349,CBIC_Late_Fee_Relief_Windows_3B!$O$2349:$O$100,0))</f>
        <v/>
      </c>
      <c r="I2349">
        <f>MIN(F2349,H2349)</f>
        <v/>
      </c>
    </row>
    <row r="2350">
      <c r="A2350">
        <f>TEST_DATA!A2350</f>
        <v/>
      </c>
      <c r="B2350">
        <f>TEST_DATA!B2350</f>
        <v/>
      </c>
      <c r="C2350">
        <f>TEST_DATA!C2350</f>
        <v/>
      </c>
      <c r="D2350">
        <f>TEST_DATA!D2350</f>
        <v/>
      </c>
      <c r="E2350">
        <f>TEST_DATA!E2350</f>
        <v/>
      </c>
      <c r="F2350">
        <f>MIN(E2350*235000,10000)</f>
        <v/>
      </c>
      <c r="G2350">
        <f>MINIFS(CBIC_Late_Fee_Relief_Windows_3B!$O$2350:$O$100,CBIC_Late_Fee_Relief_Windows_3B!$D$2350:$D$100,"&lt;="&amp;B2350,CBIC_Late_Fee_Relief_Windows_3B!$E$2350:$E$100,"&gt;="&amp;B2350,CBIC_Late_Fee_Relief_Windows_3B!$F$2350:$F$100,"&lt;="&amp;C2350,CBIC_Late_Fee_Relief_Windows_3B!$G$2350:$G$100,"&gt;="&amp;C2350)</f>
        <v/>
      </c>
      <c r="H2350">
        <f>INDEX(CBIC_Late_Fee_Relief_Windows_3B!$I$2350:$I$100,MATCH(G2350,CBIC_Late_Fee_Relief_Windows_3B!$O$2350:$O$100,0))</f>
        <v/>
      </c>
      <c r="I2350">
        <f>MIN(F2350,H2350)</f>
        <v/>
      </c>
    </row>
    <row r="2351">
      <c r="A2351">
        <f>TEST_DATA!A2351</f>
        <v/>
      </c>
      <c r="B2351">
        <f>TEST_DATA!B2351</f>
        <v/>
      </c>
      <c r="C2351">
        <f>TEST_DATA!C2351</f>
        <v/>
      </c>
      <c r="D2351">
        <f>TEST_DATA!D2351</f>
        <v/>
      </c>
      <c r="E2351">
        <f>TEST_DATA!E2351</f>
        <v/>
      </c>
      <c r="F2351">
        <f>MIN(E2351*235100,10000)</f>
        <v/>
      </c>
      <c r="G2351">
        <f>MINIFS(CBIC_Late_Fee_Relief_Windows_3B!$O$2351:$O$100,CBIC_Late_Fee_Relief_Windows_3B!$D$2351:$D$100,"&lt;="&amp;B2351,CBIC_Late_Fee_Relief_Windows_3B!$E$2351:$E$100,"&gt;="&amp;B2351,CBIC_Late_Fee_Relief_Windows_3B!$F$2351:$F$100,"&lt;="&amp;C2351,CBIC_Late_Fee_Relief_Windows_3B!$G$2351:$G$100,"&gt;="&amp;C2351)</f>
        <v/>
      </c>
      <c r="H2351">
        <f>INDEX(CBIC_Late_Fee_Relief_Windows_3B!$I$2351:$I$100,MATCH(G2351,CBIC_Late_Fee_Relief_Windows_3B!$O$2351:$O$100,0))</f>
        <v/>
      </c>
      <c r="I2351">
        <f>MIN(F2351,H2351)</f>
        <v/>
      </c>
    </row>
    <row r="2352">
      <c r="A2352">
        <f>TEST_DATA!A2352</f>
        <v/>
      </c>
      <c r="B2352">
        <f>TEST_DATA!B2352</f>
        <v/>
      </c>
      <c r="C2352">
        <f>TEST_DATA!C2352</f>
        <v/>
      </c>
      <c r="D2352">
        <f>TEST_DATA!D2352</f>
        <v/>
      </c>
      <c r="E2352">
        <f>TEST_DATA!E2352</f>
        <v/>
      </c>
      <c r="F2352">
        <f>MIN(E2352*235200,10000)</f>
        <v/>
      </c>
      <c r="G2352">
        <f>MINIFS(CBIC_Late_Fee_Relief_Windows_3B!$O$2352:$O$100,CBIC_Late_Fee_Relief_Windows_3B!$D$2352:$D$100,"&lt;="&amp;B2352,CBIC_Late_Fee_Relief_Windows_3B!$E$2352:$E$100,"&gt;="&amp;B2352,CBIC_Late_Fee_Relief_Windows_3B!$F$2352:$F$100,"&lt;="&amp;C2352,CBIC_Late_Fee_Relief_Windows_3B!$G$2352:$G$100,"&gt;="&amp;C2352)</f>
        <v/>
      </c>
      <c r="H2352">
        <f>INDEX(CBIC_Late_Fee_Relief_Windows_3B!$I$2352:$I$100,MATCH(G2352,CBIC_Late_Fee_Relief_Windows_3B!$O$2352:$O$100,0))</f>
        <v/>
      </c>
      <c r="I2352">
        <f>MIN(F2352,H2352)</f>
        <v/>
      </c>
    </row>
    <row r="2353">
      <c r="A2353">
        <f>TEST_DATA!A2353</f>
        <v/>
      </c>
      <c r="B2353">
        <f>TEST_DATA!B2353</f>
        <v/>
      </c>
      <c r="C2353">
        <f>TEST_DATA!C2353</f>
        <v/>
      </c>
      <c r="D2353">
        <f>TEST_DATA!D2353</f>
        <v/>
      </c>
      <c r="E2353">
        <f>TEST_DATA!E2353</f>
        <v/>
      </c>
      <c r="F2353">
        <f>MIN(E2353*235300,10000)</f>
        <v/>
      </c>
      <c r="G2353">
        <f>MINIFS(CBIC_Late_Fee_Relief_Windows_3B!$O$2353:$O$100,CBIC_Late_Fee_Relief_Windows_3B!$D$2353:$D$100,"&lt;="&amp;B2353,CBIC_Late_Fee_Relief_Windows_3B!$E$2353:$E$100,"&gt;="&amp;B2353,CBIC_Late_Fee_Relief_Windows_3B!$F$2353:$F$100,"&lt;="&amp;C2353,CBIC_Late_Fee_Relief_Windows_3B!$G$2353:$G$100,"&gt;="&amp;C2353)</f>
        <v/>
      </c>
      <c r="H2353">
        <f>INDEX(CBIC_Late_Fee_Relief_Windows_3B!$I$2353:$I$100,MATCH(G2353,CBIC_Late_Fee_Relief_Windows_3B!$O$2353:$O$100,0))</f>
        <v/>
      </c>
      <c r="I2353">
        <f>MIN(F2353,H2353)</f>
        <v/>
      </c>
    </row>
    <row r="2354">
      <c r="A2354">
        <f>TEST_DATA!A2354</f>
        <v/>
      </c>
      <c r="B2354">
        <f>TEST_DATA!B2354</f>
        <v/>
      </c>
      <c r="C2354">
        <f>TEST_DATA!C2354</f>
        <v/>
      </c>
      <c r="D2354">
        <f>TEST_DATA!D2354</f>
        <v/>
      </c>
      <c r="E2354">
        <f>TEST_DATA!E2354</f>
        <v/>
      </c>
      <c r="F2354">
        <f>MIN(E2354*235400,10000)</f>
        <v/>
      </c>
      <c r="G2354">
        <f>MINIFS(CBIC_Late_Fee_Relief_Windows_3B!$O$2354:$O$100,CBIC_Late_Fee_Relief_Windows_3B!$D$2354:$D$100,"&lt;="&amp;B2354,CBIC_Late_Fee_Relief_Windows_3B!$E$2354:$E$100,"&gt;="&amp;B2354,CBIC_Late_Fee_Relief_Windows_3B!$F$2354:$F$100,"&lt;="&amp;C2354,CBIC_Late_Fee_Relief_Windows_3B!$G$2354:$G$100,"&gt;="&amp;C2354)</f>
        <v/>
      </c>
      <c r="H2354">
        <f>INDEX(CBIC_Late_Fee_Relief_Windows_3B!$I$2354:$I$100,MATCH(G2354,CBIC_Late_Fee_Relief_Windows_3B!$O$2354:$O$100,0))</f>
        <v/>
      </c>
      <c r="I2354">
        <f>MIN(F2354,H2354)</f>
        <v/>
      </c>
    </row>
    <row r="2355">
      <c r="A2355">
        <f>TEST_DATA!A2355</f>
        <v/>
      </c>
      <c r="B2355">
        <f>TEST_DATA!B2355</f>
        <v/>
      </c>
      <c r="C2355">
        <f>TEST_DATA!C2355</f>
        <v/>
      </c>
      <c r="D2355">
        <f>TEST_DATA!D2355</f>
        <v/>
      </c>
      <c r="E2355">
        <f>TEST_DATA!E2355</f>
        <v/>
      </c>
      <c r="F2355">
        <f>MIN(E2355*235500,10000)</f>
        <v/>
      </c>
      <c r="G2355">
        <f>MINIFS(CBIC_Late_Fee_Relief_Windows_3B!$O$2355:$O$100,CBIC_Late_Fee_Relief_Windows_3B!$D$2355:$D$100,"&lt;="&amp;B2355,CBIC_Late_Fee_Relief_Windows_3B!$E$2355:$E$100,"&gt;="&amp;B2355,CBIC_Late_Fee_Relief_Windows_3B!$F$2355:$F$100,"&lt;="&amp;C2355,CBIC_Late_Fee_Relief_Windows_3B!$G$2355:$G$100,"&gt;="&amp;C2355)</f>
        <v/>
      </c>
      <c r="H2355">
        <f>INDEX(CBIC_Late_Fee_Relief_Windows_3B!$I$2355:$I$100,MATCH(G2355,CBIC_Late_Fee_Relief_Windows_3B!$O$2355:$O$100,0))</f>
        <v/>
      </c>
      <c r="I2355">
        <f>MIN(F2355,H2355)</f>
        <v/>
      </c>
    </row>
    <row r="2356">
      <c r="A2356">
        <f>TEST_DATA!A2356</f>
        <v/>
      </c>
      <c r="B2356">
        <f>TEST_DATA!B2356</f>
        <v/>
      </c>
      <c r="C2356">
        <f>TEST_DATA!C2356</f>
        <v/>
      </c>
      <c r="D2356">
        <f>TEST_DATA!D2356</f>
        <v/>
      </c>
      <c r="E2356">
        <f>TEST_DATA!E2356</f>
        <v/>
      </c>
      <c r="F2356">
        <f>MIN(E2356*235600,10000)</f>
        <v/>
      </c>
      <c r="G2356">
        <f>MINIFS(CBIC_Late_Fee_Relief_Windows_3B!$O$2356:$O$100,CBIC_Late_Fee_Relief_Windows_3B!$D$2356:$D$100,"&lt;="&amp;B2356,CBIC_Late_Fee_Relief_Windows_3B!$E$2356:$E$100,"&gt;="&amp;B2356,CBIC_Late_Fee_Relief_Windows_3B!$F$2356:$F$100,"&lt;="&amp;C2356,CBIC_Late_Fee_Relief_Windows_3B!$G$2356:$G$100,"&gt;="&amp;C2356)</f>
        <v/>
      </c>
      <c r="H2356">
        <f>INDEX(CBIC_Late_Fee_Relief_Windows_3B!$I$2356:$I$100,MATCH(G2356,CBIC_Late_Fee_Relief_Windows_3B!$O$2356:$O$100,0))</f>
        <v/>
      </c>
      <c r="I2356">
        <f>MIN(F2356,H2356)</f>
        <v/>
      </c>
    </row>
    <row r="2357">
      <c r="A2357">
        <f>TEST_DATA!A2357</f>
        <v/>
      </c>
      <c r="B2357">
        <f>TEST_DATA!B2357</f>
        <v/>
      </c>
      <c r="C2357">
        <f>TEST_DATA!C2357</f>
        <v/>
      </c>
      <c r="D2357">
        <f>TEST_DATA!D2357</f>
        <v/>
      </c>
      <c r="E2357">
        <f>TEST_DATA!E2357</f>
        <v/>
      </c>
      <c r="F2357">
        <f>MIN(E2357*235700,10000)</f>
        <v/>
      </c>
      <c r="G2357">
        <f>MINIFS(CBIC_Late_Fee_Relief_Windows_3B!$O$2357:$O$100,CBIC_Late_Fee_Relief_Windows_3B!$D$2357:$D$100,"&lt;="&amp;B2357,CBIC_Late_Fee_Relief_Windows_3B!$E$2357:$E$100,"&gt;="&amp;B2357,CBIC_Late_Fee_Relief_Windows_3B!$F$2357:$F$100,"&lt;="&amp;C2357,CBIC_Late_Fee_Relief_Windows_3B!$G$2357:$G$100,"&gt;="&amp;C2357)</f>
        <v/>
      </c>
      <c r="H2357">
        <f>INDEX(CBIC_Late_Fee_Relief_Windows_3B!$I$2357:$I$100,MATCH(G2357,CBIC_Late_Fee_Relief_Windows_3B!$O$2357:$O$100,0))</f>
        <v/>
      </c>
      <c r="I2357">
        <f>MIN(F2357,H2357)</f>
        <v/>
      </c>
    </row>
    <row r="2358">
      <c r="A2358">
        <f>TEST_DATA!A2358</f>
        <v/>
      </c>
      <c r="B2358">
        <f>TEST_DATA!B2358</f>
        <v/>
      </c>
      <c r="C2358">
        <f>TEST_DATA!C2358</f>
        <v/>
      </c>
      <c r="D2358">
        <f>TEST_DATA!D2358</f>
        <v/>
      </c>
      <c r="E2358">
        <f>TEST_DATA!E2358</f>
        <v/>
      </c>
      <c r="F2358">
        <f>MIN(E2358*235800,10000)</f>
        <v/>
      </c>
      <c r="G2358">
        <f>MINIFS(CBIC_Late_Fee_Relief_Windows_3B!$O$2358:$O$100,CBIC_Late_Fee_Relief_Windows_3B!$D$2358:$D$100,"&lt;="&amp;B2358,CBIC_Late_Fee_Relief_Windows_3B!$E$2358:$E$100,"&gt;="&amp;B2358,CBIC_Late_Fee_Relief_Windows_3B!$F$2358:$F$100,"&lt;="&amp;C2358,CBIC_Late_Fee_Relief_Windows_3B!$G$2358:$G$100,"&gt;="&amp;C2358)</f>
        <v/>
      </c>
      <c r="H2358">
        <f>INDEX(CBIC_Late_Fee_Relief_Windows_3B!$I$2358:$I$100,MATCH(G2358,CBIC_Late_Fee_Relief_Windows_3B!$O$2358:$O$100,0))</f>
        <v/>
      </c>
      <c r="I2358">
        <f>MIN(F2358,H2358)</f>
        <v/>
      </c>
    </row>
    <row r="2359">
      <c r="A2359">
        <f>TEST_DATA!A2359</f>
        <v/>
      </c>
      <c r="B2359">
        <f>TEST_DATA!B2359</f>
        <v/>
      </c>
      <c r="C2359">
        <f>TEST_DATA!C2359</f>
        <v/>
      </c>
      <c r="D2359">
        <f>TEST_DATA!D2359</f>
        <v/>
      </c>
      <c r="E2359">
        <f>TEST_DATA!E2359</f>
        <v/>
      </c>
      <c r="F2359">
        <f>MIN(E2359*235900,10000)</f>
        <v/>
      </c>
      <c r="G2359">
        <f>MINIFS(CBIC_Late_Fee_Relief_Windows_3B!$O$2359:$O$100,CBIC_Late_Fee_Relief_Windows_3B!$D$2359:$D$100,"&lt;="&amp;B2359,CBIC_Late_Fee_Relief_Windows_3B!$E$2359:$E$100,"&gt;="&amp;B2359,CBIC_Late_Fee_Relief_Windows_3B!$F$2359:$F$100,"&lt;="&amp;C2359,CBIC_Late_Fee_Relief_Windows_3B!$G$2359:$G$100,"&gt;="&amp;C2359)</f>
        <v/>
      </c>
      <c r="H2359">
        <f>INDEX(CBIC_Late_Fee_Relief_Windows_3B!$I$2359:$I$100,MATCH(G2359,CBIC_Late_Fee_Relief_Windows_3B!$O$2359:$O$100,0))</f>
        <v/>
      </c>
      <c r="I2359">
        <f>MIN(F2359,H2359)</f>
        <v/>
      </c>
    </row>
    <row r="2360">
      <c r="A2360">
        <f>TEST_DATA!A2360</f>
        <v/>
      </c>
      <c r="B2360">
        <f>TEST_DATA!B2360</f>
        <v/>
      </c>
      <c r="C2360">
        <f>TEST_DATA!C2360</f>
        <v/>
      </c>
      <c r="D2360">
        <f>TEST_DATA!D2360</f>
        <v/>
      </c>
      <c r="E2360">
        <f>TEST_DATA!E2360</f>
        <v/>
      </c>
      <c r="F2360">
        <f>MIN(E2360*236000,10000)</f>
        <v/>
      </c>
      <c r="G2360">
        <f>MINIFS(CBIC_Late_Fee_Relief_Windows_3B!$O$2360:$O$100,CBIC_Late_Fee_Relief_Windows_3B!$D$2360:$D$100,"&lt;="&amp;B2360,CBIC_Late_Fee_Relief_Windows_3B!$E$2360:$E$100,"&gt;="&amp;B2360,CBIC_Late_Fee_Relief_Windows_3B!$F$2360:$F$100,"&lt;="&amp;C2360,CBIC_Late_Fee_Relief_Windows_3B!$G$2360:$G$100,"&gt;="&amp;C2360)</f>
        <v/>
      </c>
      <c r="H2360">
        <f>INDEX(CBIC_Late_Fee_Relief_Windows_3B!$I$2360:$I$100,MATCH(G2360,CBIC_Late_Fee_Relief_Windows_3B!$O$2360:$O$100,0))</f>
        <v/>
      </c>
      <c r="I2360">
        <f>MIN(F2360,H2360)</f>
        <v/>
      </c>
    </row>
    <row r="2361">
      <c r="A2361">
        <f>TEST_DATA!A2361</f>
        <v/>
      </c>
      <c r="B2361">
        <f>TEST_DATA!B2361</f>
        <v/>
      </c>
      <c r="C2361">
        <f>TEST_DATA!C2361</f>
        <v/>
      </c>
      <c r="D2361">
        <f>TEST_DATA!D2361</f>
        <v/>
      </c>
      <c r="E2361">
        <f>TEST_DATA!E2361</f>
        <v/>
      </c>
      <c r="F2361">
        <f>MIN(E2361*236100,10000)</f>
        <v/>
      </c>
      <c r="G2361">
        <f>MINIFS(CBIC_Late_Fee_Relief_Windows_3B!$O$2361:$O$100,CBIC_Late_Fee_Relief_Windows_3B!$D$2361:$D$100,"&lt;="&amp;B2361,CBIC_Late_Fee_Relief_Windows_3B!$E$2361:$E$100,"&gt;="&amp;B2361,CBIC_Late_Fee_Relief_Windows_3B!$F$2361:$F$100,"&lt;="&amp;C2361,CBIC_Late_Fee_Relief_Windows_3B!$G$2361:$G$100,"&gt;="&amp;C2361)</f>
        <v/>
      </c>
      <c r="H2361">
        <f>INDEX(CBIC_Late_Fee_Relief_Windows_3B!$I$2361:$I$100,MATCH(G2361,CBIC_Late_Fee_Relief_Windows_3B!$O$2361:$O$100,0))</f>
        <v/>
      </c>
      <c r="I2361">
        <f>MIN(F2361,H2361)</f>
        <v/>
      </c>
    </row>
    <row r="2362">
      <c r="A2362">
        <f>TEST_DATA!A2362</f>
        <v/>
      </c>
      <c r="B2362">
        <f>TEST_DATA!B2362</f>
        <v/>
      </c>
      <c r="C2362">
        <f>TEST_DATA!C2362</f>
        <v/>
      </c>
      <c r="D2362">
        <f>TEST_DATA!D2362</f>
        <v/>
      </c>
      <c r="E2362">
        <f>TEST_DATA!E2362</f>
        <v/>
      </c>
      <c r="F2362">
        <f>MIN(E2362*236200,10000)</f>
        <v/>
      </c>
      <c r="G2362">
        <f>MINIFS(CBIC_Late_Fee_Relief_Windows_3B!$O$2362:$O$100,CBIC_Late_Fee_Relief_Windows_3B!$D$2362:$D$100,"&lt;="&amp;B2362,CBIC_Late_Fee_Relief_Windows_3B!$E$2362:$E$100,"&gt;="&amp;B2362,CBIC_Late_Fee_Relief_Windows_3B!$F$2362:$F$100,"&lt;="&amp;C2362,CBIC_Late_Fee_Relief_Windows_3B!$G$2362:$G$100,"&gt;="&amp;C2362)</f>
        <v/>
      </c>
      <c r="H2362">
        <f>INDEX(CBIC_Late_Fee_Relief_Windows_3B!$I$2362:$I$100,MATCH(G2362,CBIC_Late_Fee_Relief_Windows_3B!$O$2362:$O$100,0))</f>
        <v/>
      </c>
      <c r="I2362">
        <f>MIN(F2362,H2362)</f>
        <v/>
      </c>
    </row>
    <row r="2363">
      <c r="A2363">
        <f>TEST_DATA!A2363</f>
        <v/>
      </c>
      <c r="B2363">
        <f>TEST_DATA!B2363</f>
        <v/>
      </c>
      <c r="C2363">
        <f>TEST_DATA!C2363</f>
        <v/>
      </c>
      <c r="D2363">
        <f>TEST_DATA!D2363</f>
        <v/>
      </c>
      <c r="E2363">
        <f>TEST_DATA!E2363</f>
        <v/>
      </c>
      <c r="F2363">
        <f>MIN(E2363*236300,10000)</f>
        <v/>
      </c>
      <c r="G2363">
        <f>MINIFS(CBIC_Late_Fee_Relief_Windows_3B!$O$2363:$O$100,CBIC_Late_Fee_Relief_Windows_3B!$D$2363:$D$100,"&lt;="&amp;B2363,CBIC_Late_Fee_Relief_Windows_3B!$E$2363:$E$100,"&gt;="&amp;B2363,CBIC_Late_Fee_Relief_Windows_3B!$F$2363:$F$100,"&lt;="&amp;C2363,CBIC_Late_Fee_Relief_Windows_3B!$G$2363:$G$100,"&gt;="&amp;C2363)</f>
        <v/>
      </c>
      <c r="H2363">
        <f>INDEX(CBIC_Late_Fee_Relief_Windows_3B!$I$2363:$I$100,MATCH(G2363,CBIC_Late_Fee_Relief_Windows_3B!$O$2363:$O$100,0))</f>
        <v/>
      </c>
      <c r="I2363">
        <f>MIN(F2363,H2363)</f>
        <v/>
      </c>
    </row>
    <row r="2364">
      <c r="A2364">
        <f>TEST_DATA!A2364</f>
        <v/>
      </c>
      <c r="B2364">
        <f>TEST_DATA!B2364</f>
        <v/>
      </c>
      <c r="C2364">
        <f>TEST_DATA!C2364</f>
        <v/>
      </c>
      <c r="D2364">
        <f>TEST_DATA!D2364</f>
        <v/>
      </c>
      <c r="E2364">
        <f>TEST_DATA!E2364</f>
        <v/>
      </c>
      <c r="F2364">
        <f>MIN(E2364*236400,10000)</f>
        <v/>
      </c>
      <c r="G2364">
        <f>MINIFS(CBIC_Late_Fee_Relief_Windows_3B!$O$2364:$O$100,CBIC_Late_Fee_Relief_Windows_3B!$D$2364:$D$100,"&lt;="&amp;B2364,CBIC_Late_Fee_Relief_Windows_3B!$E$2364:$E$100,"&gt;="&amp;B2364,CBIC_Late_Fee_Relief_Windows_3B!$F$2364:$F$100,"&lt;="&amp;C2364,CBIC_Late_Fee_Relief_Windows_3B!$G$2364:$G$100,"&gt;="&amp;C2364)</f>
        <v/>
      </c>
      <c r="H2364">
        <f>INDEX(CBIC_Late_Fee_Relief_Windows_3B!$I$2364:$I$100,MATCH(G2364,CBIC_Late_Fee_Relief_Windows_3B!$O$2364:$O$100,0))</f>
        <v/>
      </c>
      <c r="I2364">
        <f>MIN(F2364,H2364)</f>
        <v/>
      </c>
    </row>
    <row r="2365">
      <c r="A2365">
        <f>TEST_DATA!A2365</f>
        <v/>
      </c>
      <c r="B2365">
        <f>TEST_DATA!B2365</f>
        <v/>
      </c>
      <c r="C2365">
        <f>TEST_DATA!C2365</f>
        <v/>
      </c>
      <c r="D2365">
        <f>TEST_DATA!D2365</f>
        <v/>
      </c>
      <c r="E2365">
        <f>TEST_DATA!E2365</f>
        <v/>
      </c>
      <c r="F2365">
        <f>MIN(E2365*236500,10000)</f>
        <v/>
      </c>
      <c r="G2365">
        <f>MINIFS(CBIC_Late_Fee_Relief_Windows_3B!$O$2365:$O$100,CBIC_Late_Fee_Relief_Windows_3B!$D$2365:$D$100,"&lt;="&amp;B2365,CBIC_Late_Fee_Relief_Windows_3B!$E$2365:$E$100,"&gt;="&amp;B2365,CBIC_Late_Fee_Relief_Windows_3B!$F$2365:$F$100,"&lt;="&amp;C2365,CBIC_Late_Fee_Relief_Windows_3B!$G$2365:$G$100,"&gt;="&amp;C2365)</f>
        <v/>
      </c>
      <c r="H2365">
        <f>INDEX(CBIC_Late_Fee_Relief_Windows_3B!$I$2365:$I$100,MATCH(G2365,CBIC_Late_Fee_Relief_Windows_3B!$O$2365:$O$100,0))</f>
        <v/>
      </c>
      <c r="I2365">
        <f>MIN(F2365,H2365)</f>
        <v/>
      </c>
    </row>
    <row r="2366">
      <c r="A2366">
        <f>TEST_DATA!A2366</f>
        <v/>
      </c>
      <c r="B2366">
        <f>TEST_DATA!B2366</f>
        <v/>
      </c>
      <c r="C2366">
        <f>TEST_DATA!C2366</f>
        <v/>
      </c>
      <c r="D2366">
        <f>TEST_DATA!D2366</f>
        <v/>
      </c>
      <c r="E2366">
        <f>TEST_DATA!E2366</f>
        <v/>
      </c>
      <c r="F2366">
        <f>MIN(E2366*236600,10000)</f>
        <v/>
      </c>
      <c r="G2366">
        <f>MINIFS(CBIC_Late_Fee_Relief_Windows_3B!$O$2366:$O$100,CBIC_Late_Fee_Relief_Windows_3B!$D$2366:$D$100,"&lt;="&amp;B2366,CBIC_Late_Fee_Relief_Windows_3B!$E$2366:$E$100,"&gt;="&amp;B2366,CBIC_Late_Fee_Relief_Windows_3B!$F$2366:$F$100,"&lt;="&amp;C2366,CBIC_Late_Fee_Relief_Windows_3B!$G$2366:$G$100,"&gt;="&amp;C2366)</f>
        <v/>
      </c>
      <c r="H2366">
        <f>INDEX(CBIC_Late_Fee_Relief_Windows_3B!$I$2366:$I$100,MATCH(G2366,CBIC_Late_Fee_Relief_Windows_3B!$O$2366:$O$100,0))</f>
        <v/>
      </c>
      <c r="I2366">
        <f>MIN(F2366,H2366)</f>
        <v/>
      </c>
    </row>
    <row r="2367">
      <c r="A2367">
        <f>TEST_DATA!A2367</f>
        <v/>
      </c>
      <c r="B2367">
        <f>TEST_DATA!B2367</f>
        <v/>
      </c>
      <c r="C2367">
        <f>TEST_DATA!C2367</f>
        <v/>
      </c>
      <c r="D2367">
        <f>TEST_DATA!D2367</f>
        <v/>
      </c>
      <c r="E2367">
        <f>TEST_DATA!E2367</f>
        <v/>
      </c>
      <c r="F2367">
        <f>MIN(E2367*236700,10000)</f>
        <v/>
      </c>
      <c r="G2367">
        <f>MINIFS(CBIC_Late_Fee_Relief_Windows_3B!$O$2367:$O$100,CBIC_Late_Fee_Relief_Windows_3B!$D$2367:$D$100,"&lt;="&amp;B2367,CBIC_Late_Fee_Relief_Windows_3B!$E$2367:$E$100,"&gt;="&amp;B2367,CBIC_Late_Fee_Relief_Windows_3B!$F$2367:$F$100,"&lt;="&amp;C2367,CBIC_Late_Fee_Relief_Windows_3B!$G$2367:$G$100,"&gt;="&amp;C2367)</f>
        <v/>
      </c>
      <c r="H2367">
        <f>INDEX(CBIC_Late_Fee_Relief_Windows_3B!$I$2367:$I$100,MATCH(G2367,CBIC_Late_Fee_Relief_Windows_3B!$O$2367:$O$100,0))</f>
        <v/>
      </c>
      <c r="I2367">
        <f>MIN(F2367,H2367)</f>
        <v/>
      </c>
    </row>
    <row r="2368">
      <c r="A2368">
        <f>TEST_DATA!A2368</f>
        <v/>
      </c>
      <c r="B2368">
        <f>TEST_DATA!B2368</f>
        <v/>
      </c>
      <c r="C2368">
        <f>TEST_DATA!C2368</f>
        <v/>
      </c>
      <c r="D2368">
        <f>TEST_DATA!D2368</f>
        <v/>
      </c>
      <c r="E2368">
        <f>TEST_DATA!E2368</f>
        <v/>
      </c>
      <c r="F2368">
        <f>MIN(E2368*236800,10000)</f>
        <v/>
      </c>
      <c r="G2368">
        <f>MINIFS(CBIC_Late_Fee_Relief_Windows_3B!$O$2368:$O$100,CBIC_Late_Fee_Relief_Windows_3B!$D$2368:$D$100,"&lt;="&amp;B2368,CBIC_Late_Fee_Relief_Windows_3B!$E$2368:$E$100,"&gt;="&amp;B2368,CBIC_Late_Fee_Relief_Windows_3B!$F$2368:$F$100,"&lt;="&amp;C2368,CBIC_Late_Fee_Relief_Windows_3B!$G$2368:$G$100,"&gt;="&amp;C2368)</f>
        <v/>
      </c>
      <c r="H2368">
        <f>INDEX(CBIC_Late_Fee_Relief_Windows_3B!$I$2368:$I$100,MATCH(G2368,CBIC_Late_Fee_Relief_Windows_3B!$O$2368:$O$100,0))</f>
        <v/>
      </c>
      <c r="I2368">
        <f>MIN(F2368,H2368)</f>
        <v/>
      </c>
    </row>
    <row r="2369">
      <c r="A2369">
        <f>TEST_DATA!A2369</f>
        <v/>
      </c>
      <c r="B2369">
        <f>TEST_DATA!B2369</f>
        <v/>
      </c>
      <c r="C2369">
        <f>TEST_DATA!C2369</f>
        <v/>
      </c>
      <c r="D2369">
        <f>TEST_DATA!D2369</f>
        <v/>
      </c>
      <c r="E2369">
        <f>TEST_DATA!E2369</f>
        <v/>
      </c>
      <c r="F2369">
        <f>MIN(E2369*236900,10000)</f>
        <v/>
      </c>
      <c r="G2369">
        <f>MINIFS(CBIC_Late_Fee_Relief_Windows_3B!$O$2369:$O$100,CBIC_Late_Fee_Relief_Windows_3B!$D$2369:$D$100,"&lt;="&amp;B2369,CBIC_Late_Fee_Relief_Windows_3B!$E$2369:$E$100,"&gt;="&amp;B2369,CBIC_Late_Fee_Relief_Windows_3B!$F$2369:$F$100,"&lt;="&amp;C2369,CBIC_Late_Fee_Relief_Windows_3B!$G$2369:$G$100,"&gt;="&amp;C2369)</f>
        <v/>
      </c>
      <c r="H2369">
        <f>INDEX(CBIC_Late_Fee_Relief_Windows_3B!$I$2369:$I$100,MATCH(G2369,CBIC_Late_Fee_Relief_Windows_3B!$O$2369:$O$100,0))</f>
        <v/>
      </c>
      <c r="I2369">
        <f>MIN(F2369,H2369)</f>
        <v/>
      </c>
    </row>
    <row r="2370">
      <c r="A2370">
        <f>TEST_DATA!A2370</f>
        <v/>
      </c>
      <c r="B2370">
        <f>TEST_DATA!B2370</f>
        <v/>
      </c>
      <c r="C2370">
        <f>TEST_DATA!C2370</f>
        <v/>
      </c>
      <c r="D2370">
        <f>TEST_DATA!D2370</f>
        <v/>
      </c>
      <c r="E2370">
        <f>TEST_DATA!E2370</f>
        <v/>
      </c>
      <c r="F2370">
        <f>MIN(E2370*237000,10000)</f>
        <v/>
      </c>
      <c r="G2370">
        <f>MINIFS(CBIC_Late_Fee_Relief_Windows_3B!$O$2370:$O$100,CBIC_Late_Fee_Relief_Windows_3B!$D$2370:$D$100,"&lt;="&amp;B2370,CBIC_Late_Fee_Relief_Windows_3B!$E$2370:$E$100,"&gt;="&amp;B2370,CBIC_Late_Fee_Relief_Windows_3B!$F$2370:$F$100,"&lt;="&amp;C2370,CBIC_Late_Fee_Relief_Windows_3B!$G$2370:$G$100,"&gt;="&amp;C2370)</f>
        <v/>
      </c>
      <c r="H2370">
        <f>INDEX(CBIC_Late_Fee_Relief_Windows_3B!$I$2370:$I$100,MATCH(G2370,CBIC_Late_Fee_Relief_Windows_3B!$O$2370:$O$100,0))</f>
        <v/>
      </c>
      <c r="I2370">
        <f>MIN(F2370,H2370)</f>
        <v/>
      </c>
    </row>
    <row r="2371">
      <c r="A2371">
        <f>TEST_DATA!A2371</f>
        <v/>
      </c>
      <c r="B2371">
        <f>TEST_DATA!B2371</f>
        <v/>
      </c>
      <c r="C2371">
        <f>TEST_DATA!C2371</f>
        <v/>
      </c>
      <c r="D2371">
        <f>TEST_DATA!D2371</f>
        <v/>
      </c>
      <c r="E2371">
        <f>TEST_DATA!E2371</f>
        <v/>
      </c>
      <c r="F2371">
        <f>MIN(E2371*237100,10000)</f>
        <v/>
      </c>
      <c r="G2371">
        <f>MINIFS(CBIC_Late_Fee_Relief_Windows_3B!$O$2371:$O$100,CBIC_Late_Fee_Relief_Windows_3B!$D$2371:$D$100,"&lt;="&amp;B2371,CBIC_Late_Fee_Relief_Windows_3B!$E$2371:$E$100,"&gt;="&amp;B2371,CBIC_Late_Fee_Relief_Windows_3B!$F$2371:$F$100,"&lt;="&amp;C2371,CBIC_Late_Fee_Relief_Windows_3B!$G$2371:$G$100,"&gt;="&amp;C2371)</f>
        <v/>
      </c>
      <c r="H2371">
        <f>INDEX(CBIC_Late_Fee_Relief_Windows_3B!$I$2371:$I$100,MATCH(G2371,CBIC_Late_Fee_Relief_Windows_3B!$O$2371:$O$100,0))</f>
        <v/>
      </c>
      <c r="I2371">
        <f>MIN(F2371,H2371)</f>
        <v/>
      </c>
    </row>
    <row r="2372">
      <c r="A2372">
        <f>TEST_DATA!A2372</f>
        <v/>
      </c>
      <c r="B2372">
        <f>TEST_DATA!B2372</f>
        <v/>
      </c>
      <c r="C2372">
        <f>TEST_DATA!C2372</f>
        <v/>
      </c>
      <c r="D2372">
        <f>TEST_DATA!D2372</f>
        <v/>
      </c>
      <c r="E2372">
        <f>TEST_DATA!E2372</f>
        <v/>
      </c>
      <c r="F2372">
        <f>MIN(E2372*237200,10000)</f>
        <v/>
      </c>
      <c r="G2372">
        <f>MINIFS(CBIC_Late_Fee_Relief_Windows_3B!$O$2372:$O$100,CBIC_Late_Fee_Relief_Windows_3B!$D$2372:$D$100,"&lt;="&amp;B2372,CBIC_Late_Fee_Relief_Windows_3B!$E$2372:$E$100,"&gt;="&amp;B2372,CBIC_Late_Fee_Relief_Windows_3B!$F$2372:$F$100,"&lt;="&amp;C2372,CBIC_Late_Fee_Relief_Windows_3B!$G$2372:$G$100,"&gt;="&amp;C2372)</f>
        <v/>
      </c>
      <c r="H2372">
        <f>INDEX(CBIC_Late_Fee_Relief_Windows_3B!$I$2372:$I$100,MATCH(G2372,CBIC_Late_Fee_Relief_Windows_3B!$O$2372:$O$100,0))</f>
        <v/>
      </c>
      <c r="I2372">
        <f>MIN(F2372,H2372)</f>
        <v/>
      </c>
    </row>
    <row r="2373">
      <c r="A2373">
        <f>TEST_DATA!A2373</f>
        <v/>
      </c>
      <c r="B2373">
        <f>TEST_DATA!B2373</f>
        <v/>
      </c>
      <c r="C2373">
        <f>TEST_DATA!C2373</f>
        <v/>
      </c>
      <c r="D2373">
        <f>TEST_DATA!D2373</f>
        <v/>
      </c>
      <c r="E2373">
        <f>TEST_DATA!E2373</f>
        <v/>
      </c>
      <c r="F2373">
        <f>MIN(E2373*237300,10000)</f>
        <v/>
      </c>
      <c r="G2373">
        <f>MINIFS(CBIC_Late_Fee_Relief_Windows_3B!$O$2373:$O$100,CBIC_Late_Fee_Relief_Windows_3B!$D$2373:$D$100,"&lt;="&amp;B2373,CBIC_Late_Fee_Relief_Windows_3B!$E$2373:$E$100,"&gt;="&amp;B2373,CBIC_Late_Fee_Relief_Windows_3B!$F$2373:$F$100,"&lt;="&amp;C2373,CBIC_Late_Fee_Relief_Windows_3B!$G$2373:$G$100,"&gt;="&amp;C2373)</f>
        <v/>
      </c>
      <c r="H2373">
        <f>INDEX(CBIC_Late_Fee_Relief_Windows_3B!$I$2373:$I$100,MATCH(G2373,CBIC_Late_Fee_Relief_Windows_3B!$O$2373:$O$100,0))</f>
        <v/>
      </c>
      <c r="I2373">
        <f>MIN(F2373,H2373)</f>
        <v/>
      </c>
    </row>
    <row r="2374">
      <c r="A2374">
        <f>TEST_DATA!A2374</f>
        <v/>
      </c>
      <c r="B2374">
        <f>TEST_DATA!B2374</f>
        <v/>
      </c>
      <c r="C2374">
        <f>TEST_DATA!C2374</f>
        <v/>
      </c>
      <c r="D2374">
        <f>TEST_DATA!D2374</f>
        <v/>
      </c>
      <c r="E2374">
        <f>TEST_DATA!E2374</f>
        <v/>
      </c>
      <c r="F2374">
        <f>MIN(E2374*237400,10000)</f>
        <v/>
      </c>
      <c r="G2374">
        <f>MINIFS(CBIC_Late_Fee_Relief_Windows_3B!$O$2374:$O$100,CBIC_Late_Fee_Relief_Windows_3B!$D$2374:$D$100,"&lt;="&amp;B2374,CBIC_Late_Fee_Relief_Windows_3B!$E$2374:$E$100,"&gt;="&amp;B2374,CBIC_Late_Fee_Relief_Windows_3B!$F$2374:$F$100,"&lt;="&amp;C2374,CBIC_Late_Fee_Relief_Windows_3B!$G$2374:$G$100,"&gt;="&amp;C2374)</f>
        <v/>
      </c>
      <c r="H2374">
        <f>INDEX(CBIC_Late_Fee_Relief_Windows_3B!$I$2374:$I$100,MATCH(G2374,CBIC_Late_Fee_Relief_Windows_3B!$O$2374:$O$100,0))</f>
        <v/>
      </c>
      <c r="I2374">
        <f>MIN(F2374,H2374)</f>
        <v/>
      </c>
    </row>
    <row r="2375">
      <c r="A2375">
        <f>TEST_DATA!A2375</f>
        <v/>
      </c>
      <c r="B2375">
        <f>TEST_DATA!B2375</f>
        <v/>
      </c>
      <c r="C2375">
        <f>TEST_DATA!C2375</f>
        <v/>
      </c>
      <c r="D2375">
        <f>TEST_DATA!D2375</f>
        <v/>
      </c>
      <c r="E2375">
        <f>TEST_DATA!E2375</f>
        <v/>
      </c>
      <c r="F2375">
        <f>MIN(E2375*237500,10000)</f>
        <v/>
      </c>
      <c r="G2375">
        <f>MINIFS(CBIC_Late_Fee_Relief_Windows_3B!$O$2375:$O$100,CBIC_Late_Fee_Relief_Windows_3B!$D$2375:$D$100,"&lt;="&amp;B2375,CBIC_Late_Fee_Relief_Windows_3B!$E$2375:$E$100,"&gt;="&amp;B2375,CBIC_Late_Fee_Relief_Windows_3B!$F$2375:$F$100,"&lt;="&amp;C2375,CBIC_Late_Fee_Relief_Windows_3B!$G$2375:$G$100,"&gt;="&amp;C2375)</f>
        <v/>
      </c>
      <c r="H2375">
        <f>INDEX(CBIC_Late_Fee_Relief_Windows_3B!$I$2375:$I$100,MATCH(G2375,CBIC_Late_Fee_Relief_Windows_3B!$O$2375:$O$100,0))</f>
        <v/>
      </c>
      <c r="I2375">
        <f>MIN(F2375,H2375)</f>
        <v/>
      </c>
    </row>
    <row r="2376">
      <c r="A2376">
        <f>TEST_DATA!A2376</f>
        <v/>
      </c>
      <c r="B2376">
        <f>TEST_DATA!B2376</f>
        <v/>
      </c>
      <c r="C2376">
        <f>TEST_DATA!C2376</f>
        <v/>
      </c>
      <c r="D2376">
        <f>TEST_DATA!D2376</f>
        <v/>
      </c>
      <c r="E2376">
        <f>TEST_DATA!E2376</f>
        <v/>
      </c>
      <c r="F2376">
        <f>MIN(E2376*237600,10000)</f>
        <v/>
      </c>
      <c r="G2376">
        <f>MINIFS(CBIC_Late_Fee_Relief_Windows_3B!$O$2376:$O$100,CBIC_Late_Fee_Relief_Windows_3B!$D$2376:$D$100,"&lt;="&amp;B2376,CBIC_Late_Fee_Relief_Windows_3B!$E$2376:$E$100,"&gt;="&amp;B2376,CBIC_Late_Fee_Relief_Windows_3B!$F$2376:$F$100,"&lt;="&amp;C2376,CBIC_Late_Fee_Relief_Windows_3B!$G$2376:$G$100,"&gt;="&amp;C2376)</f>
        <v/>
      </c>
      <c r="H2376">
        <f>INDEX(CBIC_Late_Fee_Relief_Windows_3B!$I$2376:$I$100,MATCH(G2376,CBIC_Late_Fee_Relief_Windows_3B!$O$2376:$O$100,0))</f>
        <v/>
      </c>
      <c r="I2376">
        <f>MIN(F2376,H2376)</f>
        <v/>
      </c>
    </row>
    <row r="2377">
      <c r="A2377">
        <f>TEST_DATA!A2377</f>
        <v/>
      </c>
      <c r="B2377">
        <f>TEST_DATA!B2377</f>
        <v/>
      </c>
      <c r="C2377">
        <f>TEST_DATA!C2377</f>
        <v/>
      </c>
      <c r="D2377">
        <f>TEST_DATA!D2377</f>
        <v/>
      </c>
      <c r="E2377">
        <f>TEST_DATA!E2377</f>
        <v/>
      </c>
      <c r="F2377">
        <f>MIN(E2377*237700,10000)</f>
        <v/>
      </c>
      <c r="G2377">
        <f>MINIFS(CBIC_Late_Fee_Relief_Windows_3B!$O$2377:$O$100,CBIC_Late_Fee_Relief_Windows_3B!$D$2377:$D$100,"&lt;="&amp;B2377,CBIC_Late_Fee_Relief_Windows_3B!$E$2377:$E$100,"&gt;="&amp;B2377,CBIC_Late_Fee_Relief_Windows_3B!$F$2377:$F$100,"&lt;="&amp;C2377,CBIC_Late_Fee_Relief_Windows_3B!$G$2377:$G$100,"&gt;="&amp;C2377)</f>
        <v/>
      </c>
      <c r="H2377">
        <f>INDEX(CBIC_Late_Fee_Relief_Windows_3B!$I$2377:$I$100,MATCH(G2377,CBIC_Late_Fee_Relief_Windows_3B!$O$2377:$O$100,0))</f>
        <v/>
      </c>
      <c r="I2377">
        <f>MIN(F2377,H2377)</f>
        <v/>
      </c>
    </row>
    <row r="2378">
      <c r="A2378">
        <f>TEST_DATA!A2378</f>
        <v/>
      </c>
      <c r="B2378">
        <f>TEST_DATA!B2378</f>
        <v/>
      </c>
      <c r="C2378">
        <f>TEST_DATA!C2378</f>
        <v/>
      </c>
      <c r="D2378">
        <f>TEST_DATA!D2378</f>
        <v/>
      </c>
      <c r="E2378">
        <f>TEST_DATA!E2378</f>
        <v/>
      </c>
      <c r="F2378">
        <f>MIN(E2378*237800,10000)</f>
        <v/>
      </c>
      <c r="G2378">
        <f>MINIFS(CBIC_Late_Fee_Relief_Windows_3B!$O$2378:$O$100,CBIC_Late_Fee_Relief_Windows_3B!$D$2378:$D$100,"&lt;="&amp;B2378,CBIC_Late_Fee_Relief_Windows_3B!$E$2378:$E$100,"&gt;="&amp;B2378,CBIC_Late_Fee_Relief_Windows_3B!$F$2378:$F$100,"&lt;="&amp;C2378,CBIC_Late_Fee_Relief_Windows_3B!$G$2378:$G$100,"&gt;="&amp;C2378)</f>
        <v/>
      </c>
      <c r="H2378">
        <f>INDEX(CBIC_Late_Fee_Relief_Windows_3B!$I$2378:$I$100,MATCH(G2378,CBIC_Late_Fee_Relief_Windows_3B!$O$2378:$O$100,0))</f>
        <v/>
      </c>
      <c r="I2378">
        <f>MIN(F2378,H2378)</f>
        <v/>
      </c>
    </row>
    <row r="2379">
      <c r="A2379">
        <f>TEST_DATA!A2379</f>
        <v/>
      </c>
      <c r="B2379">
        <f>TEST_DATA!B2379</f>
        <v/>
      </c>
      <c r="C2379">
        <f>TEST_DATA!C2379</f>
        <v/>
      </c>
      <c r="D2379">
        <f>TEST_DATA!D2379</f>
        <v/>
      </c>
      <c r="E2379">
        <f>TEST_DATA!E2379</f>
        <v/>
      </c>
      <c r="F2379">
        <f>MIN(E2379*237900,10000)</f>
        <v/>
      </c>
      <c r="G2379">
        <f>MINIFS(CBIC_Late_Fee_Relief_Windows_3B!$O$2379:$O$100,CBIC_Late_Fee_Relief_Windows_3B!$D$2379:$D$100,"&lt;="&amp;B2379,CBIC_Late_Fee_Relief_Windows_3B!$E$2379:$E$100,"&gt;="&amp;B2379,CBIC_Late_Fee_Relief_Windows_3B!$F$2379:$F$100,"&lt;="&amp;C2379,CBIC_Late_Fee_Relief_Windows_3B!$G$2379:$G$100,"&gt;="&amp;C2379)</f>
        <v/>
      </c>
      <c r="H2379">
        <f>INDEX(CBIC_Late_Fee_Relief_Windows_3B!$I$2379:$I$100,MATCH(G2379,CBIC_Late_Fee_Relief_Windows_3B!$O$2379:$O$100,0))</f>
        <v/>
      </c>
      <c r="I2379">
        <f>MIN(F2379,H2379)</f>
        <v/>
      </c>
    </row>
    <row r="2380">
      <c r="A2380">
        <f>TEST_DATA!A2380</f>
        <v/>
      </c>
      <c r="B2380">
        <f>TEST_DATA!B2380</f>
        <v/>
      </c>
      <c r="C2380">
        <f>TEST_DATA!C2380</f>
        <v/>
      </c>
      <c r="D2380">
        <f>TEST_DATA!D2380</f>
        <v/>
      </c>
      <c r="E2380">
        <f>TEST_DATA!E2380</f>
        <v/>
      </c>
      <c r="F2380">
        <f>MIN(E2380*238000,10000)</f>
        <v/>
      </c>
      <c r="G2380">
        <f>MINIFS(CBIC_Late_Fee_Relief_Windows_3B!$O$2380:$O$100,CBIC_Late_Fee_Relief_Windows_3B!$D$2380:$D$100,"&lt;="&amp;B2380,CBIC_Late_Fee_Relief_Windows_3B!$E$2380:$E$100,"&gt;="&amp;B2380,CBIC_Late_Fee_Relief_Windows_3B!$F$2380:$F$100,"&lt;="&amp;C2380,CBIC_Late_Fee_Relief_Windows_3B!$G$2380:$G$100,"&gt;="&amp;C2380)</f>
        <v/>
      </c>
      <c r="H2380">
        <f>INDEX(CBIC_Late_Fee_Relief_Windows_3B!$I$2380:$I$100,MATCH(G2380,CBIC_Late_Fee_Relief_Windows_3B!$O$2380:$O$100,0))</f>
        <v/>
      </c>
      <c r="I2380">
        <f>MIN(F2380,H2380)</f>
        <v/>
      </c>
    </row>
    <row r="2381">
      <c r="A2381">
        <f>TEST_DATA!A2381</f>
        <v/>
      </c>
      <c r="B2381">
        <f>TEST_DATA!B2381</f>
        <v/>
      </c>
      <c r="C2381">
        <f>TEST_DATA!C2381</f>
        <v/>
      </c>
      <c r="D2381">
        <f>TEST_DATA!D2381</f>
        <v/>
      </c>
      <c r="E2381">
        <f>TEST_DATA!E2381</f>
        <v/>
      </c>
      <c r="F2381">
        <f>MIN(E2381*238100,10000)</f>
        <v/>
      </c>
      <c r="G2381">
        <f>MINIFS(CBIC_Late_Fee_Relief_Windows_3B!$O$2381:$O$100,CBIC_Late_Fee_Relief_Windows_3B!$D$2381:$D$100,"&lt;="&amp;B2381,CBIC_Late_Fee_Relief_Windows_3B!$E$2381:$E$100,"&gt;="&amp;B2381,CBIC_Late_Fee_Relief_Windows_3B!$F$2381:$F$100,"&lt;="&amp;C2381,CBIC_Late_Fee_Relief_Windows_3B!$G$2381:$G$100,"&gt;="&amp;C2381)</f>
        <v/>
      </c>
      <c r="H2381">
        <f>INDEX(CBIC_Late_Fee_Relief_Windows_3B!$I$2381:$I$100,MATCH(G2381,CBIC_Late_Fee_Relief_Windows_3B!$O$2381:$O$100,0))</f>
        <v/>
      </c>
      <c r="I2381">
        <f>MIN(F2381,H2381)</f>
        <v/>
      </c>
    </row>
    <row r="2382">
      <c r="A2382">
        <f>TEST_DATA!A2382</f>
        <v/>
      </c>
      <c r="B2382">
        <f>TEST_DATA!B2382</f>
        <v/>
      </c>
      <c r="C2382">
        <f>TEST_DATA!C2382</f>
        <v/>
      </c>
      <c r="D2382">
        <f>TEST_DATA!D2382</f>
        <v/>
      </c>
      <c r="E2382">
        <f>TEST_DATA!E2382</f>
        <v/>
      </c>
      <c r="F2382">
        <f>MIN(E2382*238200,10000)</f>
        <v/>
      </c>
      <c r="G2382">
        <f>MINIFS(CBIC_Late_Fee_Relief_Windows_3B!$O$2382:$O$100,CBIC_Late_Fee_Relief_Windows_3B!$D$2382:$D$100,"&lt;="&amp;B2382,CBIC_Late_Fee_Relief_Windows_3B!$E$2382:$E$100,"&gt;="&amp;B2382,CBIC_Late_Fee_Relief_Windows_3B!$F$2382:$F$100,"&lt;="&amp;C2382,CBIC_Late_Fee_Relief_Windows_3B!$G$2382:$G$100,"&gt;="&amp;C2382)</f>
        <v/>
      </c>
      <c r="H2382">
        <f>INDEX(CBIC_Late_Fee_Relief_Windows_3B!$I$2382:$I$100,MATCH(G2382,CBIC_Late_Fee_Relief_Windows_3B!$O$2382:$O$100,0))</f>
        <v/>
      </c>
      <c r="I2382">
        <f>MIN(F2382,H2382)</f>
        <v/>
      </c>
    </row>
    <row r="2383">
      <c r="A2383">
        <f>TEST_DATA!A2383</f>
        <v/>
      </c>
      <c r="B2383">
        <f>TEST_DATA!B2383</f>
        <v/>
      </c>
      <c r="C2383">
        <f>TEST_DATA!C2383</f>
        <v/>
      </c>
      <c r="D2383">
        <f>TEST_DATA!D2383</f>
        <v/>
      </c>
      <c r="E2383">
        <f>TEST_DATA!E2383</f>
        <v/>
      </c>
      <c r="F2383">
        <f>MIN(E2383*238300,10000)</f>
        <v/>
      </c>
      <c r="G2383">
        <f>MINIFS(CBIC_Late_Fee_Relief_Windows_3B!$O$2383:$O$100,CBIC_Late_Fee_Relief_Windows_3B!$D$2383:$D$100,"&lt;="&amp;B2383,CBIC_Late_Fee_Relief_Windows_3B!$E$2383:$E$100,"&gt;="&amp;B2383,CBIC_Late_Fee_Relief_Windows_3B!$F$2383:$F$100,"&lt;="&amp;C2383,CBIC_Late_Fee_Relief_Windows_3B!$G$2383:$G$100,"&gt;="&amp;C2383)</f>
        <v/>
      </c>
      <c r="H2383">
        <f>INDEX(CBIC_Late_Fee_Relief_Windows_3B!$I$2383:$I$100,MATCH(G2383,CBIC_Late_Fee_Relief_Windows_3B!$O$2383:$O$100,0))</f>
        <v/>
      </c>
      <c r="I2383">
        <f>MIN(F2383,H2383)</f>
        <v/>
      </c>
    </row>
    <row r="2384">
      <c r="A2384">
        <f>TEST_DATA!A2384</f>
        <v/>
      </c>
      <c r="B2384">
        <f>TEST_DATA!B2384</f>
        <v/>
      </c>
      <c r="C2384">
        <f>TEST_DATA!C2384</f>
        <v/>
      </c>
      <c r="D2384">
        <f>TEST_DATA!D2384</f>
        <v/>
      </c>
      <c r="E2384">
        <f>TEST_DATA!E2384</f>
        <v/>
      </c>
      <c r="F2384">
        <f>MIN(E2384*238400,10000)</f>
        <v/>
      </c>
      <c r="G2384">
        <f>MINIFS(CBIC_Late_Fee_Relief_Windows_3B!$O$2384:$O$100,CBIC_Late_Fee_Relief_Windows_3B!$D$2384:$D$100,"&lt;="&amp;B2384,CBIC_Late_Fee_Relief_Windows_3B!$E$2384:$E$100,"&gt;="&amp;B2384,CBIC_Late_Fee_Relief_Windows_3B!$F$2384:$F$100,"&lt;="&amp;C2384,CBIC_Late_Fee_Relief_Windows_3B!$G$2384:$G$100,"&gt;="&amp;C2384)</f>
        <v/>
      </c>
      <c r="H2384">
        <f>INDEX(CBIC_Late_Fee_Relief_Windows_3B!$I$2384:$I$100,MATCH(G2384,CBIC_Late_Fee_Relief_Windows_3B!$O$2384:$O$100,0))</f>
        <v/>
      </c>
      <c r="I2384">
        <f>MIN(F2384,H2384)</f>
        <v/>
      </c>
    </row>
    <row r="2385">
      <c r="A2385">
        <f>TEST_DATA!A2385</f>
        <v/>
      </c>
      <c r="B2385">
        <f>TEST_DATA!B2385</f>
        <v/>
      </c>
      <c r="C2385">
        <f>TEST_DATA!C2385</f>
        <v/>
      </c>
      <c r="D2385">
        <f>TEST_DATA!D2385</f>
        <v/>
      </c>
      <c r="E2385">
        <f>TEST_DATA!E2385</f>
        <v/>
      </c>
      <c r="F2385">
        <f>MIN(E2385*238500,10000)</f>
        <v/>
      </c>
      <c r="G2385">
        <f>MINIFS(CBIC_Late_Fee_Relief_Windows_3B!$O$2385:$O$100,CBIC_Late_Fee_Relief_Windows_3B!$D$2385:$D$100,"&lt;="&amp;B2385,CBIC_Late_Fee_Relief_Windows_3B!$E$2385:$E$100,"&gt;="&amp;B2385,CBIC_Late_Fee_Relief_Windows_3B!$F$2385:$F$100,"&lt;="&amp;C2385,CBIC_Late_Fee_Relief_Windows_3B!$G$2385:$G$100,"&gt;="&amp;C2385)</f>
        <v/>
      </c>
      <c r="H2385">
        <f>INDEX(CBIC_Late_Fee_Relief_Windows_3B!$I$2385:$I$100,MATCH(G2385,CBIC_Late_Fee_Relief_Windows_3B!$O$2385:$O$100,0))</f>
        <v/>
      </c>
      <c r="I2385">
        <f>MIN(F2385,H2385)</f>
        <v/>
      </c>
    </row>
    <row r="2386">
      <c r="A2386">
        <f>TEST_DATA!A2386</f>
        <v/>
      </c>
      <c r="B2386">
        <f>TEST_DATA!B2386</f>
        <v/>
      </c>
      <c r="C2386">
        <f>TEST_DATA!C2386</f>
        <v/>
      </c>
      <c r="D2386">
        <f>TEST_DATA!D2386</f>
        <v/>
      </c>
      <c r="E2386">
        <f>TEST_DATA!E2386</f>
        <v/>
      </c>
      <c r="F2386">
        <f>MIN(E2386*238600,10000)</f>
        <v/>
      </c>
      <c r="G2386">
        <f>MINIFS(CBIC_Late_Fee_Relief_Windows_3B!$O$2386:$O$100,CBIC_Late_Fee_Relief_Windows_3B!$D$2386:$D$100,"&lt;="&amp;B2386,CBIC_Late_Fee_Relief_Windows_3B!$E$2386:$E$100,"&gt;="&amp;B2386,CBIC_Late_Fee_Relief_Windows_3B!$F$2386:$F$100,"&lt;="&amp;C2386,CBIC_Late_Fee_Relief_Windows_3B!$G$2386:$G$100,"&gt;="&amp;C2386)</f>
        <v/>
      </c>
      <c r="H2386">
        <f>INDEX(CBIC_Late_Fee_Relief_Windows_3B!$I$2386:$I$100,MATCH(G2386,CBIC_Late_Fee_Relief_Windows_3B!$O$2386:$O$100,0))</f>
        <v/>
      </c>
      <c r="I2386">
        <f>MIN(F2386,H2386)</f>
        <v/>
      </c>
    </row>
    <row r="2387">
      <c r="A2387">
        <f>TEST_DATA!A2387</f>
        <v/>
      </c>
      <c r="B2387">
        <f>TEST_DATA!B2387</f>
        <v/>
      </c>
      <c r="C2387">
        <f>TEST_DATA!C2387</f>
        <v/>
      </c>
      <c r="D2387">
        <f>TEST_DATA!D2387</f>
        <v/>
      </c>
      <c r="E2387">
        <f>TEST_DATA!E2387</f>
        <v/>
      </c>
      <c r="F2387">
        <f>MIN(E2387*238700,10000)</f>
        <v/>
      </c>
      <c r="G2387">
        <f>MINIFS(CBIC_Late_Fee_Relief_Windows_3B!$O$2387:$O$100,CBIC_Late_Fee_Relief_Windows_3B!$D$2387:$D$100,"&lt;="&amp;B2387,CBIC_Late_Fee_Relief_Windows_3B!$E$2387:$E$100,"&gt;="&amp;B2387,CBIC_Late_Fee_Relief_Windows_3B!$F$2387:$F$100,"&lt;="&amp;C2387,CBIC_Late_Fee_Relief_Windows_3B!$G$2387:$G$100,"&gt;="&amp;C2387)</f>
        <v/>
      </c>
      <c r="H2387">
        <f>INDEX(CBIC_Late_Fee_Relief_Windows_3B!$I$2387:$I$100,MATCH(G2387,CBIC_Late_Fee_Relief_Windows_3B!$O$2387:$O$100,0))</f>
        <v/>
      </c>
      <c r="I2387">
        <f>MIN(F2387,H2387)</f>
        <v/>
      </c>
    </row>
    <row r="2388">
      <c r="A2388">
        <f>TEST_DATA!A2388</f>
        <v/>
      </c>
      <c r="B2388">
        <f>TEST_DATA!B2388</f>
        <v/>
      </c>
      <c r="C2388">
        <f>TEST_DATA!C2388</f>
        <v/>
      </c>
      <c r="D2388">
        <f>TEST_DATA!D2388</f>
        <v/>
      </c>
      <c r="E2388">
        <f>TEST_DATA!E2388</f>
        <v/>
      </c>
      <c r="F2388">
        <f>MIN(E2388*238800,10000)</f>
        <v/>
      </c>
      <c r="G2388">
        <f>MINIFS(CBIC_Late_Fee_Relief_Windows_3B!$O$2388:$O$100,CBIC_Late_Fee_Relief_Windows_3B!$D$2388:$D$100,"&lt;="&amp;B2388,CBIC_Late_Fee_Relief_Windows_3B!$E$2388:$E$100,"&gt;="&amp;B2388,CBIC_Late_Fee_Relief_Windows_3B!$F$2388:$F$100,"&lt;="&amp;C2388,CBIC_Late_Fee_Relief_Windows_3B!$G$2388:$G$100,"&gt;="&amp;C2388)</f>
        <v/>
      </c>
      <c r="H2388">
        <f>INDEX(CBIC_Late_Fee_Relief_Windows_3B!$I$2388:$I$100,MATCH(G2388,CBIC_Late_Fee_Relief_Windows_3B!$O$2388:$O$100,0))</f>
        <v/>
      </c>
      <c r="I2388">
        <f>MIN(F2388,H2388)</f>
        <v/>
      </c>
    </row>
    <row r="2389">
      <c r="A2389">
        <f>TEST_DATA!A2389</f>
        <v/>
      </c>
      <c r="B2389">
        <f>TEST_DATA!B2389</f>
        <v/>
      </c>
      <c r="C2389">
        <f>TEST_DATA!C2389</f>
        <v/>
      </c>
      <c r="D2389">
        <f>TEST_DATA!D2389</f>
        <v/>
      </c>
      <c r="E2389">
        <f>TEST_DATA!E2389</f>
        <v/>
      </c>
      <c r="F2389">
        <f>MIN(E2389*238900,10000)</f>
        <v/>
      </c>
      <c r="G2389">
        <f>MINIFS(CBIC_Late_Fee_Relief_Windows_3B!$O$2389:$O$100,CBIC_Late_Fee_Relief_Windows_3B!$D$2389:$D$100,"&lt;="&amp;B2389,CBIC_Late_Fee_Relief_Windows_3B!$E$2389:$E$100,"&gt;="&amp;B2389,CBIC_Late_Fee_Relief_Windows_3B!$F$2389:$F$100,"&lt;="&amp;C2389,CBIC_Late_Fee_Relief_Windows_3B!$G$2389:$G$100,"&gt;="&amp;C2389)</f>
        <v/>
      </c>
      <c r="H2389">
        <f>INDEX(CBIC_Late_Fee_Relief_Windows_3B!$I$2389:$I$100,MATCH(G2389,CBIC_Late_Fee_Relief_Windows_3B!$O$2389:$O$100,0))</f>
        <v/>
      </c>
      <c r="I2389">
        <f>MIN(F2389,H2389)</f>
        <v/>
      </c>
    </row>
    <row r="2390">
      <c r="A2390">
        <f>TEST_DATA!A2390</f>
        <v/>
      </c>
      <c r="B2390">
        <f>TEST_DATA!B2390</f>
        <v/>
      </c>
      <c r="C2390">
        <f>TEST_DATA!C2390</f>
        <v/>
      </c>
      <c r="D2390">
        <f>TEST_DATA!D2390</f>
        <v/>
      </c>
      <c r="E2390">
        <f>TEST_DATA!E2390</f>
        <v/>
      </c>
      <c r="F2390">
        <f>MIN(E2390*239000,10000)</f>
        <v/>
      </c>
      <c r="G2390">
        <f>MINIFS(CBIC_Late_Fee_Relief_Windows_3B!$O$2390:$O$100,CBIC_Late_Fee_Relief_Windows_3B!$D$2390:$D$100,"&lt;="&amp;B2390,CBIC_Late_Fee_Relief_Windows_3B!$E$2390:$E$100,"&gt;="&amp;B2390,CBIC_Late_Fee_Relief_Windows_3B!$F$2390:$F$100,"&lt;="&amp;C2390,CBIC_Late_Fee_Relief_Windows_3B!$G$2390:$G$100,"&gt;="&amp;C2390)</f>
        <v/>
      </c>
      <c r="H2390">
        <f>INDEX(CBIC_Late_Fee_Relief_Windows_3B!$I$2390:$I$100,MATCH(G2390,CBIC_Late_Fee_Relief_Windows_3B!$O$2390:$O$100,0))</f>
        <v/>
      </c>
      <c r="I2390">
        <f>MIN(F2390,H2390)</f>
        <v/>
      </c>
    </row>
    <row r="2391">
      <c r="A2391">
        <f>TEST_DATA!A2391</f>
        <v/>
      </c>
      <c r="B2391">
        <f>TEST_DATA!B2391</f>
        <v/>
      </c>
      <c r="C2391">
        <f>TEST_DATA!C2391</f>
        <v/>
      </c>
      <c r="D2391">
        <f>TEST_DATA!D2391</f>
        <v/>
      </c>
      <c r="E2391">
        <f>TEST_DATA!E2391</f>
        <v/>
      </c>
      <c r="F2391">
        <f>MIN(E2391*239100,10000)</f>
        <v/>
      </c>
      <c r="G2391">
        <f>MINIFS(CBIC_Late_Fee_Relief_Windows_3B!$O$2391:$O$100,CBIC_Late_Fee_Relief_Windows_3B!$D$2391:$D$100,"&lt;="&amp;B2391,CBIC_Late_Fee_Relief_Windows_3B!$E$2391:$E$100,"&gt;="&amp;B2391,CBIC_Late_Fee_Relief_Windows_3B!$F$2391:$F$100,"&lt;="&amp;C2391,CBIC_Late_Fee_Relief_Windows_3B!$G$2391:$G$100,"&gt;="&amp;C2391)</f>
        <v/>
      </c>
      <c r="H2391">
        <f>INDEX(CBIC_Late_Fee_Relief_Windows_3B!$I$2391:$I$100,MATCH(G2391,CBIC_Late_Fee_Relief_Windows_3B!$O$2391:$O$100,0))</f>
        <v/>
      </c>
      <c r="I2391">
        <f>MIN(F2391,H2391)</f>
        <v/>
      </c>
    </row>
    <row r="2392">
      <c r="A2392">
        <f>TEST_DATA!A2392</f>
        <v/>
      </c>
      <c r="B2392">
        <f>TEST_DATA!B2392</f>
        <v/>
      </c>
      <c r="C2392">
        <f>TEST_DATA!C2392</f>
        <v/>
      </c>
      <c r="D2392">
        <f>TEST_DATA!D2392</f>
        <v/>
      </c>
      <c r="E2392">
        <f>TEST_DATA!E2392</f>
        <v/>
      </c>
      <c r="F2392">
        <f>MIN(E2392*239200,10000)</f>
        <v/>
      </c>
      <c r="G2392">
        <f>MINIFS(CBIC_Late_Fee_Relief_Windows_3B!$O$2392:$O$100,CBIC_Late_Fee_Relief_Windows_3B!$D$2392:$D$100,"&lt;="&amp;B2392,CBIC_Late_Fee_Relief_Windows_3B!$E$2392:$E$100,"&gt;="&amp;B2392,CBIC_Late_Fee_Relief_Windows_3B!$F$2392:$F$100,"&lt;="&amp;C2392,CBIC_Late_Fee_Relief_Windows_3B!$G$2392:$G$100,"&gt;="&amp;C2392)</f>
        <v/>
      </c>
      <c r="H2392">
        <f>INDEX(CBIC_Late_Fee_Relief_Windows_3B!$I$2392:$I$100,MATCH(G2392,CBIC_Late_Fee_Relief_Windows_3B!$O$2392:$O$100,0))</f>
        <v/>
      </c>
      <c r="I2392">
        <f>MIN(F2392,H2392)</f>
        <v/>
      </c>
    </row>
    <row r="2393">
      <c r="A2393">
        <f>TEST_DATA!A2393</f>
        <v/>
      </c>
      <c r="B2393">
        <f>TEST_DATA!B2393</f>
        <v/>
      </c>
      <c r="C2393">
        <f>TEST_DATA!C2393</f>
        <v/>
      </c>
      <c r="D2393">
        <f>TEST_DATA!D2393</f>
        <v/>
      </c>
      <c r="E2393">
        <f>TEST_DATA!E2393</f>
        <v/>
      </c>
      <c r="F2393">
        <f>MIN(E2393*239300,10000)</f>
        <v/>
      </c>
      <c r="G2393">
        <f>MINIFS(CBIC_Late_Fee_Relief_Windows_3B!$O$2393:$O$100,CBIC_Late_Fee_Relief_Windows_3B!$D$2393:$D$100,"&lt;="&amp;B2393,CBIC_Late_Fee_Relief_Windows_3B!$E$2393:$E$100,"&gt;="&amp;B2393,CBIC_Late_Fee_Relief_Windows_3B!$F$2393:$F$100,"&lt;="&amp;C2393,CBIC_Late_Fee_Relief_Windows_3B!$G$2393:$G$100,"&gt;="&amp;C2393)</f>
        <v/>
      </c>
      <c r="H2393">
        <f>INDEX(CBIC_Late_Fee_Relief_Windows_3B!$I$2393:$I$100,MATCH(G2393,CBIC_Late_Fee_Relief_Windows_3B!$O$2393:$O$100,0))</f>
        <v/>
      </c>
      <c r="I2393">
        <f>MIN(F2393,H2393)</f>
        <v/>
      </c>
    </row>
    <row r="2394">
      <c r="A2394">
        <f>TEST_DATA!A2394</f>
        <v/>
      </c>
      <c r="B2394">
        <f>TEST_DATA!B2394</f>
        <v/>
      </c>
      <c r="C2394">
        <f>TEST_DATA!C2394</f>
        <v/>
      </c>
      <c r="D2394">
        <f>TEST_DATA!D2394</f>
        <v/>
      </c>
      <c r="E2394">
        <f>TEST_DATA!E2394</f>
        <v/>
      </c>
      <c r="F2394">
        <f>MIN(E2394*239400,10000)</f>
        <v/>
      </c>
      <c r="G2394">
        <f>MINIFS(CBIC_Late_Fee_Relief_Windows_3B!$O$2394:$O$100,CBIC_Late_Fee_Relief_Windows_3B!$D$2394:$D$100,"&lt;="&amp;B2394,CBIC_Late_Fee_Relief_Windows_3B!$E$2394:$E$100,"&gt;="&amp;B2394,CBIC_Late_Fee_Relief_Windows_3B!$F$2394:$F$100,"&lt;="&amp;C2394,CBIC_Late_Fee_Relief_Windows_3B!$G$2394:$G$100,"&gt;="&amp;C2394)</f>
        <v/>
      </c>
      <c r="H2394">
        <f>INDEX(CBIC_Late_Fee_Relief_Windows_3B!$I$2394:$I$100,MATCH(G2394,CBIC_Late_Fee_Relief_Windows_3B!$O$2394:$O$100,0))</f>
        <v/>
      </c>
      <c r="I2394">
        <f>MIN(F2394,H2394)</f>
        <v/>
      </c>
    </row>
    <row r="2395">
      <c r="A2395">
        <f>TEST_DATA!A2395</f>
        <v/>
      </c>
      <c r="B2395">
        <f>TEST_DATA!B2395</f>
        <v/>
      </c>
      <c r="C2395">
        <f>TEST_DATA!C2395</f>
        <v/>
      </c>
      <c r="D2395">
        <f>TEST_DATA!D2395</f>
        <v/>
      </c>
      <c r="E2395">
        <f>TEST_DATA!E2395</f>
        <v/>
      </c>
      <c r="F2395">
        <f>MIN(E2395*239500,10000)</f>
        <v/>
      </c>
      <c r="G2395">
        <f>MINIFS(CBIC_Late_Fee_Relief_Windows_3B!$O$2395:$O$100,CBIC_Late_Fee_Relief_Windows_3B!$D$2395:$D$100,"&lt;="&amp;B2395,CBIC_Late_Fee_Relief_Windows_3B!$E$2395:$E$100,"&gt;="&amp;B2395,CBIC_Late_Fee_Relief_Windows_3B!$F$2395:$F$100,"&lt;="&amp;C2395,CBIC_Late_Fee_Relief_Windows_3B!$G$2395:$G$100,"&gt;="&amp;C2395)</f>
        <v/>
      </c>
      <c r="H2395">
        <f>INDEX(CBIC_Late_Fee_Relief_Windows_3B!$I$2395:$I$100,MATCH(G2395,CBIC_Late_Fee_Relief_Windows_3B!$O$2395:$O$100,0))</f>
        <v/>
      </c>
      <c r="I2395">
        <f>MIN(F2395,H2395)</f>
        <v/>
      </c>
    </row>
    <row r="2396">
      <c r="A2396">
        <f>TEST_DATA!A2396</f>
        <v/>
      </c>
      <c r="B2396">
        <f>TEST_DATA!B2396</f>
        <v/>
      </c>
      <c r="C2396">
        <f>TEST_DATA!C2396</f>
        <v/>
      </c>
      <c r="D2396">
        <f>TEST_DATA!D2396</f>
        <v/>
      </c>
      <c r="E2396">
        <f>TEST_DATA!E2396</f>
        <v/>
      </c>
      <c r="F2396">
        <f>MIN(E2396*239600,10000)</f>
        <v/>
      </c>
      <c r="G2396">
        <f>MINIFS(CBIC_Late_Fee_Relief_Windows_3B!$O$2396:$O$100,CBIC_Late_Fee_Relief_Windows_3B!$D$2396:$D$100,"&lt;="&amp;B2396,CBIC_Late_Fee_Relief_Windows_3B!$E$2396:$E$100,"&gt;="&amp;B2396,CBIC_Late_Fee_Relief_Windows_3B!$F$2396:$F$100,"&lt;="&amp;C2396,CBIC_Late_Fee_Relief_Windows_3B!$G$2396:$G$100,"&gt;="&amp;C2396)</f>
        <v/>
      </c>
      <c r="H2396">
        <f>INDEX(CBIC_Late_Fee_Relief_Windows_3B!$I$2396:$I$100,MATCH(G2396,CBIC_Late_Fee_Relief_Windows_3B!$O$2396:$O$100,0))</f>
        <v/>
      </c>
      <c r="I2396">
        <f>MIN(F2396,H2396)</f>
        <v/>
      </c>
    </row>
    <row r="2397">
      <c r="A2397">
        <f>TEST_DATA!A2397</f>
        <v/>
      </c>
      <c r="B2397">
        <f>TEST_DATA!B2397</f>
        <v/>
      </c>
      <c r="C2397">
        <f>TEST_DATA!C2397</f>
        <v/>
      </c>
      <c r="D2397">
        <f>TEST_DATA!D2397</f>
        <v/>
      </c>
      <c r="E2397">
        <f>TEST_DATA!E2397</f>
        <v/>
      </c>
      <c r="F2397">
        <f>MIN(E2397*239700,10000)</f>
        <v/>
      </c>
      <c r="G2397">
        <f>MINIFS(CBIC_Late_Fee_Relief_Windows_3B!$O$2397:$O$100,CBIC_Late_Fee_Relief_Windows_3B!$D$2397:$D$100,"&lt;="&amp;B2397,CBIC_Late_Fee_Relief_Windows_3B!$E$2397:$E$100,"&gt;="&amp;B2397,CBIC_Late_Fee_Relief_Windows_3B!$F$2397:$F$100,"&lt;="&amp;C2397,CBIC_Late_Fee_Relief_Windows_3B!$G$2397:$G$100,"&gt;="&amp;C2397)</f>
        <v/>
      </c>
      <c r="H2397">
        <f>INDEX(CBIC_Late_Fee_Relief_Windows_3B!$I$2397:$I$100,MATCH(G2397,CBIC_Late_Fee_Relief_Windows_3B!$O$2397:$O$100,0))</f>
        <v/>
      </c>
      <c r="I2397">
        <f>MIN(F2397,H2397)</f>
        <v/>
      </c>
    </row>
    <row r="2398">
      <c r="A2398">
        <f>TEST_DATA!A2398</f>
        <v/>
      </c>
      <c r="B2398">
        <f>TEST_DATA!B2398</f>
        <v/>
      </c>
      <c r="C2398">
        <f>TEST_DATA!C2398</f>
        <v/>
      </c>
      <c r="D2398">
        <f>TEST_DATA!D2398</f>
        <v/>
      </c>
      <c r="E2398">
        <f>TEST_DATA!E2398</f>
        <v/>
      </c>
      <c r="F2398">
        <f>MIN(E2398*239800,10000)</f>
        <v/>
      </c>
      <c r="G2398">
        <f>MINIFS(CBIC_Late_Fee_Relief_Windows_3B!$O$2398:$O$100,CBIC_Late_Fee_Relief_Windows_3B!$D$2398:$D$100,"&lt;="&amp;B2398,CBIC_Late_Fee_Relief_Windows_3B!$E$2398:$E$100,"&gt;="&amp;B2398,CBIC_Late_Fee_Relief_Windows_3B!$F$2398:$F$100,"&lt;="&amp;C2398,CBIC_Late_Fee_Relief_Windows_3B!$G$2398:$G$100,"&gt;="&amp;C2398)</f>
        <v/>
      </c>
      <c r="H2398">
        <f>INDEX(CBIC_Late_Fee_Relief_Windows_3B!$I$2398:$I$100,MATCH(G2398,CBIC_Late_Fee_Relief_Windows_3B!$O$2398:$O$100,0))</f>
        <v/>
      </c>
      <c r="I2398">
        <f>MIN(F2398,H2398)</f>
        <v/>
      </c>
    </row>
    <row r="2399">
      <c r="A2399">
        <f>TEST_DATA!A2399</f>
        <v/>
      </c>
      <c r="B2399">
        <f>TEST_DATA!B2399</f>
        <v/>
      </c>
      <c r="C2399">
        <f>TEST_DATA!C2399</f>
        <v/>
      </c>
      <c r="D2399">
        <f>TEST_DATA!D2399</f>
        <v/>
      </c>
      <c r="E2399">
        <f>TEST_DATA!E2399</f>
        <v/>
      </c>
      <c r="F2399">
        <f>MIN(E2399*239900,10000)</f>
        <v/>
      </c>
      <c r="G2399">
        <f>MINIFS(CBIC_Late_Fee_Relief_Windows_3B!$O$2399:$O$100,CBIC_Late_Fee_Relief_Windows_3B!$D$2399:$D$100,"&lt;="&amp;B2399,CBIC_Late_Fee_Relief_Windows_3B!$E$2399:$E$100,"&gt;="&amp;B2399,CBIC_Late_Fee_Relief_Windows_3B!$F$2399:$F$100,"&lt;="&amp;C2399,CBIC_Late_Fee_Relief_Windows_3B!$G$2399:$G$100,"&gt;="&amp;C2399)</f>
        <v/>
      </c>
      <c r="H2399">
        <f>INDEX(CBIC_Late_Fee_Relief_Windows_3B!$I$2399:$I$100,MATCH(G2399,CBIC_Late_Fee_Relief_Windows_3B!$O$2399:$O$100,0))</f>
        <v/>
      </c>
      <c r="I2399">
        <f>MIN(F2399,H2399)</f>
        <v/>
      </c>
    </row>
    <row r="2400">
      <c r="A2400">
        <f>TEST_DATA!A2400</f>
        <v/>
      </c>
      <c r="B2400">
        <f>TEST_DATA!B2400</f>
        <v/>
      </c>
      <c r="C2400">
        <f>TEST_DATA!C2400</f>
        <v/>
      </c>
      <c r="D2400">
        <f>TEST_DATA!D2400</f>
        <v/>
      </c>
      <c r="E2400">
        <f>TEST_DATA!E2400</f>
        <v/>
      </c>
      <c r="F2400">
        <f>MIN(E2400*240000,10000)</f>
        <v/>
      </c>
      <c r="G2400">
        <f>MINIFS(CBIC_Late_Fee_Relief_Windows_3B!$O$2400:$O$100,CBIC_Late_Fee_Relief_Windows_3B!$D$2400:$D$100,"&lt;="&amp;B2400,CBIC_Late_Fee_Relief_Windows_3B!$E$2400:$E$100,"&gt;="&amp;B2400,CBIC_Late_Fee_Relief_Windows_3B!$F$2400:$F$100,"&lt;="&amp;C2400,CBIC_Late_Fee_Relief_Windows_3B!$G$2400:$G$100,"&gt;="&amp;C2400)</f>
        <v/>
      </c>
      <c r="H2400">
        <f>INDEX(CBIC_Late_Fee_Relief_Windows_3B!$I$2400:$I$100,MATCH(G2400,CBIC_Late_Fee_Relief_Windows_3B!$O$2400:$O$100,0))</f>
        <v/>
      </c>
      <c r="I2400">
        <f>MIN(F2400,H2400)</f>
        <v/>
      </c>
    </row>
    <row r="2401">
      <c r="A2401">
        <f>TEST_DATA!A2401</f>
        <v/>
      </c>
      <c r="B2401">
        <f>TEST_DATA!B2401</f>
        <v/>
      </c>
      <c r="C2401">
        <f>TEST_DATA!C2401</f>
        <v/>
      </c>
      <c r="D2401">
        <f>TEST_DATA!D2401</f>
        <v/>
      </c>
      <c r="E2401">
        <f>TEST_DATA!E2401</f>
        <v/>
      </c>
      <c r="F2401">
        <f>MIN(E2401*240100,10000)</f>
        <v/>
      </c>
      <c r="G2401">
        <f>MINIFS(CBIC_Late_Fee_Relief_Windows_3B!$O$2401:$O$100,CBIC_Late_Fee_Relief_Windows_3B!$D$2401:$D$100,"&lt;="&amp;B2401,CBIC_Late_Fee_Relief_Windows_3B!$E$2401:$E$100,"&gt;="&amp;B2401,CBIC_Late_Fee_Relief_Windows_3B!$F$2401:$F$100,"&lt;="&amp;C2401,CBIC_Late_Fee_Relief_Windows_3B!$G$2401:$G$100,"&gt;="&amp;C2401)</f>
        <v/>
      </c>
      <c r="H2401">
        <f>INDEX(CBIC_Late_Fee_Relief_Windows_3B!$I$2401:$I$100,MATCH(G2401,CBIC_Late_Fee_Relief_Windows_3B!$O$2401:$O$100,0))</f>
        <v/>
      </c>
      <c r="I2401">
        <f>MIN(F2401,H2401)</f>
        <v/>
      </c>
    </row>
    <row r="2402">
      <c r="A2402">
        <f>TEST_DATA!A2402</f>
        <v/>
      </c>
      <c r="B2402">
        <f>TEST_DATA!B2402</f>
        <v/>
      </c>
      <c r="C2402">
        <f>TEST_DATA!C2402</f>
        <v/>
      </c>
      <c r="D2402">
        <f>TEST_DATA!D2402</f>
        <v/>
      </c>
      <c r="E2402">
        <f>TEST_DATA!E2402</f>
        <v/>
      </c>
      <c r="F2402">
        <f>MIN(E2402*240200,10000)</f>
        <v/>
      </c>
      <c r="G2402">
        <f>MINIFS(CBIC_Late_Fee_Relief_Windows_3B!$O$2402:$O$100,CBIC_Late_Fee_Relief_Windows_3B!$D$2402:$D$100,"&lt;="&amp;B2402,CBIC_Late_Fee_Relief_Windows_3B!$E$2402:$E$100,"&gt;="&amp;B2402,CBIC_Late_Fee_Relief_Windows_3B!$F$2402:$F$100,"&lt;="&amp;C2402,CBIC_Late_Fee_Relief_Windows_3B!$G$2402:$G$100,"&gt;="&amp;C2402)</f>
        <v/>
      </c>
      <c r="H2402">
        <f>INDEX(CBIC_Late_Fee_Relief_Windows_3B!$I$2402:$I$100,MATCH(G2402,CBIC_Late_Fee_Relief_Windows_3B!$O$2402:$O$100,0))</f>
        <v/>
      </c>
      <c r="I2402">
        <f>MIN(F2402,H2402)</f>
        <v/>
      </c>
    </row>
    <row r="2403">
      <c r="A2403">
        <f>TEST_DATA!A2403</f>
        <v/>
      </c>
      <c r="B2403">
        <f>TEST_DATA!B2403</f>
        <v/>
      </c>
      <c r="C2403">
        <f>TEST_DATA!C2403</f>
        <v/>
      </c>
      <c r="D2403">
        <f>TEST_DATA!D2403</f>
        <v/>
      </c>
      <c r="E2403">
        <f>TEST_DATA!E2403</f>
        <v/>
      </c>
      <c r="F2403">
        <f>MIN(E2403*240300,10000)</f>
        <v/>
      </c>
      <c r="G2403">
        <f>MINIFS(CBIC_Late_Fee_Relief_Windows_3B!$O$2403:$O$100,CBIC_Late_Fee_Relief_Windows_3B!$D$2403:$D$100,"&lt;="&amp;B2403,CBIC_Late_Fee_Relief_Windows_3B!$E$2403:$E$100,"&gt;="&amp;B2403,CBIC_Late_Fee_Relief_Windows_3B!$F$2403:$F$100,"&lt;="&amp;C2403,CBIC_Late_Fee_Relief_Windows_3B!$G$2403:$G$100,"&gt;="&amp;C2403)</f>
        <v/>
      </c>
      <c r="H2403">
        <f>INDEX(CBIC_Late_Fee_Relief_Windows_3B!$I$2403:$I$100,MATCH(G2403,CBIC_Late_Fee_Relief_Windows_3B!$O$2403:$O$100,0))</f>
        <v/>
      </c>
      <c r="I2403">
        <f>MIN(F2403,H2403)</f>
        <v/>
      </c>
    </row>
    <row r="2404">
      <c r="A2404">
        <f>TEST_DATA!A2404</f>
        <v/>
      </c>
      <c r="B2404">
        <f>TEST_DATA!B2404</f>
        <v/>
      </c>
      <c r="C2404">
        <f>TEST_DATA!C2404</f>
        <v/>
      </c>
      <c r="D2404">
        <f>TEST_DATA!D2404</f>
        <v/>
      </c>
      <c r="E2404">
        <f>TEST_DATA!E2404</f>
        <v/>
      </c>
      <c r="F2404">
        <f>MIN(E2404*240400,10000)</f>
        <v/>
      </c>
      <c r="G2404">
        <f>MINIFS(CBIC_Late_Fee_Relief_Windows_3B!$O$2404:$O$100,CBIC_Late_Fee_Relief_Windows_3B!$D$2404:$D$100,"&lt;="&amp;B2404,CBIC_Late_Fee_Relief_Windows_3B!$E$2404:$E$100,"&gt;="&amp;B2404,CBIC_Late_Fee_Relief_Windows_3B!$F$2404:$F$100,"&lt;="&amp;C2404,CBIC_Late_Fee_Relief_Windows_3B!$G$2404:$G$100,"&gt;="&amp;C2404)</f>
        <v/>
      </c>
      <c r="H2404">
        <f>INDEX(CBIC_Late_Fee_Relief_Windows_3B!$I$2404:$I$100,MATCH(G2404,CBIC_Late_Fee_Relief_Windows_3B!$O$2404:$O$100,0))</f>
        <v/>
      </c>
      <c r="I2404">
        <f>MIN(F2404,H2404)</f>
        <v/>
      </c>
    </row>
    <row r="2405">
      <c r="A2405">
        <f>TEST_DATA!A2405</f>
        <v/>
      </c>
      <c r="B2405">
        <f>TEST_DATA!B2405</f>
        <v/>
      </c>
      <c r="C2405">
        <f>TEST_DATA!C2405</f>
        <v/>
      </c>
      <c r="D2405">
        <f>TEST_DATA!D2405</f>
        <v/>
      </c>
      <c r="E2405">
        <f>TEST_DATA!E2405</f>
        <v/>
      </c>
      <c r="F2405">
        <f>MIN(E2405*240500,10000)</f>
        <v/>
      </c>
      <c r="G2405">
        <f>MINIFS(CBIC_Late_Fee_Relief_Windows_3B!$O$2405:$O$100,CBIC_Late_Fee_Relief_Windows_3B!$D$2405:$D$100,"&lt;="&amp;B2405,CBIC_Late_Fee_Relief_Windows_3B!$E$2405:$E$100,"&gt;="&amp;B2405,CBIC_Late_Fee_Relief_Windows_3B!$F$2405:$F$100,"&lt;="&amp;C2405,CBIC_Late_Fee_Relief_Windows_3B!$G$2405:$G$100,"&gt;="&amp;C2405)</f>
        <v/>
      </c>
      <c r="H2405">
        <f>INDEX(CBIC_Late_Fee_Relief_Windows_3B!$I$2405:$I$100,MATCH(G2405,CBIC_Late_Fee_Relief_Windows_3B!$O$2405:$O$100,0))</f>
        <v/>
      </c>
      <c r="I2405">
        <f>MIN(F2405,H2405)</f>
        <v/>
      </c>
    </row>
    <row r="2406">
      <c r="A2406">
        <f>TEST_DATA!A2406</f>
        <v/>
      </c>
      <c r="B2406">
        <f>TEST_DATA!B2406</f>
        <v/>
      </c>
      <c r="C2406">
        <f>TEST_DATA!C2406</f>
        <v/>
      </c>
      <c r="D2406">
        <f>TEST_DATA!D2406</f>
        <v/>
      </c>
      <c r="E2406">
        <f>TEST_DATA!E2406</f>
        <v/>
      </c>
      <c r="F2406">
        <f>MIN(E2406*240600,10000)</f>
        <v/>
      </c>
      <c r="G2406">
        <f>MINIFS(CBIC_Late_Fee_Relief_Windows_3B!$O$2406:$O$100,CBIC_Late_Fee_Relief_Windows_3B!$D$2406:$D$100,"&lt;="&amp;B2406,CBIC_Late_Fee_Relief_Windows_3B!$E$2406:$E$100,"&gt;="&amp;B2406,CBIC_Late_Fee_Relief_Windows_3B!$F$2406:$F$100,"&lt;="&amp;C2406,CBIC_Late_Fee_Relief_Windows_3B!$G$2406:$G$100,"&gt;="&amp;C2406)</f>
        <v/>
      </c>
      <c r="H2406">
        <f>INDEX(CBIC_Late_Fee_Relief_Windows_3B!$I$2406:$I$100,MATCH(G2406,CBIC_Late_Fee_Relief_Windows_3B!$O$2406:$O$100,0))</f>
        <v/>
      </c>
      <c r="I2406">
        <f>MIN(F2406,H2406)</f>
        <v/>
      </c>
    </row>
    <row r="2407">
      <c r="A2407">
        <f>TEST_DATA!A2407</f>
        <v/>
      </c>
      <c r="B2407">
        <f>TEST_DATA!B2407</f>
        <v/>
      </c>
      <c r="C2407">
        <f>TEST_DATA!C2407</f>
        <v/>
      </c>
      <c r="D2407">
        <f>TEST_DATA!D2407</f>
        <v/>
      </c>
      <c r="E2407">
        <f>TEST_DATA!E2407</f>
        <v/>
      </c>
      <c r="F2407">
        <f>MIN(E2407*240700,10000)</f>
        <v/>
      </c>
      <c r="G2407">
        <f>MINIFS(CBIC_Late_Fee_Relief_Windows_3B!$O$2407:$O$100,CBIC_Late_Fee_Relief_Windows_3B!$D$2407:$D$100,"&lt;="&amp;B2407,CBIC_Late_Fee_Relief_Windows_3B!$E$2407:$E$100,"&gt;="&amp;B2407,CBIC_Late_Fee_Relief_Windows_3B!$F$2407:$F$100,"&lt;="&amp;C2407,CBIC_Late_Fee_Relief_Windows_3B!$G$2407:$G$100,"&gt;="&amp;C2407)</f>
        <v/>
      </c>
      <c r="H2407">
        <f>INDEX(CBIC_Late_Fee_Relief_Windows_3B!$I$2407:$I$100,MATCH(G2407,CBIC_Late_Fee_Relief_Windows_3B!$O$2407:$O$100,0))</f>
        <v/>
      </c>
      <c r="I2407">
        <f>MIN(F2407,H2407)</f>
        <v/>
      </c>
    </row>
    <row r="2408">
      <c r="A2408">
        <f>TEST_DATA!A2408</f>
        <v/>
      </c>
      <c r="B2408">
        <f>TEST_DATA!B2408</f>
        <v/>
      </c>
      <c r="C2408">
        <f>TEST_DATA!C2408</f>
        <v/>
      </c>
      <c r="D2408">
        <f>TEST_DATA!D2408</f>
        <v/>
      </c>
      <c r="E2408">
        <f>TEST_DATA!E2408</f>
        <v/>
      </c>
      <c r="F2408">
        <f>MIN(E2408*240800,10000)</f>
        <v/>
      </c>
      <c r="G2408">
        <f>MINIFS(CBIC_Late_Fee_Relief_Windows_3B!$O$2408:$O$100,CBIC_Late_Fee_Relief_Windows_3B!$D$2408:$D$100,"&lt;="&amp;B2408,CBIC_Late_Fee_Relief_Windows_3B!$E$2408:$E$100,"&gt;="&amp;B2408,CBIC_Late_Fee_Relief_Windows_3B!$F$2408:$F$100,"&lt;="&amp;C2408,CBIC_Late_Fee_Relief_Windows_3B!$G$2408:$G$100,"&gt;="&amp;C2408)</f>
        <v/>
      </c>
      <c r="H2408">
        <f>INDEX(CBIC_Late_Fee_Relief_Windows_3B!$I$2408:$I$100,MATCH(G2408,CBIC_Late_Fee_Relief_Windows_3B!$O$2408:$O$100,0))</f>
        <v/>
      </c>
      <c r="I2408">
        <f>MIN(F2408,H2408)</f>
        <v/>
      </c>
    </row>
    <row r="2409">
      <c r="A2409">
        <f>TEST_DATA!A2409</f>
        <v/>
      </c>
      <c r="B2409">
        <f>TEST_DATA!B2409</f>
        <v/>
      </c>
      <c r="C2409">
        <f>TEST_DATA!C2409</f>
        <v/>
      </c>
      <c r="D2409">
        <f>TEST_DATA!D2409</f>
        <v/>
      </c>
      <c r="E2409">
        <f>TEST_DATA!E2409</f>
        <v/>
      </c>
      <c r="F2409">
        <f>MIN(E2409*240900,10000)</f>
        <v/>
      </c>
      <c r="G2409">
        <f>MINIFS(CBIC_Late_Fee_Relief_Windows_3B!$O$2409:$O$100,CBIC_Late_Fee_Relief_Windows_3B!$D$2409:$D$100,"&lt;="&amp;B2409,CBIC_Late_Fee_Relief_Windows_3B!$E$2409:$E$100,"&gt;="&amp;B2409,CBIC_Late_Fee_Relief_Windows_3B!$F$2409:$F$100,"&lt;="&amp;C2409,CBIC_Late_Fee_Relief_Windows_3B!$G$2409:$G$100,"&gt;="&amp;C2409)</f>
        <v/>
      </c>
      <c r="H2409">
        <f>INDEX(CBIC_Late_Fee_Relief_Windows_3B!$I$2409:$I$100,MATCH(G2409,CBIC_Late_Fee_Relief_Windows_3B!$O$2409:$O$100,0))</f>
        <v/>
      </c>
      <c r="I2409">
        <f>MIN(F2409,H2409)</f>
        <v/>
      </c>
    </row>
    <row r="2410">
      <c r="A2410">
        <f>TEST_DATA!A2410</f>
        <v/>
      </c>
      <c r="B2410">
        <f>TEST_DATA!B2410</f>
        <v/>
      </c>
      <c r="C2410">
        <f>TEST_DATA!C2410</f>
        <v/>
      </c>
      <c r="D2410">
        <f>TEST_DATA!D2410</f>
        <v/>
      </c>
      <c r="E2410">
        <f>TEST_DATA!E2410</f>
        <v/>
      </c>
      <c r="F2410">
        <f>MIN(E2410*241000,10000)</f>
        <v/>
      </c>
      <c r="G2410">
        <f>MINIFS(CBIC_Late_Fee_Relief_Windows_3B!$O$2410:$O$100,CBIC_Late_Fee_Relief_Windows_3B!$D$2410:$D$100,"&lt;="&amp;B2410,CBIC_Late_Fee_Relief_Windows_3B!$E$2410:$E$100,"&gt;="&amp;B2410,CBIC_Late_Fee_Relief_Windows_3B!$F$2410:$F$100,"&lt;="&amp;C2410,CBIC_Late_Fee_Relief_Windows_3B!$G$2410:$G$100,"&gt;="&amp;C2410)</f>
        <v/>
      </c>
      <c r="H2410">
        <f>INDEX(CBIC_Late_Fee_Relief_Windows_3B!$I$2410:$I$100,MATCH(G2410,CBIC_Late_Fee_Relief_Windows_3B!$O$2410:$O$100,0))</f>
        <v/>
      </c>
      <c r="I2410">
        <f>MIN(F2410,H2410)</f>
        <v/>
      </c>
    </row>
    <row r="2411">
      <c r="A2411">
        <f>TEST_DATA!A2411</f>
        <v/>
      </c>
      <c r="B2411">
        <f>TEST_DATA!B2411</f>
        <v/>
      </c>
      <c r="C2411">
        <f>TEST_DATA!C2411</f>
        <v/>
      </c>
      <c r="D2411">
        <f>TEST_DATA!D2411</f>
        <v/>
      </c>
      <c r="E2411">
        <f>TEST_DATA!E2411</f>
        <v/>
      </c>
      <c r="F2411">
        <f>MIN(E2411*241100,10000)</f>
        <v/>
      </c>
      <c r="G2411">
        <f>MINIFS(CBIC_Late_Fee_Relief_Windows_3B!$O$2411:$O$100,CBIC_Late_Fee_Relief_Windows_3B!$D$2411:$D$100,"&lt;="&amp;B2411,CBIC_Late_Fee_Relief_Windows_3B!$E$2411:$E$100,"&gt;="&amp;B2411,CBIC_Late_Fee_Relief_Windows_3B!$F$2411:$F$100,"&lt;="&amp;C2411,CBIC_Late_Fee_Relief_Windows_3B!$G$2411:$G$100,"&gt;="&amp;C2411)</f>
        <v/>
      </c>
      <c r="H2411">
        <f>INDEX(CBIC_Late_Fee_Relief_Windows_3B!$I$2411:$I$100,MATCH(G2411,CBIC_Late_Fee_Relief_Windows_3B!$O$2411:$O$100,0))</f>
        <v/>
      </c>
      <c r="I2411">
        <f>MIN(F2411,H2411)</f>
        <v/>
      </c>
    </row>
    <row r="2412">
      <c r="A2412">
        <f>TEST_DATA!A2412</f>
        <v/>
      </c>
      <c r="B2412">
        <f>TEST_DATA!B2412</f>
        <v/>
      </c>
      <c r="C2412">
        <f>TEST_DATA!C2412</f>
        <v/>
      </c>
      <c r="D2412">
        <f>TEST_DATA!D2412</f>
        <v/>
      </c>
      <c r="E2412">
        <f>TEST_DATA!E2412</f>
        <v/>
      </c>
      <c r="F2412">
        <f>MIN(E2412*241200,10000)</f>
        <v/>
      </c>
      <c r="G2412">
        <f>MINIFS(CBIC_Late_Fee_Relief_Windows_3B!$O$2412:$O$100,CBIC_Late_Fee_Relief_Windows_3B!$D$2412:$D$100,"&lt;="&amp;B2412,CBIC_Late_Fee_Relief_Windows_3B!$E$2412:$E$100,"&gt;="&amp;B2412,CBIC_Late_Fee_Relief_Windows_3B!$F$2412:$F$100,"&lt;="&amp;C2412,CBIC_Late_Fee_Relief_Windows_3B!$G$2412:$G$100,"&gt;="&amp;C2412)</f>
        <v/>
      </c>
      <c r="H2412">
        <f>INDEX(CBIC_Late_Fee_Relief_Windows_3B!$I$2412:$I$100,MATCH(G2412,CBIC_Late_Fee_Relief_Windows_3B!$O$2412:$O$100,0))</f>
        <v/>
      </c>
      <c r="I2412">
        <f>MIN(F2412,H2412)</f>
        <v/>
      </c>
    </row>
    <row r="2413">
      <c r="A2413">
        <f>TEST_DATA!A2413</f>
        <v/>
      </c>
      <c r="B2413">
        <f>TEST_DATA!B2413</f>
        <v/>
      </c>
      <c r="C2413">
        <f>TEST_DATA!C2413</f>
        <v/>
      </c>
      <c r="D2413">
        <f>TEST_DATA!D2413</f>
        <v/>
      </c>
      <c r="E2413">
        <f>TEST_DATA!E2413</f>
        <v/>
      </c>
      <c r="F2413">
        <f>MIN(E2413*241300,10000)</f>
        <v/>
      </c>
      <c r="G2413">
        <f>MINIFS(CBIC_Late_Fee_Relief_Windows_3B!$O$2413:$O$100,CBIC_Late_Fee_Relief_Windows_3B!$D$2413:$D$100,"&lt;="&amp;B2413,CBIC_Late_Fee_Relief_Windows_3B!$E$2413:$E$100,"&gt;="&amp;B2413,CBIC_Late_Fee_Relief_Windows_3B!$F$2413:$F$100,"&lt;="&amp;C2413,CBIC_Late_Fee_Relief_Windows_3B!$G$2413:$G$100,"&gt;="&amp;C2413)</f>
        <v/>
      </c>
      <c r="H2413">
        <f>INDEX(CBIC_Late_Fee_Relief_Windows_3B!$I$2413:$I$100,MATCH(G2413,CBIC_Late_Fee_Relief_Windows_3B!$O$2413:$O$100,0))</f>
        <v/>
      </c>
      <c r="I2413">
        <f>MIN(F2413,H2413)</f>
        <v/>
      </c>
    </row>
    <row r="2414">
      <c r="A2414">
        <f>TEST_DATA!A2414</f>
        <v/>
      </c>
      <c r="B2414">
        <f>TEST_DATA!B2414</f>
        <v/>
      </c>
      <c r="C2414">
        <f>TEST_DATA!C2414</f>
        <v/>
      </c>
      <c r="D2414">
        <f>TEST_DATA!D2414</f>
        <v/>
      </c>
      <c r="E2414">
        <f>TEST_DATA!E2414</f>
        <v/>
      </c>
      <c r="F2414">
        <f>MIN(E2414*241400,10000)</f>
        <v/>
      </c>
      <c r="G2414">
        <f>MINIFS(CBIC_Late_Fee_Relief_Windows_3B!$O$2414:$O$100,CBIC_Late_Fee_Relief_Windows_3B!$D$2414:$D$100,"&lt;="&amp;B2414,CBIC_Late_Fee_Relief_Windows_3B!$E$2414:$E$100,"&gt;="&amp;B2414,CBIC_Late_Fee_Relief_Windows_3B!$F$2414:$F$100,"&lt;="&amp;C2414,CBIC_Late_Fee_Relief_Windows_3B!$G$2414:$G$100,"&gt;="&amp;C2414)</f>
        <v/>
      </c>
      <c r="H2414">
        <f>INDEX(CBIC_Late_Fee_Relief_Windows_3B!$I$2414:$I$100,MATCH(G2414,CBIC_Late_Fee_Relief_Windows_3B!$O$2414:$O$100,0))</f>
        <v/>
      </c>
      <c r="I2414">
        <f>MIN(F2414,H2414)</f>
        <v/>
      </c>
    </row>
    <row r="2415">
      <c r="A2415">
        <f>TEST_DATA!A2415</f>
        <v/>
      </c>
      <c r="B2415">
        <f>TEST_DATA!B2415</f>
        <v/>
      </c>
      <c r="C2415">
        <f>TEST_DATA!C2415</f>
        <v/>
      </c>
      <c r="D2415">
        <f>TEST_DATA!D2415</f>
        <v/>
      </c>
      <c r="E2415">
        <f>TEST_DATA!E2415</f>
        <v/>
      </c>
      <c r="F2415">
        <f>MIN(E2415*241500,10000)</f>
        <v/>
      </c>
      <c r="G2415">
        <f>MINIFS(CBIC_Late_Fee_Relief_Windows_3B!$O$2415:$O$100,CBIC_Late_Fee_Relief_Windows_3B!$D$2415:$D$100,"&lt;="&amp;B2415,CBIC_Late_Fee_Relief_Windows_3B!$E$2415:$E$100,"&gt;="&amp;B2415,CBIC_Late_Fee_Relief_Windows_3B!$F$2415:$F$100,"&lt;="&amp;C2415,CBIC_Late_Fee_Relief_Windows_3B!$G$2415:$G$100,"&gt;="&amp;C2415)</f>
        <v/>
      </c>
      <c r="H2415">
        <f>INDEX(CBIC_Late_Fee_Relief_Windows_3B!$I$2415:$I$100,MATCH(G2415,CBIC_Late_Fee_Relief_Windows_3B!$O$2415:$O$100,0))</f>
        <v/>
      </c>
      <c r="I2415">
        <f>MIN(F2415,H2415)</f>
        <v/>
      </c>
    </row>
    <row r="2416">
      <c r="A2416">
        <f>TEST_DATA!A2416</f>
        <v/>
      </c>
      <c r="B2416">
        <f>TEST_DATA!B2416</f>
        <v/>
      </c>
      <c r="C2416">
        <f>TEST_DATA!C2416</f>
        <v/>
      </c>
      <c r="D2416">
        <f>TEST_DATA!D2416</f>
        <v/>
      </c>
      <c r="E2416">
        <f>TEST_DATA!E2416</f>
        <v/>
      </c>
      <c r="F2416">
        <f>MIN(E2416*241600,10000)</f>
        <v/>
      </c>
      <c r="G2416">
        <f>MINIFS(CBIC_Late_Fee_Relief_Windows_3B!$O$2416:$O$100,CBIC_Late_Fee_Relief_Windows_3B!$D$2416:$D$100,"&lt;="&amp;B2416,CBIC_Late_Fee_Relief_Windows_3B!$E$2416:$E$100,"&gt;="&amp;B2416,CBIC_Late_Fee_Relief_Windows_3B!$F$2416:$F$100,"&lt;="&amp;C2416,CBIC_Late_Fee_Relief_Windows_3B!$G$2416:$G$100,"&gt;="&amp;C2416)</f>
        <v/>
      </c>
      <c r="H2416">
        <f>INDEX(CBIC_Late_Fee_Relief_Windows_3B!$I$2416:$I$100,MATCH(G2416,CBIC_Late_Fee_Relief_Windows_3B!$O$2416:$O$100,0))</f>
        <v/>
      </c>
      <c r="I2416">
        <f>MIN(F2416,H2416)</f>
        <v/>
      </c>
    </row>
    <row r="2417">
      <c r="A2417">
        <f>TEST_DATA!A2417</f>
        <v/>
      </c>
      <c r="B2417">
        <f>TEST_DATA!B2417</f>
        <v/>
      </c>
      <c r="C2417">
        <f>TEST_DATA!C2417</f>
        <v/>
      </c>
      <c r="D2417">
        <f>TEST_DATA!D2417</f>
        <v/>
      </c>
      <c r="E2417">
        <f>TEST_DATA!E2417</f>
        <v/>
      </c>
      <c r="F2417">
        <f>MIN(E2417*241700,10000)</f>
        <v/>
      </c>
      <c r="G2417">
        <f>MINIFS(CBIC_Late_Fee_Relief_Windows_3B!$O$2417:$O$100,CBIC_Late_Fee_Relief_Windows_3B!$D$2417:$D$100,"&lt;="&amp;B2417,CBIC_Late_Fee_Relief_Windows_3B!$E$2417:$E$100,"&gt;="&amp;B2417,CBIC_Late_Fee_Relief_Windows_3B!$F$2417:$F$100,"&lt;="&amp;C2417,CBIC_Late_Fee_Relief_Windows_3B!$G$2417:$G$100,"&gt;="&amp;C2417)</f>
        <v/>
      </c>
      <c r="H2417">
        <f>INDEX(CBIC_Late_Fee_Relief_Windows_3B!$I$2417:$I$100,MATCH(G2417,CBIC_Late_Fee_Relief_Windows_3B!$O$2417:$O$100,0))</f>
        <v/>
      </c>
      <c r="I2417">
        <f>MIN(F2417,H2417)</f>
        <v/>
      </c>
    </row>
    <row r="2418">
      <c r="A2418">
        <f>TEST_DATA!A2418</f>
        <v/>
      </c>
      <c r="B2418">
        <f>TEST_DATA!B2418</f>
        <v/>
      </c>
      <c r="C2418">
        <f>TEST_DATA!C2418</f>
        <v/>
      </c>
      <c r="D2418">
        <f>TEST_DATA!D2418</f>
        <v/>
      </c>
      <c r="E2418">
        <f>TEST_DATA!E2418</f>
        <v/>
      </c>
      <c r="F2418">
        <f>MIN(E2418*241800,10000)</f>
        <v/>
      </c>
      <c r="G2418">
        <f>MINIFS(CBIC_Late_Fee_Relief_Windows_3B!$O$2418:$O$100,CBIC_Late_Fee_Relief_Windows_3B!$D$2418:$D$100,"&lt;="&amp;B2418,CBIC_Late_Fee_Relief_Windows_3B!$E$2418:$E$100,"&gt;="&amp;B2418,CBIC_Late_Fee_Relief_Windows_3B!$F$2418:$F$100,"&lt;="&amp;C2418,CBIC_Late_Fee_Relief_Windows_3B!$G$2418:$G$100,"&gt;="&amp;C2418)</f>
        <v/>
      </c>
      <c r="H2418">
        <f>INDEX(CBIC_Late_Fee_Relief_Windows_3B!$I$2418:$I$100,MATCH(G2418,CBIC_Late_Fee_Relief_Windows_3B!$O$2418:$O$100,0))</f>
        <v/>
      </c>
      <c r="I2418">
        <f>MIN(F2418,H2418)</f>
        <v/>
      </c>
    </row>
    <row r="2419">
      <c r="A2419">
        <f>TEST_DATA!A2419</f>
        <v/>
      </c>
      <c r="B2419">
        <f>TEST_DATA!B2419</f>
        <v/>
      </c>
      <c r="C2419">
        <f>TEST_DATA!C2419</f>
        <v/>
      </c>
      <c r="D2419">
        <f>TEST_DATA!D2419</f>
        <v/>
      </c>
      <c r="E2419">
        <f>TEST_DATA!E2419</f>
        <v/>
      </c>
      <c r="F2419">
        <f>MIN(E2419*241900,10000)</f>
        <v/>
      </c>
      <c r="G2419">
        <f>MINIFS(CBIC_Late_Fee_Relief_Windows_3B!$O$2419:$O$100,CBIC_Late_Fee_Relief_Windows_3B!$D$2419:$D$100,"&lt;="&amp;B2419,CBIC_Late_Fee_Relief_Windows_3B!$E$2419:$E$100,"&gt;="&amp;B2419,CBIC_Late_Fee_Relief_Windows_3B!$F$2419:$F$100,"&lt;="&amp;C2419,CBIC_Late_Fee_Relief_Windows_3B!$G$2419:$G$100,"&gt;="&amp;C2419)</f>
        <v/>
      </c>
      <c r="H2419">
        <f>INDEX(CBIC_Late_Fee_Relief_Windows_3B!$I$2419:$I$100,MATCH(G2419,CBIC_Late_Fee_Relief_Windows_3B!$O$2419:$O$100,0))</f>
        <v/>
      </c>
      <c r="I2419">
        <f>MIN(F2419,H2419)</f>
        <v/>
      </c>
    </row>
    <row r="2420">
      <c r="A2420">
        <f>TEST_DATA!A2420</f>
        <v/>
      </c>
      <c r="B2420">
        <f>TEST_DATA!B2420</f>
        <v/>
      </c>
      <c r="C2420">
        <f>TEST_DATA!C2420</f>
        <v/>
      </c>
      <c r="D2420">
        <f>TEST_DATA!D2420</f>
        <v/>
      </c>
      <c r="E2420">
        <f>TEST_DATA!E2420</f>
        <v/>
      </c>
      <c r="F2420">
        <f>MIN(E2420*242000,10000)</f>
        <v/>
      </c>
      <c r="G2420">
        <f>MINIFS(CBIC_Late_Fee_Relief_Windows_3B!$O$2420:$O$100,CBIC_Late_Fee_Relief_Windows_3B!$D$2420:$D$100,"&lt;="&amp;B2420,CBIC_Late_Fee_Relief_Windows_3B!$E$2420:$E$100,"&gt;="&amp;B2420,CBIC_Late_Fee_Relief_Windows_3B!$F$2420:$F$100,"&lt;="&amp;C2420,CBIC_Late_Fee_Relief_Windows_3B!$G$2420:$G$100,"&gt;="&amp;C2420)</f>
        <v/>
      </c>
      <c r="H2420">
        <f>INDEX(CBIC_Late_Fee_Relief_Windows_3B!$I$2420:$I$100,MATCH(G2420,CBIC_Late_Fee_Relief_Windows_3B!$O$2420:$O$100,0))</f>
        <v/>
      </c>
      <c r="I2420">
        <f>MIN(F2420,H2420)</f>
        <v/>
      </c>
    </row>
    <row r="2421">
      <c r="A2421">
        <f>TEST_DATA!A2421</f>
        <v/>
      </c>
      <c r="B2421">
        <f>TEST_DATA!B2421</f>
        <v/>
      </c>
      <c r="C2421">
        <f>TEST_DATA!C2421</f>
        <v/>
      </c>
      <c r="D2421">
        <f>TEST_DATA!D2421</f>
        <v/>
      </c>
      <c r="E2421">
        <f>TEST_DATA!E2421</f>
        <v/>
      </c>
      <c r="F2421">
        <f>MIN(E2421*242100,10000)</f>
        <v/>
      </c>
      <c r="G2421">
        <f>MINIFS(CBIC_Late_Fee_Relief_Windows_3B!$O$2421:$O$100,CBIC_Late_Fee_Relief_Windows_3B!$D$2421:$D$100,"&lt;="&amp;B2421,CBIC_Late_Fee_Relief_Windows_3B!$E$2421:$E$100,"&gt;="&amp;B2421,CBIC_Late_Fee_Relief_Windows_3B!$F$2421:$F$100,"&lt;="&amp;C2421,CBIC_Late_Fee_Relief_Windows_3B!$G$2421:$G$100,"&gt;="&amp;C2421)</f>
        <v/>
      </c>
      <c r="H2421">
        <f>INDEX(CBIC_Late_Fee_Relief_Windows_3B!$I$2421:$I$100,MATCH(G2421,CBIC_Late_Fee_Relief_Windows_3B!$O$2421:$O$100,0))</f>
        <v/>
      </c>
      <c r="I2421">
        <f>MIN(F2421,H2421)</f>
        <v/>
      </c>
    </row>
    <row r="2422">
      <c r="A2422">
        <f>TEST_DATA!A2422</f>
        <v/>
      </c>
      <c r="B2422">
        <f>TEST_DATA!B2422</f>
        <v/>
      </c>
      <c r="C2422">
        <f>TEST_DATA!C2422</f>
        <v/>
      </c>
      <c r="D2422">
        <f>TEST_DATA!D2422</f>
        <v/>
      </c>
      <c r="E2422">
        <f>TEST_DATA!E2422</f>
        <v/>
      </c>
      <c r="F2422">
        <f>MIN(E2422*242200,10000)</f>
        <v/>
      </c>
      <c r="G2422">
        <f>MINIFS(CBIC_Late_Fee_Relief_Windows_3B!$O$2422:$O$100,CBIC_Late_Fee_Relief_Windows_3B!$D$2422:$D$100,"&lt;="&amp;B2422,CBIC_Late_Fee_Relief_Windows_3B!$E$2422:$E$100,"&gt;="&amp;B2422,CBIC_Late_Fee_Relief_Windows_3B!$F$2422:$F$100,"&lt;="&amp;C2422,CBIC_Late_Fee_Relief_Windows_3B!$G$2422:$G$100,"&gt;="&amp;C2422)</f>
        <v/>
      </c>
      <c r="H2422">
        <f>INDEX(CBIC_Late_Fee_Relief_Windows_3B!$I$2422:$I$100,MATCH(G2422,CBIC_Late_Fee_Relief_Windows_3B!$O$2422:$O$100,0))</f>
        <v/>
      </c>
      <c r="I2422">
        <f>MIN(F2422,H2422)</f>
        <v/>
      </c>
    </row>
    <row r="2423">
      <c r="A2423">
        <f>TEST_DATA!A2423</f>
        <v/>
      </c>
      <c r="B2423">
        <f>TEST_DATA!B2423</f>
        <v/>
      </c>
      <c r="C2423">
        <f>TEST_DATA!C2423</f>
        <v/>
      </c>
      <c r="D2423">
        <f>TEST_DATA!D2423</f>
        <v/>
      </c>
      <c r="E2423">
        <f>TEST_DATA!E2423</f>
        <v/>
      </c>
      <c r="F2423">
        <f>MIN(E2423*242300,10000)</f>
        <v/>
      </c>
      <c r="G2423">
        <f>MINIFS(CBIC_Late_Fee_Relief_Windows_3B!$O$2423:$O$100,CBIC_Late_Fee_Relief_Windows_3B!$D$2423:$D$100,"&lt;="&amp;B2423,CBIC_Late_Fee_Relief_Windows_3B!$E$2423:$E$100,"&gt;="&amp;B2423,CBIC_Late_Fee_Relief_Windows_3B!$F$2423:$F$100,"&lt;="&amp;C2423,CBIC_Late_Fee_Relief_Windows_3B!$G$2423:$G$100,"&gt;="&amp;C2423)</f>
        <v/>
      </c>
      <c r="H2423">
        <f>INDEX(CBIC_Late_Fee_Relief_Windows_3B!$I$2423:$I$100,MATCH(G2423,CBIC_Late_Fee_Relief_Windows_3B!$O$2423:$O$100,0))</f>
        <v/>
      </c>
      <c r="I2423">
        <f>MIN(F2423,H2423)</f>
        <v/>
      </c>
    </row>
    <row r="2424">
      <c r="A2424">
        <f>TEST_DATA!A2424</f>
        <v/>
      </c>
      <c r="B2424">
        <f>TEST_DATA!B2424</f>
        <v/>
      </c>
      <c r="C2424">
        <f>TEST_DATA!C2424</f>
        <v/>
      </c>
      <c r="D2424">
        <f>TEST_DATA!D2424</f>
        <v/>
      </c>
      <c r="E2424">
        <f>TEST_DATA!E2424</f>
        <v/>
      </c>
      <c r="F2424">
        <f>MIN(E2424*242400,10000)</f>
        <v/>
      </c>
      <c r="G2424">
        <f>MINIFS(CBIC_Late_Fee_Relief_Windows_3B!$O$2424:$O$100,CBIC_Late_Fee_Relief_Windows_3B!$D$2424:$D$100,"&lt;="&amp;B2424,CBIC_Late_Fee_Relief_Windows_3B!$E$2424:$E$100,"&gt;="&amp;B2424,CBIC_Late_Fee_Relief_Windows_3B!$F$2424:$F$100,"&lt;="&amp;C2424,CBIC_Late_Fee_Relief_Windows_3B!$G$2424:$G$100,"&gt;="&amp;C2424)</f>
        <v/>
      </c>
      <c r="H2424">
        <f>INDEX(CBIC_Late_Fee_Relief_Windows_3B!$I$2424:$I$100,MATCH(G2424,CBIC_Late_Fee_Relief_Windows_3B!$O$2424:$O$100,0))</f>
        <v/>
      </c>
      <c r="I2424">
        <f>MIN(F2424,H2424)</f>
        <v/>
      </c>
    </row>
    <row r="2425">
      <c r="A2425">
        <f>TEST_DATA!A2425</f>
        <v/>
      </c>
      <c r="B2425">
        <f>TEST_DATA!B2425</f>
        <v/>
      </c>
      <c r="C2425">
        <f>TEST_DATA!C2425</f>
        <v/>
      </c>
      <c r="D2425">
        <f>TEST_DATA!D2425</f>
        <v/>
      </c>
      <c r="E2425">
        <f>TEST_DATA!E2425</f>
        <v/>
      </c>
      <c r="F2425">
        <f>MIN(E2425*242500,10000)</f>
        <v/>
      </c>
      <c r="G2425">
        <f>MINIFS(CBIC_Late_Fee_Relief_Windows_3B!$O$2425:$O$100,CBIC_Late_Fee_Relief_Windows_3B!$D$2425:$D$100,"&lt;="&amp;B2425,CBIC_Late_Fee_Relief_Windows_3B!$E$2425:$E$100,"&gt;="&amp;B2425,CBIC_Late_Fee_Relief_Windows_3B!$F$2425:$F$100,"&lt;="&amp;C2425,CBIC_Late_Fee_Relief_Windows_3B!$G$2425:$G$100,"&gt;="&amp;C2425)</f>
        <v/>
      </c>
      <c r="H2425">
        <f>INDEX(CBIC_Late_Fee_Relief_Windows_3B!$I$2425:$I$100,MATCH(G2425,CBIC_Late_Fee_Relief_Windows_3B!$O$2425:$O$100,0))</f>
        <v/>
      </c>
      <c r="I2425">
        <f>MIN(F2425,H2425)</f>
        <v/>
      </c>
    </row>
    <row r="2426">
      <c r="A2426">
        <f>TEST_DATA!A2426</f>
        <v/>
      </c>
      <c r="B2426">
        <f>TEST_DATA!B2426</f>
        <v/>
      </c>
      <c r="C2426">
        <f>TEST_DATA!C2426</f>
        <v/>
      </c>
      <c r="D2426">
        <f>TEST_DATA!D2426</f>
        <v/>
      </c>
      <c r="E2426">
        <f>TEST_DATA!E2426</f>
        <v/>
      </c>
      <c r="F2426">
        <f>MIN(E2426*242600,10000)</f>
        <v/>
      </c>
      <c r="G2426">
        <f>MINIFS(CBIC_Late_Fee_Relief_Windows_3B!$O$2426:$O$100,CBIC_Late_Fee_Relief_Windows_3B!$D$2426:$D$100,"&lt;="&amp;B2426,CBIC_Late_Fee_Relief_Windows_3B!$E$2426:$E$100,"&gt;="&amp;B2426,CBIC_Late_Fee_Relief_Windows_3B!$F$2426:$F$100,"&lt;="&amp;C2426,CBIC_Late_Fee_Relief_Windows_3B!$G$2426:$G$100,"&gt;="&amp;C2426)</f>
        <v/>
      </c>
      <c r="H2426">
        <f>INDEX(CBIC_Late_Fee_Relief_Windows_3B!$I$2426:$I$100,MATCH(G2426,CBIC_Late_Fee_Relief_Windows_3B!$O$2426:$O$100,0))</f>
        <v/>
      </c>
      <c r="I2426">
        <f>MIN(F2426,H2426)</f>
        <v/>
      </c>
    </row>
    <row r="2427">
      <c r="A2427">
        <f>TEST_DATA!A2427</f>
        <v/>
      </c>
      <c r="B2427">
        <f>TEST_DATA!B2427</f>
        <v/>
      </c>
      <c r="C2427">
        <f>TEST_DATA!C2427</f>
        <v/>
      </c>
      <c r="D2427">
        <f>TEST_DATA!D2427</f>
        <v/>
      </c>
      <c r="E2427">
        <f>TEST_DATA!E2427</f>
        <v/>
      </c>
      <c r="F2427">
        <f>MIN(E2427*242700,10000)</f>
        <v/>
      </c>
      <c r="G2427">
        <f>MINIFS(CBIC_Late_Fee_Relief_Windows_3B!$O$2427:$O$100,CBIC_Late_Fee_Relief_Windows_3B!$D$2427:$D$100,"&lt;="&amp;B2427,CBIC_Late_Fee_Relief_Windows_3B!$E$2427:$E$100,"&gt;="&amp;B2427,CBIC_Late_Fee_Relief_Windows_3B!$F$2427:$F$100,"&lt;="&amp;C2427,CBIC_Late_Fee_Relief_Windows_3B!$G$2427:$G$100,"&gt;="&amp;C2427)</f>
        <v/>
      </c>
      <c r="H2427">
        <f>INDEX(CBIC_Late_Fee_Relief_Windows_3B!$I$2427:$I$100,MATCH(G2427,CBIC_Late_Fee_Relief_Windows_3B!$O$2427:$O$100,0))</f>
        <v/>
      </c>
      <c r="I2427">
        <f>MIN(F2427,H2427)</f>
        <v/>
      </c>
    </row>
    <row r="2428">
      <c r="A2428">
        <f>TEST_DATA!A2428</f>
        <v/>
      </c>
      <c r="B2428">
        <f>TEST_DATA!B2428</f>
        <v/>
      </c>
      <c r="C2428">
        <f>TEST_DATA!C2428</f>
        <v/>
      </c>
      <c r="D2428">
        <f>TEST_DATA!D2428</f>
        <v/>
      </c>
      <c r="E2428">
        <f>TEST_DATA!E2428</f>
        <v/>
      </c>
      <c r="F2428">
        <f>MIN(E2428*242800,10000)</f>
        <v/>
      </c>
      <c r="G2428">
        <f>MINIFS(CBIC_Late_Fee_Relief_Windows_3B!$O$2428:$O$100,CBIC_Late_Fee_Relief_Windows_3B!$D$2428:$D$100,"&lt;="&amp;B2428,CBIC_Late_Fee_Relief_Windows_3B!$E$2428:$E$100,"&gt;="&amp;B2428,CBIC_Late_Fee_Relief_Windows_3B!$F$2428:$F$100,"&lt;="&amp;C2428,CBIC_Late_Fee_Relief_Windows_3B!$G$2428:$G$100,"&gt;="&amp;C2428)</f>
        <v/>
      </c>
      <c r="H2428">
        <f>INDEX(CBIC_Late_Fee_Relief_Windows_3B!$I$2428:$I$100,MATCH(G2428,CBIC_Late_Fee_Relief_Windows_3B!$O$2428:$O$100,0))</f>
        <v/>
      </c>
      <c r="I2428">
        <f>MIN(F2428,H2428)</f>
        <v/>
      </c>
    </row>
    <row r="2429">
      <c r="A2429">
        <f>TEST_DATA!A2429</f>
        <v/>
      </c>
      <c r="B2429">
        <f>TEST_DATA!B2429</f>
        <v/>
      </c>
      <c r="C2429">
        <f>TEST_DATA!C2429</f>
        <v/>
      </c>
      <c r="D2429">
        <f>TEST_DATA!D2429</f>
        <v/>
      </c>
      <c r="E2429">
        <f>TEST_DATA!E2429</f>
        <v/>
      </c>
      <c r="F2429">
        <f>MIN(E2429*242900,10000)</f>
        <v/>
      </c>
      <c r="G2429">
        <f>MINIFS(CBIC_Late_Fee_Relief_Windows_3B!$O$2429:$O$100,CBIC_Late_Fee_Relief_Windows_3B!$D$2429:$D$100,"&lt;="&amp;B2429,CBIC_Late_Fee_Relief_Windows_3B!$E$2429:$E$100,"&gt;="&amp;B2429,CBIC_Late_Fee_Relief_Windows_3B!$F$2429:$F$100,"&lt;="&amp;C2429,CBIC_Late_Fee_Relief_Windows_3B!$G$2429:$G$100,"&gt;="&amp;C2429)</f>
        <v/>
      </c>
      <c r="H2429">
        <f>INDEX(CBIC_Late_Fee_Relief_Windows_3B!$I$2429:$I$100,MATCH(G2429,CBIC_Late_Fee_Relief_Windows_3B!$O$2429:$O$100,0))</f>
        <v/>
      </c>
      <c r="I2429">
        <f>MIN(F2429,H2429)</f>
        <v/>
      </c>
    </row>
    <row r="2430">
      <c r="A2430">
        <f>TEST_DATA!A2430</f>
        <v/>
      </c>
      <c r="B2430">
        <f>TEST_DATA!B2430</f>
        <v/>
      </c>
      <c r="C2430">
        <f>TEST_DATA!C2430</f>
        <v/>
      </c>
      <c r="D2430">
        <f>TEST_DATA!D2430</f>
        <v/>
      </c>
      <c r="E2430">
        <f>TEST_DATA!E2430</f>
        <v/>
      </c>
      <c r="F2430">
        <f>MIN(E2430*243000,10000)</f>
        <v/>
      </c>
      <c r="G2430">
        <f>MINIFS(CBIC_Late_Fee_Relief_Windows_3B!$O$2430:$O$100,CBIC_Late_Fee_Relief_Windows_3B!$D$2430:$D$100,"&lt;="&amp;B2430,CBIC_Late_Fee_Relief_Windows_3B!$E$2430:$E$100,"&gt;="&amp;B2430,CBIC_Late_Fee_Relief_Windows_3B!$F$2430:$F$100,"&lt;="&amp;C2430,CBIC_Late_Fee_Relief_Windows_3B!$G$2430:$G$100,"&gt;="&amp;C2430)</f>
        <v/>
      </c>
      <c r="H2430">
        <f>INDEX(CBIC_Late_Fee_Relief_Windows_3B!$I$2430:$I$100,MATCH(G2430,CBIC_Late_Fee_Relief_Windows_3B!$O$2430:$O$100,0))</f>
        <v/>
      </c>
      <c r="I2430">
        <f>MIN(F2430,H2430)</f>
        <v/>
      </c>
    </row>
    <row r="2431">
      <c r="A2431">
        <f>TEST_DATA!A2431</f>
        <v/>
      </c>
      <c r="B2431">
        <f>TEST_DATA!B2431</f>
        <v/>
      </c>
      <c r="C2431">
        <f>TEST_DATA!C2431</f>
        <v/>
      </c>
      <c r="D2431">
        <f>TEST_DATA!D2431</f>
        <v/>
      </c>
      <c r="E2431">
        <f>TEST_DATA!E2431</f>
        <v/>
      </c>
      <c r="F2431">
        <f>MIN(E2431*243100,10000)</f>
        <v/>
      </c>
      <c r="G2431">
        <f>MINIFS(CBIC_Late_Fee_Relief_Windows_3B!$O$2431:$O$100,CBIC_Late_Fee_Relief_Windows_3B!$D$2431:$D$100,"&lt;="&amp;B2431,CBIC_Late_Fee_Relief_Windows_3B!$E$2431:$E$100,"&gt;="&amp;B2431,CBIC_Late_Fee_Relief_Windows_3B!$F$2431:$F$100,"&lt;="&amp;C2431,CBIC_Late_Fee_Relief_Windows_3B!$G$2431:$G$100,"&gt;="&amp;C2431)</f>
        <v/>
      </c>
      <c r="H2431">
        <f>INDEX(CBIC_Late_Fee_Relief_Windows_3B!$I$2431:$I$100,MATCH(G2431,CBIC_Late_Fee_Relief_Windows_3B!$O$2431:$O$100,0))</f>
        <v/>
      </c>
      <c r="I2431">
        <f>MIN(F2431,H2431)</f>
        <v/>
      </c>
    </row>
    <row r="2432">
      <c r="A2432">
        <f>TEST_DATA!A2432</f>
        <v/>
      </c>
      <c r="B2432">
        <f>TEST_DATA!B2432</f>
        <v/>
      </c>
      <c r="C2432">
        <f>TEST_DATA!C2432</f>
        <v/>
      </c>
      <c r="D2432">
        <f>TEST_DATA!D2432</f>
        <v/>
      </c>
      <c r="E2432">
        <f>TEST_DATA!E2432</f>
        <v/>
      </c>
      <c r="F2432">
        <f>MIN(E2432*243200,10000)</f>
        <v/>
      </c>
      <c r="G2432">
        <f>MINIFS(CBIC_Late_Fee_Relief_Windows_3B!$O$2432:$O$100,CBIC_Late_Fee_Relief_Windows_3B!$D$2432:$D$100,"&lt;="&amp;B2432,CBIC_Late_Fee_Relief_Windows_3B!$E$2432:$E$100,"&gt;="&amp;B2432,CBIC_Late_Fee_Relief_Windows_3B!$F$2432:$F$100,"&lt;="&amp;C2432,CBIC_Late_Fee_Relief_Windows_3B!$G$2432:$G$100,"&gt;="&amp;C2432)</f>
        <v/>
      </c>
      <c r="H2432">
        <f>INDEX(CBIC_Late_Fee_Relief_Windows_3B!$I$2432:$I$100,MATCH(G2432,CBIC_Late_Fee_Relief_Windows_3B!$O$2432:$O$100,0))</f>
        <v/>
      </c>
      <c r="I2432">
        <f>MIN(F2432,H2432)</f>
        <v/>
      </c>
    </row>
    <row r="2433">
      <c r="A2433">
        <f>TEST_DATA!A2433</f>
        <v/>
      </c>
      <c r="B2433">
        <f>TEST_DATA!B2433</f>
        <v/>
      </c>
      <c r="C2433">
        <f>TEST_DATA!C2433</f>
        <v/>
      </c>
      <c r="D2433">
        <f>TEST_DATA!D2433</f>
        <v/>
      </c>
      <c r="E2433">
        <f>TEST_DATA!E2433</f>
        <v/>
      </c>
      <c r="F2433">
        <f>MIN(E2433*243300,10000)</f>
        <v/>
      </c>
      <c r="G2433">
        <f>MINIFS(CBIC_Late_Fee_Relief_Windows_3B!$O$2433:$O$100,CBIC_Late_Fee_Relief_Windows_3B!$D$2433:$D$100,"&lt;="&amp;B2433,CBIC_Late_Fee_Relief_Windows_3B!$E$2433:$E$100,"&gt;="&amp;B2433,CBIC_Late_Fee_Relief_Windows_3B!$F$2433:$F$100,"&lt;="&amp;C2433,CBIC_Late_Fee_Relief_Windows_3B!$G$2433:$G$100,"&gt;="&amp;C2433)</f>
        <v/>
      </c>
      <c r="H2433">
        <f>INDEX(CBIC_Late_Fee_Relief_Windows_3B!$I$2433:$I$100,MATCH(G2433,CBIC_Late_Fee_Relief_Windows_3B!$O$2433:$O$100,0))</f>
        <v/>
      </c>
      <c r="I2433">
        <f>MIN(F2433,H2433)</f>
        <v/>
      </c>
    </row>
    <row r="2434">
      <c r="A2434">
        <f>TEST_DATA!A2434</f>
        <v/>
      </c>
      <c r="B2434">
        <f>TEST_DATA!B2434</f>
        <v/>
      </c>
      <c r="C2434">
        <f>TEST_DATA!C2434</f>
        <v/>
      </c>
      <c r="D2434">
        <f>TEST_DATA!D2434</f>
        <v/>
      </c>
      <c r="E2434">
        <f>TEST_DATA!E2434</f>
        <v/>
      </c>
      <c r="F2434">
        <f>MIN(E2434*243400,10000)</f>
        <v/>
      </c>
      <c r="G2434">
        <f>MINIFS(CBIC_Late_Fee_Relief_Windows_3B!$O$2434:$O$100,CBIC_Late_Fee_Relief_Windows_3B!$D$2434:$D$100,"&lt;="&amp;B2434,CBIC_Late_Fee_Relief_Windows_3B!$E$2434:$E$100,"&gt;="&amp;B2434,CBIC_Late_Fee_Relief_Windows_3B!$F$2434:$F$100,"&lt;="&amp;C2434,CBIC_Late_Fee_Relief_Windows_3B!$G$2434:$G$100,"&gt;="&amp;C2434)</f>
        <v/>
      </c>
      <c r="H2434">
        <f>INDEX(CBIC_Late_Fee_Relief_Windows_3B!$I$2434:$I$100,MATCH(G2434,CBIC_Late_Fee_Relief_Windows_3B!$O$2434:$O$100,0))</f>
        <v/>
      </c>
      <c r="I2434">
        <f>MIN(F2434,H2434)</f>
        <v/>
      </c>
    </row>
    <row r="2435">
      <c r="A2435">
        <f>TEST_DATA!A2435</f>
        <v/>
      </c>
      <c r="B2435">
        <f>TEST_DATA!B2435</f>
        <v/>
      </c>
      <c r="C2435">
        <f>TEST_DATA!C2435</f>
        <v/>
      </c>
      <c r="D2435">
        <f>TEST_DATA!D2435</f>
        <v/>
      </c>
      <c r="E2435">
        <f>TEST_DATA!E2435</f>
        <v/>
      </c>
      <c r="F2435">
        <f>MIN(E2435*243500,10000)</f>
        <v/>
      </c>
      <c r="G2435">
        <f>MINIFS(CBIC_Late_Fee_Relief_Windows_3B!$O$2435:$O$100,CBIC_Late_Fee_Relief_Windows_3B!$D$2435:$D$100,"&lt;="&amp;B2435,CBIC_Late_Fee_Relief_Windows_3B!$E$2435:$E$100,"&gt;="&amp;B2435,CBIC_Late_Fee_Relief_Windows_3B!$F$2435:$F$100,"&lt;="&amp;C2435,CBIC_Late_Fee_Relief_Windows_3B!$G$2435:$G$100,"&gt;="&amp;C2435)</f>
        <v/>
      </c>
      <c r="H2435">
        <f>INDEX(CBIC_Late_Fee_Relief_Windows_3B!$I$2435:$I$100,MATCH(G2435,CBIC_Late_Fee_Relief_Windows_3B!$O$2435:$O$100,0))</f>
        <v/>
      </c>
      <c r="I2435">
        <f>MIN(F2435,H2435)</f>
        <v/>
      </c>
    </row>
    <row r="2436">
      <c r="A2436">
        <f>TEST_DATA!A2436</f>
        <v/>
      </c>
      <c r="B2436">
        <f>TEST_DATA!B2436</f>
        <v/>
      </c>
      <c r="C2436">
        <f>TEST_DATA!C2436</f>
        <v/>
      </c>
      <c r="D2436">
        <f>TEST_DATA!D2436</f>
        <v/>
      </c>
      <c r="E2436">
        <f>TEST_DATA!E2436</f>
        <v/>
      </c>
      <c r="F2436">
        <f>MIN(E2436*243600,10000)</f>
        <v/>
      </c>
      <c r="G2436">
        <f>MINIFS(CBIC_Late_Fee_Relief_Windows_3B!$O$2436:$O$100,CBIC_Late_Fee_Relief_Windows_3B!$D$2436:$D$100,"&lt;="&amp;B2436,CBIC_Late_Fee_Relief_Windows_3B!$E$2436:$E$100,"&gt;="&amp;B2436,CBIC_Late_Fee_Relief_Windows_3B!$F$2436:$F$100,"&lt;="&amp;C2436,CBIC_Late_Fee_Relief_Windows_3B!$G$2436:$G$100,"&gt;="&amp;C2436)</f>
        <v/>
      </c>
      <c r="H2436">
        <f>INDEX(CBIC_Late_Fee_Relief_Windows_3B!$I$2436:$I$100,MATCH(G2436,CBIC_Late_Fee_Relief_Windows_3B!$O$2436:$O$100,0))</f>
        <v/>
      </c>
      <c r="I2436">
        <f>MIN(F2436,H2436)</f>
        <v/>
      </c>
    </row>
    <row r="2437">
      <c r="A2437">
        <f>TEST_DATA!A2437</f>
        <v/>
      </c>
      <c r="B2437">
        <f>TEST_DATA!B2437</f>
        <v/>
      </c>
      <c r="C2437">
        <f>TEST_DATA!C2437</f>
        <v/>
      </c>
      <c r="D2437">
        <f>TEST_DATA!D2437</f>
        <v/>
      </c>
      <c r="E2437">
        <f>TEST_DATA!E2437</f>
        <v/>
      </c>
      <c r="F2437">
        <f>MIN(E2437*243700,10000)</f>
        <v/>
      </c>
      <c r="G2437">
        <f>MINIFS(CBIC_Late_Fee_Relief_Windows_3B!$O$2437:$O$100,CBIC_Late_Fee_Relief_Windows_3B!$D$2437:$D$100,"&lt;="&amp;B2437,CBIC_Late_Fee_Relief_Windows_3B!$E$2437:$E$100,"&gt;="&amp;B2437,CBIC_Late_Fee_Relief_Windows_3B!$F$2437:$F$100,"&lt;="&amp;C2437,CBIC_Late_Fee_Relief_Windows_3B!$G$2437:$G$100,"&gt;="&amp;C2437)</f>
        <v/>
      </c>
      <c r="H2437">
        <f>INDEX(CBIC_Late_Fee_Relief_Windows_3B!$I$2437:$I$100,MATCH(G2437,CBIC_Late_Fee_Relief_Windows_3B!$O$2437:$O$100,0))</f>
        <v/>
      </c>
      <c r="I2437">
        <f>MIN(F2437,H2437)</f>
        <v/>
      </c>
    </row>
    <row r="2438">
      <c r="A2438">
        <f>TEST_DATA!A2438</f>
        <v/>
      </c>
      <c r="B2438">
        <f>TEST_DATA!B2438</f>
        <v/>
      </c>
      <c r="C2438">
        <f>TEST_DATA!C2438</f>
        <v/>
      </c>
      <c r="D2438">
        <f>TEST_DATA!D2438</f>
        <v/>
      </c>
      <c r="E2438">
        <f>TEST_DATA!E2438</f>
        <v/>
      </c>
      <c r="F2438">
        <f>MIN(E2438*243800,10000)</f>
        <v/>
      </c>
      <c r="G2438">
        <f>MINIFS(CBIC_Late_Fee_Relief_Windows_3B!$O$2438:$O$100,CBIC_Late_Fee_Relief_Windows_3B!$D$2438:$D$100,"&lt;="&amp;B2438,CBIC_Late_Fee_Relief_Windows_3B!$E$2438:$E$100,"&gt;="&amp;B2438,CBIC_Late_Fee_Relief_Windows_3B!$F$2438:$F$100,"&lt;="&amp;C2438,CBIC_Late_Fee_Relief_Windows_3B!$G$2438:$G$100,"&gt;="&amp;C2438)</f>
        <v/>
      </c>
      <c r="H2438">
        <f>INDEX(CBIC_Late_Fee_Relief_Windows_3B!$I$2438:$I$100,MATCH(G2438,CBIC_Late_Fee_Relief_Windows_3B!$O$2438:$O$100,0))</f>
        <v/>
      </c>
      <c r="I2438">
        <f>MIN(F2438,H2438)</f>
        <v/>
      </c>
    </row>
    <row r="2439">
      <c r="A2439">
        <f>TEST_DATA!A2439</f>
        <v/>
      </c>
      <c r="B2439">
        <f>TEST_DATA!B2439</f>
        <v/>
      </c>
      <c r="C2439">
        <f>TEST_DATA!C2439</f>
        <v/>
      </c>
      <c r="D2439">
        <f>TEST_DATA!D2439</f>
        <v/>
      </c>
      <c r="E2439">
        <f>TEST_DATA!E2439</f>
        <v/>
      </c>
      <c r="F2439">
        <f>MIN(E2439*243900,10000)</f>
        <v/>
      </c>
      <c r="G2439">
        <f>MINIFS(CBIC_Late_Fee_Relief_Windows_3B!$O$2439:$O$100,CBIC_Late_Fee_Relief_Windows_3B!$D$2439:$D$100,"&lt;="&amp;B2439,CBIC_Late_Fee_Relief_Windows_3B!$E$2439:$E$100,"&gt;="&amp;B2439,CBIC_Late_Fee_Relief_Windows_3B!$F$2439:$F$100,"&lt;="&amp;C2439,CBIC_Late_Fee_Relief_Windows_3B!$G$2439:$G$100,"&gt;="&amp;C2439)</f>
        <v/>
      </c>
      <c r="H2439">
        <f>INDEX(CBIC_Late_Fee_Relief_Windows_3B!$I$2439:$I$100,MATCH(G2439,CBIC_Late_Fee_Relief_Windows_3B!$O$2439:$O$100,0))</f>
        <v/>
      </c>
      <c r="I2439">
        <f>MIN(F2439,H2439)</f>
        <v/>
      </c>
    </row>
    <row r="2440">
      <c r="A2440">
        <f>TEST_DATA!A2440</f>
        <v/>
      </c>
      <c r="B2440">
        <f>TEST_DATA!B2440</f>
        <v/>
      </c>
      <c r="C2440">
        <f>TEST_DATA!C2440</f>
        <v/>
      </c>
      <c r="D2440">
        <f>TEST_DATA!D2440</f>
        <v/>
      </c>
      <c r="E2440">
        <f>TEST_DATA!E2440</f>
        <v/>
      </c>
      <c r="F2440">
        <f>MIN(E2440*244000,10000)</f>
        <v/>
      </c>
      <c r="G2440">
        <f>MINIFS(CBIC_Late_Fee_Relief_Windows_3B!$O$2440:$O$100,CBIC_Late_Fee_Relief_Windows_3B!$D$2440:$D$100,"&lt;="&amp;B2440,CBIC_Late_Fee_Relief_Windows_3B!$E$2440:$E$100,"&gt;="&amp;B2440,CBIC_Late_Fee_Relief_Windows_3B!$F$2440:$F$100,"&lt;="&amp;C2440,CBIC_Late_Fee_Relief_Windows_3B!$G$2440:$G$100,"&gt;="&amp;C2440)</f>
        <v/>
      </c>
      <c r="H2440">
        <f>INDEX(CBIC_Late_Fee_Relief_Windows_3B!$I$2440:$I$100,MATCH(G2440,CBIC_Late_Fee_Relief_Windows_3B!$O$2440:$O$100,0))</f>
        <v/>
      </c>
      <c r="I2440">
        <f>MIN(F2440,H2440)</f>
        <v/>
      </c>
    </row>
    <row r="2441">
      <c r="A2441">
        <f>TEST_DATA!A2441</f>
        <v/>
      </c>
      <c r="B2441">
        <f>TEST_DATA!B2441</f>
        <v/>
      </c>
      <c r="C2441">
        <f>TEST_DATA!C2441</f>
        <v/>
      </c>
      <c r="D2441">
        <f>TEST_DATA!D2441</f>
        <v/>
      </c>
      <c r="E2441">
        <f>TEST_DATA!E2441</f>
        <v/>
      </c>
      <c r="F2441">
        <f>MIN(E2441*244100,10000)</f>
        <v/>
      </c>
      <c r="G2441">
        <f>MINIFS(CBIC_Late_Fee_Relief_Windows_3B!$O$2441:$O$100,CBIC_Late_Fee_Relief_Windows_3B!$D$2441:$D$100,"&lt;="&amp;B2441,CBIC_Late_Fee_Relief_Windows_3B!$E$2441:$E$100,"&gt;="&amp;B2441,CBIC_Late_Fee_Relief_Windows_3B!$F$2441:$F$100,"&lt;="&amp;C2441,CBIC_Late_Fee_Relief_Windows_3B!$G$2441:$G$100,"&gt;="&amp;C2441)</f>
        <v/>
      </c>
      <c r="H2441">
        <f>INDEX(CBIC_Late_Fee_Relief_Windows_3B!$I$2441:$I$100,MATCH(G2441,CBIC_Late_Fee_Relief_Windows_3B!$O$2441:$O$100,0))</f>
        <v/>
      </c>
      <c r="I2441">
        <f>MIN(F2441,H2441)</f>
        <v/>
      </c>
    </row>
    <row r="2442">
      <c r="A2442">
        <f>TEST_DATA!A2442</f>
        <v/>
      </c>
      <c r="B2442">
        <f>TEST_DATA!B2442</f>
        <v/>
      </c>
      <c r="C2442">
        <f>TEST_DATA!C2442</f>
        <v/>
      </c>
      <c r="D2442">
        <f>TEST_DATA!D2442</f>
        <v/>
      </c>
      <c r="E2442">
        <f>TEST_DATA!E2442</f>
        <v/>
      </c>
      <c r="F2442">
        <f>MIN(E2442*244200,10000)</f>
        <v/>
      </c>
      <c r="G2442">
        <f>MINIFS(CBIC_Late_Fee_Relief_Windows_3B!$O$2442:$O$100,CBIC_Late_Fee_Relief_Windows_3B!$D$2442:$D$100,"&lt;="&amp;B2442,CBIC_Late_Fee_Relief_Windows_3B!$E$2442:$E$100,"&gt;="&amp;B2442,CBIC_Late_Fee_Relief_Windows_3B!$F$2442:$F$100,"&lt;="&amp;C2442,CBIC_Late_Fee_Relief_Windows_3B!$G$2442:$G$100,"&gt;="&amp;C2442)</f>
        <v/>
      </c>
      <c r="H2442">
        <f>INDEX(CBIC_Late_Fee_Relief_Windows_3B!$I$2442:$I$100,MATCH(G2442,CBIC_Late_Fee_Relief_Windows_3B!$O$2442:$O$100,0))</f>
        <v/>
      </c>
      <c r="I2442">
        <f>MIN(F2442,H2442)</f>
        <v/>
      </c>
    </row>
    <row r="2443">
      <c r="A2443">
        <f>TEST_DATA!A2443</f>
        <v/>
      </c>
      <c r="B2443">
        <f>TEST_DATA!B2443</f>
        <v/>
      </c>
      <c r="C2443">
        <f>TEST_DATA!C2443</f>
        <v/>
      </c>
      <c r="D2443">
        <f>TEST_DATA!D2443</f>
        <v/>
      </c>
      <c r="E2443">
        <f>TEST_DATA!E2443</f>
        <v/>
      </c>
      <c r="F2443">
        <f>MIN(E2443*244300,10000)</f>
        <v/>
      </c>
      <c r="G2443">
        <f>MINIFS(CBIC_Late_Fee_Relief_Windows_3B!$O$2443:$O$100,CBIC_Late_Fee_Relief_Windows_3B!$D$2443:$D$100,"&lt;="&amp;B2443,CBIC_Late_Fee_Relief_Windows_3B!$E$2443:$E$100,"&gt;="&amp;B2443,CBIC_Late_Fee_Relief_Windows_3B!$F$2443:$F$100,"&lt;="&amp;C2443,CBIC_Late_Fee_Relief_Windows_3B!$G$2443:$G$100,"&gt;="&amp;C2443)</f>
        <v/>
      </c>
      <c r="H2443">
        <f>INDEX(CBIC_Late_Fee_Relief_Windows_3B!$I$2443:$I$100,MATCH(G2443,CBIC_Late_Fee_Relief_Windows_3B!$O$2443:$O$100,0))</f>
        <v/>
      </c>
      <c r="I2443">
        <f>MIN(F2443,H2443)</f>
        <v/>
      </c>
    </row>
    <row r="2444">
      <c r="A2444">
        <f>TEST_DATA!A2444</f>
        <v/>
      </c>
      <c r="B2444">
        <f>TEST_DATA!B2444</f>
        <v/>
      </c>
      <c r="C2444">
        <f>TEST_DATA!C2444</f>
        <v/>
      </c>
      <c r="D2444">
        <f>TEST_DATA!D2444</f>
        <v/>
      </c>
      <c r="E2444">
        <f>TEST_DATA!E2444</f>
        <v/>
      </c>
      <c r="F2444">
        <f>MIN(E2444*244400,10000)</f>
        <v/>
      </c>
      <c r="G2444">
        <f>MINIFS(CBIC_Late_Fee_Relief_Windows_3B!$O$2444:$O$100,CBIC_Late_Fee_Relief_Windows_3B!$D$2444:$D$100,"&lt;="&amp;B2444,CBIC_Late_Fee_Relief_Windows_3B!$E$2444:$E$100,"&gt;="&amp;B2444,CBIC_Late_Fee_Relief_Windows_3B!$F$2444:$F$100,"&lt;="&amp;C2444,CBIC_Late_Fee_Relief_Windows_3B!$G$2444:$G$100,"&gt;="&amp;C2444)</f>
        <v/>
      </c>
      <c r="H2444">
        <f>INDEX(CBIC_Late_Fee_Relief_Windows_3B!$I$2444:$I$100,MATCH(G2444,CBIC_Late_Fee_Relief_Windows_3B!$O$2444:$O$100,0))</f>
        <v/>
      </c>
      <c r="I2444">
        <f>MIN(F2444,H2444)</f>
        <v/>
      </c>
    </row>
    <row r="2445">
      <c r="A2445">
        <f>TEST_DATA!A2445</f>
        <v/>
      </c>
      <c r="B2445">
        <f>TEST_DATA!B2445</f>
        <v/>
      </c>
      <c r="C2445">
        <f>TEST_DATA!C2445</f>
        <v/>
      </c>
      <c r="D2445">
        <f>TEST_DATA!D2445</f>
        <v/>
      </c>
      <c r="E2445">
        <f>TEST_DATA!E2445</f>
        <v/>
      </c>
      <c r="F2445">
        <f>MIN(E2445*244500,10000)</f>
        <v/>
      </c>
      <c r="G2445">
        <f>MINIFS(CBIC_Late_Fee_Relief_Windows_3B!$O$2445:$O$100,CBIC_Late_Fee_Relief_Windows_3B!$D$2445:$D$100,"&lt;="&amp;B2445,CBIC_Late_Fee_Relief_Windows_3B!$E$2445:$E$100,"&gt;="&amp;B2445,CBIC_Late_Fee_Relief_Windows_3B!$F$2445:$F$100,"&lt;="&amp;C2445,CBIC_Late_Fee_Relief_Windows_3B!$G$2445:$G$100,"&gt;="&amp;C2445)</f>
        <v/>
      </c>
      <c r="H2445">
        <f>INDEX(CBIC_Late_Fee_Relief_Windows_3B!$I$2445:$I$100,MATCH(G2445,CBIC_Late_Fee_Relief_Windows_3B!$O$2445:$O$100,0))</f>
        <v/>
      </c>
      <c r="I2445">
        <f>MIN(F2445,H2445)</f>
        <v/>
      </c>
    </row>
    <row r="2446">
      <c r="A2446">
        <f>TEST_DATA!A2446</f>
        <v/>
      </c>
      <c r="B2446">
        <f>TEST_DATA!B2446</f>
        <v/>
      </c>
      <c r="C2446">
        <f>TEST_DATA!C2446</f>
        <v/>
      </c>
      <c r="D2446">
        <f>TEST_DATA!D2446</f>
        <v/>
      </c>
      <c r="E2446">
        <f>TEST_DATA!E2446</f>
        <v/>
      </c>
      <c r="F2446">
        <f>MIN(E2446*244600,10000)</f>
        <v/>
      </c>
      <c r="G2446">
        <f>MINIFS(CBIC_Late_Fee_Relief_Windows_3B!$O$2446:$O$100,CBIC_Late_Fee_Relief_Windows_3B!$D$2446:$D$100,"&lt;="&amp;B2446,CBIC_Late_Fee_Relief_Windows_3B!$E$2446:$E$100,"&gt;="&amp;B2446,CBIC_Late_Fee_Relief_Windows_3B!$F$2446:$F$100,"&lt;="&amp;C2446,CBIC_Late_Fee_Relief_Windows_3B!$G$2446:$G$100,"&gt;="&amp;C2446)</f>
        <v/>
      </c>
      <c r="H2446">
        <f>INDEX(CBIC_Late_Fee_Relief_Windows_3B!$I$2446:$I$100,MATCH(G2446,CBIC_Late_Fee_Relief_Windows_3B!$O$2446:$O$100,0))</f>
        <v/>
      </c>
      <c r="I2446">
        <f>MIN(F2446,H2446)</f>
        <v/>
      </c>
    </row>
    <row r="2447">
      <c r="A2447">
        <f>TEST_DATA!A2447</f>
        <v/>
      </c>
      <c r="B2447">
        <f>TEST_DATA!B2447</f>
        <v/>
      </c>
      <c r="C2447">
        <f>TEST_DATA!C2447</f>
        <v/>
      </c>
      <c r="D2447">
        <f>TEST_DATA!D2447</f>
        <v/>
      </c>
      <c r="E2447">
        <f>TEST_DATA!E2447</f>
        <v/>
      </c>
      <c r="F2447">
        <f>MIN(E2447*244700,10000)</f>
        <v/>
      </c>
      <c r="G2447">
        <f>MINIFS(CBIC_Late_Fee_Relief_Windows_3B!$O$2447:$O$100,CBIC_Late_Fee_Relief_Windows_3B!$D$2447:$D$100,"&lt;="&amp;B2447,CBIC_Late_Fee_Relief_Windows_3B!$E$2447:$E$100,"&gt;="&amp;B2447,CBIC_Late_Fee_Relief_Windows_3B!$F$2447:$F$100,"&lt;="&amp;C2447,CBIC_Late_Fee_Relief_Windows_3B!$G$2447:$G$100,"&gt;="&amp;C2447)</f>
        <v/>
      </c>
      <c r="H2447">
        <f>INDEX(CBIC_Late_Fee_Relief_Windows_3B!$I$2447:$I$100,MATCH(G2447,CBIC_Late_Fee_Relief_Windows_3B!$O$2447:$O$100,0))</f>
        <v/>
      </c>
      <c r="I2447">
        <f>MIN(F2447,H2447)</f>
        <v/>
      </c>
    </row>
    <row r="2448">
      <c r="A2448">
        <f>TEST_DATA!A2448</f>
        <v/>
      </c>
      <c r="B2448">
        <f>TEST_DATA!B2448</f>
        <v/>
      </c>
      <c r="C2448">
        <f>TEST_DATA!C2448</f>
        <v/>
      </c>
      <c r="D2448">
        <f>TEST_DATA!D2448</f>
        <v/>
      </c>
      <c r="E2448">
        <f>TEST_DATA!E2448</f>
        <v/>
      </c>
      <c r="F2448">
        <f>MIN(E2448*244800,10000)</f>
        <v/>
      </c>
      <c r="G2448">
        <f>MINIFS(CBIC_Late_Fee_Relief_Windows_3B!$O$2448:$O$100,CBIC_Late_Fee_Relief_Windows_3B!$D$2448:$D$100,"&lt;="&amp;B2448,CBIC_Late_Fee_Relief_Windows_3B!$E$2448:$E$100,"&gt;="&amp;B2448,CBIC_Late_Fee_Relief_Windows_3B!$F$2448:$F$100,"&lt;="&amp;C2448,CBIC_Late_Fee_Relief_Windows_3B!$G$2448:$G$100,"&gt;="&amp;C2448)</f>
        <v/>
      </c>
      <c r="H2448">
        <f>INDEX(CBIC_Late_Fee_Relief_Windows_3B!$I$2448:$I$100,MATCH(G2448,CBIC_Late_Fee_Relief_Windows_3B!$O$2448:$O$100,0))</f>
        <v/>
      </c>
      <c r="I2448">
        <f>MIN(F2448,H2448)</f>
        <v/>
      </c>
    </row>
    <row r="2449">
      <c r="A2449">
        <f>TEST_DATA!A2449</f>
        <v/>
      </c>
      <c r="B2449">
        <f>TEST_DATA!B2449</f>
        <v/>
      </c>
      <c r="C2449">
        <f>TEST_DATA!C2449</f>
        <v/>
      </c>
      <c r="D2449">
        <f>TEST_DATA!D2449</f>
        <v/>
      </c>
      <c r="E2449">
        <f>TEST_DATA!E2449</f>
        <v/>
      </c>
      <c r="F2449">
        <f>MIN(E2449*244900,10000)</f>
        <v/>
      </c>
      <c r="G2449">
        <f>MINIFS(CBIC_Late_Fee_Relief_Windows_3B!$O$2449:$O$100,CBIC_Late_Fee_Relief_Windows_3B!$D$2449:$D$100,"&lt;="&amp;B2449,CBIC_Late_Fee_Relief_Windows_3B!$E$2449:$E$100,"&gt;="&amp;B2449,CBIC_Late_Fee_Relief_Windows_3B!$F$2449:$F$100,"&lt;="&amp;C2449,CBIC_Late_Fee_Relief_Windows_3B!$G$2449:$G$100,"&gt;="&amp;C2449)</f>
        <v/>
      </c>
      <c r="H2449">
        <f>INDEX(CBIC_Late_Fee_Relief_Windows_3B!$I$2449:$I$100,MATCH(G2449,CBIC_Late_Fee_Relief_Windows_3B!$O$2449:$O$100,0))</f>
        <v/>
      </c>
      <c r="I2449">
        <f>MIN(F2449,H2449)</f>
        <v/>
      </c>
    </row>
    <row r="2450">
      <c r="A2450">
        <f>TEST_DATA!A2450</f>
        <v/>
      </c>
      <c r="B2450">
        <f>TEST_DATA!B2450</f>
        <v/>
      </c>
      <c r="C2450">
        <f>TEST_DATA!C2450</f>
        <v/>
      </c>
      <c r="D2450">
        <f>TEST_DATA!D2450</f>
        <v/>
      </c>
      <c r="E2450">
        <f>TEST_DATA!E2450</f>
        <v/>
      </c>
      <c r="F2450">
        <f>MIN(E2450*245000,10000)</f>
        <v/>
      </c>
      <c r="G2450">
        <f>MINIFS(CBIC_Late_Fee_Relief_Windows_3B!$O$2450:$O$100,CBIC_Late_Fee_Relief_Windows_3B!$D$2450:$D$100,"&lt;="&amp;B2450,CBIC_Late_Fee_Relief_Windows_3B!$E$2450:$E$100,"&gt;="&amp;B2450,CBIC_Late_Fee_Relief_Windows_3B!$F$2450:$F$100,"&lt;="&amp;C2450,CBIC_Late_Fee_Relief_Windows_3B!$G$2450:$G$100,"&gt;="&amp;C2450)</f>
        <v/>
      </c>
      <c r="H2450">
        <f>INDEX(CBIC_Late_Fee_Relief_Windows_3B!$I$2450:$I$100,MATCH(G2450,CBIC_Late_Fee_Relief_Windows_3B!$O$2450:$O$100,0))</f>
        <v/>
      </c>
      <c r="I2450">
        <f>MIN(F2450,H2450)</f>
        <v/>
      </c>
    </row>
    <row r="2451">
      <c r="A2451">
        <f>TEST_DATA!A2451</f>
        <v/>
      </c>
      <c r="B2451">
        <f>TEST_DATA!B2451</f>
        <v/>
      </c>
      <c r="C2451">
        <f>TEST_DATA!C2451</f>
        <v/>
      </c>
      <c r="D2451">
        <f>TEST_DATA!D2451</f>
        <v/>
      </c>
      <c r="E2451">
        <f>TEST_DATA!E2451</f>
        <v/>
      </c>
      <c r="F2451">
        <f>MIN(E2451*245100,10000)</f>
        <v/>
      </c>
      <c r="G2451">
        <f>MINIFS(CBIC_Late_Fee_Relief_Windows_3B!$O$2451:$O$100,CBIC_Late_Fee_Relief_Windows_3B!$D$2451:$D$100,"&lt;="&amp;B2451,CBIC_Late_Fee_Relief_Windows_3B!$E$2451:$E$100,"&gt;="&amp;B2451,CBIC_Late_Fee_Relief_Windows_3B!$F$2451:$F$100,"&lt;="&amp;C2451,CBIC_Late_Fee_Relief_Windows_3B!$G$2451:$G$100,"&gt;="&amp;C2451)</f>
        <v/>
      </c>
      <c r="H2451">
        <f>INDEX(CBIC_Late_Fee_Relief_Windows_3B!$I$2451:$I$100,MATCH(G2451,CBIC_Late_Fee_Relief_Windows_3B!$O$2451:$O$100,0))</f>
        <v/>
      </c>
      <c r="I2451">
        <f>MIN(F2451,H2451)</f>
        <v/>
      </c>
    </row>
    <row r="2452">
      <c r="A2452">
        <f>TEST_DATA!A2452</f>
        <v/>
      </c>
      <c r="B2452">
        <f>TEST_DATA!B2452</f>
        <v/>
      </c>
      <c r="C2452">
        <f>TEST_DATA!C2452</f>
        <v/>
      </c>
      <c r="D2452">
        <f>TEST_DATA!D2452</f>
        <v/>
      </c>
      <c r="E2452">
        <f>TEST_DATA!E2452</f>
        <v/>
      </c>
      <c r="F2452">
        <f>MIN(E2452*245200,10000)</f>
        <v/>
      </c>
      <c r="G2452">
        <f>MINIFS(CBIC_Late_Fee_Relief_Windows_3B!$O$2452:$O$100,CBIC_Late_Fee_Relief_Windows_3B!$D$2452:$D$100,"&lt;="&amp;B2452,CBIC_Late_Fee_Relief_Windows_3B!$E$2452:$E$100,"&gt;="&amp;B2452,CBIC_Late_Fee_Relief_Windows_3B!$F$2452:$F$100,"&lt;="&amp;C2452,CBIC_Late_Fee_Relief_Windows_3B!$G$2452:$G$100,"&gt;="&amp;C2452)</f>
        <v/>
      </c>
      <c r="H2452">
        <f>INDEX(CBIC_Late_Fee_Relief_Windows_3B!$I$2452:$I$100,MATCH(G2452,CBIC_Late_Fee_Relief_Windows_3B!$O$2452:$O$100,0))</f>
        <v/>
      </c>
      <c r="I2452">
        <f>MIN(F2452,H2452)</f>
        <v/>
      </c>
    </row>
    <row r="2453">
      <c r="A2453">
        <f>TEST_DATA!A2453</f>
        <v/>
      </c>
      <c r="B2453">
        <f>TEST_DATA!B2453</f>
        <v/>
      </c>
      <c r="C2453">
        <f>TEST_DATA!C2453</f>
        <v/>
      </c>
      <c r="D2453">
        <f>TEST_DATA!D2453</f>
        <v/>
      </c>
      <c r="E2453">
        <f>TEST_DATA!E2453</f>
        <v/>
      </c>
      <c r="F2453">
        <f>MIN(E2453*245300,10000)</f>
        <v/>
      </c>
      <c r="G2453">
        <f>MINIFS(CBIC_Late_Fee_Relief_Windows_3B!$O$2453:$O$100,CBIC_Late_Fee_Relief_Windows_3B!$D$2453:$D$100,"&lt;="&amp;B2453,CBIC_Late_Fee_Relief_Windows_3B!$E$2453:$E$100,"&gt;="&amp;B2453,CBIC_Late_Fee_Relief_Windows_3B!$F$2453:$F$100,"&lt;="&amp;C2453,CBIC_Late_Fee_Relief_Windows_3B!$G$2453:$G$100,"&gt;="&amp;C2453)</f>
        <v/>
      </c>
      <c r="H2453">
        <f>INDEX(CBIC_Late_Fee_Relief_Windows_3B!$I$2453:$I$100,MATCH(G2453,CBIC_Late_Fee_Relief_Windows_3B!$O$2453:$O$100,0))</f>
        <v/>
      </c>
      <c r="I2453">
        <f>MIN(F2453,H2453)</f>
        <v/>
      </c>
    </row>
    <row r="2454">
      <c r="A2454">
        <f>TEST_DATA!A2454</f>
        <v/>
      </c>
      <c r="B2454">
        <f>TEST_DATA!B2454</f>
        <v/>
      </c>
      <c r="C2454">
        <f>TEST_DATA!C2454</f>
        <v/>
      </c>
      <c r="D2454">
        <f>TEST_DATA!D2454</f>
        <v/>
      </c>
      <c r="E2454">
        <f>TEST_DATA!E2454</f>
        <v/>
      </c>
      <c r="F2454">
        <f>MIN(E2454*245400,10000)</f>
        <v/>
      </c>
      <c r="G2454">
        <f>MINIFS(CBIC_Late_Fee_Relief_Windows_3B!$O$2454:$O$100,CBIC_Late_Fee_Relief_Windows_3B!$D$2454:$D$100,"&lt;="&amp;B2454,CBIC_Late_Fee_Relief_Windows_3B!$E$2454:$E$100,"&gt;="&amp;B2454,CBIC_Late_Fee_Relief_Windows_3B!$F$2454:$F$100,"&lt;="&amp;C2454,CBIC_Late_Fee_Relief_Windows_3B!$G$2454:$G$100,"&gt;="&amp;C2454)</f>
        <v/>
      </c>
      <c r="H2454">
        <f>INDEX(CBIC_Late_Fee_Relief_Windows_3B!$I$2454:$I$100,MATCH(G2454,CBIC_Late_Fee_Relief_Windows_3B!$O$2454:$O$100,0))</f>
        <v/>
      </c>
      <c r="I2454">
        <f>MIN(F2454,H2454)</f>
        <v/>
      </c>
    </row>
    <row r="2455">
      <c r="A2455">
        <f>TEST_DATA!A2455</f>
        <v/>
      </c>
      <c r="B2455">
        <f>TEST_DATA!B2455</f>
        <v/>
      </c>
      <c r="C2455">
        <f>TEST_DATA!C2455</f>
        <v/>
      </c>
      <c r="D2455">
        <f>TEST_DATA!D2455</f>
        <v/>
      </c>
      <c r="E2455">
        <f>TEST_DATA!E2455</f>
        <v/>
      </c>
      <c r="F2455">
        <f>MIN(E2455*245500,10000)</f>
        <v/>
      </c>
      <c r="G2455">
        <f>MINIFS(CBIC_Late_Fee_Relief_Windows_3B!$O$2455:$O$100,CBIC_Late_Fee_Relief_Windows_3B!$D$2455:$D$100,"&lt;="&amp;B2455,CBIC_Late_Fee_Relief_Windows_3B!$E$2455:$E$100,"&gt;="&amp;B2455,CBIC_Late_Fee_Relief_Windows_3B!$F$2455:$F$100,"&lt;="&amp;C2455,CBIC_Late_Fee_Relief_Windows_3B!$G$2455:$G$100,"&gt;="&amp;C2455)</f>
        <v/>
      </c>
      <c r="H2455">
        <f>INDEX(CBIC_Late_Fee_Relief_Windows_3B!$I$2455:$I$100,MATCH(G2455,CBIC_Late_Fee_Relief_Windows_3B!$O$2455:$O$100,0))</f>
        <v/>
      </c>
      <c r="I2455">
        <f>MIN(F2455,H2455)</f>
        <v/>
      </c>
    </row>
    <row r="2456">
      <c r="A2456">
        <f>TEST_DATA!A2456</f>
        <v/>
      </c>
      <c r="B2456">
        <f>TEST_DATA!B2456</f>
        <v/>
      </c>
      <c r="C2456">
        <f>TEST_DATA!C2456</f>
        <v/>
      </c>
      <c r="D2456">
        <f>TEST_DATA!D2456</f>
        <v/>
      </c>
      <c r="E2456">
        <f>TEST_DATA!E2456</f>
        <v/>
      </c>
      <c r="F2456">
        <f>MIN(E2456*245600,10000)</f>
        <v/>
      </c>
      <c r="G2456">
        <f>MINIFS(CBIC_Late_Fee_Relief_Windows_3B!$O$2456:$O$100,CBIC_Late_Fee_Relief_Windows_3B!$D$2456:$D$100,"&lt;="&amp;B2456,CBIC_Late_Fee_Relief_Windows_3B!$E$2456:$E$100,"&gt;="&amp;B2456,CBIC_Late_Fee_Relief_Windows_3B!$F$2456:$F$100,"&lt;="&amp;C2456,CBIC_Late_Fee_Relief_Windows_3B!$G$2456:$G$100,"&gt;="&amp;C2456)</f>
        <v/>
      </c>
      <c r="H2456">
        <f>INDEX(CBIC_Late_Fee_Relief_Windows_3B!$I$2456:$I$100,MATCH(G2456,CBIC_Late_Fee_Relief_Windows_3B!$O$2456:$O$100,0))</f>
        <v/>
      </c>
      <c r="I2456">
        <f>MIN(F2456,H2456)</f>
        <v/>
      </c>
    </row>
    <row r="2457">
      <c r="A2457">
        <f>TEST_DATA!A2457</f>
        <v/>
      </c>
      <c r="B2457">
        <f>TEST_DATA!B2457</f>
        <v/>
      </c>
      <c r="C2457">
        <f>TEST_DATA!C2457</f>
        <v/>
      </c>
      <c r="D2457">
        <f>TEST_DATA!D2457</f>
        <v/>
      </c>
      <c r="E2457">
        <f>TEST_DATA!E2457</f>
        <v/>
      </c>
      <c r="F2457">
        <f>MIN(E2457*245700,10000)</f>
        <v/>
      </c>
      <c r="G2457">
        <f>MINIFS(CBIC_Late_Fee_Relief_Windows_3B!$O$2457:$O$100,CBIC_Late_Fee_Relief_Windows_3B!$D$2457:$D$100,"&lt;="&amp;B2457,CBIC_Late_Fee_Relief_Windows_3B!$E$2457:$E$100,"&gt;="&amp;B2457,CBIC_Late_Fee_Relief_Windows_3B!$F$2457:$F$100,"&lt;="&amp;C2457,CBIC_Late_Fee_Relief_Windows_3B!$G$2457:$G$100,"&gt;="&amp;C2457)</f>
        <v/>
      </c>
      <c r="H2457">
        <f>INDEX(CBIC_Late_Fee_Relief_Windows_3B!$I$2457:$I$100,MATCH(G2457,CBIC_Late_Fee_Relief_Windows_3B!$O$2457:$O$100,0))</f>
        <v/>
      </c>
      <c r="I2457">
        <f>MIN(F2457,H2457)</f>
        <v/>
      </c>
    </row>
    <row r="2458">
      <c r="A2458">
        <f>TEST_DATA!A2458</f>
        <v/>
      </c>
      <c r="B2458">
        <f>TEST_DATA!B2458</f>
        <v/>
      </c>
      <c r="C2458">
        <f>TEST_DATA!C2458</f>
        <v/>
      </c>
      <c r="D2458">
        <f>TEST_DATA!D2458</f>
        <v/>
      </c>
      <c r="E2458">
        <f>TEST_DATA!E2458</f>
        <v/>
      </c>
      <c r="F2458">
        <f>MIN(E2458*245800,10000)</f>
        <v/>
      </c>
      <c r="G2458">
        <f>MINIFS(CBIC_Late_Fee_Relief_Windows_3B!$O$2458:$O$100,CBIC_Late_Fee_Relief_Windows_3B!$D$2458:$D$100,"&lt;="&amp;B2458,CBIC_Late_Fee_Relief_Windows_3B!$E$2458:$E$100,"&gt;="&amp;B2458,CBIC_Late_Fee_Relief_Windows_3B!$F$2458:$F$100,"&lt;="&amp;C2458,CBIC_Late_Fee_Relief_Windows_3B!$G$2458:$G$100,"&gt;="&amp;C2458)</f>
        <v/>
      </c>
      <c r="H2458">
        <f>INDEX(CBIC_Late_Fee_Relief_Windows_3B!$I$2458:$I$100,MATCH(G2458,CBIC_Late_Fee_Relief_Windows_3B!$O$2458:$O$100,0))</f>
        <v/>
      </c>
      <c r="I2458">
        <f>MIN(F2458,H2458)</f>
        <v/>
      </c>
    </row>
    <row r="2459">
      <c r="A2459">
        <f>TEST_DATA!A2459</f>
        <v/>
      </c>
      <c r="B2459">
        <f>TEST_DATA!B2459</f>
        <v/>
      </c>
      <c r="C2459">
        <f>TEST_DATA!C2459</f>
        <v/>
      </c>
      <c r="D2459">
        <f>TEST_DATA!D2459</f>
        <v/>
      </c>
      <c r="E2459">
        <f>TEST_DATA!E2459</f>
        <v/>
      </c>
      <c r="F2459">
        <f>MIN(E2459*245900,10000)</f>
        <v/>
      </c>
      <c r="G2459">
        <f>MINIFS(CBIC_Late_Fee_Relief_Windows_3B!$O$2459:$O$100,CBIC_Late_Fee_Relief_Windows_3B!$D$2459:$D$100,"&lt;="&amp;B2459,CBIC_Late_Fee_Relief_Windows_3B!$E$2459:$E$100,"&gt;="&amp;B2459,CBIC_Late_Fee_Relief_Windows_3B!$F$2459:$F$100,"&lt;="&amp;C2459,CBIC_Late_Fee_Relief_Windows_3B!$G$2459:$G$100,"&gt;="&amp;C2459)</f>
        <v/>
      </c>
      <c r="H2459">
        <f>INDEX(CBIC_Late_Fee_Relief_Windows_3B!$I$2459:$I$100,MATCH(G2459,CBIC_Late_Fee_Relief_Windows_3B!$O$2459:$O$100,0))</f>
        <v/>
      </c>
      <c r="I2459">
        <f>MIN(F2459,H2459)</f>
        <v/>
      </c>
    </row>
    <row r="2460">
      <c r="A2460">
        <f>TEST_DATA!A2460</f>
        <v/>
      </c>
      <c r="B2460">
        <f>TEST_DATA!B2460</f>
        <v/>
      </c>
      <c r="C2460">
        <f>TEST_DATA!C2460</f>
        <v/>
      </c>
      <c r="D2460">
        <f>TEST_DATA!D2460</f>
        <v/>
      </c>
      <c r="E2460">
        <f>TEST_DATA!E2460</f>
        <v/>
      </c>
      <c r="F2460">
        <f>MIN(E2460*246000,10000)</f>
        <v/>
      </c>
      <c r="G2460">
        <f>MINIFS(CBIC_Late_Fee_Relief_Windows_3B!$O$2460:$O$100,CBIC_Late_Fee_Relief_Windows_3B!$D$2460:$D$100,"&lt;="&amp;B2460,CBIC_Late_Fee_Relief_Windows_3B!$E$2460:$E$100,"&gt;="&amp;B2460,CBIC_Late_Fee_Relief_Windows_3B!$F$2460:$F$100,"&lt;="&amp;C2460,CBIC_Late_Fee_Relief_Windows_3B!$G$2460:$G$100,"&gt;="&amp;C2460)</f>
        <v/>
      </c>
      <c r="H2460">
        <f>INDEX(CBIC_Late_Fee_Relief_Windows_3B!$I$2460:$I$100,MATCH(G2460,CBIC_Late_Fee_Relief_Windows_3B!$O$2460:$O$100,0))</f>
        <v/>
      </c>
      <c r="I2460">
        <f>MIN(F2460,H2460)</f>
        <v/>
      </c>
    </row>
    <row r="2461">
      <c r="A2461">
        <f>TEST_DATA!A2461</f>
        <v/>
      </c>
      <c r="B2461">
        <f>TEST_DATA!B2461</f>
        <v/>
      </c>
      <c r="C2461">
        <f>TEST_DATA!C2461</f>
        <v/>
      </c>
      <c r="D2461">
        <f>TEST_DATA!D2461</f>
        <v/>
      </c>
      <c r="E2461">
        <f>TEST_DATA!E2461</f>
        <v/>
      </c>
      <c r="F2461">
        <f>MIN(E2461*246100,10000)</f>
        <v/>
      </c>
      <c r="G2461">
        <f>MINIFS(CBIC_Late_Fee_Relief_Windows_3B!$O$2461:$O$100,CBIC_Late_Fee_Relief_Windows_3B!$D$2461:$D$100,"&lt;="&amp;B2461,CBIC_Late_Fee_Relief_Windows_3B!$E$2461:$E$100,"&gt;="&amp;B2461,CBIC_Late_Fee_Relief_Windows_3B!$F$2461:$F$100,"&lt;="&amp;C2461,CBIC_Late_Fee_Relief_Windows_3B!$G$2461:$G$100,"&gt;="&amp;C2461)</f>
        <v/>
      </c>
      <c r="H2461">
        <f>INDEX(CBIC_Late_Fee_Relief_Windows_3B!$I$2461:$I$100,MATCH(G2461,CBIC_Late_Fee_Relief_Windows_3B!$O$2461:$O$100,0))</f>
        <v/>
      </c>
      <c r="I2461">
        <f>MIN(F2461,H2461)</f>
        <v/>
      </c>
    </row>
    <row r="2462">
      <c r="A2462">
        <f>TEST_DATA!A2462</f>
        <v/>
      </c>
      <c r="B2462">
        <f>TEST_DATA!B2462</f>
        <v/>
      </c>
      <c r="C2462">
        <f>TEST_DATA!C2462</f>
        <v/>
      </c>
      <c r="D2462">
        <f>TEST_DATA!D2462</f>
        <v/>
      </c>
      <c r="E2462">
        <f>TEST_DATA!E2462</f>
        <v/>
      </c>
      <c r="F2462">
        <f>MIN(E2462*246200,10000)</f>
        <v/>
      </c>
      <c r="G2462">
        <f>MINIFS(CBIC_Late_Fee_Relief_Windows_3B!$O$2462:$O$100,CBIC_Late_Fee_Relief_Windows_3B!$D$2462:$D$100,"&lt;="&amp;B2462,CBIC_Late_Fee_Relief_Windows_3B!$E$2462:$E$100,"&gt;="&amp;B2462,CBIC_Late_Fee_Relief_Windows_3B!$F$2462:$F$100,"&lt;="&amp;C2462,CBIC_Late_Fee_Relief_Windows_3B!$G$2462:$G$100,"&gt;="&amp;C2462)</f>
        <v/>
      </c>
      <c r="H2462">
        <f>INDEX(CBIC_Late_Fee_Relief_Windows_3B!$I$2462:$I$100,MATCH(G2462,CBIC_Late_Fee_Relief_Windows_3B!$O$2462:$O$100,0))</f>
        <v/>
      </c>
      <c r="I2462">
        <f>MIN(F2462,H2462)</f>
        <v/>
      </c>
    </row>
    <row r="2463">
      <c r="A2463">
        <f>TEST_DATA!A2463</f>
        <v/>
      </c>
      <c r="B2463">
        <f>TEST_DATA!B2463</f>
        <v/>
      </c>
      <c r="C2463">
        <f>TEST_DATA!C2463</f>
        <v/>
      </c>
      <c r="D2463">
        <f>TEST_DATA!D2463</f>
        <v/>
      </c>
      <c r="E2463">
        <f>TEST_DATA!E2463</f>
        <v/>
      </c>
      <c r="F2463">
        <f>MIN(E2463*246300,10000)</f>
        <v/>
      </c>
      <c r="G2463">
        <f>MINIFS(CBIC_Late_Fee_Relief_Windows_3B!$O$2463:$O$100,CBIC_Late_Fee_Relief_Windows_3B!$D$2463:$D$100,"&lt;="&amp;B2463,CBIC_Late_Fee_Relief_Windows_3B!$E$2463:$E$100,"&gt;="&amp;B2463,CBIC_Late_Fee_Relief_Windows_3B!$F$2463:$F$100,"&lt;="&amp;C2463,CBIC_Late_Fee_Relief_Windows_3B!$G$2463:$G$100,"&gt;="&amp;C2463)</f>
        <v/>
      </c>
      <c r="H2463">
        <f>INDEX(CBIC_Late_Fee_Relief_Windows_3B!$I$2463:$I$100,MATCH(G2463,CBIC_Late_Fee_Relief_Windows_3B!$O$2463:$O$100,0))</f>
        <v/>
      </c>
      <c r="I2463">
        <f>MIN(F2463,H2463)</f>
        <v/>
      </c>
    </row>
    <row r="2464">
      <c r="A2464">
        <f>TEST_DATA!A2464</f>
        <v/>
      </c>
      <c r="B2464">
        <f>TEST_DATA!B2464</f>
        <v/>
      </c>
      <c r="C2464">
        <f>TEST_DATA!C2464</f>
        <v/>
      </c>
      <c r="D2464">
        <f>TEST_DATA!D2464</f>
        <v/>
      </c>
      <c r="E2464">
        <f>TEST_DATA!E2464</f>
        <v/>
      </c>
      <c r="F2464">
        <f>MIN(E2464*246400,10000)</f>
        <v/>
      </c>
      <c r="G2464">
        <f>MINIFS(CBIC_Late_Fee_Relief_Windows_3B!$O$2464:$O$100,CBIC_Late_Fee_Relief_Windows_3B!$D$2464:$D$100,"&lt;="&amp;B2464,CBIC_Late_Fee_Relief_Windows_3B!$E$2464:$E$100,"&gt;="&amp;B2464,CBIC_Late_Fee_Relief_Windows_3B!$F$2464:$F$100,"&lt;="&amp;C2464,CBIC_Late_Fee_Relief_Windows_3B!$G$2464:$G$100,"&gt;="&amp;C2464)</f>
        <v/>
      </c>
      <c r="H2464">
        <f>INDEX(CBIC_Late_Fee_Relief_Windows_3B!$I$2464:$I$100,MATCH(G2464,CBIC_Late_Fee_Relief_Windows_3B!$O$2464:$O$100,0))</f>
        <v/>
      </c>
      <c r="I2464">
        <f>MIN(F2464,H2464)</f>
        <v/>
      </c>
    </row>
    <row r="2465">
      <c r="A2465">
        <f>TEST_DATA!A2465</f>
        <v/>
      </c>
      <c r="B2465">
        <f>TEST_DATA!B2465</f>
        <v/>
      </c>
      <c r="C2465">
        <f>TEST_DATA!C2465</f>
        <v/>
      </c>
      <c r="D2465">
        <f>TEST_DATA!D2465</f>
        <v/>
      </c>
      <c r="E2465">
        <f>TEST_DATA!E2465</f>
        <v/>
      </c>
      <c r="F2465">
        <f>MIN(E2465*246500,10000)</f>
        <v/>
      </c>
      <c r="G2465">
        <f>MINIFS(CBIC_Late_Fee_Relief_Windows_3B!$O$2465:$O$100,CBIC_Late_Fee_Relief_Windows_3B!$D$2465:$D$100,"&lt;="&amp;B2465,CBIC_Late_Fee_Relief_Windows_3B!$E$2465:$E$100,"&gt;="&amp;B2465,CBIC_Late_Fee_Relief_Windows_3B!$F$2465:$F$100,"&lt;="&amp;C2465,CBIC_Late_Fee_Relief_Windows_3B!$G$2465:$G$100,"&gt;="&amp;C2465)</f>
        <v/>
      </c>
      <c r="H2465">
        <f>INDEX(CBIC_Late_Fee_Relief_Windows_3B!$I$2465:$I$100,MATCH(G2465,CBIC_Late_Fee_Relief_Windows_3B!$O$2465:$O$100,0))</f>
        <v/>
      </c>
      <c r="I2465">
        <f>MIN(F2465,H2465)</f>
        <v/>
      </c>
    </row>
    <row r="2466">
      <c r="A2466">
        <f>TEST_DATA!A2466</f>
        <v/>
      </c>
      <c r="B2466">
        <f>TEST_DATA!B2466</f>
        <v/>
      </c>
      <c r="C2466">
        <f>TEST_DATA!C2466</f>
        <v/>
      </c>
      <c r="D2466">
        <f>TEST_DATA!D2466</f>
        <v/>
      </c>
      <c r="E2466">
        <f>TEST_DATA!E2466</f>
        <v/>
      </c>
      <c r="F2466">
        <f>MIN(E2466*246600,10000)</f>
        <v/>
      </c>
      <c r="G2466">
        <f>MINIFS(CBIC_Late_Fee_Relief_Windows_3B!$O$2466:$O$100,CBIC_Late_Fee_Relief_Windows_3B!$D$2466:$D$100,"&lt;="&amp;B2466,CBIC_Late_Fee_Relief_Windows_3B!$E$2466:$E$100,"&gt;="&amp;B2466,CBIC_Late_Fee_Relief_Windows_3B!$F$2466:$F$100,"&lt;="&amp;C2466,CBIC_Late_Fee_Relief_Windows_3B!$G$2466:$G$100,"&gt;="&amp;C2466)</f>
        <v/>
      </c>
      <c r="H2466">
        <f>INDEX(CBIC_Late_Fee_Relief_Windows_3B!$I$2466:$I$100,MATCH(G2466,CBIC_Late_Fee_Relief_Windows_3B!$O$2466:$O$100,0))</f>
        <v/>
      </c>
      <c r="I2466">
        <f>MIN(F2466,H2466)</f>
        <v/>
      </c>
    </row>
    <row r="2467">
      <c r="A2467">
        <f>TEST_DATA!A2467</f>
        <v/>
      </c>
      <c r="B2467">
        <f>TEST_DATA!B2467</f>
        <v/>
      </c>
      <c r="C2467">
        <f>TEST_DATA!C2467</f>
        <v/>
      </c>
      <c r="D2467">
        <f>TEST_DATA!D2467</f>
        <v/>
      </c>
      <c r="E2467">
        <f>TEST_DATA!E2467</f>
        <v/>
      </c>
      <c r="F2467">
        <f>MIN(E2467*246700,10000)</f>
        <v/>
      </c>
      <c r="G2467">
        <f>MINIFS(CBIC_Late_Fee_Relief_Windows_3B!$O$2467:$O$100,CBIC_Late_Fee_Relief_Windows_3B!$D$2467:$D$100,"&lt;="&amp;B2467,CBIC_Late_Fee_Relief_Windows_3B!$E$2467:$E$100,"&gt;="&amp;B2467,CBIC_Late_Fee_Relief_Windows_3B!$F$2467:$F$100,"&lt;="&amp;C2467,CBIC_Late_Fee_Relief_Windows_3B!$G$2467:$G$100,"&gt;="&amp;C2467)</f>
        <v/>
      </c>
      <c r="H2467">
        <f>INDEX(CBIC_Late_Fee_Relief_Windows_3B!$I$2467:$I$100,MATCH(G2467,CBIC_Late_Fee_Relief_Windows_3B!$O$2467:$O$100,0))</f>
        <v/>
      </c>
      <c r="I2467">
        <f>MIN(F2467,H2467)</f>
        <v/>
      </c>
    </row>
    <row r="2468">
      <c r="A2468">
        <f>TEST_DATA!A2468</f>
        <v/>
      </c>
      <c r="B2468">
        <f>TEST_DATA!B2468</f>
        <v/>
      </c>
      <c r="C2468">
        <f>TEST_DATA!C2468</f>
        <v/>
      </c>
      <c r="D2468">
        <f>TEST_DATA!D2468</f>
        <v/>
      </c>
      <c r="E2468">
        <f>TEST_DATA!E2468</f>
        <v/>
      </c>
      <c r="F2468">
        <f>MIN(E2468*246800,10000)</f>
        <v/>
      </c>
      <c r="G2468">
        <f>MINIFS(CBIC_Late_Fee_Relief_Windows_3B!$O$2468:$O$100,CBIC_Late_Fee_Relief_Windows_3B!$D$2468:$D$100,"&lt;="&amp;B2468,CBIC_Late_Fee_Relief_Windows_3B!$E$2468:$E$100,"&gt;="&amp;B2468,CBIC_Late_Fee_Relief_Windows_3B!$F$2468:$F$100,"&lt;="&amp;C2468,CBIC_Late_Fee_Relief_Windows_3B!$G$2468:$G$100,"&gt;="&amp;C2468)</f>
        <v/>
      </c>
      <c r="H2468">
        <f>INDEX(CBIC_Late_Fee_Relief_Windows_3B!$I$2468:$I$100,MATCH(G2468,CBIC_Late_Fee_Relief_Windows_3B!$O$2468:$O$100,0))</f>
        <v/>
      </c>
      <c r="I2468">
        <f>MIN(F2468,H2468)</f>
        <v/>
      </c>
    </row>
    <row r="2469">
      <c r="A2469">
        <f>TEST_DATA!A2469</f>
        <v/>
      </c>
      <c r="B2469">
        <f>TEST_DATA!B2469</f>
        <v/>
      </c>
      <c r="C2469">
        <f>TEST_DATA!C2469</f>
        <v/>
      </c>
      <c r="D2469">
        <f>TEST_DATA!D2469</f>
        <v/>
      </c>
      <c r="E2469">
        <f>TEST_DATA!E2469</f>
        <v/>
      </c>
      <c r="F2469">
        <f>MIN(E2469*246900,10000)</f>
        <v/>
      </c>
      <c r="G2469">
        <f>MINIFS(CBIC_Late_Fee_Relief_Windows_3B!$O$2469:$O$100,CBIC_Late_Fee_Relief_Windows_3B!$D$2469:$D$100,"&lt;="&amp;B2469,CBIC_Late_Fee_Relief_Windows_3B!$E$2469:$E$100,"&gt;="&amp;B2469,CBIC_Late_Fee_Relief_Windows_3B!$F$2469:$F$100,"&lt;="&amp;C2469,CBIC_Late_Fee_Relief_Windows_3B!$G$2469:$G$100,"&gt;="&amp;C2469)</f>
        <v/>
      </c>
      <c r="H2469">
        <f>INDEX(CBIC_Late_Fee_Relief_Windows_3B!$I$2469:$I$100,MATCH(G2469,CBIC_Late_Fee_Relief_Windows_3B!$O$2469:$O$100,0))</f>
        <v/>
      </c>
      <c r="I2469">
        <f>MIN(F2469,H2469)</f>
        <v/>
      </c>
    </row>
    <row r="2470">
      <c r="A2470">
        <f>TEST_DATA!A2470</f>
        <v/>
      </c>
      <c r="B2470">
        <f>TEST_DATA!B2470</f>
        <v/>
      </c>
      <c r="C2470">
        <f>TEST_DATA!C2470</f>
        <v/>
      </c>
      <c r="D2470">
        <f>TEST_DATA!D2470</f>
        <v/>
      </c>
      <c r="E2470">
        <f>TEST_DATA!E2470</f>
        <v/>
      </c>
      <c r="F2470">
        <f>MIN(E2470*247000,10000)</f>
        <v/>
      </c>
      <c r="G2470">
        <f>MINIFS(CBIC_Late_Fee_Relief_Windows_3B!$O$2470:$O$100,CBIC_Late_Fee_Relief_Windows_3B!$D$2470:$D$100,"&lt;="&amp;B2470,CBIC_Late_Fee_Relief_Windows_3B!$E$2470:$E$100,"&gt;="&amp;B2470,CBIC_Late_Fee_Relief_Windows_3B!$F$2470:$F$100,"&lt;="&amp;C2470,CBIC_Late_Fee_Relief_Windows_3B!$G$2470:$G$100,"&gt;="&amp;C2470)</f>
        <v/>
      </c>
      <c r="H2470">
        <f>INDEX(CBIC_Late_Fee_Relief_Windows_3B!$I$2470:$I$100,MATCH(G2470,CBIC_Late_Fee_Relief_Windows_3B!$O$2470:$O$100,0))</f>
        <v/>
      </c>
      <c r="I2470">
        <f>MIN(F2470,H2470)</f>
        <v/>
      </c>
    </row>
    <row r="2471">
      <c r="A2471">
        <f>TEST_DATA!A2471</f>
        <v/>
      </c>
      <c r="B2471">
        <f>TEST_DATA!B2471</f>
        <v/>
      </c>
      <c r="C2471">
        <f>TEST_DATA!C2471</f>
        <v/>
      </c>
      <c r="D2471">
        <f>TEST_DATA!D2471</f>
        <v/>
      </c>
      <c r="E2471">
        <f>TEST_DATA!E2471</f>
        <v/>
      </c>
      <c r="F2471">
        <f>MIN(E2471*247100,10000)</f>
        <v/>
      </c>
      <c r="G2471">
        <f>MINIFS(CBIC_Late_Fee_Relief_Windows_3B!$O$2471:$O$100,CBIC_Late_Fee_Relief_Windows_3B!$D$2471:$D$100,"&lt;="&amp;B2471,CBIC_Late_Fee_Relief_Windows_3B!$E$2471:$E$100,"&gt;="&amp;B2471,CBIC_Late_Fee_Relief_Windows_3B!$F$2471:$F$100,"&lt;="&amp;C2471,CBIC_Late_Fee_Relief_Windows_3B!$G$2471:$G$100,"&gt;="&amp;C2471)</f>
        <v/>
      </c>
      <c r="H2471">
        <f>INDEX(CBIC_Late_Fee_Relief_Windows_3B!$I$2471:$I$100,MATCH(G2471,CBIC_Late_Fee_Relief_Windows_3B!$O$2471:$O$100,0))</f>
        <v/>
      </c>
      <c r="I2471">
        <f>MIN(F2471,H2471)</f>
        <v/>
      </c>
    </row>
    <row r="2472">
      <c r="A2472">
        <f>TEST_DATA!A2472</f>
        <v/>
      </c>
      <c r="B2472">
        <f>TEST_DATA!B2472</f>
        <v/>
      </c>
      <c r="C2472">
        <f>TEST_DATA!C2472</f>
        <v/>
      </c>
      <c r="D2472">
        <f>TEST_DATA!D2472</f>
        <v/>
      </c>
      <c r="E2472">
        <f>TEST_DATA!E2472</f>
        <v/>
      </c>
      <c r="F2472">
        <f>MIN(E2472*247200,10000)</f>
        <v/>
      </c>
      <c r="G2472">
        <f>MINIFS(CBIC_Late_Fee_Relief_Windows_3B!$O$2472:$O$100,CBIC_Late_Fee_Relief_Windows_3B!$D$2472:$D$100,"&lt;="&amp;B2472,CBIC_Late_Fee_Relief_Windows_3B!$E$2472:$E$100,"&gt;="&amp;B2472,CBIC_Late_Fee_Relief_Windows_3B!$F$2472:$F$100,"&lt;="&amp;C2472,CBIC_Late_Fee_Relief_Windows_3B!$G$2472:$G$100,"&gt;="&amp;C2472)</f>
        <v/>
      </c>
      <c r="H2472">
        <f>INDEX(CBIC_Late_Fee_Relief_Windows_3B!$I$2472:$I$100,MATCH(G2472,CBIC_Late_Fee_Relief_Windows_3B!$O$2472:$O$100,0))</f>
        <v/>
      </c>
      <c r="I2472">
        <f>MIN(F2472,H2472)</f>
        <v/>
      </c>
    </row>
    <row r="2473">
      <c r="A2473">
        <f>TEST_DATA!A2473</f>
        <v/>
      </c>
      <c r="B2473">
        <f>TEST_DATA!B2473</f>
        <v/>
      </c>
      <c r="C2473">
        <f>TEST_DATA!C2473</f>
        <v/>
      </c>
      <c r="D2473">
        <f>TEST_DATA!D2473</f>
        <v/>
      </c>
      <c r="E2473">
        <f>TEST_DATA!E2473</f>
        <v/>
      </c>
      <c r="F2473">
        <f>MIN(E2473*247300,10000)</f>
        <v/>
      </c>
      <c r="G2473">
        <f>MINIFS(CBIC_Late_Fee_Relief_Windows_3B!$O$2473:$O$100,CBIC_Late_Fee_Relief_Windows_3B!$D$2473:$D$100,"&lt;="&amp;B2473,CBIC_Late_Fee_Relief_Windows_3B!$E$2473:$E$100,"&gt;="&amp;B2473,CBIC_Late_Fee_Relief_Windows_3B!$F$2473:$F$100,"&lt;="&amp;C2473,CBIC_Late_Fee_Relief_Windows_3B!$G$2473:$G$100,"&gt;="&amp;C2473)</f>
        <v/>
      </c>
      <c r="H2473">
        <f>INDEX(CBIC_Late_Fee_Relief_Windows_3B!$I$2473:$I$100,MATCH(G2473,CBIC_Late_Fee_Relief_Windows_3B!$O$2473:$O$100,0))</f>
        <v/>
      </c>
      <c r="I2473">
        <f>MIN(F2473,H2473)</f>
        <v/>
      </c>
    </row>
    <row r="2474">
      <c r="A2474">
        <f>TEST_DATA!A2474</f>
        <v/>
      </c>
      <c r="B2474">
        <f>TEST_DATA!B2474</f>
        <v/>
      </c>
      <c r="C2474">
        <f>TEST_DATA!C2474</f>
        <v/>
      </c>
      <c r="D2474">
        <f>TEST_DATA!D2474</f>
        <v/>
      </c>
      <c r="E2474">
        <f>TEST_DATA!E2474</f>
        <v/>
      </c>
      <c r="F2474">
        <f>MIN(E2474*247400,10000)</f>
        <v/>
      </c>
      <c r="G2474">
        <f>MINIFS(CBIC_Late_Fee_Relief_Windows_3B!$O$2474:$O$100,CBIC_Late_Fee_Relief_Windows_3B!$D$2474:$D$100,"&lt;="&amp;B2474,CBIC_Late_Fee_Relief_Windows_3B!$E$2474:$E$100,"&gt;="&amp;B2474,CBIC_Late_Fee_Relief_Windows_3B!$F$2474:$F$100,"&lt;="&amp;C2474,CBIC_Late_Fee_Relief_Windows_3B!$G$2474:$G$100,"&gt;="&amp;C2474)</f>
        <v/>
      </c>
      <c r="H2474">
        <f>INDEX(CBIC_Late_Fee_Relief_Windows_3B!$I$2474:$I$100,MATCH(G2474,CBIC_Late_Fee_Relief_Windows_3B!$O$2474:$O$100,0))</f>
        <v/>
      </c>
      <c r="I2474">
        <f>MIN(F2474,H2474)</f>
        <v/>
      </c>
    </row>
    <row r="2475">
      <c r="A2475">
        <f>TEST_DATA!A2475</f>
        <v/>
      </c>
      <c r="B2475">
        <f>TEST_DATA!B2475</f>
        <v/>
      </c>
      <c r="C2475">
        <f>TEST_DATA!C2475</f>
        <v/>
      </c>
      <c r="D2475">
        <f>TEST_DATA!D2475</f>
        <v/>
      </c>
      <c r="E2475">
        <f>TEST_DATA!E2475</f>
        <v/>
      </c>
      <c r="F2475">
        <f>MIN(E2475*247500,10000)</f>
        <v/>
      </c>
      <c r="G2475">
        <f>MINIFS(CBIC_Late_Fee_Relief_Windows_3B!$O$2475:$O$100,CBIC_Late_Fee_Relief_Windows_3B!$D$2475:$D$100,"&lt;="&amp;B2475,CBIC_Late_Fee_Relief_Windows_3B!$E$2475:$E$100,"&gt;="&amp;B2475,CBIC_Late_Fee_Relief_Windows_3B!$F$2475:$F$100,"&lt;="&amp;C2475,CBIC_Late_Fee_Relief_Windows_3B!$G$2475:$G$100,"&gt;="&amp;C2475)</f>
        <v/>
      </c>
      <c r="H2475">
        <f>INDEX(CBIC_Late_Fee_Relief_Windows_3B!$I$2475:$I$100,MATCH(G2475,CBIC_Late_Fee_Relief_Windows_3B!$O$2475:$O$100,0))</f>
        <v/>
      </c>
      <c r="I2475">
        <f>MIN(F2475,H2475)</f>
        <v/>
      </c>
    </row>
    <row r="2476">
      <c r="A2476">
        <f>TEST_DATA!A2476</f>
        <v/>
      </c>
      <c r="B2476">
        <f>TEST_DATA!B2476</f>
        <v/>
      </c>
      <c r="C2476">
        <f>TEST_DATA!C2476</f>
        <v/>
      </c>
      <c r="D2476">
        <f>TEST_DATA!D2476</f>
        <v/>
      </c>
      <c r="E2476">
        <f>TEST_DATA!E2476</f>
        <v/>
      </c>
      <c r="F2476">
        <f>MIN(E2476*247600,10000)</f>
        <v/>
      </c>
      <c r="G2476">
        <f>MINIFS(CBIC_Late_Fee_Relief_Windows_3B!$O$2476:$O$100,CBIC_Late_Fee_Relief_Windows_3B!$D$2476:$D$100,"&lt;="&amp;B2476,CBIC_Late_Fee_Relief_Windows_3B!$E$2476:$E$100,"&gt;="&amp;B2476,CBIC_Late_Fee_Relief_Windows_3B!$F$2476:$F$100,"&lt;="&amp;C2476,CBIC_Late_Fee_Relief_Windows_3B!$G$2476:$G$100,"&gt;="&amp;C2476)</f>
        <v/>
      </c>
      <c r="H2476">
        <f>INDEX(CBIC_Late_Fee_Relief_Windows_3B!$I$2476:$I$100,MATCH(G2476,CBIC_Late_Fee_Relief_Windows_3B!$O$2476:$O$100,0))</f>
        <v/>
      </c>
      <c r="I2476">
        <f>MIN(F2476,H2476)</f>
        <v/>
      </c>
    </row>
    <row r="2477">
      <c r="A2477">
        <f>TEST_DATA!A2477</f>
        <v/>
      </c>
      <c r="B2477">
        <f>TEST_DATA!B2477</f>
        <v/>
      </c>
      <c r="C2477">
        <f>TEST_DATA!C2477</f>
        <v/>
      </c>
      <c r="D2477">
        <f>TEST_DATA!D2477</f>
        <v/>
      </c>
      <c r="E2477">
        <f>TEST_DATA!E2477</f>
        <v/>
      </c>
      <c r="F2477">
        <f>MIN(E2477*247700,10000)</f>
        <v/>
      </c>
      <c r="G2477">
        <f>MINIFS(CBIC_Late_Fee_Relief_Windows_3B!$O$2477:$O$100,CBIC_Late_Fee_Relief_Windows_3B!$D$2477:$D$100,"&lt;="&amp;B2477,CBIC_Late_Fee_Relief_Windows_3B!$E$2477:$E$100,"&gt;="&amp;B2477,CBIC_Late_Fee_Relief_Windows_3B!$F$2477:$F$100,"&lt;="&amp;C2477,CBIC_Late_Fee_Relief_Windows_3B!$G$2477:$G$100,"&gt;="&amp;C2477)</f>
        <v/>
      </c>
      <c r="H2477">
        <f>INDEX(CBIC_Late_Fee_Relief_Windows_3B!$I$2477:$I$100,MATCH(G2477,CBIC_Late_Fee_Relief_Windows_3B!$O$2477:$O$100,0))</f>
        <v/>
      </c>
      <c r="I2477">
        <f>MIN(F2477,H2477)</f>
        <v/>
      </c>
    </row>
    <row r="2478">
      <c r="A2478">
        <f>TEST_DATA!A2478</f>
        <v/>
      </c>
      <c r="B2478">
        <f>TEST_DATA!B2478</f>
        <v/>
      </c>
      <c r="C2478">
        <f>TEST_DATA!C2478</f>
        <v/>
      </c>
      <c r="D2478">
        <f>TEST_DATA!D2478</f>
        <v/>
      </c>
      <c r="E2478">
        <f>TEST_DATA!E2478</f>
        <v/>
      </c>
      <c r="F2478">
        <f>MIN(E2478*247800,10000)</f>
        <v/>
      </c>
      <c r="G2478">
        <f>MINIFS(CBIC_Late_Fee_Relief_Windows_3B!$O$2478:$O$100,CBIC_Late_Fee_Relief_Windows_3B!$D$2478:$D$100,"&lt;="&amp;B2478,CBIC_Late_Fee_Relief_Windows_3B!$E$2478:$E$100,"&gt;="&amp;B2478,CBIC_Late_Fee_Relief_Windows_3B!$F$2478:$F$100,"&lt;="&amp;C2478,CBIC_Late_Fee_Relief_Windows_3B!$G$2478:$G$100,"&gt;="&amp;C2478)</f>
        <v/>
      </c>
      <c r="H2478">
        <f>INDEX(CBIC_Late_Fee_Relief_Windows_3B!$I$2478:$I$100,MATCH(G2478,CBIC_Late_Fee_Relief_Windows_3B!$O$2478:$O$100,0))</f>
        <v/>
      </c>
      <c r="I2478">
        <f>MIN(F2478,H2478)</f>
        <v/>
      </c>
    </row>
    <row r="2479">
      <c r="A2479">
        <f>TEST_DATA!A2479</f>
        <v/>
      </c>
      <c r="B2479">
        <f>TEST_DATA!B2479</f>
        <v/>
      </c>
      <c r="C2479">
        <f>TEST_DATA!C2479</f>
        <v/>
      </c>
      <c r="D2479">
        <f>TEST_DATA!D2479</f>
        <v/>
      </c>
      <c r="E2479">
        <f>TEST_DATA!E2479</f>
        <v/>
      </c>
      <c r="F2479">
        <f>MIN(E2479*247900,10000)</f>
        <v/>
      </c>
      <c r="G2479">
        <f>MINIFS(CBIC_Late_Fee_Relief_Windows_3B!$O$2479:$O$100,CBIC_Late_Fee_Relief_Windows_3B!$D$2479:$D$100,"&lt;="&amp;B2479,CBIC_Late_Fee_Relief_Windows_3B!$E$2479:$E$100,"&gt;="&amp;B2479,CBIC_Late_Fee_Relief_Windows_3B!$F$2479:$F$100,"&lt;="&amp;C2479,CBIC_Late_Fee_Relief_Windows_3B!$G$2479:$G$100,"&gt;="&amp;C2479)</f>
        <v/>
      </c>
      <c r="H2479">
        <f>INDEX(CBIC_Late_Fee_Relief_Windows_3B!$I$2479:$I$100,MATCH(G2479,CBIC_Late_Fee_Relief_Windows_3B!$O$2479:$O$100,0))</f>
        <v/>
      </c>
      <c r="I2479">
        <f>MIN(F2479,H2479)</f>
        <v/>
      </c>
    </row>
    <row r="2480">
      <c r="A2480">
        <f>TEST_DATA!A2480</f>
        <v/>
      </c>
      <c r="B2480">
        <f>TEST_DATA!B2480</f>
        <v/>
      </c>
      <c r="C2480">
        <f>TEST_DATA!C2480</f>
        <v/>
      </c>
      <c r="D2480">
        <f>TEST_DATA!D2480</f>
        <v/>
      </c>
      <c r="E2480">
        <f>TEST_DATA!E2480</f>
        <v/>
      </c>
      <c r="F2480">
        <f>MIN(E2480*248000,10000)</f>
        <v/>
      </c>
      <c r="G2480">
        <f>MINIFS(CBIC_Late_Fee_Relief_Windows_3B!$O$2480:$O$100,CBIC_Late_Fee_Relief_Windows_3B!$D$2480:$D$100,"&lt;="&amp;B2480,CBIC_Late_Fee_Relief_Windows_3B!$E$2480:$E$100,"&gt;="&amp;B2480,CBIC_Late_Fee_Relief_Windows_3B!$F$2480:$F$100,"&lt;="&amp;C2480,CBIC_Late_Fee_Relief_Windows_3B!$G$2480:$G$100,"&gt;="&amp;C2480)</f>
        <v/>
      </c>
      <c r="H2480">
        <f>INDEX(CBIC_Late_Fee_Relief_Windows_3B!$I$2480:$I$100,MATCH(G2480,CBIC_Late_Fee_Relief_Windows_3B!$O$2480:$O$100,0))</f>
        <v/>
      </c>
      <c r="I2480">
        <f>MIN(F2480,H2480)</f>
        <v/>
      </c>
    </row>
    <row r="2481">
      <c r="A2481">
        <f>TEST_DATA!A2481</f>
        <v/>
      </c>
      <c r="B2481">
        <f>TEST_DATA!B2481</f>
        <v/>
      </c>
      <c r="C2481">
        <f>TEST_DATA!C2481</f>
        <v/>
      </c>
      <c r="D2481">
        <f>TEST_DATA!D2481</f>
        <v/>
      </c>
      <c r="E2481">
        <f>TEST_DATA!E2481</f>
        <v/>
      </c>
      <c r="F2481">
        <f>MIN(E2481*248100,10000)</f>
        <v/>
      </c>
      <c r="G2481">
        <f>MINIFS(CBIC_Late_Fee_Relief_Windows_3B!$O$2481:$O$100,CBIC_Late_Fee_Relief_Windows_3B!$D$2481:$D$100,"&lt;="&amp;B2481,CBIC_Late_Fee_Relief_Windows_3B!$E$2481:$E$100,"&gt;="&amp;B2481,CBIC_Late_Fee_Relief_Windows_3B!$F$2481:$F$100,"&lt;="&amp;C2481,CBIC_Late_Fee_Relief_Windows_3B!$G$2481:$G$100,"&gt;="&amp;C2481)</f>
        <v/>
      </c>
      <c r="H2481">
        <f>INDEX(CBIC_Late_Fee_Relief_Windows_3B!$I$2481:$I$100,MATCH(G2481,CBIC_Late_Fee_Relief_Windows_3B!$O$2481:$O$100,0))</f>
        <v/>
      </c>
      <c r="I2481">
        <f>MIN(F2481,H2481)</f>
        <v/>
      </c>
    </row>
    <row r="2482">
      <c r="A2482">
        <f>TEST_DATA!A2482</f>
        <v/>
      </c>
      <c r="B2482">
        <f>TEST_DATA!B2482</f>
        <v/>
      </c>
      <c r="C2482">
        <f>TEST_DATA!C2482</f>
        <v/>
      </c>
      <c r="D2482">
        <f>TEST_DATA!D2482</f>
        <v/>
      </c>
      <c r="E2482">
        <f>TEST_DATA!E2482</f>
        <v/>
      </c>
      <c r="F2482">
        <f>MIN(E2482*248200,10000)</f>
        <v/>
      </c>
      <c r="G2482">
        <f>MINIFS(CBIC_Late_Fee_Relief_Windows_3B!$O$2482:$O$100,CBIC_Late_Fee_Relief_Windows_3B!$D$2482:$D$100,"&lt;="&amp;B2482,CBIC_Late_Fee_Relief_Windows_3B!$E$2482:$E$100,"&gt;="&amp;B2482,CBIC_Late_Fee_Relief_Windows_3B!$F$2482:$F$100,"&lt;="&amp;C2482,CBIC_Late_Fee_Relief_Windows_3B!$G$2482:$G$100,"&gt;="&amp;C2482)</f>
        <v/>
      </c>
      <c r="H2482">
        <f>INDEX(CBIC_Late_Fee_Relief_Windows_3B!$I$2482:$I$100,MATCH(G2482,CBIC_Late_Fee_Relief_Windows_3B!$O$2482:$O$100,0))</f>
        <v/>
      </c>
      <c r="I2482">
        <f>MIN(F2482,H2482)</f>
        <v/>
      </c>
    </row>
    <row r="2483">
      <c r="A2483">
        <f>TEST_DATA!A2483</f>
        <v/>
      </c>
      <c r="B2483">
        <f>TEST_DATA!B2483</f>
        <v/>
      </c>
      <c r="C2483">
        <f>TEST_DATA!C2483</f>
        <v/>
      </c>
      <c r="D2483">
        <f>TEST_DATA!D2483</f>
        <v/>
      </c>
      <c r="E2483">
        <f>TEST_DATA!E2483</f>
        <v/>
      </c>
      <c r="F2483">
        <f>MIN(E2483*248300,10000)</f>
        <v/>
      </c>
      <c r="G2483">
        <f>MINIFS(CBIC_Late_Fee_Relief_Windows_3B!$O$2483:$O$100,CBIC_Late_Fee_Relief_Windows_3B!$D$2483:$D$100,"&lt;="&amp;B2483,CBIC_Late_Fee_Relief_Windows_3B!$E$2483:$E$100,"&gt;="&amp;B2483,CBIC_Late_Fee_Relief_Windows_3B!$F$2483:$F$100,"&lt;="&amp;C2483,CBIC_Late_Fee_Relief_Windows_3B!$G$2483:$G$100,"&gt;="&amp;C2483)</f>
        <v/>
      </c>
      <c r="H2483">
        <f>INDEX(CBIC_Late_Fee_Relief_Windows_3B!$I$2483:$I$100,MATCH(G2483,CBIC_Late_Fee_Relief_Windows_3B!$O$2483:$O$100,0))</f>
        <v/>
      </c>
      <c r="I2483">
        <f>MIN(F2483,H2483)</f>
        <v/>
      </c>
    </row>
    <row r="2484">
      <c r="A2484">
        <f>TEST_DATA!A2484</f>
        <v/>
      </c>
      <c r="B2484">
        <f>TEST_DATA!B2484</f>
        <v/>
      </c>
      <c r="C2484">
        <f>TEST_DATA!C2484</f>
        <v/>
      </c>
      <c r="D2484">
        <f>TEST_DATA!D2484</f>
        <v/>
      </c>
      <c r="E2484">
        <f>TEST_DATA!E2484</f>
        <v/>
      </c>
      <c r="F2484">
        <f>MIN(E2484*248400,10000)</f>
        <v/>
      </c>
      <c r="G2484">
        <f>MINIFS(CBIC_Late_Fee_Relief_Windows_3B!$O$2484:$O$100,CBIC_Late_Fee_Relief_Windows_3B!$D$2484:$D$100,"&lt;="&amp;B2484,CBIC_Late_Fee_Relief_Windows_3B!$E$2484:$E$100,"&gt;="&amp;B2484,CBIC_Late_Fee_Relief_Windows_3B!$F$2484:$F$100,"&lt;="&amp;C2484,CBIC_Late_Fee_Relief_Windows_3B!$G$2484:$G$100,"&gt;="&amp;C2484)</f>
        <v/>
      </c>
      <c r="H2484">
        <f>INDEX(CBIC_Late_Fee_Relief_Windows_3B!$I$2484:$I$100,MATCH(G2484,CBIC_Late_Fee_Relief_Windows_3B!$O$2484:$O$100,0))</f>
        <v/>
      </c>
      <c r="I2484">
        <f>MIN(F2484,H2484)</f>
        <v/>
      </c>
    </row>
    <row r="2485">
      <c r="A2485">
        <f>TEST_DATA!A2485</f>
        <v/>
      </c>
      <c r="B2485">
        <f>TEST_DATA!B2485</f>
        <v/>
      </c>
      <c r="C2485">
        <f>TEST_DATA!C2485</f>
        <v/>
      </c>
      <c r="D2485">
        <f>TEST_DATA!D2485</f>
        <v/>
      </c>
      <c r="E2485">
        <f>TEST_DATA!E2485</f>
        <v/>
      </c>
      <c r="F2485">
        <f>MIN(E2485*248500,10000)</f>
        <v/>
      </c>
      <c r="G2485">
        <f>MINIFS(CBIC_Late_Fee_Relief_Windows_3B!$O$2485:$O$100,CBIC_Late_Fee_Relief_Windows_3B!$D$2485:$D$100,"&lt;="&amp;B2485,CBIC_Late_Fee_Relief_Windows_3B!$E$2485:$E$100,"&gt;="&amp;B2485,CBIC_Late_Fee_Relief_Windows_3B!$F$2485:$F$100,"&lt;="&amp;C2485,CBIC_Late_Fee_Relief_Windows_3B!$G$2485:$G$100,"&gt;="&amp;C2485)</f>
        <v/>
      </c>
      <c r="H2485">
        <f>INDEX(CBIC_Late_Fee_Relief_Windows_3B!$I$2485:$I$100,MATCH(G2485,CBIC_Late_Fee_Relief_Windows_3B!$O$2485:$O$100,0))</f>
        <v/>
      </c>
      <c r="I2485">
        <f>MIN(F2485,H2485)</f>
        <v/>
      </c>
    </row>
    <row r="2486">
      <c r="A2486">
        <f>TEST_DATA!A2486</f>
        <v/>
      </c>
      <c r="B2486">
        <f>TEST_DATA!B2486</f>
        <v/>
      </c>
      <c r="C2486">
        <f>TEST_DATA!C2486</f>
        <v/>
      </c>
      <c r="D2486">
        <f>TEST_DATA!D2486</f>
        <v/>
      </c>
      <c r="E2486">
        <f>TEST_DATA!E2486</f>
        <v/>
      </c>
      <c r="F2486">
        <f>MIN(E2486*248600,10000)</f>
        <v/>
      </c>
      <c r="G2486">
        <f>MINIFS(CBIC_Late_Fee_Relief_Windows_3B!$O$2486:$O$100,CBIC_Late_Fee_Relief_Windows_3B!$D$2486:$D$100,"&lt;="&amp;B2486,CBIC_Late_Fee_Relief_Windows_3B!$E$2486:$E$100,"&gt;="&amp;B2486,CBIC_Late_Fee_Relief_Windows_3B!$F$2486:$F$100,"&lt;="&amp;C2486,CBIC_Late_Fee_Relief_Windows_3B!$G$2486:$G$100,"&gt;="&amp;C2486)</f>
        <v/>
      </c>
      <c r="H2486">
        <f>INDEX(CBIC_Late_Fee_Relief_Windows_3B!$I$2486:$I$100,MATCH(G2486,CBIC_Late_Fee_Relief_Windows_3B!$O$2486:$O$100,0))</f>
        <v/>
      </c>
      <c r="I2486">
        <f>MIN(F2486,H2486)</f>
        <v/>
      </c>
    </row>
    <row r="2487">
      <c r="A2487">
        <f>TEST_DATA!A2487</f>
        <v/>
      </c>
      <c r="B2487">
        <f>TEST_DATA!B2487</f>
        <v/>
      </c>
      <c r="C2487">
        <f>TEST_DATA!C2487</f>
        <v/>
      </c>
      <c r="D2487">
        <f>TEST_DATA!D2487</f>
        <v/>
      </c>
      <c r="E2487">
        <f>TEST_DATA!E2487</f>
        <v/>
      </c>
      <c r="F2487">
        <f>MIN(E2487*248700,10000)</f>
        <v/>
      </c>
      <c r="G2487">
        <f>MINIFS(CBIC_Late_Fee_Relief_Windows_3B!$O$2487:$O$100,CBIC_Late_Fee_Relief_Windows_3B!$D$2487:$D$100,"&lt;="&amp;B2487,CBIC_Late_Fee_Relief_Windows_3B!$E$2487:$E$100,"&gt;="&amp;B2487,CBIC_Late_Fee_Relief_Windows_3B!$F$2487:$F$100,"&lt;="&amp;C2487,CBIC_Late_Fee_Relief_Windows_3B!$G$2487:$G$100,"&gt;="&amp;C2487)</f>
        <v/>
      </c>
      <c r="H2487">
        <f>INDEX(CBIC_Late_Fee_Relief_Windows_3B!$I$2487:$I$100,MATCH(G2487,CBIC_Late_Fee_Relief_Windows_3B!$O$2487:$O$100,0))</f>
        <v/>
      </c>
      <c r="I2487">
        <f>MIN(F2487,H2487)</f>
        <v/>
      </c>
    </row>
    <row r="2488">
      <c r="A2488">
        <f>TEST_DATA!A2488</f>
        <v/>
      </c>
      <c r="B2488">
        <f>TEST_DATA!B2488</f>
        <v/>
      </c>
      <c r="C2488">
        <f>TEST_DATA!C2488</f>
        <v/>
      </c>
      <c r="D2488">
        <f>TEST_DATA!D2488</f>
        <v/>
      </c>
      <c r="E2488">
        <f>TEST_DATA!E2488</f>
        <v/>
      </c>
      <c r="F2488">
        <f>MIN(E2488*248800,10000)</f>
        <v/>
      </c>
      <c r="G2488">
        <f>MINIFS(CBIC_Late_Fee_Relief_Windows_3B!$O$2488:$O$100,CBIC_Late_Fee_Relief_Windows_3B!$D$2488:$D$100,"&lt;="&amp;B2488,CBIC_Late_Fee_Relief_Windows_3B!$E$2488:$E$100,"&gt;="&amp;B2488,CBIC_Late_Fee_Relief_Windows_3B!$F$2488:$F$100,"&lt;="&amp;C2488,CBIC_Late_Fee_Relief_Windows_3B!$G$2488:$G$100,"&gt;="&amp;C2488)</f>
        <v/>
      </c>
      <c r="H2488">
        <f>INDEX(CBIC_Late_Fee_Relief_Windows_3B!$I$2488:$I$100,MATCH(G2488,CBIC_Late_Fee_Relief_Windows_3B!$O$2488:$O$100,0))</f>
        <v/>
      </c>
      <c r="I2488">
        <f>MIN(F2488,H2488)</f>
        <v/>
      </c>
    </row>
    <row r="2489">
      <c r="A2489">
        <f>TEST_DATA!A2489</f>
        <v/>
      </c>
      <c r="B2489">
        <f>TEST_DATA!B2489</f>
        <v/>
      </c>
      <c r="C2489">
        <f>TEST_DATA!C2489</f>
        <v/>
      </c>
      <c r="D2489">
        <f>TEST_DATA!D2489</f>
        <v/>
      </c>
      <c r="E2489">
        <f>TEST_DATA!E2489</f>
        <v/>
      </c>
      <c r="F2489">
        <f>MIN(E2489*248900,10000)</f>
        <v/>
      </c>
      <c r="G2489">
        <f>MINIFS(CBIC_Late_Fee_Relief_Windows_3B!$O$2489:$O$100,CBIC_Late_Fee_Relief_Windows_3B!$D$2489:$D$100,"&lt;="&amp;B2489,CBIC_Late_Fee_Relief_Windows_3B!$E$2489:$E$100,"&gt;="&amp;B2489,CBIC_Late_Fee_Relief_Windows_3B!$F$2489:$F$100,"&lt;="&amp;C2489,CBIC_Late_Fee_Relief_Windows_3B!$G$2489:$G$100,"&gt;="&amp;C2489)</f>
        <v/>
      </c>
      <c r="H2489">
        <f>INDEX(CBIC_Late_Fee_Relief_Windows_3B!$I$2489:$I$100,MATCH(G2489,CBIC_Late_Fee_Relief_Windows_3B!$O$2489:$O$100,0))</f>
        <v/>
      </c>
      <c r="I2489">
        <f>MIN(F2489,H2489)</f>
        <v/>
      </c>
    </row>
    <row r="2490">
      <c r="A2490">
        <f>TEST_DATA!A2490</f>
        <v/>
      </c>
      <c r="B2490">
        <f>TEST_DATA!B2490</f>
        <v/>
      </c>
      <c r="C2490">
        <f>TEST_DATA!C2490</f>
        <v/>
      </c>
      <c r="D2490">
        <f>TEST_DATA!D2490</f>
        <v/>
      </c>
      <c r="E2490">
        <f>TEST_DATA!E2490</f>
        <v/>
      </c>
      <c r="F2490">
        <f>MIN(E2490*249000,10000)</f>
        <v/>
      </c>
      <c r="G2490">
        <f>MINIFS(CBIC_Late_Fee_Relief_Windows_3B!$O$2490:$O$100,CBIC_Late_Fee_Relief_Windows_3B!$D$2490:$D$100,"&lt;="&amp;B2490,CBIC_Late_Fee_Relief_Windows_3B!$E$2490:$E$100,"&gt;="&amp;B2490,CBIC_Late_Fee_Relief_Windows_3B!$F$2490:$F$100,"&lt;="&amp;C2490,CBIC_Late_Fee_Relief_Windows_3B!$G$2490:$G$100,"&gt;="&amp;C2490)</f>
        <v/>
      </c>
      <c r="H2490">
        <f>INDEX(CBIC_Late_Fee_Relief_Windows_3B!$I$2490:$I$100,MATCH(G2490,CBIC_Late_Fee_Relief_Windows_3B!$O$2490:$O$100,0))</f>
        <v/>
      </c>
      <c r="I2490">
        <f>MIN(F2490,H2490)</f>
        <v/>
      </c>
    </row>
    <row r="2491">
      <c r="A2491">
        <f>TEST_DATA!A2491</f>
        <v/>
      </c>
      <c r="B2491">
        <f>TEST_DATA!B2491</f>
        <v/>
      </c>
      <c r="C2491">
        <f>TEST_DATA!C2491</f>
        <v/>
      </c>
      <c r="D2491">
        <f>TEST_DATA!D2491</f>
        <v/>
      </c>
      <c r="E2491">
        <f>TEST_DATA!E2491</f>
        <v/>
      </c>
      <c r="F2491">
        <f>MIN(E2491*249100,10000)</f>
        <v/>
      </c>
      <c r="G2491">
        <f>MINIFS(CBIC_Late_Fee_Relief_Windows_3B!$O$2491:$O$100,CBIC_Late_Fee_Relief_Windows_3B!$D$2491:$D$100,"&lt;="&amp;B2491,CBIC_Late_Fee_Relief_Windows_3B!$E$2491:$E$100,"&gt;="&amp;B2491,CBIC_Late_Fee_Relief_Windows_3B!$F$2491:$F$100,"&lt;="&amp;C2491,CBIC_Late_Fee_Relief_Windows_3B!$G$2491:$G$100,"&gt;="&amp;C2491)</f>
        <v/>
      </c>
      <c r="H2491">
        <f>INDEX(CBIC_Late_Fee_Relief_Windows_3B!$I$2491:$I$100,MATCH(G2491,CBIC_Late_Fee_Relief_Windows_3B!$O$2491:$O$100,0))</f>
        <v/>
      </c>
      <c r="I2491">
        <f>MIN(F2491,H2491)</f>
        <v/>
      </c>
    </row>
    <row r="2492">
      <c r="A2492">
        <f>TEST_DATA!A2492</f>
        <v/>
      </c>
      <c r="B2492">
        <f>TEST_DATA!B2492</f>
        <v/>
      </c>
      <c r="C2492">
        <f>TEST_DATA!C2492</f>
        <v/>
      </c>
      <c r="D2492">
        <f>TEST_DATA!D2492</f>
        <v/>
      </c>
      <c r="E2492">
        <f>TEST_DATA!E2492</f>
        <v/>
      </c>
      <c r="F2492">
        <f>MIN(E2492*249200,10000)</f>
        <v/>
      </c>
      <c r="G2492">
        <f>MINIFS(CBIC_Late_Fee_Relief_Windows_3B!$O$2492:$O$100,CBIC_Late_Fee_Relief_Windows_3B!$D$2492:$D$100,"&lt;="&amp;B2492,CBIC_Late_Fee_Relief_Windows_3B!$E$2492:$E$100,"&gt;="&amp;B2492,CBIC_Late_Fee_Relief_Windows_3B!$F$2492:$F$100,"&lt;="&amp;C2492,CBIC_Late_Fee_Relief_Windows_3B!$G$2492:$G$100,"&gt;="&amp;C2492)</f>
        <v/>
      </c>
      <c r="H2492">
        <f>INDEX(CBIC_Late_Fee_Relief_Windows_3B!$I$2492:$I$100,MATCH(G2492,CBIC_Late_Fee_Relief_Windows_3B!$O$2492:$O$100,0))</f>
        <v/>
      </c>
      <c r="I2492">
        <f>MIN(F2492,H2492)</f>
        <v/>
      </c>
    </row>
    <row r="2493">
      <c r="A2493">
        <f>TEST_DATA!A2493</f>
        <v/>
      </c>
      <c r="B2493">
        <f>TEST_DATA!B2493</f>
        <v/>
      </c>
      <c r="C2493">
        <f>TEST_DATA!C2493</f>
        <v/>
      </c>
      <c r="D2493">
        <f>TEST_DATA!D2493</f>
        <v/>
      </c>
      <c r="E2493">
        <f>TEST_DATA!E2493</f>
        <v/>
      </c>
      <c r="F2493">
        <f>MIN(E2493*249300,10000)</f>
        <v/>
      </c>
      <c r="G2493">
        <f>MINIFS(CBIC_Late_Fee_Relief_Windows_3B!$O$2493:$O$100,CBIC_Late_Fee_Relief_Windows_3B!$D$2493:$D$100,"&lt;="&amp;B2493,CBIC_Late_Fee_Relief_Windows_3B!$E$2493:$E$100,"&gt;="&amp;B2493,CBIC_Late_Fee_Relief_Windows_3B!$F$2493:$F$100,"&lt;="&amp;C2493,CBIC_Late_Fee_Relief_Windows_3B!$G$2493:$G$100,"&gt;="&amp;C2493)</f>
        <v/>
      </c>
      <c r="H2493">
        <f>INDEX(CBIC_Late_Fee_Relief_Windows_3B!$I$2493:$I$100,MATCH(G2493,CBIC_Late_Fee_Relief_Windows_3B!$O$2493:$O$100,0))</f>
        <v/>
      </c>
      <c r="I2493">
        <f>MIN(F2493,H2493)</f>
        <v/>
      </c>
    </row>
    <row r="2494">
      <c r="A2494">
        <f>TEST_DATA!A2494</f>
        <v/>
      </c>
      <c r="B2494">
        <f>TEST_DATA!B2494</f>
        <v/>
      </c>
      <c r="C2494">
        <f>TEST_DATA!C2494</f>
        <v/>
      </c>
      <c r="D2494">
        <f>TEST_DATA!D2494</f>
        <v/>
      </c>
      <c r="E2494">
        <f>TEST_DATA!E2494</f>
        <v/>
      </c>
      <c r="F2494">
        <f>MIN(E2494*249400,10000)</f>
        <v/>
      </c>
      <c r="G2494">
        <f>MINIFS(CBIC_Late_Fee_Relief_Windows_3B!$O$2494:$O$100,CBIC_Late_Fee_Relief_Windows_3B!$D$2494:$D$100,"&lt;="&amp;B2494,CBIC_Late_Fee_Relief_Windows_3B!$E$2494:$E$100,"&gt;="&amp;B2494,CBIC_Late_Fee_Relief_Windows_3B!$F$2494:$F$100,"&lt;="&amp;C2494,CBIC_Late_Fee_Relief_Windows_3B!$G$2494:$G$100,"&gt;="&amp;C2494)</f>
        <v/>
      </c>
      <c r="H2494">
        <f>INDEX(CBIC_Late_Fee_Relief_Windows_3B!$I$2494:$I$100,MATCH(G2494,CBIC_Late_Fee_Relief_Windows_3B!$O$2494:$O$100,0))</f>
        <v/>
      </c>
      <c r="I2494">
        <f>MIN(F2494,H2494)</f>
        <v/>
      </c>
    </row>
    <row r="2495">
      <c r="A2495">
        <f>TEST_DATA!A2495</f>
        <v/>
      </c>
      <c r="B2495">
        <f>TEST_DATA!B2495</f>
        <v/>
      </c>
      <c r="C2495">
        <f>TEST_DATA!C2495</f>
        <v/>
      </c>
      <c r="D2495">
        <f>TEST_DATA!D2495</f>
        <v/>
      </c>
      <c r="E2495">
        <f>TEST_DATA!E2495</f>
        <v/>
      </c>
      <c r="F2495">
        <f>MIN(E2495*249500,10000)</f>
        <v/>
      </c>
      <c r="G2495">
        <f>MINIFS(CBIC_Late_Fee_Relief_Windows_3B!$O$2495:$O$100,CBIC_Late_Fee_Relief_Windows_3B!$D$2495:$D$100,"&lt;="&amp;B2495,CBIC_Late_Fee_Relief_Windows_3B!$E$2495:$E$100,"&gt;="&amp;B2495,CBIC_Late_Fee_Relief_Windows_3B!$F$2495:$F$100,"&lt;="&amp;C2495,CBIC_Late_Fee_Relief_Windows_3B!$G$2495:$G$100,"&gt;="&amp;C2495)</f>
        <v/>
      </c>
      <c r="H2495">
        <f>INDEX(CBIC_Late_Fee_Relief_Windows_3B!$I$2495:$I$100,MATCH(G2495,CBIC_Late_Fee_Relief_Windows_3B!$O$2495:$O$100,0))</f>
        <v/>
      </c>
      <c r="I2495">
        <f>MIN(F2495,H2495)</f>
        <v/>
      </c>
    </row>
    <row r="2496">
      <c r="A2496">
        <f>TEST_DATA!A2496</f>
        <v/>
      </c>
      <c r="B2496">
        <f>TEST_DATA!B2496</f>
        <v/>
      </c>
      <c r="C2496">
        <f>TEST_DATA!C2496</f>
        <v/>
      </c>
      <c r="D2496">
        <f>TEST_DATA!D2496</f>
        <v/>
      </c>
      <c r="E2496">
        <f>TEST_DATA!E2496</f>
        <v/>
      </c>
      <c r="F2496">
        <f>MIN(E2496*249600,10000)</f>
        <v/>
      </c>
      <c r="G2496">
        <f>MINIFS(CBIC_Late_Fee_Relief_Windows_3B!$O$2496:$O$100,CBIC_Late_Fee_Relief_Windows_3B!$D$2496:$D$100,"&lt;="&amp;B2496,CBIC_Late_Fee_Relief_Windows_3B!$E$2496:$E$100,"&gt;="&amp;B2496,CBIC_Late_Fee_Relief_Windows_3B!$F$2496:$F$100,"&lt;="&amp;C2496,CBIC_Late_Fee_Relief_Windows_3B!$G$2496:$G$100,"&gt;="&amp;C2496)</f>
        <v/>
      </c>
      <c r="H2496">
        <f>INDEX(CBIC_Late_Fee_Relief_Windows_3B!$I$2496:$I$100,MATCH(G2496,CBIC_Late_Fee_Relief_Windows_3B!$O$2496:$O$100,0))</f>
        <v/>
      </c>
      <c r="I2496">
        <f>MIN(F2496,H2496)</f>
        <v/>
      </c>
    </row>
    <row r="2497">
      <c r="A2497">
        <f>TEST_DATA!A2497</f>
        <v/>
      </c>
      <c r="B2497">
        <f>TEST_DATA!B2497</f>
        <v/>
      </c>
      <c r="C2497">
        <f>TEST_DATA!C2497</f>
        <v/>
      </c>
      <c r="D2497">
        <f>TEST_DATA!D2497</f>
        <v/>
      </c>
      <c r="E2497">
        <f>TEST_DATA!E2497</f>
        <v/>
      </c>
      <c r="F2497">
        <f>MIN(E2497*249700,10000)</f>
        <v/>
      </c>
      <c r="G2497">
        <f>MINIFS(CBIC_Late_Fee_Relief_Windows_3B!$O$2497:$O$100,CBIC_Late_Fee_Relief_Windows_3B!$D$2497:$D$100,"&lt;="&amp;B2497,CBIC_Late_Fee_Relief_Windows_3B!$E$2497:$E$100,"&gt;="&amp;B2497,CBIC_Late_Fee_Relief_Windows_3B!$F$2497:$F$100,"&lt;="&amp;C2497,CBIC_Late_Fee_Relief_Windows_3B!$G$2497:$G$100,"&gt;="&amp;C2497)</f>
        <v/>
      </c>
      <c r="H2497">
        <f>INDEX(CBIC_Late_Fee_Relief_Windows_3B!$I$2497:$I$100,MATCH(G2497,CBIC_Late_Fee_Relief_Windows_3B!$O$2497:$O$100,0))</f>
        <v/>
      </c>
      <c r="I2497">
        <f>MIN(F2497,H2497)</f>
        <v/>
      </c>
    </row>
    <row r="2498">
      <c r="A2498">
        <f>TEST_DATA!A2498</f>
        <v/>
      </c>
      <c r="B2498">
        <f>TEST_DATA!B2498</f>
        <v/>
      </c>
      <c r="C2498">
        <f>TEST_DATA!C2498</f>
        <v/>
      </c>
      <c r="D2498">
        <f>TEST_DATA!D2498</f>
        <v/>
      </c>
      <c r="E2498">
        <f>TEST_DATA!E2498</f>
        <v/>
      </c>
      <c r="F2498">
        <f>MIN(E2498*249800,10000)</f>
        <v/>
      </c>
      <c r="G2498">
        <f>MINIFS(CBIC_Late_Fee_Relief_Windows_3B!$O$2498:$O$100,CBIC_Late_Fee_Relief_Windows_3B!$D$2498:$D$100,"&lt;="&amp;B2498,CBIC_Late_Fee_Relief_Windows_3B!$E$2498:$E$100,"&gt;="&amp;B2498,CBIC_Late_Fee_Relief_Windows_3B!$F$2498:$F$100,"&lt;="&amp;C2498,CBIC_Late_Fee_Relief_Windows_3B!$G$2498:$G$100,"&gt;="&amp;C2498)</f>
        <v/>
      </c>
      <c r="H2498">
        <f>INDEX(CBIC_Late_Fee_Relief_Windows_3B!$I$2498:$I$100,MATCH(G2498,CBIC_Late_Fee_Relief_Windows_3B!$O$2498:$O$100,0))</f>
        <v/>
      </c>
      <c r="I2498">
        <f>MIN(F2498,H2498)</f>
        <v/>
      </c>
    </row>
    <row r="2499">
      <c r="A2499">
        <f>TEST_DATA!A2499</f>
        <v/>
      </c>
      <c r="B2499">
        <f>TEST_DATA!B2499</f>
        <v/>
      </c>
      <c r="C2499">
        <f>TEST_DATA!C2499</f>
        <v/>
      </c>
      <c r="D2499">
        <f>TEST_DATA!D2499</f>
        <v/>
      </c>
      <c r="E2499">
        <f>TEST_DATA!E2499</f>
        <v/>
      </c>
      <c r="F2499">
        <f>MIN(E2499*249900,10000)</f>
        <v/>
      </c>
      <c r="G2499">
        <f>MINIFS(CBIC_Late_Fee_Relief_Windows_3B!$O$2499:$O$100,CBIC_Late_Fee_Relief_Windows_3B!$D$2499:$D$100,"&lt;="&amp;B2499,CBIC_Late_Fee_Relief_Windows_3B!$E$2499:$E$100,"&gt;="&amp;B2499,CBIC_Late_Fee_Relief_Windows_3B!$F$2499:$F$100,"&lt;="&amp;C2499,CBIC_Late_Fee_Relief_Windows_3B!$G$2499:$G$100,"&gt;="&amp;C2499)</f>
        <v/>
      </c>
      <c r="H2499">
        <f>INDEX(CBIC_Late_Fee_Relief_Windows_3B!$I$2499:$I$100,MATCH(G2499,CBIC_Late_Fee_Relief_Windows_3B!$O$2499:$O$100,0))</f>
        <v/>
      </c>
      <c r="I2499">
        <f>MIN(F2499,H2499)</f>
        <v/>
      </c>
    </row>
    <row r="2500">
      <c r="A2500">
        <f>TEST_DATA!A2500</f>
        <v/>
      </c>
      <c r="B2500">
        <f>TEST_DATA!B2500</f>
        <v/>
      </c>
      <c r="C2500">
        <f>TEST_DATA!C2500</f>
        <v/>
      </c>
      <c r="D2500">
        <f>TEST_DATA!D2500</f>
        <v/>
      </c>
      <c r="E2500">
        <f>TEST_DATA!E2500</f>
        <v/>
      </c>
      <c r="F2500">
        <f>MIN(E2500*250000,10000)</f>
        <v/>
      </c>
      <c r="G2500">
        <f>MINIFS(CBIC_Late_Fee_Relief_Windows_3B!$O$2500:$O$100,CBIC_Late_Fee_Relief_Windows_3B!$D$2500:$D$100,"&lt;="&amp;B2500,CBIC_Late_Fee_Relief_Windows_3B!$E$2500:$E$100,"&gt;="&amp;B2500,CBIC_Late_Fee_Relief_Windows_3B!$F$2500:$F$100,"&lt;="&amp;C2500,CBIC_Late_Fee_Relief_Windows_3B!$G$2500:$G$100,"&gt;="&amp;C2500)</f>
        <v/>
      </c>
      <c r="H2500">
        <f>INDEX(CBIC_Late_Fee_Relief_Windows_3B!$I$2500:$I$100,MATCH(G2500,CBIC_Late_Fee_Relief_Windows_3B!$O$2500:$O$100,0))</f>
        <v/>
      </c>
      <c r="I2500">
        <f>MIN(F2500,H2500)</f>
        <v/>
      </c>
    </row>
    <row r="2501">
      <c r="A2501">
        <f>TEST_DATA!A2501</f>
        <v/>
      </c>
      <c r="B2501">
        <f>TEST_DATA!B2501</f>
        <v/>
      </c>
      <c r="C2501">
        <f>TEST_DATA!C2501</f>
        <v/>
      </c>
      <c r="D2501">
        <f>TEST_DATA!D2501</f>
        <v/>
      </c>
      <c r="E2501">
        <f>TEST_DATA!E2501</f>
        <v/>
      </c>
      <c r="F2501">
        <f>MIN(E2501*250100,10000)</f>
        <v/>
      </c>
      <c r="G2501">
        <f>MINIFS(CBIC_Late_Fee_Relief_Windows_3B!$O$2501:$O$100,CBIC_Late_Fee_Relief_Windows_3B!$D$2501:$D$100,"&lt;="&amp;B2501,CBIC_Late_Fee_Relief_Windows_3B!$E$2501:$E$100,"&gt;="&amp;B2501,CBIC_Late_Fee_Relief_Windows_3B!$F$2501:$F$100,"&lt;="&amp;C2501,CBIC_Late_Fee_Relief_Windows_3B!$G$2501:$G$100,"&gt;="&amp;C2501)</f>
        <v/>
      </c>
      <c r="H2501">
        <f>INDEX(CBIC_Late_Fee_Relief_Windows_3B!$I$2501:$I$100,MATCH(G2501,CBIC_Late_Fee_Relief_Windows_3B!$O$2501:$O$100,0))</f>
        <v/>
      </c>
      <c r="I2501">
        <f>MIN(F2501,H2501)</f>
        <v/>
      </c>
    </row>
    <row r="2502">
      <c r="A2502">
        <f>TEST_DATA!A2502</f>
        <v/>
      </c>
      <c r="B2502">
        <f>TEST_DATA!B2502</f>
        <v/>
      </c>
      <c r="C2502">
        <f>TEST_DATA!C2502</f>
        <v/>
      </c>
      <c r="D2502">
        <f>TEST_DATA!D2502</f>
        <v/>
      </c>
      <c r="E2502">
        <f>TEST_DATA!E2502</f>
        <v/>
      </c>
      <c r="F2502">
        <f>MIN(E2502*250200,10000)</f>
        <v/>
      </c>
      <c r="G2502">
        <f>MINIFS(CBIC_Late_Fee_Relief_Windows_3B!$O$2502:$O$100,CBIC_Late_Fee_Relief_Windows_3B!$D$2502:$D$100,"&lt;="&amp;B2502,CBIC_Late_Fee_Relief_Windows_3B!$E$2502:$E$100,"&gt;="&amp;B2502,CBIC_Late_Fee_Relief_Windows_3B!$F$2502:$F$100,"&lt;="&amp;C2502,CBIC_Late_Fee_Relief_Windows_3B!$G$2502:$G$100,"&gt;="&amp;C2502)</f>
        <v/>
      </c>
      <c r="H2502">
        <f>INDEX(CBIC_Late_Fee_Relief_Windows_3B!$I$2502:$I$100,MATCH(G2502,CBIC_Late_Fee_Relief_Windows_3B!$O$2502:$O$100,0))</f>
        <v/>
      </c>
      <c r="I2502">
        <f>MIN(F2502,H2502)</f>
        <v/>
      </c>
    </row>
    <row r="2503">
      <c r="A2503">
        <f>TEST_DATA!A2503</f>
        <v/>
      </c>
      <c r="B2503">
        <f>TEST_DATA!B2503</f>
        <v/>
      </c>
      <c r="C2503">
        <f>TEST_DATA!C2503</f>
        <v/>
      </c>
      <c r="D2503">
        <f>TEST_DATA!D2503</f>
        <v/>
      </c>
      <c r="E2503">
        <f>TEST_DATA!E2503</f>
        <v/>
      </c>
      <c r="F2503">
        <f>MIN(E2503*250300,10000)</f>
        <v/>
      </c>
      <c r="G2503">
        <f>MINIFS(CBIC_Late_Fee_Relief_Windows_3B!$O$2503:$O$100,CBIC_Late_Fee_Relief_Windows_3B!$D$2503:$D$100,"&lt;="&amp;B2503,CBIC_Late_Fee_Relief_Windows_3B!$E$2503:$E$100,"&gt;="&amp;B2503,CBIC_Late_Fee_Relief_Windows_3B!$F$2503:$F$100,"&lt;="&amp;C2503,CBIC_Late_Fee_Relief_Windows_3B!$G$2503:$G$100,"&gt;="&amp;C2503)</f>
        <v/>
      </c>
      <c r="H2503">
        <f>INDEX(CBIC_Late_Fee_Relief_Windows_3B!$I$2503:$I$100,MATCH(G2503,CBIC_Late_Fee_Relief_Windows_3B!$O$2503:$O$100,0))</f>
        <v/>
      </c>
      <c r="I2503">
        <f>MIN(F2503,H2503)</f>
        <v/>
      </c>
    </row>
    <row r="2504">
      <c r="A2504">
        <f>TEST_DATA!A2504</f>
        <v/>
      </c>
      <c r="B2504">
        <f>TEST_DATA!B2504</f>
        <v/>
      </c>
      <c r="C2504">
        <f>TEST_DATA!C2504</f>
        <v/>
      </c>
      <c r="D2504">
        <f>TEST_DATA!D2504</f>
        <v/>
      </c>
      <c r="E2504">
        <f>TEST_DATA!E2504</f>
        <v/>
      </c>
      <c r="F2504">
        <f>MIN(E2504*250400,10000)</f>
        <v/>
      </c>
      <c r="G2504">
        <f>MINIFS(CBIC_Late_Fee_Relief_Windows_3B!$O$2504:$O$100,CBIC_Late_Fee_Relief_Windows_3B!$D$2504:$D$100,"&lt;="&amp;B2504,CBIC_Late_Fee_Relief_Windows_3B!$E$2504:$E$100,"&gt;="&amp;B2504,CBIC_Late_Fee_Relief_Windows_3B!$F$2504:$F$100,"&lt;="&amp;C2504,CBIC_Late_Fee_Relief_Windows_3B!$G$2504:$G$100,"&gt;="&amp;C2504)</f>
        <v/>
      </c>
      <c r="H2504">
        <f>INDEX(CBIC_Late_Fee_Relief_Windows_3B!$I$2504:$I$100,MATCH(G2504,CBIC_Late_Fee_Relief_Windows_3B!$O$2504:$O$100,0))</f>
        <v/>
      </c>
      <c r="I2504">
        <f>MIN(F2504,H2504)</f>
        <v/>
      </c>
    </row>
    <row r="2505">
      <c r="A2505">
        <f>TEST_DATA!A2505</f>
        <v/>
      </c>
      <c r="B2505">
        <f>TEST_DATA!B2505</f>
        <v/>
      </c>
      <c r="C2505">
        <f>TEST_DATA!C2505</f>
        <v/>
      </c>
      <c r="D2505">
        <f>TEST_DATA!D2505</f>
        <v/>
      </c>
      <c r="E2505">
        <f>TEST_DATA!E2505</f>
        <v/>
      </c>
      <c r="F2505">
        <f>MIN(E2505*250500,10000)</f>
        <v/>
      </c>
      <c r="G2505">
        <f>MINIFS(CBIC_Late_Fee_Relief_Windows_3B!$O$2505:$O$100,CBIC_Late_Fee_Relief_Windows_3B!$D$2505:$D$100,"&lt;="&amp;B2505,CBIC_Late_Fee_Relief_Windows_3B!$E$2505:$E$100,"&gt;="&amp;B2505,CBIC_Late_Fee_Relief_Windows_3B!$F$2505:$F$100,"&lt;="&amp;C2505,CBIC_Late_Fee_Relief_Windows_3B!$G$2505:$G$100,"&gt;="&amp;C2505)</f>
        <v/>
      </c>
      <c r="H2505">
        <f>INDEX(CBIC_Late_Fee_Relief_Windows_3B!$I$2505:$I$100,MATCH(G2505,CBIC_Late_Fee_Relief_Windows_3B!$O$2505:$O$100,0))</f>
        <v/>
      </c>
      <c r="I2505">
        <f>MIN(F2505,H2505)</f>
        <v/>
      </c>
    </row>
    <row r="2506">
      <c r="A2506">
        <f>TEST_DATA!A2506</f>
        <v/>
      </c>
      <c r="B2506">
        <f>TEST_DATA!B2506</f>
        <v/>
      </c>
      <c r="C2506">
        <f>TEST_DATA!C2506</f>
        <v/>
      </c>
      <c r="D2506">
        <f>TEST_DATA!D2506</f>
        <v/>
      </c>
      <c r="E2506">
        <f>TEST_DATA!E2506</f>
        <v/>
      </c>
      <c r="F2506">
        <f>MIN(E2506*250600,10000)</f>
        <v/>
      </c>
      <c r="G2506">
        <f>MINIFS(CBIC_Late_Fee_Relief_Windows_3B!$O$2506:$O$100,CBIC_Late_Fee_Relief_Windows_3B!$D$2506:$D$100,"&lt;="&amp;B2506,CBIC_Late_Fee_Relief_Windows_3B!$E$2506:$E$100,"&gt;="&amp;B2506,CBIC_Late_Fee_Relief_Windows_3B!$F$2506:$F$100,"&lt;="&amp;C2506,CBIC_Late_Fee_Relief_Windows_3B!$G$2506:$G$100,"&gt;="&amp;C2506)</f>
        <v/>
      </c>
      <c r="H2506">
        <f>INDEX(CBIC_Late_Fee_Relief_Windows_3B!$I$2506:$I$100,MATCH(G2506,CBIC_Late_Fee_Relief_Windows_3B!$O$2506:$O$100,0))</f>
        <v/>
      </c>
      <c r="I2506">
        <f>MIN(F2506,H2506)</f>
        <v/>
      </c>
    </row>
    <row r="2507">
      <c r="A2507">
        <f>TEST_DATA!A2507</f>
        <v/>
      </c>
      <c r="B2507">
        <f>TEST_DATA!B2507</f>
        <v/>
      </c>
      <c r="C2507">
        <f>TEST_DATA!C2507</f>
        <v/>
      </c>
      <c r="D2507">
        <f>TEST_DATA!D2507</f>
        <v/>
      </c>
      <c r="E2507">
        <f>TEST_DATA!E2507</f>
        <v/>
      </c>
      <c r="F2507">
        <f>MIN(E2507*250700,10000)</f>
        <v/>
      </c>
      <c r="G2507">
        <f>MINIFS(CBIC_Late_Fee_Relief_Windows_3B!$O$2507:$O$100,CBIC_Late_Fee_Relief_Windows_3B!$D$2507:$D$100,"&lt;="&amp;B2507,CBIC_Late_Fee_Relief_Windows_3B!$E$2507:$E$100,"&gt;="&amp;B2507,CBIC_Late_Fee_Relief_Windows_3B!$F$2507:$F$100,"&lt;="&amp;C2507,CBIC_Late_Fee_Relief_Windows_3B!$G$2507:$G$100,"&gt;="&amp;C2507)</f>
        <v/>
      </c>
      <c r="H2507">
        <f>INDEX(CBIC_Late_Fee_Relief_Windows_3B!$I$2507:$I$100,MATCH(G2507,CBIC_Late_Fee_Relief_Windows_3B!$O$2507:$O$100,0))</f>
        <v/>
      </c>
      <c r="I2507">
        <f>MIN(F2507,H2507)</f>
        <v/>
      </c>
    </row>
    <row r="2508">
      <c r="A2508">
        <f>TEST_DATA!A2508</f>
        <v/>
      </c>
      <c r="B2508">
        <f>TEST_DATA!B2508</f>
        <v/>
      </c>
      <c r="C2508">
        <f>TEST_DATA!C2508</f>
        <v/>
      </c>
      <c r="D2508">
        <f>TEST_DATA!D2508</f>
        <v/>
      </c>
      <c r="E2508">
        <f>TEST_DATA!E2508</f>
        <v/>
      </c>
      <c r="F2508">
        <f>MIN(E2508*250800,10000)</f>
        <v/>
      </c>
      <c r="G2508">
        <f>MINIFS(CBIC_Late_Fee_Relief_Windows_3B!$O$2508:$O$100,CBIC_Late_Fee_Relief_Windows_3B!$D$2508:$D$100,"&lt;="&amp;B2508,CBIC_Late_Fee_Relief_Windows_3B!$E$2508:$E$100,"&gt;="&amp;B2508,CBIC_Late_Fee_Relief_Windows_3B!$F$2508:$F$100,"&lt;="&amp;C2508,CBIC_Late_Fee_Relief_Windows_3B!$G$2508:$G$100,"&gt;="&amp;C2508)</f>
        <v/>
      </c>
      <c r="H2508">
        <f>INDEX(CBIC_Late_Fee_Relief_Windows_3B!$I$2508:$I$100,MATCH(G2508,CBIC_Late_Fee_Relief_Windows_3B!$O$2508:$O$100,0))</f>
        <v/>
      </c>
      <c r="I2508">
        <f>MIN(F2508,H2508)</f>
        <v/>
      </c>
    </row>
    <row r="2509">
      <c r="A2509">
        <f>TEST_DATA!A2509</f>
        <v/>
      </c>
      <c r="B2509">
        <f>TEST_DATA!B2509</f>
        <v/>
      </c>
      <c r="C2509">
        <f>TEST_DATA!C2509</f>
        <v/>
      </c>
      <c r="D2509">
        <f>TEST_DATA!D2509</f>
        <v/>
      </c>
      <c r="E2509">
        <f>TEST_DATA!E2509</f>
        <v/>
      </c>
      <c r="F2509">
        <f>MIN(E2509*250900,10000)</f>
        <v/>
      </c>
      <c r="G2509">
        <f>MINIFS(CBIC_Late_Fee_Relief_Windows_3B!$O$2509:$O$100,CBIC_Late_Fee_Relief_Windows_3B!$D$2509:$D$100,"&lt;="&amp;B2509,CBIC_Late_Fee_Relief_Windows_3B!$E$2509:$E$100,"&gt;="&amp;B2509,CBIC_Late_Fee_Relief_Windows_3B!$F$2509:$F$100,"&lt;="&amp;C2509,CBIC_Late_Fee_Relief_Windows_3B!$G$2509:$G$100,"&gt;="&amp;C2509)</f>
        <v/>
      </c>
      <c r="H2509">
        <f>INDEX(CBIC_Late_Fee_Relief_Windows_3B!$I$2509:$I$100,MATCH(G2509,CBIC_Late_Fee_Relief_Windows_3B!$O$2509:$O$100,0))</f>
        <v/>
      </c>
      <c r="I2509">
        <f>MIN(F2509,H2509)</f>
        <v/>
      </c>
    </row>
    <row r="2510">
      <c r="A2510">
        <f>TEST_DATA!A2510</f>
        <v/>
      </c>
      <c r="B2510">
        <f>TEST_DATA!B2510</f>
        <v/>
      </c>
      <c r="C2510">
        <f>TEST_DATA!C2510</f>
        <v/>
      </c>
      <c r="D2510">
        <f>TEST_DATA!D2510</f>
        <v/>
      </c>
      <c r="E2510">
        <f>TEST_DATA!E2510</f>
        <v/>
      </c>
      <c r="F2510">
        <f>MIN(E2510*251000,10000)</f>
        <v/>
      </c>
      <c r="G2510">
        <f>MINIFS(CBIC_Late_Fee_Relief_Windows_3B!$O$2510:$O$100,CBIC_Late_Fee_Relief_Windows_3B!$D$2510:$D$100,"&lt;="&amp;B2510,CBIC_Late_Fee_Relief_Windows_3B!$E$2510:$E$100,"&gt;="&amp;B2510,CBIC_Late_Fee_Relief_Windows_3B!$F$2510:$F$100,"&lt;="&amp;C2510,CBIC_Late_Fee_Relief_Windows_3B!$G$2510:$G$100,"&gt;="&amp;C2510)</f>
        <v/>
      </c>
      <c r="H2510">
        <f>INDEX(CBIC_Late_Fee_Relief_Windows_3B!$I$2510:$I$100,MATCH(G2510,CBIC_Late_Fee_Relief_Windows_3B!$O$2510:$O$100,0))</f>
        <v/>
      </c>
      <c r="I2510">
        <f>MIN(F2510,H2510)</f>
        <v/>
      </c>
    </row>
    <row r="2511">
      <c r="A2511">
        <f>TEST_DATA!A2511</f>
        <v/>
      </c>
      <c r="B2511">
        <f>TEST_DATA!B2511</f>
        <v/>
      </c>
      <c r="C2511">
        <f>TEST_DATA!C2511</f>
        <v/>
      </c>
      <c r="D2511">
        <f>TEST_DATA!D2511</f>
        <v/>
      </c>
      <c r="E2511">
        <f>TEST_DATA!E2511</f>
        <v/>
      </c>
      <c r="F2511">
        <f>MIN(E2511*251100,10000)</f>
        <v/>
      </c>
      <c r="G2511">
        <f>MINIFS(CBIC_Late_Fee_Relief_Windows_3B!$O$2511:$O$100,CBIC_Late_Fee_Relief_Windows_3B!$D$2511:$D$100,"&lt;="&amp;B2511,CBIC_Late_Fee_Relief_Windows_3B!$E$2511:$E$100,"&gt;="&amp;B2511,CBIC_Late_Fee_Relief_Windows_3B!$F$2511:$F$100,"&lt;="&amp;C2511,CBIC_Late_Fee_Relief_Windows_3B!$G$2511:$G$100,"&gt;="&amp;C2511)</f>
        <v/>
      </c>
      <c r="H2511">
        <f>INDEX(CBIC_Late_Fee_Relief_Windows_3B!$I$2511:$I$100,MATCH(G2511,CBIC_Late_Fee_Relief_Windows_3B!$O$2511:$O$100,0))</f>
        <v/>
      </c>
      <c r="I2511">
        <f>MIN(F2511,H2511)</f>
        <v/>
      </c>
    </row>
    <row r="2512">
      <c r="A2512">
        <f>TEST_DATA!A2512</f>
        <v/>
      </c>
      <c r="B2512">
        <f>TEST_DATA!B2512</f>
        <v/>
      </c>
      <c r="C2512">
        <f>TEST_DATA!C2512</f>
        <v/>
      </c>
      <c r="D2512">
        <f>TEST_DATA!D2512</f>
        <v/>
      </c>
      <c r="E2512">
        <f>TEST_DATA!E2512</f>
        <v/>
      </c>
      <c r="F2512">
        <f>MIN(E2512*251200,10000)</f>
        <v/>
      </c>
      <c r="G2512">
        <f>MINIFS(CBIC_Late_Fee_Relief_Windows_3B!$O$2512:$O$100,CBIC_Late_Fee_Relief_Windows_3B!$D$2512:$D$100,"&lt;="&amp;B2512,CBIC_Late_Fee_Relief_Windows_3B!$E$2512:$E$100,"&gt;="&amp;B2512,CBIC_Late_Fee_Relief_Windows_3B!$F$2512:$F$100,"&lt;="&amp;C2512,CBIC_Late_Fee_Relief_Windows_3B!$G$2512:$G$100,"&gt;="&amp;C2512)</f>
        <v/>
      </c>
      <c r="H2512">
        <f>INDEX(CBIC_Late_Fee_Relief_Windows_3B!$I$2512:$I$100,MATCH(G2512,CBIC_Late_Fee_Relief_Windows_3B!$O$2512:$O$100,0))</f>
        <v/>
      </c>
      <c r="I2512">
        <f>MIN(F2512,H2512)</f>
        <v/>
      </c>
    </row>
    <row r="2513">
      <c r="A2513">
        <f>TEST_DATA!A2513</f>
        <v/>
      </c>
      <c r="B2513">
        <f>TEST_DATA!B2513</f>
        <v/>
      </c>
      <c r="C2513">
        <f>TEST_DATA!C2513</f>
        <v/>
      </c>
      <c r="D2513">
        <f>TEST_DATA!D2513</f>
        <v/>
      </c>
      <c r="E2513">
        <f>TEST_DATA!E2513</f>
        <v/>
      </c>
      <c r="F2513">
        <f>MIN(E2513*251300,10000)</f>
        <v/>
      </c>
      <c r="G2513">
        <f>MINIFS(CBIC_Late_Fee_Relief_Windows_3B!$O$2513:$O$100,CBIC_Late_Fee_Relief_Windows_3B!$D$2513:$D$100,"&lt;="&amp;B2513,CBIC_Late_Fee_Relief_Windows_3B!$E$2513:$E$100,"&gt;="&amp;B2513,CBIC_Late_Fee_Relief_Windows_3B!$F$2513:$F$100,"&lt;="&amp;C2513,CBIC_Late_Fee_Relief_Windows_3B!$G$2513:$G$100,"&gt;="&amp;C2513)</f>
        <v/>
      </c>
      <c r="H2513">
        <f>INDEX(CBIC_Late_Fee_Relief_Windows_3B!$I$2513:$I$100,MATCH(G2513,CBIC_Late_Fee_Relief_Windows_3B!$O$2513:$O$100,0))</f>
        <v/>
      </c>
      <c r="I2513">
        <f>MIN(F2513,H2513)</f>
        <v/>
      </c>
    </row>
    <row r="2514">
      <c r="A2514">
        <f>TEST_DATA!A2514</f>
        <v/>
      </c>
      <c r="B2514">
        <f>TEST_DATA!B2514</f>
        <v/>
      </c>
      <c r="C2514">
        <f>TEST_DATA!C2514</f>
        <v/>
      </c>
      <c r="D2514">
        <f>TEST_DATA!D2514</f>
        <v/>
      </c>
      <c r="E2514">
        <f>TEST_DATA!E2514</f>
        <v/>
      </c>
      <c r="F2514">
        <f>MIN(E2514*251400,10000)</f>
        <v/>
      </c>
      <c r="G2514">
        <f>MINIFS(CBIC_Late_Fee_Relief_Windows_3B!$O$2514:$O$100,CBIC_Late_Fee_Relief_Windows_3B!$D$2514:$D$100,"&lt;="&amp;B2514,CBIC_Late_Fee_Relief_Windows_3B!$E$2514:$E$100,"&gt;="&amp;B2514,CBIC_Late_Fee_Relief_Windows_3B!$F$2514:$F$100,"&lt;="&amp;C2514,CBIC_Late_Fee_Relief_Windows_3B!$G$2514:$G$100,"&gt;="&amp;C2514)</f>
        <v/>
      </c>
      <c r="H2514">
        <f>INDEX(CBIC_Late_Fee_Relief_Windows_3B!$I$2514:$I$100,MATCH(G2514,CBIC_Late_Fee_Relief_Windows_3B!$O$2514:$O$100,0))</f>
        <v/>
      </c>
      <c r="I2514">
        <f>MIN(F2514,H2514)</f>
        <v/>
      </c>
    </row>
    <row r="2515">
      <c r="A2515">
        <f>TEST_DATA!A2515</f>
        <v/>
      </c>
      <c r="B2515">
        <f>TEST_DATA!B2515</f>
        <v/>
      </c>
      <c r="C2515">
        <f>TEST_DATA!C2515</f>
        <v/>
      </c>
      <c r="D2515">
        <f>TEST_DATA!D2515</f>
        <v/>
      </c>
      <c r="E2515">
        <f>TEST_DATA!E2515</f>
        <v/>
      </c>
      <c r="F2515">
        <f>MIN(E2515*251500,10000)</f>
        <v/>
      </c>
      <c r="G2515">
        <f>MINIFS(CBIC_Late_Fee_Relief_Windows_3B!$O$2515:$O$100,CBIC_Late_Fee_Relief_Windows_3B!$D$2515:$D$100,"&lt;="&amp;B2515,CBIC_Late_Fee_Relief_Windows_3B!$E$2515:$E$100,"&gt;="&amp;B2515,CBIC_Late_Fee_Relief_Windows_3B!$F$2515:$F$100,"&lt;="&amp;C2515,CBIC_Late_Fee_Relief_Windows_3B!$G$2515:$G$100,"&gt;="&amp;C2515)</f>
        <v/>
      </c>
      <c r="H2515">
        <f>INDEX(CBIC_Late_Fee_Relief_Windows_3B!$I$2515:$I$100,MATCH(G2515,CBIC_Late_Fee_Relief_Windows_3B!$O$2515:$O$100,0))</f>
        <v/>
      </c>
      <c r="I2515">
        <f>MIN(F2515,H2515)</f>
        <v/>
      </c>
    </row>
    <row r="2516">
      <c r="A2516">
        <f>TEST_DATA!A2516</f>
        <v/>
      </c>
      <c r="B2516">
        <f>TEST_DATA!B2516</f>
        <v/>
      </c>
      <c r="C2516">
        <f>TEST_DATA!C2516</f>
        <v/>
      </c>
      <c r="D2516">
        <f>TEST_DATA!D2516</f>
        <v/>
      </c>
      <c r="E2516">
        <f>TEST_DATA!E2516</f>
        <v/>
      </c>
      <c r="F2516">
        <f>MIN(E2516*251600,10000)</f>
        <v/>
      </c>
      <c r="G2516">
        <f>MINIFS(CBIC_Late_Fee_Relief_Windows_3B!$O$2516:$O$100,CBIC_Late_Fee_Relief_Windows_3B!$D$2516:$D$100,"&lt;="&amp;B2516,CBIC_Late_Fee_Relief_Windows_3B!$E$2516:$E$100,"&gt;="&amp;B2516,CBIC_Late_Fee_Relief_Windows_3B!$F$2516:$F$100,"&lt;="&amp;C2516,CBIC_Late_Fee_Relief_Windows_3B!$G$2516:$G$100,"&gt;="&amp;C2516)</f>
        <v/>
      </c>
      <c r="H2516">
        <f>INDEX(CBIC_Late_Fee_Relief_Windows_3B!$I$2516:$I$100,MATCH(G2516,CBIC_Late_Fee_Relief_Windows_3B!$O$2516:$O$100,0))</f>
        <v/>
      </c>
      <c r="I2516">
        <f>MIN(F2516,H2516)</f>
        <v/>
      </c>
    </row>
    <row r="2517">
      <c r="A2517">
        <f>TEST_DATA!A2517</f>
        <v/>
      </c>
      <c r="B2517">
        <f>TEST_DATA!B2517</f>
        <v/>
      </c>
      <c r="C2517">
        <f>TEST_DATA!C2517</f>
        <v/>
      </c>
      <c r="D2517">
        <f>TEST_DATA!D2517</f>
        <v/>
      </c>
      <c r="E2517">
        <f>TEST_DATA!E2517</f>
        <v/>
      </c>
      <c r="F2517">
        <f>MIN(E2517*251700,10000)</f>
        <v/>
      </c>
      <c r="G2517">
        <f>MINIFS(CBIC_Late_Fee_Relief_Windows_3B!$O$2517:$O$100,CBIC_Late_Fee_Relief_Windows_3B!$D$2517:$D$100,"&lt;="&amp;B2517,CBIC_Late_Fee_Relief_Windows_3B!$E$2517:$E$100,"&gt;="&amp;B2517,CBIC_Late_Fee_Relief_Windows_3B!$F$2517:$F$100,"&lt;="&amp;C2517,CBIC_Late_Fee_Relief_Windows_3B!$G$2517:$G$100,"&gt;="&amp;C2517)</f>
        <v/>
      </c>
      <c r="H2517">
        <f>INDEX(CBIC_Late_Fee_Relief_Windows_3B!$I$2517:$I$100,MATCH(G2517,CBIC_Late_Fee_Relief_Windows_3B!$O$2517:$O$100,0))</f>
        <v/>
      </c>
      <c r="I2517">
        <f>MIN(F2517,H2517)</f>
        <v/>
      </c>
    </row>
    <row r="2518">
      <c r="A2518">
        <f>TEST_DATA!A2518</f>
        <v/>
      </c>
      <c r="B2518">
        <f>TEST_DATA!B2518</f>
        <v/>
      </c>
      <c r="C2518">
        <f>TEST_DATA!C2518</f>
        <v/>
      </c>
      <c r="D2518">
        <f>TEST_DATA!D2518</f>
        <v/>
      </c>
      <c r="E2518">
        <f>TEST_DATA!E2518</f>
        <v/>
      </c>
      <c r="F2518">
        <f>MIN(E2518*251800,10000)</f>
        <v/>
      </c>
      <c r="G2518">
        <f>MINIFS(CBIC_Late_Fee_Relief_Windows_3B!$O$2518:$O$100,CBIC_Late_Fee_Relief_Windows_3B!$D$2518:$D$100,"&lt;="&amp;B2518,CBIC_Late_Fee_Relief_Windows_3B!$E$2518:$E$100,"&gt;="&amp;B2518,CBIC_Late_Fee_Relief_Windows_3B!$F$2518:$F$100,"&lt;="&amp;C2518,CBIC_Late_Fee_Relief_Windows_3B!$G$2518:$G$100,"&gt;="&amp;C2518)</f>
        <v/>
      </c>
      <c r="H2518">
        <f>INDEX(CBIC_Late_Fee_Relief_Windows_3B!$I$2518:$I$100,MATCH(G2518,CBIC_Late_Fee_Relief_Windows_3B!$O$2518:$O$100,0))</f>
        <v/>
      </c>
      <c r="I2518">
        <f>MIN(F2518,H2518)</f>
        <v/>
      </c>
    </row>
    <row r="2519">
      <c r="A2519">
        <f>TEST_DATA!A2519</f>
        <v/>
      </c>
      <c r="B2519">
        <f>TEST_DATA!B2519</f>
        <v/>
      </c>
      <c r="C2519">
        <f>TEST_DATA!C2519</f>
        <v/>
      </c>
      <c r="D2519">
        <f>TEST_DATA!D2519</f>
        <v/>
      </c>
      <c r="E2519">
        <f>TEST_DATA!E2519</f>
        <v/>
      </c>
      <c r="F2519">
        <f>MIN(E2519*251900,10000)</f>
        <v/>
      </c>
      <c r="G2519">
        <f>MINIFS(CBIC_Late_Fee_Relief_Windows_3B!$O$2519:$O$100,CBIC_Late_Fee_Relief_Windows_3B!$D$2519:$D$100,"&lt;="&amp;B2519,CBIC_Late_Fee_Relief_Windows_3B!$E$2519:$E$100,"&gt;="&amp;B2519,CBIC_Late_Fee_Relief_Windows_3B!$F$2519:$F$100,"&lt;="&amp;C2519,CBIC_Late_Fee_Relief_Windows_3B!$G$2519:$G$100,"&gt;="&amp;C2519)</f>
        <v/>
      </c>
      <c r="H2519">
        <f>INDEX(CBIC_Late_Fee_Relief_Windows_3B!$I$2519:$I$100,MATCH(G2519,CBIC_Late_Fee_Relief_Windows_3B!$O$2519:$O$100,0))</f>
        <v/>
      </c>
      <c r="I2519">
        <f>MIN(F2519,H2519)</f>
        <v/>
      </c>
    </row>
    <row r="2520">
      <c r="A2520">
        <f>TEST_DATA!A2520</f>
        <v/>
      </c>
      <c r="B2520">
        <f>TEST_DATA!B2520</f>
        <v/>
      </c>
      <c r="C2520">
        <f>TEST_DATA!C2520</f>
        <v/>
      </c>
      <c r="D2520">
        <f>TEST_DATA!D2520</f>
        <v/>
      </c>
      <c r="E2520">
        <f>TEST_DATA!E2520</f>
        <v/>
      </c>
      <c r="F2520">
        <f>MIN(E2520*252000,10000)</f>
        <v/>
      </c>
      <c r="G2520">
        <f>MINIFS(CBIC_Late_Fee_Relief_Windows_3B!$O$2520:$O$100,CBIC_Late_Fee_Relief_Windows_3B!$D$2520:$D$100,"&lt;="&amp;B2520,CBIC_Late_Fee_Relief_Windows_3B!$E$2520:$E$100,"&gt;="&amp;B2520,CBIC_Late_Fee_Relief_Windows_3B!$F$2520:$F$100,"&lt;="&amp;C2520,CBIC_Late_Fee_Relief_Windows_3B!$G$2520:$G$100,"&gt;="&amp;C2520)</f>
        <v/>
      </c>
      <c r="H2520">
        <f>INDEX(CBIC_Late_Fee_Relief_Windows_3B!$I$2520:$I$100,MATCH(G2520,CBIC_Late_Fee_Relief_Windows_3B!$O$2520:$O$100,0))</f>
        <v/>
      </c>
      <c r="I2520">
        <f>MIN(F2520,H2520)</f>
        <v/>
      </c>
    </row>
    <row r="2521">
      <c r="A2521">
        <f>TEST_DATA!A2521</f>
        <v/>
      </c>
      <c r="B2521">
        <f>TEST_DATA!B2521</f>
        <v/>
      </c>
      <c r="C2521">
        <f>TEST_DATA!C2521</f>
        <v/>
      </c>
      <c r="D2521">
        <f>TEST_DATA!D2521</f>
        <v/>
      </c>
      <c r="E2521">
        <f>TEST_DATA!E2521</f>
        <v/>
      </c>
      <c r="F2521">
        <f>MIN(E2521*252100,10000)</f>
        <v/>
      </c>
      <c r="G2521">
        <f>MINIFS(CBIC_Late_Fee_Relief_Windows_3B!$O$2521:$O$100,CBIC_Late_Fee_Relief_Windows_3B!$D$2521:$D$100,"&lt;="&amp;B2521,CBIC_Late_Fee_Relief_Windows_3B!$E$2521:$E$100,"&gt;="&amp;B2521,CBIC_Late_Fee_Relief_Windows_3B!$F$2521:$F$100,"&lt;="&amp;C2521,CBIC_Late_Fee_Relief_Windows_3B!$G$2521:$G$100,"&gt;="&amp;C2521)</f>
        <v/>
      </c>
      <c r="H2521">
        <f>INDEX(CBIC_Late_Fee_Relief_Windows_3B!$I$2521:$I$100,MATCH(G2521,CBIC_Late_Fee_Relief_Windows_3B!$O$2521:$O$100,0))</f>
        <v/>
      </c>
      <c r="I2521">
        <f>MIN(F2521,H2521)</f>
        <v/>
      </c>
    </row>
    <row r="2522">
      <c r="A2522">
        <f>TEST_DATA!A2522</f>
        <v/>
      </c>
      <c r="B2522">
        <f>TEST_DATA!B2522</f>
        <v/>
      </c>
      <c r="C2522">
        <f>TEST_DATA!C2522</f>
        <v/>
      </c>
      <c r="D2522">
        <f>TEST_DATA!D2522</f>
        <v/>
      </c>
      <c r="E2522">
        <f>TEST_DATA!E2522</f>
        <v/>
      </c>
      <c r="F2522">
        <f>MIN(E2522*252200,10000)</f>
        <v/>
      </c>
      <c r="G2522">
        <f>MINIFS(CBIC_Late_Fee_Relief_Windows_3B!$O$2522:$O$100,CBIC_Late_Fee_Relief_Windows_3B!$D$2522:$D$100,"&lt;="&amp;B2522,CBIC_Late_Fee_Relief_Windows_3B!$E$2522:$E$100,"&gt;="&amp;B2522,CBIC_Late_Fee_Relief_Windows_3B!$F$2522:$F$100,"&lt;="&amp;C2522,CBIC_Late_Fee_Relief_Windows_3B!$G$2522:$G$100,"&gt;="&amp;C2522)</f>
        <v/>
      </c>
      <c r="H2522">
        <f>INDEX(CBIC_Late_Fee_Relief_Windows_3B!$I$2522:$I$100,MATCH(G2522,CBIC_Late_Fee_Relief_Windows_3B!$O$2522:$O$100,0))</f>
        <v/>
      </c>
      <c r="I2522">
        <f>MIN(F2522,H2522)</f>
        <v/>
      </c>
    </row>
    <row r="2523">
      <c r="A2523">
        <f>TEST_DATA!A2523</f>
        <v/>
      </c>
      <c r="B2523">
        <f>TEST_DATA!B2523</f>
        <v/>
      </c>
      <c r="C2523">
        <f>TEST_DATA!C2523</f>
        <v/>
      </c>
      <c r="D2523">
        <f>TEST_DATA!D2523</f>
        <v/>
      </c>
      <c r="E2523">
        <f>TEST_DATA!E2523</f>
        <v/>
      </c>
      <c r="F2523">
        <f>MIN(E2523*252300,10000)</f>
        <v/>
      </c>
      <c r="G2523">
        <f>MINIFS(CBIC_Late_Fee_Relief_Windows_3B!$O$2523:$O$100,CBIC_Late_Fee_Relief_Windows_3B!$D$2523:$D$100,"&lt;="&amp;B2523,CBIC_Late_Fee_Relief_Windows_3B!$E$2523:$E$100,"&gt;="&amp;B2523,CBIC_Late_Fee_Relief_Windows_3B!$F$2523:$F$100,"&lt;="&amp;C2523,CBIC_Late_Fee_Relief_Windows_3B!$G$2523:$G$100,"&gt;="&amp;C2523)</f>
        <v/>
      </c>
      <c r="H2523">
        <f>INDEX(CBIC_Late_Fee_Relief_Windows_3B!$I$2523:$I$100,MATCH(G2523,CBIC_Late_Fee_Relief_Windows_3B!$O$2523:$O$100,0))</f>
        <v/>
      </c>
      <c r="I2523">
        <f>MIN(F2523,H2523)</f>
        <v/>
      </c>
    </row>
    <row r="2524">
      <c r="A2524">
        <f>TEST_DATA!A2524</f>
        <v/>
      </c>
      <c r="B2524">
        <f>TEST_DATA!B2524</f>
        <v/>
      </c>
      <c r="C2524">
        <f>TEST_DATA!C2524</f>
        <v/>
      </c>
      <c r="D2524">
        <f>TEST_DATA!D2524</f>
        <v/>
      </c>
      <c r="E2524">
        <f>TEST_DATA!E2524</f>
        <v/>
      </c>
      <c r="F2524">
        <f>MIN(E2524*252400,10000)</f>
        <v/>
      </c>
      <c r="G2524">
        <f>MINIFS(CBIC_Late_Fee_Relief_Windows_3B!$O$2524:$O$100,CBIC_Late_Fee_Relief_Windows_3B!$D$2524:$D$100,"&lt;="&amp;B2524,CBIC_Late_Fee_Relief_Windows_3B!$E$2524:$E$100,"&gt;="&amp;B2524,CBIC_Late_Fee_Relief_Windows_3B!$F$2524:$F$100,"&lt;="&amp;C2524,CBIC_Late_Fee_Relief_Windows_3B!$G$2524:$G$100,"&gt;="&amp;C2524)</f>
        <v/>
      </c>
      <c r="H2524">
        <f>INDEX(CBIC_Late_Fee_Relief_Windows_3B!$I$2524:$I$100,MATCH(G2524,CBIC_Late_Fee_Relief_Windows_3B!$O$2524:$O$100,0))</f>
        <v/>
      </c>
      <c r="I2524">
        <f>MIN(F2524,H2524)</f>
        <v/>
      </c>
    </row>
    <row r="2525">
      <c r="A2525">
        <f>TEST_DATA!A2525</f>
        <v/>
      </c>
      <c r="B2525">
        <f>TEST_DATA!B2525</f>
        <v/>
      </c>
      <c r="C2525">
        <f>TEST_DATA!C2525</f>
        <v/>
      </c>
      <c r="D2525">
        <f>TEST_DATA!D2525</f>
        <v/>
      </c>
      <c r="E2525">
        <f>TEST_DATA!E2525</f>
        <v/>
      </c>
      <c r="F2525">
        <f>MIN(E2525*252500,10000)</f>
        <v/>
      </c>
      <c r="G2525">
        <f>MINIFS(CBIC_Late_Fee_Relief_Windows_3B!$O$2525:$O$100,CBIC_Late_Fee_Relief_Windows_3B!$D$2525:$D$100,"&lt;="&amp;B2525,CBIC_Late_Fee_Relief_Windows_3B!$E$2525:$E$100,"&gt;="&amp;B2525,CBIC_Late_Fee_Relief_Windows_3B!$F$2525:$F$100,"&lt;="&amp;C2525,CBIC_Late_Fee_Relief_Windows_3B!$G$2525:$G$100,"&gt;="&amp;C2525)</f>
        <v/>
      </c>
      <c r="H2525">
        <f>INDEX(CBIC_Late_Fee_Relief_Windows_3B!$I$2525:$I$100,MATCH(G2525,CBIC_Late_Fee_Relief_Windows_3B!$O$2525:$O$100,0))</f>
        <v/>
      </c>
      <c r="I2525">
        <f>MIN(F2525,H2525)</f>
        <v/>
      </c>
    </row>
    <row r="2526">
      <c r="A2526">
        <f>TEST_DATA!A2526</f>
        <v/>
      </c>
      <c r="B2526">
        <f>TEST_DATA!B2526</f>
        <v/>
      </c>
      <c r="C2526">
        <f>TEST_DATA!C2526</f>
        <v/>
      </c>
      <c r="D2526">
        <f>TEST_DATA!D2526</f>
        <v/>
      </c>
      <c r="E2526">
        <f>TEST_DATA!E2526</f>
        <v/>
      </c>
      <c r="F2526">
        <f>MIN(E2526*252600,10000)</f>
        <v/>
      </c>
      <c r="G2526">
        <f>MINIFS(CBIC_Late_Fee_Relief_Windows_3B!$O$2526:$O$100,CBIC_Late_Fee_Relief_Windows_3B!$D$2526:$D$100,"&lt;="&amp;B2526,CBIC_Late_Fee_Relief_Windows_3B!$E$2526:$E$100,"&gt;="&amp;B2526,CBIC_Late_Fee_Relief_Windows_3B!$F$2526:$F$100,"&lt;="&amp;C2526,CBIC_Late_Fee_Relief_Windows_3B!$G$2526:$G$100,"&gt;="&amp;C2526)</f>
        <v/>
      </c>
      <c r="H2526">
        <f>INDEX(CBIC_Late_Fee_Relief_Windows_3B!$I$2526:$I$100,MATCH(G2526,CBIC_Late_Fee_Relief_Windows_3B!$O$2526:$O$100,0))</f>
        <v/>
      </c>
      <c r="I2526">
        <f>MIN(F2526,H2526)</f>
        <v/>
      </c>
    </row>
    <row r="2527">
      <c r="A2527">
        <f>TEST_DATA!A2527</f>
        <v/>
      </c>
      <c r="B2527">
        <f>TEST_DATA!B2527</f>
        <v/>
      </c>
      <c r="C2527">
        <f>TEST_DATA!C2527</f>
        <v/>
      </c>
      <c r="D2527">
        <f>TEST_DATA!D2527</f>
        <v/>
      </c>
      <c r="E2527">
        <f>TEST_DATA!E2527</f>
        <v/>
      </c>
      <c r="F2527">
        <f>MIN(E2527*252700,10000)</f>
        <v/>
      </c>
      <c r="G2527">
        <f>MINIFS(CBIC_Late_Fee_Relief_Windows_3B!$O$2527:$O$100,CBIC_Late_Fee_Relief_Windows_3B!$D$2527:$D$100,"&lt;="&amp;B2527,CBIC_Late_Fee_Relief_Windows_3B!$E$2527:$E$100,"&gt;="&amp;B2527,CBIC_Late_Fee_Relief_Windows_3B!$F$2527:$F$100,"&lt;="&amp;C2527,CBIC_Late_Fee_Relief_Windows_3B!$G$2527:$G$100,"&gt;="&amp;C2527)</f>
        <v/>
      </c>
      <c r="H2527">
        <f>INDEX(CBIC_Late_Fee_Relief_Windows_3B!$I$2527:$I$100,MATCH(G2527,CBIC_Late_Fee_Relief_Windows_3B!$O$2527:$O$100,0))</f>
        <v/>
      </c>
      <c r="I2527">
        <f>MIN(F2527,H2527)</f>
        <v/>
      </c>
    </row>
    <row r="2528">
      <c r="A2528">
        <f>TEST_DATA!A2528</f>
        <v/>
      </c>
      <c r="B2528">
        <f>TEST_DATA!B2528</f>
        <v/>
      </c>
      <c r="C2528">
        <f>TEST_DATA!C2528</f>
        <v/>
      </c>
      <c r="D2528">
        <f>TEST_DATA!D2528</f>
        <v/>
      </c>
      <c r="E2528">
        <f>TEST_DATA!E2528</f>
        <v/>
      </c>
      <c r="F2528">
        <f>MIN(E2528*252800,10000)</f>
        <v/>
      </c>
      <c r="G2528">
        <f>MINIFS(CBIC_Late_Fee_Relief_Windows_3B!$O$2528:$O$100,CBIC_Late_Fee_Relief_Windows_3B!$D$2528:$D$100,"&lt;="&amp;B2528,CBIC_Late_Fee_Relief_Windows_3B!$E$2528:$E$100,"&gt;="&amp;B2528,CBIC_Late_Fee_Relief_Windows_3B!$F$2528:$F$100,"&lt;="&amp;C2528,CBIC_Late_Fee_Relief_Windows_3B!$G$2528:$G$100,"&gt;="&amp;C2528)</f>
        <v/>
      </c>
      <c r="H2528">
        <f>INDEX(CBIC_Late_Fee_Relief_Windows_3B!$I$2528:$I$100,MATCH(G2528,CBIC_Late_Fee_Relief_Windows_3B!$O$2528:$O$100,0))</f>
        <v/>
      </c>
      <c r="I2528">
        <f>MIN(F2528,H2528)</f>
        <v/>
      </c>
    </row>
    <row r="2529">
      <c r="A2529">
        <f>TEST_DATA!A2529</f>
        <v/>
      </c>
      <c r="B2529">
        <f>TEST_DATA!B2529</f>
        <v/>
      </c>
      <c r="C2529">
        <f>TEST_DATA!C2529</f>
        <v/>
      </c>
      <c r="D2529">
        <f>TEST_DATA!D2529</f>
        <v/>
      </c>
      <c r="E2529">
        <f>TEST_DATA!E2529</f>
        <v/>
      </c>
      <c r="F2529">
        <f>MIN(E2529*252900,10000)</f>
        <v/>
      </c>
      <c r="G2529">
        <f>MINIFS(CBIC_Late_Fee_Relief_Windows_3B!$O$2529:$O$100,CBIC_Late_Fee_Relief_Windows_3B!$D$2529:$D$100,"&lt;="&amp;B2529,CBIC_Late_Fee_Relief_Windows_3B!$E$2529:$E$100,"&gt;="&amp;B2529,CBIC_Late_Fee_Relief_Windows_3B!$F$2529:$F$100,"&lt;="&amp;C2529,CBIC_Late_Fee_Relief_Windows_3B!$G$2529:$G$100,"&gt;="&amp;C2529)</f>
        <v/>
      </c>
      <c r="H2529">
        <f>INDEX(CBIC_Late_Fee_Relief_Windows_3B!$I$2529:$I$100,MATCH(G2529,CBIC_Late_Fee_Relief_Windows_3B!$O$2529:$O$100,0))</f>
        <v/>
      </c>
      <c r="I2529">
        <f>MIN(F2529,H2529)</f>
        <v/>
      </c>
    </row>
    <row r="2530">
      <c r="A2530">
        <f>TEST_DATA!A2530</f>
        <v/>
      </c>
      <c r="B2530">
        <f>TEST_DATA!B2530</f>
        <v/>
      </c>
      <c r="C2530">
        <f>TEST_DATA!C2530</f>
        <v/>
      </c>
      <c r="D2530">
        <f>TEST_DATA!D2530</f>
        <v/>
      </c>
      <c r="E2530">
        <f>TEST_DATA!E2530</f>
        <v/>
      </c>
      <c r="F2530">
        <f>MIN(E2530*253000,10000)</f>
        <v/>
      </c>
      <c r="G2530">
        <f>MINIFS(CBIC_Late_Fee_Relief_Windows_3B!$O$2530:$O$100,CBIC_Late_Fee_Relief_Windows_3B!$D$2530:$D$100,"&lt;="&amp;B2530,CBIC_Late_Fee_Relief_Windows_3B!$E$2530:$E$100,"&gt;="&amp;B2530,CBIC_Late_Fee_Relief_Windows_3B!$F$2530:$F$100,"&lt;="&amp;C2530,CBIC_Late_Fee_Relief_Windows_3B!$G$2530:$G$100,"&gt;="&amp;C2530)</f>
        <v/>
      </c>
      <c r="H2530">
        <f>INDEX(CBIC_Late_Fee_Relief_Windows_3B!$I$2530:$I$100,MATCH(G2530,CBIC_Late_Fee_Relief_Windows_3B!$O$2530:$O$100,0))</f>
        <v/>
      </c>
      <c r="I2530">
        <f>MIN(F2530,H2530)</f>
        <v/>
      </c>
    </row>
    <row r="2531">
      <c r="A2531">
        <f>TEST_DATA!A2531</f>
        <v/>
      </c>
      <c r="B2531">
        <f>TEST_DATA!B2531</f>
        <v/>
      </c>
      <c r="C2531">
        <f>TEST_DATA!C2531</f>
        <v/>
      </c>
      <c r="D2531">
        <f>TEST_DATA!D2531</f>
        <v/>
      </c>
      <c r="E2531">
        <f>TEST_DATA!E2531</f>
        <v/>
      </c>
      <c r="F2531">
        <f>MIN(E2531*253100,10000)</f>
        <v/>
      </c>
      <c r="G2531">
        <f>MINIFS(CBIC_Late_Fee_Relief_Windows_3B!$O$2531:$O$100,CBIC_Late_Fee_Relief_Windows_3B!$D$2531:$D$100,"&lt;="&amp;B2531,CBIC_Late_Fee_Relief_Windows_3B!$E$2531:$E$100,"&gt;="&amp;B2531,CBIC_Late_Fee_Relief_Windows_3B!$F$2531:$F$100,"&lt;="&amp;C2531,CBIC_Late_Fee_Relief_Windows_3B!$G$2531:$G$100,"&gt;="&amp;C2531)</f>
        <v/>
      </c>
      <c r="H2531">
        <f>INDEX(CBIC_Late_Fee_Relief_Windows_3B!$I$2531:$I$100,MATCH(G2531,CBIC_Late_Fee_Relief_Windows_3B!$O$2531:$O$100,0))</f>
        <v/>
      </c>
      <c r="I2531">
        <f>MIN(F2531,H2531)</f>
        <v/>
      </c>
    </row>
    <row r="2532">
      <c r="A2532">
        <f>TEST_DATA!A2532</f>
        <v/>
      </c>
      <c r="B2532">
        <f>TEST_DATA!B2532</f>
        <v/>
      </c>
      <c r="C2532">
        <f>TEST_DATA!C2532</f>
        <v/>
      </c>
      <c r="D2532">
        <f>TEST_DATA!D2532</f>
        <v/>
      </c>
      <c r="E2532">
        <f>TEST_DATA!E2532</f>
        <v/>
      </c>
      <c r="F2532">
        <f>MIN(E2532*253200,10000)</f>
        <v/>
      </c>
      <c r="G2532">
        <f>MINIFS(CBIC_Late_Fee_Relief_Windows_3B!$O$2532:$O$100,CBIC_Late_Fee_Relief_Windows_3B!$D$2532:$D$100,"&lt;="&amp;B2532,CBIC_Late_Fee_Relief_Windows_3B!$E$2532:$E$100,"&gt;="&amp;B2532,CBIC_Late_Fee_Relief_Windows_3B!$F$2532:$F$100,"&lt;="&amp;C2532,CBIC_Late_Fee_Relief_Windows_3B!$G$2532:$G$100,"&gt;="&amp;C2532)</f>
        <v/>
      </c>
      <c r="H2532">
        <f>INDEX(CBIC_Late_Fee_Relief_Windows_3B!$I$2532:$I$100,MATCH(G2532,CBIC_Late_Fee_Relief_Windows_3B!$O$2532:$O$100,0))</f>
        <v/>
      </c>
      <c r="I2532">
        <f>MIN(F2532,H2532)</f>
        <v/>
      </c>
    </row>
    <row r="2533">
      <c r="A2533">
        <f>TEST_DATA!A2533</f>
        <v/>
      </c>
      <c r="B2533">
        <f>TEST_DATA!B2533</f>
        <v/>
      </c>
      <c r="C2533">
        <f>TEST_DATA!C2533</f>
        <v/>
      </c>
      <c r="D2533">
        <f>TEST_DATA!D2533</f>
        <v/>
      </c>
      <c r="E2533">
        <f>TEST_DATA!E2533</f>
        <v/>
      </c>
      <c r="F2533">
        <f>MIN(E2533*253300,10000)</f>
        <v/>
      </c>
      <c r="G2533">
        <f>MINIFS(CBIC_Late_Fee_Relief_Windows_3B!$O$2533:$O$100,CBIC_Late_Fee_Relief_Windows_3B!$D$2533:$D$100,"&lt;="&amp;B2533,CBIC_Late_Fee_Relief_Windows_3B!$E$2533:$E$100,"&gt;="&amp;B2533,CBIC_Late_Fee_Relief_Windows_3B!$F$2533:$F$100,"&lt;="&amp;C2533,CBIC_Late_Fee_Relief_Windows_3B!$G$2533:$G$100,"&gt;="&amp;C2533)</f>
        <v/>
      </c>
      <c r="H2533">
        <f>INDEX(CBIC_Late_Fee_Relief_Windows_3B!$I$2533:$I$100,MATCH(G2533,CBIC_Late_Fee_Relief_Windows_3B!$O$2533:$O$100,0))</f>
        <v/>
      </c>
      <c r="I2533">
        <f>MIN(F2533,H2533)</f>
        <v/>
      </c>
    </row>
    <row r="2534">
      <c r="A2534">
        <f>TEST_DATA!A2534</f>
        <v/>
      </c>
      <c r="B2534">
        <f>TEST_DATA!B2534</f>
        <v/>
      </c>
      <c r="C2534">
        <f>TEST_DATA!C2534</f>
        <v/>
      </c>
      <c r="D2534">
        <f>TEST_DATA!D2534</f>
        <v/>
      </c>
      <c r="E2534">
        <f>TEST_DATA!E2534</f>
        <v/>
      </c>
      <c r="F2534">
        <f>MIN(E2534*253400,10000)</f>
        <v/>
      </c>
      <c r="G2534">
        <f>MINIFS(CBIC_Late_Fee_Relief_Windows_3B!$O$2534:$O$100,CBIC_Late_Fee_Relief_Windows_3B!$D$2534:$D$100,"&lt;="&amp;B2534,CBIC_Late_Fee_Relief_Windows_3B!$E$2534:$E$100,"&gt;="&amp;B2534,CBIC_Late_Fee_Relief_Windows_3B!$F$2534:$F$100,"&lt;="&amp;C2534,CBIC_Late_Fee_Relief_Windows_3B!$G$2534:$G$100,"&gt;="&amp;C2534)</f>
        <v/>
      </c>
      <c r="H2534">
        <f>INDEX(CBIC_Late_Fee_Relief_Windows_3B!$I$2534:$I$100,MATCH(G2534,CBIC_Late_Fee_Relief_Windows_3B!$O$2534:$O$100,0))</f>
        <v/>
      </c>
      <c r="I2534">
        <f>MIN(F2534,H2534)</f>
        <v/>
      </c>
    </row>
    <row r="2535">
      <c r="A2535">
        <f>TEST_DATA!A2535</f>
        <v/>
      </c>
      <c r="B2535">
        <f>TEST_DATA!B2535</f>
        <v/>
      </c>
      <c r="C2535">
        <f>TEST_DATA!C2535</f>
        <v/>
      </c>
      <c r="D2535">
        <f>TEST_DATA!D2535</f>
        <v/>
      </c>
      <c r="E2535">
        <f>TEST_DATA!E2535</f>
        <v/>
      </c>
      <c r="F2535">
        <f>MIN(E2535*253500,10000)</f>
        <v/>
      </c>
      <c r="G2535">
        <f>MINIFS(CBIC_Late_Fee_Relief_Windows_3B!$O$2535:$O$100,CBIC_Late_Fee_Relief_Windows_3B!$D$2535:$D$100,"&lt;="&amp;B2535,CBIC_Late_Fee_Relief_Windows_3B!$E$2535:$E$100,"&gt;="&amp;B2535,CBIC_Late_Fee_Relief_Windows_3B!$F$2535:$F$100,"&lt;="&amp;C2535,CBIC_Late_Fee_Relief_Windows_3B!$G$2535:$G$100,"&gt;="&amp;C2535)</f>
        <v/>
      </c>
      <c r="H2535">
        <f>INDEX(CBIC_Late_Fee_Relief_Windows_3B!$I$2535:$I$100,MATCH(G2535,CBIC_Late_Fee_Relief_Windows_3B!$O$2535:$O$100,0))</f>
        <v/>
      </c>
      <c r="I2535">
        <f>MIN(F2535,H2535)</f>
        <v/>
      </c>
    </row>
    <row r="2536">
      <c r="A2536">
        <f>TEST_DATA!A2536</f>
        <v/>
      </c>
      <c r="B2536">
        <f>TEST_DATA!B2536</f>
        <v/>
      </c>
      <c r="C2536">
        <f>TEST_DATA!C2536</f>
        <v/>
      </c>
      <c r="D2536">
        <f>TEST_DATA!D2536</f>
        <v/>
      </c>
      <c r="E2536">
        <f>TEST_DATA!E2536</f>
        <v/>
      </c>
      <c r="F2536">
        <f>MIN(E2536*253600,10000)</f>
        <v/>
      </c>
      <c r="G2536">
        <f>MINIFS(CBIC_Late_Fee_Relief_Windows_3B!$O$2536:$O$100,CBIC_Late_Fee_Relief_Windows_3B!$D$2536:$D$100,"&lt;="&amp;B2536,CBIC_Late_Fee_Relief_Windows_3B!$E$2536:$E$100,"&gt;="&amp;B2536,CBIC_Late_Fee_Relief_Windows_3B!$F$2536:$F$100,"&lt;="&amp;C2536,CBIC_Late_Fee_Relief_Windows_3B!$G$2536:$G$100,"&gt;="&amp;C2536)</f>
        <v/>
      </c>
      <c r="H2536">
        <f>INDEX(CBIC_Late_Fee_Relief_Windows_3B!$I$2536:$I$100,MATCH(G2536,CBIC_Late_Fee_Relief_Windows_3B!$O$2536:$O$100,0))</f>
        <v/>
      </c>
      <c r="I2536">
        <f>MIN(F2536,H2536)</f>
        <v/>
      </c>
    </row>
    <row r="2537">
      <c r="A2537">
        <f>TEST_DATA!A2537</f>
        <v/>
      </c>
      <c r="B2537">
        <f>TEST_DATA!B2537</f>
        <v/>
      </c>
      <c r="C2537">
        <f>TEST_DATA!C2537</f>
        <v/>
      </c>
      <c r="D2537">
        <f>TEST_DATA!D2537</f>
        <v/>
      </c>
      <c r="E2537">
        <f>TEST_DATA!E2537</f>
        <v/>
      </c>
      <c r="F2537">
        <f>MIN(E2537*253700,10000)</f>
        <v/>
      </c>
      <c r="G2537">
        <f>MINIFS(CBIC_Late_Fee_Relief_Windows_3B!$O$2537:$O$100,CBIC_Late_Fee_Relief_Windows_3B!$D$2537:$D$100,"&lt;="&amp;B2537,CBIC_Late_Fee_Relief_Windows_3B!$E$2537:$E$100,"&gt;="&amp;B2537,CBIC_Late_Fee_Relief_Windows_3B!$F$2537:$F$100,"&lt;="&amp;C2537,CBIC_Late_Fee_Relief_Windows_3B!$G$2537:$G$100,"&gt;="&amp;C2537)</f>
        <v/>
      </c>
      <c r="H2537">
        <f>INDEX(CBIC_Late_Fee_Relief_Windows_3B!$I$2537:$I$100,MATCH(G2537,CBIC_Late_Fee_Relief_Windows_3B!$O$2537:$O$100,0))</f>
        <v/>
      </c>
      <c r="I2537">
        <f>MIN(F2537,H2537)</f>
        <v/>
      </c>
    </row>
    <row r="2538">
      <c r="A2538">
        <f>TEST_DATA!A2538</f>
        <v/>
      </c>
      <c r="B2538">
        <f>TEST_DATA!B2538</f>
        <v/>
      </c>
      <c r="C2538">
        <f>TEST_DATA!C2538</f>
        <v/>
      </c>
      <c r="D2538">
        <f>TEST_DATA!D2538</f>
        <v/>
      </c>
      <c r="E2538">
        <f>TEST_DATA!E2538</f>
        <v/>
      </c>
      <c r="F2538">
        <f>MIN(E2538*253800,10000)</f>
        <v/>
      </c>
      <c r="G2538">
        <f>MINIFS(CBIC_Late_Fee_Relief_Windows_3B!$O$2538:$O$100,CBIC_Late_Fee_Relief_Windows_3B!$D$2538:$D$100,"&lt;="&amp;B2538,CBIC_Late_Fee_Relief_Windows_3B!$E$2538:$E$100,"&gt;="&amp;B2538,CBIC_Late_Fee_Relief_Windows_3B!$F$2538:$F$100,"&lt;="&amp;C2538,CBIC_Late_Fee_Relief_Windows_3B!$G$2538:$G$100,"&gt;="&amp;C2538)</f>
        <v/>
      </c>
      <c r="H2538">
        <f>INDEX(CBIC_Late_Fee_Relief_Windows_3B!$I$2538:$I$100,MATCH(G2538,CBIC_Late_Fee_Relief_Windows_3B!$O$2538:$O$100,0))</f>
        <v/>
      </c>
      <c r="I2538">
        <f>MIN(F2538,H2538)</f>
        <v/>
      </c>
    </row>
    <row r="2539">
      <c r="A2539">
        <f>TEST_DATA!A2539</f>
        <v/>
      </c>
      <c r="B2539">
        <f>TEST_DATA!B2539</f>
        <v/>
      </c>
      <c r="C2539">
        <f>TEST_DATA!C2539</f>
        <v/>
      </c>
      <c r="D2539">
        <f>TEST_DATA!D2539</f>
        <v/>
      </c>
      <c r="E2539">
        <f>TEST_DATA!E2539</f>
        <v/>
      </c>
      <c r="F2539">
        <f>MIN(E2539*253900,10000)</f>
        <v/>
      </c>
      <c r="G2539">
        <f>MINIFS(CBIC_Late_Fee_Relief_Windows_3B!$O$2539:$O$100,CBIC_Late_Fee_Relief_Windows_3B!$D$2539:$D$100,"&lt;="&amp;B2539,CBIC_Late_Fee_Relief_Windows_3B!$E$2539:$E$100,"&gt;="&amp;B2539,CBIC_Late_Fee_Relief_Windows_3B!$F$2539:$F$100,"&lt;="&amp;C2539,CBIC_Late_Fee_Relief_Windows_3B!$G$2539:$G$100,"&gt;="&amp;C2539)</f>
        <v/>
      </c>
      <c r="H2539">
        <f>INDEX(CBIC_Late_Fee_Relief_Windows_3B!$I$2539:$I$100,MATCH(G2539,CBIC_Late_Fee_Relief_Windows_3B!$O$2539:$O$100,0))</f>
        <v/>
      </c>
      <c r="I2539">
        <f>MIN(F2539,H2539)</f>
        <v/>
      </c>
    </row>
    <row r="2540">
      <c r="A2540">
        <f>TEST_DATA!A2540</f>
        <v/>
      </c>
      <c r="B2540">
        <f>TEST_DATA!B2540</f>
        <v/>
      </c>
      <c r="C2540">
        <f>TEST_DATA!C2540</f>
        <v/>
      </c>
      <c r="D2540">
        <f>TEST_DATA!D2540</f>
        <v/>
      </c>
      <c r="E2540">
        <f>TEST_DATA!E2540</f>
        <v/>
      </c>
      <c r="F2540">
        <f>MIN(E2540*254000,10000)</f>
        <v/>
      </c>
      <c r="G2540">
        <f>MINIFS(CBIC_Late_Fee_Relief_Windows_3B!$O$2540:$O$100,CBIC_Late_Fee_Relief_Windows_3B!$D$2540:$D$100,"&lt;="&amp;B2540,CBIC_Late_Fee_Relief_Windows_3B!$E$2540:$E$100,"&gt;="&amp;B2540,CBIC_Late_Fee_Relief_Windows_3B!$F$2540:$F$100,"&lt;="&amp;C2540,CBIC_Late_Fee_Relief_Windows_3B!$G$2540:$G$100,"&gt;="&amp;C2540)</f>
        <v/>
      </c>
      <c r="H2540">
        <f>INDEX(CBIC_Late_Fee_Relief_Windows_3B!$I$2540:$I$100,MATCH(G2540,CBIC_Late_Fee_Relief_Windows_3B!$O$2540:$O$100,0))</f>
        <v/>
      </c>
      <c r="I2540">
        <f>MIN(F2540,H2540)</f>
        <v/>
      </c>
    </row>
    <row r="2541">
      <c r="A2541">
        <f>TEST_DATA!A2541</f>
        <v/>
      </c>
      <c r="B2541">
        <f>TEST_DATA!B2541</f>
        <v/>
      </c>
      <c r="C2541">
        <f>TEST_DATA!C2541</f>
        <v/>
      </c>
      <c r="D2541">
        <f>TEST_DATA!D2541</f>
        <v/>
      </c>
      <c r="E2541">
        <f>TEST_DATA!E2541</f>
        <v/>
      </c>
      <c r="F2541">
        <f>MIN(E2541*254100,10000)</f>
        <v/>
      </c>
      <c r="G2541">
        <f>MINIFS(CBIC_Late_Fee_Relief_Windows_3B!$O$2541:$O$100,CBIC_Late_Fee_Relief_Windows_3B!$D$2541:$D$100,"&lt;="&amp;B2541,CBIC_Late_Fee_Relief_Windows_3B!$E$2541:$E$100,"&gt;="&amp;B2541,CBIC_Late_Fee_Relief_Windows_3B!$F$2541:$F$100,"&lt;="&amp;C2541,CBIC_Late_Fee_Relief_Windows_3B!$G$2541:$G$100,"&gt;="&amp;C2541)</f>
        <v/>
      </c>
      <c r="H2541">
        <f>INDEX(CBIC_Late_Fee_Relief_Windows_3B!$I$2541:$I$100,MATCH(G2541,CBIC_Late_Fee_Relief_Windows_3B!$O$2541:$O$100,0))</f>
        <v/>
      </c>
      <c r="I2541">
        <f>MIN(F2541,H2541)</f>
        <v/>
      </c>
    </row>
    <row r="2542">
      <c r="A2542">
        <f>TEST_DATA!A2542</f>
        <v/>
      </c>
      <c r="B2542">
        <f>TEST_DATA!B2542</f>
        <v/>
      </c>
      <c r="C2542">
        <f>TEST_DATA!C2542</f>
        <v/>
      </c>
      <c r="D2542">
        <f>TEST_DATA!D2542</f>
        <v/>
      </c>
      <c r="E2542">
        <f>TEST_DATA!E2542</f>
        <v/>
      </c>
      <c r="F2542">
        <f>MIN(E2542*254200,10000)</f>
        <v/>
      </c>
      <c r="G2542">
        <f>MINIFS(CBIC_Late_Fee_Relief_Windows_3B!$O$2542:$O$100,CBIC_Late_Fee_Relief_Windows_3B!$D$2542:$D$100,"&lt;="&amp;B2542,CBIC_Late_Fee_Relief_Windows_3B!$E$2542:$E$100,"&gt;="&amp;B2542,CBIC_Late_Fee_Relief_Windows_3B!$F$2542:$F$100,"&lt;="&amp;C2542,CBIC_Late_Fee_Relief_Windows_3B!$G$2542:$G$100,"&gt;="&amp;C2542)</f>
        <v/>
      </c>
      <c r="H2542">
        <f>INDEX(CBIC_Late_Fee_Relief_Windows_3B!$I$2542:$I$100,MATCH(G2542,CBIC_Late_Fee_Relief_Windows_3B!$O$2542:$O$100,0))</f>
        <v/>
      </c>
      <c r="I2542">
        <f>MIN(F2542,H2542)</f>
        <v/>
      </c>
    </row>
    <row r="2543">
      <c r="A2543">
        <f>TEST_DATA!A2543</f>
        <v/>
      </c>
      <c r="B2543">
        <f>TEST_DATA!B2543</f>
        <v/>
      </c>
      <c r="C2543">
        <f>TEST_DATA!C2543</f>
        <v/>
      </c>
      <c r="D2543">
        <f>TEST_DATA!D2543</f>
        <v/>
      </c>
      <c r="E2543">
        <f>TEST_DATA!E2543</f>
        <v/>
      </c>
      <c r="F2543">
        <f>MIN(E2543*254300,10000)</f>
        <v/>
      </c>
      <c r="G2543">
        <f>MINIFS(CBIC_Late_Fee_Relief_Windows_3B!$O$2543:$O$100,CBIC_Late_Fee_Relief_Windows_3B!$D$2543:$D$100,"&lt;="&amp;B2543,CBIC_Late_Fee_Relief_Windows_3B!$E$2543:$E$100,"&gt;="&amp;B2543,CBIC_Late_Fee_Relief_Windows_3B!$F$2543:$F$100,"&lt;="&amp;C2543,CBIC_Late_Fee_Relief_Windows_3B!$G$2543:$G$100,"&gt;="&amp;C2543)</f>
        <v/>
      </c>
      <c r="H2543">
        <f>INDEX(CBIC_Late_Fee_Relief_Windows_3B!$I$2543:$I$100,MATCH(G2543,CBIC_Late_Fee_Relief_Windows_3B!$O$2543:$O$100,0))</f>
        <v/>
      </c>
      <c r="I2543">
        <f>MIN(F2543,H2543)</f>
        <v/>
      </c>
    </row>
    <row r="2544">
      <c r="A2544">
        <f>TEST_DATA!A2544</f>
        <v/>
      </c>
      <c r="B2544">
        <f>TEST_DATA!B2544</f>
        <v/>
      </c>
      <c r="C2544">
        <f>TEST_DATA!C2544</f>
        <v/>
      </c>
      <c r="D2544">
        <f>TEST_DATA!D2544</f>
        <v/>
      </c>
      <c r="E2544">
        <f>TEST_DATA!E2544</f>
        <v/>
      </c>
      <c r="F2544">
        <f>MIN(E2544*254400,10000)</f>
        <v/>
      </c>
      <c r="G2544">
        <f>MINIFS(CBIC_Late_Fee_Relief_Windows_3B!$O$2544:$O$100,CBIC_Late_Fee_Relief_Windows_3B!$D$2544:$D$100,"&lt;="&amp;B2544,CBIC_Late_Fee_Relief_Windows_3B!$E$2544:$E$100,"&gt;="&amp;B2544,CBIC_Late_Fee_Relief_Windows_3B!$F$2544:$F$100,"&lt;="&amp;C2544,CBIC_Late_Fee_Relief_Windows_3B!$G$2544:$G$100,"&gt;="&amp;C2544)</f>
        <v/>
      </c>
      <c r="H2544">
        <f>INDEX(CBIC_Late_Fee_Relief_Windows_3B!$I$2544:$I$100,MATCH(G2544,CBIC_Late_Fee_Relief_Windows_3B!$O$2544:$O$100,0))</f>
        <v/>
      </c>
      <c r="I2544">
        <f>MIN(F2544,H2544)</f>
        <v/>
      </c>
    </row>
    <row r="2545">
      <c r="A2545">
        <f>TEST_DATA!A2545</f>
        <v/>
      </c>
      <c r="B2545">
        <f>TEST_DATA!B2545</f>
        <v/>
      </c>
      <c r="C2545">
        <f>TEST_DATA!C2545</f>
        <v/>
      </c>
      <c r="D2545">
        <f>TEST_DATA!D2545</f>
        <v/>
      </c>
      <c r="E2545">
        <f>TEST_DATA!E2545</f>
        <v/>
      </c>
      <c r="F2545">
        <f>MIN(E2545*254500,10000)</f>
        <v/>
      </c>
      <c r="G2545">
        <f>MINIFS(CBIC_Late_Fee_Relief_Windows_3B!$O$2545:$O$100,CBIC_Late_Fee_Relief_Windows_3B!$D$2545:$D$100,"&lt;="&amp;B2545,CBIC_Late_Fee_Relief_Windows_3B!$E$2545:$E$100,"&gt;="&amp;B2545,CBIC_Late_Fee_Relief_Windows_3B!$F$2545:$F$100,"&lt;="&amp;C2545,CBIC_Late_Fee_Relief_Windows_3B!$G$2545:$G$100,"&gt;="&amp;C2545)</f>
        <v/>
      </c>
      <c r="H2545">
        <f>INDEX(CBIC_Late_Fee_Relief_Windows_3B!$I$2545:$I$100,MATCH(G2545,CBIC_Late_Fee_Relief_Windows_3B!$O$2545:$O$100,0))</f>
        <v/>
      </c>
      <c r="I2545">
        <f>MIN(F2545,H2545)</f>
        <v/>
      </c>
    </row>
    <row r="2546">
      <c r="A2546">
        <f>TEST_DATA!A2546</f>
        <v/>
      </c>
      <c r="B2546">
        <f>TEST_DATA!B2546</f>
        <v/>
      </c>
      <c r="C2546">
        <f>TEST_DATA!C2546</f>
        <v/>
      </c>
      <c r="D2546">
        <f>TEST_DATA!D2546</f>
        <v/>
      </c>
      <c r="E2546">
        <f>TEST_DATA!E2546</f>
        <v/>
      </c>
      <c r="F2546">
        <f>MIN(E2546*254600,10000)</f>
        <v/>
      </c>
      <c r="G2546">
        <f>MINIFS(CBIC_Late_Fee_Relief_Windows_3B!$O$2546:$O$100,CBIC_Late_Fee_Relief_Windows_3B!$D$2546:$D$100,"&lt;="&amp;B2546,CBIC_Late_Fee_Relief_Windows_3B!$E$2546:$E$100,"&gt;="&amp;B2546,CBIC_Late_Fee_Relief_Windows_3B!$F$2546:$F$100,"&lt;="&amp;C2546,CBIC_Late_Fee_Relief_Windows_3B!$G$2546:$G$100,"&gt;="&amp;C2546)</f>
        <v/>
      </c>
      <c r="H2546">
        <f>INDEX(CBIC_Late_Fee_Relief_Windows_3B!$I$2546:$I$100,MATCH(G2546,CBIC_Late_Fee_Relief_Windows_3B!$O$2546:$O$100,0))</f>
        <v/>
      </c>
      <c r="I2546">
        <f>MIN(F2546,H2546)</f>
        <v/>
      </c>
    </row>
    <row r="2547">
      <c r="A2547">
        <f>TEST_DATA!A2547</f>
        <v/>
      </c>
      <c r="B2547">
        <f>TEST_DATA!B2547</f>
        <v/>
      </c>
      <c r="C2547">
        <f>TEST_DATA!C2547</f>
        <v/>
      </c>
      <c r="D2547">
        <f>TEST_DATA!D2547</f>
        <v/>
      </c>
      <c r="E2547">
        <f>TEST_DATA!E2547</f>
        <v/>
      </c>
      <c r="F2547">
        <f>MIN(E2547*254700,10000)</f>
        <v/>
      </c>
      <c r="G2547">
        <f>MINIFS(CBIC_Late_Fee_Relief_Windows_3B!$O$2547:$O$100,CBIC_Late_Fee_Relief_Windows_3B!$D$2547:$D$100,"&lt;="&amp;B2547,CBIC_Late_Fee_Relief_Windows_3B!$E$2547:$E$100,"&gt;="&amp;B2547,CBIC_Late_Fee_Relief_Windows_3B!$F$2547:$F$100,"&lt;="&amp;C2547,CBIC_Late_Fee_Relief_Windows_3B!$G$2547:$G$100,"&gt;="&amp;C2547)</f>
        <v/>
      </c>
      <c r="H2547">
        <f>INDEX(CBIC_Late_Fee_Relief_Windows_3B!$I$2547:$I$100,MATCH(G2547,CBIC_Late_Fee_Relief_Windows_3B!$O$2547:$O$100,0))</f>
        <v/>
      </c>
      <c r="I2547">
        <f>MIN(F2547,H2547)</f>
        <v/>
      </c>
    </row>
    <row r="2548">
      <c r="A2548">
        <f>TEST_DATA!A2548</f>
        <v/>
      </c>
      <c r="B2548">
        <f>TEST_DATA!B2548</f>
        <v/>
      </c>
      <c r="C2548">
        <f>TEST_DATA!C2548</f>
        <v/>
      </c>
      <c r="D2548">
        <f>TEST_DATA!D2548</f>
        <v/>
      </c>
      <c r="E2548">
        <f>TEST_DATA!E2548</f>
        <v/>
      </c>
      <c r="F2548">
        <f>MIN(E2548*254800,10000)</f>
        <v/>
      </c>
      <c r="G2548">
        <f>MINIFS(CBIC_Late_Fee_Relief_Windows_3B!$O$2548:$O$100,CBIC_Late_Fee_Relief_Windows_3B!$D$2548:$D$100,"&lt;="&amp;B2548,CBIC_Late_Fee_Relief_Windows_3B!$E$2548:$E$100,"&gt;="&amp;B2548,CBIC_Late_Fee_Relief_Windows_3B!$F$2548:$F$100,"&lt;="&amp;C2548,CBIC_Late_Fee_Relief_Windows_3B!$G$2548:$G$100,"&gt;="&amp;C2548)</f>
        <v/>
      </c>
      <c r="H2548">
        <f>INDEX(CBIC_Late_Fee_Relief_Windows_3B!$I$2548:$I$100,MATCH(G2548,CBIC_Late_Fee_Relief_Windows_3B!$O$2548:$O$100,0))</f>
        <v/>
      </c>
      <c r="I2548">
        <f>MIN(F2548,H2548)</f>
        <v/>
      </c>
    </row>
    <row r="2549">
      <c r="A2549">
        <f>TEST_DATA!A2549</f>
        <v/>
      </c>
      <c r="B2549">
        <f>TEST_DATA!B2549</f>
        <v/>
      </c>
      <c r="C2549">
        <f>TEST_DATA!C2549</f>
        <v/>
      </c>
      <c r="D2549">
        <f>TEST_DATA!D2549</f>
        <v/>
      </c>
      <c r="E2549">
        <f>TEST_DATA!E2549</f>
        <v/>
      </c>
      <c r="F2549">
        <f>MIN(E2549*254900,10000)</f>
        <v/>
      </c>
      <c r="G2549">
        <f>MINIFS(CBIC_Late_Fee_Relief_Windows_3B!$O$2549:$O$100,CBIC_Late_Fee_Relief_Windows_3B!$D$2549:$D$100,"&lt;="&amp;B2549,CBIC_Late_Fee_Relief_Windows_3B!$E$2549:$E$100,"&gt;="&amp;B2549,CBIC_Late_Fee_Relief_Windows_3B!$F$2549:$F$100,"&lt;="&amp;C2549,CBIC_Late_Fee_Relief_Windows_3B!$G$2549:$G$100,"&gt;="&amp;C2549)</f>
        <v/>
      </c>
      <c r="H2549">
        <f>INDEX(CBIC_Late_Fee_Relief_Windows_3B!$I$2549:$I$100,MATCH(G2549,CBIC_Late_Fee_Relief_Windows_3B!$O$2549:$O$100,0))</f>
        <v/>
      </c>
      <c r="I2549">
        <f>MIN(F2549,H2549)</f>
        <v/>
      </c>
    </row>
    <row r="2550">
      <c r="A2550">
        <f>TEST_DATA!A2550</f>
        <v/>
      </c>
      <c r="B2550">
        <f>TEST_DATA!B2550</f>
        <v/>
      </c>
      <c r="C2550">
        <f>TEST_DATA!C2550</f>
        <v/>
      </c>
      <c r="D2550">
        <f>TEST_DATA!D2550</f>
        <v/>
      </c>
      <c r="E2550">
        <f>TEST_DATA!E2550</f>
        <v/>
      </c>
      <c r="F2550">
        <f>MIN(E2550*255000,10000)</f>
        <v/>
      </c>
      <c r="G2550">
        <f>MINIFS(CBIC_Late_Fee_Relief_Windows_3B!$O$2550:$O$100,CBIC_Late_Fee_Relief_Windows_3B!$D$2550:$D$100,"&lt;="&amp;B2550,CBIC_Late_Fee_Relief_Windows_3B!$E$2550:$E$100,"&gt;="&amp;B2550,CBIC_Late_Fee_Relief_Windows_3B!$F$2550:$F$100,"&lt;="&amp;C2550,CBIC_Late_Fee_Relief_Windows_3B!$G$2550:$G$100,"&gt;="&amp;C2550)</f>
        <v/>
      </c>
      <c r="H2550">
        <f>INDEX(CBIC_Late_Fee_Relief_Windows_3B!$I$2550:$I$100,MATCH(G2550,CBIC_Late_Fee_Relief_Windows_3B!$O$2550:$O$100,0))</f>
        <v/>
      </c>
      <c r="I2550">
        <f>MIN(F2550,H2550)</f>
        <v/>
      </c>
    </row>
    <row r="2551">
      <c r="A2551">
        <f>TEST_DATA!A2551</f>
        <v/>
      </c>
      <c r="B2551">
        <f>TEST_DATA!B2551</f>
        <v/>
      </c>
      <c r="C2551">
        <f>TEST_DATA!C2551</f>
        <v/>
      </c>
      <c r="D2551">
        <f>TEST_DATA!D2551</f>
        <v/>
      </c>
      <c r="E2551">
        <f>TEST_DATA!E2551</f>
        <v/>
      </c>
      <c r="F2551">
        <f>MIN(E2551*255100,10000)</f>
        <v/>
      </c>
      <c r="G2551">
        <f>MINIFS(CBIC_Late_Fee_Relief_Windows_3B!$O$2551:$O$100,CBIC_Late_Fee_Relief_Windows_3B!$D$2551:$D$100,"&lt;="&amp;B2551,CBIC_Late_Fee_Relief_Windows_3B!$E$2551:$E$100,"&gt;="&amp;B2551,CBIC_Late_Fee_Relief_Windows_3B!$F$2551:$F$100,"&lt;="&amp;C2551,CBIC_Late_Fee_Relief_Windows_3B!$G$2551:$G$100,"&gt;="&amp;C2551)</f>
        <v/>
      </c>
      <c r="H2551">
        <f>INDEX(CBIC_Late_Fee_Relief_Windows_3B!$I$2551:$I$100,MATCH(G2551,CBIC_Late_Fee_Relief_Windows_3B!$O$2551:$O$100,0))</f>
        <v/>
      </c>
      <c r="I2551">
        <f>MIN(F2551,H2551)</f>
        <v/>
      </c>
    </row>
    <row r="2552">
      <c r="A2552">
        <f>TEST_DATA!A2552</f>
        <v/>
      </c>
      <c r="B2552">
        <f>TEST_DATA!B2552</f>
        <v/>
      </c>
      <c r="C2552">
        <f>TEST_DATA!C2552</f>
        <v/>
      </c>
      <c r="D2552">
        <f>TEST_DATA!D2552</f>
        <v/>
      </c>
      <c r="E2552">
        <f>TEST_DATA!E2552</f>
        <v/>
      </c>
      <c r="F2552">
        <f>MIN(E2552*255200,10000)</f>
        <v/>
      </c>
      <c r="G2552">
        <f>MINIFS(CBIC_Late_Fee_Relief_Windows_3B!$O$2552:$O$100,CBIC_Late_Fee_Relief_Windows_3B!$D$2552:$D$100,"&lt;="&amp;B2552,CBIC_Late_Fee_Relief_Windows_3B!$E$2552:$E$100,"&gt;="&amp;B2552,CBIC_Late_Fee_Relief_Windows_3B!$F$2552:$F$100,"&lt;="&amp;C2552,CBIC_Late_Fee_Relief_Windows_3B!$G$2552:$G$100,"&gt;="&amp;C2552)</f>
        <v/>
      </c>
      <c r="H2552">
        <f>INDEX(CBIC_Late_Fee_Relief_Windows_3B!$I$2552:$I$100,MATCH(G2552,CBIC_Late_Fee_Relief_Windows_3B!$O$2552:$O$100,0))</f>
        <v/>
      </c>
      <c r="I2552">
        <f>MIN(F2552,H2552)</f>
        <v/>
      </c>
    </row>
    <row r="2553">
      <c r="A2553">
        <f>TEST_DATA!A2553</f>
        <v/>
      </c>
      <c r="B2553">
        <f>TEST_DATA!B2553</f>
        <v/>
      </c>
      <c r="C2553">
        <f>TEST_DATA!C2553</f>
        <v/>
      </c>
      <c r="D2553">
        <f>TEST_DATA!D2553</f>
        <v/>
      </c>
      <c r="E2553">
        <f>TEST_DATA!E2553</f>
        <v/>
      </c>
      <c r="F2553">
        <f>MIN(E2553*255300,10000)</f>
        <v/>
      </c>
      <c r="G2553">
        <f>MINIFS(CBIC_Late_Fee_Relief_Windows_3B!$O$2553:$O$100,CBIC_Late_Fee_Relief_Windows_3B!$D$2553:$D$100,"&lt;="&amp;B2553,CBIC_Late_Fee_Relief_Windows_3B!$E$2553:$E$100,"&gt;="&amp;B2553,CBIC_Late_Fee_Relief_Windows_3B!$F$2553:$F$100,"&lt;="&amp;C2553,CBIC_Late_Fee_Relief_Windows_3B!$G$2553:$G$100,"&gt;="&amp;C2553)</f>
        <v/>
      </c>
      <c r="H2553">
        <f>INDEX(CBIC_Late_Fee_Relief_Windows_3B!$I$2553:$I$100,MATCH(G2553,CBIC_Late_Fee_Relief_Windows_3B!$O$2553:$O$100,0))</f>
        <v/>
      </c>
      <c r="I2553">
        <f>MIN(F2553,H2553)</f>
        <v/>
      </c>
    </row>
    <row r="2554">
      <c r="A2554">
        <f>TEST_DATA!A2554</f>
        <v/>
      </c>
      <c r="B2554">
        <f>TEST_DATA!B2554</f>
        <v/>
      </c>
      <c r="C2554">
        <f>TEST_DATA!C2554</f>
        <v/>
      </c>
      <c r="D2554">
        <f>TEST_DATA!D2554</f>
        <v/>
      </c>
      <c r="E2554">
        <f>TEST_DATA!E2554</f>
        <v/>
      </c>
      <c r="F2554">
        <f>MIN(E2554*255400,10000)</f>
        <v/>
      </c>
      <c r="G2554">
        <f>MINIFS(CBIC_Late_Fee_Relief_Windows_3B!$O$2554:$O$100,CBIC_Late_Fee_Relief_Windows_3B!$D$2554:$D$100,"&lt;="&amp;B2554,CBIC_Late_Fee_Relief_Windows_3B!$E$2554:$E$100,"&gt;="&amp;B2554,CBIC_Late_Fee_Relief_Windows_3B!$F$2554:$F$100,"&lt;="&amp;C2554,CBIC_Late_Fee_Relief_Windows_3B!$G$2554:$G$100,"&gt;="&amp;C2554)</f>
        <v/>
      </c>
      <c r="H2554">
        <f>INDEX(CBIC_Late_Fee_Relief_Windows_3B!$I$2554:$I$100,MATCH(G2554,CBIC_Late_Fee_Relief_Windows_3B!$O$2554:$O$100,0))</f>
        <v/>
      </c>
      <c r="I2554">
        <f>MIN(F2554,H2554)</f>
        <v/>
      </c>
    </row>
    <row r="2555">
      <c r="A2555">
        <f>TEST_DATA!A2555</f>
        <v/>
      </c>
      <c r="B2555">
        <f>TEST_DATA!B2555</f>
        <v/>
      </c>
      <c r="C2555">
        <f>TEST_DATA!C2555</f>
        <v/>
      </c>
      <c r="D2555">
        <f>TEST_DATA!D2555</f>
        <v/>
      </c>
      <c r="E2555">
        <f>TEST_DATA!E2555</f>
        <v/>
      </c>
      <c r="F2555">
        <f>MIN(E2555*255500,10000)</f>
        <v/>
      </c>
      <c r="G2555">
        <f>MINIFS(CBIC_Late_Fee_Relief_Windows_3B!$O$2555:$O$100,CBIC_Late_Fee_Relief_Windows_3B!$D$2555:$D$100,"&lt;="&amp;B2555,CBIC_Late_Fee_Relief_Windows_3B!$E$2555:$E$100,"&gt;="&amp;B2555,CBIC_Late_Fee_Relief_Windows_3B!$F$2555:$F$100,"&lt;="&amp;C2555,CBIC_Late_Fee_Relief_Windows_3B!$G$2555:$G$100,"&gt;="&amp;C2555)</f>
        <v/>
      </c>
      <c r="H2555">
        <f>INDEX(CBIC_Late_Fee_Relief_Windows_3B!$I$2555:$I$100,MATCH(G2555,CBIC_Late_Fee_Relief_Windows_3B!$O$2555:$O$100,0))</f>
        <v/>
      </c>
      <c r="I2555">
        <f>MIN(F2555,H2555)</f>
        <v/>
      </c>
    </row>
    <row r="2556">
      <c r="A2556">
        <f>TEST_DATA!A2556</f>
        <v/>
      </c>
      <c r="B2556">
        <f>TEST_DATA!B2556</f>
        <v/>
      </c>
      <c r="C2556">
        <f>TEST_DATA!C2556</f>
        <v/>
      </c>
      <c r="D2556">
        <f>TEST_DATA!D2556</f>
        <v/>
      </c>
      <c r="E2556">
        <f>TEST_DATA!E2556</f>
        <v/>
      </c>
      <c r="F2556">
        <f>MIN(E2556*255600,10000)</f>
        <v/>
      </c>
      <c r="G2556">
        <f>MINIFS(CBIC_Late_Fee_Relief_Windows_3B!$O$2556:$O$100,CBIC_Late_Fee_Relief_Windows_3B!$D$2556:$D$100,"&lt;="&amp;B2556,CBIC_Late_Fee_Relief_Windows_3B!$E$2556:$E$100,"&gt;="&amp;B2556,CBIC_Late_Fee_Relief_Windows_3B!$F$2556:$F$100,"&lt;="&amp;C2556,CBIC_Late_Fee_Relief_Windows_3B!$G$2556:$G$100,"&gt;="&amp;C2556)</f>
        <v/>
      </c>
      <c r="H2556">
        <f>INDEX(CBIC_Late_Fee_Relief_Windows_3B!$I$2556:$I$100,MATCH(G2556,CBIC_Late_Fee_Relief_Windows_3B!$O$2556:$O$100,0))</f>
        <v/>
      </c>
      <c r="I2556">
        <f>MIN(F2556,H2556)</f>
        <v/>
      </c>
    </row>
    <row r="2557">
      <c r="A2557">
        <f>TEST_DATA!A2557</f>
        <v/>
      </c>
      <c r="B2557">
        <f>TEST_DATA!B2557</f>
        <v/>
      </c>
      <c r="C2557">
        <f>TEST_DATA!C2557</f>
        <v/>
      </c>
      <c r="D2557">
        <f>TEST_DATA!D2557</f>
        <v/>
      </c>
      <c r="E2557">
        <f>TEST_DATA!E2557</f>
        <v/>
      </c>
      <c r="F2557">
        <f>MIN(E2557*255700,10000)</f>
        <v/>
      </c>
      <c r="G2557">
        <f>MINIFS(CBIC_Late_Fee_Relief_Windows_3B!$O$2557:$O$100,CBIC_Late_Fee_Relief_Windows_3B!$D$2557:$D$100,"&lt;="&amp;B2557,CBIC_Late_Fee_Relief_Windows_3B!$E$2557:$E$100,"&gt;="&amp;B2557,CBIC_Late_Fee_Relief_Windows_3B!$F$2557:$F$100,"&lt;="&amp;C2557,CBIC_Late_Fee_Relief_Windows_3B!$G$2557:$G$100,"&gt;="&amp;C2557)</f>
        <v/>
      </c>
      <c r="H2557">
        <f>INDEX(CBIC_Late_Fee_Relief_Windows_3B!$I$2557:$I$100,MATCH(G2557,CBIC_Late_Fee_Relief_Windows_3B!$O$2557:$O$100,0))</f>
        <v/>
      </c>
      <c r="I2557">
        <f>MIN(F2557,H2557)</f>
        <v/>
      </c>
    </row>
    <row r="2558">
      <c r="A2558">
        <f>TEST_DATA!A2558</f>
        <v/>
      </c>
      <c r="B2558">
        <f>TEST_DATA!B2558</f>
        <v/>
      </c>
      <c r="C2558">
        <f>TEST_DATA!C2558</f>
        <v/>
      </c>
      <c r="D2558">
        <f>TEST_DATA!D2558</f>
        <v/>
      </c>
      <c r="E2558">
        <f>TEST_DATA!E2558</f>
        <v/>
      </c>
      <c r="F2558">
        <f>MIN(E2558*255800,10000)</f>
        <v/>
      </c>
      <c r="G2558">
        <f>MINIFS(CBIC_Late_Fee_Relief_Windows_3B!$O$2558:$O$100,CBIC_Late_Fee_Relief_Windows_3B!$D$2558:$D$100,"&lt;="&amp;B2558,CBIC_Late_Fee_Relief_Windows_3B!$E$2558:$E$100,"&gt;="&amp;B2558,CBIC_Late_Fee_Relief_Windows_3B!$F$2558:$F$100,"&lt;="&amp;C2558,CBIC_Late_Fee_Relief_Windows_3B!$G$2558:$G$100,"&gt;="&amp;C2558)</f>
        <v/>
      </c>
      <c r="H2558">
        <f>INDEX(CBIC_Late_Fee_Relief_Windows_3B!$I$2558:$I$100,MATCH(G2558,CBIC_Late_Fee_Relief_Windows_3B!$O$2558:$O$100,0))</f>
        <v/>
      </c>
      <c r="I2558">
        <f>MIN(F2558,H2558)</f>
        <v/>
      </c>
    </row>
    <row r="2559">
      <c r="A2559">
        <f>TEST_DATA!A2559</f>
        <v/>
      </c>
      <c r="B2559">
        <f>TEST_DATA!B2559</f>
        <v/>
      </c>
      <c r="C2559">
        <f>TEST_DATA!C2559</f>
        <v/>
      </c>
      <c r="D2559">
        <f>TEST_DATA!D2559</f>
        <v/>
      </c>
      <c r="E2559">
        <f>TEST_DATA!E2559</f>
        <v/>
      </c>
      <c r="F2559">
        <f>MIN(E2559*255900,10000)</f>
        <v/>
      </c>
      <c r="G2559">
        <f>MINIFS(CBIC_Late_Fee_Relief_Windows_3B!$O$2559:$O$100,CBIC_Late_Fee_Relief_Windows_3B!$D$2559:$D$100,"&lt;="&amp;B2559,CBIC_Late_Fee_Relief_Windows_3B!$E$2559:$E$100,"&gt;="&amp;B2559,CBIC_Late_Fee_Relief_Windows_3B!$F$2559:$F$100,"&lt;="&amp;C2559,CBIC_Late_Fee_Relief_Windows_3B!$G$2559:$G$100,"&gt;="&amp;C2559)</f>
        <v/>
      </c>
      <c r="H2559">
        <f>INDEX(CBIC_Late_Fee_Relief_Windows_3B!$I$2559:$I$100,MATCH(G2559,CBIC_Late_Fee_Relief_Windows_3B!$O$2559:$O$100,0))</f>
        <v/>
      </c>
      <c r="I2559">
        <f>MIN(F2559,H2559)</f>
        <v/>
      </c>
    </row>
    <row r="2560">
      <c r="A2560">
        <f>TEST_DATA!A2560</f>
        <v/>
      </c>
      <c r="B2560">
        <f>TEST_DATA!B2560</f>
        <v/>
      </c>
      <c r="C2560">
        <f>TEST_DATA!C2560</f>
        <v/>
      </c>
      <c r="D2560">
        <f>TEST_DATA!D2560</f>
        <v/>
      </c>
      <c r="E2560">
        <f>TEST_DATA!E2560</f>
        <v/>
      </c>
      <c r="F2560">
        <f>MIN(E2560*256000,10000)</f>
        <v/>
      </c>
      <c r="G2560">
        <f>MINIFS(CBIC_Late_Fee_Relief_Windows_3B!$O$2560:$O$100,CBIC_Late_Fee_Relief_Windows_3B!$D$2560:$D$100,"&lt;="&amp;B2560,CBIC_Late_Fee_Relief_Windows_3B!$E$2560:$E$100,"&gt;="&amp;B2560,CBIC_Late_Fee_Relief_Windows_3B!$F$2560:$F$100,"&lt;="&amp;C2560,CBIC_Late_Fee_Relief_Windows_3B!$G$2560:$G$100,"&gt;="&amp;C2560)</f>
        <v/>
      </c>
      <c r="H2560">
        <f>INDEX(CBIC_Late_Fee_Relief_Windows_3B!$I$2560:$I$100,MATCH(G2560,CBIC_Late_Fee_Relief_Windows_3B!$O$2560:$O$100,0))</f>
        <v/>
      </c>
      <c r="I2560">
        <f>MIN(F2560,H2560)</f>
        <v/>
      </c>
    </row>
    <row r="2561">
      <c r="A2561">
        <f>TEST_DATA!A2561</f>
        <v/>
      </c>
      <c r="B2561">
        <f>TEST_DATA!B2561</f>
        <v/>
      </c>
      <c r="C2561">
        <f>TEST_DATA!C2561</f>
        <v/>
      </c>
      <c r="D2561">
        <f>TEST_DATA!D2561</f>
        <v/>
      </c>
      <c r="E2561">
        <f>TEST_DATA!E2561</f>
        <v/>
      </c>
      <c r="F2561">
        <f>MIN(E2561*256100,10000)</f>
        <v/>
      </c>
      <c r="G2561">
        <f>MINIFS(CBIC_Late_Fee_Relief_Windows_3B!$O$2561:$O$100,CBIC_Late_Fee_Relief_Windows_3B!$D$2561:$D$100,"&lt;="&amp;B2561,CBIC_Late_Fee_Relief_Windows_3B!$E$2561:$E$100,"&gt;="&amp;B2561,CBIC_Late_Fee_Relief_Windows_3B!$F$2561:$F$100,"&lt;="&amp;C2561,CBIC_Late_Fee_Relief_Windows_3B!$G$2561:$G$100,"&gt;="&amp;C2561)</f>
        <v/>
      </c>
      <c r="H2561">
        <f>INDEX(CBIC_Late_Fee_Relief_Windows_3B!$I$2561:$I$100,MATCH(G2561,CBIC_Late_Fee_Relief_Windows_3B!$O$2561:$O$100,0))</f>
        <v/>
      </c>
      <c r="I2561">
        <f>MIN(F2561,H2561)</f>
        <v/>
      </c>
    </row>
    <row r="2562">
      <c r="A2562">
        <f>TEST_DATA!A2562</f>
        <v/>
      </c>
      <c r="B2562">
        <f>TEST_DATA!B2562</f>
        <v/>
      </c>
      <c r="C2562">
        <f>TEST_DATA!C2562</f>
        <v/>
      </c>
      <c r="D2562">
        <f>TEST_DATA!D2562</f>
        <v/>
      </c>
      <c r="E2562">
        <f>TEST_DATA!E2562</f>
        <v/>
      </c>
      <c r="F2562">
        <f>MIN(E2562*256200,10000)</f>
        <v/>
      </c>
      <c r="G2562">
        <f>MINIFS(CBIC_Late_Fee_Relief_Windows_3B!$O$2562:$O$100,CBIC_Late_Fee_Relief_Windows_3B!$D$2562:$D$100,"&lt;="&amp;B2562,CBIC_Late_Fee_Relief_Windows_3B!$E$2562:$E$100,"&gt;="&amp;B2562,CBIC_Late_Fee_Relief_Windows_3B!$F$2562:$F$100,"&lt;="&amp;C2562,CBIC_Late_Fee_Relief_Windows_3B!$G$2562:$G$100,"&gt;="&amp;C2562)</f>
        <v/>
      </c>
      <c r="H2562">
        <f>INDEX(CBIC_Late_Fee_Relief_Windows_3B!$I$2562:$I$100,MATCH(G2562,CBIC_Late_Fee_Relief_Windows_3B!$O$2562:$O$100,0))</f>
        <v/>
      </c>
      <c r="I2562">
        <f>MIN(F2562,H2562)</f>
        <v/>
      </c>
    </row>
    <row r="2563">
      <c r="A2563">
        <f>TEST_DATA!A2563</f>
        <v/>
      </c>
      <c r="B2563">
        <f>TEST_DATA!B2563</f>
        <v/>
      </c>
      <c r="C2563">
        <f>TEST_DATA!C2563</f>
        <v/>
      </c>
      <c r="D2563">
        <f>TEST_DATA!D2563</f>
        <v/>
      </c>
      <c r="E2563">
        <f>TEST_DATA!E2563</f>
        <v/>
      </c>
      <c r="F2563">
        <f>MIN(E2563*256300,10000)</f>
        <v/>
      </c>
      <c r="G2563">
        <f>MINIFS(CBIC_Late_Fee_Relief_Windows_3B!$O$2563:$O$100,CBIC_Late_Fee_Relief_Windows_3B!$D$2563:$D$100,"&lt;="&amp;B2563,CBIC_Late_Fee_Relief_Windows_3B!$E$2563:$E$100,"&gt;="&amp;B2563,CBIC_Late_Fee_Relief_Windows_3B!$F$2563:$F$100,"&lt;="&amp;C2563,CBIC_Late_Fee_Relief_Windows_3B!$G$2563:$G$100,"&gt;="&amp;C2563)</f>
        <v/>
      </c>
      <c r="H2563">
        <f>INDEX(CBIC_Late_Fee_Relief_Windows_3B!$I$2563:$I$100,MATCH(G2563,CBIC_Late_Fee_Relief_Windows_3B!$O$2563:$O$100,0))</f>
        <v/>
      </c>
      <c r="I2563">
        <f>MIN(F2563,H2563)</f>
        <v/>
      </c>
    </row>
    <row r="2564">
      <c r="A2564">
        <f>TEST_DATA!A2564</f>
        <v/>
      </c>
      <c r="B2564">
        <f>TEST_DATA!B2564</f>
        <v/>
      </c>
      <c r="C2564">
        <f>TEST_DATA!C2564</f>
        <v/>
      </c>
      <c r="D2564">
        <f>TEST_DATA!D2564</f>
        <v/>
      </c>
      <c r="E2564">
        <f>TEST_DATA!E2564</f>
        <v/>
      </c>
      <c r="F2564">
        <f>MIN(E2564*256400,10000)</f>
        <v/>
      </c>
      <c r="G2564">
        <f>MINIFS(CBIC_Late_Fee_Relief_Windows_3B!$O$2564:$O$100,CBIC_Late_Fee_Relief_Windows_3B!$D$2564:$D$100,"&lt;="&amp;B2564,CBIC_Late_Fee_Relief_Windows_3B!$E$2564:$E$100,"&gt;="&amp;B2564,CBIC_Late_Fee_Relief_Windows_3B!$F$2564:$F$100,"&lt;="&amp;C2564,CBIC_Late_Fee_Relief_Windows_3B!$G$2564:$G$100,"&gt;="&amp;C2564)</f>
        <v/>
      </c>
      <c r="H2564">
        <f>INDEX(CBIC_Late_Fee_Relief_Windows_3B!$I$2564:$I$100,MATCH(G2564,CBIC_Late_Fee_Relief_Windows_3B!$O$2564:$O$100,0))</f>
        <v/>
      </c>
      <c r="I2564">
        <f>MIN(F2564,H2564)</f>
        <v/>
      </c>
    </row>
    <row r="2565">
      <c r="A2565">
        <f>TEST_DATA!A2565</f>
        <v/>
      </c>
      <c r="B2565">
        <f>TEST_DATA!B2565</f>
        <v/>
      </c>
      <c r="C2565">
        <f>TEST_DATA!C2565</f>
        <v/>
      </c>
      <c r="D2565">
        <f>TEST_DATA!D2565</f>
        <v/>
      </c>
      <c r="E2565">
        <f>TEST_DATA!E2565</f>
        <v/>
      </c>
      <c r="F2565">
        <f>MIN(E2565*256500,10000)</f>
        <v/>
      </c>
      <c r="G2565">
        <f>MINIFS(CBIC_Late_Fee_Relief_Windows_3B!$O$2565:$O$100,CBIC_Late_Fee_Relief_Windows_3B!$D$2565:$D$100,"&lt;="&amp;B2565,CBIC_Late_Fee_Relief_Windows_3B!$E$2565:$E$100,"&gt;="&amp;B2565,CBIC_Late_Fee_Relief_Windows_3B!$F$2565:$F$100,"&lt;="&amp;C2565,CBIC_Late_Fee_Relief_Windows_3B!$G$2565:$G$100,"&gt;="&amp;C2565)</f>
        <v/>
      </c>
      <c r="H2565">
        <f>INDEX(CBIC_Late_Fee_Relief_Windows_3B!$I$2565:$I$100,MATCH(G2565,CBIC_Late_Fee_Relief_Windows_3B!$O$2565:$O$100,0))</f>
        <v/>
      </c>
      <c r="I2565">
        <f>MIN(F2565,H2565)</f>
        <v/>
      </c>
    </row>
    <row r="2566">
      <c r="A2566">
        <f>TEST_DATA!A2566</f>
        <v/>
      </c>
      <c r="B2566">
        <f>TEST_DATA!B2566</f>
        <v/>
      </c>
      <c r="C2566">
        <f>TEST_DATA!C2566</f>
        <v/>
      </c>
      <c r="D2566">
        <f>TEST_DATA!D2566</f>
        <v/>
      </c>
      <c r="E2566">
        <f>TEST_DATA!E2566</f>
        <v/>
      </c>
      <c r="F2566">
        <f>MIN(E2566*256600,10000)</f>
        <v/>
      </c>
      <c r="G2566">
        <f>MINIFS(CBIC_Late_Fee_Relief_Windows_3B!$O$2566:$O$100,CBIC_Late_Fee_Relief_Windows_3B!$D$2566:$D$100,"&lt;="&amp;B2566,CBIC_Late_Fee_Relief_Windows_3B!$E$2566:$E$100,"&gt;="&amp;B2566,CBIC_Late_Fee_Relief_Windows_3B!$F$2566:$F$100,"&lt;="&amp;C2566,CBIC_Late_Fee_Relief_Windows_3B!$G$2566:$G$100,"&gt;="&amp;C2566)</f>
        <v/>
      </c>
      <c r="H2566">
        <f>INDEX(CBIC_Late_Fee_Relief_Windows_3B!$I$2566:$I$100,MATCH(G2566,CBIC_Late_Fee_Relief_Windows_3B!$O$2566:$O$100,0))</f>
        <v/>
      </c>
      <c r="I2566">
        <f>MIN(F2566,H2566)</f>
        <v/>
      </c>
    </row>
    <row r="2567">
      <c r="A2567">
        <f>TEST_DATA!A2567</f>
        <v/>
      </c>
      <c r="B2567">
        <f>TEST_DATA!B2567</f>
        <v/>
      </c>
      <c r="C2567">
        <f>TEST_DATA!C2567</f>
        <v/>
      </c>
      <c r="D2567">
        <f>TEST_DATA!D2567</f>
        <v/>
      </c>
      <c r="E2567">
        <f>TEST_DATA!E2567</f>
        <v/>
      </c>
      <c r="F2567">
        <f>MIN(E2567*256700,10000)</f>
        <v/>
      </c>
      <c r="G2567">
        <f>MINIFS(CBIC_Late_Fee_Relief_Windows_3B!$O$2567:$O$100,CBIC_Late_Fee_Relief_Windows_3B!$D$2567:$D$100,"&lt;="&amp;B2567,CBIC_Late_Fee_Relief_Windows_3B!$E$2567:$E$100,"&gt;="&amp;B2567,CBIC_Late_Fee_Relief_Windows_3B!$F$2567:$F$100,"&lt;="&amp;C2567,CBIC_Late_Fee_Relief_Windows_3B!$G$2567:$G$100,"&gt;="&amp;C2567)</f>
        <v/>
      </c>
      <c r="H2567">
        <f>INDEX(CBIC_Late_Fee_Relief_Windows_3B!$I$2567:$I$100,MATCH(G2567,CBIC_Late_Fee_Relief_Windows_3B!$O$2567:$O$100,0))</f>
        <v/>
      </c>
      <c r="I2567">
        <f>MIN(F2567,H2567)</f>
        <v/>
      </c>
    </row>
    <row r="2568">
      <c r="A2568">
        <f>TEST_DATA!A2568</f>
        <v/>
      </c>
      <c r="B2568">
        <f>TEST_DATA!B2568</f>
        <v/>
      </c>
      <c r="C2568">
        <f>TEST_DATA!C2568</f>
        <v/>
      </c>
      <c r="D2568">
        <f>TEST_DATA!D2568</f>
        <v/>
      </c>
      <c r="E2568">
        <f>TEST_DATA!E2568</f>
        <v/>
      </c>
      <c r="F2568">
        <f>MIN(E2568*256800,10000)</f>
        <v/>
      </c>
      <c r="G2568">
        <f>MINIFS(CBIC_Late_Fee_Relief_Windows_3B!$O$2568:$O$100,CBIC_Late_Fee_Relief_Windows_3B!$D$2568:$D$100,"&lt;="&amp;B2568,CBIC_Late_Fee_Relief_Windows_3B!$E$2568:$E$100,"&gt;="&amp;B2568,CBIC_Late_Fee_Relief_Windows_3B!$F$2568:$F$100,"&lt;="&amp;C2568,CBIC_Late_Fee_Relief_Windows_3B!$G$2568:$G$100,"&gt;="&amp;C2568)</f>
        <v/>
      </c>
      <c r="H2568">
        <f>INDEX(CBIC_Late_Fee_Relief_Windows_3B!$I$2568:$I$100,MATCH(G2568,CBIC_Late_Fee_Relief_Windows_3B!$O$2568:$O$100,0))</f>
        <v/>
      </c>
      <c r="I2568">
        <f>MIN(F2568,H2568)</f>
        <v/>
      </c>
    </row>
    <row r="2569">
      <c r="A2569">
        <f>TEST_DATA!A2569</f>
        <v/>
      </c>
      <c r="B2569">
        <f>TEST_DATA!B2569</f>
        <v/>
      </c>
      <c r="C2569">
        <f>TEST_DATA!C2569</f>
        <v/>
      </c>
      <c r="D2569">
        <f>TEST_DATA!D2569</f>
        <v/>
      </c>
      <c r="E2569">
        <f>TEST_DATA!E2569</f>
        <v/>
      </c>
      <c r="F2569">
        <f>MIN(E2569*256900,10000)</f>
        <v/>
      </c>
      <c r="G2569">
        <f>MINIFS(CBIC_Late_Fee_Relief_Windows_3B!$O$2569:$O$100,CBIC_Late_Fee_Relief_Windows_3B!$D$2569:$D$100,"&lt;="&amp;B2569,CBIC_Late_Fee_Relief_Windows_3B!$E$2569:$E$100,"&gt;="&amp;B2569,CBIC_Late_Fee_Relief_Windows_3B!$F$2569:$F$100,"&lt;="&amp;C2569,CBIC_Late_Fee_Relief_Windows_3B!$G$2569:$G$100,"&gt;="&amp;C2569)</f>
        <v/>
      </c>
      <c r="H2569">
        <f>INDEX(CBIC_Late_Fee_Relief_Windows_3B!$I$2569:$I$100,MATCH(G2569,CBIC_Late_Fee_Relief_Windows_3B!$O$2569:$O$100,0))</f>
        <v/>
      </c>
      <c r="I2569">
        <f>MIN(F2569,H2569)</f>
        <v/>
      </c>
    </row>
    <row r="2570">
      <c r="A2570">
        <f>TEST_DATA!A2570</f>
        <v/>
      </c>
      <c r="B2570">
        <f>TEST_DATA!B2570</f>
        <v/>
      </c>
      <c r="C2570">
        <f>TEST_DATA!C2570</f>
        <v/>
      </c>
      <c r="D2570">
        <f>TEST_DATA!D2570</f>
        <v/>
      </c>
      <c r="E2570">
        <f>TEST_DATA!E2570</f>
        <v/>
      </c>
      <c r="F2570">
        <f>MIN(E2570*257000,10000)</f>
        <v/>
      </c>
      <c r="G2570">
        <f>MINIFS(CBIC_Late_Fee_Relief_Windows_3B!$O$2570:$O$100,CBIC_Late_Fee_Relief_Windows_3B!$D$2570:$D$100,"&lt;="&amp;B2570,CBIC_Late_Fee_Relief_Windows_3B!$E$2570:$E$100,"&gt;="&amp;B2570,CBIC_Late_Fee_Relief_Windows_3B!$F$2570:$F$100,"&lt;="&amp;C2570,CBIC_Late_Fee_Relief_Windows_3B!$G$2570:$G$100,"&gt;="&amp;C2570)</f>
        <v/>
      </c>
      <c r="H2570">
        <f>INDEX(CBIC_Late_Fee_Relief_Windows_3B!$I$2570:$I$100,MATCH(G2570,CBIC_Late_Fee_Relief_Windows_3B!$O$2570:$O$100,0))</f>
        <v/>
      </c>
      <c r="I2570">
        <f>MIN(F2570,H2570)</f>
        <v/>
      </c>
    </row>
    <row r="2571">
      <c r="A2571">
        <f>TEST_DATA!A2571</f>
        <v/>
      </c>
      <c r="B2571">
        <f>TEST_DATA!B2571</f>
        <v/>
      </c>
      <c r="C2571">
        <f>TEST_DATA!C2571</f>
        <v/>
      </c>
      <c r="D2571">
        <f>TEST_DATA!D2571</f>
        <v/>
      </c>
      <c r="E2571">
        <f>TEST_DATA!E2571</f>
        <v/>
      </c>
      <c r="F2571">
        <f>MIN(E2571*257100,10000)</f>
        <v/>
      </c>
      <c r="G2571">
        <f>MINIFS(CBIC_Late_Fee_Relief_Windows_3B!$O$2571:$O$100,CBIC_Late_Fee_Relief_Windows_3B!$D$2571:$D$100,"&lt;="&amp;B2571,CBIC_Late_Fee_Relief_Windows_3B!$E$2571:$E$100,"&gt;="&amp;B2571,CBIC_Late_Fee_Relief_Windows_3B!$F$2571:$F$100,"&lt;="&amp;C2571,CBIC_Late_Fee_Relief_Windows_3B!$G$2571:$G$100,"&gt;="&amp;C2571)</f>
        <v/>
      </c>
      <c r="H2571">
        <f>INDEX(CBIC_Late_Fee_Relief_Windows_3B!$I$2571:$I$100,MATCH(G2571,CBIC_Late_Fee_Relief_Windows_3B!$O$2571:$O$100,0))</f>
        <v/>
      </c>
      <c r="I2571">
        <f>MIN(F2571,H2571)</f>
        <v/>
      </c>
    </row>
    <row r="2572">
      <c r="A2572">
        <f>TEST_DATA!A2572</f>
        <v/>
      </c>
      <c r="B2572">
        <f>TEST_DATA!B2572</f>
        <v/>
      </c>
      <c r="C2572">
        <f>TEST_DATA!C2572</f>
        <v/>
      </c>
      <c r="D2572">
        <f>TEST_DATA!D2572</f>
        <v/>
      </c>
      <c r="E2572">
        <f>TEST_DATA!E2572</f>
        <v/>
      </c>
      <c r="F2572">
        <f>MIN(E2572*257200,10000)</f>
        <v/>
      </c>
      <c r="G2572">
        <f>MINIFS(CBIC_Late_Fee_Relief_Windows_3B!$O$2572:$O$100,CBIC_Late_Fee_Relief_Windows_3B!$D$2572:$D$100,"&lt;="&amp;B2572,CBIC_Late_Fee_Relief_Windows_3B!$E$2572:$E$100,"&gt;="&amp;B2572,CBIC_Late_Fee_Relief_Windows_3B!$F$2572:$F$100,"&lt;="&amp;C2572,CBIC_Late_Fee_Relief_Windows_3B!$G$2572:$G$100,"&gt;="&amp;C2572)</f>
        <v/>
      </c>
      <c r="H2572">
        <f>INDEX(CBIC_Late_Fee_Relief_Windows_3B!$I$2572:$I$100,MATCH(G2572,CBIC_Late_Fee_Relief_Windows_3B!$O$2572:$O$100,0))</f>
        <v/>
      </c>
      <c r="I2572">
        <f>MIN(F2572,H2572)</f>
        <v/>
      </c>
    </row>
    <row r="2573">
      <c r="A2573">
        <f>TEST_DATA!A2573</f>
        <v/>
      </c>
      <c r="B2573">
        <f>TEST_DATA!B2573</f>
        <v/>
      </c>
      <c r="C2573">
        <f>TEST_DATA!C2573</f>
        <v/>
      </c>
      <c r="D2573">
        <f>TEST_DATA!D2573</f>
        <v/>
      </c>
      <c r="E2573">
        <f>TEST_DATA!E2573</f>
        <v/>
      </c>
      <c r="F2573">
        <f>MIN(E2573*257300,10000)</f>
        <v/>
      </c>
      <c r="G2573">
        <f>MINIFS(CBIC_Late_Fee_Relief_Windows_3B!$O$2573:$O$100,CBIC_Late_Fee_Relief_Windows_3B!$D$2573:$D$100,"&lt;="&amp;B2573,CBIC_Late_Fee_Relief_Windows_3B!$E$2573:$E$100,"&gt;="&amp;B2573,CBIC_Late_Fee_Relief_Windows_3B!$F$2573:$F$100,"&lt;="&amp;C2573,CBIC_Late_Fee_Relief_Windows_3B!$G$2573:$G$100,"&gt;="&amp;C2573)</f>
        <v/>
      </c>
      <c r="H2573">
        <f>INDEX(CBIC_Late_Fee_Relief_Windows_3B!$I$2573:$I$100,MATCH(G2573,CBIC_Late_Fee_Relief_Windows_3B!$O$2573:$O$100,0))</f>
        <v/>
      </c>
      <c r="I2573">
        <f>MIN(F2573,H2573)</f>
        <v/>
      </c>
    </row>
    <row r="2574">
      <c r="A2574">
        <f>TEST_DATA!A2574</f>
        <v/>
      </c>
      <c r="B2574">
        <f>TEST_DATA!B2574</f>
        <v/>
      </c>
      <c r="C2574">
        <f>TEST_DATA!C2574</f>
        <v/>
      </c>
      <c r="D2574">
        <f>TEST_DATA!D2574</f>
        <v/>
      </c>
      <c r="E2574">
        <f>TEST_DATA!E2574</f>
        <v/>
      </c>
      <c r="F2574">
        <f>MIN(E2574*257400,10000)</f>
        <v/>
      </c>
      <c r="G2574">
        <f>MINIFS(CBIC_Late_Fee_Relief_Windows_3B!$O$2574:$O$100,CBIC_Late_Fee_Relief_Windows_3B!$D$2574:$D$100,"&lt;="&amp;B2574,CBIC_Late_Fee_Relief_Windows_3B!$E$2574:$E$100,"&gt;="&amp;B2574,CBIC_Late_Fee_Relief_Windows_3B!$F$2574:$F$100,"&lt;="&amp;C2574,CBIC_Late_Fee_Relief_Windows_3B!$G$2574:$G$100,"&gt;="&amp;C2574)</f>
        <v/>
      </c>
      <c r="H2574">
        <f>INDEX(CBIC_Late_Fee_Relief_Windows_3B!$I$2574:$I$100,MATCH(G2574,CBIC_Late_Fee_Relief_Windows_3B!$O$2574:$O$100,0))</f>
        <v/>
      </c>
      <c r="I2574">
        <f>MIN(F2574,H2574)</f>
        <v/>
      </c>
    </row>
    <row r="2575">
      <c r="A2575">
        <f>TEST_DATA!A2575</f>
        <v/>
      </c>
      <c r="B2575">
        <f>TEST_DATA!B2575</f>
        <v/>
      </c>
      <c r="C2575">
        <f>TEST_DATA!C2575</f>
        <v/>
      </c>
      <c r="D2575">
        <f>TEST_DATA!D2575</f>
        <v/>
      </c>
      <c r="E2575">
        <f>TEST_DATA!E2575</f>
        <v/>
      </c>
      <c r="F2575">
        <f>MIN(E2575*257500,10000)</f>
        <v/>
      </c>
      <c r="G2575">
        <f>MINIFS(CBIC_Late_Fee_Relief_Windows_3B!$O$2575:$O$100,CBIC_Late_Fee_Relief_Windows_3B!$D$2575:$D$100,"&lt;="&amp;B2575,CBIC_Late_Fee_Relief_Windows_3B!$E$2575:$E$100,"&gt;="&amp;B2575,CBIC_Late_Fee_Relief_Windows_3B!$F$2575:$F$100,"&lt;="&amp;C2575,CBIC_Late_Fee_Relief_Windows_3B!$G$2575:$G$100,"&gt;="&amp;C2575)</f>
        <v/>
      </c>
      <c r="H2575">
        <f>INDEX(CBIC_Late_Fee_Relief_Windows_3B!$I$2575:$I$100,MATCH(G2575,CBIC_Late_Fee_Relief_Windows_3B!$O$2575:$O$100,0))</f>
        <v/>
      </c>
      <c r="I2575">
        <f>MIN(F2575,H2575)</f>
        <v/>
      </c>
    </row>
    <row r="2576">
      <c r="A2576">
        <f>TEST_DATA!A2576</f>
        <v/>
      </c>
      <c r="B2576">
        <f>TEST_DATA!B2576</f>
        <v/>
      </c>
      <c r="C2576">
        <f>TEST_DATA!C2576</f>
        <v/>
      </c>
      <c r="D2576">
        <f>TEST_DATA!D2576</f>
        <v/>
      </c>
      <c r="E2576">
        <f>TEST_DATA!E2576</f>
        <v/>
      </c>
      <c r="F2576">
        <f>MIN(E2576*257600,10000)</f>
        <v/>
      </c>
      <c r="G2576">
        <f>MINIFS(CBIC_Late_Fee_Relief_Windows_3B!$O$2576:$O$100,CBIC_Late_Fee_Relief_Windows_3B!$D$2576:$D$100,"&lt;="&amp;B2576,CBIC_Late_Fee_Relief_Windows_3B!$E$2576:$E$100,"&gt;="&amp;B2576,CBIC_Late_Fee_Relief_Windows_3B!$F$2576:$F$100,"&lt;="&amp;C2576,CBIC_Late_Fee_Relief_Windows_3B!$G$2576:$G$100,"&gt;="&amp;C2576)</f>
        <v/>
      </c>
      <c r="H2576">
        <f>INDEX(CBIC_Late_Fee_Relief_Windows_3B!$I$2576:$I$100,MATCH(G2576,CBIC_Late_Fee_Relief_Windows_3B!$O$2576:$O$100,0))</f>
        <v/>
      </c>
      <c r="I2576">
        <f>MIN(F2576,H2576)</f>
        <v/>
      </c>
    </row>
    <row r="2577">
      <c r="A2577">
        <f>TEST_DATA!A2577</f>
        <v/>
      </c>
      <c r="B2577">
        <f>TEST_DATA!B2577</f>
        <v/>
      </c>
      <c r="C2577">
        <f>TEST_DATA!C2577</f>
        <v/>
      </c>
      <c r="D2577">
        <f>TEST_DATA!D2577</f>
        <v/>
      </c>
      <c r="E2577">
        <f>TEST_DATA!E2577</f>
        <v/>
      </c>
      <c r="F2577">
        <f>MIN(E2577*257700,10000)</f>
        <v/>
      </c>
      <c r="G2577">
        <f>MINIFS(CBIC_Late_Fee_Relief_Windows_3B!$O$2577:$O$100,CBIC_Late_Fee_Relief_Windows_3B!$D$2577:$D$100,"&lt;="&amp;B2577,CBIC_Late_Fee_Relief_Windows_3B!$E$2577:$E$100,"&gt;="&amp;B2577,CBIC_Late_Fee_Relief_Windows_3B!$F$2577:$F$100,"&lt;="&amp;C2577,CBIC_Late_Fee_Relief_Windows_3B!$G$2577:$G$100,"&gt;="&amp;C2577)</f>
        <v/>
      </c>
      <c r="H2577">
        <f>INDEX(CBIC_Late_Fee_Relief_Windows_3B!$I$2577:$I$100,MATCH(G2577,CBIC_Late_Fee_Relief_Windows_3B!$O$2577:$O$100,0))</f>
        <v/>
      </c>
      <c r="I2577">
        <f>MIN(F2577,H2577)</f>
        <v/>
      </c>
    </row>
    <row r="2578">
      <c r="A2578">
        <f>TEST_DATA!A2578</f>
        <v/>
      </c>
      <c r="B2578">
        <f>TEST_DATA!B2578</f>
        <v/>
      </c>
      <c r="C2578">
        <f>TEST_DATA!C2578</f>
        <v/>
      </c>
      <c r="D2578">
        <f>TEST_DATA!D2578</f>
        <v/>
      </c>
      <c r="E2578">
        <f>TEST_DATA!E2578</f>
        <v/>
      </c>
      <c r="F2578">
        <f>MIN(E2578*257800,10000)</f>
        <v/>
      </c>
      <c r="G2578">
        <f>MINIFS(CBIC_Late_Fee_Relief_Windows_3B!$O$2578:$O$100,CBIC_Late_Fee_Relief_Windows_3B!$D$2578:$D$100,"&lt;="&amp;B2578,CBIC_Late_Fee_Relief_Windows_3B!$E$2578:$E$100,"&gt;="&amp;B2578,CBIC_Late_Fee_Relief_Windows_3B!$F$2578:$F$100,"&lt;="&amp;C2578,CBIC_Late_Fee_Relief_Windows_3B!$G$2578:$G$100,"&gt;="&amp;C2578)</f>
        <v/>
      </c>
      <c r="H2578">
        <f>INDEX(CBIC_Late_Fee_Relief_Windows_3B!$I$2578:$I$100,MATCH(G2578,CBIC_Late_Fee_Relief_Windows_3B!$O$2578:$O$100,0))</f>
        <v/>
      </c>
      <c r="I2578">
        <f>MIN(F2578,H2578)</f>
        <v/>
      </c>
    </row>
    <row r="2579">
      <c r="A2579">
        <f>TEST_DATA!A2579</f>
        <v/>
      </c>
      <c r="B2579">
        <f>TEST_DATA!B2579</f>
        <v/>
      </c>
      <c r="C2579">
        <f>TEST_DATA!C2579</f>
        <v/>
      </c>
      <c r="D2579">
        <f>TEST_DATA!D2579</f>
        <v/>
      </c>
      <c r="E2579">
        <f>TEST_DATA!E2579</f>
        <v/>
      </c>
      <c r="F2579">
        <f>MIN(E2579*257900,10000)</f>
        <v/>
      </c>
      <c r="G2579">
        <f>MINIFS(CBIC_Late_Fee_Relief_Windows_3B!$O$2579:$O$100,CBIC_Late_Fee_Relief_Windows_3B!$D$2579:$D$100,"&lt;="&amp;B2579,CBIC_Late_Fee_Relief_Windows_3B!$E$2579:$E$100,"&gt;="&amp;B2579,CBIC_Late_Fee_Relief_Windows_3B!$F$2579:$F$100,"&lt;="&amp;C2579,CBIC_Late_Fee_Relief_Windows_3B!$G$2579:$G$100,"&gt;="&amp;C2579)</f>
        <v/>
      </c>
      <c r="H2579">
        <f>INDEX(CBIC_Late_Fee_Relief_Windows_3B!$I$2579:$I$100,MATCH(G2579,CBIC_Late_Fee_Relief_Windows_3B!$O$2579:$O$100,0))</f>
        <v/>
      </c>
      <c r="I2579">
        <f>MIN(F2579,H2579)</f>
        <v/>
      </c>
    </row>
    <row r="2580">
      <c r="A2580">
        <f>TEST_DATA!A2580</f>
        <v/>
      </c>
      <c r="B2580">
        <f>TEST_DATA!B2580</f>
        <v/>
      </c>
      <c r="C2580">
        <f>TEST_DATA!C2580</f>
        <v/>
      </c>
      <c r="D2580">
        <f>TEST_DATA!D2580</f>
        <v/>
      </c>
      <c r="E2580">
        <f>TEST_DATA!E2580</f>
        <v/>
      </c>
      <c r="F2580">
        <f>MIN(E2580*258000,10000)</f>
        <v/>
      </c>
      <c r="G2580">
        <f>MINIFS(CBIC_Late_Fee_Relief_Windows_3B!$O$2580:$O$100,CBIC_Late_Fee_Relief_Windows_3B!$D$2580:$D$100,"&lt;="&amp;B2580,CBIC_Late_Fee_Relief_Windows_3B!$E$2580:$E$100,"&gt;="&amp;B2580,CBIC_Late_Fee_Relief_Windows_3B!$F$2580:$F$100,"&lt;="&amp;C2580,CBIC_Late_Fee_Relief_Windows_3B!$G$2580:$G$100,"&gt;="&amp;C2580)</f>
        <v/>
      </c>
      <c r="H2580">
        <f>INDEX(CBIC_Late_Fee_Relief_Windows_3B!$I$2580:$I$100,MATCH(G2580,CBIC_Late_Fee_Relief_Windows_3B!$O$2580:$O$100,0))</f>
        <v/>
      </c>
      <c r="I2580">
        <f>MIN(F2580,H2580)</f>
        <v/>
      </c>
    </row>
    <row r="2581">
      <c r="A2581">
        <f>TEST_DATA!A2581</f>
        <v/>
      </c>
      <c r="B2581">
        <f>TEST_DATA!B2581</f>
        <v/>
      </c>
      <c r="C2581">
        <f>TEST_DATA!C2581</f>
        <v/>
      </c>
      <c r="D2581">
        <f>TEST_DATA!D2581</f>
        <v/>
      </c>
      <c r="E2581">
        <f>TEST_DATA!E2581</f>
        <v/>
      </c>
      <c r="F2581">
        <f>MIN(E2581*258100,10000)</f>
        <v/>
      </c>
      <c r="G2581">
        <f>MINIFS(CBIC_Late_Fee_Relief_Windows_3B!$O$2581:$O$100,CBIC_Late_Fee_Relief_Windows_3B!$D$2581:$D$100,"&lt;="&amp;B2581,CBIC_Late_Fee_Relief_Windows_3B!$E$2581:$E$100,"&gt;="&amp;B2581,CBIC_Late_Fee_Relief_Windows_3B!$F$2581:$F$100,"&lt;="&amp;C2581,CBIC_Late_Fee_Relief_Windows_3B!$G$2581:$G$100,"&gt;="&amp;C2581)</f>
        <v/>
      </c>
      <c r="H2581">
        <f>INDEX(CBIC_Late_Fee_Relief_Windows_3B!$I$2581:$I$100,MATCH(G2581,CBIC_Late_Fee_Relief_Windows_3B!$O$2581:$O$100,0))</f>
        <v/>
      </c>
      <c r="I2581">
        <f>MIN(F2581,H2581)</f>
        <v/>
      </c>
    </row>
    <row r="2582">
      <c r="A2582">
        <f>TEST_DATA!A2582</f>
        <v/>
      </c>
      <c r="B2582">
        <f>TEST_DATA!B2582</f>
        <v/>
      </c>
      <c r="C2582">
        <f>TEST_DATA!C2582</f>
        <v/>
      </c>
      <c r="D2582">
        <f>TEST_DATA!D2582</f>
        <v/>
      </c>
      <c r="E2582">
        <f>TEST_DATA!E2582</f>
        <v/>
      </c>
      <c r="F2582">
        <f>MIN(E2582*258200,10000)</f>
        <v/>
      </c>
      <c r="G2582">
        <f>MINIFS(CBIC_Late_Fee_Relief_Windows_3B!$O$2582:$O$100,CBIC_Late_Fee_Relief_Windows_3B!$D$2582:$D$100,"&lt;="&amp;B2582,CBIC_Late_Fee_Relief_Windows_3B!$E$2582:$E$100,"&gt;="&amp;B2582,CBIC_Late_Fee_Relief_Windows_3B!$F$2582:$F$100,"&lt;="&amp;C2582,CBIC_Late_Fee_Relief_Windows_3B!$G$2582:$G$100,"&gt;="&amp;C2582)</f>
        <v/>
      </c>
      <c r="H2582">
        <f>INDEX(CBIC_Late_Fee_Relief_Windows_3B!$I$2582:$I$100,MATCH(G2582,CBIC_Late_Fee_Relief_Windows_3B!$O$2582:$O$100,0))</f>
        <v/>
      </c>
      <c r="I2582">
        <f>MIN(F2582,H2582)</f>
        <v/>
      </c>
    </row>
    <row r="2583">
      <c r="A2583">
        <f>TEST_DATA!A2583</f>
        <v/>
      </c>
      <c r="B2583">
        <f>TEST_DATA!B2583</f>
        <v/>
      </c>
      <c r="C2583">
        <f>TEST_DATA!C2583</f>
        <v/>
      </c>
      <c r="D2583">
        <f>TEST_DATA!D2583</f>
        <v/>
      </c>
      <c r="E2583">
        <f>TEST_DATA!E2583</f>
        <v/>
      </c>
      <c r="F2583">
        <f>MIN(E2583*258300,10000)</f>
        <v/>
      </c>
      <c r="G2583">
        <f>MINIFS(CBIC_Late_Fee_Relief_Windows_3B!$O$2583:$O$100,CBIC_Late_Fee_Relief_Windows_3B!$D$2583:$D$100,"&lt;="&amp;B2583,CBIC_Late_Fee_Relief_Windows_3B!$E$2583:$E$100,"&gt;="&amp;B2583,CBIC_Late_Fee_Relief_Windows_3B!$F$2583:$F$100,"&lt;="&amp;C2583,CBIC_Late_Fee_Relief_Windows_3B!$G$2583:$G$100,"&gt;="&amp;C2583)</f>
        <v/>
      </c>
      <c r="H2583">
        <f>INDEX(CBIC_Late_Fee_Relief_Windows_3B!$I$2583:$I$100,MATCH(G2583,CBIC_Late_Fee_Relief_Windows_3B!$O$2583:$O$100,0))</f>
        <v/>
      </c>
      <c r="I2583">
        <f>MIN(F2583,H2583)</f>
        <v/>
      </c>
    </row>
    <row r="2584">
      <c r="A2584">
        <f>TEST_DATA!A2584</f>
        <v/>
      </c>
      <c r="B2584">
        <f>TEST_DATA!B2584</f>
        <v/>
      </c>
      <c r="C2584">
        <f>TEST_DATA!C2584</f>
        <v/>
      </c>
      <c r="D2584">
        <f>TEST_DATA!D2584</f>
        <v/>
      </c>
      <c r="E2584">
        <f>TEST_DATA!E2584</f>
        <v/>
      </c>
      <c r="F2584">
        <f>MIN(E2584*258400,10000)</f>
        <v/>
      </c>
      <c r="G2584">
        <f>MINIFS(CBIC_Late_Fee_Relief_Windows_3B!$O$2584:$O$100,CBIC_Late_Fee_Relief_Windows_3B!$D$2584:$D$100,"&lt;="&amp;B2584,CBIC_Late_Fee_Relief_Windows_3B!$E$2584:$E$100,"&gt;="&amp;B2584,CBIC_Late_Fee_Relief_Windows_3B!$F$2584:$F$100,"&lt;="&amp;C2584,CBIC_Late_Fee_Relief_Windows_3B!$G$2584:$G$100,"&gt;="&amp;C2584)</f>
        <v/>
      </c>
      <c r="H2584">
        <f>INDEX(CBIC_Late_Fee_Relief_Windows_3B!$I$2584:$I$100,MATCH(G2584,CBIC_Late_Fee_Relief_Windows_3B!$O$2584:$O$100,0))</f>
        <v/>
      </c>
      <c r="I2584">
        <f>MIN(F2584,H2584)</f>
        <v/>
      </c>
    </row>
    <row r="2585">
      <c r="A2585">
        <f>TEST_DATA!A2585</f>
        <v/>
      </c>
      <c r="B2585">
        <f>TEST_DATA!B2585</f>
        <v/>
      </c>
      <c r="C2585">
        <f>TEST_DATA!C2585</f>
        <v/>
      </c>
      <c r="D2585">
        <f>TEST_DATA!D2585</f>
        <v/>
      </c>
      <c r="E2585">
        <f>TEST_DATA!E2585</f>
        <v/>
      </c>
      <c r="F2585">
        <f>MIN(E2585*258500,10000)</f>
        <v/>
      </c>
      <c r="G2585">
        <f>MINIFS(CBIC_Late_Fee_Relief_Windows_3B!$O$2585:$O$100,CBIC_Late_Fee_Relief_Windows_3B!$D$2585:$D$100,"&lt;="&amp;B2585,CBIC_Late_Fee_Relief_Windows_3B!$E$2585:$E$100,"&gt;="&amp;B2585,CBIC_Late_Fee_Relief_Windows_3B!$F$2585:$F$100,"&lt;="&amp;C2585,CBIC_Late_Fee_Relief_Windows_3B!$G$2585:$G$100,"&gt;="&amp;C2585)</f>
        <v/>
      </c>
      <c r="H2585">
        <f>INDEX(CBIC_Late_Fee_Relief_Windows_3B!$I$2585:$I$100,MATCH(G2585,CBIC_Late_Fee_Relief_Windows_3B!$O$2585:$O$100,0))</f>
        <v/>
      </c>
      <c r="I2585">
        <f>MIN(F2585,H2585)</f>
        <v/>
      </c>
    </row>
    <row r="2586">
      <c r="A2586">
        <f>TEST_DATA!A2586</f>
        <v/>
      </c>
      <c r="B2586">
        <f>TEST_DATA!B2586</f>
        <v/>
      </c>
      <c r="C2586">
        <f>TEST_DATA!C2586</f>
        <v/>
      </c>
      <c r="D2586">
        <f>TEST_DATA!D2586</f>
        <v/>
      </c>
      <c r="E2586">
        <f>TEST_DATA!E2586</f>
        <v/>
      </c>
      <c r="F2586">
        <f>MIN(E2586*258600,10000)</f>
        <v/>
      </c>
      <c r="G2586">
        <f>MINIFS(CBIC_Late_Fee_Relief_Windows_3B!$O$2586:$O$100,CBIC_Late_Fee_Relief_Windows_3B!$D$2586:$D$100,"&lt;="&amp;B2586,CBIC_Late_Fee_Relief_Windows_3B!$E$2586:$E$100,"&gt;="&amp;B2586,CBIC_Late_Fee_Relief_Windows_3B!$F$2586:$F$100,"&lt;="&amp;C2586,CBIC_Late_Fee_Relief_Windows_3B!$G$2586:$G$100,"&gt;="&amp;C2586)</f>
        <v/>
      </c>
      <c r="H2586">
        <f>INDEX(CBIC_Late_Fee_Relief_Windows_3B!$I$2586:$I$100,MATCH(G2586,CBIC_Late_Fee_Relief_Windows_3B!$O$2586:$O$100,0))</f>
        <v/>
      </c>
      <c r="I2586">
        <f>MIN(F2586,H2586)</f>
        <v/>
      </c>
    </row>
    <row r="2587">
      <c r="A2587">
        <f>TEST_DATA!A2587</f>
        <v/>
      </c>
      <c r="B2587">
        <f>TEST_DATA!B2587</f>
        <v/>
      </c>
      <c r="C2587">
        <f>TEST_DATA!C2587</f>
        <v/>
      </c>
      <c r="D2587">
        <f>TEST_DATA!D2587</f>
        <v/>
      </c>
      <c r="E2587">
        <f>TEST_DATA!E2587</f>
        <v/>
      </c>
      <c r="F2587">
        <f>MIN(E2587*258700,10000)</f>
        <v/>
      </c>
      <c r="G2587">
        <f>MINIFS(CBIC_Late_Fee_Relief_Windows_3B!$O$2587:$O$100,CBIC_Late_Fee_Relief_Windows_3B!$D$2587:$D$100,"&lt;="&amp;B2587,CBIC_Late_Fee_Relief_Windows_3B!$E$2587:$E$100,"&gt;="&amp;B2587,CBIC_Late_Fee_Relief_Windows_3B!$F$2587:$F$100,"&lt;="&amp;C2587,CBIC_Late_Fee_Relief_Windows_3B!$G$2587:$G$100,"&gt;="&amp;C2587)</f>
        <v/>
      </c>
      <c r="H2587">
        <f>INDEX(CBIC_Late_Fee_Relief_Windows_3B!$I$2587:$I$100,MATCH(G2587,CBIC_Late_Fee_Relief_Windows_3B!$O$2587:$O$100,0))</f>
        <v/>
      </c>
      <c r="I2587">
        <f>MIN(F2587,H2587)</f>
        <v/>
      </c>
    </row>
    <row r="2588">
      <c r="A2588">
        <f>TEST_DATA!A2588</f>
        <v/>
      </c>
      <c r="B2588">
        <f>TEST_DATA!B2588</f>
        <v/>
      </c>
      <c r="C2588">
        <f>TEST_DATA!C2588</f>
        <v/>
      </c>
      <c r="D2588">
        <f>TEST_DATA!D2588</f>
        <v/>
      </c>
      <c r="E2588">
        <f>TEST_DATA!E2588</f>
        <v/>
      </c>
      <c r="F2588">
        <f>MIN(E2588*258800,10000)</f>
        <v/>
      </c>
      <c r="G2588">
        <f>MINIFS(CBIC_Late_Fee_Relief_Windows_3B!$O$2588:$O$100,CBIC_Late_Fee_Relief_Windows_3B!$D$2588:$D$100,"&lt;="&amp;B2588,CBIC_Late_Fee_Relief_Windows_3B!$E$2588:$E$100,"&gt;="&amp;B2588,CBIC_Late_Fee_Relief_Windows_3B!$F$2588:$F$100,"&lt;="&amp;C2588,CBIC_Late_Fee_Relief_Windows_3B!$G$2588:$G$100,"&gt;="&amp;C2588)</f>
        <v/>
      </c>
      <c r="H2588">
        <f>INDEX(CBIC_Late_Fee_Relief_Windows_3B!$I$2588:$I$100,MATCH(G2588,CBIC_Late_Fee_Relief_Windows_3B!$O$2588:$O$100,0))</f>
        <v/>
      </c>
      <c r="I2588">
        <f>MIN(F2588,H2588)</f>
        <v/>
      </c>
    </row>
    <row r="2589">
      <c r="A2589">
        <f>TEST_DATA!A2589</f>
        <v/>
      </c>
      <c r="B2589">
        <f>TEST_DATA!B2589</f>
        <v/>
      </c>
      <c r="C2589">
        <f>TEST_DATA!C2589</f>
        <v/>
      </c>
      <c r="D2589">
        <f>TEST_DATA!D2589</f>
        <v/>
      </c>
      <c r="E2589">
        <f>TEST_DATA!E2589</f>
        <v/>
      </c>
      <c r="F2589">
        <f>MIN(E2589*258900,10000)</f>
        <v/>
      </c>
      <c r="G2589">
        <f>MINIFS(CBIC_Late_Fee_Relief_Windows_3B!$O$2589:$O$100,CBIC_Late_Fee_Relief_Windows_3B!$D$2589:$D$100,"&lt;="&amp;B2589,CBIC_Late_Fee_Relief_Windows_3B!$E$2589:$E$100,"&gt;="&amp;B2589,CBIC_Late_Fee_Relief_Windows_3B!$F$2589:$F$100,"&lt;="&amp;C2589,CBIC_Late_Fee_Relief_Windows_3B!$G$2589:$G$100,"&gt;="&amp;C2589)</f>
        <v/>
      </c>
      <c r="H2589">
        <f>INDEX(CBIC_Late_Fee_Relief_Windows_3B!$I$2589:$I$100,MATCH(G2589,CBIC_Late_Fee_Relief_Windows_3B!$O$2589:$O$100,0))</f>
        <v/>
      </c>
      <c r="I2589">
        <f>MIN(F2589,H2589)</f>
        <v/>
      </c>
    </row>
    <row r="2590">
      <c r="A2590">
        <f>TEST_DATA!A2590</f>
        <v/>
      </c>
      <c r="B2590">
        <f>TEST_DATA!B2590</f>
        <v/>
      </c>
      <c r="C2590">
        <f>TEST_DATA!C2590</f>
        <v/>
      </c>
      <c r="D2590">
        <f>TEST_DATA!D2590</f>
        <v/>
      </c>
      <c r="E2590">
        <f>TEST_DATA!E2590</f>
        <v/>
      </c>
      <c r="F2590">
        <f>MIN(E2590*259000,10000)</f>
        <v/>
      </c>
      <c r="G2590">
        <f>MINIFS(CBIC_Late_Fee_Relief_Windows_3B!$O$2590:$O$100,CBIC_Late_Fee_Relief_Windows_3B!$D$2590:$D$100,"&lt;="&amp;B2590,CBIC_Late_Fee_Relief_Windows_3B!$E$2590:$E$100,"&gt;="&amp;B2590,CBIC_Late_Fee_Relief_Windows_3B!$F$2590:$F$100,"&lt;="&amp;C2590,CBIC_Late_Fee_Relief_Windows_3B!$G$2590:$G$100,"&gt;="&amp;C2590)</f>
        <v/>
      </c>
      <c r="H2590">
        <f>INDEX(CBIC_Late_Fee_Relief_Windows_3B!$I$2590:$I$100,MATCH(G2590,CBIC_Late_Fee_Relief_Windows_3B!$O$2590:$O$100,0))</f>
        <v/>
      </c>
      <c r="I2590">
        <f>MIN(F2590,H2590)</f>
        <v/>
      </c>
    </row>
    <row r="2591">
      <c r="A2591">
        <f>TEST_DATA!A2591</f>
        <v/>
      </c>
      <c r="B2591">
        <f>TEST_DATA!B2591</f>
        <v/>
      </c>
      <c r="C2591">
        <f>TEST_DATA!C2591</f>
        <v/>
      </c>
      <c r="D2591">
        <f>TEST_DATA!D2591</f>
        <v/>
      </c>
      <c r="E2591">
        <f>TEST_DATA!E2591</f>
        <v/>
      </c>
      <c r="F2591">
        <f>MIN(E2591*259100,10000)</f>
        <v/>
      </c>
      <c r="G2591">
        <f>MINIFS(CBIC_Late_Fee_Relief_Windows_3B!$O$2591:$O$100,CBIC_Late_Fee_Relief_Windows_3B!$D$2591:$D$100,"&lt;="&amp;B2591,CBIC_Late_Fee_Relief_Windows_3B!$E$2591:$E$100,"&gt;="&amp;B2591,CBIC_Late_Fee_Relief_Windows_3B!$F$2591:$F$100,"&lt;="&amp;C2591,CBIC_Late_Fee_Relief_Windows_3B!$G$2591:$G$100,"&gt;="&amp;C2591)</f>
        <v/>
      </c>
      <c r="H2591">
        <f>INDEX(CBIC_Late_Fee_Relief_Windows_3B!$I$2591:$I$100,MATCH(G2591,CBIC_Late_Fee_Relief_Windows_3B!$O$2591:$O$100,0))</f>
        <v/>
      </c>
      <c r="I2591">
        <f>MIN(F2591,H2591)</f>
        <v/>
      </c>
    </row>
    <row r="2592">
      <c r="A2592">
        <f>TEST_DATA!A2592</f>
        <v/>
      </c>
      <c r="B2592">
        <f>TEST_DATA!B2592</f>
        <v/>
      </c>
      <c r="C2592">
        <f>TEST_DATA!C2592</f>
        <v/>
      </c>
      <c r="D2592">
        <f>TEST_DATA!D2592</f>
        <v/>
      </c>
      <c r="E2592">
        <f>TEST_DATA!E2592</f>
        <v/>
      </c>
      <c r="F2592">
        <f>MIN(E2592*259200,10000)</f>
        <v/>
      </c>
      <c r="G2592">
        <f>MINIFS(CBIC_Late_Fee_Relief_Windows_3B!$O$2592:$O$100,CBIC_Late_Fee_Relief_Windows_3B!$D$2592:$D$100,"&lt;="&amp;B2592,CBIC_Late_Fee_Relief_Windows_3B!$E$2592:$E$100,"&gt;="&amp;B2592,CBIC_Late_Fee_Relief_Windows_3B!$F$2592:$F$100,"&lt;="&amp;C2592,CBIC_Late_Fee_Relief_Windows_3B!$G$2592:$G$100,"&gt;="&amp;C2592)</f>
        <v/>
      </c>
      <c r="H2592">
        <f>INDEX(CBIC_Late_Fee_Relief_Windows_3B!$I$2592:$I$100,MATCH(G2592,CBIC_Late_Fee_Relief_Windows_3B!$O$2592:$O$100,0))</f>
        <v/>
      </c>
      <c r="I2592">
        <f>MIN(F2592,H2592)</f>
        <v/>
      </c>
    </row>
    <row r="2593">
      <c r="A2593">
        <f>TEST_DATA!A2593</f>
        <v/>
      </c>
      <c r="B2593">
        <f>TEST_DATA!B2593</f>
        <v/>
      </c>
      <c r="C2593">
        <f>TEST_DATA!C2593</f>
        <v/>
      </c>
      <c r="D2593">
        <f>TEST_DATA!D2593</f>
        <v/>
      </c>
      <c r="E2593">
        <f>TEST_DATA!E2593</f>
        <v/>
      </c>
      <c r="F2593">
        <f>MIN(E2593*259300,10000)</f>
        <v/>
      </c>
      <c r="G2593">
        <f>MINIFS(CBIC_Late_Fee_Relief_Windows_3B!$O$2593:$O$100,CBIC_Late_Fee_Relief_Windows_3B!$D$2593:$D$100,"&lt;="&amp;B2593,CBIC_Late_Fee_Relief_Windows_3B!$E$2593:$E$100,"&gt;="&amp;B2593,CBIC_Late_Fee_Relief_Windows_3B!$F$2593:$F$100,"&lt;="&amp;C2593,CBIC_Late_Fee_Relief_Windows_3B!$G$2593:$G$100,"&gt;="&amp;C2593)</f>
        <v/>
      </c>
      <c r="H2593">
        <f>INDEX(CBIC_Late_Fee_Relief_Windows_3B!$I$2593:$I$100,MATCH(G2593,CBIC_Late_Fee_Relief_Windows_3B!$O$2593:$O$100,0))</f>
        <v/>
      </c>
      <c r="I2593">
        <f>MIN(F2593,H2593)</f>
        <v/>
      </c>
    </row>
    <row r="2594">
      <c r="A2594">
        <f>TEST_DATA!A2594</f>
        <v/>
      </c>
      <c r="B2594">
        <f>TEST_DATA!B2594</f>
        <v/>
      </c>
      <c r="C2594">
        <f>TEST_DATA!C2594</f>
        <v/>
      </c>
      <c r="D2594">
        <f>TEST_DATA!D2594</f>
        <v/>
      </c>
      <c r="E2594">
        <f>TEST_DATA!E2594</f>
        <v/>
      </c>
      <c r="F2594">
        <f>MIN(E2594*259400,10000)</f>
        <v/>
      </c>
      <c r="G2594">
        <f>MINIFS(CBIC_Late_Fee_Relief_Windows_3B!$O$2594:$O$100,CBIC_Late_Fee_Relief_Windows_3B!$D$2594:$D$100,"&lt;="&amp;B2594,CBIC_Late_Fee_Relief_Windows_3B!$E$2594:$E$100,"&gt;="&amp;B2594,CBIC_Late_Fee_Relief_Windows_3B!$F$2594:$F$100,"&lt;="&amp;C2594,CBIC_Late_Fee_Relief_Windows_3B!$G$2594:$G$100,"&gt;="&amp;C2594)</f>
        <v/>
      </c>
      <c r="H2594">
        <f>INDEX(CBIC_Late_Fee_Relief_Windows_3B!$I$2594:$I$100,MATCH(G2594,CBIC_Late_Fee_Relief_Windows_3B!$O$2594:$O$100,0))</f>
        <v/>
      </c>
      <c r="I2594">
        <f>MIN(F2594,H2594)</f>
        <v/>
      </c>
    </row>
    <row r="2595">
      <c r="A2595">
        <f>TEST_DATA!A2595</f>
        <v/>
      </c>
      <c r="B2595">
        <f>TEST_DATA!B2595</f>
        <v/>
      </c>
      <c r="C2595">
        <f>TEST_DATA!C2595</f>
        <v/>
      </c>
      <c r="D2595">
        <f>TEST_DATA!D2595</f>
        <v/>
      </c>
      <c r="E2595">
        <f>TEST_DATA!E2595</f>
        <v/>
      </c>
      <c r="F2595">
        <f>MIN(E2595*259500,10000)</f>
        <v/>
      </c>
      <c r="G2595">
        <f>MINIFS(CBIC_Late_Fee_Relief_Windows_3B!$O$2595:$O$100,CBIC_Late_Fee_Relief_Windows_3B!$D$2595:$D$100,"&lt;="&amp;B2595,CBIC_Late_Fee_Relief_Windows_3B!$E$2595:$E$100,"&gt;="&amp;B2595,CBIC_Late_Fee_Relief_Windows_3B!$F$2595:$F$100,"&lt;="&amp;C2595,CBIC_Late_Fee_Relief_Windows_3B!$G$2595:$G$100,"&gt;="&amp;C2595)</f>
        <v/>
      </c>
      <c r="H2595">
        <f>INDEX(CBIC_Late_Fee_Relief_Windows_3B!$I$2595:$I$100,MATCH(G2595,CBIC_Late_Fee_Relief_Windows_3B!$O$2595:$O$100,0))</f>
        <v/>
      </c>
      <c r="I2595">
        <f>MIN(F2595,H2595)</f>
        <v/>
      </c>
    </row>
    <row r="2596">
      <c r="A2596">
        <f>TEST_DATA!A2596</f>
        <v/>
      </c>
      <c r="B2596">
        <f>TEST_DATA!B2596</f>
        <v/>
      </c>
      <c r="C2596">
        <f>TEST_DATA!C2596</f>
        <v/>
      </c>
      <c r="D2596">
        <f>TEST_DATA!D2596</f>
        <v/>
      </c>
      <c r="E2596">
        <f>TEST_DATA!E2596</f>
        <v/>
      </c>
      <c r="F2596">
        <f>MIN(E2596*259600,10000)</f>
        <v/>
      </c>
      <c r="G2596">
        <f>MINIFS(CBIC_Late_Fee_Relief_Windows_3B!$O$2596:$O$100,CBIC_Late_Fee_Relief_Windows_3B!$D$2596:$D$100,"&lt;="&amp;B2596,CBIC_Late_Fee_Relief_Windows_3B!$E$2596:$E$100,"&gt;="&amp;B2596,CBIC_Late_Fee_Relief_Windows_3B!$F$2596:$F$100,"&lt;="&amp;C2596,CBIC_Late_Fee_Relief_Windows_3B!$G$2596:$G$100,"&gt;="&amp;C2596)</f>
        <v/>
      </c>
      <c r="H2596">
        <f>INDEX(CBIC_Late_Fee_Relief_Windows_3B!$I$2596:$I$100,MATCH(G2596,CBIC_Late_Fee_Relief_Windows_3B!$O$2596:$O$100,0))</f>
        <v/>
      </c>
      <c r="I2596">
        <f>MIN(F2596,H2596)</f>
        <v/>
      </c>
    </row>
    <row r="2597">
      <c r="A2597">
        <f>TEST_DATA!A2597</f>
        <v/>
      </c>
      <c r="B2597">
        <f>TEST_DATA!B2597</f>
        <v/>
      </c>
      <c r="C2597">
        <f>TEST_DATA!C2597</f>
        <v/>
      </c>
      <c r="D2597">
        <f>TEST_DATA!D2597</f>
        <v/>
      </c>
      <c r="E2597">
        <f>TEST_DATA!E2597</f>
        <v/>
      </c>
      <c r="F2597">
        <f>MIN(E2597*259700,10000)</f>
        <v/>
      </c>
      <c r="G2597">
        <f>MINIFS(CBIC_Late_Fee_Relief_Windows_3B!$O$2597:$O$100,CBIC_Late_Fee_Relief_Windows_3B!$D$2597:$D$100,"&lt;="&amp;B2597,CBIC_Late_Fee_Relief_Windows_3B!$E$2597:$E$100,"&gt;="&amp;B2597,CBIC_Late_Fee_Relief_Windows_3B!$F$2597:$F$100,"&lt;="&amp;C2597,CBIC_Late_Fee_Relief_Windows_3B!$G$2597:$G$100,"&gt;="&amp;C2597)</f>
        <v/>
      </c>
      <c r="H2597">
        <f>INDEX(CBIC_Late_Fee_Relief_Windows_3B!$I$2597:$I$100,MATCH(G2597,CBIC_Late_Fee_Relief_Windows_3B!$O$2597:$O$100,0))</f>
        <v/>
      </c>
      <c r="I2597">
        <f>MIN(F2597,H2597)</f>
        <v/>
      </c>
    </row>
    <row r="2598">
      <c r="A2598">
        <f>TEST_DATA!A2598</f>
        <v/>
      </c>
      <c r="B2598">
        <f>TEST_DATA!B2598</f>
        <v/>
      </c>
      <c r="C2598">
        <f>TEST_DATA!C2598</f>
        <v/>
      </c>
      <c r="D2598">
        <f>TEST_DATA!D2598</f>
        <v/>
      </c>
      <c r="E2598">
        <f>TEST_DATA!E2598</f>
        <v/>
      </c>
      <c r="F2598">
        <f>MIN(E2598*259800,10000)</f>
        <v/>
      </c>
      <c r="G2598">
        <f>MINIFS(CBIC_Late_Fee_Relief_Windows_3B!$O$2598:$O$100,CBIC_Late_Fee_Relief_Windows_3B!$D$2598:$D$100,"&lt;="&amp;B2598,CBIC_Late_Fee_Relief_Windows_3B!$E$2598:$E$100,"&gt;="&amp;B2598,CBIC_Late_Fee_Relief_Windows_3B!$F$2598:$F$100,"&lt;="&amp;C2598,CBIC_Late_Fee_Relief_Windows_3B!$G$2598:$G$100,"&gt;="&amp;C2598)</f>
        <v/>
      </c>
      <c r="H2598">
        <f>INDEX(CBIC_Late_Fee_Relief_Windows_3B!$I$2598:$I$100,MATCH(G2598,CBIC_Late_Fee_Relief_Windows_3B!$O$2598:$O$100,0))</f>
        <v/>
      </c>
      <c r="I2598">
        <f>MIN(F2598,H2598)</f>
        <v/>
      </c>
    </row>
    <row r="2599">
      <c r="A2599">
        <f>TEST_DATA!A2599</f>
        <v/>
      </c>
      <c r="B2599">
        <f>TEST_DATA!B2599</f>
        <v/>
      </c>
      <c r="C2599">
        <f>TEST_DATA!C2599</f>
        <v/>
      </c>
      <c r="D2599">
        <f>TEST_DATA!D2599</f>
        <v/>
      </c>
      <c r="E2599">
        <f>TEST_DATA!E2599</f>
        <v/>
      </c>
      <c r="F2599">
        <f>MIN(E2599*259900,10000)</f>
        <v/>
      </c>
      <c r="G2599">
        <f>MINIFS(CBIC_Late_Fee_Relief_Windows_3B!$O$2599:$O$100,CBIC_Late_Fee_Relief_Windows_3B!$D$2599:$D$100,"&lt;="&amp;B2599,CBIC_Late_Fee_Relief_Windows_3B!$E$2599:$E$100,"&gt;="&amp;B2599,CBIC_Late_Fee_Relief_Windows_3B!$F$2599:$F$100,"&lt;="&amp;C2599,CBIC_Late_Fee_Relief_Windows_3B!$G$2599:$G$100,"&gt;="&amp;C2599)</f>
        <v/>
      </c>
      <c r="H2599">
        <f>INDEX(CBIC_Late_Fee_Relief_Windows_3B!$I$2599:$I$100,MATCH(G2599,CBIC_Late_Fee_Relief_Windows_3B!$O$2599:$O$100,0))</f>
        <v/>
      </c>
      <c r="I2599">
        <f>MIN(F2599,H2599)</f>
        <v/>
      </c>
    </row>
    <row r="2600">
      <c r="A2600">
        <f>TEST_DATA!A2600</f>
        <v/>
      </c>
      <c r="B2600">
        <f>TEST_DATA!B2600</f>
        <v/>
      </c>
      <c r="C2600">
        <f>TEST_DATA!C2600</f>
        <v/>
      </c>
      <c r="D2600">
        <f>TEST_DATA!D2600</f>
        <v/>
      </c>
      <c r="E2600">
        <f>TEST_DATA!E2600</f>
        <v/>
      </c>
      <c r="F2600">
        <f>MIN(E2600*260000,10000)</f>
        <v/>
      </c>
      <c r="G2600">
        <f>MINIFS(CBIC_Late_Fee_Relief_Windows_3B!$O$2600:$O$100,CBIC_Late_Fee_Relief_Windows_3B!$D$2600:$D$100,"&lt;="&amp;B2600,CBIC_Late_Fee_Relief_Windows_3B!$E$2600:$E$100,"&gt;="&amp;B2600,CBIC_Late_Fee_Relief_Windows_3B!$F$2600:$F$100,"&lt;="&amp;C2600,CBIC_Late_Fee_Relief_Windows_3B!$G$2600:$G$100,"&gt;="&amp;C2600)</f>
        <v/>
      </c>
      <c r="H2600">
        <f>INDEX(CBIC_Late_Fee_Relief_Windows_3B!$I$2600:$I$100,MATCH(G2600,CBIC_Late_Fee_Relief_Windows_3B!$O$2600:$O$100,0))</f>
        <v/>
      </c>
      <c r="I2600">
        <f>MIN(F2600,H2600)</f>
        <v/>
      </c>
    </row>
    <row r="2601">
      <c r="A2601">
        <f>TEST_DATA!A2601</f>
        <v/>
      </c>
      <c r="B2601">
        <f>TEST_DATA!B2601</f>
        <v/>
      </c>
      <c r="C2601">
        <f>TEST_DATA!C2601</f>
        <v/>
      </c>
      <c r="D2601">
        <f>TEST_DATA!D2601</f>
        <v/>
      </c>
      <c r="E2601">
        <f>TEST_DATA!E2601</f>
        <v/>
      </c>
      <c r="F2601">
        <f>MIN(E2601*260100,10000)</f>
        <v/>
      </c>
      <c r="G2601">
        <f>MINIFS(CBIC_Late_Fee_Relief_Windows_3B!$O$2601:$O$100,CBIC_Late_Fee_Relief_Windows_3B!$D$2601:$D$100,"&lt;="&amp;B2601,CBIC_Late_Fee_Relief_Windows_3B!$E$2601:$E$100,"&gt;="&amp;B2601,CBIC_Late_Fee_Relief_Windows_3B!$F$2601:$F$100,"&lt;="&amp;C2601,CBIC_Late_Fee_Relief_Windows_3B!$G$2601:$G$100,"&gt;="&amp;C2601)</f>
        <v/>
      </c>
      <c r="H2601">
        <f>INDEX(CBIC_Late_Fee_Relief_Windows_3B!$I$2601:$I$100,MATCH(G2601,CBIC_Late_Fee_Relief_Windows_3B!$O$2601:$O$100,0))</f>
        <v/>
      </c>
      <c r="I2601">
        <f>MIN(F2601,H2601)</f>
        <v/>
      </c>
    </row>
    <row r="2602">
      <c r="A2602">
        <f>TEST_DATA!A2602</f>
        <v/>
      </c>
      <c r="B2602">
        <f>TEST_DATA!B2602</f>
        <v/>
      </c>
      <c r="C2602">
        <f>TEST_DATA!C2602</f>
        <v/>
      </c>
      <c r="D2602">
        <f>TEST_DATA!D2602</f>
        <v/>
      </c>
      <c r="E2602">
        <f>TEST_DATA!E2602</f>
        <v/>
      </c>
      <c r="F2602">
        <f>MIN(E2602*260200,10000)</f>
        <v/>
      </c>
      <c r="G2602">
        <f>MINIFS(CBIC_Late_Fee_Relief_Windows_3B!$O$2602:$O$100,CBIC_Late_Fee_Relief_Windows_3B!$D$2602:$D$100,"&lt;="&amp;B2602,CBIC_Late_Fee_Relief_Windows_3B!$E$2602:$E$100,"&gt;="&amp;B2602,CBIC_Late_Fee_Relief_Windows_3B!$F$2602:$F$100,"&lt;="&amp;C2602,CBIC_Late_Fee_Relief_Windows_3B!$G$2602:$G$100,"&gt;="&amp;C2602)</f>
        <v/>
      </c>
      <c r="H2602">
        <f>INDEX(CBIC_Late_Fee_Relief_Windows_3B!$I$2602:$I$100,MATCH(G2602,CBIC_Late_Fee_Relief_Windows_3B!$O$2602:$O$100,0))</f>
        <v/>
      </c>
      <c r="I2602">
        <f>MIN(F2602,H2602)</f>
        <v/>
      </c>
    </row>
    <row r="2603">
      <c r="A2603">
        <f>TEST_DATA!A2603</f>
        <v/>
      </c>
      <c r="B2603">
        <f>TEST_DATA!B2603</f>
        <v/>
      </c>
      <c r="C2603">
        <f>TEST_DATA!C2603</f>
        <v/>
      </c>
      <c r="D2603">
        <f>TEST_DATA!D2603</f>
        <v/>
      </c>
      <c r="E2603">
        <f>TEST_DATA!E2603</f>
        <v/>
      </c>
      <c r="F2603">
        <f>MIN(E2603*260300,10000)</f>
        <v/>
      </c>
      <c r="G2603">
        <f>MINIFS(CBIC_Late_Fee_Relief_Windows_3B!$O$2603:$O$100,CBIC_Late_Fee_Relief_Windows_3B!$D$2603:$D$100,"&lt;="&amp;B2603,CBIC_Late_Fee_Relief_Windows_3B!$E$2603:$E$100,"&gt;="&amp;B2603,CBIC_Late_Fee_Relief_Windows_3B!$F$2603:$F$100,"&lt;="&amp;C2603,CBIC_Late_Fee_Relief_Windows_3B!$G$2603:$G$100,"&gt;="&amp;C2603)</f>
        <v/>
      </c>
      <c r="H2603">
        <f>INDEX(CBIC_Late_Fee_Relief_Windows_3B!$I$2603:$I$100,MATCH(G2603,CBIC_Late_Fee_Relief_Windows_3B!$O$2603:$O$100,0))</f>
        <v/>
      </c>
      <c r="I2603">
        <f>MIN(F2603,H2603)</f>
        <v/>
      </c>
    </row>
    <row r="2604">
      <c r="A2604">
        <f>TEST_DATA!A2604</f>
        <v/>
      </c>
      <c r="B2604">
        <f>TEST_DATA!B2604</f>
        <v/>
      </c>
      <c r="C2604">
        <f>TEST_DATA!C2604</f>
        <v/>
      </c>
      <c r="D2604">
        <f>TEST_DATA!D2604</f>
        <v/>
      </c>
      <c r="E2604">
        <f>TEST_DATA!E2604</f>
        <v/>
      </c>
      <c r="F2604">
        <f>MIN(E2604*260400,10000)</f>
        <v/>
      </c>
      <c r="G2604">
        <f>MINIFS(CBIC_Late_Fee_Relief_Windows_3B!$O$2604:$O$100,CBIC_Late_Fee_Relief_Windows_3B!$D$2604:$D$100,"&lt;="&amp;B2604,CBIC_Late_Fee_Relief_Windows_3B!$E$2604:$E$100,"&gt;="&amp;B2604,CBIC_Late_Fee_Relief_Windows_3B!$F$2604:$F$100,"&lt;="&amp;C2604,CBIC_Late_Fee_Relief_Windows_3B!$G$2604:$G$100,"&gt;="&amp;C2604)</f>
        <v/>
      </c>
      <c r="H2604">
        <f>INDEX(CBIC_Late_Fee_Relief_Windows_3B!$I$2604:$I$100,MATCH(G2604,CBIC_Late_Fee_Relief_Windows_3B!$O$2604:$O$100,0))</f>
        <v/>
      </c>
      <c r="I2604">
        <f>MIN(F2604,H2604)</f>
        <v/>
      </c>
    </row>
    <row r="2605">
      <c r="A2605">
        <f>TEST_DATA!A2605</f>
        <v/>
      </c>
      <c r="B2605">
        <f>TEST_DATA!B2605</f>
        <v/>
      </c>
      <c r="C2605">
        <f>TEST_DATA!C2605</f>
        <v/>
      </c>
      <c r="D2605">
        <f>TEST_DATA!D2605</f>
        <v/>
      </c>
      <c r="E2605">
        <f>TEST_DATA!E2605</f>
        <v/>
      </c>
      <c r="F2605">
        <f>MIN(E2605*260500,10000)</f>
        <v/>
      </c>
      <c r="G2605">
        <f>MINIFS(CBIC_Late_Fee_Relief_Windows_3B!$O$2605:$O$100,CBIC_Late_Fee_Relief_Windows_3B!$D$2605:$D$100,"&lt;="&amp;B2605,CBIC_Late_Fee_Relief_Windows_3B!$E$2605:$E$100,"&gt;="&amp;B2605,CBIC_Late_Fee_Relief_Windows_3B!$F$2605:$F$100,"&lt;="&amp;C2605,CBIC_Late_Fee_Relief_Windows_3B!$G$2605:$G$100,"&gt;="&amp;C2605)</f>
        <v/>
      </c>
      <c r="H2605">
        <f>INDEX(CBIC_Late_Fee_Relief_Windows_3B!$I$2605:$I$100,MATCH(G2605,CBIC_Late_Fee_Relief_Windows_3B!$O$2605:$O$100,0))</f>
        <v/>
      </c>
      <c r="I2605">
        <f>MIN(F2605,H2605)</f>
        <v/>
      </c>
    </row>
    <row r="2606">
      <c r="A2606">
        <f>TEST_DATA!A2606</f>
        <v/>
      </c>
      <c r="B2606">
        <f>TEST_DATA!B2606</f>
        <v/>
      </c>
      <c r="C2606">
        <f>TEST_DATA!C2606</f>
        <v/>
      </c>
      <c r="D2606">
        <f>TEST_DATA!D2606</f>
        <v/>
      </c>
      <c r="E2606">
        <f>TEST_DATA!E2606</f>
        <v/>
      </c>
      <c r="F2606">
        <f>MIN(E2606*260600,10000)</f>
        <v/>
      </c>
      <c r="G2606">
        <f>MINIFS(CBIC_Late_Fee_Relief_Windows_3B!$O$2606:$O$100,CBIC_Late_Fee_Relief_Windows_3B!$D$2606:$D$100,"&lt;="&amp;B2606,CBIC_Late_Fee_Relief_Windows_3B!$E$2606:$E$100,"&gt;="&amp;B2606,CBIC_Late_Fee_Relief_Windows_3B!$F$2606:$F$100,"&lt;="&amp;C2606,CBIC_Late_Fee_Relief_Windows_3B!$G$2606:$G$100,"&gt;="&amp;C2606)</f>
        <v/>
      </c>
      <c r="H2606">
        <f>INDEX(CBIC_Late_Fee_Relief_Windows_3B!$I$2606:$I$100,MATCH(G2606,CBIC_Late_Fee_Relief_Windows_3B!$O$2606:$O$100,0))</f>
        <v/>
      </c>
      <c r="I2606">
        <f>MIN(F2606,H2606)</f>
        <v/>
      </c>
    </row>
    <row r="2607">
      <c r="A2607">
        <f>TEST_DATA!A2607</f>
        <v/>
      </c>
      <c r="B2607">
        <f>TEST_DATA!B2607</f>
        <v/>
      </c>
      <c r="C2607">
        <f>TEST_DATA!C2607</f>
        <v/>
      </c>
      <c r="D2607">
        <f>TEST_DATA!D2607</f>
        <v/>
      </c>
      <c r="E2607">
        <f>TEST_DATA!E2607</f>
        <v/>
      </c>
      <c r="F2607">
        <f>MIN(E2607*260700,10000)</f>
        <v/>
      </c>
      <c r="G2607">
        <f>MINIFS(CBIC_Late_Fee_Relief_Windows_3B!$O$2607:$O$100,CBIC_Late_Fee_Relief_Windows_3B!$D$2607:$D$100,"&lt;="&amp;B2607,CBIC_Late_Fee_Relief_Windows_3B!$E$2607:$E$100,"&gt;="&amp;B2607,CBIC_Late_Fee_Relief_Windows_3B!$F$2607:$F$100,"&lt;="&amp;C2607,CBIC_Late_Fee_Relief_Windows_3B!$G$2607:$G$100,"&gt;="&amp;C2607)</f>
        <v/>
      </c>
      <c r="H2607">
        <f>INDEX(CBIC_Late_Fee_Relief_Windows_3B!$I$2607:$I$100,MATCH(G2607,CBIC_Late_Fee_Relief_Windows_3B!$O$2607:$O$100,0))</f>
        <v/>
      </c>
      <c r="I2607">
        <f>MIN(F2607,H2607)</f>
        <v/>
      </c>
    </row>
    <row r="2608">
      <c r="A2608">
        <f>TEST_DATA!A2608</f>
        <v/>
      </c>
      <c r="B2608">
        <f>TEST_DATA!B2608</f>
        <v/>
      </c>
      <c r="C2608">
        <f>TEST_DATA!C2608</f>
        <v/>
      </c>
      <c r="D2608">
        <f>TEST_DATA!D2608</f>
        <v/>
      </c>
      <c r="E2608">
        <f>TEST_DATA!E2608</f>
        <v/>
      </c>
      <c r="F2608">
        <f>MIN(E2608*260800,10000)</f>
        <v/>
      </c>
      <c r="G2608">
        <f>MINIFS(CBIC_Late_Fee_Relief_Windows_3B!$O$2608:$O$100,CBIC_Late_Fee_Relief_Windows_3B!$D$2608:$D$100,"&lt;="&amp;B2608,CBIC_Late_Fee_Relief_Windows_3B!$E$2608:$E$100,"&gt;="&amp;B2608,CBIC_Late_Fee_Relief_Windows_3B!$F$2608:$F$100,"&lt;="&amp;C2608,CBIC_Late_Fee_Relief_Windows_3B!$G$2608:$G$100,"&gt;="&amp;C2608)</f>
        <v/>
      </c>
      <c r="H2608">
        <f>INDEX(CBIC_Late_Fee_Relief_Windows_3B!$I$2608:$I$100,MATCH(G2608,CBIC_Late_Fee_Relief_Windows_3B!$O$2608:$O$100,0))</f>
        <v/>
      </c>
      <c r="I2608">
        <f>MIN(F2608,H2608)</f>
        <v/>
      </c>
    </row>
    <row r="2609">
      <c r="A2609">
        <f>TEST_DATA!A2609</f>
        <v/>
      </c>
      <c r="B2609">
        <f>TEST_DATA!B2609</f>
        <v/>
      </c>
      <c r="C2609">
        <f>TEST_DATA!C2609</f>
        <v/>
      </c>
      <c r="D2609">
        <f>TEST_DATA!D2609</f>
        <v/>
      </c>
      <c r="E2609">
        <f>TEST_DATA!E2609</f>
        <v/>
      </c>
      <c r="F2609">
        <f>MIN(E2609*260900,10000)</f>
        <v/>
      </c>
      <c r="G2609">
        <f>MINIFS(CBIC_Late_Fee_Relief_Windows_3B!$O$2609:$O$100,CBIC_Late_Fee_Relief_Windows_3B!$D$2609:$D$100,"&lt;="&amp;B2609,CBIC_Late_Fee_Relief_Windows_3B!$E$2609:$E$100,"&gt;="&amp;B2609,CBIC_Late_Fee_Relief_Windows_3B!$F$2609:$F$100,"&lt;="&amp;C2609,CBIC_Late_Fee_Relief_Windows_3B!$G$2609:$G$100,"&gt;="&amp;C2609)</f>
        <v/>
      </c>
      <c r="H2609">
        <f>INDEX(CBIC_Late_Fee_Relief_Windows_3B!$I$2609:$I$100,MATCH(G2609,CBIC_Late_Fee_Relief_Windows_3B!$O$2609:$O$100,0))</f>
        <v/>
      </c>
      <c r="I2609">
        <f>MIN(F2609,H2609)</f>
        <v/>
      </c>
    </row>
    <row r="2610">
      <c r="A2610">
        <f>TEST_DATA!A2610</f>
        <v/>
      </c>
      <c r="B2610">
        <f>TEST_DATA!B2610</f>
        <v/>
      </c>
      <c r="C2610">
        <f>TEST_DATA!C2610</f>
        <v/>
      </c>
      <c r="D2610">
        <f>TEST_DATA!D2610</f>
        <v/>
      </c>
      <c r="E2610">
        <f>TEST_DATA!E2610</f>
        <v/>
      </c>
      <c r="F2610">
        <f>MIN(E2610*261000,10000)</f>
        <v/>
      </c>
      <c r="G2610">
        <f>MINIFS(CBIC_Late_Fee_Relief_Windows_3B!$O$2610:$O$100,CBIC_Late_Fee_Relief_Windows_3B!$D$2610:$D$100,"&lt;="&amp;B2610,CBIC_Late_Fee_Relief_Windows_3B!$E$2610:$E$100,"&gt;="&amp;B2610,CBIC_Late_Fee_Relief_Windows_3B!$F$2610:$F$100,"&lt;="&amp;C2610,CBIC_Late_Fee_Relief_Windows_3B!$G$2610:$G$100,"&gt;="&amp;C2610)</f>
        <v/>
      </c>
      <c r="H2610">
        <f>INDEX(CBIC_Late_Fee_Relief_Windows_3B!$I$2610:$I$100,MATCH(G2610,CBIC_Late_Fee_Relief_Windows_3B!$O$2610:$O$100,0))</f>
        <v/>
      </c>
      <c r="I2610">
        <f>MIN(F2610,H2610)</f>
        <v/>
      </c>
    </row>
    <row r="2611">
      <c r="A2611">
        <f>TEST_DATA!A2611</f>
        <v/>
      </c>
      <c r="B2611">
        <f>TEST_DATA!B2611</f>
        <v/>
      </c>
      <c r="C2611">
        <f>TEST_DATA!C2611</f>
        <v/>
      </c>
      <c r="D2611">
        <f>TEST_DATA!D2611</f>
        <v/>
      </c>
      <c r="E2611">
        <f>TEST_DATA!E2611</f>
        <v/>
      </c>
      <c r="F2611">
        <f>MIN(E2611*261100,10000)</f>
        <v/>
      </c>
      <c r="G2611">
        <f>MINIFS(CBIC_Late_Fee_Relief_Windows_3B!$O$2611:$O$100,CBIC_Late_Fee_Relief_Windows_3B!$D$2611:$D$100,"&lt;="&amp;B2611,CBIC_Late_Fee_Relief_Windows_3B!$E$2611:$E$100,"&gt;="&amp;B2611,CBIC_Late_Fee_Relief_Windows_3B!$F$2611:$F$100,"&lt;="&amp;C2611,CBIC_Late_Fee_Relief_Windows_3B!$G$2611:$G$100,"&gt;="&amp;C2611)</f>
        <v/>
      </c>
      <c r="H2611">
        <f>INDEX(CBIC_Late_Fee_Relief_Windows_3B!$I$2611:$I$100,MATCH(G2611,CBIC_Late_Fee_Relief_Windows_3B!$O$2611:$O$100,0))</f>
        <v/>
      </c>
      <c r="I2611">
        <f>MIN(F2611,H2611)</f>
        <v/>
      </c>
    </row>
    <row r="2612">
      <c r="A2612">
        <f>TEST_DATA!A2612</f>
        <v/>
      </c>
      <c r="B2612">
        <f>TEST_DATA!B2612</f>
        <v/>
      </c>
      <c r="C2612">
        <f>TEST_DATA!C2612</f>
        <v/>
      </c>
      <c r="D2612">
        <f>TEST_DATA!D2612</f>
        <v/>
      </c>
      <c r="E2612">
        <f>TEST_DATA!E2612</f>
        <v/>
      </c>
      <c r="F2612">
        <f>MIN(E2612*261200,10000)</f>
        <v/>
      </c>
      <c r="G2612">
        <f>MINIFS(CBIC_Late_Fee_Relief_Windows_3B!$O$2612:$O$100,CBIC_Late_Fee_Relief_Windows_3B!$D$2612:$D$100,"&lt;="&amp;B2612,CBIC_Late_Fee_Relief_Windows_3B!$E$2612:$E$100,"&gt;="&amp;B2612,CBIC_Late_Fee_Relief_Windows_3B!$F$2612:$F$100,"&lt;="&amp;C2612,CBIC_Late_Fee_Relief_Windows_3B!$G$2612:$G$100,"&gt;="&amp;C2612)</f>
        <v/>
      </c>
      <c r="H2612">
        <f>INDEX(CBIC_Late_Fee_Relief_Windows_3B!$I$2612:$I$100,MATCH(G2612,CBIC_Late_Fee_Relief_Windows_3B!$O$2612:$O$100,0))</f>
        <v/>
      </c>
      <c r="I2612">
        <f>MIN(F2612,H2612)</f>
        <v/>
      </c>
    </row>
    <row r="2613">
      <c r="A2613">
        <f>TEST_DATA!A2613</f>
        <v/>
      </c>
      <c r="B2613">
        <f>TEST_DATA!B2613</f>
        <v/>
      </c>
      <c r="C2613">
        <f>TEST_DATA!C2613</f>
        <v/>
      </c>
      <c r="D2613">
        <f>TEST_DATA!D2613</f>
        <v/>
      </c>
      <c r="E2613">
        <f>TEST_DATA!E2613</f>
        <v/>
      </c>
      <c r="F2613">
        <f>MIN(E2613*261300,10000)</f>
        <v/>
      </c>
      <c r="G2613">
        <f>MINIFS(CBIC_Late_Fee_Relief_Windows_3B!$O$2613:$O$100,CBIC_Late_Fee_Relief_Windows_3B!$D$2613:$D$100,"&lt;="&amp;B2613,CBIC_Late_Fee_Relief_Windows_3B!$E$2613:$E$100,"&gt;="&amp;B2613,CBIC_Late_Fee_Relief_Windows_3B!$F$2613:$F$100,"&lt;="&amp;C2613,CBIC_Late_Fee_Relief_Windows_3B!$G$2613:$G$100,"&gt;="&amp;C2613)</f>
        <v/>
      </c>
      <c r="H2613">
        <f>INDEX(CBIC_Late_Fee_Relief_Windows_3B!$I$2613:$I$100,MATCH(G2613,CBIC_Late_Fee_Relief_Windows_3B!$O$2613:$O$100,0))</f>
        <v/>
      </c>
      <c r="I2613">
        <f>MIN(F2613,H2613)</f>
        <v/>
      </c>
    </row>
    <row r="2614">
      <c r="A2614">
        <f>TEST_DATA!A2614</f>
        <v/>
      </c>
      <c r="B2614">
        <f>TEST_DATA!B2614</f>
        <v/>
      </c>
      <c r="C2614">
        <f>TEST_DATA!C2614</f>
        <v/>
      </c>
      <c r="D2614">
        <f>TEST_DATA!D2614</f>
        <v/>
      </c>
      <c r="E2614">
        <f>TEST_DATA!E2614</f>
        <v/>
      </c>
      <c r="F2614">
        <f>MIN(E2614*261400,10000)</f>
        <v/>
      </c>
      <c r="G2614">
        <f>MINIFS(CBIC_Late_Fee_Relief_Windows_3B!$O$2614:$O$100,CBIC_Late_Fee_Relief_Windows_3B!$D$2614:$D$100,"&lt;="&amp;B2614,CBIC_Late_Fee_Relief_Windows_3B!$E$2614:$E$100,"&gt;="&amp;B2614,CBIC_Late_Fee_Relief_Windows_3B!$F$2614:$F$100,"&lt;="&amp;C2614,CBIC_Late_Fee_Relief_Windows_3B!$G$2614:$G$100,"&gt;="&amp;C2614)</f>
        <v/>
      </c>
      <c r="H2614">
        <f>INDEX(CBIC_Late_Fee_Relief_Windows_3B!$I$2614:$I$100,MATCH(G2614,CBIC_Late_Fee_Relief_Windows_3B!$O$2614:$O$100,0))</f>
        <v/>
      </c>
      <c r="I2614">
        <f>MIN(F2614,H2614)</f>
        <v/>
      </c>
    </row>
    <row r="2615">
      <c r="A2615">
        <f>TEST_DATA!A2615</f>
        <v/>
      </c>
      <c r="B2615">
        <f>TEST_DATA!B2615</f>
        <v/>
      </c>
      <c r="C2615">
        <f>TEST_DATA!C2615</f>
        <v/>
      </c>
      <c r="D2615">
        <f>TEST_DATA!D2615</f>
        <v/>
      </c>
      <c r="E2615">
        <f>TEST_DATA!E2615</f>
        <v/>
      </c>
      <c r="F2615">
        <f>MIN(E2615*261500,10000)</f>
        <v/>
      </c>
      <c r="G2615">
        <f>MINIFS(CBIC_Late_Fee_Relief_Windows_3B!$O$2615:$O$100,CBIC_Late_Fee_Relief_Windows_3B!$D$2615:$D$100,"&lt;="&amp;B2615,CBIC_Late_Fee_Relief_Windows_3B!$E$2615:$E$100,"&gt;="&amp;B2615,CBIC_Late_Fee_Relief_Windows_3B!$F$2615:$F$100,"&lt;="&amp;C2615,CBIC_Late_Fee_Relief_Windows_3B!$G$2615:$G$100,"&gt;="&amp;C2615)</f>
        <v/>
      </c>
      <c r="H2615">
        <f>INDEX(CBIC_Late_Fee_Relief_Windows_3B!$I$2615:$I$100,MATCH(G2615,CBIC_Late_Fee_Relief_Windows_3B!$O$2615:$O$100,0))</f>
        <v/>
      </c>
      <c r="I2615">
        <f>MIN(F2615,H2615)</f>
        <v/>
      </c>
    </row>
    <row r="2616">
      <c r="A2616">
        <f>TEST_DATA!A2616</f>
        <v/>
      </c>
      <c r="B2616">
        <f>TEST_DATA!B2616</f>
        <v/>
      </c>
      <c r="C2616">
        <f>TEST_DATA!C2616</f>
        <v/>
      </c>
      <c r="D2616">
        <f>TEST_DATA!D2616</f>
        <v/>
      </c>
      <c r="E2616">
        <f>TEST_DATA!E2616</f>
        <v/>
      </c>
      <c r="F2616">
        <f>MIN(E2616*261600,10000)</f>
        <v/>
      </c>
      <c r="G2616">
        <f>MINIFS(CBIC_Late_Fee_Relief_Windows_3B!$O$2616:$O$100,CBIC_Late_Fee_Relief_Windows_3B!$D$2616:$D$100,"&lt;="&amp;B2616,CBIC_Late_Fee_Relief_Windows_3B!$E$2616:$E$100,"&gt;="&amp;B2616,CBIC_Late_Fee_Relief_Windows_3B!$F$2616:$F$100,"&lt;="&amp;C2616,CBIC_Late_Fee_Relief_Windows_3B!$G$2616:$G$100,"&gt;="&amp;C2616)</f>
        <v/>
      </c>
      <c r="H2616">
        <f>INDEX(CBIC_Late_Fee_Relief_Windows_3B!$I$2616:$I$100,MATCH(G2616,CBIC_Late_Fee_Relief_Windows_3B!$O$2616:$O$100,0))</f>
        <v/>
      </c>
      <c r="I2616">
        <f>MIN(F2616,H2616)</f>
        <v/>
      </c>
    </row>
    <row r="2617">
      <c r="A2617">
        <f>TEST_DATA!A2617</f>
        <v/>
      </c>
      <c r="B2617">
        <f>TEST_DATA!B2617</f>
        <v/>
      </c>
      <c r="C2617">
        <f>TEST_DATA!C2617</f>
        <v/>
      </c>
      <c r="D2617">
        <f>TEST_DATA!D2617</f>
        <v/>
      </c>
      <c r="E2617">
        <f>TEST_DATA!E2617</f>
        <v/>
      </c>
      <c r="F2617">
        <f>MIN(E2617*261700,10000)</f>
        <v/>
      </c>
      <c r="G2617">
        <f>MINIFS(CBIC_Late_Fee_Relief_Windows_3B!$O$2617:$O$100,CBIC_Late_Fee_Relief_Windows_3B!$D$2617:$D$100,"&lt;="&amp;B2617,CBIC_Late_Fee_Relief_Windows_3B!$E$2617:$E$100,"&gt;="&amp;B2617,CBIC_Late_Fee_Relief_Windows_3B!$F$2617:$F$100,"&lt;="&amp;C2617,CBIC_Late_Fee_Relief_Windows_3B!$G$2617:$G$100,"&gt;="&amp;C2617)</f>
        <v/>
      </c>
      <c r="H2617">
        <f>INDEX(CBIC_Late_Fee_Relief_Windows_3B!$I$2617:$I$100,MATCH(G2617,CBIC_Late_Fee_Relief_Windows_3B!$O$2617:$O$100,0))</f>
        <v/>
      </c>
      <c r="I2617">
        <f>MIN(F2617,H2617)</f>
        <v/>
      </c>
    </row>
    <row r="2618">
      <c r="A2618">
        <f>TEST_DATA!A2618</f>
        <v/>
      </c>
      <c r="B2618">
        <f>TEST_DATA!B2618</f>
        <v/>
      </c>
      <c r="C2618">
        <f>TEST_DATA!C2618</f>
        <v/>
      </c>
      <c r="D2618">
        <f>TEST_DATA!D2618</f>
        <v/>
      </c>
      <c r="E2618">
        <f>TEST_DATA!E2618</f>
        <v/>
      </c>
      <c r="F2618">
        <f>MIN(E2618*261800,10000)</f>
        <v/>
      </c>
      <c r="G2618">
        <f>MINIFS(CBIC_Late_Fee_Relief_Windows_3B!$O$2618:$O$100,CBIC_Late_Fee_Relief_Windows_3B!$D$2618:$D$100,"&lt;="&amp;B2618,CBIC_Late_Fee_Relief_Windows_3B!$E$2618:$E$100,"&gt;="&amp;B2618,CBIC_Late_Fee_Relief_Windows_3B!$F$2618:$F$100,"&lt;="&amp;C2618,CBIC_Late_Fee_Relief_Windows_3B!$G$2618:$G$100,"&gt;="&amp;C2618)</f>
        <v/>
      </c>
      <c r="H2618">
        <f>INDEX(CBIC_Late_Fee_Relief_Windows_3B!$I$2618:$I$100,MATCH(G2618,CBIC_Late_Fee_Relief_Windows_3B!$O$2618:$O$100,0))</f>
        <v/>
      </c>
      <c r="I2618">
        <f>MIN(F2618,H2618)</f>
        <v/>
      </c>
    </row>
    <row r="2619">
      <c r="A2619">
        <f>TEST_DATA!A2619</f>
        <v/>
      </c>
      <c r="B2619">
        <f>TEST_DATA!B2619</f>
        <v/>
      </c>
      <c r="C2619">
        <f>TEST_DATA!C2619</f>
        <v/>
      </c>
      <c r="D2619">
        <f>TEST_DATA!D2619</f>
        <v/>
      </c>
      <c r="E2619">
        <f>TEST_DATA!E2619</f>
        <v/>
      </c>
      <c r="F2619">
        <f>MIN(E2619*261900,10000)</f>
        <v/>
      </c>
      <c r="G2619">
        <f>MINIFS(CBIC_Late_Fee_Relief_Windows_3B!$O$2619:$O$100,CBIC_Late_Fee_Relief_Windows_3B!$D$2619:$D$100,"&lt;="&amp;B2619,CBIC_Late_Fee_Relief_Windows_3B!$E$2619:$E$100,"&gt;="&amp;B2619,CBIC_Late_Fee_Relief_Windows_3B!$F$2619:$F$100,"&lt;="&amp;C2619,CBIC_Late_Fee_Relief_Windows_3B!$G$2619:$G$100,"&gt;="&amp;C2619)</f>
        <v/>
      </c>
      <c r="H2619">
        <f>INDEX(CBIC_Late_Fee_Relief_Windows_3B!$I$2619:$I$100,MATCH(G2619,CBIC_Late_Fee_Relief_Windows_3B!$O$2619:$O$100,0))</f>
        <v/>
      </c>
      <c r="I2619">
        <f>MIN(F2619,H2619)</f>
        <v/>
      </c>
    </row>
    <row r="2620">
      <c r="A2620">
        <f>TEST_DATA!A2620</f>
        <v/>
      </c>
      <c r="B2620">
        <f>TEST_DATA!B2620</f>
        <v/>
      </c>
      <c r="C2620">
        <f>TEST_DATA!C2620</f>
        <v/>
      </c>
      <c r="D2620">
        <f>TEST_DATA!D2620</f>
        <v/>
      </c>
      <c r="E2620">
        <f>TEST_DATA!E2620</f>
        <v/>
      </c>
      <c r="F2620">
        <f>MIN(E2620*262000,10000)</f>
        <v/>
      </c>
      <c r="G2620">
        <f>MINIFS(CBIC_Late_Fee_Relief_Windows_3B!$O$2620:$O$100,CBIC_Late_Fee_Relief_Windows_3B!$D$2620:$D$100,"&lt;="&amp;B2620,CBIC_Late_Fee_Relief_Windows_3B!$E$2620:$E$100,"&gt;="&amp;B2620,CBIC_Late_Fee_Relief_Windows_3B!$F$2620:$F$100,"&lt;="&amp;C2620,CBIC_Late_Fee_Relief_Windows_3B!$G$2620:$G$100,"&gt;="&amp;C2620)</f>
        <v/>
      </c>
      <c r="H2620">
        <f>INDEX(CBIC_Late_Fee_Relief_Windows_3B!$I$2620:$I$100,MATCH(G2620,CBIC_Late_Fee_Relief_Windows_3B!$O$2620:$O$100,0))</f>
        <v/>
      </c>
      <c r="I2620">
        <f>MIN(F2620,H2620)</f>
        <v/>
      </c>
    </row>
    <row r="2621">
      <c r="A2621">
        <f>TEST_DATA!A2621</f>
        <v/>
      </c>
      <c r="B2621">
        <f>TEST_DATA!B2621</f>
        <v/>
      </c>
      <c r="C2621">
        <f>TEST_DATA!C2621</f>
        <v/>
      </c>
      <c r="D2621">
        <f>TEST_DATA!D2621</f>
        <v/>
      </c>
      <c r="E2621">
        <f>TEST_DATA!E2621</f>
        <v/>
      </c>
      <c r="F2621">
        <f>MIN(E2621*262100,10000)</f>
        <v/>
      </c>
      <c r="G2621">
        <f>MINIFS(CBIC_Late_Fee_Relief_Windows_3B!$O$2621:$O$100,CBIC_Late_Fee_Relief_Windows_3B!$D$2621:$D$100,"&lt;="&amp;B2621,CBIC_Late_Fee_Relief_Windows_3B!$E$2621:$E$100,"&gt;="&amp;B2621,CBIC_Late_Fee_Relief_Windows_3B!$F$2621:$F$100,"&lt;="&amp;C2621,CBIC_Late_Fee_Relief_Windows_3B!$G$2621:$G$100,"&gt;="&amp;C2621)</f>
        <v/>
      </c>
      <c r="H2621">
        <f>INDEX(CBIC_Late_Fee_Relief_Windows_3B!$I$2621:$I$100,MATCH(G2621,CBIC_Late_Fee_Relief_Windows_3B!$O$2621:$O$100,0))</f>
        <v/>
      </c>
      <c r="I2621">
        <f>MIN(F2621,H2621)</f>
        <v/>
      </c>
    </row>
    <row r="2622">
      <c r="A2622">
        <f>TEST_DATA!A2622</f>
        <v/>
      </c>
      <c r="B2622">
        <f>TEST_DATA!B2622</f>
        <v/>
      </c>
      <c r="C2622">
        <f>TEST_DATA!C2622</f>
        <v/>
      </c>
      <c r="D2622">
        <f>TEST_DATA!D2622</f>
        <v/>
      </c>
      <c r="E2622">
        <f>TEST_DATA!E2622</f>
        <v/>
      </c>
      <c r="F2622">
        <f>MIN(E2622*262200,10000)</f>
        <v/>
      </c>
      <c r="G2622">
        <f>MINIFS(CBIC_Late_Fee_Relief_Windows_3B!$O$2622:$O$100,CBIC_Late_Fee_Relief_Windows_3B!$D$2622:$D$100,"&lt;="&amp;B2622,CBIC_Late_Fee_Relief_Windows_3B!$E$2622:$E$100,"&gt;="&amp;B2622,CBIC_Late_Fee_Relief_Windows_3B!$F$2622:$F$100,"&lt;="&amp;C2622,CBIC_Late_Fee_Relief_Windows_3B!$G$2622:$G$100,"&gt;="&amp;C2622)</f>
        <v/>
      </c>
      <c r="H2622">
        <f>INDEX(CBIC_Late_Fee_Relief_Windows_3B!$I$2622:$I$100,MATCH(G2622,CBIC_Late_Fee_Relief_Windows_3B!$O$2622:$O$100,0))</f>
        <v/>
      </c>
      <c r="I2622">
        <f>MIN(F2622,H2622)</f>
        <v/>
      </c>
    </row>
    <row r="2623">
      <c r="A2623">
        <f>TEST_DATA!A2623</f>
        <v/>
      </c>
      <c r="B2623">
        <f>TEST_DATA!B2623</f>
        <v/>
      </c>
      <c r="C2623">
        <f>TEST_DATA!C2623</f>
        <v/>
      </c>
      <c r="D2623">
        <f>TEST_DATA!D2623</f>
        <v/>
      </c>
      <c r="E2623">
        <f>TEST_DATA!E2623</f>
        <v/>
      </c>
      <c r="F2623">
        <f>MIN(E2623*262300,10000)</f>
        <v/>
      </c>
      <c r="G2623">
        <f>MINIFS(CBIC_Late_Fee_Relief_Windows_3B!$O$2623:$O$100,CBIC_Late_Fee_Relief_Windows_3B!$D$2623:$D$100,"&lt;="&amp;B2623,CBIC_Late_Fee_Relief_Windows_3B!$E$2623:$E$100,"&gt;="&amp;B2623,CBIC_Late_Fee_Relief_Windows_3B!$F$2623:$F$100,"&lt;="&amp;C2623,CBIC_Late_Fee_Relief_Windows_3B!$G$2623:$G$100,"&gt;="&amp;C2623)</f>
        <v/>
      </c>
      <c r="H2623">
        <f>INDEX(CBIC_Late_Fee_Relief_Windows_3B!$I$2623:$I$100,MATCH(G2623,CBIC_Late_Fee_Relief_Windows_3B!$O$2623:$O$100,0))</f>
        <v/>
      </c>
      <c r="I2623">
        <f>MIN(F2623,H2623)</f>
        <v/>
      </c>
    </row>
    <row r="2624">
      <c r="A2624">
        <f>TEST_DATA!A2624</f>
        <v/>
      </c>
      <c r="B2624">
        <f>TEST_DATA!B2624</f>
        <v/>
      </c>
      <c r="C2624">
        <f>TEST_DATA!C2624</f>
        <v/>
      </c>
      <c r="D2624">
        <f>TEST_DATA!D2624</f>
        <v/>
      </c>
      <c r="E2624">
        <f>TEST_DATA!E2624</f>
        <v/>
      </c>
      <c r="F2624">
        <f>MIN(E2624*262400,10000)</f>
        <v/>
      </c>
      <c r="G2624">
        <f>MINIFS(CBIC_Late_Fee_Relief_Windows_3B!$O$2624:$O$100,CBIC_Late_Fee_Relief_Windows_3B!$D$2624:$D$100,"&lt;="&amp;B2624,CBIC_Late_Fee_Relief_Windows_3B!$E$2624:$E$100,"&gt;="&amp;B2624,CBIC_Late_Fee_Relief_Windows_3B!$F$2624:$F$100,"&lt;="&amp;C2624,CBIC_Late_Fee_Relief_Windows_3B!$G$2624:$G$100,"&gt;="&amp;C2624)</f>
        <v/>
      </c>
      <c r="H2624">
        <f>INDEX(CBIC_Late_Fee_Relief_Windows_3B!$I$2624:$I$100,MATCH(G2624,CBIC_Late_Fee_Relief_Windows_3B!$O$2624:$O$100,0))</f>
        <v/>
      </c>
      <c r="I2624">
        <f>MIN(F2624,H2624)</f>
        <v/>
      </c>
    </row>
    <row r="2625">
      <c r="A2625">
        <f>TEST_DATA!A2625</f>
        <v/>
      </c>
      <c r="B2625">
        <f>TEST_DATA!B2625</f>
        <v/>
      </c>
      <c r="C2625">
        <f>TEST_DATA!C2625</f>
        <v/>
      </c>
      <c r="D2625">
        <f>TEST_DATA!D2625</f>
        <v/>
      </c>
      <c r="E2625">
        <f>TEST_DATA!E2625</f>
        <v/>
      </c>
      <c r="F2625">
        <f>MIN(E2625*262500,10000)</f>
        <v/>
      </c>
      <c r="G2625">
        <f>MINIFS(CBIC_Late_Fee_Relief_Windows_3B!$O$2625:$O$100,CBIC_Late_Fee_Relief_Windows_3B!$D$2625:$D$100,"&lt;="&amp;B2625,CBIC_Late_Fee_Relief_Windows_3B!$E$2625:$E$100,"&gt;="&amp;B2625,CBIC_Late_Fee_Relief_Windows_3B!$F$2625:$F$100,"&lt;="&amp;C2625,CBIC_Late_Fee_Relief_Windows_3B!$G$2625:$G$100,"&gt;="&amp;C2625)</f>
        <v/>
      </c>
      <c r="H2625">
        <f>INDEX(CBIC_Late_Fee_Relief_Windows_3B!$I$2625:$I$100,MATCH(G2625,CBIC_Late_Fee_Relief_Windows_3B!$O$2625:$O$100,0))</f>
        <v/>
      </c>
      <c r="I2625">
        <f>MIN(F2625,H2625)</f>
        <v/>
      </c>
    </row>
    <row r="2626">
      <c r="A2626">
        <f>TEST_DATA!A2626</f>
        <v/>
      </c>
      <c r="B2626">
        <f>TEST_DATA!B2626</f>
        <v/>
      </c>
      <c r="C2626">
        <f>TEST_DATA!C2626</f>
        <v/>
      </c>
      <c r="D2626">
        <f>TEST_DATA!D2626</f>
        <v/>
      </c>
      <c r="E2626">
        <f>TEST_DATA!E2626</f>
        <v/>
      </c>
      <c r="F2626">
        <f>MIN(E2626*262600,10000)</f>
        <v/>
      </c>
      <c r="G2626">
        <f>MINIFS(CBIC_Late_Fee_Relief_Windows_3B!$O$2626:$O$100,CBIC_Late_Fee_Relief_Windows_3B!$D$2626:$D$100,"&lt;="&amp;B2626,CBIC_Late_Fee_Relief_Windows_3B!$E$2626:$E$100,"&gt;="&amp;B2626,CBIC_Late_Fee_Relief_Windows_3B!$F$2626:$F$100,"&lt;="&amp;C2626,CBIC_Late_Fee_Relief_Windows_3B!$G$2626:$G$100,"&gt;="&amp;C2626)</f>
        <v/>
      </c>
      <c r="H2626">
        <f>INDEX(CBIC_Late_Fee_Relief_Windows_3B!$I$2626:$I$100,MATCH(G2626,CBIC_Late_Fee_Relief_Windows_3B!$O$2626:$O$100,0))</f>
        <v/>
      </c>
      <c r="I2626">
        <f>MIN(F2626,H2626)</f>
        <v/>
      </c>
    </row>
    <row r="2627">
      <c r="A2627">
        <f>TEST_DATA!A2627</f>
        <v/>
      </c>
      <c r="B2627">
        <f>TEST_DATA!B2627</f>
        <v/>
      </c>
      <c r="C2627">
        <f>TEST_DATA!C2627</f>
        <v/>
      </c>
      <c r="D2627">
        <f>TEST_DATA!D2627</f>
        <v/>
      </c>
      <c r="E2627">
        <f>TEST_DATA!E2627</f>
        <v/>
      </c>
      <c r="F2627">
        <f>MIN(E2627*262700,10000)</f>
        <v/>
      </c>
      <c r="G2627">
        <f>MINIFS(CBIC_Late_Fee_Relief_Windows_3B!$O$2627:$O$100,CBIC_Late_Fee_Relief_Windows_3B!$D$2627:$D$100,"&lt;="&amp;B2627,CBIC_Late_Fee_Relief_Windows_3B!$E$2627:$E$100,"&gt;="&amp;B2627,CBIC_Late_Fee_Relief_Windows_3B!$F$2627:$F$100,"&lt;="&amp;C2627,CBIC_Late_Fee_Relief_Windows_3B!$G$2627:$G$100,"&gt;="&amp;C2627)</f>
        <v/>
      </c>
      <c r="H2627">
        <f>INDEX(CBIC_Late_Fee_Relief_Windows_3B!$I$2627:$I$100,MATCH(G2627,CBIC_Late_Fee_Relief_Windows_3B!$O$2627:$O$100,0))</f>
        <v/>
      </c>
      <c r="I2627">
        <f>MIN(F2627,H2627)</f>
        <v/>
      </c>
    </row>
    <row r="2628">
      <c r="A2628">
        <f>TEST_DATA!A2628</f>
        <v/>
      </c>
      <c r="B2628">
        <f>TEST_DATA!B2628</f>
        <v/>
      </c>
      <c r="C2628">
        <f>TEST_DATA!C2628</f>
        <v/>
      </c>
      <c r="D2628">
        <f>TEST_DATA!D2628</f>
        <v/>
      </c>
      <c r="E2628">
        <f>TEST_DATA!E2628</f>
        <v/>
      </c>
      <c r="F2628">
        <f>MIN(E2628*262800,10000)</f>
        <v/>
      </c>
      <c r="G2628">
        <f>MINIFS(CBIC_Late_Fee_Relief_Windows_3B!$O$2628:$O$100,CBIC_Late_Fee_Relief_Windows_3B!$D$2628:$D$100,"&lt;="&amp;B2628,CBIC_Late_Fee_Relief_Windows_3B!$E$2628:$E$100,"&gt;="&amp;B2628,CBIC_Late_Fee_Relief_Windows_3B!$F$2628:$F$100,"&lt;="&amp;C2628,CBIC_Late_Fee_Relief_Windows_3B!$G$2628:$G$100,"&gt;="&amp;C2628)</f>
        <v/>
      </c>
      <c r="H2628">
        <f>INDEX(CBIC_Late_Fee_Relief_Windows_3B!$I$2628:$I$100,MATCH(G2628,CBIC_Late_Fee_Relief_Windows_3B!$O$2628:$O$100,0))</f>
        <v/>
      </c>
      <c r="I2628">
        <f>MIN(F2628,H2628)</f>
        <v/>
      </c>
    </row>
    <row r="2629">
      <c r="A2629">
        <f>TEST_DATA!A2629</f>
        <v/>
      </c>
      <c r="B2629">
        <f>TEST_DATA!B2629</f>
        <v/>
      </c>
      <c r="C2629">
        <f>TEST_DATA!C2629</f>
        <v/>
      </c>
      <c r="D2629">
        <f>TEST_DATA!D2629</f>
        <v/>
      </c>
      <c r="E2629">
        <f>TEST_DATA!E2629</f>
        <v/>
      </c>
      <c r="F2629">
        <f>MIN(E2629*262900,10000)</f>
        <v/>
      </c>
      <c r="G2629">
        <f>MINIFS(CBIC_Late_Fee_Relief_Windows_3B!$O$2629:$O$100,CBIC_Late_Fee_Relief_Windows_3B!$D$2629:$D$100,"&lt;="&amp;B2629,CBIC_Late_Fee_Relief_Windows_3B!$E$2629:$E$100,"&gt;="&amp;B2629,CBIC_Late_Fee_Relief_Windows_3B!$F$2629:$F$100,"&lt;="&amp;C2629,CBIC_Late_Fee_Relief_Windows_3B!$G$2629:$G$100,"&gt;="&amp;C2629)</f>
        <v/>
      </c>
      <c r="H2629">
        <f>INDEX(CBIC_Late_Fee_Relief_Windows_3B!$I$2629:$I$100,MATCH(G2629,CBIC_Late_Fee_Relief_Windows_3B!$O$2629:$O$100,0))</f>
        <v/>
      </c>
      <c r="I2629">
        <f>MIN(F2629,H2629)</f>
        <v/>
      </c>
    </row>
    <row r="2630">
      <c r="A2630">
        <f>TEST_DATA!A2630</f>
        <v/>
      </c>
      <c r="B2630">
        <f>TEST_DATA!B2630</f>
        <v/>
      </c>
      <c r="C2630">
        <f>TEST_DATA!C2630</f>
        <v/>
      </c>
      <c r="D2630">
        <f>TEST_DATA!D2630</f>
        <v/>
      </c>
      <c r="E2630">
        <f>TEST_DATA!E2630</f>
        <v/>
      </c>
      <c r="F2630">
        <f>MIN(E2630*263000,10000)</f>
        <v/>
      </c>
      <c r="G2630">
        <f>MINIFS(CBIC_Late_Fee_Relief_Windows_3B!$O$2630:$O$100,CBIC_Late_Fee_Relief_Windows_3B!$D$2630:$D$100,"&lt;="&amp;B2630,CBIC_Late_Fee_Relief_Windows_3B!$E$2630:$E$100,"&gt;="&amp;B2630,CBIC_Late_Fee_Relief_Windows_3B!$F$2630:$F$100,"&lt;="&amp;C2630,CBIC_Late_Fee_Relief_Windows_3B!$G$2630:$G$100,"&gt;="&amp;C2630)</f>
        <v/>
      </c>
      <c r="H2630">
        <f>INDEX(CBIC_Late_Fee_Relief_Windows_3B!$I$2630:$I$100,MATCH(G2630,CBIC_Late_Fee_Relief_Windows_3B!$O$2630:$O$100,0))</f>
        <v/>
      </c>
      <c r="I2630">
        <f>MIN(F2630,H2630)</f>
        <v/>
      </c>
    </row>
    <row r="2631">
      <c r="A2631">
        <f>TEST_DATA!A2631</f>
        <v/>
      </c>
      <c r="B2631">
        <f>TEST_DATA!B2631</f>
        <v/>
      </c>
      <c r="C2631">
        <f>TEST_DATA!C2631</f>
        <v/>
      </c>
      <c r="D2631">
        <f>TEST_DATA!D2631</f>
        <v/>
      </c>
      <c r="E2631">
        <f>TEST_DATA!E2631</f>
        <v/>
      </c>
      <c r="F2631">
        <f>MIN(E2631*263100,10000)</f>
        <v/>
      </c>
      <c r="G2631">
        <f>MINIFS(CBIC_Late_Fee_Relief_Windows_3B!$O$2631:$O$100,CBIC_Late_Fee_Relief_Windows_3B!$D$2631:$D$100,"&lt;="&amp;B2631,CBIC_Late_Fee_Relief_Windows_3B!$E$2631:$E$100,"&gt;="&amp;B2631,CBIC_Late_Fee_Relief_Windows_3B!$F$2631:$F$100,"&lt;="&amp;C2631,CBIC_Late_Fee_Relief_Windows_3B!$G$2631:$G$100,"&gt;="&amp;C2631)</f>
        <v/>
      </c>
      <c r="H2631">
        <f>INDEX(CBIC_Late_Fee_Relief_Windows_3B!$I$2631:$I$100,MATCH(G2631,CBIC_Late_Fee_Relief_Windows_3B!$O$2631:$O$100,0))</f>
        <v/>
      </c>
      <c r="I2631">
        <f>MIN(F2631,H2631)</f>
        <v/>
      </c>
    </row>
    <row r="2632">
      <c r="A2632">
        <f>TEST_DATA!A2632</f>
        <v/>
      </c>
      <c r="B2632">
        <f>TEST_DATA!B2632</f>
        <v/>
      </c>
      <c r="C2632">
        <f>TEST_DATA!C2632</f>
        <v/>
      </c>
      <c r="D2632">
        <f>TEST_DATA!D2632</f>
        <v/>
      </c>
      <c r="E2632">
        <f>TEST_DATA!E2632</f>
        <v/>
      </c>
      <c r="F2632">
        <f>MIN(E2632*263200,10000)</f>
        <v/>
      </c>
      <c r="G2632">
        <f>MINIFS(CBIC_Late_Fee_Relief_Windows_3B!$O$2632:$O$100,CBIC_Late_Fee_Relief_Windows_3B!$D$2632:$D$100,"&lt;="&amp;B2632,CBIC_Late_Fee_Relief_Windows_3B!$E$2632:$E$100,"&gt;="&amp;B2632,CBIC_Late_Fee_Relief_Windows_3B!$F$2632:$F$100,"&lt;="&amp;C2632,CBIC_Late_Fee_Relief_Windows_3B!$G$2632:$G$100,"&gt;="&amp;C2632)</f>
        <v/>
      </c>
      <c r="H2632">
        <f>INDEX(CBIC_Late_Fee_Relief_Windows_3B!$I$2632:$I$100,MATCH(G2632,CBIC_Late_Fee_Relief_Windows_3B!$O$2632:$O$100,0))</f>
        <v/>
      </c>
      <c r="I2632">
        <f>MIN(F2632,H2632)</f>
        <v/>
      </c>
    </row>
    <row r="2633">
      <c r="A2633">
        <f>TEST_DATA!A2633</f>
        <v/>
      </c>
      <c r="B2633">
        <f>TEST_DATA!B2633</f>
        <v/>
      </c>
      <c r="C2633">
        <f>TEST_DATA!C2633</f>
        <v/>
      </c>
      <c r="D2633">
        <f>TEST_DATA!D2633</f>
        <v/>
      </c>
      <c r="E2633">
        <f>TEST_DATA!E2633</f>
        <v/>
      </c>
      <c r="F2633">
        <f>MIN(E2633*263300,10000)</f>
        <v/>
      </c>
      <c r="G2633">
        <f>MINIFS(CBIC_Late_Fee_Relief_Windows_3B!$O$2633:$O$100,CBIC_Late_Fee_Relief_Windows_3B!$D$2633:$D$100,"&lt;="&amp;B2633,CBIC_Late_Fee_Relief_Windows_3B!$E$2633:$E$100,"&gt;="&amp;B2633,CBIC_Late_Fee_Relief_Windows_3B!$F$2633:$F$100,"&lt;="&amp;C2633,CBIC_Late_Fee_Relief_Windows_3B!$G$2633:$G$100,"&gt;="&amp;C2633)</f>
        <v/>
      </c>
      <c r="H2633">
        <f>INDEX(CBIC_Late_Fee_Relief_Windows_3B!$I$2633:$I$100,MATCH(G2633,CBIC_Late_Fee_Relief_Windows_3B!$O$2633:$O$100,0))</f>
        <v/>
      </c>
      <c r="I2633">
        <f>MIN(F2633,H2633)</f>
        <v/>
      </c>
    </row>
    <row r="2634">
      <c r="A2634">
        <f>TEST_DATA!A2634</f>
        <v/>
      </c>
      <c r="B2634">
        <f>TEST_DATA!B2634</f>
        <v/>
      </c>
      <c r="C2634">
        <f>TEST_DATA!C2634</f>
        <v/>
      </c>
      <c r="D2634">
        <f>TEST_DATA!D2634</f>
        <v/>
      </c>
      <c r="E2634">
        <f>TEST_DATA!E2634</f>
        <v/>
      </c>
      <c r="F2634">
        <f>MIN(E2634*263400,10000)</f>
        <v/>
      </c>
      <c r="G2634">
        <f>MINIFS(CBIC_Late_Fee_Relief_Windows_3B!$O$2634:$O$100,CBIC_Late_Fee_Relief_Windows_3B!$D$2634:$D$100,"&lt;="&amp;B2634,CBIC_Late_Fee_Relief_Windows_3B!$E$2634:$E$100,"&gt;="&amp;B2634,CBIC_Late_Fee_Relief_Windows_3B!$F$2634:$F$100,"&lt;="&amp;C2634,CBIC_Late_Fee_Relief_Windows_3B!$G$2634:$G$100,"&gt;="&amp;C2634)</f>
        <v/>
      </c>
      <c r="H2634">
        <f>INDEX(CBIC_Late_Fee_Relief_Windows_3B!$I$2634:$I$100,MATCH(G2634,CBIC_Late_Fee_Relief_Windows_3B!$O$2634:$O$100,0))</f>
        <v/>
      </c>
      <c r="I2634">
        <f>MIN(F2634,H2634)</f>
        <v/>
      </c>
    </row>
    <row r="2635">
      <c r="A2635">
        <f>TEST_DATA!A2635</f>
        <v/>
      </c>
      <c r="B2635">
        <f>TEST_DATA!B2635</f>
        <v/>
      </c>
      <c r="C2635">
        <f>TEST_DATA!C2635</f>
        <v/>
      </c>
      <c r="D2635">
        <f>TEST_DATA!D2635</f>
        <v/>
      </c>
      <c r="E2635">
        <f>TEST_DATA!E2635</f>
        <v/>
      </c>
      <c r="F2635">
        <f>MIN(E2635*263500,10000)</f>
        <v/>
      </c>
      <c r="G2635">
        <f>MINIFS(CBIC_Late_Fee_Relief_Windows_3B!$O$2635:$O$100,CBIC_Late_Fee_Relief_Windows_3B!$D$2635:$D$100,"&lt;="&amp;B2635,CBIC_Late_Fee_Relief_Windows_3B!$E$2635:$E$100,"&gt;="&amp;B2635,CBIC_Late_Fee_Relief_Windows_3B!$F$2635:$F$100,"&lt;="&amp;C2635,CBIC_Late_Fee_Relief_Windows_3B!$G$2635:$G$100,"&gt;="&amp;C2635)</f>
        <v/>
      </c>
      <c r="H2635">
        <f>INDEX(CBIC_Late_Fee_Relief_Windows_3B!$I$2635:$I$100,MATCH(G2635,CBIC_Late_Fee_Relief_Windows_3B!$O$2635:$O$100,0))</f>
        <v/>
      </c>
      <c r="I2635">
        <f>MIN(F2635,H2635)</f>
        <v/>
      </c>
    </row>
    <row r="2636">
      <c r="A2636">
        <f>TEST_DATA!A2636</f>
        <v/>
      </c>
      <c r="B2636">
        <f>TEST_DATA!B2636</f>
        <v/>
      </c>
      <c r="C2636">
        <f>TEST_DATA!C2636</f>
        <v/>
      </c>
      <c r="D2636">
        <f>TEST_DATA!D2636</f>
        <v/>
      </c>
      <c r="E2636">
        <f>TEST_DATA!E2636</f>
        <v/>
      </c>
      <c r="F2636">
        <f>MIN(E2636*263600,10000)</f>
        <v/>
      </c>
      <c r="G2636">
        <f>MINIFS(CBIC_Late_Fee_Relief_Windows_3B!$O$2636:$O$100,CBIC_Late_Fee_Relief_Windows_3B!$D$2636:$D$100,"&lt;="&amp;B2636,CBIC_Late_Fee_Relief_Windows_3B!$E$2636:$E$100,"&gt;="&amp;B2636,CBIC_Late_Fee_Relief_Windows_3B!$F$2636:$F$100,"&lt;="&amp;C2636,CBIC_Late_Fee_Relief_Windows_3B!$G$2636:$G$100,"&gt;="&amp;C2636)</f>
        <v/>
      </c>
      <c r="H2636">
        <f>INDEX(CBIC_Late_Fee_Relief_Windows_3B!$I$2636:$I$100,MATCH(G2636,CBIC_Late_Fee_Relief_Windows_3B!$O$2636:$O$100,0))</f>
        <v/>
      </c>
      <c r="I2636">
        <f>MIN(F2636,H2636)</f>
        <v/>
      </c>
    </row>
    <row r="2637">
      <c r="A2637">
        <f>TEST_DATA!A2637</f>
        <v/>
      </c>
      <c r="B2637">
        <f>TEST_DATA!B2637</f>
        <v/>
      </c>
      <c r="C2637">
        <f>TEST_DATA!C2637</f>
        <v/>
      </c>
      <c r="D2637">
        <f>TEST_DATA!D2637</f>
        <v/>
      </c>
      <c r="E2637">
        <f>TEST_DATA!E2637</f>
        <v/>
      </c>
      <c r="F2637">
        <f>MIN(E2637*263700,10000)</f>
        <v/>
      </c>
      <c r="G2637">
        <f>MINIFS(CBIC_Late_Fee_Relief_Windows_3B!$O$2637:$O$100,CBIC_Late_Fee_Relief_Windows_3B!$D$2637:$D$100,"&lt;="&amp;B2637,CBIC_Late_Fee_Relief_Windows_3B!$E$2637:$E$100,"&gt;="&amp;B2637,CBIC_Late_Fee_Relief_Windows_3B!$F$2637:$F$100,"&lt;="&amp;C2637,CBIC_Late_Fee_Relief_Windows_3B!$G$2637:$G$100,"&gt;="&amp;C2637)</f>
        <v/>
      </c>
      <c r="H2637">
        <f>INDEX(CBIC_Late_Fee_Relief_Windows_3B!$I$2637:$I$100,MATCH(G2637,CBIC_Late_Fee_Relief_Windows_3B!$O$2637:$O$100,0))</f>
        <v/>
      </c>
      <c r="I2637">
        <f>MIN(F2637,H2637)</f>
        <v/>
      </c>
    </row>
    <row r="2638">
      <c r="A2638">
        <f>TEST_DATA!A2638</f>
        <v/>
      </c>
      <c r="B2638">
        <f>TEST_DATA!B2638</f>
        <v/>
      </c>
      <c r="C2638">
        <f>TEST_DATA!C2638</f>
        <v/>
      </c>
      <c r="D2638">
        <f>TEST_DATA!D2638</f>
        <v/>
      </c>
      <c r="E2638">
        <f>TEST_DATA!E2638</f>
        <v/>
      </c>
      <c r="F2638">
        <f>MIN(E2638*263800,10000)</f>
        <v/>
      </c>
      <c r="G2638">
        <f>MINIFS(CBIC_Late_Fee_Relief_Windows_3B!$O$2638:$O$100,CBIC_Late_Fee_Relief_Windows_3B!$D$2638:$D$100,"&lt;="&amp;B2638,CBIC_Late_Fee_Relief_Windows_3B!$E$2638:$E$100,"&gt;="&amp;B2638,CBIC_Late_Fee_Relief_Windows_3B!$F$2638:$F$100,"&lt;="&amp;C2638,CBIC_Late_Fee_Relief_Windows_3B!$G$2638:$G$100,"&gt;="&amp;C2638)</f>
        <v/>
      </c>
      <c r="H2638">
        <f>INDEX(CBIC_Late_Fee_Relief_Windows_3B!$I$2638:$I$100,MATCH(G2638,CBIC_Late_Fee_Relief_Windows_3B!$O$2638:$O$100,0))</f>
        <v/>
      </c>
      <c r="I2638">
        <f>MIN(F2638,H2638)</f>
        <v/>
      </c>
    </row>
    <row r="2639">
      <c r="A2639">
        <f>TEST_DATA!A2639</f>
        <v/>
      </c>
      <c r="B2639">
        <f>TEST_DATA!B2639</f>
        <v/>
      </c>
      <c r="C2639">
        <f>TEST_DATA!C2639</f>
        <v/>
      </c>
      <c r="D2639">
        <f>TEST_DATA!D2639</f>
        <v/>
      </c>
      <c r="E2639">
        <f>TEST_DATA!E2639</f>
        <v/>
      </c>
      <c r="F2639">
        <f>MIN(E2639*263900,10000)</f>
        <v/>
      </c>
      <c r="G2639">
        <f>MINIFS(CBIC_Late_Fee_Relief_Windows_3B!$O$2639:$O$100,CBIC_Late_Fee_Relief_Windows_3B!$D$2639:$D$100,"&lt;="&amp;B2639,CBIC_Late_Fee_Relief_Windows_3B!$E$2639:$E$100,"&gt;="&amp;B2639,CBIC_Late_Fee_Relief_Windows_3B!$F$2639:$F$100,"&lt;="&amp;C2639,CBIC_Late_Fee_Relief_Windows_3B!$G$2639:$G$100,"&gt;="&amp;C2639)</f>
        <v/>
      </c>
      <c r="H2639">
        <f>INDEX(CBIC_Late_Fee_Relief_Windows_3B!$I$2639:$I$100,MATCH(G2639,CBIC_Late_Fee_Relief_Windows_3B!$O$2639:$O$100,0))</f>
        <v/>
      </c>
      <c r="I2639">
        <f>MIN(F2639,H2639)</f>
        <v/>
      </c>
    </row>
    <row r="2640">
      <c r="A2640">
        <f>TEST_DATA!A2640</f>
        <v/>
      </c>
      <c r="B2640">
        <f>TEST_DATA!B2640</f>
        <v/>
      </c>
      <c r="C2640">
        <f>TEST_DATA!C2640</f>
        <v/>
      </c>
      <c r="D2640">
        <f>TEST_DATA!D2640</f>
        <v/>
      </c>
      <c r="E2640">
        <f>TEST_DATA!E2640</f>
        <v/>
      </c>
      <c r="F2640">
        <f>MIN(E2640*264000,10000)</f>
        <v/>
      </c>
      <c r="G2640">
        <f>MINIFS(CBIC_Late_Fee_Relief_Windows_3B!$O$2640:$O$100,CBIC_Late_Fee_Relief_Windows_3B!$D$2640:$D$100,"&lt;="&amp;B2640,CBIC_Late_Fee_Relief_Windows_3B!$E$2640:$E$100,"&gt;="&amp;B2640,CBIC_Late_Fee_Relief_Windows_3B!$F$2640:$F$100,"&lt;="&amp;C2640,CBIC_Late_Fee_Relief_Windows_3B!$G$2640:$G$100,"&gt;="&amp;C2640)</f>
        <v/>
      </c>
      <c r="H2640">
        <f>INDEX(CBIC_Late_Fee_Relief_Windows_3B!$I$2640:$I$100,MATCH(G2640,CBIC_Late_Fee_Relief_Windows_3B!$O$2640:$O$100,0))</f>
        <v/>
      </c>
      <c r="I2640">
        <f>MIN(F2640,H2640)</f>
        <v/>
      </c>
    </row>
    <row r="2641">
      <c r="A2641">
        <f>TEST_DATA!A2641</f>
        <v/>
      </c>
      <c r="B2641">
        <f>TEST_DATA!B2641</f>
        <v/>
      </c>
      <c r="C2641">
        <f>TEST_DATA!C2641</f>
        <v/>
      </c>
      <c r="D2641">
        <f>TEST_DATA!D2641</f>
        <v/>
      </c>
      <c r="E2641">
        <f>TEST_DATA!E2641</f>
        <v/>
      </c>
      <c r="F2641">
        <f>MIN(E2641*264100,10000)</f>
        <v/>
      </c>
      <c r="G2641">
        <f>MINIFS(CBIC_Late_Fee_Relief_Windows_3B!$O$2641:$O$100,CBIC_Late_Fee_Relief_Windows_3B!$D$2641:$D$100,"&lt;="&amp;B2641,CBIC_Late_Fee_Relief_Windows_3B!$E$2641:$E$100,"&gt;="&amp;B2641,CBIC_Late_Fee_Relief_Windows_3B!$F$2641:$F$100,"&lt;="&amp;C2641,CBIC_Late_Fee_Relief_Windows_3B!$G$2641:$G$100,"&gt;="&amp;C2641)</f>
        <v/>
      </c>
      <c r="H2641">
        <f>INDEX(CBIC_Late_Fee_Relief_Windows_3B!$I$2641:$I$100,MATCH(G2641,CBIC_Late_Fee_Relief_Windows_3B!$O$2641:$O$100,0))</f>
        <v/>
      </c>
      <c r="I2641">
        <f>MIN(F2641,H2641)</f>
        <v/>
      </c>
    </row>
    <row r="2642">
      <c r="A2642">
        <f>TEST_DATA!A2642</f>
        <v/>
      </c>
      <c r="B2642">
        <f>TEST_DATA!B2642</f>
        <v/>
      </c>
      <c r="C2642">
        <f>TEST_DATA!C2642</f>
        <v/>
      </c>
      <c r="D2642">
        <f>TEST_DATA!D2642</f>
        <v/>
      </c>
      <c r="E2642">
        <f>TEST_DATA!E2642</f>
        <v/>
      </c>
      <c r="F2642">
        <f>MIN(E2642*264200,10000)</f>
        <v/>
      </c>
      <c r="G2642">
        <f>MINIFS(CBIC_Late_Fee_Relief_Windows_3B!$O$2642:$O$100,CBIC_Late_Fee_Relief_Windows_3B!$D$2642:$D$100,"&lt;="&amp;B2642,CBIC_Late_Fee_Relief_Windows_3B!$E$2642:$E$100,"&gt;="&amp;B2642,CBIC_Late_Fee_Relief_Windows_3B!$F$2642:$F$100,"&lt;="&amp;C2642,CBIC_Late_Fee_Relief_Windows_3B!$G$2642:$G$100,"&gt;="&amp;C2642)</f>
        <v/>
      </c>
      <c r="H2642">
        <f>INDEX(CBIC_Late_Fee_Relief_Windows_3B!$I$2642:$I$100,MATCH(G2642,CBIC_Late_Fee_Relief_Windows_3B!$O$2642:$O$100,0))</f>
        <v/>
      </c>
      <c r="I2642">
        <f>MIN(F2642,H2642)</f>
        <v/>
      </c>
    </row>
    <row r="2643">
      <c r="A2643">
        <f>TEST_DATA!A2643</f>
        <v/>
      </c>
      <c r="B2643">
        <f>TEST_DATA!B2643</f>
        <v/>
      </c>
      <c r="C2643">
        <f>TEST_DATA!C2643</f>
        <v/>
      </c>
      <c r="D2643">
        <f>TEST_DATA!D2643</f>
        <v/>
      </c>
      <c r="E2643">
        <f>TEST_DATA!E2643</f>
        <v/>
      </c>
      <c r="F2643">
        <f>MIN(E2643*264300,10000)</f>
        <v/>
      </c>
      <c r="G2643">
        <f>MINIFS(CBIC_Late_Fee_Relief_Windows_3B!$O$2643:$O$100,CBIC_Late_Fee_Relief_Windows_3B!$D$2643:$D$100,"&lt;="&amp;B2643,CBIC_Late_Fee_Relief_Windows_3B!$E$2643:$E$100,"&gt;="&amp;B2643,CBIC_Late_Fee_Relief_Windows_3B!$F$2643:$F$100,"&lt;="&amp;C2643,CBIC_Late_Fee_Relief_Windows_3B!$G$2643:$G$100,"&gt;="&amp;C2643)</f>
        <v/>
      </c>
      <c r="H2643">
        <f>INDEX(CBIC_Late_Fee_Relief_Windows_3B!$I$2643:$I$100,MATCH(G2643,CBIC_Late_Fee_Relief_Windows_3B!$O$2643:$O$100,0))</f>
        <v/>
      </c>
      <c r="I2643">
        <f>MIN(F2643,H2643)</f>
        <v/>
      </c>
    </row>
    <row r="2644">
      <c r="A2644">
        <f>TEST_DATA!A2644</f>
        <v/>
      </c>
      <c r="B2644">
        <f>TEST_DATA!B2644</f>
        <v/>
      </c>
      <c r="C2644">
        <f>TEST_DATA!C2644</f>
        <v/>
      </c>
      <c r="D2644">
        <f>TEST_DATA!D2644</f>
        <v/>
      </c>
      <c r="E2644">
        <f>TEST_DATA!E2644</f>
        <v/>
      </c>
      <c r="F2644">
        <f>MIN(E2644*264400,10000)</f>
        <v/>
      </c>
      <c r="G2644">
        <f>MINIFS(CBIC_Late_Fee_Relief_Windows_3B!$O$2644:$O$100,CBIC_Late_Fee_Relief_Windows_3B!$D$2644:$D$100,"&lt;="&amp;B2644,CBIC_Late_Fee_Relief_Windows_3B!$E$2644:$E$100,"&gt;="&amp;B2644,CBIC_Late_Fee_Relief_Windows_3B!$F$2644:$F$100,"&lt;="&amp;C2644,CBIC_Late_Fee_Relief_Windows_3B!$G$2644:$G$100,"&gt;="&amp;C2644)</f>
        <v/>
      </c>
      <c r="H2644">
        <f>INDEX(CBIC_Late_Fee_Relief_Windows_3B!$I$2644:$I$100,MATCH(G2644,CBIC_Late_Fee_Relief_Windows_3B!$O$2644:$O$100,0))</f>
        <v/>
      </c>
      <c r="I2644">
        <f>MIN(F2644,H2644)</f>
        <v/>
      </c>
    </row>
    <row r="2645">
      <c r="A2645">
        <f>TEST_DATA!A2645</f>
        <v/>
      </c>
      <c r="B2645">
        <f>TEST_DATA!B2645</f>
        <v/>
      </c>
      <c r="C2645">
        <f>TEST_DATA!C2645</f>
        <v/>
      </c>
      <c r="D2645">
        <f>TEST_DATA!D2645</f>
        <v/>
      </c>
      <c r="E2645">
        <f>TEST_DATA!E2645</f>
        <v/>
      </c>
      <c r="F2645">
        <f>MIN(E2645*264500,10000)</f>
        <v/>
      </c>
      <c r="G2645">
        <f>MINIFS(CBIC_Late_Fee_Relief_Windows_3B!$O$2645:$O$100,CBIC_Late_Fee_Relief_Windows_3B!$D$2645:$D$100,"&lt;="&amp;B2645,CBIC_Late_Fee_Relief_Windows_3B!$E$2645:$E$100,"&gt;="&amp;B2645,CBIC_Late_Fee_Relief_Windows_3B!$F$2645:$F$100,"&lt;="&amp;C2645,CBIC_Late_Fee_Relief_Windows_3B!$G$2645:$G$100,"&gt;="&amp;C2645)</f>
        <v/>
      </c>
      <c r="H2645">
        <f>INDEX(CBIC_Late_Fee_Relief_Windows_3B!$I$2645:$I$100,MATCH(G2645,CBIC_Late_Fee_Relief_Windows_3B!$O$2645:$O$100,0))</f>
        <v/>
      </c>
      <c r="I2645">
        <f>MIN(F2645,H2645)</f>
        <v/>
      </c>
    </row>
    <row r="2646">
      <c r="A2646">
        <f>TEST_DATA!A2646</f>
        <v/>
      </c>
      <c r="B2646">
        <f>TEST_DATA!B2646</f>
        <v/>
      </c>
      <c r="C2646">
        <f>TEST_DATA!C2646</f>
        <v/>
      </c>
      <c r="D2646">
        <f>TEST_DATA!D2646</f>
        <v/>
      </c>
      <c r="E2646">
        <f>TEST_DATA!E2646</f>
        <v/>
      </c>
      <c r="F2646">
        <f>MIN(E2646*264600,10000)</f>
        <v/>
      </c>
      <c r="G2646">
        <f>MINIFS(CBIC_Late_Fee_Relief_Windows_3B!$O$2646:$O$100,CBIC_Late_Fee_Relief_Windows_3B!$D$2646:$D$100,"&lt;="&amp;B2646,CBIC_Late_Fee_Relief_Windows_3B!$E$2646:$E$100,"&gt;="&amp;B2646,CBIC_Late_Fee_Relief_Windows_3B!$F$2646:$F$100,"&lt;="&amp;C2646,CBIC_Late_Fee_Relief_Windows_3B!$G$2646:$G$100,"&gt;="&amp;C2646)</f>
        <v/>
      </c>
      <c r="H2646">
        <f>INDEX(CBIC_Late_Fee_Relief_Windows_3B!$I$2646:$I$100,MATCH(G2646,CBIC_Late_Fee_Relief_Windows_3B!$O$2646:$O$100,0))</f>
        <v/>
      </c>
      <c r="I2646">
        <f>MIN(F2646,H2646)</f>
        <v/>
      </c>
    </row>
    <row r="2647">
      <c r="A2647">
        <f>TEST_DATA!A2647</f>
        <v/>
      </c>
      <c r="B2647">
        <f>TEST_DATA!B2647</f>
        <v/>
      </c>
      <c r="C2647">
        <f>TEST_DATA!C2647</f>
        <v/>
      </c>
      <c r="D2647">
        <f>TEST_DATA!D2647</f>
        <v/>
      </c>
      <c r="E2647">
        <f>TEST_DATA!E2647</f>
        <v/>
      </c>
      <c r="F2647">
        <f>MIN(E2647*264700,10000)</f>
        <v/>
      </c>
      <c r="G2647">
        <f>MINIFS(CBIC_Late_Fee_Relief_Windows_3B!$O$2647:$O$100,CBIC_Late_Fee_Relief_Windows_3B!$D$2647:$D$100,"&lt;="&amp;B2647,CBIC_Late_Fee_Relief_Windows_3B!$E$2647:$E$100,"&gt;="&amp;B2647,CBIC_Late_Fee_Relief_Windows_3B!$F$2647:$F$100,"&lt;="&amp;C2647,CBIC_Late_Fee_Relief_Windows_3B!$G$2647:$G$100,"&gt;="&amp;C2647)</f>
        <v/>
      </c>
      <c r="H2647">
        <f>INDEX(CBIC_Late_Fee_Relief_Windows_3B!$I$2647:$I$100,MATCH(G2647,CBIC_Late_Fee_Relief_Windows_3B!$O$2647:$O$100,0))</f>
        <v/>
      </c>
      <c r="I2647">
        <f>MIN(F2647,H2647)</f>
        <v/>
      </c>
    </row>
    <row r="2648">
      <c r="A2648">
        <f>TEST_DATA!A2648</f>
        <v/>
      </c>
      <c r="B2648">
        <f>TEST_DATA!B2648</f>
        <v/>
      </c>
      <c r="C2648">
        <f>TEST_DATA!C2648</f>
        <v/>
      </c>
      <c r="D2648">
        <f>TEST_DATA!D2648</f>
        <v/>
      </c>
      <c r="E2648">
        <f>TEST_DATA!E2648</f>
        <v/>
      </c>
      <c r="F2648">
        <f>MIN(E2648*264800,10000)</f>
        <v/>
      </c>
      <c r="G2648">
        <f>MINIFS(CBIC_Late_Fee_Relief_Windows_3B!$O$2648:$O$100,CBIC_Late_Fee_Relief_Windows_3B!$D$2648:$D$100,"&lt;="&amp;B2648,CBIC_Late_Fee_Relief_Windows_3B!$E$2648:$E$100,"&gt;="&amp;B2648,CBIC_Late_Fee_Relief_Windows_3B!$F$2648:$F$100,"&lt;="&amp;C2648,CBIC_Late_Fee_Relief_Windows_3B!$G$2648:$G$100,"&gt;="&amp;C2648)</f>
        <v/>
      </c>
      <c r="H2648">
        <f>INDEX(CBIC_Late_Fee_Relief_Windows_3B!$I$2648:$I$100,MATCH(G2648,CBIC_Late_Fee_Relief_Windows_3B!$O$2648:$O$100,0))</f>
        <v/>
      </c>
      <c r="I2648">
        <f>MIN(F2648,H2648)</f>
        <v/>
      </c>
    </row>
    <row r="2649">
      <c r="A2649">
        <f>TEST_DATA!A2649</f>
        <v/>
      </c>
      <c r="B2649">
        <f>TEST_DATA!B2649</f>
        <v/>
      </c>
      <c r="C2649">
        <f>TEST_DATA!C2649</f>
        <v/>
      </c>
      <c r="D2649">
        <f>TEST_DATA!D2649</f>
        <v/>
      </c>
      <c r="E2649">
        <f>TEST_DATA!E2649</f>
        <v/>
      </c>
      <c r="F2649">
        <f>MIN(E2649*264900,10000)</f>
        <v/>
      </c>
      <c r="G2649">
        <f>MINIFS(CBIC_Late_Fee_Relief_Windows_3B!$O$2649:$O$100,CBIC_Late_Fee_Relief_Windows_3B!$D$2649:$D$100,"&lt;="&amp;B2649,CBIC_Late_Fee_Relief_Windows_3B!$E$2649:$E$100,"&gt;="&amp;B2649,CBIC_Late_Fee_Relief_Windows_3B!$F$2649:$F$100,"&lt;="&amp;C2649,CBIC_Late_Fee_Relief_Windows_3B!$G$2649:$G$100,"&gt;="&amp;C2649)</f>
        <v/>
      </c>
      <c r="H2649">
        <f>INDEX(CBIC_Late_Fee_Relief_Windows_3B!$I$2649:$I$100,MATCH(G2649,CBIC_Late_Fee_Relief_Windows_3B!$O$2649:$O$100,0))</f>
        <v/>
      </c>
      <c r="I2649">
        <f>MIN(F2649,H2649)</f>
        <v/>
      </c>
    </row>
    <row r="2650">
      <c r="A2650">
        <f>TEST_DATA!A2650</f>
        <v/>
      </c>
      <c r="B2650">
        <f>TEST_DATA!B2650</f>
        <v/>
      </c>
      <c r="C2650">
        <f>TEST_DATA!C2650</f>
        <v/>
      </c>
      <c r="D2650">
        <f>TEST_DATA!D2650</f>
        <v/>
      </c>
      <c r="E2650">
        <f>TEST_DATA!E2650</f>
        <v/>
      </c>
      <c r="F2650">
        <f>MIN(E2650*265000,10000)</f>
        <v/>
      </c>
      <c r="G2650">
        <f>MINIFS(CBIC_Late_Fee_Relief_Windows_3B!$O$2650:$O$100,CBIC_Late_Fee_Relief_Windows_3B!$D$2650:$D$100,"&lt;="&amp;B2650,CBIC_Late_Fee_Relief_Windows_3B!$E$2650:$E$100,"&gt;="&amp;B2650,CBIC_Late_Fee_Relief_Windows_3B!$F$2650:$F$100,"&lt;="&amp;C2650,CBIC_Late_Fee_Relief_Windows_3B!$G$2650:$G$100,"&gt;="&amp;C2650)</f>
        <v/>
      </c>
      <c r="H2650">
        <f>INDEX(CBIC_Late_Fee_Relief_Windows_3B!$I$2650:$I$100,MATCH(G2650,CBIC_Late_Fee_Relief_Windows_3B!$O$2650:$O$100,0))</f>
        <v/>
      </c>
      <c r="I2650">
        <f>MIN(F2650,H2650)</f>
        <v/>
      </c>
    </row>
    <row r="2651">
      <c r="A2651">
        <f>TEST_DATA!A2651</f>
        <v/>
      </c>
      <c r="B2651">
        <f>TEST_DATA!B2651</f>
        <v/>
      </c>
      <c r="C2651">
        <f>TEST_DATA!C2651</f>
        <v/>
      </c>
      <c r="D2651">
        <f>TEST_DATA!D2651</f>
        <v/>
      </c>
      <c r="E2651">
        <f>TEST_DATA!E2651</f>
        <v/>
      </c>
      <c r="F2651">
        <f>MIN(E2651*265100,10000)</f>
        <v/>
      </c>
      <c r="G2651">
        <f>MINIFS(CBIC_Late_Fee_Relief_Windows_3B!$O$2651:$O$100,CBIC_Late_Fee_Relief_Windows_3B!$D$2651:$D$100,"&lt;="&amp;B2651,CBIC_Late_Fee_Relief_Windows_3B!$E$2651:$E$100,"&gt;="&amp;B2651,CBIC_Late_Fee_Relief_Windows_3B!$F$2651:$F$100,"&lt;="&amp;C2651,CBIC_Late_Fee_Relief_Windows_3B!$G$2651:$G$100,"&gt;="&amp;C2651)</f>
        <v/>
      </c>
      <c r="H2651">
        <f>INDEX(CBIC_Late_Fee_Relief_Windows_3B!$I$2651:$I$100,MATCH(G2651,CBIC_Late_Fee_Relief_Windows_3B!$O$2651:$O$100,0))</f>
        <v/>
      </c>
      <c r="I2651">
        <f>MIN(F2651,H2651)</f>
        <v/>
      </c>
    </row>
    <row r="2652">
      <c r="A2652">
        <f>TEST_DATA!A2652</f>
        <v/>
      </c>
      <c r="B2652">
        <f>TEST_DATA!B2652</f>
        <v/>
      </c>
      <c r="C2652">
        <f>TEST_DATA!C2652</f>
        <v/>
      </c>
      <c r="D2652">
        <f>TEST_DATA!D2652</f>
        <v/>
      </c>
      <c r="E2652">
        <f>TEST_DATA!E2652</f>
        <v/>
      </c>
      <c r="F2652">
        <f>MIN(E2652*265200,10000)</f>
        <v/>
      </c>
      <c r="G2652">
        <f>MINIFS(CBIC_Late_Fee_Relief_Windows_3B!$O$2652:$O$100,CBIC_Late_Fee_Relief_Windows_3B!$D$2652:$D$100,"&lt;="&amp;B2652,CBIC_Late_Fee_Relief_Windows_3B!$E$2652:$E$100,"&gt;="&amp;B2652,CBIC_Late_Fee_Relief_Windows_3B!$F$2652:$F$100,"&lt;="&amp;C2652,CBIC_Late_Fee_Relief_Windows_3B!$G$2652:$G$100,"&gt;="&amp;C2652)</f>
        <v/>
      </c>
      <c r="H2652">
        <f>INDEX(CBIC_Late_Fee_Relief_Windows_3B!$I$2652:$I$100,MATCH(G2652,CBIC_Late_Fee_Relief_Windows_3B!$O$2652:$O$100,0))</f>
        <v/>
      </c>
      <c r="I2652">
        <f>MIN(F2652,H2652)</f>
        <v/>
      </c>
    </row>
    <row r="2653">
      <c r="A2653">
        <f>TEST_DATA!A2653</f>
        <v/>
      </c>
      <c r="B2653">
        <f>TEST_DATA!B2653</f>
        <v/>
      </c>
      <c r="C2653">
        <f>TEST_DATA!C2653</f>
        <v/>
      </c>
      <c r="D2653">
        <f>TEST_DATA!D2653</f>
        <v/>
      </c>
      <c r="E2653">
        <f>TEST_DATA!E2653</f>
        <v/>
      </c>
      <c r="F2653">
        <f>MIN(E2653*265300,10000)</f>
        <v/>
      </c>
      <c r="G2653">
        <f>MINIFS(CBIC_Late_Fee_Relief_Windows_3B!$O$2653:$O$100,CBIC_Late_Fee_Relief_Windows_3B!$D$2653:$D$100,"&lt;="&amp;B2653,CBIC_Late_Fee_Relief_Windows_3B!$E$2653:$E$100,"&gt;="&amp;B2653,CBIC_Late_Fee_Relief_Windows_3B!$F$2653:$F$100,"&lt;="&amp;C2653,CBIC_Late_Fee_Relief_Windows_3B!$G$2653:$G$100,"&gt;="&amp;C2653)</f>
        <v/>
      </c>
      <c r="H2653">
        <f>INDEX(CBIC_Late_Fee_Relief_Windows_3B!$I$2653:$I$100,MATCH(G2653,CBIC_Late_Fee_Relief_Windows_3B!$O$2653:$O$100,0))</f>
        <v/>
      </c>
      <c r="I2653">
        <f>MIN(F2653,H2653)</f>
        <v/>
      </c>
    </row>
    <row r="2654">
      <c r="A2654">
        <f>TEST_DATA!A2654</f>
        <v/>
      </c>
      <c r="B2654">
        <f>TEST_DATA!B2654</f>
        <v/>
      </c>
      <c r="C2654">
        <f>TEST_DATA!C2654</f>
        <v/>
      </c>
      <c r="D2654">
        <f>TEST_DATA!D2654</f>
        <v/>
      </c>
      <c r="E2654">
        <f>TEST_DATA!E2654</f>
        <v/>
      </c>
      <c r="F2654">
        <f>MIN(E2654*265400,10000)</f>
        <v/>
      </c>
      <c r="G2654">
        <f>MINIFS(CBIC_Late_Fee_Relief_Windows_3B!$O$2654:$O$100,CBIC_Late_Fee_Relief_Windows_3B!$D$2654:$D$100,"&lt;="&amp;B2654,CBIC_Late_Fee_Relief_Windows_3B!$E$2654:$E$100,"&gt;="&amp;B2654,CBIC_Late_Fee_Relief_Windows_3B!$F$2654:$F$100,"&lt;="&amp;C2654,CBIC_Late_Fee_Relief_Windows_3B!$G$2654:$G$100,"&gt;="&amp;C2654)</f>
        <v/>
      </c>
      <c r="H2654">
        <f>INDEX(CBIC_Late_Fee_Relief_Windows_3B!$I$2654:$I$100,MATCH(G2654,CBIC_Late_Fee_Relief_Windows_3B!$O$2654:$O$100,0))</f>
        <v/>
      </c>
      <c r="I2654">
        <f>MIN(F2654,H2654)</f>
        <v/>
      </c>
    </row>
    <row r="2655">
      <c r="A2655">
        <f>TEST_DATA!A2655</f>
        <v/>
      </c>
      <c r="B2655">
        <f>TEST_DATA!B2655</f>
        <v/>
      </c>
      <c r="C2655">
        <f>TEST_DATA!C2655</f>
        <v/>
      </c>
      <c r="D2655">
        <f>TEST_DATA!D2655</f>
        <v/>
      </c>
      <c r="E2655">
        <f>TEST_DATA!E2655</f>
        <v/>
      </c>
      <c r="F2655">
        <f>MIN(E2655*265500,10000)</f>
        <v/>
      </c>
      <c r="G2655">
        <f>MINIFS(CBIC_Late_Fee_Relief_Windows_3B!$O$2655:$O$100,CBIC_Late_Fee_Relief_Windows_3B!$D$2655:$D$100,"&lt;="&amp;B2655,CBIC_Late_Fee_Relief_Windows_3B!$E$2655:$E$100,"&gt;="&amp;B2655,CBIC_Late_Fee_Relief_Windows_3B!$F$2655:$F$100,"&lt;="&amp;C2655,CBIC_Late_Fee_Relief_Windows_3B!$G$2655:$G$100,"&gt;="&amp;C2655)</f>
        <v/>
      </c>
      <c r="H2655">
        <f>INDEX(CBIC_Late_Fee_Relief_Windows_3B!$I$2655:$I$100,MATCH(G2655,CBIC_Late_Fee_Relief_Windows_3B!$O$2655:$O$100,0))</f>
        <v/>
      </c>
      <c r="I2655">
        <f>MIN(F2655,H2655)</f>
        <v/>
      </c>
    </row>
    <row r="2656">
      <c r="A2656">
        <f>TEST_DATA!A2656</f>
        <v/>
      </c>
      <c r="B2656">
        <f>TEST_DATA!B2656</f>
        <v/>
      </c>
      <c r="C2656">
        <f>TEST_DATA!C2656</f>
        <v/>
      </c>
      <c r="D2656">
        <f>TEST_DATA!D2656</f>
        <v/>
      </c>
      <c r="E2656">
        <f>TEST_DATA!E2656</f>
        <v/>
      </c>
      <c r="F2656">
        <f>MIN(E2656*265600,10000)</f>
        <v/>
      </c>
      <c r="G2656">
        <f>MINIFS(CBIC_Late_Fee_Relief_Windows_3B!$O$2656:$O$100,CBIC_Late_Fee_Relief_Windows_3B!$D$2656:$D$100,"&lt;="&amp;B2656,CBIC_Late_Fee_Relief_Windows_3B!$E$2656:$E$100,"&gt;="&amp;B2656,CBIC_Late_Fee_Relief_Windows_3B!$F$2656:$F$100,"&lt;="&amp;C2656,CBIC_Late_Fee_Relief_Windows_3B!$G$2656:$G$100,"&gt;="&amp;C2656)</f>
        <v/>
      </c>
      <c r="H2656">
        <f>INDEX(CBIC_Late_Fee_Relief_Windows_3B!$I$2656:$I$100,MATCH(G2656,CBIC_Late_Fee_Relief_Windows_3B!$O$2656:$O$100,0))</f>
        <v/>
      </c>
      <c r="I2656">
        <f>MIN(F2656,H2656)</f>
        <v/>
      </c>
    </row>
    <row r="2657">
      <c r="A2657">
        <f>TEST_DATA!A2657</f>
        <v/>
      </c>
      <c r="B2657">
        <f>TEST_DATA!B2657</f>
        <v/>
      </c>
      <c r="C2657">
        <f>TEST_DATA!C2657</f>
        <v/>
      </c>
      <c r="D2657">
        <f>TEST_DATA!D2657</f>
        <v/>
      </c>
      <c r="E2657">
        <f>TEST_DATA!E2657</f>
        <v/>
      </c>
      <c r="F2657">
        <f>MIN(E2657*265700,10000)</f>
        <v/>
      </c>
      <c r="G2657">
        <f>MINIFS(CBIC_Late_Fee_Relief_Windows_3B!$O$2657:$O$100,CBIC_Late_Fee_Relief_Windows_3B!$D$2657:$D$100,"&lt;="&amp;B2657,CBIC_Late_Fee_Relief_Windows_3B!$E$2657:$E$100,"&gt;="&amp;B2657,CBIC_Late_Fee_Relief_Windows_3B!$F$2657:$F$100,"&lt;="&amp;C2657,CBIC_Late_Fee_Relief_Windows_3B!$G$2657:$G$100,"&gt;="&amp;C2657)</f>
        <v/>
      </c>
      <c r="H2657">
        <f>INDEX(CBIC_Late_Fee_Relief_Windows_3B!$I$2657:$I$100,MATCH(G2657,CBIC_Late_Fee_Relief_Windows_3B!$O$2657:$O$100,0))</f>
        <v/>
      </c>
      <c r="I2657">
        <f>MIN(F2657,H2657)</f>
        <v/>
      </c>
    </row>
    <row r="2658">
      <c r="A2658">
        <f>TEST_DATA!A2658</f>
        <v/>
      </c>
      <c r="B2658">
        <f>TEST_DATA!B2658</f>
        <v/>
      </c>
      <c r="C2658">
        <f>TEST_DATA!C2658</f>
        <v/>
      </c>
      <c r="D2658">
        <f>TEST_DATA!D2658</f>
        <v/>
      </c>
      <c r="E2658">
        <f>TEST_DATA!E2658</f>
        <v/>
      </c>
      <c r="F2658">
        <f>MIN(E2658*265800,10000)</f>
        <v/>
      </c>
      <c r="G2658">
        <f>MINIFS(CBIC_Late_Fee_Relief_Windows_3B!$O$2658:$O$100,CBIC_Late_Fee_Relief_Windows_3B!$D$2658:$D$100,"&lt;="&amp;B2658,CBIC_Late_Fee_Relief_Windows_3B!$E$2658:$E$100,"&gt;="&amp;B2658,CBIC_Late_Fee_Relief_Windows_3B!$F$2658:$F$100,"&lt;="&amp;C2658,CBIC_Late_Fee_Relief_Windows_3B!$G$2658:$G$100,"&gt;="&amp;C2658)</f>
        <v/>
      </c>
      <c r="H2658">
        <f>INDEX(CBIC_Late_Fee_Relief_Windows_3B!$I$2658:$I$100,MATCH(G2658,CBIC_Late_Fee_Relief_Windows_3B!$O$2658:$O$100,0))</f>
        <v/>
      </c>
      <c r="I2658">
        <f>MIN(F2658,H2658)</f>
        <v/>
      </c>
    </row>
    <row r="2659">
      <c r="A2659">
        <f>TEST_DATA!A2659</f>
        <v/>
      </c>
      <c r="B2659">
        <f>TEST_DATA!B2659</f>
        <v/>
      </c>
      <c r="C2659">
        <f>TEST_DATA!C2659</f>
        <v/>
      </c>
      <c r="D2659">
        <f>TEST_DATA!D2659</f>
        <v/>
      </c>
      <c r="E2659">
        <f>TEST_DATA!E2659</f>
        <v/>
      </c>
      <c r="F2659">
        <f>MIN(E2659*265900,10000)</f>
        <v/>
      </c>
      <c r="G2659">
        <f>MINIFS(CBIC_Late_Fee_Relief_Windows_3B!$O$2659:$O$100,CBIC_Late_Fee_Relief_Windows_3B!$D$2659:$D$100,"&lt;="&amp;B2659,CBIC_Late_Fee_Relief_Windows_3B!$E$2659:$E$100,"&gt;="&amp;B2659,CBIC_Late_Fee_Relief_Windows_3B!$F$2659:$F$100,"&lt;="&amp;C2659,CBIC_Late_Fee_Relief_Windows_3B!$G$2659:$G$100,"&gt;="&amp;C2659)</f>
        <v/>
      </c>
      <c r="H2659">
        <f>INDEX(CBIC_Late_Fee_Relief_Windows_3B!$I$2659:$I$100,MATCH(G2659,CBIC_Late_Fee_Relief_Windows_3B!$O$2659:$O$100,0))</f>
        <v/>
      </c>
      <c r="I2659">
        <f>MIN(F2659,H2659)</f>
        <v/>
      </c>
    </row>
    <row r="2660">
      <c r="A2660">
        <f>TEST_DATA!A2660</f>
        <v/>
      </c>
      <c r="B2660">
        <f>TEST_DATA!B2660</f>
        <v/>
      </c>
      <c r="C2660">
        <f>TEST_DATA!C2660</f>
        <v/>
      </c>
      <c r="D2660">
        <f>TEST_DATA!D2660</f>
        <v/>
      </c>
      <c r="E2660">
        <f>TEST_DATA!E2660</f>
        <v/>
      </c>
      <c r="F2660">
        <f>MIN(E2660*266000,10000)</f>
        <v/>
      </c>
      <c r="G2660">
        <f>MINIFS(CBIC_Late_Fee_Relief_Windows_3B!$O$2660:$O$100,CBIC_Late_Fee_Relief_Windows_3B!$D$2660:$D$100,"&lt;="&amp;B2660,CBIC_Late_Fee_Relief_Windows_3B!$E$2660:$E$100,"&gt;="&amp;B2660,CBIC_Late_Fee_Relief_Windows_3B!$F$2660:$F$100,"&lt;="&amp;C2660,CBIC_Late_Fee_Relief_Windows_3B!$G$2660:$G$100,"&gt;="&amp;C2660)</f>
        <v/>
      </c>
      <c r="H2660">
        <f>INDEX(CBIC_Late_Fee_Relief_Windows_3B!$I$2660:$I$100,MATCH(G2660,CBIC_Late_Fee_Relief_Windows_3B!$O$2660:$O$100,0))</f>
        <v/>
      </c>
      <c r="I2660">
        <f>MIN(F2660,H2660)</f>
        <v/>
      </c>
    </row>
    <row r="2661">
      <c r="A2661">
        <f>TEST_DATA!A2661</f>
        <v/>
      </c>
      <c r="B2661">
        <f>TEST_DATA!B2661</f>
        <v/>
      </c>
      <c r="C2661">
        <f>TEST_DATA!C2661</f>
        <v/>
      </c>
      <c r="D2661">
        <f>TEST_DATA!D2661</f>
        <v/>
      </c>
      <c r="E2661">
        <f>TEST_DATA!E2661</f>
        <v/>
      </c>
      <c r="F2661">
        <f>MIN(E2661*266100,10000)</f>
        <v/>
      </c>
      <c r="G2661">
        <f>MINIFS(CBIC_Late_Fee_Relief_Windows_3B!$O$2661:$O$100,CBIC_Late_Fee_Relief_Windows_3B!$D$2661:$D$100,"&lt;="&amp;B2661,CBIC_Late_Fee_Relief_Windows_3B!$E$2661:$E$100,"&gt;="&amp;B2661,CBIC_Late_Fee_Relief_Windows_3B!$F$2661:$F$100,"&lt;="&amp;C2661,CBIC_Late_Fee_Relief_Windows_3B!$G$2661:$G$100,"&gt;="&amp;C2661)</f>
        <v/>
      </c>
      <c r="H2661">
        <f>INDEX(CBIC_Late_Fee_Relief_Windows_3B!$I$2661:$I$100,MATCH(G2661,CBIC_Late_Fee_Relief_Windows_3B!$O$2661:$O$100,0))</f>
        <v/>
      </c>
      <c r="I2661">
        <f>MIN(F2661,H2661)</f>
        <v/>
      </c>
    </row>
    <row r="2662">
      <c r="A2662">
        <f>TEST_DATA!A2662</f>
        <v/>
      </c>
      <c r="B2662">
        <f>TEST_DATA!B2662</f>
        <v/>
      </c>
      <c r="C2662">
        <f>TEST_DATA!C2662</f>
        <v/>
      </c>
      <c r="D2662">
        <f>TEST_DATA!D2662</f>
        <v/>
      </c>
      <c r="E2662">
        <f>TEST_DATA!E2662</f>
        <v/>
      </c>
      <c r="F2662">
        <f>MIN(E2662*266200,10000)</f>
        <v/>
      </c>
      <c r="G2662">
        <f>MINIFS(CBIC_Late_Fee_Relief_Windows_3B!$O$2662:$O$100,CBIC_Late_Fee_Relief_Windows_3B!$D$2662:$D$100,"&lt;="&amp;B2662,CBIC_Late_Fee_Relief_Windows_3B!$E$2662:$E$100,"&gt;="&amp;B2662,CBIC_Late_Fee_Relief_Windows_3B!$F$2662:$F$100,"&lt;="&amp;C2662,CBIC_Late_Fee_Relief_Windows_3B!$G$2662:$G$100,"&gt;="&amp;C2662)</f>
        <v/>
      </c>
      <c r="H2662">
        <f>INDEX(CBIC_Late_Fee_Relief_Windows_3B!$I$2662:$I$100,MATCH(G2662,CBIC_Late_Fee_Relief_Windows_3B!$O$2662:$O$100,0))</f>
        <v/>
      </c>
      <c r="I2662">
        <f>MIN(F2662,H2662)</f>
        <v/>
      </c>
    </row>
    <row r="2663">
      <c r="A2663">
        <f>TEST_DATA!A2663</f>
        <v/>
      </c>
      <c r="B2663">
        <f>TEST_DATA!B2663</f>
        <v/>
      </c>
      <c r="C2663">
        <f>TEST_DATA!C2663</f>
        <v/>
      </c>
      <c r="D2663">
        <f>TEST_DATA!D2663</f>
        <v/>
      </c>
      <c r="E2663">
        <f>TEST_DATA!E2663</f>
        <v/>
      </c>
      <c r="F2663">
        <f>MIN(E2663*266300,10000)</f>
        <v/>
      </c>
      <c r="G2663">
        <f>MINIFS(CBIC_Late_Fee_Relief_Windows_3B!$O$2663:$O$100,CBIC_Late_Fee_Relief_Windows_3B!$D$2663:$D$100,"&lt;="&amp;B2663,CBIC_Late_Fee_Relief_Windows_3B!$E$2663:$E$100,"&gt;="&amp;B2663,CBIC_Late_Fee_Relief_Windows_3B!$F$2663:$F$100,"&lt;="&amp;C2663,CBIC_Late_Fee_Relief_Windows_3B!$G$2663:$G$100,"&gt;="&amp;C2663)</f>
        <v/>
      </c>
      <c r="H2663">
        <f>INDEX(CBIC_Late_Fee_Relief_Windows_3B!$I$2663:$I$100,MATCH(G2663,CBIC_Late_Fee_Relief_Windows_3B!$O$2663:$O$100,0))</f>
        <v/>
      </c>
      <c r="I2663">
        <f>MIN(F2663,H2663)</f>
        <v/>
      </c>
    </row>
    <row r="2664">
      <c r="A2664">
        <f>TEST_DATA!A2664</f>
        <v/>
      </c>
      <c r="B2664">
        <f>TEST_DATA!B2664</f>
        <v/>
      </c>
      <c r="C2664">
        <f>TEST_DATA!C2664</f>
        <v/>
      </c>
      <c r="D2664">
        <f>TEST_DATA!D2664</f>
        <v/>
      </c>
      <c r="E2664">
        <f>TEST_DATA!E2664</f>
        <v/>
      </c>
      <c r="F2664">
        <f>MIN(E2664*266400,10000)</f>
        <v/>
      </c>
      <c r="G2664">
        <f>MINIFS(CBIC_Late_Fee_Relief_Windows_3B!$O$2664:$O$100,CBIC_Late_Fee_Relief_Windows_3B!$D$2664:$D$100,"&lt;="&amp;B2664,CBIC_Late_Fee_Relief_Windows_3B!$E$2664:$E$100,"&gt;="&amp;B2664,CBIC_Late_Fee_Relief_Windows_3B!$F$2664:$F$100,"&lt;="&amp;C2664,CBIC_Late_Fee_Relief_Windows_3B!$G$2664:$G$100,"&gt;="&amp;C2664)</f>
        <v/>
      </c>
      <c r="H2664">
        <f>INDEX(CBIC_Late_Fee_Relief_Windows_3B!$I$2664:$I$100,MATCH(G2664,CBIC_Late_Fee_Relief_Windows_3B!$O$2664:$O$100,0))</f>
        <v/>
      </c>
      <c r="I2664">
        <f>MIN(F2664,H2664)</f>
        <v/>
      </c>
    </row>
    <row r="2665">
      <c r="A2665">
        <f>TEST_DATA!A2665</f>
        <v/>
      </c>
      <c r="B2665">
        <f>TEST_DATA!B2665</f>
        <v/>
      </c>
      <c r="C2665">
        <f>TEST_DATA!C2665</f>
        <v/>
      </c>
      <c r="D2665">
        <f>TEST_DATA!D2665</f>
        <v/>
      </c>
      <c r="E2665">
        <f>TEST_DATA!E2665</f>
        <v/>
      </c>
      <c r="F2665">
        <f>MIN(E2665*266500,10000)</f>
        <v/>
      </c>
      <c r="G2665">
        <f>MINIFS(CBIC_Late_Fee_Relief_Windows_3B!$O$2665:$O$100,CBIC_Late_Fee_Relief_Windows_3B!$D$2665:$D$100,"&lt;="&amp;B2665,CBIC_Late_Fee_Relief_Windows_3B!$E$2665:$E$100,"&gt;="&amp;B2665,CBIC_Late_Fee_Relief_Windows_3B!$F$2665:$F$100,"&lt;="&amp;C2665,CBIC_Late_Fee_Relief_Windows_3B!$G$2665:$G$100,"&gt;="&amp;C2665)</f>
        <v/>
      </c>
      <c r="H2665">
        <f>INDEX(CBIC_Late_Fee_Relief_Windows_3B!$I$2665:$I$100,MATCH(G2665,CBIC_Late_Fee_Relief_Windows_3B!$O$2665:$O$100,0))</f>
        <v/>
      </c>
      <c r="I2665">
        <f>MIN(F2665,H2665)</f>
        <v/>
      </c>
    </row>
    <row r="2666">
      <c r="A2666">
        <f>TEST_DATA!A2666</f>
        <v/>
      </c>
      <c r="B2666">
        <f>TEST_DATA!B2666</f>
        <v/>
      </c>
      <c r="C2666">
        <f>TEST_DATA!C2666</f>
        <v/>
      </c>
      <c r="D2666">
        <f>TEST_DATA!D2666</f>
        <v/>
      </c>
      <c r="E2666">
        <f>TEST_DATA!E2666</f>
        <v/>
      </c>
      <c r="F2666">
        <f>MIN(E2666*266600,10000)</f>
        <v/>
      </c>
      <c r="G2666">
        <f>MINIFS(CBIC_Late_Fee_Relief_Windows_3B!$O$2666:$O$100,CBIC_Late_Fee_Relief_Windows_3B!$D$2666:$D$100,"&lt;="&amp;B2666,CBIC_Late_Fee_Relief_Windows_3B!$E$2666:$E$100,"&gt;="&amp;B2666,CBIC_Late_Fee_Relief_Windows_3B!$F$2666:$F$100,"&lt;="&amp;C2666,CBIC_Late_Fee_Relief_Windows_3B!$G$2666:$G$100,"&gt;="&amp;C2666)</f>
        <v/>
      </c>
      <c r="H2666">
        <f>INDEX(CBIC_Late_Fee_Relief_Windows_3B!$I$2666:$I$100,MATCH(G2666,CBIC_Late_Fee_Relief_Windows_3B!$O$2666:$O$100,0))</f>
        <v/>
      </c>
      <c r="I2666">
        <f>MIN(F2666,H2666)</f>
        <v/>
      </c>
    </row>
    <row r="2667">
      <c r="A2667">
        <f>TEST_DATA!A2667</f>
        <v/>
      </c>
      <c r="B2667">
        <f>TEST_DATA!B2667</f>
        <v/>
      </c>
      <c r="C2667">
        <f>TEST_DATA!C2667</f>
        <v/>
      </c>
      <c r="D2667">
        <f>TEST_DATA!D2667</f>
        <v/>
      </c>
      <c r="E2667">
        <f>TEST_DATA!E2667</f>
        <v/>
      </c>
      <c r="F2667">
        <f>MIN(E2667*266700,10000)</f>
        <v/>
      </c>
      <c r="G2667">
        <f>MINIFS(CBIC_Late_Fee_Relief_Windows_3B!$O$2667:$O$100,CBIC_Late_Fee_Relief_Windows_3B!$D$2667:$D$100,"&lt;="&amp;B2667,CBIC_Late_Fee_Relief_Windows_3B!$E$2667:$E$100,"&gt;="&amp;B2667,CBIC_Late_Fee_Relief_Windows_3B!$F$2667:$F$100,"&lt;="&amp;C2667,CBIC_Late_Fee_Relief_Windows_3B!$G$2667:$G$100,"&gt;="&amp;C2667)</f>
        <v/>
      </c>
      <c r="H2667">
        <f>INDEX(CBIC_Late_Fee_Relief_Windows_3B!$I$2667:$I$100,MATCH(G2667,CBIC_Late_Fee_Relief_Windows_3B!$O$2667:$O$100,0))</f>
        <v/>
      </c>
      <c r="I2667">
        <f>MIN(F2667,H2667)</f>
        <v/>
      </c>
    </row>
    <row r="2668">
      <c r="A2668">
        <f>TEST_DATA!A2668</f>
        <v/>
      </c>
      <c r="B2668">
        <f>TEST_DATA!B2668</f>
        <v/>
      </c>
      <c r="C2668">
        <f>TEST_DATA!C2668</f>
        <v/>
      </c>
      <c r="D2668">
        <f>TEST_DATA!D2668</f>
        <v/>
      </c>
      <c r="E2668">
        <f>TEST_DATA!E2668</f>
        <v/>
      </c>
      <c r="F2668">
        <f>MIN(E2668*266800,10000)</f>
        <v/>
      </c>
      <c r="G2668">
        <f>MINIFS(CBIC_Late_Fee_Relief_Windows_3B!$O$2668:$O$100,CBIC_Late_Fee_Relief_Windows_3B!$D$2668:$D$100,"&lt;="&amp;B2668,CBIC_Late_Fee_Relief_Windows_3B!$E$2668:$E$100,"&gt;="&amp;B2668,CBIC_Late_Fee_Relief_Windows_3B!$F$2668:$F$100,"&lt;="&amp;C2668,CBIC_Late_Fee_Relief_Windows_3B!$G$2668:$G$100,"&gt;="&amp;C2668)</f>
        <v/>
      </c>
      <c r="H2668">
        <f>INDEX(CBIC_Late_Fee_Relief_Windows_3B!$I$2668:$I$100,MATCH(G2668,CBIC_Late_Fee_Relief_Windows_3B!$O$2668:$O$100,0))</f>
        <v/>
      </c>
      <c r="I2668">
        <f>MIN(F2668,H2668)</f>
        <v/>
      </c>
    </row>
    <row r="2669">
      <c r="A2669">
        <f>TEST_DATA!A2669</f>
        <v/>
      </c>
      <c r="B2669">
        <f>TEST_DATA!B2669</f>
        <v/>
      </c>
      <c r="C2669">
        <f>TEST_DATA!C2669</f>
        <v/>
      </c>
      <c r="D2669">
        <f>TEST_DATA!D2669</f>
        <v/>
      </c>
      <c r="E2669">
        <f>TEST_DATA!E2669</f>
        <v/>
      </c>
      <c r="F2669">
        <f>MIN(E2669*266900,10000)</f>
        <v/>
      </c>
      <c r="G2669">
        <f>MINIFS(CBIC_Late_Fee_Relief_Windows_3B!$O$2669:$O$100,CBIC_Late_Fee_Relief_Windows_3B!$D$2669:$D$100,"&lt;="&amp;B2669,CBIC_Late_Fee_Relief_Windows_3B!$E$2669:$E$100,"&gt;="&amp;B2669,CBIC_Late_Fee_Relief_Windows_3B!$F$2669:$F$100,"&lt;="&amp;C2669,CBIC_Late_Fee_Relief_Windows_3B!$G$2669:$G$100,"&gt;="&amp;C2669)</f>
        <v/>
      </c>
      <c r="H2669">
        <f>INDEX(CBIC_Late_Fee_Relief_Windows_3B!$I$2669:$I$100,MATCH(G2669,CBIC_Late_Fee_Relief_Windows_3B!$O$2669:$O$100,0))</f>
        <v/>
      </c>
      <c r="I2669">
        <f>MIN(F2669,H2669)</f>
        <v/>
      </c>
    </row>
    <row r="2670">
      <c r="A2670">
        <f>TEST_DATA!A2670</f>
        <v/>
      </c>
      <c r="B2670">
        <f>TEST_DATA!B2670</f>
        <v/>
      </c>
      <c r="C2670">
        <f>TEST_DATA!C2670</f>
        <v/>
      </c>
      <c r="D2670">
        <f>TEST_DATA!D2670</f>
        <v/>
      </c>
      <c r="E2670">
        <f>TEST_DATA!E2670</f>
        <v/>
      </c>
      <c r="F2670">
        <f>MIN(E2670*267000,10000)</f>
        <v/>
      </c>
      <c r="G2670">
        <f>MINIFS(CBIC_Late_Fee_Relief_Windows_3B!$O$2670:$O$100,CBIC_Late_Fee_Relief_Windows_3B!$D$2670:$D$100,"&lt;="&amp;B2670,CBIC_Late_Fee_Relief_Windows_3B!$E$2670:$E$100,"&gt;="&amp;B2670,CBIC_Late_Fee_Relief_Windows_3B!$F$2670:$F$100,"&lt;="&amp;C2670,CBIC_Late_Fee_Relief_Windows_3B!$G$2670:$G$100,"&gt;="&amp;C2670)</f>
        <v/>
      </c>
      <c r="H2670">
        <f>INDEX(CBIC_Late_Fee_Relief_Windows_3B!$I$2670:$I$100,MATCH(G2670,CBIC_Late_Fee_Relief_Windows_3B!$O$2670:$O$100,0))</f>
        <v/>
      </c>
      <c r="I2670">
        <f>MIN(F2670,H2670)</f>
        <v/>
      </c>
    </row>
    <row r="2671">
      <c r="A2671">
        <f>TEST_DATA!A2671</f>
        <v/>
      </c>
      <c r="B2671">
        <f>TEST_DATA!B2671</f>
        <v/>
      </c>
      <c r="C2671">
        <f>TEST_DATA!C2671</f>
        <v/>
      </c>
      <c r="D2671">
        <f>TEST_DATA!D2671</f>
        <v/>
      </c>
      <c r="E2671">
        <f>TEST_DATA!E2671</f>
        <v/>
      </c>
      <c r="F2671">
        <f>MIN(E2671*267100,10000)</f>
        <v/>
      </c>
      <c r="G2671">
        <f>MINIFS(CBIC_Late_Fee_Relief_Windows_3B!$O$2671:$O$100,CBIC_Late_Fee_Relief_Windows_3B!$D$2671:$D$100,"&lt;="&amp;B2671,CBIC_Late_Fee_Relief_Windows_3B!$E$2671:$E$100,"&gt;="&amp;B2671,CBIC_Late_Fee_Relief_Windows_3B!$F$2671:$F$100,"&lt;="&amp;C2671,CBIC_Late_Fee_Relief_Windows_3B!$G$2671:$G$100,"&gt;="&amp;C2671)</f>
        <v/>
      </c>
      <c r="H2671">
        <f>INDEX(CBIC_Late_Fee_Relief_Windows_3B!$I$2671:$I$100,MATCH(G2671,CBIC_Late_Fee_Relief_Windows_3B!$O$2671:$O$100,0))</f>
        <v/>
      </c>
      <c r="I2671">
        <f>MIN(F2671,H2671)</f>
        <v/>
      </c>
    </row>
    <row r="2672">
      <c r="A2672">
        <f>TEST_DATA!A2672</f>
        <v/>
      </c>
      <c r="B2672">
        <f>TEST_DATA!B2672</f>
        <v/>
      </c>
      <c r="C2672">
        <f>TEST_DATA!C2672</f>
        <v/>
      </c>
      <c r="D2672">
        <f>TEST_DATA!D2672</f>
        <v/>
      </c>
      <c r="E2672">
        <f>TEST_DATA!E2672</f>
        <v/>
      </c>
      <c r="F2672">
        <f>MIN(E2672*267200,10000)</f>
        <v/>
      </c>
      <c r="G2672">
        <f>MINIFS(CBIC_Late_Fee_Relief_Windows_3B!$O$2672:$O$100,CBIC_Late_Fee_Relief_Windows_3B!$D$2672:$D$100,"&lt;="&amp;B2672,CBIC_Late_Fee_Relief_Windows_3B!$E$2672:$E$100,"&gt;="&amp;B2672,CBIC_Late_Fee_Relief_Windows_3B!$F$2672:$F$100,"&lt;="&amp;C2672,CBIC_Late_Fee_Relief_Windows_3B!$G$2672:$G$100,"&gt;="&amp;C2672)</f>
        <v/>
      </c>
      <c r="H2672">
        <f>INDEX(CBIC_Late_Fee_Relief_Windows_3B!$I$2672:$I$100,MATCH(G2672,CBIC_Late_Fee_Relief_Windows_3B!$O$2672:$O$100,0))</f>
        <v/>
      </c>
      <c r="I2672">
        <f>MIN(F2672,H2672)</f>
        <v/>
      </c>
    </row>
    <row r="2673">
      <c r="A2673">
        <f>TEST_DATA!A2673</f>
        <v/>
      </c>
      <c r="B2673">
        <f>TEST_DATA!B2673</f>
        <v/>
      </c>
      <c r="C2673">
        <f>TEST_DATA!C2673</f>
        <v/>
      </c>
      <c r="D2673">
        <f>TEST_DATA!D2673</f>
        <v/>
      </c>
      <c r="E2673">
        <f>TEST_DATA!E2673</f>
        <v/>
      </c>
      <c r="F2673">
        <f>MIN(E2673*267300,10000)</f>
        <v/>
      </c>
      <c r="G2673">
        <f>MINIFS(CBIC_Late_Fee_Relief_Windows_3B!$O$2673:$O$100,CBIC_Late_Fee_Relief_Windows_3B!$D$2673:$D$100,"&lt;="&amp;B2673,CBIC_Late_Fee_Relief_Windows_3B!$E$2673:$E$100,"&gt;="&amp;B2673,CBIC_Late_Fee_Relief_Windows_3B!$F$2673:$F$100,"&lt;="&amp;C2673,CBIC_Late_Fee_Relief_Windows_3B!$G$2673:$G$100,"&gt;="&amp;C2673)</f>
        <v/>
      </c>
      <c r="H2673">
        <f>INDEX(CBIC_Late_Fee_Relief_Windows_3B!$I$2673:$I$100,MATCH(G2673,CBIC_Late_Fee_Relief_Windows_3B!$O$2673:$O$100,0))</f>
        <v/>
      </c>
      <c r="I2673">
        <f>MIN(F2673,H2673)</f>
        <v/>
      </c>
    </row>
    <row r="2674">
      <c r="A2674">
        <f>TEST_DATA!A2674</f>
        <v/>
      </c>
      <c r="B2674">
        <f>TEST_DATA!B2674</f>
        <v/>
      </c>
      <c r="C2674">
        <f>TEST_DATA!C2674</f>
        <v/>
      </c>
      <c r="D2674">
        <f>TEST_DATA!D2674</f>
        <v/>
      </c>
      <c r="E2674">
        <f>TEST_DATA!E2674</f>
        <v/>
      </c>
      <c r="F2674">
        <f>MIN(E2674*267400,10000)</f>
        <v/>
      </c>
      <c r="G2674">
        <f>MINIFS(CBIC_Late_Fee_Relief_Windows_3B!$O$2674:$O$100,CBIC_Late_Fee_Relief_Windows_3B!$D$2674:$D$100,"&lt;="&amp;B2674,CBIC_Late_Fee_Relief_Windows_3B!$E$2674:$E$100,"&gt;="&amp;B2674,CBIC_Late_Fee_Relief_Windows_3B!$F$2674:$F$100,"&lt;="&amp;C2674,CBIC_Late_Fee_Relief_Windows_3B!$G$2674:$G$100,"&gt;="&amp;C2674)</f>
        <v/>
      </c>
      <c r="H2674">
        <f>INDEX(CBIC_Late_Fee_Relief_Windows_3B!$I$2674:$I$100,MATCH(G2674,CBIC_Late_Fee_Relief_Windows_3B!$O$2674:$O$100,0))</f>
        <v/>
      </c>
      <c r="I2674">
        <f>MIN(F2674,H2674)</f>
        <v/>
      </c>
    </row>
    <row r="2675">
      <c r="A2675">
        <f>TEST_DATA!A2675</f>
        <v/>
      </c>
      <c r="B2675">
        <f>TEST_DATA!B2675</f>
        <v/>
      </c>
      <c r="C2675">
        <f>TEST_DATA!C2675</f>
        <v/>
      </c>
      <c r="D2675">
        <f>TEST_DATA!D2675</f>
        <v/>
      </c>
      <c r="E2675">
        <f>TEST_DATA!E2675</f>
        <v/>
      </c>
      <c r="F2675">
        <f>MIN(E2675*267500,10000)</f>
        <v/>
      </c>
      <c r="G2675">
        <f>MINIFS(CBIC_Late_Fee_Relief_Windows_3B!$O$2675:$O$100,CBIC_Late_Fee_Relief_Windows_3B!$D$2675:$D$100,"&lt;="&amp;B2675,CBIC_Late_Fee_Relief_Windows_3B!$E$2675:$E$100,"&gt;="&amp;B2675,CBIC_Late_Fee_Relief_Windows_3B!$F$2675:$F$100,"&lt;="&amp;C2675,CBIC_Late_Fee_Relief_Windows_3B!$G$2675:$G$100,"&gt;="&amp;C2675)</f>
        <v/>
      </c>
      <c r="H2675">
        <f>INDEX(CBIC_Late_Fee_Relief_Windows_3B!$I$2675:$I$100,MATCH(G2675,CBIC_Late_Fee_Relief_Windows_3B!$O$2675:$O$100,0))</f>
        <v/>
      </c>
      <c r="I2675">
        <f>MIN(F2675,H2675)</f>
        <v/>
      </c>
    </row>
    <row r="2676">
      <c r="A2676">
        <f>TEST_DATA!A2676</f>
        <v/>
      </c>
      <c r="B2676">
        <f>TEST_DATA!B2676</f>
        <v/>
      </c>
      <c r="C2676">
        <f>TEST_DATA!C2676</f>
        <v/>
      </c>
      <c r="D2676">
        <f>TEST_DATA!D2676</f>
        <v/>
      </c>
      <c r="E2676">
        <f>TEST_DATA!E2676</f>
        <v/>
      </c>
      <c r="F2676">
        <f>MIN(E2676*267600,10000)</f>
        <v/>
      </c>
      <c r="G2676">
        <f>MINIFS(CBIC_Late_Fee_Relief_Windows_3B!$O$2676:$O$100,CBIC_Late_Fee_Relief_Windows_3B!$D$2676:$D$100,"&lt;="&amp;B2676,CBIC_Late_Fee_Relief_Windows_3B!$E$2676:$E$100,"&gt;="&amp;B2676,CBIC_Late_Fee_Relief_Windows_3B!$F$2676:$F$100,"&lt;="&amp;C2676,CBIC_Late_Fee_Relief_Windows_3B!$G$2676:$G$100,"&gt;="&amp;C2676)</f>
        <v/>
      </c>
      <c r="H2676">
        <f>INDEX(CBIC_Late_Fee_Relief_Windows_3B!$I$2676:$I$100,MATCH(G2676,CBIC_Late_Fee_Relief_Windows_3B!$O$2676:$O$100,0))</f>
        <v/>
      </c>
      <c r="I2676">
        <f>MIN(F2676,H2676)</f>
        <v/>
      </c>
    </row>
    <row r="2677">
      <c r="A2677">
        <f>TEST_DATA!A2677</f>
        <v/>
      </c>
      <c r="B2677">
        <f>TEST_DATA!B2677</f>
        <v/>
      </c>
      <c r="C2677">
        <f>TEST_DATA!C2677</f>
        <v/>
      </c>
      <c r="D2677">
        <f>TEST_DATA!D2677</f>
        <v/>
      </c>
      <c r="E2677">
        <f>TEST_DATA!E2677</f>
        <v/>
      </c>
      <c r="F2677">
        <f>MIN(E2677*267700,10000)</f>
        <v/>
      </c>
      <c r="G2677">
        <f>MINIFS(CBIC_Late_Fee_Relief_Windows_3B!$O$2677:$O$100,CBIC_Late_Fee_Relief_Windows_3B!$D$2677:$D$100,"&lt;="&amp;B2677,CBIC_Late_Fee_Relief_Windows_3B!$E$2677:$E$100,"&gt;="&amp;B2677,CBIC_Late_Fee_Relief_Windows_3B!$F$2677:$F$100,"&lt;="&amp;C2677,CBIC_Late_Fee_Relief_Windows_3B!$G$2677:$G$100,"&gt;="&amp;C2677)</f>
        <v/>
      </c>
      <c r="H2677">
        <f>INDEX(CBIC_Late_Fee_Relief_Windows_3B!$I$2677:$I$100,MATCH(G2677,CBIC_Late_Fee_Relief_Windows_3B!$O$2677:$O$100,0))</f>
        <v/>
      </c>
      <c r="I2677">
        <f>MIN(F2677,H2677)</f>
        <v/>
      </c>
    </row>
    <row r="2678">
      <c r="A2678">
        <f>TEST_DATA!A2678</f>
        <v/>
      </c>
      <c r="B2678">
        <f>TEST_DATA!B2678</f>
        <v/>
      </c>
      <c r="C2678">
        <f>TEST_DATA!C2678</f>
        <v/>
      </c>
      <c r="D2678">
        <f>TEST_DATA!D2678</f>
        <v/>
      </c>
      <c r="E2678">
        <f>TEST_DATA!E2678</f>
        <v/>
      </c>
      <c r="F2678">
        <f>MIN(E2678*267800,10000)</f>
        <v/>
      </c>
      <c r="G2678">
        <f>MINIFS(CBIC_Late_Fee_Relief_Windows_3B!$O$2678:$O$100,CBIC_Late_Fee_Relief_Windows_3B!$D$2678:$D$100,"&lt;="&amp;B2678,CBIC_Late_Fee_Relief_Windows_3B!$E$2678:$E$100,"&gt;="&amp;B2678,CBIC_Late_Fee_Relief_Windows_3B!$F$2678:$F$100,"&lt;="&amp;C2678,CBIC_Late_Fee_Relief_Windows_3B!$G$2678:$G$100,"&gt;="&amp;C2678)</f>
        <v/>
      </c>
      <c r="H2678">
        <f>INDEX(CBIC_Late_Fee_Relief_Windows_3B!$I$2678:$I$100,MATCH(G2678,CBIC_Late_Fee_Relief_Windows_3B!$O$2678:$O$100,0))</f>
        <v/>
      </c>
      <c r="I2678">
        <f>MIN(F2678,H2678)</f>
        <v/>
      </c>
    </row>
    <row r="2679">
      <c r="A2679">
        <f>TEST_DATA!A2679</f>
        <v/>
      </c>
      <c r="B2679">
        <f>TEST_DATA!B2679</f>
        <v/>
      </c>
      <c r="C2679">
        <f>TEST_DATA!C2679</f>
        <v/>
      </c>
      <c r="D2679">
        <f>TEST_DATA!D2679</f>
        <v/>
      </c>
      <c r="E2679">
        <f>TEST_DATA!E2679</f>
        <v/>
      </c>
      <c r="F2679">
        <f>MIN(E2679*267900,10000)</f>
        <v/>
      </c>
      <c r="G2679">
        <f>MINIFS(CBIC_Late_Fee_Relief_Windows_3B!$O$2679:$O$100,CBIC_Late_Fee_Relief_Windows_3B!$D$2679:$D$100,"&lt;="&amp;B2679,CBIC_Late_Fee_Relief_Windows_3B!$E$2679:$E$100,"&gt;="&amp;B2679,CBIC_Late_Fee_Relief_Windows_3B!$F$2679:$F$100,"&lt;="&amp;C2679,CBIC_Late_Fee_Relief_Windows_3B!$G$2679:$G$100,"&gt;="&amp;C2679)</f>
        <v/>
      </c>
      <c r="H2679">
        <f>INDEX(CBIC_Late_Fee_Relief_Windows_3B!$I$2679:$I$100,MATCH(G2679,CBIC_Late_Fee_Relief_Windows_3B!$O$2679:$O$100,0))</f>
        <v/>
      </c>
      <c r="I2679">
        <f>MIN(F2679,H2679)</f>
        <v/>
      </c>
    </row>
    <row r="2680">
      <c r="A2680">
        <f>TEST_DATA!A2680</f>
        <v/>
      </c>
      <c r="B2680">
        <f>TEST_DATA!B2680</f>
        <v/>
      </c>
      <c r="C2680">
        <f>TEST_DATA!C2680</f>
        <v/>
      </c>
      <c r="D2680">
        <f>TEST_DATA!D2680</f>
        <v/>
      </c>
      <c r="E2680">
        <f>TEST_DATA!E2680</f>
        <v/>
      </c>
      <c r="F2680">
        <f>MIN(E2680*268000,10000)</f>
        <v/>
      </c>
      <c r="G2680">
        <f>MINIFS(CBIC_Late_Fee_Relief_Windows_3B!$O$2680:$O$100,CBIC_Late_Fee_Relief_Windows_3B!$D$2680:$D$100,"&lt;="&amp;B2680,CBIC_Late_Fee_Relief_Windows_3B!$E$2680:$E$100,"&gt;="&amp;B2680,CBIC_Late_Fee_Relief_Windows_3B!$F$2680:$F$100,"&lt;="&amp;C2680,CBIC_Late_Fee_Relief_Windows_3B!$G$2680:$G$100,"&gt;="&amp;C2680)</f>
        <v/>
      </c>
      <c r="H2680">
        <f>INDEX(CBIC_Late_Fee_Relief_Windows_3B!$I$2680:$I$100,MATCH(G2680,CBIC_Late_Fee_Relief_Windows_3B!$O$2680:$O$100,0))</f>
        <v/>
      </c>
      <c r="I2680">
        <f>MIN(F2680,H2680)</f>
        <v/>
      </c>
    </row>
    <row r="2681">
      <c r="A2681">
        <f>TEST_DATA!A2681</f>
        <v/>
      </c>
      <c r="B2681">
        <f>TEST_DATA!B2681</f>
        <v/>
      </c>
      <c r="C2681">
        <f>TEST_DATA!C2681</f>
        <v/>
      </c>
      <c r="D2681">
        <f>TEST_DATA!D2681</f>
        <v/>
      </c>
      <c r="E2681">
        <f>TEST_DATA!E2681</f>
        <v/>
      </c>
      <c r="F2681">
        <f>MIN(E2681*268100,10000)</f>
        <v/>
      </c>
      <c r="G2681">
        <f>MINIFS(CBIC_Late_Fee_Relief_Windows_3B!$O$2681:$O$100,CBIC_Late_Fee_Relief_Windows_3B!$D$2681:$D$100,"&lt;="&amp;B2681,CBIC_Late_Fee_Relief_Windows_3B!$E$2681:$E$100,"&gt;="&amp;B2681,CBIC_Late_Fee_Relief_Windows_3B!$F$2681:$F$100,"&lt;="&amp;C2681,CBIC_Late_Fee_Relief_Windows_3B!$G$2681:$G$100,"&gt;="&amp;C2681)</f>
        <v/>
      </c>
      <c r="H2681">
        <f>INDEX(CBIC_Late_Fee_Relief_Windows_3B!$I$2681:$I$100,MATCH(G2681,CBIC_Late_Fee_Relief_Windows_3B!$O$2681:$O$100,0))</f>
        <v/>
      </c>
      <c r="I2681">
        <f>MIN(F2681,H2681)</f>
        <v/>
      </c>
    </row>
    <row r="2682">
      <c r="A2682">
        <f>TEST_DATA!A2682</f>
        <v/>
      </c>
      <c r="B2682">
        <f>TEST_DATA!B2682</f>
        <v/>
      </c>
      <c r="C2682">
        <f>TEST_DATA!C2682</f>
        <v/>
      </c>
      <c r="D2682">
        <f>TEST_DATA!D2682</f>
        <v/>
      </c>
      <c r="E2682">
        <f>TEST_DATA!E2682</f>
        <v/>
      </c>
      <c r="F2682">
        <f>MIN(E2682*268200,10000)</f>
        <v/>
      </c>
      <c r="G2682">
        <f>MINIFS(CBIC_Late_Fee_Relief_Windows_3B!$O$2682:$O$100,CBIC_Late_Fee_Relief_Windows_3B!$D$2682:$D$100,"&lt;="&amp;B2682,CBIC_Late_Fee_Relief_Windows_3B!$E$2682:$E$100,"&gt;="&amp;B2682,CBIC_Late_Fee_Relief_Windows_3B!$F$2682:$F$100,"&lt;="&amp;C2682,CBIC_Late_Fee_Relief_Windows_3B!$G$2682:$G$100,"&gt;="&amp;C2682)</f>
        <v/>
      </c>
      <c r="H2682">
        <f>INDEX(CBIC_Late_Fee_Relief_Windows_3B!$I$2682:$I$100,MATCH(G2682,CBIC_Late_Fee_Relief_Windows_3B!$O$2682:$O$100,0))</f>
        <v/>
      </c>
      <c r="I2682">
        <f>MIN(F2682,H2682)</f>
        <v/>
      </c>
    </row>
    <row r="2683">
      <c r="A2683">
        <f>TEST_DATA!A2683</f>
        <v/>
      </c>
      <c r="B2683">
        <f>TEST_DATA!B2683</f>
        <v/>
      </c>
      <c r="C2683">
        <f>TEST_DATA!C2683</f>
        <v/>
      </c>
      <c r="D2683">
        <f>TEST_DATA!D2683</f>
        <v/>
      </c>
      <c r="E2683">
        <f>TEST_DATA!E2683</f>
        <v/>
      </c>
      <c r="F2683">
        <f>MIN(E2683*268300,10000)</f>
        <v/>
      </c>
      <c r="G2683">
        <f>MINIFS(CBIC_Late_Fee_Relief_Windows_3B!$O$2683:$O$100,CBIC_Late_Fee_Relief_Windows_3B!$D$2683:$D$100,"&lt;="&amp;B2683,CBIC_Late_Fee_Relief_Windows_3B!$E$2683:$E$100,"&gt;="&amp;B2683,CBIC_Late_Fee_Relief_Windows_3B!$F$2683:$F$100,"&lt;="&amp;C2683,CBIC_Late_Fee_Relief_Windows_3B!$G$2683:$G$100,"&gt;="&amp;C2683)</f>
        <v/>
      </c>
      <c r="H2683">
        <f>INDEX(CBIC_Late_Fee_Relief_Windows_3B!$I$2683:$I$100,MATCH(G2683,CBIC_Late_Fee_Relief_Windows_3B!$O$2683:$O$100,0))</f>
        <v/>
      </c>
      <c r="I2683">
        <f>MIN(F2683,H2683)</f>
        <v/>
      </c>
    </row>
    <row r="2684">
      <c r="A2684">
        <f>TEST_DATA!A2684</f>
        <v/>
      </c>
      <c r="B2684">
        <f>TEST_DATA!B2684</f>
        <v/>
      </c>
      <c r="C2684">
        <f>TEST_DATA!C2684</f>
        <v/>
      </c>
      <c r="D2684">
        <f>TEST_DATA!D2684</f>
        <v/>
      </c>
      <c r="E2684">
        <f>TEST_DATA!E2684</f>
        <v/>
      </c>
      <c r="F2684">
        <f>MIN(E2684*268400,10000)</f>
        <v/>
      </c>
      <c r="G2684">
        <f>MINIFS(CBIC_Late_Fee_Relief_Windows_3B!$O$2684:$O$100,CBIC_Late_Fee_Relief_Windows_3B!$D$2684:$D$100,"&lt;="&amp;B2684,CBIC_Late_Fee_Relief_Windows_3B!$E$2684:$E$100,"&gt;="&amp;B2684,CBIC_Late_Fee_Relief_Windows_3B!$F$2684:$F$100,"&lt;="&amp;C2684,CBIC_Late_Fee_Relief_Windows_3B!$G$2684:$G$100,"&gt;="&amp;C2684)</f>
        <v/>
      </c>
      <c r="H2684">
        <f>INDEX(CBIC_Late_Fee_Relief_Windows_3B!$I$2684:$I$100,MATCH(G2684,CBIC_Late_Fee_Relief_Windows_3B!$O$2684:$O$100,0))</f>
        <v/>
      </c>
      <c r="I2684">
        <f>MIN(F2684,H2684)</f>
        <v/>
      </c>
    </row>
    <row r="2685">
      <c r="A2685">
        <f>TEST_DATA!A2685</f>
        <v/>
      </c>
      <c r="B2685">
        <f>TEST_DATA!B2685</f>
        <v/>
      </c>
      <c r="C2685">
        <f>TEST_DATA!C2685</f>
        <v/>
      </c>
      <c r="D2685">
        <f>TEST_DATA!D2685</f>
        <v/>
      </c>
      <c r="E2685">
        <f>TEST_DATA!E2685</f>
        <v/>
      </c>
      <c r="F2685">
        <f>MIN(E2685*268500,10000)</f>
        <v/>
      </c>
      <c r="G2685">
        <f>MINIFS(CBIC_Late_Fee_Relief_Windows_3B!$O$2685:$O$100,CBIC_Late_Fee_Relief_Windows_3B!$D$2685:$D$100,"&lt;="&amp;B2685,CBIC_Late_Fee_Relief_Windows_3B!$E$2685:$E$100,"&gt;="&amp;B2685,CBIC_Late_Fee_Relief_Windows_3B!$F$2685:$F$100,"&lt;="&amp;C2685,CBIC_Late_Fee_Relief_Windows_3B!$G$2685:$G$100,"&gt;="&amp;C2685)</f>
        <v/>
      </c>
      <c r="H2685">
        <f>INDEX(CBIC_Late_Fee_Relief_Windows_3B!$I$2685:$I$100,MATCH(G2685,CBIC_Late_Fee_Relief_Windows_3B!$O$2685:$O$100,0))</f>
        <v/>
      </c>
      <c r="I2685">
        <f>MIN(F2685,H2685)</f>
        <v/>
      </c>
    </row>
    <row r="2686">
      <c r="A2686">
        <f>TEST_DATA!A2686</f>
        <v/>
      </c>
      <c r="B2686">
        <f>TEST_DATA!B2686</f>
        <v/>
      </c>
      <c r="C2686">
        <f>TEST_DATA!C2686</f>
        <v/>
      </c>
      <c r="D2686">
        <f>TEST_DATA!D2686</f>
        <v/>
      </c>
      <c r="E2686">
        <f>TEST_DATA!E2686</f>
        <v/>
      </c>
      <c r="F2686">
        <f>MIN(E2686*268600,10000)</f>
        <v/>
      </c>
      <c r="G2686">
        <f>MINIFS(CBIC_Late_Fee_Relief_Windows_3B!$O$2686:$O$100,CBIC_Late_Fee_Relief_Windows_3B!$D$2686:$D$100,"&lt;="&amp;B2686,CBIC_Late_Fee_Relief_Windows_3B!$E$2686:$E$100,"&gt;="&amp;B2686,CBIC_Late_Fee_Relief_Windows_3B!$F$2686:$F$100,"&lt;="&amp;C2686,CBIC_Late_Fee_Relief_Windows_3B!$G$2686:$G$100,"&gt;="&amp;C2686)</f>
        <v/>
      </c>
      <c r="H2686">
        <f>INDEX(CBIC_Late_Fee_Relief_Windows_3B!$I$2686:$I$100,MATCH(G2686,CBIC_Late_Fee_Relief_Windows_3B!$O$2686:$O$100,0))</f>
        <v/>
      </c>
      <c r="I2686">
        <f>MIN(F2686,H2686)</f>
        <v/>
      </c>
    </row>
    <row r="2687">
      <c r="A2687">
        <f>TEST_DATA!A2687</f>
        <v/>
      </c>
      <c r="B2687">
        <f>TEST_DATA!B2687</f>
        <v/>
      </c>
      <c r="C2687">
        <f>TEST_DATA!C2687</f>
        <v/>
      </c>
      <c r="D2687">
        <f>TEST_DATA!D2687</f>
        <v/>
      </c>
      <c r="E2687">
        <f>TEST_DATA!E2687</f>
        <v/>
      </c>
      <c r="F2687">
        <f>MIN(E2687*268700,10000)</f>
        <v/>
      </c>
      <c r="G2687">
        <f>MINIFS(CBIC_Late_Fee_Relief_Windows_3B!$O$2687:$O$100,CBIC_Late_Fee_Relief_Windows_3B!$D$2687:$D$100,"&lt;="&amp;B2687,CBIC_Late_Fee_Relief_Windows_3B!$E$2687:$E$100,"&gt;="&amp;B2687,CBIC_Late_Fee_Relief_Windows_3B!$F$2687:$F$100,"&lt;="&amp;C2687,CBIC_Late_Fee_Relief_Windows_3B!$G$2687:$G$100,"&gt;="&amp;C2687)</f>
        <v/>
      </c>
      <c r="H2687">
        <f>INDEX(CBIC_Late_Fee_Relief_Windows_3B!$I$2687:$I$100,MATCH(G2687,CBIC_Late_Fee_Relief_Windows_3B!$O$2687:$O$100,0))</f>
        <v/>
      </c>
      <c r="I2687">
        <f>MIN(F2687,H2687)</f>
        <v/>
      </c>
    </row>
    <row r="2688">
      <c r="A2688">
        <f>TEST_DATA!A2688</f>
        <v/>
      </c>
      <c r="B2688">
        <f>TEST_DATA!B2688</f>
        <v/>
      </c>
      <c r="C2688">
        <f>TEST_DATA!C2688</f>
        <v/>
      </c>
      <c r="D2688">
        <f>TEST_DATA!D2688</f>
        <v/>
      </c>
      <c r="E2688">
        <f>TEST_DATA!E2688</f>
        <v/>
      </c>
      <c r="F2688">
        <f>MIN(E2688*268800,10000)</f>
        <v/>
      </c>
      <c r="G2688">
        <f>MINIFS(CBIC_Late_Fee_Relief_Windows_3B!$O$2688:$O$100,CBIC_Late_Fee_Relief_Windows_3B!$D$2688:$D$100,"&lt;="&amp;B2688,CBIC_Late_Fee_Relief_Windows_3B!$E$2688:$E$100,"&gt;="&amp;B2688,CBIC_Late_Fee_Relief_Windows_3B!$F$2688:$F$100,"&lt;="&amp;C2688,CBIC_Late_Fee_Relief_Windows_3B!$G$2688:$G$100,"&gt;="&amp;C2688)</f>
        <v/>
      </c>
      <c r="H2688">
        <f>INDEX(CBIC_Late_Fee_Relief_Windows_3B!$I$2688:$I$100,MATCH(G2688,CBIC_Late_Fee_Relief_Windows_3B!$O$2688:$O$100,0))</f>
        <v/>
      </c>
      <c r="I2688">
        <f>MIN(F2688,H2688)</f>
        <v/>
      </c>
    </row>
    <row r="2689">
      <c r="A2689">
        <f>TEST_DATA!A2689</f>
        <v/>
      </c>
      <c r="B2689">
        <f>TEST_DATA!B2689</f>
        <v/>
      </c>
      <c r="C2689">
        <f>TEST_DATA!C2689</f>
        <v/>
      </c>
      <c r="D2689">
        <f>TEST_DATA!D2689</f>
        <v/>
      </c>
      <c r="E2689">
        <f>TEST_DATA!E2689</f>
        <v/>
      </c>
      <c r="F2689">
        <f>MIN(E2689*268900,10000)</f>
        <v/>
      </c>
      <c r="G2689">
        <f>MINIFS(CBIC_Late_Fee_Relief_Windows_3B!$O$2689:$O$100,CBIC_Late_Fee_Relief_Windows_3B!$D$2689:$D$100,"&lt;="&amp;B2689,CBIC_Late_Fee_Relief_Windows_3B!$E$2689:$E$100,"&gt;="&amp;B2689,CBIC_Late_Fee_Relief_Windows_3B!$F$2689:$F$100,"&lt;="&amp;C2689,CBIC_Late_Fee_Relief_Windows_3B!$G$2689:$G$100,"&gt;="&amp;C2689)</f>
        <v/>
      </c>
      <c r="H2689">
        <f>INDEX(CBIC_Late_Fee_Relief_Windows_3B!$I$2689:$I$100,MATCH(G2689,CBIC_Late_Fee_Relief_Windows_3B!$O$2689:$O$100,0))</f>
        <v/>
      </c>
      <c r="I2689">
        <f>MIN(F2689,H2689)</f>
        <v/>
      </c>
    </row>
    <row r="2690">
      <c r="A2690">
        <f>TEST_DATA!A2690</f>
        <v/>
      </c>
      <c r="B2690">
        <f>TEST_DATA!B2690</f>
        <v/>
      </c>
      <c r="C2690">
        <f>TEST_DATA!C2690</f>
        <v/>
      </c>
      <c r="D2690">
        <f>TEST_DATA!D2690</f>
        <v/>
      </c>
      <c r="E2690">
        <f>TEST_DATA!E2690</f>
        <v/>
      </c>
      <c r="F2690">
        <f>MIN(E2690*269000,10000)</f>
        <v/>
      </c>
      <c r="G2690">
        <f>MINIFS(CBIC_Late_Fee_Relief_Windows_3B!$O$2690:$O$100,CBIC_Late_Fee_Relief_Windows_3B!$D$2690:$D$100,"&lt;="&amp;B2690,CBIC_Late_Fee_Relief_Windows_3B!$E$2690:$E$100,"&gt;="&amp;B2690,CBIC_Late_Fee_Relief_Windows_3B!$F$2690:$F$100,"&lt;="&amp;C2690,CBIC_Late_Fee_Relief_Windows_3B!$G$2690:$G$100,"&gt;="&amp;C2690)</f>
        <v/>
      </c>
      <c r="H2690">
        <f>INDEX(CBIC_Late_Fee_Relief_Windows_3B!$I$2690:$I$100,MATCH(G2690,CBIC_Late_Fee_Relief_Windows_3B!$O$2690:$O$100,0))</f>
        <v/>
      </c>
      <c r="I2690">
        <f>MIN(F2690,H2690)</f>
        <v/>
      </c>
    </row>
    <row r="2691">
      <c r="A2691">
        <f>TEST_DATA!A2691</f>
        <v/>
      </c>
      <c r="B2691">
        <f>TEST_DATA!B2691</f>
        <v/>
      </c>
      <c r="C2691">
        <f>TEST_DATA!C2691</f>
        <v/>
      </c>
      <c r="D2691">
        <f>TEST_DATA!D2691</f>
        <v/>
      </c>
      <c r="E2691">
        <f>TEST_DATA!E2691</f>
        <v/>
      </c>
      <c r="F2691">
        <f>MIN(E2691*269100,10000)</f>
        <v/>
      </c>
      <c r="G2691">
        <f>MINIFS(CBIC_Late_Fee_Relief_Windows_3B!$O$2691:$O$100,CBIC_Late_Fee_Relief_Windows_3B!$D$2691:$D$100,"&lt;="&amp;B2691,CBIC_Late_Fee_Relief_Windows_3B!$E$2691:$E$100,"&gt;="&amp;B2691,CBIC_Late_Fee_Relief_Windows_3B!$F$2691:$F$100,"&lt;="&amp;C2691,CBIC_Late_Fee_Relief_Windows_3B!$G$2691:$G$100,"&gt;="&amp;C2691)</f>
        <v/>
      </c>
      <c r="H2691">
        <f>INDEX(CBIC_Late_Fee_Relief_Windows_3B!$I$2691:$I$100,MATCH(G2691,CBIC_Late_Fee_Relief_Windows_3B!$O$2691:$O$100,0))</f>
        <v/>
      </c>
      <c r="I2691">
        <f>MIN(F2691,H2691)</f>
        <v/>
      </c>
    </row>
    <row r="2692">
      <c r="A2692">
        <f>TEST_DATA!A2692</f>
        <v/>
      </c>
      <c r="B2692">
        <f>TEST_DATA!B2692</f>
        <v/>
      </c>
      <c r="C2692">
        <f>TEST_DATA!C2692</f>
        <v/>
      </c>
      <c r="D2692">
        <f>TEST_DATA!D2692</f>
        <v/>
      </c>
      <c r="E2692">
        <f>TEST_DATA!E2692</f>
        <v/>
      </c>
      <c r="F2692">
        <f>MIN(E2692*269200,10000)</f>
        <v/>
      </c>
      <c r="G2692">
        <f>MINIFS(CBIC_Late_Fee_Relief_Windows_3B!$O$2692:$O$100,CBIC_Late_Fee_Relief_Windows_3B!$D$2692:$D$100,"&lt;="&amp;B2692,CBIC_Late_Fee_Relief_Windows_3B!$E$2692:$E$100,"&gt;="&amp;B2692,CBIC_Late_Fee_Relief_Windows_3B!$F$2692:$F$100,"&lt;="&amp;C2692,CBIC_Late_Fee_Relief_Windows_3B!$G$2692:$G$100,"&gt;="&amp;C2692)</f>
        <v/>
      </c>
      <c r="H2692">
        <f>INDEX(CBIC_Late_Fee_Relief_Windows_3B!$I$2692:$I$100,MATCH(G2692,CBIC_Late_Fee_Relief_Windows_3B!$O$2692:$O$100,0))</f>
        <v/>
      </c>
      <c r="I2692">
        <f>MIN(F2692,H2692)</f>
        <v/>
      </c>
    </row>
    <row r="2693">
      <c r="A2693">
        <f>TEST_DATA!A2693</f>
        <v/>
      </c>
      <c r="B2693">
        <f>TEST_DATA!B2693</f>
        <v/>
      </c>
      <c r="C2693">
        <f>TEST_DATA!C2693</f>
        <v/>
      </c>
      <c r="D2693">
        <f>TEST_DATA!D2693</f>
        <v/>
      </c>
      <c r="E2693">
        <f>TEST_DATA!E2693</f>
        <v/>
      </c>
      <c r="F2693">
        <f>MIN(E2693*269300,10000)</f>
        <v/>
      </c>
      <c r="G2693">
        <f>MINIFS(CBIC_Late_Fee_Relief_Windows_3B!$O$2693:$O$100,CBIC_Late_Fee_Relief_Windows_3B!$D$2693:$D$100,"&lt;="&amp;B2693,CBIC_Late_Fee_Relief_Windows_3B!$E$2693:$E$100,"&gt;="&amp;B2693,CBIC_Late_Fee_Relief_Windows_3B!$F$2693:$F$100,"&lt;="&amp;C2693,CBIC_Late_Fee_Relief_Windows_3B!$G$2693:$G$100,"&gt;="&amp;C2693)</f>
        <v/>
      </c>
      <c r="H2693">
        <f>INDEX(CBIC_Late_Fee_Relief_Windows_3B!$I$2693:$I$100,MATCH(G2693,CBIC_Late_Fee_Relief_Windows_3B!$O$2693:$O$100,0))</f>
        <v/>
      </c>
      <c r="I2693">
        <f>MIN(F2693,H2693)</f>
        <v/>
      </c>
    </row>
    <row r="2694">
      <c r="A2694">
        <f>TEST_DATA!A2694</f>
        <v/>
      </c>
      <c r="B2694">
        <f>TEST_DATA!B2694</f>
        <v/>
      </c>
      <c r="C2694">
        <f>TEST_DATA!C2694</f>
        <v/>
      </c>
      <c r="D2694">
        <f>TEST_DATA!D2694</f>
        <v/>
      </c>
      <c r="E2694">
        <f>TEST_DATA!E2694</f>
        <v/>
      </c>
      <c r="F2694">
        <f>MIN(E2694*269400,10000)</f>
        <v/>
      </c>
      <c r="G2694">
        <f>MINIFS(CBIC_Late_Fee_Relief_Windows_3B!$O$2694:$O$100,CBIC_Late_Fee_Relief_Windows_3B!$D$2694:$D$100,"&lt;="&amp;B2694,CBIC_Late_Fee_Relief_Windows_3B!$E$2694:$E$100,"&gt;="&amp;B2694,CBIC_Late_Fee_Relief_Windows_3B!$F$2694:$F$100,"&lt;="&amp;C2694,CBIC_Late_Fee_Relief_Windows_3B!$G$2694:$G$100,"&gt;="&amp;C2694)</f>
        <v/>
      </c>
      <c r="H2694">
        <f>INDEX(CBIC_Late_Fee_Relief_Windows_3B!$I$2694:$I$100,MATCH(G2694,CBIC_Late_Fee_Relief_Windows_3B!$O$2694:$O$100,0))</f>
        <v/>
      </c>
      <c r="I2694">
        <f>MIN(F2694,H2694)</f>
        <v/>
      </c>
    </row>
    <row r="2695">
      <c r="A2695">
        <f>TEST_DATA!A2695</f>
        <v/>
      </c>
      <c r="B2695">
        <f>TEST_DATA!B2695</f>
        <v/>
      </c>
      <c r="C2695">
        <f>TEST_DATA!C2695</f>
        <v/>
      </c>
      <c r="D2695">
        <f>TEST_DATA!D2695</f>
        <v/>
      </c>
      <c r="E2695">
        <f>TEST_DATA!E2695</f>
        <v/>
      </c>
      <c r="F2695">
        <f>MIN(E2695*269500,10000)</f>
        <v/>
      </c>
      <c r="G2695">
        <f>MINIFS(CBIC_Late_Fee_Relief_Windows_3B!$O$2695:$O$100,CBIC_Late_Fee_Relief_Windows_3B!$D$2695:$D$100,"&lt;="&amp;B2695,CBIC_Late_Fee_Relief_Windows_3B!$E$2695:$E$100,"&gt;="&amp;B2695,CBIC_Late_Fee_Relief_Windows_3B!$F$2695:$F$100,"&lt;="&amp;C2695,CBIC_Late_Fee_Relief_Windows_3B!$G$2695:$G$100,"&gt;="&amp;C2695)</f>
        <v/>
      </c>
      <c r="H2695">
        <f>INDEX(CBIC_Late_Fee_Relief_Windows_3B!$I$2695:$I$100,MATCH(G2695,CBIC_Late_Fee_Relief_Windows_3B!$O$2695:$O$100,0))</f>
        <v/>
      </c>
      <c r="I2695">
        <f>MIN(F2695,H2695)</f>
        <v/>
      </c>
    </row>
    <row r="2696">
      <c r="A2696">
        <f>TEST_DATA!A2696</f>
        <v/>
      </c>
      <c r="B2696">
        <f>TEST_DATA!B2696</f>
        <v/>
      </c>
      <c r="C2696">
        <f>TEST_DATA!C2696</f>
        <v/>
      </c>
      <c r="D2696">
        <f>TEST_DATA!D2696</f>
        <v/>
      </c>
      <c r="E2696">
        <f>TEST_DATA!E2696</f>
        <v/>
      </c>
      <c r="F2696">
        <f>MIN(E2696*269600,10000)</f>
        <v/>
      </c>
      <c r="G2696">
        <f>MINIFS(CBIC_Late_Fee_Relief_Windows_3B!$O$2696:$O$100,CBIC_Late_Fee_Relief_Windows_3B!$D$2696:$D$100,"&lt;="&amp;B2696,CBIC_Late_Fee_Relief_Windows_3B!$E$2696:$E$100,"&gt;="&amp;B2696,CBIC_Late_Fee_Relief_Windows_3B!$F$2696:$F$100,"&lt;="&amp;C2696,CBIC_Late_Fee_Relief_Windows_3B!$G$2696:$G$100,"&gt;="&amp;C2696)</f>
        <v/>
      </c>
      <c r="H2696">
        <f>INDEX(CBIC_Late_Fee_Relief_Windows_3B!$I$2696:$I$100,MATCH(G2696,CBIC_Late_Fee_Relief_Windows_3B!$O$2696:$O$100,0))</f>
        <v/>
      </c>
      <c r="I2696">
        <f>MIN(F2696,H2696)</f>
        <v/>
      </c>
    </row>
    <row r="2697">
      <c r="A2697">
        <f>TEST_DATA!A2697</f>
        <v/>
      </c>
      <c r="B2697">
        <f>TEST_DATA!B2697</f>
        <v/>
      </c>
      <c r="C2697">
        <f>TEST_DATA!C2697</f>
        <v/>
      </c>
      <c r="D2697">
        <f>TEST_DATA!D2697</f>
        <v/>
      </c>
      <c r="E2697">
        <f>TEST_DATA!E2697</f>
        <v/>
      </c>
      <c r="F2697">
        <f>MIN(E2697*269700,10000)</f>
        <v/>
      </c>
      <c r="G2697">
        <f>MINIFS(CBIC_Late_Fee_Relief_Windows_3B!$O$2697:$O$100,CBIC_Late_Fee_Relief_Windows_3B!$D$2697:$D$100,"&lt;="&amp;B2697,CBIC_Late_Fee_Relief_Windows_3B!$E$2697:$E$100,"&gt;="&amp;B2697,CBIC_Late_Fee_Relief_Windows_3B!$F$2697:$F$100,"&lt;="&amp;C2697,CBIC_Late_Fee_Relief_Windows_3B!$G$2697:$G$100,"&gt;="&amp;C2697)</f>
        <v/>
      </c>
      <c r="H2697">
        <f>INDEX(CBIC_Late_Fee_Relief_Windows_3B!$I$2697:$I$100,MATCH(G2697,CBIC_Late_Fee_Relief_Windows_3B!$O$2697:$O$100,0))</f>
        <v/>
      </c>
      <c r="I2697">
        <f>MIN(F2697,H2697)</f>
        <v/>
      </c>
    </row>
    <row r="2698">
      <c r="A2698">
        <f>TEST_DATA!A2698</f>
        <v/>
      </c>
      <c r="B2698">
        <f>TEST_DATA!B2698</f>
        <v/>
      </c>
      <c r="C2698">
        <f>TEST_DATA!C2698</f>
        <v/>
      </c>
      <c r="D2698">
        <f>TEST_DATA!D2698</f>
        <v/>
      </c>
      <c r="E2698">
        <f>TEST_DATA!E2698</f>
        <v/>
      </c>
      <c r="F2698">
        <f>MIN(E2698*269800,10000)</f>
        <v/>
      </c>
      <c r="G2698">
        <f>MINIFS(CBIC_Late_Fee_Relief_Windows_3B!$O$2698:$O$100,CBIC_Late_Fee_Relief_Windows_3B!$D$2698:$D$100,"&lt;="&amp;B2698,CBIC_Late_Fee_Relief_Windows_3B!$E$2698:$E$100,"&gt;="&amp;B2698,CBIC_Late_Fee_Relief_Windows_3B!$F$2698:$F$100,"&lt;="&amp;C2698,CBIC_Late_Fee_Relief_Windows_3B!$G$2698:$G$100,"&gt;="&amp;C2698)</f>
        <v/>
      </c>
      <c r="H2698">
        <f>INDEX(CBIC_Late_Fee_Relief_Windows_3B!$I$2698:$I$100,MATCH(G2698,CBIC_Late_Fee_Relief_Windows_3B!$O$2698:$O$100,0))</f>
        <v/>
      </c>
      <c r="I2698">
        <f>MIN(F2698,H2698)</f>
        <v/>
      </c>
    </row>
    <row r="2699">
      <c r="A2699">
        <f>TEST_DATA!A2699</f>
        <v/>
      </c>
      <c r="B2699">
        <f>TEST_DATA!B2699</f>
        <v/>
      </c>
      <c r="C2699">
        <f>TEST_DATA!C2699</f>
        <v/>
      </c>
      <c r="D2699">
        <f>TEST_DATA!D2699</f>
        <v/>
      </c>
      <c r="E2699">
        <f>TEST_DATA!E2699</f>
        <v/>
      </c>
      <c r="F2699">
        <f>MIN(E2699*269900,10000)</f>
        <v/>
      </c>
      <c r="G2699">
        <f>MINIFS(CBIC_Late_Fee_Relief_Windows_3B!$O$2699:$O$100,CBIC_Late_Fee_Relief_Windows_3B!$D$2699:$D$100,"&lt;="&amp;B2699,CBIC_Late_Fee_Relief_Windows_3B!$E$2699:$E$100,"&gt;="&amp;B2699,CBIC_Late_Fee_Relief_Windows_3B!$F$2699:$F$100,"&lt;="&amp;C2699,CBIC_Late_Fee_Relief_Windows_3B!$G$2699:$G$100,"&gt;="&amp;C2699)</f>
        <v/>
      </c>
      <c r="H2699">
        <f>INDEX(CBIC_Late_Fee_Relief_Windows_3B!$I$2699:$I$100,MATCH(G2699,CBIC_Late_Fee_Relief_Windows_3B!$O$2699:$O$100,0))</f>
        <v/>
      </c>
      <c r="I2699">
        <f>MIN(F2699,H2699)</f>
        <v/>
      </c>
    </row>
    <row r="2700">
      <c r="A2700">
        <f>TEST_DATA!A2700</f>
        <v/>
      </c>
      <c r="B2700">
        <f>TEST_DATA!B2700</f>
        <v/>
      </c>
      <c r="C2700">
        <f>TEST_DATA!C2700</f>
        <v/>
      </c>
      <c r="D2700">
        <f>TEST_DATA!D2700</f>
        <v/>
      </c>
      <c r="E2700">
        <f>TEST_DATA!E2700</f>
        <v/>
      </c>
      <c r="F2700">
        <f>MIN(E2700*270000,10000)</f>
        <v/>
      </c>
      <c r="G2700">
        <f>MINIFS(CBIC_Late_Fee_Relief_Windows_3B!$O$2700:$O$100,CBIC_Late_Fee_Relief_Windows_3B!$D$2700:$D$100,"&lt;="&amp;B2700,CBIC_Late_Fee_Relief_Windows_3B!$E$2700:$E$100,"&gt;="&amp;B2700,CBIC_Late_Fee_Relief_Windows_3B!$F$2700:$F$100,"&lt;="&amp;C2700,CBIC_Late_Fee_Relief_Windows_3B!$G$2700:$G$100,"&gt;="&amp;C2700)</f>
        <v/>
      </c>
      <c r="H2700">
        <f>INDEX(CBIC_Late_Fee_Relief_Windows_3B!$I$2700:$I$100,MATCH(G2700,CBIC_Late_Fee_Relief_Windows_3B!$O$2700:$O$100,0))</f>
        <v/>
      </c>
      <c r="I2700">
        <f>MIN(F2700,H2700)</f>
        <v/>
      </c>
    </row>
    <row r="2701">
      <c r="A2701">
        <f>TEST_DATA!A2701</f>
        <v/>
      </c>
      <c r="B2701">
        <f>TEST_DATA!B2701</f>
        <v/>
      </c>
      <c r="C2701">
        <f>TEST_DATA!C2701</f>
        <v/>
      </c>
      <c r="D2701">
        <f>TEST_DATA!D2701</f>
        <v/>
      </c>
      <c r="E2701">
        <f>TEST_DATA!E2701</f>
        <v/>
      </c>
      <c r="F2701">
        <f>MIN(E2701*270100,10000)</f>
        <v/>
      </c>
      <c r="G2701">
        <f>MINIFS(CBIC_Late_Fee_Relief_Windows_3B!$O$2701:$O$100,CBIC_Late_Fee_Relief_Windows_3B!$D$2701:$D$100,"&lt;="&amp;B2701,CBIC_Late_Fee_Relief_Windows_3B!$E$2701:$E$100,"&gt;="&amp;B2701,CBIC_Late_Fee_Relief_Windows_3B!$F$2701:$F$100,"&lt;="&amp;C2701,CBIC_Late_Fee_Relief_Windows_3B!$G$2701:$G$100,"&gt;="&amp;C2701)</f>
        <v/>
      </c>
      <c r="H2701">
        <f>INDEX(CBIC_Late_Fee_Relief_Windows_3B!$I$2701:$I$100,MATCH(G2701,CBIC_Late_Fee_Relief_Windows_3B!$O$2701:$O$100,0))</f>
        <v/>
      </c>
      <c r="I2701">
        <f>MIN(F2701,H2701)</f>
        <v/>
      </c>
    </row>
    <row r="2702">
      <c r="A2702">
        <f>TEST_DATA!A2702</f>
        <v/>
      </c>
      <c r="B2702">
        <f>TEST_DATA!B2702</f>
        <v/>
      </c>
      <c r="C2702">
        <f>TEST_DATA!C2702</f>
        <v/>
      </c>
      <c r="D2702">
        <f>TEST_DATA!D2702</f>
        <v/>
      </c>
      <c r="E2702">
        <f>TEST_DATA!E2702</f>
        <v/>
      </c>
      <c r="F2702">
        <f>MIN(E2702*270200,10000)</f>
        <v/>
      </c>
      <c r="G2702">
        <f>MINIFS(CBIC_Late_Fee_Relief_Windows_3B!$O$2702:$O$100,CBIC_Late_Fee_Relief_Windows_3B!$D$2702:$D$100,"&lt;="&amp;B2702,CBIC_Late_Fee_Relief_Windows_3B!$E$2702:$E$100,"&gt;="&amp;B2702,CBIC_Late_Fee_Relief_Windows_3B!$F$2702:$F$100,"&lt;="&amp;C2702,CBIC_Late_Fee_Relief_Windows_3B!$G$2702:$G$100,"&gt;="&amp;C2702)</f>
        <v/>
      </c>
      <c r="H2702">
        <f>INDEX(CBIC_Late_Fee_Relief_Windows_3B!$I$2702:$I$100,MATCH(G2702,CBIC_Late_Fee_Relief_Windows_3B!$O$2702:$O$100,0))</f>
        <v/>
      </c>
      <c r="I2702">
        <f>MIN(F2702,H2702)</f>
        <v/>
      </c>
    </row>
    <row r="2703">
      <c r="A2703">
        <f>TEST_DATA!A2703</f>
        <v/>
      </c>
      <c r="B2703">
        <f>TEST_DATA!B2703</f>
        <v/>
      </c>
      <c r="C2703">
        <f>TEST_DATA!C2703</f>
        <v/>
      </c>
      <c r="D2703">
        <f>TEST_DATA!D2703</f>
        <v/>
      </c>
      <c r="E2703">
        <f>TEST_DATA!E2703</f>
        <v/>
      </c>
      <c r="F2703">
        <f>MIN(E2703*270300,10000)</f>
        <v/>
      </c>
      <c r="G2703">
        <f>MINIFS(CBIC_Late_Fee_Relief_Windows_3B!$O$2703:$O$100,CBIC_Late_Fee_Relief_Windows_3B!$D$2703:$D$100,"&lt;="&amp;B2703,CBIC_Late_Fee_Relief_Windows_3B!$E$2703:$E$100,"&gt;="&amp;B2703,CBIC_Late_Fee_Relief_Windows_3B!$F$2703:$F$100,"&lt;="&amp;C2703,CBIC_Late_Fee_Relief_Windows_3B!$G$2703:$G$100,"&gt;="&amp;C2703)</f>
        <v/>
      </c>
      <c r="H2703">
        <f>INDEX(CBIC_Late_Fee_Relief_Windows_3B!$I$2703:$I$100,MATCH(G2703,CBIC_Late_Fee_Relief_Windows_3B!$O$2703:$O$100,0))</f>
        <v/>
      </c>
      <c r="I2703">
        <f>MIN(F2703,H2703)</f>
        <v/>
      </c>
    </row>
    <row r="2704">
      <c r="A2704">
        <f>TEST_DATA!A2704</f>
        <v/>
      </c>
      <c r="B2704">
        <f>TEST_DATA!B2704</f>
        <v/>
      </c>
      <c r="C2704">
        <f>TEST_DATA!C2704</f>
        <v/>
      </c>
      <c r="D2704">
        <f>TEST_DATA!D2704</f>
        <v/>
      </c>
      <c r="E2704">
        <f>TEST_DATA!E2704</f>
        <v/>
      </c>
      <c r="F2704">
        <f>MIN(E2704*270400,10000)</f>
        <v/>
      </c>
      <c r="G2704">
        <f>MINIFS(CBIC_Late_Fee_Relief_Windows_3B!$O$2704:$O$100,CBIC_Late_Fee_Relief_Windows_3B!$D$2704:$D$100,"&lt;="&amp;B2704,CBIC_Late_Fee_Relief_Windows_3B!$E$2704:$E$100,"&gt;="&amp;B2704,CBIC_Late_Fee_Relief_Windows_3B!$F$2704:$F$100,"&lt;="&amp;C2704,CBIC_Late_Fee_Relief_Windows_3B!$G$2704:$G$100,"&gt;="&amp;C2704)</f>
        <v/>
      </c>
      <c r="H2704">
        <f>INDEX(CBIC_Late_Fee_Relief_Windows_3B!$I$2704:$I$100,MATCH(G2704,CBIC_Late_Fee_Relief_Windows_3B!$O$2704:$O$100,0))</f>
        <v/>
      </c>
      <c r="I2704">
        <f>MIN(F2704,H2704)</f>
        <v/>
      </c>
    </row>
    <row r="2705">
      <c r="A2705">
        <f>TEST_DATA!A2705</f>
        <v/>
      </c>
      <c r="B2705">
        <f>TEST_DATA!B2705</f>
        <v/>
      </c>
      <c r="C2705">
        <f>TEST_DATA!C2705</f>
        <v/>
      </c>
      <c r="D2705">
        <f>TEST_DATA!D2705</f>
        <v/>
      </c>
      <c r="E2705">
        <f>TEST_DATA!E2705</f>
        <v/>
      </c>
      <c r="F2705">
        <f>MIN(E2705*270500,10000)</f>
        <v/>
      </c>
      <c r="G2705">
        <f>MINIFS(CBIC_Late_Fee_Relief_Windows_3B!$O$2705:$O$100,CBIC_Late_Fee_Relief_Windows_3B!$D$2705:$D$100,"&lt;="&amp;B2705,CBIC_Late_Fee_Relief_Windows_3B!$E$2705:$E$100,"&gt;="&amp;B2705,CBIC_Late_Fee_Relief_Windows_3B!$F$2705:$F$100,"&lt;="&amp;C2705,CBIC_Late_Fee_Relief_Windows_3B!$G$2705:$G$100,"&gt;="&amp;C2705)</f>
        <v/>
      </c>
      <c r="H2705">
        <f>INDEX(CBIC_Late_Fee_Relief_Windows_3B!$I$2705:$I$100,MATCH(G2705,CBIC_Late_Fee_Relief_Windows_3B!$O$2705:$O$100,0))</f>
        <v/>
      </c>
      <c r="I2705">
        <f>MIN(F2705,H2705)</f>
        <v/>
      </c>
    </row>
    <row r="2706">
      <c r="A2706">
        <f>TEST_DATA!A2706</f>
        <v/>
      </c>
      <c r="B2706">
        <f>TEST_DATA!B2706</f>
        <v/>
      </c>
      <c r="C2706">
        <f>TEST_DATA!C2706</f>
        <v/>
      </c>
      <c r="D2706">
        <f>TEST_DATA!D2706</f>
        <v/>
      </c>
      <c r="E2706">
        <f>TEST_DATA!E2706</f>
        <v/>
      </c>
      <c r="F2706">
        <f>MIN(E2706*270600,10000)</f>
        <v/>
      </c>
      <c r="G2706">
        <f>MINIFS(CBIC_Late_Fee_Relief_Windows_3B!$O$2706:$O$100,CBIC_Late_Fee_Relief_Windows_3B!$D$2706:$D$100,"&lt;="&amp;B2706,CBIC_Late_Fee_Relief_Windows_3B!$E$2706:$E$100,"&gt;="&amp;B2706,CBIC_Late_Fee_Relief_Windows_3B!$F$2706:$F$100,"&lt;="&amp;C2706,CBIC_Late_Fee_Relief_Windows_3B!$G$2706:$G$100,"&gt;="&amp;C2706)</f>
        <v/>
      </c>
      <c r="H2706">
        <f>INDEX(CBIC_Late_Fee_Relief_Windows_3B!$I$2706:$I$100,MATCH(G2706,CBIC_Late_Fee_Relief_Windows_3B!$O$2706:$O$100,0))</f>
        <v/>
      </c>
      <c r="I2706">
        <f>MIN(F2706,H2706)</f>
        <v/>
      </c>
    </row>
    <row r="2707">
      <c r="A2707">
        <f>TEST_DATA!A2707</f>
        <v/>
      </c>
      <c r="B2707">
        <f>TEST_DATA!B2707</f>
        <v/>
      </c>
      <c r="C2707">
        <f>TEST_DATA!C2707</f>
        <v/>
      </c>
      <c r="D2707">
        <f>TEST_DATA!D2707</f>
        <v/>
      </c>
      <c r="E2707">
        <f>TEST_DATA!E2707</f>
        <v/>
      </c>
      <c r="F2707">
        <f>MIN(E2707*270700,10000)</f>
        <v/>
      </c>
      <c r="G2707">
        <f>MINIFS(CBIC_Late_Fee_Relief_Windows_3B!$O$2707:$O$100,CBIC_Late_Fee_Relief_Windows_3B!$D$2707:$D$100,"&lt;="&amp;B2707,CBIC_Late_Fee_Relief_Windows_3B!$E$2707:$E$100,"&gt;="&amp;B2707,CBIC_Late_Fee_Relief_Windows_3B!$F$2707:$F$100,"&lt;="&amp;C2707,CBIC_Late_Fee_Relief_Windows_3B!$G$2707:$G$100,"&gt;="&amp;C2707)</f>
        <v/>
      </c>
      <c r="H2707">
        <f>INDEX(CBIC_Late_Fee_Relief_Windows_3B!$I$2707:$I$100,MATCH(G2707,CBIC_Late_Fee_Relief_Windows_3B!$O$2707:$O$100,0))</f>
        <v/>
      </c>
      <c r="I2707">
        <f>MIN(F2707,H2707)</f>
        <v/>
      </c>
    </row>
    <row r="2708">
      <c r="A2708">
        <f>TEST_DATA!A2708</f>
        <v/>
      </c>
      <c r="B2708">
        <f>TEST_DATA!B2708</f>
        <v/>
      </c>
      <c r="C2708">
        <f>TEST_DATA!C2708</f>
        <v/>
      </c>
      <c r="D2708">
        <f>TEST_DATA!D2708</f>
        <v/>
      </c>
      <c r="E2708">
        <f>TEST_DATA!E2708</f>
        <v/>
      </c>
      <c r="F2708">
        <f>MIN(E2708*270800,10000)</f>
        <v/>
      </c>
      <c r="G2708">
        <f>MINIFS(CBIC_Late_Fee_Relief_Windows_3B!$O$2708:$O$100,CBIC_Late_Fee_Relief_Windows_3B!$D$2708:$D$100,"&lt;="&amp;B2708,CBIC_Late_Fee_Relief_Windows_3B!$E$2708:$E$100,"&gt;="&amp;B2708,CBIC_Late_Fee_Relief_Windows_3B!$F$2708:$F$100,"&lt;="&amp;C2708,CBIC_Late_Fee_Relief_Windows_3B!$G$2708:$G$100,"&gt;="&amp;C2708)</f>
        <v/>
      </c>
      <c r="H2708">
        <f>INDEX(CBIC_Late_Fee_Relief_Windows_3B!$I$2708:$I$100,MATCH(G2708,CBIC_Late_Fee_Relief_Windows_3B!$O$2708:$O$100,0))</f>
        <v/>
      </c>
      <c r="I2708">
        <f>MIN(F2708,H2708)</f>
        <v/>
      </c>
    </row>
    <row r="2709">
      <c r="A2709">
        <f>TEST_DATA!A2709</f>
        <v/>
      </c>
      <c r="B2709">
        <f>TEST_DATA!B2709</f>
        <v/>
      </c>
      <c r="C2709">
        <f>TEST_DATA!C2709</f>
        <v/>
      </c>
      <c r="D2709">
        <f>TEST_DATA!D2709</f>
        <v/>
      </c>
      <c r="E2709">
        <f>TEST_DATA!E2709</f>
        <v/>
      </c>
      <c r="F2709">
        <f>MIN(E2709*270900,10000)</f>
        <v/>
      </c>
      <c r="G2709">
        <f>MINIFS(CBIC_Late_Fee_Relief_Windows_3B!$O$2709:$O$100,CBIC_Late_Fee_Relief_Windows_3B!$D$2709:$D$100,"&lt;="&amp;B2709,CBIC_Late_Fee_Relief_Windows_3B!$E$2709:$E$100,"&gt;="&amp;B2709,CBIC_Late_Fee_Relief_Windows_3B!$F$2709:$F$100,"&lt;="&amp;C2709,CBIC_Late_Fee_Relief_Windows_3B!$G$2709:$G$100,"&gt;="&amp;C2709)</f>
        <v/>
      </c>
      <c r="H2709">
        <f>INDEX(CBIC_Late_Fee_Relief_Windows_3B!$I$2709:$I$100,MATCH(G2709,CBIC_Late_Fee_Relief_Windows_3B!$O$2709:$O$100,0))</f>
        <v/>
      </c>
      <c r="I2709">
        <f>MIN(F2709,H2709)</f>
        <v/>
      </c>
    </row>
    <row r="2710">
      <c r="A2710">
        <f>TEST_DATA!A2710</f>
        <v/>
      </c>
      <c r="B2710">
        <f>TEST_DATA!B2710</f>
        <v/>
      </c>
      <c r="C2710">
        <f>TEST_DATA!C2710</f>
        <v/>
      </c>
      <c r="D2710">
        <f>TEST_DATA!D2710</f>
        <v/>
      </c>
      <c r="E2710">
        <f>TEST_DATA!E2710</f>
        <v/>
      </c>
      <c r="F2710">
        <f>MIN(E2710*271000,10000)</f>
        <v/>
      </c>
      <c r="G2710">
        <f>MINIFS(CBIC_Late_Fee_Relief_Windows_3B!$O$2710:$O$100,CBIC_Late_Fee_Relief_Windows_3B!$D$2710:$D$100,"&lt;="&amp;B2710,CBIC_Late_Fee_Relief_Windows_3B!$E$2710:$E$100,"&gt;="&amp;B2710,CBIC_Late_Fee_Relief_Windows_3B!$F$2710:$F$100,"&lt;="&amp;C2710,CBIC_Late_Fee_Relief_Windows_3B!$G$2710:$G$100,"&gt;="&amp;C2710)</f>
        <v/>
      </c>
      <c r="H2710">
        <f>INDEX(CBIC_Late_Fee_Relief_Windows_3B!$I$2710:$I$100,MATCH(G2710,CBIC_Late_Fee_Relief_Windows_3B!$O$2710:$O$100,0))</f>
        <v/>
      </c>
      <c r="I2710">
        <f>MIN(F2710,H2710)</f>
        <v/>
      </c>
    </row>
    <row r="2711">
      <c r="A2711">
        <f>TEST_DATA!A2711</f>
        <v/>
      </c>
      <c r="B2711">
        <f>TEST_DATA!B2711</f>
        <v/>
      </c>
      <c r="C2711">
        <f>TEST_DATA!C2711</f>
        <v/>
      </c>
      <c r="D2711">
        <f>TEST_DATA!D2711</f>
        <v/>
      </c>
      <c r="E2711">
        <f>TEST_DATA!E2711</f>
        <v/>
      </c>
      <c r="F2711">
        <f>MIN(E2711*271100,10000)</f>
        <v/>
      </c>
      <c r="G2711">
        <f>MINIFS(CBIC_Late_Fee_Relief_Windows_3B!$O$2711:$O$100,CBIC_Late_Fee_Relief_Windows_3B!$D$2711:$D$100,"&lt;="&amp;B2711,CBIC_Late_Fee_Relief_Windows_3B!$E$2711:$E$100,"&gt;="&amp;B2711,CBIC_Late_Fee_Relief_Windows_3B!$F$2711:$F$100,"&lt;="&amp;C2711,CBIC_Late_Fee_Relief_Windows_3B!$G$2711:$G$100,"&gt;="&amp;C2711)</f>
        <v/>
      </c>
      <c r="H2711">
        <f>INDEX(CBIC_Late_Fee_Relief_Windows_3B!$I$2711:$I$100,MATCH(G2711,CBIC_Late_Fee_Relief_Windows_3B!$O$2711:$O$100,0))</f>
        <v/>
      </c>
      <c r="I2711">
        <f>MIN(F2711,H2711)</f>
        <v/>
      </c>
    </row>
    <row r="2712">
      <c r="A2712">
        <f>TEST_DATA!A2712</f>
        <v/>
      </c>
      <c r="B2712">
        <f>TEST_DATA!B2712</f>
        <v/>
      </c>
      <c r="C2712">
        <f>TEST_DATA!C2712</f>
        <v/>
      </c>
      <c r="D2712">
        <f>TEST_DATA!D2712</f>
        <v/>
      </c>
      <c r="E2712">
        <f>TEST_DATA!E2712</f>
        <v/>
      </c>
      <c r="F2712">
        <f>MIN(E2712*271200,10000)</f>
        <v/>
      </c>
      <c r="G2712">
        <f>MINIFS(CBIC_Late_Fee_Relief_Windows_3B!$O$2712:$O$100,CBIC_Late_Fee_Relief_Windows_3B!$D$2712:$D$100,"&lt;="&amp;B2712,CBIC_Late_Fee_Relief_Windows_3B!$E$2712:$E$100,"&gt;="&amp;B2712,CBIC_Late_Fee_Relief_Windows_3B!$F$2712:$F$100,"&lt;="&amp;C2712,CBIC_Late_Fee_Relief_Windows_3B!$G$2712:$G$100,"&gt;="&amp;C2712)</f>
        <v/>
      </c>
      <c r="H2712">
        <f>INDEX(CBIC_Late_Fee_Relief_Windows_3B!$I$2712:$I$100,MATCH(G2712,CBIC_Late_Fee_Relief_Windows_3B!$O$2712:$O$100,0))</f>
        <v/>
      </c>
      <c r="I2712">
        <f>MIN(F2712,H2712)</f>
        <v/>
      </c>
    </row>
    <row r="2713">
      <c r="A2713">
        <f>TEST_DATA!A2713</f>
        <v/>
      </c>
      <c r="B2713">
        <f>TEST_DATA!B2713</f>
        <v/>
      </c>
      <c r="C2713">
        <f>TEST_DATA!C2713</f>
        <v/>
      </c>
      <c r="D2713">
        <f>TEST_DATA!D2713</f>
        <v/>
      </c>
      <c r="E2713">
        <f>TEST_DATA!E2713</f>
        <v/>
      </c>
      <c r="F2713">
        <f>MIN(E2713*271300,10000)</f>
        <v/>
      </c>
      <c r="G2713">
        <f>MINIFS(CBIC_Late_Fee_Relief_Windows_3B!$O$2713:$O$100,CBIC_Late_Fee_Relief_Windows_3B!$D$2713:$D$100,"&lt;="&amp;B2713,CBIC_Late_Fee_Relief_Windows_3B!$E$2713:$E$100,"&gt;="&amp;B2713,CBIC_Late_Fee_Relief_Windows_3B!$F$2713:$F$100,"&lt;="&amp;C2713,CBIC_Late_Fee_Relief_Windows_3B!$G$2713:$G$100,"&gt;="&amp;C2713)</f>
        <v/>
      </c>
      <c r="H2713">
        <f>INDEX(CBIC_Late_Fee_Relief_Windows_3B!$I$2713:$I$100,MATCH(G2713,CBIC_Late_Fee_Relief_Windows_3B!$O$2713:$O$100,0))</f>
        <v/>
      </c>
      <c r="I2713">
        <f>MIN(F2713,H2713)</f>
        <v/>
      </c>
    </row>
    <row r="2714">
      <c r="A2714">
        <f>TEST_DATA!A2714</f>
        <v/>
      </c>
      <c r="B2714">
        <f>TEST_DATA!B2714</f>
        <v/>
      </c>
      <c r="C2714">
        <f>TEST_DATA!C2714</f>
        <v/>
      </c>
      <c r="D2714">
        <f>TEST_DATA!D2714</f>
        <v/>
      </c>
      <c r="E2714">
        <f>TEST_DATA!E2714</f>
        <v/>
      </c>
      <c r="F2714">
        <f>MIN(E2714*271400,10000)</f>
        <v/>
      </c>
      <c r="G2714">
        <f>MINIFS(CBIC_Late_Fee_Relief_Windows_3B!$O$2714:$O$100,CBIC_Late_Fee_Relief_Windows_3B!$D$2714:$D$100,"&lt;="&amp;B2714,CBIC_Late_Fee_Relief_Windows_3B!$E$2714:$E$100,"&gt;="&amp;B2714,CBIC_Late_Fee_Relief_Windows_3B!$F$2714:$F$100,"&lt;="&amp;C2714,CBIC_Late_Fee_Relief_Windows_3B!$G$2714:$G$100,"&gt;="&amp;C2714)</f>
        <v/>
      </c>
      <c r="H2714">
        <f>INDEX(CBIC_Late_Fee_Relief_Windows_3B!$I$2714:$I$100,MATCH(G2714,CBIC_Late_Fee_Relief_Windows_3B!$O$2714:$O$100,0))</f>
        <v/>
      </c>
      <c r="I2714">
        <f>MIN(F2714,H2714)</f>
        <v/>
      </c>
    </row>
    <row r="2715">
      <c r="A2715">
        <f>TEST_DATA!A2715</f>
        <v/>
      </c>
      <c r="B2715">
        <f>TEST_DATA!B2715</f>
        <v/>
      </c>
      <c r="C2715">
        <f>TEST_DATA!C2715</f>
        <v/>
      </c>
      <c r="D2715">
        <f>TEST_DATA!D2715</f>
        <v/>
      </c>
      <c r="E2715">
        <f>TEST_DATA!E2715</f>
        <v/>
      </c>
      <c r="F2715">
        <f>MIN(E2715*271500,10000)</f>
        <v/>
      </c>
      <c r="G2715">
        <f>MINIFS(CBIC_Late_Fee_Relief_Windows_3B!$O$2715:$O$100,CBIC_Late_Fee_Relief_Windows_3B!$D$2715:$D$100,"&lt;="&amp;B2715,CBIC_Late_Fee_Relief_Windows_3B!$E$2715:$E$100,"&gt;="&amp;B2715,CBIC_Late_Fee_Relief_Windows_3B!$F$2715:$F$100,"&lt;="&amp;C2715,CBIC_Late_Fee_Relief_Windows_3B!$G$2715:$G$100,"&gt;="&amp;C2715)</f>
        <v/>
      </c>
      <c r="H2715">
        <f>INDEX(CBIC_Late_Fee_Relief_Windows_3B!$I$2715:$I$100,MATCH(G2715,CBIC_Late_Fee_Relief_Windows_3B!$O$2715:$O$100,0))</f>
        <v/>
      </c>
      <c r="I2715">
        <f>MIN(F2715,H2715)</f>
        <v/>
      </c>
    </row>
    <row r="2716">
      <c r="A2716">
        <f>TEST_DATA!A2716</f>
        <v/>
      </c>
      <c r="B2716">
        <f>TEST_DATA!B2716</f>
        <v/>
      </c>
      <c r="C2716">
        <f>TEST_DATA!C2716</f>
        <v/>
      </c>
      <c r="D2716">
        <f>TEST_DATA!D2716</f>
        <v/>
      </c>
      <c r="E2716">
        <f>TEST_DATA!E2716</f>
        <v/>
      </c>
      <c r="F2716">
        <f>MIN(E2716*271600,10000)</f>
        <v/>
      </c>
      <c r="G2716">
        <f>MINIFS(CBIC_Late_Fee_Relief_Windows_3B!$O$2716:$O$100,CBIC_Late_Fee_Relief_Windows_3B!$D$2716:$D$100,"&lt;="&amp;B2716,CBIC_Late_Fee_Relief_Windows_3B!$E$2716:$E$100,"&gt;="&amp;B2716,CBIC_Late_Fee_Relief_Windows_3B!$F$2716:$F$100,"&lt;="&amp;C2716,CBIC_Late_Fee_Relief_Windows_3B!$G$2716:$G$100,"&gt;="&amp;C2716)</f>
        <v/>
      </c>
      <c r="H2716">
        <f>INDEX(CBIC_Late_Fee_Relief_Windows_3B!$I$2716:$I$100,MATCH(G2716,CBIC_Late_Fee_Relief_Windows_3B!$O$2716:$O$100,0))</f>
        <v/>
      </c>
      <c r="I2716">
        <f>MIN(F2716,H2716)</f>
        <v/>
      </c>
    </row>
    <row r="2717">
      <c r="A2717">
        <f>TEST_DATA!A2717</f>
        <v/>
      </c>
      <c r="B2717">
        <f>TEST_DATA!B2717</f>
        <v/>
      </c>
      <c r="C2717">
        <f>TEST_DATA!C2717</f>
        <v/>
      </c>
      <c r="D2717">
        <f>TEST_DATA!D2717</f>
        <v/>
      </c>
      <c r="E2717">
        <f>TEST_DATA!E2717</f>
        <v/>
      </c>
      <c r="F2717">
        <f>MIN(E2717*271700,10000)</f>
        <v/>
      </c>
      <c r="G2717">
        <f>MINIFS(CBIC_Late_Fee_Relief_Windows_3B!$O$2717:$O$100,CBIC_Late_Fee_Relief_Windows_3B!$D$2717:$D$100,"&lt;="&amp;B2717,CBIC_Late_Fee_Relief_Windows_3B!$E$2717:$E$100,"&gt;="&amp;B2717,CBIC_Late_Fee_Relief_Windows_3B!$F$2717:$F$100,"&lt;="&amp;C2717,CBIC_Late_Fee_Relief_Windows_3B!$G$2717:$G$100,"&gt;="&amp;C2717)</f>
        <v/>
      </c>
      <c r="H2717">
        <f>INDEX(CBIC_Late_Fee_Relief_Windows_3B!$I$2717:$I$100,MATCH(G2717,CBIC_Late_Fee_Relief_Windows_3B!$O$2717:$O$100,0))</f>
        <v/>
      </c>
      <c r="I2717">
        <f>MIN(F2717,H2717)</f>
        <v/>
      </c>
    </row>
    <row r="2718">
      <c r="A2718">
        <f>TEST_DATA!A2718</f>
        <v/>
      </c>
      <c r="B2718">
        <f>TEST_DATA!B2718</f>
        <v/>
      </c>
      <c r="C2718">
        <f>TEST_DATA!C2718</f>
        <v/>
      </c>
      <c r="D2718">
        <f>TEST_DATA!D2718</f>
        <v/>
      </c>
      <c r="E2718">
        <f>TEST_DATA!E2718</f>
        <v/>
      </c>
      <c r="F2718">
        <f>MIN(E2718*271800,10000)</f>
        <v/>
      </c>
      <c r="G2718">
        <f>MINIFS(CBIC_Late_Fee_Relief_Windows_3B!$O$2718:$O$100,CBIC_Late_Fee_Relief_Windows_3B!$D$2718:$D$100,"&lt;="&amp;B2718,CBIC_Late_Fee_Relief_Windows_3B!$E$2718:$E$100,"&gt;="&amp;B2718,CBIC_Late_Fee_Relief_Windows_3B!$F$2718:$F$100,"&lt;="&amp;C2718,CBIC_Late_Fee_Relief_Windows_3B!$G$2718:$G$100,"&gt;="&amp;C2718)</f>
        <v/>
      </c>
      <c r="H2718">
        <f>INDEX(CBIC_Late_Fee_Relief_Windows_3B!$I$2718:$I$100,MATCH(G2718,CBIC_Late_Fee_Relief_Windows_3B!$O$2718:$O$100,0))</f>
        <v/>
      </c>
      <c r="I2718">
        <f>MIN(F2718,H2718)</f>
        <v/>
      </c>
    </row>
    <row r="2719">
      <c r="A2719">
        <f>TEST_DATA!A2719</f>
        <v/>
      </c>
      <c r="B2719">
        <f>TEST_DATA!B2719</f>
        <v/>
      </c>
      <c r="C2719">
        <f>TEST_DATA!C2719</f>
        <v/>
      </c>
      <c r="D2719">
        <f>TEST_DATA!D2719</f>
        <v/>
      </c>
      <c r="E2719">
        <f>TEST_DATA!E2719</f>
        <v/>
      </c>
      <c r="F2719">
        <f>MIN(E2719*271900,10000)</f>
        <v/>
      </c>
      <c r="G2719">
        <f>MINIFS(CBIC_Late_Fee_Relief_Windows_3B!$O$2719:$O$100,CBIC_Late_Fee_Relief_Windows_3B!$D$2719:$D$100,"&lt;="&amp;B2719,CBIC_Late_Fee_Relief_Windows_3B!$E$2719:$E$100,"&gt;="&amp;B2719,CBIC_Late_Fee_Relief_Windows_3B!$F$2719:$F$100,"&lt;="&amp;C2719,CBIC_Late_Fee_Relief_Windows_3B!$G$2719:$G$100,"&gt;="&amp;C2719)</f>
        <v/>
      </c>
      <c r="H2719">
        <f>INDEX(CBIC_Late_Fee_Relief_Windows_3B!$I$2719:$I$100,MATCH(G2719,CBIC_Late_Fee_Relief_Windows_3B!$O$2719:$O$100,0))</f>
        <v/>
      </c>
      <c r="I2719">
        <f>MIN(F2719,H2719)</f>
        <v/>
      </c>
    </row>
    <row r="2720">
      <c r="A2720">
        <f>TEST_DATA!A2720</f>
        <v/>
      </c>
      <c r="B2720">
        <f>TEST_DATA!B2720</f>
        <v/>
      </c>
      <c r="C2720">
        <f>TEST_DATA!C2720</f>
        <v/>
      </c>
      <c r="D2720">
        <f>TEST_DATA!D2720</f>
        <v/>
      </c>
      <c r="E2720">
        <f>TEST_DATA!E2720</f>
        <v/>
      </c>
      <c r="F2720">
        <f>MIN(E2720*272000,10000)</f>
        <v/>
      </c>
      <c r="G2720">
        <f>MINIFS(CBIC_Late_Fee_Relief_Windows_3B!$O$2720:$O$100,CBIC_Late_Fee_Relief_Windows_3B!$D$2720:$D$100,"&lt;="&amp;B2720,CBIC_Late_Fee_Relief_Windows_3B!$E$2720:$E$100,"&gt;="&amp;B2720,CBIC_Late_Fee_Relief_Windows_3B!$F$2720:$F$100,"&lt;="&amp;C2720,CBIC_Late_Fee_Relief_Windows_3B!$G$2720:$G$100,"&gt;="&amp;C2720)</f>
        <v/>
      </c>
      <c r="H2720">
        <f>INDEX(CBIC_Late_Fee_Relief_Windows_3B!$I$2720:$I$100,MATCH(G2720,CBIC_Late_Fee_Relief_Windows_3B!$O$2720:$O$100,0))</f>
        <v/>
      </c>
      <c r="I2720">
        <f>MIN(F2720,H2720)</f>
        <v/>
      </c>
    </row>
    <row r="2721">
      <c r="A2721">
        <f>TEST_DATA!A2721</f>
        <v/>
      </c>
      <c r="B2721">
        <f>TEST_DATA!B2721</f>
        <v/>
      </c>
      <c r="C2721">
        <f>TEST_DATA!C2721</f>
        <v/>
      </c>
      <c r="D2721">
        <f>TEST_DATA!D2721</f>
        <v/>
      </c>
      <c r="E2721">
        <f>TEST_DATA!E2721</f>
        <v/>
      </c>
      <c r="F2721">
        <f>MIN(E2721*272100,10000)</f>
        <v/>
      </c>
      <c r="G2721">
        <f>MINIFS(CBIC_Late_Fee_Relief_Windows_3B!$O$2721:$O$100,CBIC_Late_Fee_Relief_Windows_3B!$D$2721:$D$100,"&lt;="&amp;B2721,CBIC_Late_Fee_Relief_Windows_3B!$E$2721:$E$100,"&gt;="&amp;B2721,CBIC_Late_Fee_Relief_Windows_3B!$F$2721:$F$100,"&lt;="&amp;C2721,CBIC_Late_Fee_Relief_Windows_3B!$G$2721:$G$100,"&gt;="&amp;C2721)</f>
        <v/>
      </c>
      <c r="H2721">
        <f>INDEX(CBIC_Late_Fee_Relief_Windows_3B!$I$2721:$I$100,MATCH(G2721,CBIC_Late_Fee_Relief_Windows_3B!$O$2721:$O$100,0))</f>
        <v/>
      </c>
      <c r="I2721">
        <f>MIN(F2721,H2721)</f>
        <v/>
      </c>
    </row>
    <row r="2722">
      <c r="A2722">
        <f>TEST_DATA!A2722</f>
        <v/>
      </c>
      <c r="B2722">
        <f>TEST_DATA!B2722</f>
        <v/>
      </c>
      <c r="C2722">
        <f>TEST_DATA!C2722</f>
        <v/>
      </c>
      <c r="D2722">
        <f>TEST_DATA!D2722</f>
        <v/>
      </c>
      <c r="E2722">
        <f>TEST_DATA!E2722</f>
        <v/>
      </c>
      <c r="F2722">
        <f>MIN(E2722*272200,10000)</f>
        <v/>
      </c>
      <c r="G2722">
        <f>MINIFS(CBIC_Late_Fee_Relief_Windows_3B!$O$2722:$O$100,CBIC_Late_Fee_Relief_Windows_3B!$D$2722:$D$100,"&lt;="&amp;B2722,CBIC_Late_Fee_Relief_Windows_3B!$E$2722:$E$100,"&gt;="&amp;B2722,CBIC_Late_Fee_Relief_Windows_3B!$F$2722:$F$100,"&lt;="&amp;C2722,CBIC_Late_Fee_Relief_Windows_3B!$G$2722:$G$100,"&gt;="&amp;C2722)</f>
        <v/>
      </c>
      <c r="H2722">
        <f>INDEX(CBIC_Late_Fee_Relief_Windows_3B!$I$2722:$I$100,MATCH(G2722,CBIC_Late_Fee_Relief_Windows_3B!$O$2722:$O$100,0))</f>
        <v/>
      </c>
      <c r="I2722">
        <f>MIN(F2722,H2722)</f>
        <v/>
      </c>
    </row>
    <row r="2723">
      <c r="A2723">
        <f>TEST_DATA!A2723</f>
        <v/>
      </c>
      <c r="B2723">
        <f>TEST_DATA!B2723</f>
        <v/>
      </c>
      <c r="C2723">
        <f>TEST_DATA!C2723</f>
        <v/>
      </c>
      <c r="D2723">
        <f>TEST_DATA!D2723</f>
        <v/>
      </c>
      <c r="E2723">
        <f>TEST_DATA!E2723</f>
        <v/>
      </c>
      <c r="F2723">
        <f>MIN(E2723*272300,10000)</f>
        <v/>
      </c>
      <c r="G2723">
        <f>MINIFS(CBIC_Late_Fee_Relief_Windows_3B!$O$2723:$O$100,CBIC_Late_Fee_Relief_Windows_3B!$D$2723:$D$100,"&lt;="&amp;B2723,CBIC_Late_Fee_Relief_Windows_3B!$E$2723:$E$100,"&gt;="&amp;B2723,CBIC_Late_Fee_Relief_Windows_3B!$F$2723:$F$100,"&lt;="&amp;C2723,CBIC_Late_Fee_Relief_Windows_3B!$G$2723:$G$100,"&gt;="&amp;C2723)</f>
        <v/>
      </c>
      <c r="H2723">
        <f>INDEX(CBIC_Late_Fee_Relief_Windows_3B!$I$2723:$I$100,MATCH(G2723,CBIC_Late_Fee_Relief_Windows_3B!$O$2723:$O$100,0))</f>
        <v/>
      </c>
      <c r="I2723">
        <f>MIN(F2723,H2723)</f>
        <v/>
      </c>
    </row>
    <row r="2724">
      <c r="A2724">
        <f>TEST_DATA!A2724</f>
        <v/>
      </c>
      <c r="B2724">
        <f>TEST_DATA!B2724</f>
        <v/>
      </c>
      <c r="C2724">
        <f>TEST_DATA!C2724</f>
        <v/>
      </c>
      <c r="D2724">
        <f>TEST_DATA!D2724</f>
        <v/>
      </c>
      <c r="E2724">
        <f>TEST_DATA!E2724</f>
        <v/>
      </c>
      <c r="F2724">
        <f>MIN(E2724*272400,10000)</f>
        <v/>
      </c>
      <c r="G2724">
        <f>MINIFS(CBIC_Late_Fee_Relief_Windows_3B!$O$2724:$O$100,CBIC_Late_Fee_Relief_Windows_3B!$D$2724:$D$100,"&lt;="&amp;B2724,CBIC_Late_Fee_Relief_Windows_3B!$E$2724:$E$100,"&gt;="&amp;B2724,CBIC_Late_Fee_Relief_Windows_3B!$F$2724:$F$100,"&lt;="&amp;C2724,CBIC_Late_Fee_Relief_Windows_3B!$G$2724:$G$100,"&gt;="&amp;C2724)</f>
        <v/>
      </c>
      <c r="H2724">
        <f>INDEX(CBIC_Late_Fee_Relief_Windows_3B!$I$2724:$I$100,MATCH(G2724,CBIC_Late_Fee_Relief_Windows_3B!$O$2724:$O$100,0))</f>
        <v/>
      </c>
      <c r="I2724">
        <f>MIN(F2724,H2724)</f>
        <v/>
      </c>
    </row>
    <row r="2725">
      <c r="A2725">
        <f>TEST_DATA!A2725</f>
        <v/>
      </c>
      <c r="B2725">
        <f>TEST_DATA!B2725</f>
        <v/>
      </c>
      <c r="C2725">
        <f>TEST_DATA!C2725</f>
        <v/>
      </c>
      <c r="D2725">
        <f>TEST_DATA!D2725</f>
        <v/>
      </c>
      <c r="E2725">
        <f>TEST_DATA!E2725</f>
        <v/>
      </c>
      <c r="F2725">
        <f>MIN(E2725*272500,10000)</f>
        <v/>
      </c>
      <c r="G2725">
        <f>MINIFS(CBIC_Late_Fee_Relief_Windows_3B!$O$2725:$O$100,CBIC_Late_Fee_Relief_Windows_3B!$D$2725:$D$100,"&lt;="&amp;B2725,CBIC_Late_Fee_Relief_Windows_3B!$E$2725:$E$100,"&gt;="&amp;B2725,CBIC_Late_Fee_Relief_Windows_3B!$F$2725:$F$100,"&lt;="&amp;C2725,CBIC_Late_Fee_Relief_Windows_3B!$G$2725:$G$100,"&gt;="&amp;C2725)</f>
        <v/>
      </c>
      <c r="H2725">
        <f>INDEX(CBIC_Late_Fee_Relief_Windows_3B!$I$2725:$I$100,MATCH(G2725,CBIC_Late_Fee_Relief_Windows_3B!$O$2725:$O$100,0))</f>
        <v/>
      </c>
      <c r="I2725">
        <f>MIN(F2725,H2725)</f>
        <v/>
      </c>
    </row>
    <row r="2726">
      <c r="A2726">
        <f>TEST_DATA!A2726</f>
        <v/>
      </c>
      <c r="B2726">
        <f>TEST_DATA!B2726</f>
        <v/>
      </c>
      <c r="C2726">
        <f>TEST_DATA!C2726</f>
        <v/>
      </c>
      <c r="D2726">
        <f>TEST_DATA!D2726</f>
        <v/>
      </c>
      <c r="E2726">
        <f>TEST_DATA!E2726</f>
        <v/>
      </c>
      <c r="F2726">
        <f>MIN(E2726*272600,10000)</f>
        <v/>
      </c>
      <c r="G2726">
        <f>MINIFS(CBIC_Late_Fee_Relief_Windows_3B!$O$2726:$O$100,CBIC_Late_Fee_Relief_Windows_3B!$D$2726:$D$100,"&lt;="&amp;B2726,CBIC_Late_Fee_Relief_Windows_3B!$E$2726:$E$100,"&gt;="&amp;B2726,CBIC_Late_Fee_Relief_Windows_3B!$F$2726:$F$100,"&lt;="&amp;C2726,CBIC_Late_Fee_Relief_Windows_3B!$G$2726:$G$100,"&gt;="&amp;C2726)</f>
        <v/>
      </c>
      <c r="H2726">
        <f>INDEX(CBIC_Late_Fee_Relief_Windows_3B!$I$2726:$I$100,MATCH(G2726,CBIC_Late_Fee_Relief_Windows_3B!$O$2726:$O$100,0))</f>
        <v/>
      </c>
      <c r="I2726">
        <f>MIN(F2726,H2726)</f>
        <v/>
      </c>
    </row>
    <row r="2727">
      <c r="A2727">
        <f>TEST_DATA!A2727</f>
        <v/>
      </c>
      <c r="B2727">
        <f>TEST_DATA!B2727</f>
        <v/>
      </c>
      <c r="C2727">
        <f>TEST_DATA!C2727</f>
        <v/>
      </c>
      <c r="D2727">
        <f>TEST_DATA!D2727</f>
        <v/>
      </c>
      <c r="E2727">
        <f>TEST_DATA!E2727</f>
        <v/>
      </c>
      <c r="F2727">
        <f>MIN(E2727*272700,10000)</f>
        <v/>
      </c>
      <c r="G2727">
        <f>MINIFS(CBIC_Late_Fee_Relief_Windows_3B!$O$2727:$O$100,CBIC_Late_Fee_Relief_Windows_3B!$D$2727:$D$100,"&lt;="&amp;B2727,CBIC_Late_Fee_Relief_Windows_3B!$E$2727:$E$100,"&gt;="&amp;B2727,CBIC_Late_Fee_Relief_Windows_3B!$F$2727:$F$100,"&lt;="&amp;C2727,CBIC_Late_Fee_Relief_Windows_3B!$G$2727:$G$100,"&gt;="&amp;C2727)</f>
        <v/>
      </c>
      <c r="H2727">
        <f>INDEX(CBIC_Late_Fee_Relief_Windows_3B!$I$2727:$I$100,MATCH(G2727,CBIC_Late_Fee_Relief_Windows_3B!$O$2727:$O$100,0))</f>
        <v/>
      </c>
      <c r="I2727">
        <f>MIN(F2727,H2727)</f>
        <v/>
      </c>
    </row>
    <row r="2728">
      <c r="A2728">
        <f>TEST_DATA!A2728</f>
        <v/>
      </c>
      <c r="B2728">
        <f>TEST_DATA!B2728</f>
        <v/>
      </c>
      <c r="C2728">
        <f>TEST_DATA!C2728</f>
        <v/>
      </c>
      <c r="D2728">
        <f>TEST_DATA!D2728</f>
        <v/>
      </c>
      <c r="E2728">
        <f>TEST_DATA!E2728</f>
        <v/>
      </c>
      <c r="F2728">
        <f>MIN(E2728*272800,10000)</f>
        <v/>
      </c>
      <c r="G2728">
        <f>MINIFS(CBIC_Late_Fee_Relief_Windows_3B!$O$2728:$O$100,CBIC_Late_Fee_Relief_Windows_3B!$D$2728:$D$100,"&lt;="&amp;B2728,CBIC_Late_Fee_Relief_Windows_3B!$E$2728:$E$100,"&gt;="&amp;B2728,CBIC_Late_Fee_Relief_Windows_3B!$F$2728:$F$100,"&lt;="&amp;C2728,CBIC_Late_Fee_Relief_Windows_3B!$G$2728:$G$100,"&gt;="&amp;C2728)</f>
        <v/>
      </c>
      <c r="H2728">
        <f>INDEX(CBIC_Late_Fee_Relief_Windows_3B!$I$2728:$I$100,MATCH(G2728,CBIC_Late_Fee_Relief_Windows_3B!$O$2728:$O$100,0))</f>
        <v/>
      </c>
      <c r="I2728">
        <f>MIN(F2728,H2728)</f>
        <v/>
      </c>
    </row>
    <row r="2729">
      <c r="A2729">
        <f>TEST_DATA!A2729</f>
        <v/>
      </c>
      <c r="B2729">
        <f>TEST_DATA!B2729</f>
        <v/>
      </c>
      <c r="C2729">
        <f>TEST_DATA!C2729</f>
        <v/>
      </c>
      <c r="D2729">
        <f>TEST_DATA!D2729</f>
        <v/>
      </c>
      <c r="E2729">
        <f>TEST_DATA!E2729</f>
        <v/>
      </c>
      <c r="F2729">
        <f>MIN(E2729*272900,10000)</f>
        <v/>
      </c>
      <c r="G2729">
        <f>MINIFS(CBIC_Late_Fee_Relief_Windows_3B!$O$2729:$O$100,CBIC_Late_Fee_Relief_Windows_3B!$D$2729:$D$100,"&lt;="&amp;B2729,CBIC_Late_Fee_Relief_Windows_3B!$E$2729:$E$100,"&gt;="&amp;B2729,CBIC_Late_Fee_Relief_Windows_3B!$F$2729:$F$100,"&lt;="&amp;C2729,CBIC_Late_Fee_Relief_Windows_3B!$G$2729:$G$100,"&gt;="&amp;C2729)</f>
        <v/>
      </c>
      <c r="H2729">
        <f>INDEX(CBIC_Late_Fee_Relief_Windows_3B!$I$2729:$I$100,MATCH(G2729,CBIC_Late_Fee_Relief_Windows_3B!$O$2729:$O$100,0))</f>
        <v/>
      </c>
      <c r="I2729">
        <f>MIN(F2729,H2729)</f>
        <v/>
      </c>
    </row>
    <row r="2730">
      <c r="A2730">
        <f>TEST_DATA!A2730</f>
        <v/>
      </c>
      <c r="B2730">
        <f>TEST_DATA!B2730</f>
        <v/>
      </c>
      <c r="C2730">
        <f>TEST_DATA!C2730</f>
        <v/>
      </c>
      <c r="D2730">
        <f>TEST_DATA!D2730</f>
        <v/>
      </c>
      <c r="E2730">
        <f>TEST_DATA!E2730</f>
        <v/>
      </c>
      <c r="F2730">
        <f>MIN(E2730*273000,10000)</f>
        <v/>
      </c>
      <c r="G2730">
        <f>MINIFS(CBIC_Late_Fee_Relief_Windows_3B!$O$2730:$O$100,CBIC_Late_Fee_Relief_Windows_3B!$D$2730:$D$100,"&lt;="&amp;B2730,CBIC_Late_Fee_Relief_Windows_3B!$E$2730:$E$100,"&gt;="&amp;B2730,CBIC_Late_Fee_Relief_Windows_3B!$F$2730:$F$100,"&lt;="&amp;C2730,CBIC_Late_Fee_Relief_Windows_3B!$G$2730:$G$100,"&gt;="&amp;C2730)</f>
        <v/>
      </c>
      <c r="H2730">
        <f>INDEX(CBIC_Late_Fee_Relief_Windows_3B!$I$2730:$I$100,MATCH(G2730,CBIC_Late_Fee_Relief_Windows_3B!$O$2730:$O$100,0))</f>
        <v/>
      </c>
      <c r="I2730">
        <f>MIN(F2730,H2730)</f>
        <v/>
      </c>
    </row>
    <row r="2731">
      <c r="A2731">
        <f>TEST_DATA!A2731</f>
        <v/>
      </c>
      <c r="B2731">
        <f>TEST_DATA!B2731</f>
        <v/>
      </c>
      <c r="C2731">
        <f>TEST_DATA!C2731</f>
        <v/>
      </c>
      <c r="D2731">
        <f>TEST_DATA!D2731</f>
        <v/>
      </c>
      <c r="E2731">
        <f>TEST_DATA!E2731</f>
        <v/>
      </c>
      <c r="F2731">
        <f>MIN(E2731*273100,10000)</f>
        <v/>
      </c>
      <c r="G2731">
        <f>MINIFS(CBIC_Late_Fee_Relief_Windows_3B!$O$2731:$O$100,CBIC_Late_Fee_Relief_Windows_3B!$D$2731:$D$100,"&lt;="&amp;B2731,CBIC_Late_Fee_Relief_Windows_3B!$E$2731:$E$100,"&gt;="&amp;B2731,CBIC_Late_Fee_Relief_Windows_3B!$F$2731:$F$100,"&lt;="&amp;C2731,CBIC_Late_Fee_Relief_Windows_3B!$G$2731:$G$100,"&gt;="&amp;C2731)</f>
        <v/>
      </c>
      <c r="H2731">
        <f>INDEX(CBIC_Late_Fee_Relief_Windows_3B!$I$2731:$I$100,MATCH(G2731,CBIC_Late_Fee_Relief_Windows_3B!$O$2731:$O$100,0))</f>
        <v/>
      </c>
      <c r="I2731">
        <f>MIN(F2731,H2731)</f>
        <v/>
      </c>
    </row>
    <row r="2732">
      <c r="A2732">
        <f>TEST_DATA!A2732</f>
        <v/>
      </c>
      <c r="B2732">
        <f>TEST_DATA!B2732</f>
        <v/>
      </c>
      <c r="C2732">
        <f>TEST_DATA!C2732</f>
        <v/>
      </c>
      <c r="D2732">
        <f>TEST_DATA!D2732</f>
        <v/>
      </c>
      <c r="E2732">
        <f>TEST_DATA!E2732</f>
        <v/>
      </c>
      <c r="F2732">
        <f>MIN(E2732*273200,10000)</f>
        <v/>
      </c>
      <c r="G2732">
        <f>MINIFS(CBIC_Late_Fee_Relief_Windows_3B!$O$2732:$O$100,CBIC_Late_Fee_Relief_Windows_3B!$D$2732:$D$100,"&lt;="&amp;B2732,CBIC_Late_Fee_Relief_Windows_3B!$E$2732:$E$100,"&gt;="&amp;B2732,CBIC_Late_Fee_Relief_Windows_3B!$F$2732:$F$100,"&lt;="&amp;C2732,CBIC_Late_Fee_Relief_Windows_3B!$G$2732:$G$100,"&gt;="&amp;C2732)</f>
        <v/>
      </c>
      <c r="H2732">
        <f>INDEX(CBIC_Late_Fee_Relief_Windows_3B!$I$2732:$I$100,MATCH(G2732,CBIC_Late_Fee_Relief_Windows_3B!$O$2732:$O$100,0))</f>
        <v/>
      </c>
      <c r="I2732">
        <f>MIN(F2732,H2732)</f>
        <v/>
      </c>
    </row>
    <row r="2733">
      <c r="A2733">
        <f>TEST_DATA!A2733</f>
        <v/>
      </c>
      <c r="B2733">
        <f>TEST_DATA!B2733</f>
        <v/>
      </c>
      <c r="C2733">
        <f>TEST_DATA!C2733</f>
        <v/>
      </c>
      <c r="D2733">
        <f>TEST_DATA!D2733</f>
        <v/>
      </c>
      <c r="E2733">
        <f>TEST_DATA!E2733</f>
        <v/>
      </c>
      <c r="F2733">
        <f>MIN(E2733*273300,10000)</f>
        <v/>
      </c>
      <c r="G2733">
        <f>MINIFS(CBIC_Late_Fee_Relief_Windows_3B!$O$2733:$O$100,CBIC_Late_Fee_Relief_Windows_3B!$D$2733:$D$100,"&lt;="&amp;B2733,CBIC_Late_Fee_Relief_Windows_3B!$E$2733:$E$100,"&gt;="&amp;B2733,CBIC_Late_Fee_Relief_Windows_3B!$F$2733:$F$100,"&lt;="&amp;C2733,CBIC_Late_Fee_Relief_Windows_3B!$G$2733:$G$100,"&gt;="&amp;C2733)</f>
        <v/>
      </c>
      <c r="H2733">
        <f>INDEX(CBIC_Late_Fee_Relief_Windows_3B!$I$2733:$I$100,MATCH(G2733,CBIC_Late_Fee_Relief_Windows_3B!$O$2733:$O$100,0))</f>
        <v/>
      </c>
      <c r="I2733">
        <f>MIN(F2733,H2733)</f>
        <v/>
      </c>
    </row>
    <row r="2734">
      <c r="A2734">
        <f>TEST_DATA!A2734</f>
        <v/>
      </c>
      <c r="B2734">
        <f>TEST_DATA!B2734</f>
        <v/>
      </c>
      <c r="C2734">
        <f>TEST_DATA!C2734</f>
        <v/>
      </c>
      <c r="D2734">
        <f>TEST_DATA!D2734</f>
        <v/>
      </c>
      <c r="E2734">
        <f>TEST_DATA!E2734</f>
        <v/>
      </c>
      <c r="F2734">
        <f>MIN(E2734*273400,10000)</f>
        <v/>
      </c>
      <c r="G2734">
        <f>MINIFS(CBIC_Late_Fee_Relief_Windows_3B!$O$2734:$O$100,CBIC_Late_Fee_Relief_Windows_3B!$D$2734:$D$100,"&lt;="&amp;B2734,CBIC_Late_Fee_Relief_Windows_3B!$E$2734:$E$100,"&gt;="&amp;B2734,CBIC_Late_Fee_Relief_Windows_3B!$F$2734:$F$100,"&lt;="&amp;C2734,CBIC_Late_Fee_Relief_Windows_3B!$G$2734:$G$100,"&gt;="&amp;C2734)</f>
        <v/>
      </c>
      <c r="H2734">
        <f>INDEX(CBIC_Late_Fee_Relief_Windows_3B!$I$2734:$I$100,MATCH(G2734,CBIC_Late_Fee_Relief_Windows_3B!$O$2734:$O$100,0))</f>
        <v/>
      </c>
      <c r="I2734">
        <f>MIN(F2734,H2734)</f>
        <v/>
      </c>
    </row>
    <row r="2735">
      <c r="A2735">
        <f>TEST_DATA!A2735</f>
        <v/>
      </c>
      <c r="B2735">
        <f>TEST_DATA!B2735</f>
        <v/>
      </c>
      <c r="C2735">
        <f>TEST_DATA!C2735</f>
        <v/>
      </c>
      <c r="D2735">
        <f>TEST_DATA!D2735</f>
        <v/>
      </c>
      <c r="E2735">
        <f>TEST_DATA!E2735</f>
        <v/>
      </c>
      <c r="F2735">
        <f>MIN(E2735*273500,10000)</f>
        <v/>
      </c>
      <c r="G2735">
        <f>MINIFS(CBIC_Late_Fee_Relief_Windows_3B!$O$2735:$O$100,CBIC_Late_Fee_Relief_Windows_3B!$D$2735:$D$100,"&lt;="&amp;B2735,CBIC_Late_Fee_Relief_Windows_3B!$E$2735:$E$100,"&gt;="&amp;B2735,CBIC_Late_Fee_Relief_Windows_3B!$F$2735:$F$100,"&lt;="&amp;C2735,CBIC_Late_Fee_Relief_Windows_3B!$G$2735:$G$100,"&gt;="&amp;C2735)</f>
        <v/>
      </c>
      <c r="H2735">
        <f>INDEX(CBIC_Late_Fee_Relief_Windows_3B!$I$2735:$I$100,MATCH(G2735,CBIC_Late_Fee_Relief_Windows_3B!$O$2735:$O$100,0))</f>
        <v/>
      </c>
      <c r="I2735">
        <f>MIN(F2735,H2735)</f>
        <v/>
      </c>
    </row>
    <row r="2736">
      <c r="A2736">
        <f>TEST_DATA!A2736</f>
        <v/>
      </c>
      <c r="B2736">
        <f>TEST_DATA!B2736</f>
        <v/>
      </c>
      <c r="C2736">
        <f>TEST_DATA!C2736</f>
        <v/>
      </c>
      <c r="D2736">
        <f>TEST_DATA!D2736</f>
        <v/>
      </c>
      <c r="E2736">
        <f>TEST_DATA!E2736</f>
        <v/>
      </c>
      <c r="F2736">
        <f>MIN(E2736*273600,10000)</f>
        <v/>
      </c>
      <c r="G2736">
        <f>MINIFS(CBIC_Late_Fee_Relief_Windows_3B!$O$2736:$O$100,CBIC_Late_Fee_Relief_Windows_3B!$D$2736:$D$100,"&lt;="&amp;B2736,CBIC_Late_Fee_Relief_Windows_3B!$E$2736:$E$100,"&gt;="&amp;B2736,CBIC_Late_Fee_Relief_Windows_3B!$F$2736:$F$100,"&lt;="&amp;C2736,CBIC_Late_Fee_Relief_Windows_3B!$G$2736:$G$100,"&gt;="&amp;C2736)</f>
        <v/>
      </c>
      <c r="H2736">
        <f>INDEX(CBIC_Late_Fee_Relief_Windows_3B!$I$2736:$I$100,MATCH(G2736,CBIC_Late_Fee_Relief_Windows_3B!$O$2736:$O$100,0))</f>
        <v/>
      </c>
      <c r="I2736">
        <f>MIN(F2736,H2736)</f>
        <v/>
      </c>
    </row>
    <row r="2737">
      <c r="A2737">
        <f>TEST_DATA!A2737</f>
        <v/>
      </c>
      <c r="B2737">
        <f>TEST_DATA!B2737</f>
        <v/>
      </c>
      <c r="C2737">
        <f>TEST_DATA!C2737</f>
        <v/>
      </c>
      <c r="D2737">
        <f>TEST_DATA!D2737</f>
        <v/>
      </c>
      <c r="E2737">
        <f>TEST_DATA!E2737</f>
        <v/>
      </c>
      <c r="F2737">
        <f>MIN(E2737*273700,10000)</f>
        <v/>
      </c>
      <c r="G2737">
        <f>MINIFS(CBIC_Late_Fee_Relief_Windows_3B!$O$2737:$O$100,CBIC_Late_Fee_Relief_Windows_3B!$D$2737:$D$100,"&lt;="&amp;B2737,CBIC_Late_Fee_Relief_Windows_3B!$E$2737:$E$100,"&gt;="&amp;B2737,CBIC_Late_Fee_Relief_Windows_3B!$F$2737:$F$100,"&lt;="&amp;C2737,CBIC_Late_Fee_Relief_Windows_3B!$G$2737:$G$100,"&gt;="&amp;C2737)</f>
        <v/>
      </c>
      <c r="H2737">
        <f>INDEX(CBIC_Late_Fee_Relief_Windows_3B!$I$2737:$I$100,MATCH(G2737,CBIC_Late_Fee_Relief_Windows_3B!$O$2737:$O$100,0))</f>
        <v/>
      </c>
      <c r="I2737">
        <f>MIN(F2737,H2737)</f>
        <v/>
      </c>
    </row>
    <row r="2738">
      <c r="A2738">
        <f>TEST_DATA!A2738</f>
        <v/>
      </c>
      <c r="B2738">
        <f>TEST_DATA!B2738</f>
        <v/>
      </c>
      <c r="C2738">
        <f>TEST_DATA!C2738</f>
        <v/>
      </c>
      <c r="D2738">
        <f>TEST_DATA!D2738</f>
        <v/>
      </c>
      <c r="E2738">
        <f>TEST_DATA!E2738</f>
        <v/>
      </c>
      <c r="F2738">
        <f>MIN(E2738*273800,10000)</f>
        <v/>
      </c>
      <c r="G2738">
        <f>MINIFS(CBIC_Late_Fee_Relief_Windows_3B!$O$2738:$O$100,CBIC_Late_Fee_Relief_Windows_3B!$D$2738:$D$100,"&lt;="&amp;B2738,CBIC_Late_Fee_Relief_Windows_3B!$E$2738:$E$100,"&gt;="&amp;B2738,CBIC_Late_Fee_Relief_Windows_3B!$F$2738:$F$100,"&lt;="&amp;C2738,CBIC_Late_Fee_Relief_Windows_3B!$G$2738:$G$100,"&gt;="&amp;C2738)</f>
        <v/>
      </c>
      <c r="H2738">
        <f>INDEX(CBIC_Late_Fee_Relief_Windows_3B!$I$2738:$I$100,MATCH(G2738,CBIC_Late_Fee_Relief_Windows_3B!$O$2738:$O$100,0))</f>
        <v/>
      </c>
      <c r="I2738">
        <f>MIN(F2738,H2738)</f>
        <v/>
      </c>
    </row>
    <row r="2739">
      <c r="A2739">
        <f>TEST_DATA!A2739</f>
        <v/>
      </c>
      <c r="B2739">
        <f>TEST_DATA!B2739</f>
        <v/>
      </c>
      <c r="C2739">
        <f>TEST_DATA!C2739</f>
        <v/>
      </c>
      <c r="D2739">
        <f>TEST_DATA!D2739</f>
        <v/>
      </c>
      <c r="E2739">
        <f>TEST_DATA!E2739</f>
        <v/>
      </c>
      <c r="F2739">
        <f>MIN(E2739*273900,10000)</f>
        <v/>
      </c>
      <c r="G2739">
        <f>MINIFS(CBIC_Late_Fee_Relief_Windows_3B!$O$2739:$O$100,CBIC_Late_Fee_Relief_Windows_3B!$D$2739:$D$100,"&lt;="&amp;B2739,CBIC_Late_Fee_Relief_Windows_3B!$E$2739:$E$100,"&gt;="&amp;B2739,CBIC_Late_Fee_Relief_Windows_3B!$F$2739:$F$100,"&lt;="&amp;C2739,CBIC_Late_Fee_Relief_Windows_3B!$G$2739:$G$100,"&gt;="&amp;C2739)</f>
        <v/>
      </c>
      <c r="H2739">
        <f>INDEX(CBIC_Late_Fee_Relief_Windows_3B!$I$2739:$I$100,MATCH(G2739,CBIC_Late_Fee_Relief_Windows_3B!$O$2739:$O$100,0))</f>
        <v/>
      </c>
      <c r="I2739">
        <f>MIN(F2739,H2739)</f>
        <v/>
      </c>
    </row>
    <row r="2740">
      <c r="A2740">
        <f>TEST_DATA!A2740</f>
        <v/>
      </c>
      <c r="B2740">
        <f>TEST_DATA!B2740</f>
        <v/>
      </c>
      <c r="C2740">
        <f>TEST_DATA!C2740</f>
        <v/>
      </c>
      <c r="D2740">
        <f>TEST_DATA!D2740</f>
        <v/>
      </c>
      <c r="E2740">
        <f>TEST_DATA!E2740</f>
        <v/>
      </c>
      <c r="F2740">
        <f>MIN(E2740*274000,10000)</f>
        <v/>
      </c>
      <c r="G2740">
        <f>MINIFS(CBIC_Late_Fee_Relief_Windows_3B!$O$2740:$O$100,CBIC_Late_Fee_Relief_Windows_3B!$D$2740:$D$100,"&lt;="&amp;B2740,CBIC_Late_Fee_Relief_Windows_3B!$E$2740:$E$100,"&gt;="&amp;B2740,CBIC_Late_Fee_Relief_Windows_3B!$F$2740:$F$100,"&lt;="&amp;C2740,CBIC_Late_Fee_Relief_Windows_3B!$G$2740:$G$100,"&gt;="&amp;C2740)</f>
        <v/>
      </c>
      <c r="H2740">
        <f>INDEX(CBIC_Late_Fee_Relief_Windows_3B!$I$2740:$I$100,MATCH(G2740,CBIC_Late_Fee_Relief_Windows_3B!$O$2740:$O$100,0))</f>
        <v/>
      </c>
      <c r="I2740">
        <f>MIN(F2740,H2740)</f>
        <v/>
      </c>
    </row>
    <row r="2741">
      <c r="A2741">
        <f>TEST_DATA!A2741</f>
        <v/>
      </c>
      <c r="B2741">
        <f>TEST_DATA!B2741</f>
        <v/>
      </c>
      <c r="C2741">
        <f>TEST_DATA!C2741</f>
        <v/>
      </c>
      <c r="D2741">
        <f>TEST_DATA!D2741</f>
        <v/>
      </c>
      <c r="E2741">
        <f>TEST_DATA!E2741</f>
        <v/>
      </c>
      <c r="F2741">
        <f>MIN(E2741*274100,10000)</f>
        <v/>
      </c>
      <c r="G2741">
        <f>MINIFS(CBIC_Late_Fee_Relief_Windows_3B!$O$2741:$O$100,CBIC_Late_Fee_Relief_Windows_3B!$D$2741:$D$100,"&lt;="&amp;B2741,CBIC_Late_Fee_Relief_Windows_3B!$E$2741:$E$100,"&gt;="&amp;B2741,CBIC_Late_Fee_Relief_Windows_3B!$F$2741:$F$100,"&lt;="&amp;C2741,CBIC_Late_Fee_Relief_Windows_3B!$G$2741:$G$100,"&gt;="&amp;C2741)</f>
        <v/>
      </c>
      <c r="H2741">
        <f>INDEX(CBIC_Late_Fee_Relief_Windows_3B!$I$2741:$I$100,MATCH(G2741,CBIC_Late_Fee_Relief_Windows_3B!$O$2741:$O$100,0))</f>
        <v/>
      </c>
      <c r="I2741">
        <f>MIN(F2741,H2741)</f>
        <v/>
      </c>
    </row>
    <row r="2742">
      <c r="A2742">
        <f>TEST_DATA!A2742</f>
        <v/>
      </c>
      <c r="B2742">
        <f>TEST_DATA!B2742</f>
        <v/>
      </c>
      <c r="C2742">
        <f>TEST_DATA!C2742</f>
        <v/>
      </c>
      <c r="D2742">
        <f>TEST_DATA!D2742</f>
        <v/>
      </c>
      <c r="E2742">
        <f>TEST_DATA!E2742</f>
        <v/>
      </c>
      <c r="F2742">
        <f>MIN(E2742*274200,10000)</f>
        <v/>
      </c>
      <c r="G2742">
        <f>MINIFS(CBIC_Late_Fee_Relief_Windows_3B!$O$2742:$O$100,CBIC_Late_Fee_Relief_Windows_3B!$D$2742:$D$100,"&lt;="&amp;B2742,CBIC_Late_Fee_Relief_Windows_3B!$E$2742:$E$100,"&gt;="&amp;B2742,CBIC_Late_Fee_Relief_Windows_3B!$F$2742:$F$100,"&lt;="&amp;C2742,CBIC_Late_Fee_Relief_Windows_3B!$G$2742:$G$100,"&gt;="&amp;C2742)</f>
        <v/>
      </c>
      <c r="H2742">
        <f>INDEX(CBIC_Late_Fee_Relief_Windows_3B!$I$2742:$I$100,MATCH(G2742,CBIC_Late_Fee_Relief_Windows_3B!$O$2742:$O$100,0))</f>
        <v/>
      </c>
      <c r="I2742">
        <f>MIN(F2742,H2742)</f>
        <v/>
      </c>
    </row>
    <row r="2743">
      <c r="A2743">
        <f>TEST_DATA!A2743</f>
        <v/>
      </c>
      <c r="B2743">
        <f>TEST_DATA!B2743</f>
        <v/>
      </c>
      <c r="C2743">
        <f>TEST_DATA!C2743</f>
        <v/>
      </c>
      <c r="D2743">
        <f>TEST_DATA!D2743</f>
        <v/>
      </c>
      <c r="E2743">
        <f>TEST_DATA!E2743</f>
        <v/>
      </c>
      <c r="F2743">
        <f>MIN(E2743*274300,10000)</f>
        <v/>
      </c>
      <c r="G2743">
        <f>MINIFS(CBIC_Late_Fee_Relief_Windows_3B!$O$2743:$O$100,CBIC_Late_Fee_Relief_Windows_3B!$D$2743:$D$100,"&lt;="&amp;B2743,CBIC_Late_Fee_Relief_Windows_3B!$E$2743:$E$100,"&gt;="&amp;B2743,CBIC_Late_Fee_Relief_Windows_3B!$F$2743:$F$100,"&lt;="&amp;C2743,CBIC_Late_Fee_Relief_Windows_3B!$G$2743:$G$100,"&gt;="&amp;C2743)</f>
        <v/>
      </c>
      <c r="H2743">
        <f>INDEX(CBIC_Late_Fee_Relief_Windows_3B!$I$2743:$I$100,MATCH(G2743,CBIC_Late_Fee_Relief_Windows_3B!$O$2743:$O$100,0))</f>
        <v/>
      </c>
      <c r="I2743">
        <f>MIN(F2743,H2743)</f>
        <v/>
      </c>
    </row>
    <row r="2744">
      <c r="A2744">
        <f>TEST_DATA!A2744</f>
        <v/>
      </c>
      <c r="B2744">
        <f>TEST_DATA!B2744</f>
        <v/>
      </c>
      <c r="C2744">
        <f>TEST_DATA!C2744</f>
        <v/>
      </c>
      <c r="D2744">
        <f>TEST_DATA!D2744</f>
        <v/>
      </c>
      <c r="E2744">
        <f>TEST_DATA!E2744</f>
        <v/>
      </c>
      <c r="F2744">
        <f>MIN(E2744*274400,10000)</f>
        <v/>
      </c>
      <c r="G2744">
        <f>MINIFS(CBIC_Late_Fee_Relief_Windows_3B!$O$2744:$O$100,CBIC_Late_Fee_Relief_Windows_3B!$D$2744:$D$100,"&lt;="&amp;B2744,CBIC_Late_Fee_Relief_Windows_3B!$E$2744:$E$100,"&gt;="&amp;B2744,CBIC_Late_Fee_Relief_Windows_3B!$F$2744:$F$100,"&lt;="&amp;C2744,CBIC_Late_Fee_Relief_Windows_3B!$G$2744:$G$100,"&gt;="&amp;C2744)</f>
        <v/>
      </c>
      <c r="H2744">
        <f>INDEX(CBIC_Late_Fee_Relief_Windows_3B!$I$2744:$I$100,MATCH(G2744,CBIC_Late_Fee_Relief_Windows_3B!$O$2744:$O$100,0))</f>
        <v/>
      </c>
      <c r="I2744">
        <f>MIN(F2744,H2744)</f>
        <v/>
      </c>
    </row>
    <row r="2745">
      <c r="A2745">
        <f>TEST_DATA!A2745</f>
        <v/>
      </c>
      <c r="B2745">
        <f>TEST_DATA!B2745</f>
        <v/>
      </c>
      <c r="C2745">
        <f>TEST_DATA!C2745</f>
        <v/>
      </c>
      <c r="D2745">
        <f>TEST_DATA!D2745</f>
        <v/>
      </c>
      <c r="E2745">
        <f>TEST_DATA!E2745</f>
        <v/>
      </c>
      <c r="F2745">
        <f>MIN(E2745*274500,10000)</f>
        <v/>
      </c>
      <c r="G2745">
        <f>MINIFS(CBIC_Late_Fee_Relief_Windows_3B!$O$2745:$O$100,CBIC_Late_Fee_Relief_Windows_3B!$D$2745:$D$100,"&lt;="&amp;B2745,CBIC_Late_Fee_Relief_Windows_3B!$E$2745:$E$100,"&gt;="&amp;B2745,CBIC_Late_Fee_Relief_Windows_3B!$F$2745:$F$100,"&lt;="&amp;C2745,CBIC_Late_Fee_Relief_Windows_3B!$G$2745:$G$100,"&gt;="&amp;C2745)</f>
        <v/>
      </c>
      <c r="H2745">
        <f>INDEX(CBIC_Late_Fee_Relief_Windows_3B!$I$2745:$I$100,MATCH(G2745,CBIC_Late_Fee_Relief_Windows_3B!$O$2745:$O$100,0))</f>
        <v/>
      </c>
      <c r="I2745">
        <f>MIN(F2745,H2745)</f>
        <v/>
      </c>
    </row>
    <row r="2746">
      <c r="A2746">
        <f>TEST_DATA!A2746</f>
        <v/>
      </c>
      <c r="B2746">
        <f>TEST_DATA!B2746</f>
        <v/>
      </c>
      <c r="C2746">
        <f>TEST_DATA!C2746</f>
        <v/>
      </c>
      <c r="D2746">
        <f>TEST_DATA!D2746</f>
        <v/>
      </c>
      <c r="E2746">
        <f>TEST_DATA!E2746</f>
        <v/>
      </c>
      <c r="F2746">
        <f>MIN(E2746*274600,10000)</f>
        <v/>
      </c>
      <c r="G2746">
        <f>MINIFS(CBIC_Late_Fee_Relief_Windows_3B!$O$2746:$O$100,CBIC_Late_Fee_Relief_Windows_3B!$D$2746:$D$100,"&lt;="&amp;B2746,CBIC_Late_Fee_Relief_Windows_3B!$E$2746:$E$100,"&gt;="&amp;B2746,CBIC_Late_Fee_Relief_Windows_3B!$F$2746:$F$100,"&lt;="&amp;C2746,CBIC_Late_Fee_Relief_Windows_3B!$G$2746:$G$100,"&gt;="&amp;C2746)</f>
        <v/>
      </c>
      <c r="H2746">
        <f>INDEX(CBIC_Late_Fee_Relief_Windows_3B!$I$2746:$I$100,MATCH(G2746,CBIC_Late_Fee_Relief_Windows_3B!$O$2746:$O$100,0))</f>
        <v/>
      </c>
      <c r="I2746">
        <f>MIN(F2746,H2746)</f>
        <v/>
      </c>
    </row>
    <row r="2747">
      <c r="A2747">
        <f>TEST_DATA!A2747</f>
        <v/>
      </c>
      <c r="B2747">
        <f>TEST_DATA!B2747</f>
        <v/>
      </c>
      <c r="C2747">
        <f>TEST_DATA!C2747</f>
        <v/>
      </c>
      <c r="D2747">
        <f>TEST_DATA!D2747</f>
        <v/>
      </c>
      <c r="E2747">
        <f>TEST_DATA!E2747</f>
        <v/>
      </c>
      <c r="F2747">
        <f>MIN(E2747*274700,10000)</f>
        <v/>
      </c>
      <c r="G2747">
        <f>MINIFS(CBIC_Late_Fee_Relief_Windows_3B!$O$2747:$O$100,CBIC_Late_Fee_Relief_Windows_3B!$D$2747:$D$100,"&lt;="&amp;B2747,CBIC_Late_Fee_Relief_Windows_3B!$E$2747:$E$100,"&gt;="&amp;B2747,CBIC_Late_Fee_Relief_Windows_3B!$F$2747:$F$100,"&lt;="&amp;C2747,CBIC_Late_Fee_Relief_Windows_3B!$G$2747:$G$100,"&gt;="&amp;C2747)</f>
        <v/>
      </c>
      <c r="H2747">
        <f>INDEX(CBIC_Late_Fee_Relief_Windows_3B!$I$2747:$I$100,MATCH(G2747,CBIC_Late_Fee_Relief_Windows_3B!$O$2747:$O$100,0))</f>
        <v/>
      </c>
      <c r="I2747">
        <f>MIN(F2747,H2747)</f>
        <v/>
      </c>
    </row>
    <row r="2748">
      <c r="A2748">
        <f>TEST_DATA!A2748</f>
        <v/>
      </c>
      <c r="B2748">
        <f>TEST_DATA!B2748</f>
        <v/>
      </c>
      <c r="C2748">
        <f>TEST_DATA!C2748</f>
        <v/>
      </c>
      <c r="D2748">
        <f>TEST_DATA!D2748</f>
        <v/>
      </c>
      <c r="E2748">
        <f>TEST_DATA!E2748</f>
        <v/>
      </c>
      <c r="F2748">
        <f>MIN(E2748*274800,10000)</f>
        <v/>
      </c>
      <c r="G2748">
        <f>MINIFS(CBIC_Late_Fee_Relief_Windows_3B!$O$2748:$O$100,CBIC_Late_Fee_Relief_Windows_3B!$D$2748:$D$100,"&lt;="&amp;B2748,CBIC_Late_Fee_Relief_Windows_3B!$E$2748:$E$100,"&gt;="&amp;B2748,CBIC_Late_Fee_Relief_Windows_3B!$F$2748:$F$100,"&lt;="&amp;C2748,CBIC_Late_Fee_Relief_Windows_3B!$G$2748:$G$100,"&gt;="&amp;C2748)</f>
        <v/>
      </c>
      <c r="H2748">
        <f>INDEX(CBIC_Late_Fee_Relief_Windows_3B!$I$2748:$I$100,MATCH(G2748,CBIC_Late_Fee_Relief_Windows_3B!$O$2748:$O$100,0))</f>
        <v/>
      </c>
      <c r="I2748">
        <f>MIN(F2748,H2748)</f>
        <v/>
      </c>
    </row>
    <row r="2749">
      <c r="A2749">
        <f>TEST_DATA!A2749</f>
        <v/>
      </c>
      <c r="B2749">
        <f>TEST_DATA!B2749</f>
        <v/>
      </c>
      <c r="C2749">
        <f>TEST_DATA!C2749</f>
        <v/>
      </c>
      <c r="D2749">
        <f>TEST_DATA!D2749</f>
        <v/>
      </c>
      <c r="E2749">
        <f>TEST_DATA!E2749</f>
        <v/>
      </c>
      <c r="F2749">
        <f>MIN(E2749*274900,10000)</f>
        <v/>
      </c>
      <c r="G2749">
        <f>MINIFS(CBIC_Late_Fee_Relief_Windows_3B!$O$2749:$O$100,CBIC_Late_Fee_Relief_Windows_3B!$D$2749:$D$100,"&lt;="&amp;B2749,CBIC_Late_Fee_Relief_Windows_3B!$E$2749:$E$100,"&gt;="&amp;B2749,CBIC_Late_Fee_Relief_Windows_3B!$F$2749:$F$100,"&lt;="&amp;C2749,CBIC_Late_Fee_Relief_Windows_3B!$G$2749:$G$100,"&gt;="&amp;C2749)</f>
        <v/>
      </c>
      <c r="H2749">
        <f>INDEX(CBIC_Late_Fee_Relief_Windows_3B!$I$2749:$I$100,MATCH(G2749,CBIC_Late_Fee_Relief_Windows_3B!$O$2749:$O$100,0))</f>
        <v/>
      </c>
      <c r="I2749">
        <f>MIN(F2749,H2749)</f>
        <v/>
      </c>
    </row>
    <row r="2750">
      <c r="A2750">
        <f>TEST_DATA!A2750</f>
        <v/>
      </c>
      <c r="B2750">
        <f>TEST_DATA!B2750</f>
        <v/>
      </c>
      <c r="C2750">
        <f>TEST_DATA!C2750</f>
        <v/>
      </c>
      <c r="D2750">
        <f>TEST_DATA!D2750</f>
        <v/>
      </c>
      <c r="E2750">
        <f>TEST_DATA!E2750</f>
        <v/>
      </c>
      <c r="F2750">
        <f>MIN(E2750*275000,10000)</f>
        <v/>
      </c>
      <c r="G2750">
        <f>MINIFS(CBIC_Late_Fee_Relief_Windows_3B!$O$2750:$O$100,CBIC_Late_Fee_Relief_Windows_3B!$D$2750:$D$100,"&lt;="&amp;B2750,CBIC_Late_Fee_Relief_Windows_3B!$E$2750:$E$100,"&gt;="&amp;B2750,CBIC_Late_Fee_Relief_Windows_3B!$F$2750:$F$100,"&lt;="&amp;C2750,CBIC_Late_Fee_Relief_Windows_3B!$G$2750:$G$100,"&gt;="&amp;C2750)</f>
        <v/>
      </c>
      <c r="H2750">
        <f>INDEX(CBIC_Late_Fee_Relief_Windows_3B!$I$2750:$I$100,MATCH(G2750,CBIC_Late_Fee_Relief_Windows_3B!$O$2750:$O$100,0))</f>
        <v/>
      </c>
      <c r="I2750">
        <f>MIN(F2750,H2750)</f>
        <v/>
      </c>
    </row>
    <row r="2751">
      <c r="A2751">
        <f>TEST_DATA!A2751</f>
        <v/>
      </c>
      <c r="B2751">
        <f>TEST_DATA!B2751</f>
        <v/>
      </c>
      <c r="C2751">
        <f>TEST_DATA!C2751</f>
        <v/>
      </c>
      <c r="D2751">
        <f>TEST_DATA!D2751</f>
        <v/>
      </c>
      <c r="E2751">
        <f>TEST_DATA!E2751</f>
        <v/>
      </c>
      <c r="F2751">
        <f>MIN(E2751*275100,10000)</f>
        <v/>
      </c>
      <c r="G2751">
        <f>MINIFS(CBIC_Late_Fee_Relief_Windows_3B!$O$2751:$O$100,CBIC_Late_Fee_Relief_Windows_3B!$D$2751:$D$100,"&lt;="&amp;B2751,CBIC_Late_Fee_Relief_Windows_3B!$E$2751:$E$100,"&gt;="&amp;B2751,CBIC_Late_Fee_Relief_Windows_3B!$F$2751:$F$100,"&lt;="&amp;C2751,CBIC_Late_Fee_Relief_Windows_3B!$G$2751:$G$100,"&gt;="&amp;C2751)</f>
        <v/>
      </c>
      <c r="H2751">
        <f>INDEX(CBIC_Late_Fee_Relief_Windows_3B!$I$2751:$I$100,MATCH(G2751,CBIC_Late_Fee_Relief_Windows_3B!$O$2751:$O$100,0))</f>
        <v/>
      </c>
      <c r="I2751">
        <f>MIN(F2751,H2751)</f>
        <v/>
      </c>
    </row>
    <row r="2752">
      <c r="A2752">
        <f>TEST_DATA!A2752</f>
        <v/>
      </c>
      <c r="B2752">
        <f>TEST_DATA!B2752</f>
        <v/>
      </c>
      <c r="C2752">
        <f>TEST_DATA!C2752</f>
        <v/>
      </c>
      <c r="D2752">
        <f>TEST_DATA!D2752</f>
        <v/>
      </c>
      <c r="E2752">
        <f>TEST_DATA!E2752</f>
        <v/>
      </c>
      <c r="F2752">
        <f>MIN(E2752*275200,10000)</f>
        <v/>
      </c>
      <c r="G2752">
        <f>MINIFS(CBIC_Late_Fee_Relief_Windows_3B!$O$2752:$O$100,CBIC_Late_Fee_Relief_Windows_3B!$D$2752:$D$100,"&lt;="&amp;B2752,CBIC_Late_Fee_Relief_Windows_3B!$E$2752:$E$100,"&gt;="&amp;B2752,CBIC_Late_Fee_Relief_Windows_3B!$F$2752:$F$100,"&lt;="&amp;C2752,CBIC_Late_Fee_Relief_Windows_3B!$G$2752:$G$100,"&gt;="&amp;C2752)</f>
        <v/>
      </c>
      <c r="H2752">
        <f>INDEX(CBIC_Late_Fee_Relief_Windows_3B!$I$2752:$I$100,MATCH(G2752,CBIC_Late_Fee_Relief_Windows_3B!$O$2752:$O$100,0))</f>
        <v/>
      </c>
      <c r="I2752">
        <f>MIN(F2752,H2752)</f>
        <v/>
      </c>
    </row>
    <row r="2753">
      <c r="A2753">
        <f>TEST_DATA!A2753</f>
        <v/>
      </c>
      <c r="B2753">
        <f>TEST_DATA!B2753</f>
        <v/>
      </c>
      <c r="C2753">
        <f>TEST_DATA!C2753</f>
        <v/>
      </c>
      <c r="D2753">
        <f>TEST_DATA!D2753</f>
        <v/>
      </c>
      <c r="E2753">
        <f>TEST_DATA!E2753</f>
        <v/>
      </c>
      <c r="F2753">
        <f>MIN(E2753*275300,10000)</f>
        <v/>
      </c>
      <c r="G2753">
        <f>MINIFS(CBIC_Late_Fee_Relief_Windows_3B!$O$2753:$O$100,CBIC_Late_Fee_Relief_Windows_3B!$D$2753:$D$100,"&lt;="&amp;B2753,CBIC_Late_Fee_Relief_Windows_3B!$E$2753:$E$100,"&gt;="&amp;B2753,CBIC_Late_Fee_Relief_Windows_3B!$F$2753:$F$100,"&lt;="&amp;C2753,CBIC_Late_Fee_Relief_Windows_3B!$G$2753:$G$100,"&gt;="&amp;C2753)</f>
        <v/>
      </c>
      <c r="H2753">
        <f>INDEX(CBIC_Late_Fee_Relief_Windows_3B!$I$2753:$I$100,MATCH(G2753,CBIC_Late_Fee_Relief_Windows_3B!$O$2753:$O$100,0))</f>
        <v/>
      </c>
      <c r="I2753">
        <f>MIN(F2753,H2753)</f>
        <v/>
      </c>
    </row>
    <row r="2754">
      <c r="A2754">
        <f>TEST_DATA!A2754</f>
        <v/>
      </c>
      <c r="B2754">
        <f>TEST_DATA!B2754</f>
        <v/>
      </c>
      <c r="C2754">
        <f>TEST_DATA!C2754</f>
        <v/>
      </c>
      <c r="D2754">
        <f>TEST_DATA!D2754</f>
        <v/>
      </c>
      <c r="E2754">
        <f>TEST_DATA!E2754</f>
        <v/>
      </c>
      <c r="F2754">
        <f>MIN(E2754*275400,10000)</f>
        <v/>
      </c>
      <c r="G2754">
        <f>MINIFS(CBIC_Late_Fee_Relief_Windows_3B!$O$2754:$O$100,CBIC_Late_Fee_Relief_Windows_3B!$D$2754:$D$100,"&lt;="&amp;B2754,CBIC_Late_Fee_Relief_Windows_3B!$E$2754:$E$100,"&gt;="&amp;B2754,CBIC_Late_Fee_Relief_Windows_3B!$F$2754:$F$100,"&lt;="&amp;C2754,CBIC_Late_Fee_Relief_Windows_3B!$G$2754:$G$100,"&gt;="&amp;C2754)</f>
        <v/>
      </c>
      <c r="H2754">
        <f>INDEX(CBIC_Late_Fee_Relief_Windows_3B!$I$2754:$I$100,MATCH(G2754,CBIC_Late_Fee_Relief_Windows_3B!$O$2754:$O$100,0))</f>
        <v/>
      </c>
      <c r="I2754">
        <f>MIN(F2754,H2754)</f>
        <v/>
      </c>
    </row>
    <row r="2755">
      <c r="A2755">
        <f>TEST_DATA!A2755</f>
        <v/>
      </c>
      <c r="B2755">
        <f>TEST_DATA!B2755</f>
        <v/>
      </c>
      <c r="C2755">
        <f>TEST_DATA!C2755</f>
        <v/>
      </c>
      <c r="D2755">
        <f>TEST_DATA!D2755</f>
        <v/>
      </c>
      <c r="E2755">
        <f>TEST_DATA!E2755</f>
        <v/>
      </c>
      <c r="F2755">
        <f>MIN(E2755*275500,10000)</f>
        <v/>
      </c>
      <c r="G2755">
        <f>MINIFS(CBIC_Late_Fee_Relief_Windows_3B!$O$2755:$O$100,CBIC_Late_Fee_Relief_Windows_3B!$D$2755:$D$100,"&lt;="&amp;B2755,CBIC_Late_Fee_Relief_Windows_3B!$E$2755:$E$100,"&gt;="&amp;B2755,CBIC_Late_Fee_Relief_Windows_3B!$F$2755:$F$100,"&lt;="&amp;C2755,CBIC_Late_Fee_Relief_Windows_3B!$G$2755:$G$100,"&gt;="&amp;C2755)</f>
        <v/>
      </c>
      <c r="H2755">
        <f>INDEX(CBIC_Late_Fee_Relief_Windows_3B!$I$2755:$I$100,MATCH(G2755,CBIC_Late_Fee_Relief_Windows_3B!$O$2755:$O$100,0))</f>
        <v/>
      </c>
      <c r="I2755">
        <f>MIN(F2755,H2755)</f>
        <v/>
      </c>
    </row>
    <row r="2756">
      <c r="A2756">
        <f>TEST_DATA!A2756</f>
        <v/>
      </c>
      <c r="B2756">
        <f>TEST_DATA!B2756</f>
        <v/>
      </c>
      <c r="C2756">
        <f>TEST_DATA!C2756</f>
        <v/>
      </c>
      <c r="D2756">
        <f>TEST_DATA!D2756</f>
        <v/>
      </c>
      <c r="E2756">
        <f>TEST_DATA!E2756</f>
        <v/>
      </c>
      <c r="F2756">
        <f>MIN(E2756*275600,10000)</f>
        <v/>
      </c>
      <c r="G2756">
        <f>MINIFS(CBIC_Late_Fee_Relief_Windows_3B!$O$2756:$O$100,CBIC_Late_Fee_Relief_Windows_3B!$D$2756:$D$100,"&lt;="&amp;B2756,CBIC_Late_Fee_Relief_Windows_3B!$E$2756:$E$100,"&gt;="&amp;B2756,CBIC_Late_Fee_Relief_Windows_3B!$F$2756:$F$100,"&lt;="&amp;C2756,CBIC_Late_Fee_Relief_Windows_3B!$G$2756:$G$100,"&gt;="&amp;C2756)</f>
        <v/>
      </c>
      <c r="H2756">
        <f>INDEX(CBIC_Late_Fee_Relief_Windows_3B!$I$2756:$I$100,MATCH(G2756,CBIC_Late_Fee_Relief_Windows_3B!$O$2756:$O$100,0))</f>
        <v/>
      </c>
      <c r="I2756">
        <f>MIN(F2756,H2756)</f>
        <v/>
      </c>
    </row>
    <row r="2757">
      <c r="A2757">
        <f>TEST_DATA!A2757</f>
        <v/>
      </c>
      <c r="B2757">
        <f>TEST_DATA!B2757</f>
        <v/>
      </c>
      <c r="C2757">
        <f>TEST_DATA!C2757</f>
        <v/>
      </c>
      <c r="D2757">
        <f>TEST_DATA!D2757</f>
        <v/>
      </c>
      <c r="E2757">
        <f>TEST_DATA!E2757</f>
        <v/>
      </c>
      <c r="F2757">
        <f>MIN(E2757*275700,10000)</f>
        <v/>
      </c>
      <c r="G2757">
        <f>MINIFS(CBIC_Late_Fee_Relief_Windows_3B!$O$2757:$O$100,CBIC_Late_Fee_Relief_Windows_3B!$D$2757:$D$100,"&lt;="&amp;B2757,CBIC_Late_Fee_Relief_Windows_3B!$E$2757:$E$100,"&gt;="&amp;B2757,CBIC_Late_Fee_Relief_Windows_3B!$F$2757:$F$100,"&lt;="&amp;C2757,CBIC_Late_Fee_Relief_Windows_3B!$G$2757:$G$100,"&gt;="&amp;C2757)</f>
        <v/>
      </c>
      <c r="H2757">
        <f>INDEX(CBIC_Late_Fee_Relief_Windows_3B!$I$2757:$I$100,MATCH(G2757,CBIC_Late_Fee_Relief_Windows_3B!$O$2757:$O$100,0))</f>
        <v/>
      </c>
      <c r="I2757">
        <f>MIN(F2757,H2757)</f>
        <v/>
      </c>
    </row>
    <row r="2758">
      <c r="A2758">
        <f>TEST_DATA!A2758</f>
        <v/>
      </c>
      <c r="B2758">
        <f>TEST_DATA!B2758</f>
        <v/>
      </c>
      <c r="C2758">
        <f>TEST_DATA!C2758</f>
        <v/>
      </c>
      <c r="D2758">
        <f>TEST_DATA!D2758</f>
        <v/>
      </c>
      <c r="E2758">
        <f>TEST_DATA!E2758</f>
        <v/>
      </c>
      <c r="F2758">
        <f>MIN(E2758*275800,10000)</f>
        <v/>
      </c>
      <c r="G2758">
        <f>MINIFS(CBIC_Late_Fee_Relief_Windows_3B!$O$2758:$O$100,CBIC_Late_Fee_Relief_Windows_3B!$D$2758:$D$100,"&lt;="&amp;B2758,CBIC_Late_Fee_Relief_Windows_3B!$E$2758:$E$100,"&gt;="&amp;B2758,CBIC_Late_Fee_Relief_Windows_3B!$F$2758:$F$100,"&lt;="&amp;C2758,CBIC_Late_Fee_Relief_Windows_3B!$G$2758:$G$100,"&gt;="&amp;C2758)</f>
        <v/>
      </c>
      <c r="H2758">
        <f>INDEX(CBIC_Late_Fee_Relief_Windows_3B!$I$2758:$I$100,MATCH(G2758,CBIC_Late_Fee_Relief_Windows_3B!$O$2758:$O$100,0))</f>
        <v/>
      </c>
      <c r="I2758">
        <f>MIN(F2758,H2758)</f>
        <v/>
      </c>
    </row>
    <row r="2759">
      <c r="A2759">
        <f>TEST_DATA!A2759</f>
        <v/>
      </c>
      <c r="B2759">
        <f>TEST_DATA!B2759</f>
        <v/>
      </c>
      <c r="C2759">
        <f>TEST_DATA!C2759</f>
        <v/>
      </c>
      <c r="D2759">
        <f>TEST_DATA!D2759</f>
        <v/>
      </c>
      <c r="E2759">
        <f>TEST_DATA!E2759</f>
        <v/>
      </c>
      <c r="F2759">
        <f>MIN(E2759*275900,10000)</f>
        <v/>
      </c>
      <c r="G2759">
        <f>MINIFS(CBIC_Late_Fee_Relief_Windows_3B!$O$2759:$O$100,CBIC_Late_Fee_Relief_Windows_3B!$D$2759:$D$100,"&lt;="&amp;B2759,CBIC_Late_Fee_Relief_Windows_3B!$E$2759:$E$100,"&gt;="&amp;B2759,CBIC_Late_Fee_Relief_Windows_3B!$F$2759:$F$100,"&lt;="&amp;C2759,CBIC_Late_Fee_Relief_Windows_3B!$G$2759:$G$100,"&gt;="&amp;C2759)</f>
        <v/>
      </c>
      <c r="H2759">
        <f>INDEX(CBIC_Late_Fee_Relief_Windows_3B!$I$2759:$I$100,MATCH(G2759,CBIC_Late_Fee_Relief_Windows_3B!$O$2759:$O$100,0))</f>
        <v/>
      </c>
      <c r="I2759">
        <f>MIN(F2759,H2759)</f>
        <v/>
      </c>
    </row>
    <row r="2760">
      <c r="A2760">
        <f>TEST_DATA!A2760</f>
        <v/>
      </c>
      <c r="B2760">
        <f>TEST_DATA!B2760</f>
        <v/>
      </c>
      <c r="C2760">
        <f>TEST_DATA!C2760</f>
        <v/>
      </c>
      <c r="D2760">
        <f>TEST_DATA!D2760</f>
        <v/>
      </c>
      <c r="E2760">
        <f>TEST_DATA!E2760</f>
        <v/>
      </c>
      <c r="F2760">
        <f>MIN(E2760*276000,10000)</f>
        <v/>
      </c>
      <c r="G2760">
        <f>MINIFS(CBIC_Late_Fee_Relief_Windows_3B!$O$2760:$O$100,CBIC_Late_Fee_Relief_Windows_3B!$D$2760:$D$100,"&lt;="&amp;B2760,CBIC_Late_Fee_Relief_Windows_3B!$E$2760:$E$100,"&gt;="&amp;B2760,CBIC_Late_Fee_Relief_Windows_3B!$F$2760:$F$100,"&lt;="&amp;C2760,CBIC_Late_Fee_Relief_Windows_3B!$G$2760:$G$100,"&gt;="&amp;C2760)</f>
        <v/>
      </c>
      <c r="H2760">
        <f>INDEX(CBIC_Late_Fee_Relief_Windows_3B!$I$2760:$I$100,MATCH(G2760,CBIC_Late_Fee_Relief_Windows_3B!$O$2760:$O$100,0))</f>
        <v/>
      </c>
      <c r="I2760">
        <f>MIN(F2760,H2760)</f>
        <v/>
      </c>
    </row>
    <row r="2761">
      <c r="A2761">
        <f>TEST_DATA!A2761</f>
        <v/>
      </c>
      <c r="B2761">
        <f>TEST_DATA!B2761</f>
        <v/>
      </c>
      <c r="C2761">
        <f>TEST_DATA!C2761</f>
        <v/>
      </c>
      <c r="D2761">
        <f>TEST_DATA!D2761</f>
        <v/>
      </c>
      <c r="E2761">
        <f>TEST_DATA!E2761</f>
        <v/>
      </c>
      <c r="F2761">
        <f>MIN(E2761*276100,10000)</f>
        <v/>
      </c>
      <c r="G2761">
        <f>MINIFS(CBIC_Late_Fee_Relief_Windows_3B!$O$2761:$O$100,CBIC_Late_Fee_Relief_Windows_3B!$D$2761:$D$100,"&lt;="&amp;B2761,CBIC_Late_Fee_Relief_Windows_3B!$E$2761:$E$100,"&gt;="&amp;B2761,CBIC_Late_Fee_Relief_Windows_3B!$F$2761:$F$100,"&lt;="&amp;C2761,CBIC_Late_Fee_Relief_Windows_3B!$G$2761:$G$100,"&gt;="&amp;C2761)</f>
        <v/>
      </c>
      <c r="H2761">
        <f>INDEX(CBIC_Late_Fee_Relief_Windows_3B!$I$2761:$I$100,MATCH(G2761,CBIC_Late_Fee_Relief_Windows_3B!$O$2761:$O$100,0))</f>
        <v/>
      </c>
      <c r="I2761">
        <f>MIN(F2761,H2761)</f>
        <v/>
      </c>
    </row>
    <row r="2762">
      <c r="A2762">
        <f>TEST_DATA!A2762</f>
        <v/>
      </c>
      <c r="B2762">
        <f>TEST_DATA!B2762</f>
        <v/>
      </c>
      <c r="C2762">
        <f>TEST_DATA!C2762</f>
        <v/>
      </c>
      <c r="D2762">
        <f>TEST_DATA!D2762</f>
        <v/>
      </c>
      <c r="E2762">
        <f>TEST_DATA!E2762</f>
        <v/>
      </c>
      <c r="F2762">
        <f>MIN(E2762*276200,10000)</f>
        <v/>
      </c>
      <c r="G2762">
        <f>MINIFS(CBIC_Late_Fee_Relief_Windows_3B!$O$2762:$O$100,CBIC_Late_Fee_Relief_Windows_3B!$D$2762:$D$100,"&lt;="&amp;B2762,CBIC_Late_Fee_Relief_Windows_3B!$E$2762:$E$100,"&gt;="&amp;B2762,CBIC_Late_Fee_Relief_Windows_3B!$F$2762:$F$100,"&lt;="&amp;C2762,CBIC_Late_Fee_Relief_Windows_3B!$G$2762:$G$100,"&gt;="&amp;C2762)</f>
        <v/>
      </c>
      <c r="H2762">
        <f>INDEX(CBIC_Late_Fee_Relief_Windows_3B!$I$2762:$I$100,MATCH(G2762,CBIC_Late_Fee_Relief_Windows_3B!$O$2762:$O$100,0))</f>
        <v/>
      </c>
      <c r="I2762">
        <f>MIN(F2762,H2762)</f>
        <v/>
      </c>
    </row>
    <row r="2763">
      <c r="A2763">
        <f>TEST_DATA!A2763</f>
        <v/>
      </c>
      <c r="B2763">
        <f>TEST_DATA!B2763</f>
        <v/>
      </c>
      <c r="C2763">
        <f>TEST_DATA!C2763</f>
        <v/>
      </c>
      <c r="D2763">
        <f>TEST_DATA!D2763</f>
        <v/>
      </c>
      <c r="E2763">
        <f>TEST_DATA!E2763</f>
        <v/>
      </c>
      <c r="F2763">
        <f>MIN(E2763*276300,10000)</f>
        <v/>
      </c>
      <c r="G2763">
        <f>MINIFS(CBIC_Late_Fee_Relief_Windows_3B!$O$2763:$O$100,CBIC_Late_Fee_Relief_Windows_3B!$D$2763:$D$100,"&lt;="&amp;B2763,CBIC_Late_Fee_Relief_Windows_3B!$E$2763:$E$100,"&gt;="&amp;B2763,CBIC_Late_Fee_Relief_Windows_3B!$F$2763:$F$100,"&lt;="&amp;C2763,CBIC_Late_Fee_Relief_Windows_3B!$G$2763:$G$100,"&gt;="&amp;C2763)</f>
        <v/>
      </c>
      <c r="H2763">
        <f>INDEX(CBIC_Late_Fee_Relief_Windows_3B!$I$2763:$I$100,MATCH(G2763,CBIC_Late_Fee_Relief_Windows_3B!$O$2763:$O$100,0))</f>
        <v/>
      </c>
      <c r="I2763">
        <f>MIN(F2763,H2763)</f>
        <v/>
      </c>
    </row>
    <row r="2764">
      <c r="A2764">
        <f>TEST_DATA!A2764</f>
        <v/>
      </c>
      <c r="B2764">
        <f>TEST_DATA!B2764</f>
        <v/>
      </c>
      <c r="C2764">
        <f>TEST_DATA!C2764</f>
        <v/>
      </c>
      <c r="D2764">
        <f>TEST_DATA!D2764</f>
        <v/>
      </c>
      <c r="E2764">
        <f>TEST_DATA!E2764</f>
        <v/>
      </c>
      <c r="F2764">
        <f>MIN(E2764*276400,10000)</f>
        <v/>
      </c>
      <c r="G2764">
        <f>MINIFS(CBIC_Late_Fee_Relief_Windows_3B!$O$2764:$O$100,CBIC_Late_Fee_Relief_Windows_3B!$D$2764:$D$100,"&lt;="&amp;B2764,CBIC_Late_Fee_Relief_Windows_3B!$E$2764:$E$100,"&gt;="&amp;B2764,CBIC_Late_Fee_Relief_Windows_3B!$F$2764:$F$100,"&lt;="&amp;C2764,CBIC_Late_Fee_Relief_Windows_3B!$G$2764:$G$100,"&gt;="&amp;C2764)</f>
        <v/>
      </c>
      <c r="H2764">
        <f>INDEX(CBIC_Late_Fee_Relief_Windows_3B!$I$2764:$I$100,MATCH(G2764,CBIC_Late_Fee_Relief_Windows_3B!$O$2764:$O$100,0))</f>
        <v/>
      </c>
      <c r="I2764">
        <f>MIN(F2764,H2764)</f>
        <v/>
      </c>
    </row>
    <row r="2765">
      <c r="A2765">
        <f>TEST_DATA!A2765</f>
        <v/>
      </c>
      <c r="B2765">
        <f>TEST_DATA!B2765</f>
        <v/>
      </c>
      <c r="C2765">
        <f>TEST_DATA!C2765</f>
        <v/>
      </c>
      <c r="D2765">
        <f>TEST_DATA!D2765</f>
        <v/>
      </c>
      <c r="E2765">
        <f>TEST_DATA!E2765</f>
        <v/>
      </c>
      <c r="F2765">
        <f>MIN(E2765*276500,10000)</f>
        <v/>
      </c>
      <c r="G2765">
        <f>MINIFS(CBIC_Late_Fee_Relief_Windows_3B!$O$2765:$O$100,CBIC_Late_Fee_Relief_Windows_3B!$D$2765:$D$100,"&lt;="&amp;B2765,CBIC_Late_Fee_Relief_Windows_3B!$E$2765:$E$100,"&gt;="&amp;B2765,CBIC_Late_Fee_Relief_Windows_3B!$F$2765:$F$100,"&lt;="&amp;C2765,CBIC_Late_Fee_Relief_Windows_3B!$G$2765:$G$100,"&gt;="&amp;C2765)</f>
        <v/>
      </c>
      <c r="H2765">
        <f>INDEX(CBIC_Late_Fee_Relief_Windows_3B!$I$2765:$I$100,MATCH(G2765,CBIC_Late_Fee_Relief_Windows_3B!$O$2765:$O$100,0))</f>
        <v/>
      </c>
      <c r="I2765">
        <f>MIN(F2765,H2765)</f>
        <v/>
      </c>
    </row>
    <row r="2766">
      <c r="A2766">
        <f>TEST_DATA!A2766</f>
        <v/>
      </c>
      <c r="B2766">
        <f>TEST_DATA!B2766</f>
        <v/>
      </c>
      <c r="C2766">
        <f>TEST_DATA!C2766</f>
        <v/>
      </c>
      <c r="D2766">
        <f>TEST_DATA!D2766</f>
        <v/>
      </c>
      <c r="E2766">
        <f>TEST_DATA!E2766</f>
        <v/>
      </c>
      <c r="F2766">
        <f>MIN(E2766*276600,10000)</f>
        <v/>
      </c>
      <c r="G2766">
        <f>MINIFS(CBIC_Late_Fee_Relief_Windows_3B!$O$2766:$O$100,CBIC_Late_Fee_Relief_Windows_3B!$D$2766:$D$100,"&lt;="&amp;B2766,CBIC_Late_Fee_Relief_Windows_3B!$E$2766:$E$100,"&gt;="&amp;B2766,CBIC_Late_Fee_Relief_Windows_3B!$F$2766:$F$100,"&lt;="&amp;C2766,CBIC_Late_Fee_Relief_Windows_3B!$G$2766:$G$100,"&gt;="&amp;C2766)</f>
        <v/>
      </c>
      <c r="H2766">
        <f>INDEX(CBIC_Late_Fee_Relief_Windows_3B!$I$2766:$I$100,MATCH(G2766,CBIC_Late_Fee_Relief_Windows_3B!$O$2766:$O$100,0))</f>
        <v/>
      </c>
      <c r="I2766">
        <f>MIN(F2766,H2766)</f>
        <v/>
      </c>
    </row>
    <row r="2767">
      <c r="A2767">
        <f>TEST_DATA!A2767</f>
        <v/>
      </c>
      <c r="B2767">
        <f>TEST_DATA!B2767</f>
        <v/>
      </c>
      <c r="C2767">
        <f>TEST_DATA!C2767</f>
        <v/>
      </c>
      <c r="D2767">
        <f>TEST_DATA!D2767</f>
        <v/>
      </c>
      <c r="E2767">
        <f>TEST_DATA!E2767</f>
        <v/>
      </c>
      <c r="F2767">
        <f>MIN(E2767*276700,10000)</f>
        <v/>
      </c>
      <c r="G2767">
        <f>MINIFS(CBIC_Late_Fee_Relief_Windows_3B!$O$2767:$O$100,CBIC_Late_Fee_Relief_Windows_3B!$D$2767:$D$100,"&lt;="&amp;B2767,CBIC_Late_Fee_Relief_Windows_3B!$E$2767:$E$100,"&gt;="&amp;B2767,CBIC_Late_Fee_Relief_Windows_3B!$F$2767:$F$100,"&lt;="&amp;C2767,CBIC_Late_Fee_Relief_Windows_3B!$G$2767:$G$100,"&gt;="&amp;C2767)</f>
        <v/>
      </c>
      <c r="H2767">
        <f>INDEX(CBIC_Late_Fee_Relief_Windows_3B!$I$2767:$I$100,MATCH(G2767,CBIC_Late_Fee_Relief_Windows_3B!$O$2767:$O$100,0))</f>
        <v/>
      </c>
      <c r="I2767">
        <f>MIN(F2767,H2767)</f>
        <v/>
      </c>
    </row>
    <row r="2768">
      <c r="A2768">
        <f>TEST_DATA!A2768</f>
        <v/>
      </c>
      <c r="B2768">
        <f>TEST_DATA!B2768</f>
        <v/>
      </c>
      <c r="C2768">
        <f>TEST_DATA!C2768</f>
        <v/>
      </c>
      <c r="D2768">
        <f>TEST_DATA!D2768</f>
        <v/>
      </c>
      <c r="E2768">
        <f>TEST_DATA!E2768</f>
        <v/>
      </c>
      <c r="F2768">
        <f>MIN(E2768*276800,10000)</f>
        <v/>
      </c>
      <c r="G2768">
        <f>MINIFS(CBIC_Late_Fee_Relief_Windows_3B!$O$2768:$O$100,CBIC_Late_Fee_Relief_Windows_3B!$D$2768:$D$100,"&lt;="&amp;B2768,CBIC_Late_Fee_Relief_Windows_3B!$E$2768:$E$100,"&gt;="&amp;B2768,CBIC_Late_Fee_Relief_Windows_3B!$F$2768:$F$100,"&lt;="&amp;C2768,CBIC_Late_Fee_Relief_Windows_3B!$G$2768:$G$100,"&gt;="&amp;C2768)</f>
        <v/>
      </c>
      <c r="H2768">
        <f>INDEX(CBIC_Late_Fee_Relief_Windows_3B!$I$2768:$I$100,MATCH(G2768,CBIC_Late_Fee_Relief_Windows_3B!$O$2768:$O$100,0))</f>
        <v/>
      </c>
      <c r="I2768">
        <f>MIN(F2768,H2768)</f>
        <v/>
      </c>
    </row>
    <row r="2769">
      <c r="A2769">
        <f>TEST_DATA!A2769</f>
        <v/>
      </c>
      <c r="B2769">
        <f>TEST_DATA!B2769</f>
        <v/>
      </c>
      <c r="C2769">
        <f>TEST_DATA!C2769</f>
        <v/>
      </c>
      <c r="D2769">
        <f>TEST_DATA!D2769</f>
        <v/>
      </c>
      <c r="E2769">
        <f>TEST_DATA!E2769</f>
        <v/>
      </c>
      <c r="F2769">
        <f>MIN(E2769*276900,10000)</f>
        <v/>
      </c>
      <c r="G2769">
        <f>MINIFS(CBIC_Late_Fee_Relief_Windows_3B!$O$2769:$O$100,CBIC_Late_Fee_Relief_Windows_3B!$D$2769:$D$100,"&lt;="&amp;B2769,CBIC_Late_Fee_Relief_Windows_3B!$E$2769:$E$100,"&gt;="&amp;B2769,CBIC_Late_Fee_Relief_Windows_3B!$F$2769:$F$100,"&lt;="&amp;C2769,CBIC_Late_Fee_Relief_Windows_3B!$G$2769:$G$100,"&gt;="&amp;C2769)</f>
        <v/>
      </c>
      <c r="H2769">
        <f>INDEX(CBIC_Late_Fee_Relief_Windows_3B!$I$2769:$I$100,MATCH(G2769,CBIC_Late_Fee_Relief_Windows_3B!$O$2769:$O$100,0))</f>
        <v/>
      </c>
      <c r="I2769">
        <f>MIN(F2769,H2769)</f>
        <v/>
      </c>
    </row>
    <row r="2770">
      <c r="A2770">
        <f>TEST_DATA!A2770</f>
        <v/>
      </c>
      <c r="B2770">
        <f>TEST_DATA!B2770</f>
        <v/>
      </c>
      <c r="C2770">
        <f>TEST_DATA!C2770</f>
        <v/>
      </c>
      <c r="D2770">
        <f>TEST_DATA!D2770</f>
        <v/>
      </c>
      <c r="E2770">
        <f>TEST_DATA!E2770</f>
        <v/>
      </c>
      <c r="F2770">
        <f>MIN(E2770*277000,10000)</f>
        <v/>
      </c>
      <c r="G2770">
        <f>MINIFS(CBIC_Late_Fee_Relief_Windows_3B!$O$2770:$O$100,CBIC_Late_Fee_Relief_Windows_3B!$D$2770:$D$100,"&lt;="&amp;B2770,CBIC_Late_Fee_Relief_Windows_3B!$E$2770:$E$100,"&gt;="&amp;B2770,CBIC_Late_Fee_Relief_Windows_3B!$F$2770:$F$100,"&lt;="&amp;C2770,CBIC_Late_Fee_Relief_Windows_3B!$G$2770:$G$100,"&gt;="&amp;C2770)</f>
        <v/>
      </c>
      <c r="H2770">
        <f>INDEX(CBIC_Late_Fee_Relief_Windows_3B!$I$2770:$I$100,MATCH(G2770,CBIC_Late_Fee_Relief_Windows_3B!$O$2770:$O$100,0))</f>
        <v/>
      </c>
      <c r="I2770">
        <f>MIN(F2770,H2770)</f>
        <v/>
      </c>
    </row>
    <row r="2771">
      <c r="A2771">
        <f>TEST_DATA!A2771</f>
        <v/>
      </c>
      <c r="B2771">
        <f>TEST_DATA!B2771</f>
        <v/>
      </c>
      <c r="C2771">
        <f>TEST_DATA!C2771</f>
        <v/>
      </c>
      <c r="D2771">
        <f>TEST_DATA!D2771</f>
        <v/>
      </c>
      <c r="E2771">
        <f>TEST_DATA!E2771</f>
        <v/>
      </c>
      <c r="F2771">
        <f>MIN(E2771*277100,10000)</f>
        <v/>
      </c>
      <c r="G2771">
        <f>MINIFS(CBIC_Late_Fee_Relief_Windows_3B!$O$2771:$O$100,CBIC_Late_Fee_Relief_Windows_3B!$D$2771:$D$100,"&lt;="&amp;B2771,CBIC_Late_Fee_Relief_Windows_3B!$E$2771:$E$100,"&gt;="&amp;B2771,CBIC_Late_Fee_Relief_Windows_3B!$F$2771:$F$100,"&lt;="&amp;C2771,CBIC_Late_Fee_Relief_Windows_3B!$G$2771:$G$100,"&gt;="&amp;C2771)</f>
        <v/>
      </c>
      <c r="H2771">
        <f>INDEX(CBIC_Late_Fee_Relief_Windows_3B!$I$2771:$I$100,MATCH(G2771,CBIC_Late_Fee_Relief_Windows_3B!$O$2771:$O$100,0))</f>
        <v/>
      </c>
      <c r="I2771">
        <f>MIN(F2771,H2771)</f>
        <v/>
      </c>
    </row>
    <row r="2772">
      <c r="A2772">
        <f>TEST_DATA!A2772</f>
        <v/>
      </c>
      <c r="B2772">
        <f>TEST_DATA!B2772</f>
        <v/>
      </c>
      <c r="C2772">
        <f>TEST_DATA!C2772</f>
        <v/>
      </c>
      <c r="D2772">
        <f>TEST_DATA!D2772</f>
        <v/>
      </c>
      <c r="E2772">
        <f>TEST_DATA!E2772</f>
        <v/>
      </c>
      <c r="F2772">
        <f>MIN(E2772*277200,10000)</f>
        <v/>
      </c>
      <c r="G2772">
        <f>MINIFS(CBIC_Late_Fee_Relief_Windows_3B!$O$2772:$O$100,CBIC_Late_Fee_Relief_Windows_3B!$D$2772:$D$100,"&lt;="&amp;B2772,CBIC_Late_Fee_Relief_Windows_3B!$E$2772:$E$100,"&gt;="&amp;B2772,CBIC_Late_Fee_Relief_Windows_3B!$F$2772:$F$100,"&lt;="&amp;C2772,CBIC_Late_Fee_Relief_Windows_3B!$G$2772:$G$100,"&gt;="&amp;C2772)</f>
        <v/>
      </c>
      <c r="H2772">
        <f>INDEX(CBIC_Late_Fee_Relief_Windows_3B!$I$2772:$I$100,MATCH(G2772,CBIC_Late_Fee_Relief_Windows_3B!$O$2772:$O$100,0))</f>
        <v/>
      </c>
      <c r="I2772">
        <f>MIN(F2772,H2772)</f>
        <v/>
      </c>
    </row>
    <row r="2773">
      <c r="A2773">
        <f>TEST_DATA!A2773</f>
        <v/>
      </c>
      <c r="B2773">
        <f>TEST_DATA!B2773</f>
        <v/>
      </c>
      <c r="C2773">
        <f>TEST_DATA!C2773</f>
        <v/>
      </c>
      <c r="D2773">
        <f>TEST_DATA!D2773</f>
        <v/>
      </c>
      <c r="E2773">
        <f>TEST_DATA!E2773</f>
        <v/>
      </c>
      <c r="F2773">
        <f>MIN(E2773*277300,10000)</f>
        <v/>
      </c>
      <c r="G2773">
        <f>MINIFS(CBIC_Late_Fee_Relief_Windows_3B!$O$2773:$O$100,CBIC_Late_Fee_Relief_Windows_3B!$D$2773:$D$100,"&lt;="&amp;B2773,CBIC_Late_Fee_Relief_Windows_3B!$E$2773:$E$100,"&gt;="&amp;B2773,CBIC_Late_Fee_Relief_Windows_3B!$F$2773:$F$100,"&lt;="&amp;C2773,CBIC_Late_Fee_Relief_Windows_3B!$G$2773:$G$100,"&gt;="&amp;C2773)</f>
        <v/>
      </c>
      <c r="H2773">
        <f>INDEX(CBIC_Late_Fee_Relief_Windows_3B!$I$2773:$I$100,MATCH(G2773,CBIC_Late_Fee_Relief_Windows_3B!$O$2773:$O$100,0))</f>
        <v/>
      </c>
      <c r="I2773">
        <f>MIN(F2773,H2773)</f>
        <v/>
      </c>
    </row>
    <row r="2774">
      <c r="A2774">
        <f>TEST_DATA!A2774</f>
        <v/>
      </c>
      <c r="B2774">
        <f>TEST_DATA!B2774</f>
        <v/>
      </c>
      <c r="C2774">
        <f>TEST_DATA!C2774</f>
        <v/>
      </c>
      <c r="D2774">
        <f>TEST_DATA!D2774</f>
        <v/>
      </c>
      <c r="E2774">
        <f>TEST_DATA!E2774</f>
        <v/>
      </c>
      <c r="F2774">
        <f>MIN(E2774*277400,10000)</f>
        <v/>
      </c>
      <c r="G2774">
        <f>MINIFS(CBIC_Late_Fee_Relief_Windows_3B!$O$2774:$O$100,CBIC_Late_Fee_Relief_Windows_3B!$D$2774:$D$100,"&lt;="&amp;B2774,CBIC_Late_Fee_Relief_Windows_3B!$E$2774:$E$100,"&gt;="&amp;B2774,CBIC_Late_Fee_Relief_Windows_3B!$F$2774:$F$100,"&lt;="&amp;C2774,CBIC_Late_Fee_Relief_Windows_3B!$G$2774:$G$100,"&gt;="&amp;C2774)</f>
        <v/>
      </c>
      <c r="H2774">
        <f>INDEX(CBIC_Late_Fee_Relief_Windows_3B!$I$2774:$I$100,MATCH(G2774,CBIC_Late_Fee_Relief_Windows_3B!$O$2774:$O$100,0))</f>
        <v/>
      </c>
      <c r="I2774">
        <f>MIN(F2774,H2774)</f>
        <v/>
      </c>
    </row>
    <row r="2775">
      <c r="A2775">
        <f>TEST_DATA!A2775</f>
        <v/>
      </c>
      <c r="B2775">
        <f>TEST_DATA!B2775</f>
        <v/>
      </c>
      <c r="C2775">
        <f>TEST_DATA!C2775</f>
        <v/>
      </c>
      <c r="D2775">
        <f>TEST_DATA!D2775</f>
        <v/>
      </c>
      <c r="E2775">
        <f>TEST_DATA!E2775</f>
        <v/>
      </c>
      <c r="F2775">
        <f>MIN(E2775*277500,10000)</f>
        <v/>
      </c>
      <c r="G2775">
        <f>MINIFS(CBIC_Late_Fee_Relief_Windows_3B!$O$2775:$O$100,CBIC_Late_Fee_Relief_Windows_3B!$D$2775:$D$100,"&lt;="&amp;B2775,CBIC_Late_Fee_Relief_Windows_3B!$E$2775:$E$100,"&gt;="&amp;B2775,CBIC_Late_Fee_Relief_Windows_3B!$F$2775:$F$100,"&lt;="&amp;C2775,CBIC_Late_Fee_Relief_Windows_3B!$G$2775:$G$100,"&gt;="&amp;C2775)</f>
        <v/>
      </c>
      <c r="H2775">
        <f>INDEX(CBIC_Late_Fee_Relief_Windows_3B!$I$2775:$I$100,MATCH(G2775,CBIC_Late_Fee_Relief_Windows_3B!$O$2775:$O$100,0))</f>
        <v/>
      </c>
      <c r="I2775">
        <f>MIN(F2775,H2775)</f>
        <v/>
      </c>
    </row>
    <row r="2776">
      <c r="A2776">
        <f>TEST_DATA!A2776</f>
        <v/>
      </c>
      <c r="B2776">
        <f>TEST_DATA!B2776</f>
        <v/>
      </c>
      <c r="C2776">
        <f>TEST_DATA!C2776</f>
        <v/>
      </c>
      <c r="D2776">
        <f>TEST_DATA!D2776</f>
        <v/>
      </c>
      <c r="E2776">
        <f>TEST_DATA!E2776</f>
        <v/>
      </c>
      <c r="F2776">
        <f>MIN(E2776*277600,10000)</f>
        <v/>
      </c>
      <c r="G2776">
        <f>MINIFS(CBIC_Late_Fee_Relief_Windows_3B!$O$2776:$O$100,CBIC_Late_Fee_Relief_Windows_3B!$D$2776:$D$100,"&lt;="&amp;B2776,CBIC_Late_Fee_Relief_Windows_3B!$E$2776:$E$100,"&gt;="&amp;B2776,CBIC_Late_Fee_Relief_Windows_3B!$F$2776:$F$100,"&lt;="&amp;C2776,CBIC_Late_Fee_Relief_Windows_3B!$G$2776:$G$100,"&gt;="&amp;C2776)</f>
        <v/>
      </c>
      <c r="H2776">
        <f>INDEX(CBIC_Late_Fee_Relief_Windows_3B!$I$2776:$I$100,MATCH(G2776,CBIC_Late_Fee_Relief_Windows_3B!$O$2776:$O$100,0))</f>
        <v/>
      </c>
      <c r="I2776">
        <f>MIN(F2776,H2776)</f>
        <v/>
      </c>
    </row>
    <row r="2777">
      <c r="A2777">
        <f>TEST_DATA!A2777</f>
        <v/>
      </c>
      <c r="B2777">
        <f>TEST_DATA!B2777</f>
        <v/>
      </c>
      <c r="C2777">
        <f>TEST_DATA!C2777</f>
        <v/>
      </c>
      <c r="D2777">
        <f>TEST_DATA!D2777</f>
        <v/>
      </c>
      <c r="E2777">
        <f>TEST_DATA!E2777</f>
        <v/>
      </c>
      <c r="F2777">
        <f>MIN(E2777*277700,10000)</f>
        <v/>
      </c>
      <c r="G2777">
        <f>MINIFS(CBIC_Late_Fee_Relief_Windows_3B!$O$2777:$O$100,CBIC_Late_Fee_Relief_Windows_3B!$D$2777:$D$100,"&lt;="&amp;B2777,CBIC_Late_Fee_Relief_Windows_3B!$E$2777:$E$100,"&gt;="&amp;B2777,CBIC_Late_Fee_Relief_Windows_3B!$F$2777:$F$100,"&lt;="&amp;C2777,CBIC_Late_Fee_Relief_Windows_3B!$G$2777:$G$100,"&gt;="&amp;C2777)</f>
        <v/>
      </c>
      <c r="H2777">
        <f>INDEX(CBIC_Late_Fee_Relief_Windows_3B!$I$2777:$I$100,MATCH(G2777,CBIC_Late_Fee_Relief_Windows_3B!$O$2777:$O$100,0))</f>
        <v/>
      </c>
      <c r="I2777">
        <f>MIN(F2777,H2777)</f>
        <v/>
      </c>
    </row>
    <row r="2778">
      <c r="A2778">
        <f>TEST_DATA!A2778</f>
        <v/>
      </c>
      <c r="B2778">
        <f>TEST_DATA!B2778</f>
        <v/>
      </c>
      <c r="C2778">
        <f>TEST_DATA!C2778</f>
        <v/>
      </c>
      <c r="D2778">
        <f>TEST_DATA!D2778</f>
        <v/>
      </c>
      <c r="E2778">
        <f>TEST_DATA!E2778</f>
        <v/>
      </c>
      <c r="F2778">
        <f>MIN(E2778*277800,10000)</f>
        <v/>
      </c>
      <c r="G2778">
        <f>MINIFS(CBIC_Late_Fee_Relief_Windows_3B!$O$2778:$O$100,CBIC_Late_Fee_Relief_Windows_3B!$D$2778:$D$100,"&lt;="&amp;B2778,CBIC_Late_Fee_Relief_Windows_3B!$E$2778:$E$100,"&gt;="&amp;B2778,CBIC_Late_Fee_Relief_Windows_3B!$F$2778:$F$100,"&lt;="&amp;C2778,CBIC_Late_Fee_Relief_Windows_3B!$G$2778:$G$100,"&gt;="&amp;C2778)</f>
        <v/>
      </c>
      <c r="H2778">
        <f>INDEX(CBIC_Late_Fee_Relief_Windows_3B!$I$2778:$I$100,MATCH(G2778,CBIC_Late_Fee_Relief_Windows_3B!$O$2778:$O$100,0))</f>
        <v/>
      </c>
      <c r="I2778">
        <f>MIN(F2778,H2778)</f>
        <v/>
      </c>
    </row>
    <row r="2779">
      <c r="A2779">
        <f>TEST_DATA!A2779</f>
        <v/>
      </c>
      <c r="B2779">
        <f>TEST_DATA!B2779</f>
        <v/>
      </c>
      <c r="C2779">
        <f>TEST_DATA!C2779</f>
        <v/>
      </c>
      <c r="D2779">
        <f>TEST_DATA!D2779</f>
        <v/>
      </c>
      <c r="E2779">
        <f>TEST_DATA!E2779</f>
        <v/>
      </c>
      <c r="F2779">
        <f>MIN(E2779*277900,10000)</f>
        <v/>
      </c>
      <c r="G2779">
        <f>MINIFS(CBIC_Late_Fee_Relief_Windows_3B!$O$2779:$O$100,CBIC_Late_Fee_Relief_Windows_3B!$D$2779:$D$100,"&lt;="&amp;B2779,CBIC_Late_Fee_Relief_Windows_3B!$E$2779:$E$100,"&gt;="&amp;B2779,CBIC_Late_Fee_Relief_Windows_3B!$F$2779:$F$100,"&lt;="&amp;C2779,CBIC_Late_Fee_Relief_Windows_3B!$G$2779:$G$100,"&gt;="&amp;C2779)</f>
        <v/>
      </c>
      <c r="H2779">
        <f>INDEX(CBIC_Late_Fee_Relief_Windows_3B!$I$2779:$I$100,MATCH(G2779,CBIC_Late_Fee_Relief_Windows_3B!$O$2779:$O$100,0))</f>
        <v/>
      </c>
      <c r="I2779">
        <f>MIN(F2779,H2779)</f>
        <v/>
      </c>
    </row>
    <row r="2780">
      <c r="A2780">
        <f>TEST_DATA!A2780</f>
        <v/>
      </c>
      <c r="B2780">
        <f>TEST_DATA!B2780</f>
        <v/>
      </c>
      <c r="C2780">
        <f>TEST_DATA!C2780</f>
        <v/>
      </c>
      <c r="D2780">
        <f>TEST_DATA!D2780</f>
        <v/>
      </c>
      <c r="E2780">
        <f>TEST_DATA!E2780</f>
        <v/>
      </c>
      <c r="F2780">
        <f>MIN(E2780*278000,10000)</f>
        <v/>
      </c>
      <c r="G2780">
        <f>MINIFS(CBIC_Late_Fee_Relief_Windows_3B!$O$2780:$O$100,CBIC_Late_Fee_Relief_Windows_3B!$D$2780:$D$100,"&lt;="&amp;B2780,CBIC_Late_Fee_Relief_Windows_3B!$E$2780:$E$100,"&gt;="&amp;B2780,CBIC_Late_Fee_Relief_Windows_3B!$F$2780:$F$100,"&lt;="&amp;C2780,CBIC_Late_Fee_Relief_Windows_3B!$G$2780:$G$100,"&gt;="&amp;C2780)</f>
        <v/>
      </c>
      <c r="H2780">
        <f>INDEX(CBIC_Late_Fee_Relief_Windows_3B!$I$2780:$I$100,MATCH(G2780,CBIC_Late_Fee_Relief_Windows_3B!$O$2780:$O$100,0))</f>
        <v/>
      </c>
      <c r="I2780">
        <f>MIN(F2780,H2780)</f>
        <v/>
      </c>
    </row>
    <row r="2781">
      <c r="A2781">
        <f>TEST_DATA!A2781</f>
        <v/>
      </c>
      <c r="B2781">
        <f>TEST_DATA!B2781</f>
        <v/>
      </c>
      <c r="C2781">
        <f>TEST_DATA!C2781</f>
        <v/>
      </c>
      <c r="D2781">
        <f>TEST_DATA!D2781</f>
        <v/>
      </c>
      <c r="E2781">
        <f>TEST_DATA!E2781</f>
        <v/>
      </c>
      <c r="F2781">
        <f>MIN(E2781*278100,10000)</f>
        <v/>
      </c>
      <c r="G2781">
        <f>MINIFS(CBIC_Late_Fee_Relief_Windows_3B!$O$2781:$O$100,CBIC_Late_Fee_Relief_Windows_3B!$D$2781:$D$100,"&lt;="&amp;B2781,CBIC_Late_Fee_Relief_Windows_3B!$E$2781:$E$100,"&gt;="&amp;B2781,CBIC_Late_Fee_Relief_Windows_3B!$F$2781:$F$100,"&lt;="&amp;C2781,CBIC_Late_Fee_Relief_Windows_3B!$G$2781:$G$100,"&gt;="&amp;C2781)</f>
        <v/>
      </c>
      <c r="H2781">
        <f>INDEX(CBIC_Late_Fee_Relief_Windows_3B!$I$2781:$I$100,MATCH(G2781,CBIC_Late_Fee_Relief_Windows_3B!$O$2781:$O$100,0))</f>
        <v/>
      </c>
      <c r="I2781">
        <f>MIN(F2781,H2781)</f>
        <v/>
      </c>
    </row>
    <row r="2782">
      <c r="A2782">
        <f>TEST_DATA!A2782</f>
        <v/>
      </c>
      <c r="B2782">
        <f>TEST_DATA!B2782</f>
        <v/>
      </c>
      <c r="C2782">
        <f>TEST_DATA!C2782</f>
        <v/>
      </c>
      <c r="D2782">
        <f>TEST_DATA!D2782</f>
        <v/>
      </c>
      <c r="E2782">
        <f>TEST_DATA!E2782</f>
        <v/>
      </c>
      <c r="F2782">
        <f>MIN(E2782*278200,10000)</f>
        <v/>
      </c>
      <c r="G2782">
        <f>MINIFS(CBIC_Late_Fee_Relief_Windows_3B!$O$2782:$O$100,CBIC_Late_Fee_Relief_Windows_3B!$D$2782:$D$100,"&lt;="&amp;B2782,CBIC_Late_Fee_Relief_Windows_3B!$E$2782:$E$100,"&gt;="&amp;B2782,CBIC_Late_Fee_Relief_Windows_3B!$F$2782:$F$100,"&lt;="&amp;C2782,CBIC_Late_Fee_Relief_Windows_3B!$G$2782:$G$100,"&gt;="&amp;C2782)</f>
        <v/>
      </c>
      <c r="H2782">
        <f>INDEX(CBIC_Late_Fee_Relief_Windows_3B!$I$2782:$I$100,MATCH(G2782,CBIC_Late_Fee_Relief_Windows_3B!$O$2782:$O$100,0))</f>
        <v/>
      </c>
      <c r="I2782">
        <f>MIN(F2782,H2782)</f>
        <v/>
      </c>
    </row>
    <row r="2783">
      <c r="A2783">
        <f>TEST_DATA!A2783</f>
        <v/>
      </c>
      <c r="B2783">
        <f>TEST_DATA!B2783</f>
        <v/>
      </c>
      <c r="C2783">
        <f>TEST_DATA!C2783</f>
        <v/>
      </c>
      <c r="D2783">
        <f>TEST_DATA!D2783</f>
        <v/>
      </c>
      <c r="E2783">
        <f>TEST_DATA!E2783</f>
        <v/>
      </c>
      <c r="F2783">
        <f>MIN(E2783*278300,10000)</f>
        <v/>
      </c>
      <c r="G2783">
        <f>MINIFS(CBIC_Late_Fee_Relief_Windows_3B!$O$2783:$O$100,CBIC_Late_Fee_Relief_Windows_3B!$D$2783:$D$100,"&lt;="&amp;B2783,CBIC_Late_Fee_Relief_Windows_3B!$E$2783:$E$100,"&gt;="&amp;B2783,CBIC_Late_Fee_Relief_Windows_3B!$F$2783:$F$100,"&lt;="&amp;C2783,CBIC_Late_Fee_Relief_Windows_3B!$G$2783:$G$100,"&gt;="&amp;C2783)</f>
        <v/>
      </c>
      <c r="H2783">
        <f>INDEX(CBIC_Late_Fee_Relief_Windows_3B!$I$2783:$I$100,MATCH(G2783,CBIC_Late_Fee_Relief_Windows_3B!$O$2783:$O$100,0))</f>
        <v/>
      </c>
      <c r="I2783">
        <f>MIN(F2783,H2783)</f>
        <v/>
      </c>
    </row>
    <row r="2784">
      <c r="A2784">
        <f>TEST_DATA!A2784</f>
        <v/>
      </c>
      <c r="B2784">
        <f>TEST_DATA!B2784</f>
        <v/>
      </c>
      <c r="C2784">
        <f>TEST_DATA!C2784</f>
        <v/>
      </c>
      <c r="D2784">
        <f>TEST_DATA!D2784</f>
        <v/>
      </c>
      <c r="E2784">
        <f>TEST_DATA!E2784</f>
        <v/>
      </c>
      <c r="F2784">
        <f>MIN(E2784*278400,10000)</f>
        <v/>
      </c>
      <c r="G2784">
        <f>MINIFS(CBIC_Late_Fee_Relief_Windows_3B!$O$2784:$O$100,CBIC_Late_Fee_Relief_Windows_3B!$D$2784:$D$100,"&lt;="&amp;B2784,CBIC_Late_Fee_Relief_Windows_3B!$E$2784:$E$100,"&gt;="&amp;B2784,CBIC_Late_Fee_Relief_Windows_3B!$F$2784:$F$100,"&lt;="&amp;C2784,CBIC_Late_Fee_Relief_Windows_3B!$G$2784:$G$100,"&gt;="&amp;C2784)</f>
        <v/>
      </c>
      <c r="H2784">
        <f>INDEX(CBIC_Late_Fee_Relief_Windows_3B!$I$2784:$I$100,MATCH(G2784,CBIC_Late_Fee_Relief_Windows_3B!$O$2784:$O$100,0))</f>
        <v/>
      </c>
      <c r="I2784">
        <f>MIN(F2784,H2784)</f>
        <v/>
      </c>
    </row>
    <row r="2785">
      <c r="A2785">
        <f>TEST_DATA!A2785</f>
        <v/>
      </c>
      <c r="B2785">
        <f>TEST_DATA!B2785</f>
        <v/>
      </c>
      <c r="C2785">
        <f>TEST_DATA!C2785</f>
        <v/>
      </c>
      <c r="D2785">
        <f>TEST_DATA!D2785</f>
        <v/>
      </c>
      <c r="E2785">
        <f>TEST_DATA!E2785</f>
        <v/>
      </c>
      <c r="F2785">
        <f>MIN(E2785*278500,10000)</f>
        <v/>
      </c>
      <c r="G2785">
        <f>MINIFS(CBIC_Late_Fee_Relief_Windows_3B!$O$2785:$O$100,CBIC_Late_Fee_Relief_Windows_3B!$D$2785:$D$100,"&lt;="&amp;B2785,CBIC_Late_Fee_Relief_Windows_3B!$E$2785:$E$100,"&gt;="&amp;B2785,CBIC_Late_Fee_Relief_Windows_3B!$F$2785:$F$100,"&lt;="&amp;C2785,CBIC_Late_Fee_Relief_Windows_3B!$G$2785:$G$100,"&gt;="&amp;C2785)</f>
        <v/>
      </c>
      <c r="H2785">
        <f>INDEX(CBIC_Late_Fee_Relief_Windows_3B!$I$2785:$I$100,MATCH(G2785,CBIC_Late_Fee_Relief_Windows_3B!$O$2785:$O$100,0))</f>
        <v/>
      </c>
      <c r="I2785">
        <f>MIN(F2785,H2785)</f>
        <v/>
      </c>
    </row>
    <row r="2786">
      <c r="A2786">
        <f>TEST_DATA!A2786</f>
        <v/>
      </c>
      <c r="B2786">
        <f>TEST_DATA!B2786</f>
        <v/>
      </c>
      <c r="C2786">
        <f>TEST_DATA!C2786</f>
        <v/>
      </c>
      <c r="D2786">
        <f>TEST_DATA!D2786</f>
        <v/>
      </c>
      <c r="E2786">
        <f>TEST_DATA!E2786</f>
        <v/>
      </c>
      <c r="F2786">
        <f>MIN(E2786*278600,10000)</f>
        <v/>
      </c>
      <c r="G2786">
        <f>MINIFS(CBIC_Late_Fee_Relief_Windows_3B!$O$2786:$O$100,CBIC_Late_Fee_Relief_Windows_3B!$D$2786:$D$100,"&lt;="&amp;B2786,CBIC_Late_Fee_Relief_Windows_3B!$E$2786:$E$100,"&gt;="&amp;B2786,CBIC_Late_Fee_Relief_Windows_3B!$F$2786:$F$100,"&lt;="&amp;C2786,CBIC_Late_Fee_Relief_Windows_3B!$G$2786:$G$100,"&gt;="&amp;C2786)</f>
        <v/>
      </c>
      <c r="H2786">
        <f>INDEX(CBIC_Late_Fee_Relief_Windows_3B!$I$2786:$I$100,MATCH(G2786,CBIC_Late_Fee_Relief_Windows_3B!$O$2786:$O$100,0))</f>
        <v/>
      </c>
      <c r="I2786">
        <f>MIN(F2786,H2786)</f>
        <v/>
      </c>
    </row>
    <row r="2787">
      <c r="A2787">
        <f>TEST_DATA!A2787</f>
        <v/>
      </c>
      <c r="B2787">
        <f>TEST_DATA!B2787</f>
        <v/>
      </c>
      <c r="C2787">
        <f>TEST_DATA!C2787</f>
        <v/>
      </c>
      <c r="D2787">
        <f>TEST_DATA!D2787</f>
        <v/>
      </c>
      <c r="E2787">
        <f>TEST_DATA!E2787</f>
        <v/>
      </c>
      <c r="F2787">
        <f>MIN(E2787*278700,10000)</f>
        <v/>
      </c>
      <c r="G2787">
        <f>MINIFS(CBIC_Late_Fee_Relief_Windows_3B!$O$2787:$O$100,CBIC_Late_Fee_Relief_Windows_3B!$D$2787:$D$100,"&lt;="&amp;B2787,CBIC_Late_Fee_Relief_Windows_3B!$E$2787:$E$100,"&gt;="&amp;B2787,CBIC_Late_Fee_Relief_Windows_3B!$F$2787:$F$100,"&lt;="&amp;C2787,CBIC_Late_Fee_Relief_Windows_3B!$G$2787:$G$100,"&gt;="&amp;C2787)</f>
        <v/>
      </c>
      <c r="H2787">
        <f>INDEX(CBIC_Late_Fee_Relief_Windows_3B!$I$2787:$I$100,MATCH(G2787,CBIC_Late_Fee_Relief_Windows_3B!$O$2787:$O$100,0))</f>
        <v/>
      </c>
      <c r="I2787">
        <f>MIN(F2787,H2787)</f>
        <v/>
      </c>
    </row>
    <row r="2788">
      <c r="A2788">
        <f>TEST_DATA!A2788</f>
        <v/>
      </c>
      <c r="B2788">
        <f>TEST_DATA!B2788</f>
        <v/>
      </c>
      <c r="C2788">
        <f>TEST_DATA!C2788</f>
        <v/>
      </c>
      <c r="D2788">
        <f>TEST_DATA!D2788</f>
        <v/>
      </c>
      <c r="E2788">
        <f>TEST_DATA!E2788</f>
        <v/>
      </c>
      <c r="F2788">
        <f>MIN(E2788*278800,10000)</f>
        <v/>
      </c>
      <c r="G2788">
        <f>MINIFS(CBIC_Late_Fee_Relief_Windows_3B!$O$2788:$O$100,CBIC_Late_Fee_Relief_Windows_3B!$D$2788:$D$100,"&lt;="&amp;B2788,CBIC_Late_Fee_Relief_Windows_3B!$E$2788:$E$100,"&gt;="&amp;B2788,CBIC_Late_Fee_Relief_Windows_3B!$F$2788:$F$100,"&lt;="&amp;C2788,CBIC_Late_Fee_Relief_Windows_3B!$G$2788:$G$100,"&gt;="&amp;C2788)</f>
        <v/>
      </c>
      <c r="H2788">
        <f>INDEX(CBIC_Late_Fee_Relief_Windows_3B!$I$2788:$I$100,MATCH(G2788,CBIC_Late_Fee_Relief_Windows_3B!$O$2788:$O$100,0))</f>
        <v/>
      </c>
      <c r="I2788">
        <f>MIN(F2788,H2788)</f>
        <v/>
      </c>
    </row>
    <row r="2789">
      <c r="A2789">
        <f>TEST_DATA!A2789</f>
        <v/>
      </c>
      <c r="B2789">
        <f>TEST_DATA!B2789</f>
        <v/>
      </c>
      <c r="C2789">
        <f>TEST_DATA!C2789</f>
        <v/>
      </c>
      <c r="D2789">
        <f>TEST_DATA!D2789</f>
        <v/>
      </c>
      <c r="E2789">
        <f>TEST_DATA!E2789</f>
        <v/>
      </c>
      <c r="F2789">
        <f>MIN(E2789*278900,10000)</f>
        <v/>
      </c>
      <c r="G2789">
        <f>MINIFS(CBIC_Late_Fee_Relief_Windows_3B!$O$2789:$O$100,CBIC_Late_Fee_Relief_Windows_3B!$D$2789:$D$100,"&lt;="&amp;B2789,CBIC_Late_Fee_Relief_Windows_3B!$E$2789:$E$100,"&gt;="&amp;B2789,CBIC_Late_Fee_Relief_Windows_3B!$F$2789:$F$100,"&lt;="&amp;C2789,CBIC_Late_Fee_Relief_Windows_3B!$G$2789:$G$100,"&gt;="&amp;C2789)</f>
        <v/>
      </c>
      <c r="H2789">
        <f>INDEX(CBIC_Late_Fee_Relief_Windows_3B!$I$2789:$I$100,MATCH(G2789,CBIC_Late_Fee_Relief_Windows_3B!$O$2789:$O$100,0))</f>
        <v/>
      </c>
      <c r="I2789">
        <f>MIN(F2789,H2789)</f>
        <v/>
      </c>
    </row>
    <row r="2790">
      <c r="A2790">
        <f>TEST_DATA!A2790</f>
        <v/>
      </c>
      <c r="B2790">
        <f>TEST_DATA!B2790</f>
        <v/>
      </c>
      <c r="C2790">
        <f>TEST_DATA!C2790</f>
        <v/>
      </c>
      <c r="D2790">
        <f>TEST_DATA!D2790</f>
        <v/>
      </c>
      <c r="E2790">
        <f>TEST_DATA!E2790</f>
        <v/>
      </c>
      <c r="F2790">
        <f>MIN(E2790*279000,10000)</f>
        <v/>
      </c>
      <c r="G2790">
        <f>MINIFS(CBIC_Late_Fee_Relief_Windows_3B!$O$2790:$O$100,CBIC_Late_Fee_Relief_Windows_3B!$D$2790:$D$100,"&lt;="&amp;B2790,CBIC_Late_Fee_Relief_Windows_3B!$E$2790:$E$100,"&gt;="&amp;B2790,CBIC_Late_Fee_Relief_Windows_3B!$F$2790:$F$100,"&lt;="&amp;C2790,CBIC_Late_Fee_Relief_Windows_3B!$G$2790:$G$100,"&gt;="&amp;C2790)</f>
        <v/>
      </c>
      <c r="H2790">
        <f>INDEX(CBIC_Late_Fee_Relief_Windows_3B!$I$2790:$I$100,MATCH(G2790,CBIC_Late_Fee_Relief_Windows_3B!$O$2790:$O$100,0))</f>
        <v/>
      </c>
      <c r="I2790">
        <f>MIN(F2790,H2790)</f>
        <v/>
      </c>
    </row>
    <row r="2791">
      <c r="A2791">
        <f>TEST_DATA!A2791</f>
        <v/>
      </c>
      <c r="B2791">
        <f>TEST_DATA!B2791</f>
        <v/>
      </c>
      <c r="C2791">
        <f>TEST_DATA!C2791</f>
        <v/>
      </c>
      <c r="D2791">
        <f>TEST_DATA!D2791</f>
        <v/>
      </c>
      <c r="E2791">
        <f>TEST_DATA!E2791</f>
        <v/>
      </c>
      <c r="F2791">
        <f>MIN(E2791*279100,10000)</f>
        <v/>
      </c>
      <c r="G2791">
        <f>MINIFS(CBIC_Late_Fee_Relief_Windows_3B!$O$2791:$O$100,CBIC_Late_Fee_Relief_Windows_3B!$D$2791:$D$100,"&lt;="&amp;B2791,CBIC_Late_Fee_Relief_Windows_3B!$E$2791:$E$100,"&gt;="&amp;B2791,CBIC_Late_Fee_Relief_Windows_3B!$F$2791:$F$100,"&lt;="&amp;C2791,CBIC_Late_Fee_Relief_Windows_3B!$G$2791:$G$100,"&gt;="&amp;C2791)</f>
        <v/>
      </c>
      <c r="H2791">
        <f>INDEX(CBIC_Late_Fee_Relief_Windows_3B!$I$2791:$I$100,MATCH(G2791,CBIC_Late_Fee_Relief_Windows_3B!$O$2791:$O$100,0))</f>
        <v/>
      </c>
      <c r="I2791">
        <f>MIN(F2791,H2791)</f>
        <v/>
      </c>
    </row>
    <row r="2792">
      <c r="A2792">
        <f>TEST_DATA!A2792</f>
        <v/>
      </c>
      <c r="B2792">
        <f>TEST_DATA!B2792</f>
        <v/>
      </c>
      <c r="C2792">
        <f>TEST_DATA!C2792</f>
        <v/>
      </c>
      <c r="D2792">
        <f>TEST_DATA!D2792</f>
        <v/>
      </c>
      <c r="E2792">
        <f>TEST_DATA!E2792</f>
        <v/>
      </c>
      <c r="F2792">
        <f>MIN(E2792*279200,10000)</f>
        <v/>
      </c>
      <c r="G2792">
        <f>MINIFS(CBIC_Late_Fee_Relief_Windows_3B!$O$2792:$O$100,CBIC_Late_Fee_Relief_Windows_3B!$D$2792:$D$100,"&lt;="&amp;B2792,CBIC_Late_Fee_Relief_Windows_3B!$E$2792:$E$100,"&gt;="&amp;B2792,CBIC_Late_Fee_Relief_Windows_3B!$F$2792:$F$100,"&lt;="&amp;C2792,CBIC_Late_Fee_Relief_Windows_3B!$G$2792:$G$100,"&gt;="&amp;C2792)</f>
        <v/>
      </c>
      <c r="H2792">
        <f>INDEX(CBIC_Late_Fee_Relief_Windows_3B!$I$2792:$I$100,MATCH(G2792,CBIC_Late_Fee_Relief_Windows_3B!$O$2792:$O$100,0))</f>
        <v/>
      </c>
      <c r="I2792">
        <f>MIN(F2792,H2792)</f>
        <v/>
      </c>
    </row>
    <row r="2793">
      <c r="A2793">
        <f>TEST_DATA!A2793</f>
        <v/>
      </c>
      <c r="B2793">
        <f>TEST_DATA!B2793</f>
        <v/>
      </c>
      <c r="C2793">
        <f>TEST_DATA!C2793</f>
        <v/>
      </c>
      <c r="D2793">
        <f>TEST_DATA!D2793</f>
        <v/>
      </c>
      <c r="E2793">
        <f>TEST_DATA!E2793</f>
        <v/>
      </c>
      <c r="F2793">
        <f>MIN(E2793*279300,10000)</f>
        <v/>
      </c>
      <c r="G2793">
        <f>MINIFS(CBIC_Late_Fee_Relief_Windows_3B!$O$2793:$O$100,CBIC_Late_Fee_Relief_Windows_3B!$D$2793:$D$100,"&lt;="&amp;B2793,CBIC_Late_Fee_Relief_Windows_3B!$E$2793:$E$100,"&gt;="&amp;B2793,CBIC_Late_Fee_Relief_Windows_3B!$F$2793:$F$100,"&lt;="&amp;C2793,CBIC_Late_Fee_Relief_Windows_3B!$G$2793:$G$100,"&gt;="&amp;C2793)</f>
        <v/>
      </c>
      <c r="H2793">
        <f>INDEX(CBIC_Late_Fee_Relief_Windows_3B!$I$2793:$I$100,MATCH(G2793,CBIC_Late_Fee_Relief_Windows_3B!$O$2793:$O$100,0))</f>
        <v/>
      </c>
      <c r="I2793">
        <f>MIN(F2793,H2793)</f>
        <v/>
      </c>
    </row>
    <row r="2794">
      <c r="A2794">
        <f>TEST_DATA!A2794</f>
        <v/>
      </c>
      <c r="B2794">
        <f>TEST_DATA!B2794</f>
        <v/>
      </c>
      <c r="C2794">
        <f>TEST_DATA!C2794</f>
        <v/>
      </c>
      <c r="D2794">
        <f>TEST_DATA!D2794</f>
        <v/>
      </c>
      <c r="E2794">
        <f>TEST_DATA!E2794</f>
        <v/>
      </c>
      <c r="F2794">
        <f>MIN(E2794*279400,10000)</f>
        <v/>
      </c>
      <c r="G2794">
        <f>MINIFS(CBIC_Late_Fee_Relief_Windows_3B!$O$2794:$O$100,CBIC_Late_Fee_Relief_Windows_3B!$D$2794:$D$100,"&lt;="&amp;B2794,CBIC_Late_Fee_Relief_Windows_3B!$E$2794:$E$100,"&gt;="&amp;B2794,CBIC_Late_Fee_Relief_Windows_3B!$F$2794:$F$100,"&lt;="&amp;C2794,CBIC_Late_Fee_Relief_Windows_3B!$G$2794:$G$100,"&gt;="&amp;C2794)</f>
        <v/>
      </c>
      <c r="H2794">
        <f>INDEX(CBIC_Late_Fee_Relief_Windows_3B!$I$2794:$I$100,MATCH(G2794,CBIC_Late_Fee_Relief_Windows_3B!$O$2794:$O$100,0))</f>
        <v/>
      </c>
      <c r="I2794">
        <f>MIN(F2794,H2794)</f>
        <v/>
      </c>
    </row>
    <row r="2795">
      <c r="A2795">
        <f>TEST_DATA!A2795</f>
        <v/>
      </c>
      <c r="B2795">
        <f>TEST_DATA!B2795</f>
        <v/>
      </c>
      <c r="C2795">
        <f>TEST_DATA!C2795</f>
        <v/>
      </c>
      <c r="D2795">
        <f>TEST_DATA!D2795</f>
        <v/>
      </c>
      <c r="E2795">
        <f>TEST_DATA!E2795</f>
        <v/>
      </c>
      <c r="F2795">
        <f>MIN(E2795*279500,10000)</f>
        <v/>
      </c>
      <c r="G2795">
        <f>MINIFS(CBIC_Late_Fee_Relief_Windows_3B!$O$2795:$O$100,CBIC_Late_Fee_Relief_Windows_3B!$D$2795:$D$100,"&lt;="&amp;B2795,CBIC_Late_Fee_Relief_Windows_3B!$E$2795:$E$100,"&gt;="&amp;B2795,CBIC_Late_Fee_Relief_Windows_3B!$F$2795:$F$100,"&lt;="&amp;C2795,CBIC_Late_Fee_Relief_Windows_3B!$G$2795:$G$100,"&gt;="&amp;C2795)</f>
        <v/>
      </c>
      <c r="H2795">
        <f>INDEX(CBIC_Late_Fee_Relief_Windows_3B!$I$2795:$I$100,MATCH(G2795,CBIC_Late_Fee_Relief_Windows_3B!$O$2795:$O$100,0))</f>
        <v/>
      </c>
      <c r="I2795">
        <f>MIN(F2795,H2795)</f>
        <v/>
      </c>
    </row>
    <row r="2796">
      <c r="A2796">
        <f>TEST_DATA!A2796</f>
        <v/>
      </c>
      <c r="B2796">
        <f>TEST_DATA!B2796</f>
        <v/>
      </c>
      <c r="C2796">
        <f>TEST_DATA!C2796</f>
        <v/>
      </c>
      <c r="D2796">
        <f>TEST_DATA!D2796</f>
        <v/>
      </c>
      <c r="E2796">
        <f>TEST_DATA!E2796</f>
        <v/>
      </c>
      <c r="F2796">
        <f>MIN(E2796*279600,10000)</f>
        <v/>
      </c>
      <c r="G2796">
        <f>MINIFS(CBIC_Late_Fee_Relief_Windows_3B!$O$2796:$O$100,CBIC_Late_Fee_Relief_Windows_3B!$D$2796:$D$100,"&lt;="&amp;B2796,CBIC_Late_Fee_Relief_Windows_3B!$E$2796:$E$100,"&gt;="&amp;B2796,CBIC_Late_Fee_Relief_Windows_3B!$F$2796:$F$100,"&lt;="&amp;C2796,CBIC_Late_Fee_Relief_Windows_3B!$G$2796:$G$100,"&gt;="&amp;C2796)</f>
        <v/>
      </c>
      <c r="H2796">
        <f>INDEX(CBIC_Late_Fee_Relief_Windows_3B!$I$2796:$I$100,MATCH(G2796,CBIC_Late_Fee_Relief_Windows_3B!$O$2796:$O$100,0))</f>
        <v/>
      </c>
      <c r="I2796">
        <f>MIN(F2796,H2796)</f>
        <v/>
      </c>
    </row>
    <row r="2797">
      <c r="A2797">
        <f>TEST_DATA!A2797</f>
        <v/>
      </c>
      <c r="B2797">
        <f>TEST_DATA!B2797</f>
        <v/>
      </c>
      <c r="C2797">
        <f>TEST_DATA!C2797</f>
        <v/>
      </c>
      <c r="D2797">
        <f>TEST_DATA!D2797</f>
        <v/>
      </c>
      <c r="E2797">
        <f>TEST_DATA!E2797</f>
        <v/>
      </c>
      <c r="F2797">
        <f>MIN(E2797*279700,10000)</f>
        <v/>
      </c>
      <c r="G2797">
        <f>MINIFS(CBIC_Late_Fee_Relief_Windows_3B!$O$2797:$O$100,CBIC_Late_Fee_Relief_Windows_3B!$D$2797:$D$100,"&lt;="&amp;B2797,CBIC_Late_Fee_Relief_Windows_3B!$E$2797:$E$100,"&gt;="&amp;B2797,CBIC_Late_Fee_Relief_Windows_3B!$F$2797:$F$100,"&lt;="&amp;C2797,CBIC_Late_Fee_Relief_Windows_3B!$G$2797:$G$100,"&gt;="&amp;C2797)</f>
        <v/>
      </c>
      <c r="H2797">
        <f>INDEX(CBIC_Late_Fee_Relief_Windows_3B!$I$2797:$I$100,MATCH(G2797,CBIC_Late_Fee_Relief_Windows_3B!$O$2797:$O$100,0))</f>
        <v/>
      </c>
      <c r="I2797">
        <f>MIN(F2797,H2797)</f>
        <v/>
      </c>
    </row>
    <row r="2798">
      <c r="A2798">
        <f>TEST_DATA!A2798</f>
        <v/>
      </c>
      <c r="B2798">
        <f>TEST_DATA!B2798</f>
        <v/>
      </c>
      <c r="C2798">
        <f>TEST_DATA!C2798</f>
        <v/>
      </c>
      <c r="D2798">
        <f>TEST_DATA!D2798</f>
        <v/>
      </c>
      <c r="E2798">
        <f>TEST_DATA!E2798</f>
        <v/>
      </c>
      <c r="F2798">
        <f>MIN(E2798*279800,10000)</f>
        <v/>
      </c>
      <c r="G2798">
        <f>MINIFS(CBIC_Late_Fee_Relief_Windows_3B!$O$2798:$O$100,CBIC_Late_Fee_Relief_Windows_3B!$D$2798:$D$100,"&lt;="&amp;B2798,CBIC_Late_Fee_Relief_Windows_3B!$E$2798:$E$100,"&gt;="&amp;B2798,CBIC_Late_Fee_Relief_Windows_3B!$F$2798:$F$100,"&lt;="&amp;C2798,CBIC_Late_Fee_Relief_Windows_3B!$G$2798:$G$100,"&gt;="&amp;C2798)</f>
        <v/>
      </c>
      <c r="H2798">
        <f>INDEX(CBIC_Late_Fee_Relief_Windows_3B!$I$2798:$I$100,MATCH(G2798,CBIC_Late_Fee_Relief_Windows_3B!$O$2798:$O$100,0))</f>
        <v/>
      </c>
      <c r="I2798">
        <f>MIN(F2798,H2798)</f>
        <v/>
      </c>
    </row>
    <row r="2799">
      <c r="A2799">
        <f>TEST_DATA!A2799</f>
        <v/>
      </c>
      <c r="B2799">
        <f>TEST_DATA!B2799</f>
        <v/>
      </c>
      <c r="C2799">
        <f>TEST_DATA!C2799</f>
        <v/>
      </c>
      <c r="D2799">
        <f>TEST_DATA!D2799</f>
        <v/>
      </c>
      <c r="E2799">
        <f>TEST_DATA!E2799</f>
        <v/>
      </c>
      <c r="F2799">
        <f>MIN(E2799*279900,10000)</f>
        <v/>
      </c>
      <c r="G2799">
        <f>MINIFS(CBIC_Late_Fee_Relief_Windows_3B!$O$2799:$O$100,CBIC_Late_Fee_Relief_Windows_3B!$D$2799:$D$100,"&lt;="&amp;B2799,CBIC_Late_Fee_Relief_Windows_3B!$E$2799:$E$100,"&gt;="&amp;B2799,CBIC_Late_Fee_Relief_Windows_3B!$F$2799:$F$100,"&lt;="&amp;C2799,CBIC_Late_Fee_Relief_Windows_3B!$G$2799:$G$100,"&gt;="&amp;C2799)</f>
        <v/>
      </c>
      <c r="H2799">
        <f>INDEX(CBIC_Late_Fee_Relief_Windows_3B!$I$2799:$I$100,MATCH(G2799,CBIC_Late_Fee_Relief_Windows_3B!$O$2799:$O$100,0))</f>
        <v/>
      </c>
      <c r="I2799">
        <f>MIN(F2799,H2799)</f>
        <v/>
      </c>
    </row>
    <row r="2800">
      <c r="A2800">
        <f>TEST_DATA!A2800</f>
        <v/>
      </c>
      <c r="B2800">
        <f>TEST_DATA!B2800</f>
        <v/>
      </c>
      <c r="C2800">
        <f>TEST_DATA!C2800</f>
        <v/>
      </c>
      <c r="D2800">
        <f>TEST_DATA!D2800</f>
        <v/>
      </c>
      <c r="E2800">
        <f>TEST_DATA!E2800</f>
        <v/>
      </c>
      <c r="F2800">
        <f>MIN(E2800*280000,10000)</f>
        <v/>
      </c>
      <c r="G2800">
        <f>MINIFS(CBIC_Late_Fee_Relief_Windows_3B!$O$2800:$O$100,CBIC_Late_Fee_Relief_Windows_3B!$D$2800:$D$100,"&lt;="&amp;B2800,CBIC_Late_Fee_Relief_Windows_3B!$E$2800:$E$100,"&gt;="&amp;B2800,CBIC_Late_Fee_Relief_Windows_3B!$F$2800:$F$100,"&lt;="&amp;C2800,CBIC_Late_Fee_Relief_Windows_3B!$G$2800:$G$100,"&gt;="&amp;C2800)</f>
        <v/>
      </c>
      <c r="H2800">
        <f>INDEX(CBIC_Late_Fee_Relief_Windows_3B!$I$2800:$I$100,MATCH(G2800,CBIC_Late_Fee_Relief_Windows_3B!$O$2800:$O$100,0))</f>
        <v/>
      </c>
      <c r="I2800">
        <f>MIN(F2800,H2800)</f>
        <v/>
      </c>
    </row>
    <row r="2801">
      <c r="A2801">
        <f>TEST_DATA!A2801</f>
        <v/>
      </c>
      <c r="B2801">
        <f>TEST_DATA!B2801</f>
        <v/>
      </c>
      <c r="C2801">
        <f>TEST_DATA!C2801</f>
        <v/>
      </c>
      <c r="D2801">
        <f>TEST_DATA!D2801</f>
        <v/>
      </c>
      <c r="E2801">
        <f>TEST_DATA!E2801</f>
        <v/>
      </c>
      <c r="F2801">
        <f>MIN(E2801*280100,10000)</f>
        <v/>
      </c>
      <c r="G2801">
        <f>MINIFS(CBIC_Late_Fee_Relief_Windows_3B!$O$2801:$O$100,CBIC_Late_Fee_Relief_Windows_3B!$D$2801:$D$100,"&lt;="&amp;B2801,CBIC_Late_Fee_Relief_Windows_3B!$E$2801:$E$100,"&gt;="&amp;B2801,CBIC_Late_Fee_Relief_Windows_3B!$F$2801:$F$100,"&lt;="&amp;C2801,CBIC_Late_Fee_Relief_Windows_3B!$G$2801:$G$100,"&gt;="&amp;C2801)</f>
        <v/>
      </c>
      <c r="H2801">
        <f>INDEX(CBIC_Late_Fee_Relief_Windows_3B!$I$2801:$I$100,MATCH(G2801,CBIC_Late_Fee_Relief_Windows_3B!$O$2801:$O$100,0))</f>
        <v/>
      </c>
      <c r="I2801">
        <f>MIN(F2801,H2801)</f>
        <v/>
      </c>
    </row>
    <row r="2802">
      <c r="A2802">
        <f>TEST_DATA!A2802</f>
        <v/>
      </c>
      <c r="B2802">
        <f>TEST_DATA!B2802</f>
        <v/>
      </c>
      <c r="C2802">
        <f>TEST_DATA!C2802</f>
        <v/>
      </c>
      <c r="D2802">
        <f>TEST_DATA!D2802</f>
        <v/>
      </c>
      <c r="E2802">
        <f>TEST_DATA!E2802</f>
        <v/>
      </c>
      <c r="F2802">
        <f>MIN(E2802*280200,10000)</f>
        <v/>
      </c>
      <c r="G2802">
        <f>MINIFS(CBIC_Late_Fee_Relief_Windows_3B!$O$2802:$O$100,CBIC_Late_Fee_Relief_Windows_3B!$D$2802:$D$100,"&lt;="&amp;B2802,CBIC_Late_Fee_Relief_Windows_3B!$E$2802:$E$100,"&gt;="&amp;B2802,CBIC_Late_Fee_Relief_Windows_3B!$F$2802:$F$100,"&lt;="&amp;C2802,CBIC_Late_Fee_Relief_Windows_3B!$G$2802:$G$100,"&gt;="&amp;C2802)</f>
        <v/>
      </c>
      <c r="H2802">
        <f>INDEX(CBIC_Late_Fee_Relief_Windows_3B!$I$2802:$I$100,MATCH(G2802,CBIC_Late_Fee_Relief_Windows_3B!$O$2802:$O$100,0))</f>
        <v/>
      </c>
      <c r="I2802">
        <f>MIN(F2802,H2802)</f>
        <v/>
      </c>
    </row>
    <row r="2803">
      <c r="A2803">
        <f>TEST_DATA!A2803</f>
        <v/>
      </c>
      <c r="B2803">
        <f>TEST_DATA!B2803</f>
        <v/>
      </c>
      <c r="C2803">
        <f>TEST_DATA!C2803</f>
        <v/>
      </c>
      <c r="D2803">
        <f>TEST_DATA!D2803</f>
        <v/>
      </c>
      <c r="E2803">
        <f>TEST_DATA!E2803</f>
        <v/>
      </c>
      <c r="F2803">
        <f>MIN(E2803*280300,10000)</f>
        <v/>
      </c>
      <c r="G2803">
        <f>MINIFS(CBIC_Late_Fee_Relief_Windows_3B!$O$2803:$O$100,CBIC_Late_Fee_Relief_Windows_3B!$D$2803:$D$100,"&lt;="&amp;B2803,CBIC_Late_Fee_Relief_Windows_3B!$E$2803:$E$100,"&gt;="&amp;B2803,CBIC_Late_Fee_Relief_Windows_3B!$F$2803:$F$100,"&lt;="&amp;C2803,CBIC_Late_Fee_Relief_Windows_3B!$G$2803:$G$100,"&gt;="&amp;C2803)</f>
        <v/>
      </c>
      <c r="H2803">
        <f>INDEX(CBIC_Late_Fee_Relief_Windows_3B!$I$2803:$I$100,MATCH(G2803,CBIC_Late_Fee_Relief_Windows_3B!$O$2803:$O$100,0))</f>
        <v/>
      </c>
      <c r="I2803">
        <f>MIN(F2803,H2803)</f>
        <v/>
      </c>
    </row>
    <row r="2804">
      <c r="A2804">
        <f>TEST_DATA!A2804</f>
        <v/>
      </c>
      <c r="B2804">
        <f>TEST_DATA!B2804</f>
        <v/>
      </c>
      <c r="C2804">
        <f>TEST_DATA!C2804</f>
        <v/>
      </c>
      <c r="D2804">
        <f>TEST_DATA!D2804</f>
        <v/>
      </c>
      <c r="E2804">
        <f>TEST_DATA!E2804</f>
        <v/>
      </c>
      <c r="F2804">
        <f>MIN(E2804*280400,10000)</f>
        <v/>
      </c>
      <c r="G2804">
        <f>MINIFS(CBIC_Late_Fee_Relief_Windows_3B!$O$2804:$O$100,CBIC_Late_Fee_Relief_Windows_3B!$D$2804:$D$100,"&lt;="&amp;B2804,CBIC_Late_Fee_Relief_Windows_3B!$E$2804:$E$100,"&gt;="&amp;B2804,CBIC_Late_Fee_Relief_Windows_3B!$F$2804:$F$100,"&lt;="&amp;C2804,CBIC_Late_Fee_Relief_Windows_3B!$G$2804:$G$100,"&gt;="&amp;C2804)</f>
        <v/>
      </c>
      <c r="H2804">
        <f>INDEX(CBIC_Late_Fee_Relief_Windows_3B!$I$2804:$I$100,MATCH(G2804,CBIC_Late_Fee_Relief_Windows_3B!$O$2804:$O$100,0))</f>
        <v/>
      </c>
      <c r="I2804">
        <f>MIN(F2804,H2804)</f>
        <v/>
      </c>
    </row>
    <row r="2805">
      <c r="A2805">
        <f>TEST_DATA!A2805</f>
        <v/>
      </c>
      <c r="B2805">
        <f>TEST_DATA!B2805</f>
        <v/>
      </c>
      <c r="C2805">
        <f>TEST_DATA!C2805</f>
        <v/>
      </c>
      <c r="D2805">
        <f>TEST_DATA!D2805</f>
        <v/>
      </c>
      <c r="E2805">
        <f>TEST_DATA!E2805</f>
        <v/>
      </c>
      <c r="F2805">
        <f>MIN(E2805*280500,10000)</f>
        <v/>
      </c>
      <c r="G2805">
        <f>MINIFS(CBIC_Late_Fee_Relief_Windows_3B!$O$2805:$O$100,CBIC_Late_Fee_Relief_Windows_3B!$D$2805:$D$100,"&lt;="&amp;B2805,CBIC_Late_Fee_Relief_Windows_3B!$E$2805:$E$100,"&gt;="&amp;B2805,CBIC_Late_Fee_Relief_Windows_3B!$F$2805:$F$100,"&lt;="&amp;C2805,CBIC_Late_Fee_Relief_Windows_3B!$G$2805:$G$100,"&gt;="&amp;C2805)</f>
        <v/>
      </c>
      <c r="H2805">
        <f>INDEX(CBIC_Late_Fee_Relief_Windows_3B!$I$2805:$I$100,MATCH(G2805,CBIC_Late_Fee_Relief_Windows_3B!$O$2805:$O$100,0))</f>
        <v/>
      </c>
      <c r="I2805">
        <f>MIN(F2805,H2805)</f>
        <v/>
      </c>
    </row>
    <row r="2806">
      <c r="A2806">
        <f>TEST_DATA!A2806</f>
        <v/>
      </c>
      <c r="B2806">
        <f>TEST_DATA!B2806</f>
        <v/>
      </c>
      <c r="C2806">
        <f>TEST_DATA!C2806</f>
        <v/>
      </c>
      <c r="D2806">
        <f>TEST_DATA!D2806</f>
        <v/>
      </c>
      <c r="E2806">
        <f>TEST_DATA!E2806</f>
        <v/>
      </c>
      <c r="F2806">
        <f>MIN(E2806*280600,10000)</f>
        <v/>
      </c>
      <c r="G2806">
        <f>MINIFS(CBIC_Late_Fee_Relief_Windows_3B!$O$2806:$O$100,CBIC_Late_Fee_Relief_Windows_3B!$D$2806:$D$100,"&lt;="&amp;B2806,CBIC_Late_Fee_Relief_Windows_3B!$E$2806:$E$100,"&gt;="&amp;B2806,CBIC_Late_Fee_Relief_Windows_3B!$F$2806:$F$100,"&lt;="&amp;C2806,CBIC_Late_Fee_Relief_Windows_3B!$G$2806:$G$100,"&gt;="&amp;C2806)</f>
        <v/>
      </c>
      <c r="H2806">
        <f>INDEX(CBIC_Late_Fee_Relief_Windows_3B!$I$2806:$I$100,MATCH(G2806,CBIC_Late_Fee_Relief_Windows_3B!$O$2806:$O$100,0))</f>
        <v/>
      </c>
      <c r="I2806">
        <f>MIN(F2806,H2806)</f>
        <v/>
      </c>
    </row>
    <row r="2807">
      <c r="A2807">
        <f>TEST_DATA!A2807</f>
        <v/>
      </c>
      <c r="B2807">
        <f>TEST_DATA!B2807</f>
        <v/>
      </c>
      <c r="C2807">
        <f>TEST_DATA!C2807</f>
        <v/>
      </c>
      <c r="D2807">
        <f>TEST_DATA!D2807</f>
        <v/>
      </c>
      <c r="E2807">
        <f>TEST_DATA!E2807</f>
        <v/>
      </c>
      <c r="F2807">
        <f>MIN(E2807*280700,10000)</f>
        <v/>
      </c>
      <c r="G2807">
        <f>MINIFS(CBIC_Late_Fee_Relief_Windows_3B!$O$2807:$O$100,CBIC_Late_Fee_Relief_Windows_3B!$D$2807:$D$100,"&lt;="&amp;B2807,CBIC_Late_Fee_Relief_Windows_3B!$E$2807:$E$100,"&gt;="&amp;B2807,CBIC_Late_Fee_Relief_Windows_3B!$F$2807:$F$100,"&lt;="&amp;C2807,CBIC_Late_Fee_Relief_Windows_3B!$G$2807:$G$100,"&gt;="&amp;C2807)</f>
        <v/>
      </c>
      <c r="H2807">
        <f>INDEX(CBIC_Late_Fee_Relief_Windows_3B!$I$2807:$I$100,MATCH(G2807,CBIC_Late_Fee_Relief_Windows_3B!$O$2807:$O$100,0))</f>
        <v/>
      </c>
      <c r="I2807">
        <f>MIN(F2807,H2807)</f>
        <v/>
      </c>
    </row>
    <row r="2808">
      <c r="A2808">
        <f>TEST_DATA!A2808</f>
        <v/>
      </c>
      <c r="B2808">
        <f>TEST_DATA!B2808</f>
        <v/>
      </c>
      <c r="C2808">
        <f>TEST_DATA!C2808</f>
        <v/>
      </c>
      <c r="D2808">
        <f>TEST_DATA!D2808</f>
        <v/>
      </c>
      <c r="E2808">
        <f>TEST_DATA!E2808</f>
        <v/>
      </c>
      <c r="F2808">
        <f>MIN(E2808*280800,10000)</f>
        <v/>
      </c>
      <c r="G2808">
        <f>MINIFS(CBIC_Late_Fee_Relief_Windows_3B!$O$2808:$O$100,CBIC_Late_Fee_Relief_Windows_3B!$D$2808:$D$100,"&lt;="&amp;B2808,CBIC_Late_Fee_Relief_Windows_3B!$E$2808:$E$100,"&gt;="&amp;B2808,CBIC_Late_Fee_Relief_Windows_3B!$F$2808:$F$100,"&lt;="&amp;C2808,CBIC_Late_Fee_Relief_Windows_3B!$G$2808:$G$100,"&gt;="&amp;C2808)</f>
        <v/>
      </c>
      <c r="H2808">
        <f>INDEX(CBIC_Late_Fee_Relief_Windows_3B!$I$2808:$I$100,MATCH(G2808,CBIC_Late_Fee_Relief_Windows_3B!$O$2808:$O$100,0))</f>
        <v/>
      </c>
      <c r="I2808">
        <f>MIN(F2808,H2808)</f>
        <v/>
      </c>
    </row>
    <row r="2809">
      <c r="A2809">
        <f>TEST_DATA!A2809</f>
        <v/>
      </c>
      <c r="B2809">
        <f>TEST_DATA!B2809</f>
        <v/>
      </c>
      <c r="C2809">
        <f>TEST_DATA!C2809</f>
        <v/>
      </c>
      <c r="D2809">
        <f>TEST_DATA!D2809</f>
        <v/>
      </c>
      <c r="E2809">
        <f>TEST_DATA!E2809</f>
        <v/>
      </c>
      <c r="F2809">
        <f>MIN(E2809*280900,10000)</f>
        <v/>
      </c>
      <c r="G2809">
        <f>MINIFS(CBIC_Late_Fee_Relief_Windows_3B!$O$2809:$O$100,CBIC_Late_Fee_Relief_Windows_3B!$D$2809:$D$100,"&lt;="&amp;B2809,CBIC_Late_Fee_Relief_Windows_3B!$E$2809:$E$100,"&gt;="&amp;B2809,CBIC_Late_Fee_Relief_Windows_3B!$F$2809:$F$100,"&lt;="&amp;C2809,CBIC_Late_Fee_Relief_Windows_3B!$G$2809:$G$100,"&gt;="&amp;C2809)</f>
        <v/>
      </c>
      <c r="H2809">
        <f>INDEX(CBIC_Late_Fee_Relief_Windows_3B!$I$2809:$I$100,MATCH(G2809,CBIC_Late_Fee_Relief_Windows_3B!$O$2809:$O$100,0))</f>
        <v/>
      </c>
      <c r="I2809">
        <f>MIN(F2809,H2809)</f>
        <v/>
      </c>
    </row>
    <row r="2810">
      <c r="A2810">
        <f>TEST_DATA!A2810</f>
        <v/>
      </c>
      <c r="B2810">
        <f>TEST_DATA!B2810</f>
        <v/>
      </c>
      <c r="C2810">
        <f>TEST_DATA!C2810</f>
        <v/>
      </c>
      <c r="D2810">
        <f>TEST_DATA!D2810</f>
        <v/>
      </c>
      <c r="E2810">
        <f>TEST_DATA!E2810</f>
        <v/>
      </c>
      <c r="F2810">
        <f>MIN(E2810*281000,10000)</f>
        <v/>
      </c>
      <c r="G2810">
        <f>MINIFS(CBIC_Late_Fee_Relief_Windows_3B!$O$2810:$O$100,CBIC_Late_Fee_Relief_Windows_3B!$D$2810:$D$100,"&lt;="&amp;B2810,CBIC_Late_Fee_Relief_Windows_3B!$E$2810:$E$100,"&gt;="&amp;B2810,CBIC_Late_Fee_Relief_Windows_3B!$F$2810:$F$100,"&lt;="&amp;C2810,CBIC_Late_Fee_Relief_Windows_3B!$G$2810:$G$100,"&gt;="&amp;C2810)</f>
        <v/>
      </c>
      <c r="H2810">
        <f>INDEX(CBIC_Late_Fee_Relief_Windows_3B!$I$2810:$I$100,MATCH(G2810,CBIC_Late_Fee_Relief_Windows_3B!$O$2810:$O$100,0))</f>
        <v/>
      </c>
      <c r="I2810">
        <f>MIN(F2810,H2810)</f>
        <v/>
      </c>
    </row>
    <row r="2811">
      <c r="A2811">
        <f>TEST_DATA!A2811</f>
        <v/>
      </c>
      <c r="B2811">
        <f>TEST_DATA!B2811</f>
        <v/>
      </c>
      <c r="C2811">
        <f>TEST_DATA!C2811</f>
        <v/>
      </c>
      <c r="D2811">
        <f>TEST_DATA!D2811</f>
        <v/>
      </c>
      <c r="E2811">
        <f>TEST_DATA!E2811</f>
        <v/>
      </c>
      <c r="F2811">
        <f>MIN(E2811*281100,10000)</f>
        <v/>
      </c>
      <c r="G2811">
        <f>MINIFS(CBIC_Late_Fee_Relief_Windows_3B!$O$2811:$O$100,CBIC_Late_Fee_Relief_Windows_3B!$D$2811:$D$100,"&lt;="&amp;B2811,CBIC_Late_Fee_Relief_Windows_3B!$E$2811:$E$100,"&gt;="&amp;B2811,CBIC_Late_Fee_Relief_Windows_3B!$F$2811:$F$100,"&lt;="&amp;C2811,CBIC_Late_Fee_Relief_Windows_3B!$G$2811:$G$100,"&gt;="&amp;C2811)</f>
        <v/>
      </c>
      <c r="H2811">
        <f>INDEX(CBIC_Late_Fee_Relief_Windows_3B!$I$2811:$I$100,MATCH(G2811,CBIC_Late_Fee_Relief_Windows_3B!$O$2811:$O$100,0))</f>
        <v/>
      </c>
      <c r="I2811">
        <f>MIN(F2811,H2811)</f>
        <v/>
      </c>
    </row>
    <row r="2812">
      <c r="A2812">
        <f>TEST_DATA!A2812</f>
        <v/>
      </c>
      <c r="B2812">
        <f>TEST_DATA!B2812</f>
        <v/>
      </c>
      <c r="C2812">
        <f>TEST_DATA!C2812</f>
        <v/>
      </c>
      <c r="D2812">
        <f>TEST_DATA!D2812</f>
        <v/>
      </c>
      <c r="E2812">
        <f>TEST_DATA!E2812</f>
        <v/>
      </c>
      <c r="F2812">
        <f>MIN(E2812*281200,10000)</f>
        <v/>
      </c>
      <c r="G2812">
        <f>MINIFS(CBIC_Late_Fee_Relief_Windows_3B!$O$2812:$O$100,CBIC_Late_Fee_Relief_Windows_3B!$D$2812:$D$100,"&lt;="&amp;B2812,CBIC_Late_Fee_Relief_Windows_3B!$E$2812:$E$100,"&gt;="&amp;B2812,CBIC_Late_Fee_Relief_Windows_3B!$F$2812:$F$100,"&lt;="&amp;C2812,CBIC_Late_Fee_Relief_Windows_3B!$G$2812:$G$100,"&gt;="&amp;C2812)</f>
        <v/>
      </c>
      <c r="H2812">
        <f>INDEX(CBIC_Late_Fee_Relief_Windows_3B!$I$2812:$I$100,MATCH(G2812,CBIC_Late_Fee_Relief_Windows_3B!$O$2812:$O$100,0))</f>
        <v/>
      </c>
      <c r="I2812">
        <f>MIN(F2812,H2812)</f>
        <v/>
      </c>
    </row>
    <row r="2813">
      <c r="A2813">
        <f>TEST_DATA!A2813</f>
        <v/>
      </c>
      <c r="B2813">
        <f>TEST_DATA!B2813</f>
        <v/>
      </c>
      <c r="C2813">
        <f>TEST_DATA!C2813</f>
        <v/>
      </c>
      <c r="D2813">
        <f>TEST_DATA!D2813</f>
        <v/>
      </c>
      <c r="E2813">
        <f>TEST_DATA!E2813</f>
        <v/>
      </c>
      <c r="F2813">
        <f>MIN(E2813*281300,10000)</f>
        <v/>
      </c>
      <c r="G2813">
        <f>MINIFS(CBIC_Late_Fee_Relief_Windows_3B!$O$2813:$O$100,CBIC_Late_Fee_Relief_Windows_3B!$D$2813:$D$100,"&lt;="&amp;B2813,CBIC_Late_Fee_Relief_Windows_3B!$E$2813:$E$100,"&gt;="&amp;B2813,CBIC_Late_Fee_Relief_Windows_3B!$F$2813:$F$100,"&lt;="&amp;C2813,CBIC_Late_Fee_Relief_Windows_3B!$G$2813:$G$100,"&gt;="&amp;C2813)</f>
        <v/>
      </c>
      <c r="H2813">
        <f>INDEX(CBIC_Late_Fee_Relief_Windows_3B!$I$2813:$I$100,MATCH(G2813,CBIC_Late_Fee_Relief_Windows_3B!$O$2813:$O$100,0))</f>
        <v/>
      </c>
      <c r="I2813">
        <f>MIN(F2813,H2813)</f>
        <v/>
      </c>
    </row>
    <row r="2814">
      <c r="A2814">
        <f>TEST_DATA!A2814</f>
        <v/>
      </c>
      <c r="B2814">
        <f>TEST_DATA!B2814</f>
        <v/>
      </c>
      <c r="C2814">
        <f>TEST_DATA!C2814</f>
        <v/>
      </c>
      <c r="D2814">
        <f>TEST_DATA!D2814</f>
        <v/>
      </c>
      <c r="E2814">
        <f>TEST_DATA!E2814</f>
        <v/>
      </c>
      <c r="F2814">
        <f>MIN(E2814*281400,10000)</f>
        <v/>
      </c>
      <c r="G2814">
        <f>MINIFS(CBIC_Late_Fee_Relief_Windows_3B!$O$2814:$O$100,CBIC_Late_Fee_Relief_Windows_3B!$D$2814:$D$100,"&lt;="&amp;B2814,CBIC_Late_Fee_Relief_Windows_3B!$E$2814:$E$100,"&gt;="&amp;B2814,CBIC_Late_Fee_Relief_Windows_3B!$F$2814:$F$100,"&lt;="&amp;C2814,CBIC_Late_Fee_Relief_Windows_3B!$G$2814:$G$100,"&gt;="&amp;C2814)</f>
        <v/>
      </c>
      <c r="H2814">
        <f>INDEX(CBIC_Late_Fee_Relief_Windows_3B!$I$2814:$I$100,MATCH(G2814,CBIC_Late_Fee_Relief_Windows_3B!$O$2814:$O$100,0))</f>
        <v/>
      </c>
      <c r="I2814">
        <f>MIN(F2814,H2814)</f>
        <v/>
      </c>
    </row>
    <row r="2815">
      <c r="A2815">
        <f>TEST_DATA!A2815</f>
        <v/>
      </c>
      <c r="B2815">
        <f>TEST_DATA!B2815</f>
        <v/>
      </c>
      <c r="C2815">
        <f>TEST_DATA!C2815</f>
        <v/>
      </c>
      <c r="D2815">
        <f>TEST_DATA!D2815</f>
        <v/>
      </c>
      <c r="E2815">
        <f>TEST_DATA!E2815</f>
        <v/>
      </c>
      <c r="F2815">
        <f>MIN(E2815*281500,10000)</f>
        <v/>
      </c>
      <c r="G2815">
        <f>MINIFS(CBIC_Late_Fee_Relief_Windows_3B!$O$2815:$O$100,CBIC_Late_Fee_Relief_Windows_3B!$D$2815:$D$100,"&lt;="&amp;B2815,CBIC_Late_Fee_Relief_Windows_3B!$E$2815:$E$100,"&gt;="&amp;B2815,CBIC_Late_Fee_Relief_Windows_3B!$F$2815:$F$100,"&lt;="&amp;C2815,CBIC_Late_Fee_Relief_Windows_3B!$G$2815:$G$100,"&gt;="&amp;C2815)</f>
        <v/>
      </c>
      <c r="H2815">
        <f>INDEX(CBIC_Late_Fee_Relief_Windows_3B!$I$2815:$I$100,MATCH(G2815,CBIC_Late_Fee_Relief_Windows_3B!$O$2815:$O$100,0))</f>
        <v/>
      </c>
      <c r="I2815">
        <f>MIN(F2815,H2815)</f>
        <v/>
      </c>
    </row>
    <row r="2816">
      <c r="A2816">
        <f>TEST_DATA!A2816</f>
        <v/>
      </c>
      <c r="B2816">
        <f>TEST_DATA!B2816</f>
        <v/>
      </c>
      <c r="C2816">
        <f>TEST_DATA!C2816</f>
        <v/>
      </c>
      <c r="D2816">
        <f>TEST_DATA!D2816</f>
        <v/>
      </c>
      <c r="E2816">
        <f>TEST_DATA!E2816</f>
        <v/>
      </c>
      <c r="F2816">
        <f>MIN(E2816*281600,10000)</f>
        <v/>
      </c>
      <c r="G2816">
        <f>MINIFS(CBIC_Late_Fee_Relief_Windows_3B!$O$2816:$O$100,CBIC_Late_Fee_Relief_Windows_3B!$D$2816:$D$100,"&lt;="&amp;B2816,CBIC_Late_Fee_Relief_Windows_3B!$E$2816:$E$100,"&gt;="&amp;B2816,CBIC_Late_Fee_Relief_Windows_3B!$F$2816:$F$100,"&lt;="&amp;C2816,CBIC_Late_Fee_Relief_Windows_3B!$G$2816:$G$100,"&gt;="&amp;C2816)</f>
        <v/>
      </c>
      <c r="H2816">
        <f>INDEX(CBIC_Late_Fee_Relief_Windows_3B!$I$2816:$I$100,MATCH(G2816,CBIC_Late_Fee_Relief_Windows_3B!$O$2816:$O$100,0))</f>
        <v/>
      </c>
      <c r="I2816">
        <f>MIN(F2816,H2816)</f>
        <v/>
      </c>
    </row>
    <row r="2817">
      <c r="A2817">
        <f>TEST_DATA!A2817</f>
        <v/>
      </c>
      <c r="B2817">
        <f>TEST_DATA!B2817</f>
        <v/>
      </c>
      <c r="C2817">
        <f>TEST_DATA!C2817</f>
        <v/>
      </c>
      <c r="D2817">
        <f>TEST_DATA!D2817</f>
        <v/>
      </c>
      <c r="E2817">
        <f>TEST_DATA!E2817</f>
        <v/>
      </c>
      <c r="F2817">
        <f>MIN(E2817*281700,10000)</f>
        <v/>
      </c>
      <c r="G2817">
        <f>MINIFS(CBIC_Late_Fee_Relief_Windows_3B!$O$2817:$O$100,CBIC_Late_Fee_Relief_Windows_3B!$D$2817:$D$100,"&lt;="&amp;B2817,CBIC_Late_Fee_Relief_Windows_3B!$E$2817:$E$100,"&gt;="&amp;B2817,CBIC_Late_Fee_Relief_Windows_3B!$F$2817:$F$100,"&lt;="&amp;C2817,CBIC_Late_Fee_Relief_Windows_3B!$G$2817:$G$100,"&gt;="&amp;C2817)</f>
        <v/>
      </c>
      <c r="H2817">
        <f>INDEX(CBIC_Late_Fee_Relief_Windows_3B!$I$2817:$I$100,MATCH(G2817,CBIC_Late_Fee_Relief_Windows_3B!$O$2817:$O$100,0))</f>
        <v/>
      </c>
      <c r="I2817">
        <f>MIN(F2817,H2817)</f>
        <v/>
      </c>
    </row>
    <row r="2818">
      <c r="A2818">
        <f>TEST_DATA!A2818</f>
        <v/>
      </c>
      <c r="B2818">
        <f>TEST_DATA!B2818</f>
        <v/>
      </c>
      <c r="C2818">
        <f>TEST_DATA!C2818</f>
        <v/>
      </c>
      <c r="D2818">
        <f>TEST_DATA!D2818</f>
        <v/>
      </c>
      <c r="E2818">
        <f>TEST_DATA!E2818</f>
        <v/>
      </c>
      <c r="F2818">
        <f>MIN(E2818*281800,10000)</f>
        <v/>
      </c>
      <c r="G2818">
        <f>MINIFS(CBIC_Late_Fee_Relief_Windows_3B!$O$2818:$O$100,CBIC_Late_Fee_Relief_Windows_3B!$D$2818:$D$100,"&lt;="&amp;B2818,CBIC_Late_Fee_Relief_Windows_3B!$E$2818:$E$100,"&gt;="&amp;B2818,CBIC_Late_Fee_Relief_Windows_3B!$F$2818:$F$100,"&lt;="&amp;C2818,CBIC_Late_Fee_Relief_Windows_3B!$G$2818:$G$100,"&gt;="&amp;C2818)</f>
        <v/>
      </c>
      <c r="H2818">
        <f>INDEX(CBIC_Late_Fee_Relief_Windows_3B!$I$2818:$I$100,MATCH(G2818,CBIC_Late_Fee_Relief_Windows_3B!$O$2818:$O$100,0))</f>
        <v/>
      </c>
      <c r="I2818">
        <f>MIN(F2818,H2818)</f>
        <v/>
      </c>
    </row>
    <row r="2819">
      <c r="A2819">
        <f>TEST_DATA!A2819</f>
        <v/>
      </c>
      <c r="B2819">
        <f>TEST_DATA!B2819</f>
        <v/>
      </c>
      <c r="C2819">
        <f>TEST_DATA!C2819</f>
        <v/>
      </c>
      <c r="D2819">
        <f>TEST_DATA!D2819</f>
        <v/>
      </c>
      <c r="E2819">
        <f>TEST_DATA!E2819</f>
        <v/>
      </c>
      <c r="F2819">
        <f>MIN(E2819*281900,10000)</f>
        <v/>
      </c>
      <c r="G2819">
        <f>MINIFS(CBIC_Late_Fee_Relief_Windows_3B!$O$2819:$O$100,CBIC_Late_Fee_Relief_Windows_3B!$D$2819:$D$100,"&lt;="&amp;B2819,CBIC_Late_Fee_Relief_Windows_3B!$E$2819:$E$100,"&gt;="&amp;B2819,CBIC_Late_Fee_Relief_Windows_3B!$F$2819:$F$100,"&lt;="&amp;C2819,CBIC_Late_Fee_Relief_Windows_3B!$G$2819:$G$100,"&gt;="&amp;C2819)</f>
        <v/>
      </c>
      <c r="H2819">
        <f>INDEX(CBIC_Late_Fee_Relief_Windows_3B!$I$2819:$I$100,MATCH(G2819,CBIC_Late_Fee_Relief_Windows_3B!$O$2819:$O$100,0))</f>
        <v/>
      </c>
      <c r="I2819">
        <f>MIN(F2819,H2819)</f>
        <v/>
      </c>
    </row>
    <row r="2820">
      <c r="A2820">
        <f>TEST_DATA!A2820</f>
        <v/>
      </c>
      <c r="B2820">
        <f>TEST_DATA!B2820</f>
        <v/>
      </c>
      <c r="C2820">
        <f>TEST_DATA!C2820</f>
        <v/>
      </c>
      <c r="D2820">
        <f>TEST_DATA!D2820</f>
        <v/>
      </c>
      <c r="E2820">
        <f>TEST_DATA!E2820</f>
        <v/>
      </c>
      <c r="F2820">
        <f>MIN(E2820*282000,10000)</f>
        <v/>
      </c>
      <c r="G2820">
        <f>MINIFS(CBIC_Late_Fee_Relief_Windows_3B!$O$2820:$O$100,CBIC_Late_Fee_Relief_Windows_3B!$D$2820:$D$100,"&lt;="&amp;B2820,CBIC_Late_Fee_Relief_Windows_3B!$E$2820:$E$100,"&gt;="&amp;B2820,CBIC_Late_Fee_Relief_Windows_3B!$F$2820:$F$100,"&lt;="&amp;C2820,CBIC_Late_Fee_Relief_Windows_3B!$G$2820:$G$100,"&gt;="&amp;C2820)</f>
        <v/>
      </c>
      <c r="H2820">
        <f>INDEX(CBIC_Late_Fee_Relief_Windows_3B!$I$2820:$I$100,MATCH(G2820,CBIC_Late_Fee_Relief_Windows_3B!$O$2820:$O$100,0))</f>
        <v/>
      </c>
      <c r="I2820">
        <f>MIN(F2820,H2820)</f>
        <v/>
      </c>
    </row>
    <row r="2821">
      <c r="A2821">
        <f>TEST_DATA!A2821</f>
        <v/>
      </c>
      <c r="B2821">
        <f>TEST_DATA!B2821</f>
        <v/>
      </c>
      <c r="C2821">
        <f>TEST_DATA!C2821</f>
        <v/>
      </c>
      <c r="D2821">
        <f>TEST_DATA!D2821</f>
        <v/>
      </c>
      <c r="E2821">
        <f>TEST_DATA!E2821</f>
        <v/>
      </c>
      <c r="F2821">
        <f>MIN(E2821*282100,10000)</f>
        <v/>
      </c>
      <c r="G2821">
        <f>MINIFS(CBIC_Late_Fee_Relief_Windows_3B!$O$2821:$O$100,CBIC_Late_Fee_Relief_Windows_3B!$D$2821:$D$100,"&lt;="&amp;B2821,CBIC_Late_Fee_Relief_Windows_3B!$E$2821:$E$100,"&gt;="&amp;B2821,CBIC_Late_Fee_Relief_Windows_3B!$F$2821:$F$100,"&lt;="&amp;C2821,CBIC_Late_Fee_Relief_Windows_3B!$G$2821:$G$100,"&gt;="&amp;C2821)</f>
        <v/>
      </c>
      <c r="H2821">
        <f>INDEX(CBIC_Late_Fee_Relief_Windows_3B!$I$2821:$I$100,MATCH(G2821,CBIC_Late_Fee_Relief_Windows_3B!$O$2821:$O$100,0))</f>
        <v/>
      </c>
      <c r="I2821">
        <f>MIN(F2821,H2821)</f>
        <v/>
      </c>
    </row>
    <row r="2822">
      <c r="A2822">
        <f>TEST_DATA!A2822</f>
        <v/>
      </c>
      <c r="B2822">
        <f>TEST_DATA!B2822</f>
        <v/>
      </c>
      <c r="C2822">
        <f>TEST_DATA!C2822</f>
        <v/>
      </c>
      <c r="D2822">
        <f>TEST_DATA!D2822</f>
        <v/>
      </c>
      <c r="E2822">
        <f>TEST_DATA!E2822</f>
        <v/>
      </c>
      <c r="F2822">
        <f>MIN(E2822*282200,10000)</f>
        <v/>
      </c>
      <c r="G2822">
        <f>MINIFS(CBIC_Late_Fee_Relief_Windows_3B!$O$2822:$O$100,CBIC_Late_Fee_Relief_Windows_3B!$D$2822:$D$100,"&lt;="&amp;B2822,CBIC_Late_Fee_Relief_Windows_3B!$E$2822:$E$100,"&gt;="&amp;B2822,CBIC_Late_Fee_Relief_Windows_3B!$F$2822:$F$100,"&lt;="&amp;C2822,CBIC_Late_Fee_Relief_Windows_3B!$G$2822:$G$100,"&gt;="&amp;C2822)</f>
        <v/>
      </c>
      <c r="H2822">
        <f>INDEX(CBIC_Late_Fee_Relief_Windows_3B!$I$2822:$I$100,MATCH(G2822,CBIC_Late_Fee_Relief_Windows_3B!$O$2822:$O$100,0))</f>
        <v/>
      </c>
      <c r="I2822">
        <f>MIN(F2822,H2822)</f>
        <v/>
      </c>
    </row>
    <row r="2823">
      <c r="A2823">
        <f>TEST_DATA!A2823</f>
        <v/>
      </c>
      <c r="B2823">
        <f>TEST_DATA!B2823</f>
        <v/>
      </c>
      <c r="C2823">
        <f>TEST_DATA!C2823</f>
        <v/>
      </c>
      <c r="D2823">
        <f>TEST_DATA!D2823</f>
        <v/>
      </c>
      <c r="E2823">
        <f>TEST_DATA!E2823</f>
        <v/>
      </c>
      <c r="F2823">
        <f>MIN(E2823*282300,10000)</f>
        <v/>
      </c>
      <c r="G2823">
        <f>MINIFS(CBIC_Late_Fee_Relief_Windows_3B!$O$2823:$O$100,CBIC_Late_Fee_Relief_Windows_3B!$D$2823:$D$100,"&lt;="&amp;B2823,CBIC_Late_Fee_Relief_Windows_3B!$E$2823:$E$100,"&gt;="&amp;B2823,CBIC_Late_Fee_Relief_Windows_3B!$F$2823:$F$100,"&lt;="&amp;C2823,CBIC_Late_Fee_Relief_Windows_3B!$G$2823:$G$100,"&gt;="&amp;C2823)</f>
        <v/>
      </c>
      <c r="H2823">
        <f>INDEX(CBIC_Late_Fee_Relief_Windows_3B!$I$2823:$I$100,MATCH(G2823,CBIC_Late_Fee_Relief_Windows_3B!$O$2823:$O$100,0))</f>
        <v/>
      </c>
      <c r="I2823">
        <f>MIN(F2823,H2823)</f>
        <v/>
      </c>
    </row>
    <row r="2824">
      <c r="A2824">
        <f>TEST_DATA!A2824</f>
        <v/>
      </c>
      <c r="B2824">
        <f>TEST_DATA!B2824</f>
        <v/>
      </c>
      <c r="C2824">
        <f>TEST_DATA!C2824</f>
        <v/>
      </c>
      <c r="D2824">
        <f>TEST_DATA!D2824</f>
        <v/>
      </c>
      <c r="E2824">
        <f>TEST_DATA!E2824</f>
        <v/>
      </c>
      <c r="F2824">
        <f>MIN(E2824*282400,10000)</f>
        <v/>
      </c>
      <c r="G2824">
        <f>MINIFS(CBIC_Late_Fee_Relief_Windows_3B!$O$2824:$O$100,CBIC_Late_Fee_Relief_Windows_3B!$D$2824:$D$100,"&lt;="&amp;B2824,CBIC_Late_Fee_Relief_Windows_3B!$E$2824:$E$100,"&gt;="&amp;B2824,CBIC_Late_Fee_Relief_Windows_3B!$F$2824:$F$100,"&lt;="&amp;C2824,CBIC_Late_Fee_Relief_Windows_3B!$G$2824:$G$100,"&gt;="&amp;C2824)</f>
        <v/>
      </c>
      <c r="H2824">
        <f>INDEX(CBIC_Late_Fee_Relief_Windows_3B!$I$2824:$I$100,MATCH(G2824,CBIC_Late_Fee_Relief_Windows_3B!$O$2824:$O$100,0))</f>
        <v/>
      </c>
      <c r="I2824">
        <f>MIN(F2824,H2824)</f>
        <v/>
      </c>
    </row>
    <row r="2825">
      <c r="A2825">
        <f>TEST_DATA!A2825</f>
        <v/>
      </c>
      <c r="B2825">
        <f>TEST_DATA!B2825</f>
        <v/>
      </c>
      <c r="C2825">
        <f>TEST_DATA!C2825</f>
        <v/>
      </c>
      <c r="D2825">
        <f>TEST_DATA!D2825</f>
        <v/>
      </c>
      <c r="E2825">
        <f>TEST_DATA!E2825</f>
        <v/>
      </c>
      <c r="F2825">
        <f>MIN(E2825*282500,10000)</f>
        <v/>
      </c>
      <c r="G2825">
        <f>MINIFS(CBIC_Late_Fee_Relief_Windows_3B!$O$2825:$O$100,CBIC_Late_Fee_Relief_Windows_3B!$D$2825:$D$100,"&lt;="&amp;B2825,CBIC_Late_Fee_Relief_Windows_3B!$E$2825:$E$100,"&gt;="&amp;B2825,CBIC_Late_Fee_Relief_Windows_3B!$F$2825:$F$100,"&lt;="&amp;C2825,CBIC_Late_Fee_Relief_Windows_3B!$G$2825:$G$100,"&gt;="&amp;C2825)</f>
        <v/>
      </c>
      <c r="H2825">
        <f>INDEX(CBIC_Late_Fee_Relief_Windows_3B!$I$2825:$I$100,MATCH(G2825,CBIC_Late_Fee_Relief_Windows_3B!$O$2825:$O$100,0))</f>
        <v/>
      </c>
      <c r="I2825">
        <f>MIN(F2825,H2825)</f>
        <v/>
      </c>
    </row>
    <row r="2826">
      <c r="A2826">
        <f>TEST_DATA!A2826</f>
        <v/>
      </c>
      <c r="B2826">
        <f>TEST_DATA!B2826</f>
        <v/>
      </c>
      <c r="C2826">
        <f>TEST_DATA!C2826</f>
        <v/>
      </c>
      <c r="D2826">
        <f>TEST_DATA!D2826</f>
        <v/>
      </c>
      <c r="E2826">
        <f>TEST_DATA!E2826</f>
        <v/>
      </c>
      <c r="F2826">
        <f>MIN(E2826*282600,10000)</f>
        <v/>
      </c>
      <c r="G2826">
        <f>MINIFS(CBIC_Late_Fee_Relief_Windows_3B!$O$2826:$O$100,CBIC_Late_Fee_Relief_Windows_3B!$D$2826:$D$100,"&lt;="&amp;B2826,CBIC_Late_Fee_Relief_Windows_3B!$E$2826:$E$100,"&gt;="&amp;B2826,CBIC_Late_Fee_Relief_Windows_3B!$F$2826:$F$100,"&lt;="&amp;C2826,CBIC_Late_Fee_Relief_Windows_3B!$G$2826:$G$100,"&gt;="&amp;C2826)</f>
        <v/>
      </c>
      <c r="H2826">
        <f>INDEX(CBIC_Late_Fee_Relief_Windows_3B!$I$2826:$I$100,MATCH(G2826,CBIC_Late_Fee_Relief_Windows_3B!$O$2826:$O$100,0))</f>
        <v/>
      </c>
      <c r="I2826">
        <f>MIN(F2826,H2826)</f>
        <v/>
      </c>
    </row>
    <row r="2827">
      <c r="A2827">
        <f>TEST_DATA!A2827</f>
        <v/>
      </c>
      <c r="B2827">
        <f>TEST_DATA!B2827</f>
        <v/>
      </c>
      <c r="C2827">
        <f>TEST_DATA!C2827</f>
        <v/>
      </c>
      <c r="D2827">
        <f>TEST_DATA!D2827</f>
        <v/>
      </c>
      <c r="E2827">
        <f>TEST_DATA!E2827</f>
        <v/>
      </c>
      <c r="F2827">
        <f>MIN(E2827*282700,10000)</f>
        <v/>
      </c>
      <c r="G2827">
        <f>MINIFS(CBIC_Late_Fee_Relief_Windows_3B!$O$2827:$O$100,CBIC_Late_Fee_Relief_Windows_3B!$D$2827:$D$100,"&lt;="&amp;B2827,CBIC_Late_Fee_Relief_Windows_3B!$E$2827:$E$100,"&gt;="&amp;B2827,CBIC_Late_Fee_Relief_Windows_3B!$F$2827:$F$100,"&lt;="&amp;C2827,CBIC_Late_Fee_Relief_Windows_3B!$G$2827:$G$100,"&gt;="&amp;C2827)</f>
        <v/>
      </c>
      <c r="H2827">
        <f>INDEX(CBIC_Late_Fee_Relief_Windows_3B!$I$2827:$I$100,MATCH(G2827,CBIC_Late_Fee_Relief_Windows_3B!$O$2827:$O$100,0))</f>
        <v/>
      </c>
      <c r="I2827">
        <f>MIN(F2827,H2827)</f>
        <v/>
      </c>
    </row>
    <row r="2828">
      <c r="A2828">
        <f>TEST_DATA!A2828</f>
        <v/>
      </c>
      <c r="B2828">
        <f>TEST_DATA!B2828</f>
        <v/>
      </c>
      <c r="C2828">
        <f>TEST_DATA!C2828</f>
        <v/>
      </c>
      <c r="D2828">
        <f>TEST_DATA!D2828</f>
        <v/>
      </c>
      <c r="E2828">
        <f>TEST_DATA!E2828</f>
        <v/>
      </c>
      <c r="F2828">
        <f>MIN(E2828*282800,10000)</f>
        <v/>
      </c>
      <c r="G2828">
        <f>MINIFS(CBIC_Late_Fee_Relief_Windows_3B!$O$2828:$O$100,CBIC_Late_Fee_Relief_Windows_3B!$D$2828:$D$100,"&lt;="&amp;B2828,CBIC_Late_Fee_Relief_Windows_3B!$E$2828:$E$100,"&gt;="&amp;B2828,CBIC_Late_Fee_Relief_Windows_3B!$F$2828:$F$100,"&lt;="&amp;C2828,CBIC_Late_Fee_Relief_Windows_3B!$G$2828:$G$100,"&gt;="&amp;C2828)</f>
        <v/>
      </c>
      <c r="H2828">
        <f>INDEX(CBIC_Late_Fee_Relief_Windows_3B!$I$2828:$I$100,MATCH(G2828,CBIC_Late_Fee_Relief_Windows_3B!$O$2828:$O$100,0))</f>
        <v/>
      </c>
      <c r="I2828">
        <f>MIN(F2828,H2828)</f>
        <v/>
      </c>
    </row>
    <row r="2829">
      <c r="A2829">
        <f>TEST_DATA!A2829</f>
        <v/>
      </c>
      <c r="B2829">
        <f>TEST_DATA!B2829</f>
        <v/>
      </c>
      <c r="C2829">
        <f>TEST_DATA!C2829</f>
        <v/>
      </c>
      <c r="D2829">
        <f>TEST_DATA!D2829</f>
        <v/>
      </c>
      <c r="E2829">
        <f>TEST_DATA!E2829</f>
        <v/>
      </c>
      <c r="F2829">
        <f>MIN(E2829*282900,10000)</f>
        <v/>
      </c>
      <c r="G2829">
        <f>MINIFS(CBIC_Late_Fee_Relief_Windows_3B!$O$2829:$O$100,CBIC_Late_Fee_Relief_Windows_3B!$D$2829:$D$100,"&lt;="&amp;B2829,CBIC_Late_Fee_Relief_Windows_3B!$E$2829:$E$100,"&gt;="&amp;B2829,CBIC_Late_Fee_Relief_Windows_3B!$F$2829:$F$100,"&lt;="&amp;C2829,CBIC_Late_Fee_Relief_Windows_3B!$G$2829:$G$100,"&gt;="&amp;C2829)</f>
        <v/>
      </c>
      <c r="H2829">
        <f>INDEX(CBIC_Late_Fee_Relief_Windows_3B!$I$2829:$I$100,MATCH(G2829,CBIC_Late_Fee_Relief_Windows_3B!$O$2829:$O$100,0))</f>
        <v/>
      </c>
      <c r="I2829">
        <f>MIN(F2829,H2829)</f>
        <v/>
      </c>
    </row>
    <row r="2830">
      <c r="A2830">
        <f>TEST_DATA!A2830</f>
        <v/>
      </c>
      <c r="B2830">
        <f>TEST_DATA!B2830</f>
        <v/>
      </c>
      <c r="C2830">
        <f>TEST_DATA!C2830</f>
        <v/>
      </c>
      <c r="D2830">
        <f>TEST_DATA!D2830</f>
        <v/>
      </c>
      <c r="E2830">
        <f>TEST_DATA!E2830</f>
        <v/>
      </c>
      <c r="F2830">
        <f>MIN(E2830*283000,10000)</f>
        <v/>
      </c>
      <c r="G2830">
        <f>MINIFS(CBIC_Late_Fee_Relief_Windows_3B!$O$2830:$O$100,CBIC_Late_Fee_Relief_Windows_3B!$D$2830:$D$100,"&lt;="&amp;B2830,CBIC_Late_Fee_Relief_Windows_3B!$E$2830:$E$100,"&gt;="&amp;B2830,CBIC_Late_Fee_Relief_Windows_3B!$F$2830:$F$100,"&lt;="&amp;C2830,CBIC_Late_Fee_Relief_Windows_3B!$G$2830:$G$100,"&gt;="&amp;C2830)</f>
        <v/>
      </c>
      <c r="H2830">
        <f>INDEX(CBIC_Late_Fee_Relief_Windows_3B!$I$2830:$I$100,MATCH(G2830,CBIC_Late_Fee_Relief_Windows_3B!$O$2830:$O$100,0))</f>
        <v/>
      </c>
      <c r="I2830">
        <f>MIN(F2830,H2830)</f>
        <v/>
      </c>
    </row>
    <row r="2831">
      <c r="A2831">
        <f>TEST_DATA!A2831</f>
        <v/>
      </c>
      <c r="B2831">
        <f>TEST_DATA!B2831</f>
        <v/>
      </c>
      <c r="C2831">
        <f>TEST_DATA!C2831</f>
        <v/>
      </c>
      <c r="D2831">
        <f>TEST_DATA!D2831</f>
        <v/>
      </c>
      <c r="E2831">
        <f>TEST_DATA!E2831</f>
        <v/>
      </c>
      <c r="F2831">
        <f>MIN(E2831*283100,10000)</f>
        <v/>
      </c>
      <c r="G2831">
        <f>MINIFS(CBIC_Late_Fee_Relief_Windows_3B!$O$2831:$O$100,CBIC_Late_Fee_Relief_Windows_3B!$D$2831:$D$100,"&lt;="&amp;B2831,CBIC_Late_Fee_Relief_Windows_3B!$E$2831:$E$100,"&gt;="&amp;B2831,CBIC_Late_Fee_Relief_Windows_3B!$F$2831:$F$100,"&lt;="&amp;C2831,CBIC_Late_Fee_Relief_Windows_3B!$G$2831:$G$100,"&gt;="&amp;C2831)</f>
        <v/>
      </c>
      <c r="H2831">
        <f>INDEX(CBIC_Late_Fee_Relief_Windows_3B!$I$2831:$I$100,MATCH(G2831,CBIC_Late_Fee_Relief_Windows_3B!$O$2831:$O$100,0))</f>
        <v/>
      </c>
      <c r="I2831">
        <f>MIN(F2831,H2831)</f>
        <v/>
      </c>
    </row>
    <row r="2832">
      <c r="A2832">
        <f>TEST_DATA!A2832</f>
        <v/>
      </c>
      <c r="B2832">
        <f>TEST_DATA!B2832</f>
        <v/>
      </c>
      <c r="C2832">
        <f>TEST_DATA!C2832</f>
        <v/>
      </c>
      <c r="D2832">
        <f>TEST_DATA!D2832</f>
        <v/>
      </c>
      <c r="E2832">
        <f>TEST_DATA!E2832</f>
        <v/>
      </c>
      <c r="F2832">
        <f>MIN(E2832*283200,10000)</f>
        <v/>
      </c>
      <c r="G2832">
        <f>MINIFS(CBIC_Late_Fee_Relief_Windows_3B!$O$2832:$O$100,CBIC_Late_Fee_Relief_Windows_3B!$D$2832:$D$100,"&lt;="&amp;B2832,CBIC_Late_Fee_Relief_Windows_3B!$E$2832:$E$100,"&gt;="&amp;B2832,CBIC_Late_Fee_Relief_Windows_3B!$F$2832:$F$100,"&lt;="&amp;C2832,CBIC_Late_Fee_Relief_Windows_3B!$G$2832:$G$100,"&gt;="&amp;C2832)</f>
        <v/>
      </c>
      <c r="H2832">
        <f>INDEX(CBIC_Late_Fee_Relief_Windows_3B!$I$2832:$I$100,MATCH(G2832,CBIC_Late_Fee_Relief_Windows_3B!$O$2832:$O$100,0))</f>
        <v/>
      </c>
      <c r="I2832">
        <f>MIN(F2832,H2832)</f>
        <v/>
      </c>
    </row>
    <row r="2833">
      <c r="A2833">
        <f>TEST_DATA!A2833</f>
        <v/>
      </c>
      <c r="B2833">
        <f>TEST_DATA!B2833</f>
        <v/>
      </c>
      <c r="C2833">
        <f>TEST_DATA!C2833</f>
        <v/>
      </c>
      <c r="D2833">
        <f>TEST_DATA!D2833</f>
        <v/>
      </c>
      <c r="E2833">
        <f>TEST_DATA!E2833</f>
        <v/>
      </c>
      <c r="F2833">
        <f>MIN(E2833*283300,10000)</f>
        <v/>
      </c>
      <c r="G2833">
        <f>MINIFS(CBIC_Late_Fee_Relief_Windows_3B!$O$2833:$O$100,CBIC_Late_Fee_Relief_Windows_3B!$D$2833:$D$100,"&lt;="&amp;B2833,CBIC_Late_Fee_Relief_Windows_3B!$E$2833:$E$100,"&gt;="&amp;B2833,CBIC_Late_Fee_Relief_Windows_3B!$F$2833:$F$100,"&lt;="&amp;C2833,CBIC_Late_Fee_Relief_Windows_3B!$G$2833:$G$100,"&gt;="&amp;C2833)</f>
        <v/>
      </c>
      <c r="H2833">
        <f>INDEX(CBIC_Late_Fee_Relief_Windows_3B!$I$2833:$I$100,MATCH(G2833,CBIC_Late_Fee_Relief_Windows_3B!$O$2833:$O$100,0))</f>
        <v/>
      </c>
      <c r="I2833">
        <f>MIN(F2833,H2833)</f>
        <v/>
      </c>
    </row>
    <row r="2834">
      <c r="A2834">
        <f>TEST_DATA!A2834</f>
        <v/>
      </c>
      <c r="B2834">
        <f>TEST_DATA!B2834</f>
        <v/>
      </c>
      <c r="C2834">
        <f>TEST_DATA!C2834</f>
        <v/>
      </c>
      <c r="D2834">
        <f>TEST_DATA!D2834</f>
        <v/>
      </c>
      <c r="E2834">
        <f>TEST_DATA!E2834</f>
        <v/>
      </c>
      <c r="F2834">
        <f>MIN(E2834*283400,10000)</f>
        <v/>
      </c>
      <c r="G2834">
        <f>MINIFS(CBIC_Late_Fee_Relief_Windows_3B!$O$2834:$O$100,CBIC_Late_Fee_Relief_Windows_3B!$D$2834:$D$100,"&lt;="&amp;B2834,CBIC_Late_Fee_Relief_Windows_3B!$E$2834:$E$100,"&gt;="&amp;B2834,CBIC_Late_Fee_Relief_Windows_3B!$F$2834:$F$100,"&lt;="&amp;C2834,CBIC_Late_Fee_Relief_Windows_3B!$G$2834:$G$100,"&gt;="&amp;C2834)</f>
        <v/>
      </c>
      <c r="H2834">
        <f>INDEX(CBIC_Late_Fee_Relief_Windows_3B!$I$2834:$I$100,MATCH(G2834,CBIC_Late_Fee_Relief_Windows_3B!$O$2834:$O$100,0))</f>
        <v/>
      </c>
      <c r="I2834">
        <f>MIN(F2834,H2834)</f>
        <v/>
      </c>
    </row>
    <row r="2835">
      <c r="A2835">
        <f>TEST_DATA!A2835</f>
        <v/>
      </c>
      <c r="B2835">
        <f>TEST_DATA!B2835</f>
        <v/>
      </c>
      <c r="C2835">
        <f>TEST_DATA!C2835</f>
        <v/>
      </c>
      <c r="D2835">
        <f>TEST_DATA!D2835</f>
        <v/>
      </c>
      <c r="E2835">
        <f>TEST_DATA!E2835</f>
        <v/>
      </c>
      <c r="F2835">
        <f>MIN(E2835*283500,10000)</f>
        <v/>
      </c>
      <c r="G2835">
        <f>MINIFS(CBIC_Late_Fee_Relief_Windows_3B!$O$2835:$O$100,CBIC_Late_Fee_Relief_Windows_3B!$D$2835:$D$100,"&lt;="&amp;B2835,CBIC_Late_Fee_Relief_Windows_3B!$E$2835:$E$100,"&gt;="&amp;B2835,CBIC_Late_Fee_Relief_Windows_3B!$F$2835:$F$100,"&lt;="&amp;C2835,CBIC_Late_Fee_Relief_Windows_3B!$G$2835:$G$100,"&gt;="&amp;C2835)</f>
        <v/>
      </c>
      <c r="H2835">
        <f>INDEX(CBIC_Late_Fee_Relief_Windows_3B!$I$2835:$I$100,MATCH(G2835,CBIC_Late_Fee_Relief_Windows_3B!$O$2835:$O$100,0))</f>
        <v/>
      </c>
      <c r="I2835">
        <f>MIN(F2835,H2835)</f>
        <v/>
      </c>
    </row>
    <row r="2836">
      <c r="A2836">
        <f>TEST_DATA!A2836</f>
        <v/>
      </c>
      <c r="B2836">
        <f>TEST_DATA!B2836</f>
        <v/>
      </c>
      <c r="C2836">
        <f>TEST_DATA!C2836</f>
        <v/>
      </c>
      <c r="D2836">
        <f>TEST_DATA!D2836</f>
        <v/>
      </c>
      <c r="E2836">
        <f>TEST_DATA!E2836</f>
        <v/>
      </c>
      <c r="F2836">
        <f>MIN(E2836*283600,10000)</f>
        <v/>
      </c>
      <c r="G2836">
        <f>MINIFS(CBIC_Late_Fee_Relief_Windows_3B!$O$2836:$O$100,CBIC_Late_Fee_Relief_Windows_3B!$D$2836:$D$100,"&lt;="&amp;B2836,CBIC_Late_Fee_Relief_Windows_3B!$E$2836:$E$100,"&gt;="&amp;B2836,CBIC_Late_Fee_Relief_Windows_3B!$F$2836:$F$100,"&lt;="&amp;C2836,CBIC_Late_Fee_Relief_Windows_3B!$G$2836:$G$100,"&gt;="&amp;C2836)</f>
        <v/>
      </c>
      <c r="H2836">
        <f>INDEX(CBIC_Late_Fee_Relief_Windows_3B!$I$2836:$I$100,MATCH(G2836,CBIC_Late_Fee_Relief_Windows_3B!$O$2836:$O$100,0))</f>
        <v/>
      </c>
      <c r="I2836">
        <f>MIN(F2836,H2836)</f>
        <v/>
      </c>
    </row>
    <row r="2837">
      <c r="A2837">
        <f>TEST_DATA!A2837</f>
        <v/>
      </c>
      <c r="B2837">
        <f>TEST_DATA!B2837</f>
        <v/>
      </c>
      <c r="C2837">
        <f>TEST_DATA!C2837</f>
        <v/>
      </c>
      <c r="D2837">
        <f>TEST_DATA!D2837</f>
        <v/>
      </c>
      <c r="E2837">
        <f>TEST_DATA!E2837</f>
        <v/>
      </c>
      <c r="F2837">
        <f>MIN(E2837*283700,10000)</f>
        <v/>
      </c>
      <c r="G2837">
        <f>MINIFS(CBIC_Late_Fee_Relief_Windows_3B!$O$2837:$O$100,CBIC_Late_Fee_Relief_Windows_3B!$D$2837:$D$100,"&lt;="&amp;B2837,CBIC_Late_Fee_Relief_Windows_3B!$E$2837:$E$100,"&gt;="&amp;B2837,CBIC_Late_Fee_Relief_Windows_3B!$F$2837:$F$100,"&lt;="&amp;C2837,CBIC_Late_Fee_Relief_Windows_3B!$G$2837:$G$100,"&gt;="&amp;C2837)</f>
        <v/>
      </c>
      <c r="H2837">
        <f>INDEX(CBIC_Late_Fee_Relief_Windows_3B!$I$2837:$I$100,MATCH(G2837,CBIC_Late_Fee_Relief_Windows_3B!$O$2837:$O$100,0))</f>
        <v/>
      </c>
      <c r="I2837">
        <f>MIN(F2837,H2837)</f>
        <v/>
      </c>
    </row>
    <row r="2838">
      <c r="A2838">
        <f>TEST_DATA!A2838</f>
        <v/>
      </c>
      <c r="B2838">
        <f>TEST_DATA!B2838</f>
        <v/>
      </c>
      <c r="C2838">
        <f>TEST_DATA!C2838</f>
        <v/>
      </c>
      <c r="D2838">
        <f>TEST_DATA!D2838</f>
        <v/>
      </c>
      <c r="E2838">
        <f>TEST_DATA!E2838</f>
        <v/>
      </c>
      <c r="F2838">
        <f>MIN(E2838*283800,10000)</f>
        <v/>
      </c>
      <c r="G2838">
        <f>MINIFS(CBIC_Late_Fee_Relief_Windows_3B!$O$2838:$O$100,CBIC_Late_Fee_Relief_Windows_3B!$D$2838:$D$100,"&lt;="&amp;B2838,CBIC_Late_Fee_Relief_Windows_3B!$E$2838:$E$100,"&gt;="&amp;B2838,CBIC_Late_Fee_Relief_Windows_3B!$F$2838:$F$100,"&lt;="&amp;C2838,CBIC_Late_Fee_Relief_Windows_3B!$G$2838:$G$100,"&gt;="&amp;C2838)</f>
        <v/>
      </c>
      <c r="H2838">
        <f>INDEX(CBIC_Late_Fee_Relief_Windows_3B!$I$2838:$I$100,MATCH(G2838,CBIC_Late_Fee_Relief_Windows_3B!$O$2838:$O$100,0))</f>
        <v/>
      </c>
      <c r="I2838">
        <f>MIN(F2838,H2838)</f>
        <v/>
      </c>
    </row>
    <row r="2839">
      <c r="A2839">
        <f>TEST_DATA!A2839</f>
        <v/>
      </c>
      <c r="B2839">
        <f>TEST_DATA!B2839</f>
        <v/>
      </c>
      <c r="C2839">
        <f>TEST_DATA!C2839</f>
        <v/>
      </c>
      <c r="D2839">
        <f>TEST_DATA!D2839</f>
        <v/>
      </c>
      <c r="E2839">
        <f>TEST_DATA!E2839</f>
        <v/>
      </c>
      <c r="F2839">
        <f>MIN(E2839*283900,10000)</f>
        <v/>
      </c>
      <c r="G2839">
        <f>MINIFS(CBIC_Late_Fee_Relief_Windows_3B!$O$2839:$O$100,CBIC_Late_Fee_Relief_Windows_3B!$D$2839:$D$100,"&lt;="&amp;B2839,CBIC_Late_Fee_Relief_Windows_3B!$E$2839:$E$100,"&gt;="&amp;B2839,CBIC_Late_Fee_Relief_Windows_3B!$F$2839:$F$100,"&lt;="&amp;C2839,CBIC_Late_Fee_Relief_Windows_3B!$G$2839:$G$100,"&gt;="&amp;C2839)</f>
        <v/>
      </c>
      <c r="H2839">
        <f>INDEX(CBIC_Late_Fee_Relief_Windows_3B!$I$2839:$I$100,MATCH(G2839,CBIC_Late_Fee_Relief_Windows_3B!$O$2839:$O$100,0))</f>
        <v/>
      </c>
      <c r="I2839">
        <f>MIN(F2839,H2839)</f>
        <v/>
      </c>
    </row>
    <row r="2840">
      <c r="A2840">
        <f>TEST_DATA!A2840</f>
        <v/>
      </c>
      <c r="B2840">
        <f>TEST_DATA!B2840</f>
        <v/>
      </c>
      <c r="C2840">
        <f>TEST_DATA!C2840</f>
        <v/>
      </c>
      <c r="D2840">
        <f>TEST_DATA!D2840</f>
        <v/>
      </c>
      <c r="E2840">
        <f>TEST_DATA!E2840</f>
        <v/>
      </c>
      <c r="F2840">
        <f>MIN(E2840*284000,10000)</f>
        <v/>
      </c>
      <c r="G2840">
        <f>MINIFS(CBIC_Late_Fee_Relief_Windows_3B!$O$2840:$O$100,CBIC_Late_Fee_Relief_Windows_3B!$D$2840:$D$100,"&lt;="&amp;B2840,CBIC_Late_Fee_Relief_Windows_3B!$E$2840:$E$100,"&gt;="&amp;B2840,CBIC_Late_Fee_Relief_Windows_3B!$F$2840:$F$100,"&lt;="&amp;C2840,CBIC_Late_Fee_Relief_Windows_3B!$G$2840:$G$100,"&gt;="&amp;C2840)</f>
        <v/>
      </c>
      <c r="H2840">
        <f>INDEX(CBIC_Late_Fee_Relief_Windows_3B!$I$2840:$I$100,MATCH(G2840,CBIC_Late_Fee_Relief_Windows_3B!$O$2840:$O$100,0))</f>
        <v/>
      </c>
      <c r="I2840">
        <f>MIN(F2840,H2840)</f>
        <v/>
      </c>
    </row>
    <row r="2841">
      <c r="A2841">
        <f>TEST_DATA!A2841</f>
        <v/>
      </c>
      <c r="B2841">
        <f>TEST_DATA!B2841</f>
        <v/>
      </c>
      <c r="C2841">
        <f>TEST_DATA!C2841</f>
        <v/>
      </c>
      <c r="D2841">
        <f>TEST_DATA!D2841</f>
        <v/>
      </c>
      <c r="E2841">
        <f>TEST_DATA!E2841</f>
        <v/>
      </c>
      <c r="F2841">
        <f>MIN(E2841*284100,10000)</f>
        <v/>
      </c>
      <c r="G2841">
        <f>MINIFS(CBIC_Late_Fee_Relief_Windows_3B!$O$2841:$O$100,CBIC_Late_Fee_Relief_Windows_3B!$D$2841:$D$100,"&lt;="&amp;B2841,CBIC_Late_Fee_Relief_Windows_3B!$E$2841:$E$100,"&gt;="&amp;B2841,CBIC_Late_Fee_Relief_Windows_3B!$F$2841:$F$100,"&lt;="&amp;C2841,CBIC_Late_Fee_Relief_Windows_3B!$G$2841:$G$100,"&gt;="&amp;C2841)</f>
        <v/>
      </c>
      <c r="H2841">
        <f>INDEX(CBIC_Late_Fee_Relief_Windows_3B!$I$2841:$I$100,MATCH(G2841,CBIC_Late_Fee_Relief_Windows_3B!$O$2841:$O$100,0))</f>
        <v/>
      </c>
      <c r="I2841">
        <f>MIN(F2841,H2841)</f>
        <v/>
      </c>
    </row>
    <row r="2842">
      <c r="A2842">
        <f>TEST_DATA!A2842</f>
        <v/>
      </c>
      <c r="B2842">
        <f>TEST_DATA!B2842</f>
        <v/>
      </c>
      <c r="C2842">
        <f>TEST_DATA!C2842</f>
        <v/>
      </c>
      <c r="D2842">
        <f>TEST_DATA!D2842</f>
        <v/>
      </c>
      <c r="E2842">
        <f>TEST_DATA!E2842</f>
        <v/>
      </c>
      <c r="F2842">
        <f>MIN(E2842*284200,10000)</f>
        <v/>
      </c>
      <c r="G2842">
        <f>MINIFS(CBIC_Late_Fee_Relief_Windows_3B!$O$2842:$O$100,CBIC_Late_Fee_Relief_Windows_3B!$D$2842:$D$100,"&lt;="&amp;B2842,CBIC_Late_Fee_Relief_Windows_3B!$E$2842:$E$100,"&gt;="&amp;B2842,CBIC_Late_Fee_Relief_Windows_3B!$F$2842:$F$100,"&lt;="&amp;C2842,CBIC_Late_Fee_Relief_Windows_3B!$G$2842:$G$100,"&gt;="&amp;C2842)</f>
        <v/>
      </c>
      <c r="H2842">
        <f>INDEX(CBIC_Late_Fee_Relief_Windows_3B!$I$2842:$I$100,MATCH(G2842,CBIC_Late_Fee_Relief_Windows_3B!$O$2842:$O$100,0))</f>
        <v/>
      </c>
      <c r="I2842">
        <f>MIN(F2842,H2842)</f>
        <v/>
      </c>
    </row>
    <row r="2843">
      <c r="A2843">
        <f>TEST_DATA!A2843</f>
        <v/>
      </c>
      <c r="B2843">
        <f>TEST_DATA!B2843</f>
        <v/>
      </c>
      <c r="C2843">
        <f>TEST_DATA!C2843</f>
        <v/>
      </c>
      <c r="D2843">
        <f>TEST_DATA!D2843</f>
        <v/>
      </c>
      <c r="E2843">
        <f>TEST_DATA!E2843</f>
        <v/>
      </c>
      <c r="F2843">
        <f>MIN(E2843*284300,10000)</f>
        <v/>
      </c>
      <c r="G2843">
        <f>MINIFS(CBIC_Late_Fee_Relief_Windows_3B!$O$2843:$O$100,CBIC_Late_Fee_Relief_Windows_3B!$D$2843:$D$100,"&lt;="&amp;B2843,CBIC_Late_Fee_Relief_Windows_3B!$E$2843:$E$100,"&gt;="&amp;B2843,CBIC_Late_Fee_Relief_Windows_3B!$F$2843:$F$100,"&lt;="&amp;C2843,CBIC_Late_Fee_Relief_Windows_3B!$G$2843:$G$100,"&gt;="&amp;C2843)</f>
        <v/>
      </c>
      <c r="H2843">
        <f>INDEX(CBIC_Late_Fee_Relief_Windows_3B!$I$2843:$I$100,MATCH(G2843,CBIC_Late_Fee_Relief_Windows_3B!$O$2843:$O$100,0))</f>
        <v/>
      </c>
      <c r="I2843">
        <f>MIN(F2843,H2843)</f>
        <v/>
      </c>
    </row>
    <row r="2844">
      <c r="A2844">
        <f>TEST_DATA!A2844</f>
        <v/>
      </c>
      <c r="B2844">
        <f>TEST_DATA!B2844</f>
        <v/>
      </c>
      <c r="C2844">
        <f>TEST_DATA!C2844</f>
        <v/>
      </c>
      <c r="D2844">
        <f>TEST_DATA!D2844</f>
        <v/>
      </c>
      <c r="E2844">
        <f>TEST_DATA!E2844</f>
        <v/>
      </c>
      <c r="F2844">
        <f>MIN(E2844*284400,10000)</f>
        <v/>
      </c>
      <c r="G2844">
        <f>MINIFS(CBIC_Late_Fee_Relief_Windows_3B!$O$2844:$O$100,CBIC_Late_Fee_Relief_Windows_3B!$D$2844:$D$100,"&lt;="&amp;B2844,CBIC_Late_Fee_Relief_Windows_3B!$E$2844:$E$100,"&gt;="&amp;B2844,CBIC_Late_Fee_Relief_Windows_3B!$F$2844:$F$100,"&lt;="&amp;C2844,CBIC_Late_Fee_Relief_Windows_3B!$G$2844:$G$100,"&gt;="&amp;C2844)</f>
        <v/>
      </c>
      <c r="H2844">
        <f>INDEX(CBIC_Late_Fee_Relief_Windows_3B!$I$2844:$I$100,MATCH(G2844,CBIC_Late_Fee_Relief_Windows_3B!$O$2844:$O$100,0))</f>
        <v/>
      </c>
      <c r="I2844">
        <f>MIN(F2844,H2844)</f>
        <v/>
      </c>
    </row>
    <row r="2845">
      <c r="A2845">
        <f>TEST_DATA!A2845</f>
        <v/>
      </c>
      <c r="B2845">
        <f>TEST_DATA!B2845</f>
        <v/>
      </c>
      <c r="C2845">
        <f>TEST_DATA!C2845</f>
        <v/>
      </c>
      <c r="D2845">
        <f>TEST_DATA!D2845</f>
        <v/>
      </c>
      <c r="E2845">
        <f>TEST_DATA!E2845</f>
        <v/>
      </c>
      <c r="F2845">
        <f>MIN(E2845*284500,10000)</f>
        <v/>
      </c>
      <c r="G2845">
        <f>MINIFS(CBIC_Late_Fee_Relief_Windows_3B!$O$2845:$O$100,CBIC_Late_Fee_Relief_Windows_3B!$D$2845:$D$100,"&lt;="&amp;B2845,CBIC_Late_Fee_Relief_Windows_3B!$E$2845:$E$100,"&gt;="&amp;B2845,CBIC_Late_Fee_Relief_Windows_3B!$F$2845:$F$100,"&lt;="&amp;C2845,CBIC_Late_Fee_Relief_Windows_3B!$G$2845:$G$100,"&gt;="&amp;C2845)</f>
        <v/>
      </c>
      <c r="H2845">
        <f>INDEX(CBIC_Late_Fee_Relief_Windows_3B!$I$2845:$I$100,MATCH(G2845,CBIC_Late_Fee_Relief_Windows_3B!$O$2845:$O$100,0))</f>
        <v/>
      </c>
      <c r="I2845">
        <f>MIN(F2845,H2845)</f>
        <v/>
      </c>
    </row>
    <row r="2846">
      <c r="A2846">
        <f>TEST_DATA!A2846</f>
        <v/>
      </c>
      <c r="B2846">
        <f>TEST_DATA!B2846</f>
        <v/>
      </c>
      <c r="C2846">
        <f>TEST_DATA!C2846</f>
        <v/>
      </c>
      <c r="D2846">
        <f>TEST_DATA!D2846</f>
        <v/>
      </c>
      <c r="E2846">
        <f>TEST_DATA!E2846</f>
        <v/>
      </c>
      <c r="F2846">
        <f>MIN(E2846*284600,10000)</f>
        <v/>
      </c>
      <c r="G2846">
        <f>MINIFS(CBIC_Late_Fee_Relief_Windows_3B!$O$2846:$O$100,CBIC_Late_Fee_Relief_Windows_3B!$D$2846:$D$100,"&lt;="&amp;B2846,CBIC_Late_Fee_Relief_Windows_3B!$E$2846:$E$100,"&gt;="&amp;B2846,CBIC_Late_Fee_Relief_Windows_3B!$F$2846:$F$100,"&lt;="&amp;C2846,CBIC_Late_Fee_Relief_Windows_3B!$G$2846:$G$100,"&gt;="&amp;C2846)</f>
        <v/>
      </c>
      <c r="H2846">
        <f>INDEX(CBIC_Late_Fee_Relief_Windows_3B!$I$2846:$I$100,MATCH(G2846,CBIC_Late_Fee_Relief_Windows_3B!$O$2846:$O$100,0))</f>
        <v/>
      </c>
      <c r="I2846">
        <f>MIN(F2846,H2846)</f>
        <v/>
      </c>
    </row>
    <row r="2847">
      <c r="A2847">
        <f>TEST_DATA!A2847</f>
        <v/>
      </c>
      <c r="B2847">
        <f>TEST_DATA!B2847</f>
        <v/>
      </c>
      <c r="C2847">
        <f>TEST_DATA!C2847</f>
        <v/>
      </c>
      <c r="D2847">
        <f>TEST_DATA!D2847</f>
        <v/>
      </c>
      <c r="E2847">
        <f>TEST_DATA!E2847</f>
        <v/>
      </c>
      <c r="F2847">
        <f>MIN(E2847*284700,10000)</f>
        <v/>
      </c>
      <c r="G2847">
        <f>MINIFS(CBIC_Late_Fee_Relief_Windows_3B!$O$2847:$O$100,CBIC_Late_Fee_Relief_Windows_3B!$D$2847:$D$100,"&lt;="&amp;B2847,CBIC_Late_Fee_Relief_Windows_3B!$E$2847:$E$100,"&gt;="&amp;B2847,CBIC_Late_Fee_Relief_Windows_3B!$F$2847:$F$100,"&lt;="&amp;C2847,CBIC_Late_Fee_Relief_Windows_3B!$G$2847:$G$100,"&gt;="&amp;C2847)</f>
        <v/>
      </c>
      <c r="H2847">
        <f>INDEX(CBIC_Late_Fee_Relief_Windows_3B!$I$2847:$I$100,MATCH(G2847,CBIC_Late_Fee_Relief_Windows_3B!$O$2847:$O$100,0))</f>
        <v/>
      </c>
      <c r="I2847">
        <f>MIN(F2847,H2847)</f>
        <v/>
      </c>
    </row>
    <row r="2848">
      <c r="A2848">
        <f>TEST_DATA!A2848</f>
        <v/>
      </c>
      <c r="B2848">
        <f>TEST_DATA!B2848</f>
        <v/>
      </c>
      <c r="C2848">
        <f>TEST_DATA!C2848</f>
        <v/>
      </c>
      <c r="D2848">
        <f>TEST_DATA!D2848</f>
        <v/>
      </c>
      <c r="E2848">
        <f>TEST_DATA!E2848</f>
        <v/>
      </c>
      <c r="F2848">
        <f>MIN(E2848*284800,10000)</f>
        <v/>
      </c>
      <c r="G2848">
        <f>MINIFS(CBIC_Late_Fee_Relief_Windows_3B!$O$2848:$O$100,CBIC_Late_Fee_Relief_Windows_3B!$D$2848:$D$100,"&lt;="&amp;B2848,CBIC_Late_Fee_Relief_Windows_3B!$E$2848:$E$100,"&gt;="&amp;B2848,CBIC_Late_Fee_Relief_Windows_3B!$F$2848:$F$100,"&lt;="&amp;C2848,CBIC_Late_Fee_Relief_Windows_3B!$G$2848:$G$100,"&gt;="&amp;C2848)</f>
        <v/>
      </c>
      <c r="H2848">
        <f>INDEX(CBIC_Late_Fee_Relief_Windows_3B!$I$2848:$I$100,MATCH(G2848,CBIC_Late_Fee_Relief_Windows_3B!$O$2848:$O$100,0))</f>
        <v/>
      </c>
      <c r="I2848">
        <f>MIN(F2848,H2848)</f>
        <v/>
      </c>
    </row>
    <row r="2849">
      <c r="A2849">
        <f>TEST_DATA!A2849</f>
        <v/>
      </c>
      <c r="B2849">
        <f>TEST_DATA!B2849</f>
        <v/>
      </c>
      <c r="C2849">
        <f>TEST_DATA!C2849</f>
        <v/>
      </c>
      <c r="D2849">
        <f>TEST_DATA!D2849</f>
        <v/>
      </c>
      <c r="E2849">
        <f>TEST_DATA!E2849</f>
        <v/>
      </c>
      <c r="F2849">
        <f>MIN(E2849*284900,10000)</f>
        <v/>
      </c>
      <c r="G2849">
        <f>MINIFS(CBIC_Late_Fee_Relief_Windows_3B!$O$2849:$O$100,CBIC_Late_Fee_Relief_Windows_3B!$D$2849:$D$100,"&lt;="&amp;B2849,CBIC_Late_Fee_Relief_Windows_3B!$E$2849:$E$100,"&gt;="&amp;B2849,CBIC_Late_Fee_Relief_Windows_3B!$F$2849:$F$100,"&lt;="&amp;C2849,CBIC_Late_Fee_Relief_Windows_3B!$G$2849:$G$100,"&gt;="&amp;C2849)</f>
        <v/>
      </c>
      <c r="H2849">
        <f>INDEX(CBIC_Late_Fee_Relief_Windows_3B!$I$2849:$I$100,MATCH(G2849,CBIC_Late_Fee_Relief_Windows_3B!$O$2849:$O$100,0))</f>
        <v/>
      </c>
      <c r="I2849">
        <f>MIN(F2849,H2849)</f>
        <v/>
      </c>
    </row>
    <row r="2850">
      <c r="A2850">
        <f>TEST_DATA!A2850</f>
        <v/>
      </c>
      <c r="B2850">
        <f>TEST_DATA!B2850</f>
        <v/>
      </c>
      <c r="C2850">
        <f>TEST_DATA!C2850</f>
        <v/>
      </c>
      <c r="D2850">
        <f>TEST_DATA!D2850</f>
        <v/>
      </c>
      <c r="E2850">
        <f>TEST_DATA!E2850</f>
        <v/>
      </c>
      <c r="F2850">
        <f>MIN(E2850*285000,10000)</f>
        <v/>
      </c>
      <c r="G2850">
        <f>MINIFS(CBIC_Late_Fee_Relief_Windows_3B!$O$2850:$O$100,CBIC_Late_Fee_Relief_Windows_3B!$D$2850:$D$100,"&lt;="&amp;B2850,CBIC_Late_Fee_Relief_Windows_3B!$E$2850:$E$100,"&gt;="&amp;B2850,CBIC_Late_Fee_Relief_Windows_3B!$F$2850:$F$100,"&lt;="&amp;C2850,CBIC_Late_Fee_Relief_Windows_3B!$G$2850:$G$100,"&gt;="&amp;C2850)</f>
        <v/>
      </c>
      <c r="H2850">
        <f>INDEX(CBIC_Late_Fee_Relief_Windows_3B!$I$2850:$I$100,MATCH(G2850,CBIC_Late_Fee_Relief_Windows_3B!$O$2850:$O$100,0))</f>
        <v/>
      </c>
      <c r="I2850">
        <f>MIN(F2850,H2850)</f>
        <v/>
      </c>
    </row>
    <row r="2851">
      <c r="A2851">
        <f>TEST_DATA!A2851</f>
        <v/>
      </c>
      <c r="B2851">
        <f>TEST_DATA!B2851</f>
        <v/>
      </c>
      <c r="C2851">
        <f>TEST_DATA!C2851</f>
        <v/>
      </c>
      <c r="D2851">
        <f>TEST_DATA!D2851</f>
        <v/>
      </c>
      <c r="E2851">
        <f>TEST_DATA!E2851</f>
        <v/>
      </c>
      <c r="F2851">
        <f>MIN(E2851*285100,10000)</f>
        <v/>
      </c>
      <c r="G2851">
        <f>MINIFS(CBIC_Late_Fee_Relief_Windows_3B!$O$2851:$O$100,CBIC_Late_Fee_Relief_Windows_3B!$D$2851:$D$100,"&lt;="&amp;B2851,CBIC_Late_Fee_Relief_Windows_3B!$E$2851:$E$100,"&gt;="&amp;B2851,CBIC_Late_Fee_Relief_Windows_3B!$F$2851:$F$100,"&lt;="&amp;C2851,CBIC_Late_Fee_Relief_Windows_3B!$G$2851:$G$100,"&gt;="&amp;C2851)</f>
        <v/>
      </c>
      <c r="H2851">
        <f>INDEX(CBIC_Late_Fee_Relief_Windows_3B!$I$2851:$I$100,MATCH(G2851,CBIC_Late_Fee_Relief_Windows_3B!$O$2851:$O$100,0))</f>
        <v/>
      </c>
      <c r="I2851">
        <f>MIN(F2851,H2851)</f>
        <v/>
      </c>
    </row>
    <row r="2852">
      <c r="A2852">
        <f>TEST_DATA!A2852</f>
        <v/>
      </c>
      <c r="B2852">
        <f>TEST_DATA!B2852</f>
        <v/>
      </c>
      <c r="C2852">
        <f>TEST_DATA!C2852</f>
        <v/>
      </c>
      <c r="D2852">
        <f>TEST_DATA!D2852</f>
        <v/>
      </c>
      <c r="E2852">
        <f>TEST_DATA!E2852</f>
        <v/>
      </c>
      <c r="F2852">
        <f>MIN(E2852*285200,10000)</f>
        <v/>
      </c>
      <c r="G2852">
        <f>MINIFS(CBIC_Late_Fee_Relief_Windows_3B!$O$2852:$O$100,CBIC_Late_Fee_Relief_Windows_3B!$D$2852:$D$100,"&lt;="&amp;B2852,CBIC_Late_Fee_Relief_Windows_3B!$E$2852:$E$100,"&gt;="&amp;B2852,CBIC_Late_Fee_Relief_Windows_3B!$F$2852:$F$100,"&lt;="&amp;C2852,CBIC_Late_Fee_Relief_Windows_3B!$G$2852:$G$100,"&gt;="&amp;C2852)</f>
        <v/>
      </c>
      <c r="H2852">
        <f>INDEX(CBIC_Late_Fee_Relief_Windows_3B!$I$2852:$I$100,MATCH(G2852,CBIC_Late_Fee_Relief_Windows_3B!$O$2852:$O$100,0))</f>
        <v/>
      </c>
      <c r="I2852">
        <f>MIN(F2852,H2852)</f>
        <v/>
      </c>
    </row>
    <row r="2853">
      <c r="A2853">
        <f>TEST_DATA!A2853</f>
        <v/>
      </c>
      <c r="B2853">
        <f>TEST_DATA!B2853</f>
        <v/>
      </c>
      <c r="C2853">
        <f>TEST_DATA!C2853</f>
        <v/>
      </c>
      <c r="D2853">
        <f>TEST_DATA!D2853</f>
        <v/>
      </c>
      <c r="E2853">
        <f>TEST_DATA!E2853</f>
        <v/>
      </c>
      <c r="F2853">
        <f>MIN(E2853*285300,10000)</f>
        <v/>
      </c>
      <c r="G2853">
        <f>MINIFS(CBIC_Late_Fee_Relief_Windows_3B!$O$2853:$O$100,CBIC_Late_Fee_Relief_Windows_3B!$D$2853:$D$100,"&lt;="&amp;B2853,CBIC_Late_Fee_Relief_Windows_3B!$E$2853:$E$100,"&gt;="&amp;B2853,CBIC_Late_Fee_Relief_Windows_3B!$F$2853:$F$100,"&lt;="&amp;C2853,CBIC_Late_Fee_Relief_Windows_3B!$G$2853:$G$100,"&gt;="&amp;C2853)</f>
        <v/>
      </c>
      <c r="H2853">
        <f>INDEX(CBIC_Late_Fee_Relief_Windows_3B!$I$2853:$I$100,MATCH(G2853,CBIC_Late_Fee_Relief_Windows_3B!$O$2853:$O$100,0))</f>
        <v/>
      </c>
      <c r="I2853">
        <f>MIN(F2853,H2853)</f>
        <v/>
      </c>
    </row>
    <row r="2854">
      <c r="A2854">
        <f>TEST_DATA!A2854</f>
        <v/>
      </c>
      <c r="B2854">
        <f>TEST_DATA!B2854</f>
        <v/>
      </c>
      <c r="C2854">
        <f>TEST_DATA!C2854</f>
        <v/>
      </c>
      <c r="D2854">
        <f>TEST_DATA!D2854</f>
        <v/>
      </c>
      <c r="E2854">
        <f>TEST_DATA!E2854</f>
        <v/>
      </c>
      <c r="F2854">
        <f>MIN(E2854*285400,10000)</f>
        <v/>
      </c>
      <c r="G2854">
        <f>MINIFS(CBIC_Late_Fee_Relief_Windows_3B!$O$2854:$O$100,CBIC_Late_Fee_Relief_Windows_3B!$D$2854:$D$100,"&lt;="&amp;B2854,CBIC_Late_Fee_Relief_Windows_3B!$E$2854:$E$100,"&gt;="&amp;B2854,CBIC_Late_Fee_Relief_Windows_3B!$F$2854:$F$100,"&lt;="&amp;C2854,CBIC_Late_Fee_Relief_Windows_3B!$G$2854:$G$100,"&gt;="&amp;C2854)</f>
        <v/>
      </c>
      <c r="H2854">
        <f>INDEX(CBIC_Late_Fee_Relief_Windows_3B!$I$2854:$I$100,MATCH(G2854,CBIC_Late_Fee_Relief_Windows_3B!$O$2854:$O$100,0))</f>
        <v/>
      </c>
      <c r="I2854">
        <f>MIN(F2854,H2854)</f>
        <v/>
      </c>
    </row>
    <row r="2855">
      <c r="A2855">
        <f>TEST_DATA!A2855</f>
        <v/>
      </c>
      <c r="B2855">
        <f>TEST_DATA!B2855</f>
        <v/>
      </c>
      <c r="C2855">
        <f>TEST_DATA!C2855</f>
        <v/>
      </c>
      <c r="D2855">
        <f>TEST_DATA!D2855</f>
        <v/>
      </c>
      <c r="E2855">
        <f>TEST_DATA!E2855</f>
        <v/>
      </c>
      <c r="F2855">
        <f>MIN(E2855*285500,10000)</f>
        <v/>
      </c>
      <c r="G2855">
        <f>MINIFS(CBIC_Late_Fee_Relief_Windows_3B!$O$2855:$O$100,CBIC_Late_Fee_Relief_Windows_3B!$D$2855:$D$100,"&lt;="&amp;B2855,CBIC_Late_Fee_Relief_Windows_3B!$E$2855:$E$100,"&gt;="&amp;B2855,CBIC_Late_Fee_Relief_Windows_3B!$F$2855:$F$100,"&lt;="&amp;C2855,CBIC_Late_Fee_Relief_Windows_3B!$G$2855:$G$100,"&gt;="&amp;C2855)</f>
        <v/>
      </c>
      <c r="H2855">
        <f>INDEX(CBIC_Late_Fee_Relief_Windows_3B!$I$2855:$I$100,MATCH(G2855,CBIC_Late_Fee_Relief_Windows_3B!$O$2855:$O$100,0))</f>
        <v/>
      </c>
      <c r="I2855">
        <f>MIN(F2855,H2855)</f>
        <v/>
      </c>
    </row>
    <row r="2856">
      <c r="A2856">
        <f>TEST_DATA!A2856</f>
        <v/>
      </c>
      <c r="B2856">
        <f>TEST_DATA!B2856</f>
        <v/>
      </c>
      <c r="C2856">
        <f>TEST_DATA!C2856</f>
        <v/>
      </c>
      <c r="D2856">
        <f>TEST_DATA!D2856</f>
        <v/>
      </c>
      <c r="E2856">
        <f>TEST_DATA!E2856</f>
        <v/>
      </c>
      <c r="F2856">
        <f>MIN(E2856*285600,10000)</f>
        <v/>
      </c>
      <c r="G2856">
        <f>MINIFS(CBIC_Late_Fee_Relief_Windows_3B!$O$2856:$O$100,CBIC_Late_Fee_Relief_Windows_3B!$D$2856:$D$100,"&lt;="&amp;B2856,CBIC_Late_Fee_Relief_Windows_3B!$E$2856:$E$100,"&gt;="&amp;B2856,CBIC_Late_Fee_Relief_Windows_3B!$F$2856:$F$100,"&lt;="&amp;C2856,CBIC_Late_Fee_Relief_Windows_3B!$G$2856:$G$100,"&gt;="&amp;C2856)</f>
        <v/>
      </c>
      <c r="H2856">
        <f>INDEX(CBIC_Late_Fee_Relief_Windows_3B!$I$2856:$I$100,MATCH(G2856,CBIC_Late_Fee_Relief_Windows_3B!$O$2856:$O$100,0))</f>
        <v/>
      </c>
      <c r="I2856">
        <f>MIN(F2856,H2856)</f>
        <v/>
      </c>
    </row>
    <row r="2857">
      <c r="A2857">
        <f>TEST_DATA!A2857</f>
        <v/>
      </c>
      <c r="B2857">
        <f>TEST_DATA!B2857</f>
        <v/>
      </c>
      <c r="C2857">
        <f>TEST_DATA!C2857</f>
        <v/>
      </c>
      <c r="D2857">
        <f>TEST_DATA!D2857</f>
        <v/>
      </c>
      <c r="E2857">
        <f>TEST_DATA!E2857</f>
        <v/>
      </c>
      <c r="F2857">
        <f>MIN(E2857*285700,10000)</f>
        <v/>
      </c>
      <c r="G2857">
        <f>MINIFS(CBIC_Late_Fee_Relief_Windows_3B!$O$2857:$O$100,CBIC_Late_Fee_Relief_Windows_3B!$D$2857:$D$100,"&lt;="&amp;B2857,CBIC_Late_Fee_Relief_Windows_3B!$E$2857:$E$100,"&gt;="&amp;B2857,CBIC_Late_Fee_Relief_Windows_3B!$F$2857:$F$100,"&lt;="&amp;C2857,CBIC_Late_Fee_Relief_Windows_3B!$G$2857:$G$100,"&gt;="&amp;C2857)</f>
        <v/>
      </c>
      <c r="H2857">
        <f>INDEX(CBIC_Late_Fee_Relief_Windows_3B!$I$2857:$I$100,MATCH(G2857,CBIC_Late_Fee_Relief_Windows_3B!$O$2857:$O$100,0))</f>
        <v/>
      </c>
      <c r="I2857">
        <f>MIN(F2857,H2857)</f>
        <v/>
      </c>
    </row>
    <row r="2858">
      <c r="A2858">
        <f>TEST_DATA!A2858</f>
        <v/>
      </c>
      <c r="B2858">
        <f>TEST_DATA!B2858</f>
        <v/>
      </c>
      <c r="C2858">
        <f>TEST_DATA!C2858</f>
        <v/>
      </c>
      <c r="D2858">
        <f>TEST_DATA!D2858</f>
        <v/>
      </c>
      <c r="E2858">
        <f>TEST_DATA!E2858</f>
        <v/>
      </c>
      <c r="F2858">
        <f>MIN(E2858*285800,10000)</f>
        <v/>
      </c>
      <c r="G2858">
        <f>MINIFS(CBIC_Late_Fee_Relief_Windows_3B!$O$2858:$O$100,CBIC_Late_Fee_Relief_Windows_3B!$D$2858:$D$100,"&lt;="&amp;B2858,CBIC_Late_Fee_Relief_Windows_3B!$E$2858:$E$100,"&gt;="&amp;B2858,CBIC_Late_Fee_Relief_Windows_3B!$F$2858:$F$100,"&lt;="&amp;C2858,CBIC_Late_Fee_Relief_Windows_3B!$G$2858:$G$100,"&gt;="&amp;C2858)</f>
        <v/>
      </c>
      <c r="H2858">
        <f>INDEX(CBIC_Late_Fee_Relief_Windows_3B!$I$2858:$I$100,MATCH(G2858,CBIC_Late_Fee_Relief_Windows_3B!$O$2858:$O$100,0))</f>
        <v/>
      </c>
      <c r="I2858">
        <f>MIN(F2858,H2858)</f>
        <v/>
      </c>
    </row>
    <row r="2859">
      <c r="A2859">
        <f>TEST_DATA!A2859</f>
        <v/>
      </c>
      <c r="B2859">
        <f>TEST_DATA!B2859</f>
        <v/>
      </c>
      <c r="C2859">
        <f>TEST_DATA!C2859</f>
        <v/>
      </c>
      <c r="D2859">
        <f>TEST_DATA!D2859</f>
        <v/>
      </c>
      <c r="E2859">
        <f>TEST_DATA!E2859</f>
        <v/>
      </c>
      <c r="F2859">
        <f>MIN(E2859*285900,10000)</f>
        <v/>
      </c>
      <c r="G2859">
        <f>MINIFS(CBIC_Late_Fee_Relief_Windows_3B!$O$2859:$O$100,CBIC_Late_Fee_Relief_Windows_3B!$D$2859:$D$100,"&lt;="&amp;B2859,CBIC_Late_Fee_Relief_Windows_3B!$E$2859:$E$100,"&gt;="&amp;B2859,CBIC_Late_Fee_Relief_Windows_3B!$F$2859:$F$100,"&lt;="&amp;C2859,CBIC_Late_Fee_Relief_Windows_3B!$G$2859:$G$100,"&gt;="&amp;C2859)</f>
        <v/>
      </c>
      <c r="H2859">
        <f>INDEX(CBIC_Late_Fee_Relief_Windows_3B!$I$2859:$I$100,MATCH(G2859,CBIC_Late_Fee_Relief_Windows_3B!$O$2859:$O$100,0))</f>
        <v/>
      </c>
      <c r="I2859">
        <f>MIN(F2859,H2859)</f>
        <v/>
      </c>
    </row>
    <row r="2860">
      <c r="A2860">
        <f>TEST_DATA!A2860</f>
        <v/>
      </c>
      <c r="B2860">
        <f>TEST_DATA!B2860</f>
        <v/>
      </c>
      <c r="C2860">
        <f>TEST_DATA!C2860</f>
        <v/>
      </c>
      <c r="D2860">
        <f>TEST_DATA!D2860</f>
        <v/>
      </c>
      <c r="E2860">
        <f>TEST_DATA!E2860</f>
        <v/>
      </c>
      <c r="F2860">
        <f>MIN(E2860*286000,10000)</f>
        <v/>
      </c>
      <c r="G2860">
        <f>MINIFS(CBIC_Late_Fee_Relief_Windows_3B!$O$2860:$O$100,CBIC_Late_Fee_Relief_Windows_3B!$D$2860:$D$100,"&lt;="&amp;B2860,CBIC_Late_Fee_Relief_Windows_3B!$E$2860:$E$100,"&gt;="&amp;B2860,CBIC_Late_Fee_Relief_Windows_3B!$F$2860:$F$100,"&lt;="&amp;C2860,CBIC_Late_Fee_Relief_Windows_3B!$G$2860:$G$100,"&gt;="&amp;C2860)</f>
        <v/>
      </c>
      <c r="H2860">
        <f>INDEX(CBIC_Late_Fee_Relief_Windows_3B!$I$2860:$I$100,MATCH(G2860,CBIC_Late_Fee_Relief_Windows_3B!$O$2860:$O$100,0))</f>
        <v/>
      </c>
      <c r="I2860">
        <f>MIN(F2860,H2860)</f>
        <v/>
      </c>
    </row>
    <row r="2861">
      <c r="A2861">
        <f>TEST_DATA!A2861</f>
        <v/>
      </c>
      <c r="B2861">
        <f>TEST_DATA!B2861</f>
        <v/>
      </c>
      <c r="C2861">
        <f>TEST_DATA!C2861</f>
        <v/>
      </c>
      <c r="D2861">
        <f>TEST_DATA!D2861</f>
        <v/>
      </c>
      <c r="E2861">
        <f>TEST_DATA!E2861</f>
        <v/>
      </c>
      <c r="F2861">
        <f>MIN(E2861*286100,10000)</f>
        <v/>
      </c>
      <c r="G2861">
        <f>MINIFS(CBIC_Late_Fee_Relief_Windows_3B!$O$2861:$O$100,CBIC_Late_Fee_Relief_Windows_3B!$D$2861:$D$100,"&lt;="&amp;B2861,CBIC_Late_Fee_Relief_Windows_3B!$E$2861:$E$100,"&gt;="&amp;B2861,CBIC_Late_Fee_Relief_Windows_3B!$F$2861:$F$100,"&lt;="&amp;C2861,CBIC_Late_Fee_Relief_Windows_3B!$G$2861:$G$100,"&gt;="&amp;C2861)</f>
        <v/>
      </c>
      <c r="H2861">
        <f>INDEX(CBIC_Late_Fee_Relief_Windows_3B!$I$2861:$I$100,MATCH(G2861,CBIC_Late_Fee_Relief_Windows_3B!$O$2861:$O$100,0))</f>
        <v/>
      </c>
      <c r="I2861">
        <f>MIN(F2861,H2861)</f>
        <v/>
      </c>
    </row>
    <row r="2862">
      <c r="A2862">
        <f>TEST_DATA!A2862</f>
        <v/>
      </c>
      <c r="B2862">
        <f>TEST_DATA!B2862</f>
        <v/>
      </c>
      <c r="C2862">
        <f>TEST_DATA!C2862</f>
        <v/>
      </c>
      <c r="D2862">
        <f>TEST_DATA!D2862</f>
        <v/>
      </c>
      <c r="E2862">
        <f>TEST_DATA!E2862</f>
        <v/>
      </c>
      <c r="F2862">
        <f>MIN(E2862*286200,10000)</f>
        <v/>
      </c>
      <c r="G2862">
        <f>MINIFS(CBIC_Late_Fee_Relief_Windows_3B!$O$2862:$O$100,CBIC_Late_Fee_Relief_Windows_3B!$D$2862:$D$100,"&lt;="&amp;B2862,CBIC_Late_Fee_Relief_Windows_3B!$E$2862:$E$100,"&gt;="&amp;B2862,CBIC_Late_Fee_Relief_Windows_3B!$F$2862:$F$100,"&lt;="&amp;C2862,CBIC_Late_Fee_Relief_Windows_3B!$G$2862:$G$100,"&gt;="&amp;C2862)</f>
        <v/>
      </c>
      <c r="H2862">
        <f>INDEX(CBIC_Late_Fee_Relief_Windows_3B!$I$2862:$I$100,MATCH(G2862,CBIC_Late_Fee_Relief_Windows_3B!$O$2862:$O$100,0))</f>
        <v/>
      </c>
      <c r="I2862">
        <f>MIN(F2862,H2862)</f>
        <v/>
      </c>
    </row>
    <row r="2863">
      <c r="A2863">
        <f>TEST_DATA!A2863</f>
        <v/>
      </c>
      <c r="B2863">
        <f>TEST_DATA!B2863</f>
        <v/>
      </c>
      <c r="C2863">
        <f>TEST_DATA!C2863</f>
        <v/>
      </c>
      <c r="D2863">
        <f>TEST_DATA!D2863</f>
        <v/>
      </c>
      <c r="E2863">
        <f>TEST_DATA!E2863</f>
        <v/>
      </c>
      <c r="F2863">
        <f>MIN(E2863*286300,10000)</f>
        <v/>
      </c>
      <c r="G2863">
        <f>MINIFS(CBIC_Late_Fee_Relief_Windows_3B!$O$2863:$O$100,CBIC_Late_Fee_Relief_Windows_3B!$D$2863:$D$100,"&lt;="&amp;B2863,CBIC_Late_Fee_Relief_Windows_3B!$E$2863:$E$100,"&gt;="&amp;B2863,CBIC_Late_Fee_Relief_Windows_3B!$F$2863:$F$100,"&lt;="&amp;C2863,CBIC_Late_Fee_Relief_Windows_3B!$G$2863:$G$100,"&gt;="&amp;C2863)</f>
        <v/>
      </c>
      <c r="H2863">
        <f>INDEX(CBIC_Late_Fee_Relief_Windows_3B!$I$2863:$I$100,MATCH(G2863,CBIC_Late_Fee_Relief_Windows_3B!$O$2863:$O$100,0))</f>
        <v/>
      </c>
      <c r="I2863">
        <f>MIN(F2863,H2863)</f>
        <v/>
      </c>
    </row>
    <row r="2864">
      <c r="A2864">
        <f>TEST_DATA!A2864</f>
        <v/>
      </c>
      <c r="B2864">
        <f>TEST_DATA!B2864</f>
        <v/>
      </c>
      <c r="C2864">
        <f>TEST_DATA!C2864</f>
        <v/>
      </c>
      <c r="D2864">
        <f>TEST_DATA!D2864</f>
        <v/>
      </c>
      <c r="E2864">
        <f>TEST_DATA!E2864</f>
        <v/>
      </c>
      <c r="F2864">
        <f>MIN(E2864*286400,10000)</f>
        <v/>
      </c>
      <c r="G2864">
        <f>MINIFS(CBIC_Late_Fee_Relief_Windows_3B!$O$2864:$O$100,CBIC_Late_Fee_Relief_Windows_3B!$D$2864:$D$100,"&lt;="&amp;B2864,CBIC_Late_Fee_Relief_Windows_3B!$E$2864:$E$100,"&gt;="&amp;B2864,CBIC_Late_Fee_Relief_Windows_3B!$F$2864:$F$100,"&lt;="&amp;C2864,CBIC_Late_Fee_Relief_Windows_3B!$G$2864:$G$100,"&gt;="&amp;C2864)</f>
        <v/>
      </c>
      <c r="H2864">
        <f>INDEX(CBIC_Late_Fee_Relief_Windows_3B!$I$2864:$I$100,MATCH(G2864,CBIC_Late_Fee_Relief_Windows_3B!$O$2864:$O$100,0))</f>
        <v/>
      </c>
      <c r="I2864">
        <f>MIN(F2864,H2864)</f>
        <v/>
      </c>
    </row>
    <row r="2865">
      <c r="A2865">
        <f>TEST_DATA!A2865</f>
        <v/>
      </c>
      <c r="B2865">
        <f>TEST_DATA!B2865</f>
        <v/>
      </c>
      <c r="C2865">
        <f>TEST_DATA!C2865</f>
        <v/>
      </c>
      <c r="D2865">
        <f>TEST_DATA!D2865</f>
        <v/>
      </c>
      <c r="E2865">
        <f>TEST_DATA!E2865</f>
        <v/>
      </c>
      <c r="F2865">
        <f>MIN(E2865*286500,10000)</f>
        <v/>
      </c>
      <c r="G2865">
        <f>MINIFS(CBIC_Late_Fee_Relief_Windows_3B!$O$2865:$O$100,CBIC_Late_Fee_Relief_Windows_3B!$D$2865:$D$100,"&lt;="&amp;B2865,CBIC_Late_Fee_Relief_Windows_3B!$E$2865:$E$100,"&gt;="&amp;B2865,CBIC_Late_Fee_Relief_Windows_3B!$F$2865:$F$100,"&lt;="&amp;C2865,CBIC_Late_Fee_Relief_Windows_3B!$G$2865:$G$100,"&gt;="&amp;C2865)</f>
        <v/>
      </c>
      <c r="H2865">
        <f>INDEX(CBIC_Late_Fee_Relief_Windows_3B!$I$2865:$I$100,MATCH(G2865,CBIC_Late_Fee_Relief_Windows_3B!$O$2865:$O$100,0))</f>
        <v/>
      </c>
      <c r="I2865">
        <f>MIN(F2865,H2865)</f>
        <v/>
      </c>
    </row>
    <row r="2866">
      <c r="A2866">
        <f>TEST_DATA!A2866</f>
        <v/>
      </c>
      <c r="B2866">
        <f>TEST_DATA!B2866</f>
        <v/>
      </c>
      <c r="C2866">
        <f>TEST_DATA!C2866</f>
        <v/>
      </c>
      <c r="D2866">
        <f>TEST_DATA!D2866</f>
        <v/>
      </c>
      <c r="E2866">
        <f>TEST_DATA!E2866</f>
        <v/>
      </c>
      <c r="F2866">
        <f>MIN(E2866*286600,10000)</f>
        <v/>
      </c>
      <c r="G2866">
        <f>MINIFS(CBIC_Late_Fee_Relief_Windows_3B!$O$2866:$O$100,CBIC_Late_Fee_Relief_Windows_3B!$D$2866:$D$100,"&lt;="&amp;B2866,CBIC_Late_Fee_Relief_Windows_3B!$E$2866:$E$100,"&gt;="&amp;B2866,CBIC_Late_Fee_Relief_Windows_3B!$F$2866:$F$100,"&lt;="&amp;C2866,CBIC_Late_Fee_Relief_Windows_3B!$G$2866:$G$100,"&gt;="&amp;C2866)</f>
        <v/>
      </c>
      <c r="H2866">
        <f>INDEX(CBIC_Late_Fee_Relief_Windows_3B!$I$2866:$I$100,MATCH(G2866,CBIC_Late_Fee_Relief_Windows_3B!$O$2866:$O$100,0))</f>
        <v/>
      </c>
      <c r="I2866">
        <f>MIN(F2866,H2866)</f>
        <v/>
      </c>
    </row>
    <row r="2867">
      <c r="A2867">
        <f>TEST_DATA!A2867</f>
        <v/>
      </c>
      <c r="B2867">
        <f>TEST_DATA!B2867</f>
        <v/>
      </c>
      <c r="C2867">
        <f>TEST_DATA!C2867</f>
        <v/>
      </c>
      <c r="D2867">
        <f>TEST_DATA!D2867</f>
        <v/>
      </c>
      <c r="E2867">
        <f>TEST_DATA!E2867</f>
        <v/>
      </c>
      <c r="F2867">
        <f>MIN(E2867*286700,10000)</f>
        <v/>
      </c>
      <c r="G2867">
        <f>MINIFS(CBIC_Late_Fee_Relief_Windows_3B!$O$2867:$O$100,CBIC_Late_Fee_Relief_Windows_3B!$D$2867:$D$100,"&lt;="&amp;B2867,CBIC_Late_Fee_Relief_Windows_3B!$E$2867:$E$100,"&gt;="&amp;B2867,CBIC_Late_Fee_Relief_Windows_3B!$F$2867:$F$100,"&lt;="&amp;C2867,CBIC_Late_Fee_Relief_Windows_3B!$G$2867:$G$100,"&gt;="&amp;C2867)</f>
        <v/>
      </c>
      <c r="H2867">
        <f>INDEX(CBIC_Late_Fee_Relief_Windows_3B!$I$2867:$I$100,MATCH(G2867,CBIC_Late_Fee_Relief_Windows_3B!$O$2867:$O$100,0))</f>
        <v/>
      </c>
      <c r="I2867">
        <f>MIN(F2867,H2867)</f>
        <v/>
      </c>
    </row>
    <row r="2868">
      <c r="A2868">
        <f>TEST_DATA!A2868</f>
        <v/>
      </c>
      <c r="B2868">
        <f>TEST_DATA!B2868</f>
        <v/>
      </c>
      <c r="C2868">
        <f>TEST_DATA!C2868</f>
        <v/>
      </c>
      <c r="D2868">
        <f>TEST_DATA!D2868</f>
        <v/>
      </c>
      <c r="E2868">
        <f>TEST_DATA!E2868</f>
        <v/>
      </c>
      <c r="F2868">
        <f>MIN(E2868*286800,10000)</f>
        <v/>
      </c>
      <c r="G2868">
        <f>MINIFS(CBIC_Late_Fee_Relief_Windows_3B!$O$2868:$O$100,CBIC_Late_Fee_Relief_Windows_3B!$D$2868:$D$100,"&lt;="&amp;B2868,CBIC_Late_Fee_Relief_Windows_3B!$E$2868:$E$100,"&gt;="&amp;B2868,CBIC_Late_Fee_Relief_Windows_3B!$F$2868:$F$100,"&lt;="&amp;C2868,CBIC_Late_Fee_Relief_Windows_3B!$G$2868:$G$100,"&gt;="&amp;C2868)</f>
        <v/>
      </c>
      <c r="H2868">
        <f>INDEX(CBIC_Late_Fee_Relief_Windows_3B!$I$2868:$I$100,MATCH(G2868,CBIC_Late_Fee_Relief_Windows_3B!$O$2868:$O$100,0))</f>
        <v/>
      </c>
      <c r="I2868">
        <f>MIN(F2868,H2868)</f>
        <v/>
      </c>
    </row>
    <row r="2869">
      <c r="A2869">
        <f>TEST_DATA!A2869</f>
        <v/>
      </c>
      <c r="B2869">
        <f>TEST_DATA!B2869</f>
        <v/>
      </c>
      <c r="C2869">
        <f>TEST_DATA!C2869</f>
        <v/>
      </c>
      <c r="D2869">
        <f>TEST_DATA!D2869</f>
        <v/>
      </c>
      <c r="E2869">
        <f>TEST_DATA!E2869</f>
        <v/>
      </c>
      <c r="F2869">
        <f>MIN(E2869*286900,10000)</f>
        <v/>
      </c>
      <c r="G2869">
        <f>MINIFS(CBIC_Late_Fee_Relief_Windows_3B!$O$2869:$O$100,CBIC_Late_Fee_Relief_Windows_3B!$D$2869:$D$100,"&lt;="&amp;B2869,CBIC_Late_Fee_Relief_Windows_3B!$E$2869:$E$100,"&gt;="&amp;B2869,CBIC_Late_Fee_Relief_Windows_3B!$F$2869:$F$100,"&lt;="&amp;C2869,CBIC_Late_Fee_Relief_Windows_3B!$G$2869:$G$100,"&gt;="&amp;C2869)</f>
        <v/>
      </c>
      <c r="H2869">
        <f>INDEX(CBIC_Late_Fee_Relief_Windows_3B!$I$2869:$I$100,MATCH(G2869,CBIC_Late_Fee_Relief_Windows_3B!$O$2869:$O$100,0))</f>
        <v/>
      </c>
      <c r="I2869">
        <f>MIN(F2869,H2869)</f>
        <v/>
      </c>
    </row>
    <row r="2870">
      <c r="A2870">
        <f>TEST_DATA!A2870</f>
        <v/>
      </c>
      <c r="B2870">
        <f>TEST_DATA!B2870</f>
        <v/>
      </c>
      <c r="C2870">
        <f>TEST_DATA!C2870</f>
        <v/>
      </c>
      <c r="D2870">
        <f>TEST_DATA!D2870</f>
        <v/>
      </c>
      <c r="E2870">
        <f>TEST_DATA!E2870</f>
        <v/>
      </c>
      <c r="F2870">
        <f>MIN(E2870*287000,10000)</f>
        <v/>
      </c>
      <c r="G2870">
        <f>MINIFS(CBIC_Late_Fee_Relief_Windows_3B!$O$2870:$O$100,CBIC_Late_Fee_Relief_Windows_3B!$D$2870:$D$100,"&lt;="&amp;B2870,CBIC_Late_Fee_Relief_Windows_3B!$E$2870:$E$100,"&gt;="&amp;B2870,CBIC_Late_Fee_Relief_Windows_3B!$F$2870:$F$100,"&lt;="&amp;C2870,CBIC_Late_Fee_Relief_Windows_3B!$G$2870:$G$100,"&gt;="&amp;C2870)</f>
        <v/>
      </c>
      <c r="H2870">
        <f>INDEX(CBIC_Late_Fee_Relief_Windows_3B!$I$2870:$I$100,MATCH(G2870,CBIC_Late_Fee_Relief_Windows_3B!$O$2870:$O$100,0))</f>
        <v/>
      </c>
      <c r="I2870">
        <f>MIN(F2870,H2870)</f>
        <v/>
      </c>
    </row>
    <row r="2871">
      <c r="A2871">
        <f>TEST_DATA!A2871</f>
        <v/>
      </c>
      <c r="B2871">
        <f>TEST_DATA!B2871</f>
        <v/>
      </c>
      <c r="C2871">
        <f>TEST_DATA!C2871</f>
        <v/>
      </c>
      <c r="D2871">
        <f>TEST_DATA!D2871</f>
        <v/>
      </c>
      <c r="E2871">
        <f>TEST_DATA!E2871</f>
        <v/>
      </c>
      <c r="F2871">
        <f>MIN(E2871*287100,10000)</f>
        <v/>
      </c>
      <c r="G2871">
        <f>MINIFS(CBIC_Late_Fee_Relief_Windows_3B!$O$2871:$O$100,CBIC_Late_Fee_Relief_Windows_3B!$D$2871:$D$100,"&lt;="&amp;B2871,CBIC_Late_Fee_Relief_Windows_3B!$E$2871:$E$100,"&gt;="&amp;B2871,CBIC_Late_Fee_Relief_Windows_3B!$F$2871:$F$100,"&lt;="&amp;C2871,CBIC_Late_Fee_Relief_Windows_3B!$G$2871:$G$100,"&gt;="&amp;C2871)</f>
        <v/>
      </c>
      <c r="H2871">
        <f>INDEX(CBIC_Late_Fee_Relief_Windows_3B!$I$2871:$I$100,MATCH(G2871,CBIC_Late_Fee_Relief_Windows_3B!$O$2871:$O$100,0))</f>
        <v/>
      </c>
      <c r="I2871">
        <f>MIN(F2871,H2871)</f>
        <v/>
      </c>
    </row>
    <row r="2872">
      <c r="A2872">
        <f>TEST_DATA!A2872</f>
        <v/>
      </c>
      <c r="B2872">
        <f>TEST_DATA!B2872</f>
        <v/>
      </c>
      <c r="C2872">
        <f>TEST_DATA!C2872</f>
        <v/>
      </c>
      <c r="D2872">
        <f>TEST_DATA!D2872</f>
        <v/>
      </c>
      <c r="E2872">
        <f>TEST_DATA!E2872</f>
        <v/>
      </c>
      <c r="F2872">
        <f>MIN(E2872*287200,10000)</f>
        <v/>
      </c>
      <c r="G2872">
        <f>MINIFS(CBIC_Late_Fee_Relief_Windows_3B!$O$2872:$O$100,CBIC_Late_Fee_Relief_Windows_3B!$D$2872:$D$100,"&lt;="&amp;B2872,CBIC_Late_Fee_Relief_Windows_3B!$E$2872:$E$100,"&gt;="&amp;B2872,CBIC_Late_Fee_Relief_Windows_3B!$F$2872:$F$100,"&lt;="&amp;C2872,CBIC_Late_Fee_Relief_Windows_3B!$G$2872:$G$100,"&gt;="&amp;C2872)</f>
        <v/>
      </c>
      <c r="H2872">
        <f>INDEX(CBIC_Late_Fee_Relief_Windows_3B!$I$2872:$I$100,MATCH(G2872,CBIC_Late_Fee_Relief_Windows_3B!$O$2872:$O$100,0))</f>
        <v/>
      </c>
      <c r="I2872">
        <f>MIN(F2872,H2872)</f>
        <v/>
      </c>
    </row>
    <row r="2873">
      <c r="A2873">
        <f>TEST_DATA!A2873</f>
        <v/>
      </c>
      <c r="B2873">
        <f>TEST_DATA!B2873</f>
        <v/>
      </c>
      <c r="C2873">
        <f>TEST_DATA!C2873</f>
        <v/>
      </c>
      <c r="D2873">
        <f>TEST_DATA!D2873</f>
        <v/>
      </c>
      <c r="E2873">
        <f>TEST_DATA!E2873</f>
        <v/>
      </c>
      <c r="F2873">
        <f>MIN(E2873*287300,10000)</f>
        <v/>
      </c>
      <c r="G2873">
        <f>MINIFS(CBIC_Late_Fee_Relief_Windows_3B!$O$2873:$O$100,CBIC_Late_Fee_Relief_Windows_3B!$D$2873:$D$100,"&lt;="&amp;B2873,CBIC_Late_Fee_Relief_Windows_3B!$E$2873:$E$100,"&gt;="&amp;B2873,CBIC_Late_Fee_Relief_Windows_3B!$F$2873:$F$100,"&lt;="&amp;C2873,CBIC_Late_Fee_Relief_Windows_3B!$G$2873:$G$100,"&gt;="&amp;C2873)</f>
        <v/>
      </c>
      <c r="H2873">
        <f>INDEX(CBIC_Late_Fee_Relief_Windows_3B!$I$2873:$I$100,MATCH(G2873,CBIC_Late_Fee_Relief_Windows_3B!$O$2873:$O$100,0))</f>
        <v/>
      </c>
      <c r="I2873">
        <f>MIN(F2873,H2873)</f>
        <v/>
      </c>
    </row>
    <row r="2874">
      <c r="A2874">
        <f>TEST_DATA!A2874</f>
        <v/>
      </c>
      <c r="B2874">
        <f>TEST_DATA!B2874</f>
        <v/>
      </c>
      <c r="C2874">
        <f>TEST_DATA!C2874</f>
        <v/>
      </c>
      <c r="D2874">
        <f>TEST_DATA!D2874</f>
        <v/>
      </c>
      <c r="E2874">
        <f>TEST_DATA!E2874</f>
        <v/>
      </c>
      <c r="F2874">
        <f>MIN(E2874*287400,10000)</f>
        <v/>
      </c>
      <c r="G2874">
        <f>MINIFS(CBIC_Late_Fee_Relief_Windows_3B!$O$2874:$O$100,CBIC_Late_Fee_Relief_Windows_3B!$D$2874:$D$100,"&lt;="&amp;B2874,CBIC_Late_Fee_Relief_Windows_3B!$E$2874:$E$100,"&gt;="&amp;B2874,CBIC_Late_Fee_Relief_Windows_3B!$F$2874:$F$100,"&lt;="&amp;C2874,CBIC_Late_Fee_Relief_Windows_3B!$G$2874:$G$100,"&gt;="&amp;C2874)</f>
        <v/>
      </c>
      <c r="H2874">
        <f>INDEX(CBIC_Late_Fee_Relief_Windows_3B!$I$2874:$I$100,MATCH(G2874,CBIC_Late_Fee_Relief_Windows_3B!$O$2874:$O$100,0))</f>
        <v/>
      </c>
      <c r="I2874">
        <f>MIN(F2874,H2874)</f>
        <v/>
      </c>
    </row>
    <row r="2875">
      <c r="A2875">
        <f>TEST_DATA!A2875</f>
        <v/>
      </c>
      <c r="B2875">
        <f>TEST_DATA!B2875</f>
        <v/>
      </c>
      <c r="C2875">
        <f>TEST_DATA!C2875</f>
        <v/>
      </c>
      <c r="D2875">
        <f>TEST_DATA!D2875</f>
        <v/>
      </c>
      <c r="E2875">
        <f>TEST_DATA!E2875</f>
        <v/>
      </c>
      <c r="F2875">
        <f>MIN(E2875*287500,10000)</f>
        <v/>
      </c>
      <c r="G2875">
        <f>MINIFS(CBIC_Late_Fee_Relief_Windows_3B!$O$2875:$O$100,CBIC_Late_Fee_Relief_Windows_3B!$D$2875:$D$100,"&lt;="&amp;B2875,CBIC_Late_Fee_Relief_Windows_3B!$E$2875:$E$100,"&gt;="&amp;B2875,CBIC_Late_Fee_Relief_Windows_3B!$F$2875:$F$100,"&lt;="&amp;C2875,CBIC_Late_Fee_Relief_Windows_3B!$G$2875:$G$100,"&gt;="&amp;C2875)</f>
        <v/>
      </c>
      <c r="H2875">
        <f>INDEX(CBIC_Late_Fee_Relief_Windows_3B!$I$2875:$I$100,MATCH(G2875,CBIC_Late_Fee_Relief_Windows_3B!$O$2875:$O$100,0))</f>
        <v/>
      </c>
      <c r="I2875">
        <f>MIN(F2875,H2875)</f>
        <v/>
      </c>
    </row>
    <row r="2876">
      <c r="A2876">
        <f>TEST_DATA!A2876</f>
        <v/>
      </c>
      <c r="B2876">
        <f>TEST_DATA!B2876</f>
        <v/>
      </c>
      <c r="C2876">
        <f>TEST_DATA!C2876</f>
        <v/>
      </c>
      <c r="D2876">
        <f>TEST_DATA!D2876</f>
        <v/>
      </c>
      <c r="E2876">
        <f>TEST_DATA!E2876</f>
        <v/>
      </c>
      <c r="F2876">
        <f>MIN(E2876*287600,10000)</f>
        <v/>
      </c>
      <c r="G2876">
        <f>MINIFS(CBIC_Late_Fee_Relief_Windows_3B!$O$2876:$O$100,CBIC_Late_Fee_Relief_Windows_3B!$D$2876:$D$100,"&lt;="&amp;B2876,CBIC_Late_Fee_Relief_Windows_3B!$E$2876:$E$100,"&gt;="&amp;B2876,CBIC_Late_Fee_Relief_Windows_3B!$F$2876:$F$100,"&lt;="&amp;C2876,CBIC_Late_Fee_Relief_Windows_3B!$G$2876:$G$100,"&gt;="&amp;C2876)</f>
        <v/>
      </c>
      <c r="H2876">
        <f>INDEX(CBIC_Late_Fee_Relief_Windows_3B!$I$2876:$I$100,MATCH(G2876,CBIC_Late_Fee_Relief_Windows_3B!$O$2876:$O$100,0))</f>
        <v/>
      </c>
      <c r="I2876">
        <f>MIN(F2876,H2876)</f>
        <v/>
      </c>
    </row>
    <row r="2877">
      <c r="A2877">
        <f>TEST_DATA!A2877</f>
        <v/>
      </c>
      <c r="B2877">
        <f>TEST_DATA!B2877</f>
        <v/>
      </c>
      <c r="C2877">
        <f>TEST_DATA!C2877</f>
        <v/>
      </c>
      <c r="D2877">
        <f>TEST_DATA!D2877</f>
        <v/>
      </c>
      <c r="E2877">
        <f>TEST_DATA!E2877</f>
        <v/>
      </c>
      <c r="F2877">
        <f>MIN(E2877*287700,10000)</f>
        <v/>
      </c>
      <c r="G2877">
        <f>MINIFS(CBIC_Late_Fee_Relief_Windows_3B!$O$2877:$O$100,CBIC_Late_Fee_Relief_Windows_3B!$D$2877:$D$100,"&lt;="&amp;B2877,CBIC_Late_Fee_Relief_Windows_3B!$E$2877:$E$100,"&gt;="&amp;B2877,CBIC_Late_Fee_Relief_Windows_3B!$F$2877:$F$100,"&lt;="&amp;C2877,CBIC_Late_Fee_Relief_Windows_3B!$G$2877:$G$100,"&gt;="&amp;C2877)</f>
        <v/>
      </c>
      <c r="H2877">
        <f>INDEX(CBIC_Late_Fee_Relief_Windows_3B!$I$2877:$I$100,MATCH(G2877,CBIC_Late_Fee_Relief_Windows_3B!$O$2877:$O$100,0))</f>
        <v/>
      </c>
      <c r="I2877">
        <f>MIN(F2877,H2877)</f>
        <v/>
      </c>
    </row>
    <row r="2878">
      <c r="A2878">
        <f>TEST_DATA!A2878</f>
        <v/>
      </c>
      <c r="B2878">
        <f>TEST_DATA!B2878</f>
        <v/>
      </c>
      <c r="C2878">
        <f>TEST_DATA!C2878</f>
        <v/>
      </c>
      <c r="D2878">
        <f>TEST_DATA!D2878</f>
        <v/>
      </c>
      <c r="E2878">
        <f>TEST_DATA!E2878</f>
        <v/>
      </c>
      <c r="F2878">
        <f>MIN(E2878*287800,10000)</f>
        <v/>
      </c>
      <c r="G2878">
        <f>MINIFS(CBIC_Late_Fee_Relief_Windows_3B!$O$2878:$O$100,CBIC_Late_Fee_Relief_Windows_3B!$D$2878:$D$100,"&lt;="&amp;B2878,CBIC_Late_Fee_Relief_Windows_3B!$E$2878:$E$100,"&gt;="&amp;B2878,CBIC_Late_Fee_Relief_Windows_3B!$F$2878:$F$100,"&lt;="&amp;C2878,CBIC_Late_Fee_Relief_Windows_3B!$G$2878:$G$100,"&gt;="&amp;C2878)</f>
        <v/>
      </c>
      <c r="H2878">
        <f>INDEX(CBIC_Late_Fee_Relief_Windows_3B!$I$2878:$I$100,MATCH(G2878,CBIC_Late_Fee_Relief_Windows_3B!$O$2878:$O$100,0))</f>
        <v/>
      </c>
      <c r="I2878">
        <f>MIN(F2878,H2878)</f>
        <v/>
      </c>
    </row>
    <row r="2879">
      <c r="A2879">
        <f>TEST_DATA!A2879</f>
        <v/>
      </c>
      <c r="B2879">
        <f>TEST_DATA!B2879</f>
        <v/>
      </c>
      <c r="C2879">
        <f>TEST_DATA!C2879</f>
        <v/>
      </c>
      <c r="D2879">
        <f>TEST_DATA!D2879</f>
        <v/>
      </c>
      <c r="E2879">
        <f>TEST_DATA!E2879</f>
        <v/>
      </c>
      <c r="F2879">
        <f>MIN(E2879*287900,10000)</f>
        <v/>
      </c>
      <c r="G2879">
        <f>MINIFS(CBIC_Late_Fee_Relief_Windows_3B!$O$2879:$O$100,CBIC_Late_Fee_Relief_Windows_3B!$D$2879:$D$100,"&lt;="&amp;B2879,CBIC_Late_Fee_Relief_Windows_3B!$E$2879:$E$100,"&gt;="&amp;B2879,CBIC_Late_Fee_Relief_Windows_3B!$F$2879:$F$100,"&lt;="&amp;C2879,CBIC_Late_Fee_Relief_Windows_3B!$G$2879:$G$100,"&gt;="&amp;C2879)</f>
        <v/>
      </c>
      <c r="H2879">
        <f>INDEX(CBIC_Late_Fee_Relief_Windows_3B!$I$2879:$I$100,MATCH(G2879,CBIC_Late_Fee_Relief_Windows_3B!$O$2879:$O$100,0))</f>
        <v/>
      </c>
      <c r="I2879">
        <f>MIN(F2879,H2879)</f>
        <v/>
      </c>
    </row>
    <row r="2880">
      <c r="A2880">
        <f>TEST_DATA!A2880</f>
        <v/>
      </c>
      <c r="B2880">
        <f>TEST_DATA!B2880</f>
        <v/>
      </c>
      <c r="C2880">
        <f>TEST_DATA!C2880</f>
        <v/>
      </c>
      <c r="D2880">
        <f>TEST_DATA!D2880</f>
        <v/>
      </c>
      <c r="E2880">
        <f>TEST_DATA!E2880</f>
        <v/>
      </c>
      <c r="F2880">
        <f>MIN(E2880*288000,10000)</f>
        <v/>
      </c>
      <c r="G2880">
        <f>MINIFS(CBIC_Late_Fee_Relief_Windows_3B!$O$2880:$O$100,CBIC_Late_Fee_Relief_Windows_3B!$D$2880:$D$100,"&lt;="&amp;B2880,CBIC_Late_Fee_Relief_Windows_3B!$E$2880:$E$100,"&gt;="&amp;B2880,CBIC_Late_Fee_Relief_Windows_3B!$F$2880:$F$100,"&lt;="&amp;C2880,CBIC_Late_Fee_Relief_Windows_3B!$G$2880:$G$100,"&gt;="&amp;C2880)</f>
        <v/>
      </c>
      <c r="H2880">
        <f>INDEX(CBIC_Late_Fee_Relief_Windows_3B!$I$2880:$I$100,MATCH(G2880,CBIC_Late_Fee_Relief_Windows_3B!$O$2880:$O$100,0))</f>
        <v/>
      </c>
      <c r="I2880">
        <f>MIN(F2880,H2880)</f>
        <v/>
      </c>
    </row>
    <row r="2881">
      <c r="A2881">
        <f>TEST_DATA!A2881</f>
        <v/>
      </c>
      <c r="B2881">
        <f>TEST_DATA!B2881</f>
        <v/>
      </c>
      <c r="C2881">
        <f>TEST_DATA!C2881</f>
        <v/>
      </c>
      <c r="D2881">
        <f>TEST_DATA!D2881</f>
        <v/>
      </c>
      <c r="E2881">
        <f>TEST_DATA!E2881</f>
        <v/>
      </c>
      <c r="F2881">
        <f>MIN(E2881*288100,10000)</f>
        <v/>
      </c>
      <c r="G2881">
        <f>MINIFS(CBIC_Late_Fee_Relief_Windows_3B!$O$2881:$O$100,CBIC_Late_Fee_Relief_Windows_3B!$D$2881:$D$100,"&lt;="&amp;B2881,CBIC_Late_Fee_Relief_Windows_3B!$E$2881:$E$100,"&gt;="&amp;B2881,CBIC_Late_Fee_Relief_Windows_3B!$F$2881:$F$100,"&lt;="&amp;C2881,CBIC_Late_Fee_Relief_Windows_3B!$G$2881:$G$100,"&gt;="&amp;C2881)</f>
        <v/>
      </c>
      <c r="H2881">
        <f>INDEX(CBIC_Late_Fee_Relief_Windows_3B!$I$2881:$I$100,MATCH(G2881,CBIC_Late_Fee_Relief_Windows_3B!$O$2881:$O$100,0))</f>
        <v/>
      </c>
      <c r="I2881">
        <f>MIN(F2881,H2881)</f>
        <v/>
      </c>
    </row>
    <row r="2882">
      <c r="A2882">
        <f>TEST_DATA!A2882</f>
        <v/>
      </c>
      <c r="B2882">
        <f>TEST_DATA!B2882</f>
        <v/>
      </c>
      <c r="C2882">
        <f>TEST_DATA!C2882</f>
        <v/>
      </c>
      <c r="D2882">
        <f>TEST_DATA!D2882</f>
        <v/>
      </c>
      <c r="E2882">
        <f>TEST_DATA!E2882</f>
        <v/>
      </c>
      <c r="F2882">
        <f>MIN(E2882*288200,10000)</f>
        <v/>
      </c>
      <c r="G2882">
        <f>MINIFS(CBIC_Late_Fee_Relief_Windows_3B!$O$2882:$O$100,CBIC_Late_Fee_Relief_Windows_3B!$D$2882:$D$100,"&lt;="&amp;B2882,CBIC_Late_Fee_Relief_Windows_3B!$E$2882:$E$100,"&gt;="&amp;B2882,CBIC_Late_Fee_Relief_Windows_3B!$F$2882:$F$100,"&lt;="&amp;C2882,CBIC_Late_Fee_Relief_Windows_3B!$G$2882:$G$100,"&gt;="&amp;C2882)</f>
        <v/>
      </c>
      <c r="H2882">
        <f>INDEX(CBIC_Late_Fee_Relief_Windows_3B!$I$2882:$I$100,MATCH(G2882,CBIC_Late_Fee_Relief_Windows_3B!$O$2882:$O$100,0))</f>
        <v/>
      </c>
      <c r="I2882">
        <f>MIN(F2882,H2882)</f>
        <v/>
      </c>
    </row>
    <row r="2883">
      <c r="A2883">
        <f>TEST_DATA!A2883</f>
        <v/>
      </c>
      <c r="B2883">
        <f>TEST_DATA!B2883</f>
        <v/>
      </c>
      <c r="C2883">
        <f>TEST_DATA!C2883</f>
        <v/>
      </c>
      <c r="D2883">
        <f>TEST_DATA!D2883</f>
        <v/>
      </c>
      <c r="E2883">
        <f>TEST_DATA!E2883</f>
        <v/>
      </c>
      <c r="F2883">
        <f>MIN(E2883*288300,10000)</f>
        <v/>
      </c>
      <c r="G2883">
        <f>MINIFS(CBIC_Late_Fee_Relief_Windows_3B!$O$2883:$O$100,CBIC_Late_Fee_Relief_Windows_3B!$D$2883:$D$100,"&lt;="&amp;B2883,CBIC_Late_Fee_Relief_Windows_3B!$E$2883:$E$100,"&gt;="&amp;B2883,CBIC_Late_Fee_Relief_Windows_3B!$F$2883:$F$100,"&lt;="&amp;C2883,CBIC_Late_Fee_Relief_Windows_3B!$G$2883:$G$100,"&gt;="&amp;C2883)</f>
        <v/>
      </c>
      <c r="H2883">
        <f>INDEX(CBIC_Late_Fee_Relief_Windows_3B!$I$2883:$I$100,MATCH(G2883,CBIC_Late_Fee_Relief_Windows_3B!$O$2883:$O$100,0))</f>
        <v/>
      </c>
      <c r="I2883">
        <f>MIN(F2883,H2883)</f>
        <v/>
      </c>
    </row>
    <row r="2884">
      <c r="A2884">
        <f>TEST_DATA!A2884</f>
        <v/>
      </c>
      <c r="B2884">
        <f>TEST_DATA!B2884</f>
        <v/>
      </c>
      <c r="C2884">
        <f>TEST_DATA!C2884</f>
        <v/>
      </c>
      <c r="D2884">
        <f>TEST_DATA!D2884</f>
        <v/>
      </c>
      <c r="E2884">
        <f>TEST_DATA!E2884</f>
        <v/>
      </c>
      <c r="F2884">
        <f>MIN(E2884*288400,10000)</f>
        <v/>
      </c>
      <c r="G2884">
        <f>MINIFS(CBIC_Late_Fee_Relief_Windows_3B!$O$2884:$O$100,CBIC_Late_Fee_Relief_Windows_3B!$D$2884:$D$100,"&lt;="&amp;B2884,CBIC_Late_Fee_Relief_Windows_3B!$E$2884:$E$100,"&gt;="&amp;B2884,CBIC_Late_Fee_Relief_Windows_3B!$F$2884:$F$100,"&lt;="&amp;C2884,CBIC_Late_Fee_Relief_Windows_3B!$G$2884:$G$100,"&gt;="&amp;C2884)</f>
        <v/>
      </c>
      <c r="H2884">
        <f>INDEX(CBIC_Late_Fee_Relief_Windows_3B!$I$2884:$I$100,MATCH(G2884,CBIC_Late_Fee_Relief_Windows_3B!$O$2884:$O$100,0))</f>
        <v/>
      </c>
      <c r="I2884">
        <f>MIN(F2884,H2884)</f>
        <v/>
      </c>
    </row>
    <row r="2885">
      <c r="A2885">
        <f>TEST_DATA!A2885</f>
        <v/>
      </c>
      <c r="B2885">
        <f>TEST_DATA!B2885</f>
        <v/>
      </c>
      <c r="C2885">
        <f>TEST_DATA!C2885</f>
        <v/>
      </c>
      <c r="D2885">
        <f>TEST_DATA!D2885</f>
        <v/>
      </c>
      <c r="E2885">
        <f>TEST_DATA!E2885</f>
        <v/>
      </c>
      <c r="F2885">
        <f>MIN(E2885*288500,10000)</f>
        <v/>
      </c>
      <c r="G2885">
        <f>MINIFS(CBIC_Late_Fee_Relief_Windows_3B!$O$2885:$O$100,CBIC_Late_Fee_Relief_Windows_3B!$D$2885:$D$100,"&lt;="&amp;B2885,CBIC_Late_Fee_Relief_Windows_3B!$E$2885:$E$100,"&gt;="&amp;B2885,CBIC_Late_Fee_Relief_Windows_3B!$F$2885:$F$100,"&lt;="&amp;C2885,CBIC_Late_Fee_Relief_Windows_3B!$G$2885:$G$100,"&gt;="&amp;C2885)</f>
        <v/>
      </c>
      <c r="H2885">
        <f>INDEX(CBIC_Late_Fee_Relief_Windows_3B!$I$2885:$I$100,MATCH(G2885,CBIC_Late_Fee_Relief_Windows_3B!$O$2885:$O$100,0))</f>
        <v/>
      </c>
      <c r="I2885">
        <f>MIN(F2885,H2885)</f>
        <v/>
      </c>
    </row>
    <row r="2886">
      <c r="A2886">
        <f>TEST_DATA!A2886</f>
        <v/>
      </c>
      <c r="B2886">
        <f>TEST_DATA!B2886</f>
        <v/>
      </c>
      <c r="C2886">
        <f>TEST_DATA!C2886</f>
        <v/>
      </c>
      <c r="D2886">
        <f>TEST_DATA!D2886</f>
        <v/>
      </c>
      <c r="E2886">
        <f>TEST_DATA!E2886</f>
        <v/>
      </c>
      <c r="F2886">
        <f>MIN(E2886*288600,10000)</f>
        <v/>
      </c>
      <c r="G2886">
        <f>MINIFS(CBIC_Late_Fee_Relief_Windows_3B!$O$2886:$O$100,CBIC_Late_Fee_Relief_Windows_3B!$D$2886:$D$100,"&lt;="&amp;B2886,CBIC_Late_Fee_Relief_Windows_3B!$E$2886:$E$100,"&gt;="&amp;B2886,CBIC_Late_Fee_Relief_Windows_3B!$F$2886:$F$100,"&lt;="&amp;C2886,CBIC_Late_Fee_Relief_Windows_3B!$G$2886:$G$100,"&gt;="&amp;C2886)</f>
        <v/>
      </c>
      <c r="H2886">
        <f>INDEX(CBIC_Late_Fee_Relief_Windows_3B!$I$2886:$I$100,MATCH(G2886,CBIC_Late_Fee_Relief_Windows_3B!$O$2886:$O$100,0))</f>
        <v/>
      </c>
      <c r="I2886">
        <f>MIN(F2886,H2886)</f>
        <v/>
      </c>
    </row>
    <row r="2887">
      <c r="A2887">
        <f>TEST_DATA!A2887</f>
        <v/>
      </c>
      <c r="B2887">
        <f>TEST_DATA!B2887</f>
        <v/>
      </c>
      <c r="C2887">
        <f>TEST_DATA!C2887</f>
        <v/>
      </c>
      <c r="D2887">
        <f>TEST_DATA!D2887</f>
        <v/>
      </c>
      <c r="E2887">
        <f>TEST_DATA!E2887</f>
        <v/>
      </c>
      <c r="F2887">
        <f>MIN(E2887*288700,10000)</f>
        <v/>
      </c>
      <c r="G2887">
        <f>MINIFS(CBIC_Late_Fee_Relief_Windows_3B!$O$2887:$O$100,CBIC_Late_Fee_Relief_Windows_3B!$D$2887:$D$100,"&lt;="&amp;B2887,CBIC_Late_Fee_Relief_Windows_3B!$E$2887:$E$100,"&gt;="&amp;B2887,CBIC_Late_Fee_Relief_Windows_3B!$F$2887:$F$100,"&lt;="&amp;C2887,CBIC_Late_Fee_Relief_Windows_3B!$G$2887:$G$100,"&gt;="&amp;C2887)</f>
        <v/>
      </c>
      <c r="H2887">
        <f>INDEX(CBIC_Late_Fee_Relief_Windows_3B!$I$2887:$I$100,MATCH(G2887,CBIC_Late_Fee_Relief_Windows_3B!$O$2887:$O$100,0))</f>
        <v/>
      </c>
      <c r="I2887">
        <f>MIN(F2887,H2887)</f>
        <v/>
      </c>
    </row>
    <row r="2888">
      <c r="A2888">
        <f>TEST_DATA!A2888</f>
        <v/>
      </c>
      <c r="B2888">
        <f>TEST_DATA!B2888</f>
        <v/>
      </c>
      <c r="C2888">
        <f>TEST_DATA!C2888</f>
        <v/>
      </c>
      <c r="D2888">
        <f>TEST_DATA!D2888</f>
        <v/>
      </c>
      <c r="E2888">
        <f>TEST_DATA!E2888</f>
        <v/>
      </c>
      <c r="F2888">
        <f>MIN(E2888*288800,10000)</f>
        <v/>
      </c>
      <c r="G2888">
        <f>MINIFS(CBIC_Late_Fee_Relief_Windows_3B!$O$2888:$O$100,CBIC_Late_Fee_Relief_Windows_3B!$D$2888:$D$100,"&lt;="&amp;B2888,CBIC_Late_Fee_Relief_Windows_3B!$E$2888:$E$100,"&gt;="&amp;B2888,CBIC_Late_Fee_Relief_Windows_3B!$F$2888:$F$100,"&lt;="&amp;C2888,CBIC_Late_Fee_Relief_Windows_3B!$G$2888:$G$100,"&gt;="&amp;C2888)</f>
        <v/>
      </c>
      <c r="H2888">
        <f>INDEX(CBIC_Late_Fee_Relief_Windows_3B!$I$2888:$I$100,MATCH(G2888,CBIC_Late_Fee_Relief_Windows_3B!$O$2888:$O$100,0))</f>
        <v/>
      </c>
      <c r="I2888">
        <f>MIN(F2888,H2888)</f>
        <v/>
      </c>
    </row>
    <row r="2889">
      <c r="A2889">
        <f>TEST_DATA!A2889</f>
        <v/>
      </c>
      <c r="B2889">
        <f>TEST_DATA!B2889</f>
        <v/>
      </c>
      <c r="C2889">
        <f>TEST_DATA!C2889</f>
        <v/>
      </c>
      <c r="D2889">
        <f>TEST_DATA!D2889</f>
        <v/>
      </c>
      <c r="E2889">
        <f>TEST_DATA!E2889</f>
        <v/>
      </c>
      <c r="F2889">
        <f>MIN(E2889*288900,10000)</f>
        <v/>
      </c>
      <c r="G2889">
        <f>MINIFS(CBIC_Late_Fee_Relief_Windows_3B!$O$2889:$O$100,CBIC_Late_Fee_Relief_Windows_3B!$D$2889:$D$100,"&lt;="&amp;B2889,CBIC_Late_Fee_Relief_Windows_3B!$E$2889:$E$100,"&gt;="&amp;B2889,CBIC_Late_Fee_Relief_Windows_3B!$F$2889:$F$100,"&lt;="&amp;C2889,CBIC_Late_Fee_Relief_Windows_3B!$G$2889:$G$100,"&gt;="&amp;C2889)</f>
        <v/>
      </c>
      <c r="H2889">
        <f>INDEX(CBIC_Late_Fee_Relief_Windows_3B!$I$2889:$I$100,MATCH(G2889,CBIC_Late_Fee_Relief_Windows_3B!$O$2889:$O$100,0))</f>
        <v/>
      </c>
      <c r="I2889">
        <f>MIN(F2889,H2889)</f>
        <v/>
      </c>
    </row>
    <row r="2890">
      <c r="A2890">
        <f>TEST_DATA!A2890</f>
        <v/>
      </c>
      <c r="B2890">
        <f>TEST_DATA!B2890</f>
        <v/>
      </c>
      <c r="C2890">
        <f>TEST_DATA!C2890</f>
        <v/>
      </c>
      <c r="D2890">
        <f>TEST_DATA!D2890</f>
        <v/>
      </c>
      <c r="E2890">
        <f>TEST_DATA!E2890</f>
        <v/>
      </c>
      <c r="F2890">
        <f>MIN(E2890*289000,10000)</f>
        <v/>
      </c>
      <c r="G2890">
        <f>MINIFS(CBIC_Late_Fee_Relief_Windows_3B!$O$2890:$O$100,CBIC_Late_Fee_Relief_Windows_3B!$D$2890:$D$100,"&lt;="&amp;B2890,CBIC_Late_Fee_Relief_Windows_3B!$E$2890:$E$100,"&gt;="&amp;B2890,CBIC_Late_Fee_Relief_Windows_3B!$F$2890:$F$100,"&lt;="&amp;C2890,CBIC_Late_Fee_Relief_Windows_3B!$G$2890:$G$100,"&gt;="&amp;C2890)</f>
        <v/>
      </c>
      <c r="H2890">
        <f>INDEX(CBIC_Late_Fee_Relief_Windows_3B!$I$2890:$I$100,MATCH(G2890,CBIC_Late_Fee_Relief_Windows_3B!$O$2890:$O$100,0))</f>
        <v/>
      </c>
      <c r="I2890">
        <f>MIN(F2890,H2890)</f>
        <v/>
      </c>
    </row>
    <row r="2891">
      <c r="A2891">
        <f>TEST_DATA!A2891</f>
        <v/>
      </c>
      <c r="B2891">
        <f>TEST_DATA!B2891</f>
        <v/>
      </c>
      <c r="C2891">
        <f>TEST_DATA!C2891</f>
        <v/>
      </c>
      <c r="D2891">
        <f>TEST_DATA!D2891</f>
        <v/>
      </c>
      <c r="E2891">
        <f>TEST_DATA!E2891</f>
        <v/>
      </c>
      <c r="F2891">
        <f>MIN(E2891*289100,10000)</f>
        <v/>
      </c>
      <c r="G2891">
        <f>MINIFS(CBIC_Late_Fee_Relief_Windows_3B!$O$2891:$O$100,CBIC_Late_Fee_Relief_Windows_3B!$D$2891:$D$100,"&lt;="&amp;B2891,CBIC_Late_Fee_Relief_Windows_3B!$E$2891:$E$100,"&gt;="&amp;B2891,CBIC_Late_Fee_Relief_Windows_3B!$F$2891:$F$100,"&lt;="&amp;C2891,CBIC_Late_Fee_Relief_Windows_3B!$G$2891:$G$100,"&gt;="&amp;C2891)</f>
        <v/>
      </c>
      <c r="H2891">
        <f>INDEX(CBIC_Late_Fee_Relief_Windows_3B!$I$2891:$I$100,MATCH(G2891,CBIC_Late_Fee_Relief_Windows_3B!$O$2891:$O$100,0))</f>
        <v/>
      </c>
      <c r="I2891">
        <f>MIN(F2891,H2891)</f>
        <v/>
      </c>
    </row>
    <row r="2892">
      <c r="A2892">
        <f>TEST_DATA!A2892</f>
        <v/>
      </c>
      <c r="B2892">
        <f>TEST_DATA!B2892</f>
        <v/>
      </c>
      <c r="C2892">
        <f>TEST_DATA!C2892</f>
        <v/>
      </c>
      <c r="D2892">
        <f>TEST_DATA!D2892</f>
        <v/>
      </c>
      <c r="E2892">
        <f>TEST_DATA!E2892</f>
        <v/>
      </c>
      <c r="F2892">
        <f>MIN(E2892*289200,10000)</f>
        <v/>
      </c>
      <c r="G2892">
        <f>MINIFS(CBIC_Late_Fee_Relief_Windows_3B!$O$2892:$O$100,CBIC_Late_Fee_Relief_Windows_3B!$D$2892:$D$100,"&lt;="&amp;B2892,CBIC_Late_Fee_Relief_Windows_3B!$E$2892:$E$100,"&gt;="&amp;B2892,CBIC_Late_Fee_Relief_Windows_3B!$F$2892:$F$100,"&lt;="&amp;C2892,CBIC_Late_Fee_Relief_Windows_3B!$G$2892:$G$100,"&gt;="&amp;C2892)</f>
        <v/>
      </c>
      <c r="H2892">
        <f>INDEX(CBIC_Late_Fee_Relief_Windows_3B!$I$2892:$I$100,MATCH(G2892,CBIC_Late_Fee_Relief_Windows_3B!$O$2892:$O$100,0))</f>
        <v/>
      </c>
      <c r="I2892">
        <f>MIN(F2892,H2892)</f>
        <v/>
      </c>
    </row>
    <row r="2893">
      <c r="A2893">
        <f>TEST_DATA!A2893</f>
        <v/>
      </c>
      <c r="B2893">
        <f>TEST_DATA!B2893</f>
        <v/>
      </c>
      <c r="C2893">
        <f>TEST_DATA!C2893</f>
        <v/>
      </c>
      <c r="D2893">
        <f>TEST_DATA!D2893</f>
        <v/>
      </c>
      <c r="E2893">
        <f>TEST_DATA!E2893</f>
        <v/>
      </c>
      <c r="F2893">
        <f>MIN(E2893*289300,10000)</f>
        <v/>
      </c>
      <c r="G2893">
        <f>MINIFS(CBIC_Late_Fee_Relief_Windows_3B!$O$2893:$O$100,CBIC_Late_Fee_Relief_Windows_3B!$D$2893:$D$100,"&lt;="&amp;B2893,CBIC_Late_Fee_Relief_Windows_3B!$E$2893:$E$100,"&gt;="&amp;B2893,CBIC_Late_Fee_Relief_Windows_3B!$F$2893:$F$100,"&lt;="&amp;C2893,CBIC_Late_Fee_Relief_Windows_3B!$G$2893:$G$100,"&gt;="&amp;C2893)</f>
        <v/>
      </c>
      <c r="H2893">
        <f>INDEX(CBIC_Late_Fee_Relief_Windows_3B!$I$2893:$I$100,MATCH(G2893,CBIC_Late_Fee_Relief_Windows_3B!$O$2893:$O$100,0))</f>
        <v/>
      </c>
      <c r="I2893">
        <f>MIN(F2893,H2893)</f>
        <v/>
      </c>
    </row>
    <row r="2894">
      <c r="A2894">
        <f>TEST_DATA!A2894</f>
        <v/>
      </c>
      <c r="B2894">
        <f>TEST_DATA!B2894</f>
        <v/>
      </c>
      <c r="C2894">
        <f>TEST_DATA!C2894</f>
        <v/>
      </c>
      <c r="D2894">
        <f>TEST_DATA!D2894</f>
        <v/>
      </c>
      <c r="E2894">
        <f>TEST_DATA!E2894</f>
        <v/>
      </c>
      <c r="F2894">
        <f>MIN(E2894*289400,10000)</f>
        <v/>
      </c>
      <c r="G2894">
        <f>MINIFS(CBIC_Late_Fee_Relief_Windows_3B!$O$2894:$O$100,CBIC_Late_Fee_Relief_Windows_3B!$D$2894:$D$100,"&lt;="&amp;B2894,CBIC_Late_Fee_Relief_Windows_3B!$E$2894:$E$100,"&gt;="&amp;B2894,CBIC_Late_Fee_Relief_Windows_3B!$F$2894:$F$100,"&lt;="&amp;C2894,CBIC_Late_Fee_Relief_Windows_3B!$G$2894:$G$100,"&gt;="&amp;C2894)</f>
        <v/>
      </c>
      <c r="H2894">
        <f>INDEX(CBIC_Late_Fee_Relief_Windows_3B!$I$2894:$I$100,MATCH(G2894,CBIC_Late_Fee_Relief_Windows_3B!$O$2894:$O$100,0))</f>
        <v/>
      </c>
      <c r="I2894">
        <f>MIN(F2894,H2894)</f>
        <v/>
      </c>
    </row>
    <row r="2895">
      <c r="A2895">
        <f>TEST_DATA!A2895</f>
        <v/>
      </c>
      <c r="B2895">
        <f>TEST_DATA!B2895</f>
        <v/>
      </c>
      <c r="C2895">
        <f>TEST_DATA!C2895</f>
        <v/>
      </c>
      <c r="D2895">
        <f>TEST_DATA!D2895</f>
        <v/>
      </c>
      <c r="E2895">
        <f>TEST_DATA!E2895</f>
        <v/>
      </c>
      <c r="F2895">
        <f>MIN(E2895*289500,10000)</f>
        <v/>
      </c>
      <c r="G2895">
        <f>MINIFS(CBIC_Late_Fee_Relief_Windows_3B!$O$2895:$O$100,CBIC_Late_Fee_Relief_Windows_3B!$D$2895:$D$100,"&lt;="&amp;B2895,CBIC_Late_Fee_Relief_Windows_3B!$E$2895:$E$100,"&gt;="&amp;B2895,CBIC_Late_Fee_Relief_Windows_3B!$F$2895:$F$100,"&lt;="&amp;C2895,CBIC_Late_Fee_Relief_Windows_3B!$G$2895:$G$100,"&gt;="&amp;C2895)</f>
        <v/>
      </c>
      <c r="H2895">
        <f>INDEX(CBIC_Late_Fee_Relief_Windows_3B!$I$2895:$I$100,MATCH(G2895,CBIC_Late_Fee_Relief_Windows_3B!$O$2895:$O$100,0))</f>
        <v/>
      </c>
      <c r="I2895">
        <f>MIN(F2895,H2895)</f>
        <v/>
      </c>
    </row>
    <row r="2896">
      <c r="A2896">
        <f>TEST_DATA!A2896</f>
        <v/>
      </c>
      <c r="B2896">
        <f>TEST_DATA!B2896</f>
        <v/>
      </c>
      <c r="C2896">
        <f>TEST_DATA!C2896</f>
        <v/>
      </c>
      <c r="D2896">
        <f>TEST_DATA!D2896</f>
        <v/>
      </c>
      <c r="E2896">
        <f>TEST_DATA!E2896</f>
        <v/>
      </c>
      <c r="F2896">
        <f>MIN(E2896*289600,10000)</f>
        <v/>
      </c>
      <c r="G2896">
        <f>MINIFS(CBIC_Late_Fee_Relief_Windows_3B!$O$2896:$O$100,CBIC_Late_Fee_Relief_Windows_3B!$D$2896:$D$100,"&lt;="&amp;B2896,CBIC_Late_Fee_Relief_Windows_3B!$E$2896:$E$100,"&gt;="&amp;B2896,CBIC_Late_Fee_Relief_Windows_3B!$F$2896:$F$100,"&lt;="&amp;C2896,CBIC_Late_Fee_Relief_Windows_3B!$G$2896:$G$100,"&gt;="&amp;C2896)</f>
        <v/>
      </c>
      <c r="H2896">
        <f>INDEX(CBIC_Late_Fee_Relief_Windows_3B!$I$2896:$I$100,MATCH(G2896,CBIC_Late_Fee_Relief_Windows_3B!$O$2896:$O$100,0))</f>
        <v/>
      </c>
      <c r="I2896">
        <f>MIN(F2896,H2896)</f>
        <v/>
      </c>
    </row>
    <row r="2897">
      <c r="A2897">
        <f>TEST_DATA!A2897</f>
        <v/>
      </c>
      <c r="B2897">
        <f>TEST_DATA!B2897</f>
        <v/>
      </c>
      <c r="C2897">
        <f>TEST_DATA!C2897</f>
        <v/>
      </c>
      <c r="D2897">
        <f>TEST_DATA!D2897</f>
        <v/>
      </c>
      <c r="E2897">
        <f>TEST_DATA!E2897</f>
        <v/>
      </c>
      <c r="F2897">
        <f>MIN(E2897*289700,10000)</f>
        <v/>
      </c>
      <c r="G2897">
        <f>MINIFS(CBIC_Late_Fee_Relief_Windows_3B!$O$2897:$O$100,CBIC_Late_Fee_Relief_Windows_3B!$D$2897:$D$100,"&lt;="&amp;B2897,CBIC_Late_Fee_Relief_Windows_3B!$E$2897:$E$100,"&gt;="&amp;B2897,CBIC_Late_Fee_Relief_Windows_3B!$F$2897:$F$100,"&lt;="&amp;C2897,CBIC_Late_Fee_Relief_Windows_3B!$G$2897:$G$100,"&gt;="&amp;C2897)</f>
        <v/>
      </c>
      <c r="H2897">
        <f>INDEX(CBIC_Late_Fee_Relief_Windows_3B!$I$2897:$I$100,MATCH(G2897,CBIC_Late_Fee_Relief_Windows_3B!$O$2897:$O$100,0))</f>
        <v/>
      </c>
      <c r="I2897">
        <f>MIN(F2897,H2897)</f>
        <v/>
      </c>
    </row>
    <row r="2898">
      <c r="A2898">
        <f>TEST_DATA!A2898</f>
        <v/>
      </c>
      <c r="B2898">
        <f>TEST_DATA!B2898</f>
        <v/>
      </c>
      <c r="C2898">
        <f>TEST_DATA!C2898</f>
        <v/>
      </c>
      <c r="D2898">
        <f>TEST_DATA!D2898</f>
        <v/>
      </c>
      <c r="E2898">
        <f>TEST_DATA!E2898</f>
        <v/>
      </c>
      <c r="F2898">
        <f>MIN(E2898*289800,10000)</f>
        <v/>
      </c>
      <c r="G2898">
        <f>MINIFS(CBIC_Late_Fee_Relief_Windows_3B!$O$2898:$O$100,CBIC_Late_Fee_Relief_Windows_3B!$D$2898:$D$100,"&lt;="&amp;B2898,CBIC_Late_Fee_Relief_Windows_3B!$E$2898:$E$100,"&gt;="&amp;B2898,CBIC_Late_Fee_Relief_Windows_3B!$F$2898:$F$100,"&lt;="&amp;C2898,CBIC_Late_Fee_Relief_Windows_3B!$G$2898:$G$100,"&gt;="&amp;C2898)</f>
        <v/>
      </c>
      <c r="H2898">
        <f>INDEX(CBIC_Late_Fee_Relief_Windows_3B!$I$2898:$I$100,MATCH(G2898,CBIC_Late_Fee_Relief_Windows_3B!$O$2898:$O$100,0))</f>
        <v/>
      </c>
      <c r="I2898">
        <f>MIN(F2898,H2898)</f>
        <v/>
      </c>
    </row>
    <row r="2899">
      <c r="A2899">
        <f>TEST_DATA!A2899</f>
        <v/>
      </c>
      <c r="B2899">
        <f>TEST_DATA!B2899</f>
        <v/>
      </c>
      <c r="C2899">
        <f>TEST_DATA!C2899</f>
        <v/>
      </c>
      <c r="D2899">
        <f>TEST_DATA!D2899</f>
        <v/>
      </c>
      <c r="E2899">
        <f>TEST_DATA!E2899</f>
        <v/>
      </c>
      <c r="F2899">
        <f>MIN(E2899*289900,10000)</f>
        <v/>
      </c>
      <c r="G2899">
        <f>MINIFS(CBIC_Late_Fee_Relief_Windows_3B!$O$2899:$O$100,CBIC_Late_Fee_Relief_Windows_3B!$D$2899:$D$100,"&lt;="&amp;B2899,CBIC_Late_Fee_Relief_Windows_3B!$E$2899:$E$100,"&gt;="&amp;B2899,CBIC_Late_Fee_Relief_Windows_3B!$F$2899:$F$100,"&lt;="&amp;C2899,CBIC_Late_Fee_Relief_Windows_3B!$G$2899:$G$100,"&gt;="&amp;C2899)</f>
        <v/>
      </c>
      <c r="H2899">
        <f>INDEX(CBIC_Late_Fee_Relief_Windows_3B!$I$2899:$I$100,MATCH(G2899,CBIC_Late_Fee_Relief_Windows_3B!$O$2899:$O$100,0))</f>
        <v/>
      </c>
      <c r="I2899">
        <f>MIN(F2899,H2899)</f>
        <v/>
      </c>
    </row>
    <row r="2900">
      <c r="A2900">
        <f>TEST_DATA!A2900</f>
        <v/>
      </c>
      <c r="B2900">
        <f>TEST_DATA!B2900</f>
        <v/>
      </c>
      <c r="C2900">
        <f>TEST_DATA!C2900</f>
        <v/>
      </c>
      <c r="D2900">
        <f>TEST_DATA!D2900</f>
        <v/>
      </c>
      <c r="E2900">
        <f>TEST_DATA!E2900</f>
        <v/>
      </c>
      <c r="F2900">
        <f>MIN(E2900*290000,10000)</f>
        <v/>
      </c>
      <c r="G2900">
        <f>MINIFS(CBIC_Late_Fee_Relief_Windows_3B!$O$2900:$O$100,CBIC_Late_Fee_Relief_Windows_3B!$D$2900:$D$100,"&lt;="&amp;B2900,CBIC_Late_Fee_Relief_Windows_3B!$E$2900:$E$100,"&gt;="&amp;B2900,CBIC_Late_Fee_Relief_Windows_3B!$F$2900:$F$100,"&lt;="&amp;C2900,CBIC_Late_Fee_Relief_Windows_3B!$G$2900:$G$100,"&gt;="&amp;C2900)</f>
        <v/>
      </c>
      <c r="H2900">
        <f>INDEX(CBIC_Late_Fee_Relief_Windows_3B!$I$2900:$I$100,MATCH(G2900,CBIC_Late_Fee_Relief_Windows_3B!$O$2900:$O$100,0))</f>
        <v/>
      </c>
      <c r="I2900">
        <f>MIN(F2900,H2900)</f>
        <v/>
      </c>
    </row>
    <row r="2901">
      <c r="A2901">
        <f>TEST_DATA!A2901</f>
        <v/>
      </c>
      <c r="B2901">
        <f>TEST_DATA!B2901</f>
        <v/>
      </c>
      <c r="C2901">
        <f>TEST_DATA!C2901</f>
        <v/>
      </c>
      <c r="D2901">
        <f>TEST_DATA!D2901</f>
        <v/>
      </c>
      <c r="E2901">
        <f>TEST_DATA!E2901</f>
        <v/>
      </c>
      <c r="F2901">
        <f>MIN(E2901*290100,10000)</f>
        <v/>
      </c>
      <c r="G2901">
        <f>MINIFS(CBIC_Late_Fee_Relief_Windows_3B!$O$2901:$O$100,CBIC_Late_Fee_Relief_Windows_3B!$D$2901:$D$100,"&lt;="&amp;B2901,CBIC_Late_Fee_Relief_Windows_3B!$E$2901:$E$100,"&gt;="&amp;B2901,CBIC_Late_Fee_Relief_Windows_3B!$F$2901:$F$100,"&lt;="&amp;C2901,CBIC_Late_Fee_Relief_Windows_3B!$G$2901:$G$100,"&gt;="&amp;C2901)</f>
        <v/>
      </c>
      <c r="H2901">
        <f>INDEX(CBIC_Late_Fee_Relief_Windows_3B!$I$2901:$I$100,MATCH(G2901,CBIC_Late_Fee_Relief_Windows_3B!$O$2901:$O$100,0))</f>
        <v/>
      </c>
      <c r="I2901">
        <f>MIN(F2901,H2901)</f>
        <v/>
      </c>
    </row>
    <row r="2902">
      <c r="A2902">
        <f>TEST_DATA!A2902</f>
        <v/>
      </c>
      <c r="B2902">
        <f>TEST_DATA!B2902</f>
        <v/>
      </c>
      <c r="C2902">
        <f>TEST_DATA!C2902</f>
        <v/>
      </c>
      <c r="D2902">
        <f>TEST_DATA!D2902</f>
        <v/>
      </c>
      <c r="E2902">
        <f>TEST_DATA!E2902</f>
        <v/>
      </c>
      <c r="F2902">
        <f>MIN(E2902*290200,10000)</f>
        <v/>
      </c>
      <c r="G2902">
        <f>MINIFS(CBIC_Late_Fee_Relief_Windows_3B!$O$2902:$O$100,CBIC_Late_Fee_Relief_Windows_3B!$D$2902:$D$100,"&lt;="&amp;B2902,CBIC_Late_Fee_Relief_Windows_3B!$E$2902:$E$100,"&gt;="&amp;B2902,CBIC_Late_Fee_Relief_Windows_3B!$F$2902:$F$100,"&lt;="&amp;C2902,CBIC_Late_Fee_Relief_Windows_3B!$G$2902:$G$100,"&gt;="&amp;C2902)</f>
        <v/>
      </c>
      <c r="H2902">
        <f>INDEX(CBIC_Late_Fee_Relief_Windows_3B!$I$2902:$I$100,MATCH(G2902,CBIC_Late_Fee_Relief_Windows_3B!$O$2902:$O$100,0))</f>
        <v/>
      </c>
      <c r="I2902">
        <f>MIN(F2902,H2902)</f>
        <v/>
      </c>
    </row>
    <row r="2903">
      <c r="A2903">
        <f>TEST_DATA!A2903</f>
        <v/>
      </c>
      <c r="B2903">
        <f>TEST_DATA!B2903</f>
        <v/>
      </c>
      <c r="C2903">
        <f>TEST_DATA!C2903</f>
        <v/>
      </c>
      <c r="D2903">
        <f>TEST_DATA!D2903</f>
        <v/>
      </c>
      <c r="E2903">
        <f>TEST_DATA!E2903</f>
        <v/>
      </c>
      <c r="F2903">
        <f>MIN(E2903*290300,10000)</f>
        <v/>
      </c>
      <c r="G2903">
        <f>MINIFS(CBIC_Late_Fee_Relief_Windows_3B!$O$2903:$O$100,CBIC_Late_Fee_Relief_Windows_3B!$D$2903:$D$100,"&lt;="&amp;B2903,CBIC_Late_Fee_Relief_Windows_3B!$E$2903:$E$100,"&gt;="&amp;B2903,CBIC_Late_Fee_Relief_Windows_3B!$F$2903:$F$100,"&lt;="&amp;C2903,CBIC_Late_Fee_Relief_Windows_3B!$G$2903:$G$100,"&gt;="&amp;C2903)</f>
        <v/>
      </c>
      <c r="H2903">
        <f>INDEX(CBIC_Late_Fee_Relief_Windows_3B!$I$2903:$I$100,MATCH(G2903,CBIC_Late_Fee_Relief_Windows_3B!$O$2903:$O$100,0))</f>
        <v/>
      </c>
      <c r="I2903">
        <f>MIN(F2903,H2903)</f>
        <v/>
      </c>
    </row>
    <row r="2904">
      <c r="A2904">
        <f>TEST_DATA!A2904</f>
        <v/>
      </c>
      <c r="B2904">
        <f>TEST_DATA!B2904</f>
        <v/>
      </c>
      <c r="C2904">
        <f>TEST_DATA!C2904</f>
        <v/>
      </c>
      <c r="D2904">
        <f>TEST_DATA!D2904</f>
        <v/>
      </c>
      <c r="E2904">
        <f>TEST_DATA!E2904</f>
        <v/>
      </c>
      <c r="F2904">
        <f>MIN(E2904*290400,10000)</f>
        <v/>
      </c>
      <c r="G2904">
        <f>MINIFS(CBIC_Late_Fee_Relief_Windows_3B!$O$2904:$O$100,CBIC_Late_Fee_Relief_Windows_3B!$D$2904:$D$100,"&lt;="&amp;B2904,CBIC_Late_Fee_Relief_Windows_3B!$E$2904:$E$100,"&gt;="&amp;B2904,CBIC_Late_Fee_Relief_Windows_3B!$F$2904:$F$100,"&lt;="&amp;C2904,CBIC_Late_Fee_Relief_Windows_3B!$G$2904:$G$100,"&gt;="&amp;C2904)</f>
        <v/>
      </c>
      <c r="H2904">
        <f>INDEX(CBIC_Late_Fee_Relief_Windows_3B!$I$2904:$I$100,MATCH(G2904,CBIC_Late_Fee_Relief_Windows_3B!$O$2904:$O$100,0))</f>
        <v/>
      </c>
      <c r="I2904">
        <f>MIN(F2904,H2904)</f>
        <v/>
      </c>
    </row>
    <row r="2905">
      <c r="A2905">
        <f>TEST_DATA!A2905</f>
        <v/>
      </c>
      <c r="B2905">
        <f>TEST_DATA!B2905</f>
        <v/>
      </c>
      <c r="C2905">
        <f>TEST_DATA!C2905</f>
        <v/>
      </c>
      <c r="D2905">
        <f>TEST_DATA!D2905</f>
        <v/>
      </c>
      <c r="E2905">
        <f>TEST_DATA!E2905</f>
        <v/>
      </c>
      <c r="F2905">
        <f>MIN(E2905*290500,10000)</f>
        <v/>
      </c>
      <c r="G2905">
        <f>MINIFS(CBIC_Late_Fee_Relief_Windows_3B!$O$2905:$O$100,CBIC_Late_Fee_Relief_Windows_3B!$D$2905:$D$100,"&lt;="&amp;B2905,CBIC_Late_Fee_Relief_Windows_3B!$E$2905:$E$100,"&gt;="&amp;B2905,CBIC_Late_Fee_Relief_Windows_3B!$F$2905:$F$100,"&lt;="&amp;C2905,CBIC_Late_Fee_Relief_Windows_3B!$G$2905:$G$100,"&gt;="&amp;C2905)</f>
        <v/>
      </c>
      <c r="H2905">
        <f>INDEX(CBIC_Late_Fee_Relief_Windows_3B!$I$2905:$I$100,MATCH(G2905,CBIC_Late_Fee_Relief_Windows_3B!$O$2905:$O$100,0))</f>
        <v/>
      </c>
      <c r="I2905">
        <f>MIN(F2905,H2905)</f>
        <v/>
      </c>
    </row>
    <row r="2906">
      <c r="A2906">
        <f>TEST_DATA!A2906</f>
        <v/>
      </c>
      <c r="B2906">
        <f>TEST_DATA!B2906</f>
        <v/>
      </c>
      <c r="C2906">
        <f>TEST_DATA!C2906</f>
        <v/>
      </c>
      <c r="D2906">
        <f>TEST_DATA!D2906</f>
        <v/>
      </c>
      <c r="E2906">
        <f>TEST_DATA!E2906</f>
        <v/>
      </c>
      <c r="F2906">
        <f>MIN(E2906*290600,10000)</f>
        <v/>
      </c>
      <c r="G2906">
        <f>MINIFS(CBIC_Late_Fee_Relief_Windows_3B!$O$2906:$O$100,CBIC_Late_Fee_Relief_Windows_3B!$D$2906:$D$100,"&lt;="&amp;B2906,CBIC_Late_Fee_Relief_Windows_3B!$E$2906:$E$100,"&gt;="&amp;B2906,CBIC_Late_Fee_Relief_Windows_3B!$F$2906:$F$100,"&lt;="&amp;C2906,CBIC_Late_Fee_Relief_Windows_3B!$G$2906:$G$100,"&gt;="&amp;C2906)</f>
        <v/>
      </c>
      <c r="H2906">
        <f>INDEX(CBIC_Late_Fee_Relief_Windows_3B!$I$2906:$I$100,MATCH(G2906,CBIC_Late_Fee_Relief_Windows_3B!$O$2906:$O$100,0))</f>
        <v/>
      </c>
      <c r="I2906">
        <f>MIN(F2906,H2906)</f>
        <v/>
      </c>
    </row>
    <row r="2907">
      <c r="A2907">
        <f>TEST_DATA!A2907</f>
        <v/>
      </c>
      <c r="B2907">
        <f>TEST_DATA!B2907</f>
        <v/>
      </c>
      <c r="C2907">
        <f>TEST_DATA!C2907</f>
        <v/>
      </c>
      <c r="D2907">
        <f>TEST_DATA!D2907</f>
        <v/>
      </c>
      <c r="E2907">
        <f>TEST_DATA!E2907</f>
        <v/>
      </c>
      <c r="F2907">
        <f>MIN(E2907*290700,10000)</f>
        <v/>
      </c>
      <c r="G2907">
        <f>MINIFS(CBIC_Late_Fee_Relief_Windows_3B!$O$2907:$O$100,CBIC_Late_Fee_Relief_Windows_3B!$D$2907:$D$100,"&lt;="&amp;B2907,CBIC_Late_Fee_Relief_Windows_3B!$E$2907:$E$100,"&gt;="&amp;B2907,CBIC_Late_Fee_Relief_Windows_3B!$F$2907:$F$100,"&lt;="&amp;C2907,CBIC_Late_Fee_Relief_Windows_3B!$G$2907:$G$100,"&gt;="&amp;C2907)</f>
        <v/>
      </c>
      <c r="H2907">
        <f>INDEX(CBIC_Late_Fee_Relief_Windows_3B!$I$2907:$I$100,MATCH(G2907,CBIC_Late_Fee_Relief_Windows_3B!$O$2907:$O$100,0))</f>
        <v/>
      </c>
      <c r="I2907">
        <f>MIN(F2907,H2907)</f>
        <v/>
      </c>
    </row>
    <row r="2908">
      <c r="A2908">
        <f>TEST_DATA!A2908</f>
        <v/>
      </c>
      <c r="B2908">
        <f>TEST_DATA!B2908</f>
        <v/>
      </c>
      <c r="C2908">
        <f>TEST_DATA!C2908</f>
        <v/>
      </c>
      <c r="D2908">
        <f>TEST_DATA!D2908</f>
        <v/>
      </c>
      <c r="E2908">
        <f>TEST_DATA!E2908</f>
        <v/>
      </c>
      <c r="F2908">
        <f>MIN(E2908*290800,10000)</f>
        <v/>
      </c>
      <c r="G2908">
        <f>MINIFS(CBIC_Late_Fee_Relief_Windows_3B!$O$2908:$O$100,CBIC_Late_Fee_Relief_Windows_3B!$D$2908:$D$100,"&lt;="&amp;B2908,CBIC_Late_Fee_Relief_Windows_3B!$E$2908:$E$100,"&gt;="&amp;B2908,CBIC_Late_Fee_Relief_Windows_3B!$F$2908:$F$100,"&lt;="&amp;C2908,CBIC_Late_Fee_Relief_Windows_3B!$G$2908:$G$100,"&gt;="&amp;C2908)</f>
        <v/>
      </c>
      <c r="H2908">
        <f>INDEX(CBIC_Late_Fee_Relief_Windows_3B!$I$2908:$I$100,MATCH(G2908,CBIC_Late_Fee_Relief_Windows_3B!$O$2908:$O$100,0))</f>
        <v/>
      </c>
      <c r="I2908">
        <f>MIN(F2908,H2908)</f>
        <v/>
      </c>
    </row>
    <row r="2909">
      <c r="A2909">
        <f>TEST_DATA!A2909</f>
        <v/>
      </c>
      <c r="B2909">
        <f>TEST_DATA!B2909</f>
        <v/>
      </c>
      <c r="C2909">
        <f>TEST_DATA!C2909</f>
        <v/>
      </c>
      <c r="D2909">
        <f>TEST_DATA!D2909</f>
        <v/>
      </c>
      <c r="E2909">
        <f>TEST_DATA!E2909</f>
        <v/>
      </c>
      <c r="F2909">
        <f>MIN(E2909*290900,10000)</f>
        <v/>
      </c>
      <c r="G2909">
        <f>MINIFS(CBIC_Late_Fee_Relief_Windows_3B!$O$2909:$O$100,CBIC_Late_Fee_Relief_Windows_3B!$D$2909:$D$100,"&lt;="&amp;B2909,CBIC_Late_Fee_Relief_Windows_3B!$E$2909:$E$100,"&gt;="&amp;B2909,CBIC_Late_Fee_Relief_Windows_3B!$F$2909:$F$100,"&lt;="&amp;C2909,CBIC_Late_Fee_Relief_Windows_3B!$G$2909:$G$100,"&gt;="&amp;C2909)</f>
        <v/>
      </c>
      <c r="H2909">
        <f>INDEX(CBIC_Late_Fee_Relief_Windows_3B!$I$2909:$I$100,MATCH(G2909,CBIC_Late_Fee_Relief_Windows_3B!$O$2909:$O$100,0))</f>
        <v/>
      </c>
      <c r="I2909">
        <f>MIN(F2909,H2909)</f>
        <v/>
      </c>
    </row>
    <row r="2910">
      <c r="A2910">
        <f>TEST_DATA!A2910</f>
        <v/>
      </c>
      <c r="B2910">
        <f>TEST_DATA!B2910</f>
        <v/>
      </c>
      <c r="C2910">
        <f>TEST_DATA!C2910</f>
        <v/>
      </c>
      <c r="D2910">
        <f>TEST_DATA!D2910</f>
        <v/>
      </c>
      <c r="E2910">
        <f>TEST_DATA!E2910</f>
        <v/>
      </c>
      <c r="F2910">
        <f>MIN(E2910*291000,10000)</f>
        <v/>
      </c>
      <c r="G2910">
        <f>MINIFS(CBIC_Late_Fee_Relief_Windows_3B!$O$2910:$O$100,CBIC_Late_Fee_Relief_Windows_3B!$D$2910:$D$100,"&lt;="&amp;B2910,CBIC_Late_Fee_Relief_Windows_3B!$E$2910:$E$100,"&gt;="&amp;B2910,CBIC_Late_Fee_Relief_Windows_3B!$F$2910:$F$100,"&lt;="&amp;C2910,CBIC_Late_Fee_Relief_Windows_3B!$G$2910:$G$100,"&gt;="&amp;C2910)</f>
        <v/>
      </c>
      <c r="H2910">
        <f>INDEX(CBIC_Late_Fee_Relief_Windows_3B!$I$2910:$I$100,MATCH(G2910,CBIC_Late_Fee_Relief_Windows_3B!$O$2910:$O$100,0))</f>
        <v/>
      </c>
      <c r="I2910">
        <f>MIN(F2910,H2910)</f>
        <v/>
      </c>
    </row>
    <row r="2911">
      <c r="A2911">
        <f>TEST_DATA!A2911</f>
        <v/>
      </c>
      <c r="B2911">
        <f>TEST_DATA!B2911</f>
        <v/>
      </c>
      <c r="C2911">
        <f>TEST_DATA!C2911</f>
        <v/>
      </c>
      <c r="D2911">
        <f>TEST_DATA!D2911</f>
        <v/>
      </c>
      <c r="E2911">
        <f>TEST_DATA!E2911</f>
        <v/>
      </c>
      <c r="F2911">
        <f>MIN(E2911*291100,10000)</f>
        <v/>
      </c>
      <c r="G2911">
        <f>MINIFS(CBIC_Late_Fee_Relief_Windows_3B!$O$2911:$O$100,CBIC_Late_Fee_Relief_Windows_3B!$D$2911:$D$100,"&lt;="&amp;B2911,CBIC_Late_Fee_Relief_Windows_3B!$E$2911:$E$100,"&gt;="&amp;B2911,CBIC_Late_Fee_Relief_Windows_3B!$F$2911:$F$100,"&lt;="&amp;C2911,CBIC_Late_Fee_Relief_Windows_3B!$G$2911:$G$100,"&gt;="&amp;C2911)</f>
        <v/>
      </c>
      <c r="H2911">
        <f>INDEX(CBIC_Late_Fee_Relief_Windows_3B!$I$2911:$I$100,MATCH(G2911,CBIC_Late_Fee_Relief_Windows_3B!$O$2911:$O$100,0))</f>
        <v/>
      </c>
      <c r="I2911">
        <f>MIN(F2911,H2911)</f>
        <v/>
      </c>
    </row>
    <row r="2912">
      <c r="A2912">
        <f>TEST_DATA!A2912</f>
        <v/>
      </c>
      <c r="B2912">
        <f>TEST_DATA!B2912</f>
        <v/>
      </c>
      <c r="C2912">
        <f>TEST_DATA!C2912</f>
        <v/>
      </c>
      <c r="D2912">
        <f>TEST_DATA!D2912</f>
        <v/>
      </c>
      <c r="E2912">
        <f>TEST_DATA!E2912</f>
        <v/>
      </c>
      <c r="F2912">
        <f>MIN(E2912*291200,10000)</f>
        <v/>
      </c>
      <c r="G2912">
        <f>MINIFS(CBIC_Late_Fee_Relief_Windows_3B!$O$2912:$O$100,CBIC_Late_Fee_Relief_Windows_3B!$D$2912:$D$100,"&lt;="&amp;B2912,CBIC_Late_Fee_Relief_Windows_3B!$E$2912:$E$100,"&gt;="&amp;B2912,CBIC_Late_Fee_Relief_Windows_3B!$F$2912:$F$100,"&lt;="&amp;C2912,CBIC_Late_Fee_Relief_Windows_3B!$G$2912:$G$100,"&gt;="&amp;C2912)</f>
        <v/>
      </c>
      <c r="H2912">
        <f>INDEX(CBIC_Late_Fee_Relief_Windows_3B!$I$2912:$I$100,MATCH(G2912,CBIC_Late_Fee_Relief_Windows_3B!$O$2912:$O$100,0))</f>
        <v/>
      </c>
      <c r="I2912">
        <f>MIN(F2912,H2912)</f>
        <v/>
      </c>
    </row>
    <row r="2913">
      <c r="A2913">
        <f>TEST_DATA!A2913</f>
        <v/>
      </c>
      <c r="B2913">
        <f>TEST_DATA!B2913</f>
        <v/>
      </c>
      <c r="C2913">
        <f>TEST_DATA!C2913</f>
        <v/>
      </c>
      <c r="D2913">
        <f>TEST_DATA!D2913</f>
        <v/>
      </c>
      <c r="E2913">
        <f>TEST_DATA!E2913</f>
        <v/>
      </c>
      <c r="F2913">
        <f>MIN(E2913*291300,10000)</f>
        <v/>
      </c>
      <c r="G2913">
        <f>MINIFS(CBIC_Late_Fee_Relief_Windows_3B!$O$2913:$O$100,CBIC_Late_Fee_Relief_Windows_3B!$D$2913:$D$100,"&lt;="&amp;B2913,CBIC_Late_Fee_Relief_Windows_3B!$E$2913:$E$100,"&gt;="&amp;B2913,CBIC_Late_Fee_Relief_Windows_3B!$F$2913:$F$100,"&lt;="&amp;C2913,CBIC_Late_Fee_Relief_Windows_3B!$G$2913:$G$100,"&gt;="&amp;C2913)</f>
        <v/>
      </c>
      <c r="H2913">
        <f>INDEX(CBIC_Late_Fee_Relief_Windows_3B!$I$2913:$I$100,MATCH(G2913,CBIC_Late_Fee_Relief_Windows_3B!$O$2913:$O$100,0))</f>
        <v/>
      </c>
      <c r="I2913">
        <f>MIN(F2913,H2913)</f>
        <v/>
      </c>
    </row>
    <row r="2914">
      <c r="A2914">
        <f>TEST_DATA!A2914</f>
        <v/>
      </c>
      <c r="B2914">
        <f>TEST_DATA!B2914</f>
        <v/>
      </c>
      <c r="C2914">
        <f>TEST_DATA!C2914</f>
        <v/>
      </c>
      <c r="D2914">
        <f>TEST_DATA!D2914</f>
        <v/>
      </c>
      <c r="E2914">
        <f>TEST_DATA!E2914</f>
        <v/>
      </c>
      <c r="F2914">
        <f>MIN(E2914*291400,10000)</f>
        <v/>
      </c>
      <c r="G2914">
        <f>MINIFS(CBIC_Late_Fee_Relief_Windows_3B!$O$2914:$O$100,CBIC_Late_Fee_Relief_Windows_3B!$D$2914:$D$100,"&lt;="&amp;B2914,CBIC_Late_Fee_Relief_Windows_3B!$E$2914:$E$100,"&gt;="&amp;B2914,CBIC_Late_Fee_Relief_Windows_3B!$F$2914:$F$100,"&lt;="&amp;C2914,CBIC_Late_Fee_Relief_Windows_3B!$G$2914:$G$100,"&gt;="&amp;C2914)</f>
        <v/>
      </c>
      <c r="H2914">
        <f>INDEX(CBIC_Late_Fee_Relief_Windows_3B!$I$2914:$I$100,MATCH(G2914,CBIC_Late_Fee_Relief_Windows_3B!$O$2914:$O$100,0))</f>
        <v/>
      </c>
      <c r="I2914">
        <f>MIN(F2914,H2914)</f>
        <v/>
      </c>
    </row>
    <row r="2915">
      <c r="A2915">
        <f>TEST_DATA!A2915</f>
        <v/>
      </c>
      <c r="B2915">
        <f>TEST_DATA!B2915</f>
        <v/>
      </c>
      <c r="C2915">
        <f>TEST_DATA!C2915</f>
        <v/>
      </c>
      <c r="D2915">
        <f>TEST_DATA!D2915</f>
        <v/>
      </c>
      <c r="E2915">
        <f>TEST_DATA!E2915</f>
        <v/>
      </c>
      <c r="F2915">
        <f>MIN(E2915*291500,10000)</f>
        <v/>
      </c>
      <c r="G2915">
        <f>MINIFS(CBIC_Late_Fee_Relief_Windows_3B!$O$2915:$O$100,CBIC_Late_Fee_Relief_Windows_3B!$D$2915:$D$100,"&lt;="&amp;B2915,CBIC_Late_Fee_Relief_Windows_3B!$E$2915:$E$100,"&gt;="&amp;B2915,CBIC_Late_Fee_Relief_Windows_3B!$F$2915:$F$100,"&lt;="&amp;C2915,CBIC_Late_Fee_Relief_Windows_3B!$G$2915:$G$100,"&gt;="&amp;C2915)</f>
        <v/>
      </c>
      <c r="H2915">
        <f>INDEX(CBIC_Late_Fee_Relief_Windows_3B!$I$2915:$I$100,MATCH(G2915,CBIC_Late_Fee_Relief_Windows_3B!$O$2915:$O$100,0))</f>
        <v/>
      </c>
      <c r="I2915">
        <f>MIN(F2915,H2915)</f>
        <v/>
      </c>
    </row>
    <row r="2916">
      <c r="A2916">
        <f>TEST_DATA!A2916</f>
        <v/>
      </c>
      <c r="B2916">
        <f>TEST_DATA!B2916</f>
        <v/>
      </c>
      <c r="C2916">
        <f>TEST_DATA!C2916</f>
        <v/>
      </c>
      <c r="D2916">
        <f>TEST_DATA!D2916</f>
        <v/>
      </c>
      <c r="E2916">
        <f>TEST_DATA!E2916</f>
        <v/>
      </c>
      <c r="F2916">
        <f>MIN(E2916*291600,10000)</f>
        <v/>
      </c>
      <c r="G2916">
        <f>MINIFS(CBIC_Late_Fee_Relief_Windows_3B!$O$2916:$O$100,CBIC_Late_Fee_Relief_Windows_3B!$D$2916:$D$100,"&lt;="&amp;B2916,CBIC_Late_Fee_Relief_Windows_3B!$E$2916:$E$100,"&gt;="&amp;B2916,CBIC_Late_Fee_Relief_Windows_3B!$F$2916:$F$100,"&lt;="&amp;C2916,CBIC_Late_Fee_Relief_Windows_3B!$G$2916:$G$100,"&gt;="&amp;C2916)</f>
        <v/>
      </c>
      <c r="H2916">
        <f>INDEX(CBIC_Late_Fee_Relief_Windows_3B!$I$2916:$I$100,MATCH(G2916,CBIC_Late_Fee_Relief_Windows_3B!$O$2916:$O$100,0))</f>
        <v/>
      </c>
      <c r="I2916">
        <f>MIN(F2916,H2916)</f>
        <v/>
      </c>
    </row>
    <row r="2917">
      <c r="A2917">
        <f>TEST_DATA!A2917</f>
        <v/>
      </c>
      <c r="B2917">
        <f>TEST_DATA!B2917</f>
        <v/>
      </c>
      <c r="C2917">
        <f>TEST_DATA!C2917</f>
        <v/>
      </c>
      <c r="D2917">
        <f>TEST_DATA!D2917</f>
        <v/>
      </c>
      <c r="E2917">
        <f>TEST_DATA!E2917</f>
        <v/>
      </c>
      <c r="F2917">
        <f>MIN(E2917*291700,10000)</f>
        <v/>
      </c>
      <c r="G2917">
        <f>MINIFS(CBIC_Late_Fee_Relief_Windows_3B!$O$2917:$O$100,CBIC_Late_Fee_Relief_Windows_3B!$D$2917:$D$100,"&lt;="&amp;B2917,CBIC_Late_Fee_Relief_Windows_3B!$E$2917:$E$100,"&gt;="&amp;B2917,CBIC_Late_Fee_Relief_Windows_3B!$F$2917:$F$100,"&lt;="&amp;C2917,CBIC_Late_Fee_Relief_Windows_3B!$G$2917:$G$100,"&gt;="&amp;C2917)</f>
        <v/>
      </c>
      <c r="H2917">
        <f>INDEX(CBIC_Late_Fee_Relief_Windows_3B!$I$2917:$I$100,MATCH(G2917,CBIC_Late_Fee_Relief_Windows_3B!$O$2917:$O$100,0))</f>
        <v/>
      </c>
      <c r="I2917">
        <f>MIN(F2917,H2917)</f>
        <v/>
      </c>
    </row>
    <row r="2918">
      <c r="A2918">
        <f>TEST_DATA!A2918</f>
        <v/>
      </c>
      <c r="B2918">
        <f>TEST_DATA!B2918</f>
        <v/>
      </c>
      <c r="C2918">
        <f>TEST_DATA!C2918</f>
        <v/>
      </c>
      <c r="D2918">
        <f>TEST_DATA!D2918</f>
        <v/>
      </c>
      <c r="E2918">
        <f>TEST_DATA!E2918</f>
        <v/>
      </c>
      <c r="F2918">
        <f>MIN(E2918*291800,10000)</f>
        <v/>
      </c>
      <c r="G2918">
        <f>MINIFS(CBIC_Late_Fee_Relief_Windows_3B!$O$2918:$O$100,CBIC_Late_Fee_Relief_Windows_3B!$D$2918:$D$100,"&lt;="&amp;B2918,CBIC_Late_Fee_Relief_Windows_3B!$E$2918:$E$100,"&gt;="&amp;B2918,CBIC_Late_Fee_Relief_Windows_3B!$F$2918:$F$100,"&lt;="&amp;C2918,CBIC_Late_Fee_Relief_Windows_3B!$G$2918:$G$100,"&gt;="&amp;C2918)</f>
        <v/>
      </c>
      <c r="H2918">
        <f>INDEX(CBIC_Late_Fee_Relief_Windows_3B!$I$2918:$I$100,MATCH(G2918,CBIC_Late_Fee_Relief_Windows_3B!$O$2918:$O$100,0))</f>
        <v/>
      </c>
      <c r="I2918">
        <f>MIN(F2918,H2918)</f>
        <v/>
      </c>
    </row>
    <row r="2919">
      <c r="A2919">
        <f>TEST_DATA!A2919</f>
        <v/>
      </c>
      <c r="B2919">
        <f>TEST_DATA!B2919</f>
        <v/>
      </c>
      <c r="C2919">
        <f>TEST_DATA!C2919</f>
        <v/>
      </c>
      <c r="D2919">
        <f>TEST_DATA!D2919</f>
        <v/>
      </c>
      <c r="E2919">
        <f>TEST_DATA!E2919</f>
        <v/>
      </c>
      <c r="F2919">
        <f>MIN(E2919*291900,10000)</f>
        <v/>
      </c>
      <c r="G2919">
        <f>MINIFS(CBIC_Late_Fee_Relief_Windows_3B!$O$2919:$O$100,CBIC_Late_Fee_Relief_Windows_3B!$D$2919:$D$100,"&lt;="&amp;B2919,CBIC_Late_Fee_Relief_Windows_3B!$E$2919:$E$100,"&gt;="&amp;B2919,CBIC_Late_Fee_Relief_Windows_3B!$F$2919:$F$100,"&lt;="&amp;C2919,CBIC_Late_Fee_Relief_Windows_3B!$G$2919:$G$100,"&gt;="&amp;C2919)</f>
        <v/>
      </c>
      <c r="H2919">
        <f>INDEX(CBIC_Late_Fee_Relief_Windows_3B!$I$2919:$I$100,MATCH(G2919,CBIC_Late_Fee_Relief_Windows_3B!$O$2919:$O$100,0))</f>
        <v/>
      </c>
      <c r="I2919">
        <f>MIN(F2919,H2919)</f>
        <v/>
      </c>
    </row>
    <row r="2920">
      <c r="A2920">
        <f>TEST_DATA!A2920</f>
        <v/>
      </c>
      <c r="B2920">
        <f>TEST_DATA!B2920</f>
        <v/>
      </c>
      <c r="C2920">
        <f>TEST_DATA!C2920</f>
        <v/>
      </c>
      <c r="D2920">
        <f>TEST_DATA!D2920</f>
        <v/>
      </c>
      <c r="E2920">
        <f>TEST_DATA!E2920</f>
        <v/>
      </c>
      <c r="F2920">
        <f>MIN(E2920*292000,10000)</f>
        <v/>
      </c>
      <c r="G2920">
        <f>MINIFS(CBIC_Late_Fee_Relief_Windows_3B!$O$2920:$O$100,CBIC_Late_Fee_Relief_Windows_3B!$D$2920:$D$100,"&lt;="&amp;B2920,CBIC_Late_Fee_Relief_Windows_3B!$E$2920:$E$100,"&gt;="&amp;B2920,CBIC_Late_Fee_Relief_Windows_3B!$F$2920:$F$100,"&lt;="&amp;C2920,CBIC_Late_Fee_Relief_Windows_3B!$G$2920:$G$100,"&gt;="&amp;C2920)</f>
        <v/>
      </c>
      <c r="H2920">
        <f>INDEX(CBIC_Late_Fee_Relief_Windows_3B!$I$2920:$I$100,MATCH(G2920,CBIC_Late_Fee_Relief_Windows_3B!$O$2920:$O$100,0))</f>
        <v/>
      </c>
      <c r="I2920">
        <f>MIN(F2920,H2920)</f>
        <v/>
      </c>
    </row>
    <row r="2921">
      <c r="A2921">
        <f>TEST_DATA!A2921</f>
        <v/>
      </c>
      <c r="B2921">
        <f>TEST_DATA!B2921</f>
        <v/>
      </c>
      <c r="C2921">
        <f>TEST_DATA!C2921</f>
        <v/>
      </c>
      <c r="D2921">
        <f>TEST_DATA!D2921</f>
        <v/>
      </c>
      <c r="E2921">
        <f>TEST_DATA!E2921</f>
        <v/>
      </c>
      <c r="F2921">
        <f>MIN(E2921*292100,10000)</f>
        <v/>
      </c>
      <c r="G2921">
        <f>MINIFS(CBIC_Late_Fee_Relief_Windows_3B!$O$2921:$O$100,CBIC_Late_Fee_Relief_Windows_3B!$D$2921:$D$100,"&lt;="&amp;B2921,CBIC_Late_Fee_Relief_Windows_3B!$E$2921:$E$100,"&gt;="&amp;B2921,CBIC_Late_Fee_Relief_Windows_3B!$F$2921:$F$100,"&lt;="&amp;C2921,CBIC_Late_Fee_Relief_Windows_3B!$G$2921:$G$100,"&gt;="&amp;C2921)</f>
        <v/>
      </c>
      <c r="H2921">
        <f>INDEX(CBIC_Late_Fee_Relief_Windows_3B!$I$2921:$I$100,MATCH(G2921,CBIC_Late_Fee_Relief_Windows_3B!$O$2921:$O$100,0))</f>
        <v/>
      </c>
      <c r="I2921">
        <f>MIN(F2921,H2921)</f>
        <v/>
      </c>
    </row>
    <row r="2922">
      <c r="A2922">
        <f>TEST_DATA!A2922</f>
        <v/>
      </c>
      <c r="B2922">
        <f>TEST_DATA!B2922</f>
        <v/>
      </c>
      <c r="C2922">
        <f>TEST_DATA!C2922</f>
        <v/>
      </c>
      <c r="D2922">
        <f>TEST_DATA!D2922</f>
        <v/>
      </c>
      <c r="E2922">
        <f>TEST_DATA!E2922</f>
        <v/>
      </c>
      <c r="F2922">
        <f>MIN(E2922*292200,10000)</f>
        <v/>
      </c>
      <c r="G2922">
        <f>MINIFS(CBIC_Late_Fee_Relief_Windows_3B!$O$2922:$O$100,CBIC_Late_Fee_Relief_Windows_3B!$D$2922:$D$100,"&lt;="&amp;B2922,CBIC_Late_Fee_Relief_Windows_3B!$E$2922:$E$100,"&gt;="&amp;B2922,CBIC_Late_Fee_Relief_Windows_3B!$F$2922:$F$100,"&lt;="&amp;C2922,CBIC_Late_Fee_Relief_Windows_3B!$G$2922:$G$100,"&gt;="&amp;C2922)</f>
        <v/>
      </c>
      <c r="H2922">
        <f>INDEX(CBIC_Late_Fee_Relief_Windows_3B!$I$2922:$I$100,MATCH(G2922,CBIC_Late_Fee_Relief_Windows_3B!$O$2922:$O$100,0))</f>
        <v/>
      </c>
      <c r="I2922">
        <f>MIN(F2922,H2922)</f>
        <v/>
      </c>
    </row>
    <row r="2923">
      <c r="A2923">
        <f>TEST_DATA!A2923</f>
        <v/>
      </c>
      <c r="B2923">
        <f>TEST_DATA!B2923</f>
        <v/>
      </c>
      <c r="C2923">
        <f>TEST_DATA!C2923</f>
        <v/>
      </c>
      <c r="D2923">
        <f>TEST_DATA!D2923</f>
        <v/>
      </c>
      <c r="E2923">
        <f>TEST_DATA!E2923</f>
        <v/>
      </c>
      <c r="F2923">
        <f>MIN(E2923*292300,10000)</f>
        <v/>
      </c>
      <c r="G2923">
        <f>MINIFS(CBIC_Late_Fee_Relief_Windows_3B!$O$2923:$O$100,CBIC_Late_Fee_Relief_Windows_3B!$D$2923:$D$100,"&lt;="&amp;B2923,CBIC_Late_Fee_Relief_Windows_3B!$E$2923:$E$100,"&gt;="&amp;B2923,CBIC_Late_Fee_Relief_Windows_3B!$F$2923:$F$100,"&lt;="&amp;C2923,CBIC_Late_Fee_Relief_Windows_3B!$G$2923:$G$100,"&gt;="&amp;C2923)</f>
        <v/>
      </c>
      <c r="H2923">
        <f>INDEX(CBIC_Late_Fee_Relief_Windows_3B!$I$2923:$I$100,MATCH(G2923,CBIC_Late_Fee_Relief_Windows_3B!$O$2923:$O$100,0))</f>
        <v/>
      </c>
      <c r="I2923">
        <f>MIN(F2923,H2923)</f>
        <v/>
      </c>
    </row>
    <row r="2924">
      <c r="A2924">
        <f>TEST_DATA!A2924</f>
        <v/>
      </c>
      <c r="B2924">
        <f>TEST_DATA!B2924</f>
        <v/>
      </c>
      <c r="C2924">
        <f>TEST_DATA!C2924</f>
        <v/>
      </c>
      <c r="D2924">
        <f>TEST_DATA!D2924</f>
        <v/>
      </c>
      <c r="E2924">
        <f>TEST_DATA!E2924</f>
        <v/>
      </c>
      <c r="F2924">
        <f>MIN(E2924*292400,10000)</f>
        <v/>
      </c>
      <c r="G2924">
        <f>MINIFS(CBIC_Late_Fee_Relief_Windows_3B!$O$2924:$O$100,CBIC_Late_Fee_Relief_Windows_3B!$D$2924:$D$100,"&lt;="&amp;B2924,CBIC_Late_Fee_Relief_Windows_3B!$E$2924:$E$100,"&gt;="&amp;B2924,CBIC_Late_Fee_Relief_Windows_3B!$F$2924:$F$100,"&lt;="&amp;C2924,CBIC_Late_Fee_Relief_Windows_3B!$G$2924:$G$100,"&gt;="&amp;C2924)</f>
        <v/>
      </c>
      <c r="H2924">
        <f>INDEX(CBIC_Late_Fee_Relief_Windows_3B!$I$2924:$I$100,MATCH(G2924,CBIC_Late_Fee_Relief_Windows_3B!$O$2924:$O$100,0))</f>
        <v/>
      </c>
      <c r="I2924">
        <f>MIN(F2924,H2924)</f>
        <v/>
      </c>
    </row>
    <row r="2925">
      <c r="A2925">
        <f>TEST_DATA!A2925</f>
        <v/>
      </c>
      <c r="B2925">
        <f>TEST_DATA!B2925</f>
        <v/>
      </c>
      <c r="C2925">
        <f>TEST_DATA!C2925</f>
        <v/>
      </c>
      <c r="D2925">
        <f>TEST_DATA!D2925</f>
        <v/>
      </c>
      <c r="E2925">
        <f>TEST_DATA!E2925</f>
        <v/>
      </c>
      <c r="F2925">
        <f>MIN(E2925*292500,10000)</f>
        <v/>
      </c>
      <c r="G2925">
        <f>MINIFS(CBIC_Late_Fee_Relief_Windows_3B!$O$2925:$O$100,CBIC_Late_Fee_Relief_Windows_3B!$D$2925:$D$100,"&lt;="&amp;B2925,CBIC_Late_Fee_Relief_Windows_3B!$E$2925:$E$100,"&gt;="&amp;B2925,CBIC_Late_Fee_Relief_Windows_3B!$F$2925:$F$100,"&lt;="&amp;C2925,CBIC_Late_Fee_Relief_Windows_3B!$G$2925:$G$100,"&gt;="&amp;C2925)</f>
        <v/>
      </c>
      <c r="H2925">
        <f>INDEX(CBIC_Late_Fee_Relief_Windows_3B!$I$2925:$I$100,MATCH(G2925,CBIC_Late_Fee_Relief_Windows_3B!$O$2925:$O$100,0))</f>
        <v/>
      </c>
      <c r="I2925">
        <f>MIN(F2925,H2925)</f>
        <v/>
      </c>
    </row>
    <row r="2926">
      <c r="A2926">
        <f>TEST_DATA!A2926</f>
        <v/>
      </c>
      <c r="B2926">
        <f>TEST_DATA!B2926</f>
        <v/>
      </c>
      <c r="C2926">
        <f>TEST_DATA!C2926</f>
        <v/>
      </c>
      <c r="D2926">
        <f>TEST_DATA!D2926</f>
        <v/>
      </c>
      <c r="E2926">
        <f>TEST_DATA!E2926</f>
        <v/>
      </c>
      <c r="F2926">
        <f>MIN(E2926*292600,10000)</f>
        <v/>
      </c>
      <c r="G2926">
        <f>MINIFS(CBIC_Late_Fee_Relief_Windows_3B!$O$2926:$O$100,CBIC_Late_Fee_Relief_Windows_3B!$D$2926:$D$100,"&lt;="&amp;B2926,CBIC_Late_Fee_Relief_Windows_3B!$E$2926:$E$100,"&gt;="&amp;B2926,CBIC_Late_Fee_Relief_Windows_3B!$F$2926:$F$100,"&lt;="&amp;C2926,CBIC_Late_Fee_Relief_Windows_3B!$G$2926:$G$100,"&gt;="&amp;C2926)</f>
        <v/>
      </c>
      <c r="H2926">
        <f>INDEX(CBIC_Late_Fee_Relief_Windows_3B!$I$2926:$I$100,MATCH(G2926,CBIC_Late_Fee_Relief_Windows_3B!$O$2926:$O$100,0))</f>
        <v/>
      </c>
      <c r="I2926">
        <f>MIN(F2926,H2926)</f>
        <v/>
      </c>
    </row>
    <row r="2927">
      <c r="A2927">
        <f>TEST_DATA!A2927</f>
        <v/>
      </c>
      <c r="B2927">
        <f>TEST_DATA!B2927</f>
        <v/>
      </c>
      <c r="C2927">
        <f>TEST_DATA!C2927</f>
        <v/>
      </c>
      <c r="D2927">
        <f>TEST_DATA!D2927</f>
        <v/>
      </c>
      <c r="E2927">
        <f>TEST_DATA!E2927</f>
        <v/>
      </c>
      <c r="F2927">
        <f>MIN(E2927*292700,10000)</f>
        <v/>
      </c>
      <c r="G2927">
        <f>MINIFS(CBIC_Late_Fee_Relief_Windows_3B!$O$2927:$O$100,CBIC_Late_Fee_Relief_Windows_3B!$D$2927:$D$100,"&lt;="&amp;B2927,CBIC_Late_Fee_Relief_Windows_3B!$E$2927:$E$100,"&gt;="&amp;B2927,CBIC_Late_Fee_Relief_Windows_3B!$F$2927:$F$100,"&lt;="&amp;C2927,CBIC_Late_Fee_Relief_Windows_3B!$G$2927:$G$100,"&gt;="&amp;C2927)</f>
        <v/>
      </c>
      <c r="H2927">
        <f>INDEX(CBIC_Late_Fee_Relief_Windows_3B!$I$2927:$I$100,MATCH(G2927,CBIC_Late_Fee_Relief_Windows_3B!$O$2927:$O$100,0))</f>
        <v/>
      </c>
      <c r="I2927">
        <f>MIN(F2927,H2927)</f>
        <v/>
      </c>
    </row>
    <row r="2928">
      <c r="A2928">
        <f>TEST_DATA!A2928</f>
        <v/>
      </c>
      <c r="B2928">
        <f>TEST_DATA!B2928</f>
        <v/>
      </c>
      <c r="C2928">
        <f>TEST_DATA!C2928</f>
        <v/>
      </c>
      <c r="D2928">
        <f>TEST_DATA!D2928</f>
        <v/>
      </c>
      <c r="E2928">
        <f>TEST_DATA!E2928</f>
        <v/>
      </c>
      <c r="F2928">
        <f>MIN(E2928*292800,10000)</f>
        <v/>
      </c>
      <c r="G2928">
        <f>MINIFS(CBIC_Late_Fee_Relief_Windows_3B!$O$2928:$O$100,CBIC_Late_Fee_Relief_Windows_3B!$D$2928:$D$100,"&lt;="&amp;B2928,CBIC_Late_Fee_Relief_Windows_3B!$E$2928:$E$100,"&gt;="&amp;B2928,CBIC_Late_Fee_Relief_Windows_3B!$F$2928:$F$100,"&lt;="&amp;C2928,CBIC_Late_Fee_Relief_Windows_3B!$G$2928:$G$100,"&gt;="&amp;C2928)</f>
        <v/>
      </c>
      <c r="H2928">
        <f>INDEX(CBIC_Late_Fee_Relief_Windows_3B!$I$2928:$I$100,MATCH(G2928,CBIC_Late_Fee_Relief_Windows_3B!$O$2928:$O$100,0))</f>
        <v/>
      </c>
      <c r="I2928">
        <f>MIN(F2928,H2928)</f>
        <v/>
      </c>
    </row>
    <row r="2929">
      <c r="A2929">
        <f>TEST_DATA!A2929</f>
        <v/>
      </c>
      <c r="B2929">
        <f>TEST_DATA!B2929</f>
        <v/>
      </c>
      <c r="C2929">
        <f>TEST_DATA!C2929</f>
        <v/>
      </c>
      <c r="D2929">
        <f>TEST_DATA!D2929</f>
        <v/>
      </c>
      <c r="E2929">
        <f>TEST_DATA!E2929</f>
        <v/>
      </c>
      <c r="F2929">
        <f>MIN(E2929*292900,10000)</f>
        <v/>
      </c>
      <c r="G2929">
        <f>MINIFS(CBIC_Late_Fee_Relief_Windows_3B!$O$2929:$O$100,CBIC_Late_Fee_Relief_Windows_3B!$D$2929:$D$100,"&lt;="&amp;B2929,CBIC_Late_Fee_Relief_Windows_3B!$E$2929:$E$100,"&gt;="&amp;B2929,CBIC_Late_Fee_Relief_Windows_3B!$F$2929:$F$100,"&lt;="&amp;C2929,CBIC_Late_Fee_Relief_Windows_3B!$G$2929:$G$100,"&gt;="&amp;C2929)</f>
        <v/>
      </c>
      <c r="H2929">
        <f>INDEX(CBIC_Late_Fee_Relief_Windows_3B!$I$2929:$I$100,MATCH(G2929,CBIC_Late_Fee_Relief_Windows_3B!$O$2929:$O$100,0))</f>
        <v/>
      </c>
      <c r="I2929">
        <f>MIN(F2929,H2929)</f>
        <v/>
      </c>
    </row>
    <row r="2930">
      <c r="A2930">
        <f>TEST_DATA!A2930</f>
        <v/>
      </c>
      <c r="B2930">
        <f>TEST_DATA!B2930</f>
        <v/>
      </c>
      <c r="C2930">
        <f>TEST_DATA!C2930</f>
        <v/>
      </c>
      <c r="D2930">
        <f>TEST_DATA!D2930</f>
        <v/>
      </c>
      <c r="E2930">
        <f>TEST_DATA!E2930</f>
        <v/>
      </c>
      <c r="F2930">
        <f>MIN(E2930*293000,10000)</f>
        <v/>
      </c>
      <c r="G2930">
        <f>MINIFS(CBIC_Late_Fee_Relief_Windows_3B!$O$2930:$O$100,CBIC_Late_Fee_Relief_Windows_3B!$D$2930:$D$100,"&lt;="&amp;B2930,CBIC_Late_Fee_Relief_Windows_3B!$E$2930:$E$100,"&gt;="&amp;B2930,CBIC_Late_Fee_Relief_Windows_3B!$F$2930:$F$100,"&lt;="&amp;C2930,CBIC_Late_Fee_Relief_Windows_3B!$G$2930:$G$100,"&gt;="&amp;C2930)</f>
        <v/>
      </c>
      <c r="H2930">
        <f>INDEX(CBIC_Late_Fee_Relief_Windows_3B!$I$2930:$I$100,MATCH(G2930,CBIC_Late_Fee_Relief_Windows_3B!$O$2930:$O$100,0))</f>
        <v/>
      </c>
      <c r="I2930">
        <f>MIN(F2930,H2930)</f>
        <v/>
      </c>
    </row>
    <row r="2931">
      <c r="A2931">
        <f>TEST_DATA!A2931</f>
        <v/>
      </c>
      <c r="B2931">
        <f>TEST_DATA!B2931</f>
        <v/>
      </c>
      <c r="C2931">
        <f>TEST_DATA!C2931</f>
        <v/>
      </c>
      <c r="D2931">
        <f>TEST_DATA!D2931</f>
        <v/>
      </c>
      <c r="E2931">
        <f>TEST_DATA!E2931</f>
        <v/>
      </c>
      <c r="F2931">
        <f>MIN(E2931*293100,10000)</f>
        <v/>
      </c>
      <c r="G2931">
        <f>MINIFS(CBIC_Late_Fee_Relief_Windows_3B!$O$2931:$O$100,CBIC_Late_Fee_Relief_Windows_3B!$D$2931:$D$100,"&lt;="&amp;B2931,CBIC_Late_Fee_Relief_Windows_3B!$E$2931:$E$100,"&gt;="&amp;B2931,CBIC_Late_Fee_Relief_Windows_3B!$F$2931:$F$100,"&lt;="&amp;C2931,CBIC_Late_Fee_Relief_Windows_3B!$G$2931:$G$100,"&gt;="&amp;C2931)</f>
        <v/>
      </c>
      <c r="H2931">
        <f>INDEX(CBIC_Late_Fee_Relief_Windows_3B!$I$2931:$I$100,MATCH(G2931,CBIC_Late_Fee_Relief_Windows_3B!$O$2931:$O$100,0))</f>
        <v/>
      </c>
      <c r="I2931">
        <f>MIN(F2931,H2931)</f>
        <v/>
      </c>
    </row>
    <row r="2932">
      <c r="A2932">
        <f>TEST_DATA!A2932</f>
        <v/>
      </c>
      <c r="B2932">
        <f>TEST_DATA!B2932</f>
        <v/>
      </c>
      <c r="C2932">
        <f>TEST_DATA!C2932</f>
        <v/>
      </c>
      <c r="D2932">
        <f>TEST_DATA!D2932</f>
        <v/>
      </c>
      <c r="E2932">
        <f>TEST_DATA!E2932</f>
        <v/>
      </c>
      <c r="F2932">
        <f>MIN(E2932*293200,10000)</f>
        <v/>
      </c>
      <c r="G2932">
        <f>MINIFS(CBIC_Late_Fee_Relief_Windows_3B!$O$2932:$O$100,CBIC_Late_Fee_Relief_Windows_3B!$D$2932:$D$100,"&lt;="&amp;B2932,CBIC_Late_Fee_Relief_Windows_3B!$E$2932:$E$100,"&gt;="&amp;B2932,CBIC_Late_Fee_Relief_Windows_3B!$F$2932:$F$100,"&lt;="&amp;C2932,CBIC_Late_Fee_Relief_Windows_3B!$G$2932:$G$100,"&gt;="&amp;C2932)</f>
        <v/>
      </c>
      <c r="H2932">
        <f>INDEX(CBIC_Late_Fee_Relief_Windows_3B!$I$2932:$I$100,MATCH(G2932,CBIC_Late_Fee_Relief_Windows_3B!$O$2932:$O$100,0))</f>
        <v/>
      </c>
      <c r="I2932">
        <f>MIN(F2932,H2932)</f>
        <v/>
      </c>
    </row>
    <row r="2933">
      <c r="A2933">
        <f>TEST_DATA!A2933</f>
        <v/>
      </c>
      <c r="B2933">
        <f>TEST_DATA!B2933</f>
        <v/>
      </c>
      <c r="C2933">
        <f>TEST_DATA!C2933</f>
        <v/>
      </c>
      <c r="D2933">
        <f>TEST_DATA!D2933</f>
        <v/>
      </c>
      <c r="E2933">
        <f>TEST_DATA!E2933</f>
        <v/>
      </c>
      <c r="F2933">
        <f>MIN(E2933*293300,10000)</f>
        <v/>
      </c>
      <c r="G2933">
        <f>MINIFS(CBIC_Late_Fee_Relief_Windows_3B!$O$2933:$O$100,CBIC_Late_Fee_Relief_Windows_3B!$D$2933:$D$100,"&lt;="&amp;B2933,CBIC_Late_Fee_Relief_Windows_3B!$E$2933:$E$100,"&gt;="&amp;B2933,CBIC_Late_Fee_Relief_Windows_3B!$F$2933:$F$100,"&lt;="&amp;C2933,CBIC_Late_Fee_Relief_Windows_3B!$G$2933:$G$100,"&gt;="&amp;C2933)</f>
        <v/>
      </c>
      <c r="H2933">
        <f>INDEX(CBIC_Late_Fee_Relief_Windows_3B!$I$2933:$I$100,MATCH(G2933,CBIC_Late_Fee_Relief_Windows_3B!$O$2933:$O$100,0))</f>
        <v/>
      </c>
      <c r="I2933">
        <f>MIN(F2933,H2933)</f>
        <v/>
      </c>
    </row>
    <row r="2934">
      <c r="A2934">
        <f>TEST_DATA!A2934</f>
        <v/>
      </c>
      <c r="B2934">
        <f>TEST_DATA!B2934</f>
        <v/>
      </c>
      <c r="C2934">
        <f>TEST_DATA!C2934</f>
        <v/>
      </c>
      <c r="D2934">
        <f>TEST_DATA!D2934</f>
        <v/>
      </c>
      <c r="E2934">
        <f>TEST_DATA!E2934</f>
        <v/>
      </c>
      <c r="F2934">
        <f>MIN(E2934*293400,10000)</f>
        <v/>
      </c>
      <c r="G2934">
        <f>MINIFS(CBIC_Late_Fee_Relief_Windows_3B!$O$2934:$O$100,CBIC_Late_Fee_Relief_Windows_3B!$D$2934:$D$100,"&lt;="&amp;B2934,CBIC_Late_Fee_Relief_Windows_3B!$E$2934:$E$100,"&gt;="&amp;B2934,CBIC_Late_Fee_Relief_Windows_3B!$F$2934:$F$100,"&lt;="&amp;C2934,CBIC_Late_Fee_Relief_Windows_3B!$G$2934:$G$100,"&gt;="&amp;C2934)</f>
        <v/>
      </c>
      <c r="H2934">
        <f>INDEX(CBIC_Late_Fee_Relief_Windows_3B!$I$2934:$I$100,MATCH(G2934,CBIC_Late_Fee_Relief_Windows_3B!$O$2934:$O$100,0))</f>
        <v/>
      </c>
      <c r="I2934">
        <f>MIN(F2934,H2934)</f>
        <v/>
      </c>
    </row>
    <row r="2935">
      <c r="A2935">
        <f>TEST_DATA!A2935</f>
        <v/>
      </c>
      <c r="B2935">
        <f>TEST_DATA!B2935</f>
        <v/>
      </c>
      <c r="C2935">
        <f>TEST_DATA!C2935</f>
        <v/>
      </c>
      <c r="D2935">
        <f>TEST_DATA!D2935</f>
        <v/>
      </c>
      <c r="E2935">
        <f>TEST_DATA!E2935</f>
        <v/>
      </c>
      <c r="F2935">
        <f>MIN(E2935*293500,10000)</f>
        <v/>
      </c>
      <c r="G2935">
        <f>MINIFS(CBIC_Late_Fee_Relief_Windows_3B!$O$2935:$O$100,CBIC_Late_Fee_Relief_Windows_3B!$D$2935:$D$100,"&lt;="&amp;B2935,CBIC_Late_Fee_Relief_Windows_3B!$E$2935:$E$100,"&gt;="&amp;B2935,CBIC_Late_Fee_Relief_Windows_3B!$F$2935:$F$100,"&lt;="&amp;C2935,CBIC_Late_Fee_Relief_Windows_3B!$G$2935:$G$100,"&gt;="&amp;C2935)</f>
        <v/>
      </c>
      <c r="H2935">
        <f>INDEX(CBIC_Late_Fee_Relief_Windows_3B!$I$2935:$I$100,MATCH(G2935,CBIC_Late_Fee_Relief_Windows_3B!$O$2935:$O$100,0))</f>
        <v/>
      </c>
      <c r="I2935">
        <f>MIN(F2935,H2935)</f>
        <v/>
      </c>
    </row>
    <row r="2936">
      <c r="A2936">
        <f>TEST_DATA!A2936</f>
        <v/>
      </c>
      <c r="B2936">
        <f>TEST_DATA!B2936</f>
        <v/>
      </c>
      <c r="C2936">
        <f>TEST_DATA!C2936</f>
        <v/>
      </c>
      <c r="D2936">
        <f>TEST_DATA!D2936</f>
        <v/>
      </c>
      <c r="E2936">
        <f>TEST_DATA!E2936</f>
        <v/>
      </c>
      <c r="F2936">
        <f>MIN(E2936*293600,10000)</f>
        <v/>
      </c>
      <c r="G2936">
        <f>MINIFS(CBIC_Late_Fee_Relief_Windows_3B!$O$2936:$O$100,CBIC_Late_Fee_Relief_Windows_3B!$D$2936:$D$100,"&lt;="&amp;B2936,CBIC_Late_Fee_Relief_Windows_3B!$E$2936:$E$100,"&gt;="&amp;B2936,CBIC_Late_Fee_Relief_Windows_3B!$F$2936:$F$100,"&lt;="&amp;C2936,CBIC_Late_Fee_Relief_Windows_3B!$G$2936:$G$100,"&gt;="&amp;C2936)</f>
        <v/>
      </c>
      <c r="H2936">
        <f>INDEX(CBIC_Late_Fee_Relief_Windows_3B!$I$2936:$I$100,MATCH(G2936,CBIC_Late_Fee_Relief_Windows_3B!$O$2936:$O$100,0))</f>
        <v/>
      </c>
      <c r="I2936">
        <f>MIN(F2936,H2936)</f>
        <v/>
      </c>
    </row>
    <row r="2937">
      <c r="A2937">
        <f>TEST_DATA!A2937</f>
        <v/>
      </c>
      <c r="B2937">
        <f>TEST_DATA!B2937</f>
        <v/>
      </c>
      <c r="C2937">
        <f>TEST_DATA!C2937</f>
        <v/>
      </c>
      <c r="D2937">
        <f>TEST_DATA!D2937</f>
        <v/>
      </c>
      <c r="E2937">
        <f>TEST_DATA!E2937</f>
        <v/>
      </c>
      <c r="F2937">
        <f>MIN(E2937*293700,10000)</f>
        <v/>
      </c>
      <c r="G2937">
        <f>MINIFS(CBIC_Late_Fee_Relief_Windows_3B!$O$2937:$O$100,CBIC_Late_Fee_Relief_Windows_3B!$D$2937:$D$100,"&lt;="&amp;B2937,CBIC_Late_Fee_Relief_Windows_3B!$E$2937:$E$100,"&gt;="&amp;B2937,CBIC_Late_Fee_Relief_Windows_3B!$F$2937:$F$100,"&lt;="&amp;C2937,CBIC_Late_Fee_Relief_Windows_3B!$G$2937:$G$100,"&gt;="&amp;C2937)</f>
        <v/>
      </c>
      <c r="H2937">
        <f>INDEX(CBIC_Late_Fee_Relief_Windows_3B!$I$2937:$I$100,MATCH(G2937,CBIC_Late_Fee_Relief_Windows_3B!$O$2937:$O$100,0))</f>
        <v/>
      </c>
      <c r="I2937">
        <f>MIN(F2937,H2937)</f>
        <v/>
      </c>
    </row>
    <row r="2938">
      <c r="A2938">
        <f>TEST_DATA!A2938</f>
        <v/>
      </c>
      <c r="B2938">
        <f>TEST_DATA!B2938</f>
        <v/>
      </c>
      <c r="C2938">
        <f>TEST_DATA!C2938</f>
        <v/>
      </c>
      <c r="D2938">
        <f>TEST_DATA!D2938</f>
        <v/>
      </c>
      <c r="E2938">
        <f>TEST_DATA!E2938</f>
        <v/>
      </c>
      <c r="F2938">
        <f>MIN(E2938*293800,10000)</f>
        <v/>
      </c>
      <c r="G2938">
        <f>MINIFS(CBIC_Late_Fee_Relief_Windows_3B!$O$2938:$O$100,CBIC_Late_Fee_Relief_Windows_3B!$D$2938:$D$100,"&lt;="&amp;B2938,CBIC_Late_Fee_Relief_Windows_3B!$E$2938:$E$100,"&gt;="&amp;B2938,CBIC_Late_Fee_Relief_Windows_3B!$F$2938:$F$100,"&lt;="&amp;C2938,CBIC_Late_Fee_Relief_Windows_3B!$G$2938:$G$100,"&gt;="&amp;C2938)</f>
        <v/>
      </c>
      <c r="H2938">
        <f>INDEX(CBIC_Late_Fee_Relief_Windows_3B!$I$2938:$I$100,MATCH(G2938,CBIC_Late_Fee_Relief_Windows_3B!$O$2938:$O$100,0))</f>
        <v/>
      </c>
      <c r="I2938">
        <f>MIN(F2938,H2938)</f>
        <v/>
      </c>
    </row>
    <row r="2939">
      <c r="A2939">
        <f>TEST_DATA!A2939</f>
        <v/>
      </c>
      <c r="B2939">
        <f>TEST_DATA!B2939</f>
        <v/>
      </c>
      <c r="C2939">
        <f>TEST_DATA!C2939</f>
        <v/>
      </c>
      <c r="D2939">
        <f>TEST_DATA!D2939</f>
        <v/>
      </c>
      <c r="E2939">
        <f>TEST_DATA!E2939</f>
        <v/>
      </c>
      <c r="F2939">
        <f>MIN(E2939*293900,10000)</f>
        <v/>
      </c>
      <c r="G2939">
        <f>MINIFS(CBIC_Late_Fee_Relief_Windows_3B!$O$2939:$O$100,CBIC_Late_Fee_Relief_Windows_3B!$D$2939:$D$100,"&lt;="&amp;B2939,CBIC_Late_Fee_Relief_Windows_3B!$E$2939:$E$100,"&gt;="&amp;B2939,CBIC_Late_Fee_Relief_Windows_3B!$F$2939:$F$100,"&lt;="&amp;C2939,CBIC_Late_Fee_Relief_Windows_3B!$G$2939:$G$100,"&gt;="&amp;C2939)</f>
        <v/>
      </c>
      <c r="H2939">
        <f>INDEX(CBIC_Late_Fee_Relief_Windows_3B!$I$2939:$I$100,MATCH(G2939,CBIC_Late_Fee_Relief_Windows_3B!$O$2939:$O$100,0))</f>
        <v/>
      </c>
      <c r="I2939">
        <f>MIN(F2939,H2939)</f>
        <v/>
      </c>
    </row>
    <row r="2940">
      <c r="A2940">
        <f>TEST_DATA!A2940</f>
        <v/>
      </c>
      <c r="B2940">
        <f>TEST_DATA!B2940</f>
        <v/>
      </c>
      <c r="C2940">
        <f>TEST_DATA!C2940</f>
        <v/>
      </c>
      <c r="D2940">
        <f>TEST_DATA!D2940</f>
        <v/>
      </c>
      <c r="E2940">
        <f>TEST_DATA!E2940</f>
        <v/>
      </c>
      <c r="F2940">
        <f>MIN(E2940*294000,10000)</f>
        <v/>
      </c>
      <c r="G2940">
        <f>MINIFS(CBIC_Late_Fee_Relief_Windows_3B!$O$2940:$O$100,CBIC_Late_Fee_Relief_Windows_3B!$D$2940:$D$100,"&lt;="&amp;B2940,CBIC_Late_Fee_Relief_Windows_3B!$E$2940:$E$100,"&gt;="&amp;B2940,CBIC_Late_Fee_Relief_Windows_3B!$F$2940:$F$100,"&lt;="&amp;C2940,CBIC_Late_Fee_Relief_Windows_3B!$G$2940:$G$100,"&gt;="&amp;C2940)</f>
        <v/>
      </c>
      <c r="H2940">
        <f>INDEX(CBIC_Late_Fee_Relief_Windows_3B!$I$2940:$I$100,MATCH(G2940,CBIC_Late_Fee_Relief_Windows_3B!$O$2940:$O$100,0))</f>
        <v/>
      </c>
      <c r="I2940">
        <f>MIN(F2940,H2940)</f>
        <v/>
      </c>
    </row>
    <row r="2941">
      <c r="A2941">
        <f>TEST_DATA!A2941</f>
        <v/>
      </c>
      <c r="B2941">
        <f>TEST_DATA!B2941</f>
        <v/>
      </c>
      <c r="C2941">
        <f>TEST_DATA!C2941</f>
        <v/>
      </c>
      <c r="D2941">
        <f>TEST_DATA!D2941</f>
        <v/>
      </c>
      <c r="E2941">
        <f>TEST_DATA!E2941</f>
        <v/>
      </c>
      <c r="F2941">
        <f>MIN(E2941*294100,10000)</f>
        <v/>
      </c>
      <c r="G2941">
        <f>MINIFS(CBIC_Late_Fee_Relief_Windows_3B!$O$2941:$O$100,CBIC_Late_Fee_Relief_Windows_3B!$D$2941:$D$100,"&lt;="&amp;B2941,CBIC_Late_Fee_Relief_Windows_3B!$E$2941:$E$100,"&gt;="&amp;B2941,CBIC_Late_Fee_Relief_Windows_3B!$F$2941:$F$100,"&lt;="&amp;C2941,CBIC_Late_Fee_Relief_Windows_3B!$G$2941:$G$100,"&gt;="&amp;C2941)</f>
        <v/>
      </c>
      <c r="H2941">
        <f>INDEX(CBIC_Late_Fee_Relief_Windows_3B!$I$2941:$I$100,MATCH(G2941,CBIC_Late_Fee_Relief_Windows_3B!$O$2941:$O$100,0))</f>
        <v/>
      </c>
      <c r="I2941">
        <f>MIN(F2941,H2941)</f>
        <v/>
      </c>
    </row>
    <row r="2942">
      <c r="A2942">
        <f>TEST_DATA!A2942</f>
        <v/>
      </c>
      <c r="B2942">
        <f>TEST_DATA!B2942</f>
        <v/>
      </c>
      <c r="C2942">
        <f>TEST_DATA!C2942</f>
        <v/>
      </c>
      <c r="D2942">
        <f>TEST_DATA!D2942</f>
        <v/>
      </c>
      <c r="E2942">
        <f>TEST_DATA!E2942</f>
        <v/>
      </c>
      <c r="F2942">
        <f>MIN(E2942*294200,10000)</f>
        <v/>
      </c>
      <c r="G2942">
        <f>MINIFS(CBIC_Late_Fee_Relief_Windows_3B!$O$2942:$O$100,CBIC_Late_Fee_Relief_Windows_3B!$D$2942:$D$100,"&lt;="&amp;B2942,CBIC_Late_Fee_Relief_Windows_3B!$E$2942:$E$100,"&gt;="&amp;B2942,CBIC_Late_Fee_Relief_Windows_3B!$F$2942:$F$100,"&lt;="&amp;C2942,CBIC_Late_Fee_Relief_Windows_3B!$G$2942:$G$100,"&gt;="&amp;C2942)</f>
        <v/>
      </c>
      <c r="H2942">
        <f>INDEX(CBIC_Late_Fee_Relief_Windows_3B!$I$2942:$I$100,MATCH(G2942,CBIC_Late_Fee_Relief_Windows_3B!$O$2942:$O$100,0))</f>
        <v/>
      </c>
      <c r="I2942">
        <f>MIN(F2942,H2942)</f>
        <v/>
      </c>
    </row>
    <row r="2943">
      <c r="A2943">
        <f>TEST_DATA!A2943</f>
        <v/>
      </c>
      <c r="B2943">
        <f>TEST_DATA!B2943</f>
        <v/>
      </c>
      <c r="C2943">
        <f>TEST_DATA!C2943</f>
        <v/>
      </c>
      <c r="D2943">
        <f>TEST_DATA!D2943</f>
        <v/>
      </c>
      <c r="E2943">
        <f>TEST_DATA!E2943</f>
        <v/>
      </c>
      <c r="F2943">
        <f>MIN(E2943*294300,10000)</f>
        <v/>
      </c>
      <c r="G2943">
        <f>MINIFS(CBIC_Late_Fee_Relief_Windows_3B!$O$2943:$O$100,CBIC_Late_Fee_Relief_Windows_3B!$D$2943:$D$100,"&lt;="&amp;B2943,CBIC_Late_Fee_Relief_Windows_3B!$E$2943:$E$100,"&gt;="&amp;B2943,CBIC_Late_Fee_Relief_Windows_3B!$F$2943:$F$100,"&lt;="&amp;C2943,CBIC_Late_Fee_Relief_Windows_3B!$G$2943:$G$100,"&gt;="&amp;C2943)</f>
        <v/>
      </c>
      <c r="H2943">
        <f>INDEX(CBIC_Late_Fee_Relief_Windows_3B!$I$2943:$I$100,MATCH(G2943,CBIC_Late_Fee_Relief_Windows_3B!$O$2943:$O$100,0))</f>
        <v/>
      </c>
      <c r="I2943">
        <f>MIN(F2943,H2943)</f>
        <v/>
      </c>
    </row>
    <row r="2944">
      <c r="A2944">
        <f>TEST_DATA!A2944</f>
        <v/>
      </c>
      <c r="B2944">
        <f>TEST_DATA!B2944</f>
        <v/>
      </c>
      <c r="C2944">
        <f>TEST_DATA!C2944</f>
        <v/>
      </c>
      <c r="D2944">
        <f>TEST_DATA!D2944</f>
        <v/>
      </c>
      <c r="E2944">
        <f>TEST_DATA!E2944</f>
        <v/>
      </c>
      <c r="F2944">
        <f>MIN(E2944*294400,10000)</f>
        <v/>
      </c>
      <c r="G2944">
        <f>MINIFS(CBIC_Late_Fee_Relief_Windows_3B!$O$2944:$O$100,CBIC_Late_Fee_Relief_Windows_3B!$D$2944:$D$100,"&lt;="&amp;B2944,CBIC_Late_Fee_Relief_Windows_3B!$E$2944:$E$100,"&gt;="&amp;B2944,CBIC_Late_Fee_Relief_Windows_3B!$F$2944:$F$100,"&lt;="&amp;C2944,CBIC_Late_Fee_Relief_Windows_3B!$G$2944:$G$100,"&gt;="&amp;C2944)</f>
        <v/>
      </c>
      <c r="H2944">
        <f>INDEX(CBIC_Late_Fee_Relief_Windows_3B!$I$2944:$I$100,MATCH(G2944,CBIC_Late_Fee_Relief_Windows_3B!$O$2944:$O$100,0))</f>
        <v/>
      </c>
      <c r="I2944">
        <f>MIN(F2944,H2944)</f>
        <v/>
      </c>
    </row>
    <row r="2945">
      <c r="A2945">
        <f>TEST_DATA!A2945</f>
        <v/>
      </c>
      <c r="B2945">
        <f>TEST_DATA!B2945</f>
        <v/>
      </c>
      <c r="C2945">
        <f>TEST_DATA!C2945</f>
        <v/>
      </c>
      <c r="D2945">
        <f>TEST_DATA!D2945</f>
        <v/>
      </c>
      <c r="E2945">
        <f>TEST_DATA!E2945</f>
        <v/>
      </c>
      <c r="F2945">
        <f>MIN(E2945*294500,10000)</f>
        <v/>
      </c>
      <c r="G2945">
        <f>MINIFS(CBIC_Late_Fee_Relief_Windows_3B!$O$2945:$O$100,CBIC_Late_Fee_Relief_Windows_3B!$D$2945:$D$100,"&lt;="&amp;B2945,CBIC_Late_Fee_Relief_Windows_3B!$E$2945:$E$100,"&gt;="&amp;B2945,CBIC_Late_Fee_Relief_Windows_3B!$F$2945:$F$100,"&lt;="&amp;C2945,CBIC_Late_Fee_Relief_Windows_3B!$G$2945:$G$100,"&gt;="&amp;C2945)</f>
        <v/>
      </c>
      <c r="H2945">
        <f>INDEX(CBIC_Late_Fee_Relief_Windows_3B!$I$2945:$I$100,MATCH(G2945,CBIC_Late_Fee_Relief_Windows_3B!$O$2945:$O$100,0))</f>
        <v/>
      </c>
      <c r="I2945">
        <f>MIN(F2945,H2945)</f>
        <v/>
      </c>
    </row>
    <row r="2946">
      <c r="A2946">
        <f>TEST_DATA!A2946</f>
        <v/>
      </c>
      <c r="B2946">
        <f>TEST_DATA!B2946</f>
        <v/>
      </c>
      <c r="C2946">
        <f>TEST_DATA!C2946</f>
        <v/>
      </c>
      <c r="D2946">
        <f>TEST_DATA!D2946</f>
        <v/>
      </c>
      <c r="E2946">
        <f>TEST_DATA!E2946</f>
        <v/>
      </c>
      <c r="F2946">
        <f>MIN(E2946*294600,10000)</f>
        <v/>
      </c>
      <c r="G2946">
        <f>MINIFS(CBIC_Late_Fee_Relief_Windows_3B!$O$2946:$O$100,CBIC_Late_Fee_Relief_Windows_3B!$D$2946:$D$100,"&lt;="&amp;B2946,CBIC_Late_Fee_Relief_Windows_3B!$E$2946:$E$100,"&gt;="&amp;B2946,CBIC_Late_Fee_Relief_Windows_3B!$F$2946:$F$100,"&lt;="&amp;C2946,CBIC_Late_Fee_Relief_Windows_3B!$G$2946:$G$100,"&gt;="&amp;C2946)</f>
        <v/>
      </c>
      <c r="H2946">
        <f>INDEX(CBIC_Late_Fee_Relief_Windows_3B!$I$2946:$I$100,MATCH(G2946,CBIC_Late_Fee_Relief_Windows_3B!$O$2946:$O$100,0))</f>
        <v/>
      </c>
      <c r="I2946">
        <f>MIN(F2946,H2946)</f>
        <v/>
      </c>
    </row>
    <row r="2947">
      <c r="A2947">
        <f>TEST_DATA!A2947</f>
        <v/>
      </c>
      <c r="B2947">
        <f>TEST_DATA!B2947</f>
        <v/>
      </c>
      <c r="C2947">
        <f>TEST_DATA!C2947</f>
        <v/>
      </c>
      <c r="D2947">
        <f>TEST_DATA!D2947</f>
        <v/>
      </c>
      <c r="E2947">
        <f>TEST_DATA!E2947</f>
        <v/>
      </c>
      <c r="F2947">
        <f>MIN(E2947*294700,10000)</f>
        <v/>
      </c>
      <c r="G2947">
        <f>MINIFS(CBIC_Late_Fee_Relief_Windows_3B!$O$2947:$O$100,CBIC_Late_Fee_Relief_Windows_3B!$D$2947:$D$100,"&lt;="&amp;B2947,CBIC_Late_Fee_Relief_Windows_3B!$E$2947:$E$100,"&gt;="&amp;B2947,CBIC_Late_Fee_Relief_Windows_3B!$F$2947:$F$100,"&lt;="&amp;C2947,CBIC_Late_Fee_Relief_Windows_3B!$G$2947:$G$100,"&gt;="&amp;C2947)</f>
        <v/>
      </c>
      <c r="H2947">
        <f>INDEX(CBIC_Late_Fee_Relief_Windows_3B!$I$2947:$I$100,MATCH(G2947,CBIC_Late_Fee_Relief_Windows_3B!$O$2947:$O$100,0))</f>
        <v/>
      </c>
      <c r="I2947">
        <f>MIN(F2947,H2947)</f>
        <v/>
      </c>
    </row>
    <row r="2948">
      <c r="A2948">
        <f>TEST_DATA!A2948</f>
        <v/>
      </c>
      <c r="B2948">
        <f>TEST_DATA!B2948</f>
        <v/>
      </c>
      <c r="C2948">
        <f>TEST_DATA!C2948</f>
        <v/>
      </c>
      <c r="D2948">
        <f>TEST_DATA!D2948</f>
        <v/>
      </c>
      <c r="E2948">
        <f>TEST_DATA!E2948</f>
        <v/>
      </c>
      <c r="F2948">
        <f>MIN(E2948*294800,10000)</f>
        <v/>
      </c>
      <c r="G2948">
        <f>MINIFS(CBIC_Late_Fee_Relief_Windows_3B!$O$2948:$O$100,CBIC_Late_Fee_Relief_Windows_3B!$D$2948:$D$100,"&lt;="&amp;B2948,CBIC_Late_Fee_Relief_Windows_3B!$E$2948:$E$100,"&gt;="&amp;B2948,CBIC_Late_Fee_Relief_Windows_3B!$F$2948:$F$100,"&lt;="&amp;C2948,CBIC_Late_Fee_Relief_Windows_3B!$G$2948:$G$100,"&gt;="&amp;C2948)</f>
        <v/>
      </c>
      <c r="H2948">
        <f>INDEX(CBIC_Late_Fee_Relief_Windows_3B!$I$2948:$I$100,MATCH(G2948,CBIC_Late_Fee_Relief_Windows_3B!$O$2948:$O$100,0))</f>
        <v/>
      </c>
      <c r="I2948">
        <f>MIN(F2948,H2948)</f>
        <v/>
      </c>
    </row>
    <row r="2949">
      <c r="A2949">
        <f>TEST_DATA!A2949</f>
        <v/>
      </c>
      <c r="B2949">
        <f>TEST_DATA!B2949</f>
        <v/>
      </c>
      <c r="C2949">
        <f>TEST_DATA!C2949</f>
        <v/>
      </c>
      <c r="D2949">
        <f>TEST_DATA!D2949</f>
        <v/>
      </c>
      <c r="E2949">
        <f>TEST_DATA!E2949</f>
        <v/>
      </c>
      <c r="F2949">
        <f>MIN(E2949*294900,10000)</f>
        <v/>
      </c>
      <c r="G2949">
        <f>MINIFS(CBIC_Late_Fee_Relief_Windows_3B!$O$2949:$O$100,CBIC_Late_Fee_Relief_Windows_3B!$D$2949:$D$100,"&lt;="&amp;B2949,CBIC_Late_Fee_Relief_Windows_3B!$E$2949:$E$100,"&gt;="&amp;B2949,CBIC_Late_Fee_Relief_Windows_3B!$F$2949:$F$100,"&lt;="&amp;C2949,CBIC_Late_Fee_Relief_Windows_3B!$G$2949:$G$100,"&gt;="&amp;C2949)</f>
        <v/>
      </c>
      <c r="H2949">
        <f>INDEX(CBIC_Late_Fee_Relief_Windows_3B!$I$2949:$I$100,MATCH(G2949,CBIC_Late_Fee_Relief_Windows_3B!$O$2949:$O$100,0))</f>
        <v/>
      </c>
      <c r="I2949">
        <f>MIN(F2949,H2949)</f>
        <v/>
      </c>
    </row>
    <row r="2950">
      <c r="A2950">
        <f>TEST_DATA!A2950</f>
        <v/>
      </c>
      <c r="B2950">
        <f>TEST_DATA!B2950</f>
        <v/>
      </c>
      <c r="C2950">
        <f>TEST_DATA!C2950</f>
        <v/>
      </c>
      <c r="D2950">
        <f>TEST_DATA!D2950</f>
        <v/>
      </c>
      <c r="E2950">
        <f>TEST_DATA!E2950</f>
        <v/>
      </c>
      <c r="F2950">
        <f>MIN(E2950*295000,10000)</f>
        <v/>
      </c>
      <c r="G2950">
        <f>MINIFS(CBIC_Late_Fee_Relief_Windows_3B!$O$2950:$O$100,CBIC_Late_Fee_Relief_Windows_3B!$D$2950:$D$100,"&lt;="&amp;B2950,CBIC_Late_Fee_Relief_Windows_3B!$E$2950:$E$100,"&gt;="&amp;B2950,CBIC_Late_Fee_Relief_Windows_3B!$F$2950:$F$100,"&lt;="&amp;C2950,CBIC_Late_Fee_Relief_Windows_3B!$G$2950:$G$100,"&gt;="&amp;C2950)</f>
        <v/>
      </c>
      <c r="H2950">
        <f>INDEX(CBIC_Late_Fee_Relief_Windows_3B!$I$2950:$I$100,MATCH(G2950,CBIC_Late_Fee_Relief_Windows_3B!$O$2950:$O$100,0))</f>
        <v/>
      </c>
      <c r="I2950">
        <f>MIN(F2950,H2950)</f>
        <v/>
      </c>
    </row>
    <row r="2951">
      <c r="A2951">
        <f>TEST_DATA!A2951</f>
        <v/>
      </c>
      <c r="B2951">
        <f>TEST_DATA!B2951</f>
        <v/>
      </c>
      <c r="C2951">
        <f>TEST_DATA!C2951</f>
        <v/>
      </c>
      <c r="D2951">
        <f>TEST_DATA!D2951</f>
        <v/>
      </c>
      <c r="E2951">
        <f>TEST_DATA!E2951</f>
        <v/>
      </c>
      <c r="F2951">
        <f>MIN(E2951*295100,10000)</f>
        <v/>
      </c>
      <c r="G2951">
        <f>MINIFS(CBIC_Late_Fee_Relief_Windows_3B!$O$2951:$O$100,CBIC_Late_Fee_Relief_Windows_3B!$D$2951:$D$100,"&lt;="&amp;B2951,CBIC_Late_Fee_Relief_Windows_3B!$E$2951:$E$100,"&gt;="&amp;B2951,CBIC_Late_Fee_Relief_Windows_3B!$F$2951:$F$100,"&lt;="&amp;C2951,CBIC_Late_Fee_Relief_Windows_3B!$G$2951:$G$100,"&gt;="&amp;C2951)</f>
        <v/>
      </c>
      <c r="H2951">
        <f>INDEX(CBIC_Late_Fee_Relief_Windows_3B!$I$2951:$I$100,MATCH(G2951,CBIC_Late_Fee_Relief_Windows_3B!$O$2951:$O$100,0))</f>
        <v/>
      </c>
      <c r="I2951">
        <f>MIN(F2951,H2951)</f>
        <v/>
      </c>
    </row>
    <row r="2952">
      <c r="A2952">
        <f>TEST_DATA!A2952</f>
        <v/>
      </c>
      <c r="B2952">
        <f>TEST_DATA!B2952</f>
        <v/>
      </c>
      <c r="C2952">
        <f>TEST_DATA!C2952</f>
        <v/>
      </c>
      <c r="D2952">
        <f>TEST_DATA!D2952</f>
        <v/>
      </c>
      <c r="E2952">
        <f>TEST_DATA!E2952</f>
        <v/>
      </c>
      <c r="F2952">
        <f>MIN(E2952*295200,10000)</f>
        <v/>
      </c>
      <c r="G2952">
        <f>MINIFS(CBIC_Late_Fee_Relief_Windows_3B!$O$2952:$O$100,CBIC_Late_Fee_Relief_Windows_3B!$D$2952:$D$100,"&lt;="&amp;B2952,CBIC_Late_Fee_Relief_Windows_3B!$E$2952:$E$100,"&gt;="&amp;B2952,CBIC_Late_Fee_Relief_Windows_3B!$F$2952:$F$100,"&lt;="&amp;C2952,CBIC_Late_Fee_Relief_Windows_3B!$G$2952:$G$100,"&gt;="&amp;C2952)</f>
        <v/>
      </c>
      <c r="H2952">
        <f>INDEX(CBIC_Late_Fee_Relief_Windows_3B!$I$2952:$I$100,MATCH(G2952,CBIC_Late_Fee_Relief_Windows_3B!$O$2952:$O$100,0))</f>
        <v/>
      </c>
      <c r="I2952">
        <f>MIN(F2952,H2952)</f>
        <v/>
      </c>
    </row>
    <row r="2953">
      <c r="A2953">
        <f>TEST_DATA!A2953</f>
        <v/>
      </c>
      <c r="B2953">
        <f>TEST_DATA!B2953</f>
        <v/>
      </c>
      <c r="C2953">
        <f>TEST_DATA!C2953</f>
        <v/>
      </c>
      <c r="D2953">
        <f>TEST_DATA!D2953</f>
        <v/>
      </c>
      <c r="E2953">
        <f>TEST_DATA!E2953</f>
        <v/>
      </c>
      <c r="F2953">
        <f>MIN(E2953*295300,10000)</f>
        <v/>
      </c>
      <c r="G2953">
        <f>MINIFS(CBIC_Late_Fee_Relief_Windows_3B!$O$2953:$O$100,CBIC_Late_Fee_Relief_Windows_3B!$D$2953:$D$100,"&lt;="&amp;B2953,CBIC_Late_Fee_Relief_Windows_3B!$E$2953:$E$100,"&gt;="&amp;B2953,CBIC_Late_Fee_Relief_Windows_3B!$F$2953:$F$100,"&lt;="&amp;C2953,CBIC_Late_Fee_Relief_Windows_3B!$G$2953:$G$100,"&gt;="&amp;C2953)</f>
        <v/>
      </c>
      <c r="H2953">
        <f>INDEX(CBIC_Late_Fee_Relief_Windows_3B!$I$2953:$I$100,MATCH(G2953,CBIC_Late_Fee_Relief_Windows_3B!$O$2953:$O$100,0))</f>
        <v/>
      </c>
      <c r="I2953">
        <f>MIN(F2953,H2953)</f>
        <v/>
      </c>
    </row>
    <row r="2954">
      <c r="A2954">
        <f>TEST_DATA!A2954</f>
        <v/>
      </c>
      <c r="B2954">
        <f>TEST_DATA!B2954</f>
        <v/>
      </c>
      <c r="C2954">
        <f>TEST_DATA!C2954</f>
        <v/>
      </c>
      <c r="D2954">
        <f>TEST_DATA!D2954</f>
        <v/>
      </c>
      <c r="E2954">
        <f>TEST_DATA!E2954</f>
        <v/>
      </c>
      <c r="F2954">
        <f>MIN(E2954*295400,10000)</f>
        <v/>
      </c>
      <c r="G2954">
        <f>MINIFS(CBIC_Late_Fee_Relief_Windows_3B!$O$2954:$O$100,CBIC_Late_Fee_Relief_Windows_3B!$D$2954:$D$100,"&lt;="&amp;B2954,CBIC_Late_Fee_Relief_Windows_3B!$E$2954:$E$100,"&gt;="&amp;B2954,CBIC_Late_Fee_Relief_Windows_3B!$F$2954:$F$100,"&lt;="&amp;C2954,CBIC_Late_Fee_Relief_Windows_3B!$G$2954:$G$100,"&gt;="&amp;C2954)</f>
        <v/>
      </c>
      <c r="H2954">
        <f>INDEX(CBIC_Late_Fee_Relief_Windows_3B!$I$2954:$I$100,MATCH(G2954,CBIC_Late_Fee_Relief_Windows_3B!$O$2954:$O$100,0))</f>
        <v/>
      </c>
      <c r="I2954">
        <f>MIN(F2954,H2954)</f>
        <v/>
      </c>
    </row>
    <row r="2955">
      <c r="A2955">
        <f>TEST_DATA!A2955</f>
        <v/>
      </c>
      <c r="B2955">
        <f>TEST_DATA!B2955</f>
        <v/>
      </c>
      <c r="C2955">
        <f>TEST_DATA!C2955</f>
        <v/>
      </c>
      <c r="D2955">
        <f>TEST_DATA!D2955</f>
        <v/>
      </c>
      <c r="E2955">
        <f>TEST_DATA!E2955</f>
        <v/>
      </c>
      <c r="F2955">
        <f>MIN(E2955*295500,10000)</f>
        <v/>
      </c>
      <c r="G2955">
        <f>MINIFS(CBIC_Late_Fee_Relief_Windows_3B!$O$2955:$O$100,CBIC_Late_Fee_Relief_Windows_3B!$D$2955:$D$100,"&lt;="&amp;B2955,CBIC_Late_Fee_Relief_Windows_3B!$E$2955:$E$100,"&gt;="&amp;B2955,CBIC_Late_Fee_Relief_Windows_3B!$F$2955:$F$100,"&lt;="&amp;C2955,CBIC_Late_Fee_Relief_Windows_3B!$G$2955:$G$100,"&gt;="&amp;C2955)</f>
        <v/>
      </c>
      <c r="H2955">
        <f>INDEX(CBIC_Late_Fee_Relief_Windows_3B!$I$2955:$I$100,MATCH(G2955,CBIC_Late_Fee_Relief_Windows_3B!$O$2955:$O$100,0))</f>
        <v/>
      </c>
      <c r="I2955">
        <f>MIN(F2955,H2955)</f>
        <v/>
      </c>
    </row>
    <row r="2956">
      <c r="A2956">
        <f>TEST_DATA!A2956</f>
        <v/>
      </c>
      <c r="B2956">
        <f>TEST_DATA!B2956</f>
        <v/>
      </c>
      <c r="C2956">
        <f>TEST_DATA!C2956</f>
        <v/>
      </c>
      <c r="D2956">
        <f>TEST_DATA!D2956</f>
        <v/>
      </c>
      <c r="E2956">
        <f>TEST_DATA!E2956</f>
        <v/>
      </c>
      <c r="F2956">
        <f>MIN(E2956*295600,10000)</f>
        <v/>
      </c>
      <c r="G2956">
        <f>MINIFS(CBIC_Late_Fee_Relief_Windows_3B!$O$2956:$O$100,CBIC_Late_Fee_Relief_Windows_3B!$D$2956:$D$100,"&lt;="&amp;B2956,CBIC_Late_Fee_Relief_Windows_3B!$E$2956:$E$100,"&gt;="&amp;B2956,CBIC_Late_Fee_Relief_Windows_3B!$F$2956:$F$100,"&lt;="&amp;C2956,CBIC_Late_Fee_Relief_Windows_3B!$G$2956:$G$100,"&gt;="&amp;C2956)</f>
        <v/>
      </c>
      <c r="H2956">
        <f>INDEX(CBIC_Late_Fee_Relief_Windows_3B!$I$2956:$I$100,MATCH(G2956,CBIC_Late_Fee_Relief_Windows_3B!$O$2956:$O$100,0))</f>
        <v/>
      </c>
      <c r="I2956">
        <f>MIN(F2956,H2956)</f>
        <v/>
      </c>
    </row>
    <row r="2957">
      <c r="A2957">
        <f>TEST_DATA!A2957</f>
        <v/>
      </c>
      <c r="B2957">
        <f>TEST_DATA!B2957</f>
        <v/>
      </c>
      <c r="C2957">
        <f>TEST_DATA!C2957</f>
        <v/>
      </c>
      <c r="D2957">
        <f>TEST_DATA!D2957</f>
        <v/>
      </c>
      <c r="E2957">
        <f>TEST_DATA!E2957</f>
        <v/>
      </c>
      <c r="F2957">
        <f>MIN(E2957*295700,10000)</f>
        <v/>
      </c>
      <c r="G2957">
        <f>MINIFS(CBIC_Late_Fee_Relief_Windows_3B!$O$2957:$O$100,CBIC_Late_Fee_Relief_Windows_3B!$D$2957:$D$100,"&lt;="&amp;B2957,CBIC_Late_Fee_Relief_Windows_3B!$E$2957:$E$100,"&gt;="&amp;B2957,CBIC_Late_Fee_Relief_Windows_3B!$F$2957:$F$100,"&lt;="&amp;C2957,CBIC_Late_Fee_Relief_Windows_3B!$G$2957:$G$100,"&gt;="&amp;C2957)</f>
        <v/>
      </c>
      <c r="H2957">
        <f>INDEX(CBIC_Late_Fee_Relief_Windows_3B!$I$2957:$I$100,MATCH(G2957,CBIC_Late_Fee_Relief_Windows_3B!$O$2957:$O$100,0))</f>
        <v/>
      </c>
      <c r="I2957">
        <f>MIN(F2957,H2957)</f>
        <v/>
      </c>
    </row>
    <row r="2958">
      <c r="A2958">
        <f>TEST_DATA!A2958</f>
        <v/>
      </c>
      <c r="B2958">
        <f>TEST_DATA!B2958</f>
        <v/>
      </c>
      <c r="C2958">
        <f>TEST_DATA!C2958</f>
        <v/>
      </c>
      <c r="D2958">
        <f>TEST_DATA!D2958</f>
        <v/>
      </c>
      <c r="E2958">
        <f>TEST_DATA!E2958</f>
        <v/>
      </c>
      <c r="F2958">
        <f>MIN(E2958*295800,10000)</f>
        <v/>
      </c>
      <c r="G2958">
        <f>MINIFS(CBIC_Late_Fee_Relief_Windows_3B!$O$2958:$O$100,CBIC_Late_Fee_Relief_Windows_3B!$D$2958:$D$100,"&lt;="&amp;B2958,CBIC_Late_Fee_Relief_Windows_3B!$E$2958:$E$100,"&gt;="&amp;B2958,CBIC_Late_Fee_Relief_Windows_3B!$F$2958:$F$100,"&lt;="&amp;C2958,CBIC_Late_Fee_Relief_Windows_3B!$G$2958:$G$100,"&gt;="&amp;C2958)</f>
        <v/>
      </c>
      <c r="H2958">
        <f>INDEX(CBIC_Late_Fee_Relief_Windows_3B!$I$2958:$I$100,MATCH(G2958,CBIC_Late_Fee_Relief_Windows_3B!$O$2958:$O$100,0))</f>
        <v/>
      </c>
      <c r="I2958">
        <f>MIN(F2958,H2958)</f>
        <v/>
      </c>
    </row>
    <row r="2959">
      <c r="A2959">
        <f>TEST_DATA!A2959</f>
        <v/>
      </c>
      <c r="B2959">
        <f>TEST_DATA!B2959</f>
        <v/>
      </c>
      <c r="C2959">
        <f>TEST_DATA!C2959</f>
        <v/>
      </c>
      <c r="D2959">
        <f>TEST_DATA!D2959</f>
        <v/>
      </c>
      <c r="E2959">
        <f>TEST_DATA!E2959</f>
        <v/>
      </c>
      <c r="F2959">
        <f>MIN(E2959*295900,10000)</f>
        <v/>
      </c>
      <c r="G2959">
        <f>MINIFS(CBIC_Late_Fee_Relief_Windows_3B!$O$2959:$O$100,CBIC_Late_Fee_Relief_Windows_3B!$D$2959:$D$100,"&lt;="&amp;B2959,CBIC_Late_Fee_Relief_Windows_3B!$E$2959:$E$100,"&gt;="&amp;B2959,CBIC_Late_Fee_Relief_Windows_3B!$F$2959:$F$100,"&lt;="&amp;C2959,CBIC_Late_Fee_Relief_Windows_3B!$G$2959:$G$100,"&gt;="&amp;C2959)</f>
        <v/>
      </c>
      <c r="H2959">
        <f>INDEX(CBIC_Late_Fee_Relief_Windows_3B!$I$2959:$I$100,MATCH(G2959,CBIC_Late_Fee_Relief_Windows_3B!$O$2959:$O$100,0))</f>
        <v/>
      </c>
      <c r="I2959">
        <f>MIN(F2959,H2959)</f>
        <v/>
      </c>
    </row>
    <row r="2960">
      <c r="A2960">
        <f>TEST_DATA!A2960</f>
        <v/>
      </c>
      <c r="B2960">
        <f>TEST_DATA!B2960</f>
        <v/>
      </c>
      <c r="C2960">
        <f>TEST_DATA!C2960</f>
        <v/>
      </c>
      <c r="D2960">
        <f>TEST_DATA!D2960</f>
        <v/>
      </c>
      <c r="E2960">
        <f>TEST_DATA!E2960</f>
        <v/>
      </c>
      <c r="F2960">
        <f>MIN(E2960*296000,10000)</f>
        <v/>
      </c>
      <c r="G2960">
        <f>MINIFS(CBIC_Late_Fee_Relief_Windows_3B!$O$2960:$O$100,CBIC_Late_Fee_Relief_Windows_3B!$D$2960:$D$100,"&lt;="&amp;B2960,CBIC_Late_Fee_Relief_Windows_3B!$E$2960:$E$100,"&gt;="&amp;B2960,CBIC_Late_Fee_Relief_Windows_3B!$F$2960:$F$100,"&lt;="&amp;C2960,CBIC_Late_Fee_Relief_Windows_3B!$G$2960:$G$100,"&gt;="&amp;C2960)</f>
        <v/>
      </c>
      <c r="H2960">
        <f>INDEX(CBIC_Late_Fee_Relief_Windows_3B!$I$2960:$I$100,MATCH(G2960,CBIC_Late_Fee_Relief_Windows_3B!$O$2960:$O$100,0))</f>
        <v/>
      </c>
      <c r="I2960">
        <f>MIN(F2960,H2960)</f>
        <v/>
      </c>
    </row>
    <row r="2961">
      <c r="A2961">
        <f>TEST_DATA!A2961</f>
        <v/>
      </c>
      <c r="B2961">
        <f>TEST_DATA!B2961</f>
        <v/>
      </c>
      <c r="C2961">
        <f>TEST_DATA!C2961</f>
        <v/>
      </c>
      <c r="D2961">
        <f>TEST_DATA!D2961</f>
        <v/>
      </c>
      <c r="E2961">
        <f>TEST_DATA!E2961</f>
        <v/>
      </c>
      <c r="F2961">
        <f>MIN(E2961*296100,10000)</f>
        <v/>
      </c>
      <c r="G2961">
        <f>MINIFS(CBIC_Late_Fee_Relief_Windows_3B!$O$2961:$O$100,CBIC_Late_Fee_Relief_Windows_3B!$D$2961:$D$100,"&lt;="&amp;B2961,CBIC_Late_Fee_Relief_Windows_3B!$E$2961:$E$100,"&gt;="&amp;B2961,CBIC_Late_Fee_Relief_Windows_3B!$F$2961:$F$100,"&lt;="&amp;C2961,CBIC_Late_Fee_Relief_Windows_3B!$G$2961:$G$100,"&gt;="&amp;C2961)</f>
        <v/>
      </c>
      <c r="H2961">
        <f>INDEX(CBIC_Late_Fee_Relief_Windows_3B!$I$2961:$I$100,MATCH(G2961,CBIC_Late_Fee_Relief_Windows_3B!$O$2961:$O$100,0))</f>
        <v/>
      </c>
      <c r="I2961">
        <f>MIN(F2961,H2961)</f>
        <v/>
      </c>
    </row>
    <row r="2962">
      <c r="A2962">
        <f>TEST_DATA!A2962</f>
        <v/>
      </c>
      <c r="B2962">
        <f>TEST_DATA!B2962</f>
        <v/>
      </c>
      <c r="C2962">
        <f>TEST_DATA!C2962</f>
        <v/>
      </c>
      <c r="D2962">
        <f>TEST_DATA!D2962</f>
        <v/>
      </c>
      <c r="E2962">
        <f>TEST_DATA!E2962</f>
        <v/>
      </c>
      <c r="F2962">
        <f>MIN(E2962*296200,10000)</f>
        <v/>
      </c>
      <c r="G2962">
        <f>MINIFS(CBIC_Late_Fee_Relief_Windows_3B!$O$2962:$O$100,CBIC_Late_Fee_Relief_Windows_3B!$D$2962:$D$100,"&lt;="&amp;B2962,CBIC_Late_Fee_Relief_Windows_3B!$E$2962:$E$100,"&gt;="&amp;B2962,CBIC_Late_Fee_Relief_Windows_3B!$F$2962:$F$100,"&lt;="&amp;C2962,CBIC_Late_Fee_Relief_Windows_3B!$G$2962:$G$100,"&gt;="&amp;C2962)</f>
        <v/>
      </c>
      <c r="H2962">
        <f>INDEX(CBIC_Late_Fee_Relief_Windows_3B!$I$2962:$I$100,MATCH(G2962,CBIC_Late_Fee_Relief_Windows_3B!$O$2962:$O$100,0))</f>
        <v/>
      </c>
      <c r="I2962">
        <f>MIN(F2962,H2962)</f>
        <v/>
      </c>
    </row>
    <row r="2963">
      <c r="A2963">
        <f>TEST_DATA!A2963</f>
        <v/>
      </c>
      <c r="B2963">
        <f>TEST_DATA!B2963</f>
        <v/>
      </c>
      <c r="C2963">
        <f>TEST_DATA!C2963</f>
        <v/>
      </c>
      <c r="D2963">
        <f>TEST_DATA!D2963</f>
        <v/>
      </c>
      <c r="E2963">
        <f>TEST_DATA!E2963</f>
        <v/>
      </c>
      <c r="F2963">
        <f>MIN(E2963*296300,10000)</f>
        <v/>
      </c>
      <c r="G2963">
        <f>MINIFS(CBIC_Late_Fee_Relief_Windows_3B!$O$2963:$O$100,CBIC_Late_Fee_Relief_Windows_3B!$D$2963:$D$100,"&lt;="&amp;B2963,CBIC_Late_Fee_Relief_Windows_3B!$E$2963:$E$100,"&gt;="&amp;B2963,CBIC_Late_Fee_Relief_Windows_3B!$F$2963:$F$100,"&lt;="&amp;C2963,CBIC_Late_Fee_Relief_Windows_3B!$G$2963:$G$100,"&gt;="&amp;C2963)</f>
        <v/>
      </c>
      <c r="H2963">
        <f>INDEX(CBIC_Late_Fee_Relief_Windows_3B!$I$2963:$I$100,MATCH(G2963,CBIC_Late_Fee_Relief_Windows_3B!$O$2963:$O$100,0))</f>
        <v/>
      </c>
      <c r="I2963">
        <f>MIN(F2963,H2963)</f>
        <v/>
      </c>
    </row>
    <row r="2964">
      <c r="A2964">
        <f>TEST_DATA!A2964</f>
        <v/>
      </c>
      <c r="B2964">
        <f>TEST_DATA!B2964</f>
        <v/>
      </c>
      <c r="C2964">
        <f>TEST_DATA!C2964</f>
        <v/>
      </c>
      <c r="D2964">
        <f>TEST_DATA!D2964</f>
        <v/>
      </c>
      <c r="E2964">
        <f>TEST_DATA!E2964</f>
        <v/>
      </c>
      <c r="F2964">
        <f>MIN(E2964*296400,10000)</f>
        <v/>
      </c>
      <c r="G2964">
        <f>MINIFS(CBIC_Late_Fee_Relief_Windows_3B!$O$2964:$O$100,CBIC_Late_Fee_Relief_Windows_3B!$D$2964:$D$100,"&lt;="&amp;B2964,CBIC_Late_Fee_Relief_Windows_3B!$E$2964:$E$100,"&gt;="&amp;B2964,CBIC_Late_Fee_Relief_Windows_3B!$F$2964:$F$100,"&lt;="&amp;C2964,CBIC_Late_Fee_Relief_Windows_3B!$G$2964:$G$100,"&gt;="&amp;C2964)</f>
        <v/>
      </c>
      <c r="H2964">
        <f>INDEX(CBIC_Late_Fee_Relief_Windows_3B!$I$2964:$I$100,MATCH(G2964,CBIC_Late_Fee_Relief_Windows_3B!$O$2964:$O$100,0))</f>
        <v/>
      </c>
      <c r="I2964">
        <f>MIN(F2964,H2964)</f>
        <v/>
      </c>
    </row>
    <row r="2965">
      <c r="A2965">
        <f>TEST_DATA!A2965</f>
        <v/>
      </c>
      <c r="B2965">
        <f>TEST_DATA!B2965</f>
        <v/>
      </c>
      <c r="C2965">
        <f>TEST_DATA!C2965</f>
        <v/>
      </c>
      <c r="D2965">
        <f>TEST_DATA!D2965</f>
        <v/>
      </c>
      <c r="E2965">
        <f>TEST_DATA!E2965</f>
        <v/>
      </c>
      <c r="F2965">
        <f>MIN(E2965*296500,10000)</f>
        <v/>
      </c>
      <c r="G2965">
        <f>MINIFS(CBIC_Late_Fee_Relief_Windows_3B!$O$2965:$O$100,CBIC_Late_Fee_Relief_Windows_3B!$D$2965:$D$100,"&lt;="&amp;B2965,CBIC_Late_Fee_Relief_Windows_3B!$E$2965:$E$100,"&gt;="&amp;B2965,CBIC_Late_Fee_Relief_Windows_3B!$F$2965:$F$100,"&lt;="&amp;C2965,CBIC_Late_Fee_Relief_Windows_3B!$G$2965:$G$100,"&gt;="&amp;C2965)</f>
        <v/>
      </c>
      <c r="H2965">
        <f>INDEX(CBIC_Late_Fee_Relief_Windows_3B!$I$2965:$I$100,MATCH(G2965,CBIC_Late_Fee_Relief_Windows_3B!$O$2965:$O$100,0))</f>
        <v/>
      </c>
      <c r="I2965">
        <f>MIN(F2965,H2965)</f>
        <v/>
      </c>
    </row>
    <row r="2966">
      <c r="A2966">
        <f>TEST_DATA!A2966</f>
        <v/>
      </c>
      <c r="B2966">
        <f>TEST_DATA!B2966</f>
        <v/>
      </c>
      <c r="C2966">
        <f>TEST_DATA!C2966</f>
        <v/>
      </c>
      <c r="D2966">
        <f>TEST_DATA!D2966</f>
        <v/>
      </c>
      <c r="E2966">
        <f>TEST_DATA!E2966</f>
        <v/>
      </c>
      <c r="F2966">
        <f>MIN(E2966*296600,10000)</f>
        <v/>
      </c>
      <c r="G2966">
        <f>MINIFS(CBIC_Late_Fee_Relief_Windows_3B!$O$2966:$O$100,CBIC_Late_Fee_Relief_Windows_3B!$D$2966:$D$100,"&lt;="&amp;B2966,CBIC_Late_Fee_Relief_Windows_3B!$E$2966:$E$100,"&gt;="&amp;B2966,CBIC_Late_Fee_Relief_Windows_3B!$F$2966:$F$100,"&lt;="&amp;C2966,CBIC_Late_Fee_Relief_Windows_3B!$G$2966:$G$100,"&gt;="&amp;C2966)</f>
        <v/>
      </c>
      <c r="H2966">
        <f>INDEX(CBIC_Late_Fee_Relief_Windows_3B!$I$2966:$I$100,MATCH(G2966,CBIC_Late_Fee_Relief_Windows_3B!$O$2966:$O$100,0))</f>
        <v/>
      </c>
      <c r="I2966">
        <f>MIN(F2966,H2966)</f>
        <v/>
      </c>
    </row>
    <row r="2967">
      <c r="A2967">
        <f>TEST_DATA!A2967</f>
        <v/>
      </c>
      <c r="B2967">
        <f>TEST_DATA!B2967</f>
        <v/>
      </c>
      <c r="C2967">
        <f>TEST_DATA!C2967</f>
        <v/>
      </c>
      <c r="D2967">
        <f>TEST_DATA!D2967</f>
        <v/>
      </c>
      <c r="E2967">
        <f>TEST_DATA!E2967</f>
        <v/>
      </c>
      <c r="F2967">
        <f>MIN(E2967*296700,10000)</f>
        <v/>
      </c>
      <c r="G2967">
        <f>MINIFS(CBIC_Late_Fee_Relief_Windows_3B!$O$2967:$O$100,CBIC_Late_Fee_Relief_Windows_3B!$D$2967:$D$100,"&lt;="&amp;B2967,CBIC_Late_Fee_Relief_Windows_3B!$E$2967:$E$100,"&gt;="&amp;B2967,CBIC_Late_Fee_Relief_Windows_3B!$F$2967:$F$100,"&lt;="&amp;C2967,CBIC_Late_Fee_Relief_Windows_3B!$G$2967:$G$100,"&gt;="&amp;C2967)</f>
        <v/>
      </c>
      <c r="H2967">
        <f>INDEX(CBIC_Late_Fee_Relief_Windows_3B!$I$2967:$I$100,MATCH(G2967,CBIC_Late_Fee_Relief_Windows_3B!$O$2967:$O$100,0))</f>
        <v/>
      </c>
      <c r="I2967">
        <f>MIN(F2967,H2967)</f>
        <v/>
      </c>
    </row>
    <row r="2968">
      <c r="A2968">
        <f>TEST_DATA!A2968</f>
        <v/>
      </c>
      <c r="B2968">
        <f>TEST_DATA!B2968</f>
        <v/>
      </c>
      <c r="C2968">
        <f>TEST_DATA!C2968</f>
        <v/>
      </c>
      <c r="D2968">
        <f>TEST_DATA!D2968</f>
        <v/>
      </c>
      <c r="E2968">
        <f>TEST_DATA!E2968</f>
        <v/>
      </c>
      <c r="F2968">
        <f>MIN(E2968*296800,10000)</f>
        <v/>
      </c>
      <c r="G2968">
        <f>MINIFS(CBIC_Late_Fee_Relief_Windows_3B!$O$2968:$O$100,CBIC_Late_Fee_Relief_Windows_3B!$D$2968:$D$100,"&lt;="&amp;B2968,CBIC_Late_Fee_Relief_Windows_3B!$E$2968:$E$100,"&gt;="&amp;B2968,CBIC_Late_Fee_Relief_Windows_3B!$F$2968:$F$100,"&lt;="&amp;C2968,CBIC_Late_Fee_Relief_Windows_3B!$G$2968:$G$100,"&gt;="&amp;C2968)</f>
        <v/>
      </c>
      <c r="H2968">
        <f>INDEX(CBIC_Late_Fee_Relief_Windows_3B!$I$2968:$I$100,MATCH(G2968,CBIC_Late_Fee_Relief_Windows_3B!$O$2968:$O$100,0))</f>
        <v/>
      </c>
      <c r="I2968">
        <f>MIN(F2968,H2968)</f>
        <v/>
      </c>
    </row>
    <row r="2969">
      <c r="A2969">
        <f>TEST_DATA!A2969</f>
        <v/>
      </c>
      <c r="B2969">
        <f>TEST_DATA!B2969</f>
        <v/>
      </c>
      <c r="C2969">
        <f>TEST_DATA!C2969</f>
        <v/>
      </c>
      <c r="D2969">
        <f>TEST_DATA!D2969</f>
        <v/>
      </c>
      <c r="E2969">
        <f>TEST_DATA!E2969</f>
        <v/>
      </c>
      <c r="F2969">
        <f>MIN(E2969*296900,10000)</f>
        <v/>
      </c>
      <c r="G2969">
        <f>MINIFS(CBIC_Late_Fee_Relief_Windows_3B!$O$2969:$O$100,CBIC_Late_Fee_Relief_Windows_3B!$D$2969:$D$100,"&lt;="&amp;B2969,CBIC_Late_Fee_Relief_Windows_3B!$E$2969:$E$100,"&gt;="&amp;B2969,CBIC_Late_Fee_Relief_Windows_3B!$F$2969:$F$100,"&lt;="&amp;C2969,CBIC_Late_Fee_Relief_Windows_3B!$G$2969:$G$100,"&gt;="&amp;C2969)</f>
        <v/>
      </c>
      <c r="H2969">
        <f>INDEX(CBIC_Late_Fee_Relief_Windows_3B!$I$2969:$I$100,MATCH(G2969,CBIC_Late_Fee_Relief_Windows_3B!$O$2969:$O$100,0))</f>
        <v/>
      </c>
      <c r="I2969">
        <f>MIN(F2969,H2969)</f>
        <v/>
      </c>
    </row>
    <row r="2970">
      <c r="A2970">
        <f>TEST_DATA!A2970</f>
        <v/>
      </c>
      <c r="B2970">
        <f>TEST_DATA!B2970</f>
        <v/>
      </c>
      <c r="C2970">
        <f>TEST_DATA!C2970</f>
        <v/>
      </c>
      <c r="D2970">
        <f>TEST_DATA!D2970</f>
        <v/>
      </c>
      <c r="E2970">
        <f>TEST_DATA!E2970</f>
        <v/>
      </c>
      <c r="F2970">
        <f>MIN(E2970*297000,10000)</f>
        <v/>
      </c>
      <c r="G2970">
        <f>MINIFS(CBIC_Late_Fee_Relief_Windows_3B!$O$2970:$O$100,CBIC_Late_Fee_Relief_Windows_3B!$D$2970:$D$100,"&lt;="&amp;B2970,CBIC_Late_Fee_Relief_Windows_3B!$E$2970:$E$100,"&gt;="&amp;B2970,CBIC_Late_Fee_Relief_Windows_3B!$F$2970:$F$100,"&lt;="&amp;C2970,CBIC_Late_Fee_Relief_Windows_3B!$G$2970:$G$100,"&gt;="&amp;C2970)</f>
        <v/>
      </c>
      <c r="H2970">
        <f>INDEX(CBIC_Late_Fee_Relief_Windows_3B!$I$2970:$I$100,MATCH(G2970,CBIC_Late_Fee_Relief_Windows_3B!$O$2970:$O$100,0))</f>
        <v/>
      </c>
      <c r="I2970">
        <f>MIN(F2970,H2970)</f>
        <v/>
      </c>
    </row>
    <row r="2971">
      <c r="A2971">
        <f>TEST_DATA!A2971</f>
        <v/>
      </c>
      <c r="B2971">
        <f>TEST_DATA!B2971</f>
        <v/>
      </c>
      <c r="C2971">
        <f>TEST_DATA!C2971</f>
        <v/>
      </c>
      <c r="D2971">
        <f>TEST_DATA!D2971</f>
        <v/>
      </c>
      <c r="E2971">
        <f>TEST_DATA!E2971</f>
        <v/>
      </c>
      <c r="F2971">
        <f>MIN(E2971*297100,10000)</f>
        <v/>
      </c>
      <c r="G2971">
        <f>MINIFS(CBIC_Late_Fee_Relief_Windows_3B!$O$2971:$O$100,CBIC_Late_Fee_Relief_Windows_3B!$D$2971:$D$100,"&lt;="&amp;B2971,CBIC_Late_Fee_Relief_Windows_3B!$E$2971:$E$100,"&gt;="&amp;B2971,CBIC_Late_Fee_Relief_Windows_3B!$F$2971:$F$100,"&lt;="&amp;C2971,CBIC_Late_Fee_Relief_Windows_3B!$G$2971:$G$100,"&gt;="&amp;C2971)</f>
        <v/>
      </c>
      <c r="H2971">
        <f>INDEX(CBIC_Late_Fee_Relief_Windows_3B!$I$2971:$I$100,MATCH(G2971,CBIC_Late_Fee_Relief_Windows_3B!$O$2971:$O$100,0))</f>
        <v/>
      </c>
      <c r="I2971">
        <f>MIN(F2971,H2971)</f>
        <v/>
      </c>
    </row>
    <row r="2972">
      <c r="A2972">
        <f>TEST_DATA!A2972</f>
        <v/>
      </c>
      <c r="B2972">
        <f>TEST_DATA!B2972</f>
        <v/>
      </c>
      <c r="C2972">
        <f>TEST_DATA!C2972</f>
        <v/>
      </c>
      <c r="D2972">
        <f>TEST_DATA!D2972</f>
        <v/>
      </c>
      <c r="E2972">
        <f>TEST_DATA!E2972</f>
        <v/>
      </c>
      <c r="F2972">
        <f>MIN(E2972*297200,10000)</f>
        <v/>
      </c>
      <c r="G2972">
        <f>MINIFS(CBIC_Late_Fee_Relief_Windows_3B!$O$2972:$O$100,CBIC_Late_Fee_Relief_Windows_3B!$D$2972:$D$100,"&lt;="&amp;B2972,CBIC_Late_Fee_Relief_Windows_3B!$E$2972:$E$100,"&gt;="&amp;B2972,CBIC_Late_Fee_Relief_Windows_3B!$F$2972:$F$100,"&lt;="&amp;C2972,CBIC_Late_Fee_Relief_Windows_3B!$G$2972:$G$100,"&gt;="&amp;C2972)</f>
        <v/>
      </c>
      <c r="H2972">
        <f>INDEX(CBIC_Late_Fee_Relief_Windows_3B!$I$2972:$I$100,MATCH(G2972,CBIC_Late_Fee_Relief_Windows_3B!$O$2972:$O$100,0))</f>
        <v/>
      </c>
      <c r="I2972">
        <f>MIN(F2972,H2972)</f>
        <v/>
      </c>
    </row>
    <row r="2973">
      <c r="A2973">
        <f>TEST_DATA!A2973</f>
        <v/>
      </c>
      <c r="B2973">
        <f>TEST_DATA!B2973</f>
        <v/>
      </c>
      <c r="C2973">
        <f>TEST_DATA!C2973</f>
        <v/>
      </c>
      <c r="D2973">
        <f>TEST_DATA!D2973</f>
        <v/>
      </c>
      <c r="E2973">
        <f>TEST_DATA!E2973</f>
        <v/>
      </c>
      <c r="F2973">
        <f>MIN(E2973*297300,10000)</f>
        <v/>
      </c>
      <c r="G2973">
        <f>MINIFS(CBIC_Late_Fee_Relief_Windows_3B!$O$2973:$O$100,CBIC_Late_Fee_Relief_Windows_3B!$D$2973:$D$100,"&lt;="&amp;B2973,CBIC_Late_Fee_Relief_Windows_3B!$E$2973:$E$100,"&gt;="&amp;B2973,CBIC_Late_Fee_Relief_Windows_3B!$F$2973:$F$100,"&lt;="&amp;C2973,CBIC_Late_Fee_Relief_Windows_3B!$G$2973:$G$100,"&gt;="&amp;C2973)</f>
        <v/>
      </c>
      <c r="H2973">
        <f>INDEX(CBIC_Late_Fee_Relief_Windows_3B!$I$2973:$I$100,MATCH(G2973,CBIC_Late_Fee_Relief_Windows_3B!$O$2973:$O$100,0))</f>
        <v/>
      </c>
      <c r="I2973">
        <f>MIN(F2973,H2973)</f>
        <v/>
      </c>
    </row>
    <row r="2974">
      <c r="A2974">
        <f>TEST_DATA!A2974</f>
        <v/>
      </c>
      <c r="B2974">
        <f>TEST_DATA!B2974</f>
        <v/>
      </c>
      <c r="C2974">
        <f>TEST_DATA!C2974</f>
        <v/>
      </c>
      <c r="D2974">
        <f>TEST_DATA!D2974</f>
        <v/>
      </c>
      <c r="E2974">
        <f>TEST_DATA!E2974</f>
        <v/>
      </c>
      <c r="F2974">
        <f>MIN(E2974*297400,10000)</f>
        <v/>
      </c>
      <c r="G2974">
        <f>MINIFS(CBIC_Late_Fee_Relief_Windows_3B!$O$2974:$O$100,CBIC_Late_Fee_Relief_Windows_3B!$D$2974:$D$100,"&lt;="&amp;B2974,CBIC_Late_Fee_Relief_Windows_3B!$E$2974:$E$100,"&gt;="&amp;B2974,CBIC_Late_Fee_Relief_Windows_3B!$F$2974:$F$100,"&lt;="&amp;C2974,CBIC_Late_Fee_Relief_Windows_3B!$G$2974:$G$100,"&gt;="&amp;C2974)</f>
        <v/>
      </c>
      <c r="H2974">
        <f>INDEX(CBIC_Late_Fee_Relief_Windows_3B!$I$2974:$I$100,MATCH(G2974,CBIC_Late_Fee_Relief_Windows_3B!$O$2974:$O$100,0))</f>
        <v/>
      </c>
      <c r="I2974">
        <f>MIN(F2974,H2974)</f>
        <v/>
      </c>
    </row>
    <row r="2975">
      <c r="A2975">
        <f>TEST_DATA!A2975</f>
        <v/>
      </c>
      <c r="B2975">
        <f>TEST_DATA!B2975</f>
        <v/>
      </c>
      <c r="C2975">
        <f>TEST_DATA!C2975</f>
        <v/>
      </c>
      <c r="D2975">
        <f>TEST_DATA!D2975</f>
        <v/>
      </c>
      <c r="E2975">
        <f>TEST_DATA!E2975</f>
        <v/>
      </c>
      <c r="F2975">
        <f>MIN(E2975*297500,10000)</f>
        <v/>
      </c>
      <c r="G2975">
        <f>MINIFS(CBIC_Late_Fee_Relief_Windows_3B!$O$2975:$O$100,CBIC_Late_Fee_Relief_Windows_3B!$D$2975:$D$100,"&lt;="&amp;B2975,CBIC_Late_Fee_Relief_Windows_3B!$E$2975:$E$100,"&gt;="&amp;B2975,CBIC_Late_Fee_Relief_Windows_3B!$F$2975:$F$100,"&lt;="&amp;C2975,CBIC_Late_Fee_Relief_Windows_3B!$G$2975:$G$100,"&gt;="&amp;C2975)</f>
        <v/>
      </c>
      <c r="H2975">
        <f>INDEX(CBIC_Late_Fee_Relief_Windows_3B!$I$2975:$I$100,MATCH(G2975,CBIC_Late_Fee_Relief_Windows_3B!$O$2975:$O$100,0))</f>
        <v/>
      </c>
      <c r="I2975">
        <f>MIN(F2975,H2975)</f>
        <v/>
      </c>
    </row>
    <row r="2976">
      <c r="A2976">
        <f>TEST_DATA!A2976</f>
        <v/>
      </c>
      <c r="B2976">
        <f>TEST_DATA!B2976</f>
        <v/>
      </c>
      <c r="C2976">
        <f>TEST_DATA!C2976</f>
        <v/>
      </c>
      <c r="D2976">
        <f>TEST_DATA!D2976</f>
        <v/>
      </c>
      <c r="E2976">
        <f>TEST_DATA!E2976</f>
        <v/>
      </c>
      <c r="F2976">
        <f>MIN(E2976*297600,10000)</f>
        <v/>
      </c>
      <c r="G2976">
        <f>MINIFS(CBIC_Late_Fee_Relief_Windows_3B!$O$2976:$O$100,CBIC_Late_Fee_Relief_Windows_3B!$D$2976:$D$100,"&lt;="&amp;B2976,CBIC_Late_Fee_Relief_Windows_3B!$E$2976:$E$100,"&gt;="&amp;B2976,CBIC_Late_Fee_Relief_Windows_3B!$F$2976:$F$100,"&lt;="&amp;C2976,CBIC_Late_Fee_Relief_Windows_3B!$G$2976:$G$100,"&gt;="&amp;C2976)</f>
        <v/>
      </c>
      <c r="H2976">
        <f>INDEX(CBIC_Late_Fee_Relief_Windows_3B!$I$2976:$I$100,MATCH(G2976,CBIC_Late_Fee_Relief_Windows_3B!$O$2976:$O$100,0))</f>
        <v/>
      </c>
      <c r="I2976">
        <f>MIN(F2976,H2976)</f>
        <v/>
      </c>
    </row>
    <row r="2977">
      <c r="A2977">
        <f>TEST_DATA!A2977</f>
        <v/>
      </c>
      <c r="B2977">
        <f>TEST_DATA!B2977</f>
        <v/>
      </c>
      <c r="C2977">
        <f>TEST_DATA!C2977</f>
        <v/>
      </c>
      <c r="D2977">
        <f>TEST_DATA!D2977</f>
        <v/>
      </c>
      <c r="E2977">
        <f>TEST_DATA!E2977</f>
        <v/>
      </c>
      <c r="F2977">
        <f>MIN(E2977*297700,10000)</f>
        <v/>
      </c>
      <c r="G2977">
        <f>MINIFS(CBIC_Late_Fee_Relief_Windows_3B!$O$2977:$O$100,CBIC_Late_Fee_Relief_Windows_3B!$D$2977:$D$100,"&lt;="&amp;B2977,CBIC_Late_Fee_Relief_Windows_3B!$E$2977:$E$100,"&gt;="&amp;B2977,CBIC_Late_Fee_Relief_Windows_3B!$F$2977:$F$100,"&lt;="&amp;C2977,CBIC_Late_Fee_Relief_Windows_3B!$G$2977:$G$100,"&gt;="&amp;C2977)</f>
        <v/>
      </c>
      <c r="H2977">
        <f>INDEX(CBIC_Late_Fee_Relief_Windows_3B!$I$2977:$I$100,MATCH(G2977,CBIC_Late_Fee_Relief_Windows_3B!$O$2977:$O$100,0))</f>
        <v/>
      </c>
      <c r="I2977">
        <f>MIN(F2977,H2977)</f>
        <v/>
      </c>
    </row>
    <row r="2978">
      <c r="A2978">
        <f>TEST_DATA!A2978</f>
        <v/>
      </c>
      <c r="B2978">
        <f>TEST_DATA!B2978</f>
        <v/>
      </c>
      <c r="C2978">
        <f>TEST_DATA!C2978</f>
        <v/>
      </c>
      <c r="D2978">
        <f>TEST_DATA!D2978</f>
        <v/>
      </c>
      <c r="E2978">
        <f>TEST_DATA!E2978</f>
        <v/>
      </c>
      <c r="F2978">
        <f>MIN(E2978*297800,10000)</f>
        <v/>
      </c>
      <c r="G2978">
        <f>MINIFS(CBIC_Late_Fee_Relief_Windows_3B!$O$2978:$O$100,CBIC_Late_Fee_Relief_Windows_3B!$D$2978:$D$100,"&lt;="&amp;B2978,CBIC_Late_Fee_Relief_Windows_3B!$E$2978:$E$100,"&gt;="&amp;B2978,CBIC_Late_Fee_Relief_Windows_3B!$F$2978:$F$100,"&lt;="&amp;C2978,CBIC_Late_Fee_Relief_Windows_3B!$G$2978:$G$100,"&gt;="&amp;C2978)</f>
        <v/>
      </c>
      <c r="H2978">
        <f>INDEX(CBIC_Late_Fee_Relief_Windows_3B!$I$2978:$I$100,MATCH(G2978,CBIC_Late_Fee_Relief_Windows_3B!$O$2978:$O$100,0))</f>
        <v/>
      </c>
      <c r="I2978">
        <f>MIN(F2978,H2978)</f>
        <v/>
      </c>
    </row>
    <row r="2979">
      <c r="A2979">
        <f>TEST_DATA!A2979</f>
        <v/>
      </c>
      <c r="B2979">
        <f>TEST_DATA!B2979</f>
        <v/>
      </c>
      <c r="C2979">
        <f>TEST_DATA!C2979</f>
        <v/>
      </c>
      <c r="D2979">
        <f>TEST_DATA!D2979</f>
        <v/>
      </c>
      <c r="E2979">
        <f>TEST_DATA!E2979</f>
        <v/>
      </c>
      <c r="F2979">
        <f>MIN(E2979*297900,10000)</f>
        <v/>
      </c>
      <c r="G2979">
        <f>MINIFS(CBIC_Late_Fee_Relief_Windows_3B!$O$2979:$O$100,CBIC_Late_Fee_Relief_Windows_3B!$D$2979:$D$100,"&lt;="&amp;B2979,CBIC_Late_Fee_Relief_Windows_3B!$E$2979:$E$100,"&gt;="&amp;B2979,CBIC_Late_Fee_Relief_Windows_3B!$F$2979:$F$100,"&lt;="&amp;C2979,CBIC_Late_Fee_Relief_Windows_3B!$G$2979:$G$100,"&gt;="&amp;C2979)</f>
        <v/>
      </c>
      <c r="H2979">
        <f>INDEX(CBIC_Late_Fee_Relief_Windows_3B!$I$2979:$I$100,MATCH(G2979,CBIC_Late_Fee_Relief_Windows_3B!$O$2979:$O$100,0))</f>
        <v/>
      </c>
      <c r="I2979">
        <f>MIN(F2979,H2979)</f>
        <v/>
      </c>
    </row>
    <row r="2980">
      <c r="A2980">
        <f>TEST_DATA!A2980</f>
        <v/>
      </c>
      <c r="B2980">
        <f>TEST_DATA!B2980</f>
        <v/>
      </c>
      <c r="C2980">
        <f>TEST_DATA!C2980</f>
        <v/>
      </c>
      <c r="D2980">
        <f>TEST_DATA!D2980</f>
        <v/>
      </c>
      <c r="E2980">
        <f>TEST_DATA!E2980</f>
        <v/>
      </c>
      <c r="F2980">
        <f>MIN(E2980*298000,10000)</f>
        <v/>
      </c>
      <c r="G2980">
        <f>MINIFS(CBIC_Late_Fee_Relief_Windows_3B!$O$2980:$O$100,CBIC_Late_Fee_Relief_Windows_3B!$D$2980:$D$100,"&lt;="&amp;B2980,CBIC_Late_Fee_Relief_Windows_3B!$E$2980:$E$100,"&gt;="&amp;B2980,CBIC_Late_Fee_Relief_Windows_3B!$F$2980:$F$100,"&lt;="&amp;C2980,CBIC_Late_Fee_Relief_Windows_3B!$G$2980:$G$100,"&gt;="&amp;C2980)</f>
        <v/>
      </c>
      <c r="H2980">
        <f>INDEX(CBIC_Late_Fee_Relief_Windows_3B!$I$2980:$I$100,MATCH(G2980,CBIC_Late_Fee_Relief_Windows_3B!$O$2980:$O$100,0))</f>
        <v/>
      </c>
      <c r="I2980">
        <f>MIN(F2980,H2980)</f>
        <v/>
      </c>
    </row>
    <row r="2981">
      <c r="A2981">
        <f>TEST_DATA!A2981</f>
        <v/>
      </c>
      <c r="B2981">
        <f>TEST_DATA!B2981</f>
        <v/>
      </c>
      <c r="C2981">
        <f>TEST_DATA!C2981</f>
        <v/>
      </c>
      <c r="D2981">
        <f>TEST_DATA!D2981</f>
        <v/>
      </c>
      <c r="E2981">
        <f>TEST_DATA!E2981</f>
        <v/>
      </c>
      <c r="F2981">
        <f>MIN(E2981*298100,10000)</f>
        <v/>
      </c>
      <c r="G2981">
        <f>MINIFS(CBIC_Late_Fee_Relief_Windows_3B!$O$2981:$O$100,CBIC_Late_Fee_Relief_Windows_3B!$D$2981:$D$100,"&lt;="&amp;B2981,CBIC_Late_Fee_Relief_Windows_3B!$E$2981:$E$100,"&gt;="&amp;B2981,CBIC_Late_Fee_Relief_Windows_3B!$F$2981:$F$100,"&lt;="&amp;C2981,CBIC_Late_Fee_Relief_Windows_3B!$G$2981:$G$100,"&gt;="&amp;C2981)</f>
        <v/>
      </c>
      <c r="H2981">
        <f>INDEX(CBIC_Late_Fee_Relief_Windows_3B!$I$2981:$I$100,MATCH(G2981,CBIC_Late_Fee_Relief_Windows_3B!$O$2981:$O$100,0))</f>
        <v/>
      </c>
      <c r="I2981">
        <f>MIN(F2981,H2981)</f>
        <v/>
      </c>
    </row>
    <row r="2982">
      <c r="A2982">
        <f>TEST_DATA!A2982</f>
        <v/>
      </c>
      <c r="B2982">
        <f>TEST_DATA!B2982</f>
        <v/>
      </c>
      <c r="C2982">
        <f>TEST_DATA!C2982</f>
        <v/>
      </c>
      <c r="D2982">
        <f>TEST_DATA!D2982</f>
        <v/>
      </c>
      <c r="E2982">
        <f>TEST_DATA!E2982</f>
        <v/>
      </c>
      <c r="F2982">
        <f>MIN(E2982*298200,10000)</f>
        <v/>
      </c>
      <c r="G2982">
        <f>MINIFS(CBIC_Late_Fee_Relief_Windows_3B!$O$2982:$O$100,CBIC_Late_Fee_Relief_Windows_3B!$D$2982:$D$100,"&lt;="&amp;B2982,CBIC_Late_Fee_Relief_Windows_3B!$E$2982:$E$100,"&gt;="&amp;B2982,CBIC_Late_Fee_Relief_Windows_3B!$F$2982:$F$100,"&lt;="&amp;C2982,CBIC_Late_Fee_Relief_Windows_3B!$G$2982:$G$100,"&gt;="&amp;C2982)</f>
        <v/>
      </c>
      <c r="H2982">
        <f>INDEX(CBIC_Late_Fee_Relief_Windows_3B!$I$2982:$I$100,MATCH(G2982,CBIC_Late_Fee_Relief_Windows_3B!$O$2982:$O$100,0))</f>
        <v/>
      </c>
      <c r="I2982">
        <f>MIN(F2982,H2982)</f>
        <v/>
      </c>
    </row>
    <row r="2983">
      <c r="A2983">
        <f>TEST_DATA!A2983</f>
        <v/>
      </c>
      <c r="B2983">
        <f>TEST_DATA!B2983</f>
        <v/>
      </c>
      <c r="C2983">
        <f>TEST_DATA!C2983</f>
        <v/>
      </c>
      <c r="D2983">
        <f>TEST_DATA!D2983</f>
        <v/>
      </c>
      <c r="E2983">
        <f>TEST_DATA!E2983</f>
        <v/>
      </c>
      <c r="F2983">
        <f>MIN(E2983*298300,10000)</f>
        <v/>
      </c>
      <c r="G2983">
        <f>MINIFS(CBIC_Late_Fee_Relief_Windows_3B!$O$2983:$O$100,CBIC_Late_Fee_Relief_Windows_3B!$D$2983:$D$100,"&lt;="&amp;B2983,CBIC_Late_Fee_Relief_Windows_3B!$E$2983:$E$100,"&gt;="&amp;B2983,CBIC_Late_Fee_Relief_Windows_3B!$F$2983:$F$100,"&lt;="&amp;C2983,CBIC_Late_Fee_Relief_Windows_3B!$G$2983:$G$100,"&gt;="&amp;C2983)</f>
        <v/>
      </c>
      <c r="H2983">
        <f>INDEX(CBIC_Late_Fee_Relief_Windows_3B!$I$2983:$I$100,MATCH(G2983,CBIC_Late_Fee_Relief_Windows_3B!$O$2983:$O$100,0))</f>
        <v/>
      </c>
      <c r="I2983">
        <f>MIN(F2983,H2983)</f>
        <v/>
      </c>
    </row>
    <row r="2984">
      <c r="A2984">
        <f>TEST_DATA!A2984</f>
        <v/>
      </c>
      <c r="B2984">
        <f>TEST_DATA!B2984</f>
        <v/>
      </c>
      <c r="C2984">
        <f>TEST_DATA!C2984</f>
        <v/>
      </c>
      <c r="D2984">
        <f>TEST_DATA!D2984</f>
        <v/>
      </c>
      <c r="E2984">
        <f>TEST_DATA!E2984</f>
        <v/>
      </c>
      <c r="F2984">
        <f>MIN(E2984*298400,10000)</f>
        <v/>
      </c>
      <c r="G2984">
        <f>MINIFS(CBIC_Late_Fee_Relief_Windows_3B!$O$2984:$O$100,CBIC_Late_Fee_Relief_Windows_3B!$D$2984:$D$100,"&lt;="&amp;B2984,CBIC_Late_Fee_Relief_Windows_3B!$E$2984:$E$100,"&gt;="&amp;B2984,CBIC_Late_Fee_Relief_Windows_3B!$F$2984:$F$100,"&lt;="&amp;C2984,CBIC_Late_Fee_Relief_Windows_3B!$G$2984:$G$100,"&gt;="&amp;C2984)</f>
        <v/>
      </c>
      <c r="H2984">
        <f>INDEX(CBIC_Late_Fee_Relief_Windows_3B!$I$2984:$I$100,MATCH(G2984,CBIC_Late_Fee_Relief_Windows_3B!$O$2984:$O$100,0))</f>
        <v/>
      </c>
      <c r="I2984">
        <f>MIN(F2984,H2984)</f>
        <v/>
      </c>
    </row>
    <row r="2985">
      <c r="A2985">
        <f>TEST_DATA!A2985</f>
        <v/>
      </c>
      <c r="B2985">
        <f>TEST_DATA!B2985</f>
        <v/>
      </c>
      <c r="C2985">
        <f>TEST_DATA!C2985</f>
        <v/>
      </c>
      <c r="D2985">
        <f>TEST_DATA!D2985</f>
        <v/>
      </c>
      <c r="E2985">
        <f>TEST_DATA!E2985</f>
        <v/>
      </c>
      <c r="F2985">
        <f>MIN(E2985*298500,10000)</f>
        <v/>
      </c>
      <c r="G2985">
        <f>MINIFS(CBIC_Late_Fee_Relief_Windows_3B!$O$2985:$O$100,CBIC_Late_Fee_Relief_Windows_3B!$D$2985:$D$100,"&lt;="&amp;B2985,CBIC_Late_Fee_Relief_Windows_3B!$E$2985:$E$100,"&gt;="&amp;B2985,CBIC_Late_Fee_Relief_Windows_3B!$F$2985:$F$100,"&lt;="&amp;C2985,CBIC_Late_Fee_Relief_Windows_3B!$G$2985:$G$100,"&gt;="&amp;C2985)</f>
        <v/>
      </c>
      <c r="H2985">
        <f>INDEX(CBIC_Late_Fee_Relief_Windows_3B!$I$2985:$I$100,MATCH(G2985,CBIC_Late_Fee_Relief_Windows_3B!$O$2985:$O$100,0))</f>
        <v/>
      </c>
      <c r="I2985">
        <f>MIN(F2985,H2985)</f>
        <v/>
      </c>
    </row>
    <row r="2986">
      <c r="A2986">
        <f>TEST_DATA!A2986</f>
        <v/>
      </c>
      <c r="B2986">
        <f>TEST_DATA!B2986</f>
        <v/>
      </c>
      <c r="C2986">
        <f>TEST_DATA!C2986</f>
        <v/>
      </c>
      <c r="D2986">
        <f>TEST_DATA!D2986</f>
        <v/>
      </c>
      <c r="E2986">
        <f>TEST_DATA!E2986</f>
        <v/>
      </c>
      <c r="F2986">
        <f>MIN(E2986*298600,10000)</f>
        <v/>
      </c>
      <c r="G2986">
        <f>MINIFS(CBIC_Late_Fee_Relief_Windows_3B!$O$2986:$O$100,CBIC_Late_Fee_Relief_Windows_3B!$D$2986:$D$100,"&lt;="&amp;B2986,CBIC_Late_Fee_Relief_Windows_3B!$E$2986:$E$100,"&gt;="&amp;B2986,CBIC_Late_Fee_Relief_Windows_3B!$F$2986:$F$100,"&lt;="&amp;C2986,CBIC_Late_Fee_Relief_Windows_3B!$G$2986:$G$100,"&gt;="&amp;C2986)</f>
        <v/>
      </c>
      <c r="H2986">
        <f>INDEX(CBIC_Late_Fee_Relief_Windows_3B!$I$2986:$I$100,MATCH(G2986,CBIC_Late_Fee_Relief_Windows_3B!$O$2986:$O$100,0))</f>
        <v/>
      </c>
      <c r="I2986">
        <f>MIN(F2986,H2986)</f>
        <v/>
      </c>
    </row>
    <row r="2987">
      <c r="A2987">
        <f>TEST_DATA!A2987</f>
        <v/>
      </c>
      <c r="B2987">
        <f>TEST_DATA!B2987</f>
        <v/>
      </c>
      <c r="C2987">
        <f>TEST_DATA!C2987</f>
        <v/>
      </c>
      <c r="D2987">
        <f>TEST_DATA!D2987</f>
        <v/>
      </c>
      <c r="E2987">
        <f>TEST_DATA!E2987</f>
        <v/>
      </c>
      <c r="F2987">
        <f>MIN(E2987*298700,10000)</f>
        <v/>
      </c>
      <c r="G2987">
        <f>MINIFS(CBIC_Late_Fee_Relief_Windows_3B!$O$2987:$O$100,CBIC_Late_Fee_Relief_Windows_3B!$D$2987:$D$100,"&lt;="&amp;B2987,CBIC_Late_Fee_Relief_Windows_3B!$E$2987:$E$100,"&gt;="&amp;B2987,CBIC_Late_Fee_Relief_Windows_3B!$F$2987:$F$100,"&lt;="&amp;C2987,CBIC_Late_Fee_Relief_Windows_3B!$G$2987:$G$100,"&gt;="&amp;C2987)</f>
        <v/>
      </c>
      <c r="H2987">
        <f>INDEX(CBIC_Late_Fee_Relief_Windows_3B!$I$2987:$I$100,MATCH(G2987,CBIC_Late_Fee_Relief_Windows_3B!$O$2987:$O$100,0))</f>
        <v/>
      </c>
      <c r="I2987">
        <f>MIN(F2987,H2987)</f>
        <v/>
      </c>
    </row>
    <row r="2988">
      <c r="A2988">
        <f>TEST_DATA!A2988</f>
        <v/>
      </c>
      <c r="B2988">
        <f>TEST_DATA!B2988</f>
        <v/>
      </c>
      <c r="C2988">
        <f>TEST_DATA!C2988</f>
        <v/>
      </c>
      <c r="D2988">
        <f>TEST_DATA!D2988</f>
        <v/>
      </c>
      <c r="E2988">
        <f>TEST_DATA!E2988</f>
        <v/>
      </c>
      <c r="F2988">
        <f>MIN(E2988*298800,10000)</f>
        <v/>
      </c>
      <c r="G2988">
        <f>MINIFS(CBIC_Late_Fee_Relief_Windows_3B!$O$2988:$O$100,CBIC_Late_Fee_Relief_Windows_3B!$D$2988:$D$100,"&lt;="&amp;B2988,CBIC_Late_Fee_Relief_Windows_3B!$E$2988:$E$100,"&gt;="&amp;B2988,CBIC_Late_Fee_Relief_Windows_3B!$F$2988:$F$100,"&lt;="&amp;C2988,CBIC_Late_Fee_Relief_Windows_3B!$G$2988:$G$100,"&gt;="&amp;C2988)</f>
        <v/>
      </c>
      <c r="H2988">
        <f>INDEX(CBIC_Late_Fee_Relief_Windows_3B!$I$2988:$I$100,MATCH(G2988,CBIC_Late_Fee_Relief_Windows_3B!$O$2988:$O$100,0))</f>
        <v/>
      </c>
      <c r="I2988">
        <f>MIN(F2988,H2988)</f>
        <v/>
      </c>
    </row>
    <row r="2989">
      <c r="A2989">
        <f>TEST_DATA!A2989</f>
        <v/>
      </c>
      <c r="B2989">
        <f>TEST_DATA!B2989</f>
        <v/>
      </c>
      <c r="C2989">
        <f>TEST_DATA!C2989</f>
        <v/>
      </c>
      <c r="D2989">
        <f>TEST_DATA!D2989</f>
        <v/>
      </c>
      <c r="E2989">
        <f>TEST_DATA!E2989</f>
        <v/>
      </c>
      <c r="F2989">
        <f>MIN(E2989*298900,10000)</f>
        <v/>
      </c>
      <c r="G2989">
        <f>MINIFS(CBIC_Late_Fee_Relief_Windows_3B!$O$2989:$O$100,CBIC_Late_Fee_Relief_Windows_3B!$D$2989:$D$100,"&lt;="&amp;B2989,CBIC_Late_Fee_Relief_Windows_3B!$E$2989:$E$100,"&gt;="&amp;B2989,CBIC_Late_Fee_Relief_Windows_3B!$F$2989:$F$100,"&lt;="&amp;C2989,CBIC_Late_Fee_Relief_Windows_3B!$G$2989:$G$100,"&gt;="&amp;C2989)</f>
        <v/>
      </c>
      <c r="H2989">
        <f>INDEX(CBIC_Late_Fee_Relief_Windows_3B!$I$2989:$I$100,MATCH(G2989,CBIC_Late_Fee_Relief_Windows_3B!$O$2989:$O$100,0))</f>
        <v/>
      </c>
      <c r="I2989">
        <f>MIN(F2989,H2989)</f>
        <v/>
      </c>
    </row>
    <row r="2990">
      <c r="A2990">
        <f>TEST_DATA!A2990</f>
        <v/>
      </c>
      <c r="B2990">
        <f>TEST_DATA!B2990</f>
        <v/>
      </c>
      <c r="C2990">
        <f>TEST_DATA!C2990</f>
        <v/>
      </c>
      <c r="D2990">
        <f>TEST_DATA!D2990</f>
        <v/>
      </c>
      <c r="E2990">
        <f>TEST_DATA!E2990</f>
        <v/>
      </c>
      <c r="F2990">
        <f>MIN(E2990*299000,10000)</f>
        <v/>
      </c>
      <c r="G2990">
        <f>MINIFS(CBIC_Late_Fee_Relief_Windows_3B!$O$2990:$O$100,CBIC_Late_Fee_Relief_Windows_3B!$D$2990:$D$100,"&lt;="&amp;B2990,CBIC_Late_Fee_Relief_Windows_3B!$E$2990:$E$100,"&gt;="&amp;B2990,CBIC_Late_Fee_Relief_Windows_3B!$F$2990:$F$100,"&lt;="&amp;C2990,CBIC_Late_Fee_Relief_Windows_3B!$G$2990:$G$100,"&gt;="&amp;C2990)</f>
        <v/>
      </c>
      <c r="H2990">
        <f>INDEX(CBIC_Late_Fee_Relief_Windows_3B!$I$2990:$I$100,MATCH(G2990,CBIC_Late_Fee_Relief_Windows_3B!$O$2990:$O$100,0))</f>
        <v/>
      </c>
      <c r="I2990">
        <f>MIN(F2990,H2990)</f>
        <v/>
      </c>
    </row>
    <row r="2991">
      <c r="A2991">
        <f>TEST_DATA!A2991</f>
        <v/>
      </c>
      <c r="B2991">
        <f>TEST_DATA!B2991</f>
        <v/>
      </c>
      <c r="C2991">
        <f>TEST_DATA!C2991</f>
        <v/>
      </c>
      <c r="D2991">
        <f>TEST_DATA!D2991</f>
        <v/>
      </c>
      <c r="E2991">
        <f>TEST_DATA!E2991</f>
        <v/>
      </c>
      <c r="F2991">
        <f>MIN(E2991*299100,10000)</f>
        <v/>
      </c>
      <c r="G2991">
        <f>MINIFS(CBIC_Late_Fee_Relief_Windows_3B!$O$2991:$O$100,CBIC_Late_Fee_Relief_Windows_3B!$D$2991:$D$100,"&lt;="&amp;B2991,CBIC_Late_Fee_Relief_Windows_3B!$E$2991:$E$100,"&gt;="&amp;B2991,CBIC_Late_Fee_Relief_Windows_3B!$F$2991:$F$100,"&lt;="&amp;C2991,CBIC_Late_Fee_Relief_Windows_3B!$G$2991:$G$100,"&gt;="&amp;C2991)</f>
        <v/>
      </c>
      <c r="H2991">
        <f>INDEX(CBIC_Late_Fee_Relief_Windows_3B!$I$2991:$I$100,MATCH(G2991,CBIC_Late_Fee_Relief_Windows_3B!$O$2991:$O$100,0))</f>
        <v/>
      </c>
      <c r="I2991">
        <f>MIN(F2991,H2991)</f>
        <v/>
      </c>
    </row>
    <row r="2992">
      <c r="A2992">
        <f>TEST_DATA!A2992</f>
        <v/>
      </c>
      <c r="B2992">
        <f>TEST_DATA!B2992</f>
        <v/>
      </c>
      <c r="C2992">
        <f>TEST_DATA!C2992</f>
        <v/>
      </c>
      <c r="D2992">
        <f>TEST_DATA!D2992</f>
        <v/>
      </c>
      <c r="E2992">
        <f>TEST_DATA!E2992</f>
        <v/>
      </c>
      <c r="F2992">
        <f>MIN(E2992*299200,10000)</f>
        <v/>
      </c>
      <c r="G2992">
        <f>MINIFS(CBIC_Late_Fee_Relief_Windows_3B!$O$2992:$O$100,CBIC_Late_Fee_Relief_Windows_3B!$D$2992:$D$100,"&lt;="&amp;B2992,CBIC_Late_Fee_Relief_Windows_3B!$E$2992:$E$100,"&gt;="&amp;B2992,CBIC_Late_Fee_Relief_Windows_3B!$F$2992:$F$100,"&lt;="&amp;C2992,CBIC_Late_Fee_Relief_Windows_3B!$G$2992:$G$100,"&gt;="&amp;C2992)</f>
        <v/>
      </c>
      <c r="H2992">
        <f>INDEX(CBIC_Late_Fee_Relief_Windows_3B!$I$2992:$I$100,MATCH(G2992,CBIC_Late_Fee_Relief_Windows_3B!$O$2992:$O$100,0))</f>
        <v/>
      </c>
      <c r="I2992">
        <f>MIN(F2992,H2992)</f>
        <v/>
      </c>
    </row>
    <row r="2993">
      <c r="A2993">
        <f>TEST_DATA!A2993</f>
        <v/>
      </c>
      <c r="B2993">
        <f>TEST_DATA!B2993</f>
        <v/>
      </c>
      <c r="C2993">
        <f>TEST_DATA!C2993</f>
        <v/>
      </c>
      <c r="D2993">
        <f>TEST_DATA!D2993</f>
        <v/>
      </c>
      <c r="E2993">
        <f>TEST_DATA!E2993</f>
        <v/>
      </c>
      <c r="F2993">
        <f>MIN(E2993*299300,10000)</f>
        <v/>
      </c>
      <c r="G2993">
        <f>MINIFS(CBIC_Late_Fee_Relief_Windows_3B!$O$2993:$O$100,CBIC_Late_Fee_Relief_Windows_3B!$D$2993:$D$100,"&lt;="&amp;B2993,CBIC_Late_Fee_Relief_Windows_3B!$E$2993:$E$100,"&gt;="&amp;B2993,CBIC_Late_Fee_Relief_Windows_3B!$F$2993:$F$100,"&lt;="&amp;C2993,CBIC_Late_Fee_Relief_Windows_3B!$G$2993:$G$100,"&gt;="&amp;C2993)</f>
        <v/>
      </c>
      <c r="H2993">
        <f>INDEX(CBIC_Late_Fee_Relief_Windows_3B!$I$2993:$I$100,MATCH(G2993,CBIC_Late_Fee_Relief_Windows_3B!$O$2993:$O$100,0))</f>
        <v/>
      </c>
      <c r="I2993">
        <f>MIN(F2993,H2993)</f>
        <v/>
      </c>
    </row>
    <row r="2994">
      <c r="A2994">
        <f>TEST_DATA!A2994</f>
        <v/>
      </c>
      <c r="B2994">
        <f>TEST_DATA!B2994</f>
        <v/>
      </c>
      <c r="C2994">
        <f>TEST_DATA!C2994</f>
        <v/>
      </c>
      <c r="D2994">
        <f>TEST_DATA!D2994</f>
        <v/>
      </c>
      <c r="E2994">
        <f>TEST_DATA!E2994</f>
        <v/>
      </c>
      <c r="F2994">
        <f>MIN(E2994*299400,10000)</f>
        <v/>
      </c>
      <c r="G2994">
        <f>MINIFS(CBIC_Late_Fee_Relief_Windows_3B!$O$2994:$O$100,CBIC_Late_Fee_Relief_Windows_3B!$D$2994:$D$100,"&lt;="&amp;B2994,CBIC_Late_Fee_Relief_Windows_3B!$E$2994:$E$100,"&gt;="&amp;B2994,CBIC_Late_Fee_Relief_Windows_3B!$F$2994:$F$100,"&lt;="&amp;C2994,CBIC_Late_Fee_Relief_Windows_3B!$G$2994:$G$100,"&gt;="&amp;C2994)</f>
        <v/>
      </c>
      <c r="H2994">
        <f>INDEX(CBIC_Late_Fee_Relief_Windows_3B!$I$2994:$I$100,MATCH(G2994,CBIC_Late_Fee_Relief_Windows_3B!$O$2994:$O$100,0))</f>
        <v/>
      </c>
      <c r="I2994">
        <f>MIN(F2994,H2994)</f>
        <v/>
      </c>
    </row>
    <row r="2995">
      <c r="A2995">
        <f>TEST_DATA!A2995</f>
        <v/>
      </c>
      <c r="B2995">
        <f>TEST_DATA!B2995</f>
        <v/>
      </c>
      <c r="C2995">
        <f>TEST_DATA!C2995</f>
        <v/>
      </c>
      <c r="D2995">
        <f>TEST_DATA!D2995</f>
        <v/>
      </c>
      <c r="E2995">
        <f>TEST_DATA!E2995</f>
        <v/>
      </c>
      <c r="F2995">
        <f>MIN(E2995*299500,10000)</f>
        <v/>
      </c>
      <c r="G2995">
        <f>MINIFS(CBIC_Late_Fee_Relief_Windows_3B!$O$2995:$O$100,CBIC_Late_Fee_Relief_Windows_3B!$D$2995:$D$100,"&lt;="&amp;B2995,CBIC_Late_Fee_Relief_Windows_3B!$E$2995:$E$100,"&gt;="&amp;B2995,CBIC_Late_Fee_Relief_Windows_3B!$F$2995:$F$100,"&lt;="&amp;C2995,CBIC_Late_Fee_Relief_Windows_3B!$G$2995:$G$100,"&gt;="&amp;C2995)</f>
        <v/>
      </c>
      <c r="H2995">
        <f>INDEX(CBIC_Late_Fee_Relief_Windows_3B!$I$2995:$I$100,MATCH(G2995,CBIC_Late_Fee_Relief_Windows_3B!$O$2995:$O$100,0))</f>
        <v/>
      </c>
      <c r="I2995">
        <f>MIN(F2995,H2995)</f>
        <v/>
      </c>
    </row>
    <row r="2996">
      <c r="A2996">
        <f>TEST_DATA!A2996</f>
        <v/>
      </c>
      <c r="B2996">
        <f>TEST_DATA!B2996</f>
        <v/>
      </c>
      <c r="C2996">
        <f>TEST_DATA!C2996</f>
        <v/>
      </c>
      <c r="D2996">
        <f>TEST_DATA!D2996</f>
        <v/>
      </c>
      <c r="E2996">
        <f>TEST_DATA!E2996</f>
        <v/>
      </c>
      <c r="F2996">
        <f>MIN(E2996*299600,10000)</f>
        <v/>
      </c>
      <c r="G2996">
        <f>MINIFS(CBIC_Late_Fee_Relief_Windows_3B!$O$2996:$O$100,CBIC_Late_Fee_Relief_Windows_3B!$D$2996:$D$100,"&lt;="&amp;B2996,CBIC_Late_Fee_Relief_Windows_3B!$E$2996:$E$100,"&gt;="&amp;B2996,CBIC_Late_Fee_Relief_Windows_3B!$F$2996:$F$100,"&lt;="&amp;C2996,CBIC_Late_Fee_Relief_Windows_3B!$G$2996:$G$100,"&gt;="&amp;C2996)</f>
        <v/>
      </c>
      <c r="H2996">
        <f>INDEX(CBIC_Late_Fee_Relief_Windows_3B!$I$2996:$I$100,MATCH(G2996,CBIC_Late_Fee_Relief_Windows_3B!$O$2996:$O$100,0))</f>
        <v/>
      </c>
      <c r="I2996">
        <f>MIN(F2996,H2996)</f>
        <v/>
      </c>
    </row>
    <row r="2997">
      <c r="A2997">
        <f>TEST_DATA!A2997</f>
        <v/>
      </c>
      <c r="B2997">
        <f>TEST_DATA!B2997</f>
        <v/>
      </c>
      <c r="C2997">
        <f>TEST_DATA!C2997</f>
        <v/>
      </c>
      <c r="D2997">
        <f>TEST_DATA!D2997</f>
        <v/>
      </c>
      <c r="E2997">
        <f>TEST_DATA!E2997</f>
        <v/>
      </c>
      <c r="F2997">
        <f>MIN(E2997*299700,10000)</f>
        <v/>
      </c>
      <c r="G2997">
        <f>MINIFS(CBIC_Late_Fee_Relief_Windows_3B!$O$2997:$O$100,CBIC_Late_Fee_Relief_Windows_3B!$D$2997:$D$100,"&lt;="&amp;B2997,CBIC_Late_Fee_Relief_Windows_3B!$E$2997:$E$100,"&gt;="&amp;B2997,CBIC_Late_Fee_Relief_Windows_3B!$F$2997:$F$100,"&lt;="&amp;C2997,CBIC_Late_Fee_Relief_Windows_3B!$G$2997:$G$100,"&gt;="&amp;C2997)</f>
        <v/>
      </c>
      <c r="H2997">
        <f>INDEX(CBIC_Late_Fee_Relief_Windows_3B!$I$2997:$I$100,MATCH(G2997,CBIC_Late_Fee_Relief_Windows_3B!$O$2997:$O$100,0))</f>
        <v/>
      </c>
      <c r="I2997">
        <f>MIN(F2997,H2997)</f>
        <v/>
      </c>
    </row>
    <row r="2998">
      <c r="A2998">
        <f>TEST_DATA!A2998</f>
        <v/>
      </c>
      <c r="B2998">
        <f>TEST_DATA!B2998</f>
        <v/>
      </c>
      <c r="C2998">
        <f>TEST_DATA!C2998</f>
        <v/>
      </c>
      <c r="D2998">
        <f>TEST_DATA!D2998</f>
        <v/>
      </c>
      <c r="E2998">
        <f>TEST_DATA!E2998</f>
        <v/>
      </c>
      <c r="F2998">
        <f>MIN(E2998*299800,10000)</f>
        <v/>
      </c>
      <c r="G2998">
        <f>MINIFS(CBIC_Late_Fee_Relief_Windows_3B!$O$2998:$O$100,CBIC_Late_Fee_Relief_Windows_3B!$D$2998:$D$100,"&lt;="&amp;B2998,CBIC_Late_Fee_Relief_Windows_3B!$E$2998:$E$100,"&gt;="&amp;B2998,CBIC_Late_Fee_Relief_Windows_3B!$F$2998:$F$100,"&lt;="&amp;C2998,CBIC_Late_Fee_Relief_Windows_3B!$G$2998:$G$100,"&gt;="&amp;C2998)</f>
        <v/>
      </c>
      <c r="H2998">
        <f>INDEX(CBIC_Late_Fee_Relief_Windows_3B!$I$2998:$I$100,MATCH(G2998,CBIC_Late_Fee_Relief_Windows_3B!$O$2998:$O$100,0))</f>
        <v/>
      </c>
      <c r="I2998">
        <f>MIN(F2998,H2998)</f>
        <v/>
      </c>
    </row>
    <row r="2999">
      <c r="A2999">
        <f>TEST_DATA!A2999</f>
        <v/>
      </c>
      <c r="B2999">
        <f>TEST_DATA!B2999</f>
        <v/>
      </c>
      <c r="C2999">
        <f>TEST_DATA!C2999</f>
        <v/>
      </c>
      <c r="D2999">
        <f>TEST_DATA!D2999</f>
        <v/>
      </c>
      <c r="E2999">
        <f>TEST_DATA!E2999</f>
        <v/>
      </c>
      <c r="F2999">
        <f>MIN(E2999*299900,10000)</f>
        <v/>
      </c>
      <c r="G2999">
        <f>MINIFS(CBIC_Late_Fee_Relief_Windows_3B!$O$2999:$O$100,CBIC_Late_Fee_Relief_Windows_3B!$D$2999:$D$100,"&lt;="&amp;B2999,CBIC_Late_Fee_Relief_Windows_3B!$E$2999:$E$100,"&gt;="&amp;B2999,CBIC_Late_Fee_Relief_Windows_3B!$F$2999:$F$100,"&lt;="&amp;C2999,CBIC_Late_Fee_Relief_Windows_3B!$G$2999:$G$100,"&gt;="&amp;C2999)</f>
        <v/>
      </c>
      <c r="H2999">
        <f>INDEX(CBIC_Late_Fee_Relief_Windows_3B!$I$2999:$I$100,MATCH(G2999,CBIC_Late_Fee_Relief_Windows_3B!$O$2999:$O$100,0))</f>
        <v/>
      </c>
      <c r="I2999">
        <f>MIN(F2999,H2999)</f>
        <v/>
      </c>
    </row>
    <row r="3000">
      <c r="A3000">
        <f>TEST_DATA!A3000</f>
        <v/>
      </c>
      <c r="B3000">
        <f>TEST_DATA!B3000</f>
        <v/>
      </c>
      <c r="C3000">
        <f>TEST_DATA!C3000</f>
        <v/>
      </c>
      <c r="D3000">
        <f>TEST_DATA!D3000</f>
        <v/>
      </c>
      <c r="E3000">
        <f>TEST_DATA!E3000</f>
        <v/>
      </c>
      <c r="F3000">
        <f>MIN(E3000*300000,10000)</f>
        <v/>
      </c>
      <c r="G3000">
        <f>MINIFS(CBIC_Late_Fee_Relief_Windows_3B!$O$3000:$O$100,CBIC_Late_Fee_Relief_Windows_3B!$D$3000:$D$100,"&lt;="&amp;B3000,CBIC_Late_Fee_Relief_Windows_3B!$E$3000:$E$100,"&gt;="&amp;B3000,CBIC_Late_Fee_Relief_Windows_3B!$F$3000:$F$100,"&lt;="&amp;C3000,CBIC_Late_Fee_Relief_Windows_3B!$G$3000:$G$100,"&gt;="&amp;C3000)</f>
        <v/>
      </c>
      <c r="H3000">
        <f>INDEX(CBIC_Late_Fee_Relief_Windows_3B!$I$3000:$I$100,MATCH(G3000,CBIC_Late_Fee_Relief_Windows_3B!$O$3000:$O$100,0))</f>
        <v/>
      </c>
      <c r="I3000">
        <f>MIN(F3000,H3000)</f>
        <v/>
      </c>
    </row>
    <row r="3001">
      <c r="A3001">
        <f>TEST_DATA!A3001</f>
        <v/>
      </c>
      <c r="B3001">
        <f>TEST_DATA!B3001</f>
        <v/>
      </c>
      <c r="C3001">
        <f>TEST_DATA!C3001</f>
        <v/>
      </c>
      <c r="D3001">
        <f>TEST_DATA!D3001</f>
        <v/>
      </c>
      <c r="E3001">
        <f>TEST_DATA!E3001</f>
        <v/>
      </c>
      <c r="F3001">
        <f>MIN(E3001*300100,10000)</f>
        <v/>
      </c>
      <c r="G3001">
        <f>MINIFS(CBIC_Late_Fee_Relief_Windows_3B!$O$3001:$O$100,CBIC_Late_Fee_Relief_Windows_3B!$D$3001:$D$100,"&lt;="&amp;B3001,CBIC_Late_Fee_Relief_Windows_3B!$E$3001:$E$100,"&gt;="&amp;B3001,CBIC_Late_Fee_Relief_Windows_3B!$F$3001:$F$100,"&lt;="&amp;C3001,CBIC_Late_Fee_Relief_Windows_3B!$G$3001:$G$100,"&gt;="&amp;C3001)</f>
        <v/>
      </c>
      <c r="H3001">
        <f>INDEX(CBIC_Late_Fee_Relief_Windows_3B!$I$3001:$I$100,MATCH(G3001,CBIC_Late_Fee_Relief_Windows_3B!$O$3001:$O$100,0))</f>
        <v/>
      </c>
      <c r="I3001">
        <f>MIN(F3001,H3001)</f>
        <v/>
      </c>
    </row>
    <row r="3002">
      <c r="A3002">
        <f>TEST_DATA!A3002</f>
        <v/>
      </c>
      <c r="B3002">
        <f>TEST_DATA!B3002</f>
        <v/>
      </c>
      <c r="C3002">
        <f>TEST_DATA!C3002</f>
        <v/>
      </c>
      <c r="D3002">
        <f>TEST_DATA!D3002</f>
        <v/>
      </c>
      <c r="E3002">
        <f>TEST_DATA!E3002</f>
        <v/>
      </c>
      <c r="F3002">
        <f>MIN(E3002*300200,10000)</f>
        <v/>
      </c>
      <c r="G3002">
        <f>MINIFS(CBIC_Late_Fee_Relief_Windows_3B!$O$3002:$O$100,CBIC_Late_Fee_Relief_Windows_3B!$D$3002:$D$100,"&lt;="&amp;B3002,CBIC_Late_Fee_Relief_Windows_3B!$E$3002:$E$100,"&gt;="&amp;B3002,CBIC_Late_Fee_Relief_Windows_3B!$F$3002:$F$100,"&lt;="&amp;C3002,CBIC_Late_Fee_Relief_Windows_3B!$G$3002:$G$100,"&gt;="&amp;C3002)</f>
        <v/>
      </c>
      <c r="H3002">
        <f>INDEX(CBIC_Late_Fee_Relief_Windows_3B!$I$3002:$I$100,MATCH(G3002,CBIC_Late_Fee_Relief_Windows_3B!$O$3002:$O$100,0))</f>
        <v/>
      </c>
      <c r="I3002">
        <f>MIN(F3002,H3002)</f>
        <v/>
      </c>
    </row>
    <row r="3003">
      <c r="A3003">
        <f>TEST_DATA!A3003</f>
        <v/>
      </c>
      <c r="B3003">
        <f>TEST_DATA!B3003</f>
        <v/>
      </c>
      <c r="C3003">
        <f>TEST_DATA!C3003</f>
        <v/>
      </c>
      <c r="D3003">
        <f>TEST_DATA!D3003</f>
        <v/>
      </c>
      <c r="E3003">
        <f>TEST_DATA!E3003</f>
        <v/>
      </c>
      <c r="F3003">
        <f>MIN(E3003*300300,10000)</f>
        <v/>
      </c>
      <c r="G3003">
        <f>MINIFS(CBIC_Late_Fee_Relief_Windows_3B!$O$3003:$O$100,CBIC_Late_Fee_Relief_Windows_3B!$D$3003:$D$100,"&lt;="&amp;B3003,CBIC_Late_Fee_Relief_Windows_3B!$E$3003:$E$100,"&gt;="&amp;B3003,CBIC_Late_Fee_Relief_Windows_3B!$F$3003:$F$100,"&lt;="&amp;C3003,CBIC_Late_Fee_Relief_Windows_3B!$G$3003:$G$100,"&gt;="&amp;C3003)</f>
        <v/>
      </c>
      <c r="H3003">
        <f>INDEX(CBIC_Late_Fee_Relief_Windows_3B!$I$3003:$I$100,MATCH(G3003,CBIC_Late_Fee_Relief_Windows_3B!$O$3003:$O$100,0))</f>
        <v/>
      </c>
      <c r="I3003">
        <f>MIN(F3003,H3003)</f>
        <v/>
      </c>
    </row>
    <row r="3004">
      <c r="A3004">
        <f>TEST_DATA!A3004</f>
        <v/>
      </c>
      <c r="B3004">
        <f>TEST_DATA!B3004</f>
        <v/>
      </c>
      <c r="C3004">
        <f>TEST_DATA!C3004</f>
        <v/>
      </c>
      <c r="D3004">
        <f>TEST_DATA!D3004</f>
        <v/>
      </c>
      <c r="E3004">
        <f>TEST_DATA!E3004</f>
        <v/>
      </c>
      <c r="F3004">
        <f>MIN(E3004*300400,10000)</f>
        <v/>
      </c>
      <c r="G3004">
        <f>MINIFS(CBIC_Late_Fee_Relief_Windows_3B!$O$3004:$O$100,CBIC_Late_Fee_Relief_Windows_3B!$D$3004:$D$100,"&lt;="&amp;B3004,CBIC_Late_Fee_Relief_Windows_3B!$E$3004:$E$100,"&gt;="&amp;B3004,CBIC_Late_Fee_Relief_Windows_3B!$F$3004:$F$100,"&lt;="&amp;C3004,CBIC_Late_Fee_Relief_Windows_3B!$G$3004:$G$100,"&gt;="&amp;C3004)</f>
        <v/>
      </c>
      <c r="H3004">
        <f>INDEX(CBIC_Late_Fee_Relief_Windows_3B!$I$3004:$I$100,MATCH(G3004,CBIC_Late_Fee_Relief_Windows_3B!$O$3004:$O$100,0))</f>
        <v/>
      </c>
      <c r="I3004">
        <f>MIN(F3004,H3004)</f>
        <v/>
      </c>
    </row>
    <row r="3005">
      <c r="A3005">
        <f>TEST_DATA!A3005</f>
        <v/>
      </c>
      <c r="B3005">
        <f>TEST_DATA!B3005</f>
        <v/>
      </c>
      <c r="C3005">
        <f>TEST_DATA!C3005</f>
        <v/>
      </c>
      <c r="D3005">
        <f>TEST_DATA!D3005</f>
        <v/>
      </c>
      <c r="E3005">
        <f>TEST_DATA!E3005</f>
        <v/>
      </c>
      <c r="F3005">
        <f>MIN(E3005*300500,10000)</f>
        <v/>
      </c>
      <c r="G3005">
        <f>MINIFS(CBIC_Late_Fee_Relief_Windows_3B!$O$3005:$O$100,CBIC_Late_Fee_Relief_Windows_3B!$D$3005:$D$100,"&lt;="&amp;B3005,CBIC_Late_Fee_Relief_Windows_3B!$E$3005:$E$100,"&gt;="&amp;B3005,CBIC_Late_Fee_Relief_Windows_3B!$F$3005:$F$100,"&lt;="&amp;C3005,CBIC_Late_Fee_Relief_Windows_3B!$G$3005:$G$100,"&gt;="&amp;C3005)</f>
        <v/>
      </c>
      <c r="H3005">
        <f>INDEX(CBIC_Late_Fee_Relief_Windows_3B!$I$3005:$I$100,MATCH(G3005,CBIC_Late_Fee_Relief_Windows_3B!$O$3005:$O$100,0))</f>
        <v/>
      </c>
      <c r="I3005">
        <f>MIN(F3005,H3005)</f>
        <v/>
      </c>
    </row>
    <row r="3006">
      <c r="A3006">
        <f>TEST_DATA!A3006</f>
        <v/>
      </c>
      <c r="B3006">
        <f>TEST_DATA!B3006</f>
        <v/>
      </c>
      <c r="C3006">
        <f>TEST_DATA!C3006</f>
        <v/>
      </c>
      <c r="D3006">
        <f>TEST_DATA!D3006</f>
        <v/>
      </c>
      <c r="E3006">
        <f>TEST_DATA!E3006</f>
        <v/>
      </c>
      <c r="F3006">
        <f>MIN(E3006*300600,10000)</f>
        <v/>
      </c>
      <c r="G3006">
        <f>MINIFS(CBIC_Late_Fee_Relief_Windows_3B!$O$3006:$O$100,CBIC_Late_Fee_Relief_Windows_3B!$D$3006:$D$100,"&lt;="&amp;B3006,CBIC_Late_Fee_Relief_Windows_3B!$E$3006:$E$100,"&gt;="&amp;B3006,CBIC_Late_Fee_Relief_Windows_3B!$F$3006:$F$100,"&lt;="&amp;C3006,CBIC_Late_Fee_Relief_Windows_3B!$G$3006:$G$100,"&gt;="&amp;C3006)</f>
        <v/>
      </c>
      <c r="H3006">
        <f>INDEX(CBIC_Late_Fee_Relief_Windows_3B!$I$3006:$I$100,MATCH(G3006,CBIC_Late_Fee_Relief_Windows_3B!$O$3006:$O$100,0))</f>
        <v/>
      </c>
      <c r="I3006">
        <f>MIN(F3006,H3006)</f>
        <v/>
      </c>
    </row>
    <row r="3007">
      <c r="A3007">
        <f>TEST_DATA!A3007</f>
        <v/>
      </c>
      <c r="B3007">
        <f>TEST_DATA!B3007</f>
        <v/>
      </c>
      <c r="C3007">
        <f>TEST_DATA!C3007</f>
        <v/>
      </c>
      <c r="D3007">
        <f>TEST_DATA!D3007</f>
        <v/>
      </c>
      <c r="E3007">
        <f>TEST_DATA!E3007</f>
        <v/>
      </c>
      <c r="F3007">
        <f>MIN(E3007*300700,10000)</f>
        <v/>
      </c>
      <c r="G3007">
        <f>MINIFS(CBIC_Late_Fee_Relief_Windows_3B!$O$3007:$O$100,CBIC_Late_Fee_Relief_Windows_3B!$D$3007:$D$100,"&lt;="&amp;B3007,CBIC_Late_Fee_Relief_Windows_3B!$E$3007:$E$100,"&gt;="&amp;B3007,CBIC_Late_Fee_Relief_Windows_3B!$F$3007:$F$100,"&lt;="&amp;C3007,CBIC_Late_Fee_Relief_Windows_3B!$G$3007:$G$100,"&gt;="&amp;C3007)</f>
        <v/>
      </c>
      <c r="H3007">
        <f>INDEX(CBIC_Late_Fee_Relief_Windows_3B!$I$3007:$I$100,MATCH(G3007,CBIC_Late_Fee_Relief_Windows_3B!$O$3007:$O$100,0))</f>
        <v/>
      </c>
      <c r="I3007">
        <f>MIN(F3007,H3007)</f>
        <v/>
      </c>
    </row>
    <row r="3008">
      <c r="A3008">
        <f>TEST_DATA!A3008</f>
        <v/>
      </c>
      <c r="B3008">
        <f>TEST_DATA!B3008</f>
        <v/>
      </c>
      <c r="C3008">
        <f>TEST_DATA!C3008</f>
        <v/>
      </c>
      <c r="D3008">
        <f>TEST_DATA!D3008</f>
        <v/>
      </c>
      <c r="E3008">
        <f>TEST_DATA!E3008</f>
        <v/>
      </c>
      <c r="F3008">
        <f>MIN(E3008*300800,10000)</f>
        <v/>
      </c>
      <c r="G3008">
        <f>MINIFS(CBIC_Late_Fee_Relief_Windows_3B!$O$3008:$O$100,CBIC_Late_Fee_Relief_Windows_3B!$D$3008:$D$100,"&lt;="&amp;B3008,CBIC_Late_Fee_Relief_Windows_3B!$E$3008:$E$100,"&gt;="&amp;B3008,CBIC_Late_Fee_Relief_Windows_3B!$F$3008:$F$100,"&lt;="&amp;C3008,CBIC_Late_Fee_Relief_Windows_3B!$G$3008:$G$100,"&gt;="&amp;C3008)</f>
        <v/>
      </c>
      <c r="H3008">
        <f>INDEX(CBIC_Late_Fee_Relief_Windows_3B!$I$3008:$I$100,MATCH(G3008,CBIC_Late_Fee_Relief_Windows_3B!$O$3008:$O$100,0))</f>
        <v/>
      </c>
      <c r="I3008">
        <f>MIN(F3008,H3008)</f>
        <v/>
      </c>
    </row>
    <row r="3009">
      <c r="A3009">
        <f>TEST_DATA!A3009</f>
        <v/>
      </c>
      <c r="B3009">
        <f>TEST_DATA!B3009</f>
        <v/>
      </c>
      <c r="C3009">
        <f>TEST_DATA!C3009</f>
        <v/>
      </c>
      <c r="D3009">
        <f>TEST_DATA!D3009</f>
        <v/>
      </c>
      <c r="E3009">
        <f>TEST_DATA!E3009</f>
        <v/>
      </c>
      <c r="F3009">
        <f>MIN(E3009*300900,10000)</f>
        <v/>
      </c>
      <c r="G3009">
        <f>MINIFS(CBIC_Late_Fee_Relief_Windows_3B!$O$3009:$O$100,CBIC_Late_Fee_Relief_Windows_3B!$D$3009:$D$100,"&lt;="&amp;B3009,CBIC_Late_Fee_Relief_Windows_3B!$E$3009:$E$100,"&gt;="&amp;B3009,CBIC_Late_Fee_Relief_Windows_3B!$F$3009:$F$100,"&lt;="&amp;C3009,CBIC_Late_Fee_Relief_Windows_3B!$G$3009:$G$100,"&gt;="&amp;C3009)</f>
        <v/>
      </c>
      <c r="H3009">
        <f>INDEX(CBIC_Late_Fee_Relief_Windows_3B!$I$3009:$I$100,MATCH(G3009,CBIC_Late_Fee_Relief_Windows_3B!$O$3009:$O$100,0))</f>
        <v/>
      </c>
      <c r="I3009">
        <f>MIN(F3009,H3009)</f>
        <v/>
      </c>
    </row>
    <row r="3010">
      <c r="A3010">
        <f>TEST_DATA!A3010</f>
        <v/>
      </c>
      <c r="B3010">
        <f>TEST_DATA!B3010</f>
        <v/>
      </c>
      <c r="C3010">
        <f>TEST_DATA!C3010</f>
        <v/>
      </c>
      <c r="D3010">
        <f>TEST_DATA!D3010</f>
        <v/>
      </c>
      <c r="E3010">
        <f>TEST_DATA!E3010</f>
        <v/>
      </c>
      <c r="F3010">
        <f>MIN(E3010*301000,10000)</f>
        <v/>
      </c>
      <c r="G3010">
        <f>MINIFS(CBIC_Late_Fee_Relief_Windows_3B!$O$3010:$O$100,CBIC_Late_Fee_Relief_Windows_3B!$D$3010:$D$100,"&lt;="&amp;B3010,CBIC_Late_Fee_Relief_Windows_3B!$E$3010:$E$100,"&gt;="&amp;B3010,CBIC_Late_Fee_Relief_Windows_3B!$F$3010:$F$100,"&lt;="&amp;C3010,CBIC_Late_Fee_Relief_Windows_3B!$G$3010:$G$100,"&gt;="&amp;C3010)</f>
        <v/>
      </c>
      <c r="H3010">
        <f>INDEX(CBIC_Late_Fee_Relief_Windows_3B!$I$3010:$I$100,MATCH(G3010,CBIC_Late_Fee_Relief_Windows_3B!$O$3010:$O$100,0))</f>
        <v/>
      </c>
      <c r="I3010">
        <f>MIN(F3010,H3010)</f>
        <v/>
      </c>
    </row>
    <row r="3011">
      <c r="A3011">
        <f>TEST_DATA!A3011</f>
        <v/>
      </c>
      <c r="B3011">
        <f>TEST_DATA!B3011</f>
        <v/>
      </c>
      <c r="C3011">
        <f>TEST_DATA!C3011</f>
        <v/>
      </c>
      <c r="D3011">
        <f>TEST_DATA!D3011</f>
        <v/>
      </c>
      <c r="E3011">
        <f>TEST_DATA!E3011</f>
        <v/>
      </c>
      <c r="F3011">
        <f>MIN(E3011*301100,10000)</f>
        <v/>
      </c>
      <c r="G3011">
        <f>MINIFS(CBIC_Late_Fee_Relief_Windows_3B!$O$3011:$O$100,CBIC_Late_Fee_Relief_Windows_3B!$D$3011:$D$100,"&lt;="&amp;B3011,CBIC_Late_Fee_Relief_Windows_3B!$E$3011:$E$100,"&gt;="&amp;B3011,CBIC_Late_Fee_Relief_Windows_3B!$F$3011:$F$100,"&lt;="&amp;C3011,CBIC_Late_Fee_Relief_Windows_3B!$G$3011:$G$100,"&gt;="&amp;C3011)</f>
        <v/>
      </c>
      <c r="H3011">
        <f>INDEX(CBIC_Late_Fee_Relief_Windows_3B!$I$3011:$I$100,MATCH(G3011,CBIC_Late_Fee_Relief_Windows_3B!$O$3011:$O$100,0))</f>
        <v/>
      </c>
      <c r="I3011">
        <f>MIN(F3011,H3011)</f>
        <v/>
      </c>
    </row>
    <row r="3012">
      <c r="A3012">
        <f>TEST_DATA!A3012</f>
        <v/>
      </c>
      <c r="B3012">
        <f>TEST_DATA!B3012</f>
        <v/>
      </c>
      <c r="C3012">
        <f>TEST_DATA!C3012</f>
        <v/>
      </c>
      <c r="D3012">
        <f>TEST_DATA!D3012</f>
        <v/>
      </c>
      <c r="E3012">
        <f>TEST_DATA!E3012</f>
        <v/>
      </c>
      <c r="F3012">
        <f>MIN(E3012*301200,10000)</f>
        <v/>
      </c>
      <c r="G3012">
        <f>MINIFS(CBIC_Late_Fee_Relief_Windows_3B!$O$3012:$O$100,CBIC_Late_Fee_Relief_Windows_3B!$D$3012:$D$100,"&lt;="&amp;B3012,CBIC_Late_Fee_Relief_Windows_3B!$E$3012:$E$100,"&gt;="&amp;B3012,CBIC_Late_Fee_Relief_Windows_3B!$F$3012:$F$100,"&lt;="&amp;C3012,CBIC_Late_Fee_Relief_Windows_3B!$G$3012:$G$100,"&gt;="&amp;C3012)</f>
        <v/>
      </c>
      <c r="H3012">
        <f>INDEX(CBIC_Late_Fee_Relief_Windows_3B!$I$3012:$I$100,MATCH(G3012,CBIC_Late_Fee_Relief_Windows_3B!$O$3012:$O$100,0))</f>
        <v/>
      </c>
      <c r="I3012">
        <f>MIN(F3012,H3012)</f>
        <v/>
      </c>
    </row>
    <row r="3013">
      <c r="A3013">
        <f>TEST_DATA!A3013</f>
        <v/>
      </c>
      <c r="B3013">
        <f>TEST_DATA!B3013</f>
        <v/>
      </c>
      <c r="C3013">
        <f>TEST_DATA!C3013</f>
        <v/>
      </c>
      <c r="D3013">
        <f>TEST_DATA!D3013</f>
        <v/>
      </c>
      <c r="E3013">
        <f>TEST_DATA!E3013</f>
        <v/>
      </c>
      <c r="F3013">
        <f>MIN(E3013*301300,10000)</f>
        <v/>
      </c>
      <c r="G3013">
        <f>MINIFS(CBIC_Late_Fee_Relief_Windows_3B!$O$3013:$O$100,CBIC_Late_Fee_Relief_Windows_3B!$D$3013:$D$100,"&lt;="&amp;B3013,CBIC_Late_Fee_Relief_Windows_3B!$E$3013:$E$100,"&gt;="&amp;B3013,CBIC_Late_Fee_Relief_Windows_3B!$F$3013:$F$100,"&lt;="&amp;C3013,CBIC_Late_Fee_Relief_Windows_3B!$G$3013:$G$100,"&gt;="&amp;C3013)</f>
        <v/>
      </c>
      <c r="H3013">
        <f>INDEX(CBIC_Late_Fee_Relief_Windows_3B!$I$3013:$I$100,MATCH(G3013,CBIC_Late_Fee_Relief_Windows_3B!$O$3013:$O$100,0))</f>
        <v/>
      </c>
      <c r="I3013">
        <f>MIN(F3013,H3013)</f>
        <v/>
      </c>
    </row>
    <row r="3014">
      <c r="A3014">
        <f>TEST_DATA!A3014</f>
        <v/>
      </c>
      <c r="B3014">
        <f>TEST_DATA!B3014</f>
        <v/>
      </c>
      <c r="C3014">
        <f>TEST_DATA!C3014</f>
        <v/>
      </c>
      <c r="D3014">
        <f>TEST_DATA!D3014</f>
        <v/>
      </c>
      <c r="E3014">
        <f>TEST_DATA!E3014</f>
        <v/>
      </c>
      <c r="F3014">
        <f>MIN(E3014*301400,10000)</f>
        <v/>
      </c>
      <c r="G3014">
        <f>MINIFS(CBIC_Late_Fee_Relief_Windows_3B!$O$3014:$O$100,CBIC_Late_Fee_Relief_Windows_3B!$D$3014:$D$100,"&lt;="&amp;B3014,CBIC_Late_Fee_Relief_Windows_3B!$E$3014:$E$100,"&gt;="&amp;B3014,CBIC_Late_Fee_Relief_Windows_3B!$F$3014:$F$100,"&lt;="&amp;C3014,CBIC_Late_Fee_Relief_Windows_3B!$G$3014:$G$100,"&gt;="&amp;C3014)</f>
        <v/>
      </c>
      <c r="H3014">
        <f>INDEX(CBIC_Late_Fee_Relief_Windows_3B!$I$3014:$I$100,MATCH(G3014,CBIC_Late_Fee_Relief_Windows_3B!$O$3014:$O$100,0))</f>
        <v/>
      </c>
      <c r="I3014">
        <f>MIN(F3014,H3014)</f>
        <v/>
      </c>
    </row>
    <row r="3015">
      <c r="A3015">
        <f>TEST_DATA!A3015</f>
        <v/>
      </c>
      <c r="B3015">
        <f>TEST_DATA!B3015</f>
        <v/>
      </c>
      <c r="C3015">
        <f>TEST_DATA!C3015</f>
        <v/>
      </c>
      <c r="D3015">
        <f>TEST_DATA!D3015</f>
        <v/>
      </c>
      <c r="E3015">
        <f>TEST_DATA!E3015</f>
        <v/>
      </c>
      <c r="F3015">
        <f>MIN(E3015*301500,10000)</f>
        <v/>
      </c>
      <c r="G3015">
        <f>MINIFS(CBIC_Late_Fee_Relief_Windows_3B!$O$3015:$O$100,CBIC_Late_Fee_Relief_Windows_3B!$D$3015:$D$100,"&lt;="&amp;B3015,CBIC_Late_Fee_Relief_Windows_3B!$E$3015:$E$100,"&gt;="&amp;B3015,CBIC_Late_Fee_Relief_Windows_3B!$F$3015:$F$100,"&lt;="&amp;C3015,CBIC_Late_Fee_Relief_Windows_3B!$G$3015:$G$100,"&gt;="&amp;C3015)</f>
        <v/>
      </c>
      <c r="H3015">
        <f>INDEX(CBIC_Late_Fee_Relief_Windows_3B!$I$3015:$I$100,MATCH(G3015,CBIC_Late_Fee_Relief_Windows_3B!$O$3015:$O$100,0))</f>
        <v/>
      </c>
      <c r="I3015">
        <f>MIN(F3015,H3015)</f>
        <v/>
      </c>
    </row>
    <row r="3016">
      <c r="A3016">
        <f>TEST_DATA!A3016</f>
        <v/>
      </c>
      <c r="B3016">
        <f>TEST_DATA!B3016</f>
        <v/>
      </c>
      <c r="C3016">
        <f>TEST_DATA!C3016</f>
        <v/>
      </c>
      <c r="D3016">
        <f>TEST_DATA!D3016</f>
        <v/>
      </c>
      <c r="E3016">
        <f>TEST_DATA!E3016</f>
        <v/>
      </c>
      <c r="F3016">
        <f>MIN(E3016*301600,10000)</f>
        <v/>
      </c>
      <c r="G3016">
        <f>MINIFS(CBIC_Late_Fee_Relief_Windows_3B!$O$3016:$O$100,CBIC_Late_Fee_Relief_Windows_3B!$D$3016:$D$100,"&lt;="&amp;B3016,CBIC_Late_Fee_Relief_Windows_3B!$E$3016:$E$100,"&gt;="&amp;B3016,CBIC_Late_Fee_Relief_Windows_3B!$F$3016:$F$100,"&lt;="&amp;C3016,CBIC_Late_Fee_Relief_Windows_3B!$G$3016:$G$100,"&gt;="&amp;C3016)</f>
        <v/>
      </c>
      <c r="H3016">
        <f>INDEX(CBIC_Late_Fee_Relief_Windows_3B!$I$3016:$I$100,MATCH(G3016,CBIC_Late_Fee_Relief_Windows_3B!$O$3016:$O$100,0))</f>
        <v/>
      </c>
      <c r="I3016">
        <f>MIN(F3016,H3016)</f>
        <v/>
      </c>
    </row>
    <row r="3017">
      <c r="A3017">
        <f>TEST_DATA!A3017</f>
        <v/>
      </c>
      <c r="B3017">
        <f>TEST_DATA!B3017</f>
        <v/>
      </c>
      <c r="C3017">
        <f>TEST_DATA!C3017</f>
        <v/>
      </c>
      <c r="D3017">
        <f>TEST_DATA!D3017</f>
        <v/>
      </c>
      <c r="E3017">
        <f>TEST_DATA!E3017</f>
        <v/>
      </c>
      <c r="F3017">
        <f>MIN(E3017*301700,10000)</f>
        <v/>
      </c>
      <c r="G3017">
        <f>MINIFS(CBIC_Late_Fee_Relief_Windows_3B!$O$3017:$O$100,CBIC_Late_Fee_Relief_Windows_3B!$D$3017:$D$100,"&lt;="&amp;B3017,CBIC_Late_Fee_Relief_Windows_3B!$E$3017:$E$100,"&gt;="&amp;B3017,CBIC_Late_Fee_Relief_Windows_3B!$F$3017:$F$100,"&lt;="&amp;C3017,CBIC_Late_Fee_Relief_Windows_3B!$G$3017:$G$100,"&gt;="&amp;C3017)</f>
        <v/>
      </c>
      <c r="H3017">
        <f>INDEX(CBIC_Late_Fee_Relief_Windows_3B!$I$3017:$I$100,MATCH(G3017,CBIC_Late_Fee_Relief_Windows_3B!$O$3017:$O$100,0))</f>
        <v/>
      </c>
      <c r="I3017">
        <f>MIN(F3017,H3017)</f>
        <v/>
      </c>
    </row>
    <row r="3018">
      <c r="A3018">
        <f>TEST_DATA!A3018</f>
        <v/>
      </c>
      <c r="B3018">
        <f>TEST_DATA!B3018</f>
        <v/>
      </c>
      <c r="C3018">
        <f>TEST_DATA!C3018</f>
        <v/>
      </c>
      <c r="D3018">
        <f>TEST_DATA!D3018</f>
        <v/>
      </c>
      <c r="E3018">
        <f>TEST_DATA!E3018</f>
        <v/>
      </c>
      <c r="F3018">
        <f>MIN(E3018*301800,10000)</f>
        <v/>
      </c>
      <c r="G3018">
        <f>MINIFS(CBIC_Late_Fee_Relief_Windows_3B!$O$3018:$O$100,CBIC_Late_Fee_Relief_Windows_3B!$D$3018:$D$100,"&lt;="&amp;B3018,CBIC_Late_Fee_Relief_Windows_3B!$E$3018:$E$100,"&gt;="&amp;B3018,CBIC_Late_Fee_Relief_Windows_3B!$F$3018:$F$100,"&lt;="&amp;C3018,CBIC_Late_Fee_Relief_Windows_3B!$G$3018:$G$100,"&gt;="&amp;C3018)</f>
        <v/>
      </c>
      <c r="H3018">
        <f>INDEX(CBIC_Late_Fee_Relief_Windows_3B!$I$3018:$I$100,MATCH(G3018,CBIC_Late_Fee_Relief_Windows_3B!$O$3018:$O$100,0))</f>
        <v/>
      </c>
      <c r="I3018">
        <f>MIN(F3018,H3018)</f>
        <v/>
      </c>
    </row>
    <row r="3019">
      <c r="A3019">
        <f>TEST_DATA!A3019</f>
        <v/>
      </c>
      <c r="B3019">
        <f>TEST_DATA!B3019</f>
        <v/>
      </c>
      <c r="C3019">
        <f>TEST_DATA!C3019</f>
        <v/>
      </c>
      <c r="D3019">
        <f>TEST_DATA!D3019</f>
        <v/>
      </c>
      <c r="E3019">
        <f>TEST_DATA!E3019</f>
        <v/>
      </c>
      <c r="F3019">
        <f>MIN(E3019*301900,10000)</f>
        <v/>
      </c>
      <c r="G3019">
        <f>MINIFS(CBIC_Late_Fee_Relief_Windows_3B!$O$3019:$O$100,CBIC_Late_Fee_Relief_Windows_3B!$D$3019:$D$100,"&lt;="&amp;B3019,CBIC_Late_Fee_Relief_Windows_3B!$E$3019:$E$100,"&gt;="&amp;B3019,CBIC_Late_Fee_Relief_Windows_3B!$F$3019:$F$100,"&lt;="&amp;C3019,CBIC_Late_Fee_Relief_Windows_3B!$G$3019:$G$100,"&gt;="&amp;C3019)</f>
        <v/>
      </c>
      <c r="H3019">
        <f>INDEX(CBIC_Late_Fee_Relief_Windows_3B!$I$3019:$I$100,MATCH(G3019,CBIC_Late_Fee_Relief_Windows_3B!$O$3019:$O$100,0))</f>
        <v/>
      </c>
      <c r="I3019">
        <f>MIN(F3019,H3019)</f>
        <v/>
      </c>
    </row>
    <row r="3020">
      <c r="A3020">
        <f>TEST_DATA!A3020</f>
        <v/>
      </c>
      <c r="B3020">
        <f>TEST_DATA!B3020</f>
        <v/>
      </c>
      <c r="C3020">
        <f>TEST_DATA!C3020</f>
        <v/>
      </c>
      <c r="D3020">
        <f>TEST_DATA!D3020</f>
        <v/>
      </c>
      <c r="E3020">
        <f>TEST_DATA!E3020</f>
        <v/>
      </c>
      <c r="F3020">
        <f>MIN(E3020*302000,10000)</f>
        <v/>
      </c>
      <c r="G3020">
        <f>MINIFS(CBIC_Late_Fee_Relief_Windows_3B!$O$3020:$O$100,CBIC_Late_Fee_Relief_Windows_3B!$D$3020:$D$100,"&lt;="&amp;B3020,CBIC_Late_Fee_Relief_Windows_3B!$E$3020:$E$100,"&gt;="&amp;B3020,CBIC_Late_Fee_Relief_Windows_3B!$F$3020:$F$100,"&lt;="&amp;C3020,CBIC_Late_Fee_Relief_Windows_3B!$G$3020:$G$100,"&gt;="&amp;C3020)</f>
        <v/>
      </c>
      <c r="H3020">
        <f>INDEX(CBIC_Late_Fee_Relief_Windows_3B!$I$3020:$I$100,MATCH(G3020,CBIC_Late_Fee_Relief_Windows_3B!$O$3020:$O$100,0))</f>
        <v/>
      </c>
      <c r="I3020">
        <f>MIN(F3020,H3020)</f>
        <v/>
      </c>
    </row>
    <row r="3021">
      <c r="A3021">
        <f>TEST_DATA!A3021</f>
        <v/>
      </c>
      <c r="B3021">
        <f>TEST_DATA!B3021</f>
        <v/>
      </c>
      <c r="C3021">
        <f>TEST_DATA!C3021</f>
        <v/>
      </c>
      <c r="D3021">
        <f>TEST_DATA!D3021</f>
        <v/>
      </c>
      <c r="E3021">
        <f>TEST_DATA!E3021</f>
        <v/>
      </c>
      <c r="F3021">
        <f>MIN(E3021*302100,10000)</f>
        <v/>
      </c>
      <c r="G3021">
        <f>MINIFS(CBIC_Late_Fee_Relief_Windows_3B!$O$3021:$O$100,CBIC_Late_Fee_Relief_Windows_3B!$D$3021:$D$100,"&lt;="&amp;B3021,CBIC_Late_Fee_Relief_Windows_3B!$E$3021:$E$100,"&gt;="&amp;B3021,CBIC_Late_Fee_Relief_Windows_3B!$F$3021:$F$100,"&lt;="&amp;C3021,CBIC_Late_Fee_Relief_Windows_3B!$G$3021:$G$100,"&gt;="&amp;C3021)</f>
        <v/>
      </c>
      <c r="H3021">
        <f>INDEX(CBIC_Late_Fee_Relief_Windows_3B!$I$3021:$I$100,MATCH(G3021,CBIC_Late_Fee_Relief_Windows_3B!$O$3021:$O$100,0))</f>
        <v/>
      </c>
      <c r="I3021">
        <f>MIN(F3021,H3021)</f>
        <v/>
      </c>
    </row>
    <row r="3022">
      <c r="A3022">
        <f>TEST_DATA!A3022</f>
        <v/>
      </c>
      <c r="B3022">
        <f>TEST_DATA!B3022</f>
        <v/>
      </c>
      <c r="C3022">
        <f>TEST_DATA!C3022</f>
        <v/>
      </c>
      <c r="D3022">
        <f>TEST_DATA!D3022</f>
        <v/>
      </c>
      <c r="E3022">
        <f>TEST_DATA!E3022</f>
        <v/>
      </c>
      <c r="F3022">
        <f>MIN(E3022*302200,10000)</f>
        <v/>
      </c>
      <c r="G3022">
        <f>MINIFS(CBIC_Late_Fee_Relief_Windows_3B!$O$3022:$O$100,CBIC_Late_Fee_Relief_Windows_3B!$D$3022:$D$100,"&lt;="&amp;B3022,CBIC_Late_Fee_Relief_Windows_3B!$E$3022:$E$100,"&gt;="&amp;B3022,CBIC_Late_Fee_Relief_Windows_3B!$F$3022:$F$100,"&lt;="&amp;C3022,CBIC_Late_Fee_Relief_Windows_3B!$G$3022:$G$100,"&gt;="&amp;C3022)</f>
        <v/>
      </c>
      <c r="H3022">
        <f>INDEX(CBIC_Late_Fee_Relief_Windows_3B!$I$3022:$I$100,MATCH(G3022,CBIC_Late_Fee_Relief_Windows_3B!$O$3022:$O$100,0))</f>
        <v/>
      </c>
      <c r="I3022">
        <f>MIN(F3022,H3022)</f>
        <v/>
      </c>
    </row>
    <row r="3023">
      <c r="A3023">
        <f>TEST_DATA!A3023</f>
        <v/>
      </c>
      <c r="B3023">
        <f>TEST_DATA!B3023</f>
        <v/>
      </c>
      <c r="C3023">
        <f>TEST_DATA!C3023</f>
        <v/>
      </c>
      <c r="D3023">
        <f>TEST_DATA!D3023</f>
        <v/>
      </c>
      <c r="E3023">
        <f>TEST_DATA!E3023</f>
        <v/>
      </c>
      <c r="F3023">
        <f>MIN(E3023*302300,10000)</f>
        <v/>
      </c>
      <c r="G3023">
        <f>MINIFS(CBIC_Late_Fee_Relief_Windows_3B!$O$3023:$O$100,CBIC_Late_Fee_Relief_Windows_3B!$D$3023:$D$100,"&lt;="&amp;B3023,CBIC_Late_Fee_Relief_Windows_3B!$E$3023:$E$100,"&gt;="&amp;B3023,CBIC_Late_Fee_Relief_Windows_3B!$F$3023:$F$100,"&lt;="&amp;C3023,CBIC_Late_Fee_Relief_Windows_3B!$G$3023:$G$100,"&gt;="&amp;C3023)</f>
        <v/>
      </c>
      <c r="H3023">
        <f>INDEX(CBIC_Late_Fee_Relief_Windows_3B!$I$3023:$I$100,MATCH(G3023,CBIC_Late_Fee_Relief_Windows_3B!$O$3023:$O$100,0))</f>
        <v/>
      </c>
      <c r="I3023">
        <f>MIN(F3023,H3023)</f>
        <v/>
      </c>
    </row>
    <row r="3024">
      <c r="A3024">
        <f>TEST_DATA!A3024</f>
        <v/>
      </c>
      <c r="B3024">
        <f>TEST_DATA!B3024</f>
        <v/>
      </c>
      <c r="C3024">
        <f>TEST_DATA!C3024</f>
        <v/>
      </c>
      <c r="D3024">
        <f>TEST_DATA!D3024</f>
        <v/>
      </c>
      <c r="E3024">
        <f>TEST_DATA!E3024</f>
        <v/>
      </c>
      <c r="F3024">
        <f>MIN(E3024*302400,10000)</f>
        <v/>
      </c>
      <c r="G3024">
        <f>MINIFS(CBIC_Late_Fee_Relief_Windows_3B!$O$3024:$O$100,CBIC_Late_Fee_Relief_Windows_3B!$D$3024:$D$100,"&lt;="&amp;B3024,CBIC_Late_Fee_Relief_Windows_3B!$E$3024:$E$100,"&gt;="&amp;B3024,CBIC_Late_Fee_Relief_Windows_3B!$F$3024:$F$100,"&lt;="&amp;C3024,CBIC_Late_Fee_Relief_Windows_3B!$G$3024:$G$100,"&gt;="&amp;C3024)</f>
        <v/>
      </c>
      <c r="H3024">
        <f>INDEX(CBIC_Late_Fee_Relief_Windows_3B!$I$3024:$I$100,MATCH(G3024,CBIC_Late_Fee_Relief_Windows_3B!$O$3024:$O$100,0))</f>
        <v/>
      </c>
      <c r="I3024">
        <f>MIN(F3024,H3024)</f>
        <v/>
      </c>
    </row>
    <row r="3025">
      <c r="A3025">
        <f>TEST_DATA!A3025</f>
        <v/>
      </c>
      <c r="B3025">
        <f>TEST_DATA!B3025</f>
        <v/>
      </c>
      <c r="C3025">
        <f>TEST_DATA!C3025</f>
        <v/>
      </c>
      <c r="D3025">
        <f>TEST_DATA!D3025</f>
        <v/>
      </c>
      <c r="E3025">
        <f>TEST_DATA!E3025</f>
        <v/>
      </c>
      <c r="F3025">
        <f>MIN(E3025*302500,10000)</f>
        <v/>
      </c>
      <c r="G3025">
        <f>MINIFS(CBIC_Late_Fee_Relief_Windows_3B!$O$3025:$O$100,CBIC_Late_Fee_Relief_Windows_3B!$D$3025:$D$100,"&lt;="&amp;B3025,CBIC_Late_Fee_Relief_Windows_3B!$E$3025:$E$100,"&gt;="&amp;B3025,CBIC_Late_Fee_Relief_Windows_3B!$F$3025:$F$100,"&lt;="&amp;C3025,CBIC_Late_Fee_Relief_Windows_3B!$G$3025:$G$100,"&gt;="&amp;C3025)</f>
        <v/>
      </c>
      <c r="H3025">
        <f>INDEX(CBIC_Late_Fee_Relief_Windows_3B!$I$3025:$I$100,MATCH(G3025,CBIC_Late_Fee_Relief_Windows_3B!$O$3025:$O$100,0))</f>
        <v/>
      </c>
      <c r="I3025">
        <f>MIN(F3025,H3025)</f>
        <v/>
      </c>
    </row>
    <row r="3026">
      <c r="A3026">
        <f>TEST_DATA!A3026</f>
        <v/>
      </c>
      <c r="B3026">
        <f>TEST_DATA!B3026</f>
        <v/>
      </c>
      <c r="C3026">
        <f>TEST_DATA!C3026</f>
        <v/>
      </c>
      <c r="D3026">
        <f>TEST_DATA!D3026</f>
        <v/>
      </c>
      <c r="E3026">
        <f>TEST_DATA!E3026</f>
        <v/>
      </c>
      <c r="F3026">
        <f>MIN(E3026*302600,10000)</f>
        <v/>
      </c>
      <c r="G3026">
        <f>MINIFS(CBIC_Late_Fee_Relief_Windows_3B!$O$3026:$O$100,CBIC_Late_Fee_Relief_Windows_3B!$D$3026:$D$100,"&lt;="&amp;B3026,CBIC_Late_Fee_Relief_Windows_3B!$E$3026:$E$100,"&gt;="&amp;B3026,CBIC_Late_Fee_Relief_Windows_3B!$F$3026:$F$100,"&lt;="&amp;C3026,CBIC_Late_Fee_Relief_Windows_3B!$G$3026:$G$100,"&gt;="&amp;C3026)</f>
        <v/>
      </c>
      <c r="H3026">
        <f>INDEX(CBIC_Late_Fee_Relief_Windows_3B!$I$3026:$I$100,MATCH(G3026,CBIC_Late_Fee_Relief_Windows_3B!$O$3026:$O$100,0))</f>
        <v/>
      </c>
      <c r="I3026">
        <f>MIN(F3026,H3026)</f>
        <v/>
      </c>
    </row>
    <row r="3027">
      <c r="A3027">
        <f>TEST_DATA!A3027</f>
        <v/>
      </c>
      <c r="B3027">
        <f>TEST_DATA!B3027</f>
        <v/>
      </c>
      <c r="C3027">
        <f>TEST_DATA!C3027</f>
        <v/>
      </c>
      <c r="D3027">
        <f>TEST_DATA!D3027</f>
        <v/>
      </c>
      <c r="E3027">
        <f>TEST_DATA!E3027</f>
        <v/>
      </c>
      <c r="F3027">
        <f>MIN(E3027*302700,10000)</f>
        <v/>
      </c>
      <c r="G3027">
        <f>MINIFS(CBIC_Late_Fee_Relief_Windows_3B!$O$3027:$O$100,CBIC_Late_Fee_Relief_Windows_3B!$D$3027:$D$100,"&lt;="&amp;B3027,CBIC_Late_Fee_Relief_Windows_3B!$E$3027:$E$100,"&gt;="&amp;B3027,CBIC_Late_Fee_Relief_Windows_3B!$F$3027:$F$100,"&lt;="&amp;C3027,CBIC_Late_Fee_Relief_Windows_3B!$G$3027:$G$100,"&gt;="&amp;C3027)</f>
        <v/>
      </c>
      <c r="H3027">
        <f>INDEX(CBIC_Late_Fee_Relief_Windows_3B!$I$3027:$I$100,MATCH(G3027,CBIC_Late_Fee_Relief_Windows_3B!$O$3027:$O$100,0))</f>
        <v/>
      </c>
      <c r="I3027">
        <f>MIN(F3027,H3027)</f>
        <v/>
      </c>
    </row>
    <row r="3028">
      <c r="A3028">
        <f>TEST_DATA!A3028</f>
        <v/>
      </c>
      <c r="B3028">
        <f>TEST_DATA!B3028</f>
        <v/>
      </c>
      <c r="C3028">
        <f>TEST_DATA!C3028</f>
        <v/>
      </c>
      <c r="D3028">
        <f>TEST_DATA!D3028</f>
        <v/>
      </c>
      <c r="E3028">
        <f>TEST_DATA!E3028</f>
        <v/>
      </c>
      <c r="F3028">
        <f>MIN(E3028*302800,10000)</f>
        <v/>
      </c>
      <c r="G3028">
        <f>MINIFS(CBIC_Late_Fee_Relief_Windows_3B!$O$3028:$O$100,CBIC_Late_Fee_Relief_Windows_3B!$D$3028:$D$100,"&lt;="&amp;B3028,CBIC_Late_Fee_Relief_Windows_3B!$E$3028:$E$100,"&gt;="&amp;B3028,CBIC_Late_Fee_Relief_Windows_3B!$F$3028:$F$100,"&lt;="&amp;C3028,CBIC_Late_Fee_Relief_Windows_3B!$G$3028:$G$100,"&gt;="&amp;C3028)</f>
        <v/>
      </c>
      <c r="H3028">
        <f>INDEX(CBIC_Late_Fee_Relief_Windows_3B!$I$3028:$I$100,MATCH(G3028,CBIC_Late_Fee_Relief_Windows_3B!$O$3028:$O$100,0))</f>
        <v/>
      </c>
      <c r="I3028">
        <f>MIN(F3028,H3028)</f>
        <v/>
      </c>
    </row>
    <row r="3029">
      <c r="A3029">
        <f>TEST_DATA!A3029</f>
        <v/>
      </c>
      <c r="B3029">
        <f>TEST_DATA!B3029</f>
        <v/>
      </c>
      <c r="C3029">
        <f>TEST_DATA!C3029</f>
        <v/>
      </c>
      <c r="D3029">
        <f>TEST_DATA!D3029</f>
        <v/>
      </c>
      <c r="E3029">
        <f>TEST_DATA!E3029</f>
        <v/>
      </c>
      <c r="F3029">
        <f>MIN(E3029*302900,10000)</f>
        <v/>
      </c>
      <c r="G3029">
        <f>MINIFS(CBIC_Late_Fee_Relief_Windows_3B!$O$3029:$O$100,CBIC_Late_Fee_Relief_Windows_3B!$D$3029:$D$100,"&lt;="&amp;B3029,CBIC_Late_Fee_Relief_Windows_3B!$E$3029:$E$100,"&gt;="&amp;B3029,CBIC_Late_Fee_Relief_Windows_3B!$F$3029:$F$100,"&lt;="&amp;C3029,CBIC_Late_Fee_Relief_Windows_3B!$G$3029:$G$100,"&gt;="&amp;C3029)</f>
        <v/>
      </c>
      <c r="H3029">
        <f>INDEX(CBIC_Late_Fee_Relief_Windows_3B!$I$3029:$I$100,MATCH(G3029,CBIC_Late_Fee_Relief_Windows_3B!$O$3029:$O$100,0))</f>
        <v/>
      </c>
      <c r="I3029">
        <f>MIN(F3029,H3029)</f>
        <v/>
      </c>
    </row>
    <row r="3030">
      <c r="A3030">
        <f>TEST_DATA!A3030</f>
        <v/>
      </c>
      <c r="B3030">
        <f>TEST_DATA!B3030</f>
        <v/>
      </c>
      <c r="C3030">
        <f>TEST_DATA!C3030</f>
        <v/>
      </c>
      <c r="D3030">
        <f>TEST_DATA!D3030</f>
        <v/>
      </c>
      <c r="E3030">
        <f>TEST_DATA!E3030</f>
        <v/>
      </c>
      <c r="F3030">
        <f>MIN(E3030*303000,10000)</f>
        <v/>
      </c>
      <c r="G3030">
        <f>MINIFS(CBIC_Late_Fee_Relief_Windows_3B!$O$3030:$O$100,CBIC_Late_Fee_Relief_Windows_3B!$D$3030:$D$100,"&lt;="&amp;B3030,CBIC_Late_Fee_Relief_Windows_3B!$E$3030:$E$100,"&gt;="&amp;B3030,CBIC_Late_Fee_Relief_Windows_3B!$F$3030:$F$100,"&lt;="&amp;C3030,CBIC_Late_Fee_Relief_Windows_3B!$G$3030:$G$100,"&gt;="&amp;C3030)</f>
        <v/>
      </c>
      <c r="H3030">
        <f>INDEX(CBIC_Late_Fee_Relief_Windows_3B!$I$3030:$I$100,MATCH(G3030,CBIC_Late_Fee_Relief_Windows_3B!$O$3030:$O$100,0))</f>
        <v/>
      </c>
      <c r="I3030">
        <f>MIN(F3030,H3030)</f>
        <v/>
      </c>
    </row>
    <row r="3031">
      <c r="A3031">
        <f>TEST_DATA!A3031</f>
        <v/>
      </c>
      <c r="B3031">
        <f>TEST_DATA!B3031</f>
        <v/>
      </c>
      <c r="C3031">
        <f>TEST_DATA!C3031</f>
        <v/>
      </c>
      <c r="D3031">
        <f>TEST_DATA!D3031</f>
        <v/>
      </c>
      <c r="E3031">
        <f>TEST_DATA!E3031</f>
        <v/>
      </c>
      <c r="F3031">
        <f>MIN(E3031*303100,10000)</f>
        <v/>
      </c>
      <c r="G3031">
        <f>MINIFS(CBIC_Late_Fee_Relief_Windows_3B!$O$3031:$O$100,CBIC_Late_Fee_Relief_Windows_3B!$D$3031:$D$100,"&lt;="&amp;B3031,CBIC_Late_Fee_Relief_Windows_3B!$E$3031:$E$100,"&gt;="&amp;B3031,CBIC_Late_Fee_Relief_Windows_3B!$F$3031:$F$100,"&lt;="&amp;C3031,CBIC_Late_Fee_Relief_Windows_3B!$G$3031:$G$100,"&gt;="&amp;C3031)</f>
        <v/>
      </c>
      <c r="H3031">
        <f>INDEX(CBIC_Late_Fee_Relief_Windows_3B!$I$3031:$I$100,MATCH(G3031,CBIC_Late_Fee_Relief_Windows_3B!$O$3031:$O$100,0))</f>
        <v/>
      </c>
      <c r="I3031">
        <f>MIN(F3031,H3031)</f>
        <v/>
      </c>
    </row>
    <row r="3032">
      <c r="A3032">
        <f>TEST_DATA!A3032</f>
        <v/>
      </c>
      <c r="B3032">
        <f>TEST_DATA!B3032</f>
        <v/>
      </c>
      <c r="C3032">
        <f>TEST_DATA!C3032</f>
        <v/>
      </c>
      <c r="D3032">
        <f>TEST_DATA!D3032</f>
        <v/>
      </c>
      <c r="E3032">
        <f>TEST_DATA!E3032</f>
        <v/>
      </c>
      <c r="F3032">
        <f>MIN(E3032*303200,10000)</f>
        <v/>
      </c>
      <c r="G3032">
        <f>MINIFS(CBIC_Late_Fee_Relief_Windows_3B!$O$3032:$O$100,CBIC_Late_Fee_Relief_Windows_3B!$D$3032:$D$100,"&lt;="&amp;B3032,CBIC_Late_Fee_Relief_Windows_3B!$E$3032:$E$100,"&gt;="&amp;B3032,CBIC_Late_Fee_Relief_Windows_3B!$F$3032:$F$100,"&lt;="&amp;C3032,CBIC_Late_Fee_Relief_Windows_3B!$G$3032:$G$100,"&gt;="&amp;C3032)</f>
        <v/>
      </c>
      <c r="H3032">
        <f>INDEX(CBIC_Late_Fee_Relief_Windows_3B!$I$3032:$I$100,MATCH(G3032,CBIC_Late_Fee_Relief_Windows_3B!$O$3032:$O$100,0))</f>
        <v/>
      </c>
      <c r="I3032">
        <f>MIN(F3032,H3032)</f>
        <v/>
      </c>
    </row>
    <row r="3033">
      <c r="A3033">
        <f>TEST_DATA!A3033</f>
        <v/>
      </c>
      <c r="B3033">
        <f>TEST_DATA!B3033</f>
        <v/>
      </c>
      <c r="C3033">
        <f>TEST_DATA!C3033</f>
        <v/>
      </c>
      <c r="D3033">
        <f>TEST_DATA!D3033</f>
        <v/>
      </c>
      <c r="E3033">
        <f>TEST_DATA!E3033</f>
        <v/>
      </c>
      <c r="F3033">
        <f>MIN(E3033*303300,10000)</f>
        <v/>
      </c>
      <c r="G3033">
        <f>MINIFS(CBIC_Late_Fee_Relief_Windows_3B!$O$3033:$O$100,CBIC_Late_Fee_Relief_Windows_3B!$D$3033:$D$100,"&lt;="&amp;B3033,CBIC_Late_Fee_Relief_Windows_3B!$E$3033:$E$100,"&gt;="&amp;B3033,CBIC_Late_Fee_Relief_Windows_3B!$F$3033:$F$100,"&lt;="&amp;C3033,CBIC_Late_Fee_Relief_Windows_3B!$G$3033:$G$100,"&gt;="&amp;C3033)</f>
        <v/>
      </c>
      <c r="H3033">
        <f>INDEX(CBIC_Late_Fee_Relief_Windows_3B!$I$3033:$I$100,MATCH(G3033,CBIC_Late_Fee_Relief_Windows_3B!$O$3033:$O$100,0))</f>
        <v/>
      </c>
      <c r="I3033">
        <f>MIN(F3033,H3033)</f>
        <v/>
      </c>
    </row>
    <row r="3034">
      <c r="A3034">
        <f>TEST_DATA!A3034</f>
        <v/>
      </c>
      <c r="B3034">
        <f>TEST_DATA!B3034</f>
        <v/>
      </c>
      <c r="C3034">
        <f>TEST_DATA!C3034</f>
        <v/>
      </c>
      <c r="D3034">
        <f>TEST_DATA!D3034</f>
        <v/>
      </c>
      <c r="E3034">
        <f>TEST_DATA!E3034</f>
        <v/>
      </c>
      <c r="F3034">
        <f>MIN(E3034*303400,10000)</f>
        <v/>
      </c>
      <c r="G3034">
        <f>MINIFS(CBIC_Late_Fee_Relief_Windows_3B!$O$3034:$O$100,CBIC_Late_Fee_Relief_Windows_3B!$D$3034:$D$100,"&lt;="&amp;B3034,CBIC_Late_Fee_Relief_Windows_3B!$E$3034:$E$100,"&gt;="&amp;B3034,CBIC_Late_Fee_Relief_Windows_3B!$F$3034:$F$100,"&lt;="&amp;C3034,CBIC_Late_Fee_Relief_Windows_3B!$G$3034:$G$100,"&gt;="&amp;C3034)</f>
        <v/>
      </c>
      <c r="H3034">
        <f>INDEX(CBIC_Late_Fee_Relief_Windows_3B!$I$3034:$I$100,MATCH(G3034,CBIC_Late_Fee_Relief_Windows_3B!$O$3034:$O$100,0))</f>
        <v/>
      </c>
      <c r="I3034">
        <f>MIN(F3034,H3034)</f>
        <v/>
      </c>
    </row>
    <row r="3035">
      <c r="A3035">
        <f>TEST_DATA!A3035</f>
        <v/>
      </c>
      <c r="B3035">
        <f>TEST_DATA!B3035</f>
        <v/>
      </c>
      <c r="C3035">
        <f>TEST_DATA!C3035</f>
        <v/>
      </c>
      <c r="D3035">
        <f>TEST_DATA!D3035</f>
        <v/>
      </c>
      <c r="E3035">
        <f>TEST_DATA!E3035</f>
        <v/>
      </c>
      <c r="F3035">
        <f>MIN(E3035*303500,10000)</f>
        <v/>
      </c>
      <c r="G3035">
        <f>MINIFS(CBIC_Late_Fee_Relief_Windows_3B!$O$3035:$O$100,CBIC_Late_Fee_Relief_Windows_3B!$D$3035:$D$100,"&lt;="&amp;B3035,CBIC_Late_Fee_Relief_Windows_3B!$E$3035:$E$100,"&gt;="&amp;B3035,CBIC_Late_Fee_Relief_Windows_3B!$F$3035:$F$100,"&lt;="&amp;C3035,CBIC_Late_Fee_Relief_Windows_3B!$G$3035:$G$100,"&gt;="&amp;C3035)</f>
        <v/>
      </c>
      <c r="H3035">
        <f>INDEX(CBIC_Late_Fee_Relief_Windows_3B!$I$3035:$I$100,MATCH(G3035,CBIC_Late_Fee_Relief_Windows_3B!$O$3035:$O$100,0))</f>
        <v/>
      </c>
      <c r="I3035">
        <f>MIN(F3035,H3035)</f>
        <v/>
      </c>
    </row>
    <row r="3036">
      <c r="A3036">
        <f>TEST_DATA!A3036</f>
        <v/>
      </c>
      <c r="B3036">
        <f>TEST_DATA!B3036</f>
        <v/>
      </c>
      <c r="C3036">
        <f>TEST_DATA!C3036</f>
        <v/>
      </c>
      <c r="D3036">
        <f>TEST_DATA!D3036</f>
        <v/>
      </c>
      <c r="E3036">
        <f>TEST_DATA!E3036</f>
        <v/>
      </c>
      <c r="F3036">
        <f>MIN(E3036*303600,10000)</f>
        <v/>
      </c>
      <c r="G3036">
        <f>MINIFS(CBIC_Late_Fee_Relief_Windows_3B!$O$3036:$O$100,CBIC_Late_Fee_Relief_Windows_3B!$D$3036:$D$100,"&lt;="&amp;B3036,CBIC_Late_Fee_Relief_Windows_3B!$E$3036:$E$100,"&gt;="&amp;B3036,CBIC_Late_Fee_Relief_Windows_3B!$F$3036:$F$100,"&lt;="&amp;C3036,CBIC_Late_Fee_Relief_Windows_3B!$G$3036:$G$100,"&gt;="&amp;C3036)</f>
        <v/>
      </c>
      <c r="H3036">
        <f>INDEX(CBIC_Late_Fee_Relief_Windows_3B!$I$3036:$I$100,MATCH(G3036,CBIC_Late_Fee_Relief_Windows_3B!$O$3036:$O$100,0))</f>
        <v/>
      </c>
      <c r="I3036">
        <f>MIN(F3036,H3036)</f>
        <v/>
      </c>
    </row>
    <row r="3037">
      <c r="A3037">
        <f>TEST_DATA!A3037</f>
        <v/>
      </c>
      <c r="B3037">
        <f>TEST_DATA!B3037</f>
        <v/>
      </c>
      <c r="C3037">
        <f>TEST_DATA!C3037</f>
        <v/>
      </c>
      <c r="D3037">
        <f>TEST_DATA!D3037</f>
        <v/>
      </c>
      <c r="E3037">
        <f>TEST_DATA!E3037</f>
        <v/>
      </c>
      <c r="F3037">
        <f>MIN(E3037*303700,10000)</f>
        <v/>
      </c>
      <c r="G3037">
        <f>MINIFS(CBIC_Late_Fee_Relief_Windows_3B!$O$3037:$O$100,CBIC_Late_Fee_Relief_Windows_3B!$D$3037:$D$100,"&lt;="&amp;B3037,CBIC_Late_Fee_Relief_Windows_3B!$E$3037:$E$100,"&gt;="&amp;B3037,CBIC_Late_Fee_Relief_Windows_3B!$F$3037:$F$100,"&lt;="&amp;C3037,CBIC_Late_Fee_Relief_Windows_3B!$G$3037:$G$100,"&gt;="&amp;C3037)</f>
        <v/>
      </c>
      <c r="H3037">
        <f>INDEX(CBIC_Late_Fee_Relief_Windows_3B!$I$3037:$I$100,MATCH(G3037,CBIC_Late_Fee_Relief_Windows_3B!$O$3037:$O$100,0))</f>
        <v/>
      </c>
      <c r="I3037">
        <f>MIN(F3037,H3037)</f>
        <v/>
      </c>
    </row>
    <row r="3038">
      <c r="A3038">
        <f>TEST_DATA!A3038</f>
        <v/>
      </c>
      <c r="B3038">
        <f>TEST_DATA!B3038</f>
        <v/>
      </c>
      <c r="C3038">
        <f>TEST_DATA!C3038</f>
        <v/>
      </c>
      <c r="D3038">
        <f>TEST_DATA!D3038</f>
        <v/>
      </c>
      <c r="E3038">
        <f>TEST_DATA!E3038</f>
        <v/>
      </c>
      <c r="F3038">
        <f>MIN(E3038*303800,10000)</f>
        <v/>
      </c>
      <c r="G3038">
        <f>MINIFS(CBIC_Late_Fee_Relief_Windows_3B!$O$3038:$O$100,CBIC_Late_Fee_Relief_Windows_3B!$D$3038:$D$100,"&lt;="&amp;B3038,CBIC_Late_Fee_Relief_Windows_3B!$E$3038:$E$100,"&gt;="&amp;B3038,CBIC_Late_Fee_Relief_Windows_3B!$F$3038:$F$100,"&lt;="&amp;C3038,CBIC_Late_Fee_Relief_Windows_3B!$G$3038:$G$100,"&gt;="&amp;C3038)</f>
        <v/>
      </c>
      <c r="H3038">
        <f>INDEX(CBIC_Late_Fee_Relief_Windows_3B!$I$3038:$I$100,MATCH(G3038,CBIC_Late_Fee_Relief_Windows_3B!$O$3038:$O$100,0))</f>
        <v/>
      </c>
      <c r="I3038">
        <f>MIN(F3038,H3038)</f>
        <v/>
      </c>
    </row>
    <row r="3039">
      <c r="A3039">
        <f>TEST_DATA!A3039</f>
        <v/>
      </c>
      <c r="B3039">
        <f>TEST_DATA!B3039</f>
        <v/>
      </c>
      <c r="C3039">
        <f>TEST_DATA!C3039</f>
        <v/>
      </c>
      <c r="D3039">
        <f>TEST_DATA!D3039</f>
        <v/>
      </c>
      <c r="E3039">
        <f>TEST_DATA!E3039</f>
        <v/>
      </c>
      <c r="F3039">
        <f>MIN(E3039*303900,10000)</f>
        <v/>
      </c>
      <c r="G3039">
        <f>MINIFS(CBIC_Late_Fee_Relief_Windows_3B!$O$3039:$O$100,CBIC_Late_Fee_Relief_Windows_3B!$D$3039:$D$100,"&lt;="&amp;B3039,CBIC_Late_Fee_Relief_Windows_3B!$E$3039:$E$100,"&gt;="&amp;B3039,CBIC_Late_Fee_Relief_Windows_3B!$F$3039:$F$100,"&lt;="&amp;C3039,CBIC_Late_Fee_Relief_Windows_3B!$G$3039:$G$100,"&gt;="&amp;C3039)</f>
        <v/>
      </c>
      <c r="H3039">
        <f>INDEX(CBIC_Late_Fee_Relief_Windows_3B!$I$3039:$I$100,MATCH(G3039,CBIC_Late_Fee_Relief_Windows_3B!$O$3039:$O$100,0))</f>
        <v/>
      </c>
      <c r="I3039">
        <f>MIN(F3039,H3039)</f>
        <v/>
      </c>
    </row>
    <row r="3040">
      <c r="A3040">
        <f>TEST_DATA!A3040</f>
        <v/>
      </c>
      <c r="B3040">
        <f>TEST_DATA!B3040</f>
        <v/>
      </c>
      <c r="C3040">
        <f>TEST_DATA!C3040</f>
        <v/>
      </c>
      <c r="D3040">
        <f>TEST_DATA!D3040</f>
        <v/>
      </c>
      <c r="E3040">
        <f>TEST_DATA!E3040</f>
        <v/>
      </c>
      <c r="F3040">
        <f>MIN(E3040*304000,10000)</f>
        <v/>
      </c>
      <c r="G3040">
        <f>MINIFS(CBIC_Late_Fee_Relief_Windows_3B!$O$3040:$O$100,CBIC_Late_Fee_Relief_Windows_3B!$D$3040:$D$100,"&lt;="&amp;B3040,CBIC_Late_Fee_Relief_Windows_3B!$E$3040:$E$100,"&gt;="&amp;B3040,CBIC_Late_Fee_Relief_Windows_3B!$F$3040:$F$100,"&lt;="&amp;C3040,CBIC_Late_Fee_Relief_Windows_3B!$G$3040:$G$100,"&gt;="&amp;C3040)</f>
        <v/>
      </c>
      <c r="H3040">
        <f>INDEX(CBIC_Late_Fee_Relief_Windows_3B!$I$3040:$I$100,MATCH(G3040,CBIC_Late_Fee_Relief_Windows_3B!$O$3040:$O$100,0))</f>
        <v/>
      </c>
      <c r="I3040">
        <f>MIN(F3040,H3040)</f>
        <v/>
      </c>
    </row>
    <row r="3041">
      <c r="A3041">
        <f>TEST_DATA!A3041</f>
        <v/>
      </c>
      <c r="B3041">
        <f>TEST_DATA!B3041</f>
        <v/>
      </c>
      <c r="C3041">
        <f>TEST_DATA!C3041</f>
        <v/>
      </c>
      <c r="D3041">
        <f>TEST_DATA!D3041</f>
        <v/>
      </c>
      <c r="E3041">
        <f>TEST_DATA!E3041</f>
        <v/>
      </c>
      <c r="F3041">
        <f>MIN(E3041*304100,10000)</f>
        <v/>
      </c>
      <c r="G3041">
        <f>MINIFS(CBIC_Late_Fee_Relief_Windows_3B!$O$3041:$O$100,CBIC_Late_Fee_Relief_Windows_3B!$D$3041:$D$100,"&lt;="&amp;B3041,CBIC_Late_Fee_Relief_Windows_3B!$E$3041:$E$100,"&gt;="&amp;B3041,CBIC_Late_Fee_Relief_Windows_3B!$F$3041:$F$100,"&lt;="&amp;C3041,CBIC_Late_Fee_Relief_Windows_3B!$G$3041:$G$100,"&gt;="&amp;C3041)</f>
        <v/>
      </c>
      <c r="H3041">
        <f>INDEX(CBIC_Late_Fee_Relief_Windows_3B!$I$3041:$I$100,MATCH(G3041,CBIC_Late_Fee_Relief_Windows_3B!$O$3041:$O$100,0))</f>
        <v/>
      </c>
      <c r="I3041">
        <f>MIN(F3041,H3041)</f>
        <v/>
      </c>
    </row>
    <row r="3042">
      <c r="A3042">
        <f>TEST_DATA!A3042</f>
        <v/>
      </c>
      <c r="B3042">
        <f>TEST_DATA!B3042</f>
        <v/>
      </c>
      <c r="C3042">
        <f>TEST_DATA!C3042</f>
        <v/>
      </c>
      <c r="D3042">
        <f>TEST_DATA!D3042</f>
        <v/>
      </c>
      <c r="E3042">
        <f>TEST_DATA!E3042</f>
        <v/>
      </c>
      <c r="F3042">
        <f>MIN(E3042*304200,10000)</f>
        <v/>
      </c>
      <c r="G3042">
        <f>MINIFS(CBIC_Late_Fee_Relief_Windows_3B!$O$3042:$O$100,CBIC_Late_Fee_Relief_Windows_3B!$D$3042:$D$100,"&lt;="&amp;B3042,CBIC_Late_Fee_Relief_Windows_3B!$E$3042:$E$100,"&gt;="&amp;B3042,CBIC_Late_Fee_Relief_Windows_3B!$F$3042:$F$100,"&lt;="&amp;C3042,CBIC_Late_Fee_Relief_Windows_3B!$G$3042:$G$100,"&gt;="&amp;C3042)</f>
        <v/>
      </c>
      <c r="H3042">
        <f>INDEX(CBIC_Late_Fee_Relief_Windows_3B!$I$3042:$I$100,MATCH(G3042,CBIC_Late_Fee_Relief_Windows_3B!$O$3042:$O$100,0))</f>
        <v/>
      </c>
      <c r="I3042">
        <f>MIN(F3042,H3042)</f>
        <v/>
      </c>
    </row>
    <row r="3043">
      <c r="A3043">
        <f>TEST_DATA!A3043</f>
        <v/>
      </c>
      <c r="B3043">
        <f>TEST_DATA!B3043</f>
        <v/>
      </c>
      <c r="C3043">
        <f>TEST_DATA!C3043</f>
        <v/>
      </c>
      <c r="D3043">
        <f>TEST_DATA!D3043</f>
        <v/>
      </c>
      <c r="E3043">
        <f>TEST_DATA!E3043</f>
        <v/>
      </c>
      <c r="F3043">
        <f>MIN(E3043*304300,10000)</f>
        <v/>
      </c>
      <c r="G3043">
        <f>MINIFS(CBIC_Late_Fee_Relief_Windows_3B!$O$3043:$O$100,CBIC_Late_Fee_Relief_Windows_3B!$D$3043:$D$100,"&lt;="&amp;B3043,CBIC_Late_Fee_Relief_Windows_3B!$E$3043:$E$100,"&gt;="&amp;B3043,CBIC_Late_Fee_Relief_Windows_3B!$F$3043:$F$100,"&lt;="&amp;C3043,CBIC_Late_Fee_Relief_Windows_3B!$G$3043:$G$100,"&gt;="&amp;C3043)</f>
        <v/>
      </c>
      <c r="H3043">
        <f>INDEX(CBIC_Late_Fee_Relief_Windows_3B!$I$3043:$I$100,MATCH(G3043,CBIC_Late_Fee_Relief_Windows_3B!$O$3043:$O$100,0))</f>
        <v/>
      </c>
      <c r="I3043">
        <f>MIN(F3043,H3043)</f>
        <v/>
      </c>
    </row>
    <row r="3044">
      <c r="A3044">
        <f>TEST_DATA!A3044</f>
        <v/>
      </c>
      <c r="B3044">
        <f>TEST_DATA!B3044</f>
        <v/>
      </c>
      <c r="C3044">
        <f>TEST_DATA!C3044</f>
        <v/>
      </c>
      <c r="D3044">
        <f>TEST_DATA!D3044</f>
        <v/>
      </c>
      <c r="E3044">
        <f>TEST_DATA!E3044</f>
        <v/>
      </c>
      <c r="F3044">
        <f>MIN(E3044*304400,10000)</f>
        <v/>
      </c>
      <c r="G3044">
        <f>MINIFS(CBIC_Late_Fee_Relief_Windows_3B!$O$3044:$O$100,CBIC_Late_Fee_Relief_Windows_3B!$D$3044:$D$100,"&lt;="&amp;B3044,CBIC_Late_Fee_Relief_Windows_3B!$E$3044:$E$100,"&gt;="&amp;B3044,CBIC_Late_Fee_Relief_Windows_3B!$F$3044:$F$100,"&lt;="&amp;C3044,CBIC_Late_Fee_Relief_Windows_3B!$G$3044:$G$100,"&gt;="&amp;C3044)</f>
        <v/>
      </c>
      <c r="H3044">
        <f>INDEX(CBIC_Late_Fee_Relief_Windows_3B!$I$3044:$I$100,MATCH(G3044,CBIC_Late_Fee_Relief_Windows_3B!$O$3044:$O$100,0))</f>
        <v/>
      </c>
      <c r="I3044">
        <f>MIN(F3044,H3044)</f>
        <v/>
      </c>
    </row>
    <row r="3045">
      <c r="A3045">
        <f>TEST_DATA!A3045</f>
        <v/>
      </c>
      <c r="B3045">
        <f>TEST_DATA!B3045</f>
        <v/>
      </c>
      <c r="C3045">
        <f>TEST_DATA!C3045</f>
        <v/>
      </c>
      <c r="D3045">
        <f>TEST_DATA!D3045</f>
        <v/>
      </c>
      <c r="E3045">
        <f>TEST_DATA!E3045</f>
        <v/>
      </c>
      <c r="F3045">
        <f>MIN(E3045*304500,10000)</f>
        <v/>
      </c>
      <c r="G3045">
        <f>MINIFS(CBIC_Late_Fee_Relief_Windows_3B!$O$3045:$O$100,CBIC_Late_Fee_Relief_Windows_3B!$D$3045:$D$100,"&lt;="&amp;B3045,CBIC_Late_Fee_Relief_Windows_3B!$E$3045:$E$100,"&gt;="&amp;B3045,CBIC_Late_Fee_Relief_Windows_3B!$F$3045:$F$100,"&lt;="&amp;C3045,CBIC_Late_Fee_Relief_Windows_3B!$G$3045:$G$100,"&gt;="&amp;C3045)</f>
        <v/>
      </c>
      <c r="H3045">
        <f>INDEX(CBIC_Late_Fee_Relief_Windows_3B!$I$3045:$I$100,MATCH(G3045,CBIC_Late_Fee_Relief_Windows_3B!$O$3045:$O$100,0))</f>
        <v/>
      </c>
      <c r="I3045">
        <f>MIN(F3045,H3045)</f>
        <v/>
      </c>
    </row>
    <row r="3046">
      <c r="A3046">
        <f>TEST_DATA!A3046</f>
        <v/>
      </c>
      <c r="B3046">
        <f>TEST_DATA!B3046</f>
        <v/>
      </c>
      <c r="C3046">
        <f>TEST_DATA!C3046</f>
        <v/>
      </c>
      <c r="D3046">
        <f>TEST_DATA!D3046</f>
        <v/>
      </c>
      <c r="E3046">
        <f>TEST_DATA!E3046</f>
        <v/>
      </c>
      <c r="F3046">
        <f>MIN(E3046*304600,10000)</f>
        <v/>
      </c>
      <c r="G3046">
        <f>MINIFS(CBIC_Late_Fee_Relief_Windows_3B!$O$3046:$O$100,CBIC_Late_Fee_Relief_Windows_3B!$D$3046:$D$100,"&lt;="&amp;B3046,CBIC_Late_Fee_Relief_Windows_3B!$E$3046:$E$100,"&gt;="&amp;B3046,CBIC_Late_Fee_Relief_Windows_3B!$F$3046:$F$100,"&lt;="&amp;C3046,CBIC_Late_Fee_Relief_Windows_3B!$G$3046:$G$100,"&gt;="&amp;C3046)</f>
        <v/>
      </c>
      <c r="H3046">
        <f>INDEX(CBIC_Late_Fee_Relief_Windows_3B!$I$3046:$I$100,MATCH(G3046,CBIC_Late_Fee_Relief_Windows_3B!$O$3046:$O$100,0))</f>
        <v/>
      </c>
      <c r="I3046">
        <f>MIN(F3046,H3046)</f>
        <v/>
      </c>
    </row>
    <row r="3047">
      <c r="A3047">
        <f>TEST_DATA!A3047</f>
        <v/>
      </c>
      <c r="B3047">
        <f>TEST_DATA!B3047</f>
        <v/>
      </c>
      <c r="C3047">
        <f>TEST_DATA!C3047</f>
        <v/>
      </c>
      <c r="D3047">
        <f>TEST_DATA!D3047</f>
        <v/>
      </c>
      <c r="E3047">
        <f>TEST_DATA!E3047</f>
        <v/>
      </c>
      <c r="F3047">
        <f>MIN(E3047*304700,10000)</f>
        <v/>
      </c>
      <c r="G3047">
        <f>MINIFS(CBIC_Late_Fee_Relief_Windows_3B!$O$3047:$O$100,CBIC_Late_Fee_Relief_Windows_3B!$D$3047:$D$100,"&lt;="&amp;B3047,CBIC_Late_Fee_Relief_Windows_3B!$E$3047:$E$100,"&gt;="&amp;B3047,CBIC_Late_Fee_Relief_Windows_3B!$F$3047:$F$100,"&lt;="&amp;C3047,CBIC_Late_Fee_Relief_Windows_3B!$G$3047:$G$100,"&gt;="&amp;C3047)</f>
        <v/>
      </c>
      <c r="H3047">
        <f>INDEX(CBIC_Late_Fee_Relief_Windows_3B!$I$3047:$I$100,MATCH(G3047,CBIC_Late_Fee_Relief_Windows_3B!$O$3047:$O$100,0))</f>
        <v/>
      </c>
      <c r="I3047">
        <f>MIN(F3047,H3047)</f>
        <v/>
      </c>
    </row>
    <row r="3048">
      <c r="A3048">
        <f>TEST_DATA!A3048</f>
        <v/>
      </c>
      <c r="B3048">
        <f>TEST_DATA!B3048</f>
        <v/>
      </c>
      <c r="C3048">
        <f>TEST_DATA!C3048</f>
        <v/>
      </c>
      <c r="D3048">
        <f>TEST_DATA!D3048</f>
        <v/>
      </c>
      <c r="E3048">
        <f>TEST_DATA!E3048</f>
        <v/>
      </c>
      <c r="F3048">
        <f>MIN(E3048*304800,10000)</f>
        <v/>
      </c>
      <c r="G3048">
        <f>MINIFS(CBIC_Late_Fee_Relief_Windows_3B!$O$3048:$O$100,CBIC_Late_Fee_Relief_Windows_3B!$D$3048:$D$100,"&lt;="&amp;B3048,CBIC_Late_Fee_Relief_Windows_3B!$E$3048:$E$100,"&gt;="&amp;B3048,CBIC_Late_Fee_Relief_Windows_3B!$F$3048:$F$100,"&lt;="&amp;C3048,CBIC_Late_Fee_Relief_Windows_3B!$G$3048:$G$100,"&gt;="&amp;C3048)</f>
        <v/>
      </c>
      <c r="H3048">
        <f>INDEX(CBIC_Late_Fee_Relief_Windows_3B!$I$3048:$I$100,MATCH(G3048,CBIC_Late_Fee_Relief_Windows_3B!$O$3048:$O$100,0))</f>
        <v/>
      </c>
      <c r="I3048">
        <f>MIN(F3048,H3048)</f>
        <v/>
      </c>
    </row>
    <row r="3049">
      <c r="A3049">
        <f>TEST_DATA!A3049</f>
        <v/>
      </c>
      <c r="B3049">
        <f>TEST_DATA!B3049</f>
        <v/>
      </c>
      <c r="C3049">
        <f>TEST_DATA!C3049</f>
        <v/>
      </c>
      <c r="D3049">
        <f>TEST_DATA!D3049</f>
        <v/>
      </c>
      <c r="E3049">
        <f>TEST_DATA!E3049</f>
        <v/>
      </c>
      <c r="F3049">
        <f>MIN(E3049*304900,10000)</f>
        <v/>
      </c>
      <c r="G3049">
        <f>MINIFS(CBIC_Late_Fee_Relief_Windows_3B!$O$3049:$O$100,CBIC_Late_Fee_Relief_Windows_3B!$D$3049:$D$100,"&lt;="&amp;B3049,CBIC_Late_Fee_Relief_Windows_3B!$E$3049:$E$100,"&gt;="&amp;B3049,CBIC_Late_Fee_Relief_Windows_3B!$F$3049:$F$100,"&lt;="&amp;C3049,CBIC_Late_Fee_Relief_Windows_3B!$G$3049:$G$100,"&gt;="&amp;C3049)</f>
        <v/>
      </c>
      <c r="H3049">
        <f>INDEX(CBIC_Late_Fee_Relief_Windows_3B!$I$3049:$I$100,MATCH(G3049,CBIC_Late_Fee_Relief_Windows_3B!$O$3049:$O$100,0))</f>
        <v/>
      </c>
      <c r="I3049">
        <f>MIN(F3049,H3049)</f>
        <v/>
      </c>
    </row>
    <row r="3050">
      <c r="A3050">
        <f>TEST_DATA!A3050</f>
        <v/>
      </c>
      <c r="B3050">
        <f>TEST_DATA!B3050</f>
        <v/>
      </c>
      <c r="C3050">
        <f>TEST_DATA!C3050</f>
        <v/>
      </c>
      <c r="D3050">
        <f>TEST_DATA!D3050</f>
        <v/>
      </c>
      <c r="E3050">
        <f>TEST_DATA!E3050</f>
        <v/>
      </c>
      <c r="F3050">
        <f>MIN(E3050*305000,10000)</f>
        <v/>
      </c>
      <c r="G3050">
        <f>MINIFS(CBIC_Late_Fee_Relief_Windows_3B!$O$3050:$O$100,CBIC_Late_Fee_Relief_Windows_3B!$D$3050:$D$100,"&lt;="&amp;B3050,CBIC_Late_Fee_Relief_Windows_3B!$E$3050:$E$100,"&gt;="&amp;B3050,CBIC_Late_Fee_Relief_Windows_3B!$F$3050:$F$100,"&lt;="&amp;C3050,CBIC_Late_Fee_Relief_Windows_3B!$G$3050:$G$100,"&gt;="&amp;C3050)</f>
        <v/>
      </c>
      <c r="H3050">
        <f>INDEX(CBIC_Late_Fee_Relief_Windows_3B!$I$3050:$I$100,MATCH(G3050,CBIC_Late_Fee_Relief_Windows_3B!$O$3050:$O$100,0))</f>
        <v/>
      </c>
      <c r="I3050">
        <f>MIN(F3050,H3050)</f>
        <v/>
      </c>
    </row>
    <row r="3051">
      <c r="A3051">
        <f>TEST_DATA!A3051</f>
        <v/>
      </c>
      <c r="B3051">
        <f>TEST_DATA!B3051</f>
        <v/>
      </c>
      <c r="C3051">
        <f>TEST_DATA!C3051</f>
        <v/>
      </c>
      <c r="D3051">
        <f>TEST_DATA!D3051</f>
        <v/>
      </c>
      <c r="E3051">
        <f>TEST_DATA!E3051</f>
        <v/>
      </c>
      <c r="F3051">
        <f>MIN(E3051*305100,10000)</f>
        <v/>
      </c>
      <c r="G3051">
        <f>MINIFS(CBIC_Late_Fee_Relief_Windows_3B!$O$3051:$O$100,CBIC_Late_Fee_Relief_Windows_3B!$D$3051:$D$100,"&lt;="&amp;B3051,CBIC_Late_Fee_Relief_Windows_3B!$E$3051:$E$100,"&gt;="&amp;B3051,CBIC_Late_Fee_Relief_Windows_3B!$F$3051:$F$100,"&lt;="&amp;C3051,CBIC_Late_Fee_Relief_Windows_3B!$G$3051:$G$100,"&gt;="&amp;C3051)</f>
        <v/>
      </c>
      <c r="H3051">
        <f>INDEX(CBIC_Late_Fee_Relief_Windows_3B!$I$3051:$I$100,MATCH(G3051,CBIC_Late_Fee_Relief_Windows_3B!$O$3051:$O$100,0))</f>
        <v/>
      </c>
      <c r="I3051">
        <f>MIN(F3051,H3051)</f>
        <v/>
      </c>
    </row>
    <row r="3052">
      <c r="A3052">
        <f>TEST_DATA!A3052</f>
        <v/>
      </c>
      <c r="B3052">
        <f>TEST_DATA!B3052</f>
        <v/>
      </c>
      <c r="C3052">
        <f>TEST_DATA!C3052</f>
        <v/>
      </c>
      <c r="D3052">
        <f>TEST_DATA!D3052</f>
        <v/>
      </c>
      <c r="E3052">
        <f>TEST_DATA!E3052</f>
        <v/>
      </c>
      <c r="F3052">
        <f>MIN(E3052*305200,10000)</f>
        <v/>
      </c>
      <c r="G3052">
        <f>MINIFS(CBIC_Late_Fee_Relief_Windows_3B!$O$3052:$O$100,CBIC_Late_Fee_Relief_Windows_3B!$D$3052:$D$100,"&lt;="&amp;B3052,CBIC_Late_Fee_Relief_Windows_3B!$E$3052:$E$100,"&gt;="&amp;B3052,CBIC_Late_Fee_Relief_Windows_3B!$F$3052:$F$100,"&lt;="&amp;C3052,CBIC_Late_Fee_Relief_Windows_3B!$G$3052:$G$100,"&gt;="&amp;C3052)</f>
        <v/>
      </c>
      <c r="H3052">
        <f>INDEX(CBIC_Late_Fee_Relief_Windows_3B!$I$3052:$I$100,MATCH(G3052,CBIC_Late_Fee_Relief_Windows_3B!$O$3052:$O$100,0))</f>
        <v/>
      </c>
      <c r="I3052">
        <f>MIN(F3052,H3052)</f>
        <v/>
      </c>
    </row>
    <row r="3053">
      <c r="A3053">
        <f>TEST_DATA!A3053</f>
        <v/>
      </c>
      <c r="B3053">
        <f>TEST_DATA!B3053</f>
        <v/>
      </c>
      <c r="C3053">
        <f>TEST_DATA!C3053</f>
        <v/>
      </c>
      <c r="D3053">
        <f>TEST_DATA!D3053</f>
        <v/>
      </c>
      <c r="E3053">
        <f>TEST_DATA!E3053</f>
        <v/>
      </c>
      <c r="F3053">
        <f>MIN(E3053*305300,10000)</f>
        <v/>
      </c>
      <c r="G3053">
        <f>MINIFS(CBIC_Late_Fee_Relief_Windows_3B!$O$3053:$O$100,CBIC_Late_Fee_Relief_Windows_3B!$D$3053:$D$100,"&lt;="&amp;B3053,CBIC_Late_Fee_Relief_Windows_3B!$E$3053:$E$100,"&gt;="&amp;B3053,CBIC_Late_Fee_Relief_Windows_3B!$F$3053:$F$100,"&lt;="&amp;C3053,CBIC_Late_Fee_Relief_Windows_3B!$G$3053:$G$100,"&gt;="&amp;C3053)</f>
        <v/>
      </c>
      <c r="H3053">
        <f>INDEX(CBIC_Late_Fee_Relief_Windows_3B!$I$3053:$I$100,MATCH(G3053,CBIC_Late_Fee_Relief_Windows_3B!$O$3053:$O$100,0))</f>
        <v/>
      </c>
      <c r="I3053">
        <f>MIN(F3053,H3053)</f>
        <v/>
      </c>
    </row>
    <row r="3054">
      <c r="A3054">
        <f>TEST_DATA!A3054</f>
        <v/>
      </c>
      <c r="B3054">
        <f>TEST_DATA!B3054</f>
        <v/>
      </c>
      <c r="C3054">
        <f>TEST_DATA!C3054</f>
        <v/>
      </c>
      <c r="D3054">
        <f>TEST_DATA!D3054</f>
        <v/>
      </c>
      <c r="E3054">
        <f>TEST_DATA!E3054</f>
        <v/>
      </c>
      <c r="F3054">
        <f>MIN(E3054*305400,10000)</f>
        <v/>
      </c>
      <c r="G3054">
        <f>MINIFS(CBIC_Late_Fee_Relief_Windows_3B!$O$3054:$O$100,CBIC_Late_Fee_Relief_Windows_3B!$D$3054:$D$100,"&lt;="&amp;B3054,CBIC_Late_Fee_Relief_Windows_3B!$E$3054:$E$100,"&gt;="&amp;B3054,CBIC_Late_Fee_Relief_Windows_3B!$F$3054:$F$100,"&lt;="&amp;C3054,CBIC_Late_Fee_Relief_Windows_3B!$G$3054:$G$100,"&gt;="&amp;C3054)</f>
        <v/>
      </c>
      <c r="H3054">
        <f>INDEX(CBIC_Late_Fee_Relief_Windows_3B!$I$3054:$I$100,MATCH(G3054,CBIC_Late_Fee_Relief_Windows_3B!$O$3054:$O$100,0))</f>
        <v/>
      </c>
      <c r="I3054">
        <f>MIN(F3054,H3054)</f>
        <v/>
      </c>
    </row>
    <row r="3055">
      <c r="A3055">
        <f>TEST_DATA!A3055</f>
        <v/>
      </c>
      <c r="B3055">
        <f>TEST_DATA!B3055</f>
        <v/>
      </c>
      <c r="C3055">
        <f>TEST_DATA!C3055</f>
        <v/>
      </c>
      <c r="D3055">
        <f>TEST_DATA!D3055</f>
        <v/>
      </c>
      <c r="E3055">
        <f>TEST_DATA!E3055</f>
        <v/>
      </c>
      <c r="F3055">
        <f>MIN(E3055*305500,10000)</f>
        <v/>
      </c>
      <c r="G3055">
        <f>MINIFS(CBIC_Late_Fee_Relief_Windows_3B!$O$3055:$O$100,CBIC_Late_Fee_Relief_Windows_3B!$D$3055:$D$100,"&lt;="&amp;B3055,CBIC_Late_Fee_Relief_Windows_3B!$E$3055:$E$100,"&gt;="&amp;B3055,CBIC_Late_Fee_Relief_Windows_3B!$F$3055:$F$100,"&lt;="&amp;C3055,CBIC_Late_Fee_Relief_Windows_3B!$G$3055:$G$100,"&gt;="&amp;C3055)</f>
        <v/>
      </c>
      <c r="H3055">
        <f>INDEX(CBIC_Late_Fee_Relief_Windows_3B!$I$3055:$I$100,MATCH(G3055,CBIC_Late_Fee_Relief_Windows_3B!$O$3055:$O$100,0))</f>
        <v/>
      </c>
      <c r="I3055">
        <f>MIN(F3055,H3055)</f>
        <v/>
      </c>
    </row>
    <row r="3056">
      <c r="A3056">
        <f>TEST_DATA!A3056</f>
        <v/>
      </c>
      <c r="B3056">
        <f>TEST_DATA!B3056</f>
        <v/>
      </c>
      <c r="C3056">
        <f>TEST_DATA!C3056</f>
        <v/>
      </c>
      <c r="D3056">
        <f>TEST_DATA!D3056</f>
        <v/>
      </c>
      <c r="E3056">
        <f>TEST_DATA!E3056</f>
        <v/>
      </c>
      <c r="F3056">
        <f>MIN(E3056*305600,10000)</f>
        <v/>
      </c>
      <c r="G3056">
        <f>MINIFS(CBIC_Late_Fee_Relief_Windows_3B!$O$3056:$O$100,CBIC_Late_Fee_Relief_Windows_3B!$D$3056:$D$100,"&lt;="&amp;B3056,CBIC_Late_Fee_Relief_Windows_3B!$E$3056:$E$100,"&gt;="&amp;B3056,CBIC_Late_Fee_Relief_Windows_3B!$F$3056:$F$100,"&lt;="&amp;C3056,CBIC_Late_Fee_Relief_Windows_3B!$G$3056:$G$100,"&gt;="&amp;C3056)</f>
        <v/>
      </c>
      <c r="H3056">
        <f>INDEX(CBIC_Late_Fee_Relief_Windows_3B!$I$3056:$I$100,MATCH(G3056,CBIC_Late_Fee_Relief_Windows_3B!$O$3056:$O$100,0))</f>
        <v/>
      </c>
      <c r="I3056">
        <f>MIN(F3056,H3056)</f>
        <v/>
      </c>
    </row>
    <row r="3057">
      <c r="A3057">
        <f>TEST_DATA!A3057</f>
        <v/>
      </c>
      <c r="B3057">
        <f>TEST_DATA!B3057</f>
        <v/>
      </c>
      <c r="C3057">
        <f>TEST_DATA!C3057</f>
        <v/>
      </c>
      <c r="D3057">
        <f>TEST_DATA!D3057</f>
        <v/>
      </c>
      <c r="E3057">
        <f>TEST_DATA!E3057</f>
        <v/>
      </c>
      <c r="F3057">
        <f>MIN(E3057*305700,10000)</f>
        <v/>
      </c>
      <c r="G3057">
        <f>MINIFS(CBIC_Late_Fee_Relief_Windows_3B!$O$3057:$O$100,CBIC_Late_Fee_Relief_Windows_3B!$D$3057:$D$100,"&lt;="&amp;B3057,CBIC_Late_Fee_Relief_Windows_3B!$E$3057:$E$100,"&gt;="&amp;B3057,CBIC_Late_Fee_Relief_Windows_3B!$F$3057:$F$100,"&lt;="&amp;C3057,CBIC_Late_Fee_Relief_Windows_3B!$G$3057:$G$100,"&gt;="&amp;C3057)</f>
        <v/>
      </c>
      <c r="H3057">
        <f>INDEX(CBIC_Late_Fee_Relief_Windows_3B!$I$3057:$I$100,MATCH(G3057,CBIC_Late_Fee_Relief_Windows_3B!$O$3057:$O$100,0))</f>
        <v/>
      </c>
      <c r="I3057">
        <f>MIN(F3057,H3057)</f>
        <v/>
      </c>
    </row>
    <row r="3058">
      <c r="A3058">
        <f>TEST_DATA!A3058</f>
        <v/>
      </c>
      <c r="B3058">
        <f>TEST_DATA!B3058</f>
        <v/>
      </c>
      <c r="C3058">
        <f>TEST_DATA!C3058</f>
        <v/>
      </c>
      <c r="D3058">
        <f>TEST_DATA!D3058</f>
        <v/>
      </c>
      <c r="E3058">
        <f>TEST_DATA!E3058</f>
        <v/>
      </c>
      <c r="F3058">
        <f>MIN(E3058*305800,10000)</f>
        <v/>
      </c>
      <c r="G3058">
        <f>MINIFS(CBIC_Late_Fee_Relief_Windows_3B!$O$3058:$O$100,CBIC_Late_Fee_Relief_Windows_3B!$D$3058:$D$100,"&lt;="&amp;B3058,CBIC_Late_Fee_Relief_Windows_3B!$E$3058:$E$100,"&gt;="&amp;B3058,CBIC_Late_Fee_Relief_Windows_3B!$F$3058:$F$100,"&lt;="&amp;C3058,CBIC_Late_Fee_Relief_Windows_3B!$G$3058:$G$100,"&gt;="&amp;C3058)</f>
        <v/>
      </c>
      <c r="H3058">
        <f>INDEX(CBIC_Late_Fee_Relief_Windows_3B!$I$3058:$I$100,MATCH(G3058,CBIC_Late_Fee_Relief_Windows_3B!$O$3058:$O$100,0))</f>
        <v/>
      </c>
      <c r="I3058">
        <f>MIN(F3058,H3058)</f>
        <v/>
      </c>
    </row>
    <row r="3059">
      <c r="A3059">
        <f>TEST_DATA!A3059</f>
        <v/>
      </c>
      <c r="B3059">
        <f>TEST_DATA!B3059</f>
        <v/>
      </c>
      <c r="C3059">
        <f>TEST_DATA!C3059</f>
        <v/>
      </c>
      <c r="D3059">
        <f>TEST_DATA!D3059</f>
        <v/>
      </c>
      <c r="E3059">
        <f>TEST_DATA!E3059</f>
        <v/>
      </c>
      <c r="F3059">
        <f>MIN(E3059*305900,10000)</f>
        <v/>
      </c>
      <c r="G3059">
        <f>MINIFS(CBIC_Late_Fee_Relief_Windows_3B!$O$3059:$O$100,CBIC_Late_Fee_Relief_Windows_3B!$D$3059:$D$100,"&lt;="&amp;B3059,CBIC_Late_Fee_Relief_Windows_3B!$E$3059:$E$100,"&gt;="&amp;B3059,CBIC_Late_Fee_Relief_Windows_3B!$F$3059:$F$100,"&lt;="&amp;C3059,CBIC_Late_Fee_Relief_Windows_3B!$G$3059:$G$100,"&gt;="&amp;C3059)</f>
        <v/>
      </c>
      <c r="H3059">
        <f>INDEX(CBIC_Late_Fee_Relief_Windows_3B!$I$3059:$I$100,MATCH(G3059,CBIC_Late_Fee_Relief_Windows_3B!$O$3059:$O$100,0))</f>
        <v/>
      </c>
      <c r="I3059">
        <f>MIN(F3059,H3059)</f>
        <v/>
      </c>
    </row>
    <row r="3060">
      <c r="A3060">
        <f>TEST_DATA!A3060</f>
        <v/>
      </c>
      <c r="B3060">
        <f>TEST_DATA!B3060</f>
        <v/>
      </c>
      <c r="C3060">
        <f>TEST_DATA!C3060</f>
        <v/>
      </c>
      <c r="D3060">
        <f>TEST_DATA!D3060</f>
        <v/>
      </c>
      <c r="E3060">
        <f>TEST_DATA!E3060</f>
        <v/>
      </c>
      <c r="F3060">
        <f>MIN(E3060*306000,10000)</f>
        <v/>
      </c>
      <c r="G3060">
        <f>MINIFS(CBIC_Late_Fee_Relief_Windows_3B!$O$3060:$O$100,CBIC_Late_Fee_Relief_Windows_3B!$D$3060:$D$100,"&lt;="&amp;B3060,CBIC_Late_Fee_Relief_Windows_3B!$E$3060:$E$100,"&gt;="&amp;B3060,CBIC_Late_Fee_Relief_Windows_3B!$F$3060:$F$100,"&lt;="&amp;C3060,CBIC_Late_Fee_Relief_Windows_3B!$G$3060:$G$100,"&gt;="&amp;C3060)</f>
        <v/>
      </c>
      <c r="H3060">
        <f>INDEX(CBIC_Late_Fee_Relief_Windows_3B!$I$3060:$I$100,MATCH(G3060,CBIC_Late_Fee_Relief_Windows_3B!$O$3060:$O$100,0))</f>
        <v/>
      </c>
      <c r="I3060">
        <f>MIN(F3060,H3060)</f>
        <v/>
      </c>
    </row>
    <row r="3061">
      <c r="A3061">
        <f>TEST_DATA!A3061</f>
        <v/>
      </c>
      <c r="B3061">
        <f>TEST_DATA!B3061</f>
        <v/>
      </c>
      <c r="C3061">
        <f>TEST_DATA!C3061</f>
        <v/>
      </c>
      <c r="D3061">
        <f>TEST_DATA!D3061</f>
        <v/>
      </c>
      <c r="E3061">
        <f>TEST_DATA!E3061</f>
        <v/>
      </c>
      <c r="F3061">
        <f>MIN(E3061*306100,10000)</f>
        <v/>
      </c>
      <c r="G3061">
        <f>MINIFS(CBIC_Late_Fee_Relief_Windows_3B!$O$3061:$O$100,CBIC_Late_Fee_Relief_Windows_3B!$D$3061:$D$100,"&lt;="&amp;B3061,CBIC_Late_Fee_Relief_Windows_3B!$E$3061:$E$100,"&gt;="&amp;B3061,CBIC_Late_Fee_Relief_Windows_3B!$F$3061:$F$100,"&lt;="&amp;C3061,CBIC_Late_Fee_Relief_Windows_3B!$G$3061:$G$100,"&gt;="&amp;C3061)</f>
        <v/>
      </c>
      <c r="H3061">
        <f>INDEX(CBIC_Late_Fee_Relief_Windows_3B!$I$3061:$I$100,MATCH(G3061,CBIC_Late_Fee_Relief_Windows_3B!$O$3061:$O$100,0))</f>
        <v/>
      </c>
      <c r="I3061">
        <f>MIN(F3061,H3061)</f>
        <v/>
      </c>
    </row>
    <row r="3062">
      <c r="A3062">
        <f>TEST_DATA!A3062</f>
        <v/>
      </c>
      <c r="B3062">
        <f>TEST_DATA!B3062</f>
        <v/>
      </c>
      <c r="C3062">
        <f>TEST_DATA!C3062</f>
        <v/>
      </c>
      <c r="D3062">
        <f>TEST_DATA!D3062</f>
        <v/>
      </c>
      <c r="E3062">
        <f>TEST_DATA!E3062</f>
        <v/>
      </c>
      <c r="F3062">
        <f>MIN(E3062*306200,10000)</f>
        <v/>
      </c>
      <c r="G3062">
        <f>MINIFS(CBIC_Late_Fee_Relief_Windows_3B!$O$3062:$O$100,CBIC_Late_Fee_Relief_Windows_3B!$D$3062:$D$100,"&lt;="&amp;B3062,CBIC_Late_Fee_Relief_Windows_3B!$E$3062:$E$100,"&gt;="&amp;B3062,CBIC_Late_Fee_Relief_Windows_3B!$F$3062:$F$100,"&lt;="&amp;C3062,CBIC_Late_Fee_Relief_Windows_3B!$G$3062:$G$100,"&gt;="&amp;C3062)</f>
        <v/>
      </c>
      <c r="H3062">
        <f>INDEX(CBIC_Late_Fee_Relief_Windows_3B!$I$3062:$I$100,MATCH(G3062,CBIC_Late_Fee_Relief_Windows_3B!$O$3062:$O$100,0))</f>
        <v/>
      </c>
      <c r="I3062">
        <f>MIN(F3062,H3062)</f>
        <v/>
      </c>
    </row>
    <row r="3063">
      <c r="A3063">
        <f>TEST_DATA!A3063</f>
        <v/>
      </c>
      <c r="B3063">
        <f>TEST_DATA!B3063</f>
        <v/>
      </c>
      <c r="C3063">
        <f>TEST_DATA!C3063</f>
        <v/>
      </c>
      <c r="D3063">
        <f>TEST_DATA!D3063</f>
        <v/>
      </c>
      <c r="E3063">
        <f>TEST_DATA!E3063</f>
        <v/>
      </c>
      <c r="F3063">
        <f>MIN(E3063*306300,10000)</f>
        <v/>
      </c>
      <c r="G3063">
        <f>MINIFS(CBIC_Late_Fee_Relief_Windows_3B!$O$3063:$O$100,CBIC_Late_Fee_Relief_Windows_3B!$D$3063:$D$100,"&lt;="&amp;B3063,CBIC_Late_Fee_Relief_Windows_3B!$E$3063:$E$100,"&gt;="&amp;B3063,CBIC_Late_Fee_Relief_Windows_3B!$F$3063:$F$100,"&lt;="&amp;C3063,CBIC_Late_Fee_Relief_Windows_3B!$G$3063:$G$100,"&gt;="&amp;C3063)</f>
        <v/>
      </c>
      <c r="H3063">
        <f>INDEX(CBIC_Late_Fee_Relief_Windows_3B!$I$3063:$I$100,MATCH(G3063,CBIC_Late_Fee_Relief_Windows_3B!$O$3063:$O$100,0))</f>
        <v/>
      </c>
      <c r="I3063">
        <f>MIN(F3063,H3063)</f>
        <v/>
      </c>
    </row>
    <row r="3064">
      <c r="A3064">
        <f>TEST_DATA!A3064</f>
        <v/>
      </c>
      <c r="B3064">
        <f>TEST_DATA!B3064</f>
        <v/>
      </c>
      <c r="C3064">
        <f>TEST_DATA!C3064</f>
        <v/>
      </c>
      <c r="D3064">
        <f>TEST_DATA!D3064</f>
        <v/>
      </c>
      <c r="E3064">
        <f>TEST_DATA!E3064</f>
        <v/>
      </c>
      <c r="F3064">
        <f>MIN(E3064*306400,10000)</f>
        <v/>
      </c>
      <c r="G3064">
        <f>MINIFS(CBIC_Late_Fee_Relief_Windows_3B!$O$3064:$O$100,CBIC_Late_Fee_Relief_Windows_3B!$D$3064:$D$100,"&lt;="&amp;B3064,CBIC_Late_Fee_Relief_Windows_3B!$E$3064:$E$100,"&gt;="&amp;B3064,CBIC_Late_Fee_Relief_Windows_3B!$F$3064:$F$100,"&lt;="&amp;C3064,CBIC_Late_Fee_Relief_Windows_3B!$G$3064:$G$100,"&gt;="&amp;C3064)</f>
        <v/>
      </c>
      <c r="H3064">
        <f>INDEX(CBIC_Late_Fee_Relief_Windows_3B!$I$3064:$I$100,MATCH(G3064,CBIC_Late_Fee_Relief_Windows_3B!$O$3064:$O$100,0))</f>
        <v/>
      </c>
      <c r="I3064">
        <f>MIN(F3064,H3064)</f>
        <v/>
      </c>
    </row>
    <row r="3065">
      <c r="A3065">
        <f>TEST_DATA!A3065</f>
        <v/>
      </c>
      <c r="B3065">
        <f>TEST_DATA!B3065</f>
        <v/>
      </c>
      <c r="C3065">
        <f>TEST_DATA!C3065</f>
        <v/>
      </c>
      <c r="D3065">
        <f>TEST_DATA!D3065</f>
        <v/>
      </c>
      <c r="E3065">
        <f>TEST_DATA!E3065</f>
        <v/>
      </c>
      <c r="F3065">
        <f>MIN(E3065*306500,10000)</f>
        <v/>
      </c>
      <c r="G3065">
        <f>MINIFS(CBIC_Late_Fee_Relief_Windows_3B!$O$3065:$O$100,CBIC_Late_Fee_Relief_Windows_3B!$D$3065:$D$100,"&lt;="&amp;B3065,CBIC_Late_Fee_Relief_Windows_3B!$E$3065:$E$100,"&gt;="&amp;B3065,CBIC_Late_Fee_Relief_Windows_3B!$F$3065:$F$100,"&lt;="&amp;C3065,CBIC_Late_Fee_Relief_Windows_3B!$G$3065:$G$100,"&gt;="&amp;C3065)</f>
        <v/>
      </c>
      <c r="H3065">
        <f>INDEX(CBIC_Late_Fee_Relief_Windows_3B!$I$3065:$I$100,MATCH(G3065,CBIC_Late_Fee_Relief_Windows_3B!$O$3065:$O$100,0))</f>
        <v/>
      </c>
      <c r="I3065">
        <f>MIN(F3065,H3065)</f>
        <v/>
      </c>
    </row>
    <row r="3066">
      <c r="A3066">
        <f>TEST_DATA!A3066</f>
        <v/>
      </c>
      <c r="B3066">
        <f>TEST_DATA!B3066</f>
        <v/>
      </c>
      <c r="C3066">
        <f>TEST_DATA!C3066</f>
        <v/>
      </c>
      <c r="D3066">
        <f>TEST_DATA!D3066</f>
        <v/>
      </c>
      <c r="E3066">
        <f>TEST_DATA!E3066</f>
        <v/>
      </c>
      <c r="F3066">
        <f>MIN(E3066*306600,10000)</f>
        <v/>
      </c>
      <c r="G3066">
        <f>MINIFS(CBIC_Late_Fee_Relief_Windows_3B!$O$3066:$O$100,CBIC_Late_Fee_Relief_Windows_3B!$D$3066:$D$100,"&lt;="&amp;B3066,CBIC_Late_Fee_Relief_Windows_3B!$E$3066:$E$100,"&gt;="&amp;B3066,CBIC_Late_Fee_Relief_Windows_3B!$F$3066:$F$100,"&lt;="&amp;C3066,CBIC_Late_Fee_Relief_Windows_3B!$G$3066:$G$100,"&gt;="&amp;C3066)</f>
        <v/>
      </c>
      <c r="H3066">
        <f>INDEX(CBIC_Late_Fee_Relief_Windows_3B!$I$3066:$I$100,MATCH(G3066,CBIC_Late_Fee_Relief_Windows_3B!$O$3066:$O$100,0))</f>
        <v/>
      </c>
      <c r="I3066">
        <f>MIN(F3066,H3066)</f>
        <v/>
      </c>
    </row>
    <row r="3067">
      <c r="A3067">
        <f>TEST_DATA!A3067</f>
        <v/>
      </c>
      <c r="B3067">
        <f>TEST_DATA!B3067</f>
        <v/>
      </c>
      <c r="C3067">
        <f>TEST_DATA!C3067</f>
        <v/>
      </c>
      <c r="D3067">
        <f>TEST_DATA!D3067</f>
        <v/>
      </c>
      <c r="E3067">
        <f>TEST_DATA!E3067</f>
        <v/>
      </c>
      <c r="F3067">
        <f>MIN(E3067*306700,10000)</f>
        <v/>
      </c>
      <c r="G3067">
        <f>MINIFS(CBIC_Late_Fee_Relief_Windows_3B!$O$3067:$O$100,CBIC_Late_Fee_Relief_Windows_3B!$D$3067:$D$100,"&lt;="&amp;B3067,CBIC_Late_Fee_Relief_Windows_3B!$E$3067:$E$100,"&gt;="&amp;B3067,CBIC_Late_Fee_Relief_Windows_3B!$F$3067:$F$100,"&lt;="&amp;C3067,CBIC_Late_Fee_Relief_Windows_3B!$G$3067:$G$100,"&gt;="&amp;C3067)</f>
        <v/>
      </c>
      <c r="H3067">
        <f>INDEX(CBIC_Late_Fee_Relief_Windows_3B!$I$3067:$I$100,MATCH(G3067,CBIC_Late_Fee_Relief_Windows_3B!$O$3067:$O$100,0))</f>
        <v/>
      </c>
      <c r="I3067">
        <f>MIN(F3067,H3067)</f>
        <v/>
      </c>
    </row>
    <row r="3068">
      <c r="A3068">
        <f>TEST_DATA!A3068</f>
        <v/>
      </c>
      <c r="B3068">
        <f>TEST_DATA!B3068</f>
        <v/>
      </c>
      <c r="C3068">
        <f>TEST_DATA!C3068</f>
        <v/>
      </c>
      <c r="D3068">
        <f>TEST_DATA!D3068</f>
        <v/>
      </c>
      <c r="E3068">
        <f>TEST_DATA!E3068</f>
        <v/>
      </c>
      <c r="F3068">
        <f>MIN(E3068*306800,10000)</f>
        <v/>
      </c>
      <c r="G3068">
        <f>MINIFS(CBIC_Late_Fee_Relief_Windows_3B!$O$3068:$O$100,CBIC_Late_Fee_Relief_Windows_3B!$D$3068:$D$100,"&lt;="&amp;B3068,CBIC_Late_Fee_Relief_Windows_3B!$E$3068:$E$100,"&gt;="&amp;B3068,CBIC_Late_Fee_Relief_Windows_3B!$F$3068:$F$100,"&lt;="&amp;C3068,CBIC_Late_Fee_Relief_Windows_3B!$G$3068:$G$100,"&gt;="&amp;C3068)</f>
        <v/>
      </c>
      <c r="H3068">
        <f>INDEX(CBIC_Late_Fee_Relief_Windows_3B!$I$3068:$I$100,MATCH(G3068,CBIC_Late_Fee_Relief_Windows_3B!$O$3068:$O$100,0))</f>
        <v/>
      </c>
      <c r="I3068">
        <f>MIN(F3068,H3068)</f>
        <v/>
      </c>
    </row>
    <row r="3069">
      <c r="A3069">
        <f>TEST_DATA!A3069</f>
        <v/>
      </c>
      <c r="B3069">
        <f>TEST_DATA!B3069</f>
        <v/>
      </c>
      <c r="C3069">
        <f>TEST_DATA!C3069</f>
        <v/>
      </c>
      <c r="D3069">
        <f>TEST_DATA!D3069</f>
        <v/>
      </c>
      <c r="E3069">
        <f>TEST_DATA!E3069</f>
        <v/>
      </c>
      <c r="F3069">
        <f>MIN(E3069*306900,10000)</f>
        <v/>
      </c>
      <c r="G3069">
        <f>MINIFS(CBIC_Late_Fee_Relief_Windows_3B!$O$3069:$O$100,CBIC_Late_Fee_Relief_Windows_3B!$D$3069:$D$100,"&lt;="&amp;B3069,CBIC_Late_Fee_Relief_Windows_3B!$E$3069:$E$100,"&gt;="&amp;B3069,CBIC_Late_Fee_Relief_Windows_3B!$F$3069:$F$100,"&lt;="&amp;C3069,CBIC_Late_Fee_Relief_Windows_3B!$G$3069:$G$100,"&gt;="&amp;C3069)</f>
        <v/>
      </c>
      <c r="H3069">
        <f>INDEX(CBIC_Late_Fee_Relief_Windows_3B!$I$3069:$I$100,MATCH(G3069,CBIC_Late_Fee_Relief_Windows_3B!$O$3069:$O$100,0))</f>
        <v/>
      </c>
      <c r="I3069">
        <f>MIN(F3069,H3069)</f>
        <v/>
      </c>
    </row>
    <row r="3070">
      <c r="A3070">
        <f>TEST_DATA!A3070</f>
        <v/>
      </c>
      <c r="B3070">
        <f>TEST_DATA!B3070</f>
        <v/>
      </c>
      <c r="C3070">
        <f>TEST_DATA!C3070</f>
        <v/>
      </c>
      <c r="D3070">
        <f>TEST_DATA!D3070</f>
        <v/>
      </c>
      <c r="E3070">
        <f>TEST_DATA!E3070</f>
        <v/>
      </c>
      <c r="F3070">
        <f>MIN(E3070*307000,10000)</f>
        <v/>
      </c>
      <c r="G3070">
        <f>MINIFS(CBIC_Late_Fee_Relief_Windows_3B!$O$3070:$O$100,CBIC_Late_Fee_Relief_Windows_3B!$D$3070:$D$100,"&lt;="&amp;B3070,CBIC_Late_Fee_Relief_Windows_3B!$E$3070:$E$100,"&gt;="&amp;B3070,CBIC_Late_Fee_Relief_Windows_3B!$F$3070:$F$100,"&lt;="&amp;C3070,CBIC_Late_Fee_Relief_Windows_3B!$G$3070:$G$100,"&gt;="&amp;C3070)</f>
        <v/>
      </c>
      <c r="H3070">
        <f>INDEX(CBIC_Late_Fee_Relief_Windows_3B!$I$3070:$I$100,MATCH(G3070,CBIC_Late_Fee_Relief_Windows_3B!$O$3070:$O$100,0))</f>
        <v/>
      </c>
      <c r="I3070">
        <f>MIN(F3070,H3070)</f>
        <v/>
      </c>
    </row>
    <row r="3071">
      <c r="A3071">
        <f>TEST_DATA!A3071</f>
        <v/>
      </c>
      <c r="B3071">
        <f>TEST_DATA!B3071</f>
        <v/>
      </c>
      <c r="C3071">
        <f>TEST_DATA!C3071</f>
        <v/>
      </c>
      <c r="D3071">
        <f>TEST_DATA!D3071</f>
        <v/>
      </c>
      <c r="E3071">
        <f>TEST_DATA!E3071</f>
        <v/>
      </c>
      <c r="F3071">
        <f>MIN(E3071*307100,10000)</f>
        <v/>
      </c>
      <c r="G3071">
        <f>MINIFS(CBIC_Late_Fee_Relief_Windows_3B!$O$3071:$O$100,CBIC_Late_Fee_Relief_Windows_3B!$D$3071:$D$100,"&lt;="&amp;B3071,CBIC_Late_Fee_Relief_Windows_3B!$E$3071:$E$100,"&gt;="&amp;B3071,CBIC_Late_Fee_Relief_Windows_3B!$F$3071:$F$100,"&lt;="&amp;C3071,CBIC_Late_Fee_Relief_Windows_3B!$G$3071:$G$100,"&gt;="&amp;C3071)</f>
        <v/>
      </c>
      <c r="H3071">
        <f>INDEX(CBIC_Late_Fee_Relief_Windows_3B!$I$3071:$I$100,MATCH(G3071,CBIC_Late_Fee_Relief_Windows_3B!$O$3071:$O$100,0))</f>
        <v/>
      </c>
      <c r="I3071">
        <f>MIN(F3071,H3071)</f>
        <v/>
      </c>
    </row>
    <row r="3072">
      <c r="A3072">
        <f>TEST_DATA!A3072</f>
        <v/>
      </c>
      <c r="B3072">
        <f>TEST_DATA!B3072</f>
        <v/>
      </c>
      <c r="C3072">
        <f>TEST_DATA!C3072</f>
        <v/>
      </c>
      <c r="D3072">
        <f>TEST_DATA!D3072</f>
        <v/>
      </c>
      <c r="E3072">
        <f>TEST_DATA!E3072</f>
        <v/>
      </c>
      <c r="F3072">
        <f>MIN(E3072*307200,10000)</f>
        <v/>
      </c>
      <c r="G3072">
        <f>MINIFS(CBIC_Late_Fee_Relief_Windows_3B!$O$3072:$O$100,CBIC_Late_Fee_Relief_Windows_3B!$D$3072:$D$100,"&lt;="&amp;B3072,CBIC_Late_Fee_Relief_Windows_3B!$E$3072:$E$100,"&gt;="&amp;B3072,CBIC_Late_Fee_Relief_Windows_3B!$F$3072:$F$100,"&lt;="&amp;C3072,CBIC_Late_Fee_Relief_Windows_3B!$G$3072:$G$100,"&gt;="&amp;C3072)</f>
        <v/>
      </c>
      <c r="H3072">
        <f>INDEX(CBIC_Late_Fee_Relief_Windows_3B!$I$3072:$I$100,MATCH(G3072,CBIC_Late_Fee_Relief_Windows_3B!$O$3072:$O$100,0))</f>
        <v/>
      </c>
      <c r="I3072">
        <f>MIN(F3072,H3072)</f>
        <v/>
      </c>
    </row>
    <row r="3073">
      <c r="A3073">
        <f>TEST_DATA!A3073</f>
        <v/>
      </c>
      <c r="B3073">
        <f>TEST_DATA!B3073</f>
        <v/>
      </c>
      <c r="C3073">
        <f>TEST_DATA!C3073</f>
        <v/>
      </c>
      <c r="D3073">
        <f>TEST_DATA!D3073</f>
        <v/>
      </c>
      <c r="E3073">
        <f>TEST_DATA!E3073</f>
        <v/>
      </c>
      <c r="F3073">
        <f>MIN(E3073*307300,10000)</f>
        <v/>
      </c>
      <c r="G3073">
        <f>MINIFS(CBIC_Late_Fee_Relief_Windows_3B!$O$3073:$O$100,CBIC_Late_Fee_Relief_Windows_3B!$D$3073:$D$100,"&lt;="&amp;B3073,CBIC_Late_Fee_Relief_Windows_3B!$E$3073:$E$100,"&gt;="&amp;B3073,CBIC_Late_Fee_Relief_Windows_3B!$F$3073:$F$100,"&lt;="&amp;C3073,CBIC_Late_Fee_Relief_Windows_3B!$G$3073:$G$100,"&gt;="&amp;C3073)</f>
        <v/>
      </c>
      <c r="H3073">
        <f>INDEX(CBIC_Late_Fee_Relief_Windows_3B!$I$3073:$I$100,MATCH(G3073,CBIC_Late_Fee_Relief_Windows_3B!$O$3073:$O$100,0))</f>
        <v/>
      </c>
      <c r="I3073">
        <f>MIN(F3073,H3073)</f>
        <v/>
      </c>
    </row>
    <row r="3074">
      <c r="A3074">
        <f>TEST_DATA!A3074</f>
        <v/>
      </c>
      <c r="B3074">
        <f>TEST_DATA!B3074</f>
        <v/>
      </c>
      <c r="C3074">
        <f>TEST_DATA!C3074</f>
        <v/>
      </c>
      <c r="D3074">
        <f>TEST_DATA!D3074</f>
        <v/>
      </c>
      <c r="E3074">
        <f>TEST_DATA!E3074</f>
        <v/>
      </c>
      <c r="F3074">
        <f>MIN(E3074*307400,10000)</f>
        <v/>
      </c>
      <c r="G3074">
        <f>MINIFS(CBIC_Late_Fee_Relief_Windows_3B!$O$3074:$O$100,CBIC_Late_Fee_Relief_Windows_3B!$D$3074:$D$100,"&lt;="&amp;B3074,CBIC_Late_Fee_Relief_Windows_3B!$E$3074:$E$100,"&gt;="&amp;B3074,CBIC_Late_Fee_Relief_Windows_3B!$F$3074:$F$100,"&lt;="&amp;C3074,CBIC_Late_Fee_Relief_Windows_3B!$G$3074:$G$100,"&gt;="&amp;C3074)</f>
        <v/>
      </c>
      <c r="H3074">
        <f>INDEX(CBIC_Late_Fee_Relief_Windows_3B!$I$3074:$I$100,MATCH(G3074,CBIC_Late_Fee_Relief_Windows_3B!$O$3074:$O$100,0))</f>
        <v/>
      </c>
      <c r="I3074">
        <f>MIN(F3074,H3074)</f>
        <v/>
      </c>
    </row>
    <row r="3075">
      <c r="A3075">
        <f>TEST_DATA!A3075</f>
        <v/>
      </c>
      <c r="B3075">
        <f>TEST_DATA!B3075</f>
        <v/>
      </c>
      <c r="C3075">
        <f>TEST_DATA!C3075</f>
        <v/>
      </c>
      <c r="D3075">
        <f>TEST_DATA!D3075</f>
        <v/>
      </c>
      <c r="E3075">
        <f>TEST_DATA!E3075</f>
        <v/>
      </c>
      <c r="F3075">
        <f>MIN(E3075*307500,10000)</f>
        <v/>
      </c>
      <c r="G3075">
        <f>MINIFS(CBIC_Late_Fee_Relief_Windows_3B!$O$3075:$O$100,CBIC_Late_Fee_Relief_Windows_3B!$D$3075:$D$100,"&lt;="&amp;B3075,CBIC_Late_Fee_Relief_Windows_3B!$E$3075:$E$100,"&gt;="&amp;B3075,CBIC_Late_Fee_Relief_Windows_3B!$F$3075:$F$100,"&lt;="&amp;C3075,CBIC_Late_Fee_Relief_Windows_3B!$G$3075:$G$100,"&gt;="&amp;C3075)</f>
        <v/>
      </c>
      <c r="H3075">
        <f>INDEX(CBIC_Late_Fee_Relief_Windows_3B!$I$3075:$I$100,MATCH(G3075,CBIC_Late_Fee_Relief_Windows_3B!$O$3075:$O$100,0))</f>
        <v/>
      </c>
      <c r="I3075">
        <f>MIN(F3075,H3075)</f>
        <v/>
      </c>
    </row>
    <row r="3076">
      <c r="A3076">
        <f>TEST_DATA!A3076</f>
        <v/>
      </c>
      <c r="B3076">
        <f>TEST_DATA!B3076</f>
        <v/>
      </c>
      <c r="C3076">
        <f>TEST_DATA!C3076</f>
        <v/>
      </c>
      <c r="D3076">
        <f>TEST_DATA!D3076</f>
        <v/>
      </c>
      <c r="E3076">
        <f>TEST_DATA!E3076</f>
        <v/>
      </c>
      <c r="F3076">
        <f>MIN(E3076*307600,10000)</f>
        <v/>
      </c>
      <c r="G3076">
        <f>MINIFS(CBIC_Late_Fee_Relief_Windows_3B!$O$3076:$O$100,CBIC_Late_Fee_Relief_Windows_3B!$D$3076:$D$100,"&lt;="&amp;B3076,CBIC_Late_Fee_Relief_Windows_3B!$E$3076:$E$100,"&gt;="&amp;B3076,CBIC_Late_Fee_Relief_Windows_3B!$F$3076:$F$100,"&lt;="&amp;C3076,CBIC_Late_Fee_Relief_Windows_3B!$G$3076:$G$100,"&gt;="&amp;C3076)</f>
        <v/>
      </c>
      <c r="H3076">
        <f>INDEX(CBIC_Late_Fee_Relief_Windows_3B!$I$3076:$I$100,MATCH(G3076,CBIC_Late_Fee_Relief_Windows_3B!$O$3076:$O$100,0))</f>
        <v/>
      </c>
      <c r="I3076">
        <f>MIN(F3076,H3076)</f>
        <v/>
      </c>
    </row>
    <row r="3077">
      <c r="A3077">
        <f>TEST_DATA!A3077</f>
        <v/>
      </c>
      <c r="B3077">
        <f>TEST_DATA!B3077</f>
        <v/>
      </c>
      <c r="C3077">
        <f>TEST_DATA!C3077</f>
        <v/>
      </c>
      <c r="D3077">
        <f>TEST_DATA!D3077</f>
        <v/>
      </c>
      <c r="E3077">
        <f>TEST_DATA!E3077</f>
        <v/>
      </c>
      <c r="F3077">
        <f>MIN(E3077*307700,10000)</f>
        <v/>
      </c>
      <c r="G3077">
        <f>MINIFS(CBIC_Late_Fee_Relief_Windows_3B!$O$3077:$O$100,CBIC_Late_Fee_Relief_Windows_3B!$D$3077:$D$100,"&lt;="&amp;B3077,CBIC_Late_Fee_Relief_Windows_3B!$E$3077:$E$100,"&gt;="&amp;B3077,CBIC_Late_Fee_Relief_Windows_3B!$F$3077:$F$100,"&lt;="&amp;C3077,CBIC_Late_Fee_Relief_Windows_3B!$G$3077:$G$100,"&gt;="&amp;C3077)</f>
        <v/>
      </c>
      <c r="H3077">
        <f>INDEX(CBIC_Late_Fee_Relief_Windows_3B!$I$3077:$I$100,MATCH(G3077,CBIC_Late_Fee_Relief_Windows_3B!$O$3077:$O$100,0))</f>
        <v/>
      </c>
      <c r="I3077">
        <f>MIN(F3077,H3077)</f>
        <v/>
      </c>
    </row>
    <row r="3078">
      <c r="A3078">
        <f>TEST_DATA!A3078</f>
        <v/>
      </c>
      <c r="B3078">
        <f>TEST_DATA!B3078</f>
        <v/>
      </c>
      <c r="C3078">
        <f>TEST_DATA!C3078</f>
        <v/>
      </c>
      <c r="D3078">
        <f>TEST_DATA!D3078</f>
        <v/>
      </c>
      <c r="E3078">
        <f>TEST_DATA!E3078</f>
        <v/>
      </c>
      <c r="F3078">
        <f>MIN(E3078*307800,10000)</f>
        <v/>
      </c>
      <c r="G3078">
        <f>MINIFS(CBIC_Late_Fee_Relief_Windows_3B!$O$3078:$O$100,CBIC_Late_Fee_Relief_Windows_3B!$D$3078:$D$100,"&lt;="&amp;B3078,CBIC_Late_Fee_Relief_Windows_3B!$E$3078:$E$100,"&gt;="&amp;B3078,CBIC_Late_Fee_Relief_Windows_3B!$F$3078:$F$100,"&lt;="&amp;C3078,CBIC_Late_Fee_Relief_Windows_3B!$G$3078:$G$100,"&gt;="&amp;C3078)</f>
        <v/>
      </c>
      <c r="H3078">
        <f>INDEX(CBIC_Late_Fee_Relief_Windows_3B!$I$3078:$I$100,MATCH(G3078,CBIC_Late_Fee_Relief_Windows_3B!$O$3078:$O$100,0))</f>
        <v/>
      </c>
      <c r="I3078">
        <f>MIN(F3078,H3078)</f>
        <v/>
      </c>
    </row>
    <row r="3079">
      <c r="A3079">
        <f>TEST_DATA!A3079</f>
        <v/>
      </c>
      <c r="B3079">
        <f>TEST_DATA!B3079</f>
        <v/>
      </c>
      <c r="C3079">
        <f>TEST_DATA!C3079</f>
        <v/>
      </c>
      <c r="D3079">
        <f>TEST_DATA!D3079</f>
        <v/>
      </c>
      <c r="E3079">
        <f>TEST_DATA!E3079</f>
        <v/>
      </c>
      <c r="F3079">
        <f>MIN(E3079*307900,10000)</f>
        <v/>
      </c>
      <c r="G3079">
        <f>MINIFS(CBIC_Late_Fee_Relief_Windows_3B!$O$3079:$O$100,CBIC_Late_Fee_Relief_Windows_3B!$D$3079:$D$100,"&lt;="&amp;B3079,CBIC_Late_Fee_Relief_Windows_3B!$E$3079:$E$100,"&gt;="&amp;B3079,CBIC_Late_Fee_Relief_Windows_3B!$F$3079:$F$100,"&lt;="&amp;C3079,CBIC_Late_Fee_Relief_Windows_3B!$G$3079:$G$100,"&gt;="&amp;C3079)</f>
        <v/>
      </c>
      <c r="H3079">
        <f>INDEX(CBIC_Late_Fee_Relief_Windows_3B!$I$3079:$I$100,MATCH(G3079,CBIC_Late_Fee_Relief_Windows_3B!$O$3079:$O$100,0))</f>
        <v/>
      </c>
      <c r="I3079">
        <f>MIN(F3079,H3079)</f>
        <v/>
      </c>
    </row>
    <row r="3080">
      <c r="A3080">
        <f>TEST_DATA!A3080</f>
        <v/>
      </c>
      <c r="B3080">
        <f>TEST_DATA!B3080</f>
        <v/>
      </c>
      <c r="C3080">
        <f>TEST_DATA!C3080</f>
        <v/>
      </c>
      <c r="D3080">
        <f>TEST_DATA!D3080</f>
        <v/>
      </c>
      <c r="E3080">
        <f>TEST_DATA!E3080</f>
        <v/>
      </c>
      <c r="F3080">
        <f>MIN(E3080*308000,10000)</f>
        <v/>
      </c>
      <c r="G3080">
        <f>MINIFS(CBIC_Late_Fee_Relief_Windows_3B!$O$3080:$O$100,CBIC_Late_Fee_Relief_Windows_3B!$D$3080:$D$100,"&lt;="&amp;B3080,CBIC_Late_Fee_Relief_Windows_3B!$E$3080:$E$100,"&gt;="&amp;B3080,CBIC_Late_Fee_Relief_Windows_3B!$F$3080:$F$100,"&lt;="&amp;C3080,CBIC_Late_Fee_Relief_Windows_3B!$G$3080:$G$100,"&gt;="&amp;C3080)</f>
        <v/>
      </c>
      <c r="H3080">
        <f>INDEX(CBIC_Late_Fee_Relief_Windows_3B!$I$3080:$I$100,MATCH(G3080,CBIC_Late_Fee_Relief_Windows_3B!$O$3080:$O$100,0))</f>
        <v/>
      </c>
      <c r="I3080">
        <f>MIN(F3080,H3080)</f>
        <v/>
      </c>
    </row>
    <row r="3081">
      <c r="A3081">
        <f>TEST_DATA!A3081</f>
        <v/>
      </c>
      <c r="B3081">
        <f>TEST_DATA!B3081</f>
        <v/>
      </c>
      <c r="C3081">
        <f>TEST_DATA!C3081</f>
        <v/>
      </c>
      <c r="D3081">
        <f>TEST_DATA!D3081</f>
        <v/>
      </c>
      <c r="E3081">
        <f>TEST_DATA!E3081</f>
        <v/>
      </c>
      <c r="F3081">
        <f>MIN(E3081*308100,10000)</f>
        <v/>
      </c>
      <c r="G3081">
        <f>MINIFS(CBIC_Late_Fee_Relief_Windows_3B!$O$3081:$O$100,CBIC_Late_Fee_Relief_Windows_3B!$D$3081:$D$100,"&lt;="&amp;B3081,CBIC_Late_Fee_Relief_Windows_3B!$E$3081:$E$100,"&gt;="&amp;B3081,CBIC_Late_Fee_Relief_Windows_3B!$F$3081:$F$100,"&lt;="&amp;C3081,CBIC_Late_Fee_Relief_Windows_3B!$G$3081:$G$100,"&gt;="&amp;C3081)</f>
        <v/>
      </c>
      <c r="H3081">
        <f>INDEX(CBIC_Late_Fee_Relief_Windows_3B!$I$3081:$I$100,MATCH(G3081,CBIC_Late_Fee_Relief_Windows_3B!$O$3081:$O$100,0))</f>
        <v/>
      </c>
      <c r="I3081">
        <f>MIN(F3081,H3081)</f>
        <v/>
      </c>
    </row>
    <row r="3082">
      <c r="A3082">
        <f>TEST_DATA!A3082</f>
        <v/>
      </c>
      <c r="B3082">
        <f>TEST_DATA!B3082</f>
        <v/>
      </c>
      <c r="C3082">
        <f>TEST_DATA!C3082</f>
        <v/>
      </c>
      <c r="D3082">
        <f>TEST_DATA!D3082</f>
        <v/>
      </c>
      <c r="E3082">
        <f>TEST_DATA!E3082</f>
        <v/>
      </c>
      <c r="F3082">
        <f>MIN(E3082*308200,10000)</f>
        <v/>
      </c>
      <c r="G3082">
        <f>MINIFS(CBIC_Late_Fee_Relief_Windows_3B!$O$3082:$O$100,CBIC_Late_Fee_Relief_Windows_3B!$D$3082:$D$100,"&lt;="&amp;B3082,CBIC_Late_Fee_Relief_Windows_3B!$E$3082:$E$100,"&gt;="&amp;B3082,CBIC_Late_Fee_Relief_Windows_3B!$F$3082:$F$100,"&lt;="&amp;C3082,CBIC_Late_Fee_Relief_Windows_3B!$G$3082:$G$100,"&gt;="&amp;C3082)</f>
        <v/>
      </c>
      <c r="H3082">
        <f>INDEX(CBIC_Late_Fee_Relief_Windows_3B!$I$3082:$I$100,MATCH(G3082,CBIC_Late_Fee_Relief_Windows_3B!$O$3082:$O$100,0))</f>
        <v/>
      </c>
      <c r="I3082">
        <f>MIN(F3082,H3082)</f>
        <v/>
      </c>
    </row>
    <row r="3083">
      <c r="A3083">
        <f>TEST_DATA!A3083</f>
        <v/>
      </c>
      <c r="B3083">
        <f>TEST_DATA!B3083</f>
        <v/>
      </c>
      <c r="C3083">
        <f>TEST_DATA!C3083</f>
        <v/>
      </c>
      <c r="D3083">
        <f>TEST_DATA!D3083</f>
        <v/>
      </c>
      <c r="E3083">
        <f>TEST_DATA!E3083</f>
        <v/>
      </c>
      <c r="F3083">
        <f>MIN(E3083*308300,10000)</f>
        <v/>
      </c>
      <c r="G3083">
        <f>MINIFS(CBIC_Late_Fee_Relief_Windows_3B!$O$3083:$O$100,CBIC_Late_Fee_Relief_Windows_3B!$D$3083:$D$100,"&lt;="&amp;B3083,CBIC_Late_Fee_Relief_Windows_3B!$E$3083:$E$100,"&gt;="&amp;B3083,CBIC_Late_Fee_Relief_Windows_3B!$F$3083:$F$100,"&lt;="&amp;C3083,CBIC_Late_Fee_Relief_Windows_3B!$G$3083:$G$100,"&gt;="&amp;C3083)</f>
        <v/>
      </c>
      <c r="H3083">
        <f>INDEX(CBIC_Late_Fee_Relief_Windows_3B!$I$3083:$I$100,MATCH(G3083,CBIC_Late_Fee_Relief_Windows_3B!$O$3083:$O$100,0))</f>
        <v/>
      </c>
      <c r="I3083">
        <f>MIN(F3083,H3083)</f>
        <v/>
      </c>
    </row>
    <row r="3084">
      <c r="A3084">
        <f>TEST_DATA!A3084</f>
        <v/>
      </c>
      <c r="B3084">
        <f>TEST_DATA!B3084</f>
        <v/>
      </c>
      <c r="C3084">
        <f>TEST_DATA!C3084</f>
        <v/>
      </c>
      <c r="D3084">
        <f>TEST_DATA!D3084</f>
        <v/>
      </c>
      <c r="E3084">
        <f>TEST_DATA!E3084</f>
        <v/>
      </c>
      <c r="F3084">
        <f>MIN(E3084*308400,10000)</f>
        <v/>
      </c>
      <c r="G3084">
        <f>MINIFS(CBIC_Late_Fee_Relief_Windows_3B!$O$3084:$O$100,CBIC_Late_Fee_Relief_Windows_3B!$D$3084:$D$100,"&lt;="&amp;B3084,CBIC_Late_Fee_Relief_Windows_3B!$E$3084:$E$100,"&gt;="&amp;B3084,CBIC_Late_Fee_Relief_Windows_3B!$F$3084:$F$100,"&lt;="&amp;C3084,CBIC_Late_Fee_Relief_Windows_3B!$G$3084:$G$100,"&gt;="&amp;C3084)</f>
        <v/>
      </c>
      <c r="H3084">
        <f>INDEX(CBIC_Late_Fee_Relief_Windows_3B!$I$3084:$I$100,MATCH(G3084,CBIC_Late_Fee_Relief_Windows_3B!$O$3084:$O$100,0))</f>
        <v/>
      </c>
      <c r="I3084">
        <f>MIN(F3084,H3084)</f>
        <v/>
      </c>
    </row>
    <row r="3085">
      <c r="A3085">
        <f>TEST_DATA!A3085</f>
        <v/>
      </c>
      <c r="B3085">
        <f>TEST_DATA!B3085</f>
        <v/>
      </c>
      <c r="C3085">
        <f>TEST_DATA!C3085</f>
        <v/>
      </c>
      <c r="D3085">
        <f>TEST_DATA!D3085</f>
        <v/>
      </c>
      <c r="E3085">
        <f>TEST_DATA!E3085</f>
        <v/>
      </c>
      <c r="F3085">
        <f>MIN(E3085*308500,10000)</f>
        <v/>
      </c>
      <c r="G3085">
        <f>MINIFS(CBIC_Late_Fee_Relief_Windows_3B!$O$3085:$O$100,CBIC_Late_Fee_Relief_Windows_3B!$D$3085:$D$100,"&lt;="&amp;B3085,CBIC_Late_Fee_Relief_Windows_3B!$E$3085:$E$100,"&gt;="&amp;B3085,CBIC_Late_Fee_Relief_Windows_3B!$F$3085:$F$100,"&lt;="&amp;C3085,CBIC_Late_Fee_Relief_Windows_3B!$G$3085:$G$100,"&gt;="&amp;C3085)</f>
        <v/>
      </c>
      <c r="H3085">
        <f>INDEX(CBIC_Late_Fee_Relief_Windows_3B!$I$3085:$I$100,MATCH(G3085,CBIC_Late_Fee_Relief_Windows_3B!$O$3085:$O$100,0))</f>
        <v/>
      </c>
      <c r="I3085">
        <f>MIN(F3085,H3085)</f>
        <v/>
      </c>
    </row>
    <row r="3086">
      <c r="A3086">
        <f>TEST_DATA!A3086</f>
        <v/>
      </c>
      <c r="B3086">
        <f>TEST_DATA!B3086</f>
        <v/>
      </c>
      <c r="C3086">
        <f>TEST_DATA!C3086</f>
        <v/>
      </c>
      <c r="D3086">
        <f>TEST_DATA!D3086</f>
        <v/>
      </c>
      <c r="E3086">
        <f>TEST_DATA!E3086</f>
        <v/>
      </c>
      <c r="F3086">
        <f>MIN(E3086*308600,10000)</f>
        <v/>
      </c>
      <c r="G3086">
        <f>MINIFS(CBIC_Late_Fee_Relief_Windows_3B!$O$3086:$O$100,CBIC_Late_Fee_Relief_Windows_3B!$D$3086:$D$100,"&lt;="&amp;B3086,CBIC_Late_Fee_Relief_Windows_3B!$E$3086:$E$100,"&gt;="&amp;B3086,CBIC_Late_Fee_Relief_Windows_3B!$F$3086:$F$100,"&lt;="&amp;C3086,CBIC_Late_Fee_Relief_Windows_3B!$G$3086:$G$100,"&gt;="&amp;C3086)</f>
        <v/>
      </c>
      <c r="H3086">
        <f>INDEX(CBIC_Late_Fee_Relief_Windows_3B!$I$3086:$I$100,MATCH(G3086,CBIC_Late_Fee_Relief_Windows_3B!$O$3086:$O$100,0))</f>
        <v/>
      </c>
      <c r="I3086">
        <f>MIN(F3086,H3086)</f>
        <v/>
      </c>
    </row>
    <row r="3087">
      <c r="A3087">
        <f>TEST_DATA!A3087</f>
        <v/>
      </c>
      <c r="B3087">
        <f>TEST_DATA!B3087</f>
        <v/>
      </c>
      <c r="C3087">
        <f>TEST_DATA!C3087</f>
        <v/>
      </c>
      <c r="D3087">
        <f>TEST_DATA!D3087</f>
        <v/>
      </c>
      <c r="E3087">
        <f>TEST_DATA!E3087</f>
        <v/>
      </c>
      <c r="F3087">
        <f>MIN(E3087*308700,10000)</f>
        <v/>
      </c>
      <c r="G3087">
        <f>MINIFS(CBIC_Late_Fee_Relief_Windows_3B!$O$3087:$O$100,CBIC_Late_Fee_Relief_Windows_3B!$D$3087:$D$100,"&lt;="&amp;B3087,CBIC_Late_Fee_Relief_Windows_3B!$E$3087:$E$100,"&gt;="&amp;B3087,CBIC_Late_Fee_Relief_Windows_3B!$F$3087:$F$100,"&lt;="&amp;C3087,CBIC_Late_Fee_Relief_Windows_3B!$G$3087:$G$100,"&gt;="&amp;C3087)</f>
        <v/>
      </c>
      <c r="H3087">
        <f>INDEX(CBIC_Late_Fee_Relief_Windows_3B!$I$3087:$I$100,MATCH(G3087,CBIC_Late_Fee_Relief_Windows_3B!$O$3087:$O$100,0))</f>
        <v/>
      </c>
      <c r="I3087">
        <f>MIN(F3087,H3087)</f>
        <v/>
      </c>
    </row>
    <row r="3088">
      <c r="A3088">
        <f>TEST_DATA!A3088</f>
        <v/>
      </c>
      <c r="B3088">
        <f>TEST_DATA!B3088</f>
        <v/>
      </c>
      <c r="C3088">
        <f>TEST_DATA!C3088</f>
        <v/>
      </c>
      <c r="D3088">
        <f>TEST_DATA!D3088</f>
        <v/>
      </c>
      <c r="E3088">
        <f>TEST_DATA!E3088</f>
        <v/>
      </c>
      <c r="F3088">
        <f>MIN(E3088*308800,10000)</f>
        <v/>
      </c>
      <c r="G3088">
        <f>MINIFS(CBIC_Late_Fee_Relief_Windows_3B!$O$3088:$O$100,CBIC_Late_Fee_Relief_Windows_3B!$D$3088:$D$100,"&lt;="&amp;B3088,CBIC_Late_Fee_Relief_Windows_3B!$E$3088:$E$100,"&gt;="&amp;B3088,CBIC_Late_Fee_Relief_Windows_3B!$F$3088:$F$100,"&lt;="&amp;C3088,CBIC_Late_Fee_Relief_Windows_3B!$G$3088:$G$100,"&gt;="&amp;C3088)</f>
        <v/>
      </c>
      <c r="H3088">
        <f>INDEX(CBIC_Late_Fee_Relief_Windows_3B!$I$3088:$I$100,MATCH(G3088,CBIC_Late_Fee_Relief_Windows_3B!$O$3088:$O$100,0))</f>
        <v/>
      </c>
      <c r="I3088">
        <f>MIN(F3088,H3088)</f>
        <v/>
      </c>
    </row>
    <row r="3089">
      <c r="A3089">
        <f>TEST_DATA!A3089</f>
        <v/>
      </c>
      <c r="B3089">
        <f>TEST_DATA!B3089</f>
        <v/>
      </c>
      <c r="C3089">
        <f>TEST_DATA!C3089</f>
        <v/>
      </c>
      <c r="D3089">
        <f>TEST_DATA!D3089</f>
        <v/>
      </c>
      <c r="E3089">
        <f>TEST_DATA!E3089</f>
        <v/>
      </c>
      <c r="F3089">
        <f>MIN(E3089*308900,10000)</f>
        <v/>
      </c>
      <c r="G3089">
        <f>MINIFS(CBIC_Late_Fee_Relief_Windows_3B!$O$3089:$O$100,CBIC_Late_Fee_Relief_Windows_3B!$D$3089:$D$100,"&lt;="&amp;B3089,CBIC_Late_Fee_Relief_Windows_3B!$E$3089:$E$100,"&gt;="&amp;B3089,CBIC_Late_Fee_Relief_Windows_3B!$F$3089:$F$100,"&lt;="&amp;C3089,CBIC_Late_Fee_Relief_Windows_3B!$G$3089:$G$100,"&gt;="&amp;C3089)</f>
        <v/>
      </c>
      <c r="H3089">
        <f>INDEX(CBIC_Late_Fee_Relief_Windows_3B!$I$3089:$I$100,MATCH(G3089,CBIC_Late_Fee_Relief_Windows_3B!$O$3089:$O$100,0))</f>
        <v/>
      </c>
      <c r="I3089">
        <f>MIN(F3089,H3089)</f>
        <v/>
      </c>
    </row>
    <row r="3090">
      <c r="A3090">
        <f>TEST_DATA!A3090</f>
        <v/>
      </c>
      <c r="B3090">
        <f>TEST_DATA!B3090</f>
        <v/>
      </c>
      <c r="C3090">
        <f>TEST_DATA!C3090</f>
        <v/>
      </c>
      <c r="D3090">
        <f>TEST_DATA!D3090</f>
        <v/>
      </c>
      <c r="E3090">
        <f>TEST_DATA!E3090</f>
        <v/>
      </c>
      <c r="F3090">
        <f>MIN(E3090*309000,10000)</f>
        <v/>
      </c>
      <c r="G3090">
        <f>MINIFS(CBIC_Late_Fee_Relief_Windows_3B!$O$3090:$O$100,CBIC_Late_Fee_Relief_Windows_3B!$D$3090:$D$100,"&lt;="&amp;B3090,CBIC_Late_Fee_Relief_Windows_3B!$E$3090:$E$100,"&gt;="&amp;B3090,CBIC_Late_Fee_Relief_Windows_3B!$F$3090:$F$100,"&lt;="&amp;C3090,CBIC_Late_Fee_Relief_Windows_3B!$G$3090:$G$100,"&gt;="&amp;C3090)</f>
        <v/>
      </c>
      <c r="H3090">
        <f>INDEX(CBIC_Late_Fee_Relief_Windows_3B!$I$3090:$I$100,MATCH(G3090,CBIC_Late_Fee_Relief_Windows_3B!$O$3090:$O$100,0))</f>
        <v/>
      </c>
      <c r="I3090">
        <f>MIN(F3090,H3090)</f>
        <v/>
      </c>
    </row>
    <row r="3091">
      <c r="A3091">
        <f>TEST_DATA!A3091</f>
        <v/>
      </c>
      <c r="B3091">
        <f>TEST_DATA!B3091</f>
        <v/>
      </c>
      <c r="C3091">
        <f>TEST_DATA!C3091</f>
        <v/>
      </c>
      <c r="D3091">
        <f>TEST_DATA!D3091</f>
        <v/>
      </c>
      <c r="E3091">
        <f>TEST_DATA!E3091</f>
        <v/>
      </c>
      <c r="F3091">
        <f>MIN(E3091*309100,10000)</f>
        <v/>
      </c>
      <c r="G3091">
        <f>MINIFS(CBIC_Late_Fee_Relief_Windows_3B!$O$3091:$O$100,CBIC_Late_Fee_Relief_Windows_3B!$D$3091:$D$100,"&lt;="&amp;B3091,CBIC_Late_Fee_Relief_Windows_3B!$E$3091:$E$100,"&gt;="&amp;B3091,CBIC_Late_Fee_Relief_Windows_3B!$F$3091:$F$100,"&lt;="&amp;C3091,CBIC_Late_Fee_Relief_Windows_3B!$G$3091:$G$100,"&gt;="&amp;C3091)</f>
        <v/>
      </c>
      <c r="H3091">
        <f>INDEX(CBIC_Late_Fee_Relief_Windows_3B!$I$3091:$I$100,MATCH(G3091,CBIC_Late_Fee_Relief_Windows_3B!$O$3091:$O$100,0))</f>
        <v/>
      </c>
      <c r="I3091">
        <f>MIN(F3091,H3091)</f>
        <v/>
      </c>
    </row>
    <row r="3092">
      <c r="A3092">
        <f>TEST_DATA!A3092</f>
        <v/>
      </c>
      <c r="B3092">
        <f>TEST_DATA!B3092</f>
        <v/>
      </c>
      <c r="C3092">
        <f>TEST_DATA!C3092</f>
        <v/>
      </c>
      <c r="D3092">
        <f>TEST_DATA!D3092</f>
        <v/>
      </c>
      <c r="E3092">
        <f>TEST_DATA!E3092</f>
        <v/>
      </c>
      <c r="F3092">
        <f>MIN(E3092*309200,10000)</f>
        <v/>
      </c>
      <c r="G3092">
        <f>MINIFS(CBIC_Late_Fee_Relief_Windows_3B!$O$3092:$O$100,CBIC_Late_Fee_Relief_Windows_3B!$D$3092:$D$100,"&lt;="&amp;B3092,CBIC_Late_Fee_Relief_Windows_3B!$E$3092:$E$100,"&gt;="&amp;B3092,CBIC_Late_Fee_Relief_Windows_3B!$F$3092:$F$100,"&lt;="&amp;C3092,CBIC_Late_Fee_Relief_Windows_3B!$G$3092:$G$100,"&gt;="&amp;C3092)</f>
        <v/>
      </c>
      <c r="H3092">
        <f>INDEX(CBIC_Late_Fee_Relief_Windows_3B!$I$3092:$I$100,MATCH(G3092,CBIC_Late_Fee_Relief_Windows_3B!$O$3092:$O$100,0))</f>
        <v/>
      </c>
      <c r="I3092">
        <f>MIN(F3092,H3092)</f>
        <v/>
      </c>
    </row>
    <row r="3093">
      <c r="A3093">
        <f>TEST_DATA!A3093</f>
        <v/>
      </c>
      <c r="B3093">
        <f>TEST_DATA!B3093</f>
        <v/>
      </c>
      <c r="C3093">
        <f>TEST_DATA!C3093</f>
        <v/>
      </c>
      <c r="D3093">
        <f>TEST_DATA!D3093</f>
        <v/>
      </c>
      <c r="E3093">
        <f>TEST_DATA!E3093</f>
        <v/>
      </c>
      <c r="F3093">
        <f>MIN(E3093*309300,10000)</f>
        <v/>
      </c>
      <c r="G3093">
        <f>MINIFS(CBIC_Late_Fee_Relief_Windows_3B!$O$3093:$O$100,CBIC_Late_Fee_Relief_Windows_3B!$D$3093:$D$100,"&lt;="&amp;B3093,CBIC_Late_Fee_Relief_Windows_3B!$E$3093:$E$100,"&gt;="&amp;B3093,CBIC_Late_Fee_Relief_Windows_3B!$F$3093:$F$100,"&lt;="&amp;C3093,CBIC_Late_Fee_Relief_Windows_3B!$G$3093:$G$100,"&gt;="&amp;C3093)</f>
        <v/>
      </c>
      <c r="H3093">
        <f>INDEX(CBIC_Late_Fee_Relief_Windows_3B!$I$3093:$I$100,MATCH(G3093,CBIC_Late_Fee_Relief_Windows_3B!$O$3093:$O$100,0))</f>
        <v/>
      </c>
      <c r="I3093">
        <f>MIN(F3093,H3093)</f>
        <v/>
      </c>
    </row>
    <row r="3094">
      <c r="A3094">
        <f>TEST_DATA!A3094</f>
        <v/>
      </c>
      <c r="B3094">
        <f>TEST_DATA!B3094</f>
        <v/>
      </c>
      <c r="C3094">
        <f>TEST_DATA!C3094</f>
        <v/>
      </c>
      <c r="D3094">
        <f>TEST_DATA!D3094</f>
        <v/>
      </c>
      <c r="E3094">
        <f>TEST_DATA!E3094</f>
        <v/>
      </c>
      <c r="F3094">
        <f>MIN(E3094*309400,10000)</f>
        <v/>
      </c>
      <c r="G3094">
        <f>MINIFS(CBIC_Late_Fee_Relief_Windows_3B!$O$3094:$O$100,CBIC_Late_Fee_Relief_Windows_3B!$D$3094:$D$100,"&lt;="&amp;B3094,CBIC_Late_Fee_Relief_Windows_3B!$E$3094:$E$100,"&gt;="&amp;B3094,CBIC_Late_Fee_Relief_Windows_3B!$F$3094:$F$100,"&lt;="&amp;C3094,CBIC_Late_Fee_Relief_Windows_3B!$G$3094:$G$100,"&gt;="&amp;C3094)</f>
        <v/>
      </c>
      <c r="H3094">
        <f>INDEX(CBIC_Late_Fee_Relief_Windows_3B!$I$3094:$I$100,MATCH(G3094,CBIC_Late_Fee_Relief_Windows_3B!$O$3094:$O$100,0))</f>
        <v/>
      </c>
      <c r="I3094">
        <f>MIN(F3094,H3094)</f>
        <v/>
      </c>
    </row>
    <row r="3095">
      <c r="A3095">
        <f>TEST_DATA!A3095</f>
        <v/>
      </c>
      <c r="B3095">
        <f>TEST_DATA!B3095</f>
        <v/>
      </c>
      <c r="C3095">
        <f>TEST_DATA!C3095</f>
        <v/>
      </c>
      <c r="D3095">
        <f>TEST_DATA!D3095</f>
        <v/>
      </c>
      <c r="E3095">
        <f>TEST_DATA!E3095</f>
        <v/>
      </c>
      <c r="F3095">
        <f>MIN(E3095*309500,10000)</f>
        <v/>
      </c>
      <c r="G3095">
        <f>MINIFS(CBIC_Late_Fee_Relief_Windows_3B!$O$3095:$O$100,CBIC_Late_Fee_Relief_Windows_3B!$D$3095:$D$100,"&lt;="&amp;B3095,CBIC_Late_Fee_Relief_Windows_3B!$E$3095:$E$100,"&gt;="&amp;B3095,CBIC_Late_Fee_Relief_Windows_3B!$F$3095:$F$100,"&lt;="&amp;C3095,CBIC_Late_Fee_Relief_Windows_3B!$G$3095:$G$100,"&gt;="&amp;C3095)</f>
        <v/>
      </c>
      <c r="H3095">
        <f>INDEX(CBIC_Late_Fee_Relief_Windows_3B!$I$3095:$I$100,MATCH(G3095,CBIC_Late_Fee_Relief_Windows_3B!$O$3095:$O$100,0))</f>
        <v/>
      </c>
      <c r="I3095">
        <f>MIN(F3095,H3095)</f>
        <v/>
      </c>
    </row>
    <row r="3096">
      <c r="A3096">
        <f>TEST_DATA!A3096</f>
        <v/>
      </c>
      <c r="B3096">
        <f>TEST_DATA!B3096</f>
        <v/>
      </c>
      <c r="C3096">
        <f>TEST_DATA!C3096</f>
        <v/>
      </c>
      <c r="D3096">
        <f>TEST_DATA!D3096</f>
        <v/>
      </c>
      <c r="E3096">
        <f>TEST_DATA!E3096</f>
        <v/>
      </c>
      <c r="F3096">
        <f>MIN(E3096*309600,10000)</f>
        <v/>
      </c>
      <c r="G3096">
        <f>MINIFS(CBIC_Late_Fee_Relief_Windows_3B!$O$3096:$O$100,CBIC_Late_Fee_Relief_Windows_3B!$D$3096:$D$100,"&lt;="&amp;B3096,CBIC_Late_Fee_Relief_Windows_3B!$E$3096:$E$100,"&gt;="&amp;B3096,CBIC_Late_Fee_Relief_Windows_3B!$F$3096:$F$100,"&lt;="&amp;C3096,CBIC_Late_Fee_Relief_Windows_3B!$G$3096:$G$100,"&gt;="&amp;C3096)</f>
        <v/>
      </c>
      <c r="H3096">
        <f>INDEX(CBIC_Late_Fee_Relief_Windows_3B!$I$3096:$I$100,MATCH(G3096,CBIC_Late_Fee_Relief_Windows_3B!$O$3096:$O$100,0))</f>
        <v/>
      </c>
      <c r="I3096">
        <f>MIN(F3096,H3096)</f>
        <v/>
      </c>
    </row>
    <row r="3097">
      <c r="A3097">
        <f>TEST_DATA!A3097</f>
        <v/>
      </c>
      <c r="B3097">
        <f>TEST_DATA!B3097</f>
        <v/>
      </c>
      <c r="C3097">
        <f>TEST_DATA!C3097</f>
        <v/>
      </c>
      <c r="D3097">
        <f>TEST_DATA!D3097</f>
        <v/>
      </c>
      <c r="E3097">
        <f>TEST_DATA!E3097</f>
        <v/>
      </c>
      <c r="F3097">
        <f>MIN(E3097*309700,10000)</f>
        <v/>
      </c>
      <c r="G3097">
        <f>MINIFS(CBIC_Late_Fee_Relief_Windows_3B!$O$3097:$O$100,CBIC_Late_Fee_Relief_Windows_3B!$D$3097:$D$100,"&lt;="&amp;B3097,CBIC_Late_Fee_Relief_Windows_3B!$E$3097:$E$100,"&gt;="&amp;B3097,CBIC_Late_Fee_Relief_Windows_3B!$F$3097:$F$100,"&lt;="&amp;C3097,CBIC_Late_Fee_Relief_Windows_3B!$G$3097:$G$100,"&gt;="&amp;C3097)</f>
        <v/>
      </c>
      <c r="H3097">
        <f>INDEX(CBIC_Late_Fee_Relief_Windows_3B!$I$3097:$I$100,MATCH(G3097,CBIC_Late_Fee_Relief_Windows_3B!$O$3097:$O$100,0))</f>
        <v/>
      </c>
      <c r="I3097">
        <f>MIN(F3097,H3097)</f>
        <v/>
      </c>
    </row>
    <row r="3098">
      <c r="A3098">
        <f>TEST_DATA!A3098</f>
        <v/>
      </c>
      <c r="B3098">
        <f>TEST_DATA!B3098</f>
        <v/>
      </c>
      <c r="C3098">
        <f>TEST_DATA!C3098</f>
        <v/>
      </c>
      <c r="D3098">
        <f>TEST_DATA!D3098</f>
        <v/>
      </c>
      <c r="E3098">
        <f>TEST_DATA!E3098</f>
        <v/>
      </c>
      <c r="F3098">
        <f>MIN(E3098*309800,10000)</f>
        <v/>
      </c>
      <c r="G3098">
        <f>MINIFS(CBIC_Late_Fee_Relief_Windows_3B!$O$3098:$O$100,CBIC_Late_Fee_Relief_Windows_3B!$D$3098:$D$100,"&lt;="&amp;B3098,CBIC_Late_Fee_Relief_Windows_3B!$E$3098:$E$100,"&gt;="&amp;B3098,CBIC_Late_Fee_Relief_Windows_3B!$F$3098:$F$100,"&lt;="&amp;C3098,CBIC_Late_Fee_Relief_Windows_3B!$G$3098:$G$100,"&gt;="&amp;C3098)</f>
        <v/>
      </c>
      <c r="H3098">
        <f>INDEX(CBIC_Late_Fee_Relief_Windows_3B!$I$3098:$I$100,MATCH(G3098,CBIC_Late_Fee_Relief_Windows_3B!$O$3098:$O$100,0))</f>
        <v/>
      </c>
      <c r="I3098">
        <f>MIN(F3098,H3098)</f>
        <v/>
      </c>
    </row>
    <row r="3099">
      <c r="A3099">
        <f>TEST_DATA!A3099</f>
        <v/>
      </c>
      <c r="B3099">
        <f>TEST_DATA!B3099</f>
        <v/>
      </c>
      <c r="C3099">
        <f>TEST_DATA!C3099</f>
        <v/>
      </c>
      <c r="D3099">
        <f>TEST_DATA!D3099</f>
        <v/>
      </c>
      <c r="E3099">
        <f>TEST_DATA!E3099</f>
        <v/>
      </c>
      <c r="F3099">
        <f>MIN(E3099*309900,10000)</f>
        <v/>
      </c>
      <c r="G3099">
        <f>MINIFS(CBIC_Late_Fee_Relief_Windows_3B!$O$3099:$O$100,CBIC_Late_Fee_Relief_Windows_3B!$D$3099:$D$100,"&lt;="&amp;B3099,CBIC_Late_Fee_Relief_Windows_3B!$E$3099:$E$100,"&gt;="&amp;B3099,CBIC_Late_Fee_Relief_Windows_3B!$F$3099:$F$100,"&lt;="&amp;C3099,CBIC_Late_Fee_Relief_Windows_3B!$G$3099:$G$100,"&gt;="&amp;C3099)</f>
        <v/>
      </c>
      <c r="H3099">
        <f>INDEX(CBIC_Late_Fee_Relief_Windows_3B!$I$3099:$I$100,MATCH(G3099,CBIC_Late_Fee_Relief_Windows_3B!$O$3099:$O$100,0))</f>
        <v/>
      </c>
      <c r="I3099">
        <f>MIN(F3099,H3099)</f>
        <v/>
      </c>
    </row>
    <row r="3100">
      <c r="A3100">
        <f>TEST_DATA!A3100</f>
        <v/>
      </c>
      <c r="B3100">
        <f>TEST_DATA!B3100</f>
        <v/>
      </c>
      <c r="C3100">
        <f>TEST_DATA!C3100</f>
        <v/>
      </c>
      <c r="D3100">
        <f>TEST_DATA!D3100</f>
        <v/>
      </c>
      <c r="E3100">
        <f>TEST_DATA!E3100</f>
        <v/>
      </c>
      <c r="F3100">
        <f>MIN(E3100*310000,10000)</f>
        <v/>
      </c>
      <c r="G3100">
        <f>MINIFS(CBIC_Late_Fee_Relief_Windows_3B!$O$3100:$O$100,CBIC_Late_Fee_Relief_Windows_3B!$D$3100:$D$100,"&lt;="&amp;B3100,CBIC_Late_Fee_Relief_Windows_3B!$E$3100:$E$100,"&gt;="&amp;B3100,CBIC_Late_Fee_Relief_Windows_3B!$F$3100:$F$100,"&lt;="&amp;C3100,CBIC_Late_Fee_Relief_Windows_3B!$G$3100:$G$100,"&gt;="&amp;C3100)</f>
        <v/>
      </c>
      <c r="H3100">
        <f>INDEX(CBIC_Late_Fee_Relief_Windows_3B!$I$3100:$I$100,MATCH(G3100,CBIC_Late_Fee_Relief_Windows_3B!$O$3100:$O$100,0))</f>
        <v/>
      </c>
      <c r="I3100">
        <f>MIN(F3100,H3100)</f>
        <v/>
      </c>
    </row>
    <row r="3101">
      <c r="A3101">
        <f>TEST_DATA!A3101</f>
        <v/>
      </c>
      <c r="B3101">
        <f>TEST_DATA!B3101</f>
        <v/>
      </c>
      <c r="C3101">
        <f>TEST_DATA!C3101</f>
        <v/>
      </c>
      <c r="D3101">
        <f>TEST_DATA!D3101</f>
        <v/>
      </c>
      <c r="E3101">
        <f>TEST_DATA!E3101</f>
        <v/>
      </c>
      <c r="F3101">
        <f>MIN(E3101*310100,10000)</f>
        <v/>
      </c>
      <c r="G3101">
        <f>MINIFS(CBIC_Late_Fee_Relief_Windows_3B!$O$3101:$O$100,CBIC_Late_Fee_Relief_Windows_3B!$D$3101:$D$100,"&lt;="&amp;B3101,CBIC_Late_Fee_Relief_Windows_3B!$E$3101:$E$100,"&gt;="&amp;B3101,CBIC_Late_Fee_Relief_Windows_3B!$F$3101:$F$100,"&lt;="&amp;C3101,CBIC_Late_Fee_Relief_Windows_3B!$G$3101:$G$100,"&gt;="&amp;C3101)</f>
        <v/>
      </c>
      <c r="H3101">
        <f>INDEX(CBIC_Late_Fee_Relief_Windows_3B!$I$3101:$I$100,MATCH(G3101,CBIC_Late_Fee_Relief_Windows_3B!$O$3101:$O$100,0))</f>
        <v/>
      </c>
      <c r="I3101">
        <f>MIN(F3101,H3101)</f>
        <v/>
      </c>
    </row>
    <row r="3102">
      <c r="A3102">
        <f>TEST_DATA!A3102</f>
        <v/>
      </c>
      <c r="B3102">
        <f>TEST_DATA!B3102</f>
        <v/>
      </c>
      <c r="C3102">
        <f>TEST_DATA!C3102</f>
        <v/>
      </c>
      <c r="D3102">
        <f>TEST_DATA!D3102</f>
        <v/>
      </c>
      <c r="E3102">
        <f>TEST_DATA!E3102</f>
        <v/>
      </c>
      <c r="F3102">
        <f>MIN(E3102*310200,10000)</f>
        <v/>
      </c>
      <c r="G3102">
        <f>MINIFS(CBIC_Late_Fee_Relief_Windows_3B!$O$3102:$O$100,CBIC_Late_Fee_Relief_Windows_3B!$D$3102:$D$100,"&lt;="&amp;B3102,CBIC_Late_Fee_Relief_Windows_3B!$E$3102:$E$100,"&gt;="&amp;B3102,CBIC_Late_Fee_Relief_Windows_3B!$F$3102:$F$100,"&lt;="&amp;C3102,CBIC_Late_Fee_Relief_Windows_3B!$G$3102:$G$100,"&gt;="&amp;C3102)</f>
        <v/>
      </c>
      <c r="H3102">
        <f>INDEX(CBIC_Late_Fee_Relief_Windows_3B!$I$3102:$I$100,MATCH(G3102,CBIC_Late_Fee_Relief_Windows_3B!$O$3102:$O$100,0))</f>
        <v/>
      </c>
      <c r="I3102">
        <f>MIN(F3102,H3102)</f>
        <v/>
      </c>
    </row>
    <row r="3103">
      <c r="A3103">
        <f>TEST_DATA!A3103</f>
        <v/>
      </c>
      <c r="B3103">
        <f>TEST_DATA!B3103</f>
        <v/>
      </c>
      <c r="C3103">
        <f>TEST_DATA!C3103</f>
        <v/>
      </c>
      <c r="D3103">
        <f>TEST_DATA!D3103</f>
        <v/>
      </c>
      <c r="E3103">
        <f>TEST_DATA!E3103</f>
        <v/>
      </c>
      <c r="F3103">
        <f>MIN(E3103*310300,10000)</f>
        <v/>
      </c>
      <c r="G3103">
        <f>MINIFS(CBIC_Late_Fee_Relief_Windows_3B!$O$3103:$O$100,CBIC_Late_Fee_Relief_Windows_3B!$D$3103:$D$100,"&lt;="&amp;B3103,CBIC_Late_Fee_Relief_Windows_3B!$E$3103:$E$100,"&gt;="&amp;B3103,CBIC_Late_Fee_Relief_Windows_3B!$F$3103:$F$100,"&lt;="&amp;C3103,CBIC_Late_Fee_Relief_Windows_3B!$G$3103:$G$100,"&gt;="&amp;C3103)</f>
        <v/>
      </c>
      <c r="H3103">
        <f>INDEX(CBIC_Late_Fee_Relief_Windows_3B!$I$3103:$I$100,MATCH(G3103,CBIC_Late_Fee_Relief_Windows_3B!$O$3103:$O$100,0))</f>
        <v/>
      </c>
      <c r="I3103">
        <f>MIN(F3103,H3103)</f>
        <v/>
      </c>
    </row>
    <row r="3104">
      <c r="A3104">
        <f>TEST_DATA!A3104</f>
        <v/>
      </c>
      <c r="B3104">
        <f>TEST_DATA!B3104</f>
        <v/>
      </c>
      <c r="C3104">
        <f>TEST_DATA!C3104</f>
        <v/>
      </c>
      <c r="D3104">
        <f>TEST_DATA!D3104</f>
        <v/>
      </c>
      <c r="E3104">
        <f>TEST_DATA!E3104</f>
        <v/>
      </c>
      <c r="F3104">
        <f>MIN(E3104*310400,10000)</f>
        <v/>
      </c>
      <c r="G3104">
        <f>MINIFS(CBIC_Late_Fee_Relief_Windows_3B!$O$3104:$O$100,CBIC_Late_Fee_Relief_Windows_3B!$D$3104:$D$100,"&lt;="&amp;B3104,CBIC_Late_Fee_Relief_Windows_3B!$E$3104:$E$100,"&gt;="&amp;B3104,CBIC_Late_Fee_Relief_Windows_3B!$F$3104:$F$100,"&lt;="&amp;C3104,CBIC_Late_Fee_Relief_Windows_3B!$G$3104:$G$100,"&gt;="&amp;C3104)</f>
        <v/>
      </c>
      <c r="H3104">
        <f>INDEX(CBIC_Late_Fee_Relief_Windows_3B!$I$3104:$I$100,MATCH(G3104,CBIC_Late_Fee_Relief_Windows_3B!$O$3104:$O$100,0))</f>
        <v/>
      </c>
      <c r="I3104">
        <f>MIN(F3104,H3104)</f>
        <v/>
      </c>
    </row>
    <row r="3105">
      <c r="A3105">
        <f>TEST_DATA!A3105</f>
        <v/>
      </c>
      <c r="B3105">
        <f>TEST_DATA!B3105</f>
        <v/>
      </c>
      <c r="C3105">
        <f>TEST_DATA!C3105</f>
        <v/>
      </c>
      <c r="D3105">
        <f>TEST_DATA!D3105</f>
        <v/>
      </c>
      <c r="E3105">
        <f>TEST_DATA!E3105</f>
        <v/>
      </c>
      <c r="F3105">
        <f>MIN(E3105*310500,10000)</f>
        <v/>
      </c>
      <c r="G3105">
        <f>MINIFS(CBIC_Late_Fee_Relief_Windows_3B!$O$3105:$O$100,CBIC_Late_Fee_Relief_Windows_3B!$D$3105:$D$100,"&lt;="&amp;B3105,CBIC_Late_Fee_Relief_Windows_3B!$E$3105:$E$100,"&gt;="&amp;B3105,CBIC_Late_Fee_Relief_Windows_3B!$F$3105:$F$100,"&lt;="&amp;C3105,CBIC_Late_Fee_Relief_Windows_3B!$G$3105:$G$100,"&gt;="&amp;C3105)</f>
        <v/>
      </c>
      <c r="H3105">
        <f>INDEX(CBIC_Late_Fee_Relief_Windows_3B!$I$3105:$I$100,MATCH(G3105,CBIC_Late_Fee_Relief_Windows_3B!$O$3105:$O$100,0))</f>
        <v/>
      </c>
      <c r="I3105">
        <f>MIN(F3105,H3105)</f>
        <v/>
      </c>
    </row>
    <row r="3106">
      <c r="A3106">
        <f>TEST_DATA!A3106</f>
        <v/>
      </c>
      <c r="B3106">
        <f>TEST_DATA!B3106</f>
        <v/>
      </c>
      <c r="C3106">
        <f>TEST_DATA!C3106</f>
        <v/>
      </c>
      <c r="D3106">
        <f>TEST_DATA!D3106</f>
        <v/>
      </c>
      <c r="E3106">
        <f>TEST_DATA!E3106</f>
        <v/>
      </c>
      <c r="F3106">
        <f>MIN(E3106*310600,10000)</f>
        <v/>
      </c>
      <c r="G3106">
        <f>MINIFS(CBIC_Late_Fee_Relief_Windows_3B!$O$3106:$O$100,CBIC_Late_Fee_Relief_Windows_3B!$D$3106:$D$100,"&lt;="&amp;B3106,CBIC_Late_Fee_Relief_Windows_3B!$E$3106:$E$100,"&gt;="&amp;B3106,CBIC_Late_Fee_Relief_Windows_3B!$F$3106:$F$100,"&lt;="&amp;C3106,CBIC_Late_Fee_Relief_Windows_3B!$G$3106:$G$100,"&gt;="&amp;C3106)</f>
        <v/>
      </c>
      <c r="H3106">
        <f>INDEX(CBIC_Late_Fee_Relief_Windows_3B!$I$3106:$I$100,MATCH(G3106,CBIC_Late_Fee_Relief_Windows_3B!$O$3106:$O$100,0))</f>
        <v/>
      </c>
      <c r="I3106">
        <f>MIN(F3106,H3106)</f>
        <v/>
      </c>
    </row>
    <row r="3107">
      <c r="A3107">
        <f>TEST_DATA!A3107</f>
        <v/>
      </c>
      <c r="B3107">
        <f>TEST_DATA!B3107</f>
        <v/>
      </c>
      <c r="C3107">
        <f>TEST_DATA!C3107</f>
        <v/>
      </c>
      <c r="D3107">
        <f>TEST_DATA!D3107</f>
        <v/>
      </c>
      <c r="E3107">
        <f>TEST_DATA!E3107</f>
        <v/>
      </c>
      <c r="F3107">
        <f>MIN(E3107*310700,10000)</f>
        <v/>
      </c>
      <c r="G3107">
        <f>MINIFS(CBIC_Late_Fee_Relief_Windows_3B!$O$3107:$O$100,CBIC_Late_Fee_Relief_Windows_3B!$D$3107:$D$100,"&lt;="&amp;B3107,CBIC_Late_Fee_Relief_Windows_3B!$E$3107:$E$100,"&gt;="&amp;B3107,CBIC_Late_Fee_Relief_Windows_3B!$F$3107:$F$100,"&lt;="&amp;C3107,CBIC_Late_Fee_Relief_Windows_3B!$G$3107:$G$100,"&gt;="&amp;C3107)</f>
        <v/>
      </c>
      <c r="H3107">
        <f>INDEX(CBIC_Late_Fee_Relief_Windows_3B!$I$3107:$I$100,MATCH(G3107,CBIC_Late_Fee_Relief_Windows_3B!$O$3107:$O$100,0))</f>
        <v/>
      </c>
      <c r="I3107">
        <f>MIN(F3107,H3107)</f>
        <v/>
      </c>
    </row>
    <row r="3108">
      <c r="A3108">
        <f>TEST_DATA!A3108</f>
        <v/>
      </c>
      <c r="B3108">
        <f>TEST_DATA!B3108</f>
        <v/>
      </c>
      <c r="C3108">
        <f>TEST_DATA!C3108</f>
        <v/>
      </c>
      <c r="D3108">
        <f>TEST_DATA!D3108</f>
        <v/>
      </c>
      <c r="E3108">
        <f>TEST_DATA!E3108</f>
        <v/>
      </c>
      <c r="F3108">
        <f>MIN(E3108*310800,10000)</f>
        <v/>
      </c>
      <c r="G3108">
        <f>MINIFS(CBIC_Late_Fee_Relief_Windows_3B!$O$3108:$O$100,CBIC_Late_Fee_Relief_Windows_3B!$D$3108:$D$100,"&lt;="&amp;B3108,CBIC_Late_Fee_Relief_Windows_3B!$E$3108:$E$100,"&gt;="&amp;B3108,CBIC_Late_Fee_Relief_Windows_3B!$F$3108:$F$100,"&lt;="&amp;C3108,CBIC_Late_Fee_Relief_Windows_3B!$G$3108:$G$100,"&gt;="&amp;C3108)</f>
        <v/>
      </c>
      <c r="H3108">
        <f>INDEX(CBIC_Late_Fee_Relief_Windows_3B!$I$3108:$I$100,MATCH(G3108,CBIC_Late_Fee_Relief_Windows_3B!$O$3108:$O$100,0))</f>
        <v/>
      </c>
      <c r="I3108">
        <f>MIN(F3108,H3108)</f>
        <v/>
      </c>
    </row>
    <row r="3109">
      <c r="A3109">
        <f>TEST_DATA!A3109</f>
        <v/>
      </c>
      <c r="B3109">
        <f>TEST_DATA!B3109</f>
        <v/>
      </c>
      <c r="C3109">
        <f>TEST_DATA!C3109</f>
        <v/>
      </c>
      <c r="D3109">
        <f>TEST_DATA!D3109</f>
        <v/>
      </c>
      <c r="E3109">
        <f>TEST_DATA!E3109</f>
        <v/>
      </c>
      <c r="F3109">
        <f>MIN(E3109*310900,10000)</f>
        <v/>
      </c>
      <c r="G3109">
        <f>MINIFS(CBIC_Late_Fee_Relief_Windows_3B!$O$3109:$O$100,CBIC_Late_Fee_Relief_Windows_3B!$D$3109:$D$100,"&lt;="&amp;B3109,CBIC_Late_Fee_Relief_Windows_3B!$E$3109:$E$100,"&gt;="&amp;B3109,CBIC_Late_Fee_Relief_Windows_3B!$F$3109:$F$100,"&lt;="&amp;C3109,CBIC_Late_Fee_Relief_Windows_3B!$G$3109:$G$100,"&gt;="&amp;C3109)</f>
        <v/>
      </c>
      <c r="H3109">
        <f>INDEX(CBIC_Late_Fee_Relief_Windows_3B!$I$3109:$I$100,MATCH(G3109,CBIC_Late_Fee_Relief_Windows_3B!$O$3109:$O$100,0))</f>
        <v/>
      </c>
      <c r="I3109">
        <f>MIN(F3109,H3109)</f>
        <v/>
      </c>
    </row>
    <row r="3110">
      <c r="A3110">
        <f>TEST_DATA!A3110</f>
        <v/>
      </c>
      <c r="B3110">
        <f>TEST_DATA!B3110</f>
        <v/>
      </c>
      <c r="C3110">
        <f>TEST_DATA!C3110</f>
        <v/>
      </c>
      <c r="D3110">
        <f>TEST_DATA!D3110</f>
        <v/>
      </c>
      <c r="E3110">
        <f>TEST_DATA!E3110</f>
        <v/>
      </c>
      <c r="F3110">
        <f>MIN(E3110*311000,10000)</f>
        <v/>
      </c>
      <c r="G3110">
        <f>MINIFS(CBIC_Late_Fee_Relief_Windows_3B!$O$3110:$O$100,CBIC_Late_Fee_Relief_Windows_3B!$D$3110:$D$100,"&lt;="&amp;B3110,CBIC_Late_Fee_Relief_Windows_3B!$E$3110:$E$100,"&gt;="&amp;B3110,CBIC_Late_Fee_Relief_Windows_3B!$F$3110:$F$100,"&lt;="&amp;C3110,CBIC_Late_Fee_Relief_Windows_3B!$G$3110:$G$100,"&gt;="&amp;C3110)</f>
        <v/>
      </c>
      <c r="H3110">
        <f>INDEX(CBIC_Late_Fee_Relief_Windows_3B!$I$3110:$I$100,MATCH(G3110,CBIC_Late_Fee_Relief_Windows_3B!$O$3110:$O$100,0))</f>
        <v/>
      </c>
      <c r="I3110">
        <f>MIN(F3110,H3110)</f>
        <v/>
      </c>
    </row>
    <row r="3111">
      <c r="A3111">
        <f>TEST_DATA!A3111</f>
        <v/>
      </c>
      <c r="B3111">
        <f>TEST_DATA!B3111</f>
        <v/>
      </c>
      <c r="C3111">
        <f>TEST_DATA!C3111</f>
        <v/>
      </c>
      <c r="D3111">
        <f>TEST_DATA!D3111</f>
        <v/>
      </c>
      <c r="E3111">
        <f>TEST_DATA!E3111</f>
        <v/>
      </c>
      <c r="F3111">
        <f>MIN(E3111*311100,10000)</f>
        <v/>
      </c>
      <c r="G3111">
        <f>MINIFS(CBIC_Late_Fee_Relief_Windows_3B!$O$3111:$O$100,CBIC_Late_Fee_Relief_Windows_3B!$D$3111:$D$100,"&lt;="&amp;B3111,CBIC_Late_Fee_Relief_Windows_3B!$E$3111:$E$100,"&gt;="&amp;B3111,CBIC_Late_Fee_Relief_Windows_3B!$F$3111:$F$100,"&lt;="&amp;C3111,CBIC_Late_Fee_Relief_Windows_3B!$G$3111:$G$100,"&gt;="&amp;C3111)</f>
        <v/>
      </c>
      <c r="H3111">
        <f>INDEX(CBIC_Late_Fee_Relief_Windows_3B!$I$3111:$I$100,MATCH(G3111,CBIC_Late_Fee_Relief_Windows_3B!$O$3111:$O$100,0))</f>
        <v/>
      </c>
      <c r="I3111">
        <f>MIN(F3111,H3111)</f>
        <v/>
      </c>
    </row>
    <row r="3112">
      <c r="A3112">
        <f>TEST_DATA!A3112</f>
        <v/>
      </c>
      <c r="B3112">
        <f>TEST_DATA!B3112</f>
        <v/>
      </c>
      <c r="C3112">
        <f>TEST_DATA!C3112</f>
        <v/>
      </c>
      <c r="D3112">
        <f>TEST_DATA!D3112</f>
        <v/>
      </c>
      <c r="E3112">
        <f>TEST_DATA!E3112</f>
        <v/>
      </c>
      <c r="F3112">
        <f>MIN(E3112*311200,10000)</f>
        <v/>
      </c>
      <c r="G3112">
        <f>MINIFS(CBIC_Late_Fee_Relief_Windows_3B!$O$3112:$O$100,CBIC_Late_Fee_Relief_Windows_3B!$D$3112:$D$100,"&lt;="&amp;B3112,CBIC_Late_Fee_Relief_Windows_3B!$E$3112:$E$100,"&gt;="&amp;B3112,CBIC_Late_Fee_Relief_Windows_3B!$F$3112:$F$100,"&lt;="&amp;C3112,CBIC_Late_Fee_Relief_Windows_3B!$G$3112:$G$100,"&gt;="&amp;C3112)</f>
        <v/>
      </c>
      <c r="H3112">
        <f>INDEX(CBIC_Late_Fee_Relief_Windows_3B!$I$3112:$I$100,MATCH(G3112,CBIC_Late_Fee_Relief_Windows_3B!$O$3112:$O$100,0))</f>
        <v/>
      </c>
      <c r="I3112">
        <f>MIN(F3112,H3112)</f>
        <v/>
      </c>
    </row>
    <row r="3113">
      <c r="A3113">
        <f>TEST_DATA!A3113</f>
        <v/>
      </c>
      <c r="B3113">
        <f>TEST_DATA!B3113</f>
        <v/>
      </c>
      <c r="C3113">
        <f>TEST_DATA!C3113</f>
        <v/>
      </c>
      <c r="D3113">
        <f>TEST_DATA!D3113</f>
        <v/>
      </c>
      <c r="E3113">
        <f>TEST_DATA!E3113</f>
        <v/>
      </c>
      <c r="F3113">
        <f>MIN(E3113*311300,10000)</f>
        <v/>
      </c>
      <c r="G3113">
        <f>MINIFS(CBIC_Late_Fee_Relief_Windows_3B!$O$3113:$O$100,CBIC_Late_Fee_Relief_Windows_3B!$D$3113:$D$100,"&lt;="&amp;B3113,CBIC_Late_Fee_Relief_Windows_3B!$E$3113:$E$100,"&gt;="&amp;B3113,CBIC_Late_Fee_Relief_Windows_3B!$F$3113:$F$100,"&lt;="&amp;C3113,CBIC_Late_Fee_Relief_Windows_3B!$G$3113:$G$100,"&gt;="&amp;C3113)</f>
        <v/>
      </c>
      <c r="H3113">
        <f>INDEX(CBIC_Late_Fee_Relief_Windows_3B!$I$3113:$I$100,MATCH(G3113,CBIC_Late_Fee_Relief_Windows_3B!$O$3113:$O$100,0))</f>
        <v/>
      </c>
      <c r="I3113">
        <f>MIN(F3113,H3113)</f>
        <v/>
      </c>
    </row>
    <row r="3114">
      <c r="A3114">
        <f>TEST_DATA!A3114</f>
        <v/>
      </c>
      <c r="B3114">
        <f>TEST_DATA!B3114</f>
        <v/>
      </c>
      <c r="C3114">
        <f>TEST_DATA!C3114</f>
        <v/>
      </c>
      <c r="D3114">
        <f>TEST_DATA!D3114</f>
        <v/>
      </c>
      <c r="E3114">
        <f>TEST_DATA!E3114</f>
        <v/>
      </c>
      <c r="F3114">
        <f>MIN(E3114*311400,10000)</f>
        <v/>
      </c>
      <c r="G3114">
        <f>MINIFS(CBIC_Late_Fee_Relief_Windows_3B!$O$3114:$O$100,CBIC_Late_Fee_Relief_Windows_3B!$D$3114:$D$100,"&lt;="&amp;B3114,CBIC_Late_Fee_Relief_Windows_3B!$E$3114:$E$100,"&gt;="&amp;B3114,CBIC_Late_Fee_Relief_Windows_3B!$F$3114:$F$100,"&lt;="&amp;C3114,CBIC_Late_Fee_Relief_Windows_3B!$G$3114:$G$100,"&gt;="&amp;C3114)</f>
        <v/>
      </c>
      <c r="H3114">
        <f>INDEX(CBIC_Late_Fee_Relief_Windows_3B!$I$3114:$I$100,MATCH(G3114,CBIC_Late_Fee_Relief_Windows_3B!$O$3114:$O$100,0))</f>
        <v/>
      </c>
      <c r="I3114">
        <f>MIN(F3114,H3114)</f>
        <v/>
      </c>
    </row>
    <row r="3115">
      <c r="A3115">
        <f>TEST_DATA!A3115</f>
        <v/>
      </c>
      <c r="B3115">
        <f>TEST_DATA!B3115</f>
        <v/>
      </c>
      <c r="C3115">
        <f>TEST_DATA!C3115</f>
        <v/>
      </c>
      <c r="D3115">
        <f>TEST_DATA!D3115</f>
        <v/>
      </c>
      <c r="E3115">
        <f>TEST_DATA!E3115</f>
        <v/>
      </c>
      <c r="F3115">
        <f>MIN(E3115*311500,10000)</f>
        <v/>
      </c>
      <c r="G3115">
        <f>MINIFS(CBIC_Late_Fee_Relief_Windows_3B!$O$3115:$O$100,CBIC_Late_Fee_Relief_Windows_3B!$D$3115:$D$100,"&lt;="&amp;B3115,CBIC_Late_Fee_Relief_Windows_3B!$E$3115:$E$100,"&gt;="&amp;B3115,CBIC_Late_Fee_Relief_Windows_3B!$F$3115:$F$100,"&lt;="&amp;C3115,CBIC_Late_Fee_Relief_Windows_3B!$G$3115:$G$100,"&gt;="&amp;C3115)</f>
        <v/>
      </c>
      <c r="H3115">
        <f>INDEX(CBIC_Late_Fee_Relief_Windows_3B!$I$3115:$I$100,MATCH(G3115,CBIC_Late_Fee_Relief_Windows_3B!$O$3115:$O$100,0))</f>
        <v/>
      </c>
      <c r="I3115">
        <f>MIN(F3115,H3115)</f>
        <v/>
      </c>
    </row>
    <row r="3116">
      <c r="A3116">
        <f>TEST_DATA!A3116</f>
        <v/>
      </c>
      <c r="B3116">
        <f>TEST_DATA!B3116</f>
        <v/>
      </c>
      <c r="C3116">
        <f>TEST_DATA!C3116</f>
        <v/>
      </c>
      <c r="D3116">
        <f>TEST_DATA!D3116</f>
        <v/>
      </c>
      <c r="E3116">
        <f>TEST_DATA!E3116</f>
        <v/>
      </c>
      <c r="F3116">
        <f>MIN(E3116*311600,10000)</f>
        <v/>
      </c>
      <c r="G3116">
        <f>MINIFS(CBIC_Late_Fee_Relief_Windows_3B!$O$3116:$O$100,CBIC_Late_Fee_Relief_Windows_3B!$D$3116:$D$100,"&lt;="&amp;B3116,CBIC_Late_Fee_Relief_Windows_3B!$E$3116:$E$100,"&gt;="&amp;B3116,CBIC_Late_Fee_Relief_Windows_3B!$F$3116:$F$100,"&lt;="&amp;C3116,CBIC_Late_Fee_Relief_Windows_3B!$G$3116:$G$100,"&gt;="&amp;C3116)</f>
        <v/>
      </c>
      <c r="H3116">
        <f>INDEX(CBIC_Late_Fee_Relief_Windows_3B!$I$3116:$I$100,MATCH(G3116,CBIC_Late_Fee_Relief_Windows_3B!$O$3116:$O$100,0))</f>
        <v/>
      </c>
      <c r="I3116">
        <f>MIN(F3116,H3116)</f>
        <v/>
      </c>
    </row>
    <row r="3117">
      <c r="A3117">
        <f>TEST_DATA!A3117</f>
        <v/>
      </c>
      <c r="B3117">
        <f>TEST_DATA!B3117</f>
        <v/>
      </c>
      <c r="C3117">
        <f>TEST_DATA!C3117</f>
        <v/>
      </c>
      <c r="D3117">
        <f>TEST_DATA!D3117</f>
        <v/>
      </c>
      <c r="E3117">
        <f>TEST_DATA!E3117</f>
        <v/>
      </c>
      <c r="F3117">
        <f>MIN(E3117*311700,10000)</f>
        <v/>
      </c>
      <c r="G3117">
        <f>MINIFS(CBIC_Late_Fee_Relief_Windows_3B!$O$3117:$O$100,CBIC_Late_Fee_Relief_Windows_3B!$D$3117:$D$100,"&lt;="&amp;B3117,CBIC_Late_Fee_Relief_Windows_3B!$E$3117:$E$100,"&gt;="&amp;B3117,CBIC_Late_Fee_Relief_Windows_3B!$F$3117:$F$100,"&lt;="&amp;C3117,CBIC_Late_Fee_Relief_Windows_3B!$G$3117:$G$100,"&gt;="&amp;C3117)</f>
        <v/>
      </c>
      <c r="H3117">
        <f>INDEX(CBIC_Late_Fee_Relief_Windows_3B!$I$3117:$I$100,MATCH(G3117,CBIC_Late_Fee_Relief_Windows_3B!$O$3117:$O$100,0))</f>
        <v/>
      </c>
      <c r="I3117">
        <f>MIN(F3117,H3117)</f>
        <v/>
      </c>
    </row>
    <row r="3118">
      <c r="A3118">
        <f>TEST_DATA!A3118</f>
        <v/>
      </c>
      <c r="B3118">
        <f>TEST_DATA!B3118</f>
        <v/>
      </c>
      <c r="C3118">
        <f>TEST_DATA!C3118</f>
        <v/>
      </c>
      <c r="D3118">
        <f>TEST_DATA!D3118</f>
        <v/>
      </c>
      <c r="E3118">
        <f>TEST_DATA!E3118</f>
        <v/>
      </c>
      <c r="F3118">
        <f>MIN(E3118*311800,10000)</f>
        <v/>
      </c>
      <c r="G3118">
        <f>MINIFS(CBIC_Late_Fee_Relief_Windows_3B!$O$3118:$O$100,CBIC_Late_Fee_Relief_Windows_3B!$D$3118:$D$100,"&lt;="&amp;B3118,CBIC_Late_Fee_Relief_Windows_3B!$E$3118:$E$100,"&gt;="&amp;B3118,CBIC_Late_Fee_Relief_Windows_3B!$F$3118:$F$100,"&lt;="&amp;C3118,CBIC_Late_Fee_Relief_Windows_3B!$G$3118:$G$100,"&gt;="&amp;C3118)</f>
        <v/>
      </c>
      <c r="H3118">
        <f>INDEX(CBIC_Late_Fee_Relief_Windows_3B!$I$3118:$I$100,MATCH(G3118,CBIC_Late_Fee_Relief_Windows_3B!$O$3118:$O$100,0))</f>
        <v/>
      </c>
      <c r="I3118">
        <f>MIN(F3118,H3118)</f>
        <v/>
      </c>
    </row>
    <row r="3119">
      <c r="A3119">
        <f>TEST_DATA!A3119</f>
        <v/>
      </c>
      <c r="B3119">
        <f>TEST_DATA!B3119</f>
        <v/>
      </c>
      <c r="C3119">
        <f>TEST_DATA!C3119</f>
        <v/>
      </c>
      <c r="D3119">
        <f>TEST_DATA!D3119</f>
        <v/>
      </c>
      <c r="E3119">
        <f>TEST_DATA!E3119</f>
        <v/>
      </c>
      <c r="F3119">
        <f>MIN(E3119*311900,10000)</f>
        <v/>
      </c>
      <c r="G3119">
        <f>MINIFS(CBIC_Late_Fee_Relief_Windows_3B!$O$3119:$O$100,CBIC_Late_Fee_Relief_Windows_3B!$D$3119:$D$100,"&lt;="&amp;B3119,CBIC_Late_Fee_Relief_Windows_3B!$E$3119:$E$100,"&gt;="&amp;B3119,CBIC_Late_Fee_Relief_Windows_3B!$F$3119:$F$100,"&lt;="&amp;C3119,CBIC_Late_Fee_Relief_Windows_3B!$G$3119:$G$100,"&gt;="&amp;C3119)</f>
        <v/>
      </c>
      <c r="H3119">
        <f>INDEX(CBIC_Late_Fee_Relief_Windows_3B!$I$3119:$I$100,MATCH(G3119,CBIC_Late_Fee_Relief_Windows_3B!$O$3119:$O$100,0))</f>
        <v/>
      </c>
      <c r="I3119">
        <f>MIN(F3119,H3119)</f>
        <v/>
      </c>
    </row>
    <row r="3120">
      <c r="A3120">
        <f>TEST_DATA!A3120</f>
        <v/>
      </c>
      <c r="B3120">
        <f>TEST_DATA!B3120</f>
        <v/>
      </c>
      <c r="C3120">
        <f>TEST_DATA!C3120</f>
        <v/>
      </c>
      <c r="D3120">
        <f>TEST_DATA!D3120</f>
        <v/>
      </c>
      <c r="E3120">
        <f>TEST_DATA!E3120</f>
        <v/>
      </c>
      <c r="F3120">
        <f>MIN(E3120*312000,10000)</f>
        <v/>
      </c>
      <c r="G3120">
        <f>MINIFS(CBIC_Late_Fee_Relief_Windows_3B!$O$3120:$O$100,CBIC_Late_Fee_Relief_Windows_3B!$D$3120:$D$100,"&lt;="&amp;B3120,CBIC_Late_Fee_Relief_Windows_3B!$E$3120:$E$100,"&gt;="&amp;B3120,CBIC_Late_Fee_Relief_Windows_3B!$F$3120:$F$100,"&lt;="&amp;C3120,CBIC_Late_Fee_Relief_Windows_3B!$G$3120:$G$100,"&gt;="&amp;C3120)</f>
        <v/>
      </c>
      <c r="H3120">
        <f>INDEX(CBIC_Late_Fee_Relief_Windows_3B!$I$3120:$I$100,MATCH(G3120,CBIC_Late_Fee_Relief_Windows_3B!$O$3120:$O$100,0))</f>
        <v/>
      </c>
      <c r="I3120">
        <f>MIN(F3120,H3120)</f>
        <v/>
      </c>
    </row>
    <row r="3121">
      <c r="A3121">
        <f>TEST_DATA!A3121</f>
        <v/>
      </c>
      <c r="B3121">
        <f>TEST_DATA!B3121</f>
        <v/>
      </c>
      <c r="C3121">
        <f>TEST_DATA!C3121</f>
        <v/>
      </c>
      <c r="D3121">
        <f>TEST_DATA!D3121</f>
        <v/>
      </c>
      <c r="E3121">
        <f>TEST_DATA!E3121</f>
        <v/>
      </c>
      <c r="F3121">
        <f>MIN(E3121*312100,10000)</f>
        <v/>
      </c>
      <c r="G3121">
        <f>MINIFS(CBIC_Late_Fee_Relief_Windows_3B!$O$3121:$O$100,CBIC_Late_Fee_Relief_Windows_3B!$D$3121:$D$100,"&lt;="&amp;B3121,CBIC_Late_Fee_Relief_Windows_3B!$E$3121:$E$100,"&gt;="&amp;B3121,CBIC_Late_Fee_Relief_Windows_3B!$F$3121:$F$100,"&lt;="&amp;C3121,CBIC_Late_Fee_Relief_Windows_3B!$G$3121:$G$100,"&gt;="&amp;C3121)</f>
        <v/>
      </c>
      <c r="H3121">
        <f>INDEX(CBIC_Late_Fee_Relief_Windows_3B!$I$3121:$I$100,MATCH(G3121,CBIC_Late_Fee_Relief_Windows_3B!$O$3121:$O$100,0))</f>
        <v/>
      </c>
      <c r="I3121">
        <f>MIN(F3121,H3121)</f>
        <v/>
      </c>
    </row>
    <row r="3122">
      <c r="A3122">
        <f>TEST_DATA!A3122</f>
        <v/>
      </c>
      <c r="B3122">
        <f>TEST_DATA!B3122</f>
        <v/>
      </c>
      <c r="C3122">
        <f>TEST_DATA!C3122</f>
        <v/>
      </c>
      <c r="D3122">
        <f>TEST_DATA!D3122</f>
        <v/>
      </c>
      <c r="E3122">
        <f>TEST_DATA!E3122</f>
        <v/>
      </c>
      <c r="F3122">
        <f>MIN(E3122*312200,10000)</f>
        <v/>
      </c>
      <c r="G3122">
        <f>MINIFS(CBIC_Late_Fee_Relief_Windows_3B!$O$3122:$O$100,CBIC_Late_Fee_Relief_Windows_3B!$D$3122:$D$100,"&lt;="&amp;B3122,CBIC_Late_Fee_Relief_Windows_3B!$E$3122:$E$100,"&gt;="&amp;B3122,CBIC_Late_Fee_Relief_Windows_3B!$F$3122:$F$100,"&lt;="&amp;C3122,CBIC_Late_Fee_Relief_Windows_3B!$G$3122:$G$100,"&gt;="&amp;C3122)</f>
        <v/>
      </c>
      <c r="H3122">
        <f>INDEX(CBIC_Late_Fee_Relief_Windows_3B!$I$3122:$I$100,MATCH(G3122,CBIC_Late_Fee_Relief_Windows_3B!$O$3122:$O$100,0))</f>
        <v/>
      </c>
      <c r="I3122">
        <f>MIN(F3122,H3122)</f>
        <v/>
      </c>
    </row>
    <row r="3123">
      <c r="A3123">
        <f>TEST_DATA!A3123</f>
        <v/>
      </c>
      <c r="B3123">
        <f>TEST_DATA!B3123</f>
        <v/>
      </c>
      <c r="C3123">
        <f>TEST_DATA!C3123</f>
        <v/>
      </c>
      <c r="D3123">
        <f>TEST_DATA!D3123</f>
        <v/>
      </c>
      <c r="E3123">
        <f>TEST_DATA!E3123</f>
        <v/>
      </c>
      <c r="F3123">
        <f>MIN(E3123*312300,10000)</f>
        <v/>
      </c>
      <c r="G3123">
        <f>MINIFS(CBIC_Late_Fee_Relief_Windows_3B!$O$3123:$O$100,CBIC_Late_Fee_Relief_Windows_3B!$D$3123:$D$100,"&lt;="&amp;B3123,CBIC_Late_Fee_Relief_Windows_3B!$E$3123:$E$100,"&gt;="&amp;B3123,CBIC_Late_Fee_Relief_Windows_3B!$F$3123:$F$100,"&lt;="&amp;C3123,CBIC_Late_Fee_Relief_Windows_3B!$G$3123:$G$100,"&gt;="&amp;C3123)</f>
        <v/>
      </c>
      <c r="H3123">
        <f>INDEX(CBIC_Late_Fee_Relief_Windows_3B!$I$3123:$I$100,MATCH(G3123,CBIC_Late_Fee_Relief_Windows_3B!$O$3123:$O$100,0))</f>
        <v/>
      </c>
      <c r="I3123">
        <f>MIN(F3123,H3123)</f>
        <v/>
      </c>
    </row>
    <row r="3124">
      <c r="A3124">
        <f>TEST_DATA!A3124</f>
        <v/>
      </c>
      <c r="B3124">
        <f>TEST_DATA!B3124</f>
        <v/>
      </c>
      <c r="C3124">
        <f>TEST_DATA!C3124</f>
        <v/>
      </c>
      <c r="D3124">
        <f>TEST_DATA!D3124</f>
        <v/>
      </c>
      <c r="E3124">
        <f>TEST_DATA!E3124</f>
        <v/>
      </c>
      <c r="F3124">
        <f>MIN(E3124*312400,10000)</f>
        <v/>
      </c>
      <c r="G3124">
        <f>MINIFS(CBIC_Late_Fee_Relief_Windows_3B!$O$3124:$O$100,CBIC_Late_Fee_Relief_Windows_3B!$D$3124:$D$100,"&lt;="&amp;B3124,CBIC_Late_Fee_Relief_Windows_3B!$E$3124:$E$100,"&gt;="&amp;B3124,CBIC_Late_Fee_Relief_Windows_3B!$F$3124:$F$100,"&lt;="&amp;C3124,CBIC_Late_Fee_Relief_Windows_3B!$G$3124:$G$100,"&gt;="&amp;C3124)</f>
        <v/>
      </c>
      <c r="H3124">
        <f>INDEX(CBIC_Late_Fee_Relief_Windows_3B!$I$3124:$I$100,MATCH(G3124,CBIC_Late_Fee_Relief_Windows_3B!$O$3124:$O$100,0))</f>
        <v/>
      </c>
      <c r="I3124">
        <f>MIN(F3124,H3124)</f>
        <v/>
      </c>
    </row>
    <row r="3125">
      <c r="A3125">
        <f>TEST_DATA!A3125</f>
        <v/>
      </c>
      <c r="B3125">
        <f>TEST_DATA!B3125</f>
        <v/>
      </c>
      <c r="C3125">
        <f>TEST_DATA!C3125</f>
        <v/>
      </c>
      <c r="D3125">
        <f>TEST_DATA!D3125</f>
        <v/>
      </c>
      <c r="E3125">
        <f>TEST_DATA!E3125</f>
        <v/>
      </c>
      <c r="F3125">
        <f>MIN(E3125*312500,10000)</f>
        <v/>
      </c>
      <c r="G3125">
        <f>MINIFS(CBIC_Late_Fee_Relief_Windows_3B!$O$3125:$O$100,CBIC_Late_Fee_Relief_Windows_3B!$D$3125:$D$100,"&lt;="&amp;B3125,CBIC_Late_Fee_Relief_Windows_3B!$E$3125:$E$100,"&gt;="&amp;B3125,CBIC_Late_Fee_Relief_Windows_3B!$F$3125:$F$100,"&lt;="&amp;C3125,CBIC_Late_Fee_Relief_Windows_3B!$G$3125:$G$100,"&gt;="&amp;C3125)</f>
        <v/>
      </c>
      <c r="H3125">
        <f>INDEX(CBIC_Late_Fee_Relief_Windows_3B!$I$3125:$I$100,MATCH(G3125,CBIC_Late_Fee_Relief_Windows_3B!$O$3125:$O$100,0))</f>
        <v/>
      </c>
      <c r="I3125">
        <f>MIN(F3125,H3125)</f>
        <v/>
      </c>
    </row>
    <row r="3126">
      <c r="A3126">
        <f>TEST_DATA!A3126</f>
        <v/>
      </c>
      <c r="B3126">
        <f>TEST_DATA!B3126</f>
        <v/>
      </c>
      <c r="C3126">
        <f>TEST_DATA!C3126</f>
        <v/>
      </c>
      <c r="D3126">
        <f>TEST_DATA!D3126</f>
        <v/>
      </c>
      <c r="E3126">
        <f>TEST_DATA!E3126</f>
        <v/>
      </c>
      <c r="F3126">
        <f>MIN(E3126*312600,10000)</f>
        <v/>
      </c>
      <c r="G3126">
        <f>MINIFS(CBIC_Late_Fee_Relief_Windows_3B!$O$3126:$O$100,CBIC_Late_Fee_Relief_Windows_3B!$D$3126:$D$100,"&lt;="&amp;B3126,CBIC_Late_Fee_Relief_Windows_3B!$E$3126:$E$100,"&gt;="&amp;B3126,CBIC_Late_Fee_Relief_Windows_3B!$F$3126:$F$100,"&lt;="&amp;C3126,CBIC_Late_Fee_Relief_Windows_3B!$G$3126:$G$100,"&gt;="&amp;C3126)</f>
        <v/>
      </c>
      <c r="H3126">
        <f>INDEX(CBIC_Late_Fee_Relief_Windows_3B!$I$3126:$I$100,MATCH(G3126,CBIC_Late_Fee_Relief_Windows_3B!$O$3126:$O$100,0))</f>
        <v/>
      </c>
      <c r="I3126">
        <f>MIN(F3126,H3126)</f>
        <v/>
      </c>
    </row>
    <row r="3127">
      <c r="A3127">
        <f>TEST_DATA!A3127</f>
        <v/>
      </c>
      <c r="B3127">
        <f>TEST_DATA!B3127</f>
        <v/>
      </c>
      <c r="C3127">
        <f>TEST_DATA!C3127</f>
        <v/>
      </c>
      <c r="D3127">
        <f>TEST_DATA!D3127</f>
        <v/>
      </c>
      <c r="E3127">
        <f>TEST_DATA!E3127</f>
        <v/>
      </c>
      <c r="F3127">
        <f>MIN(E3127*312700,10000)</f>
        <v/>
      </c>
      <c r="G3127">
        <f>MINIFS(CBIC_Late_Fee_Relief_Windows_3B!$O$3127:$O$100,CBIC_Late_Fee_Relief_Windows_3B!$D$3127:$D$100,"&lt;="&amp;B3127,CBIC_Late_Fee_Relief_Windows_3B!$E$3127:$E$100,"&gt;="&amp;B3127,CBIC_Late_Fee_Relief_Windows_3B!$F$3127:$F$100,"&lt;="&amp;C3127,CBIC_Late_Fee_Relief_Windows_3B!$G$3127:$G$100,"&gt;="&amp;C3127)</f>
        <v/>
      </c>
      <c r="H3127">
        <f>INDEX(CBIC_Late_Fee_Relief_Windows_3B!$I$3127:$I$100,MATCH(G3127,CBIC_Late_Fee_Relief_Windows_3B!$O$3127:$O$100,0))</f>
        <v/>
      </c>
      <c r="I3127">
        <f>MIN(F3127,H3127)</f>
        <v/>
      </c>
    </row>
    <row r="3128">
      <c r="A3128">
        <f>TEST_DATA!A3128</f>
        <v/>
      </c>
      <c r="B3128">
        <f>TEST_DATA!B3128</f>
        <v/>
      </c>
      <c r="C3128">
        <f>TEST_DATA!C3128</f>
        <v/>
      </c>
      <c r="D3128">
        <f>TEST_DATA!D3128</f>
        <v/>
      </c>
      <c r="E3128">
        <f>TEST_DATA!E3128</f>
        <v/>
      </c>
      <c r="F3128">
        <f>MIN(E3128*312800,10000)</f>
        <v/>
      </c>
      <c r="G3128">
        <f>MINIFS(CBIC_Late_Fee_Relief_Windows_3B!$O$3128:$O$100,CBIC_Late_Fee_Relief_Windows_3B!$D$3128:$D$100,"&lt;="&amp;B3128,CBIC_Late_Fee_Relief_Windows_3B!$E$3128:$E$100,"&gt;="&amp;B3128,CBIC_Late_Fee_Relief_Windows_3B!$F$3128:$F$100,"&lt;="&amp;C3128,CBIC_Late_Fee_Relief_Windows_3B!$G$3128:$G$100,"&gt;="&amp;C3128)</f>
        <v/>
      </c>
      <c r="H3128">
        <f>INDEX(CBIC_Late_Fee_Relief_Windows_3B!$I$3128:$I$100,MATCH(G3128,CBIC_Late_Fee_Relief_Windows_3B!$O$3128:$O$100,0))</f>
        <v/>
      </c>
      <c r="I3128">
        <f>MIN(F3128,H3128)</f>
        <v/>
      </c>
    </row>
    <row r="3129">
      <c r="A3129">
        <f>TEST_DATA!A3129</f>
        <v/>
      </c>
      <c r="B3129">
        <f>TEST_DATA!B3129</f>
        <v/>
      </c>
      <c r="C3129">
        <f>TEST_DATA!C3129</f>
        <v/>
      </c>
      <c r="D3129">
        <f>TEST_DATA!D3129</f>
        <v/>
      </c>
      <c r="E3129">
        <f>TEST_DATA!E3129</f>
        <v/>
      </c>
      <c r="F3129">
        <f>MIN(E3129*312900,10000)</f>
        <v/>
      </c>
      <c r="G3129">
        <f>MINIFS(CBIC_Late_Fee_Relief_Windows_3B!$O$3129:$O$100,CBIC_Late_Fee_Relief_Windows_3B!$D$3129:$D$100,"&lt;="&amp;B3129,CBIC_Late_Fee_Relief_Windows_3B!$E$3129:$E$100,"&gt;="&amp;B3129,CBIC_Late_Fee_Relief_Windows_3B!$F$3129:$F$100,"&lt;="&amp;C3129,CBIC_Late_Fee_Relief_Windows_3B!$G$3129:$G$100,"&gt;="&amp;C3129)</f>
        <v/>
      </c>
      <c r="H3129">
        <f>INDEX(CBIC_Late_Fee_Relief_Windows_3B!$I$3129:$I$100,MATCH(G3129,CBIC_Late_Fee_Relief_Windows_3B!$O$3129:$O$100,0))</f>
        <v/>
      </c>
      <c r="I3129">
        <f>MIN(F3129,H3129)</f>
        <v/>
      </c>
    </row>
    <row r="3130">
      <c r="A3130">
        <f>TEST_DATA!A3130</f>
        <v/>
      </c>
      <c r="B3130">
        <f>TEST_DATA!B3130</f>
        <v/>
      </c>
      <c r="C3130">
        <f>TEST_DATA!C3130</f>
        <v/>
      </c>
      <c r="D3130">
        <f>TEST_DATA!D3130</f>
        <v/>
      </c>
      <c r="E3130">
        <f>TEST_DATA!E3130</f>
        <v/>
      </c>
      <c r="F3130">
        <f>MIN(E3130*313000,10000)</f>
        <v/>
      </c>
      <c r="G3130">
        <f>MINIFS(CBIC_Late_Fee_Relief_Windows_3B!$O$3130:$O$100,CBIC_Late_Fee_Relief_Windows_3B!$D$3130:$D$100,"&lt;="&amp;B3130,CBIC_Late_Fee_Relief_Windows_3B!$E$3130:$E$100,"&gt;="&amp;B3130,CBIC_Late_Fee_Relief_Windows_3B!$F$3130:$F$100,"&lt;="&amp;C3130,CBIC_Late_Fee_Relief_Windows_3B!$G$3130:$G$100,"&gt;="&amp;C3130)</f>
        <v/>
      </c>
      <c r="H3130">
        <f>INDEX(CBIC_Late_Fee_Relief_Windows_3B!$I$3130:$I$100,MATCH(G3130,CBIC_Late_Fee_Relief_Windows_3B!$O$3130:$O$100,0))</f>
        <v/>
      </c>
      <c r="I3130">
        <f>MIN(F3130,H3130)</f>
        <v/>
      </c>
    </row>
    <row r="3131">
      <c r="A3131">
        <f>TEST_DATA!A3131</f>
        <v/>
      </c>
      <c r="B3131">
        <f>TEST_DATA!B3131</f>
        <v/>
      </c>
      <c r="C3131">
        <f>TEST_DATA!C3131</f>
        <v/>
      </c>
      <c r="D3131">
        <f>TEST_DATA!D3131</f>
        <v/>
      </c>
      <c r="E3131">
        <f>TEST_DATA!E3131</f>
        <v/>
      </c>
      <c r="F3131">
        <f>MIN(E3131*313100,10000)</f>
        <v/>
      </c>
      <c r="G3131">
        <f>MINIFS(CBIC_Late_Fee_Relief_Windows_3B!$O$3131:$O$100,CBIC_Late_Fee_Relief_Windows_3B!$D$3131:$D$100,"&lt;="&amp;B3131,CBIC_Late_Fee_Relief_Windows_3B!$E$3131:$E$100,"&gt;="&amp;B3131,CBIC_Late_Fee_Relief_Windows_3B!$F$3131:$F$100,"&lt;="&amp;C3131,CBIC_Late_Fee_Relief_Windows_3B!$G$3131:$G$100,"&gt;="&amp;C3131)</f>
        <v/>
      </c>
      <c r="H3131">
        <f>INDEX(CBIC_Late_Fee_Relief_Windows_3B!$I$3131:$I$100,MATCH(G3131,CBIC_Late_Fee_Relief_Windows_3B!$O$3131:$O$100,0))</f>
        <v/>
      </c>
      <c r="I3131">
        <f>MIN(F3131,H3131)</f>
        <v/>
      </c>
    </row>
    <row r="3132">
      <c r="A3132">
        <f>TEST_DATA!A3132</f>
        <v/>
      </c>
      <c r="B3132">
        <f>TEST_DATA!B3132</f>
        <v/>
      </c>
      <c r="C3132">
        <f>TEST_DATA!C3132</f>
        <v/>
      </c>
      <c r="D3132">
        <f>TEST_DATA!D3132</f>
        <v/>
      </c>
      <c r="E3132">
        <f>TEST_DATA!E3132</f>
        <v/>
      </c>
      <c r="F3132">
        <f>MIN(E3132*313200,10000)</f>
        <v/>
      </c>
      <c r="G3132">
        <f>MINIFS(CBIC_Late_Fee_Relief_Windows_3B!$O$3132:$O$100,CBIC_Late_Fee_Relief_Windows_3B!$D$3132:$D$100,"&lt;="&amp;B3132,CBIC_Late_Fee_Relief_Windows_3B!$E$3132:$E$100,"&gt;="&amp;B3132,CBIC_Late_Fee_Relief_Windows_3B!$F$3132:$F$100,"&lt;="&amp;C3132,CBIC_Late_Fee_Relief_Windows_3B!$G$3132:$G$100,"&gt;="&amp;C3132)</f>
        <v/>
      </c>
      <c r="H3132">
        <f>INDEX(CBIC_Late_Fee_Relief_Windows_3B!$I$3132:$I$100,MATCH(G3132,CBIC_Late_Fee_Relief_Windows_3B!$O$3132:$O$100,0))</f>
        <v/>
      </c>
      <c r="I3132">
        <f>MIN(F3132,H3132)</f>
        <v/>
      </c>
    </row>
    <row r="3133">
      <c r="A3133">
        <f>TEST_DATA!A3133</f>
        <v/>
      </c>
      <c r="B3133">
        <f>TEST_DATA!B3133</f>
        <v/>
      </c>
      <c r="C3133">
        <f>TEST_DATA!C3133</f>
        <v/>
      </c>
      <c r="D3133">
        <f>TEST_DATA!D3133</f>
        <v/>
      </c>
      <c r="E3133">
        <f>TEST_DATA!E3133</f>
        <v/>
      </c>
      <c r="F3133">
        <f>MIN(E3133*313300,10000)</f>
        <v/>
      </c>
      <c r="G3133">
        <f>MINIFS(CBIC_Late_Fee_Relief_Windows_3B!$O$3133:$O$100,CBIC_Late_Fee_Relief_Windows_3B!$D$3133:$D$100,"&lt;="&amp;B3133,CBIC_Late_Fee_Relief_Windows_3B!$E$3133:$E$100,"&gt;="&amp;B3133,CBIC_Late_Fee_Relief_Windows_3B!$F$3133:$F$100,"&lt;="&amp;C3133,CBIC_Late_Fee_Relief_Windows_3B!$G$3133:$G$100,"&gt;="&amp;C3133)</f>
        <v/>
      </c>
      <c r="H3133">
        <f>INDEX(CBIC_Late_Fee_Relief_Windows_3B!$I$3133:$I$100,MATCH(G3133,CBIC_Late_Fee_Relief_Windows_3B!$O$3133:$O$100,0))</f>
        <v/>
      </c>
      <c r="I3133">
        <f>MIN(F3133,H3133)</f>
        <v/>
      </c>
    </row>
    <row r="3134">
      <c r="A3134">
        <f>TEST_DATA!A3134</f>
        <v/>
      </c>
      <c r="B3134">
        <f>TEST_DATA!B3134</f>
        <v/>
      </c>
      <c r="C3134">
        <f>TEST_DATA!C3134</f>
        <v/>
      </c>
      <c r="D3134">
        <f>TEST_DATA!D3134</f>
        <v/>
      </c>
      <c r="E3134">
        <f>TEST_DATA!E3134</f>
        <v/>
      </c>
      <c r="F3134">
        <f>MIN(E3134*313400,10000)</f>
        <v/>
      </c>
      <c r="G3134">
        <f>MINIFS(CBIC_Late_Fee_Relief_Windows_3B!$O$3134:$O$100,CBIC_Late_Fee_Relief_Windows_3B!$D$3134:$D$100,"&lt;="&amp;B3134,CBIC_Late_Fee_Relief_Windows_3B!$E$3134:$E$100,"&gt;="&amp;B3134,CBIC_Late_Fee_Relief_Windows_3B!$F$3134:$F$100,"&lt;="&amp;C3134,CBIC_Late_Fee_Relief_Windows_3B!$G$3134:$G$100,"&gt;="&amp;C3134)</f>
        <v/>
      </c>
      <c r="H3134">
        <f>INDEX(CBIC_Late_Fee_Relief_Windows_3B!$I$3134:$I$100,MATCH(G3134,CBIC_Late_Fee_Relief_Windows_3B!$O$3134:$O$100,0))</f>
        <v/>
      </c>
      <c r="I3134">
        <f>MIN(F3134,H3134)</f>
        <v/>
      </c>
    </row>
    <row r="3135">
      <c r="A3135">
        <f>TEST_DATA!A3135</f>
        <v/>
      </c>
      <c r="B3135">
        <f>TEST_DATA!B3135</f>
        <v/>
      </c>
      <c r="C3135">
        <f>TEST_DATA!C3135</f>
        <v/>
      </c>
      <c r="D3135">
        <f>TEST_DATA!D3135</f>
        <v/>
      </c>
      <c r="E3135">
        <f>TEST_DATA!E3135</f>
        <v/>
      </c>
      <c r="F3135">
        <f>MIN(E3135*313500,10000)</f>
        <v/>
      </c>
      <c r="G3135">
        <f>MINIFS(CBIC_Late_Fee_Relief_Windows_3B!$O$3135:$O$100,CBIC_Late_Fee_Relief_Windows_3B!$D$3135:$D$100,"&lt;="&amp;B3135,CBIC_Late_Fee_Relief_Windows_3B!$E$3135:$E$100,"&gt;="&amp;B3135,CBIC_Late_Fee_Relief_Windows_3B!$F$3135:$F$100,"&lt;="&amp;C3135,CBIC_Late_Fee_Relief_Windows_3B!$G$3135:$G$100,"&gt;="&amp;C3135)</f>
        <v/>
      </c>
      <c r="H3135">
        <f>INDEX(CBIC_Late_Fee_Relief_Windows_3B!$I$3135:$I$100,MATCH(G3135,CBIC_Late_Fee_Relief_Windows_3B!$O$3135:$O$100,0))</f>
        <v/>
      </c>
      <c r="I3135">
        <f>MIN(F3135,H3135)</f>
        <v/>
      </c>
    </row>
    <row r="3136">
      <c r="A3136">
        <f>TEST_DATA!A3136</f>
        <v/>
      </c>
      <c r="B3136">
        <f>TEST_DATA!B3136</f>
        <v/>
      </c>
      <c r="C3136">
        <f>TEST_DATA!C3136</f>
        <v/>
      </c>
      <c r="D3136">
        <f>TEST_DATA!D3136</f>
        <v/>
      </c>
      <c r="E3136">
        <f>TEST_DATA!E3136</f>
        <v/>
      </c>
      <c r="F3136">
        <f>MIN(E3136*313600,10000)</f>
        <v/>
      </c>
      <c r="G3136">
        <f>MINIFS(CBIC_Late_Fee_Relief_Windows_3B!$O$3136:$O$100,CBIC_Late_Fee_Relief_Windows_3B!$D$3136:$D$100,"&lt;="&amp;B3136,CBIC_Late_Fee_Relief_Windows_3B!$E$3136:$E$100,"&gt;="&amp;B3136,CBIC_Late_Fee_Relief_Windows_3B!$F$3136:$F$100,"&lt;="&amp;C3136,CBIC_Late_Fee_Relief_Windows_3B!$G$3136:$G$100,"&gt;="&amp;C3136)</f>
        <v/>
      </c>
      <c r="H3136">
        <f>INDEX(CBIC_Late_Fee_Relief_Windows_3B!$I$3136:$I$100,MATCH(G3136,CBIC_Late_Fee_Relief_Windows_3B!$O$3136:$O$100,0))</f>
        <v/>
      </c>
      <c r="I3136">
        <f>MIN(F3136,H3136)</f>
        <v/>
      </c>
    </row>
    <row r="3137">
      <c r="A3137">
        <f>TEST_DATA!A3137</f>
        <v/>
      </c>
      <c r="B3137">
        <f>TEST_DATA!B3137</f>
        <v/>
      </c>
      <c r="C3137">
        <f>TEST_DATA!C3137</f>
        <v/>
      </c>
      <c r="D3137">
        <f>TEST_DATA!D3137</f>
        <v/>
      </c>
      <c r="E3137">
        <f>TEST_DATA!E3137</f>
        <v/>
      </c>
      <c r="F3137">
        <f>MIN(E3137*313700,10000)</f>
        <v/>
      </c>
      <c r="G3137">
        <f>MINIFS(CBIC_Late_Fee_Relief_Windows_3B!$O$3137:$O$100,CBIC_Late_Fee_Relief_Windows_3B!$D$3137:$D$100,"&lt;="&amp;B3137,CBIC_Late_Fee_Relief_Windows_3B!$E$3137:$E$100,"&gt;="&amp;B3137,CBIC_Late_Fee_Relief_Windows_3B!$F$3137:$F$100,"&lt;="&amp;C3137,CBIC_Late_Fee_Relief_Windows_3B!$G$3137:$G$100,"&gt;="&amp;C3137)</f>
        <v/>
      </c>
      <c r="H3137">
        <f>INDEX(CBIC_Late_Fee_Relief_Windows_3B!$I$3137:$I$100,MATCH(G3137,CBIC_Late_Fee_Relief_Windows_3B!$O$3137:$O$100,0))</f>
        <v/>
      </c>
      <c r="I3137">
        <f>MIN(F3137,H3137)</f>
        <v/>
      </c>
    </row>
    <row r="3138">
      <c r="A3138">
        <f>TEST_DATA!A3138</f>
        <v/>
      </c>
      <c r="B3138">
        <f>TEST_DATA!B3138</f>
        <v/>
      </c>
      <c r="C3138">
        <f>TEST_DATA!C3138</f>
        <v/>
      </c>
      <c r="D3138">
        <f>TEST_DATA!D3138</f>
        <v/>
      </c>
      <c r="E3138">
        <f>TEST_DATA!E3138</f>
        <v/>
      </c>
      <c r="F3138">
        <f>MIN(E3138*313800,10000)</f>
        <v/>
      </c>
      <c r="G3138">
        <f>MINIFS(CBIC_Late_Fee_Relief_Windows_3B!$O$3138:$O$100,CBIC_Late_Fee_Relief_Windows_3B!$D$3138:$D$100,"&lt;="&amp;B3138,CBIC_Late_Fee_Relief_Windows_3B!$E$3138:$E$100,"&gt;="&amp;B3138,CBIC_Late_Fee_Relief_Windows_3B!$F$3138:$F$100,"&lt;="&amp;C3138,CBIC_Late_Fee_Relief_Windows_3B!$G$3138:$G$100,"&gt;="&amp;C3138)</f>
        <v/>
      </c>
      <c r="H3138">
        <f>INDEX(CBIC_Late_Fee_Relief_Windows_3B!$I$3138:$I$100,MATCH(G3138,CBIC_Late_Fee_Relief_Windows_3B!$O$3138:$O$100,0))</f>
        <v/>
      </c>
      <c r="I3138">
        <f>MIN(F3138,H3138)</f>
        <v/>
      </c>
    </row>
    <row r="3139">
      <c r="A3139">
        <f>TEST_DATA!A3139</f>
        <v/>
      </c>
      <c r="B3139">
        <f>TEST_DATA!B3139</f>
        <v/>
      </c>
      <c r="C3139">
        <f>TEST_DATA!C3139</f>
        <v/>
      </c>
      <c r="D3139">
        <f>TEST_DATA!D3139</f>
        <v/>
      </c>
      <c r="E3139">
        <f>TEST_DATA!E3139</f>
        <v/>
      </c>
      <c r="F3139">
        <f>MIN(E3139*313900,10000)</f>
        <v/>
      </c>
      <c r="G3139">
        <f>MINIFS(CBIC_Late_Fee_Relief_Windows_3B!$O$3139:$O$100,CBIC_Late_Fee_Relief_Windows_3B!$D$3139:$D$100,"&lt;="&amp;B3139,CBIC_Late_Fee_Relief_Windows_3B!$E$3139:$E$100,"&gt;="&amp;B3139,CBIC_Late_Fee_Relief_Windows_3B!$F$3139:$F$100,"&lt;="&amp;C3139,CBIC_Late_Fee_Relief_Windows_3B!$G$3139:$G$100,"&gt;="&amp;C3139)</f>
        <v/>
      </c>
      <c r="H3139">
        <f>INDEX(CBIC_Late_Fee_Relief_Windows_3B!$I$3139:$I$100,MATCH(G3139,CBIC_Late_Fee_Relief_Windows_3B!$O$3139:$O$100,0))</f>
        <v/>
      </c>
      <c r="I3139">
        <f>MIN(F3139,H3139)</f>
        <v/>
      </c>
    </row>
    <row r="3140">
      <c r="A3140">
        <f>TEST_DATA!A3140</f>
        <v/>
      </c>
      <c r="B3140">
        <f>TEST_DATA!B3140</f>
        <v/>
      </c>
      <c r="C3140">
        <f>TEST_DATA!C3140</f>
        <v/>
      </c>
      <c r="D3140">
        <f>TEST_DATA!D3140</f>
        <v/>
      </c>
      <c r="E3140">
        <f>TEST_DATA!E3140</f>
        <v/>
      </c>
      <c r="F3140">
        <f>MIN(E3140*314000,10000)</f>
        <v/>
      </c>
      <c r="G3140">
        <f>MINIFS(CBIC_Late_Fee_Relief_Windows_3B!$O$3140:$O$100,CBIC_Late_Fee_Relief_Windows_3B!$D$3140:$D$100,"&lt;="&amp;B3140,CBIC_Late_Fee_Relief_Windows_3B!$E$3140:$E$100,"&gt;="&amp;B3140,CBIC_Late_Fee_Relief_Windows_3B!$F$3140:$F$100,"&lt;="&amp;C3140,CBIC_Late_Fee_Relief_Windows_3B!$G$3140:$G$100,"&gt;="&amp;C3140)</f>
        <v/>
      </c>
      <c r="H3140">
        <f>INDEX(CBIC_Late_Fee_Relief_Windows_3B!$I$3140:$I$100,MATCH(G3140,CBIC_Late_Fee_Relief_Windows_3B!$O$3140:$O$100,0))</f>
        <v/>
      </c>
      <c r="I3140">
        <f>MIN(F3140,H3140)</f>
        <v/>
      </c>
    </row>
    <row r="3141">
      <c r="A3141">
        <f>TEST_DATA!A3141</f>
        <v/>
      </c>
      <c r="B3141">
        <f>TEST_DATA!B3141</f>
        <v/>
      </c>
      <c r="C3141">
        <f>TEST_DATA!C3141</f>
        <v/>
      </c>
      <c r="D3141">
        <f>TEST_DATA!D3141</f>
        <v/>
      </c>
      <c r="E3141">
        <f>TEST_DATA!E3141</f>
        <v/>
      </c>
      <c r="F3141">
        <f>MIN(E3141*314100,10000)</f>
        <v/>
      </c>
      <c r="G3141">
        <f>MINIFS(CBIC_Late_Fee_Relief_Windows_3B!$O$3141:$O$100,CBIC_Late_Fee_Relief_Windows_3B!$D$3141:$D$100,"&lt;="&amp;B3141,CBIC_Late_Fee_Relief_Windows_3B!$E$3141:$E$100,"&gt;="&amp;B3141,CBIC_Late_Fee_Relief_Windows_3B!$F$3141:$F$100,"&lt;="&amp;C3141,CBIC_Late_Fee_Relief_Windows_3B!$G$3141:$G$100,"&gt;="&amp;C3141)</f>
        <v/>
      </c>
      <c r="H3141">
        <f>INDEX(CBIC_Late_Fee_Relief_Windows_3B!$I$3141:$I$100,MATCH(G3141,CBIC_Late_Fee_Relief_Windows_3B!$O$3141:$O$100,0))</f>
        <v/>
      </c>
      <c r="I3141">
        <f>MIN(F3141,H3141)</f>
        <v/>
      </c>
    </row>
    <row r="3142">
      <c r="A3142">
        <f>TEST_DATA!A3142</f>
        <v/>
      </c>
      <c r="B3142">
        <f>TEST_DATA!B3142</f>
        <v/>
      </c>
      <c r="C3142">
        <f>TEST_DATA!C3142</f>
        <v/>
      </c>
      <c r="D3142">
        <f>TEST_DATA!D3142</f>
        <v/>
      </c>
      <c r="E3142">
        <f>TEST_DATA!E3142</f>
        <v/>
      </c>
      <c r="F3142">
        <f>MIN(E3142*314200,10000)</f>
        <v/>
      </c>
      <c r="G3142">
        <f>MINIFS(CBIC_Late_Fee_Relief_Windows_3B!$O$3142:$O$100,CBIC_Late_Fee_Relief_Windows_3B!$D$3142:$D$100,"&lt;="&amp;B3142,CBIC_Late_Fee_Relief_Windows_3B!$E$3142:$E$100,"&gt;="&amp;B3142,CBIC_Late_Fee_Relief_Windows_3B!$F$3142:$F$100,"&lt;="&amp;C3142,CBIC_Late_Fee_Relief_Windows_3B!$G$3142:$G$100,"&gt;="&amp;C3142)</f>
        <v/>
      </c>
      <c r="H3142">
        <f>INDEX(CBIC_Late_Fee_Relief_Windows_3B!$I$3142:$I$100,MATCH(G3142,CBIC_Late_Fee_Relief_Windows_3B!$O$3142:$O$100,0))</f>
        <v/>
      </c>
      <c r="I3142">
        <f>MIN(F3142,H3142)</f>
        <v/>
      </c>
    </row>
    <row r="3143">
      <c r="A3143">
        <f>TEST_DATA!A3143</f>
        <v/>
      </c>
      <c r="B3143">
        <f>TEST_DATA!B3143</f>
        <v/>
      </c>
      <c r="C3143">
        <f>TEST_DATA!C3143</f>
        <v/>
      </c>
      <c r="D3143">
        <f>TEST_DATA!D3143</f>
        <v/>
      </c>
      <c r="E3143">
        <f>TEST_DATA!E3143</f>
        <v/>
      </c>
      <c r="F3143">
        <f>MIN(E3143*314300,10000)</f>
        <v/>
      </c>
      <c r="G3143">
        <f>MINIFS(CBIC_Late_Fee_Relief_Windows_3B!$O$3143:$O$100,CBIC_Late_Fee_Relief_Windows_3B!$D$3143:$D$100,"&lt;="&amp;B3143,CBIC_Late_Fee_Relief_Windows_3B!$E$3143:$E$100,"&gt;="&amp;B3143,CBIC_Late_Fee_Relief_Windows_3B!$F$3143:$F$100,"&lt;="&amp;C3143,CBIC_Late_Fee_Relief_Windows_3B!$G$3143:$G$100,"&gt;="&amp;C3143)</f>
        <v/>
      </c>
      <c r="H3143">
        <f>INDEX(CBIC_Late_Fee_Relief_Windows_3B!$I$3143:$I$100,MATCH(G3143,CBIC_Late_Fee_Relief_Windows_3B!$O$3143:$O$100,0))</f>
        <v/>
      </c>
      <c r="I3143">
        <f>MIN(F3143,H3143)</f>
        <v/>
      </c>
    </row>
    <row r="3144">
      <c r="A3144">
        <f>TEST_DATA!A3144</f>
        <v/>
      </c>
      <c r="B3144">
        <f>TEST_DATA!B3144</f>
        <v/>
      </c>
      <c r="C3144">
        <f>TEST_DATA!C3144</f>
        <v/>
      </c>
      <c r="D3144">
        <f>TEST_DATA!D3144</f>
        <v/>
      </c>
      <c r="E3144">
        <f>TEST_DATA!E3144</f>
        <v/>
      </c>
      <c r="F3144">
        <f>MIN(E3144*314400,10000)</f>
        <v/>
      </c>
      <c r="G3144">
        <f>MINIFS(CBIC_Late_Fee_Relief_Windows_3B!$O$3144:$O$100,CBIC_Late_Fee_Relief_Windows_3B!$D$3144:$D$100,"&lt;="&amp;B3144,CBIC_Late_Fee_Relief_Windows_3B!$E$3144:$E$100,"&gt;="&amp;B3144,CBIC_Late_Fee_Relief_Windows_3B!$F$3144:$F$100,"&lt;="&amp;C3144,CBIC_Late_Fee_Relief_Windows_3B!$G$3144:$G$100,"&gt;="&amp;C3144)</f>
        <v/>
      </c>
      <c r="H3144">
        <f>INDEX(CBIC_Late_Fee_Relief_Windows_3B!$I$3144:$I$100,MATCH(G3144,CBIC_Late_Fee_Relief_Windows_3B!$O$3144:$O$100,0))</f>
        <v/>
      </c>
      <c r="I3144">
        <f>MIN(F3144,H3144)</f>
        <v/>
      </c>
    </row>
    <row r="3145">
      <c r="A3145">
        <f>TEST_DATA!A3145</f>
        <v/>
      </c>
      <c r="B3145">
        <f>TEST_DATA!B3145</f>
        <v/>
      </c>
      <c r="C3145">
        <f>TEST_DATA!C3145</f>
        <v/>
      </c>
      <c r="D3145">
        <f>TEST_DATA!D3145</f>
        <v/>
      </c>
      <c r="E3145">
        <f>TEST_DATA!E3145</f>
        <v/>
      </c>
      <c r="F3145">
        <f>MIN(E3145*314500,10000)</f>
        <v/>
      </c>
      <c r="G3145">
        <f>MINIFS(CBIC_Late_Fee_Relief_Windows_3B!$O$3145:$O$100,CBIC_Late_Fee_Relief_Windows_3B!$D$3145:$D$100,"&lt;="&amp;B3145,CBIC_Late_Fee_Relief_Windows_3B!$E$3145:$E$100,"&gt;="&amp;B3145,CBIC_Late_Fee_Relief_Windows_3B!$F$3145:$F$100,"&lt;="&amp;C3145,CBIC_Late_Fee_Relief_Windows_3B!$G$3145:$G$100,"&gt;="&amp;C3145)</f>
        <v/>
      </c>
      <c r="H3145">
        <f>INDEX(CBIC_Late_Fee_Relief_Windows_3B!$I$3145:$I$100,MATCH(G3145,CBIC_Late_Fee_Relief_Windows_3B!$O$3145:$O$100,0))</f>
        <v/>
      </c>
      <c r="I3145">
        <f>MIN(F3145,H3145)</f>
        <v/>
      </c>
    </row>
    <row r="3146">
      <c r="A3146">
        <f>TEST_DATA!A3146</f>
        <v/>
      </c>
      <c r="B3146">
        <f>TEST_DATA!B3146</f>
        <v/>
      </c>
      <c r="C3146">
        <f>TEST_DATA!C3146</f>
        <v/>
      </c>
      <c r="D3146">
        <f>TEST_DATA!D3146</f>
        <v/>
      </c>
      <c r="E3146">
        <f>TEST_DATA!E3146</f>
        <v/>
      </c>
      <c r="F3146">
        <f>MIN(E3146*314600,10000)</f>
        <v/>
      </c>
      <c r="G3146">
        <f>MINIFS(CBIC_Late_Fee_Relief_Windows_3B!$O$3146:$O$100,CBIC_Late_Fee_Relief_Windows_3B!$D$3146:$D$100,"&lt;="&amp;B3146,CBIC_Late_Fee_Relief_Windows_3B!$E$3146:$E$100,"&gt;="&amp;B3146,CBIC_Late_Fee_Relief_Windows_3B!$F$3146:$F$100,"&lt;="&amp;C3146,CBIC_Late_Fee_Relief_Windows_3B!$G$3146:$G$100,"&gt;="&amp;C3146)</f>
        <v/>
      </c>
      <c r="H3146">
        <f>INDEX(CBIC_Late_Fee_Relief_Windows_3B!$I$3146:$I$100,MATCH(G3146,CBIC_Late_Fee_Relief_Windows_3B!$O$3146:$O$100,0))</f>
        <v/>
      </c>
      <c r="I3146">
        <f>MIN(F3146,H3146)</f>
        <v/>
      </c>
    </row>
    <row r="3147">
      <c r="A3147">
        <f>TEST_DATA!A3147</f>
        <v/>
      </c>
      <c r="B3147">
        <f>TEST_DATA!B3147</f>
        <v/>
      </c>
      <c r="C3147">
        <f>TEST_DATA!C3147</f>
        <v/>
      </c>
      <c r="D3147">
        <f>TEST_DATA!D3147</f>
        <v/>
      </c>
      <c r="E3147">
        <f>TEST_DATA!E3147</f>
        <v/>
      </c>
      <c r="F3147">
        <f>MIN(E3147*314700,10000)</f>
        <v/>
      </c>
      <c r="G3147">
        <f>MINIFS(CBIC_Late_Fee_Relief_Windows_3B!$O$3147:$O$100,CBIC_Late_Fee_Relief_Windows_3B!$D$3147:$D$100,"&lt;="&amp;B3147,CBIC_Late_Fee_Relief_Windows_3B!$E$3147:$E$100,"&gt;="&amp;B3147,CBIC_Late_Fee_Relief_Windows_3B!$F$3147:$F$100,"&lt;="&amp;C3147,CBIC_Late_Fee_Relief_Windows_3B!$G$3147:$G$100,"&gt;="&amp;C3147)</f>
        <v/>
      </c>
      <c r="H3147">
        <f>INDEX(CBIC_Late_Fee_Relief_Windows_3B!$I$3147:$I$100,MATCH(G3147,CBIC_Late_Fee_Relief_Windows_3B!$O$3147:$O$100,0))</f>
        <v/>
      </c>
      <c r="I3147">
        <f>MIN(F3147,H3147)</f>
        <v/>
      </c>
    </row>
    <row r="3148">
      <c r="A3148">
        <f>TEST_DATA!A3148</f>
        <v/>
      </c>
      <c r="B3148">
        <f>TEST_DATA!B3148</f>
        <v/>
      </c>
      <c r="C3148">
        <f>TEST_DATA!C3148</f>
        <v/>
      </c>
      <c r="D3148">
        <f>TEST_DATA!D3148</f>
        <v/>
      </c>
      <c r="E3148">
        <f>TEST_DATA!E3148</f>
        <v/>
      </c>
      <c r="F3148">
        <f>MIN(E3148*314800,10000)</f>
        <v/>
      </c>
      <c r="G3148">
        <f>MINIFS(CBIC_Late_Fee_Relief_Windows_3B!$O$3148:$O$100,CBIC_Late_Fee_Relief_Windows_3B!$D$3148:$D$100,"&lt;="&amp;B3148,CBIC_Late_Fee_Relief_Windows_3B!$E$3148:$E$100,"&gt;="&amp;B3148,CBIC_Late_Fee_Relief_Windows_3B!$F$3148:$F$100,"&lt;="&amp;C3148,CBIC_Late_Fee_Relief_Windows_3B!$G$3148:$G$100,"&gt;="&amp;C3148)</f>
        <v/>
      </c>
      <c r="H3148">
        <f>INDEX(CBIC_Late_Fee_Relief_Windows_3B!$I$3148:$I$100,MATCH(G3148,CBIC_Late_Fee_Relief_Windows_3B!$O$3148:$O$100,0))</f>
        <v/>
      </c>
      <c r="I3148">
        <f>MIN(F3148,H3148)</f>
        <v/>
      </c>
    </row>
    <row r="3149">
      <c r="A3149">
        <f>TEST_DATA!A3149</f>
        <v/>
      </c>
      <c r="B3149">
        <f>TEST_DATA!B3149</f>
        <v/>
      </c>
      <c r="C3149">
        <f>TEST_DATA!C3149</f>
        <v/>
      </c>
      <c r="D3149">
        <f>TEST_DATA!D3149</f>
        <v/>
      </c>
      <c r="E3149">
        <f>TEST_DATA!E3149</f>
        <v/>
      </c>
      <c r="F3149">
        <f>MIN(E3149*314900,10000)</f>
        <v/>
      </c>
      <c r="G3149">
        <f>MINIFS(CBIC_Late_Fee_Relief_Windows_3B!$O$3149:$O$100,CBIC_Late_Fee_Relief_Windows_3B!$D$3149:$D$100,"&lt;="&amp;B3149,CBIC_Late_Fee_Relief_Windows_3B!$E$3149:$E$100,"&gt;="&amp;B3149,CBIC_Late_Fee_Relief_Windows_3B!$F$3149:$F$100,"&lt;="&amp;C3149,CBIC_Late_Fee_Relief_Windows_3B!$G$3149:$G$100,"&gt;="&amp;C3149)</f>
        <v/>
      </c>
      <c r="H3149">
        <f>INDEX(CBIC_Late_Fee_Relief_Windows_3B!$I$3149:$I$100,MATCH(G3149,CBIC_Late_Fee_Relief_Windows_3B!$O$3149:$O$100,0))</f>
        <v/>
      </c>
      <c r="I3149">
        <f>MIN(F3149,H3149)</f>
        <v/>
      </c>
    </row>
    <row r="3150">
      <c r="A3150">
        <f>TEST_DATA!A3150</f>
        <v/>
      </c>
      <c r="B3150">
        <f>TEST_DATA!B3150</f>
        <v/>
      </c>
      <c r="C3150">
        <f>TEST_DATA!C3150</f>
        <v/>
      </c>
      <c r="D3150">
        <f>TEST_DATA!D3150</f>
        <v/>
      </c>
      <c r="E3150">
        <f>TEST_DATA!E3150</f>
        <v/>
      </c>
      <c r="F3150">
        <f>MIN(E3150*315000,10000)</f>
        <v/>
      </c>
      <c r="G3150">
        <f>MINIFS(CBIC_Late_Fee_Relief_Windows_3B!$O$3150:$O$100,CBIC_Late_Fee_Relief_Windows_3B!$D$3150:$D$100,"&lt;="&amp;B3150,CBIC_Late_Fee_Relief_Windows_3B!$E$3150:$E$100,"&gt;="&amp;B3150,CBIC_Late_Fee_Relief_Windows_3B!$F$3150:$F$100,"&lt;="&amp;C3150,CBIC_Late_Fee_Relief_Windows_3B!$G$3150:$G$100,"&gt;="&amp;C3150)</f>
        <v/>
      </c>
      <c r="H3150">
        <f>INDEX(CBIC_Late_Fee_Relief_Windows_3B!$I$3150:$I$100,MATCH(G3150,CBIC_Late_Fee_Relief_Windows_3B!$O$3150:$O$100,0))</f>
        <v/>
      </c>
      <c r="I3150">
        <f>MIN(F3150,H3150)</f>
        <v/>
      </c>
    </row>
    <row r="3151">
      <c r="A3151">
        <f>TEST_DATA!A3151</f>
        <v/>
      </c>
      <c r="B3151">
        <f>TEST_DATA!B3151</f>
        <v/>
      </c>
      <c r="C3151">
        <f>TEST_DATA!C3151</f>
        <v/>
      </c>
      <c r="D3151">
        <f>TEST_DATA!D3151</f>
        <v/>
      </c>
      <c r="E3151">
        <f>TEST_DATA!E3151</f>
        <v/>
      </c>
      <c r="F3151">
        <f>MIN(E3151*315100,10000)</f>
        <v/>
      </c>
      <c r="G3151">
        <f>MINIFS(CBIC_Late_Fee_Relief_Windows_3B!$O$3151:$O$100,CBIC_Late_Fee_Relief_Windows_3B!$D$3151:$D$100,"&lt;="&amp;B3151,CBIC_Late_Fee_Relief_Windows_3B!$E$3151:$E$100,"&gt;="&amp;B3151,CBIC_Late_Fee_Relief_Windows_3B!$F$3151:$F$100,"&lt;="&amp;C3151,CBIC_Late_Fee_Relief_Windows_3B!$G$3151:$G$100,"&gt;="&amp;C3151)</f>
        <v/>
      </c>
      <c r="H3151">
        <f>INDEX(CBIC_Late_Fee_Relief_Windows_3B!$I$3151:$I$100,MATCH(G3151,CBIC_Late_Fee_Relief_Windows_3B!$O$3151:$O$100,0))</f>
        <v/>
      </c>
      <c r="I3151">
        <f>MIN(F3151,H3151)</f>
        <v/>
      </c>
    </row>
    <row r="3152">
      <c r="A3152">
        <f>TEST_DATA!A3152</f>
        <v/>
      </c>
      <c r="B3152">
        <f>TEST_DATA!B3152</f>
        <v/>
      </c>
      <c r="C3152">
        <f>TEST_DATA!C3152</f>
        <v/>
      </c>
      <c r="D3152">
        <f>TEST_DATA!D3152</f>
        <v/>
      </c>
      <c r="E3152">
        <f>TEST_DATA!E3152</f>
        <v/>
      </c>
      <c r="F3152">
        <f>MIN(E3152*315200,10000)</f>
        <v/>
      </c>
      <c r="G3152">
        <f>MINIFS(CBIC_Late_Fee_Relief_Windows_3B!$O$3152:$O$100,CBIC_Late_Fee_Relief_Windows_3B!$D$3152:$D$100,"&lt;="&amp;B3152,CBIC_Late_Fee_Relief_Windows_3B!$E$3152:$E$100,"&gt;="&amp;B3152,CBIC_Late_Fee_Relief_Windows_3B!$F$3152:$F$100,"&lt;="&amp;C3152,CBIC_Late_Fee_Relief_Windows_3B!$G$3152:$G$100,"&gt;="&amp;C3152)</f>
        <v/>
      </c>
      <c r="H3152">
        <f>INDEX(CBIC_Late_Fee_Relief_Windows_3B!$I$3152:$I$100,MATCH(G3152,CBIC_Late_Fee_Relief_Windows_3B!$O$3152:$O$100,0))</f>
        <v/>
      </c>
      <c r="I3152">
        <f>MIN(F3152,H3152)</f>
        <v/>
      </c>
    </row>
    <row r="3153">
      <c r="A3153">
        <f>TEST_DATA!A3153</f>
        <v/>
      </c>
      <c r="B3153">
        <f>TEST_DATA!B3153</f>
        <v/>
      </c>
      <c r="C3153">
        <f>TEST_DATA!C3153</f>
        <v/>
      </c>
      <c r="D3153">
        <f>TEST_DATA!D3153</f>
        <v/>
      </c>
      <c r="E3153">
        <f>TEST_DATA!E3153</f>
        <v/>
      </c>
      <c r="F3153">
        <f>MIN(E3153*315300,10000)</f>
        <v/>
      </c>
      <c r="G3153">
        <f>MINIFS(CBIC_Late_Fee_Relief_Windows_3B!$O$3153:$O$100,CBIC_Late_Fee_Relief_Windows_3B!$D$3153:$D$100,"&lt;="&amp;B3153,CBIC_Late_Fee_Relief_Windows_3B!$E$3153:$E$100,"&gt;="&amp;B3153,CBIC_Late_Fee_Relief_Windows_3B!$F$3153:$F$100,"&lt;="&amp;C3153,CBIC_Late_Fee_Relief_Windows_3B!$G$3153:$G$100,"&gt;="&amp;C3153)</f>
        <v/>
      </c>
      <c r="H3153">
        <f>INDEX(CBIC_Late_Fee_Relief_Windows_3B!$I$3153:$I$100,MATCH(G3153,CBIC_Late_Fee_Relief_Windows_3B!$O$3153:$O$100,0))</f>
        <v/>
      </c>
      <c r="I3153">
        <f>MIN(F3153,H3153)</f>
        <v/>
      </c>
    </row>
    <row r="3154">
      <c r="A3154">
        <f>TEST_DATA!A3154</f>
        <v/>
      </c>
      <c r="B3154">
        <f>TEST_DATA!B3154</f>
        <v/>
      </c>
      <c r="C3154">
        <f>TEST_DATA!C3154</f>
        <v/>
      </c>
      <c r="D3154">
        <f>TEST_DATA!D3154</f>
        <v/>
      </c>
      <c r="E3154">
        <f>TEST_DATA!E3154</f>
        <v/>
      </c>
      <c r="F3154">
        <f>MIN(E3154*315400,10000)</f>
        <v/>
      </c>
      <c r="G3154">
        <f>MINIFS(CBIC_Late_Fee_Relief_Windows_3B!$O$3154:$O$100,CBIC_Late_Fee_Relief_Windows_3B!$D$3154:$D$100,"&lt;="&amp;B3154,CBIC_Late_Fee_Relief_Windows_3B!$E$3154:$E$100,"&gt;="&amp;B3154,CBIC_Late_Fee_Relief_Windows_3B!$F$3154:$F$100,"&lt;="&amp;C3154,CBIC_Late_Fee_Relief_Windows_3B!$G$3154:$G$100,"&gt;="&amp;C3154)</f>
        <v/>
      </c>
      <c r="H3154">
        <f>INDEX(CBIC_Late_Fee_Relief_Windows_3B!$I$3154:$I$100,MATCH(G3154,CBIC_Late_Fee_Relief_Windows_3B!$O$3154:$O$100,0))</f>
        <v/>
      </c>
      <c r="I3154">
        <f>MIN(F3154,H3154)</f>
        <v/>
      </c>
    </row>
    <row r="3155">
      <c r="A3155">
        <f>TEST_DATA!A3155</f>
        <v/>
      </c>
      <c r="B3155">
        <f>TEST_DATA!B3155</f>
        <v/>
      </c>
      <c r="C3155">
        <f>TEST_DATA!C3155</f>
        <v/>
      </c>
      <c r="D3155">
        <f>TEST_DATA!D3155</f>
        <v/>
      </c>
      <c r="E3155">
        <f>TEST_DATA!E3155</f>
        <v/>
      </c>
      <c r="F3155">
        <f>MIN(E3155*315500,10000)</f>
        <v/>
      </c>
      <c r="G3155">
        <f>MINIFS(CBIC_Late_Fee_Relief_Windows_3B!$O$3155:$O$100,CBIC_Late_Fee_Relief_Windows_3B!$D$3155:$D$100,"&lt;="&amp;B3155,CBIC_Late_Fee_Relief_Windows_3B!$E$3155:$E$100,"&gt;="&amp;B3155,CBIC_Late_Fee_Relief_Windows_3B!$F$3155:$F$100,"&lt;="&amp;C3155,CBIC_Late_Fee_Relief_Windows_3B!$G$3155:$G$100,"&gt;="&amp;C3155)</f>
        <v/>
      </c>
      <c r="H3155">
        <f>INDEX(CBIC_Late_Fee_Relief_Windows_3B!$I$3155:$I$100,MATCH(G3155,CBIC_Late_Fee_Relief_Windows_3B!$O$3155:$O$100,0))</f>
        <v/>
      </c>
      <c r="I3155">
        <f>MIN(F3155,H3155)</f>
        <v/>
      </c>
    </row>
    <row r="3156">
      <c r="A3156">
        <f>TEST_DATA!A3156</f>
        <v/>
      </c>
      <c r="B3156">
        <f>TEST_DATA!B3156</f>
        <v/>
      </c>
      <c r="C3156">
        <f>TEST_DATA!C3156</f>
        <v/>
      </c>
      <c r="D3156">
        <f>TEST_DATA!D3156</f>
        <v/>
      </c>
      <c r="E3156">
        <f>TEST_DATA!E3156</f>
        <v/>
      </c>
      <c r="F3156">
        <f>MIN(E3156*315600,10000)</f>
        <v/>
      </c>
      <c r="G3156">
        <f>MINIFS(CBIC_Late_Fee_Relief_Windows_3B!$O$3156:$O$100,CBIC_Late_Fee_Relief_Windows_3B!$D$3156:$D$100,"&lt;="&amp;B3156,CBIC_Late_Fee_Relief_Windows_3B!$E$3156:$E$100,"&gt;="&amp;B3156,CBIC_Late_Fee_Relief_Windows_3B!$F$3156:$F$100,"&lt;="&amp;C3156,CBIC_Late_Fee_Relief_Windows_3B!$G$3156:$G$100,"&gt;="&amp;C3156)</f>
        <v/>
      </c>
      <c r="H3156">
        <f>INDEX(CBIC_Late_Fee_Relief_Windows_3B!$I$3156:$I$100,MATCH(G3156,CBIC_Late_Fee_Relief_Windows_3B!$O$3156:$O$100,0))</f>
        <v/>
      </c>
      <c r="I3156">
        <f>MIN(F3156,H3156)</f>
        <v/>
      </c>
    </row>
    <row r="3157">
      <c r="A3157">
        <f>TEST_DATA!A3157</f>
        <v/>
      </c>
      <c r="B3157">
        <f>TEST_DATA!B3157</f>
        <v/>
      </c>
      <c r="C3157">
        <f>TEST_DATA!C3157</f>
        <v/>
      </c>
      <c r="D3157">
        <f>TEST_DATA!D3157</f>
        <v/>
      </c>
      <c r="E3157">
        <f>TEST_DATA!E3157</f>
        <v/>
      </c>
      <c r="F3157">
        <f>MIN(E3157*315700,10000)</f>
        <v/>
      </c>
      <c r="G3157">
        <f>MINIFS(CBIC_Late_Fee_Relief_Windows_3B!$O$3157:$O$100,CBIC_Late_Fee_Relief_Windows_3B!$D$3157:$D$100,"&lt;="&amp;B3157,CBIC_Late_Fee_Relief_Windows_3B!$E$3157:$E$100,"&gt;="&amp;B3157,CBIC_Late_Fee_Relief_Windows_3B!$F$3157:$F$100,"&lt;="&amp;C3157,CBIC_Late_Fee_Relief_Windows_3B!$G$3157:$G$100,"&gt;="&amp;C3157)</f>
        <v/>
      </c>
      <c r="H3157">
        <f>INDEX(CBIC_Late_Fee_Relief_Windows_3B!$I$3157:$I$100,MATCH(G3157,CBIC_Late_Fee_Relief_Windows_3B!$O$3157:$O$100,0))</f>
        <v/>
      </c>
      <c r="I3157">
        <f>MIN(F3157,H3157)</f>
        <v/>
      </c>
    </row>
    <row r="3158">
      <c r="A3158">
        <f>TEST_DATA!A3158</f>
        <v/>
      </c>
      <c r="B3158">
        <f>TEST_DATA!B3158</f>
        <v/>
      </c>
      <c r="C3158">
        <f>TEST_DATA!C3158</f>
        <v/>
      </c>
      <c r="D3158">
        <f>TEST_DATA!D3158</f>
        <v/>
      </c>
      <c r="E3158">
        <f>TEST_DATA!E3158</f>
        <v/>
      </c>
      <c r="F3158">
        <f>MIN(E3158*315800,10000)</f>
        <v/>
      </c>
      <c r="G3158">
        <f>MINIFS(CBIC_Late_Fee_Relief_Windows_3B!$O$3158:$O$100,CBIC_Late_Fee_Relief_Windows_3B!$D$3158:$D$100,"&lt;="&amp;B3158,CBIC_Late_Fee_Relief_Windows_3B!$E$3158:$E$100,"&gt;="&amp;B3158,CBIC_Late_Fee_Relief_Windows_3B!$F$3158:$F$100,"&lt;="&amp;C3158,CBIC_Late_Fee_Relief_Windows_3B!$G$3158:$G$100,"&gt;="&amp;C3158)</f>
        <v/>
      </c>
      <c r="H3158">
        <f>INDEX(CBIC_Late_Fee_Relief_Windows_3B!$I$3158:$I$100,MATCH(G3158,CBIC_Late_Fee_Relief_Windows_3B!$O$3158:$O$100,0))</f>
        <v/>
      </c>
      <c r="I3158">
        <f>MIN(F3158,H3158)</f>
        <v/>
      </c>
    </row>
    <row r="3159">
      <c r="A3159">
        <f>TEST_DATA!A3159</f>
        <v/>
      </c>
      <c r="B3159">
        <f>TEST_DATA!B3159</f>
        <v/>
      </c>
      <c r="C3159">
        <f>TEST_DATA!C3159</f>
        <v/>
      </c>
      <c r="D3159">
        <f>TEST_DATA!D3159</f>
        <v/>
      </c>
      <c r="E3159">
        <f>TEST_DATA!E3159</f>
        <v/>
      </c>
      <c r="F3159">
        <f>MIN(E3159*315900,10000)</f>
        <v/>
      </c>
      <c r="G3159">
        <f>MINIFS(CBIC_Late_Fee_Relief_Windows_3B!$O$3159:$O$100,CBIC_Late_Fee_Relief_Windows_3B!$D$3159:$D$100,"&lt;="&amp;B3159,CBIC_Late_Fee_Relief_Windows_3B!$E$3159:$E$100,"&gt;="&amp;B3159,CBIC_Late_Fee_Relief_Windows_3B!$F$3159:$F$100,"&lt;="&amp;C3159,CBIC_Late_Fee_Relief_Windows_3B!$G$3159:$G$100,"&gt;="&amp;C3159)</f>
        <v/>
      </c>
      <c r="H3159">
        <f>INDEX(CBIC_Late_Fee_Relief_Windows_3B!$I$3159:$I$100,MATCH(G3159,CBIC_Late_Fee_Relief_Windows_3B!$O$3159:$O$100,0))</f>
        <v/>
      </c>
      <c r="I3159">
        <f>MIN(F3159,H3159)</f>
        <v/>
      </c>
    </row>
    <row r="3160">
      <c r="A3160">
        <f>TEST_DATA!A3160</f>
        <v/>
      </c>
      <c r="B3160">
        <f>TEST_DATA!B3160</f>
        <v/>
      </c>
      <c r="C3160">
        <f>TEST_DATA!C3160</f>
        <v/>
      </c>
      <c r="D3160">
        <f>TEST_DATA!D3160</f>
        <v/>
      </c>
      <c r="E3160">
        <f>TEST_DATA!E3160</f>
        <v/>
      </c>
      <c r="F3160">
        <f>MIN(E3160*316000,10000)</f>
        <v/>
      </c>
      <c r="G3160">
        <f>MINIFS(CBIC_Late_Fee_Relief_Windows_3B!$O$3160:$O$100,CBIC_Late_Fee_Relief_Windows_3B!$D$3160:$D$100,"&lt;="&amp;B3160,CBIC_Late_Fee_Relief_Windows_3B!$E$3160:$E$100,"&gt;="&amp;B3160,CBIC_Late_Fee_Relief_Windows_3B!$F$3160:$F$100,"&lt;="&amp;C3160,CBIC_Late_Fee_Relief_Windows_3B!$G$3160:$G$100,"&gt;="&amp;C3160)</f>
        <v/>
      </c>
      <c r="H3160">
        <f>INDEX(CBIC_Late_Fee_Relief_Windows_3B!$I$3160:$I$100,MATCH(G3160,CBIC_Late_Fee_Relief_Windows_3B!$O$3160:$O$100,0))</f>
        <v/>
      </c>
      <c r="I3160">
        <f>MIN(F3160,H3160)</f>
        <v/>
      </c>
    </row>
    <row r="3161">
      <c r="A3161">
        <f>TEST_DATA!A3161</f>
        <v/>
      </c>
      <c r="B3161">
        <f>TEST_DATA!B3161</f>
        <v/>
      </c>
      <c r="C3161">
        <f>TEST_DATA!C3161</f>
        <v/>
      </c>
      <c r="D3161">
        <f>TEST_DATA!D3161</f>
        <v/>
      </c>
      <c r="E3161">
        <f>TEST_DATA!E3161</f>
        <v/>
      </c>
      <c r="F3161">
        <f>MIN(E3161*316100,10000)</f>
        <v/>
      </c>
      <c r="G3161">
        <f>MINIFS(CBIC_Late_Fee_Relief_Windows_3B!$O$3161:$O$100,CBIC_Late_Fee_Relief_Windows_3B!$D$3161:$D$100,"&lt;="&amp;B3161,CBIC_Late_Fee_Relief_Windows_3B!$E$3161:$E$100,"&gt;="&amp;B3161,CBIC_Late_Fee_Relief_Windows_3B!$F$3161:$F$100,"&lt;="&amp;C3161,CBIC_Late_Fee_Relief_Windows_3B!$G$3161:$G$100,"&gt;="&amp;C3161)</f>
        <v/>
      </c>
      <c r="H3161">
        <f>INDEX(CBIC_Late_Fee_Relief_Windows_3B!$I$3161:$I$100,MATCH(G3161,CBIC_Late_Fee_Relief_Windows_3B!$O$3161:$O$100,0))</f>
        <v/>
      </c>
      <c r="I3161">
        <f>MIN(F3161,H3161)</f>
        <v/>
      </c>
    </row>
    <row r="3162">
      <c r="A3162">
        <f>TEST_DATA!A3162</f>
        <v/>
      </c>
      <c r="B3162">
        <f>TEST_DATA!B3162</f>
        <v/>
      </c>
      <c r="C3162">
        <f>TEST_DATA!C3162</f>
        <v/>
      </c>
      <c r="D3162">
        <f>TEST_DATA!D3162</f>
        <v/>
      </c>
      <c r="E3162">
        <f>TEST_DATA!E3162</f>
        <v/>
      </c>
      <c r="F3162">
        <f>MIN(E3162*316200,10000)</f>
        <v/>
      </c>
      <c r="G3162">
        <f>MINIFS(CBIC_Late_Fee_Relief_Windows_3B!$O$3162:$O$100,CBIC_Late_Fee_Relief_Windows_3B!$D$3162:$D$100,"&lt;="&amp;B3162,CBIC_Late_Fee_Relief_Windows_3B!$E$3162:$E$100,"&gt;="&amp;B3162,CBIC_Late_Fee_Relief_Windows_3B!$F$3162:$F$100,"&lt;="&amp;C3162,CBIC_Late_Fee_Relief_Windows_3B!$G$3162:$G$100,"&gt;="&amp;C3162)</f>
        <v/>
      </c>
      <c r="H3162">
        <f>INDEX(CBIC_Late_Fee_Relief_Windows_3B!$I$3162:$I$100,MATCH(G3162,CBIC_Late_Fee_Relief_Windows_3B!$O$3162:$O$100,0))</f>
        <v/>
      </c>
      <c r="I3162">
        <f>MIN(F3162,H3162)</f>
        <v/>
      </c>
    </row>
    <row r="3163">
      <c r="A3163">
        <f>TEST_DATA!A3163</f>
        <v/>
      </c>
      <c r="B3163">
        <f>TEST_DATA!B3163</f>
        <v/>
      </c>
      <c r="C3163">
        <f>TEST_DATA!C3163</f>
        <v/>
      </c>
      <c r="D3163">
        <f>TEST_DATA!D3163</f>
        <v/>
      </c>
      <c r="E3163">
        <f>TEST_DATA!E3163</f>
        <v/>
      </c>
      <c r="F3163">
        <f>MIN(E3163*316300,10000)</f>
        <v/>
      </c>
      <c r="G3163">
        <f>MINIFS(CBIC_Late_Fee_Relief_Windows_3B!$O$3163:$O$100,CBIC_Late_Fee_Relief_Windows_3B!$D$3163:$D$100,"&lt;="&amp;B3163,CBIC_Late_Fee_Relief_Windows_3B!$E$3163:$E$100,"&gt;="&amp;B3163,CBIC_Late_Fee_Relief_Windows_3B!$F$3163:$F$100,"&lt;="&amp;C3163,CBIC_Late_Fee_Relief_Windows_3B!$G$3163:$G$100,"&gt;="&amp;C3163)</f>
        <v/>
      </c>
      <c r="H3163">
        <f>INDEX(CBIC_Late_Fee_Relief_Windows_3B!$I$3163:$I$100,MATCH(G3163,CBIC_Late_Fee_Relief_Windows_3B!$O$3163:$O$100,0))</f>
        <v/>
      </c>
      <c r="I3163">
        <f>MIN(F3163,H3163)</f>
        <v/>
      </c>
    </row>
    <row r="3164">
      <c r="A3164">
        <f>TEST_DATA!A3164</f>
        <v/>
      </c>
      <c r="B3164">
        <f>TEST_DATA!B3164</f>
        <v/>
      </c>
      <c r="C3164">
        <f>TEST_DATA!C3164</f>
        <v/>
      </c>
      <c r="D3164">
        <f>TEST_DATA!D3164</f>
        <v/>
      </c>
      <c r="E3164">
        <f>TEST_DATA!E3164</f>
        <v/>
      </c>
      <c r="F3164">
        <f>MIN(E3164*316400,10000)</f>
        <v/>
      </c>
      <c r="G3164">
        <f>MINIFS(CBIC_Late_Fee_Relief_Windows_3B!$O$3164:$O$100,CBIC_Late_Fee_Relief_Windows_3B!$D$3164:$D$100,"&lt;="&amp;B3164,CBIC_Late_Fee_Relief_Windows_3B!$E$3164:$E$100,"&gt;="&amp;B3164,CBIC_Late_Fee_Relief_Windows_3B!$F$3164:$F$100,"&lt;="&amp;C3164,CBIC_Late_Fee_Relief_Windows_3B!$G$3164:$G$100,"&gt;="&amp;C3164)</f>
        <v/>
      </c>
      <c r="H3164">
        <f>INDEX(CBIC_Late_Fee_Relief_Windows_3B!$I$3164:$I$100,MATCH(G3164,CBIC_Late_Fee_Relief_Windows_3B!$O$3164:$O$100,0))</f>
        <v/>
      </c>
      <c r="I3164">
        <f>MIN(F3164,H3164)</f>
        <v/>
      </c>
    </row>
    <row r="3165">
      <c r="A3165">
        <f>TEST_DATA!A3165</f>
        <v/>
      </c>
      <c r="B3165">
        <f>TEST_DATA!B3165</f>
        <v/>
      </c>
      <c r="C3165">
        <f>TEST_DATA!C3165</f>
        <v/>
      </c>
      <c r="D3165">
        <f>TEST_DATA!D3165</f>
        <v/>
      </c>
      <c r="E3165">
        <f>TEST_DATA!E3165</f>
        <v/>
      </c>
      <c r="F3165">
        <f>MIN(E3165*316500,10000)</f>
        <v/>
      </c>
      <c r="G3165">
        <f>MINIFS(CBIC_Late_Fee_Relief_Windows_3B!$O$3165:$O$100,CBIC_Late_Fee_Relief_Windows_3B!$D$3165:$D$100,"&lt;="&amp;B3165,CBIC_Late_Fee_Relief_Windows_3B!$E$3165:$E$100,"&gt;="&amp;B3165,CBIC_Late_Fee_Relief_Windows_3B!$F$3165:$F$100,"&lt;="&amp;C3165,CBIC_Late_Fee_Relief_Windows_3B!$G$3165:$G$100,"&gt;="&amp;C3165)</f>
        <v/>
      </c>
      <c r="H3165">
        <f>INDEX(CBIC_Late_Fee_Relief_Windows_3B!$I$3165:$I$100,MATCH(G3165,CBIC_Late_Fee_Relief_Windows_3B!$O$3165:$O$100,0))</f>
        <v/>
      </c>
      <c r="I3165">
        <f>MIN(F3165,H3165)</f>
        <v/>
      </c>
    </row>
    <row r="3166">
      <c r="A3166">
        <f>TEST_DATA!A3166</f>
        <v/>
      </c>
      <c r="B3166">
        <f>TEST_DATA!B3166</f>
        <v/>
      </c>
      <c r="C3166">
        <f>TEST_DATA!C3166</f>
        <v/>
      </c>
      <c r="D3166">
        <f>TEST_DATA!D3166</f>
        <v/>
      </c>
      <c r="E3166">
        <f>TEST_DATA!E3166</f>
        <v/>
      </c>
      <c r="F3166">
        <f>MIN(E3166*316600,10000)</f>
        <v/>
      </c>
      <c r="G3166">
        <f>MINIFS(CBIC_Late_Fee_Relief_Windows_3B!$O$3166:$O$100,CBIC_Late_Fee_Relief_Windows_3B!$D$3166:$D$100,"&lt;="&amp;B3166,CBIC_Late_Fee_Relief_Windows_3B!$E$3166:$E$100,"&gt;="&amp;B3166,CBIC_Late_Fee_Relief_Windows_3B!$F$3166:$F$100,"&lt;="&amp;C3166,CBIC_Late_Fee_Relief_Windows_3B!$G$3166:$G$100,"&gt;="&amp;C3166)</f>
        <v/>
      </c>
      <c r="H3166">
        <f>INDEX(CBIC_Late_Fee_Relief_Windows_3B!$I$3166:$I$100,MATCH(G3166,CBIC_Late_Fee_Relief_Windows_3B!$O$3166:$O$100,0))</f>
        <v/>
      </c>
      <c r="I3166">
        <f>MIN(F3166,H3166)</f>
        <v/>
      </c>
    </row>
    <row r="3167">
      <c r="A3167">
        <f>TEST_DATA!A3167</f>
        <v/>
      </c>
      <c r="B3167">
        <f>TEST_DATA!B3167</f>
        <v/>
      </c>
      <c r="C3167">
        <f>TEST_DATA!C3167</f>
        <v/>
      </c>
      <c r="D3167">
        <f>TEST_DATA!D3167</f>
        <v/>
      </c>
      <c r="E3167">
        <f>TEST_DATA!E3167</f>
        <v/>
      </c>
      <c r="F3167">
        <f>MIN(E3167*316700,10000)</f>
        <v/>
      </c>
      <c r="G3167">
        <f>MINIFS(CBIC_Late_Fee_Relief_Windows_3B!$O$3167:$O$100,CBIC_Late_Fee_Relief_Windows_3B!$D$3167:$D$100,"&lt;="&amp;B3167,CBIC_Late_Fee_Relief_Windows_3B!$E$3167:$E$100,"&gt;="&amp;B3167,CBIC_Late_Fee_Relief_Windows_3B!$F$3167:$F$100,"&lt;="&amp;C3167,CBIC_Late_Fee_Relief_Windows_3B!$G$3167:$G$100,"&gt;="&amp;C3167)</f>
        <v/>
      </c>
      <c r="H3167">
        <f>INDEX(CBIC_Late_Fee_Relief_Windows_3B!$I$3167:$I$100,MATCH(G3167,CBIC_Late_Fee_Relief_Windows_3B!$O$3167:$O$100,0))</f>
        <v/>
      </c>
      <c r="I3167">
        <f>MIN(F3167,H3167)</f>
        <v/>
      </c>
    </row>
    <row r="3168">
      <c r="A3168">
        <f>TEST_DATA!A3168</f>
        <v/>
      </c>
      <c r="B3168">
        <f>TEST_DATA!B3168</f>
        <v/>
      </c>
      <c r="C3168">
        <f>TEST_DATA!C3168</f>
        <v/>
      </c>
      <c r="D3168">
        <f>TEST_DATA!D3168</f>
        <v/>
      </c>
      <c r="E3168">
        <f>TEST_DATA!E3168</f>
        <v/>
      </c>
      <c r="F3168">
        <f>MIN(E3168*316800,10000)</f>
        <v/>
      </c>
      <c r="G3168">
        <f>MINIFS(CBIC_Late_Fee_Relief_Windows_3B!$O$3168:$O$100,CBIC_Late_Fee_Relief_Windows_3B!$D$3168:$D$100,"&lt;="&amp;B3168,CBIC_Late_Fee_Relief_Windows_3B!$E$3168:$E$100,"&gt;="&amp;B3168,CBIC_Late_Fee_Relief_Windows_3B!$F$3168:$F$100,"&lt;="&amp;C3168,CBIC_Late_Fee_Relief_Windows_3B!$G$3168:$G$100,"&gt;="&amp;C3168)</f>
        <v/>
      </c>
      <c r="H3168">
        <f>INDEX(CBIC_Late_Fee_Relief_Windows_3B!$I$3168:$I$100,MATCH(G3168,CBIC_Late_Fee_Relief_Windows_3B!$O$3168:$O$100,0))</f>
        <v/>
      </c>
      <c r="I3168">
        <f>MIN(F3168,H3168)</f>
        <v/>
      </c>
    </row>
    <row r="3169">
      <c r="A3169">
        <f>TEST_DATA!A3169</f>
        <v/>
      </c>
      <c r="B3169">
        <f>TEST_DATA!B3169</f>
        <v/>
      </c>
      <c r="C3169">
        <f>TEST_DATA!C3169</f>
        <v/>
      </c>
      <c r="D3169">
        <f>TEST_DATA!D3169</f>
        <v/>
      </c>
      <c r="E3169">
        <f>TEST_DATA!E3169</f>
        <v/>
      </c>
      <c r="F3169">
        <f>MIN(E3169*316900,10000)</f>
        <v/>
      </c>
      <c r="G3169">
        <f>MINIFS(CBIC_Late_Fee_Relief_Windows_3B!$O$3169:$O$100,CBIC_Late_Fee_Relief_Windows_3B!$D$3169:$D$100,"&lt;="&amp;B3169,CBIC_Late_Fee_Relief_Windows_3B!$E$3169:$E$100,"&gt;="&amp;B3169,CBIC_Late_Fee_Relief_Windows_3B!$F$3169:$F$100,"&lt;="&amp;C3169,CBIC_Late_Fee_Relief_Windows_3B!$G$3169:$G$100,"&gt;="&amp;C3169)</f>
        <v/>
      </c>
      <c r="H3169">
        <f>INDEX(CBIC_Late_Fee_Relief_Windows_3B!$I$3169:$I$100,MATCH(G3169,CBIC_Late_Fee_Relief_Windows_3B!$O$3169:$O$100,0))</f>
        <v/>
      </c>
      <c r="I3169">
        <f>MIN(F3169,H3169)</f>
        <v/>
      </c>
    </row>
    <row r="3170">
      <c r="A3170">
        <f>TEST_DATA!A3170</f>
        <v/>
      </c>
      <c r="B3170">
        <f>TEST_DATA!B3170</f>
        <v/>
      </c>
      <c r="C3170">
        <f>TEST_DATA!C3170</f>
        <v/>
      </c>
      <c r="D3170">
        <f>TEST_DATA!D3170</f>
        <v/>
      </c>
      <c r="E3170">
        <f>TEST_DATA!E3170</f>
        <v/>
      </c>
      <c r="F3170">
        <f>MIN(E3170*317000,10000)</f>
        <v/>
      </c>
      <c r="G3170">
        <f>MINIFS(CBIC_Late_Fee_Relief_Windows_3B!$O$3170:$O$100,CBIC_Late_Fee_Relief_Windows_3B!$D$3170:$D$100,"&lt;="&amp;B3170,CBIC_Late_Fee_Relief_Windows_3B!$E$3170:$E$100,"&gt;="&amp;B3170,CBIC_Late_Fee_Relief_Windows_3B!$F$3170:$F$100,"&lt;="&amp;C3170,CBIC_Late_Fee_Relief_Windows_3B!$G$3170:$G$100,"&gt;="&amp;C3170)</f>
        <v/>
      </c>
      <c r="H3170">
        <f>INDEX(CBIC_Late_Fee_Relief_Windows_3B!$I$3170:$I$100,MATCH(G3170,CBIC_Late_Fee_Relief_Windows_3B!$O$3170:$O$100,0))</f>
        <v/>
      </c>
      <c r="I3170">
        <f>MIN(F3170,H3170)</f>
        <v/>
      </c>
    </row>
    <row r="3171">
      <c r="A3171">
        <f>TEST_DATA!A3171</f>
        <v/>
      </c>
      <c r="B3171">
        <f>TEST_DATA!B3171</f>
        <v/>
      </c>
      <c r="C3171">
        <f>TEST_DATA!C3171</f>
        <v/>
      </c>
      <c r="D3171">
        <f>TEST_DATA!D3171</f>
        <v/>
      </c>
      <c r="E3171">
        <f>TEST_DATA!E3171</f>
        <v/>
      </c>
      <c r="F3171">
        <f>MIN(E3171*317100,10000)</f>
        <v/>
      </c>
      <c r="G3171">
        <f>MINIFS(CBIC_Late_Fee_Relief_Windows_3B!$O$3171:$O$100,CBIC_Late_Fee_Relief_Windows_3B!$D$3171:$D$100,"&lt;="&amp;B3171,CBIC_Late_Fee_Relief_Windows_3B!$E$3171:$E$100,"&gt;="&amp;B3171,CBIC_Late_Fee_Relief_Windows_3B!$F$3171:$F$100,"&lt;="&amp;C3171,CBIC_Late_Fee_Relief_Windows_3B!$G$3171:$G$100,"&gt;="&amp;C3171)</f>
        <v/>
      </c>
      <c r="H3171">
        <f>INDEX(CBIC_Late_Fee_Relief_Windows_3B!$I$3171:$I$100,MATCH(G3171,CBIC_Late_Fee_Relief_Windows_3B!$O$3171:$O$100,0))</f>
        <v/>
      </c>
      <c r="I3171">
        <f>MIN(F3171,H3171)</f>
        <v/>
      </c>
    </row>
    <row r="3172">
      <c r="A3172">
        <f>TEST_DATA!A3172</f>
        <v/>
      </c>
      <c r="B3172">
        <f>TEST_DATA!B3172</f>
        <v/>
      </c>
      <c r="C3172">
        <f>TEST_DATA!C3172</f>
        <v/>
      </c>
      <c r="D3172">
        <f>TEST_DATA!D3172</f>
        <v/>
      </c>
      <c r="E3172">
        <f>TEST_DATA!E3172</f>
        <v/>
      </c>
      <c r="F3172">
        <f>MIN(E3172*317200,10000)</f>
        <v/>
      </c>
      <c r="G3172">
        <f>MINIFS(CBIC_Late_Fee_Relief_Windows_3B!$O$3172:$O$100,CBIC_Late_Fee_Relief_Windows_3B!$D$3172:$D$100,"&lt;="&amp;B3172,CBIC_Late_Fee_Relief_Windows_3B!$E$3172:$E$100,"&gt;="&amp;B3172,CBIC_Late_Fee_Relief_Windows_3B!$F$3172:$F$100,"&lt;="&amp;C3172,CBIC_Late_Fee_Relief_Windows_3B!$G$3172:$G$100,"&gt;="&amp;C3172)</f>
        <v/>
      </c>
      <c r="H3172">
        <f>INDEX(CBIC_Late_Fee_Relief_Windows_3B!$I$3172:$I$100,MATCH(G3172,CBIC_Late_Fee_Relief_Windows_3B!$O$3172:$O$100,0))</f>
        <v/>
      </c>
      <c r="I3172">
        <f>MIN(F3172,H3172)</f>
        <v/>
      </c>
    </row>
    <row r="3173">
      <c r="A3173">
        <f>TEST_DATA!A3173</f>
        <v/>
      </c>
      <c r="B3173">
        <f>TEST_DATA!B3173</f>
        <v/>
      </c>
      <c r="C3173">
        <f>TEST_DATA!C3173</f>
        <v/>
      </c>
      <c r="D3173">
        <f>TEST_DATA!D3173</f>
        <v/>
      </c>
      <c r="E3173">
        <f>TEST_DATA!E3173</f>
        <v/>
      </c>
      <c r="F3173">
        <f>MIN(E3173*317300,10000)</f>
        <v/>
      </c>
      <c r="G3173">
        <f>MINIFS(CBIC_Late_Fee_Relief_Windows_3B!$O$3173:$O$100,CBIC_Late_Fee_Relief_Windows_3B!$D$3173:$D$100,"&lt;="&amp;B3173,CBIC_Late_Fee_Relief_Windows_3B!$E$3173:$E$100,"&gt;="&amp;B3173,CBIC_Late_Fee_Relief_Windows_3B!$F$3173:$F$100,"&lt;="&amp;C3173,CBIC_Late_Fee_Relief_Windows_3B!$G$3173:$G$100,"&gt;="&amp;C3173)</f>
        <v/>
      </c>
      <c r="H3173">
        <f>INDEX(CBIC_Late_Fee_Relief_Windows_3B!$I$3173:$I$100,MATCH(G3173,CBIC_Late_Fee_Relief_Windows_3B!$O$3173:$O$100,0))</f>
        <v/>
      </c>
      <c r="I3173">
        <f>MIN(F3173,H3173)</f>
        <v/>
      </c>
    </row>
    <row r="3174">
      <c r="A3174">
        <f>TEST_DATA!A3174</f>
        <v/>
      </c>
      <c r="B3174">
        <f>TEST_DATA!B3174</f>
        <v/>
      </c>
      <c r="C3174">
        <f>TEST_DATA!C3174</f>
        <v/>
      </c>
      <c r="D3174">
        <f>TEST_DATA!D3174</f>
        <v/>
      </c>
      <c r="E3174">
        <f>TEST_DATA!E3174</f>
        <v/>
      </c>
      <c r="F3174">
        <f>MIN(E3174*317400,10000)</f>
        <v/>
      </c>
      <c r="G3174">
        <f>MINIFS(CBIC_Late_Fee_Relief_Windows_3B!$O$3174:$O$100,CBIC_Late_Fee_Relief_Windows_3B!$D$3174:$D$100,"&lt;="&amp;B3174,CBIC_Late_Fee_Relief_Windows_3B!$E$3174:$E$100,"&gt;="&amp;B3174,CBIC_Late_Fee_Relief_Windows_3B!$F$3174:$F$100,"&lt;="&amp;C3174,CBIC_Late_Fee_Relief_Windows_3B!$G$3174:$G$100,"&gt;="&amp;C3174)</f>
        <v/>
      </c>
      <c r="H3174">
        <f>INDEX(CBIC_Late_Fee_Relief_Windows_3B!$I$3174:$I$100,MATCH(G3174,CBIC_Late_Fee_Relief_Windows_3B!$O$3174:$O$100,0))</f>
        <v/>
      </c>
      <c r="I3174">
        <f>MIN(F3174,H3174)</f>
        <v/>
      </c>
    </row>
    <row r="3175">
      <c r="A3175">
        <f>TEST_DATA!A3175</f>
        <v/>
      </c>
      <c r="B3175">
        <f>TEST_DATA!B3175</f>
        <v/>
      </c>
      <c r="C3175">
        <f>TEST_DATA!C3175</f>
        <v/>
      </c>
      <c r="D3175">
        <f>TEST_DATA!D3175</f>
        <v/>
      </c>
      <c r="E3175">
        <f>TEST_DATA!E3175</f>
        <v/>
      </c>
      <c r="F3175">
        <f>MIN(E3175*317500,10000)</f>
        <v/>
      </c>
      <c r="G3175">
        <f>MINIFS(CBIC_Late_Fee_Relief_Windows_3B!$O$3175:$O$100,CBIC_Late_Fee_Relief_Windows_3B!$D$3175:$D$100,"&lt;="&amp;B3175,CBIC_Late_Fee_Relief_Windows_3B!$E$3175:$E$100,"&gt;="&amp;B3175,CBIC_Late_Fee_Relief_Windows_3B!$F$3175:$F$100,"&lt;="&amp;C3175,CBIC_Late_Fee_Relief_Windows_3B!$G$3175:$G$100,"&gt;="&amp;C3175)</f>
        <v/>
      </c>
      <c r="H3175">
        <f>INDEX(CBIC_Late_Fee_Relief_Windows_3B!$I$3175:$I$100,MATCH(G3175,CBIC_Late_Fee_Relief_Windows_3B!$O$3175:$O$100,0))</f>
        <v/>
      </c>
      <c r="I3175">
        <f>MIN(F3175,H3175)</f>
        <v/>
      </c>
    </row>
    <row r="3176">
      <c r="A3176">
        <f>TEST_DATA!A3176</f>
        <v/>
      </c>
      <c r="B3176">
        <f>TEST_DATA!B3176</f>
        <v/>
      </c>
      <c r="C3176">
        <f>TEST_DATA!C3176</f>
        <v/>
      </c>
      <c r="D3176">
        <f>TEST_DATA!D3176</f>
        <v/>
      </c>
      <c r="E3176">
        <f>TEST_DATA!E3176</f>
        <v/>
      </c>
      <c r="F3176">
        <f>MIN(E3176*317600,10000)</f>
        <v/>
      </c>
      <c r="G3176">
        <f>MINIFS(CBIC_Late_Fee_Relief_Windows_3B!$O$3176:$O$100,CBIC_Late_Fee_Relief_Windows_3B!$D$3176:$D$100,"&lt;="&amp;B3176,CBIC_Late_Fee_Relief_Windows_3B!$E$3176:$E$100,"&gt;="&amp;B3176,CBIC_Late_Fee_Relief_Windows_3B!$F$3176:$F$100,"&lt;="&amp;C3176,CBIC_Late_Fee_Relief_Windows_3B!$G$3176:$G$100,"&gt;="&amp;C3176)</f>
        <v/>
      </c>
      <c r="H3176">
        <f>INDEX(CBIC_Late_Fee_Relief_Windows_3B!$I$3176:$I$100,MATCH(G3176,CBIC_Late_Fee_Relief_Windows_3B!$O$3176:$O$100,0))</f>
        <v/>
      </c>
      <c r="I3176">
        <f>MIN(F3176,H3176)</f>
        <v/>
      </c>
    </row>
    <row r="3177">
      <c r="A3177">
        <f>TEST_DATA!A3177</f>
        <v/>
      </c>
      <c r="B3177">
        <f>TEST_DATA!B3177</f>
        <v/>
      </c>
      <c r="C3177">
        <f>TEST_DATA!C3177</f>
        <v/>
      </c>
      <c r="D3177">
        <f>TEST_DATA!D3177</f>
        <v/>
      </c>
      <c r="E3177">
        <f>TEST_DATA!E3177</f>
        <v/>
      </c>
      <c r="F3177">
        <f>MIN(E3177*317700,10000)</f>
        <v/>
      </c>
      <c r="G3177">
        <f>MINIFS(CBIC_Late_Fee_Relief_Windows_3B!$O$3177:$O$100,CBIC_Late_Fee_Relief_Windows_3B!$D$3177:$D$100,"&lt;="&amp;B3177,CBIC_Late_Fee_Relief_Windows_3B!$E$3177:$E$100,"&gt;="&amp;B3177,CBIC_Late_Fee_Relief_Windows_3B!$F$3177:$F$100,"&lt;="&amp;C3177,CBIC_Late_Fee_Relief_Windows_3B!$G$3177:$G$100,"&gt;="&amp;C3177)</f>
        <v/>
      </c>
      <c r="H3177">
        <f>INDEX(CBIC_Late_Fee_Relief_Windows_3B!$I$3177:$I$100,MATCH(G3177,CBIC_Late_Fee_Relief_Windows_3B!$O$3177:$O$100,0))</f>
        <v/>
      </c>
      <c r="I3177">
        <f>MIN(F3177,H3177)</f>
        <v/>
      </c>
    </row>
    <row r="3178">
      <c r="A3178">
        <f>TEST_DATA!A3178</f>
        <v/>
      </c>
      <c r="B3178">
        <f>TEST_DATA!B3178</f>
        <v/>
      </c>
      <c r="C3178">
        <f>TEST_DATA!C3178</f>
        <v/>
      </c>
      <c r="D3178">
        <f>TEST_DATA!D3178</f>
        <v/>
      </c>
      <c r="E3178">
        <f>TEST_DATA!E3178</f>
        <v/>
      </c>
      <c r="F3178">
        <f>MIN(E3178*317800,10000)</f>
        <v/>
      </c>
      <c r="G3178">
        <f>MINIFS(CBIC_Late_Fee_Relief_Windows_3B!$O$3178:$O$100,CBIC_Late_Fee_Relief_Windows_3B!$D$3178:$D$100,"&lt;="&amp;B3178,CBIC_Late_Fee_Relief_Windows_3B!$E$3178:$E$100,"&gt;="&amp;B3178,CBIC_Late_Fee_Relief_Windows_3B!$F$3178:$F$100,"&lt;="&amp;C3178,CBIC_Late_Fee_Relief_Windows_3B!$G$3178:$G$100,"&gt;="&amp;C3178)</f>
        <v/>
      </c>
      <c r="H3178">
        <f>INDEX(CBIC_Late_Fee_Relief_Windows_3B!$I$3178:$I$100,MATCH(G3178,CBIC_Late_Fee_Relief_Windows_3B!$O$3178:$O$100,0))</f>
        <v/>
      </c>
      <c r="I3178">
        <f>MIN(F3178,H3178)</f>
        <v/>
      </c>
    </row>
    <row r="3179">
      <c r="A3179">
        <f>TEST_DATA!A3179</f>
        <v/>
      </c>
      <c r="B3179">
        <f>TEST_DATA!B3179</f>
        <v/>
      </c>
      <c r="C3179">
        <f>TEST_DATA!C3179</f>
        <v/>
      </c>
      <c r="D3179">
        <f>TEST_DATA!D3179</f>
        <v/>
      </c>
      <c r="E3179">
        <f>TEST_DATA!E3179</f>
        <v/>
      </c>
      <c r="F3179">
        <f>MIN(E3179*317900,10000)</f>
        <v/>
      </c>
      <c r="G3179">
        <f>MINIFS(CBIC_Late_Fee_Relief_Windows_3B!$O$3179:$O$100,CBIC_Late_Fee_Relief_Windows_3B!$D$3179:$D$100,"&lt;="&amp;B3179,CBIC_Late_Fee_Relief_Windows_3B!$E$3179:$E$100,"&gt;="&amp;B3179,CBIC_Late_Fee_Relief_Windows_3B!$F$3179:$F$100,"&lt;="&amp;C3179,CBIC_Late_Fee_Relief_Windows_3B!$G$3179:$G$100,"&gt;="&amp;C3179)</f>
        <v/>
      </c>
      <c r="H3179">
        <f>INDEX(CBIC_Late_Fee_Relief_Windows_3B!$I$3179:$I$100,MATCH(G3179,CBIC_Late_Fee_Relief_Windows_3B!$O$3179:$O$100,0))</f>
        <v/>
      </c>
      <c r="I3179">
        <f>MIN(F3179,H3179)</f>
        <v/>
      </c>
    </row>
    <row r="3180">
      <c r="A3180">
        <f>TEST_DATA!A3180</f>
        <v/>
      </c>
      <c r="B3180">
        <f>TEST_DATA!B3180</f>
        <v/>
      </c>
      <c r="C3180">
        <f>TEST_DATA!C3180</f>
        <v/>
      </c>
      <c r="D3180">
        <f>TEST_DATA!D3180</f>
        <v/>
      </c>
      <c r="E3180">
        <f>TEST_DATA!E3180</f>
        <v/>
      </c>
      <c r="F3180">
        <f>MIN(E3180*318000,10000)</f>
        <v/>
      </c>
      <c r="G3180">
        <f>MINIFS(CBIC_Late_Fee_Relief_Windows_3B!$O$3180:$O$100,CBIC_Late_Fee_Relief_Windows_3B!$D$3180:$D$100,"&lt;="&amp;B3180,CBIC_Late_Fee_Relief_Windows_3B!$E$3180:$E$100,"&gt;="&amp;B3180,CBIC_Late_Fee_Relief_Windows_3B!$F$3180:$F$100,"&lt;="&amp;C3180,CBIC_Late_Fee_Relief_Windows_3B!$G$3180:$G$100,"&gt;="&amp;C3180)</f>
        <v/>
      </c>
      <c r="H3180">
        <f>INDEX(CBIC_Late_Fee_Relief_Windows_3B!$I$3180:$I$100,MATCH(G3180,CBIC_Late_Fee_Relief_Windows_3B!$O$3180:$O$100,0))</f>
        <v/>
      </c>
      <c r="I3180">
        <f>MIN(F3180,H3180)</f>
        <v/>
      </c>
    </row>
    <row r="3181">
      <c r="A3181">
        <f>TEST_DATA!A3181</f>
        <v/>
      </c>
      <c r="B3181">
        <f>TEST_DATA!B3181</f>
        <v/>
      </c>
      <c r="C3181">
        <f>TEST_DATA!C3181</f>
        <v/>
      </c>
      <c r="D3181">
        <f>TEST_DATA!D3181</f>
        <v/>
      </c>
      <c r="E3181">
        <f>TEST_DATA!E3181</f>
        <v/>
      </c>
      <c r="F3181">
        <f>MIN(E3181*318100,10000)</f>
        <v/>
      </c>
      <c r="G3181">
        <f>MINIFS(CBIC_Late_Fee_Relief_Windows_3B!$O$3181:$O$100,CBIC_Late_Fee_Relief_Windows_3B!$D$3181:$D$100,"&lt;="&amp;B3181,CBIC_Late_Fee_Relief_Windows_3B!$E$3181:$E$100,"&gt;="&amp;B3181,CBIC_Late_Fee_Relief_Windows_3B!$F$3181:$F$100,"&lt;="&amp;C3181,CBIC_Late_Fee_Relief_Windows_3B!$G$3181:$G$100,"&gt;="&amp;C3181)</f>
        <v/>
      </c>
      <c r="H3181">
        <f>INDEX(CBIC_Late_Fee_Relief_Windows_3B!$I$3181:$I$100,MATCH(G3181,CBIC_Late_Fee_Relief_Windows_3B!$O$3181:$O$100,0))</f>
        <v/>
      </c>
      <c r="I3181">
        <f>MIN(F3181,H3181)</f>
        <v/>
      </c>
    </row>
    <row r="3182">
      <c r="A3182">
        <f>TEST_DATA!A3182</f>
        <v/>
      </c>
      <c r="B3182">
        <f>TEST_DATA!B3182</f>
        <v/>
      </c>
      <c r="C3182">
        <f>TEST_DATA!C3182</f>
        <v/>
      </c>
      <c r="D3182">
        <f>TEST_DATA!D3182</f>
        <v/>
      </c>
      <c r="E3182">
        <f>TEST_DATA!E3182</f>
        <v/>
      </c>
      <c r="F3182">
        <f>MIN(E3182*318200,10000)</f>
        <v/>
      </c>
      <c r="G3182">
        <f>MINIFS(CBIC_Late_Fee_Relief_Windows_3B!$O$3182:$O$100,CBIC_Late_Fee_Relief_Windows_3B!$D$3182:$D$100,"&lt;="&amp;B3182,CBIC_Late_Fee_Relief_Windows_3B!$E$3182:$E$100,"&gt;="&amp;B3182,CBIC_Late_Fee_Relief_Windows_3B!$F$3182:$F$100,"&lt;="&amp;C3182,CBIC_Late_Fee_Relief_Windows_3B!$G$3182:$G$100,"&gt;="&amp;C3182)</f>
        <v/>
      </c>
      <c r="H3182">
        <f>INDEX(CBIC_Late_Fee_Relief_Windows_3B!$I$3182:$I$100,MATCH(G3182,CBIC_Late_Fee_Relief_Windows_3B!$O$3182:$O$100,0))</f>
        <v/>
      </c>
      <c r="I3182">
        <f>MIN(F3182,H3182)</f>
        <v/>
      </c>
    </row>
    <row r="3183">
      <c r="A3183">
        <f>TEST_DATA!A3183</f>
        <v/>
      </c>
      <c r="B3183">
        <f>TEST_DATA!B3183</f>
        <v/>
      </c>
      <c r="C3183">
        <f>TEST_DATA!C3183</f>
        <v/>
      </c>
      <c r="D3183">
        <f>TEST_DATA!D3183</f>
        <v/>
      </c>
      <c r="E3183">
        <f>TEST_DATA!E3183</f>
        <v/>
      </c>
      <c r="F3183">
        <f>MIN(E3183*318300,10000)</f>
        <v/>
      </c>
      <c r="G3183">
        <f>MINIFS(CBIC_Late_Fee_Relief_Windows_3B!$O$3183:$O$100,CBIC_Late_Fee_Relief_Windows_3B!$D$3183:$D$100,"&lt;="&amp;B3183,CBIC_Late_Fee_Relief_Windows_3B!$E$3183:$E$100,"&gt;="&amp;B3183,CBIC_Late_Fee_Relief_Windows_3B!$F$3183:$F$100,"&lt;="&amp;C3183,CBIC_Late_Fee_Relief_Windows_3B!$G$3183:$G$100,"&gt;="&amp;C3183)</f>
        <v/>
      </c>
      <c r="H3183">
        <f>INDEX(CBIC_Late_Fee_Relief_Windows_3B!$I$3183:$I$100,MATCH(G3183,CBIC_Late_Fee_Relief_Windows_3B!$O$3183:$O$100,0))</f>
        <v/>
      </c>
      <c r="I3183">
        <f>MIN(F3183,H3183)</f>
        <v/>
      </c>
    </row>
    <row r="3184">
      <c r="A3184">
        <f>TEST_DATA!A3184</f>
        <v/>
      </c>
      <c r="B3184">
        <f>TEST_DATA!B3184</f>
        <v/>
      </c>
      <c r="C3184">
        <f>TEST_DATA!C3184</f>
        <v/>
      </c>
      <c r="D3184">
        <f>TEST_DATA!D3184</f>
        <v/>
      </c>
      <c r="E3184">
        <f>TEST_DATA!E3184</f>
        <v/>
      </c>
      <c r="F3184">
        <f>MIN(E3184*318400,10000)</f>
        <v/>
      </c>
      <c r="G3184">
        <f>MINIFS(CBIC_Late_Fee_Relief_Windows_3B!$O$3184:$O$100,CBIC_Late_Fee_Relief_Windows_3B!$D$3184:$D$100,"&lt;="&amp;B3184,CBIC_Late_Fee_Relief_Windows_3B!$E$3184:$E$100,"&gt;="&amp;B3184,CBIC_Late_Fee_Relief_Windows_3B!$F$3184:$F$100,"&lt;="&amp;C3184,CBIC_Late_Fee_Relief_Windows_3B!$G$3184:$G$100,"&gt;="&amp;C3184)</f>
        <v/>
      </c>
      <c r="H3184">
        <f>INDEX(CBIC_Late_Fee_Relief_Windows_3B!$I$3184:$I$100,MATCH(G3184,CBIC_Late_Fee_Relief_Windows_3B!$O$3184:$O$100,0))</f>
        <v/>
      </c>
      <c r="I3184">
        <f>MIN(F3184,H3184)</f>
        <v/>
      </c>
    </row>
    <row r="3185">
      <c r="A3185">
        <f>TEST_DATA!A3185</f>
        <v/>
      </c>
      <c r="B3185">
        <f>TEST_DATA!B3185</f>
        <v/>
      </c>
      <c r="C3185">
        <f>TEST_DATA!C3185</f>
        <v/>
      </c>
      <c r="D3185">
        <f>TEST_DATA!D3185</f>
        <v/>
      </c>
      <c r="E3185">
        <f>TEST_DATA!E3185</f>
        <v/>
      </c>
      <c r="F3185">
        <f>MIN(E3185*318500,10000)</f>
        <v/>
      </c>
      <c r="G3185">
        <f>MINIFS(CBIC_Late_Fee_Relief_Windows_3B!$O$3185:$O$100,CBIC_Late_Fee_Relief_Windows_3B!$D$3185:$D$100,"&lt;="&amp;B3185,CBIC_Late_Fee_Relief_Windows_3B!$E$3185:$E$100,"&gt;="&amp;B3185,CBIC_Late_Fee_Relief_Windows_3B!$F$3185:$F$100,"&lt;="&amp;C3185,CBIC_Late_Fee_Relief_Windows_3B!$G$3185:$G$100,"&gt;="&amp;C3185)</f>
        <v/>
      </c>
      <c r="H3185">
        <f>INDEX(CBIC_Late_Fee_Relief_Windows_3B!$I$3185:$I$100,MATCH(G3185,CBIC_Late_Fee_Relief_Windows_3B!$O$3185:$O$100,0))</f>
        <v/>
      </c>
      <c r="I3185">
        <f>MIN(F3185,H3185)</f>
        <v/>
      </c>
    </row>
    <row r="3186">
      <c r="A3186">
        <f>TEST_DATA!A3186</f>
        <v/>
      </c>
      <c r="B3186">
        <f>TEST_DATA!B3186</f>
        <v/>
      </c>
      <c r="C3186">
        <f>TEST_DATA!C3186</f>
        <v/>
      </c>
      <c r="D3186">
        <f>TEST_DATA!D3186</f>
        <v/>
      </c>
      <c r="E3186">
        <f>TEST_DATA!E3186</f>
        <v/>
      </c>
      <c r="F3186">
        <f>MIN(E3186*318600,10000)</f>
        <v/>
      </c>
      <c r="G3186">
        <f>MINIFS(CBIC_Late_Fee_Relief_Windows_3B!$O$3186:$O$100,CBIC_Late_Fee_Relief_Windows_3B!$D$3186:$D$100,"&lt;="&amp;B3186,CBIC_Late_Fee_Relief_Windows_3B!$E$3186:$E$100,"&gt;="&amp;B3186,CBIC_Late_Fee_Relief_Windows_3B!$F$3186:$F$100,"&lt;="&amp;C3186,CBIC_Late_Fee_Relief_Windows_3B!$G$3186:$G$100,"&gt;="&amp;C3186)</f>
        <v/>
      </c>
      <c r="H3186">
        <f>INDEX(CBIC_Late_Fee_Relief_Windows_3B!$I$3186:$I$100,MATCH(G3186,CBIC_Late_Fee_Relief_Windows_3B!$O$3186:$O$100,0))</f>
        <v/>
      </c>
      <c r="I3186">
        <f>MIN(F3186,H3186)</f>
        <v/>
      </c>
    </row>
    <row r="3187">
      <c r="A3187">
        <f>TEST_DATA!A3187</f>
        <v/>
      </c>
      <c r="B3187">
        <f>TEST_DATA!B3187</f>
        <v/>
      </c>
      <c r="C3187">
        <f>TEST_DATA!C3187</f>
        <v/>
      </c>
      <c r="D3187">
        <f>TEST_DATA!D3187</f>
        <v/>
      </c>
      <c r="E3187">
        <f>TEST_DATA!E3187</f>
        <v/>
      </c>
      <c r="F3187">
        <f>MIN(E3187*318700,10000)</f>
        <v/>
      </c>
      <c r="G3187">
        <f>MINIFS(CBIC_Late_Fee_Relief_Windows_3B!$O$3187:$O$100,CBIC_Late_Fee_Relief_Windows_3B!$D$3187:$D$100,"&lt;="&amp;B3187,CBIC_Late_Fee_Relief_Windows_3B!$E$3187:$E$100,"&gt;="&amp;B3187,CBIC_Late_Fee_Relief_Windows_3B!$F$3187:$F$100,"&lt;="&amp;C3187,CBIC_Late_Fee_Relief_Windows_3B!$G$3187:$G$100,"&gt;="&amp;C3187)</f>
        <v/>
      </c>
      <c r="H3187">
        <f>INDEX(CBIC_Late_Fee_Relief_Windows_3B!$I$3187:$I$100,MATCH(G3187,CBIC_Late_Fee_Relief_Windows_3B!$O$3187:$O$100,0))</f>
        <v/>
      </c>
      <c r="I3187">
        <f>MIN(F3187,H3187)</f>
        <v/>
      </c>
    </row>
    <row r="3188">
      <c r="A3188">
        <f>TEST_DATA!A3188</f>
        <v/>
      </c>
      <c r="B3188">
        <f>TEST_DATA!B3188</f>
        <v/>
      </c>
      <c r="C3188">
        <f>TEST_DATA!C3188</f>
        <v/>
      </c>
      <c r="D3188">
        <f>TEST_DATA!D3188</f>
        <v/>
      </c>
      <c r="E3188">
        <f>TEST_DATA!E3188</f>
        <v/>
      </c>
      <c r="F3188">
        <f>MIN(E3188*318800,10000)</f>
        <v/>
      </c>
      <c r="G3188">
        <f>MINIFS(CBIC_Late_Fee_Relief_Windows_3B!$O$3188:$O$100,CBIC_Late_Fee_Relief_Windows_3B!$D$3188:$D$100,"&lt;="&amp;B3188,CBIC_Late_Fee_Relief_Windows_3B!$E$3188:$E$100,"&gt;="&amp;B3188,CBIC_Late_Fee_Relief_Windows_3B!$F$3188:$F$100,"&lt;="&amp;C3188,CBIC_Late_Fee_Relief_Windows_3B!$G$3188:$G$100,"&gt;="&amp;C3188)</f>
        <v/>
      </c>
      <c r="H3188">
        <f>INDEX(CBIC_Late_Fee_Relief_Windows_3B!$I$3188:$I$100,MATCH(G3188,CBIC_Late_Fee_Relief_Windows_3B!$O$3188:$O$100,0))</f>
        <v/>
      </c>
      <c r="I3188">
        <f>MIN(F3188,H3188)</f>
        <v/>
      </c>
    </row>
    <row r="3189">
      <c r="A3189">
        <f>TEST_DATA!A3189</f>
        <v/>
      </c>
      <c r="B3189">
        <f>TEST_DATA!B3189</f>
        <v/>
      </c>
      <c r="C3189">
        <f>TEST_DATA!C3189</f>
        <v/>
      </c>
      <c r="D3189">
        <f>TEST_DATA!D3189</f>
        <v/>
      </c>
      <c r="E3189">
        <f>TEST_DATA!E3189</f>
        <v/>
      </c>
      <c r="F3189">
        <f>MIN(E3189*318900,10000)</f>
        <v/>
      </c>
      <c r="G3189">
        <f>MINIFS(CBIC_Late_Fee_Relief_Windows_3B!$O$3189:$O$100,CBIC_Late_Fee_Relief_Windows_3B!$D$3189:$D$100,"&lt;="&amp;B3189,CBIC_Late_Fee_Relief_Windows_3B!$E$3189:$E$100,"&gt;="&amp;B3189,CBIC_Late_Fee_Relief_Windows_3B!$F$3189:$F$100,"&lt;="&amp;C3189,CBIC_Late_Fee_Relief_Windows_3B!$G$3189:$G$100,"&gt;="&amp;C3189)</f>
        <v/>
      </c>
      <c r="H3189">
        <f>INDEX(CBIC_Late_Fee_Relief_Windows_3B!$I$3189:$I$100,MATCH(G3189,CBIC_Late_Fee_Relief_Windows_3B!$O$3189:$O$100,0))</f>
        <v/>
      </c>
      <c r="I3189">
        <f>MIN(F3189,H3189)</f>
        <v/>
      </c>
    </row>
    <row r="3190">
      <c r="A3190">
        <f>TEST_DATA!A3190</f>
        <v/>
      </c>
      <c r="B3190">
        <f>TEST_DATA!B3190</f>
        <v/>
      </c>
      <c r="C3190">
        <f>TEST_DATA!C3190</f>
        <v/>
      </c>
      <c r="D3190">
        <f>TEST_DATA!D3190</f>
        <v/>
      </c>
      <c r="E3190">
        <f>TEST_DATA!E3190</f>
        <v/>
      </c>
      <c r="F3190">
        <f>MIN(E3190*319000,10000)</f>
        <v/>
      </c>
      <c r="G3190">
        <f>MINIFS(CBIC_Late_Fee_Relief_Windows_3B!$O$3190:$O$100,CBIC_Late_Fee_Relief_Windows_3B!$D$3190:$D$100,"&lt;="&amp;B3190,CBIC_Late_Fee_Relief_Windows_3B!$E$3190:$E$100,"&gt;="&amp;B3190,CBIC_Late_Fee_Relief_Windows_3B!$F$3190:$F$100,"&lt;="&amp;C3190,CBIC_Late_Fee_Relief_Windows_3B!$G$3190:$G$100,"&gt;="&amp;C3190)</f>
        <v/>
      </c>
      <c r="H3190">
        <f>INDEX(CBIC_Late_Fee_Relief_Windows_3B!$I$3190:$I$100,MATCH(G3190,CBIC_Late_Fee_Relief_Windows_3B!$O$3190:$O$100,0))</f>
        <v/>
      </c>
      <c r="I3190">
        <f>MIN(F3190,H3190)</f>
        <v/>
      </c>
    </row>
    <row r="3191">
      <c r="A3191">
        <f>TEST_DATA!A3191</f>
        <v/>
      </c>
      <c r="B3191">
        <f>TEST_DATA!B3191</f>
        <v/>
      </c>
      <c r="C3191">
        <f>TEST_DATA!C3191</f>
        <v/>
      </c>
      <c r="D3191">
        <f>TEST_DATA!D3191</f>
        <v/>
      </c>
      <c r="E3191">
        <f>TEST_DATA!E3191</f>
        <v/>
      </c>
      <c r="F3191">
        <f>MIN(E3191*319100,10000)</f>
        <v/>
      </c>
      <c r="G3191">
        <f>MINIFS(CBIC_Late_Fee_Relief_Windows_3B!$O$3191:$O$100,CBIC_Late_Fee_Relief_Windows_3B!$D$3191:$D$100,"&lt;="&amp;B3191,CBIC_Late_Fee_Relief_Windows_3B!$E$3191:$E$100,"&gt;="&amp;B3191,CBIC_Late_Fee_Relief_Windows_3B!$F$3191:$F$100,"&lt;="&amp;C3191,CBIC_Late_Fee_Relief_Windows_3B!$G$3191:$G$100,"&gt;="&amp;C3191)</f>
        <v/>
      </c>
      <c r="H3191">
        <f>INDEX(CBIC_Late_Fee_Relief_Windows_3B!$I$3191:$I$100,MATCH(G3191,CBIC_Late_Fee_Relief_Windows_3B!$O$3191:$O$100,0))</f>
        <v/>
      </c>
      <c r="I3191">
        <f>MIN(F3191,H3191)</f>
        <v/>
      </c>
    </row>
    <row r="3192">
      <c r="A3192">
        <f>TEST_DATA!A3192</f>
        <v/>
      </c>
      <c r="B3192">
        <f>TEST_DATA!B3192</f>
        <v/>
      </c>
      <c r="C3192">
        <f>TEST_DATA!C3192</f>
        <v/>
      </c>
      <c r="D3192">
        <f>TEST_DATA!D3192</f>
        <v/>
      </c>
      <c r="E3192">
        <f>TEST_DATA!E3192</f>
        <v/>
      </c>
      <c r="F3192">
        <f>MIN(E3192*319200,10000)</f>
        <v/>
      </c>
      <c r="G3192">
        <f>MINIFS(CBIC_Late_Fee_Relief_Windows_3B!$O$3192:$O$100,CBIC_Late_Fee_Relief_Windows_3B!$D$3192:$D$100,"&lt;="&amp;B3192,CBIC_Late_Fee_Relief_Windows_3B!$E$3192:$E$100,"&gt;="&amp;B3192,CBIC_Late_Fee_Relief_Windows_3B!$F$3192:$F$100,"&lt;="&amp;C3192,CBIC_Late_Fee_Relief_Windows_3B!$G$3192:$G$100,"&gt;="&amp;C3192)</f>
        <v/>
      </c>
      <c r="H3192">
        <f>INDEX(CBIC_Late_Fee_Relief_Windows_3B!$I$3192:$I$100,MATCH(G3192,CBIC_Late_Fee_Relief_Windows_3B!$O$3192:$O$100,0))</f>
        <v/>
      </c>
      <c r="I3192">
        <f>MIN(F3192,H3192)</f>
        <v/>
      </c>
    </row>
    <row r="3193">
      <c r="A3193">
        <f>TEST_DATA!A3193</f>
        <v/>
      </c>
      <c r="B3193">
        <f>TEST_DATA!B3193</f>
        <v/>
      </c>
      <c r="C3193">
        <f>TEST_DATA!C3193</f>
        <v/>
      </c>
      <c r="D3193">
        <f>TEST_DATA!D3193</f>
        <v/>
      </c>
      <c r="E3193">
        <f>TEST_DATA!E3193</f>
        <v/>
      </c>
      <c r="F3193">
        <f>MIN(E3193*319300,10000)</f>
        <v/>
      </c>
      <c r="G3193">
        <f>MINIFS(CBIC_Late_Fee_Relief_Windows_3B!$O$3193:$O$100,CBIC_Late_Fee_Relief_Windows_3B!$D$3193:$D$100,"&lt;="&amp;B3193,CBIC_Late_Fee_Relief_Windows_3B!$E$3193:$E$100,"&gt;="&amp;B3193,CBIC_Late_Fee_Relief_Windows_3B!$F$3193:$F$100,"&lt;="&amp;C3193,CBIC_Late_Fee_Relief_Windows_3B!$G$3193:$G$100,"&gt;="&amp;C3193)</f>
        <v/>
      </c>
      <c r="H3193">
        <f>INDEX(CBIC_Late_Fee_Relief_Windows_3B!$I$3193:$I$100,MATCH(G3193,CBIC_Late_Fee_Relief_Windows_3B!$O$3193:$O$100,0))</f>
        <v/>
      </c>
      <c r="I3193">
        <f>MIN(F3193,H3193)</f>
        <v/>
      </c>
    </row>
    <row r="3194">
      <c r="A3194">
        <f>TEST_DATA!A3194</f>
        <v/>
      </c>
      <c r="B3194">
        <f>TEST_DATA!B3194</f>
        <v/>
      </c>
      <c r="C3194">
        <f>TEST_DATA!C3194</f>
        <v/>
      </c>
      <c r="D3194">
        <f>TEST_DATA!D3194</f>
        <v/>
      </c>
      <c r="E3194">
        <f>TEST_DATA!E3194</f>
        <v/>
      </c>
      <c r="F3194">
        <f>MIN(E3194*319400,10000)</f>
        <v/>
      </c>
      <c r="G3194">
        <f>MINIFS(CBIC_Late_Fee_Relief_Windows_3B!$O$3194:$O$100,CBIC_Late_Fee_Relief_Windows_3B!$D$3194:$D$100,"&lt;="&amp;B3194,CBIC_Late_Fee_Relief_Windows_3B!$E$3194:$E$100,"&gt;="&amp;B3194,CBIC_Late_Fee_Relief_Windows_3B!$F$3194:$F$100,"&lt;="&amp;C3194,CBIC_Late_Fee_Relief_Windows_3B!$G$3194:$G$100,"&gt;="&amp;C3194)</f>
        <v/>
      </c>
      <c r="H3194">
        <f>INDEX(CBIC_Late_Fee_Relief_Windows_3B!$I$3194:$I$100,MATCH(G3194,CBIC_Late_Fee_Relief_Windows_3B!$O$3194:$O$100,0))</f>
        <v/>
      </c>
      <c r="I3194">
        <f>MIN(F3194,H3194)</f>
        <v/>
      </c>
    </row>
    <row r="3195">
      <c r="A3195">
        <f>TEST_DATA!A3195</f>
        <v/>
      </c>
      <c r="B3195">
        <f>TEST_DATA!B3195</f>
        <v/>
      </c>
      <c r="C3195">
        <f>TEST_DATA!C3195</f>
        <v/>
      </c>
      <c r="D3195">
        <f>TEST_DATA!D3195</f>
        <v/>
      </c>
      <c r="E3195">
        <f>TEST_DATA!E3195</f>
        <v/>
      </c>
      <c r="F3195">
        <f>MIN(E3195*319500,10000)</f>
        <v/>
      </c>
      <c r="G3195">
        <f>MINIFS(CBIC_Late_Fee_Relief_Windows_3B!$O$3195:$O$100,CBIC_Late_Fee_Relief_Windows_3B!$D$3195:$D$100,"&lt;="&amp;B3195,CBIC_Late_Fee_Relief_Windows_3B!$E$3195:$E$100,"&gt;="&amp;B3195,CBIC_Late_Fee_Relief_Windows_3B!$F$3195:$F$100,"&lt;="&amp;C3195,CBIC_Late_Fee_Relief_Windows_3B!$G$3195:$G$100,"&gt;="&amp;C3195)</f>
        <v/>
      </c>
      <c r="H3195">
        <f>INDEX(CBIC_Late_Fee_Relief_Windows_3B!$I$3195:$I$100,MATCH(G3195,CBIC_Late_Fee_Relief_Windows_3B!$O$3195:$O$100,0))</f>
        <v/>
      </c>
      <c r="I3195">
        <f>MIN(F3195,H3195)</f>
        <v/>
      </c>
    </row>
    <row r="3196">
      <c r="A3196">
        <f>TEST_DATA!A3196</f>
        <v/>
      </c>
      <c r="B3196">
        <f>TEST_DATA!B3196</f>
        <v/>
      </c>
      <c r="C3196">
        <f>TEST_DATA!C3196</f>
        <v/>
      </c>
      <c r="D3196">
        <f>TEST_DATA!D3196</f>
        <v/>
      </c>
      <c r="E3196">
        <f>TEST_DATA!E3196</f>
        <v/>
      </c>
      <c r="F3196">
        <f>MIN(E3196*319600,10000)</f>
        <v/>
      </c>
      <c r="G3196">
        <f>MINIFS(CBIC_Late_Fee_Relief_Windows_3B!$O$3196:$O$100,CBIC_Late_Fee_Relief_Windows_3B!$D$3196:$D$100,"&lt;="&amp;B3196,CBIC_Late_Fee_Relief_Windows_3B!$E$3196:$E$100,"&gt;="&amp;B3196,CBIC_Late_Fee_Relief_Windows_3B!$F$3196:$F$100,"&lt;="&amp;C3196,CBIC_Late_Fee_Relief_Windows_3B!$G$3196:$G$100,"&gt;="&amp;C3196)</f>
        <v/>
      </c>
      <c r="H3196">
        <f>INDEX(CBIC_Late_Fee_Relief_Windows_3B!$I$3196:$I$100,MATCH(G3196,CBIC_Late_Fee_Relief_Windows_3B!$O$3196:$O$100,0))</f>
        <v/>
      </c>
      <c r="I3196">
        <f>MIN(F3196,H3196)</f>
        <v/>
      </c>
    </row>
    <row r="3197">
      <c r="A3197">
        <f>TEST_DATA!A3197</f>
        <v/>
      </c>
      <c r="B3197">
        <f>TEST_DATA!B3197</f>
        <v/>
      </c>
      <c r="C3197">
        <f>TEST_DATA!C3197</f>
        <v/>
      </c>
      <c r="D3197">
        <f>TEST_DATA!D3197</f>
        <v/>
      </c>
      <c r="E3197">
        <f>TEST_DATA!E3197</f>
        <v/>
      </c>
      <c r="F3197">
        <f>MIN(E3197*319700,10000)</f>
        <v/>
      </c>
      <c r="G3197">
        <f>MINIFS(CBIC_Late_Fee_Relief_Windows_3B!$O$3197:$O$100,CBIC_Late_Fee_Relief_Windows_3B!$D$3197:$D$100,"&lt;="&amp;B3197,CBIC_Late_Fee_Relief_Windows_3B!$E$3197:$E$100,"&gt;="&amp;B3197,CBIC_Late_Fee_Relief_Windows_3B!$F$3197:$F$100,"&lt;="&amp;C3197,CBIC_Late_Fee_Relief_Windows_3B!$G$3197:$G$100,"&gt;="&amp;C3197)</f>
        <v/>
      </c>
      <c r="H3197">
        <f>INDEX(CBIC_Late_Fee_Relief_Windows_3B!$I$3197:$I$100,MATCH(G3197,CBIC_Late_Fee_Relief_Windows_3B!$O$3197:$O$100,0))</f>
        <v/>
      </c>
      <c r="I3197">
        <f>MIN(F3197,H3197)</f>
        <v/>
      </c>
    </row>
    <row r="3198">
      <c r="A3198">
        <f>TEST_DATA!A3198</f>
        <v/>
      </c>
      <c r="B3198">
        <f>TEST_DATA!B3198</f>
        <v/>
      </c>
      <c r="C3198">
        <f>TEST_DATA!C3198</f>
        <v/>
      </c>
      <c r="D3198">
        <f>TEST_DATA!D3198</f>
        <v/>
      </c>
      <c r="E3198">
        <f>TEST_DATA!E3198</f>
        <v/>
      </c>
      <c r="F3198">
        <f>MIN(E3198*319800,10000)</f>
        <v/>
      </c>
      <c r="G3198">
        <f>MINIFS(CBIC_Late_Fee_Relief_Windows_3B!$O$3198:$O$100,CBIC_Late_Fee_Relief_Windows_3B!$D$3198:$D$100,"&lt;="&amp;B3198,CBIC_Late_Fee_Relief_Windows_3B!$E$3198:$E$100,"&gt;="&amp;B3198,CBIC_Late_Fee_Relief_Windows_3B!$F$3198:$F$100,"&lt;="&amp;C3198,CBIC_Late_Fee_Relief_Windows_3B!$G$3198:$G$100,"&gt;="&amp;C3198)</f>
        <v/>
      </c>
      <c r="H3198">
        <f>INDEX(CBIC_Late_Fee_Relief_Windows_3B!$I$3198:$I$100,MATCH(G3198,CBIC_Late_Fee_Relief_Windows_3B!$O$3198:$O$100,0))</f>
        <v/>
      </c>
      <c r="I3198">
        <f>MIN(F3198,H3198)</f>
        <v/>
      </c>
    </row>
    <row r="3199">
      <c r="A3199">
        <f>TEST_DATA!A3199</f>
        <v/>
      </c>
      <c r="B3199">
        <f>TEST_DATA!B3199</f>
        <v/>
      </c>
      <c r="C3199">
        <f>TEST_DATA!C3199</f>
        <v/>
      </c>
      <c r="D3199">
        <f>TEST_DATA!D3199</f>
        <v/>
      </c>
      <c r="E3199">
        <f>TEST_DATA!E3199</f>
        <v/>
      </c>
      <c r="F3199">
        <f>MIN(E3199*319900,10000)</f>
        <v/>
      </c>
      <c r="G3199">
        <f>MINIFS(CBIC_Late_Fee_Relief_Windows_3B!$O$3199:$O$100,CBIC_Late_Fee_Relief_Windows_3B!$D$3199:$D$100,"&lt;="&amp;B3199,CBIC_Late_Fee_Relief_Windows_3B!$E$3199:$E$100,"&gt;="&amp;B3199,CBIC_Late_Fee_Relief_Windows_3B!$F$3199:$F$100,"&lt;="&amp;C3199,CBIC_Late_Fee_Relief_Windows_3B!$G$3199:$G$100,"&gt;="&amp;C3199)</f>
        <v/>
      </c>
      <c r="H3199">
        <f>INDEX(CBIC_Late_Fee_Relief_Windows_3B!$I$3199:$I$100,MATCH(G3199,CBIC_Late_Fee_Relief_Windows_3B!$O$3199:$O$100,0))</f>
        <v/>
      </c>
      <c r="I3199">
        <f>MIN(F3199,H3199)</f>
        <v/>
      </c>
    </row>
    <row r="3200">
      <c r="A3200">
        <f>TEST_DATA!A3200</f>
        <v/>
      </c>
      <c r="B3200">
        <f>TEST_DATA!B3200</f>
        <v/>
      </c>
      <c r="C3200">
        <f>TEST_DATA!C3200</f>
        <v/>
      </c>
      <c r="D3200">
        <f>TEST_DATA!D3200</f>
        <v/>
      </c>
      <c r="E3200">
        <f>TEST_DATA!E3200</f>
        <v/>
      </c>
      <c r="F3200">
        <f>MIN(E3200*320000,10000)</f>
        <v/>
      </c>
      <c r="G3200">
        <f>MINIFS(CBIC_Late_Fee_Relief_Windows_3B!$O$3200:$O$100,CBIC_Late_Fee_Relief_Windows_3B!$D$3200:$D$100,"&lt;="&amp;B3200,CBIC_Late_Fee_Relief_Windows_3B!$E$3200:$E$100,"&gt;="&amp;B3200,CBIC_Late_Fee_Relief_Windows_3B!$F$3200:$F$100,"&lt;="&amp;C3200,CBIC_Late_Fee_Relief_Windows_3B!$G$3200:$G$100,"&gt;="&amp;C3200)</f>
        <v/>
      </c>
      <c r="H3200">
        <f>INDEX(CBIC_Late_Fee_Relief_Windows_3B!$I$3200:$I$100,MATCH(G3200,CBIC_Late_Fee_Relief_Windows_3B!$O$3200:$O$100,0))</f>
        <v/>
      </c>
      <c r="I3200">
        <f>MIN(F3200,H3200)</f>
        <v/>
      </c>
    </row>
    <row r="3201">
      <c r="A3201">
        <f>TEST_DATA!A3201</f>
        <v/>
      </c>
      <c r="B3201">
        <f>TEST_DATA!B3201</f>
        <v/>
      </c>
      <c r="C3201">
        <f>TEST_DATA!C3201</f>
        <v/>
      </c>
      <c r="D3201">
        <f>TEST_DATA!D3201</f>
        <v/>
      </c>
      <c r="E3201">
        <f>TEST_DATA!E3201</f>
        <v/>
      </c>
      <c r="F3201">
        <f>MIN(E3201*320100,10000)</f>
        <v/>
      </c>
      <c r="G3201">
        <f>MINIFS(CBIC_Late_Fee_Relief_Windows_3B!$O$3201:$O$100,CBIC_Late_Fee_Relief_Windows_3B!$D$3201:$D$100,"&lt;="&amp;B3201,CBIC_Late_Fee_Relief_Windows_3B!$E$3201:$E$100,"&gt;="&amp;B3201,CBIC_Late_Fee_Relief_Windows_3B!$F$3201:$F$100,"&lt;="&amp;C3201,CBIC_Late_Fee_Relief_Windows_3B!$G$3201:$G$100,"&gt;="&amp;C3201)</f>
        <v/>
      </c>
      <c r="H3201">
        <f>INDEX(CBIC_Late_Fee_Relief_Windows_3B!$I$3201:$I$100,MATCH(G3201,CBIC_Late_Fee_Relief_Windows_3B!$O$3201:$O$100,0))</f>
        <v/>
      </c>
      <c r="I3201">
        <f>MIN(F3201,H3201)</f>
        <v/>
      </c>
    </row>
    <row r="3202">
      <c r="A3202">
        <f>TEST_DATA!A3202</f>
        <v/>
      </c>
      <c r="B3202">
        <f>TEST_DATA!B3202</f>
        <v/>
      </c>
      <c r="C3202">
        <f>TEST_DATA!C3202</f>
        <v/>
      </c>
      <c r="D3202">
        <f>TEST_DATA!D3202</f>
        <v/>
      </c>
      <c r="E3202">
        <f>TEST_DATA!E3202</f>
        <v/>
      </c>
      <c r="F3202">
        <f>MIN(E3202*320200,10000)</f>
        <v/>
      </c>
      <c r="G3202">
        <f>MINIFS(CBIC_Late_Fee_Relief_Windows_3B!$O$3202:$O$100,CBIC_Late_Fee_Relief_Windows_3B!$D$3202:$D$100,"&lt;="&amp;B3202,CBIC_Late_Fee_Relief_Windows_3B!$E$3202:$E$100,"&gt;="&amp;B3202,CBIC_Late_Fee_Relief_Windows_3B!$F$3202:$F$100,"&lt;="&amp;C3202,CBIC_Late_Fee_Relief_Windows_3B!$G$3202:$G$100,"&gt;="&amp;C3202)</f>
        <v/>
      </c>
      <c r="H3202">
        <f>INDEX(CBIC_Late_Fee_Relief_Windows_3B!$I$3202:$I$100,MATCH(G3202,CBIC_Late_Fee_Relief_Windows_3B!$O$3202:$O$100,0))</f>
        <v/>
      </c>
      <c r="I3202">
        <f>MIN(F3202,H3202)</f>
        <v/>
      </c>
    </row>
    <row r="3203">
      <c r="A3203">
        <f>TEST_DATA!A3203</f>
        <v/>
      </c>
      <c r="B3203">
        <f>TEST_DATA!B3203</f>
        <v/>
      </c>
      <c r="C3203">
        <f>TEST_DATA!C3203</f>
        <v/>
      </c>
      <c r="D3203">
        <f>TEST_DATA!D3203</f>
        <v/>
      </c>
      <c r="E3203">
        <f>TEST_DATA!E3203</f>
        <v/>
      </c>
      <c r="F3203">
        <f>MIN(E3203*320300,10000)</f>
        <v/>
      </c>
      <c r="G3203">
        <f>MINIFS(CBIC_Late_Fee_Relief_Windows_3B!$O$3203:$O$100,CBIC_Late_Fee_Relief_Windows_3B!$D$3203:$D$100,"&lt;="&amp;B3203,CBIC_Late_Fee_Relief_Windows_3B!$E$3203:$E$100,"&gt;="&amp;B3203,CBIC_Late_Fee_Relief_Windows_3B!$F$3203:$F$100,"&lt;="&amp;C3203,CBIC_Late_Fee_Relief_Windows_3B!$G$3203:$G$100,"&gt;="&amp;C3203)</f>
        <v/>
      </c>
      <c r="H3203">
        <f>INDEX(CBIC_Late_Fee_Relief_Windows_3B!$I$3203:$I$100,MATCH(G3203,CBIC_Late_Fee_Relief_Windows_3B!$O$3203:$O$100,0))</f>
        <v/>
      </c>
      <c r="I3203">
        <f>MIN(F3203,H3203)</f>
        <v/>
      </c>
    </row>
    <row r="3204">
      <c r="A3204">
        <f>TEST_DATA!A3204</f>
        <v/>
      </c>
      <c r="B3204">
        <f>TEST_DATA!B3204</f>
        <v/>
      </c>
      <c r="C3204">
        <f>TEST_DATA!C3204</f>
        <v/>
      </c>
      <c r="D3204">
        <f>TEST_DATA!D3204</f>
        <v/>
      </c>
      <c r="E3204">
        <f>TEST_DATA!E3204</f>
        <v/>
      </c>
      <c r="F3204">
        <f>MIN(E3204*320400,10000)</f>
        <v/>
      </c>
      <c r="G3204">
        <f>MINIFS(CBIC_Late_Fee_Relief_Windows_3B!$O$3204:$O$100,CBIC_Late_Fee_Relief_Windows_3B!$D$3204:$D$100,"&lt;="&amp;B3204,CBIC_Late_Fee_Relief_Windows_3B!$E$3204:$E$100,"&gt;="&amp;B3204,CBIC_Late_Fee_Relief_Windows_3B!$F$3204:$F$100,"&lt;="&amp;C3204,CBIC_Late_Fee_Relief_Windows_3B!$G$3204:$G$100,"&gt;="&amp;C3204)</f>
        <v/>
      </c>
      <c r="H3204">
        <f>INDEX(CBIC_Late_Fee_Relief_Windows_3B!$I$3204:$I$100,MATCH(G3204,CBIC_Late_Fee_Relief_Windows_3B!$O$3204:$O$100,0))</f>
        <v/>
      </c>
      <c r="I3204">
        <f>MIN(F3204,H3204)</f>
        <v/>
      </c>
    </row>
    <row r="3205">
      <c r="A3205">
        <f>TEST_DATA!A3205</f>
        <v/>
      </c>
      <c r="B3205">
        <f>TEST_DATA!B3205</f>
        <v/>
      </c>
      <c r="C3205">
        <f>TEST_DATA!C3205</f>
        <v/>
      </c>
      <c r="D3205">
        <f>TEST_DATA!D3205</f>
        <v/>
      </c>
      <c r="E3205">
        <f>TEST_DATA!E3205</f>
        <v/>
      </c>
      <c r="F3205">
        <f>MIN(E3205*320500,10000)</f>
        <v/>
      </c>
      <c r="G3205">
        <f>MINIFS(CBIC_Late_Fee_Relief_Windows_3B!$O$3205:$O$100,CBIC_Late_Fee_Relief_Windows_3B!$D$3205:$D$100,"&lt;="&amp;B3205,CBIC_Late_Fee_Relief_Windows_3B!$E$3205:$E$100,"&gt;="&amp;B3205,CBIC_Late_Fee_Relief_Windows_3B!$F$3205:$F$100,"&lt;="&amp;C3205,CBIC_Late_Fee_Relief_Windows_3B!$G$3205:$G$100,"&gt;="&amp;C3205)</f>
        <v/>
      </c>
      <c r="H3205">
        <f>INDEX(CBIC_Late_Fee_Relief_Windows_3B!$I$3205:$I$100,MATCH(G3205,CBIC_Late_Fee_Relief_Windows_3B!$O$3205:$O$100,0))</f>
        <v/>
      </c>
      <c r="I3205">
        <f>MIN(F3205,H3205)</f>
        <v/>
      </c>
    </row>
    <row r="3206">
      <c r="A3206">
        <f>TEST_DATA!A3206</f>
        <v/>
      </c>
      <c r="B3206">
        <f>TEST_DATA!B3206</f>
        <v/>
      </c>
      <c r="C3206">
        <f>TEST_DATA!C3206</f>
        <v/>
      </c>
      <c r="D3206">
        <f>TEST_DATA!D3206</f>
        <v/>
      </c>
      <c r="E3206">
        <f>TEST_DATA!E3206</f>
        <v/>
      </c>
      <c r="F3206">
        <f>MIN(E3206*320600,10000)</f>
        <v/>
      </c>
      <c r="G3206">
        <f>MINIFS(CBIC_Late_Fee_Relief_Windows_3B!$O$3206:$O$100,CBIC_Late_Fee_Relief_Windows_3B!$D$3206:$D$100,"&lt;="&amp;B3206,CBIC_Late_Fee_Relief_Windows_3B!$E$3206:$E$100,"&gt;="&amp;B3206,CBIC_Late_Fee_Relief_Windows_3B!$F$3206:$F$100,"&lt;="&amp;C3206,CBIC_Late_Fee_Relief_Windows_3B!$G$3206:$G$100,"&gt;="&amp;C3206)</f>
        <v/>
      </c>
      <c r="H3206">
        <f>INDEX(CBIC_Late_Fee_Relief_Windows_3B!$I$3206:$I$100,MATCH(G3206,CBIC_Late_Fee_Relief_Windows_3B!$O$3206:$O$100,0))</f>
        <v/>
      </c>
      <c r="I3206">
        <f>MIN(F3206,H3206)</f>
        <v/>
      </c>
    </row>
    <row r="3207">
      <c r="A3207">
        <f>TEST_DATA!A3207</f>
        <v/>
      </c>
      <c r="B3207">
        <f>TEST_DATA!B3207</f>
        <v/>
      </c>
      <c r="C3207">
        <f>TEST_DATA!C3207</f>
        <v/>
      </c>
      <c r="D3207">
        <f>TEST_DATA!D3207</f>
        <v/>
      </c>
      <c r="E3207">
        <f>TEST_DATA!E3207</f>
        <v/>
      </c>
      <c r="F3207">
        <f>MIN(E3207*320700,10000)</f>
        <v/>
      </c>
      <c r="G3207">
        <f>MINIFS(CBIC_Late_Fee_Relief_Windows_3B!$O$3207:$O$100,CBIC_Late_Fee_Relief_Windows_3B!$D$3207:$D$100,"&lt;="&amp;B3207,CBIC_Late_Fee_Relief_Windows_3B!$E$3207:$E$100,"&gt;="&amp;B3207,CBIC_Late_Fee_Relief_Windows_3B!$F$3207:$F$100,"&lt;="&amp;C3207,CBIC_Late_Fee_Relief_Windows_3B!$G$3207:$G$100,"&gt;="&amp;C3207)</f>
        <v/>
      </c>
      <c r="H3207">
        <f>INDEX(CBIC_Late_Fee_Relief_Windows_3B!$I$3207:$I$100,MATCH(G3207,CBIC_Late_Fee_Relief_Windows_3B!$O$3207:$O$100,0))</f>
        <v/>
      </c>
      <c r="I3207">
        <f>MIN(F3207,H3207)</f>
        <v/>
      </c>
    </row>
    <row r="3208">
      <c r="A3208">
        <f>TEST_DATA!A3208</f>
        <v/>
      </c>
      <c r="B3208">
        <f>TEST_DATA!B3208</f>
        <v/>
      </c>
      <c r="C3208">
        <f>TEST_DATA!C3208</f>
        <v/>
      </c>
      <c r="D3208">
        <f>TEST_DATA!D3208</f>
        <v/>
      </c>
      <c r="E3208">
        <f>TEST_DATA!E3208</f>
        <v/>
      </c>
      <c r="F3208">
        <f>MIN(E3208*320800,10000)</f>
        <v/>
      </c>
      <c r="G3208">
        <f>MINIFS(CBIC_Late_Fee_Relief_Windows_3B!$O$3208:$O$100,CBIC_Late_Fee_Relief_Windows_3B!$D$3208:$D$100,"&lt;="&amp;B3208,CBIC_Late_Fee_Relief_Windows_3B!$E$3208:$E$100,"&gt;="&amp;B3208,CBIC_Late_Fee_Relief_Windows_3B!$F$3208:$F$100,"&lt;="&amp;C3208,CBIC_Late_Fee_Relief_Windows_3B!$G$3208:$G$100,"&gt;="&amp;C3208)</f>
        <v/>
      </c>
      <c r="H3208">
        <f>INDEX(CBIC_Late_Fee_Relief_Windows_3B!$I$3208:$I$100,MATCH(G3208,CBIC_Late_Fee_Relief_Windows_3B!$O$3208:$O$100,0))</f>
        <v/>
      </c>
      <c r="I3208">
        <f>MIN(F3208,H3208)</f>
        <v/>
      </c>
    </row>
    <row r="3209">
      <c r="A3209">
        <f>TEST_DATA!A3209</f>
        <v/>
      </c>
      <c r="B3209">
        <f>TEST_DATA!B3209</f>
        <v/>
      </c>
      <c r="C3209">
        <f>TEST_DATA!C3209</f>
        <v/>
      </c>
      <c r="D3209">
        <f>TEST_DATA!D3209</f>
        <v/>
      </c>
      <c r="E3209">
        <f>TEST_DATA!E3209</f>
        <v/>
      </c>
      <c r="F3209">
        <f>MIN(E3209*320900,10000)</f>
        <v/>
      </c>
      <c r="G3209">
        <f>MINIFS(CBIC_Late_Fee_Relief_Windows_3B!$O$3209:$O$100,CBIC_Late_Fee_Relief_Windows_3B!$D$3209:$D$100,"&lt;="&amp;B3209,CBIC_Late_Fee_Relief_Windows_3B!$E$3209:$E$100,"&gt;="&amp;B3209,CBIC_Late_Fee_Relief_Windows_3B!$F$3209:$F$100,"&lt;="&amp;C3209,CBIC_Late_Fee_Relief_Windows_3B!$G$3209:$G$100,"&gt;="&amp;C3209)</f>
        <v/>
      </c>
      <c r="H3209">
        <f>INDEX(CBIC_Late_Fee_Relief_Windows_3B!$I$3209:$I$100,MATCH(G3209,CBIC_Late_Fee_Relief_Windows_3B!$O$3209:$O$100,0))</f>
        <v/>
      </c>
      <c r="I3209">
        <f>MIN(F3209,H3209)</f>
        <v/>
      </c>
    </row>
    <row r="3210">
      <c r="A3210">
        <f>TEST_DATA!A3210</f>
        <v/>
      </c>
      <c r="B3210">
        <f>TEST_DATA!B3210</f>
        <v/>
      </c>
      <c r="C3210">
        <f>TEST_DATA!C3210</f>
        <v/>
      </c>
      <c r="D3210">
        <f>TEST_DATA!D3210</f>
        <v/>
      </c>
      <c r="E3210">
        <f>TEST_DATA!E3210</f>
        <v/>
      </c>
      <c r="F3210">
        <f>MIN(E3210*321000,10000)</f>
        <v/>
      </c>
      <c r="G3210">
        <f>MINIFS(CBIC_Late_Fee_Relief_Windows_3B!$O$3210:$O$100,CBIC_Late_Fee_Relief_Windows_3B!$D$3210:$D$100,"&lt;="&amp;B3210,CBIC_Late_Fee_Relief_Windows_3B!$E$3210:$E$100,"&gt;="&amp;B3210,CBIC_Late_Fee_Relief_Windows_3B!$F$3210:$F$100,"&lt;="&amp;C3210,CBIC_Late_Fee_Relief_Windows_3B!$G$3210:$G$100,"&gt;="&amp;C3210)</f>
        <v/>
      </c>
      <c r="H3210">
        <f>INDEX(CBIC_Late_Fee_Relief_Windows_3B!$I$3210:$I$100,MATCH(G3210,CBIC_Late_Fee_Relief_Windows_3B!$O$3210:$O$100,0))</f>
        <v/>
      </c>
      <c r="I3210">
        <f>MIN(F3210,H3210)</f>
        <v/>
      </c>
    </row>
    <row r="3211">
      <c r="A3211">
        <f>TEST_DATA!A3211</f>
        <v/>
      </c>
      <c r="B3211">
        <f>TEST_DATA!B3211</f>
        <v/>
      </c>
      <c r="C3211">
        <f>TEST_DATA!C3211</f>
        <v/>
      </c>
      <c r="D3211">
        <f>TEST_DATA!D3211</f>
        <v/>
      </c>
      <c r="E3211">
        <f>TEST_DATA!E3211</f>
        <v/>
      </c>
      <c r="F3211">
        <f>MIN(E3211*321100,10000)</f>
        <v/>
      </c>
      <c r="G3211">
        <f>MINIFS(CBIC_Late_Fee_Relief_Windows_3B!$O$3211:$O$100,CBIC_Late_Fee_Relief_Windows_3B!$D$3211:$D$100,"&lt;="&amp;B3211,CBIC_Late_Fee_Relief_Windows_3B!$E$3211:$E$100,"&gt;="&amp;B3211,CBIC_Late_Fee_Relief_Windows_3B!$F$3211:$F$100,"&lt;="&amp;C3211,CBIC_Late_Fee_Relief_Windows_3B!$G$3211:$G$100,"&gt;="&amp;C3211)</f>
        <v/>
      </c>
      <c r="H3211">
        <f>INDEX(CBIC_Late_Fee_Relief_Windows_3B!$I$3211:$I$100,MATCH(G3211,CBIC_Late_Fee_Relief_Windows_3B!$O$3211:$O$100,0))</f>
        <v/>
      </c>
      <c r="I3211">
        <f>MIN(F3211,H3211)</f>
        <v/>
      </c>
    </row>
    <row r="3212">
      <c r="A3212">
        <f>TEST_DATA!A3212</f>
        <v/>
      </c>
      <c r="B3212">
        <f>TEST_DATA!B3212</f>
        <v/>
      </c>
      <c r="C3212">
        <f>TEST_DATA!C3212</f>
        <v/>
      </c>
      <c r="D3212">
        <f>TEST_DATA!D3212</f>
        <v/>
      </c>
      <c r="E3212">
        <f>TEST_DATA!E3212</f>
        <v/>
      </c>
      <c r="F3212">
        <f>MIN(E3212*321200,10000)</f>
        <v/>
      </c>
      <c r="G3212">
        <f>MINIFS(CBIC_Late_Fee_Relief_Windows_3B!$O$3212:$O$100,CBIC_Late_Fee_Relief_Windows_3B!$D$3212:$D$100,"&lt;="&amp;B3212,CBIC_Late_Fee_Relief_Windows_3B!$E$3212:$E$100,"&gt;="&amp;B3212,CBIC_Late_Fee_Relief_Windows_3B!$F$3212:$F$100,"&lt;="&amp;C3212,CBIC_Late_Fee_Relief_Windows_3B!$G$3212:$G$100,"&gt;="&amp;C3212)</f>
        <v/>
      </c>
      <c r="H3212">
        <f>INDEX(CBIC_Late_Fee_Relief_Windows_3B!$I$3212:$I$100,MATCH(G3212,CBIC_Late_Fee_Relief_Windows_3B!$O$3212:$O$100,0))</f>
        <v/>
      </c>
      <c r="I3212">
        <f>MIN(F3212,H3212)</f>
        <v/>
      </c>
    </row>
    <row r="3213">
      <c r="A3213">
        <f>TEST_DATA!A3213</f>
        <v/>
      </c>
      <c r="B3213">
        <f>TEST_DATA!B3213</f>
        <v/>
      </c>
      <c r="C3213">
        <f>TEST_DATA!C3213</f>
        <v/>
      </c>
      <c r="D3213">
        <f>TEST_DATA!D3213</f>
        <v/>
      </c>
      <c r="E3213">
        <f>TEST_DATA!E3213</f>
        <v/>
      </c>
      <c r="F3213">
        <f>MIN(E3213*321300,10000)</f>
        <v/>
      </c>
      <c r="G3213">
        <f>MINIFS(CBIC_Late_Fee_Relief_Windows_3B!$O$3213:$O$100,CBIC_Late_Fee_Relief_Windows_3B!$D$3213:$D$100,"&lt;="&amp;B3213,CBIC_Late_Fee_Relief_Windows_3B!$E$3213:$E$100,"&gt;="&amp;B3213,CBIC_Late_Fee_Relief_Windows_3B!$F$3213:$F$100,"&lt;="&amp;C3213,CBIC_Late_Fee_Relief_Windows_3B!$G$3213:$G$100,"&gt;="&amp;C3213)</f>
        <v/>
      </c>
      <c r="H3213">
        <f>INDEX(CBIC_Late_Fee_Relief_Windows_3B!$I$3213:$I$100,MATCH(G3213,CBIC_Late_Fee_Relief_Windows_3B!$O$3213:$O$100,0))</f>
        <v/>
      </c>
      <c r="I3213">
        <f>MIN(F3213,H3213)</f>
        <v/>
      </c>
    </row>
    <row r="3214">
      <c r="A3214">
        <f>TEST_DATA!A3214</f>
        <v/>
      </c>
      <c r="B3214">
        <f>TEST_DATA!B3214</f>
        <v/>
      </c>
      <c r="C3214">
        <f>TEST_DATA!C3214</f>
        <v/>
      </c>
      <c r="D3214">
        <f>TEST_DATA!D3214</f>
        <v/>
      </c>
      <c r="E3214">
        <f>TEST_DATA!E3214</f>
        <v/>
      </c>
      <c r="F3214">
        <f>MIN(E3214*321400,10000)</f>
        <v/>
      </c>
      <c r="G3214">
        <f>MINIFS(CBIC_Late_Fee_Relief_Windows_3B!$O$3214:$O$100,CBIC_Late_Fee_Relief_Windows_3B!$D$3214:$D$100,"&lt;="&amp;B3214,CBIC_Late_Fee_Relief_Windows_3B!$E$3214:$E$100,"&gt;="&amp;B3214,CBIC_Late_Fee_Relief_Windows_3B!$F$3214:$F$100,"&lt;="&amp;C3214,CBIC_Late_Fee_Relief_Windows_3B!$G$3214:$G$100,"&gt;="&amp;C3214)</f>
        <v/>
      </c>
      <c r="H3214">
        <f>INDEX(CBIC_Late_Fee_Relief_Windows_3B!$I$3214:$I$100,MATCH(G3214,CBIC_Late_Fee_Relief_Windows_3B!$O$3214:$O$100,0))</f>
        <v/>
      </c>
      <c r="I3214">
        <f>MIN(F3214,H3214)</f>
        <v/>
      </c>
    </row>
    <row r="3215">
      <c r="A3215">
        <f>TEST_DATA!A3215</f>
        <v/>
      </c>
      <c r="B3215">
        <f>TEST_DATA!B3215</f>
        <v/>
      </c>
      <c r="C3215">
        <f>TEST_DATA!C3215</f>
        <v/>
      </c>
      <c r="D3215">
        <f>TEST_DATA!D3215</f>
        <v/>
      </c>
      <c r="E3215">
        <f>TEST_DATA!E3215</f>
        <v/>
      </c>
      <c r="F3215">
        <f>MIN(E3215*321500,10000)</f>
        <v/>
      </c>
      <c r="G3215">
        <f>MINIFS(CBIC_Late_Fee_Relief_Windows_3B!$O$3215:$O$100,CBIC_Late_Fee_Relief_Windows_3B!$D$3215:$D$100,"&lt;="&amp;B3215,CBIC_Late_Fee_Relief_Windows_3B!$E$3215:$E$100,"&gt;="&amp;B3215,CBIC_Late_Fee_Relief_Windows_3B!$F$3215:$F$100,"&lt;="&amp;C3215,CBIC_Late_Fee_Relief_Windows_3B!$G$3215:$G$100,"&gt;="&amp;C3215)</f>
        <v/>
      </c>
      <c r="H3215">
        <f>INDEX(CBIC_Late_Fee_Relief_Windows_3B!$I$3215:$I$100,MATCH(G3215,CBIC_Late_Fee_Relief_Windows_3B!$O$3215:$O$100,0))</f>
        <v/>
      </c>
      <c r="I3215">
        <f>MIN(F3215,H3215)</f>
        <v/>
      </c>
    </row>
    <row r="3216">
      <c r="A3216">
        <f>TEST_DATA!A3216</f>
        <v/>
      </c>
      <c r="B3216">
        <f>TEST_DATA!B3216</f>
        <v/>
      </c>
      <c r="C3216">
        <f>TEST_DATA!C3216</f>
        <v/>
      </c>
      <c r="D3216">
        <f>TEST_DATA!D3216</f>
        <v/>
      </c>
      <c r="E3216">
        <f>TEST_DATA!E3216</f>
        <v/>
      </c>
      <c r="F3216">
        <f>MIN(E3216*321600,10000)</f>
        <v/>
      </c>
      <c r="G3216">
        <f>MINIFS(CBIC_Late_Fee_Relief_Windows_3B!$O$3216:$O$100,CBIC_Late_Fee_Relief_Windows_3B!$D$3216:$D$100,"&lt;="&amp;B3216,CBIC_Late_Fee_Relief_Windows_3B!$E$3216:$E$100,"&gt;="&amp;B3216,CBIC_Late_Fee_Relief_Windows_3B!$F$3216:$F$100,"&lt;="&amp;C3216,CBIC_Late_Fee_Relief_Windows_3B!$G$3216:$G$100,"&gt;="&amp;C3216)</f>
        <v/>
      </c>
      <c r="H3216">
        <f>INDEX(CBIC_Late_Fee_Relief_Windows_3B!$I$3216:$I$100,MATCH(G3216,CBIC_Late_Fee_Relief_Windows_3B!$O$3216:$O$100,0))</f>
        <v/>
      </c>
      <c r="I3216">
        <f>MIN(F3216,H3216)</f>
        <v/>
      </c>
    </row>
    <row r="3217">
      <c r="A3217">
        <f>TEST_DATA!A3217</f>
        <v/>
      </c>
      <c r="B3217">
        <f>TEST_DATA!B3217</f>
        <v/>
      </c>
      <c r="C3217">
        <f>TEST_DATA!C3217</f>
        <v/>
      </c>
      <c r="D3217">
        <f>TEST_DATA!D3217</f>
        <v/>
      </c>
      <c r="E3217">
        <f>TEST_DATA!E3217</f>
        <v/>
      </c>
      <c r="F3217">
        <f>MIN(E3217*321700,10000)</f>
        <v/>
      </c>
      <c r="G3217">
        <f>MINIFS(CBIC_Late_Fee_Relief_Windows_3B!$O$3217:$O$100,CBIC_Late_Fee_Relief_Windows_3B!$D$3217:$D$100,"&lt;="&amp;B3217,CBIC_Late_Fee_Relief_Windows_3B!$E$3217:$E$100,"&gt;="&amp;B3217,CBIC_Late_Fee_Relief_Windows_3B!$F$3217:$F$100,"&lt;="&amp;C3217,CBIC_Late_Fee_Relief_Windows_3B!$G$3217:$G$100,"&gt;="&amp;C3217)</f>
        <v/>
      </c>
      <c r="H3217">
        <f>INDEX(CBIC_Late_Fee_Relief_Windows_3B!$I$3217:$I$100,MATCH(G3217,CBIC_Late_Fee_Relief_Windows_3B!$O$3217:$O$100,0))</f>
        <v/>
      </c>
      <c r="I3217">
        <f>MIN(F3217,H3217)</f>
        <v/>
      </c>
    </row>
    <row r="3218">
      <c r="A3218">
        <f>TEST_DATA!A3218</f>
        <v/>
      </c>
      <c r="B3218">
        <f>TEST_DATA!B3218</f>
        <v/>
      </c>
      <c r="C3218">
        <f>TEST_DATA!C3218</f>
        <v/>
      </c>
      <c r="D3218">
        <f>TEST_DATA!D3218</f>
        <v/>
      </c>
      <c r="E3218">
        <f>TEST_DATA!E3218</f>
        <v/>
      </c>
      <c r="F3218">
        <f>MIN(E3218*321800,10000)</f>
        <v/>
      </c>
      <c r="G3218">
        <f>MINIFS(CBIC_Late_Fee_Relief_Windows_3B!$O$3218:$O$100,CBIC_Late_Fee_Relief_Windows_3B!$D$3218:$D$100,"&lt;="&amp;B3218,CBIC_Late_Fee_Relief_Windows_3B!$E$3218:$E$100,"&gt;="&amp;B3218,CBIC_Late_Fee_Relief_Windows_3B!$F$3218:$F$100,"&lt;="&amp;C3218,CBIC_Late_Fee_Relief_Windows_3B!$G$3218:$G$100,"&gt;="&amp;C3218)</f>
        <v/>
      </c>
      <c r="H3218">
        <f>INDEX(CBIC_Late_Fee_Relief_Windows_3B!$I$3218:$I$100,MATCH(G3218,CBIC_Late_Fee_Relief_Windows_3B!$O$3218:$O$100,0))</f>
        <v/>
      </c>
      <c r="I3218">
        <f>MIN(F3218,H3218)</f>
        <v/>
      </c>
    </row>
    <row r="3219">
      <c r="A3219">
        <f>TEST_DATA!A3219</f>
        <v/>
      </c>
      <c r="B3219">
        <f>TEST_DATA!B3219</f>
        <v/>
      </c>
      <c r="C3219">
        <f>TEST_DATA!C3219</f>
        <v/>
      </c>
      <c r="D3219">
        <f>TEST_DATA!D3219</f>
        <v/>
      </c>
      <c r="E3219">
        <f>TEST_DATA!E3219</f>
        <v/>
      </c>
      <c r="F3219">
        <f>MIN(E3219*321900,10000)</f>
        <v/>
      </c>
      <c r="G3219">
        <f>MINIFS(CBIC_Late_Fee_Relief_Windows_3B!$O$3219:$O$100,CBIC_Late_Fee_Relief_Windows_3B!$D$3219:$D$100,"&lt;="&amp;B3219,CBIC_Late_Fee_Relief_Windows_3B!$E$3219:$E$100,"&gt;="&amp;B3219,CBIC_Late_Fee_Relief_Windows_3B!$F$3219:$F$100,"&lt;="&amp;C3219,CBIC_Late_Fee_Relief_Windows_3B!$G$3219:$G$100,"&gt;="&amp;C3219)</f>
        <v/>
      </c>
      <c r="H3219">
        <f>INDEX(CBIC_Late_Fee_Relief_Windows_3B!$I$3219:$I$100,MATCH(G3219,CBIC_Late_Fee_Relief_Windows_3B!$O$3219:$O$100,0))</f>
        <v/>
      </c>
      <c r="I3219">
        <f>MIN(F3219,H3219)</f>
        <v/>
      </c>
    </row>
    <row r="3220">
      <c r="A3220">
        <f>TEST_DATA!A3220</f>
        <v/>
      </c>
      <c r="B3220">
        <f>TEST_DATA!B3220</f>
        <v/>
      </c>
      <c r="C3220">
        <f>TEST_DATA!C3220</f>
        <v/>
      </c>
      <c r="D3220">
        <f>TEST_DATA!D3220</f>
        <v/>
      </c>
      <c r="E3220">
        <f>TEST_DATA!E3220</f>
        <v/>
      </c>
      <c r="F3220">
        <f>MIN(E3220*322000,10000)</f>
        <v/>
      </c>
      <c r="G3220">
        <f>MINIFS(CBIC_Late_Fee_Relief_Windows_3B!$O$3220:$O$100,CBIC_Late_Fee_Relief_Windows_3B!$D$3220:$D$100,"&lt;="&amp;B3220,CBIC_Late_Fee_Relief_Windows_3B!$E$3220:$E$100,"&gt;="&amp;B3220,CBIC_Late_Fee_Relief_Windows_3B!$F$3220:$F$100,"&lt;="&amp;C3220,CBIC_Late_Fee_Relief_Windows_3B!$G$3220:$G$100,"&gt;="&amp;C3220)</f>
        <v/>
      </c>
      <c r="H3220">
        <f>INDEX(CBIC_Late_Fee_Relief_Windows_3B!$I$3220:$I$100,MATCH(G3220,CBIC_Late_Fee_Relief_Windows_3B!$O$3220:$O$100,0))</f>
        <v/>
      </c>
      <c r="I3220">
        <f>MIN(F3220,H3220)</f>
        <v/>
      </c>
    </row>
    <row r="3221">
      <c r="A3221">
        <f>TEST_DATA!A3221</f>
        <v/>
      </c>
      <c r="B3221">
        <f>TEST_DATA!B3221</f>
        <v/>
      </c>
      <c r="C3221">
        <f>TEST_DATA!C3221</f>
        <v/>
      </c>
      <c r="D3221">
        <f>TEST_DATA!D3221</f>
        <v/>
      </c>
      <c r="E3221">
        <f>TEST_DATA!E3221</f>
        <v/>
      </c>
      <c r="F3221">
        <f>MIN(E3221*322100,10000)</f>
        <v/>
      </c>
      <c r="G3221">
        <f>MINIFS(CBIC_Late_Fee_Relief_Windows_3B!$O$3221:$O$100,CBIC_Late_Fee_Relief_Windows_3B!$D$3221:$D$100,"&lt;="&amp;B3221,CBIC_Late_Fee_Relief_Windows_3B!$E$3221:$E$100,"&gt;="&amp;B3221,CBIC_Late_Fee_Relief_Windows_3B!$F$3221:$F$100,"&lt;="&amp;C3221,CBIC_Late_Fee_Relief_Windows_3B!$G$3221:$G$100,"&gt;="&amp;C3221)</f>
        <v/>
      </c>
      <c r="H3221">
        <f>INDEX(CBIC_Late_Fee_Relief_Windows_3B!$I$3221:$I$100,MATCH(G3221,CBIC_Late_Fee_Relief_Windows_3B!$O$3221:$O$100,0))</f>
        <v/>
      </c>
      <c r="I3221">
        <f>MIN(F3221,H3221)</f>
        <v/>
      </c>
    </row>
    <row r="3222">
      <c r="A3222">
        <f>TEST_DATA!A3222</f>
        <v/>
      </c>
      <c r="B3222">
        <f>TEST_DATA!B3222</f>
        <v/>
      </c>
      <c r="C3222">
        <f>TEST_DATA!C3222</f>
        <v/>
      </c>
      <c r="D3222">
        <f>TEST_DATA!D3222</f>
        <v/>
      </c>
      <c r="E3222">
        <f>TEST_DATA!E3222</f>
        <v/>
      </c>
      <c r="F3222">
        <f>MIN(E3222*322200,10000)</f>
        <v/>
      </c>
      <c r="G3222">
        <f>MINIFS(CBIC_Late_Fee_Relief_Windows_3B!$O$3222:$O$100,CBIC_Late_Fee_Relief_Windows_3B!$D$3222:$D$100,"&lt;="&amp;B3222,CBIC_Late_Fee_Relief_Windows_3B!$E$3222:$E$100,"&gt;="&amp;B3222,CBIC_Late_Fee_Relief_Windows_3B!$F$3222:$F$100,"&lt;="&amp;C3222,CBIC_Late_Fee_Relief_Windows_3B!$G$3222:$G$100,"&gt;="&amp;C3222)</f>
        <v/>
      </c>
      <c r="H3222">
        <f>INDEX(CBIC_Late_Fee_Relief_Windows_3B!$I$3222:$I$100,MATCH(G3222,CBIC_Late_Fee_Relief_Windows_3B!$O$3222:$O$100,0))</f>
        <v/>
      </c>
      <c r="I3222">
        <f>MIN(F3222,H3222)</f>
        <v/>
      </c>
    </row>
    <row r="3223">
      <c r="A3223">
        <f>TEST_DATA!A3223</f>
        <v/>
      </c>
      <c r="B3223">
        <f>TEST_DATA!B3223</f>
        <v/>
      </c>
      <c r="C3223">
        <f>TEST_DATA!C3223</f>
        <v/>
      </c>
      <c r="D3223">
        <f>TEST_DATA!D3223</f>
        <v/>
      </c>
      <c r="E3223">
        <f>TEST_DATA!E3223</f>
        <v/>
      </c>
      <c r="F3223">
        <f>MIN(E3223*322300,10000)</f>
        <v/>
      </c>
      <c r="G3223">
        <f>MINIFS(CBIC_Late_Fee_Relief_Windows_3B!$O$3223:$O$100,CBIC_Late_Fee_Relief_Windows_3B!$D$3223:$D$100,"&lt;="&amp;B3223,CBIC_Late_Fee_Relief_Windows_3B!$E$3223:$E$100,"&gt;="&amp;B3223,CBIC_Late_Fee_Relief_Windows_3B!$F$3223:$F$100,"&lt;="&amp;C3223,CBIC_Late_Fee_Relief_Windows_3B!$G$3223:$G$100,"&gt;="&amp;C3223)</f>
        <v/>
      </c>
      <c r="H3223">
        <f>INDEX(CBIC_Late_Fee_Relief_Windows_3B!$I$3223:$I$100,MATCH(G3223,CBIC_Late_Fee_Relief_Windows_3B!$O$3223:$O$100,0))</f>
        <v/>
      </c>
      <c r="I3223">
        <f>MIN(F3223,H3223)</f>
        <v/>
      </c>
    </row>
    <row r="3224">
      <c r="A3224">
        <f>TEST_DATA!A3224</f>
        <v/>
      </c>
      <c r="B3224">
        <f>TEST_DATA!B3224</f>
        <v/>
      </c>
      <c r="C3224">
        <f>TEST_DATA!C3224</f>
        <v/>
      </c>
      <c r="D3224">
        <f>TEST_DATA!D3224</f>
        <v/>
      </c>
      <c r="E3224">
        <f>TEST_DATA!E3224</f>
        <v/>
      </c>
      <c r="F3224">
        <f>MIN(E3224*322400,10000)</f>
        <v/>
      </c>
      <c r="G3224">
        <f>MINIFS(CBIC_Late_Fee_Relief_Windows_3B!$O$3224:$O$100,CBIC_Late_Fee_Relief_Windows_3B!$D$3224:$D$100,"&lt;="&amp;B3224,CBIC_Late_Fee_Relief_Windows_3B!$E$3224:$E$100,"&gt;="&amp;B3224,CBIC_Late_Fee_Relief_Windows_3B!$F$3224:$F$100,"&lt;="&amp;C3224,CBIC_Late_Fee_Relief_Windows_3B!$G$3224:$G$100,"&gt;="&amp;C3224)</f>
        <v/>
      </c>
      <c r="H3224">
        <f>INDEX(CBIC_Late_Fee_Relief_Windows_3B!$I$3224:$I$100,MATCH(G3224,CBIC_Late_Fee_Relief_Windows_3B!$O$3224:$O$100,0))</f>
        <v/>
      </c>
      <c r="I3224">
        <f>MIN(F3224,H3224)</f>
        <v/>
      </c>
    </row>
    <row r="3225">
      <c r="A3225">
        <f>TEST_DATA!A3225</f>
        <v/>
      </c>
      <c r="B3225">
        <f>TEST_DATA!B3225</f>
        <v/>
      </c>
      <c r="C3225">
        <f>TEST_DATA!C3225</f>
        <v/>
      </c>
      <c r="D3225">
        <f>TEST_DATA!D3225</f>
        <v/>
      </c>
      <c r="E3225">
        <f>TEST_DATA!E3225</f>
        <v/>
      </c>
      <c r="F3225">
        <f>MIN(E3225*322500,10000)</f>
        <v/>
      </c>
      <c r="G3225">
        <f>MINIFS(CBIC_Late_Fee_Relief_Windows_3B!$O$3225:$O$100,CBIC_Late_Fee_Relief_Windows_3B!$D$3225:$D$100,"&lt;="&amp;B3225,CBIC_Late_Fee_Relief_Windows_3B!$E$3225:$E$100,"&gt;="&amp;B3225,CBIC_Late_Fee_Relief_Windows_3B!$F$3225:$F$100,"&lt;="&amp;C3225,CBIC_Late_Fee_Relief_Windows_3B!$G$3225:$G$100,"&gt;="&amp;C3225)</f>
        <v/>
      </c>
      <c r="H3225">
        <f>INDEX(CBIC_Late_Fee_Relief_Windows_3B!$I$3225:$I$100,MATCH(G3225,CBIC_Late_Fee_Relief_Windows_3B!$O$3225:$O$100,0))</f>
        <v/>
      </c>
      <c r="I3225">
        <f>MIN(F3225,H3225)</f>
        <v/>
      </c>
    </row>
    <row r="3226">
      <c r="A3226">
        <f>TEST_DATA!A3226</f>
        <v/>
      </c>
      <c r="B3226">
        <f>TEST_DATA!B3226</f>
        <v/>
      </c>
      <c r="C3226">
        <f>TEST_DATA!C3226</f>
        <v/>
      </c>
      <c r="D3226">
        <f>TEST_DATA!D3226</f>
        <v/>
      </c>
      <c r="E3226">
        <f>TEST_DATA!E3226</f>
        <v/>
      </c>
      <c r="F3226">
        <f>MIN(E3226*322600,10000)</f>
        <v/>
      </c>
      <c r="G3226">
        <f>MINIFS(CBIC_Late_Fee_Relief_Windows_3B!$O$3226:$O$100,CBIC_Late_Fee_Relief_Windows_3B!$D$3226:$D$100,"&lt;="&amp;B3226,CBIC_Late_Fee_Relief_Windows_3B!$E$3226:$E$100,"&gt;="&amp;B3226,CBIC_Late_Fee_Relief_Windows_3B!$F$3226:$F$100,"&lt;="&amp;C3226,CBIC_Late_Fee_Relief_Windows_3B!$G$3226:$G$100,"&gt;="&amp;C3226)</f>
        <v/>
      </c>
      <c r="H3226">
        <f>INDEX(CBIC_Late_Fee_Relief_Windows_3B!$I$3226:$I$100,MATCH(G3226,CBIC_Late_Fee_Relief_Windows_3B!$O$3226:$O$100,0))</f>
        <v/>
      </c>
      <c r="I3226">
        <f>MIN(F3226,H3226)</f>
        <v/>
      </c>
    </row>
    <row r="3227">
      <c r="A3227">
        <f>TEST_DATA!A3227</f>
        <v/>
      </c>
      <c r="B3227">
        <f>TEST_DATA!B3227</f>
        <v/>
      </c>
      <c r="C3227">
        <f>TEST_DATA!C3227</f>
        <v/>
      </c>
      <c r="D3227">
        <f>TEST_DATA!D3227</f>
        <v/>
      </c>
      <c r="E3227">
        <f>TEST_DATA!E3227</f>
        <v/>
      </c>
      <c r="F3227">
        <f>MIN(E3227*322700,10000)</f>
        <v/>
      </c>
      <c r="G3227">
        <f>MINIFS(CBIC_Late_Fee_Relief_Windows_3B!$O$3227:$O$100,CBIC_Late_Fee_Relief_Windows_3B!$D$3227:$D$100,"&lt;="&amp;B3227,CBIC_Late_Fee_Relief_Windows_3B!$E$3227:$E$100,"&gt;="&amp;B3227,CBIC_Late_Fee_Relief_Windows_3B!$F$3227:$F$100,"&lt;="&amp;C3227,CBIC_Late_Fee_Relief_Windows_3B!$G$3227:$G$100,"&gt;="&amp;C3227)</f>
        <v/>
      </c>
      <c r="H3227">
        <f>INDEX(CBIC_Late_Fee_Relief_Windows_3B!$I$3227:$I$100,MATCH(G3227,CBIC_Late_Fee_Relief_Windows_3B!$O$3227:$O$100,0))</f>
        <v/>
      </c>
      <c r="I3227">
        <f>MIN(F3227,H3227)</f>
        <v/>
      </c>
    </row>
    <row r="3228">
      <c r="A3228">
        <f>TEST_DATA!A3228</f>
        <v/>
      </c>
      <c r="B3228">
        <f>TEST_DATA!B3228</f>
        <v/>
      </c>
      <c r="C3228">
        <f>TEST_DATA!C3228</f>
        <v/>
      </c>
      <c r="D3228">
        <f>TEST_DATA!D3228</f>
        <v/>
      </c>
      <c r="E3228">
        <f>TEST_DATA!E3228</f>
        <v/>
      </c>
      <c r="F3228">
        <f>MIN(E3228*322800,10000)</f>
        <v/>
      </c>
      <c r="G3228">
        <f>MINIFS(CBIC_Late_Fee_Relief_Windows_3B!$O$3228:$O$100,CBIC_Late_Fee_Relief_Windows_3B!$D$3228:$D$100,"&lt;="&amp;B3228,CBIC_Late_Fee_Relief_Windows_3B!$E$3228:$E$100,"&gt;="&amp;B3228,CBIC_Late_Fee_Relief_Windows_3B!$F$3228:$F$100,"&lt;="&amp;C3228,CBIC_Late_Fee_Relief_Windows_3B!$G$3228:$G$100,"&gt;="&amp;C3228)</f>
        <v/>
      </c>
      <c r="H3228">
        <f>INDEX(CBIC_Late_Fee_Relief_Windows_3B!$I$3228:$I$100,MATCH(G3228,CBIC_Late_Fee_Relief_Windows_3B!$O$3228:$O$100,0))</f>
        <v/>
      </c>
      <c r="I3228">
        <f>MIN(F3228,H3228)</f>
        <v/>
      </c>
    </row>
    <row r="3229">
      <c r="A3229">
        <f>TEST_DATA!A3229</f>
        <v/>
      </c>
      <c r="B3229">
        <f>TEST_DATA!B3229</f>
        <v/>
      </c>
      <c r="C3229">
        <f>TEST_DATA!C3229</f>
        <v/>
      </c>
      <c r="D3229">
        <f>TEST_DATA!D3229</f>
        <v/>
      </c>
      <c r="E3229">
        <f>TEST_DATA!E3229</f>
        <v/>
      </c>
      <c r="F3229">
        <f>MIN(E3229*322900,10000)</f>
        <v/>
      </c>
      <c r="G3229">
        <f>MINIFS(CBIC_Late_Fee_Relief_Windows_3B!$O$3229:$O$100,CBIC_Late_Fee_Relief_Windows_3B!$D$3229:$D$100,"&lt;="&amp;B3229,CBIC_Late_Fee_Relief_Windows_3B!$E$3229:$E$100,"&gt;="&amp;B3229,CBIC_Late_Fee_Relief_Windows_3B!$F$3229:$F$100,"&lt;="&amp;C3229,CBIC_Late_Fee_Relief_Windows_3B!$G$3229:$G$100,"&gt;="&amp;C3229)</f>
        <v/>
      </c>
      <c r="H3229">
        <f>INDEX(CBIC_Late_Fee_Relief_Windows_3B!$I$3229:$I$100,MATCH(G3229,CBIC_Late_Fee_Relief_Windows_3B!$O$3229:$O$100,0))</f>
        <v/>
      </c>
      <c r="I3229">
        <f>MIN(F3229,H3229)</f>
        <v/>
      </c>
    </row>
    <row r="3230">
      <c r="A3230">
        <f>TEST_DATA!A3230</f>
        <v/>
      </c>
      <c r="B3230">
        <f>TEST_DATA!B3230</f>
        <v/>
      </c>
      <c r="C3230">
        <f>TEST_DATA!C3230</f>
        <v/>
      </c>
      <c r="D3230">
        <f>TEST_DATA!D3230</f>
        <v/>
      </c>
      <c r="E3230">
        <f>TEST_DATA!E3230</f>
        <v/>
      </c>
      <c r="F3230">
        <f>MIN(E3230*323000,10000)</f>
        <v/>
      </c>
      <c r="G3230">
        <f>MINIFS(CBIC_Late_Fee_Relief_Windows_3B!$O$3230:$O$100,CBIC_Late_Fee_Relief_Windows_3B!$D$3230:$D$100,"&lt;="&amp;B3230,CBIC_Late_Fee_Relief_Windows_3B!$E$3230:$E$100,"&gt;="&amp;B3230,CBIC_Late_Fee_Relief_Windows_3B!$F$3230:$F$100,"&lt;="&amp;C3230,CBIC_Late_Fee_Relief_Windows_3B!$G$3230:$G$100,"&gt;="&amp;C3230)</f>
        <v/>
      </c>
      <c r="H3230">
        <f>INDEX(CBIC_Late_Fee_Relief_Windows_3B!$I$3230:$I$100,MATCH(G3230,CBIC_Late_Fee_Relief_Windows_3B!$O$3230:$O$100,0))</f>
        <v/>
      </c>
      <c r="I3230">
        <f>MIN(F3230,H3230)</f>
        <v/>
      </c>
    </row>
    <row r="3231">
      <c r="A3231">
        <f>TEST_DATA!A3231</f>
        <v/>
      </c>
      <c r="B3231">
        <f>TEST_DATA!B3231</f>
        <v/>
      </c>
      <c r="C3231">
        <f>TEST_DATA!C3231</f>
        <v/>
      </c>
      <c r="D3231">
        <f>TEST_DATA!D3231</f>
        <v/>
      </c>
      <c r="E3231">
        <f>TEST_DATA!E3231</f>
        <v/>
      </c>
      <c r="F3231">
        <f>MIN(E3231*323100,10000)</f>
        <v/>
      </c>
      <c r="G3231">
        <f>MINIFS(CBIC_Late_Fee_Relief_Windows_3B!$O$3231:$O$100,CBIC_Late_Fee_Relief_Windows_3B!$D$3231:$D$100,"&lt;="&amp;B3231,CBIC_Late_Fee_Relief_Windows_3B!$E$3231:$E$100,"&gt;="&amp;B3231,CBIC_Late_Fee_Relief_Windows_3B!$F$3231:$F$100,"&lt;="&amp;C3231,CBIC_Late_Fee_Relief_Windows_3B!$G$3231:$G$100,"&gt;="&amp;C3231)</f>
        <v/>
      </c>
      <c r="H3231">
        <f>INDEX(CBIC_Late_Fee_Relief_Windows_3B!$I$3231:$I$100,MATCH(G3231,CBIC_Late_Fee_Relief_Windows_3B!$O$3231:$O$100,0))</f>
        <v/>
      </c>
      <c r="I3231">
        <f>MIN(F3231,H3231)</f>
        <v/>
      </c>
    </row>
    <row r="3232">
      <c r="A3232">
        <f>TEST_DATA!A3232</f>
        <v/>
      </c>
      <c r="B3232">
        <f>TEST_DATA!B3232</f>
        <v/>
      </c>
      <c r="C3232">
        <f>TEST_DATA!C3232</f>
        <v/>
      </c>
      <c r="D3232">
        <f>TEST_DATA!D3232</f>
        <v/>
      </c>
      <c r="E3232">
        <f>TEST_DATA!E3232</f>
        <v/>
      </c>
      <c r="F3232">
        <f>MIN(E3232*323200,10000)</f>
        <v/>
      </c>
      <c r="G3232">
        <f>MINIFS(CBIC_Late_Fee_Relief_Windows_3B!$O$3232:$O$100,CBIC_Late_Fee_Relief_Windows_3B!$D$3232:$D$100,"&lt;="&amp;B3232,CBIC_Late_Fee_Relief_Windows_3B!$E$3232:$E$100,"&gt;="&amp;B3232,CBIC_Late_Fee_Relief_Windows_3B!$F$3232:$F$100,"&lt;="&amp;C3232,CBIC_Late_Fee_Relief_Windows_3B!$G$3232:$G$100,"&gt;="&amp;C3232)</f>
        <v/>
      </c>
      <c r="H3232">
        <f>INDEX(CBIC_Late_Fee_Relief_Windows_3B!$I$3232:$I$100,MATCH(G3232,CBIC_Late_Fee_Relief_Windows_3B!$O$3232:$O$100,0))</f>
        <v/>
      </c>
      <c r="I3232">
        <f>MIN(F3232,H3232)</f>
        <v/>
      </c>
    </row>
    <row r="3233">
      <c r="A3233">
        <f>TEST_DATA!A3233</f>
        <v/>
      </c>
      <c r="B3233">
        <f>TEST_DATA!B3233</f>
        <v/>
      </c>
      <c r="C3233">
        <f>TEST_DATA!C3233</f>
        <v/>
      </c>
      <c r="D3233">
        <f>TEST_DATA!D3233</f>
        <v/>
      </c>
      <c r="E3233">
        <f>TEST_DATA!E3233</f>
        <v/>
      </c>
      <c r="F3233">
        <f>MIN(E3233*323300,10000)</f>
        <v/>
      </c>
      <c r="G3233">
        <f>MINIFS(CBIC_Late_Fee_Relief_Windows_3B!$O$3233:$O$100,CBIC_Late_Fee_Relief_Windows_3B!$D$3233:$D$100,"&lt;="&amp;B3233,CBIC_Late_Fee_Relief_Windows_3B!$E$3233:$E$100,"&gt;="&amp;B3233,CBIC_Late_Fee_Relief_Windows_3B!$F$3233:$F$100,"&lt;="&amp;C3233,CBIC_Late_Fee_Relief_Windows_3B!$G$3233:$G$100,"&gt;="&amp;C3233)</f>
        <v/>
      </c>
      <c r="H3233">
        <f>INDEX(CBIC_Late_Fee_Relief_Windows_3B!$I$3233:$I$100,MATCH(G3233,CBIC_Late_Fee_Relief_Windows_3B!$O$3233:$O$100,0))</f>
        <v/>
      </c>
      <c r="I3233">
        <f>MIN(F3233,H3233)</f>
        <v/>
      </c>
    </row>
    <row r="3234">
      <c r="A3234">
        <f>TEST_DATA!A3234</f>
        <v/>
      </c>
      <c r="B3234">
        <f>TEST_DATA!B3234</f>
        <v/>
      </c>
      <c r="C3234">
        <f>TEST_DATA!C3234</f>
        <v/>
      </c>
      <c r="D3234">
        <f>TEST_DATA!D3234</f>
        <v/>
      </c>
      <c r="E3234">
        <f>TEST_DATA!E3234</f>
        <v/>
      </c>
      <c r="F3234">
        <f>MIN(E3234*323400,10000)</f>
        <v/>
      </c>
      <c r="G3234">
        <f>MINIFS(CBIC_Late_Fee_Relief_Windows_3B!$O$3234:$O$100,CBIC_Late_Fee_Relief_Windows_3B!$D$3234:$D$100,"&lt;="&amp;B3234,CBIC_Late_Fee_Relief_Windows_3B!$E$3234:$E$100,"&gt;="&amp;B3234,CBIC_Late_Fee_Relief_Windows_3B!$F$3234:$F$100,"&lt;="&amp;C3234,CBIC_Late_Fee_Relief_Windows_3B!$G$3234:$G$100,"&gt;="&amp;C3234)</f>
        <v/>
      </c>
      <c r="H3234">
        <f>INDEX(CBIC_Late_Fee_Relief_Windows_3B!$I$3234:$I$100,MATCH(G3234,CBIC_Late_Fee_Relief_Windows_3B!$O$3234:$O$100,0))</f>
        <v/>
      </c>
      <c r="I3234">
        <f>MIN(F3234,H3234)</f>
        <v/>
      </c>
    </row>
    <row r="3235">
      <c r="A3235">
        <f>TEST_DATA!A3235</f>
        <v/>
      </c>
      <c r="B3235">
        <f>TEST_DATA!B3235</f>
        <v/>
      </c>
      <c r="C3235">
        <f>TEST_DATA!C3235</f>
        <v/>
      </c>
      <c r="D3235">
        <f>TEST_DATA!D3235</f>
        <v/>
      </c>
      <c r="E3235">
        <f>TEST_DATA!E3235</f>
        <v/>
      </c>
      <c r="F3235">
        <f>MIN(E3235*323500,10000)</f>
        <v/>
      </c>
      <c r="G3235">
        <f>MINIFS(CBIC_Late_Fee_Relief_Windows_3B!$O$3235:$O$100,CBIC_Late_Fee_Relief_Windows_3B!$D$3235:$D$100,"&lt;="&amp;B3235,CBIC_Late_Fee_Relief_Windows_3B!$E$3235:$E$100,"&gt;="&amp;B3235,CBIC_Late_Fee_Relief_Windows_3B!$F$3235:$F$100,"&lt;="&amp;C3235,CBIC_Late_Fee_Relief_Windows_3B!$G$3235:$G$100,"&gt;="&amp;C3235)</f>
        <v/>
      </c>
      <c r="H3235">
        <f>INDEX(CBIC_Late_Fee_Relief_Windows_3B!$I$3235:$I$100,MATCH(G3235,CBIC_Late_Fee_Relief_Windows_3B!$O$3235:$O$100,0))</f>
        <v/>
      </c>
      <c r="I3235">
        <f>MIN(F3235,H3235)</f>
        <v/>
      </c>
    </row>
    <row r="3236">
      <c r="A3236">
        <f>TEST_DATA!A3236</f>
        <v/>
      </c>
      <c r="B3236">
        <f>TEST_DATA!B3236</f>
        <v/>
      </c>
      <c r="C3236">
        <f>TEST_DATA!C3236</f>
        <v/>
      </c>
      <c r="D3236">
        <f>TEST_DATA!D3236</f>
        <v/>
      </c>
      <c r="E3236">
        <f>TEST_DATA!E3236</f>
        <v/>
      </c>
      <c r="F3236">
        <f>MIN(E3236*323600,10000)</f>
        <v/>
      </c>
      <c r="G3236">
        <f>MINIFS(CBIC_Late_Fee_Relief_Windows_3B!$O$3236:$O$100,CBIC_Late_Fee_Relief_Windows_3B!$D$3236:$D$100,"&lt;="&amp;B3236,CBIC_Late_Fee_Relief_Windows_3B!$E$3236:$E$100,"&gt;="&amp;B3236,CBIC_Late_Fee_Relief_Windows_3B!$F$3236:$F$100,"&lt;="&amp;C3236,CBIC_Late_Fee_Relief_Windows_3B!$G$3236:$G$100,"&gt;="&amp;C3236)</f>
        <v/>
      </c>
      <c r="H3236">
        <f>INDEX(CBIC_Late_Fee_Relief_Windows_3B!$I$3236:$I$100,MATCH(G3236,CBIC_Late_Fee_Relief_Windows_3B!$O$3236:$O$100,0))</f>
        <v/>
      </c>
      <c r="I3236">
        <f>MIN(F3236,H3236)</f>
        <v/>
      </c>
    </row>
    <row r="3237">
      <c r="A3237">
        <f>TEST_DATA!A3237</f>
        <v/>
      </c>
      <c r="B3237">
        <f>TEST_DATA!B3237</f>
        <v/>
      </c>
      <c r="C3237">
        <f>TEST_DATA!C3237</f>
        <v/>
      </c>
      <c r="D3237">
        <f>TEST_DATA!D3237</f>
        <v/>
      </c>
      <c r="E3237">
        <f>TEST_DATA!E3237</f>
        <v/>
      </c>
      <c r="F3237">
        <f>MIN(E3237*323700,10000)</f>
        <v/>
      </c>
      <c r="G3237">
        <f>MINIFS(CBIC_Late_Fee_Relief_Windows_3B!$O$3237:$O$100,CBIC_Late_Fee_Relief_Windows_3B!$D$3237:$D$100,"&lt;="&amp;B3237,CBIC_Late_Fee_Relief_Windows_3B!$E$3237:$E$100,"&gt;="&amp;B3237,CBIC_Late_Fee_Relief_Windows_3B!$F$3237:$F$100,"&lt;="&amp;C3237,CBIC_Late_Fee_Relief_Windows_3B!$G$3237:$G$100,"&gt;="&amp;C3237)</f>
        <v/>
      </c>
      <c r="H3237">
        <f>INDEX(CBIC_Late_Fee_Relief_Windows_3B!$I$3237:$I$100,MATCH(G3237,CBIC_Late_Fee_Relief_Windows_3B!$O$3237:$O$100,0))</f>
        <v/>
      </c>
      <c r="I3237">
        <f>MIN(F3237,H3237)</f>
        <v/>
      </c>
    </row>
    <row r="3238">
      <c r="A3238">
        <f>TEST_DATA!A3238</f>
        <v/>
      </c>
      <c r="B3238">
        <f>TEST_DATA!B3238</f>
        <v/>
      </c>
      <c r="C3238">
        <f>TEST_DATA!C3238</f>
        <v/>
      </c>
      <c r="D3238">
        <f>TEST_DATA!D3238</f>
        <v/>
      </c>
      <c r="E3238">
        <f>TEST_DATA!E3238</f>
        <v/>
      </c>
      <c r="F3238">
        <f>MIN(E3238*323800,10000)</f>
        <v/>
      </c>
      <c r="G3238">
        <f>MINIFS(CBIC_Late_Fee_Relief_Windows_3B!$O$3238:$O$100,CBIC_Late_Fee_Relief_Windows_3B!$D$3238:$D$100,"&lt;="&amp;B3238,CBIC_Late_Fee_Relief_Windows_3B!$E$3238:$E$100,"&gt;="&amp;B3238,CBIC_Late_Fee_Relief_Windows_3B!$F$3238:$F$100,"&lt;="&amp;C3238,CBIC_Late_Fee_Relief_Windows_3B!$G$3238:$G$100,"&gt;="&amp;C3238)</f>
        <v/>
      </c>
      <c r="H3238">
        <f>INDEX(CBIC_Late_Fee_Relief_Windows_3B!$I$3238:$I$100,MATCH(G3238,CBIC_Late_Fee_Relief_Windows_3B!$O$3238:$O$100,0))</f>
        <v/>
      </c>
      <c r="I3238">
        <f>MIN(F3238,H3238)</f>
        <v/>
      </c>
    </row>
    <row r="3239">
      <c r="A3239">
        <f>TEST_DATA!A3239</f>
        <v/>
      </c>
      <c r="B3239">
        <f>TEST_DATA!B3239</f>
        <v/>
      </c>
      <c r="C3239">
        <f>TEST_DATA!C3239</f>
        <v/>
      </c>
      <c r="D3239">
        <f>TEST_DATA!D3239</f>
        <v/>
      </c>
      <c r="E3239">
        <f>TEST_DATA!E3239</f>
        <v/>
      </c>
      <c r="F3239">
        <f>MIN(E3239*323900,10000)</f>
        <v/>
      </c>
      <c r="G3239">
        <f>MINIFS(CBIC_Late_Fee_Relief_Windows_3B!$O$3239:$O$100,CBIC_Late_Fee_Relief_Windows_3B!$D$3239:$D$100,"&lt;="&amp;B3239,CBIC_Late_Fee_Relief_Windows_3B!$E$3239:$E$100,"&gt;="&amp;B3239,CBIC_Late_Fee_Relief_Windows_3B!$F$3239:$F$100,"&lt;="&amp;C3239,CBIC_Late_Fee_Relief_Windows_3B!$G$3239:$G$100,"&gt;="&amp;C3239)</f>
        <v/>
      </c>
      <c r="H3239">
        <f>INDEX(CBIC_Late_Fee_Relief_Windows_3B!$I$3239:$I$100,MATCH(G3239,CBIC_Late_Fee_Relief_Windows_3B!$O$3239:$O$100,0))</f>
        <v/>
      </c>
      <c r="I3239">
        <f>MIN(F3239,H3239)</f>
        <v/>
      </c>
    </row>
    <row r="3240">
      <c r="A3240">
        <f>TEST_DATA!A3240</f>
        <v/>
      </c>
      <c r="B3240">
        <f>TEST_DATA!B3240</f>
        <v/>
      </c>
      <c r="C3240">
        <f>TEST_DATA!C3240</f>
        <v/>
      </c>
      <c r="D3240">
        <f>TEST_DATA!D3240</f>
        <v/>
      </c>
      <c r="E3240">
        <f>TEST_DATA!E3240</f>
        <v/>
      </c>
      <c r="F3240">
        <f>MIN(E3240*324000,10000)</f>
        <v/>
      </c>
      <c r="G3240">
        <f>MINIFS(CBIC_Late_Fee_Relief_Windows_3B!$O$3240:$O$100,CBIC_Late_Fee_Relief_Windows_3B!$D$3240:$D$100,"&lt;="&amp;B3240,CBIC_Late_Fee_Relief_Windows_3B!$E$3240:$E$100,"&gt;="&amp;B3240,CBIC_Late_Fee_Relief_Windows_3B!$F$3240:$F$100,"&lt;="&amp;C3240,CBIC_Late_Fee_Relief_Windows_3B!$G$3240:$G$100,"&gt;="&amp;C3240)</f>
        <v/>
      </c>
      <c r="H3240">
        <f>INDEX(CBIC_Late_Fee_Relief_Windows_3B!$I$3240:$I$100,MATCH(G3240,CBIC_Late_Fee_Relief_Windows_3B!$O$3240:$O$100,0))</f>
        <v/>
      </c>
      <c r="I3240">
        <f>MIN(F3240,H3240)</f>
        <v/>
      </c>
    </row>
    <row r="3241">
      <c r="A3241">
        <f>TEST_DATA!A3241</f>
        <v/>
      </c>
      <c r="B3241">
        <f>TEST_DATA!B3241</f>
        <v/>
      </c>
      <c r="C3241">
        <f>TEST_DATA!C3241</f>
        <v/>
      </c>
      <c r="D3241">
        <f>TEST_DATA!D3241</f>
        <v/>
      </c>
      <c r="E3241">
        <f>TEST_DATA!E3241</f>
        <v/>
      </c>
      <c r="F3241">
        <f>MIN(E3241*324100,10000)</f>
        <v/>
      </c>
      <c r="G3241">
        <f>MINIFS(CBIC_Late_Fee_Relief_Windows_3B!$O$3241:$O$100,CBIC_Late_Fee_Relief_Windows_3B!$D$3241:$D$100,"&lt;="&amp;B3241,CBIC_Late_Fee_Relief_Windows_3B!$E$3241:$E$100,"&gt;="&amp;B3241,CBIC_Late_Fee_Relief_Windows_3B!$F$3241:$F$100,"&lt;="&amp;C3241,CBIC_Late_Fee_Relief_Windows_3B!$G$3241:$G$100,"&gt;="&amp;C3241)</f>
        <v/>
      </c>
      <c r="H3241">
        <f>INDEX(CBIC_Late_Fee_Relief_Windows_3B!$I$3241:$I$100,MATCH(G3241,CBIC_Late_Fee_Relief_Windows_3B!$O$3241:$O$100,0))</f>
        <v/>
      </c>
      <c r="I3241">
        <f>MIN(F3241,H3241)</f>
        <v/>
      </c>
    </row>
    <row r="3242">
      <c r="A3242">
        <f>TEST_DATA!A3242</f>
        <v/>
      </c>
      <c r="B3242">
        <f>TEST_DATA!B3242</f>
        <v/>
      </c>
      <c r="C3242">
        <f>TEST_DATA!C3242</f>
        <v/>
      </c>
      <c r="D3242">
        <f>TEST_DATA!D3242</f>
        <v/>
      </c>
      <c r="E3242">
        <f>TEST_DATA!E3242</f>
        <v/>
      </c>
      <c r="F3242">
        <f>MIN(E3242*324200,10000)</f>
        <v/>
      </c>
      <c r="G3242">
        <f>MINIFS(CBIC_Late_Fee_Relief_Windows_3B!$O$3242:$O$100,CBIC_Late_Fee_Relief_Windows_3B!$D$3242:$D$100,"&lt;="&amp;B3242,CBIC_Late_Fee_Relief_Windows_3B!$E$3242:$E$100,"&gt;="&amp;B3242,CBIC_Late_Fee_Relief_Windows_3B!$F$3242:$F$100,"&lt;="&amp;C3242,CBIC_Late_Fee_Relief_Windows_3B!$G$3242:$G$100,"&gt;="&amp;C3242)</f>
        <v/>
      </c>
      <c r="H3242">
        <f>INDEX(CBIC_Late_Fee_Relief_Windows_3B!$I$3242:$I$100,MATCH(G3242,CBIC_Late_Fee_Relief_Windows_3B!$O$3242:$O$100,0))</f>
        <v/>
      </c>
      <c r="I3242">
        <f>MIN(F3242,H3242)</f>
        <v/>
      </c>
    </row>
    <row r="3243">
      <c r="A3243">
        <f>TEST_DATA!A3243</f>
        <v/>
      </c>
      <c r="B3243">
        <f>TEST_DATA!B3243</f>
        <v/>
      </c>
      <c r="C3243">
        <f>TEST_DATA!C3243</f>
        <v/>
      </c>
      <c r="D3243">
        <f>TEST_DATA!D3243</f>
        <v/>
      </c>
      <c r="E3243">
        <f>TEST_DATA!E3243</f>
        <v/>
      </c>
      <c r="F3243">
        <f>MIN(E3243*324300,10000)</f>
        <v/>
      </c>
      <c r="G3243">
        <f>MINIFS(CBIC_Late_Fee_Relief_Windows_3B!$O$3243:$O$100,CBIC_Late_Fee_Relief_Windows_3B!$D$3243:$D$100,"&lt;="&amp;B3243,CBIC_Late_Fee_Relief_Windows_3B!$E$3243:$E$100,"&gt;="&amp;B3243,CBIC_Late_Fee_Relief_Windows_3B!$F$3243:$F$100,"&lt;="&amp;C3243,CBIC_Late_Fee_Relief_Windows_3B!$G$3243:$G$100,"&gt;="&amp;C3243)</f>
        <v/>
      </c>
      <c r="H3243">
        <f>INDEX(CBIC_Late_Fee_Relief_Windows_3B!$I$3243:$I$100,MATCH(G3243,CBIC_Late_Fee_Relief_Windows_3B!$O$3243:$O$100,0))</f>
        <v/>
      </c>
      <c r="I3243">
        <f>MIN(F3243,H3243)</f>
        <v/>
      </c>
    </row>
    <row r="3244">
      <c r="A3244">
        <f>TEST_DATA!A3244</f>
        <v/>
      </c>
      <c r="B3244">
        <f>TEST_DATA!B3244</f>
        <v/>
      </c>
      <c r="C3244">
        <f>TEST_DATA!C3244</f>
        <v/>
      </c>
      <c r="D3244">
        <f>TEST_DATA!D3244</f>
        <v/>
      </c>
      <c r="E3244">
        <f>TEST_DATA!E3244</f>
        <v/>
      </c>
      <c r="F3244">
        <f>MIN(E3244*324400,10000)</f>
        <v/>
      </c>
      <c r="G3244">
        <f>MINIFS(CBIC_Late_Fee_Relief_Windows_3B!$O$3244:$O$100,CBIC_Late_Fee_Relief_Windows_3B!$D$3244:$D$100,"&lt;="&amp;B3244,CBIC_Late_Fee_Relief_Windows_3B!$E$3244:$E$100,"&gt;="&amp;B3244,CBIC_Late_Fee_Relief_Windows_3B!$F$3244:$F$100,"&lt;="&amp;C3244,CBIC_Late_Fee_Relief_Windows_3B!$G$3244:$G$100,"&gt;="&amp;C3244)</f>
        <v/>
      </c>
      <c r="H3244">
        <f>INDEX(CBIC_Late_Fee_Relief_Windows_3B!$I$3244:$I$100,MATCH(G3244,CBIC_Late_Fee_Relief_Windows_3B!$O$3244:$O$100,0))</f>
        <v/>
      </c>
      <c r="I3244">
        <f>MIN(F3244,H3244)</f>
        <v/>
      </c>
    </row>
    <row r="3245">
      <c r="A3245">
        <f>TEST_DATA!A3245</f>
        <v/>
      </c>
      <c r="B3245">
        <f>TEST_DATA!B3245</f>
        <v/>
      </c>
      <c r="C3245">
        <f>TEST_DATA!C3245</f>
        <v/>
      </c>
      <c r="D3245">
        <f>TEST_DATA!D3245</f>
        <v/>
      </c>
      <c r="E3245">
        <f>TEST_DATA!E3245</f>
        <v/>
      </c>
      <c r="F3245">
        <f>MIN(E3245*324500,10000)</f>
        <v/>
      </c>
      <c r="G3245">
        <f>MINIFS(CBIC_Late_Fee_Relief_Windows_3B!$O$3245:$O$100,CBIC_Late_Fee_Relief_Windows_3B!$D$3245:$D$100,"&lt;="&amp;B3245,CBIC_Late_Fee_Relief_Windows_3B!$E$3245:$E$100,"&gt;="&amp;B3245,CBIC_Late_Fee_Relief_Windows_3B!$F$3245:$F$100,"&lt;="&amp;C3245,CBIC_Late_Fee_Relief_Windows_3B!$G$3245:$G$100,"&gt;="&amp;C3245)</f>
        <v/>
      </c>
      <c r="H3245">
        <f>INDEX(CBIC_Late_Fee_Relief_Windows_3B!$I$3245:$I$100,MATCH(G3245,CBIC_Late_Fee_Relief_Windows_3B!$O$3245:$O$100,0))</f>
        <v/>
      </c>
      <c r="I3245">
        <f>MIN(F3245,H3245)</f>
        <v/>
      </c>
    </row>
    <row r="3246">
      <c r="A3246">
        <f>TEST_DATA!A3246</f>
        <v/>
      </c>
      <c r="B3246">
        <f>TEST_DATA!B3246</f>
        <v/>
      </c>
      <c r="C3246">
        <f>TEST_DATA!C3246</f>
        <v/>
      </c>
      <c r="D3246">
        <f>TEST_DATA!D3246</f>
        <v/>
      </c>
      <c r="E3246">
        <f>TEST_DATA!E3246</f>
        <v/>
      </c>
      <c r="F3246">
        <f>MIN(E3246*324600,10000)</f>
        <v/>
      </c>
      <c r="G3246">
        <f>MINIFS(CBIC_Late_Fee_Relief_Windows_3B!$O$3246:$O$100,CBIC_Late_Fee_Relief_Windows_3B!$D$3246:$D$100,"&lt;="&amp;B3246,CBIC_Late_Fee_Relief_Windows_3B!$E$3246:$E$100,"&gt;="&amp;B3246,CBIC_Late_Fee_Relief_Windows_3B!$F$3246:$F$100,"&lt;="&amp;C3246,CBIC_Late_Fee_Relief_Windows_3B!$G$3246:$G$100,"&gt;="&amp;C3246)</f>
        <v/>
      </c>
      <c r="H3246">
        <f>INDEX(CBIC_Late_Fee_Relief_Windows_3B!$I$3246:$I$100,MATCH(G3246,CBIC_Late_Fee_Relief_Windows_3B!$O$3246:$O$100,0))</f>
        <v/>
      </c>
      <c r="I3246">
        <f>MIN(F3246,H3246)</f>
        <v/>
      </c>
    </row>
    <row r="3247">
      <c r="A3247">
        <f>TEST_DATA!A3247</f>
        <v/>
      </c>
      <c r="B3247">
        <f>TEST_DATA!B3247</f>
        <v/>
      </c>
      <c r="C3247">
        <f>TEST_DATA!C3247</f>
        <v/>
      </c>
      <c r="D3247">
        <f>TEST_DATA!D3247</f>
        <v/>
      </c>
      <c r="E3247">
        <f>TEST_DATA!E3247</f>
        <v/>
      </c>
      <c r="F3247">
        <f>MIN(E3247*324700,10000)</f>
        <v/>
      </c>
      <c r="G3247">
        <f>MINIFS(CBIC_Late_Fee_Relief_Windows_3B!$O$3247:$O$100,CBIC_Late_Fee_Relief_Windows_3B!$D$3247:$D$100,"&lt;="&amp;B3247,CBIC_Late_Fee_Relief_Windows_3B!$E$3247:$E$100,"&gt;="&amp;B3247,CBIC_Late_Fee_Relief_Windows_3B!$F$3247:$F$100,"&lt;="&amp;C3247,CBIC_Late_Fee_Relief_Windows_3B!$G$3247:$G$100,"&gt;="&amp;C3247)</f>
        <v/>
      </c>
      <c r="H3247">
        <f>INDEX(CBIC_Late_Fee_Relief_Windows_3B!$I$3247:$I$100,MATCH(G3247,CBIC_Late_Fee_Relief_Windows_3B!$O$3247:$O$100,0))</f>
        <v/>
      </c>
      <c r="I3247">
        <f>MIN(F3247,H3247)</f>
        <v/>
      </c>
    </row>
    <row r="3248">
      <c r="A3248">
        <f>TEST_DATA!A3248</f>
        <v/>
      </c>
      <c r="B3248">
        <f>TEST_DATA!B3248</f>
        <v/>
      </c>
      <c r="C3248">
        <f>TEST_DATA!C3248</f>
        <v/>
      </c>
      <c r="D3248">
        <f>TEST_DATA!D3248</f>
        <v/>
      </c>
      <c r="E3248">
        <f>TEST_DATA!E3248</f>
        <v/>
      </c>
      <c r="F3248">
        <f>MIN(E3248*324800,10000)</f>
        <v/>
      </c>
      <c r="G3248">
        <f>MINIFS(CBIC_Late_Fee_Relief_Windows_3B!$O$3248:$O$100,CBIC_Late_Fee_Relief_Windows_3B!$D$3248:$D$100,"&lt;="&amp;B3248,CBIC_Late_Fee_Relief_Windows_3B!$E$3248:$E$100,"&gt;="&amp;B3248,CBIC_Late_Fee_Relief_Windows_3B!$F$3248:$F$100,"&lt;="&amp;C3248,CBIC_Late_Fee_Relief_Windows_3B!$G$3248:$G$100,"&gt;="&amp;C3248)</f>
        <v/>
      </c>
      <c r="H3248">
        <f>INDEX(CBIC_Late_Fee_Relief_Windows_3B!$I$3248:$I$100,MATCH(G3248,CBIC_Late_Fee_Relief_Windows_3B!$O$3248:$O$100,0))</f>
        <v/>
      </c>
      <c r="I3248">
        <f>MIN(F3248,H3248)</f>
        <v/>
      </c>
    </row>
    <row r="3249">
      <c r="A3249">
        <f>TEST_DATA!A3249</f>
        <v/>
      </c>
      <c r="B3249">
        <f>TEST_DATA!B3249</f>
        <v/>
      </c>
      <c r="C3249">
        <f>TEST_DATA!C3249</f>
        <v/>
      </c>
      <c r="D3249">
        <f>TEST_DATA!D3249</f>
        <v/>
      </c>
      <c r="E3249">
        <f>TEST_DATA!E3249</f>
        <v/>
      </c>
      <c r="F3249">
        <f>MIN(E3249*324900,10000)</f>
        <v/>
      </c>
      <c r="G3249">
        <f>MINIFS(CBIC_Late_Fee_Relief_Windows_3B!$O$3249:$O$100,CBIC_Late_Fee_Relief_Windows_3B!$D$3249:$D$100,"&lt;="&amp;B3249,CBIC_Late_Fee_Relief_Windows_3B!$E$3249:$E$100,"&gt;="&amp;B3249,CBIC_Late_Fee_Relief_Windows_3B!$F$3249:$F$100,"&lt;="&amp;C3249,CBIC_Late_Fee_Relief_Windows_3B!$G$3249:$G$100,"&gt;="&amp;C3249)</f>
        <v/>
      </c>
      <c r="H3249">
        <f>INDEX(CBIC_Late_Fee_Relief_Windows_3B!$I$3249:$I$100,MATCH(G3249,CBIC_Late_Fee_Relief_Windows_3B!$O$3249:$O$100,0))</f>
        <v/>
      </c>
      <c r="I3249">
        <f>MIN(F3249,H3249)</f>
        <v/>
      </c>
    </row>
    <row r="3250">
      <c r="A3250">
        <f>TEST_DATA!A3250</f>
        <v/>
      </c>
      <c r="B3250">
        <f>TEST_DATA!B3250</f>
        <v/>
      </c>
      <c r="C3250">
        <f>TEST_DATA!C3250</f>
        <v/>
      </c>
      <c r="D3250">
        <f>TEST_DATA!D3250</f>
        <v/>
      </c>
      <c r="E3250">
        <f>TEST_DATA!E3250</f>
        <v/>
      </c>
      <c r="F3250">
        <f>MIN(E3250*325000,10000)</f>
        <v/>
      </c>
      <c r="G3250">
        <f>MINIFS(CBIC_Late_Fee_Relief_Windows_3B!$O$3250:$O$100,CBIC_Late_Fee_Relief_Windows_3B!$D$3250:$D$100,"&lt;="&amp;B3250,CBIC_Late_Fee_Relief_Windows_3B!$E$3250:$E$100,"&gt;="&amp;B3250,CBIC_Late_Fee_Relief_Windows_3B!$F$3250:$F$100,"&lt;="&amp;C3250,CBIC_Late_Fee_Relief_Windows_3B!$G$3250:$G$100,"&gt;="&amp;C3250)</f>
        <v/>
      </c>
      <c r="H3250">
        <f>INDEX(CBIC_Late_Fee_Relief_Windows_3B!$I$3250:$I$100,MATCH(G3250,CBIC_Late_Fee_Relief_Windows_3B!$O$3250:$O$100,0))</f>
        <v/>
      </c>
      <c r="I3250">
        <f>MIN(F3250,H3250)</f>
        <v/>
      </c>
    </row>
    <row r="3251">
      <c r="A3251">
        <f>TEST_DATA!A3251</f>
        <v/>
      </c>
      <c r="B3251">
        <f>TEST_DATA!B3251</f>
        <v/>
      </c>
      <c r="C3251">
        <f>TEST_DATA!C3251</f>
        <v/>
      </c>
      <c r="D3251">
        <f>TEST_DATA!D3251</f>
        <v/>
      </c>
      <c r="E3251">
        <f>TEST_DATA!E3251</f>
        <v/>
      </c>
      <c r="F3251">
        <f>MIN(E3251*325100,10000)</f>
        <v/>
      </c>
      <c r="G3251">
        <f>MINIFS(CBIC_Late_Fee_Relief_Windows_3B!$O$3251:$O$100,CBIC_Late_Fee_Relief_Windows_3B!$D$3251:$D$100,"&lt;="&amp;B3251,CBIC_Late_Fee_Relief_Windows_3B!$E$3251:$E$100,"&gt;="&amp;B3251,CBIC_Late_Fee_Relief_Windows_3B!$F$3251:$F$100,"&lt;="&amp;C3251,CBIC_Late_Fee_Relief_Windows_3B!$G$3251:$G$100,"&gt;="&amp;C3251)</f>
        <v/>
      </c>
      <c r="H3251">
        <f>INDEX(CBIC_Late_Fee_Relief_Windows_3B!$I$3251:$I$100,MATCH(G3251,CBIC_Late_Fee_Relief_Windows_3B!$O$3251:$O$100,0))</f>
        <v/>
      </c>
      <c r="I3251">
        <f>MIN(F3251,H3251)</f>
        <v/>
      </c>
    </row>
    <row r="3252">
      <c r="A3252">
        <f>TEST_DATA!A3252</f>
        <v/>
      </c>
      <c r="B3252">
        <f>TEST_DATA!B3252</f>
        <v/>
      </c>
      <c r="C3252">
        <f>TEST_DATA!C3252</f>
        <v/>
      </c>
      <c r="D3252">
        <f>TEST_DATA!D3252</f>
        <v/>
      </c>
      <c r="E3252">
        <f>TEST_DATA!E3252</f>
        <v/>
      </c>
      <c r="F3252">
        <f>MIN(E3252*325200,10000)</f>
        <v/>
      </c>
      <c r="G3252">
        <f>MINIFS(CBIC_Late_Fee_Relief_Windows_3B!$O$3252:$O$100,CBIC_Late_Fee_Relief_Windows_3B!$D$3252:$D$100,"&lt;="&amp;B3252,CBIC_Late_Fee_Relief_Windows_3B!$E$3252:$E$100,"&gt;="&amp;B3252,CBIC_Late_Fee_Relief_Windows_3B!$F$3252:$F$100,"&lt;="&amp;C3252,CBIC_Late_Fee_Relief_Windows_3B!$G$3252:$G$100,"&gt;="&amp;C3252)</f>
        <v/>
      </c>
      <c r="H3252">
        <f>INDEX(CBIC_Late_Fee_Relief_Windows_3B!$I$3252:$I$100,MATCH(G3252,CBIC_Late_Fee_Relief_Windows_3B!$O$3252:$O$100,0))</f>
        <v/>
      </c>
      <c r="I3252">
        <f>MIN(F3252,H3252)</f>
        <v/>
      </c>
    </row>
    <row r="3253">
      <c r="A3253">
        <f>TEST_DATA!A3253</f>
        <v/>
      </c>
      <c r="B3253">
        <f>TEST_DATA!B3253</f>
        <v/>
      </c>
      <c r="C3253">
        <f>TEST_DATA!C3253</f>
        <v/>
      </c>
      <c r="D3253">
        <f>TEST_DATA!D3253</f>
        <v/>
      </c>
      <c r="E3253">
        <f>TEST_DATA!E3253</f>
        <v/>
      </c>
      <c r="F3253">
        <f>MIN(E3253*325300,10000)</f>
        <v/>
      </c>
      <c r="G3253">
        <f>MINIFS(CBIC_Late_Fee_Relief_Windows_3B!$O$3253:$O$100,CBIC_Late_Fee_Relief_Windows_3B!$D$3253:$D$100,"&lt;="&amp;B3253,CBIC_Late_Fee_Relief_Windows_3B!$E$3253:$E$100,"&gt;="&amp;B3253,CBIC_Late_Fee_Relief_Windows_3B!$F$3253:$F$100,"&lt;="&amp;C3253,CBIC_Late_Fee_Relief_Windows_3B!$G$3253:$G$100,"&gt;="&amp;C3253)</f>
        <v/>
      </c>
      <c r="H3253">
        <f>INDEX(CBIC_Late_Fee_Relief_Windows_3B!$I$3253:$I$100,MATCH(G3253,CBIC_Late_Fee_Relief_Windows_3B!$O$3253:$O$100,0))</f>
        <v/>
      </c>
      <c r="I3253">
        <f>MIN(F3253,H3253)</f>
        <v/>
      </c>
    </row>
    <row r="3254">
      <c r="A3254">
        <f>TEST_DATA!A3254</f>
        <v/>
      </c>
      <c r="B3254">
        <f>TEST_DATA!B3254</f>
        <v/>
      </c>
      <c r="C3254">
        <f>TEST_DATA!C3254</f>
        <v/>
      </c>
      <c r="D3254">
        <f>TEST_DATA!D3254</f>
        <v/>
      </c>
      <c r="E3254">
        <f>TEST_DATA!E3254</f>
        <v/>
      </c>
      <c r="F3254">
        <f>MIN(E3254*325400,10000)</f>
        <v/>
      </c>
      <c r="G3254">
        <f>MINIFS(CBIC_Late_Fee_Relief_Windows_3B!$O$3254:$O$100,CBIC_Late_Fee_Relief_Windows_3B!$D$3254:$D$100,"&lt;="&amp;B3254,CBIC_Late_Fee_Relief_Windows_3B!$E$3254:$E$100,"&gt;="&amp;B3254,CBIC_Late_Fee_Relief_Windows_3B!$F$3254:$F$100,"&lt;="&amp;C3254,CBIC_Late_Fee_Relief_Windows_3B!$G$3254:$G$100,"&gt;="&amp;C3254)</f>
        <v/>
      </c>
      <c r="H3254">
        <f>INDEX(CBIC_Late_Fee_Relief_Windows_3B!$I$3254:$I$100,MATCH(G3254,CBIC_Late_Fee_Relief_Windows_3B!$O$3254:$O$100,0))</f>
        <v/>
      </c>
      <c r="I3254">
        <f>MIN(F3254,H3254)</f>
        <v/>
      </c>
    </row>
    <row r="3255">
      <c r="A3255">
        <f>TEST_DATA!A3255</f>
        <v/>
      </c>
      <c r="B3255">
        <f>TEST_DATA!B3255</f>
        <v/>
      </c>
      <c r="C3255">
        <f>TEST_DATA!C3255</f>
        <v/>
      </c>
      <c r="D3255">
        <f>TEST_DATA!D3255</f>
        <v/>
      </c>
      <c r="E3255">
        <f>TEST_DATA!E3255</f>
        <v/>
      </c>
      <c r="F3255">
        <f>MIN(E3255*325500,10000)</f>
        <v/>
      </c>
      <c r="G3255">
        <f>MINIFS(CBIC_Late_Fee_Relief_Windows_3B!$O$3255:$O$100,CBIC_Late_Fee_Relief_Windows_3B!$D$3255:$D$100,"&lt;="&amp;B3255,CBIC_Late_Fee_Relief_Windows_3B!$E$3255:$E$100,"&gt;="&amp;B3255,CBIC_Late_Fee_Relief_Windows_3B!$F$3255:$F$100,"&lt;="&amp;C3255,CBIC_Late_Fee_Relief_Windows_3B!$G$3255:$G$100,"&gt;="&amp;C3255)</f>
        <v/>
      </c>
      <c r="H3255">
        <f>INDEX(CBIC_Late_Fee_Relief_Windows_3B!$I$3255:$I$100,MATCH(G3255,CBIC_Late_Fee_Relief_Windows_3B!$O$3255:$O$100,0))</f>
        <v/>
      </c>
      <c r="I3255">
        <f>MIN(F3255,H3255)</f>
        <v/>
      </c>
    </row>
    <row r="3256">
      <c r="A3256">
        <f>TEST_DATA!A3256</f>
        <v/>
      </c>
      <c r="B3256">
        <f>TEST_DATA!B3256</f>
        <v/>
      </c>
      <c r="C3256">
        <f>TEST_DATA!C3256</f>
        <v/>
      </c>
      <c r="D3256">
        <f>TEST_DATA!D3256</f>
        <v/>
      </c>
      <c r="E3256">
        <f>TEST_DATA!E3256</f>
        <v/>
      </c>
      <c r="F3256">
        <f>MIN(E3256*325600,10000)</f>
        <v/>
      </c>
      <c r="G3256">
        <f>MINIFS(CBIC_Late_Fee_Relief_Windows_3B!$O$3256:$O$100,CBIC_Late_Fee_Relief_Windows_3B!$D$3256:$D$100,"&lt;="&amp;B3256,CBIC_Late_Fee_Relief_Windows_3B!$E$3256:$E$100,"&gt;="&amp;B3256,CBIC_Late_Fee_Relief_Windows_3B!$F$3256:$F$100,"&lt;="&amp;C3256,CBIC_Late_Fee_Relief_Windows_3B!$G$3256:$G$100,"&gt;="&amp;C3256)</f>
        <v/>
      </c>
      <c r="H3256">
        <f>INDEX(CBIC_Late_Fee_Relief_Windows_3B!$I$3256:$I$100,MATCH(G3256,CBIC_Late_Fee_Relief_Windows_3B!$O$3256:$O$100,0))</f>
        <v/>
      </c>
      <c r="I3256">
        <f>MIN(F3256,H3256)</f>
        <v/>
      </c>
    </row>
    <row r="3257">
      <c r="A3257">
        <f>TEST_DATA!A3257</f>
        <v/>
      </c>
      <c r="B3257">
        <f>TEST_DATA!B3257</f>
        <v/>
      </c>
      <c r="C3257">
        <f>TEST_DATA!C3257</f>
        <v/>
      </c>
      <c r="D3257">
        <f>TEST_DATA!D3257</f>
        <v/>
      </c>
      <c r="E3257">
        <f>TEST_DATA!E3257</f>
        <v/>
      </c>
      <c r="F3257">
        <f>MIN(E3257*325700,10000)</f>
        <v/>
      </c>
      <c r="G3257">
        <f>MINIFS(CBIC_Late_Fee_Relief_Windows_3B!$O$3257:$O$100,CBIC_Late_Fee_Relief_Windows_3B!$D$3257:$D$100,"&lt;="&amp;B3257,CBIC_Late_Fee_Relief_Windows_3B!$E$3257:$E$100,"&gt;="&amp;B3257,CBIC_Late_Fee_Relief_Windows_3B!$F$3257:$F$100,"&lt;="&amp;C3257,CBIC_Late_Fee_Relief_Windows_3B!$G$3257:$G$100,"&gt;="&amp;C3257)</f>
        <v/>
      </c>
      <c r="H3257">
        <f>INDEX(CBIC_Late_Fee_Relief_Windows_3B!$I$3257:$I$100,MATCH(G3257,CBIC_Late_Fee_Relief_Windows_3B!$O$3257:$O$100,0))</f>
        <v/>
      </c>
      <c r="I3257">
        <f>MIN(F3257,H3257)</f>
        <v/>
      </c>
    </row>
    <row r="3258">
      <c r="A3258">
        <f>TEST_DATA!A3258</f>
        <v/>
      </c>
      <c r="B3258">
        <f>TEST_DATA!B3258</f>
        <v/>
      </c>
      <c r="C3258">
        <f>TEST_DATA!C3258</f>
        <v/>
      </c>
      <c r="D3258">
        <f>TEST_DATA!D3258</f>
        <v/>
      </c>
      <c r="E3258">
        <f>TEST_DATA!E3258</f>
        <v/>
      </c>
      <c r="F3258">
        <f>MIN(E3258*325800,10000)</f>
        <v/>
      </c>
      <c r="G3258">
        <f>MINIFS(CBIC_Late_Fee_Relief_Windows_3B!$O$3258:$O$100,CBIC_Late_Fee_Relief_Windows_3B!$D$3258:$D$100,"&lt;="&amp;B3258,CBIC_Late_Fee_Relief_Windows_3B!$E$3258:$E$100,"&gt;="&amp;B3258,CBIC_Late_Fee_Relief_Windows_3B!$F$3258:$F$100,"&lt;="&amp;C3258,CBIC_Late_Fee_Relief_Windows_3B!$G$3258:$G$100,"&gt;="&amp;C3258)</f>
        <v/>
      </c>
      <c r="H3258">
        <f>INDEX(CBIC_Late_Fee_Relief_Windows_3B!$I$3258:$I$100,MATCH(G3258,CBIC_Late_Fee_Relief_Windows_3B!$O$3258:$O$100,0))</f>
        <v/>
      </c>
      <c r="I3258">
        <f>MIN(F3258,H3258)</f>
        <v/>
      </c>
    </row>
    <row r="3259">
      <c r="A3259">
        <f>TEST_DATA!A3259</f>
        <v/>
      </c>
      <c r="B3259">
        <f>TEST_DATA!B3259</f>
        <v/>
      </c>
      <c r="C3259">
        <f>TEST_DATA!C3259</f>
        <v/>
      </c>
      <c r="D3259">
        <f>TEST_DATA!D3259</f>
        <v/>
      </c>
      <c r="E3259">
        <f>TEST_DATA!E3259</f>
        <v/>
      </c>
      <c r="F3259">
        <f>MIN(E3259*325900,10000)</f>
        <v/>
      </c>
      <c r="G3259">
        <f>MINIFS(CBIC_Late_Fee_Relief_Windows_3B!$O$3259:$O$100,CBIC_Late_Fee_Relief_Windows_3B!$D$3259:$D$100,"&lt;="&amp;B3259,CBIC_Late_Fee_Relief_Windows_3B!$E$3259:$E$100,"&gt;="&amp;B3259,CBIC_Late_Fee_Relief_Windows_3B!$F$3259:$F$100,"&lt;="&amp;C3259,CBIC_Late_Fee_Relief_Windows_3B!$G$3259:$G$100,"&gt;="&amp;C3259)</f>
        <v/>
      </c>
      <c r="H3259">
        <f>INDEX(CBIC_Late_Fee_Relief_Windows_3B!$I$3259:$I$100,MATCH(G3259,CBIC_Late_Fee_Relief_Windows_3B!$O$3259:$O$100,0))</f>
        <v/>
      </c>
      <c r="I3259">
        <f>MIN(F3259,H3259)</f>
        <v/>
      </c>
    </row>
    <row r="3260">
      <c r="A3260">
        <f>TEST_DATA!A3260</f>
        <v/>
      </c>
      <c r="B3260">
        <f>TEST_DATA!B3260</f>
        <v/>
      </c>
      <c r="C3260">
        <f>TEST_DATA!C3260</f>
        <v/>
      </c>
      <c r="D3260">
        <f>TEST_DATA!D3260</f>
        <v/>
      </c>
      <c r="E3260">
        <f>TEST_DATA!E3260</f>
        <v/>
      </c>
      <c r="F3260">
        <f>MIN(E3260*326000,10000)</f>
        <v/>
      </c>
      <c r="G3260">
        <f>MINIFS(CBIC_Late_Fee_Relief_Windows_3B!$O$3260:$O$100,CBIC_Late_Fee_Relief_Windows_3B!$D$3260:$D$100,"&lt;="&amp;B3260,CBIC_Late_Fee_Relief_Windows_3B!$E$3260:$E$100,"&gt;="&amp;B3260,CBIC_Late_Fee_Relief_Windows_3B!$F$3260:$F$100,"&lt;="&amp;C3260,CBIC_Late_Fee_Relief_Windows_3B!$G$3260:$G$100,"&gt;="&amp;C3260)</f>
        <v/>
      </c>
      <c r="H3260">
        <f>INDEX(CBIC_Late_Fee_Relief_Windows_3B!$I$3260:$I$100,MATCH(G3260,CBIC_Late_Fee_Relief_Windows_3B!$O$3260:$O$100,0))</f>
        <v/>
      </c>
      <c r="I3260">
        <f>MIN(F3260,H3260)</f>
        <v/>
      </c>
    </row>
    <row r="3261">
      <c r="A3261">
        <f>TEST_DATA!A3261</f>
        <v/>
      </c>
      <c r="B3261">
        <f>TEST_DATA!B3261</f>
        <v/>
      </c>
      <c r="C3261">
        <f>TEST_DATA!C3261</f>
        <v/>
      </c>
      <c r="D3261">
        <f>TEST_DATA!D3261</f>
        <v/>
      </c>
      <c r="E3261">
        <f>TEST_DATA!E3261</f>
        <v/>
      </c>
      <c r="F3261">
        <f>MIN(E3261*326100,10000)</f>
        <v/>
      </c>
      <c r="G3261">
        <f>MINIFS(CBIC_Late_Fee_Relief_Windows_3B!$O$3261:$O$100,CBIC_Late_Fee_Relief_Windows_3B!$D$3261:$D$100,"&lt;="&amp;B3261,CBIC_Late_Fee_Relief_Windows_3B!$E$3261:$E$100,"&gt;="&amp;B3261,CBIC_Late_Fee_Relief_Windows_3B!$F$3261:$F$100,"&lt;="&amp;C3261,CBIC_Late_Fee_Relief_Windows_3B!$G$3261:$G$100,"&gt;="&amp;C3261)</f>
        <v/>
      </c>
      <c r="H3261">
        <f>INDEX(CBIC_Late_Fee_Relief_Windows_3B!$I$3261:$I$100,MATCH(G3261,CBIC_Late_Fee_Relief_Windows_3B!$O$3261:$O$100,0))</f>
        <v/>
      </c>
      <c r="I3261">
        <f>MIN(F3261,H3261)</f>
        <v/>
      </c>
    </row>
    <row r="3262">
      <c r="A3262">
        <f>TEST_DATA!A3262</f>
        <v/>
      </c>
      <c r="B3262">
        <f>TEST_DATA!B3262</f>
        <v/>
      </c>
      <c r="C3262">
        <f>TEST_DATA!C3262</f>
        <v/>
      </c>
      <c r="D3262">
        <f>TEST_DATA!D3262</f>
        <v/>
      </c>
      <c r="E3262">
        <f>TEST_DATA!E3262</f>
        <v/>
      </c>
      <c r="F3262">
        <f>MIN(E3262*326200,10000)</f>
        <v/>
      </c>
      <c r="G3262">
        <f>MINIFS(CBIC_Late_Fee_Relief_Windows_3B!$O$3262:$O$100,CBIC_Late_Fee_Relief_Windows_3B!$D$3262:$D$100,"&lt;="&amp;B3262,CBIC_Late_Fee_Relief_Windows_3B!$E$3262:$E$100,"&gt;="&amp;B3262,CBIC_Late_Fee_Relief_Windows_3B!$F$3262:$F$100,"&lt;="&amp;C3262,CBIC_Late_Fee_Relief_Windows_3B!$G$3262:$G$100,"&gt;="&amp;C3262)</f>
        <v/>
      </c>
      <c r="H3262">
        <f>INDEX(CBIC_Late_Fee_Relief_Windows_3B!$I$3262:$I$100,MATCH(G3262,CBIC_Late_Fee_Relief_Windows_3B!$O$3262:$O$100,0))</f>
        <v/>
      </c>
      <c r="I3262">
        <f>MIN(F3262,H3262)</f>
        <v/>
      </c>
    </row>
    <row r="3263">
      <c r="A3263">
        <f>TEST_DATA!A3263</f>
        <v/>
      </c>
      <c r="B3263">
        <f>TEST_DATA!B3263</f>
        <v/>
      </c>
      <c r="C3263">
        <f>TEST_DATA!C3263</f>
        <v/>
      </c>
      <c r="D3263">
        <f>TEST_DATA!D3263</f>
        <v/>
      </c>
      <c r="E3263">
        <f>TEST_DATA!E3263</f>
        <v/>
      </c>
      <c r="F3263">
        <f>MIN(E3263*326300,10000)</f>
        <v/>
      </c>
      <c r="G3263">
        <f>MINIFS(CBIC_Late_Fee_Relief_Windows_3B!$O$3263:$O$100,CBIC_Late_Fee_Relief_Windows_3B!$D$3263:$D$100,"&lt;="&amp;B3263,CBIC_Late_Fee_Relief_Windows_3B!$E$3263:$E$100,"&gt;="&amp;B3263,CBIC_Late_Fee_Relief_Windows_3B!$F$3263:$F$100,"&lt;="&amp;C3263,CBIC_Late_Fee_Relief_Windows_3B!$G$3263:$G$100,"&gt;="&amp;C3263)</f>
        <v/>
      </c>
      <c r="H3263">
        <f>INDEX(CBIC_Late_Fee_Relief_Windows_3B!$I$3263:$I$100,MATCH(G3263,CBIC_Late_Fee_Relief_Windows_3B!$O$3263:$O$100,0))</f>
        <v/>
      </c>
      <c r="I3263">
        <f>MIN(F3263,H3263)</f>
        <v/>
      </c>
    </row>
    <row r="3264">
      <c r="A3264">
        <f>TEST_DATA!A3264</f>
        <v/>
      </c>
      <c r="B3264">
        <f>TEST_DATA!B3264</f>
        <v/>
      </c>
      <c r="C3264">
        <f>TEST_DATA!C3264</f>
        <v/>
      </c>
      <c r="D3264">
        <f>TEST_DATA!D3264</f>
        <v/>
      </c>
      <c r="E3264">
        <f>TEST_DATA!E3264</f>
        <v/>
      </c>
      <c r="F3264">
        <f>MIN(E3264*326400,10000)</f>
        <v/>
      </c>
      <c r="G3264">
        <f>MINIFS(CBIC_Late_Fee_Relief_Windows_3B!$O$3264:$O$100,CBIC_Late_Fee_Relief_Windows_3B!$D$3264:$D$100,"&lt;="&amp;B3264,CBIC_Late_Fee_Relief_Windows_3B!$E$3264:$E$100,"&gt;="&amp;B3264,CBIC_Late_Fee_Relief_Windows_3B!$F$3264:$F$100,"&lt;="&amp;C3264,CBIC_Late_Fee_Relief_Windows_3B!$G$3264:$G$100,"&gt;="&amp;C3264)</f>
        <v/>
      </c>
      <c r="H3264">
        <f>INDEX(CBIC_Late_Fee_Relief_Windows_3B!$I$3264:$I$100,MATCH(G3264,CBIC_Late_Fee_Relief_Windows_3B!$O$3264:$O$100,0))</f>
        <v/>
      </c>
      <c r="I3264">
        <f>MIN(F3264,H3264)</f>
        <v/>
      </c>
    </row>
    <row r="3265">
      <c r="A3265">
        <f>TEST_DATA!A3265</f>
        <v/>
      </c>
      <c r="B3265">
        <f>TEST_DATA!B3265</f>
        <v/>
      </c>
      <c r="C3265">
        <f>TEST_DATA!C3265</f>
        <v/>
      </c>
      <c r="D3265">
        <f>TEST_DATA!D3265</f>
        <v/>
      </c>
      <c r="E3265">
        <f>TEST_DATA!E3265</f>
        <v/>
      </c>
      <c r="F3265">
        <f>MIN(E3265*326500,10000)</f>
        <v/>
      </c>
      <c r="G3265">
        <f>MINIFS(CBIC_Late_Fee_Relief_Windows_3B!$O$3265:$O$100,CBIC_Late_Fee_Relief_Windows_3B!$D$3265:$D$100,"&lt;="&amp;B3265,CBIC_Late_Fee_Relief_Windows_3B!$E$3265:$E$100,"&gt;="&amp;B3265,CBIC_Late_Fee_Relief_Windows_3B!$F$3265:$F$100,"&lt;="&amp;C3265,CBIC_Late_Fee_Relief_Windows_3B!$G$3265:$G$100,"&gt;="&amp;C3265)</f>
        <v/>
      </c>
      <c r="H3265">
        <f>INDEX(CBIC_Late_Fee_Relief_Windows_3B!$I$3265:$I$100,MATCH(G3265,CBIC_Late_Fee_Relief_Windows_3B!$O$3265:$O$100,0))</f>
        <v/>
      </c>
      <c r="I3265">
        <f>MIN(F3265,H3265)</f>
        <v/>
      </c>
    </row>
    <row r="3266">
      <c r="A3266">
        <f>TEST_DATA!A3266</f>
        <v/>
      </c>
      <c r="B3266">
        <f>TEST_DATA!B3266</f>
        <v/>
      </c>
      <c r="C3266">
        <f>TEST_DATA!C3266</f>
        <v/>
      </c>
      <c r="D3266">
        <f>TEST_DATA!D3266</f>
        <v/>
      </c>
      <c r="E3266">
        <f>TEST_DATA!E3266</f>
        <v/>
      </c>
      <c r="F3266">
        <f>MIN(E3266*326600,10000)</f>
        <v/>
      </c>
      <c r="G3266">
        <f>MINIFS(CBIC_Late_Fee_Relief_Windows_3B!$O$3266:$O$100,CBIC_Late_Fee_Relief_Windows_3B!$D$3266:$D$100,"&lt;="&amp;B3266,CBIC_Late_Fee_Relief_Windows_3B!$E$3266:$E$100,"&gt;="&amp;B3266,CBIC_Late_Fee_Relief_Windows_3B!$F$3266:$F$100,"&lt;="&amp;C3266,CBIC_Late_Fee_Relief_Windows_3B!$G$3266:$G$100,"&gt;="&amp;C3266)</f>
        <v/>
      </c>
      <c r="H3266">
        <f>INDEX(CBIC_Late_Fee_Relief_Windows_3B!$I$3266:$I$100,MATCH(G3266,CBIC_Late_Fee_Relief_Windows_3B!$O$3266:$O$100,0))</f>
        <v/>
      </c>
      <c r="I3266">
        <f>MIN(F3266,H3266)</f>
        <v/>
      </c>
    </row>
    <row r="3267">
      <c r="A3267">
        <f>TEST_DATA!A3267</f>
        <v/>
      </c>
      <c r="B3267">
        <f>TEST_DATA!B3267</f>
        <v/>
      </c>
      <c r="C3267">
        <f>TEST_DATA!C3267</f>
        <v/>
      </c>
      <c r="D3267">
        <f>TEST_DATA!D3267</f>
        <v/>
      </c>
      <c r="E3267">
        <f>TEST_DATA!E3267</f>
        <v/>
      </c>
      <c r="F3267">
        <f>MIN(E3267*326700,10000)</f>
        <v/>
      </c>
      <c r="G3267">
        <f>MINIFS(CBIC_Late_Fee_Relief_Windows_3B!$O$3267:$O$100,CBIC_Late_Fee_Relief_Windows_3B!$D$3267:$D$100,"&lt;="&amp;B3267,CBIC_Late_Fee_Relief_Windows_3B!$E$3267:$E$100,"&gt;="&amp;B3267,CBIC_Late_Fee_Relief_Windows_3B!$F$3267:$F$100,"&lt;="&amp;C3267,CBIC_Late_Fee_Relief_Windows_3B!$G$3267:$G$100,"&gt;="&amp;C3267)</f>
        <v/>
      </c>
      <c r="H3267">
        <f>INDEX(CBIC_Late_Fee_Relief_Windows_3B!$I$3267:$I$100,MATCH(G3267,CBIC_Late_Fee_Relief_Windows_3B!$O$3267:$O$100,0))</f>
        <v/>
      </c>
      <c r="I3267">
        <f>MIN(F3267,H3267)</f>
        <v/>
      </c>
    </row>
    <row r="3268">
      <c r="A3268">
        <f>TEST_DATA!A3268</f>
        <v/>
      </c>
      <c r="B3268">
        <f>TEST_DATA!B3268</f>
        <v/>
      </c>
      <c r="C3268">
        <f>TEST_DATA!C3268</f>
        <v/>
      </c>
      <c r="D3268">
        <f>TEST_DATA!D3268</f>
        <v/>
      </c>
      <c r="E3268">
        <f>TEST_DATA!E3268</f>
        <v/>
      </c>
      <c r="F3268">
        <f>MIN(E3268*326800,10000)</f>
        <v/>
      </c>
      <c r="G3268">
        <f>MINIFS(CBIC_Late_Fee_Relief_Windows_3B!$O$3268:$O$100,CBIC_Late_Fee_Relief_Windows_3B!$D$3268:$D$100,"&lt;="&amp;B3268,CBIC_Late_Fee_Relief_Windows_3B!$E$3268:$E$100,"&gt;="&amp;B3268,CBIC_Late_Fee_Relief_Windows_3B!$F$3268:$F$100,"&lt;="&amp;C3268,CBIC_Late_Fee_Relief_Windows_3B!$G$3268:$G$100,"&gt;="&amp;C3268)</f>
        <v/>
      </c>
      <c r="H3268">
        <f>INDEX(CBIC_Late_Fee_Relief_Windows_3B!$I$3268:$I$100,MATCH(G3268,CBIC_Late_Fee_Relief_Windows_3B!$O$3268:$O$100,0))</f>
        <v/>
      </c>
      <c r="I3268">
        <f>MIN(F3268,H3268)</f>
        <v/>
      </c>
    </row>
    <row r="3269">
      <c r="A3269">
        <f>TEST_DATA!A3269</f>
        <v/>
      </c>
      <c r="B3269">
        <f>TEST_DATA!B3269</f>
        <v/>
      </c>
      <c r="C3269">
        <f>TEST_DATA!C3269</f>
        <v/>
      </c>
      <c r="D3269">
        <f>TEST_DATA!D3269</f>
        <v/>
      </c>
      <c r="E3269">
        <f>TEST_DATA!E3269</f>
        <v/>
      </c>
      <c r="F3269">
        <f>MIN(E3269*326900,10000)</f>
        <v/>
      </c>
      <c r="G3269">
        <f>MINIFS(CBIC_Late_Fee_Relief_Windows_3B!$O$3269:$O$100,CBIC_Late_Fee_Relief_Windows_3B!$D$3269:$D$100,"&lt;="&amp;B3269,CBIC_Late_Fee_Relief_Windows_3B!$E$3269:$E$100,"&gt;="&amp;B3269,CBIC_Late_Fee_Relief_Windows_3B!$F$3269:$F$100,"&lt;="&amp;C3269,CBIC_Late_Fee_Relief_Windows_3B!$G$3269:$G$100,"&gt;="&amp;C3269)</f>
        <v/>
      </c>
      <c r="H3269">
        <f>INDEX(CBIC_Late_Fee_Relief_Windows_3B!$I$3269:$I$100,MATCH(G3269,CBIC_Late_Fee_Relief_Windows_3B!$O$3269:$O$100,0))</f>
        <v/>
      </c>
      <c r="I3269">
        <f>MIN(F3269,H3269)</f>
        <v/>
      </c>
    </row>
    <row r="3270">
      <c r="A3270">
        <f>TEST_DATA!A3270</f>
        <v/>
      </c>
      <c r="B3270">
        <f>TEST_DATA!B3270</f>
        <v/>
      </c>
      <c r="C3270">
        <f>TEST_DATA!C3270</f>
        <v/>
      </c>
      <c r="D3270">
        <f>TEST_DATA!D3270</f>
        <v/>
      </c>
      <c r="E3270">
        <f>TEST_DATA!E3270</f>
        <v/>
      </c>
      <c r="F3270">
        <f>MIN(E3270*327000,10000)</f>
        <v/>
      </c>
      <c r="G3270">
        <f>MINIFS(CBIC_Late_Fee_Relief_Windows_3B!$O$3270:$O$100,CBIC_Late_Fee_Relief_Windows_3B!$D$3270:$D$100,"&lt;="&amp;B3270,CBIC_Late_Fee_Relief_Windows_3B!$E$3270:$E$100,"&gt;="&amp;B3270,CBIC_Late_Fee_Relief_Windows_3B!$F$3270:$F$100,"&lt;="&amp;C3270,CBIC_Late_Fee_Relief_Windows_3B!$G$3270:$G$100,"&gt;="&amp;C3270)</f>
        <v/>
      </c>
      <c r="H3270">
        <f>INDEX(CBIC_Late_Fee_Relief_Windows_3B!$I$3270:$I$100,MATCH(G3270,CBIC_Late_Fee_Relief_Windows_3B!$O$3270:$O$100,0))</f>
        <v/>
      </c>
      <c r="I3270">
        <f>MIN(F3270,H3270)</f>
        <v/>
      </c>
    </row>
    <row r="3271">
      <c r="A3271">
        <f>TEST_DATA!A3271</f>
        <v/>
      </c>
      <c r="B3271">
        <f>TEST_DATA!B3271</f>
        <v/>
      </c>
      <c r="C3271">
        <f>TEST_DATA!C3271</f>
        <v/>
      </c>
      <c r="D3271">
        <f>TEST_DATA!D3271</f>
        <v/>
      </c>
      <c r="E3271">
        <f>TEST_DATA!E3271</f>
        <v/>
      </c>
      <c r="F3271">
        <f>MIN(E3271*327100,10000)</f>
        <v/>
      </c>
      <c r="G3271">
        <f>MINIFS(CBIC_Late_Fee_Relief_Windows_3B!$O$3271:$O$100,CBIC_Late_Fee_Relief_Windows_3B!$D$3271:$D$100,"&lt;="&amp;B3271,CBIC_Late_Fee_Relief_Windows_3B!$E$3271:$E$100,"&gt;="&amp;B3271,CBIC_Late_Fee_Relief_Windows_3B!$F$3271:$F$100,"&lt;="&amp;C3271,CBIC_Late_Fee_Relief_Windows_3B!$G$3271:$G$100,"&gt;="&amp;C3271)</f>
        <v/>
      </c>
      <c r="H3271">
        <f>INDEX(CBIC_Late_Fee_Relief_Windows_3B!$I$3271:$I$100,MATCH(G3271,CBIC_Late_Fee_Relief_Windows_3B!$O$3271:$O$100,0))</f>
        <v/>
      </c>
      <c r="I3271">
        <f>MIN(F3271,H3271)</f>
        <v/>
      </c>
    </row>
    <row r="3272">
      <c r="A3272">
        <f>TEST_DATA!A3272</f>
        <v/>
      </c>
      <c r="B3272">
        <f>TEST_DATA!B3272</f>
        <v/>
      </c>
      <c r="C3272">
        <f>TEST_DATA!C3272</f>
        <v/>
      </c>
      <c r="D3272">
        <f>TEST_DATA!D3272</f>
        <v/>
      </c>
      <c r="E3272">
        <f>TEST_DATA!E3272</f>
        <v/>
      </c>
      <c r="F3272">
        <f>MIN(E3272*327200,10000)</f>
        <v/>
      </c>
      <c r="G3272">
        <f>MINIFS(CBIC_Late_Fee_Relief_Windows_3B!$O$3272:$O$100,CBIC_Late_Fee_Relief_Windows_3B!$D$3272:$D$100,"&lt;="&amp;B3272,CBIC_Late_Fee_Relief_Windows_3B!$E$3272:$E$100,"&gt;="&amp;B3272,CBIC_Late_Fee_Relief_Windows_3B!$F$3272:$F$100,"&lt;="&amp;C3272,CBIC_Late_Fee_Relief_Windows_3B!$G$3272:$G$100,"&gt;="&amp;C3272)</f>
        <v/>
      </c>
      <c r="H3272">
        <f>INDEX(CBIC_Late_Fee_Relief_Windows_3B!$I$3272:$I$100,MATCH(G3272,CBIC_Late_Fee_Relief_Windows_3B!$O$3272:$O$100,0))</f>
        <v/>
      </c>
      <c r="I3272">
        <f>MIN(F3272,H3272)</f>
        <v/>
      </c>
    </row>
    <row r="3273">
      <c r="A3273">
        <f>TEST_DATA!A3273</f>
        <v/>
      </c>
      <c r="B3273">
        <f>TEST_DATA!B3273</f>
        <v/>
      </c>
      <c r="C3273">
        <f>TEST_DATA!C3273</f>
        <v/>
      </c>
      <c r="D3273">
        <f>TEST_DATA!D3273</f>
        <v/>
      </c>
      <c r="E3273">
        <f>TEST_DATA!E3273</f>
        <v/>
      </c>
      <c r="F3273">
        <f>MIN(E3273*327300,10000)</f>
        <v/>
      </c>
      <c r="G3273">
        <f>MINIFS(CBIC_Late_Fee_Relief_Windows_3B!$O$3273:$O$100,CBIC_Late_Fee_Relief_Windows_3B!$D$3273:$D$100,"&lt;="&amp;B3273,CBIC_Late_Fee_Relief_Windows_3B!$E$3273:$E$100,"&gt;="&amp;B3273,CBIC_Late_Fee_Relief_Windows_3B!$F$3273:$F$100,"&lt;="&amp;C3273,CBIC_Late_Fee_Relief_Windows_3B!$G$3273:$G$100,"&gt;="&amp;C3273)</f>
        <v/>
      </c>
      <c r="H3273">
        <f>INDEX(CBIC_Late_Fee_Relief_Windows_3B!$I$3273:$I$100,MATCH(G3273,CBIC_Late_Fee_Relief_Windows_3B!$O$3273:$O$100,0))</f>
        <v/>
      </c>
      <c r="I3273">
        <f>MIN(F3273,H3273)</f>
        <v/>
      </c>
    </row>
    <row r="3274">
      <c r="A3274">
        <f>TEST_DATA!A3274</f>
        <v/>
      </c>
      <c r="B3274">
        <f>TEST_DATA!B3274</f>
        <v/>
      </c>
      <c r="C3274">
        <f>TEST_DATA!C3274</f>
        <v/>
      </c>
      <c r="D3274">
        <f>TEST_DATA!D3274</f>
        <v/>
      </c>
      <c r="E3274">
        <f>TEST_DATA!E3274</f>
        <v/>
      </c>
      <c r="F3274">
        <f>MIN(E3274*327400,10000)</f>
        <v/>
      </c>
      <c r="G3274">
        <f>MINIFS(CBIC_Late_Fee_Relief_Windows_3B!$O$3274:$O$100,CBIC_Late_Fee_Relief_Windows_3B!$D$3274:$D$100,"&lt;="&amp;B3274,CBIC_Late_Fee_Relief_Windows_3B!$E$3274:$E$100,"&gt;="&amp;B3274,CBIC_Late_Fee_Relief_Windows_3B!$F$3274:$F$100,"&lt;="&amp;C3274,CBIC_Late_Fee_Relief_Windows_3B!$G$3274:$G$100,"&gt;="&amp;C3274)</f>
        <v/>
      </c>
      <c r="H3274">
        <f>INDEX(CBIC_Late_Fee_Relief_Windows_3B!$I$3274:$I$100,MATCH(G3274,CBIC_Late_Fee_Relief_Windows_3B!$O$3274:$O$100,0))</f>
        <v/>
      </c>
      <c r="I3274">
        <f>MIN(F3274,H3274)</f>
        <v/>
      </c>
    </row>
    <row r="3275">
      <c r="A3275">
        <f>TEST_DATA!A3275</f>
        <v/>
      </c>
      <c r="B3275">
        <f>TEST_DATA!B3275</f>
        <v/>
      </c>
      <c r="C3275">
        <f>TEST_DATA!C3275</f>
        <v/>
      </c>
      <c r="D3275">
        <f>TEST_DATA!D3275</f>
        <v/>
      </c>
      <c r="E3275">
        <f>TEST_DATA!E3275</f>
        <v/>
      </c>
      <c r="F3275">
        <f>MIN(E3275*327500,10000)</f>
        <v/>
      </c>
      <c r="G3275">
        <f>MINIFS(CBIC_Late_Fee_Relief_Windows_3B!$O$3275:$O$100,CBIC_Late_Fee_Relief_Windows_3B!$D$3275:$D$100,"&lt;="&amp;B3275,CBIC_Late_Fee_Relief_Windows_3B!$E$3275:$E$100,"&gt;="&amp;B3275,CBIC_Late_Fee_Relief_Windows_3B!$F$3275:$F$100,"&lt;="&amp;C3275,CBIC_Late_Fee_Relief_Windows_3B!$G$3275:$G$100,"&gt;="&amp;C3275)</f>
        <v/>
      </c>
      <c r="H3275">
        <f>INDEX(CBIC_Late_Fee_Relief_Windows_3B!$I$3275:$I$100,MATCH(G3275,CBIC_Late_Fee_Relief_Windows_3B!$O$3275:$O$100,0))</f>
        <v/>
      </c>
      <c r="I3275">
        <f>MIN(F3275,H3275)</f>
        <v/>
      </c>
    </row>
    <row r="3276">
      <c r="A3276">
        <f>TEST_DATA!A3276</f>
        <v/>
      </c>
      <c r="B3276">
        <f>TEST_DATA!B3276</f>
        <v/>
      </c>
      <c r="C3276">
        <f>TEST_DATA!C3276</f>
        <v/>
      </c>
      <c r="D3276">
        <f>TEST_DATA!D3276</f>
        <v/>
      </c>
      <c r="E3276">
        <f>TEST_DATA!E3276</f>
        <v/>
      </c>
      <c r="F3276">
        <f>MIN(E3276*327600,10000)</f>
        <v/>
      </c>
      <c r="G3276">
        <f>MINIFS(CBIC_Late_Fee_Relief_Windows_3B!$O$3276:$O$100,CBIC_Late_Fee_Relief_Windows_3B!$D$3276:$D$100,"&lt;="&amp;B3276,CBIC_Late_Fee_Relief_Windows_3B!$E$3276:$E$100,"&gt;="&amp;B3276,CBIC_Late_Fee_Relief_Windows_3B!$F$3276:$F$100,"&lt;="&amp;C3276,CBIC_Late_Fee_Relief_Windows_3B!$G$3276:$G$100,"&gt;="&amp;C3276)</f>
        <v/>
      </c>
      <c r="H3276">
        <f>INDEX(CBIC_Late_Fee_Relief_Windows_3B!$I$3276:$I$100,MATCH(G3276,CBIC_Late_Fee_Relief_Windows_3B!$O$3276:$O$100,0))</f>
        <v/>
      </c>
      <c r="I3276">
        <f>MIN(F3276,H3276)</f>
        <v/>
      </c>
    </row>
    <row r="3277">
      <c r="A3277">
        <f>TEST_DATA!A3277</f>
        <v/>
      </c>
      <c r="B3277">
        <f>TEST_DATA!B3277</f>
        <v/>
      </c>
      <c r="C3277">
        <f>TEST_DATA!C3277</f>
        <v/>
      </c>
      <c r="D3277">
        <f>TEST_DATA!D3277</f>
        <v/>
      </c>
      <c r="E3277">
        <f>TEST_DATA!E3277</f>
        <v/>
      </c>
      <c r="F3277">
        <f>MIN(E3277*327700,10000)</f>
        <v/>
      </c>
      <c r="G3277">
        <f>MINIFS(CBIC_Late_Fee_Relief_Windows_3B!$O$3277:$O$100,CBIC_Late_Fee_Relief_Windows_3B!$D$3277:$D$100,"&lt;="&amp;B3277,CBIC_Late_Fee_Relief_Windows_3B!$E$3277:$E$100,"&gt;="&amp;B3277,CBIC_Late_Fee_Relief_Windows_3B!$F$3277:$F$100,"&lt;="&amp;C3277,CBIC_Late_Fee_Relief_Windows_3B!$G$3277:$G$100,"&gt;="&amp;C3277)</f>
        <v/>
      </c>
      <c r="H3277">
        <f>INDEX(CBIC_Late_Fee_Relief_Windows_3B!$I$3277:$I$100,MATCH(G3277,CBIC_Late_Fee_Relief_Windows_3B!$O$3277:$O$100,0))</f>
        <v/>
      </c>
      <c r="I3277">
        <f>MIN(F3277,H3277)</f>
        <v/>
      </c>
    </row>
    <row r="3278">
      <c r="A3278">
        <f>TEST_DATA!A3278</f>
        <v/>
      </c>
      <c r="B3278">
        <f>TEST_DATA!B3278</f>
        <v/>
      </c>
      <c r="C3278">
        <f>TEST_DATA!C3278</f>
        <v/>
      </c>
      <c r="D3278">
        <f>TEST_DATA!D3278</f>
        <v/>
      </c>
      <c r="E3278">
        <f>TEST_DATA!E3278</f>
        <v/>
      </c>
      <c r="F3278">
        <f>MIN(E3278*327800,10000)</f>
        <v/>
      </c>
      <c r="G3278">
        <f>MINIFS(CBIC_Late_Fee_Relief_Windows_3B!$O$3278:$O$100,CBIC_Late_Fee_Relief_Windows_3B!$D$3278:$D$100,"&lt;="&amp;B3278,CBIC_Late_Fee_Relief_Windows_3B!$E$3278:$E$100,"&gt;="&amp;B3278,CBIC_Late_Fee_Relief_Windows_3B!$F$3278:$F$100,"&lt;="&amp;C3278,CBIC_Late_Fee_Relief_Windows_3B!$G$3278:$G$100,"&gt;="&amp;C3278)</f>
        <v/>
      </c>
      <c r="H3278">
        <f>INDEX(CBIC_Late_Fee_Relief_Windows_3B!$I$3278:$I$100,MATCH(G3278,CBIC_Late_Fee_Relief_Windows_3B!$O$3278:$O$100,0))</f>
        <v/>
      </c>
      <c r="I3278">
        <f>MIN(F3278,H3278)</f>
        <v/>
      </c>
    </row>
    <row r="3279">
      <c r="A3279">
        <f>TEST_DATA!A3279</f>
        <v/>
      </c>
      <c r="B3279">
        <f>TEST_DATA!B3279</f>
        <v/>
      </c>
      <c r="C3279">
        <f>TEST_DATA!C3279</f>
        <v/>
      </c>
      <c r="D3279">
        <f>TEST_DATA!D3279</f>
        <v/>
      </c>
      <c r="E3279">
        <f>TEST_DATA!E3279</f>
        <v/>
      </c>
      <c r="F3279">
        <f>MIN(E3279*327900,10000)</f>
        <v/>
      </c>
      <c r="G3279">
        <f>MINIFS(CBIC_Late_Fee_Relief_Windows_3B!$O$3279:$O$100,CBIC_Late_Fee_Relief_Windows_3B!$D$3279:$D$100,"&lt;="&amp;B3279,CBIC_Late_Fee_Relief_Windows_3B!$E$3279:$E$100,"&gt;="&amp;B3279,CBIC_Late_Fee_Relief_Windows_3B!$F$3279:$F$100,"&lt;="&amp;C3279,CBIC_Late_Fee_Relief_Windows_3B!$G$3279:$G$100,"&gt;="&amp;C3279)</f>
        <v/>
      </c>
      <c r="H3279">
        <f>INDEX(CBIC_Late_Fee_Relief_Windows_3B!$I$3279:$I$100,MATCH(G3279,CBIC_Late_Fee_Relief_Windows_3B!$O$3279:$O$100,0))</f>
        <v/>
      </c>
      <c r="I3279">
        <f>MIN(F3279,H3279)</f>
        <v/>
      </c>
    </row>
    <row r="3280">
      <c r="A3280">
        <f>TEST_DATA!A3280</f>
        <v/>
      </c>
      <c r="B3280">
        <f>TEST_DATA!B3280</f>
        <v/>
      </c>
      <c r="C3280">
        <f>TEST_DATA!C3280</f>
        <v/>
      </c>
      <c r="D3280">
        <f>TEST_DATA!D3280</f>
        <v/>
      </c>
      <c r="E3280">
        <f>TEST_DATA!E3280</f>
        <v/>
      </c>
      <c r="F3280">
        <f>MIN(E3280*328000,10000)</f>
        <v/>
      </c>
      <c r="G3280">
        <f>MINIFS(CBIC_Late_Fee_Relief_Windows_3B!$O$3280:$O$100,CBIC_Late_Fee_Relief_Windows_3B!$D$3280:$D$100,"&lt;="&amp;B3280,CBIC_Late_Fee_Relief_Windows_3B!$E$3280:$E$100,"&gt;="&amp;B3280,CBIC_Late_Fee_Relief_Windows_3B!$F$3280:$F$100,"&lt;="&amp;C3280,CBIC_Late_Fee_Relief_Windows_3B!$G$3280:$G$100,"&gt;="&amp;C3280)</f>
        <v/>
      </c>
      <c r="H3280">
        <f>INDEX(CBIC_Late_Fee_Relief_Windows_3B!$I$3280:$I$100,MATCH(G3280,CBIC_Late_Fee_Relief_Windows_3B!$O$3280:$O$100,0))</f>
        <v/>
      </c>
      <c r="I3280">
        <f>MIN(F3280,H3280)</f>
        <v/>
      </c>
    </row>
    <row r="3281">
      <c r="A3281">
        <f>TEST_DATA!A3281</f>
        <v/>
      </c>
      <c r="B3281">
        <f>TEST_DATA!B3281</f>
        <v/>
      </c>
      <c r="C3281">
        <f>TEST_DATA!C3281</f>
        <v/>
      </c>
      <c r="D3281">
        <f>TEST_DATA!D3281</f>
        <v/>
      </c>
      <c r="E3281">
        <f>TEST_DATA!E3281</f>
        <v/>
      </c>
      <c r="F3281">
        <f>MIN(E3281*328100,10000)</f>
        <v/>
      </c>
      <c r="G3281">
        <f>MINIFS(CBIC_Late_Fee_Relief_Windows_3B!$O$3281:$O$100,CBIC_Late_Fee_Relief_Windows_3B!$D$3281:$D$100,"&lt;="&amp;B3281,CBIC_Late_Fee_Relief_Windows_3B!$E$3281:$E$100,"&gt;="&amp;B3281,CBIC_Late_Fee_Relief_Windows_3B!$F$3281:$F$100,"&lt;="&amp;C3281,CBIC_Late_Fee_Relief_Windows_3B!$G$3281:$G$100,"&gt;="&amp;C3281)</f>
        <v/>
      </c>
      <c r="H3281">
        <f>INDEX(CBIC_Late_Fee_Relief_Windows_3B!$I$3281:$I$100,MATCH(G3281,CBIC_Late_Fee_Relief_Windows_3B!$O$3281:$O$100,0))</f>
        <v/>
      </c>
      <c r="I3281">
        <f>MIN(F3281,H3281)</f>
        <v/>
      </c>
    </row>
    <row r="3282">
      <c r="A3282">
        <f>TEST_DATA!A3282</f>
        <v/>
      </c>
      <c r="B3282">
        <f>TEST_DATA!B3282</f>
        <v/>
      </c>
      <c r="C3282">
        <f>TEST_DATA!C3282</f>
        <v/>
      </c>
      <c r="D3282">
        <f>TEST_DATA!D3282</f>
        <v/>
      </c>
      <c r="E3282">
        <f>TEST_DATA!E3282</f>
        <v/>
      </c>
      <c r="F3282">
        <f>MIN(E3282*328200,10000)</f>
        <v/>
      </c>
      <c r="G3282">
        <f>MINIFS(CBIC_Late_Fee_Relief_Windows_3B!$O$3282:$O$100,CBIC_Late_Fee_Relief_Windows_3B!$D$3282:$D$100,"&lt;="&amp;B3282,CBIC_Late_Fee_Relief_Windows_3B!$E$3282:$E$100,"&gt;="&amp;B3282,CBIC_Late_Fee_Relief_Windows_3B!$F$3282:$F$100,"&lt;="&amp;C3282,CBIC_Late_Fee_Relief_Windows_3B!$G$3282:$G$100,"&gt;="&amp;C3282)</f>
        <v/>
      </c>
      <c r="H3282">
        <f>INDEX(CBIC_Late_Fee_Relief_Windows_3B!$I$3282:$I$100,MATCH(G3282,CBIC_Late_Fee_Relief_Windows_3B!$O$3282:$O$100,0))</f>
        <v/>
      </c>
      <c r="I3282">
        <f>MIN(F3282,H3282)</f>
        <v/>
      </c>
    </row>
    <row r="3283">
      <c r="A3283">
        <f>TEST_DATA!A3283</f>
        <v/>
      </c>
      <c r="B3283">
        <f>TEST_DATA!B3283</f>
        <v/>
      </c>
      <c r="C3283">
        <f>TEST_DATA!C3283</f>
        <v/>
      </c>
      <c r="D3283">
        <f>TEST_DATA!D3283</f>
        <v/>
      </c>
      <c r="E3283">
        <f>TEST_DATA!E3283</f>
        <v/>
      </c>
      <c r="F3283">
        <f>MIN(E3283*328300,10000)</f>
        <v/>
      </c>
      <c r="G3283">
        <f>MINIFS(CBIC_Late_Fee_Relief_Windows_3B!$O$3283:$O$100,CBIC_Late_Fee_Relief_Windows_3B!$D$3283:$D$100,"&lt;="&amp;B3283,CBIC_Late_Fee_Relief_Windows_3B!$E$3283:$E$100,"&gt;="&amp;B3283,CBIC_Late_Fee_Relief_Windows_3B!$F$3283:$F$100,"&lt;="&amp;C3283,CBIC_Late_Fee_Relief_Windows_3B!$G$3283:$G$100,"&gt;="&amp;C3283)</f>
        <v/>
      </c>
      <c r="H3283">
        <f>INDEX(CBIC_Late_Fee_Relief_Windows_3B!$I$3283:$I$100,MATCH(G3283,CBIC_Late_Fee_Relief_Windows_3B!$O$3283:$O$100,0))</f>
        <v/>
      </c>
      <c r="I3283">
        <f>MIN(F3283,H3283)</f>
        <v/>
      </c>
    </row>
    <row r="3284">
      <c r="A3284">
        <f>TEST_DATA!A3284</f>
        <v/>
      </c>
      <c r="B3284">
        <f>TEST_DATA!B3284</f>
        <v/>
      </c>
      <c r="C3284">
        <f>TEST_DATA!C3284</f>
        <v/>
      </c>
      <c r="D3284">
        <f>TEST_DATA!D3284</f>
        <v/>
      </c>
      <c r="E3284">
        <f>TEST_DATA!E3284</f>
        <v/>
      </c>
      <c r="F3284">
        <f>MIN(E3284*328400,10000)</f>
        <v/>
      </c>
      <c r="G3284">
        <f>MINIFS(CBIC_Late_Fee_Relief_Windows_3B!$O$3284:$O$100,CBIC_Late_Fee_Relief_Windows_3B!$D$3284:$D$100,"&lt;="&amp;B3284,CBIC_Late_Fee_Relief_Windows_3B!$E$3284:$E$100,"&gt;="&amp;B3284,CBIC_Late_Fee_Relief_Windows_3B!$F$3284:$F$100,"&lt;="&amp;C3284,CBIC_Late_Fee_Relief_Windows_3B!$G$3284:$G$100,"&gt;="&amp;C3284)</f>
        <v/>
      </c>
      <c r="H3284">
        <f>INDEX(CBIC_Late_Fee_Relief_Windows_3B!$I$3284:$I$100,MATCH(G3284,CBIC_Late_Fee_Relief_Windows_3B!$O$3284:$O$100,0))</f>
        <v/>
      </c>
      <c r="I3284">
        <f>MIN(F3284,H3284)</f>
        <v/>
      </c>
    </row>
    <row r="3285">
      <c r="A3285">
        <f>TEST_DATA!A3285</f>
        <v/>
      </c>
      <c r="B3285">
        <f>TEST_DATA!B3285</f>
        <v/>
      </c>
      <c r="C3285">
        <f>TEST_DATA!C3285</f>
        <v/>
      </c>
      <c r="D3285">
        <f>TEST_DATA!D3285</f>
        <v/>
      </c>
      <c r="E3285">
        <f>TEST_DATA!E3285</f>
        <v/>
      </c>
      <c r="F3285">
        <f>MIN(E3285*328500,10000)</f>
        <v/>
      </c>
      <c r="G3285">
        <f>MINIFS(CBIC_Late_Fee_Relief_Windows_3B!$O$3285:$O$100,CBIC_Late_Fee_Relief_Windows_3B!$D$3285:$D$100,"&lt;="&amp;B3285,CBIC_Late_Fee_Relief_Windows_3B!$E$3285:$E$100,"&gt;="&amp;B3285,CBIC_Late_Fee_Relief_Windows_3B!$F$3285:$F$100,"&lt;="&amp;C3285,CBIC_Late_Fee_Relief_Windows_3B!$G$3285:$G$100,"&gt;="&amp;C3285)</f>
        <v/>
      </c>
      <c r="H3285">
        <f>INDEX(CBIC_Late_Fee_Relief_Windows_3B!$I$3285:$I$100,MATCH(G3285,CBIC_Late_Fee_Relief_Windows_3B!$O$3285:$O$100,0))</f>
        <v/>
      </c>
      <c r="I3285">
        <f>MIN(F3285,H3285)</f>
        <v/>
      </c>
    </row>
    <row r="3286">
      <c r="A3286">
        <f>TEST_DATA!A3286</f>
        <v/>
      </c>
      <c r="B3286">
        <f>TEST_DATA!B3286</f>
        <v/>
      </c>
      <c r="C3286">
        <f>TEST_DATA!C3286</f>
        <v/>
      </c>
      <c r="D3286">
        <f>TEST_DATA!D3286</f>
        <v/>
      </c>
      <c r="E3286">
        <f>TEST_DATA!E3286</f>
        <v/>
      </c>
      <c r="F3286">
        <f>MIN(E3286*328600,10000)</f>
        <v/>
      </c>
      <c r="G3286">
        <f>MINIFS(CBIC_Late_Fee_Relief_Windows_3B!$O$3286:$O$100,CBIC_Late_Fee_Relief_Windows_3B!$D$3286:$D$100,"&lt;="&amp;B3286,CBIC_Late_Fee_Relief_Windows_3B!$E$3286:$E$100,"&gt;="&amp;B3286,CBIC_Late_Fee_Relief_Windows_3B!$F$3286:$F$100,"&lt;="&amp;C3286,CBIC_Late_Fee_Relief_Windows_3B!$G$3286:$G$100,"&gt;="&amp;C3286)</f>
        <v/>
      </c>
      <c r="H3286">
        <f>INDEX(CBIC_Late_Fee_Relief_Windows_3B!$I$3286:$I$100,MATCH(G3286,CBIC_Late_Fee_Relief_Windows_3B!$O$3286:$O$100,0))</f>
        <v/>
      </c>
      <c r="I3286">
        <f>MIN(F3286,H3286)</f>
        <v/>
      </c>
    </row>
    <row r="3287">
      <c r="A3287">
        <f>TEST_DATA!A3287</f>
        <v/>
      </c>
      <c r="B3287">
        <f>TEST_DATA!B3287</f>
        <v/>
      </c>
      <c r="C3287">
        <f>TEST_DATA!C3287</f>
        <v/>
      </c>
      <c r="D3287">
        <f>TEST_DATA!D3287</f>
        <v/>
      </c>
      <c r="E3287">
        <f>TEST_DATA!E3287</f>
        <v/>
      </c>
      <c r="F3287">
        <f>MIN(E3287*328700,10000)</f>
        <v/>
      </c>
      <c r="G3287">
        <f>MINIFS(CBIC_Late_Fee_Relief_Windows_3B!$O$3287:$O$100,CBIC_Late_Fee_Relief_Windows_3B!$D$3287:$D$100,"&lt;="&amp;B3287,CBIC_Late_Fee_Relief_Windows_3B!$E$3287:$E$100,"&gt;="&amp;B3287,CBIC_Late_Fee_Relief_Windows_3B!$F$3287:$F$100,"&lt;="&amp;C3287,CBIC_Late_Fee_Relief_Windows_3B!$G$3287:$G$100,"&gt;="&amp;C3287)</f>
        <v/>
      </c>
      <c r="H3287">
        <f>INDEX(CBIC_Late_Fee_Relief_Windows_3B!$I$3287:$I$100,MATCH(G3287,CBIC_Late_Fee_Relief_Windows_3B!$O$3287:$O$100,0))</f>
        <v/>
      </c>
      <c r="I3287">
        <f>MIN(F3287,H3287)</f>
        <v/>
      </c>
    </row>
    <row r="3288">
      <c r="A3288">
        <f>TEST_DATA!A3288</f>
        <v/>
      </c>
      <c r="B3288">
        <f>TEST_DATA!B3288</f>
        <v/>
      </c>
      <c r="C3288">
        <f>TEST_DATA!C3288</f>
        <v/>
      </c>
      <c r="D3288">
        <f>TEST_DATA!D3288</f>
        <v/>
      </c>
      <c r="E3288">
        <f>TEST_DATA!E3288</f>
        <v/>
      </c>
      <c r="F3288">
        <f>MIN(E3288*328800,10000)</f>
        <v/>
      </c>
      <c r="G3288">
        <f>MINIFS(CBIC_Late_Fee_Relief_Windows_3B!$O$3288:$O$100,CBIC_Late_Fee_Relief_Windows_3B!$D$3288:$D$100,"&lt;="&amp;B3288,CBIC_Late_Fee_Relief_Windows_3B!$E$3288:$E$100,"&gt;="&amp;B3288,CBIC_Late_Fee_Relief_Windows_3B!$F$3288:$F$100,"&lt;="&amp;C3288,CBIC_Late_Fee_Relief_Windows_3B!$G$3288:$G$100,"&gt;="&amp;C3288)</f>
        <v/>
      </c>
      <c r="H3288">
        <f>INDEX(CBIC_Late_Fee_Relief_Windows_3B!$I$3288:$I$100,MATCH(G3288,CBIC_Late_Fee_Relief_Windows_3B!$O$3288:$O$100,0))</f>
        <v/>
      </c>
      <c r="I3288">
        <f>MIN(F3288,H3288)</f>
        <v/>
      </c>
    </row>
    <row r="3289">
      <c r="A3289">
        <f>TEST_DATA!A3289</f>
        <v/>
      </c>
      <c r="B3289">
        <f>TEST_DATA!B3289</f>
        <v/>
      </c>
      <c r="C3289">
        <f>TEST_DATA!C3289</f>
        <v/>
      </c>
      <c r="D3289">
        <f>TEST_DATA!D3289</f>
        <v/>
      </c>
      <c r="E3289">
        <f>TEST_DATA!E3289</f>
        <v/>
      </c>
      <c r="F3289">
        <f>MIN(E3289*328900,10000)</f>
        <v/>
      </c>
      <c r="G3289">
        <f>MINIFS(CBIC_Late_Fee_Relief_Windows_3B!$O$3289:$O$100,CBIC_Late_Fee_Relief_Windows_3B!$D$3289:$D$100,"&lt;="&amp;B3289,CBIC_Late_Fee_Relief_Windows_3B!$E$3289:$E$100,"&gt;="&amp;B3289,CBIC_Late_Fee_Relief_Windows_3B!$F$3289:$F$100,"&lt;="&amp;C3289,CBIC_Late_Fee_Relief_Windows_3B!$G$3289:$G$100,"&gt;="&amp;C3289)</f>
        <v/>
      </c>
      <c r="H3289">
        <f>INDEX(CBIC_Late_Fee_Relief_Windows_3B!$I$3289:$I$100,MATCH(G3289,CBIC_Late_Fee_Relief_Windows_3B!$O$3289:$O$100,0))</f>
        <v/>
      </c>
      <c r="I3289">
        <f>MIN(F3289,H3289)</f>
        <v/>
      </c>
    </row>
    <row r="3290">
      <c r="A3290">
        <f>TEST_DATA!A3290</f>
        <v/>
      </c>
      <c r="B3290">
        <f>TEST_DATA!B3290</f>
        <v/>
      </c>
      <c r="C3290">
        <f>TEST_DATA!C3290</f>
        <v/>
      </c>
      <c r="D3290">
        <f>TEST_DATA!D3290</f>
        <v/>
      </c>
      <c r="E3290">
        <f>TEST_DATA!E3290</f>
        <v/>
      </c>
      <c r="F3290">
        <f>MIN(E3290*329000,10000)</f>
        <v/>
      </c>
      <c r="G3290">
        <f>MINIFS(CBIC_Late_Fee_Relief_Windows_3B!$O$3290:$O$100,CBIC_Late_Fee_Relief_Windows_3B!$D$3290:$D$100,"&lt;="&amp;B3290,CBIC_Late_Fee_Relief_Windows_3B!$E$3290:$E$100,"&gt;="&amp;B3290,CBIC_Late_Fee_Relief_Windows_3B!$F$3290:$F$100,"&lt;="&amp;C3290,CBIC_Late_Fee_Relief_Windows_3B!$G$3290:$G$100,"&gt;="&amp;C3290)</f>
        <v/>
      </c>
      <c r="H3290">
        <f>INDEX(CBIC_Late_Fee_Relief_Windows_3B!$I$3290:$I$100,MATCH(G3290,CBIC_Late_Fee_Relief_Windows_3B!$O$3290:$O$100,0))</f>
        <v/>
      </c>
      <c r="I3290">
        <f>MIN(F3290,H3290)</f>
        <v/>
      </c>
    </row>
    <row r="3291">
      <c r="A3291">
        <f>TEST_DATA!A3291</f>
        <v/>
      </c>
      <c r="B3291">
        <f>TEST_DATA!B3291</f>
        <v/>
      </c>
      <c r="C3291">
        <f>TEST_DATA!C3291</f>
        <v/>
      </c>
      <c r="D3291">
        <f>TEST_DATA!D3291</f>
        <v/>
      </c>
      <c r="E3291">
        <f>TEST_DATA!E3291</f>
        <v/>
      </c>
      <c r="F3291">
        <f>MIN(E3291*329100,10000)</f>
        <v/>
      </c>
      <c r="G3291">
        <f>MINIFS(CBIC_Late_Fee_Relief_Windows_3B!$O$3291:$O$100,CBIC_Late_Fee_Relief_Windows_3B!$D$3291:$D$100,"&lt;="&amp;B3291,CBIC_Late_Fee_Relief_Windows_3B!$E$3291:$E$100,"&gt;="&amp;B3291,CBIC_Late_Fee_Relief_Windows_3B!$F$3291:$F$100,"&lt;="&amp;C3291,CBIC_Late_Fee_Relief_Windows_3B!$G$3291:$G$100,"&gt;="&amp;C3291)</f>
        <v/>
      </c>
      <c r="H3291">
        <f>INDEX(CBIC_Late_Fee_Relief_Windows_3B!$I$3291:$I$100,MATCH(G3291,CBIC_Late_Fee_Relief_Windows_3B!$O$3291:$O$100,0))</f>
        <v/>
      </c>
      <c r="I3291">
        <f>MIN(F3291,H3291)</f>
        <v/>
      </c>
    </row>
    <row r="3292">
      <c r="A3292">
        <f>TEST_DATA!A3292</f>
        <v/>
      </c>
      <c r="B3292">
        <f>TEST_DATA!B3292</f>
        <v/>
      </c>
      <c r="C3292">
        <f>TEST_DATA!C3292</f>
        <v/>
      </c>
      <c r="D3292">
        <f>TEST_DATA!D3292</f>
        <v/>
      </c>
      <c r="E3292">
        <f>TEST_DATA!E3292</f>
        <v/>
      </c>
      <c r="F3292">
        <f>MIN(E3292*329200,10000)</f>
        <v/>
      </c>
      <c r="G3292">
        <f>MINIFS(CBIC_Late_Fee_Relief_Windows_3B!$O$3292:$O$100,CBIC_Late_Fee_Relief_Windows_3B!$D$3292:$D$100,"&lt;="&amp;B3292,CBIC_Late_Fee_Relief_Windows_3B!$E$3292:$E$100,"&gt;="&amp;B3292,CBIC_Late_Fee_Relief_Windows_3B!$F$3292:$F$100,"&lt;="&amp;C3292,CBIC_Late_Fee_Relief_Windows_3B!$G$3292:$G$100,"&gt;="&amp;C3292)</f>
        <v/>
      </c>
      <c r="H3292">
        <f>INDEX(CBIC_Late_Fee_Relief_Windows_3B!$I$3292:$I$100,MATCH(G3292,CBIC_Late_Fee_Relief_Windows_3B!$O$3292:$O$100,0))</f>
        <v/>
      </c>
      <c r="I3292">
        <f>MIN(F3292,H3292)</f>
        <v/>
      </c>
    </row>
    <row r="3293">
      <c r="A3293">
        <f>TEST_DATA!A3293</f>
        <v/>
      </c>
      <c r="B3293">
        <f>TEST_DATA!B3293</f>
        <v/>
      </c>
      <c r="C3293">
        <f>TEST_DATA!C3293</f>
        <v/>
      </c>
      <c r="D3293">
        <f>TEST_DATA!D3293</f>
        <v/>
      </c>
      <c r="E3293">
        <f>TEST_DATA!E3293</f>
        <v/>
      </c>
      <c r="F3293">
        <f>MIN(E3293*329300,10000)</f>
        <v/>
      </c>
      <c r="G3293">
        <f>MINIFS(CBIC_Late_Fee_Relief_Windows_3B!$O$3293:$O$100,CBIC_Late_Fee_Relief_Windows_3B!$D$3293:$D$100,"&lt;="&amp;B3293,CBIC_Late_Fee_Relief_Windows_3B!$E$3293:$E$100,"&gt;="&amp;B3293,CBIC_Late_Fee_Relief_Windows_3B!$F$3293:$F$100,"&lt;="&amp;C3293,CBIC_Late_Fee_Relief_Windows_3B!$G$3293:$G$100,"&gt;="&amp;C3293)</f>
        <v/>
      </c>
      <c r="H3293">
        <f>INDEX(CBIC_Late_Fee_Relief_Windows_3B!$I$3293:$I$100,MATCH(G3293,CBIC_Late_Fee_Relief_Windows_3B!$O$3293:$O$100,0))</f>
        <v/>
      </c>
      <c r="I3293">
        <f>MIN(F3293,H3293)</f>
        <v/>
      </c>
    </row>
    <row r="3294">
      <c r="A3294">
        <f>TEST_DATA!A3294</f>
        <v/>
      </c>
      <c r="B3294">
        <f>TEST_DATA!B3294</f>
        <v/>
      </c>
      <c r="C3294">
        <f>TEST_DATA!C3294</f>
        <v/>
      </c>
      <c r="D3294">
        <f>TEST_DATA!D3294</f>
        <v/>
      </c>
      <c r="E3294">
        <f>TEST_DATA!E3294</f>
        <v/>
      </c>
      <c r="F3294">
        <f>MIN(E3294*329400,10000)</f>
        <v/>
      </c>
      <c r="G3294">
        <f>MINIFS(CBIC_Late_Fee_Relief_Windows_3B!$O$3294:$O$100,CBIC_Late_Fee_Relief_Windows_3B!$D$3294:$D$100,"&lt;="&amp;B3294,CBIC_Late_Fee_Relief_Windows_3B!$E$3294:$E$100,"&gt;="&amp;B3294,CBIC_Late_Fee_Relief_Windows_3B!$F$3294:$F$100,"&lt;="&amp;C3294,CBIC_Late_Fee_Relief_Windows_3B!$G$3294:$G$100,"&gt;="&amp;C3294)</f>
        <v/>
      </c>
      <c r="H3294">
        <f>INDEX(CBIC_Late_Fee_Relief_Windows_3B!$I$3294:$I$100,MATCH(G3294,CBIC_Late_Fee_Relief_Windows_3B!$O$3294:$O$100,0))</f>
        <v/>
      </c>
      <c r="I3294">
        <f>MIN(F3294,H3294)</f>
        <v/>
      </c>
    </row>
    <row r="3295">
      <c r="A3295">
        <f>TEST_DATA!A3295</f>
        <v/>
      </c>
      <c r="B3295">
        <f>TEST_DATA!B3295</f>
        <v/>
      </c>
      <c r="C3295">
        <f>TEST_DATA!C3295</f>
        <v/>
      </c>
      <c r="D3295">
        <f>TEST_DATA!D3295</f>
        <v/>
      </c>
      <c r="E3295">
        <f>TEST_DATA!E3295</f>
        <v/>
      </c>
      <c r="F3295">
        <f>MIN(E3295*329500,10000)</f>
        <v/>
      </c>
      <c r="G3295">
        <f>MINIFS(CBIC_Late_Fee_Relief_Windows_3B!$O$3295:$O$100,CBIC_Late_Fee_Relief_Windows_3B!$D$3295:$D$100,"&lt;="&amp;B3295,CBIC_Late_Fee_Relief_Windows_3B!$E$3295:$E$100,"&gt;="&amp;B3295,CBIC_Late_Fee_Relief_Windows_3B!$F$3295:$F$100,"&lt;="&amp;C3295,CBIC_Late_Fee_Relief_Windows_3B!$G$3295:$G$100,"&gt;="&amp;C3295)</f>
        <v/>
      </c>
      <c r="H3295">
        <f>INDEX(CBIC_Late_Fee_Relief_Windows_3B!$I$3295:$I$100,MATCH(G3295,CBIC_Late_Fee_Relief_Windows_3B!$O$3295:$O$100,0))</f>
        <v/>
      </c>
      <c r="I3295">
        <f>MIN(F3295,H3295)</f>
        <v/>
      </c>
    </row>
    <row r="3296">
      <c r="A3296">
        <f>TEST_DATA!A3296</f>
        <v/>
      </c>
      <c r="B3296">
        <f>TEST_DATA!B3296</f>
        <v/>
      </c>
      <c r="C3296">
        <f>TEST_DATA!C3296</f>
        <v/>
      </c>
      <c r="D3296">
        <f>TEST_DATA!D3296</f>
        <v/>
      </c>
      <c r="E3296">
        <f>TEST_DATA!E3296</f>
        <v/>
      </c>
      <c r="F3296">
        <f>MIN(E3296*329600,10000)</f>
        <v/>
      </c>
      <c r="G3296">
        <f>MINIFS(CBIC_Late_Fee_Relief_Windows_3B!$O$3296:$O$100,CBIC_Late_Fee_Relief_Windows_3B!$D$3296:$D$100,"&lt;="&amp;B3296,CBIC_Late_Fee_Relief_Windows_3B!$E$3296:$E$100,"&gt;="&amp;B3296,CBIC_Late_Fee_Relief_Windows_3B!$F$3296:$F$100,"&lt;="&amp;C3296,CBIC_Late_Fee_Relief_Windows_3B!$G$3296:$G$100,"&gt;="&amp;C3296)</f>
        <v/>
      </c>
      <c r="H3296">
        <f>INDEX(CBIC_Late_Fee_Relief_Windows_3B!$I$3296:$I$100,MATCH(G3296,CBIC_Late_Fee_Relief_Windows_3B!$O$3296:$O$100,0))</f>
        <v/>
      </c>
      <c r="I3296">
        <f>MIN(F3296,H3296)</f>
        <v/>
      </c>
    </row>
    <row r="3297">
      <c r="A3297">
        <f>TEST_DATA!A3297</f>
        <v/>
      </c>
      <c r="B3297">
        <f>TEST_DATA!B3297</f>
        <v/>
      </c>
      <c r="C3297">
        <f>TEST_DATA!C3297</f>
        <v/>
      </c>
      <c r="D3297">
        <f>TEST_DATA!D3297</f>
        <v/>
      </c>
      <c r="E3297">
        <f>TEST_DATA!E3297</f>
        <v/>
      </c>
      <c r="F3297">
        <f>MIN(E3297*329700,10000)</f>
        <v/>
      </c>
      <c r="G3297">
        <f>MINIFS(CBIC_Late_Fee_Relief_Windows_3B!$O$3297:$O$100,CBIC_Late_Fee_Relief_Windows_3B!$D$3297:$D$100,"&lt;="&amp;B3297,CBIC_Late_Fee_Relief_Windows_3B!$E$3297:$E$100,"&gt;="&amp;B3297,CBIC_Late_Fee_Relief_Windows_3B!$F$3297:$F$100,"&lt;="&amp;C3297,CBIC_Late_Fee_Relief_Windows_3B!$G$3297:$G$100,"&gt;="&amp;C3297)</f>
        <v/>
      </c>
      <c r="H3297">
        <f>INDEX(CBIC_Late_Fee_Relief_Windows_3B!$I$3297:$I$100,MATCH(G3297,CBIC_Late_Fee_Relief_Windows_3B!$O$3297:$O$100,0))</f>
        <v/>
      </c>
      <c r="I3297">
        <f>MIN(F3297,H3297)</f>
        <v/>
      </c>
    </row>
    <row r="3298">
      <c r="A3298">
        <f>TEST_DATA!A3298</f>
        <v/>
      </c>
      <c r="B3298">
        <f>TEST_DATA!B3298</f>
        <v/>
      </c>
      <c r="C3298">
        <f>TEST_DATA!C3298</f>
        <v/>
      </c>
      <c r="D3298">
        <f>TEST_DATA!D3298</f>
        <v/>
      </c>
      <c r="E3298">
        <f>TEST_DATA!E3298</f>
        <v/>
      </c>
      <c r="F3298">
        <f>MIN(E3298*329800,10000)</f>
        <v/>
      </c>
      <c r="G3298">
        <f>MINIFS(CBIC_Late_Fee_Relief_Windows_3B!$O$3298:$O$100,CBIC_Late_Fee_Relief_Windows_3B!$D$3298:$D$100,"&lt;="&amp;B3298,CBIC_Late_Fee_Relief_Windows_3B!$E$3298:$E$100,"&gt;="&amp;B3298,CBIC_Late_Fee_Relief_Windows_3B!$F$3298:$F$100,"&lt;="&amp;C3298,CBIC_Late_Fee_Relief_Windows_3B!$G$3298:$G$100,"&gt;="&amp;C3298)</f>
        <v/>
      </c>
      <c r="H3298">
        <f>INDEX(CBIC_Late_Fee_Relief_Windows_3B!$I$3298:$I$100,MATCH(G3298,CBIC_Late_Fee_Relief_Windows_3B!$O$3298:$O$100,0))</f>
        <v/>
      </c>
      <c r="I3298">
        <f>MIN(F3298,H3298)</f>
        <v/>
      </c>
    </row>
    <row r="3299">
      <c r="A3299">
        <f>TEST_DATA!A3299</f>
        <v/>
      </c>
      <c r="B3299">
        <f>TEST_DATA!B3299</f>
        <v/>
      </c>
      <c r="C3299">
        <f>TEST_DATA!C3299</f>
        <v/>
      </c>
      <c r="D3299">
        <f>TEST_DATA!D3299</f>
        <v/>
      </c>
      <c r="E3299">
        <f>TEST_DATA!E3299</f>
        <v/>
      </c>
      <c r="F3299">
        <f>MIN(E3299*329900,10000)</f>
        <v/>
      </c>
      <c r="G3299">
        <f>MINIFS(CBIC_Late_Fee_Relief_Windows_3B!$O$3299:$O$100,CBIC_Late_Fee_Relief_Windows_3B!$D$3299:$D$100,"&lt;="&amp;B3299,CBIC_Late_Fee_Relief_Windows_3B!$E$3299:$E$100,"&gt;="&amp;B3299,CBIC_Late_Fee_Relief_Windows_3B!$F$3299:$F$100,"&lt;="&amp;C3299,CBIC_Late_Fee_Relief_Windows_3B!$G$3299:$G$100,"&gt;="&amp;C3299)</f>
        <v/>
      </c>
      <c r="H3299">
        <f>INDEX(CBIC_Late_Fee_Relief_Windows_3B!$I$3299:$I$100,MATCH(G3299,CBIC_Late_Fee_Relief_Windows_3B!$O$3299:$O$100,0))</f>
        <v/>
      </c>
      <c r="I3299">
        <f>MIN(F3299,H3299)</f>
        <v/>
      </c>
    </row>
    <row r="3300">
      <c r="A3300">
        <f>TEST_DATA!A3300</f>
        <v/>
      </c>
      <c r="B3300">
        <f>TEST_DATA!B3300</f>
        <v/>
      </c>
      <c r="C3300">
        <f>TEST_DATA!C3300</f>
        <v/>
      </c>
      <c r="D3300">
        <f>TEST_DATA!D3300</f>
        <v/>
      </c>
      <c r="E3300">
        <f>TEST_DATA!E3300</f>
        <v/>
      </c>
      <c r="F3300">
        <f>MIN(E3300*330000,10000)</f>
        <v/>
      </c>
      <c r="G3300">
        <f>MINIFS(CBIC_Late_Fee_Relief_Windows_3B!$O$3300:$O$100,CBIC_Late_Fee_Relief_Windows_3B!$D$3300:$D$100,"&lt;="&amp;B3300,CBIC_Late_Fee_Relief_Windows_3B!$E$3300:$E$100,"&gt;="&amp;B3300,CBIC_Late_Fee_Relief_Windows_3B!$F$3300:$F$100,"&lt;="&amp;C3300,CBIC_Late_Fee_Relief_Windows_3B!$G$3300:$G$100,"&gt;="&amp;C3300)</f>
        <v/>
      </c>
      <c r="H3300">
        <f>INDEX(CBIC_Late_Fee_Relief_Windows_3B!$I$3300:$I$100,MATCH(G3300,CBIC_Late_Fee_Relief_Windows_3B!$O$3300:$O$100,0))</f>
        <v/>
      </c>
      <c r="I3300">
        <f>MIN(F3300,H3300)</f>
        <v/>
      </c>
    </row>
    <row r="3301">
      <c r="A3301">
        <f>TEST_DATA!A3301</f>
        <v/>
      </c>
      <c r="B3301">
        <f>TEST_DATA!B3301</f>
        <v/>
      </c>
      <c r="C3301">
        <f>TEST_DATA!C3301</f>
        <v/>
      </c>
      <c r="D3301">
        <f>TEST_DATA!D3301</f>
        <v/>
      </c>
      <c r="E3301">
        <f>TEST_DATA!E3301</f>
        <v/>
      </c>
      <c r="F3301">
        <f>MIN(E3301*330100,10000)</f>
        <v/>
      </c>
      <c r="G3301">
        <f>MINIFS(CBIC_Late_Fee_Relief_Windows_3B!$O$3301:$O$100,CBIC_Late_Fee_Relief_Windows_3B!$D$3301:$D$100,"&lt;="&amp;B3301,CBIC_Late_Fee_Relief_Windows_3B!$E$3301:$E$100,"&gt;="&amp;B3301,CBIC_Late_Fee_Relief_Windows_3B!$F$3301:$F$100,"&lt;="&amp;C3301,CBIC_Late_Fee_Relief_Windows_3B!$G$3301:$G$100,"&gt;="&amp;C3301)</f>
        <v/>
      </c>
      <c r="H3301">
        <f>INDEX(CBIC_Late_Fee_Relief_Windows_3B!$I$3301:$I$100,MATCH(G3301,CBIC_Late_Fee_Relief_Windows_3B!$O$3301:$O$100,0))</f>
        <v/>
      </c>
      <c r="I3301">
        <f>MIN(F3301,H3301)</f>
        <v/>
      </c>
    </row>
    <row r="3302">
      <c r="A3302">
        <f>TEST_DATA!A3302</f>
        <v/>
      </c>
      <c r="B3302">
        <f>TEST_DATA!B3302</f>
        <v/>
      </c>
      <c r="C3302">
        <f>TEST_DATA!C3302</f>
        <v/>
      </c>
      <c r="D3302">
        <f>TEST_DATA!D3302</f>
        <v/>
      </c>
      <c r="E3302">
        <f>TEST_DATA!E3302</f>
        <v/>
      </c>
      <c r="F3302">
        <f>MIN(E3302*330200,10000)</f>
        <v/>
      </c>
      <c r="G3302">
        <f>MINIFS(CBIC_Late_Fee_Relief_Windows_3B!$O$3302:$O$100,CBIC_Late_Fee_Relief_Windows_3B!$D$3302:$D$100,"&lt;="&amp;B3302,CBIC_Late_Fee_Relief_Windows_3B!$E$3302:$E$100,"&gt;="&amp;B3302,CBIC_Late_Fee_Relief_Windows_3B!$F$3302:$F$100,"&lt;="&amp;C3302,CBIC_Late_Fee_Relief_Windows_3B!$G$3302:$G$100,"&gt;="&amp;C3302)</f>
        <v/>
      </c>
      <c r="H3302">
        <f>INDEX(CBIC_Late_Fee_Relief_Windows_3B!$I$3302:$I$100,MATCH(G3302,CBIC_Late_Fee_Relief_Windows_3B!$O$3302:$O$100,0))</f>
        <v/>
      </c>
      <c r="I3302">
        <f>MIN(F3302,H3302)</f>
        <v/>
      </c>
    </row>
    <row r="3303">
      <c r="A3303">
        <f>TEST_DATA!A3303</f>
        <v/>
      </c>
      <c r="B3303">
        <f>TEST_DATA!B3303</f>
        <v/>
      </c>
      <c r="C3303">
        <f>TEST_DATA!C3303</f>
        <v/>
      </c>
      <c r="D3303">
        <f>TEST_DATA!D3303</f>
        <v/>
      </c>
      <c r="E3303">
        <f>TEST_DATA!E3303</f>
        <v/>
      </c>
      <c r="F3303">
        <f>MIN(E3303*330300,10000)</f>
        <v/>
      </c>
      <c r="G3303">
        <f>MINIFS(CBIC_Late_Fee_Relief_Windows_3B!$O$3303:$O$100,CBIC_Late_Fee_Relief_Windows_3B!$D$3303:$D$100,"&lt;="&amp;B3303,CBIC_Late_Fee_Relief_Windows_3B!$E$3303:$E$100,"&gt;="&amp;B3303,CBIC_Late_Fee_Relief_Windows_3B!$F$3303:$F$100,"&lt;="&amp;C3303,CBIC_Late_Fee_Relief_Windows_3B!$G$3303:$G$100,"&gt;="&amp;C3303)</f>
        <v/>
      </c>
      <c r="H3303">
        <f>INDEX(CBIC_Late_Fee_Relief_Windows_3B!$I$3303:$I$100,MATCH(G3303,CBIC_Late_Fee_Relief_Windows_3B!$O$3303:$O$100,0))</f>
        <v/>
      </c>
      <c r="I3303">
        <f>MIN(F3303,H3303)</f>
        <v/>
      </c>
    </row>
    <row r="3304">
      <c r="A3304">
        <f>TEST_DATA!A3304</f>
        <v/>
      </c>
      <c r="B3304">
        <f>TEST_DATA!B3304</f>
        <v/>
      </c>
      <c r="C3304">
        <f>TEST_DATA!C3304</f>
        <v/>
      </c>
      <c r="D3304">
        <f>TEST_DATA!D3304</f>
        <v/>
      </c>
      <c r="E3304">
        <f>TEST_DATA!E3304</f>
        <v/>
      </c>
      <c r="F3304">
        <f>MIN(E3304*330400,10000)</f>
        <v/>
      </c>
      <c r="G3304">
        <f>MINIFS(CBIC_Late_Fee_Relief_Windows_3B!$O$3304:$O$100,CBIC_Late_Fee_Relief_Windows_3B!$D$3304:$D$100,"&lt;="&amp;B3304,CBIC_Late_Fee_Relief_Windows_3B!$E$3304:$E$100,"&gt;="&amp;B3304,CBIC_Late_Fee_Relief_Windows_3B!$F$3304:$F$100,"&lt;="&amp;C3304,CBIC_Late_Fee_Relief_Windows_3B!$G$3304:$G$100,"&gt;="&amp;C3304)</f>
        <v/>
      </c>
      <c r="H3304">
        <f>INDEX(CBIC_Late_Fee_Relief_Windows_3B!$I$3304:$I$100,MATCH(G3304,CBIC_Late_Fee_Relief_Windows_3B!$O$3304:$O$100,0))</f>
        <v/>
      </c>
      <c r="I3304">
        <f>MIN(F3304,H3304)</f>
        <v/>
      </c>
    </row>
    <row r="3305">
      <c r="A3305">
        <f>TEST_DATA!A3305</f>
        <v/>
      </c>
      <c r="B3305">
        <f>TEST_DATA!B3305</f>
        <v/>
      </c>
      <c r="C3305">
        <f>TEST_DATA!C3305</f>
        <v/>
      </c>
      <c r="D3305">
        <f>TEST_DATA!D3305</f>
        <v/>
      </c>
      <c r="E3305">
        <f>TEST_DATA!E3305</f>
        <v/>
      </c>
      <c r="F3305">
        <f>MIN(E3305*330500,10000)</f>
        <v/>
      </c>
      <c r="G3305">
        <f>MINIFS(CBIC_Late_Fee_Relief_Windows_3B!$O$3305:$O$100,CBIC_Late_Fee_Relief_Windows_3B!$D$3305:$D$100,"&lt;="&amp;B3305,CBIC_Late_Fee_Relief_Windows_3B!$E$3305:$E$100,"&gt;="&amp;B3305,CBIC_Late_Fee_Relief_Windows_3B!$F$3305:$F$100,"&lt;="&amp;C3305,CBIC_Late_Fee_Relief_Windows_3B!$G$3305:$G$100,"&gt;="&amp;C3305)</f>
        <v/>
      </c>
      <c r="H3305">
        <f>INDEX(CBIC_Late_Fee_Relief_Windows_3B!$I$3305:$I$100,MATCH(G3305,CBIC_Late_Fee_Relief_Windows_3B!$O$3305:$O$100,0))</f>
        <v/>
      </c>
      <c r="I3305">
        <f>MIN(F3305,H3305)</f>
        <v/>
      </c>
    </row>
    <row r="3306">
      <c r="A3306">
        <f>TEST_DATA!A3306</f>
        <v/>
      </c>
      <c r="B3306">
        <f>TEST_DATA!B3306</f>
        <v/>
      </c>
      <c r="C3306">
        <f>TEST_DATA!C3306</f>
        <v/>
      </c>
      <c r="D3306">
        <f>TEST_DATA!D3306</f>
        <v/>
      </c>
      <c r="E3306">
        <f>TEST_DATA!E3306</f>
        <v/>
      </c>
      <c r="F3306">
        <f>MIN(E3306*330600,10000)</f>
        <v/>
      </c>
      <c r="G3306">
        <f>MINIFS(CBIC_Late_Fee_Relief_Windows_3B!$O$3306:$O$100,CBIC_Late_Fee_Relief_Windows_3B!$D$3306:$D$100,"&lt;="&amp;B3306,CBIC_Late_Fee_Relief_Windows_3B!$E$3306:$E$100,"&gt;="&amp;B3306,CBIC_Late_Fee_Relief_Windows_3B!$F$3306:$F$100,"&lt;="&amp;C3306,CBIC_Late_Fee_Relief_Windows_3B!$G$3306:$G$100,"&gt;="&amp;C3306)</f>
        <v/>
      </c>
      <c r="H3306">
        <f>INDEX(CBIC_Late_Fee_Relief_Windows_3B!$I$3306:$I$100,MATCH(G3306,CBIC_Late_Fee_Relief_Windows_3B!$O$3306:$O$100,0))</f>
        <v/>
      </c>
      <c r="I3306">
        <f>MIN(F3306,H3306)</f>
        <v/>
      </c>
    </row>
    <row r="3307">
      <c r="A3307">
        <f>TEST_DATA!A3307</f>
        <v/>
      </c>
      <c r="B3307">
        <f>TEST_DATA!B3307</f>
        <v/>
      </c>
      <c r="C3307">
        <f>TEST_DATA!C3307</f>
        <v/>
      </c>
      <c r="D3307">
        <f>TEST_DATA!D3307</f>
        <v/>
      </c>
      <c r="E3307">
        <f>TEST_DATA!E3307</f>
        <v/>
      </c>
      <c r="F3307">
        <f>MIN(E3307*330700,10000)</f>
        <v/>
      </c>
      <c r="G3307">
        <f>MINIFS(CBIC_Late_Fee_Relief_Windows_3B!$O$3307:$O$100,CBIC_Late_Fee_Relief_Windows_3B!$D$3307:$D$100,"&lt;="&amp;B3307,CBIC_Late_Fee_Relief_Windows_3B!$E$3307:$E$100,"&gt;="&amp;B3307,CBIC_Late_Fee_Relief_Windows_3B!$F$3307:$F$100,"&lt;="&amp;C3307,CBIC_Late_Fee_Relief_Windows_3B!$G$3307:$G$100,"&gt;="&amp;C3307)</f>
        <v/>
      </c>
      <c r="H3307">
        <f>INDEX(CBIC_Late_Fee_Relief_Windows_3B!$I$3307:$I$100,MATCH(G3307,CBIC_Late_Fee_Relief_Windows_3B!$O$3307:$O$100,0))</f>
        <v/>
      </c>
      <c r="I3307">
        <f>MIN(F3307,H3307)</f>
        <v/>
      </c>
    </row>
    <row r="3308">
      <c r="A3308">
        <f>TEST_DATA!A3308</f>
        <v/>
      </c>
      <c r="B3308">
        <f>TEST_DATA!B3308</f>
        <v/>
      </c>
      <c r="C3308">
        <f>TEST_DATA!C3308</f>
        <v/>
      </c>
      <c r="D3308">
        <f>TEST_DATA!D3308</f>
        <v/>
      </c>
      <c r="E3308">
        <f>TEST_DATA!E3308</f>
        <v/>
      </c>
      <c r="F3308">
        <f>MIN(E3308*330800,10000)</f>
        <v/>
      </c>
      <c r="G3308">
        <f>MINIFS(CBIC_Late_Fee_Relief_Windows_3B!$O$3308:$O$100,CBIC_Late_Fee_Relief_Windows_3B!$D$3308:$D$100,"&lt;="&amp;B3308,CBIC_Late_Fee_Relief_Windows_3B!$E$3308:$E$100,"&gt;="&amp;B3308,CBIC_Late_Fee_Relief_Windows_3B!$F$3308:$F$100,"&lt;="&amp;C3308,CBIC_Late_Fee_Relief_Windows_3B!$G$3308:$G$100,"&gt;="&amp;C3308)</f>
        <v/>
      </c>
      <c r="H3308">
        <f>INDEX(CBIC_Late_Fee_Relief_Windows_3B!$I$3308:$I$100,MATCH(G3308,CBIC_Late_Fee_Relief_Windows_3B!$O$3308:$O$100,0))</f>
        <v/>
      </c>
      <c r="I3308">
        <f>MIN(F3308,H3308)</f>
        <v/>
      </c>
    </row>
    <row r="3309">
      <c r="A3309">
        <f>TEST_DATA!A3309</f>
        <v/>
      </c>
      <c r="B3309">
        <f>TEST_DATA!B3309</f>
        <v/>
      </c>
      <c r="C3309">
        <f>TEST_DATA!C3309</f>
        <v/>
      </c>
      <c r="D3309">
        <f>TEST_DATA!D3309</f>
        <v/>
      </c>
      <c r="E3309">
        <f>TEST_DATA!E3309</f>
        <v/>
      </c>
      <c r="F3309">
        <f>MIN(E3309*330900,10000)</f>
        <v/>
      </c>
      <c r="G3309">
        <f>MINIFS(CBIC_Late_Fee_Relief_Windows_3B!$O$3309:$O$100,CBIC_Late_Fee_Relief_Windows_3B!$D$3309:$D$100,"&lt;="&amp;B3309,CBIC_Late_Fee_Relief_Windows_3B!$E$3309:$E$100,"&gt;="&amp;B3309,CBIC_Late_Fee_Relief_Windows_3B!$F$3309:$F$100,"&lt;="&amp;C3309,CBIC_Late_Fee_Relief_Windows_3B!$G$3309:$G$100,"&gt;="&amp;C3309)</f>
        <v/>
      </c>
      <c r="H3309">
        <f>INDEX(CBIC_Late_Fee_Relief_Windows_3B!$I$3309:$I$100,MATCH(G3309,CBIC_Late_Fee_Relief_Windows_3B!$O$3309:$O$100,0))</f>
        <v/>
      </c>
      <c r="I3309">
        <f>MIN(F3309,H3309)</f>
        <v/>
      </c>
    </row>
    <row r="3310">
      <c r="A3310">
        <f>TEST_DATA!A3310</f>
        <v/>
      </c>
      <c r="B3310">
        <f>TEST_DATA!B3310</f>
        <v/>
      </c>
      <c r="C3310">
        <f>TEST_DATA!C3310</f>
        <v/>
      </c>
      <c r="D3310">
        <f>TEST_DATA!D3310</f>
        <v/>
      </c>
      <c r="E3310">
        <f>TEST_DATA!E3310</f>
        <v/>
      </c>
      <c r="F3310">
        <f>MIN(E3310*331000,10000)</f>
        <v/>
      </c>
      <c r="G3310">
        <f>MINIFS(CBIC_Late_Fee_Relief_Windows_3B!$O$3310:$O$100,CBIC_Late_Fee_Relief_Windows_3B!$D$3310:$D$100,"&lt;="&amp;B3310,CBIC_Late_Fee_Relief_Windows_3B!$E$3310:$E$100,"&gt;="&amp;B3310,CBIC_Late_Fee_Relief_Windows_3B!$F$3310:$F$100,"&lt;="&amp;C3310,CBIC_Late_Fee_Relief_Windows_3B!$G$3310:$G$100,"&gt;="&amp;C3310)</f>
        <v/>
      </c>
      <c r="H3310">
        <f>INDEX(CBIC_Late_Fee_Relief_Windows_3B!$I$3310:$I$100,MATCH(G3310,CBIC_Late_Fee_Relief_Windows_3B!$O$3310:$O$100,0))</f>
        <v/>
      </c>
      <c r="I3310">
        <f>MIN(F3310,H3310)</f>
        <v/>
      </c>
    </row>
    <row r="3311">
      <c r="A3311">
        <f>TEST_DATA!A3311</f>
        <v/>
      </c>
      <c r="B3311">
        <f>TEST_DATA!B3311</f>
        <v/>
      </c>
      <c r="C3311">
        <f>TEST_DATA!C3311</f>
        <v/>
      </c>
      <c r="D3311">
        <f>TEST_DATA!D3311</f>
        <v/>
      </c>
      <c r="E3311">
        <f>TEST_DATA!E3311</f>
        <v/>
      </c>
      <c r="F3311">
        <f>MIN(E3311*331100,10000)</f>
        <v/>
      </c>
      <c r="G3311">
        <f>MINIFS(CBIC_Late_Fee_Relief_Windows_3B!$O$3311:$O$100,CBIC_Late_Fee_Relief_Windows_3B!$D$3311:$D$100,"&lt;="&amp;B3311,CBIC_Late_Fee_Relief_Windows_3B!$E$3311:$E$100,"&gt;="&amp;B3311,CBIC_Late_Fee_Relief_Windows_3B!$F$3311:$F$100,"&lt;="&amp;C3311,CBIC_Late_Fee_Relief_Windows_3B!$G$3311:$G$100,"&gt;="&amp;C3311)</f>
        <v/>
      </c>
      <c r="H3311">
        <f>INDEX(CBIC_Late_Fee_Relief_Windows_3B!$I$3311:$I$100,MATCH(G3311,CBIC_Late_Fee_Relief_Windows_3B!$O$3311:$O$100,0))</f>
        <v/>
      </c>
      <c r="I3311">
        <f>MIN(F3311,H3311)</f>
        <v/>
      </c>
    </row>
    <row r="3312">
      <c r="A3312">
        <f>TEST_DATA!A3312</f>
        <v/>
      </c>
      <c r="B3312">
        <f>TEST_DATA!B3312</f>
        <v/>
      </c>
      <c r="C3312">
        <f>TEST_DATA!C3312</f>
        <v/>
      </c>
      <c r="D3312">
        <f>TEST_DATA!D3312</f>
        <v/>
      </c>
      <c r="E3312">
        <f>TEST_DATA!E3312</f>
        <v/>
      </c>
      <c r="F3312">
        <f>MIN(E3312*331200,10000)</f>
        <v/>
      </c>
      <c r="G3312">
        <f>MINIFS(CBIC_Late_Fee_Relief_Windows_3B!$O$3312:$O$100,CBIC_Late_Fee_Relief_Windows_3B!$D$3312:$D$100,"&lt;="&amp;B3312,CBIC_Late_Fee_Relief_Windows_3B!$E$3312:$E$100,"&gt;="&amp;B3312,CBIC_Late_Fee_Relief_Windows_3B!$F$3312:$F$100,"&lt;="&amp;C3312,CBIC_Late_Fee_Relief_Windows_3B!$G$3312:$G$100,"&gt;="&amp;C3312)</f>
        <v/>
      </c>
      <c r="H3312">
        <f>INDEX(CBIC_Late_Fee_Relief_Windows_3B!$I$3312:$I$100,MATCH(G3312,CBIC_Late_Fee_Relief_Windows_3B!$O$3312:$O$100,0))</f>
        <v/>
      </c>
      <c r="I3312">
        <f>MIN(F3312,H3312)</f>
        <v/>
      </c>
    </row>
    <row r="3313">
      <c r="A3313">
        <f>TEST_DATA!A3313</f>
        <v/>
      </c>
      <c r="B3313">
        <f>TEST_DATA!B3313</f>
        <v/>
      </c>
      <c r="C3313">
        <f>TEST_DATA!C3313</f>
        <v/>
      </c>
      <c r="D3313">
        <f>TEST_DATA!D3313</f>
        <v/>
      </c>
      <c r="E3313">
        <f>TEST_DATA!E3313</f>
        <v/>
      </c>
      <c r="F3313">
        <f>MIN(E3313*331300,10000)</f>
        <v/>
      </c>
      <c r="G3313">
        <f>MINIFS(CBIC_Late_Fee_Relief_Windows_3B!$O$3313:$O$100,CBIC_Late_Fee_Relief_Windows_3B!$D$3313:$D$100,"&lt;="&amp;B3313,CBIC_Late_Fee_Relief_Windows_3B!$E$3313:$E$100,"&gt;="&amp;B3313,CBIC_Late_Fee_Relief_Windows_3B!$F$3313:$F$100,"&lt;="&amp;C3313,CBIC_Late_Fee_Relief_Windows_3B!$G$3313:$G$100,"&gt;="&amp;C3313)</f>
        <v/>
      </c>
      <c r="H3313">
        <f>INDEX(CBIC_Late_Fee_Relief_Windows_3B!$I$3313:$I$100,MATCH(G3313,CBIC_Late_Fee_Relief_Windows_3B!$O$3313:$O$100,0))</f>
        <v/>
      </c>
      <c r="I3313">
        <f>MIN(F3313,H3313)</f>
        <v/>
      </c>
    </row>
    <row r="3314">
      <c r="A3314">
        <f>TEST_DATA!A3314</f>
        <v/>
      </c>
      <c r="B3314">
        <f>TEST_DATA!B3314</f>
        <v/>
      </c>
      <c r="C3314">
        <f>TEST_DATA!C3314</f>
        <v/>
      </c>
      <c r="D3314">
        <f>TEST_DATA!D3314</f>
        <v/>
      </c>
      <c r="E3314">
        <f>TEST_DATA!E3314</f>
        <v/>
      </c>
      <c r="F3314">
        <f>MIN(E3314*331400,10000)</f>
        <v/>
      </c>
      <c r="G3314">
        <f>MINIFS(CBIC_Late_Fee_Relief_Windows_3B!$O$3314:$O$100,CBIC_Late_Fee_Relief_Windows_3B!$D$3314:$D$100,"&lt;="&amp;B3314,CBIC_Late_Fee_Relief_Windows_3B!$E$3314:$E$100,"&gt;="&amp;B3314,CBIC_Late_Fee_Relief_Windows_3B!$F$3314:$F$100,"&lt;="&amp;C3314,CBIC_Late_Fee_Relief_Windows_3B!$G$3314:$G$100,"&gt;="&amp;C3314)</f>
        <v/>
      </c>
      <c r="H3314">
        <f>INDEX(CBIC_Late_Fee_Relief_Windows_3B!$I$3314:$I$100,MATCH(G3314,CBIC_Late_Fee_Relief_Windows_3B!$O$3314:$O$100,0))</f>
        <v/>
      </c>
      <c r="I3314">
        <f>MIN(F3314,H3314)</f>
        <v/>
      </c>
    </row>
    <row r="3315">
      <c r="A3315">
        <f>TEST_DATA!A3315</f>
        <v/>
      </c>
      <c r="B3315">
        <f>TEST_DATA!B3315</f>
        <v/>
      </c>
      <c r="C3315">
        <f>TEST_DATA!C3315</f>
        <v/>
      </c>
      <c r="D3315">
        <f>TEST_DATA!D3315</f>
        <v/>
      </c>
      <c r="E3315">
        <f>TEST_DATA!E3315</f>
        <v/>
      </c>
      <c r="F3315">
        <f>MIN(E3315*331500,10000)</f>
        <v/>
      </c>
      <c r="G3315">
        <f>MINIFS(CBIC_Late_Fee_Relief_Windows_3B!$O$3315:$O$100,CBIC_Late_Fee_Relief_Windows_3B!$D$3315:$D$100,"&lt;="&amp;B3315,CBIC_Late_Fee_Relief_Windows_3B!$E$3315:$E$100,"&gt;="&amp;B3315,CBIC_Late_Fee_Relief_Windows_3B!$F$3315:$F$100,"&lt;="&amp;C3315,CBIC_Late_Fee_Relief_Windows_3B!$G$3315:$G$100,"&gt;="&amp;C3315)</f>
        <v/>
      </c>
      <c r="H3315">
        <f>INDEX(CBIC_Late_Fee_Relief_Windows_3B!$I$3315:$I$100,MATCH(G3315,CBIC_Late_Fee_Relief_Windows_3B!$O$3315:$O$100,0))</f>
        <v/>
      </c>
      <c r="I3315">
        <f>MIN(F3315,H3315)</f>
        <v/>
      </c>
    </row>
    <row r="3316">
      <c r="A3316">
        <f>TEST_DATA!A3316</f>
        <v/>
      </c>
      <c r="B3316">
        <f>TEST_DATA!B3316</f>
        <v/>
      </c>
      <c r="C3316">
        <f>TEST_DATA!C3316</f>
        <v/>
      </c>
      <c r="D3316">
        <f>TEST_DATA!D3316</f>
        <v/>
      </c>
      <c r="E3316">
        <f>TEST_DATA!E3316</f>
        <v/>
      </c>
      <c r="F3316">
        <f>MIN(E3316*331600,10000)</f>
        <v/>
      </c>
      <c r="G3316">
        <f>MINIFS(CBIC_Late_Fee_Relief_Windows_3B!$O$3316:$O$100,CBIC_Late_Fee_Relief_Windows_3B!$D$3316:$D$100,"&lt;="&amp;B3316,CBIC_Late_Fee_Relief_Windows_3B!$E$3316:$E$100,"&gt;="&amp;B3316,CBIC_Late_Fee_Relief_Windows_3B!$F$3316:$F$100,"&lt;="&amp;C3316,CBIC_Late_Fee_Relief_Windows_3B!$G$3316:$G$100,"&gt;="&amp;C3316)</f>
        <v/>
      </c>
      <c r="H3316">
        <f>INDEX(CBIC_Late_Fee_Relief_Windows_3B!$I$3316:$I$100,MATCH(G3316,CBIC_Late_Fee_Relief_Windows_3B!$O$3316:$O$100,0))</f>
        <v/>
      </c>
      <c r="I3316">
        <f>MIN(F3316,H3316)</f>
        <v/>
      </c>
    </row>
    <row r="3317">
      <c r="A3317">
        <f>TEST_DATA!A3317</f>
        <v/>
      </c>
      <c r="B3317">
        <f>TEST_DATA!B3317</f>
        <v/>
      </c>
      <c r="C3317">
        <f>TEST_DATA!C3317</f>
        <v/>
      </c>
      <c r="D3317">
        <f>TEST_DATA!D3317</f>
        <v/>
      </c>
      <c r="E3317">
        <f>TEST_DATA!E3317</f>
        <v/>
      </c>
      <c r="F3317">
        <f>MIN(E3317*331700,10000)</f>
        <v/>
      </c>
      <c r="G3317">
        <f>MINIFS(CBIC_Late_Fee_Relief_Windows_3B!$O$3317:$O$100,CBIC_Late_Fee_Relief_Windows_3B!$D$3317:$D$100,"&lt;="&amp;B3317,CBIC_Late_Fee_Relief_Windows_3B!$E$3317:$E$100,"&gt;="&amp;B3317,CBIC_Late_Fee_Relief_Windows_3B!$F$3317:$F$100,"&lt;="&amp;C3317,CBIC_Late_Fee_Relief_Windows_3B!$G$3317:$G$100,"&gt;="&amp;C3317)</f>
        <v/>
      </c>
      <c r="H3317">
        <f>INDEX(CBIC_Late_Fee_Relief_Windows_3B!$I$3317:$I$100,MATCH(G3317,CBIC_Late_Fee_Relief_Windows_3B!$O$3317:$O$100,0))</f>
        <v/>
      </c>
      <c r="I3317">
        <f>MIN(F3317,H3317)</f>
        <v/>
      </c>
    </row>
    <row r="3318">
      <c r="A3318">
        <f>TEST_DATA!A3318</f>
        <v/>
      </c>
      <c r="B3318">
        <f>TEST_DATA!B3318</f>
        <v/>
      </c>
      <c r="C3318">
        <f>TEST_DATA!C3318</f>
        <v/>
      </c>
      <c r="D3318">
        <f>TEST_DATA!D3318</f>
        <v/>
      </c>
      <c r="E3318">
        <f>TEST_DATA!E3318</f>
        <v/>
      </c>
      <c r="F3318">
        <f>MIN(E3318*331800,10000)</f>
        <v/>
      </c>
      <c r="G3318">
        <f>MINIFS(CBIC_Late_Fee_Relief_Windows_3B!$O$3318:$O$100,CBIC_Late_Fee_Relief_Windows_3B!$D$3318:$D$100,"&lt;="&amp;B3318,CBIC_Late_Fee_Relief_Windows_3B!$E$3318:$E$100,"&gt;="&amp;B3318,CBIC_Late_Fee_Relief_Windows_3B!$F$3318:$F$100,"&lt;="&amp;C3318,CBIC_Late_Fee_Relief_Windows_3B!$G$3318:$G$100,"&gt;="&amp;C3318)</f>
        <v/>
      </c>
      <c r="H3318">
        <f>INDEX(CBIC_Late_Fee_Relief_Windows_3B!$I$3318:$I$100,MATCH(G3318,CBIC_Late_Fee_Relief_Windows_3B!$O$3318:$O$100,0))</f>
        <v/>
      </c>
      <c r="I3318">
        <f>MIN(F3318,H3318)</f>
        <v/>
      </c>
    </row>
    <row r="3319">
      <c r="A3319">
        <f>TEST_DATA!A3319</f>
        <v/>
      </c>
      <c r="B3319">
        <f>TEST_DATA!B3319</f>
        <v/>
      </c>
      <c r="C3319">
        <f>TEST_DATA!C3319</f>
        <v/>
      </c>
      <c r="D3319">
        <f>TEST_DATA!D3319</f>
        <v/>
      </c>
      <c r="E3319">
        <f>TEST_DATA!E3319</f>
        <v/>
      </c>
      <c r="F3319">
        <f>MIN(E3319*331900,10000)</f>
        <v/>
      </c>
      <c r="G3319">
        <f>MINIFS(CBIC_Late_Fee_Relief_Windows_3B!$O$3319:$O$100,CBIC_Late_Fee_Relief_Windows_3B!$D$3319:$D$100,"&lt;="&amp;B3319,CBIC_Late_Fee_Relief_Windows_3B!$E$3319:$E$100,"&gt;="&amp;B3319,CBIC_Late_Fee_Relief_Windows_3B!$F$3319:$F$100,"&lt;="&amp;C3319,CBIC_Late_Fee_Relief_Windows_3B!$G$3319:$G$100,"&gt;="&amp;C3319)</f>
        <v/>
      </c>
      <c r="H3319">
        <f>INDEX(CBIC_Late_Fee_Relief_Windows_3B!$I$3319:$I$100,MATCH(G3319,CBIC_Late_Fee_Relief_Windows_3B!$O$3319:$O$100,0))</f>
        <v/>
      </c>
      <c r="I3319">
        <f>MIN(F3319,H3319)</f>
        <v/>
      </c>
    </row>
    <row r="3320">
      <c r="A3320">
        <f>TEST_DATA!A3320</f>
        <v/>
      </c>
      <c r="B3320">
        <f>TEST_DATA!B3320</f>
        <v/>
      </c>
      <c r="C3320">
        <f>TEST_DATA!C3320</f>
        <v/>
      </c>
      <c r="D3320">
        <f>TEST_DATA!D3320</f>
        <v/>
      </c>
      <c r="E3320">
        <f>TEST_DATA!E3320</f>
        <v/>
      </c>
      <c r="F3320">
        <f>MIN(E3320*332000,10000)</f>
        <v/>
      </c>
      <c r="G3320">
        <f>MINIFS(CBIC_Late_Fee_Relief_Windows_3B!$O$3320:$O$100,CBIC_Late_Fee_Relief_Windows_3B!$D$3320:$D$100,"&lt;="&amp;B3320,CBIC_Late_Fee_Relief_Windows_3B!$E$3320:$E$100,"&gt;="&amp;B3320,CBIC_Late_Fee_Relief_Windows_3B!$F$3320:$F$100,"&lt;="&amp;C3320,CBIC_Late_Fee_Relief_Windows_3B!$G$3320:$G$100,"&gt;="&amp;C3320)</f>
        <v/>
      </c>
      <c r="H3320">
        <f>INDEX(CBIC_Late_Fee_Relief_Windows_3B!$I$3320:$I$100,MATCH(G3320,CBIC_Late_Fee_Relief_Windows_3B!$O$3320:$O$100,0))</f>
        <v/>
      </c>
      <c r="I3320">
        <f>MIN(F3320,H3320)</f>
        <v/>
      </c>
    </row>
    <row r="3321">
      <c r="A3321">
        <f>TEST_DATA!A3321</f>
        <v/>
      </c>
      <c r="B3321">
        <f>TEST_DATA!B3321</f>
        <v/>
      </c>
      <c r="C3321">
        <f>TEST_DATA!C3321</f>
        <v/>
      </c>
      <c r="D3321">
        <f>TEST_DATA!D3321</f>
        <v/>
      </c>
      <c r="E3321">
        <f>TEST_DATA!E3321</f>
        <v/>
      </c>
      <c r="F3321">
        <f>MIN(E3321*332100,10000)</f>
        <v/>
      </c>
      <c r="G3321">
        <f>MINIFS(CBIC_Late_Fee_Relief_Windows_3B!$O$3321:$O$100,CBIC_Late_Fee_Relief_Windows_3B!$D$3321:$D$100,"&lt;="&amp;B3321,CBIC_Late_Fee_Relief_Windows_3B!$E$3321:$E$100,"&gt;="&amp;B3321,CBIC_Late_Fee_Relief_Windows_3B!$F$3321:$F$100,"&lt;="&amp;C3321,CBIC_Late_Fee_Relief_Windows_3B!$G$3321:$G$100,"&gt;="&amp;C3321)</f>
        <v/>
      </c>
      <c r="H3321">
        <f>INDEX(CBIC_Late_Fee_Relief_Windows_3B!$I$3321:$I$100,MATCH(G3321,CBIC_Late_Fee_Relief_Windows_3B!$O$3321:$O$100,0))</f>
        <v/>
      </c>
      <c r="I3321">
        <f>MIN(F3321,H3321)</f>
        <v/>
      </c>
    </row>
    <row r="3322">
      <c r="A3322">
        <f>TEST_DATA!A3322</f>
        <v/>
      </c>
      <c r="B3322">
        <f>TEST_DATA!B3322</f>
        <v/>
      </c>
      <c r="C3322">
        <f>TEST_DATA!C3322</f>
        <v/>
      </c>
      <c r="D3322">
        <f>TEST_DATA!D3322</f>
        <v/>
      </c>
      <c r="E3322">
        <f>TEST_DATA!E3322</f>
        <v/>
      </c>
      <c r="F3322">
        <f>MIN(E3322*332200,10000)</f>
        <v/>
      </c>
      <c r="G3322">
        <f>MINIFS(CBIC_Late_Fee_Relief_Windows_3B!$O$3322:$O$100,CBIC_Late_Fee_Relief_Windows_3B!$D$3322:$D$100,"&lt;="&amp;B3322,CBIC_Late_Fee_Relief_Windows_3B!$E$3322:$E$100,"&gt;="&amp;B3322,CBIC_Late_Fee_Relief_Windows_3B!$F$3322:$F$100,"&lt;="&amp;C3322,CBIC_Late_Fee_Relief_Windows_3B!$G$3322:$G$100,"&gt;="&amp;C3322)</f>
        <v/>
      </c>
      <c r="H3322">
        <f>INDEX(CBIC_Late_Fee_Relief_Windows_3B!$I$3322:$I$100,MATCH(G3322,CBIC_Late_Fee_Relief_Windows_3B!$O$3322:$O$100,0))</f>
        <v/>
      </c>
      <c r="I3322">
        <f>MIN(F3322,H3322)</f>
        <v/>
      </c>
    </row>
    <row r="3323">
      <c r="A3323">
        <f>TEST_DATA!A3323</f>
        <v/>
      </c>
      <c r="B3323">
        <f>TEST_DATA!B3323</f>
        <v/>
      </c>
      <c r="C3323">
        <f>TEST_DATA!C3323</f>
        <v/>
      </c>
      <c r="D3323">
        <f>TEST_DATA!D3323</f>
        <v/>
      </c>
      <c r="E3323">
        <f>TEST_DATA!E3323</f>
        <v/>
      </c>
      <c r="F3323">
        <f>MIN(E3323*332300,10000)</f>
        <v/>
      </c>
      <c r="G3323">
        <f>MINIFS(CBIC_Late_Fee_Relief_Windows_3B!$O$3323:$O$100,CBIC_Late_Fee_Relief_Windows_3B!$D$3323:$D$100,"&lt;="&amp;B3323,CBIC_Late_Fee_Relief_Windows_3B!$E$3323:$E$100,"&gt;="&amp;B3323,CBIC_Late_Fee_Relief_Windows_3B!$F$3323:$F$100,"&lt;="&amp;C3323,CBIC_Late_Fee_Relief_Windows_3B!$G$3323:$G$100,"&gt;="&amp;C3323)</f>
        <v/>
      </c>
      <c r="H3323">
        <f>INDEX(CBIC_Late_Fee_Relief_Windows_3B!$I$3323:$I$100,MATCH(G3323,CBIC_Late_Fee_Relief_Windows_3B!$O$3323:$O$100,0))</f>
        <v/>
      </c>
      <c r="I3323">
        <f>MIN(F3323,H3323)</f>
        <v/>
      </c>
    </row>
    <row r="3324">
      <c r="A3324">
        <f>TEST_DATA!A3324</f>
        <v/>
      </c>
      <c r="B3324">
        <f>TEST_DATA!B3324</f>
        <v/>
      </c>
      <c r="C3324">
        <f>TEST_DATA!C3324</f>
        <v/>
      </c>
      <c r="D3324">
        <f>TEST_DATA!D3324</f>
        <v/>
      </c>
      <c r="E3324">
        <f>TEST_DATA!E3324</f>
        <v/>
      </c>
      <c r="F3324">
        <f>MIN(E3324*332400,10000)</f>
        <v/>
      </c>
      <c r="G3324">
        <f>MINIFS(CBIC_Late_Fee_Relief_Windows_3B!$O$3324:$O$100,CBIC_Late_Fee_Relief_Windows_3B!$D$3324:$D$100,"&lt;="&amp;B3324,CBIC_Late_Fee_Relief_Windows_3B!$E$3324:$E$100,"&gt;="&amp;B3324,CBIC_Late_Fee_Relief_Windows_3B!$F$3324:$F$100,"&lt;="&amp;C3324,CBIC_Late_Fee_Relief_Windows_3B!$G$3324:$G$100,"&gt;="&amp;C3324)</f>
        <v/>
      </c>
      <c r="H3324">
        <f>INDEX(CBIC_Late_Fee_Relief_Windows_3B!$I$3324:$I$100,MATCH(G3324,CBIC_Late_Fee_Relief_Windows_3B!$O$3324:$O$100,0))</f>
        <v/>
      </c>
      <c r="I3324">
        <f>MIN(F3324,H3324)</f>
        <v/>
      </c>
    </row>
    <row r="3325">
      <c r="A3325">
        <f>TEST_DATA!A3325</f>
        <v/>
      </c>
      <c r="B3325">
        <f>TEST_DATA!B3325</f>
        <v/>
      </c>
      <c r="C3325">
        <f>TEST_DATA!C3325</f>
        <v/>
      </c>
      <c r="D3325">
        <f>TEST_DATA!D3325</f>
        <v/>
      </c>
      <c r="E3325">
        <f>TEST_DATA!E3325</f>
        <v/>
      </c>
      <c r="F3325">
        <f>MIN(E3325*332500,10000)</f>
        <v/>
      </c>
      <c r="G3325">
        <f>MINIFS(CBIC_Late_Fee_Relief_Windows_3B!$O$3325:$O$100,CBIC_Late_Fee_Relief_Windows_3B!$D$3325:$D$100,"&lt;="&amp;B3325,CBIC_Late_Fee_Relief_Windows_3B!$E$3325:$E$100,"&gt;="&amp;B3325,CBIC_Late_Fee_Relief_Windows_3B!$F$3325:$F$100,"&lt;="&amp;C3325,CBIC_Late_Fee_Relief_Windows_3B!$G$3325:$G$100,"&gt;="&amp;C3325)</f>
        <v/>
      </c>
      <c r="H3325">
        <f>INDEX(CBIC_Late_Fee_Relief_Windows_3B!$I$3325:$I$100,MATCH(G3325,CBIC_Late_Fee_Relief_Windows_3B!$O$3325:$O$100,0))</f>
        <v/>
      </c>
      <c r="I3325">
        <f>MIN(F3325,H3325)</f>
        <v/>
      </c>
    </row>
    <row r="3326">
      <c r="A3326">
        <f>TEST_DATA!A3326</f>
        <v/>
      </c>
      <c r="B3326">
        <f>TEST_DATA!B3326</f>
        <v/>
      </c>
      <c r="C3326">
        <f>TEST_DATA!C3326</f>
        <v/>
      </c>
      <c r="D3326">
        <f>TEST_DATA!D3326</f>
        <v/>
      </c>
      <c r="E3326">
        <f>TEST_DATA!E3326</f>
        <v/>
      </c>
      <c r="F3326">
        <f>MIN(E3326*332600,10000)</f>
        <v/>
      </c>
      <c r="G3326">
        <f>MINIFS(CBIC_Late_Fee_Relief_Windows_3B!$O$3326:$O$100,CBIC_Late_Fee_Relief_Windows_3B!$D$3326:$D$100,"&lt;="&amp;B3326,CBIC_Late_Fee_Relief_Windows_3B!$E$3326:$E$100,"&gt;="&amp;B3326,CBIC_Late_Fee_Relief_Windows_3B!$F$3326:$F$100,"&lt;="&amp;C3326,CBIC_Late_Fee_Relief_Windows_3B!$G$3326:$G$100,"&gt;="&amp;C3326)</f>
        <v/>
      </c>
      <c r="H3326">
        <f>INDEX(CBIC_Late_Fee_Relief_Windows_3B!$I$3326:$I$100,MATCH(G3326,CBIC_Late_Fee_Relief_Windows_3B!$O$3326:$O$100,0))</f>
        <v/>
      </c>
      <c r="I3326">
        <f>MIN(F3326,H3326)</f>
        <v/>
      </c>
    </row>
    <row r="3327">
      <c r="A3327">
        <f>TEST_DATA!A3327</f>
        <v/>
      </c>
      <c r="B3327">
        <f>TEST_DATA!B3327</f>
        <v/>
      </c>
      <c r="C3327">
        <f>TEST_DATA!C3327</f>
        <v/>
      </c>
      <c r="D3327">
        <f>TEST_DATA!D3327</f>
        <v/>
      </c>
      <c r="E3327">
        <f>TEST_DATA!E3327</f>
        <v/>
      </c>
      <c r="F3327">
        <f>MIN(E3327*332700,10000)</f>
        <v/>
      </c>
      <c r="G3327">
        <f>MINIFS(CBIC_Late_Fee_Relief_Windows_3B!$O$3327:$O$100,CBIC_Late_Fee_Relief_Windows_3B!$D$3327:$D$100,"&lt;="&amp;B3327,CBIC_Late_Fee_Relief_Windows_3B!$E$3327:$E$100,"&gt;="&amp;B3327,CBIC_Late_Fee_Relief_Windows_3B!$F$3327:$F$100,"&lt;="&amp;C3327,CBIC_Late_Fee_Relief_Windows_3B!$G$3327:$G$100,"&gt;="&amp;C3327)</f>
        <v/>
      </c>
      <c r="H3327">
        <f>INDEX(CBIC_Late_Fee_Relief_Windows_3B!$I$3327:$I$100,MATCH(G3327,CBIC_Late_Fee_Relief_Windows_3B!$O$3327:$O$100,0))</f>
        <v/>
      </c>
      <c r="I3327">
        <f>MIN(F3327,H3327)</f>
        <v/>
      </c>
    </row>
    <row r="3328">
      <c r="A3328">
        <f>TEST_DATA!A3328</f>
        <v/>
      </c>
      <c r="B3328">
        <f>TEST_DATA!B3328</f>
        <v/>
      </c>
      <c r="C3328">
        <f>TEST_DATA!C3328</f>
        <v/>
      </c>
      <c r="D3328">
        <f>TEST_DATA!D3328</f>
        <v/>
      </c>
      <c r="E3328">
        <f>TEST_DATA!E3328</f>
        <v/>
      </c>
      <c r="F3328">
        <f>MIN(E3328*332800,10000)</f>
        <v/>
      </c>
      <c r="G3328">
        <f>MINIFS(CBIC_Late_Fee_Relief_Windows_3B!$O$3328:$O$100,CBIC_Late_Fee_Relief_Windows_3B!$D$3328:$D$100,"&lt;="&amp;B3328,CBIC_Late_Fee_Relief_Windows_3B!$E$3328:$E$100,"&gt;="&amp;B3328,CBIC_Late_Fee_Relief_Windows_3B!$F$3328:$F$100,"&lt;="&amp;C3328,CBIC_Late_Fee_Relief_Windows_3B!$G$3328:$G$100,"&gt;="&amp;C3328)</f>
        <v/>
      </c>
      <c r="H3328">
        <f>INDEX(CBIC_Late_Fee_Relief_Windows_3B!$I$3328:$I$100,MATCH(G3328,CBIC_Late_Fee_Relief_Windows_3B!$O$3328:$O$100,0))</f>
        <v/>
      </c>
      <c r="I3328">
        <f>MIN(F3328,H3328)</f>
        <v/>
      </c>
    </row>
    <row r="3329">
      <c r="A3329">
        <f>TEST_DATA!A3329</f>
        <v/>
      </c>
      <c r="B3329">
        <f>TEST_DATA!B3329</f>
        <v/>
      </c>
      <c r="C3329">
        <f>TEST_DATA!C3329</f>
        <v/>
      </c>
      <c r="D3329">
        <f>TEST_DATA!D3329</f>
        <v/>
      </c>
      <c r="E3329">
        <f>TEST_DATA!E3329</f>
        <v/>
      </c>
      <c r="F3329">
        <f>MIN(E3329*332900,10000)</f>
        <v/>
      </c>
      <c r="G3329">
        <f>MINIFS(CBIC_Late_Fee_Relief_Windows_3B!$O$3329:$O$100,CBIC_Late_Fee_Relief_Windows_3B!$D$3329:$D$100,"&lt;="&amp;B3329,CBIC_Late_Fee_Relief_Windows_3B!$E$3329:$E$100,"&gt;="&amp;B3329,CBIC_Late_Fee_Relief_Windows_3B!$F$3329:$F$100,"&lt;="&amp;C3329,CBIC_Late_Fee_Relief_Windows_3B!$G$3329:$G$100,"&gt;="&amp;C3329)</f>
        <v/>
      </c>
      <c r="H3329">
        <f>INDEX(CBIC_Late_Fee_Relief_Windows_3B!$I$3329:$I$100,MATCH(G3329,CBIC_Late_Fee_Relief_Windows_3B!$O$3329:$O$100,0))</f>
        <v/>
      </c>
      <c r="I3329">
        <f>MIN(F3329,H3329)</f>
        <v/>
      </c>
    </row>
    <row r="3330">
      <c r="A3330">
        <f>TEST_DATA!A3330</f>
        <v/>
      </c>
      <c r="B3330">
        <f>TEST_DATA!B3330</f>
        <v/>
      </c>
      <c r="C3330">
        <f>TEST_DATA!C3330</f>
        <v/>
      </c>
      <c r="D3330">
        <f>TEST_DATA!D3330</f>
        <v/>
      </c>
      <c r="E3330">
        <f>TEST_DATA!E3330</f>
        <v/>
      </c>
      <c r="F3330">
        <f>MIN(E3330*333000,10000)</f>
        <v/>
      </c>
      <c r="G3330">
        <f>MINIFS(CBIC_Late_Fee_Relief_Windows_3B!$O$3330:$O$100,CBIC_Late_Fee_Relief_Windows_3B!$D$3330:$D$100,"&lt;="&amp;B3330,CBIC_Late_Fee_Relief_Windows_3B!$E$3330:$E$100,"&gt;="&amp;B3330,CBIC_Late_Fee_Relief_Windows_3B!$F$3330:$F$100,"&lt;="&amp;C3330,CBIC_Late_Fee_Relief_Windows_3B!$G$3330:$G$100,"&gt;="&amp;C3330)</f>
        <v/>
      </c>
      <c r="H3330">
        <f>INDEX(CBIC_Late_Fee_Relief_Windows_3B!$I$3330:$I$100,MATCH(G3330,CBIC_Late_Fee_Relief_Windows_3B!$O$3330:$O$100,0))</f>
        <v/>
      </c>
      <c r="I3330">
        <f>MIN(F3330,H3330)</f>
        <v/>
      </c>
    </row>
    <row r="3331">
      <c r="A3331">
        <f>TEST_DATA!A3331</f>
        <v/>
      </c>
      <c r="B3331">
        <f>TEST_DATA!B3331</f>
        <v/>
      </c>
      <c r="C3331">
        <f>TEST_DATA!C3331</f>
        <v/>
      </c>
      <c r="D3331">
        <f>TEST_DATA!D3331</f>
        <v/>
      </c>
      <c r="E3331">
        <f>TEST_DATA!E3331</f>
        <v/>
      </c>
      <c r="F3331">
        <f>MIN(E3331*333100,10000)</f>
        <v/>
      </c>
      <c r="G3331">
        <f>MINIFS(CBIC_Late_Fee_Relief_Windows_3B!$O$3331:$O$100,CBIC_Late_Fee_Relief_Windows_3B!$D$3331:$D$100,"&lt;="&amp;B3331,CBIC_Late_Fee_Relief_Windows_3B!$E$3331:$E$100,"&gt;="&amp;B3331,CBIC_Late_Fee_Relief_Windows_3B!$F$3331:$F$100,"&lt;="&amp;C3331,CBIC_Late_Fee_Relief_Windows_3B!$G$3331:$G$100,"&gt;="&amp;C3331)</f>
        <v/>
      </c>
      <c r="H3331">
        <f>INDEX(CBIC_Late_Fee_Relief_Windows_3B!$I$3331:$I$100,MATCH(G3331,CBIC_Late_Fee_Relief_Windows_3B!$O$3331:$O$100,0))</f>
        <v/>
      </c>
      <c r="I3331">
        <f>MIN(F3331,H3331)</f>
        <v/>
      </c>
    </row>
    <row r="3332">
      <c r="A3332">
        <f>TEST_DATA!A3332</f>
        <v/>
      </c>
      <c r="B3332">
        <f>TEST_DATA!B3332</f>
        <v/>
      </c>
      <c r="C3332">
        <f>TEST_DATA!C3332</f>
        <v/>
      </c>
      <c r="D3332">
        <f>TEST_DATA!D3332</f>
        <v/>
      </c>
      <c r="E3332">
        <f>TEST_DATA!E3332</f>
        <v/>
      </c>
      <c r="F3332">
        <f>MIN(E3332*333200,10000)</f>
        <v/>
      </c>
      <c r="G3332">
        <f>MINIFS(CBIC_Late_Fee_Relief_Windows_3B!$O$3332:$O$100,CBIC_Late_Fee_Relief_Windows_3B!$D$3332:$D$100,"&lt;="&amp;B3332,CBIC_Late_Fee_Relief_Windows_3B!$E$3332:$E$100,"&gt;="&amp;B3332,CBIC_Late_Fee_Relief_Windows_3B!$F$3332:$F$100,"&lt;="&amp;C3332,CBIC_Late_Fee_Relief_Windows_3B!$G$3332:$G$100,"&gt;="&amp;C3332)</f>
        <v/>
      </c>
      <c r="H3332">
        <f>INDEX(CBIC_Late_Fee_Relief_Windows_3B!$I$3332:$I$100,MATCH(G3332,CBIC_Late_Fee_Relief_Windows_3B!$O$3332:$O$100,0))</f>
        <v/>
      </c>
      <c r="I3332">
        <f>MIN(F3332,H3332)</f>
        <v/>
      </c>
    </row>
    <row r="3333">
      <c r="A3333">
        <f>TEST_DATA!A3333</f>
        <v/>
      </c>
      <c r="B3333">
        <f>TEST_DATA!B3333</f>
        <v/>
      </c>
      <c r="C3333">
        <f>TEST_DATA!C3333</f>
        <v/>
      </c>
      <c r="D3333">
        <f>TEST_DATA!D3333</f>
        <v/>
      </c>
      <c r="E3333">
        <f>TEST_DATA!E3333</f>
        <v/>
      </c>
      <c r="F3333">
        <f>MIN(E3333*333300,10000)</f>
        <v/>
      </c>
      <c r="G3333">
        <f>MINIFS(CBIC_Late_Fee_Relief_Windows_3B!$O$3333:$O$100,CBIC_Late_Fee_Relief_Windows_3B!$D$3333:$D$100,"&lt;="&amp;B3333,CBIC_Late_Fee_Relief_Windows_3B!$E$3333:$E$100,"&gt;="&amp;B3333,CBIC_Late_Fee_Relief_Windows_3B!$F$3333:$F$100,"&lt;="&amp;C3333,CBIC_Late_Fee_Relief_Windows_3B!$G$3333:$G$100,"&gt;="&amp;C3333)</f>
        <v/>
      </c>
      <c r="H3333">
        <f>INDEX(CBIC_Late_Fee_Relief_Windows_3B!$I$3333:$I$100,MATCH(G3333,CBIC_Late_Fee_Relief_Windows_3B!$O$3333:$O$100,0))</f>
        <v/>
      </c>
      <c r="I3333">
        <f>MIN(F3333,H3333)</f>
        <v/>
      </c>
    </row>
    <row r="3334">
      <c r="A3334">
        <f>TEST_DATA!A3334</f>
        <v/>
      </c>
      <c r="B3334">
        <f>TEST_DATA!B3334</f>
        <v/>
      </c>
      <c r="C3334">
        <f>TEST_DATA!C3334</f>
        <v/>
      </c>
      <c r="D3334">
        <f>TEST_DATA!D3334</f>
        <v/>
      </c>
      <c r="E3334">
        <f>TEST_DATA!E3334</f>
        <v/>
      </c>
      <c r="F3334">
        <f>MIN(E3334*333400,10000)</f>
        <v/>
      </c>
      <c r="G3334">
        <f>MINIFS(CBIC_Late_Fee_Relief_Windows_3B!$O$3334:$O$100,CBIC_Late_Fee_Relief_Windows_3B!$D$3334:$D$100,"&lt;="&amp;B3334,CBIC_Late_Fee_Relief_Windows_3B!$E$3334:$E$100,"&gt;="&amp;B3334,CBIC_Late_Fee_Relief_Windows_3B!$F$3334:$F$100,"&lt;="&amp;C3334,CBIC_Late_Fee_Relief_Windows_3B!$G$3334:$G$100,"&gt;="&amp;C3334)</f>
        <v/>
      </c>
      <c r="H3334">
        <f>INDEX(CBIC_Late_Fee_Relief_Windows_3B!$I$3334:$I$100,MATCH(G3334,CBIC_Late_Fee_Relief_Windows_3B!$O$3334:$O$100,0))</f>
        <v/>
      </c>
      <c r="I3334">
        <f>MIN(F3334,H3334)</f>
        <v/>
      </c>
    </row>
    <row r="3335">
      <c r="A3335">
        <f>TEST_DATA!A3335</f>
        <v/>
      </c>
      <c r="B3335">
        <f>TEST_DATA!B3335</f>
        <v/>
      </c>
      <c r="C3335">
        <f>TEST_DATA!C3335</f>
        <v/>
      </c>
      <c r="D3335">
        <f>TEST_DATA!D3335</f>
        <v/>
      </c>
      <c r="E3335">
        <f>TEST_DATA!E3335</f>
        <v/>
      </c>
      <c r="F3335">
        <f>MIN(E3335*333500,10000)</f>
        <v/>
      </c>
      <c r="G3335">
        <f>MINIFS(CBIC_Late_Fee_Relief_Windows_3B!$O$3335:$O$100,CBIC_Late_Fee_Relief_Windows_3B!$D$3335:$D$100,"&lt;="&amp;B3335,CBIC_Late_Fee_Relief_Windows_3B!$E$3335:$E$100,"&gt;="&amp;B3335,CBIC_Late_Fee_Relief_Windows_3B!$F$3335:$F$100,"&lt;="&amp;C3335,CBIC_Late_Fee_Relief_Windows_3B!$G$3335:$G$100,"&gt;="&amp;C3335)</f>
        <v/>
      </c>
      <c r="H3335">
        <f>INDEX(CBIC_Late_Fee_Relief_Windows_3B!$I$3335:$I$100,MATCH(G3335,CBIC_Late_Fee_Relief_Windows_3B!$O$3335:$O$100,0))</f>
        <v/>
      </c>
      <c r="I3335">
        <f>MIN(F3335,H3335)</f>
        <v/>
      </c>
    </row>
    <row r="3336">
      <c r="A3336">
        <f>TEST_DATA!A3336</f>
        <v/>
      </c>
      <c r="B3336">
        <f>TEST_DATA!B3336</f>
        <v/>
      </c>
      <c r="C3336">
        <f>TEST_DATA!C3336</f>
        <v/>
      </c>
      <c r="D3336">
        <f>TEST_DATA!D3336</f>
        <v/>
      </c>
      <c r="E3336">
        <f>TEST_DATA!E3336</f>
        <v/>
      </c>
      <c r="F3336">
        <f>MIN(E3336*333600,10000)</f>
        <v/>
      </c>
      <c r="G3336">
        <f>MINIFS(CBIC_Late_Fee_Relief_Windows_3B!$O$3336:$O$100,CBIC_Late_Fee_Relief_Windows_3B!$D$3336:$D$100,"&lt;="&amp;B3336,CBIC_Late_Fee_Relief_Windows_3B!$E$3336:$E$100,"&gt;="&amp;B3336,CBIC_Late_Fee_Relief_Windows_3B!$F$3336:$F$100,"&lt;="&amp;C3336,CBIC_Late_Fee_Relief_Windows_3B!$G$3336:$G$100,"&gt;="&amp;C3336)</f>
        <v/>
      </c>
      <c r="H3336">
        <f>INDEX(CBIC_Late_Fee_Relief_Windows_3B!$I$3336:$I$100,MATCH(G3336,CBIC_Late_Fee_Relief_Windows_3B!$O$3336:$O$100,0))</f>
        <v/>
      </c>
      <c r="I3336">
        <f>MIN(F3336,H3336)</f>
        <v/>
      </c>
    </row>
    <row r="3337">
      <c r="A3337">
        <f>TEST_DATA!A3337</f>
        <v/>
      </c>
      <c r="B3337">
        <f>TEST_DATA!B3337</f>
        <v/>
      </c>
      <c r="C3337">
        <f>TEST_DATA!C3337</f>
        <v/>
      </c>
      <c r="D3337">
        <f>TEST_DATA!D3337</f>
        <v/>
      </c>
      <c r="E3337">
        <f>TEST_DATA!E3337</f>
        <v/>
      </c>
      <c r="F3337">
        <f>MIN(E3337*333700,10000)</f>
        <v/>
      </c>
      <c r="G3337">
        <f>MINIFS(CBIC_Late_Fee_Relief_Windows_3B!$O$3337:$O$100,CBIC_Late_Fee_Relief_Windows_3B!$D$3337:$D$100,"&lt;="&amp;B3337,CBIC_Late_Fee_Relief_Windows_3B!$E$3337:$E$100,"&gt;="&amp;B3337,CBIC_Late_Fee_Relief_Windows_3B!$F$3337:$F$100,"&lt;="&amp;C3337,CBIC_Late_Fee_Relief_Windows_3B!$G$3337:$G$100,"&gt;="&amp;C3337)</f>
        <v/>
      </c>
      <c r="H3337">
        <f>INDEX(CBIC_Late_Fee_Relief_Windows_3B!$I$3337:$I$100,MATCH(G3337,CBIC_Late_Fee_Relief_Windows_3B!$O$3337:$O$100,0))</f>
        <v/>
      </c>
      <c r="I3337">
        <f>MIN(F3337,H3337)</f>
        <v/>
      </c>
    </row>
    <row r="3338">
      <c r="A3338">
        <f>TEST_DATA!A3338</f>
        <v/>
      </c>
      <c r="B3338">
        <f>TEST_DATA!B3338</f>
        <v/>
      </c>
      <c r="C3338">
        <f>TEST_DATA!C3338</f>
        <v/>
      </c>
      <c r="D3338">
        <f>TEST_DATA!D3338</f>
        <v/>
      </c>
      <c r="E3338">
        <f>TEST_DATA!E3338</f>
        <v/>
      </c>
      <c r="F3338">
        <f>MIN(E3338*333800,10000)</f>
        <v/>
      </c>
      <c r="G3338">
        <f>MINIFS(CBIC_Late_Fee_Relief_Windows_3B!$O$3338:$O$100,CBIC_Late_Fee_Relief_Windows_3B!$D$3338:$D$100,"&lt;="&amp;B3338,CBIC_Late_Fee_Relief_Windows_3B!$E$3338:$E$100,"&gt;="&amp;B3338,CBIC_Late_Fee_Relief_Windows_3B!$F$3338:$F$100,"&lt;="&amp;C3338,CBIC_Late_Fee_Relief_Windows_3B!$G$3338:$G$100,"&gt;="&amp;C3338)</f>
        <v/>
      </c>
      <c r="H3338">
        <f>INDEX(CBIC_Late_Fee_Relief_Windows_3B!$I$3338:$I$100,MATCH(G3338,CBIC_Late_Fee_Relief_Windows_3B!$O$3338:$O$100,0))</f>
        <v/>
      </c>
      <c r="I3338">
        <f>MIN(F3338,H3338)</f>
        <v/>
      </c>
    </row>
    <row r="3339">
      <c r="A3339">
        <f>TEST_DATA!A3339</f>
        <v/>
      </c>
      <c r="B3339">
        <f>TEST_DATA!B3339</f>
        <v/>
      </c>
      <c r="C3339">
        <f>TEST_DATA!C3339</f>
        <v/>
      </c>
      <c r="D3339">
        <f>TEST_DATA!D3339</f>
        <v/>
      </c>
      <c r="E3339">
        <f>TEST_DATA!E3339</f>
        <v/>
      </c>
      <c r="F3339">
        <f>MIN(E3339*333900,10000)</f>
        <v/>
      </c>
      <c r="G3339">
        <f>MINIFS(CBIC_Late_Fee_Relief_Windows_3B!$O$3339:$O$100,CBIC_Late_Fee_Relief_Windows_3B!$D$3339:$D$100,"&lt;="&amp;B3339,CBIC_Late_Fee_Relief_Windows_3B!$E$3339:$E$100,"&gt;="&amp;B3339,CBIC_Late_Fee_Relief_Windows_3B!$F$3339:$F$100,"&lt;="&amp;C3339,CBIC_Late_Fee_Relief_Windows_3B!$G$3339:$G$100,"&gt;="&amp;C3339)</f>
        <v/>
      </c>
      <c r="H3339">
        <f>INDEX(CBIC_Late_Fee_Relief_Windows_3B!$I$3339:$I$100,MATCH(G3339,CBIC_Late_Fee_Relief_Windows_3B!$O$3339:$O$100,0))</f>
        <v/>
      </c>
      <c r="I3339">
        <f>MIN(F3339,H3339)</f>
        <v/>
      </c>
    </row>
    <row r="3340">
      <c r="A3340">
        <f>TEST_DATA!A3340</f>
        <v/>
      </c>
      <c r="B3340">
        <f>TEST_DATA!B3340</f>
        <v/>
      </c>
      <c r="C3340">
        <f>TEST_DATA!C3340</f>
        <v/>
      </c>
      <c r="D3340">
        <f>TEST_DATA!D3340</f>
        <v/>
      </c>
      <c r="E3340">
        <f>TEST_DATA!E3340</f>
        <v/>
      </c>
      <c r="F3340">
        <f>MIN(E3340*334000,10000)</f>
        <v/>
      </c>
      <c r="G3340">
        <f>MINIFS(CBIC_Late_Fee_Relief_Windows_3B!$O$3340:$O$100,CBIC_Late_Fee_Relief_Windows_3B!$D$3340:$D$100,"&lt;="&amp;B3340,CBIC_Late_Fee_Relief_Windows_3B!$E$3340:$E$100,"&gt;="&amp;B3340,CBIC_Late_Fee_Relief_Windows_3B!$F$3340:$F$100,"&lt;="&amp;C3340,CBIC_Late_Fee_Relief_Windows_3B!$G$3340:$G$100,"&gt;="&amp;C3340)</f>
        <v/>
      </c>
      <c r="H3340">
        <f>INDEX(CBIC_Late_Fee_Relief_Windows_3B!$I$3340:$I$100,MATCH(G3340,CBIC_Late_Fee_Relief_Windows_3B!$O$3340:$O$100,0))</f>
        <v/>
      </c>
      <c r="I3340">
        <f>MIN(F3340,H3340)</f>
        <v/>
      </c>
    </row>
    <row r="3341">
      <c r="A3341">
        <f>TEST_DATA!A3341</f>
        <v/>
      </c>
      <c r="B3341">
        <f>TEST_DATA!B3341</f>
        <v/>
      </c>
      <c r="C3341">
        <f>TEST_DATA!C3341</f>
        <v/>
      </c>
      <c r="D3341">
        <f>TEST_DATA!D3341</f>
        <v/>
      </c>
      <c r="E3341">
        <f>TEST_DATA!E3341</f>
        <v/>
      </c>
      <c r="F3341">
        <f>MIN(E3341*334100,10000)</f>
        <v/>
      </c>
      <c r="G3341">
        <f>MINIFS(CBIC_Late_Fee_Relief_Windows_3B!$O$3341:$O$100,CBIC_Late_Fee_Relief_Windows_3B!$D$3341:$D$100,"&lt;="&amp;B3341,CBIC_Late_Fee_Relief_Windows_3B!$E$3341:$E$100,"&gt;="&amp;B3341,CBIC_Late_Fee_Relief_Windows_3B!$F$3341:$F$100,"&lt;="&amp;C3341,CBIC_Late_Fee_Relief_Windows_3B!$G$3341:$G$100,"&gt;="&amp;C3341)</f>
        <v/>
      </c>
      <c r="H3341">
        <f>INDEX(CBIC_Late_Fee_Relief_Windows_3B!$I$3341:$I$100,MATCH(G3341,CBIC_Late_Fee_Relief_Windows_3B!$O$3341:$O$100,0))</f>
        <v/>
      </c>
      <c r="I3341">
        <f>MIN(F3341,H3341)</f>
        <v/>
      </c>
    </row>
    <row r="3342">
      <c r="A3342">
        <f>TEST_DATA!A3342</f>
        <v/>
      </c>
      <c r="B3342">
        <f>TEST_DATA!B3342</f>
        <v/>
      </c>
      <c r="C3342">
        <f>TEST_DATA!C3342</f>
        <v/>
      </c>
      <c r="D3342">
        <f>TEST_DATA!D3342</f>
        <v/>
      </c>
      <c r="E3342">
        <f>TEST_DATA!E3342</f>
        <v/>
      </c>
      <c r="F3342">
        <f>MIN(E3342*334200,10000)</f>
        <v/>
      </c>
      <c r="G3342">
        <f>MINIFS(CBIC_Late_Fee_Relief_Windows_3B!$O$3342:$O$100,CBIC_Late_Fee_Relief_Windows_3B!$D$3342:$D$100,"&lt;="&amp;B3342,CBIC_Late_Fee_Relief_Windows_3B!$E$3342:$E$100,"&gt;="&amp;B3342,CBIC_Late_Fee_Relief_Windows_3B!$F$3342:$F$100,"&lt;="&amp;C3342,CBIC_Late_Fee_Relief_Windows_3B!$G$3342:$G$100,"&gt;="&amp;C3342)</f>
        <v/>
      </c>
      <c r="H3342">
        <f>INDEX(CBIC_Late_Fee_Relief_Windows_3B!$I$3342:$I$100,MATCH(G3342,CBIC_Late_Fee_Relief_Windows_3B!$O$3342:$O$100,0))</f>
        <v/>
      </c>
      <c r="I3342">
        <f>MIN(F3342,H3342)</f>
        <v/>
      </c>
    </row>
    <row r="3343">
      <c r="A3343">
        <f>TEST_DATA!A3343</f>
        <v/>
      </c>
      <c r="B3343">
        <f>TEST_DATA!B3343</f>
        <v/>
      </c>
      <c r="C3343">
        <f>TEST_DATA!C3343</f>
        <v/>
      </c>
      <c r="D3343">
        <f>TEST_DATA!D3343</f>
        <v/>
      </c>
      <c r="E3343">
        <f>TEST_DATA!E3343</f>
        <v/>
      </c>
      <c r="F3343">
        <f>MIN(E3343*334300,10000)</f>
        <v/>
      </c>
      <c r="G3343">
        <f>MINIFS(CBIC_Late_Fee_Relief_Windows_3B!$O$3343:$O$100,CBIC_Late_Fee_Relief_Windows_3B!$D$3343:$D$100,"&lt;="&amp;B3343,CBIC_Late_Fee_Relief_Windows_3B!$E$3343:$E$100,"&gt;="&amp;B3343,CBIC_Late_Fee_Relief_Windows_3B!$F$3343:$F$100,"&lt;="&amp;C3343,CBIC_Late_Fee_Relief_Windows_3B!$G$3343:$G$100,"&gt;="&amp;C3343)</f>
        <v/>
      </c>
      <c r="H3343">
        <f>INDEX(CBIC_Late_Fee_Relief_Windows_3B!$I$3343:$I$100,MATCH(G3343,CBIC_Late_Fee_Relief_Windows_3B!$O$3343:$O$100,0))</f>
        <v/>
      </c>
      <c r="I3343">
        <f>MIN(F3343,H3343)</f>
        <v/>
      </c>
    </row>
    <row r="3344">
      <c r="A3344">
        <f>TEST_DATA!A3344</f>
        <v/>
      </c>
      <c r="B3344">
        <f>TEST_DATA!B3344</f>
        <v/>
      </c>
      <c r="C3344">
        <f>TEST_DATA!C3344</f>
        <v/>
      </c>
      <c r="D3344">
        <f>TEST_DATA!D3344</f>
        <v/>
      </c>
      <c r="E3344">
        <f>TEST_DATA!E3344</f>
        <v/>
      </c>
      <c r="F3344">
        <f>MIN(E3344*334400,10000)</f>
        <v/>
      </c>
      <c r="G3344">
        <f>MINIFS(CBIC_Late_Fee_Relief_Windows_3B!$O$3344:$O$100,CBIC_Late_Fee_Relief_Windows_3B!$D$3344:$D$100,"&lt;="&amp;B3344,CBIC_Late_Fee_Relief_Windows_3B!$E$3344:$E$100,"&gt;="&amp;B3344,CBIC_Late_Fee_Relief_Windows_3B!$F$3344:$F$100,"&lt;="&amp;C3344,CBIC_Late_Fee_Relief_Windows_3B!$G$3344:$G$100,"&gt;="&amp;C3344)</f>
        <v/>
      </c>
      <c r="H3344">
        <f>INDEX(CBIC_Late_Fee_Relief_Windows_3B!$I$3344:$I$100,MATCH(G3344,CBIC_Late_Fee_Relief_Windows_3B!$O$3344:$O$100,0))</f>
        <v/>
      </c>
      <c r="I3344">
        <f>MIN(F3344,H3344)</f>
        <v/>
      </c>
    </row>
    <row r="3345">
      <c r="A3345">
        <f>TEST_DATA!A3345</f>
        <v/>
      </c>
      <c r="B3345">
        <f>TEST_DATA!B3345</f>
        <v/>
      </c>
      <c r="C3345">
        <f>TEST_DATA!C3345</f>
        <v/>
      </c>
      <c r="D3345">
        <f>TEST_DATA!D3345</f>
        <v/>
      </c>
      <c r="E3345">
        <f>TEST_DATA!E3345</f>
        <v/>
      </c>
      <c r="F3345">
        <f>MIN(E3345*334500,10000)</f>
        <v/>
      </c>
      <c r="G3345">
        <f>MINIFS(CBIC_Late_Fee_Relief_Windows_3B!$O$3345:$O$100,CBIC_Late_Fee_Relief_Windows_3B!$D$3345:$D$100,"&lt;="&amp;B3345,CBIC_Late_Fee_Relief_Windows_3B!$E$3345:$E$100,"&gt;="&amp;B3345,CBIC_Late_Fee_Relief_Windows_3B!$F$3345:$F$100,"&lt;="&amp;C3345,CBIC_Late_Fee_Relief_Windows_3B!$G$3345:$G$100,"&gt;="&amp;C3345)</f>
        <v/>
      </c>
      <c r="H3345">
        <f>INDEX(CBIC_Late_Fee_Relief_Windows_3B!$I$3345:$I$100,MATCH(G3345,CBIC_Late_Fee_Relief_Windows_3B!$O$3345:$O$100,0))</f>
        <v/>
      </c>
      <c r="I3345">
        <f>MIN(F3345,H3345)</f>
        <v/>
      </c>
    </row>
    <row r="3346">
      <c r="A3346">
        <f>TEST_DATA!A3346</f>
        <v/>
      </c>
      <c r="B3346">
        <f>TEST_DATA!B3346</f>
        <v/>
      </c>
      <c r="C3346">
        <f>TEST_DATA!C3346</f>
        <v/>
      </c>
      <c r="D3346">
        <f>TEST_DATA!D3346</f>
        <v/>
      </c>
      <c r="E3346">
        <f>TEST_DATA!E3346</f>
        <v/>
      </c>
      <c r="F3346">
        <f>MIN(E3346*334600,10000)</f>
        <v/>
      </c>
      <c r="G3346">
        <f>MINIFS(CBIC_Late_Fee_Relief_Windows_3B!$O$3346:$O$100,CBIC_Late_Fee_Relief_Windows_3B!$D$3346:$D$100,"&lt;="&amp;B3346,CBIC_Late_Fee_Relief_Windows_3B!$E$3346:$E$100,"&gt;="&amp;B3346,CBIC_Late_Fee_Relief_Windows_3B!$F$3346:$F$100,"&lt;="&amp;C3346,CBIC_Late_Fee_Relief_Windows_3B!$G$3346:$G$100,"&gt;="&amp;C3346)</f>
        <v/>
      </c>
      <c r="H3346">
        <f>INDEX(CBIC_Late_Fee_Relief_Windows_3B!$I$3346:$I$100,MATCH(G3346,CBIC_Late_Fee_Relief_Windows_3B!$O$3346:$O$100,0))</f>
        <v/>
      </c>
      <c r="I3346">
        <f>MIN(F3346,H3346)</f>
        <v/>
      </c>
    </row>
    <row r="3347">
      <c r="A3347">
        <f>TEST_DATA!A3347</f>
        <v/>
      </c>
      <c r="B3347">
        <f>TEST_DATA!B3347</f>
        <v/>
      </c>
      <c r="C3347">
        <f>TEST_DATA!C3347</f>
        <v/>
      </c>
      <c r="D3347">
        <f>TEST_DATA!D3347</f>
        <v/>
      </c>
      <c r="E3347">
        <f>TEST_DATA!E3347</f>
        <v/>
      </c>
      <c r="F3347">
        <f>MIN(E3347*334700,10000)</f>
        <v/>
      </c>
      <c r="G3347">
        <f>MINIFS(CBIC_Late_Fee_Relief_Windows_3B!$O$3347:$O$100,CBIC_Late_Fee_Relief_Windows_3B!$D$3347:$D$100,"&lt;="&amp;B3347,CBIC_Late_Fee_Relief_Windows_3B!$E$3347:$E$100,"&gt;="&amp;B3347,CBIC_Late_Fee_Relief_Windows_3B!$F$3347:$F$100,"&lt;="&amp;C3347,CBIC_Late_Fee_Relief_Windows_3B!$G$3347:$G$100,"&gt;="&amp;C3347)</f>
        <v/>
      </c>
      <c r="H3347">
        <f>INDEX(CBIC_Late_Fee_Relief_Windows_3B!$I$3347:$I$100,MATCH(G3347,CBIC_Late_Fee_Relief_Windows_3B!$O$3347:$O$100,0))</f>
        <v/>
      </c>
      <c r="I3347">
        <f>MIN(F3347,H3347)</f>
        <v/>
      </c>
    </row>
    <row r="3348">
      <c r="A3348">
        <f>TEST_DATA!A3348</f>
        <v/>
      </c>
      <c r="B3348">
        <f>TEST_DATA!B3348</f>
        <v/>
      </c>
      <c r="C3348">
        <f>TEST_DATA!C3348</f>
        <v/>
      </c>
      <c r="D3348">
        <f>TEST_DATA!D3348</f>
        <v/>
      </c>
      <c r="E3348">
        <f>TEST_DATA!E3348</f>
        <v/>
      </c>
      <c r="F3348">
        <f>MIN(E3348*334800,10000)</f>
        <v/>
      </c>
      <c r="G3348">
        <f>MINIFS(CBIC_Late_Fee_Relief_Windows_3B!$O$3348:$O$100,CBIC_Late_Fee_Relief_Windows_3B!$D$3348:$D$100,"&lt;="&amp;B3348,CBIC_Late_Fee_Relief_Windows_3B!$E$3348:$E$100,"&gt;="&amp;B3348,CBIC_Late_Fee_Relief_Windows_3B!$F$3348:$F$100,"&lt;="&amp;C3348,CBIC_Late_Fee_Relief_Windows_3B!$G$3348:$G$100,"&gt;="&amp;C3348)</f>
        <v/>
      </c>
      <c r="H3348">
        <f>INDEX(CBIC_Late_Fee_Relief_Windows_3B!$I$3348:$I$100,MATCH(G3348,CBIC_Late_Fee_Relief_Windows_3B!$O$3348:$O$100,0))</f>
        <v/>
      </c>
      <c r="I3348">
        <f>MIN(F3348,H3348)</f>
        <v/>
      </c>
    </row>
    <row r="3349">
      <c r="A3349">
        <f>TEST_DATA!A3349</f>
        <v/>
      </c>
      <c r="B3349">
        <f>TEST_DATA!B3349</f>
        <v/>
      </c>
      <c r="C3349">
        <f>TEST_DATA!C3349</f>
        <v/>
      </c>
      <c r="D3349">
        <f>TEST_DATA!D3349</f>
        <v/>
      </c>
      <c r="E3349">
        <f>TEST_DATA!E3349</f>
        <v/>
      </c>
      <c r="F3349">
        <f>MIN(E3349*334900,10000)</f>
        <v/>
      </c>
      <c r="G3349">
        <f>MINIFS(CBIC_Late_Fee_Relief_Windows_3B!$O$3349:$O$100,CBIC_Late_Fee_Relief_Windows_3B!$D$3349:$D$100,"&lt;="&amp;B3349,CBIC_Late_Fee_Relief_Windows_3B!$E$3349:$E$100,"&gt;="&amp;B3349,CBIC_Late_Fee_Relief_Windows_3B!$F$3349:$F$100,"&lt;="&amp;C3349,CBIC_Late_Fee_Relief_Windows_3B!$G$3349:$G$100,"&gt;="&amp;C3349)</f>
        <v/>
      </c>
      <c r="H3349">
        <f>INDEX(CBIC_Late_Fee_Relief_Windows_3B!$I$3349:$I$100,MATCH(G3349,CBIC_Late_Fee_Relief_Windows_3B!$O$3349:$O$100,0))</f>
        <v/>
      </c>
      <c r="I3349">
        <f>MIN(F3349,H3349)</f>
        <v/>
      </c>
    </row>
    <row r="3350">
      <c r="A3350">
        <f>TEST_DATA!A3350</f>
        <v/>
      </c>
      <c r="B3350">
        <f>TEST_DATA!B3350</f>
        <v/>
      </c>
      <c r="C3350">
        <f>TEST_DATA!C3350</f>
        <v/>
      </c>
      <c r="D3350">
        <f>TEST_DATA!D3350</f>
        <v/>
      </c>
      <c r="E3350">
        <f>TEST_DATA!E3350</f>
        <v/>
      </c>
      <c r="F3350">
        <f>MIN(E3350*335000,10000)</f>
        <v/>
      </c>
      <c r="G3350">
        <f>MINIFS(CBIC_Late_Fee_Relief_Windows_3B!$O$3350:$O$100,CBIC_Late_Fee_Relief_Windows_3B!$D$3350:$D$100,"&lt;="&amp;B3350,CBIC_Late_Fee_Relief_Windows_3B!$E$3350:$E$100,"&gt;="&amp;B3350,CBIC_Late_Fee_Relief_Windows_3B!$F$3350:$F$100,"&lt;="&amp;C3350,CBIC_Late_Fee_Relief_Windows_3B!$G$3350:$G$100,"&gt;="&amp;C3350)</f>
        <v/>
      </c>
      <c r="H3350">
        <f>INDEX(CBIC_Late_Fee_Relief_Windows_3B!$I$3350:$I$100,MATCH(G3350,CBIC_Late_Fee_Relief_Windows_3B!$O$3350:$O$100,0))</f>
        <v/>
      </c>
      <c r="I3350">
        <f>MIN(F3350,H3350)</f>
        <v/>
      </c>
    </row>
    <row r="3351">
      <c r="A3351">
        <f>TEST_DATA!A3351</f>
        <v/>
      </c>
      <c r="B3351">
        <f>TEST_DATA!B3351</f>
        <v/>
      </c>
      <c r="C3351">
        <f>TEST_DATA!C3351</f>
        <v/>
      </c>
      <c r="D3351">
        <f>TEST_DATA!D3351</f>
        <v/>
      </c>
      <c r="E3351">
        <f>TEST_DATA!E3351</f>
        <v/>
      </c>
      <c r="F3351">
        <f>MIN(E3351*335100,10000)</f>
        <v/>
      </c>
      <c r="G3351">
        <f>MINIFS(CBIC_Late_Fee_Relief_Windows_3B!$O$3351:$O$100,CBIC_Late_Fee_Relief_Windows_3B!$D$3351:$D$100,"&lt;="&amp;B3351,CBIC_Late_Fee_Relief_Windows_3B!$E$3351:$E$100,"&gt;="&amp;B3351,CBIC_Late_Fee_Relief_Windows_3B!$F$3351:$F$100,"&lt;="&amp;C3351,CBIC_Late_Fee_Relief_Windows_3B!$G$3351:$G$100,"&gt;="&amp;C3351)</f>
        <v/>
      </c>
      <c r="H3351">
        <f>INDEX(CBIC_Late_Fee_Relief_Windows_3B!$I$3351:$I$100,MATCH(G3351,CBIC_Late_Fee_Relief_Windows_3B!$O$3351:$O$100,0))</f>
        <v/>
      </c>
      <c r="I3351">
        <f>MIN(F3351,H3351)</f>
        <v/>
      </c>
    </row>
    <row r="3352">
      <c r="A3352">
        <f>TEST_DATA!A3352</f>
        <v/>
      </c>
      <c r="B3352">
        <f>TEST_DATA!B3352</f>
        <v/>
      </c>
      <c r="C3352">
        <f>TEST_DATA!C3352</f>
        <v/>
      </c>
      <c r="D3352">
        <f>TEST_DATA!D3352</f>
        <v/>
      </c>
      <c r="E3352">
        <f>TEST_DATA!E3352</f>
        <v/>
      </c>
      <c r="F3352">
        <f>MIN(E3352*335200,10000)</f>
        <v/>
      </c>
      <c r="G3352">
        <f>MINIFS(CBIC_Late_Fee_Relief_Windows_3B!$O$3352:$O$100,CBIC_Late_Fee_Relief_Windows_3B!$D$3352:$D$100,"&lt;="&amp;B3352,CBIC_Late_Fee_Relief_Windows_3B!$E$3352:$E$100,"&gt;="&amp;B3352,CBIC_Late_Fee_Relief_Windows_3B!$F$3352:$F$100,"&lt;="&amp;C3352,CBIC_Late_Fee_Relief_Windows_3B!$G$3352:$G$100,"&gt;="&amp;C3352)</f>
        <v/>
      </c>
      <c r="H3352">
        <f>INDEX(CBIC_Late_Fee_Relief_Windows_3B!$I$3352:$I$100,MATCH(G3352,CBIC_Late_Fee_Relief_Windows_3B!$O$3352:$O$100,0))</f>
        <v/>
      </c>
      <c r="I3352">
        <f>MIN(F3352,H3352)</f>
        <v/>
      </c>
    </row>
    <row r="3353">
      <c r="A3353">
        <f>TEST_DATA!A3353</f>
        <v/>
      </c>
      <c r="B3353">
        <f>TEST_DATA!B3353</f>
        <v/>
      </c>
      <c r="C3353">
        <f>TEST_DATA!C3353</f>
        <v/>
      </c>
      <c r="D3353">
        <f>TEST_DATA!D3353</f>
        <v/>
      </c>
      <c r="E3353">
        <f>TEST_DATA!E3353</f>
        <v/>
      </c>
      <c r="F3353">
        <f>MIN(E3353*335300,10000)</f>
        <v/>
      </c>
      <c r="G3353">
        <f>MINIFS(CBIC_Late_Fee_Relief_Windows_3B!$O$3353:$O$100,CBIC_Late_Fee_Relief_Windows_3B!$D$3353:$D$100,"&lt;="&amp;B3353,CBIC_Late_Fee_Relief_Windows_3B!$E$3353:$E$100,"&gt;="&amp;B3353,CBIC_Late_Fee_Relief_Windows_3B!$F$3353:$F$100,"&lt;="&amp;C3353,CBIC_Late_Fee_Relief_Windows_3B!$G$3353:$G$100,"&gt;="&amp;C3353)</f>
        <v/>
      </c>
      <c r="H3353">
        <f>INDEX(CBIC_Late_Fee_Relief_Windows_3B!$I$3353:$I$100,MATCH(G3353,CBIC_Late_Fee_Relief_Windows_3B!$O$3353:$O$100,0))</f>
        <v/>
      </c>
      <c r="I3353">
        <f>MIN(F3353,H3353)</f>
        <v/>
      </c>
    </row>
    <row r="3354">
      <c r="A3354">
        <f>TEST_DATA!A3354</f>
        <v/>
      </c>
      <c r="B3354">
        <f>TEST_DATA!B3354</f>
        <v/>
      </c>
      <c r="C3354">
        <f>TEST_DATA!C3354</f>
        <v/>
      </c>
      <c r="D3354">
        <f>TEST_DATA!D3354</f>
        <v/>
      </c>
      <c r="E3354">
        <f>TEST_DATA!E3354</f>
        <v/>
      </c>
      <c r="F3354">
        <f>MIN(E3354*335400,10000)</f>
        <v/>
      </c>
      <c r="G3354">
        <f>MINIFS(CBIC_Late_Fee_Relief_Windows_3B!$O$3354:$O$100,CBIC_Late_Fee_Relief_Windows_3B!$D$3354:$D$100,"&lt;="&amp;B3354,CBIC_Late_Fee_Relief_Windows_3B!$E$3354:$E$100,"&gt;="&amp;B3354,CBIC_Late_Fee_Relief_Windows_3B!$F$3354:$F$100,"&lt;="&amp;C3354,CBIC_Late_Fee_Relief_Windows_3B!$G$3354:$G$100,"&gt;="&amp;C3354)</f>
        <v/>
      </c>
      <c r="H3354">
        <f>INDEX(CBIC_Late_Fee_Relief_Windows_3B!$I$3354:$I$100,MATCH(G3354,CBIC_Late_Fee_Relief_Windows_3B!$O$3354:$O$100,0))</f>
        <v/>
      </c>
      <c r="I3354">
        <f>MIN(F3354,H3354)</f>
        <v/>
      </c>
    </row>
    <row r="3355">
      <c r="A3355">
        <f>TEST_DATA!A3355</f>
        <v/>
      </c>
      <c r="B3355">
        <f>TEST_DATA!B3355</f>
        <v/>
      </c>
      <c r="C3355">
        <f>TEST_DATA!C3355</f>
        <v/>
      </c>
      <c r="D3355">
        <f>TEST_DATA!D3355</f>
        <v/>
      </c>
      <c r="E3355">
        <f>TEST_DATA!E3355</f>
        <v/>
      </c>
      <c r="F3355">
        <f>MIN(E3355*335500,10000)</f>
        <v/>
      </c>
      <c r="G3355">
        <f>MINIFS(CBIC_Late_Fee_Relief_Windows_3B!$O$3355:$O$100,CBIC_Late_Fee_Relief_Windows_3B!$D$3355:$D$100,"&lt;="&amp;B3355,CBIC_Late_Fee_Relief_Windows_3B!$E$3355:$E$100,"&gt;="&amp;B3355,CBIC_Late_Fee_Relief_Windows_3B!$F$3355:$F$100,"&lt;="&amp;C3355,CBIC_Late_Fee_Relief_Windows_3B!$G$3355:$G$100,"&gt;="&amp;C3355)</f>
        <v/>
      </c>
      <c r="H3355">
        <f>INDEX(CBIC_Late_Fee_Relief_Windows_3B!$I$3355:$I$100,MATCH(G3355,CBIC_Late_Fee_Relief_Windows_3B!$O$3355:$O$100,0))</f>
        <v/>
      </c>
      <c r="I3355">
        <f>MIN(F3355,H3355)</f>
        <v/>
      </c>
    </row>
    <row r="3356">
      <c r="A3356">
        <f>TEST_DATA!A3356</f>
        <v/>
      </c>
      <c r="B3356">
        <f>TEST_DATA!B3356</f>
        <v/>
      </c>
      <c r="C3356">
        <f>TEST_DATA!C3356</f>
        <v/>
      </c>
      <c r="D3356">
        <f>TEST_DATA!D3356</f>
        <v/>
      </c>
      <c r="E3356">
        <f>TEST_DATA!E3356</f>
        <v/>
      </c>
      <c r="F3356">
        <f>MIN(E3356*335600,10000)</f>
        <v/>
      </c>
      <c r="G3356">
        <f>MINIFS(CBIC_Late_Fee_Relief_Windows_3B!$O$3356:$O$100,CBIC_Late_Fee_Relief_Windows_3B!$D$3356:$D$100,"&lt;="&amp;B3356,CBIC_Late_Fee_Relief_Windows_3B!$E$3356:$E$100,"&gt;="&amp;B3356,CBIC_Late_Fee_Relief_Windows_3B!$F$3356:$F$100,"&lt;="&amp;C3356,CBIC_Late_Fee_Relief_Windows_3B!$G$3356:$G$100,"&gt;="&amp;C3356)</f>
        <v/>
      </c>
      <c r="H3356">
        <f>INDEX(CBIC_Late_Fee_Relief_Windows_3B!$I$3356:$I$100,MATCH(G3356,CBIC_Late_Fee_Relief_Windows_3B!$O$3356:$O$100,0))</f>
        <v/>
      </c>
      <c r="I3356">
        <f>MIN(F3356,H3356)</f>
        <v/>
      </c>
    </row>
    <row r="3357">
      <c r="A3357">
        <f>TEST_DATA!A3357</f>
        <v/>
      </c>
      <c r="B3357">
        <f>TEST_DATA!B3357</f>
        <v/>
      </c>
      <c r="C3357">
        <f>TEST_DATA!C3357</f>
        <v/>
      </c>
      <c r="D3357">
        <f>TEST_DATA!D3357</f>
        <v/>
      </c>
      <c r="E3357">
        <f>TEST_DATA!E3357</f>
        <v/>
      </c>
      <c r="F3357">
        <f>MIN(E3357*335700,10000)</f>
        <v/>
      </c>
      <c r="G3357">
        <f>MINIFS(CBIC_Late_Fee_Relief_Windows_3B!$O$3357:$O$100,CBIC_Late_Fee_Relief_Windows_3B!$D$3357:$D$100,"&lt;="&amp;B3357,CBIC_Late_Fee_Relief_Windows_3B!$E$3357:$E$100,"&gt;="&amp;B3357,CBIC_Late_Fee_Relief_Windows_3B!$F$3357:$F$100,"&lt;="&amp;C3357,CBIC_Late_Fee_Relief_Windows_3B!$G$3357:$G$100,"&gt;="&amp;C3357)</f>
        <v/>
      </c>
      <c r="H3357">
        <f>INDEX(CBIC_Late_Fee_Relief_Windows_3B!$I$3357:$I$100,MATCH(G3357,CBIC_Late_Fee_Relief_Windows_3B!$O$3357:$O$100,0))</f>
        <v/>
      </c>
      <c r="I3357">
        <f>MIN(F3357,H3357)</f>
        <v/>
      </c>
    </row>
    <row r="3358">
      <c r="A3358">
        <f>TEST_DATA!A3358</f>
        <v/>
      </c>
      <c r="B3358">
        <f>TEST_DATA!B3358</f>
        <v/>
      </c>
      <c r="C3358">
        <f>TEST_DATA!C3358</f>
        <v/>
      </c>
      <c r="D3358">
        <f>TEST_DATA!D3358</f>
        <v/>
      </c>
      <c r="E3358">
        <f>TEST_DATA!E3358</f>
        <v/>
      </c>
      <c r="F3358">
        <f>MIN(E3358*335800,10000)</f>
        <v/>
      </c>
      <c r="G3358">
        <f>MINIFS(CBIC_Late_Fee_Relief_Windows_3B!$O$3358:$O$100,CBIC_Late_Fee_Relief_Windows_3B!$D$3358:$D$100,"&lt;="&amp;B3358,CBIC_Late_Fee_Relief_Windows_3B!$E$3358:$E$100,"&gt;="&amp;B3358,CBIC_Late_Fee_Relief_Windows_3B!$F$3358:$F$100,"&lt;="&amp;C3358,CBIC_Late_Fee_Relief_Windows_3B!$G$3358:$G$100,"&gt;="&amp;C3358)</f>
        <v/>
      </c>
      <c r="H3358">
        <f>INDEX(CBIC_Late_Fee_Relief_Windows_3B!$I$3358:$I$100,MATCH(G3358,CBIC_Late_Fee_Relief_Windows_3B!$O$3358:$O$100,0))</f>
        <v/>
      </c>
      <c r="I3358">
        <f>MIN(F3358,H3358)</f>
        <v/>
      </c>
    </row>
    <row r="3359">
      <c r="A3359">
        <f>TEST_DATA!A3359</f>
        <v/>
      </c>
      <c r="B3359">
        <f>TEST_DATA!B3359</f>
        <v/>
      </c>
      <c r="C3359">
        <f>TEST_DATA!C3359</f>
        <v/>
      </c>
      <c r="D3359">
        <f>TEST_DATA!D3359</f>
        <v/>
      </c>
      <c r="E3359">
        <f>TEST_DATA!E3359</f>
        <v/>
      </c>
      <c r="F3359">
        <f>MIN(E3359*335900,10000)</f>
        <v/>
      </c>
      <c r="G3359">
        <f>MINIFS(CBIC_Late_Fee_Relief_Windows_3B!$O$3359:$O$100,CBIC_Late_Fee_Relief_Windows_3B!$D$3359:$D$100,"&lt;="&amp;B3359,CBIC_Late_Fee_Relief_Windows_3B!$E$3359:$E$100,"&gt;="&amp;B3359,CBIC_Late_Fee_Relief_Windows_3B!$F$3359:$F$100,"&lt;="&amp;C3359,CBIC_Late_Fee_Relief_Windows_3B!$G$3359:$G$100,"&gt;="&amp;C3359)</f>
        <v/>
      </c>
      <c r="H3359">
        <f>INDEX(CBIC_Late_Fee_Relief_Windows_3B!$I$3359:$I$100,MATCH(G3359,CBIC_Late_Fee_Relief_Windows_3B!$O$3359:$O$100,0))</f>
        <v/>
      </c>
      <c r="I3359">
        <f>MIN(F3359,H3359)</f>
        <v/>
      </c>
    </row>
    <row r="3360">
      <c r="A3360">
        <f>TEST_DATA!A3360</f>
        <v/>
      </c>
      <c r="B3360">
        <f>TEST_DATA!B3360</f>
        <v/>
      </c>
      <c r="C3360">
        <f>TEST_DATA!C3360</f>
        <v/>
      </c>
      <c r="D3360">
        <f>TEST_DATA!D3360</f>
        <v/>
      </c>
      <c r="E3360">
        <f>TEST_DATA!E3360</f>
        <v/>
      </c>
      <c r="F3360">
        <f>MIN(E3360*336000,10000)</f>
        <v/>
      </c>
      <c r="G3360">
        <f>MINIFS(CBIC_Late_Fee_Relief_Windows_3B!$O$3360:$O$100,CBIC_Late_Fee_Relief_Windows_3B!$D$3360:$D$100,"&lt;="&amp;B3360,CBIC_Late_Fee_Relief_Windows_3B!$E$3360:$E$100,"&gt;="&amp;B3360,CBIC_Late_Fee_Relief_Windows_3B!$F$3360:$F$100,"&lt;="&amp;C3360,CBIC_Late_Fee_Relief_Windows_3B!$G$3360:$G$100,"&gt;="&amp;C3360)</f>
        <v/>
      </c>
      <c r="H3360">
        <f>INDEX(CBIC_Late_Fee_Relief_Windows_3B!$I$3360:$I$100,MATCH(G3360,CBIC_Late_Fee_Relief_Windows_3B!$O$3360:$O$100,0))</f>
        <v/>
      </c>
      <c r="I3360">
        <f>MIN(F3360,H3360)</f>
        <v/>
      </c>
    </row>
    <row r="3361">
      <c r="A3361">
        <f>TEST_DATA!A3361</f>
        <v/>
      </c>
      <c r="B3361">
        <f>TEST_DATA!B3361</f>
        <v/>
      </c>
      <c r="C3361">
        <f>TEST_DATA!C3361</f>
        <v/>
      </c>
      <c r="D3361">
        <f>TEST_DATA!D3361</f>
        <v/>
      </c>
      <c r="E3361">
        <f>TEST_DATA!E3361</f>
        <v/>
      </c>
      <c r="F3361">
        <f>MIN(E3361*336100,10000)</f>
        <v/>
      </c>
      <c r="G3361">
        <f>MINIFS(CBIC_Late_Fee_Relief_Windows_3B!$O$3361:$O$100,CBIC_Late_Fee_Relief_Windows_3B!$D$3361:$D$100,"&lt;="&amp;B3361,CBIC_Late_Fee_Relief_Windows_3B!$E$3361:$E$100,"&gt;="&amp;B3361,CBIC_Late_Fee_Relief_Windows_3B!$F$3361:$F$100,"&lt;="&amp;C3361,CBIC_Late_Fee_Relief_Windows_3B!$G$3361:$G$100,"&gt;="&amp;C3361)</f>
        <v/>
      </c>
      <c r="H3361">
        <f>INDEX(CBIC_Late_Fee_Relief_Windows_3B!$I$3361:$I$100,MATCH(G3361,CBIC_Late_Fee_Relief_Windows_3B!$O$3361:$O$100,0))</f>
        <v/>
      </c>
      <c r="I3361">
        <f>MIN(F3361,H3361)</f>
        <v/>
      </c>
    </row>
    <row r="3362">
      <c r="A3362">
        <f>TEST_DATA!A3362</f>
        <v/>
      </c>
      <c r="B3362">
        <f>TEST_DATA!B3362</f>
        <v/>
      </c>
      <c r="C3362">
        <f>TEST_DATA!C3362</f>
        <v/>
      </c>
      <c r="D3362">
        <f>TEST_DATA!D3362</f>
        <v/>
      </c>
      <c r="E3362">
        <f>TEST_DATA!E3362</f>
        <v/>
      </c>
      <c r="F3362">
        <f>MIN(E3362*336200,10000)</f>
        <v/>
      </c>
      <c r="G3362">
        <f>MINIFS(CBIC_Late_Fee_Relief_Windows_3B!$O$3362:$O$100,CBIC_Late_Fee_Relief_Windows_3B!$D$3362:$D$100,"&lt;="&amp;B3362,CBIC_Late_Fee_Relief_Windows_3B!$E$3362:$E$100,"&gt;="&amp;B3362,CBIC_Late_Fee_Relief_Windows_3B!$F$3362:$F$100,"&lt;="&amp;C3362,CBIC_Late_Fee_Relief_Windows_3B!$G$3362:$G$100,"&gt;="&amp;C3362)</f>
        <v/>
      </c>
      <c r="H3362">
        <f>INDEX(CBIC_Late_Fee_Relief_Windows_3B!$I$3362:$I$100,MATCH(G3362,CBIC_Late_Fee_Relief_Windows_3B!$O$3362:$O$100,0))</f>
        <v/>
      </c>
      <c r="I3362">
        <f>MIN(F3362,H3362)</f>
        <v/>
      </c>
    </row>
    <row r="3363">
      <c r="A3363">
        <f>TEST_DATA!A3363</f>
        <v/>
      </c>
      <c r="B3363">
        <f>TEST_DATA!B3363</f>
        <v/>
      </c>
      <c r="C3363">
        <f>TEST_DATA!C3363</f>
        <v/>
      </c>
      <c r="D3363">
        <f>TEST_DATA!D3363</f>
        <v/>
      </c>
      <c r="E3363">
        <f>TEST_DATA!E3363</f>
        <v/>
      </c>
      <c r="F3363">
        <f>MIN(E3363*336300,10000)</f>
        <v/>
      </c>
      <c r="G3363">
        <f>MINIFS(CBIC_Late_Fee_Relief_Windows_3B!$O$3363:$O$100,CBIC_Late_Fee_Relief_Windows_3B!$D$3363:$D$100,"&lt;="&amp;B3363,CBIC_Late_Fee_Relief_Windows_3B!$E$3363:$E$100,"&gt;="&amp;B3363,CBIC_Late_Fee_Relief_Windows_3B!$F$3363:$F$100,"&lt;="&amp;C3363,CBIC_Late_Fee_Relief_Windows_3B!$G$3363:$G$100,"&gt;="&amp;C3363)</f>
        <v/>
      </c>
      <c r="H3363">
        <f>INDEX(CBIC_Late_Fee_Relief_Windows_3B!$I$3363:$I$100,MATCH(G3363,CBIC_Late_Fee_Relief_Windows_3B!$O$3363:$O$100,0))</f>
        <v/>
      </c>
      <c r="I3363">
        <f>MIN(F3363,H3363)</f>
        <v/>
      </c>
    </row>
    <row r="3364">
      <c r="A3364">
        <f>TEST_DATA!A3364</f>
        <v/>
      </c>
      <c r="B3364">
        <f>TEST_DATA!B3364</f>
        <v/>
      </c>
      <c r="C3364">
        <f>TEST_DATA!C3364</f>
        <v/>
      </c>
      <c r="D3364">
        <f>TEST_DATA!D3364</f>
        <v/>
      </c>
      <c r="E3364">
        <f>TEST_DATA!E3364</f>
        <v/>
      </c>
      <c r="F3364">
        <f>MIN(E3364*336400,10000)</f>
        <v/>
      </c>
      <c r="G3364">
        <f>MINIFS(CBIC_Late_Fee_Relief_Windows_3B!$O$3364:$O$100,CBIC_Late_Fee_Relief_Windows_3B!$D$3364:$D$100,"&lt;="&amp;B3364,CBIC_Late_Fee_Relief_Windows_3B!$E$3364:$E$100,"&gt;="&amp;B3364,CBIC_Late_Fee_Relief_Windows_3B!$F$3364:$F$100,"&lt;="&amp;C3364,CBIC_Late_Fee_Relief_Windows_3B!$G$3364:$G$100,"&gt;="&amp;C3364)</f>
        <v/>
      </c>
      <c r="H3364">
        <f>INDEX(CBIC_Late_Fee_Relief_Windows_3B!$I$3364:$I$100,MATCH(G3364,CBIC_Late_Fee_Relief_Windows_3B!$O$3364:$O$100,0))</f>
        <v/>
      </c>
      <c r="I3364">
        <f>MIN(F3364,H3364)</f>
        <v/>
      </c>
    </row>
    <row r="3365">
      <c r="A3365">
        <f>TEST_DATA!A3365</f>
        <v/>
      </c>
      <c r="B3365">
        <f>TEST_DATA!B3365</f>
        <v/>
      </c>
      <c r="C3365">
        <f>TEST_DATA!C3365</f>
        <v/>
      </c>
      <c r="D3365">
        <f>TEST_DATA!D3365</f>
        <v/>
      </c>
      <c r="E3365">
        <f>TEST_DATA!E3365</f>
        <v/>
      </c>
      <c r="F3365">
        <f>MIN(E3365*336500,10000)</f>
        <v/>
      </c>
      <c r="G3365">
        <f>MINIFS(CBIC_Late_Fee_Relief_Windows_3B!$O$3365:$O$100,CBIC_Late_Fee_Relief_Windows_3B!$D$3365:$D$100,"&lt;="&amp;B3365,CBIC_Late_Fee_Relief_Windows_3B!$E$3365:$E$100,"&gt;="&amp;B3365,CBIC_Late_Fee_Relief_Windows_3B!$F$3365:$F$100,"&lt;="&amp;C3365,CBIC_Late_Fee_Relief_Windows_3B!$G$3365:$G$100,"&gt;="&amp;C3365)</f>
        <v/>
      </c>
      <c r="H3365">
        <f>INDEX(CBIC_Late_Fee_Relief_Windows_3B!$I$3365:$I$100,MATCH(G3365,CBIC_Late_Fee_Relief_Windows_3B!$O$3365:$O$100,0))</f>
        <v/>
      </c>
      <c r="I3365">
        <f>MIN(F3365,H3365)</f>
        <v/>
      </c>
    </row>
    <row r="3366">
      <c r="A3366">
        <f>TEST_DATA!A3366</f>
        <v/>
      </c>
      <c r="B3366">
        <f>TEST_DATA!B3366</f>
        <v/>
      </c>
      <c r="C3366">
        <f>TEST_DATA!C3366</f>
        <v/>
      </c>
      <c r="D3366">
        <f>TEST_DATA!D3366</f>
        <v/>
      </c>
      <c r="E3366">
        <f>TEST_DATA!E3366</f>
        <v/>
      </c>
      <c r="F3366">
        <f>MIN(E3366*336600,10000)</f>
        <v/>
      </c>
      <c r="G3366">
        <f>MINIFS(CBIC_Late_Fee_Relief_Windows_3B!$O$3366:$O$100,CBIC_Late_Fee_Relief_Windows_3B!$D$3366:$D$100,"&lt;="&amp;B3366,CBIC_Late_Fee_Relief_Windows_3B!$E$3366:$E$100,"&gt;="&amp;B3366,CBIC_Late_Fee_Relief_Windows_3B!$F$3366:$F$100,"&lt;="&amp;C3366,CBIC_Late_Fee_Relief_Windows_3B!$G$3366:$G$100,"&gt;="&amp;C3366)</f>
        <v/>
      </c>
      <c r="H3366">
        <f>INDEX(CBIC_Late_Fee_Relief_Windows_3B!$I$3366:$I$100,MATCH(G3366,CBIC_Late_Fee_Relief_Windows_3B!$O$3366:$O$100,0))</f>
        <v/>
      </c>
      <c r="I3366">
        <f>MIN(F3366,H3366)</f>
        <v/>
      </c>
    </row>
    <row r="3367">
      <c r="A3367">
        <f>TEST_DATA!A3367</f>
        <v/>
      </c>
      <c r="B3367">
        <f>TEST_DATA!B3367</f>
        <v/>
      </c>
      <c r="C3367">
        <f>TEST_DATA!C3367</f>
        <v/>
      </c>
      <c r="D3367">
        <f>TEST_DATA!D3367</f>
        <v/>
      </c>
      <c r="E3367">
        <f>TEST_DATA!E3367</f>
        <v/>
      </c>
      <c r="F3367">
        <f>MIN(E3367*336700,10000)</f>
        <v/>
      </c>
      <c r="G3367">
        <f>MINIFS(CBIC_Late_Fee_Relief_Windows_3B!$O$3367:$O$100,CBIC_Late_Fee_Relief_Windows_3B!$D$3367:$D$100,"&lt;="&amp;B3367,CBIC_Late_Fee_Relief_Windows_3B!$E$3367:$E$100,"&gt;="&amp;B3367,CBIC_Late_Fee_Relief_Windows_3B!$F$3367:$F$100,"&lt;="&amp;C3367,CBIC_Late_Fee_Relief_Windows_3B!$G$3367:$G$100,"&gt;="&amp;C3367)</f>
        <v/>
      </c>
      <c r="H3367">
        <f>INDEX(CBIC_Late_Fee_Relief_Windows_3B!$I$3367:$I$100,MATCH(G3367,CBIC_Late_Fee_Relief_Windows_3B!$O$3367:$O$100,0))</f>
        <v/>
      </c>
      <c r="I3367">
        <f>MIN(F3367,H3367)</f>
        <v/>
      </c>
    </row>
    <row r="3368">
      <c r="A3368">
        <f>TEST_DATA!A3368</f>
        <v/>
      </c>
      <c r="B3368">
        <f>TEST_DATA!B3368</f>
        <v/>
      </c>
      <c r="C3368">
        <f>TEST_DATA!C3368</f>
        <v/>
      </c>
      <c r="D3368">
        <f>TEST_DATA!D3368</f>
        <v/>
      </c>
      <c r="E3368">
        <f>TEST_DATA!E3368</f>
        <v/>
      </c>
      <c r="F3368">
        <f>MIN(E3368*336800,10000)</f>
        <v/>
      </c>
      <c r="G3368">
        <f>MINIFS(CBIC_Late_Fee_Relief_Windows_3B!$O$3368:$O$100,CBIC_Late_Fee_Relief_Windows_3B!$D$3368:$D$100,"&lt;="&amp;B3368,CBIC_Late_Fee_Relief_Windows_3B!$E$3368:$E$100,"&gt;="&amp;B3368,CBIC_Late_Fee_Relief_Windows_3B!$F$3368:$F$100,"&lt;="&amp;C3368,CBIC_Late_Fee_Relief_Windows_3B!$G$3368:$G$100,"&gt;="&amp;C3368)</f>
        <v/>
      </c>
      <c r="H3368">
        <f>INDEX(CBIC_Late_Fee_Relief_Windows_3B!$I$3368:$I$100,MATCH(G3368,CBIC_Late_Fee_Relief_Windows_3B!$O$3368:$O$100,0))</f>
        <v/>
      </c>
      <c r="I3368">
        <f>MIN(F3368,H3368)</f>
        <v/>
      </c>
    </row>
    <row r="3369">
      <c r="A3369">
        <f>TEST_DATA!A3369</f>
        <v/>
      </c>
      <c r="B3369">
        <f>TEST_DATA!B3369</f>
        <v/>
      </c>
      <c r="C3369">
        <f>TEST_DATA!C3369</f>
        <v/>
      </c>
      <c r="D3369">
        <f>TEST_DATA!D3369</f>
        <v/>
      </c>
      <c r="E3369">
        <f>TEST_DATA!E3369</f>
        <v/>
      </c>
      <c r="F3369">
        <f>MIN(E3369*336900,10000)</f>
        <v/>
      </c>
      <c r="G3369">
        <f>MINIFS(CBIC_Late_Fee_Relief_Windows_3B!$O$3369:$O$100,CBIC_Late_Fee_Relief_Windows_3B!$D$3369:$D$100,"&lt;="&amp;B3369,CBIC_Late_Fee_Relief_Windows_3B!$E$3369:$E$100,"&gt;="&amp;B3369,CBIC_Late_Fee_Relief_Windows_3B!$F$3369:$F$100,"&lt;="&amp;C3369,CBIC_Late_Fee_Relief_Windows_3B!$G$3369:$G$100,"&gt;="&amp;C3369)</f>
        <v/>
      </c>
      <c r="H3369">
        <f>INDEX(CBIC_Late_Fee_Relief_Windows_3B!$I$3369:$I$100,MATCH(G3369,CBIC_Late_Fee_Relief_Windows_3B!$O$3369:$O$100,0))</f>
        <v/>
      </c>
      <c r="I3369">
        <f>MIN(F3369,H3369)</f>
        <v/>
      </c>
    </row>
    <row r="3370">
      <c r="A3370">
        <f>TEST_DATA!A3370</f>
        <v/>
      </c>
      <c r="B3370">
        <f>TEST_DATA!B3370</f>
        <v/>
      </c>
      <c r="C3370">
        <f>TEST_DATA!C3370</f>
        <v/>
      </c>
      <c r="D3370">
        <f>TEST_DATA!D3370</f>
        <v/>
      </c>
      <c r="E3370">
        <f>TEST_DATA!E3370</f>
        <v/>
      </c>
      <c r="F3370">
        <f>MIN(E3370*337000,10000)</f>
        <v/>
      </c>
      <c r="G3370">
        <f>MINIFS(CBIC_Late_Fee_Relief_Windows_3B!$O$3370:$O$100,CBIC_Late_Fee_Relief_Windows_3B!$D$3370:$D$100,"&lt;="&amp;B3370,CBIC_Late_Fee_Relief_Windows_3B!$E$3370:$E$100,"&gt;="&amp;B3370,CBIC_Late_Fee_Relief_Windows_3B!$F$3370:$F$100,"&lt;="&amp;C3370,CBIC_Late_Fee_Relief_Windows_3B!$G$3370:$G$100,"&gt;="&amp;C3370)</f>
        <v/>
      </c>
      <c r="H3370">
        <f>INDEX(CBIC_Late_Fee_Relief_Windows_3B!$I$3370:$I$100,MATCH(G3370,CBIC_Late_Fee_Relief_Windows_3B!$O$3370:$O$100,0))</f>
        <v/>
      </c>
      <c r="I3370">
        <f>MIN(F3370,H3370)</f>
        <v/>
      </c>
    </row>
    <row r="3371">
      <c r="A3371">
        <f>TEST_DATA!A3371</f>
        <v/>
      </c>
      <c r="B3371">
        <f>TEST_DATA!B3371</f>
        <v/>
      </c>
      <c r="C3371">
        <f>TEST_DATA!C3371</f>
        <v/>
      </c>
      <c r="D3371">
        <f>TEST_DATA!D3371</f>
        <v/>
      </c>
      <c r="E3371">
        <f>TEST_DATA!E3371</f>
        <v/>
      </c>
      <c r="F3371">
        <f>MIN(E3371*337100,10000)</f>
        <v/>
      </c>
      <c r="G3371">
        <f>MINIFS(CBIC_Late_Fee_Relief_Windows_3B!$O$3371:$O$100,CBIC_Late_Fee_Relief_Windows_3B!$D$3371:$D$100,"&lt;="&amp;B3371,CBIC_Late_Fee_Relief_Windows_3B!$E$3371:$E$100,"&gt;="&amp;B3371,CBIC_Late_Fee_Relief_Windows_3B!$F$3371:$F$100,"&lt;="&amp;C3371,CBIC_Late_Fee_Relief_Windows_3B!$G$3371:$G$100,"&gt;="&amp;C3371)</f>
        <v/>
      </c>
      <c r="H3371">
        <f>INDEX(CBIC_Late_Fee_Relief_Windows_3B!$I$3371:$I$100,MATCH(G3371,CBIC_Late_Fee_Relief_Windows_3B!$O$3371:$O$100,0))</f>
        <v/>
      </c>
      <c r="I3371">
        <f>MIN(F3371,H3371)</f>
        <v/>
      </c>
    </row>
    <row r="3372">
      <c r="A3372">
        <f>TEST_DATA!A3372</f>
        <v/>
      </c>
      <c r="B3372">
        <f>TEST_DATA!B3372</f>
        <v/>
      </c>
      <c r="C3372">
        <f>TEST_DATA!C3372</f>
        <v/>
      </c>
      <c r="D3372">
        <f>TEST_DATA!D3372</f>
        <v/>
      </c>
      <c r="E3372">
        <f>TEST_DATA!E3372</f>
        <v/>
      </c>
      <c r="F3372">
        <f>MIN(E3372*337200,10000)</f>
        <v/>
      </c>
      <c r="G3372">
        <f>MINIFS(CBIC_Late_Fee_Relief_Windows_3B!$O$3372:$O$100,CBIC_Late_Fee_Relief_Windows_3B!$D$3372:$D$100,"&lt;="&amp;B3372,CBIC_Late_Fee_Relief_Windows_3B!$E$3372:$E$100,"&gt;="&amp;B3372,CBIC_Late_Fee_Relief_Windows_3B!$F$3372:$F$100,"&lt;="&amp;C3372,CBIC_Late_Fee_Relief_Windows_3B!$G$3372:$G$100,"&gt;="&amp;C3372)</f>
        <v/>
      </c>
      <c r="H3372">
        <f>INDEX(CBIC_Late_Fee_Relief_Windows_3B!$I$3372:$I$100,MATCH(G3372,CBIC_Late_Fee_Relief_Windows_3B!$O$3372:$O$100,0))</f>
        <v/>
      </c>
      <c r="I3372">
        <f>MIN(F3372,H3372)</f>
        <v/>
      </c>
    </row>
    <row r="3373">
      <c r="A3373">
        <f>TEST_DATA!A3373</f>
        <v/>
      </c>
      <c r="B3373">
        <f>TEST_DATA!B3373</f>
        <v/>
      </c>
      <c r="C3373">
        <f>TEST_DATA!C3373</f>
        <v/>
      </c>
      <c r="D3373">
        <f>TEST_DATA!D3373</f>
        <v/>
      </c>
      <c r="E3373">
        <f>TEST_DATA!E3373</f>
        <v/>
      </c>
      <c r="F3373">
        <f>MIN(E3373*337300,10000)</f>
        <v/>
      </c>
      <c r="G3373">
        <f>MINIFS(CBIC_Late_Fee_Relief_Windows_3B!$O$3373:$O$100,CBIC_Late_Fee_Relief_Windows_3B!$D$3373:$D$100,"&lt;="&amp;B3373,CBIC_Late_Fee_Relief_Windows_3B!$E$3373:$E$100,"&gt;="&amp;B3373,CBIC_Late_Fee_Relief_Windows_3B!$F$3373:$F$100,"&lt;="&amp;C3373,CBIC_Late_Fee_Relief_Windows_3B!$G$3373:$G$100,"&gt;="&amp;C3373)</f>
        <v/>
      </c>
      <c r="H3373">
        <f>INDEX(CBIC_Late_Fee_Relief_Windows_3B!$I$3373:$I$100,MATCH(G3373,CBIC_Late_Fee_Relief_Windows_3B!$O$3373:$O$100,0))</f>
        <v/>
      </c>
      <c r="I3373">
        <f>MIN(F3373,H3373)</f>
        <v/>
      </c>
    </row>
    <row r="3374">
      <c r="A3374">
        <f>TEST_DATA!A3374</f>
        <v/>
      </c>
      <c r="B3374">
        <f>TEST_DATA!B3374</f>
        <v/>
      </c>
      <c r="C3374">
        <f>TEST_DATA!C3374</f>
        <v/>
      </c>
      <c r="D3374">
        <f>TEST_DATA!D3374</f>
        <v/>
      </c>
      <c r="E3374">
        <f>TEST_DATA!E3374</f>
        <v/>
      </c>
      <c r="F3374">
        <f>MIN(E3374*337400,10000)</f>
        <v/>
      </c>
      <c r="G3374">
        <f>MINIFS(CBIC_Late_Fee_Relief_Windows_3B!$O$3374:$O$100,CBIC_Late_Fee_Relief_Windows_3B!$D$3374:$D$100,"&lt;="&amp;B3374,CBIC_Late_Fee_Relief_Windows_3B!$E$3374:$E$100,"&gt;="&amp;B3374,CBIC_Late_Fee_Relief_Windows_3B!$F$3374:$F$100,"&lt;="&amp;C3374,CBIC_Late_Fee_Relief_Windows_3B!$G$3374:$G$100,"&gt;="&amp;C3374)</f>
        <v/>
      </c>
      <c r="H3374">
        <f>INDEX(CBIC_Late_Fee_Relief_Windows_3B!$I$3374:$I$100,MATCH(G3374,CBIC_Late_Fee_Relief_Windows_3B!$O$3374:$O$100,0))</f>
        <v/>
      </c>
      <c r="I3374">
        <f>MIN(F3374,H3374)</f>
        <v/>
      </c>
    </row>
    <row r="3375">
      <c r="A3375">
        <f>TEST_DATA!A3375</f>
        <v/>
      </c>
      <c r="B3375">
        <f>TEST_DATA!B3375</f>
        <v/>
      </c>
      <c r="C3375">
        <f>TEST_DATA!C3375</f>
        <v/>
      </c>
      <c r="D3375">
        <f>TEST_DATA!D3375</f>
        <v/>
      </c>
      <c r="E3375">
        <f>TEST_DATA!E3375</f>
        <v/>
      </c>
      <c r="F3375">
        <f>MIN(E3375*337500,10000)</f>
        <v/>
      </c>
      <c r="G3375">
        <f>MINIFS(CBIC_Late_Fee_Relief_Windows_3B!$O$3375:$O$100,CBIC_Late_Fee_Relief_Windows_3B!$D$3375:$D$100,"&lt;="&amp;B3375,CBIC_Late_Fee_Relief_Windows_3B!$E$3375:$E$100,"&gt;="&amp;B3375,CBIC_Late_Fee_Relief_Windows_3B!$F$3375:$F$100,"&lt;="&amp;C3375,CBIC_Late_Fee_Relief_Windows_3B!$G$3375:$G$100,"&gt;="&amp;C3375)</f>
        <v/>
      </c>
      <c r="H3375">
        <f>INDEX(CBIC_Late_Fee_Relief_Windows_3B!$I$3375:$I$100,MATCH(G3375,CBIC_Late_Fee_Relief_Windows_3B!$O$3375:$O$100,0))</f>
        <v/>
      </c>
      <c r="I3375">
        <f>MIN(F3375,H3375)</f>
        <v/>
      </c>
    </row>
    <row r="3376">
      <c r="A3376">
        <f>TEST_DATA!A3376</f>
        <v/>
      </c>
      <c r="B3376">
        <f>TEST_DATA!B3376</f>
        <v/>
      </c>
      <c r="C3376">
        <f>TEST_DATA!C3376</f>
        <v/>
      </c>
      <c r="D3376">
        <f>TEST_DATA!D3376</f>
        <v/>
      </c>
      <c r="E3376">
        <f>TEST_DATA!E3376</f>
        <v/>
      </c>
      <c r="F3376">
        <f>MIN(E3376*337600,10000)</f>
        <v/>
      </c>
      <c r="G3376">
        <f>MINIFS(CBIC_Late_Fee_Relief_Windows_3B!$O$3376:$O$100,CBIC_Late_Fee_Relief_Windows_3B!$D$3376:$D$100,"&lt;="&amp;B3376,CBIC_Late_Fee_Relief_Windows_3B!$E$3376:$E$100,"&gt;="&amp;B3376,CBIC_Late_Fee_Relief_Windows_3B!$F$3376:$F$100,"&lt;="&amp;C3376,CBIC_Late_Fee_Relief_Windows_3B!$G$3376:$G$100,"&gt;="&amp;C3376)</f>
        <v/>
      </c>
      <c r="H3376">
        <f>INDEX(CBIC_Late_Fee_Relief_Windows_3B!$I$3376:$I$100,MATCH(G3376,CBIC_Late_Fee_Relief_Windows_3B!$O$3376:$O$100,0))</f>
        <v/>
      </c>
      <c r="I3376">
        <f>MIN(F3376,H3376)</f>
        <v/>
      </c>
    </row>
    <row r="3377">
      <c r="A3377">
        <f>TEST_DATA!A3377</f>
        <v/>
      </c>
      <c r="B3377">
        <f>TEST_DATA!B3377</f>
        <v/>
      </c>
      <c r="C3377">
        <f>TEST_DATA!C3377</f>
        <v/>
      </c>
      <c r="D3377">
        <f>TEST_DATA!D3377</f>
        <v/>
      </c>
      <c r="E3377">
        <f>TEST_DATA!E3377</f>
        <v/>
      </c>
      <c r="F3377">
        <f>MIN(E3377*337700,10000)</f>
        <v/>
      </c>
      <c r="G3377">
        <f>MINIFS(CBIC_Late_Fee_Relief_Windows_3B!$O$3377:$O$100,CBIC_Late_Fee_Relief_Windows_3B!$D$3377:$D$100,"&lt;="&amp;B3377,CBIC_Late_Fee_Relief_Windows_3B!$E$3377:$E$100,"&gt;="&amp;B3377,CBIC_Late_Fee_Relief_Windows_3B!$F$3377:$F$100,"&lt;="&amp;C3377,CBIC_Late_Fee_Relief_Windows_3B!$G$3377:$G$100,"&gt;="&amp;C3377)</f>
        <v/>
      </c>
      <c r="H3377">
        <f>INDEX(CBIC_Late_Fee_Relief_Windows_3B!$I$3377:$I$100,MATCH(G3377,CBIC_Late_Fee_Relief_Windows_3B!$O$3377:$O$100,0))</f>
        <v/>
      </c>
      <c r="I3377">
        <f>MIN(F3377,H3377)</f>
        <v/>
      </c>
    </row>
    <row r="3378">
      <c r="A3378">
        <f>TEST_DATA!A3378</f>
        <v/>
      </c>
      <c r="B3378">
        <f>TEST_DATA!B3378</f>
        <v/>
      </c>
      <c r="C3378">
        <f>TEST_DATA!C3378</f>
        <v/>
      </c>
      <c r="D3378">
        <f>TEST_DATA!D3378</f>
        <v/>
      </c>
      <c r="E3378">
        <f>TEST_DATA!E3378</f>
        <v/>
      </c>
      <c r="F3378">
        <f>MIN(E3378*337800,10000)</f>
        <v/>
      </c>
      <c r="G3378">
        <f>MINIFS(CBIC_Late_Fee_Relief_Windows_3B!$O$3378:$O$100,CBIC_Late_Fee_Relief_Windows_3B!$D$3378:$D$100,"&lt;="&amp;B3378,CBIC_Late_Fee_Relief_Windows_3B!$E$3378:$E$100,"&gt;="&amp;B3378,CBIC_Late_Fee_Relief_Windows_3B!$F$3378:$F$100,"&lt;="&amp;C3378,CBIC_Late_Fee_Relief_Windows_3B!$G$3378:$G$100,"&gt;="&amp;C3378)</f>
        <v/>
      </c>
      <c r="H3378">
        <f>INDEX(CBIC_Late_Fee_Relief_Windows_3B!$I$3378:$I$100,MATCH(G3378,CBIC_Late_Fee_Relief_Windows_3B!$O$3378:$O$100,0))</f>
        <v/>
      </c>
      <c r="I3378">
        <f>MIN(F3378,H3378)</f>
        <v/>
      </c>
    </row>
    <row r="3379">
      <c r="A3379">
        <f>TEST_DATA!A3379</f>
        <v/>
      </c>
      <c r="B3379">
        <f>TEST_DATA!B3379</f>
        <v/>
      </c>
      <c r="C3379">
        <f>TEST_DATA!C3379</f>
        <v/>
      </c>
      <c r="D3379">
        <f>TEST_DATA!D3379</f>
        <v/>
      </c>
      <c r="E3379">
        <f>TEST_DATA!E3379</f>
        <v/>
      </c>
      <c r="F3379">
        <f>MIN(E3379*337900,10000)</f>
        <v/>
      </c>
      <c r="G3379">
        <f>MINIFS(CBIC_Late_Fee_Relief_Windows_3B!$O$3379:$O$100,CBIC_Late_Fee_Relief_Windows_3B!$D$3379:$D$100,"&lt;="&amp;B3379,CBIC_Late_Fee_Relief_Windows_3B!$E$3379:$E$100,"&gt;="&amp;B3379,CBIC_Late_Fee_Relief_Windows_3B!$F$3379:$F$100,"&lt;="&amp;C3379,CBIC_Late_Fee_Relief_Windows_3B!$G$3379:$G$100,"&gt;="&amp;C3379)</f>
        <v/>
      </c>
      <c r="H3379">
        <f>INDEX(CBIC_Late_Fee_Relief_Windows_3B!$I$3379:$I$100,MATCH(G3379,CBIC_Late_Fee_Relief_Windows_3B!$O$3379:$O$100,0))</f>
        <v/>
      </c>
      <c r="I3379">
        <f>MIN(F3379,H3379)</f>
        <v/>
      </c>
    </row>
    <row r="3380">
      <c r="A3380">
        <f>TEST_DATA!A3380</f>
        <v/>
      </c>
      <c r="B3380">
        <f>TEST_DATA!B3380</f>
        <v/>
      </c>
      <c r="C3380">
        <f>TEST_DATA!C3380</f>
        <v/>
      </c>
      <c r="D3380">
        <f>TEST_DATA!D3380</f>
        <v/>
      </c>
      <c r="E3380">
        <f>TEST_DATA!E3380</f>
        <v/>
      </c>
      <c r="F3380">
        <f>MIN(E3380*338000,10000)</f>
        <v/>
      </c>
      <c r="G3380">
        <f>MINIFS(CBIC_Late_Fee_Relief_Windows_3B!$O$3380:$O$100,CBIC_Late_Fee_Relief_Windows_3B!$D$3380:$D$100,"&lt;="&amp;B3380,CBIC_Late_Fee_Relief_Windows_3B!$E$3380:$E$100,"&gt;="&amp;B3380,CBIC_Late_Fee_Relief_Windows_3B!$F$3380:$F$100,"&lt;="&amp;C3380,CBIC_Late_Fee_Relief_Windows_3B!$G$3380:$G$100,"&gt;="&amp;C3380)</f>
        <v/>
      </c>
      <c r="H3380">
        <f>INDEX(CBIC_Late_Fee_Relief_Windows_3B!$I$3380:$I$100,MATCH(G3380,CBIC_Late_Fee_Relief_Windows_3B!$O$3380:$O$100,0))</f>
        <v/>
      </c>
      <c r="I3380">
        <f>MIN(F3380,H3380)</f>
        <v/>
      </c>
    </row>
    <row r="3381">
      <c r="A3381">
        <f>TEST_DATA!A3381</f>
        <v/>
      </c>
      <c r="B3381">
        <f>TEST_DATA!B3381</f>
        <v/>
      </c>
      <c r="C3381">
        <f>TEST_DATA!C3381</f>
        <v/>
      </c>
      <c r="D3381">
        <f>TEST_DATA!D3381</f>
        <v/>
      </c>
      <c r="E3381">
        <f>TEST_DATA!E3381</f>
        <v/>
      </c>
      <c r="F3381">
        <f>MIN(E3381*338100,10000)</f>
        <v/>
      </c>
      <c r="G3381">
        <f>MINIFS(CBIC_Late_Fee_Relief_Windows_3B!$O$3381:$O$100,CBIC_Late_Fee_Relief_Windows_3B!$D$3381:$D$100,"&lt;="&amp;B3381,CBIC_Late_Fee_Relief_Windows_3B!$E$3381:$E$100,"&gt;="&amp;B3381,CBIC_Late_Fee_Relief_Windows_3B!$F$3381:$F$100,"&lt;="&amp;C3381,CBIC_Late_Fee_Relief_Windows_3B!$G$3381:$G$100,"&gt;="&amp;C3381)</f>
        <v/>
      </c>
      <c r="H3381">
        <f>INDEX(CBIC_Late_Fee_Relief_Windows_3B!$I$3381:$I$100,MATCH(G3381,CBIC_Late_Fee_Relief_Windows_3B!$O$3381:$O$100,0))</f>
        <v/>
      </c>
      <c r="I3381">
        <f>MIN(F3381,H3381)</f>
        <v/>
      </c>
    </row>
    <row r="3382">
      <c r="A3382">
        <f>TEST_DATA!A3382</f>
        <v/>
      </c>
      <c r="B3382">
        <f>TEST_DATA!B3382</f>
        <v/>
      </c>
      <c r="C3382">
        <f>TEST_DATA!C3382</f>
        <v/>
      </c>
      <c r="D3382">
        <f>TEST_DATA!D3382</f>
        <v/>
      </c>
      <c r="E3382">
        <f>TEST_DATA!E3382</f>
        <v/>
      </c>
      <c r="F3382">
        <f>MIN(E3382*338200,10000)</f>
        <v/>
      </c>
      <c r="G3382">
        <f>MINIFS(CBIC_Late_Fee_Relief_Windows_3B!$O$3382:$O$100,CBIC_Late_Fee_Relief_Windows_3B!$D$3382:$D$100,"&lt;="&amp;B3382,CBIC_Late_Fee_Relief_Windows_3B!$E$3382:$E$100,"&gt;="&amp;B3382,CBIC_Late_Fee_Relief_Windows_3B!$F$3382:$F$100,"&lt;="&amp;C3382,CBIC_Late_Fee_Relief_Windows_3B!$G$3382:$G$100,"&gt;="&amp;C3382)</f>
        <v/>
      </c>
      <c r="H3382">
        <f>INDEX(CBIC_Late_Fee_Relief_Windows_3B!$I$3382:$I$100,MATCH(G3382,CBIC_Late_Fee_Relief_Windows_3B!$O$3382:$O$100,0))</f>
        <v/>
      </c>
      <c r="I3382">
        <f>MIN(F3382,H3382)</f>
        <v/>
      </c>
    </row>
    <row r="3383">
      <c r="A3383">
        <f>TEST_DATA!A3383</f>
        <v/>
      </c>
      <c r="B3383">
        <f>TEST_DATA!B3383</f>
        <v/>
      </c>
      <c r="C3383">
        <f>TEST_DATA!C3383</f>
        <v/>
      </c>
      <c r="D3383">
        <f>TEST_DATA!D3383</f>
        <v/>
      </c>
      <c r="E3383">
        <f>TEST_DATA!E3383</f>
        <v/>
      </c>
      <c r="F3383">
        <f>MIN(E3383*338300,10000)</f>
        <v/>
      </c>
      <c r="G3383">
        <f>MINIFS(CBIC_Late_Fee_Relief_Windows_3B!$O$3383:$O$100,CBIC_Late_Fee_Relief_Windows_3B!$D$3383:$D$100,"&lt;="&amp;B3383,CBIC_Late_Fee_Relief_Windows_3B!$E$3383:$E$100,"&gt;="&amp;B3383,CBIC_Late_Fee_Relief_Windows_3B!$F$3383:$F$100,"&lt;="&amp;C3383,CBIC_Late_Fee_Relief_Windows_3B!$G$3383:$G$100,"&gt;="&amp;C3383)</f>
        <v/>
      </c>
      <c r="H3383">
        <f>INDEX(CBIC_Late_Fee_Relief_Windows_3B!$I$3383:$I$100,MATCH(G3383,CBIC_Late_Fee_Relief_Windows_3B!$O$3383:$O$100,0))</f>
        <v/>
      </c>
      <c r="I3383">
        <f>MIN(F3383,H3383)</f>
        <v/>
      </c>
    </row>
    <row r="3384">
      <c r="A3384">
        <f>TEST_DATA!A3384</f>
        <v/>
      </c>
      <c r="B3384">
        <f>TEST_DATA!B3384</f>
        <v/>
      </c>
      <c r="C3384">
        <f>TEST_DATA!C3384</f>
        <v/>
      </c>
      <c r="D3384">
        <f>TEST_DATA!D3384</f>
        <v/>
      </c>
      <c r="E3384">
        <f>TEST_DATA!E3384</f>
        <v/>
      </c>
      <c r="F3384">
        <f>MIN(E3384*338400,10000)</f>
        <v/>
      </c>
      <c r="G3384">
        <f>MINIFS(CBIC_Late_Fee_Relief_Windows_3B!$O$3384:$O$100,CBIC_Late_Fee_Relief_Windows_3B!$D$3384:$D$100,"&lt;="&amp;B3384,CBIC_Late_Fee_Relief_Windows_3B!$E$3384:$E$100,"&gt;="&amp;B3384,CBIC_Late_Fee_Relief_Windows_3B!$F$3384:$F$100,"&lt;="&amp;C3384,CBIC_Late_Fee_Relief_Windows_3B!$G$3384:$G$100,"&gt;="&amp;C3384)</f>
        <v/>
      </c>
      <c r="H3384">
        <f>INDEX(CBIC_Late_Fee_Relief_Windows_3B!$I$3384:$I$100,MATCH(G3384,CBIC_Late_Fee_Relief_Windows_3B!$O$3384:$O$100,0))</f>
        <v/>
      </c>
      <c r="I3384">
        <f>MIN(F3384,H3384)</f>
        <v/>
      </c>
    </row>
    <row r="3385">
      <c r="A3385">
        <f>TEST_DATA!A3385</f>
        <v/>
      </c>
      <c r="B3385">
        <f>TEST_DATA!B3385</f>
        <v/>
      </c>
      <c r="C3385">
        <f>TEST_DATA!C3385</f>
        <v/>
      </c>
      <c r="D3385">
        <f>TEST_DATA!D3385</f>
        <v/>
      </c>
      <c r="E3385">
        <f>TEST_DATA!E3385</f>
        <v/>
      </c>
      <c r="F3385">
        <f>MIN(E3385*338500,10000)</f>
        <v/>
      </c>
      <c r="G3385">
        <f>MINIFS(CBIC_Late_Fee_Relief_Windows_3B!$O$3385:$O$100,CBIC_Late_Fee_Relief_Windows_3B!$D$3385:$D$100,"&lt;="&amp;B3385,CBIC_Late_Fee_Relief_Windows_3B!$E$3385:$E$100,"&gt;="&amp;B3385,CBIC_Late_Fee_Relief_Windows_3B!$F$3385:$F$100,"&lt;="&amp;C3385,CBIC_Late_Fee_Relief_Windows_3B!$G$3385:$G$100,"&gt;="&amp;C3385)</f>
        <v/>
      </c>
      <c r="H3385">
        <f>INDEX(CBIC_Late_Fee_Relief_Windows_3B!$I$3385:$I$100,MATCH(G3385,CBIC_Late_Fee_Relief_Windows_3B!$O$3385:$O$100,0))</f>
        <v/>
      </c>
      <c r="I3385">
        <f>MIN(F3385,H3385)</f>
        <v/>
      </c>
    </row>
    <row r="3386">
      <c r="A3386">
        <f>TEST_DATA!A3386</f>
        <v/>
      </c>
      <c r="B3386">
        <f>TEST_DATA!B3386</f>
        <v/>
      </c>
      <c r="C3386">
        <f>TEST_DATA!C3386</f>
        <v/>
      </c>
      <c r="D3386">
        <f>TEST_DATA!D3386</f>
        <v/>
      </c>
      <c r="E3386">
        <f>TEST_DATA!E3386</f>
        <v/>
      </c>
      <c r="F3386">
        <f>MIN(E3386*338600,10000)</f>
        <v/>
      </c>
      <c r="G3386">
        <f>MINIFS(CBIC_Late_Fee_Relief_Windows_3B!$O$3386:$O$100,CBIC_Late_Fee_Relief_Windows_3B!$D$3386:$D$100,"&lt;="&amp;B3386,CBIC_Late_Fee_Relief_Windows_3B!$E$3386:$E$100,"&gt;="&amp;B3386,CBIC_Late_Fee_Relief_Windows_3B!$F$3386:$F$100,"&lt;="&amp;C3386,CBIC_Late_Fee_Relief_Windows_3B!$G$3386:$G$100,"&gt;="&amp;C3386)</f>
        <v/>
      </c>
      <c r="H3386">
        <f>INDEX(CBIC_Late_Fee_Relief_Windows_3B!$I$3386:$I$100,MATCH(G3386,CBIC_Late_Fee_Relief_Windows_3B!$O$3386:$O$100,0))</f>
        <v/>
      </c>
      <c r="I3386">
        <f>MIN(F3386,H3386)</f>
        <v/>
      </c>
    </row>
    <row r="3387">
      <c r="A3387">
        <f>TEST_DATA!A3387</f>
        <v/>
      </c>
      <c r="B3387">
        <f>TEST_DATA!B3387</f>
        <v/>
      </c>
      <c r="C3387">
        <f>TEST_DATA!C3387</f>
        <v/>
      </c>
      <c r="D3387">
        <f>TEST_DATA!D3387</f>
        <v/>
      </c>
      <c r="E3387">
        <f>TEST_DATA!E3387</f>
        <v/>
      </c>
      <c r="F3387">
        <f>MIN(E3387*338700,10000)</f>
        <v/>
      </c>
      <c r="G3387">
        <f>MINIFS(CBIC_Late_Fee_Relief_Windows_3B!$O$3387:$O$100,CBIC_Late_Fee_Relief_Windows_3B!$D$3387:$D$100,"&lt;="&amp;B3387,CBIC_Late_Fee_Relief_Windows_3B!$E$3387:$E$100,"&gt;="&amp;B3387,CBIC_Late_Fee_Relief_Windows_3B!$F$3387:$F$100,"&lt;="&amp;C3387,CBIC_Late_Fee_Relief_Windows_3B!$G$3387:$G$100,"&gt;="&amp;C3387)</f>
        <v/>
      </c>
      <c r="H3387">
        <f>INDEX(CBIC_Late_Fee_Relief_Windows_3B!$I$3387:$I$100,MATCH(G3387,CBIC_Late_Fee_Relief_Windows_3B!$O$3387:$O$100,0))</f>
        <v/>
      </c>
      <c r="I3387">
        <f>MIN(F3387,H3387)</f>
        <v/>
      </c>
    </row>
    <row r="3388">
      <c r="A3388">
        <f>TEST_DATA!A3388</f>
        <v/>
      </c>
      <c r="B3388">
        <f>TEST_DATA!B3388</f>
        <v/>
      </c>
      <c r="C3388">
        <f>TEST_DATA!C3388</f>
        <v/>
      </c>
      <c r="D3388">
        <f>TEST_DATA!D3388</f>
        <v/>
      </c>
      <c r="E3388">
        <f>TEST_DATA!E3388</f>
        <v/>
      </c>
      <c r="F3388">
        <f>MIN(E3388*338800,10000)</f>
        <v/>
      </c>
      <c r="G3388">
        <f>MINIFS(CBIC_Late_Fee_Relief_Windows_3B!$O$3388:$O$100,CBIC_Late_Fee_Relief_Windows_3B!$D$3388:$D$100,"&lt;="&amp;B3388,CBIC_Late_Fee_Relief_Windows_3B!$E$3388:$E$100,"&gt;="&amp;B3388,CBIC_Late_Fee_Relief_Windows_3B!$F$3388:$F$100,"&lt;="&amp;C3388,CBIC_Late_Fee_Relief_Windows_3B!$G$3388:$G$100,"&gt;="&amp;C3388)</f>
        <v/>
      </c>
      <c r="H3388">
        <f>INDEX(CBIC_Late_Fee_Relief_Windows_3B!$I$3388:$I$100,MATCH(G3388,CBIC_Late_Fee_Relief_Windows_3B!$O$3388:$O$100,0))</f>
        <v/>
      </c>
      <c r="I3388">
        <f>MIN(F3388,H3388)</f>
        <v/>
      </c>
    </row>
    <row r="3389">
      <c r="A3389">
        <f>TEST_DATA!A3389</f>
        <v/>
      </c>
      <c r="B3389">
        <f>TEST_DATA!B3389</f>
        <v/>
      </c>
      <c r="C3389">
        <f>TEST_DATA!C3389</f>
        <v/>
      </c>
      <c r="D3389">
        <f>TEST_DATA!D3389</f>
        <v/>
      </c>
      <c r="E3389">
        <f>TEST_DATA!E3389</f>
        <v/>
      </c>
      <c r="F3389">
        <f>MIN(E3389*338900,10000)</f>
        <v/>
      </c>
      <c r="G3389">
        <f>MINIFS(CBIC_Late_Fee_Relief_Windows_3B!$O$3389:$O$100,CBIC_Late_Fee_Relief_Windows_3B!$D$3389:$D$100,"&lt;="&amp;B3389,CBIC_Late_Fee_Relief_Windows_3B!$E$3389:$E$100,"&gt;="&amp;B3389,CBIC_Late_Fee_Relief_Windows_3B!$F$3389:$F$100,"&lt;="&amp;C3389,CBIC_Late_Fee_Relief_Windows_3B!$G$3389:$G$100,"&gt;="&amp;C3389)</f>
        <v/>
      </c>
      <c r="H3389">
        <f>INDEX(CBIC_Late_Fee_Relief_Windows_3B!$I$3389:$I$100,MATCH(G3389,CBIC_Late_Fee_Relief_Windows_3B!$O$3389:$O$100,0))</f>
        <v/>
      </c>
      <c r="I3389">
        <f>MIN(F3389,H3389)</f>
        <v/>
      </c>
    </row>
    <row r="3390">
      <c r="A3390">
        <f>TEST_DATA!A3390</f>
        <v/>
      </c>
      <c r="B3390">
        <f>TEST_DATA!B3390</f>
        <v/>
      </c>
      <c r="C3390">
        <f>TEST_DATA!C3390</f>
        <v/>
      </c>
      <c r="D3390">
        <f>TEST_DATA!D3390</f>
        <v/>
      </c>
      <c r="E3390">
        <f>TEST_DATA!E3390</f>
        <v/>
      </c>
      <c r="F3390">
        <f>MIN(E3390*339000,10000)</f>
        <v/>
      </c>
      <c r="G3390">
        <f>MINIFS(CBIC_Late_Fee_Relief_Windows_3B!$O$3390:$O$100,CBIC_Late_Fee_Relief_Windows_3B!$D$3390:$D$100,"&lt;="&amp;B3390,CBIC_Late_Fee_Relief_Windows_3B!$E$3390:$E$100,"&gt;="&amp;B3390,CBIC_Late_Fee_Relief_Windows_3B!$F$3390:$F$100,"&lt;="&amp;C3390,CBIC_Late_Fee_Relief_Windows_3B!$G$3390:$G$100,"&gt;="&amp;C3390)</f>
        <v/>
      </c>
      <c r="H3390">
        <f>INDEX(CBIC_Late_Fee_Relief_Windows_3B!$I$3390:$I$100,MATCH(G3390,CBIC_Late_Fee_Relief_Windows_3B!$O$3390:$O$100,0))</f>
        <v/>
      </c>
      <c r="I3390">
        <f>MIN(F3390,H3390)</f>
        <v/>
      </c>
    </row>
    <row r="3391">
      <c r="A3391">
        <f>TEST_DATA!A3391</f>
        <v/>
      </c>
      <c r="B3391">
        <f>TEST_DATA!B3391</f>
        <v/>
      </c>
      <c r="C3391">
        <f>TEST_DATA!C3391</f>
        <v/>
      </c>
      <c r="D3391">
        <f>TEST_DATA!D3391</f>
        <v/>
      </c>
      <c r="E3391">
        <f>TEST_DATA!E3391</f>
        <v/>
      </c>
      <c r="F3391">
        <f>MIN(E3391*339100,10000)</f>
        <v/>
      </c>
      <c r="G3391">
        <f>MINIFS(CBIC_Late_Fee_Relief_Windows_3B!$O$3391:$O$100,CBIC_Late_Fee_Relief_Windows_3B!$D$3391:$D$100,"&lt;="&amp;B3391,CBIC_Late_Fee_Relief_Windows_3B!$E$3391:$E$100,"&gt;="&amp;B3391,CBIC_Late_Fee_Relief_Windows_3B!$F$3391:$F$100,"&lt;="&amp;C3391,CBIC_Late_Fee_Relief_Windows_3B!$G$3391:$G$100,"&gt;="&amp;C3391)</f>
        <v/>
      </c>
      <c r="H3391">
        <f>INDEX(CBIC_Late_Fee_Relief_Windows_3B!$I$3391:$I$100,MATCH(G3391,CBIC_Late_Fee_Relief_Windows_3B!$O$3391:$O$100,0))</f>
        <v/>
      </c>
      <c r="I3391">
        <f>MIN(F3391,H3391)</f>
        <v/>
      </c>
    </row>
    <row r="3392">
      <c r="A3392">
        <f>TEST_DATA!A3392</f>
        <v/>
      </c>
      <c r="B3392">
        <f>TEST_DATA!B3392</f>
        <v/>
      </c>
      <c r="C3392">
        <f>TEST_DATA!C3392</f>
        <v/>
      </c>
      <c r="D3392">
        <f>TEST_DATA!D3392</f>
        <v/>
      </c>
      <c r="E3392">
        <f>TEST_DATA!E3392</f>
        <v/>
      </c>
      <c r="F3392">
        <f>MIN(E3392*339200,10000)</f>
        <v/>
      </c>
      <c r="G3392">
        <f>MINIFS(CBIC_Late_Fee_Relief_Windows_3B!$O$3392:$O$100,CBIC_Late_Fee_Relief_Windows_3B!$D$3392:$D$100,"&lt;="&amp;B3392,CBIC_Late_Fee_Relief_Windows_3B!$E$3392:$E$100,"&gt;="&amp;B3392,CBIC_Late_Fee_Relief_Windows_3B!$F$3392:$F$100,"&lt;="&amp;C3392,CBIC_Late_Fee_Relief_Windows_3B!$G$3392:$G$100,"&gt;="&amp;C3392)</f>
        <v/>
      </c>
      <c r="H3392">
        <f>INDEX(CBIC_Late_Fee_Relief_Windows_3B!$I$3392:$I$100,MATCH(G3392,CBIC_Late_Fee_Relief_Windows_3B!$O$3392:$O$100,0))</f>
        <v/>
      </c>
      <c r="I3392">
        <f>MIN(F3392,H3392)</f>
        <v/>
      </c>
    </row>
    <row r="3393">
      <c r="A3393">
        <f>TEST_DATA!A3393</f>
        <v/>
      </c>
      <c r="B3393">
        <f>TEST_DATA!B3393</f>
        <v/>
      </c>
      <c r="C3393">
        <f>TEST_DATA!C3393</f>
        <v/>
      </c>
      <c r="D3393">
        <f>TEST_DATA!D3393</f>
        <v/>
      </c>
      <c r="E3393">
        <f>TEST_DATA!E3393</f>
        <v/>
      </c>
      <c r="F3393">
        <f>MIN(E3393*339300,10000)</f>
        <v/>
      </c>
      <c r="G3393">
        <f>MINIFS(CBIC_Late_Fee_Relief_Windows_3B!$O$3393:$O$100,CBIC_Late_Fee_Relief_Windows_3B!$D$3393:$D$100,"&lt;="&amp;B3393,CBIC_Late_Fee_Relief_Windows_3B!$E$3393:$E$100,"&gt;="&amp;B3393,CBIC_Late_Fee_Relief_Windows_3B!$F$3393:$F$100,"&lt;="&amp;C3393,CBIC_Late_Fee_Relief_Windows_3B!$G$3393:$G$100,"&gt;="&amp;C3393)</f>
        <v/>
      </c>
      <c r="H3393">
        <f>INDEX(CBIC_Late_Fee_Relief_Windows_3B!$I$3393:$I$100,MATCH(G3393,CBIC_Late_Fee_Relief_Windows_3B!$O$3393:$O$100,0))</f>
        <v/>
      </c>
      <c r="I3393">
        <f>MIN(F3393,H3393)</f>
        <v/>
      </c>
    </row>
    <row r="3394">
      <c r="A3394">
        <f>TEST_DATA!A3394</f>
        <v/>
      </c>
      <c r="B3394">
        <f>TEST_DATA!B3394</f>
        <v/>
      </c>
      <c r="C3394">
        <f>TEST_DATA!C3394</f>
        <v/>
      </c>
      <c r="D3394">
        <f>TEST_DATA!D3394</f>
        <v/>
      </c>
      <c r="E3394">
        <f>TEST_DATA!E3394</f>
        <v/>
      </c>
      <c r="F3394">
        <f>MIN(E3394*339400,10000)</f>
        <v/>
      </c>
      <c r="G3394">
        <f>MINIFS(CBIC_Late_Fee_Relief_Windows_3B!$O$3394:$O$100,CBIC_Late_Fee_Relief_Windows_3B!$D$3394:$D$100,"&lt;="&amp;B3394,CBIC_Late_Fee_Relief_Windows_3B!$E$3394:$E$100,"&gt;="&amp;B3394,CBIC_Late_Fee_Relief_Windows_3B!$F$3394:$F$100,"&lt;="&amp;C3394,CBIC_Late_Fee_Relief_Windows_3B!$G$3394:$G$100,"&gt;="&amp;C3394)</f>
        <v/>
      </c>
      <c r="H3394">
        <f>INDEX(CBIC_Late_Fee_Relief_Windows_3B!$I$3394:$I$100,MATCH(G3394,CBIC_Late_Fee_Relief_Windows_3B!$O$3394:$O$100,0))</f>
        <v/>
      </c>
      <c r="I3394">
        <f>MIN(F3394,H3394)</f>
        <v/>
      </c>
    </row>
    <row r="3395">
      <c r="A3395">
        <f>TEST_DATA!A3395</f>
        <v/>
      </c>
      <c r="B3395">
        <f>TEST_DATA!B3395</f>
        <v/>
      </c>
      <c r="C3395">
        <f>TEST_DATA!C3395</f>
        <v/>
      </c>
      <c r="D3395">
        <f>TEST_DATA!D3395</f>
        <v/>
      </c>
      <c r="E3395">
        <f>TEST_DATA!E3395</f>
        <v/>
      </c>
      <c r="F3395">
        <f>MIN(E3395*339500,10000)</f>
        <v/>
      </c>
      <c r="G3395">
        <f>MINIFS(CBIC_Late_Fee_Relief_Windows_3B!$O$3395:$O$100,CBIC_Late_Fee_Relief_Windows_3B!$D$3395:$D$100,"&lt;="&amp;B3395,CBIC_Late_Fee_Relief_Windows_3B!$E$3395:$E$100,"&gt;="&amp;B3395,CBIC_Late_Fee_Relief_Windows_3B!$F$3395:$F$100,"&lt;="&amp;C3395,CBIC_Late_Fee_Relief_Windows_3B!$G$3395:$G$100,"&gt;="&amp;C3395)</f>
        <v/>
      </c>
      <c r="H3395">
        <f>INDEX(CBIC_Late_Fee_Relief_Windows_3B!$I$3395:$I$100,MATCH(G3395,CBIC_Late_Fee_Relief_Windows_3B!$O$3395:$O$100,0))</f>
        <v/>
      </c>
      <c r="I3395">
        <f>MIN(F3395,H3395)</f>
        <v/>
      </c>
    </row>
    <row r="3396">
      <c r="A3396">
        <f>TEST_DATA!A3396</f>
        <v/>
      </c>
      <c r="B3396">
        <f>TEST_DATA!B3396</f>
        <v/>
      </c>
      <c r="C3396">
        <f>TEST_DATA!C3396</f>
        <v/>
      </c>
      <c r="D3396">
        <f>TEST_DATA!D3396</f>
        <v/>
      </c>
      <c r="E3396">
        <f>TEST_DATA!E3396</f>
        <v/>
      </c>
      <c r="F3396">
        <f>MIN(E3396*339600,10000)</f>
        <v/>
      </c>
      <c r="G3396">
        <f>MINIFS(CBIC_Late_Fee_Relief_Windows_3B!$O$3396:$O$100,CBIC_Late_Fee_Relief_Windows_3B!$D$3396:$D$100,"&lt;="&amp;B3396,CBIC_Late_Fee_Relief_Windows_3B!$E$3396:$E$100,"&gt;="&amp;B3396,CBIC_Late_Fee_Relief_Windows_3B!$F$3396:$F$100,"&lt;="&amp;C3396,CBIC_Late_Fee_Relief_Windows_3B!$G$3396:$G$100,"&gt;="&amp;C3396)</f>
        <v/>
      </c>
      <c r="H3396">
        <f>INDEX(CBIC_Late_Fee_Relief_Windows_3B!$I$3396:$I$100,MATCH(G3396,CBIC_Late_Fee_Relief_Windows_3B!$O$3396:$O$100,0))</f>
        <v/>
      </c>
      <c r="I3396">
        <f>MIN(F3396,H3396)</f>
        <v/>
      </c>
    </row>
    <row r="3397">
      <c r="A3397">
        <f>TEST_DATA!A3397</f>
        <v/>
      </c>
      <c r="B3397">
        <f>TEST_DATA!B3397</f>
        <v/>
      </c>
      <c r="C3397">
        <f>TEST_DATA!C3397</f>
        <v/>
      </c>
      <c r="D3397">
        <f>TEST_DATA!D3397</f>
        <v/>
      </c>
      <c r="E3397">
        <f>TEST_DATA!E3397</f>
        <v/>
      </c>
      <c r="F3397">
        <f>MIN(E3397*339700,10000)</f>
        <v/>
      </c>
      <c r="G3397">
        <f>MINIFS(CBIC_Late_Fee_Relief_Windows_3B!$O$3397:$O$100,CBIC_Late_Fee_Relief_Windows_3B!$D$3397:$D$100,"&lt;="&amp;B3397,CBIC_Late_Fee_Relief_Windows_3B!$E$3397:$E$100,"&gt;="&amp;B3397,CBIC_Late_Fee_Relief_Windows_3B!$F$3397:$F$100,"&lt;="&amp;C3397,CBIC_Late_Fee_Relief_Windows_3B!$G$3397:$G$100,"&gt;="&amp;C3397)</f>
        <v/>
      </c>
      <c r="H3397">
        <f>INDEX(CBIC_Late_Fee_Relief_Windows_3B!$I$3397:$I$100,MATCH(G3397,CBIC_Late_Fee_Relief_Windows_3B!$O$3397:$O$100,0))</f>
        <v/>
      </c>
      <c r="I3397">
        <f>MIN(F3397,H3397)</f>
        <v/>
      </c>
    </row>
    <row r="3398">
      <c r="A3398">
        <f>TEST_DATA!A3398</f>
        <v/>
      </c>
      <c r="B3398">
        <f>TEST_DATA!B3398</f>
        <v/>
      </c>
      <c r="C3398">
        <f>TEST_DATA!C3398</f>
        <v/>
      </c>
      <c r="D3398">
        <f>TEST_DATA!D3398</f>
        <v/>
      </c>
      <c r="E3398">
        <f>TEST_DATA!E3398</f>
        <v/>
      </c>
      <c r="F3398">
        <f>MIN(E3398*339800,10000)</f>
        <v/>
      </c>
      <c r="G3398">
        <f>MINIFS(CBIC_Late_Fee_Relief_Windows_3B!$O$3398:$O$100,CBIC_Late_Fee_Relief_Windows_3B!$D$3398:$D$100,"&lt;="&amp;B3398,CBIC_Late_Fee_Relief_Windows_3B!$E$3398:$E$100,"&gt;="&amp;B3398,CBIC_Late_Fee_Relief_Windows_3B!$F$3398:$F$100,"&lt;="&amp;C3398,CBIC_Late_Fee_Relief_Windows_3B!$G$3398:$G$100,"&gt;="&amp;C3398)</f>
        <v/>
      </c>
      <c r="H3398">
        <f>INDEX(CBIC_Late_Fee_Relief_Windows_3B!$I$3398:$I$100,MATCH(G3398,CBIC_Late_Fee_Relief_Windows_3B!$O$3398:$O$100,0))</f>
        <v/>
      </c>
      <c r="I3398">
        <f>MIN(F3398,H3398)</f>
        <v/>
      </c>
    </row>
    <row r="3399">
      <c r="A3399">
        <f>TEST_DATA!A3399</f>
        <v/>
      </c>
      <c r="B3399">
        <f>TEST_DATA!B3399</f>
        <v/>
      </c>
      <c r="C3399">
        <f>TEST_DATA!C3399</f>
        <v/>
      </c>
      <c r="D3399">
        <f>TEST_DATA!D3399</f>
        <v/>
      </c>
      <c r="E3399">
        <f>TEST_DATA!E3399</f>
        <v/>
      </c>
      <c r="F3399">
        <f>MIN(E3399*339900,10000)</f>
        <v/>
      </c>
      <c r="G3399">
        <f>MINIFS(CBIC_Late_Fee_Relief_Windows_3B!$O$3399:$O$100,CBIC_Late_Fee_Relief_Windows_3B!$D$3399:$D$100,"&lt;="&amp;B3399,CBIC_Late_Fee_Relief_Windows_3B!$E$3399:$E$100,"&gt;="&amp;B3399,CBIC_Late_Fee_Relief_Windows_3B!$F$3399:$F$100,"&lt;="&amp;C3399,CBIC_Late_Fee_Relief_Windows_3B!$G$3399:$G$100,"&gt;="&amp;C3399)</f>
        <v/>
      </c>
      <c r="H3399">
        <f>INDEX(CBIC_Late_Fee_Relief_Windows_3B!$I$3399:$I$100,MATCH(G3399,CBIC_Late_Fee_Relief_Windows_3B!$O$3399:$O$100,0))</f>
        <v/>
      </c>
      <c r="I3399">
        <f>MIN(F3399,H3399)</f>
        <v/>
      </c>
    </row>
    <row r="3400">
      <c r="A3400">
        <f>TEST_DATA!A3400</f>
        <v/>
      </c>
      <c r="B3400">
        <f>TEST_DATA!B3400</f>
        <v/>
      </c>
      <c r="C3400">
        <f>TEST_DATA!C3400</f>
        <v/>
      </c>
      <c r="D3400">
        <f>TEST_DATA!D3400</f>
        <v/>
      </c>
      <c r="E3400">
        <f>TEST_DATA!E3400</f>
        <v/>
      </c>
      <c r="F3400">
        <f>MIN(E3400*340000,10000)</f>
        <v/>
      </c>
      <c r="G3400">
        <f>MINIFS(CBIC_Late_Fee_Relief_Windows_3B!$O$3400:$O$100,CBIC_Late_Fee_Relief_Windows_3B!$D$3400:$D$100,"&lt;="&amp;B3400,CBIC_Late_Fee_Relief_Windows_3B!$E$3400:$E$100,"&gt;="&amp;B3400,CBIC_Late_Fee_Relief_Windows_3B!$F$3400:$F$100,"&lt;="&amp;C3400,CBIC_Late_Fee_Relief_Windows_3B!$G$3400:$G$100,"&gt;="&amp;C3400)</f>
        <v/>
      </c>
      <c r="H3400">
        <f>INDEX(CBIC_Late_Fee_Relief_Windows_3B!$I$3400:$I$100,MATCH(G3400,CBIC_Late_Fee_Relief_Windows_3B!$O$3400:$O$100,0))</f>
        <v/>
      </c>
      <c r="I3400">
        <f>MIN(F3400,H3400)</f>
        <v/>
      </c>
    </row>
    <row r="3401">
      <c r="A3401">
        <f>TEST_DATA!A3401</f>
        <v/>
      </c>
      <c r="B3401">
        <f>TEST_DATA!B3401</f>
        <v/>
      </c>
      <c r="C3401">
        <f>TEST_DATA!C3401</f>
        <v/>
      </c>
      <c r="D3401">
        <f>TEST_DATA!D3401</f>
        <v/>
      </c>
      <c r="E3401">
        <f>TEST_DATA!E3401</f>
        <v/>
      </c>
      <c r="F3401">
        <f>MIN(E3401*340100,10000)</f>
        <v/>
      </c>
      <c r="G3401">
        <f>MINIFS(CBIC_Late_Fee_Relief_Windows_3B!$O$3401:$O$100,CBIC_Late_Fee_Relief_Windows_3B!$D$3401:$D$100,"&lt;="&amp;B3401,CBIC_Late_Fee_Relief_Windows_3B!$E$3401:$E$100,"&gt;="&amp;B3401,CBIC_Late_Fee_Relief_Windows_3B!$F$3401:$F$100,"&lt;="&amp;C3401,CBIC_Late_Fee_Relief_Windows_3B!$G$3401:$G$100,"&gt;="&amp;C3401)</f>
        <v/>
      </c>
      <c r="H3401">
        <f>INDEX(CBIC_Late_Fee_Relief_Windows_3B!$I$3401:$I$100,MATCH(G3401,CBIC_Late_Fee_Relief_Windows_3B!$O$3401:$O$100,0))</f>
        <v/>
      </c>
      <c r="I3401">
        <f>MIN(F3401,H3401)</f>
        <v/>
      </c>
    </row>
    <row r="3402">
      <c r="A3402">
        <f>TEST_DATA!A3402</f>
        <v/>
      </c>
      <c r="B3402">
        <f>TEST_DATA!B3402</f>
        <v/>
      </c>
      <c r="C3402">
        <f>TEST_DATA!C3402</f>
        <v/>
      </c>
      <c r="D3402">
        <f>TEST_DATA!D3402</f>
        <v/>
      </c>
      <c r="E3402">
        <f>TEST_DATA!E3402</f>
        <v/>
      </c>
      <c r="F3402">
        <f>MIN(E3402*340200,10000)</f>
        <v/>
      </c>
      <c r="G3402">
        <f>MINIFS(CBIC_Late_Fee_Relief_Windows_3B!$O$3402:$O$100,CBIC_Late_Fee_Relief_Windows_3B!$D$3402:$D$100,"&lt;="&amp;B3402,CBIC_Late_Fee_Relief_Windows_3B!$E$3402:$E$100,"&gt;="&amp;B3402,CBIC_Late_Fee_Relief_Windows_3B!$F$3402:$F$100,"&lt;="&amp;C3402,CBIC_Late_Fee_Relief_Windows_3B!$G$3402:$G$100,"&gt;="&amp;C3402)</f>
        <v/>
      </c>
      <c r="H3402">
        <f>INDEX(CBIC_Late_Fee_Relief_Windows_3B!$I$3402:$I$100,MATCH(G3402,CBIC_Late_Fee_Relief_Windows_3B!$O$3402:$O$100,0))</f>
        <v/>
      </c>
      <c r="I3402">
        <f>MIN(F3402,H3402)</f>
        <v/>
      </c>
    </row>
    <row r="3403">
      <c r="A3403">
        <f>TEST_DATA!A3403</f>
        <v/>
      </c>
      <c r="B3403">
        <f>TEST_DATA!B3403</f>
        <v/>
      </c>
      <c r="C3403">
        <f>TEST_DATA!C3403</f>
        <v/>
      </c>
      <c r="D3403">
        <f>TEST_DATA!D3403</f>
        <v/>
      </c>
      <c r="E3403">
        <f>TEST_DATA!E3403</f>
        <v/>
      </c>
      <c r="F3403">
        <f>MIN(E3403*340300,10000)</f>
        <v/>
      </c>
      <c r="G3403">
        <f>MINIFS(CBIC_Late_Fee_Relief_Windows_3B!$O$3403:$O$100,CBIC_Late_Fee_Relief_Windows_3B!$D$3403:$D$100,"&lt;="&amp;B3403,CBIC_Late_Fee_Relief_Windows_3B!$E$3403:$E$100,"&gt;="&amp;B3403,CBIC_Late_Fee_Relief_Windows_3B!$F$3403:$F$100,"&lt;="&amp;C3403,CBIC_Late_Fee_Relief_Windows_3B!$G$3403:$G$100,"&gt;="&amp;C3403)</f>
        <v/>
      </c>
      <c r="H3403">
        <f>INDEX(CBIC_Late_Fee_Relief_Windows_3B!$I$3403:$I$100,MATCH(G3403,CBIC_Late_Fee_Relief_Windows_3B!$O$3403:$O$100,0))</f>
        <v/>
      </c>
      <c r="I3403">
        <f>MIN(F3403,H3403)</f>
        <v/>
      </c>
    </row>
    <row r="3404">
      <c r="A3404">
        <f>TEST_DATA!A3404</f>
        <v/>
      </c>
      <c r="B3404">
        <f>TEST_DATA!B3404</f>
        <v/>
      </c>
      <c r="C3404">
        <f>TEST_DATA!C3404</f>
        <v/>
      </c>
      <c r="D3404">
        <f>TEST_DATA!D3404</f>
        <v/>
      </c>
      <c r="E3404">
        <f>TEST_DATA!E3404</f>
        <v/>
      </c>
      <c r="F3404">
        <f>MIN(E3404*340400,10000)</f>
        <v/>
      </c>
      <c r="G3404">
        <f>MINIFS(CBIC_Late_Fee_Relief_Windows_3B!$O$3404:$O$100,CBIC_Late_Fee_Relief_Windows_3B!$D$3404:$D$100,"&lt;="&amp;B3404,CBIC_Late_Fee_Relief_Windows_3B!$E$3404:$E$100,"&gt;="&amp;B3404,CBIC_Late_Fee_Relief_Windows_3B!$F$3404:$F$100,"&lt;="&amp;C3404,CBIC_Late_Fee_Relief_Windows_3B!$G$3404:$G$100,"&gt;="&amp;C3404)</f>
        <v/>
      </c>
      <c r="H3404">
        <f>INDEX(CBIC_Late_Fee_Relief_Windows_3B!$I$3404:$I$100,MATCH(G3404,CBIC_Late_Fee_Relief_Windows_3B!$O$3404:$O$100,0))</f>
        <v/>
      </c>
      <c r="I3404">
        <f>MIN(F3404,H3404)</f>
        <v/>
      </c>
    </row>
    <row r="3405">
      <c r="A3405">
        <f>TEST_DATA!A3405</f>
        <v/>
      </c>
      <c r="B3405">
        <f>TEST_DATA!B3405</f>
        <v/>
      </c>
      <c r="C3405">
        <f>TEST_DATA!C3405</f>
        <v/>
      </c>
      <c r="D3405">
        <f>TEST_DATA!D3405</f>
        <v/>
      </c>
      <c r="E3405">
        <f>TEST_DATA!E3405</f>
        <v/>
      </c>
      <c r="F3405">
        <f>MIN(E3405*340500,10000)</f>
        <v/>
      </c>
      <c r="G3405">
        <f>MINIFS(CBIC_Late_Fee_Relief_Windows_3B!$O$3405:$O$100,CBIC_Late_Fee_Relief_Windows_3B!$D$3405:$D$100,"&lt;="&amp;B3405,CBIC_Late_Fee_Relief_Windows_3B!$E$3405:$E$100,"&gt;="&amp;B3405,CBIC_Late_Fee_Relief_Windows_3B!$F$3405:$F$100,"&lt;="&amp;C3405,CBIC_Late_Fee_Relief_Windows_3B!$G$3405:$G$100,"&gt;="&amp;C3405)</f>
        <v/>
      </c>
      <c r="H3405">
        <f>INDEX(CBIC_Late_Fee_Relief_Windows_3B!$I$3405:$I$100,MATCH(G3405,CBIC_Late_Fee_Relief_Windows_3B!$O$3405:$O$100,0))</f>
        <v/>
      </c>
      <c r="I3405">
        <f>MIN(F3405,H3405)</f>
        <v/>
      </c>
    </row>
    <row r="3406">
      <c r="A3406">
        <f>TEST_DATA!A3406</f>
        <v/>
      </c>
      <c r="B3406">
        <f>TEST_DATA!B3406</f>
        <v/>
      </c>
      <c r="C3406">
        <f>TEST_DATA!C3406</f>
        <v/>
      </c>
      <c r="D3406">
        <f>TEST_DATA!D3406</f>
        <v/>
      </c>
      <c r="E3406">
        <f>TEST_DATA!E3406</f>
        <v/>
      </c>
      <c r="F3406">
        <f>MIN(E3406*340600,10000)</f>
        <v/>
      </c>
      <c r="G3406">
        <f>MINIFS(CBIC_Late_Fee_Relief_Windows_3B!$O$3406:$O$100,CBIC_Late_Fee_Relief_Windows_3B!$D$3406:$D$100,"&lt;="&amp;B3406,CBIC_Late_Fee_Relief_Windows_3B!$E$3406:$E$100,"&gt;="&amp;B3406,CBIC_Late_Fee_Relief_Windows_3B!$F$3406:$F$100,"&lt;="&amp;C3406,CBIC_Late_Fee_Relief_Windows_3B!$G$3406:$G$100,"&gt;="&amp;C3406)</f>
        <v/>
      </c>
      <c r="H3406">
        <f>INDEX(CBIC_Late_Fee_Relief_Windows_3B!$I$3406:$I$100,MATCH(G3406,CBIC_Late_Fee_Relief_Windows_3B!$O$3406:$O$100,0))</f>
        <v/>
      </c>
      <c r="I3406">
        <f>MIN(F3406,H3406)</f>
        <v/>
      </c>
    </row>
    <row r="3407">
      <c r="A3407">
        <f>TEST_DATA!A3407</f>
        <v/>
      </c>
      <c r="B3407">
        <f>TEST_DATA!B3407</f>
        <v/>
      </c>
      <c r="C3407">
        <f>TEST_DATA!C3407</f>
        <v/>
      </c>
      <c r="D3407">
        <f>TEST_DATA!D3407</f>
        <v/>
      </c>
      <c r="E3407">
        <f>TEST_DATA!E3407</f>
        <v/>
      </c>
      <c r="F3407">
        <f>MIN(E3407*340700,10000)</f>
        <v/>
      </c>
      <c r="G3407">
        <f>MINIFS(CBIC_Late_Fee_Relief_Windows_3B!$O$3407:$O$100,CBIC_Late_Fee_Relief_Windows_3B!$D$3407:$D$100,"&lt;="&amp;B3407,CBIC_Late_Fee_Relief_Windows_3B!$E$3407:$E$100,"&gt;="&amp;B3407,CBIC_Late_Fee_Relief_Windows_3B!$F$3407:$F$100,"&lt;="&amp;C3407,CBIC_Late_Fee_Relief_Windows_3B!$G$3407:$G$100,"&gt;="&amp;C3407)</f>
        <v/>
      </c>
      <c r="H3407">
        <f>INDEX(CBIC_Late_Fee_Relief_Windows_3B!$I$3407:$I$100,MATCH(G3407,CBIC_Late_Fee_Relief_Windows_3B!$O$3407:$O$100,0))</f>
        <v/>
      </c>
      <c r="I3407">
        <f>MIN(F3407,H3407)</f>
        <v/>
      </c>
    </row>
    <row r="3408">
      <c r="A3408">
        <f>TEST_DATA!A3408</f>
        <v/>
      </c>
      <c r="B3408">
        <f>TEST_DATA!B3408</f>
        <v/>
      </c>
      <c r="C3408">
        <f>TEST_DATA!C3408</f>
        <v/>
      </c>
      <c r="D3408">
        <f>TEST_DATA!D3408</f>
        <v/>
      </c>
      <c r="E3408">
        <f>TEST_DATA!E3408</f>
        <v/>
      </c>
      <c r="F3408">
        <f>MIN(E3408*340800,10000)</f>
        <v/>
      </c>
      <c r="G3408">
        <f>MINIFS(CBIC_Late_Fee_Relief_Windows_3B!$O$3408:$O$100,CBIC_Late_Fee_Relief_Windows_3B!$D$3408:$D$100,"&lt;="&amp;B3408,CBIC_Late_Fee_Relief_Windows_3B!$E$3408:$E$100,"&gt;="&amp;B3408,CBIC_Late_Fee_Relief_Windows_3B!$F$3408:$F$100,"&lt;="&amp;C3408,CBIC_Late_Fee_Relief_Windows_3B!$G$3408:$G$100,"&gt;="&amp;C3408)</f>
        <v/>
      </c>
      <c r="H3408">
        <f>INDEX(CBIC_Late_Fee_Relief_Windows_3B!$I$3408:$I$100,MATCH(G3408,CBIC_Late_Fee_Relief_Windows_3B!$O$3408:$O$100,0))</f>
        <v/>
      </c>
      <c r="I3408">
        <f>MIN(F3408,H3408)</f>
        <v/>
      </c>
    </row>
    <row r="3409">
      <c r="A3409">
        <f>TEST_DATA!A3409</f>
        <v/>
      </c>
      <c r="B3409">
        <f>TEST_DATA!B3409</f>
        <v/>
      </c>
      <c r="C3409">
        <f>TEST_DATA!C3409</f>
        <v/>
      </c>
      <c r="D3409">
        <f>TEST_DATA!D3409</f>
        <v/>
      </c>
      <c r="E3409">
        <f>TEST_DATA!E3409</f>
        <v/>
      </c>
      <c r="F3409">
        <f>MIN(E3409*340900,10000)</f>
        <v/>
      </c>
      <c r="G3409">
        <f>MINIFS(CBIC_Late_Fee_Relief_Windows_3B!$O$3409:$O$100,CBIC_Late_Fee_Relief_Windows_3B!$D$3409:$D$100,"&lt;="&amp;B3409,CBIC_Late_Fee_Relief_Windows_3B!$E$3409:$E$100,"&gt;="&amp;B3409,CBIC_Late_Fee_Relief_Windows_3B!$F$3409:$F$100,"&lt;="&amp;C3409,CBIC_Late_Fee_Relief_Windows_3B!$G$3409:$G$100,"&gt;="&amp;C3409)</f>
        <v/>
      </c>
      <c r="H3409">
        <f>INDEX(CBIC_Late_Fee_Relief_Windows_3B!$I$3409:$I$100,MATCH(G3409,CBIC_Late_Fee_Relief_Windows_3B!$O$3409:$O$100,0))</f>
        <v/>
      </c>
      <c r="I3409">
        <f>MIN(F3409,H3409)</f>
        <v/>
      </c>
    </row>
    <row r="3410">
      <c r="A3410">
        <f>TEST_DATA!A3410</f>
        <v/>
      </c>
      <c r="B3410">
        <f>TEST_DATA!B3410</f>
        <v/>
      </c>
      <c r="C3410">
        <f>TEST_DATA!C3410</f>
        <v/>
      </c>
      <c r="D3410">
        <f>TEST_DATA!D3410</f>
        <v/>
      </c>
      <c r="E3410">
        <f>TEST_DATA!E3410</f>
        <v/>
      </c>
      <c r="F3410">
        <f>MIN(E3410*341000,10000)</f>
        <v/>
      </c>
      <c r="G3410">
        <f>MINIFS(CBIC_Late_Fee_Relief_Windows_3B!$O$3410:$O$100,CBIC_Late_Fee_Relief_Windows_3B!$D$3410:$D$100,"&lt;="&amp;B3410,CBIC_Late_Fee_Relief_Windows_3B!$E$3410:$E$100,"&gt;="&amp;B3410,CBIC_Late_Fee_Relief_Windows_3B!$F$3410:$F$100,"&lt;="&amp;C3410,CBIC_Late_Fee_Relief_Windows_3B!$G$3410:$G$100,"&gt;="&amp;C3410)</f>
        <v/>
      </c>
      <c r="H3410">
        <f>INDEX(CBIC_Late_Fee_Relief_Windows_3B!$I$3410:$I$100,MATCH(G3410,CBIC_Late_Fee_Relief_Windows_3B!$O$3410:$O$100,0))</f>
        <v/>
      </c>
      <c r="I3410">
        <f>MIN(F3410,H3410)</f>
        <v/>
      </c>
    </row>
    <row r="3411">
      <c r="A3411">
        <f>TEST_DATA!A3411</f>
        <v/>
      </c>
      <c r="B3411">
        <f>TEST_DATA!B3411</f>
        <v/>
      </c>
      <c r="C3411">
        <f>TEST_DATA!C3411</f>
        <v/>
      </c>
      <c r="D3411">
        <f>TEST_DATA!D3411</f>
        <v/>
      </c>
      <c r="E3411">
        <f>TEST_DATA!E3411</f>
        <v/>
      </c>
      <c r="F3411">
        <f>MIN(E3411*341100,10000)</f>
        <v/>
      </c>
      <c r="G3411">
        <f>MINIFS(CBIC_Late_Fee_Relief_Windows_3B!$O$3411:$O$100,CBIC_Late_Fee_Relief_Windows_3B!$D$3411:$D$100,"&lt;="&amp;B3411,CBIC_Late_Fee_Relief_Windows_3B!$E$3411:$E$100,"&gt;="&amp;B3411,CBIC_Late_Fee_Relief_Windows_3B!$F$3411:$F$100,"&lt;="&amp;C3411,CBIC_Late_Fee_Relief_Windows_3B!$G$3411:$G$100,"&gt;="&amp;C3411)</f>
        <v/>
      </c>
      <c r="H3411">
        <f>INDEX(CBIC_Late_Fee_Relief_Windows_3B!$I$3411:$I$100,MATCH(G3411,CBIC_Late_Fee_Relief_Windows_3B!$O$3411:$O$100,0))</f>
        <v/>
      </c>
      <c r="I3411">
        <f>MIN(F3411,H3411)</f>
        <v/>
      </c>
    </row>
    <row r="3412">
      <c r="A3412">
        <f>TEST_DATA!A3412</f>
        <v/>
      </c>
      <c r="B3412">
        <f>TEST_DATA!B3412</f>
        <v/>
      </c>
      <c r="C3412">
        <f>TEST_DATA!C3412</f>
        <v/>
      </c>
      <c r="D3412">
        <f>TEST_DATA!D3412</f>
        <v/>
      </c>
      <c r="E3412">
        <f>TEST_DATA!E3412</f>
        <v/>
      </c>
      <c r="F3412">
        <f>MIN(E3412*341200,10000)</f>
        <v/>
      </c>
      <c r="G3412">
        <f>MINIFS(CBIC_Late_Fee_Relief_Windows_3B!$O$3412:$O$100,CBIC_Late_Fee_Relief_Windows_3B!$D$3412:$D$100,"&lt;="&amp;B3412,CBIC_Late_Fee_Relief_Windows_3B!$E$3412:$E$100,"&gt;="&amp;B3412,CBIC_Late_Fee_Relief_Windows_3B!$F$3412:$F$100,"&lt;="&amp;C3412,CBIC_Late_Fee_Relief_Windows_3B!$G$3412:$G$100,"&gt;="&amp;C3412)</f>
        <v/>
      </c>
      <c r="H3412">
        <f>INDEX(CBIC_Late_Fee_Relief_Windows_3B!$I$3412:$I$100,MATCH(G3412,CBIC_Late_Fee_Relief_Windows_3B!$O$3412:$O$100,0))</f>
        <v/>
      </c>
      <c r="I3412">
        <f>MIN(F3412,H3412)</f>
        <v/>
      </c>
    </row>
    <row r="3413">
      <c r="A3413">
        <f>TEST_DATA!A3413</f>
        <v/>
      </c>
      <c r="B3413">
        <f>TEST_DATA!B3413</f>
        <v/>
      </c>
      <c r="C3413">
        <f>TEST_DATA!C3413</f>
        <v/>
      </c>
      <c r="D3413">
        <f>TEST_DATA!D3413</f>
        <v/>
      </c>
      <c r="E3413">
        <f>TEST_DATA!E3413</f>
        <v/>
      </c>
      <c r="F3413">
        <f>MIN(E3413*341300,10000)</f>
        <v/>
      </c>
      <c r="G3413">
        <f>MINIFS(CBIC_Late_Fee_Relief_Windows_3B!$O$3413:$O$100,CBIC_Late_Fee_Relief_Windows_3B!$D$3413:$D$100,"&lt;="&amp;B3413,CBIC_Late_Fee_Relief_Windows_3B!$E$3413:$E$100,"&gt;="&amp;B3413,CBIC_Late_Fee_Relief_Windows_3B!$F$3413:$F$100,"&lt;="&amp;C3413,CBIC_Late_Fee_Relief_Windows_3B!$G$3413:$G$100,"&gt;="&amp;C3413)</f>
        <v/>
      </c>
      <c r="H3413">
        <f>INDEX(CBIC_Late_Fee_Relief_Windows_3B!$I$3413:$I$100,MATCH(G3413,CBIC_Late_Fee_Relief_Windows_3B!$O$3413:$O$100,0))</f>
        <v/>
      </c>
      <c r="I3413">
        <f>MIN(F3413,H3413)</f>
        <v/>
      </c>
    </row>
    <row r="3414">
      <c r="A3414">
        <f>TEST_DATA!A3414</f>
        <v/>
      </c>
      <c r="B3414">
        <f>TEST_DATA!B3414</f>
        <v/>
      </c>
      <c r="C3414">
        <f>TEST_DATA!C3414</f>
        <v/>
      </c>
      <c r="D3414">
        <f>TEST_DATA!D3414</f>
        <v/>
      </c>
      <c r="E3414">
        <f>TEST_DATA!E3414</f>
        <v/>
      </c>
      <c r="F3414">
        <f>MIN(E3414*341400,10000)</f>
        <v/>
      </c>
      <c r="G3414">
        <f>MINIFS(CBIC_Late_Fee_Relief_Windows_3B!$O$3414:$O$100,CBIC_Late_Fee_Relief_Windows_3B!$D$3414:$D$100,"&lt;="&amp;B3414,CBIC_Late_Fee_Relief_Windows_3B!$E$3414:$E$100,"&gt;="&amp;B3414,CBIC_Late_Fee_Relief_Windows_3B!$F$3414:$F$100,"&lt;="&amp;C3414,CBIC_Late_Fee_Relief_Windows_3B!$G$3414:$G$100,"&gt;="&amp;C3414)</f>
        <v/>
      </c>
      <c r="H3414">
        <f>INDEX(CBIC_Late_Fee_Relief_Windows_3B!$I$3414:$I$100,MATCH(G3414,CBIC_Late_Fee_Relief_Windows_3B!$O$3414:$O$100,0))</f>
        <v/>
      </c>
      <c r="I3414">
        <f>MIN(F3414,H3414)</f>
        <v/>
      </c>
    </row>
    <row r="3415">
      <c r="A3415">
        <f>TEST_DATA!A3415</f>
        <v/>
      </c>
      <c r="B3415">
        <f>TEST_DATA!B3415</f>
        <v/>
      </c>
      <c r="C3415">
        <f>TEST_DATA!C3415</f>
        <v/>
      </c>
      <c r="D3415">
        <f>TEST_DATA!D3415</f>
        <v/>
      </c>
      <c r="E3415">
        <f>TEST_DATA!E3415</f>
        <v/>
      </c>
      <c r="F3415">
        <f>MIN(E3415*341500,10000)</f>
        <v/>
      </c>
      <c r="G3415">
        <f>MINIFS(CBIC_Late_Fee_Relief_Windows_3B!$O$3415:$O$100,CBIC_Late_Fee_Relief_Windows_3B!$D$3415:$D$100,"&lt;="&amp;B3415,CBIC_Late_Fee_Relief_Windows_3B!$E$3415:$E$100,"&gt;="&amp;B3415,CBIC_Late_Fee_Relief_Windows_3B!$F$3415:$F$100,"&lt;="&amp;C3415,CBIC_Late_Fee_Relief_Windows_3B!$G$3415:$G$100,"&gt;="&amp;C3415)</f>
        <v/>
      </c>
      <c r="H3415">
        <f>INDEX(CBIC_Late_Fee_Relief_Windows_3B!$I$3415:$I$100,MATCH(G3415,CBIC_Late_Fee_Relief_Windows_3B!$O$3415:$O$100,0))</f>
        <v/>
      </c>
      <c r="I3415">
        <f>MIN(F3415,H3415)</f>
        <v/>
      </c>
    </row>
    <row r="3416">
      <c r="A3416">
        <f>TEST_DATA!A3416</f>
        <v/>
      </c>
      <c r="B3416">
        <f>TEST_DATA!B3416</f>
        <v/>
      </c>
      <c r="C3416">
        <f>TEST_DATA!C3416</f>
        <v/>
      </c>
      <c r="D3416">
        <f>TEST_DATA!D3416</f>
        <v/>
      </c>
      <c r="E3416">
        <f>TEST_DATA!E3416</f>
        <v/>
      </c>
      <c r="F3416">
        <f>MIN(E3416*341600,10000)</f>
        <v/>
      </c>
      <c r="G3416">
        <f>MINIFS(CBIC_Late_Fee_Relief_Windows_3B!$O$3416:$O$100,CBIC_Late_Fee_Relief_Windows_3B!$D$3416:$D$100,"&lt;="&amp;B3416,CBIC_Late_Fee_Relief_Windows_3B!$E$3416:$E$100,"&gt;="&amp;B3416,CBIC_Late_Fee_Relief_Windows_3B!$F$3416:$F$100,"&lt;="&amp;C3416,CBIC_Late_Fee_Relief_Windows_3B!$G$3416:$G$100,"&gt;="&amp;C3416)</f>
        <v/>
      </c>
      <c r="H3416">
        <f>INDEX(CBIC_Late_Fee_Relief_Windows_3B!$I$3416:$I$100,MATCH(G3416,CBIC_Late_Fee_Relief_Windows_3B!$O$3416:$O$100,0))</f>
        <v/>
      </c>
      <c r="I3416">
        <f>MIN(F3416,H3416)</f>
        <v/>
      </c>
    </row>
    <row r="3417">
      <c r="A3417">
        <f>TEST_DATA!A3417</f>
        <v/>
      </c>
      <c r="B3417">
        <f>TEST_DATA!B3417</f>
        <v/>
      </c>
      <c r="C3417">
        <f>TEST_DATA!C3417</f>
        <v/>
      </c>
      <c r="D3417">
        <f>TEST_DATA!D3417</f>
        <v/>
      </c>
      <c r="E3417">
        <f>TEST_DATA!E3417</f>
        <v/>
      </c>
      <c r="F3417">
        <f>MIN(E3417*341700,10000)</f>
        <v/>
      </c>
      <c r="G3417">
        <f>MINIFS(CBIC_Late_Fee_Relief_Windows_3B!$O$3417:$O$100,CBIC_Late_Fee_Relief_Windows_3B!$D$3417:$D$100,"&lt;="&amp;B3417,CBIC_Late_Fee_Relief_Windows_3B!$E$3417:$E$100,"&gt;="&amp;B3417,CBIC_Late_Fee_Relief_Windows_3B!$F$3417:$F$100,"&lt;="&amp;C3417,CBIC_Late_Fee_Relief_Windows_3B!$G$3417:$G$100,"&gt;="&amp;C3417)</f>
        <v/>
      </c>
      <c r="H3417">
        <f>INDEX(CBIC_Late_Fee_Relief_Windows_3B!$I$3417:$I$100,MATCH(G3417,CBIC_Late_Fee_Relief_Windows_3B!$O$3417:$O$100,0))</f>
        <v/>
      </c>
      <c r="I3417">
        <f>MIN(F3417,H3417)</f>
        <v/>
      </c>
    </row>
    <row r="3418">
      <c r="A3418">
        <f>TEST_DATA!A3418</f>
        <v/>
      </c>
      <c r="B3418">
        <f>TEST_DATA!B3418</f>
        <v/>
      </c>
      <c r="C3418">
        <f>TEST_DATA!C3418</f>
        <v/>
      </c>
      <c r="D3418">
        <f>TEST_DATA!D3418</f>
        <v/>
      </c>
      <c r="E3418">
        <f>TEST_DATA!E3418</f>
        <v/>
      </c>
      <c r="F3418">
        <f>MIN(E3418*341800,10000)</f>
        <v/>
      </c>
      <c r="G3418">
        <f>MINIFS(CBIC_Late_Fee_Relief_Windows_3B!$O$3418:$O$100,CBIC_Late_Fee_Relief_Windows_3B!$D$3418:$D$100,"&lt;="&amp;B3418,CBIC_Late_Fee_Relief_Windows_3B!$E$3418:$E$100,"&gt;="&amp;B3418,CBIC_Late_Fee_Relief_Windows_3B!$F$3418:$F$100,"&lt;="&amp;C3418,CBIC_Late_Fee_Relief_Windows_3B!$G$3418:$G$100,"&gt;="&amp;C3418)</f>
        <v/>
      </c>
      <c r="H3418">
        <f>INDEX(CBIC_Late_Fee_Relief_Windows_3B!$I$3418:$I$100,MATCH(G3418,CBIC_Late_Fee_Relief_Windows_3B!$O$3418:$O$100,0))</f>
        <v/>
      </c>
      <c r="I3418">
        <f>MIN(F3418,H3418)</f>
        <v/>
      </c>
    </row>
    <row r="3419">
      <c r="A3419">
        <f>TEST_DATA!A3419</f>
        <v/>
      </c>
      <c r="B3419">
        <f>TEST_DATA!B3419</f>
        <v/>
      </c>
      <c r="C3419">
        <f>TEST_DATA!C3419</f>
        <v/>
      </c>
      <c r="D3419">
        <f>TEST_DATA!D3419</f>
        <v/>
      </c>
      <c r="E3419">
        <f>TEST_DATA!E3419</f>
        <v/>
      </c>
      <c r="F3419">
        <f>MIN(E3419*341900,10000)</f>
        <v/>
      </c>
      <c r="G3419">
        <f>MINIFS(CBIC_Late_Fee_Relief_Windows_3B!$O$3419:$O$100,CBIC_Late_Fee_Relief_Windows_3B!$D$3419:$D$100,"&lt;="&amp;B3419,CBIC_Late_Fee_Relief_Windows_3B!$E$3419:$E$100,"&gt;="&amp;B3419,CBIC_Late_Fee_Relief_Windows_3B!$F$3419:$F$100,"&lt;="&amp;C3419,CBIC_Late_Fee_Relief_Windows_3B!$G$3419:$G$100,"&gt;="&amp;C3419)</f>
        <v/>
      </c>
      <c r="H3419">
        <f>INDEX(CBIC_Late_Fee_Relief_Windows_3B!$I$3419:$I$100,MATCH(G3419,CBIC_Late_Fee_Relief_Windows_3B!$O$3419:$O$100,0))</f>
        <v/>
      </c>
      <c r="I3419">
        <f>MIN(F3419,H3419)</f>
        <v/>
      </c>
    </row>
    <row r="3420">
      <c r="A3420">
        <f>TEST_DATA!A3420</f>
        <v/>
      </c>
      <c r="B3420">
        <f>TEST_DATA!B3420</f>
        <v/>
      </c>
      <c r="C3420">
        <f>TEST_DATA!C3420</f>
        <v/>
      </c>
      <c r="D3420">
        <f>TEST_DATA!D3420</f>
        <v/>
      </c>
      <c r="E3420">
        <f>TEST_DATA!E3420</f>
        <v/>
      </c>
      <c r="F3420">
        <f>MIN(E3420*342000,10000)</f>
        <v/>
      </c>
      <c r="G3420">
        <f>MINIFS(CBIC_Late_Fee_Relief_Windows_3B!$O$3420:$O$100,CBIC_Late_Fee_Relief_Windows_3B!$D$3420:$D$100,"&lt;="&amp;B3420,CBIC_Late_Fee_Relief_Windows_3B!$E$3420:$E$100,"&gt;="&amp;B3420,CBIC_Late_Fee_Relief_Windows_3B!$F$3420:$F$100,"&lt;="&amp;C3420,CBIC_Late_Fee_Relief_Windows_3B!$G$3420:$G$100,"&gt;="&amp;C3420)</f>
        <v/>
      </c>
      <c r="H3420">
        <f>INDEX(CBIC_Late_Fee_Relief_Windows_3B!$I$3420:$I$100,MATCH(G3420,CBIC_Late_Fee_Relief_Windows_3B!$O$3420:$O$100,0))</f>
        <v/>
      </c>
      <c r="I3420">
        <f>MIN(F3420,H3420)</f>
        <v/>
      </c>
    </row>
    <row r="3421">
      <c r="A3421">
        <f>TEST_DATA!A3421</f>
        <v/>
      </c>
      <c r="B3421">
        <f>TEST_DATA!B3421</f>
        <v/>
      </c>
      <c r="C3421">
        <f>TEST_DATA!C3421</f>
        <v/>
      </c>
      <c r="D3421">
        <f>TEST_DATA!D3421</f>
        <v/>
      </c>
      <c r="E3421">
        <f>TEST_DATA!E3421</f>
        <v/>
      </c>
      <c r="F3421">
        <f>MIN(E3421*342100,10000)</f>
        <v/>
      </c>
      <c r="G3421">
        <f>MINIFS(CBIC_Late_Fee_Relief_Windows_3B!$O$3421:$O$100,CBIC_Late_Fee_Relief_Windows_3B!$D$3421:$D$100,"&lt;="&amp;B3421,CBIC_Late_Fee_Relief_Windows_3B!$E$3421:$E$100,"&gt;="&amp;B3421,CBIC_Late_Fee_Relief_Windows_3B!$F$3421:$F$100,"&lt;="&amp;C3421,CBIC_Late_Fee_Relief_Windows_3B!$G$3421:$G$100,"&gt;="&amp;C3421)</f>
        <v/>
      </c>
      <c r="H3421">
        <f>INDEX(CBIC_Late_Fee_Relief_Windows_3B!$I$3421:$I$100,MATCH(G3421,CBIC_Late_Fee_Relief_Windows_3B!$O$3421:$O$100,0))</f>
        <v/>
      </c>
      <c r="I3421">
        <f>MIN(F3421,H3421)</f>
        <v/>
      </c>
    </row>
    <row r="3422">
      <c r="A3422">
        <f>TEST_DATA!A3422</f>
        <v/>
      </c>
      <c r="B3422">
        <f>TEST_DATA!B3422</f>
        <v/>
      </c>
      <c r="C3422">
        <f>TEST_DATA!C3422</f>
        <v/>
      </c>
      <c r="D3422">
        <f>TEST_DATA!D3422</f>
        <v/>
      </c>
      <c r="E3422">
        <f>TEST_DATA!E3422</f>
        <v/>
      </c>
      <c r="F3422">
        <f>MIN(E3422*342200,10000)</f>
        <v/>
      </c>
      <c r="G3422">
        <f>MINIFS(CBIC_Late_Fee_Relief_Windows_3B!$O$3422:$O$100,CBIC_Late_Fee_Relief_Windows_3B!$D$3422:$D$100,"&lt;="&amp;B3422,CBIC_Late_Fee_Relief_Windows_3B!$E$3422:$E$100,"&gt;="&amp;B3422,CBIC_Late_Fee_Relief_Windows_3B!$F$3422:$F$100,"&lt;="&amp;C3422,CBIC_Late_Fee_Relief_Windows_3B!$G$3422:$G$100,"&gt;="&amp;C3422)</f>
        <v/>
      </c>
      <c r="H3422">
        <f>INDEX(CBIC_Late_Fee_Relief_Windows_3B!$I$3422:$I$100,MATCH(G3422,CBIC_Late_Fee_Relief_Windows_3B!$O$3422:$O$100,0))</f>
        <v/>
      </c>
      <c r="I3422">
        <f>MIN(F3422,H3422)</f>
        <v/>
      </c>
    </row>
    <row r="3423">
      <c r="A3423">
        <f>TEST_DATA!A3423</f>
        <v/>
      </c>
      <c r="B3423">
        <f>TEST_DATA!B3423</f>
        <v/>
      </c>
      <c r="C3423">
        <f>TEST_DATA!C3423</f>
        <v/>
      </c>
      <c r="D3423">
        <f>TEST_DATA!D3423</f>
        <v/>
      </c>
      <c r="E3423">
        <f>TEST_DATA!E3423</f>
        <v/>
      </c>
      <c r="F3423">
        <f>MIN(E3423*342300,10000)</f>
        <v/>
      </c>
      <c r="G3423">
        <f>MINIFS(CBIC_Late_Fee_Relief_Windows_3B!$O$3423:$O$100,CBIC_Late_Fee_Relief_Windows_3B!$D$3423:$D$100,"&lt;="&amp;B3423,CBIC_Late_Fee_Relief_Windows_3B!$E$3423:$E$100,"&gt;="&amp;B3423,CBIC_Late_Fee_Relief_Windows_3B!$F$3423:$F$100,"&lt;="&amp;C3423,CBIC_Late_Fee_Relief_Windows_3B!$G$3423:$G$100,"&gt;="&amp;C3423)</f>
        <v/>
      </c>
      <c r="H3423">
        <f>INDEX(CBIC_Late_Fee_Relief_Windows_3B!$I$3423:$I$100,MATCH(G3423,CBIC_Late_Fee_Relief_Windows_3B!$O$3423:$O$100,0))</f>
        <v/>
      </c>
      <c r="I3423">
        <f>MIN(F3423,H3423)</f>
        <v/>
      </c>
    </row>
    <row r="3424">
      <c r="A3424">
        <f>TEST_DATA!A3424</f>
        <v/>
      </c>
      <c r="B3424">
        <f>TEST_DATA!B3424</f>
        <v/>
      </c>
      <c r="C3424">
        <f>TEST_DATA!C3424</f>
        <v/>
      </c>
      <c r="D3424">
        <f>TEST_DATA!D3424</f>
        <v/>
      </c>
      <c r="E3424">
        <f>TEST_DATA!E3424</f>
        <v/>
      </c>
      <c r="F3424">
        <f>MIN(E3424*342400,10000)</f>
        <v/>
      </c>
      <c r="G3424">
        <f>MINIFS(CBIC_Late_Fee_Relief_Windows_3B!$O$3424:$O$100,CBIC_Late_Fee_Relief_Windows_3B!$D$3424:$D$100,"&lt;="&amp;B3424,CBIC_Late_Fee_Relief_Windows_3B!$E$3424:$E$100,"&gt;="&amp;B3424,CBIC_Late_Fee_Relief_Windows_3B!$F$3424:$F$100,"&lt;="&amp;C3424,CBIC_Late_Fee_Relief_Windows_3B!$G$3424:$G$100,"&gt;="&amp;C3424)</f>
        <v/>
      </c>
      <c r="H3424">
        <f>INDEX(CBIC_Late_Fee_Relief_Windows_3B!$I$3424:$I$100,MATCH(G3424,CBIC_Late_Fee_Relief_Windows_3B!$O$3424:$O$100,0))</f>
        <v/>
      </c>
      <c r="I3424">
        <f>MIN(F3424,H3424)</f>
        <v/>
      </c>
    </row>
    <row r="3425">
      <c r="A3425">
        <f>TEST_DATA!A3425</f>
        <v/>
      </c>
      <c r="B3425">
        <f>TEST_DATA!B3425</f>
        <v/>
      </c>
      <c r="C3425">
        <f>TEST_DATA!C3425</f>
        <v/>
      </c>
      <c r="D3425">
        <f>TEST_DATA!D3425</f>
        <v/>
      </c>
      <c r="E3425">
        <f>TEST_DATA!E3425</f>
        <v/>
      </c>
      <c r="F3425">
        <f>MIN(E3425*342500,10000)</f>
        <v/>
      </c>
      <c r="G3425">
        <f>MINIFS(CBIC_Late_Fee_Relief_Windows_3B!$O$3425:$O$100,CBIC_Late_Fee_Relief_Windows_3B!$D$3425:$D$100,"&lt;="&amp;B3425,CBIC_Late_Fee_Relief_Windows_3B!$E$3425:$E$100,"&gt;="&amp;B3425,CBIC_Late_Fee_Relief_Windows_3B!$F$3425:$F$100,"&lt;="&amp;C3425,CBIC_Late_Fee_Relief_Windows_3B!$G$3425:$G$100,"&gt;="&amp;C3425)</f>
        <v/>
      </c>
      <c r="H3425">
        <f>INDEX(CBIC_Late_Fee_Relief_Windows_3B!$I$3425:$I$100,MATCH(G3425,CBIC_Late_Fee_Relief_Windows_3B!$O$3425:$O$100,0))</f>
        <v/>
      </c>
      <c r="I3425">
        <f>MIN(F3425,H3425)</f>
        <v/>
      </c>
    </row>
    <row r="3426">
      <c r="A3426">
        <f>TEST_DATA!A3426</f>
        <v/>
      </c>
      <c r="B3426">
        <f>TEST_DATA!B3426</f>
        <v/>
      </c>
      <c r="C3426">
        <f>TEST_DATA!C3426</f>
        <v/>
      </c>
      <c r="D3426">
        <f>TEST_DATA!D3426</f>
        <v/>
      </c>
      <c r="E3426">
        <f>TEST_DATA!E3426</f>
        <v/>
      </c>
      <c r="F3426">
        <f>MIN(E3426*342600,10000)</f>
        <v/>
      </c>
      <c r="G3426">
        <f>MINIFS(CBIC_Late_Fee_Relief_Windows_3B!$O$3426:$O$100,CBIC_Late_Fee_Relief_Windows_3B!$D$3426:$D$100,"&lt;="&amp;B3426,CBIC_Late_Fee_Relief_Windows_3B!$E$3426:$E$100,"&gt;="&amp;B3426,CBIC_Late_Fee_Relief_Windows_3B!$F$3426:$F$100,"&lt;="&amp;C3426,CBIC_Late_Fee_Relief_Windows_3B!$G$3426:$G$100,"&gt;="&amp;C3426)</f>
        <v/>
      </c>
      <c r="H3426">
        <f>INDEX(CBIC_Late_Fee_Relief_Windows_3B!$I$3426:$I$100,MATCH(G3426,CBIC_Late_Fee_Relief_Windows_3B!$O$3426:$O$100,0))</f>
        <v/>
      </c>
      <c r="I3426">
        <f>MIN(F3426,H3426)</f>
        <v/>
      </c>
    </row>
    <row r="3427">
      <c r="A3427">
        <f>TEST_DATA!A3427</f>
        <v/>
      </c>
      <c r="B3427">
        <f>TEST_DATA!B3427</f>
        <v/>
      </c>
      <c r="C3427">
        <f>TEST_DATA!C3427</f>
        <v/>
      </c>
      <c r="D3427">
        <f>TEST_DATA!D3427</f>
        <v/>
      </c>
      <c r="E3427">
        <f>TEST_DATA!E3427</f>
        <v/>
      </c>
      <c r="F3427">
        <f>MIN(E3427*342700,10000)</f>
        <v/>
      </c>
      <c r="G3427">
        <f>MINIFS(CBIC_Late_Fee_Relief_Windows_3B!$O$3427:$O$100,CBIC_Late_Fee_Relief_Windows_3B!$D$3427:$D$100,"&lt;="&amp;B3427,CBIC_Late_Fee_Relief_Windows_3B!$E$3427:$E$100,"&gt;="&amp;B3427,CBIC_Late_Fee_Relief_Windows_3B!$F$3427:$F$100,"&lt;="&amp;C3427,CBIC_Late_Fee_Relief_Windows_3B!$G$3427:$G$100,"&gt;="&amp;C3427)</f>
        <v/>
      </c>
      <c r="H3427">
        <f>INDEX(CBIC_Late_Fee_Relief_Windows_3B!$I$3427:$I$100,MATCH(G3427,CBIC_Late_Fee_Relief_Windows_3B!$O$3427:$O$100,0))</f>
        <v/>
      </c>
      <c r="I3427">
        <f>MIN(F3427,H3427)</f>
        <v/>
      </c>
    </row>
    <row r="3428">
      <c r="A3428">
        <f>TEST_DATA!A3428</f>
        <v/>
      </c>
      <c r="B3428">
        <f>TEST_DATA!B3428</f>
        <v/>
      </c>
      <c r="C3428">
        <f>TEST_DATA!C3428</f>
        <v/>
      </c>
      <c r="D3428">
        <f>TEST_DATA!D3428</f>
        <v/>
      </c>
      <c r="E3428">
        <f>TEST_DATA!E3428</f>
        <v/>
      </c>
      <c r="F3428">
        <f>MIN(E3428*342800,10000)</f>
        <v/>
      </c>
      <c r="G3428">
        <f>MINIFS(CBIC_Late_Fee_Relief_Windows_3B!$O$3428:$O$100,CBIC_Late_Fee_Relief_Windows_3B!$D$3428:$D$100,"&lt;="&amp;B3428,CBIC_Late_Fee_Relief_Windows_3B!$E$3428:$E$100,"&gt;="&amp;B3428,CBIC_Late_Fee_Relief_Windows_3B!$F$3428:$F$100,"&lt;="&amp;C3428,CBIC_Late_Fee_Relief_Windows_3B!$G$3428:$G$100,"&gt;="&amp;C3428)</f>
        <v/>
      </c>
      <c r="H3428">
        <f>INDEX(CBIC_Late_Fee_Relief_Windows_3B!$I$3428:$I$100,MATCH(G3428,CBIC_Late_Fee_Relief_Windows_3B!$O$3428:$O$100,0))</f>
        <v/>
      </c>
      <c r="I3428">
        <f>MIN(F3428,H3428)</f>
        <v/>
      </c>
    </row>
    <row r="3429">
      <c r="A3429">
        <f>TEST_DATA!A3429</f>
        <v/>
      </c>
      <c r="B3429">
        <f>TEST_DATA!B3429</f>
        <v/>
      </c>
      <c r="C3429">
        <f>TEST_DATA!C3429</f>
        <v/>
      </c>
      <c r="D3429">
        <f>TEST_DATA!D3429</f>
        <v/>
      </c>
      <c r="E3429">
        <f>TEST_DATA!E3429</f>
        <v/>
      </c>
      <c r="F3429">
        <f>MIN(E3429*342900,10000)</f>
        <v/>
      </c>
      <c r="G3429">
        <f>MINIFS(CBIC_Late_Fee_Relief_Windows_3B!$O$3429:$O$100,CBIC_Late_Fee_Relief_Windows_3B!$D$3429:$D$100,"&lt;="&amp;B3429,CBIC_Late_Fee_Relief_Windows_3B!$E$3429:$E$100,"&gt;="&amp;B3429,CBIC_Late_Fee_Relief_Windows_3B!$F$3429:$F$100,"&lt;="&amp;C3429,CBIC_Late_Fee_Relief_Windows_3B!$G$3429:$G$100,"&gt;="&amp;C3429)</f>
        <v/>
      </c>
      <c r="H3429">
        <f>INDEX(CBIC_Late_Fee_Relief_Windows_3B!$I$3429:$I$100,MATCH(G3429,CBIC_Late_Fee_Relief_Windows_3B!$O$3429:$O$100,0))</f>
        <v/>
      </c>
      <c r="I3429">
        <f>MIN(F3429,H3429)</f>
        <v/>
      </c>
    </row>
    <row r="3430">
      <c r="A3430">
        <f>TEST_DATA!A3430</f>
        <v/>
      </c>
      <c r="B3430">
        <f>TEST_DATA!B3430</f>
        <v/>
      </c>
      <c r="C3430">
        <f>TEST_DATA!C3430</f>
        <v/>
      </c>
      <c r="D3430">
        <f>TEST_DATA!D3430</f>
        <v/>
      </c>
      <c r="E3430">
        <f>TEST_DATA!E3430</f>
        <v/>
      </c>
      <c r="F3430">
        <f>MIN(E3430*343000,10000)</f>
        <v/>
      </c>
      <c r="G3430">
        <f>MINIFS(CBIC_Late_Fee_Relief_Windows_3B!$O$3430:$O$100,CBIC_Late_Fee_Relief_Windows_3B!$D$3430:$D$100,"&lt;="&amp;B3430,CBIC_Late_Fee_Relief_Windows_3B!$E$3430:$E$100,"&gt;="&amp;B3430,CBIC_Late_Fee_Relief_Windows_3B!$F$3430:$F$100,"&lt;="&amp;C3430,CBIC_Late_Fee_Relief_Windows_3B!$G$3430:$G$100,"&gt;="&amp;C3430)</f>
        <v/>
      </c>
      <c r="H3430">
        <f>INDEX(CBIC_Late_Fee_Relief_Windows_3B!$I$3430:$I$100,MATCH(G3430,CBIC_Late_Fee_Relief_Windows_3B!$O$3430:$O$100,0))</f>
        <v/>
      </c>
      <c r="I3430">
        <f>MIN(F3430,H3430)</f>
        <v/>
      </c>
    </row>
    <row r="3431">
      <c r="A3431">
        <f>TEST_DATA!A3431</f>
        <v/>
      </c>
      <c r="B3431">
        <f>TEST_DATA!B3431</f>
        <v/>
      </c>
      <c r="C3431">
        <f>TEST_DATA!C3431</f>
        <v/>
      </c>
      <c r="D3431">
        <f>TEST_DATA!D3431</f>
        <v/>
      </c>
      <c r="E3431">
        <f>TEST_DATA!E3431</f>
        <v/>
      </c>
      <c r="F3431">
        <f>MIN(E3431*343100,10000)</f>
        <v/>
      </c>
      <c r="G3431">
        <f>MINIFS(CBIC_Late_Fee_Relief_Windows_3B!$O$3431:$O$100,CBIC_Late_Fee_Relief_Windows_3B!$D$3431:$D$100,"&lt;="&amp;B3431,CBIC_Late_Fee_Relief_Windows_3B!$E$3431:$E$100,"&gt;="&amp;B3431,CBIC_Late_Fee_Relief_Windows_3B!$F$3431:$F$100,"&lt;="&amp;C3431,CBIC_Late_Fee_Relief_Windows_3B!$G$3431:$G$100,"&gt;="&amp;C3431)</f>
        <v/>
      </c>
      <c r="H3431">
        <f>INDEX(CBIC_Late_Fee_Relief_Windows_3B!$I$3431:$I$100,MATCH(G3431,CBIC_Late_Fee_Relief_Windows_3B!$O$3431:$O$100,0))</f>
        <v/>
      </c>
      <c r="I3431">
        <f>MIN(F3431,H3431)</f>
        <v/>
      </c>
    </row>
    <row r="3432">
      <c r="A3432">
        <f>TEST_DATA!A3432</f>
        <v/>
      </c>
      <c r="B3432">
        <f>TEST_DATA!B3432</f>
        <v/>
      </c>
      <c r="C3432">
        <f>TEST_DATA!C3432</f>
        <v/>
      </c>
      <c r="D3432">
        <f>TEST_DATA!D3432</f>
        <v/>
      </c>
      <c r="E3432">
        <f>TEST_DATA!E3432</f>
        <v/>
      </c>
      <c r="F3432">
        <f>MIN(E3432*343200,10000)</f>
        <v/>
      </c>
      <c r="G3432">
        <f>MINIFS(CBIC_Late_Fee_Relief_Windows_3B!$O$3432:$O$100,CBIC_Late_Fee_Relief_Windows_3B!$D$3432:$D$100,"&lt;="&amp;B3432,CBIC_Late_Fee_Relief_Windows_3B!$E$3432:$E$100,"&gt;="&amp;B3432,CBIC_Late_Fee_Relief_Windows_3B!$F$3432:$F$100,"&lt;="&amp;C3432,CBIC_Late_Fee_Relief_Windows_3B!$G$3432:$G$100,"&gt;="&amp;C3432)</f>
        <v/>
      </c>
      <c r="H3432">
        <f>INDEX(CBIC_Late_Fee_Relief_Windows_3B!$I$3432:$I$100,MATCH(G3432,CBIC_Late_Fee_Relief_Windows_3B!$O$3432:$O$100,0))</f>
        <v/>
      </c>
      <c r="I3432">
        <f>MIN(F3432,H3432)</f>
        <v/>
      </c>
    </row>
    <row r="3433">
      <c r="A3433">
        <f>TEST_DATA!A3433</f>
        <v/>
      </c>
      <c r="B3433">
        <f>TEST_DATA!B3433</f>
        <v/>
      </c>
      <c r="C3433">
        <f>TEST_DATA!C3433</f>
        <v/>
      </c>
      <c r="D3433">
        <f>TEST_DATA!D3433</f>
        <v/>
      </c>
      <c r="E3433">
        <f>TEST_DATA!E3433</f>
        <v/>
      </c>
      <c r="F3433">
        <f>MIN(E3433*343300,10000)</f>
        <v/>
      </c>
      <c r="G3433">
        <f>MINIFS(CBIC_Late_Fee_Relief_Windows_3B!$O$3433:$O$100,CBIC_Late_Fee_Relief_Windows_3B!$D$3433:$D$100,"&lt;="&amp;B3433,CBIC_Late_Fee_Relief_Windows_3B!$E$3433:$E$100,"&gt;="&amp;B3433,CBIC_Late_Fee_Relief_Windows_3B!$F$3433:$F$100,"&lt;="&amp;C3433,CBIC_Late_Fee_Relief_Windows_3B!$G$3433:$G$100,"&gt;="&amp;C3433)</f>
        <v/>
      </c>
      <c r="H3433">
        <f>INDEX(CBIC_Late_Fee_Relief_Windows_3B!$I$3433:$I$100,MATCH(G3433,CBIC_Late_Fee_Relief_Windows_3B!$O$3433:$O$100,0))</f>
        <v/>
      </c>
      <c r="I3433">
        <f>MIN(F3433,H3433)</f>
        <v/>
      </c>
    </row>
    <row r="3434">
      <c r="A3434">
        <f>TEST_DATA!A3434</f>
        <v/>
      </c>
      <c r="B3434">
        <f>TEST_DATA!B3434</f>
        <v/>
      </c>
      <c r="C3434">
        <f>TEST_DATA!C3434</f>
        <v/>
      </c>
      <c r="D3434">
        <f>TEST_DATA!D3434</f>
        <v/>
      </c>
      <c r="E3434">
        <f>TEST_DATA!E3434</f>
        <v/>
      </c>
      <c r="F3434">
        <f>MIN(E3434*343400,10000)</f>
        <v/>
      </c>
      <c r="G3434">
        <f>MINIFS(CBIC_Late_Fee_Relief_Windows_3B!$O$3434:$O$100,CBIC_Late_Fee_Relief_Windows_3B!$D$3434:$D$100,"&lt;="&amp;B3434,CBIC_Late_Fee_Relief_Windows_3B!$E$3434:$E$100,"&gt;="&amp;B3434,CBIC_Late_Fee_Relief_Windows_3B!$F$3434:$F$100,"&lt;="&amp;C3434,CBIC_Late_Fee_Relief_Windows_3B!$G$3434:$G$100,"&gt;="&amp;C3434)</f>
        <v/>
      </c>
      <c r="H3434">
        <f>INDEX(CBIC_Late_Fee_Relief_Windows_3B!$I$3434:$I$100,MATCH(G3434,CBIC_Late_Fee_Relief_Windows_3B!$O$3434:$O$100,0))</f>
        <v/>
      </c>
      <c r="I3434">
        <f>MIN(F3434,H3434)</f>
        <v/>
      </c>
    </row>
    <row r="3435">
      <c r="A3435">
        <f>TEST_DATA!A3435</f>
        <v/>
      </c>
      <c r="B3435">
        <f>TEST_DATA!B3435</f>
        <v/>
      </c>
      <c r="C3435">
        <f>TEST_DATA!C3435</f>
        <v/>
      </c>
      <c r="D3435">
        <f>TEST_DATA!D3435</f>
        <v/>
      </c>
      <c r="E3435">
        <f>TEST_DATA!E3435</f>
        <v/>
      </c>
      <c r="F3435">
        <f>MIN(E3435*343500,10000)</f>
        <v/>
      </c>
      <c r="G3435">
        <f>MINIFS(CBIC_Late_Fee_Relief_Windows_3B!$O$3435:$O$100,CBIC_Late_Fee_Relief_Windows_3B!$D$3435:$D$100,"&lt;="&amp;B3435,CBIC_Late_Fee_Relief_Windows_3B!$E$3435:$E$100,"&gt;="&amp;B3435,CBIC_Late_Fee_Relief_Windows_3B!$F$3435:$F$100,"&lt;="&amp;C3435,CBIC_Late_Fee_Relief_Windows_3B!$G$3435:$G$100,"&gt;="&amp;C3435)</f>
        <v/>
      </c>
      <c r="H3435">
        <f>INDEX(CBIC_Late_Fee_Relief_Windows_3B!$I$3435:$I$100,MATCH(G3435,CBIC_Late_Fee_Relief_Windows_3B!$O$3435:$O$100,0))</f>
        <v/>
      </c>
      <c r="I3435">
        <f>MIN(F3435,H3435)</f>
        <v/>
      </c>
    </row>
    <row r="3436">
      <c r="A3436">
        <f>TEST_DATA!A3436</f>
        <v/>
      </c>
      <c r="B3436">
        <f>TEST_DATA!B3436</f>
        <v/>
      </c>
      <c r="C3436">
        <f>TEST_DATA!C3436</f>
        <v/>
      </c>
      <c r="D3436">
        <f>TEST_DATA!D3436</f>
        <v/>
      </c>
      <c r="E3436">
        <f>TEST_DATA!E3436</f>
        <v/>
      </c>
      <c r="F3436">
        <f>MIN(E3436*343600,10000)</f>
        <v/>
      </c>
      <c r="G3436">
        <f>MINIFS(CBIC_Late_Fee_Relief_Windows_3B!$O$3436:$O$100,CBIC_Late_Fee_Relief_Windows_3B!$D$3436:$D$100,"&lt;="&amp;B3436,CBIC_Late_Fee_Relief_Windows_3B!$E$3436:$E$100,"&gt;="&amp;B3436,CBIC_Late_Fee_Relief_Windows_3B!$F$3436:$F$100,"&lt;="&amp;C3436,CBIC_Late_Fee_Relief_Windows_3B!$G$3436:$G$100,"&gt;="&amp;C3436)</f>
        <v/>
      </c>
      <c r="H3436">
        <f>INDEX(CBIC_Late_Fee_Relief_Windows_3B!$I$3436:$I$100,MATCH(G3436,CBIC_Late_Fee_Relief_Windows_3B!$O$3436:$O$100,0))</f>
        <v/>
      </c>
      <c r="I3436">
        <f>MIN(F3436,H3436)</f>
        <v/>
      </c>
    </row>
    <row r="3437">
      <c r="A3437">
        <f>TEST_DATA!A3437</f>
        <v/>
      </c>
      <c r="B3437">
        <f>TEST_DATA!B3437</f>
        <v/>
      </c>
      <c r="C3437">
        <f>TEST_DATA!C3437</f>
        <v/>
      </c>
      <c r="D3437">
        <f>TEST_DATA!D3437</f>
        <v/>
      </c>
      <c r="E3437">
        <f>TEST_DATA!E3437</f>
        <v/>
      </c>
      <c r="F3437">
        <f>MIN(E3437*343700,10000)</f>
        <v/>
      </c>
      <c r="G3437">
        <f>MINIFS(CBIC_Late_Fee_Relief_Windows_3B!$O$3437:$O$100,CBIC_Late_Fee_Relief_Windows_3B!$D$3437:$D$100,"&lt;="&amp;B3437,CBIC_Late_Fee_Relief_Windows_3B!$E$3437:$E$100,"&gt;="&amp;B3437,CBIC_Late_Fee_Relief_Windows_3B!$F$3437:$F$100,"&lt;="&amp;C3437,CBIC_Late_Fee_Relief_Windows_3B!$G$3437:$G$100,"&gt;="&amp;C3437)</f>
        <v/>
      </c>
      <c r="H3437">
        <f>INDEX(CBIC_Late_Fee_Relief_Windows_3B!$I$3437:$I$100,MATCH(G3437,CBIC_Late_Fee_Relief_Windows_3B!$O$3437:$O$100,0))</f>
        <v/>
      </c>
      <c r="I3437">
        <f>MIN(F3437,H3437)</f>
        <v/>
      </c>
    </row>
    <row r="3438">
      <c r="A3438">
        <f>TEST_DATA!A3438</f>
        <v/>
      </c>
      <c r="B3438">
        <f>TEST_DATA!B3438</f>
        <v/>
      </c>
      <c r="C3438">
        <f>TEST_DATA!C3438</f>
        <v/>
      </c>
      <c r="D3438">
        <f>TEST_DATA!D3438</f>
        <v/>
      </c>
      <c r="E3438">
        <f>TEST_DATA!E3438</f>
        <v/>
      </c>
      <c r="F3438">
        <f>MIN(E3438*343800,10000)</f>
        <v/>
      </c>
      <c r="G3438">
        <f>MINIFS(CBIC_Late_Fee_Relief_Windows_3B!$O$3438:$O$100,CBIC_Late_Fee_Relief_Windows_3B!$D$3438:$D$100,"&lt;="&amp;B3438,CBIC_Late_Fee_Relief_Windows_3B!$E$3438:$E$100,"&gt;="&amp;B3438,CBIC_Late_Fee_Relief_Windows_3B!$F$3438:$F$100,"&lt;="&amp;C3438,CBIC_Late_Fee_Relief_Windows_3B!$G$3438:$G$100,"&gt;="&amp;C3438)</f>
        <v/>
      </c>
      <c r="H3438">
        <f>INDEX(CBIC_Late_Fee_Relief_Windows_3B!$I$3438:$I$100,MATCH(G3438,CBIC_Late_Fee_Relief_Windows_3B!$O$3438:$O$100,0))</f>
        <v/>
      </c>
      <c r="I3438">
        <f>MIN(F3438,H3438)</f>
        <v/>
      </c>
    </row>
    <row r="3439">
      <c r="A3439">
        <f>TEST_DATA!A3439</f>
        <v/>
      </c>
      <c r="B3439">
        <f>TEST_DATA!B3439</f>
        <v/>
      </c>
      <c r="C3439">
        <f>TEST_DATA!C3439</f>
        <v/>
      </c>
      <c r="D3439">
        <f>TEST_DATA!D3439</f>
        <v/>
      </c>
      <c r="E3439">
        <f>TEST_DATA!E3439</f>
        <v/>
      </c>
      <c r="F3439">
        <f>MIN(E3439*343900,10000)</f>
        <v/>
      </c>
      <c r="G3439">
        <f>MINIFS(CBIC_Late_Fee_Relief_Windows_3B!$O$3439:$O$100,CBIC_Late_Fee_Relief_Windows_3B!$D$3439:$D$100,"&lt;="&amp;B3439,CBIC_Late_Fee_Relief_Windows_3B!$E$3439:$E$100,"&gt;="&amp;B3439,CBIC_Late_Fee_Relief_Windows_3B!$F$3439:$F$100,"&lt;="&amp;C3439,CBIC_Late_Fee_Relief_Windows_3B!$G$3439:$G$100,"&gt;="&amp;C3439)</f>
        <v/>
      </c>
      <c r="H3439">
        <f>INDEX(CBIC_Late_Fee_Relief_Windows_3B!$I$3439:$I$100,MATCH(G3439,CBIC_Late_Fee_Relief_Windows_3B!$O$3439:$O$100,0))</f>
        <v/>
      </c>
      <c r="I3439">
        <f>MIN(F3439,H3439)</f>
        <v/>
      </c>
    </row>
    <row r="3440">
      <c r="A3440">
        <f>TEST_DATA!A3440</f>
        <v/>
      </c>
      <c r="B3440">
        <f>TEST_DATA!B3440</f>
        <v/>
      </c>
      <c r="C3440">
        <f>TEST_DATA!C3440</f>
        <v/>
      </c>
      <c r="D3440">
        <f>TEST_DATA!D3440</f>
        <v/>
      </c>
      <c r="E3440">
        <f>TEST_DATA!E3440</f>
        <v/>
      </c>
      <c r="F3440">
        <f>MIN(E3440*344000,10000)</f>
        <v/>
      </c>
      <c r="G3440">
        <f>MINIFS(CBIC_Late_Fee_Relief_Windows_3B!$O$3440:$O$100,CBIC_Late_Fee_Relief_Windows_3B!$D$3440:$D$100,"&lt;="&amp;B3440,CBIC_Late_Fee_Relief_Windows_3B!$E$3440:$E$100,"&gt;="&amp;B3440,CBIC_Late_Fee_Relief_Windows_3B!$F$3440:$F$100,"&lt;="&amp;C3440,CBIC_Late_Fee_Relief_Windows_3B!$G$3440:$G$100,"&gt;="&amp;C3440)</f>
        <v/>
      </c>
      <c r="H3440">
        <f>INDEX(CBIC_Late_Fee_Relief_Windows_3B!$I$3440:$I$100,MATCH(G3440,CBIC_Late_Fee_Relief_Windows_3B!$O$3440:$O$100,0))</f>
        <v/>
      </c>
      <c r="I3440">
        <f>MIN(F3440,H3440)</f>
        <v/>
      </c>
    </row>
    <row r="3441">
      <c r="A3441">
        <f>TEST_DATA!A3441</f>
        <v/>
      </c>
      <c r="B3441">
        <f>TEST_DATA!B3441</f>
        <v/>
      </c>
      <c r="C3441">
        <f>TEST_DATA!C3441</f>
        <v/>
      </c>
      <c r="D3441">
        <f>TEST_DATA!D3441</f>
        <v/>
      </c>
      <c r="E3441">
        <f>TEST_DATA!E3441</f>
        <v/>
      </c>
      <c r="F3441">
        <f>MIN(E3441*344100,10000)</f>
        <v/>
      </c>
      <c r="G3441">
        <f>MINIFS(CBIC_Late_Fee_Relief_Windows_3B!$O$3441:$O$100,CBIC_Late_Fee_Relief_Windows_3B!$D$3441:$D$100,"&lt;="&amp;B3441,CBIC_Late_Fee_Relief_Windows_3B!$E$3441:$E$100,"&gt;="&amp;B3441,CBIC_Late_Fee_Relief_Windows_3B!$F$3441:$F$100,"&lt;="&amp;C3441,CBIC_Late_Fee_Relief_Windows_3B!$G$3441:$G$100,"&gt;="&amp;C3441)</f>
        <v/>
      </c>
      <c r="H3441">
        <f>INDEX(CBIC_Late_Fee_Relief_Windows_3B!$I$3441:$I$100,MATCH(G3441,CBIC_Late_Fee_Relief_Windows_3B!$O$3441:$O$100,0))</f>
        <v/>
      </c>
      <c r="I3441">
        <f>MIN(F3441,H3441)</f>
        <v/>
      </c>
    </row>
    <row r="3442">
      <c r="A3442">
        <f>TEST_DATA!A3442</f>
        <v/>
      </c>
      <c r="B3442">
        <f>TEST_DATA!B3442</f>
        <v/>
      </c>
      <c r="C3442">
        <f>TEST_DATA!C3442</f>
        <v/>
      </c>
      <c r="D3442">
        <f>TEST_DATA!D3442</f>
        <v/>
      </c>
      <c r="E3442">
        <f>TEST_DATA!E3442</f>
        <v/>
      </c>
      <c r="F3442">
        <f>MIN(E3442*344200,10000)</f>
        <v/>
      </c>
      <c r="G3442">
        <f>MINIFS(CBIC_Late_Fee_Relief_Windows_3B!$O$3442:$O$100,CBIC_Late_Fee_Relief_Windows_3B!$D$3442:$D$100,"&lt;="&amp;B3442,CBIC_Late_Fee_Relief_Windows_3B!$E$3442:$E$100,"&gt;="&amp;B3442,CBIC_Late_Fee_Relief_Windows_3B!$F$3442:$F$100,"&lt;="&amp;C3442,CBIC_Late_Fee_Relief_Windows_3B!$G$3442:$G$100,"&gt;="&amp;C3442)</f>
        <v/>
      </c>
      <c r="H3442">
        <f>INDEX(CBIC_Late_Fee_Relief_Windows_3B!$I$3442:$I$100,MATCH(G3442,CBIC_Late_Fee_Relief_Windows_3B!$O$3442:$O$100,0))</f>
        <v/>
      </c>
      <c r="I3442">
        <f>MIN(F3442,H3442)</f>
        <v/>
      </c>
    </row>
    <row r="3443">
      <c r="A3443">
        <f>TEST_DATA!A3443</f>
        <v/>
      </c>
      <c r="B3443">
        <f>TEST_DATA!B3443</f>
        <v/>
      </c>
      <c r="C3443">
        <f>TEST_DATA!C3443</f>
        <v/>
      </c>
      <c r="D3443">
        <f>TEST_DATA!D3443</f>
        <v/>
      </c>
      <c r="E3443">
        <f>TEST_DATA!E3443</f>
        <v/>
      </c>
      <c r="F3443">
        <f>MIN(E3443*344300,10000)</f>
        <v/>
      </c>
      <c r="G3443">
        <f>MINIFS(CBIC_Late_Fee_Relief_Windows_3B!$O$3443:$O$100,CBIC_Late_Fee_Relief_Windows_3B!$D$3443:$D$100,"&lt;="&amp;B3443,CBIC_Late_Fee_Relief_Windows_3B!$E$3443:$E$100,"&gt;="&amp;B3443,CBIC_Late_Fee_Relief_Windows_3B!$F$3443:$F$100,"&lt;="&amp;C3443,CBIC_Late_Fee_Relief_Windows_3B!$G$3443:$G$100,"&gt;="&amp;C3443)</f>
        <v/>
      </c>
      <c r="H3443">
        <f>INDEX(CBIC_Late_Fee_Relief_Windows_3B!$I$3443:$I$100,MATCH(G3443,CBIC_Late_Fee_Relief_Windows_3B!$O$3443:$O$100,0))</f>
        <v/>
      </c>
      <c r="I3443">
        <f>MIN(F3443,H3443)</f>
        <v/>
      </c>
    </row>
    <row r="3444">
      <c r="A3444">
        <f>TEST_DATA!A3444</f>
        <v/>
      </c>
      <c r="B3444">
        <f>TEST_DATA!B3444</f>
        <v/>
      </c>
      <c r="C3444">
        <f>TEST_DATA!C3444</f>
        <v/>
      </c>
      <c r="D3444">
        <f>TEST_DATA!D3444</f>
        <v/>
      </c>
      <c r="E3444">
        <f>TEST_DATA!E3444</f>
        <v/>
      </c>
      <c r="F3444">
        <f>MIN(E3444*344400,10000)</f>
        <v/>
      </c>
      <c r="G3444">
        <f>MINIFS(CBIC_Late_Fee_Relief_Windows_3B!$O$3444:$O$100,CBIC_Late_Fee_Relief_Windows_3B!$D$3444:$D$100,"&lt;="&amp;B3444,CBIC_Late_Fee_Relief_Windows_3B!$E$3444:$E$100,"&gt;="&amp;B3444,CBIC_Late_Fee_Relief_Windows_3B!$F$3444:$F$100,"&lt;="&amp;C3444,CBIC_Late_Fee_Relief_Windows_3B!$G$3444:$G$100,"&gt;="&amp;C3444)</f>
        <v/>
      </c>
      <c r="H3444">
        <f>INDEX(CBIC_Late_Fee_Relief_Windows_3B!$I$3444:$I$100,MATCH(G3444,CBIC_Late_Fee_Relief_Windows_3B!$O$3444:$O$100,0))</f>
        <v/>
      </c>
      <c r="I3444">
        <f>MIN(F3444,H3444)</f>
        <v/>
      </c>
    </row>
    <row r="3445">
      <c r="A3445">
        <f>TEST_DATA!A3445</f>
        <v/>
      </c>
      <c r="B3445">
        <f>TEST_DATA!B3445</f>
        <v/>
      </c>
      <c r="C3445">
        <f>TEST_DATA!C3445</f>
        <v/>
      </c>
      <c r="D3445">
        <f>TEST_DATA!D3445</f>
        <v/>
      </c>
      <c r="E3445">
        <f>TEST_DATA!E3445</f>
        <v/>
      </c>
      <c r="F3445">
        <f>MIN(E3445*344500,10000)</f>
        <v/>
      </c>
      <c r="G3445">
        <f>MINIFS(CBIC_Late_Fee_Relief_Windows_3B!$O$3445:$O$100,CBIC_Late_Fee_Relief_Windows_3B!$D$3445:$D$100,"&lt;="&amp;B3445,CBIC_Late_Fee_Relief_Windows_3B!$E$3445:$E$100,"&gt;="&amp;B3445,CBIC_Late_Fee_Relief_Windows_3B!$F$3445:$F$100,"&lt;="&amp;C3445,CBIC_Late_Fee_Relief_Windows_3B!$G$3445:$G$100,"&gt;="&amp;C3445)</f>
        <v/>
      </c>
      <c r="H3445">
        <f>INDEX(CBIC_Late_Fee_Relief_Windows_3B!$I$3445:$I$100,MATCH(G3445,CBIC_Late_Fee_Relief_Windows_3B!$O$3445:$O$100,0))</f>
        <v/>
      </c>
      <c r="I3445">
        <f>MIN(F3445,H3445)</f>
        <v/>
      </c>
    </row>
    <row r="3446">
      <c r="A3446">
        <f>TEST_DATA!A3446</f>
        <v/>
      </c>
      <c r="B3446">
        <f>TEST_DATA!B3446</f>
        <v/>
      </c>
      <c r="C3446">
        <f>TEST_DATA!C3446</f>
        <v/>
      </c>
      <c r="D3446">
        <f>TEST_DATA!D3446</f>
        <v/>
      </c>
      <c r="E3446">
        <f>TEST_DATA!E3446</f>
        <v/>
      </c>
      <c r="F3446">
        <f>MIN(E3446*344600,10000)</f>
        <v/>
      </c>
      <c r="G3446">
        <f>MINIFS(CBIC_Late_Fee_Relief_Windows_3B!$O$3446:$O$100,CBIC_Late_Fee_Relief_Windows_3B!$D$3446:$D$100,"&lt;="&amp;B3446,CBIC_Late_Fee_Relief_Windows_3B!$E$3446:$E$100,"&gt;="&amp;B3446,CBIC_Late_Fee_Relief_Windows_3B!$F$3446:$F$100,"&lt;="&amp;C3446,CBIC_Late_Fee_Relief_Windows_3B!$G$3446:$G$100,"&gt;="&amp;C3446)</f>
        <v/>
      </c>
      <c r="H3446">
        <f>INDEX(CBIC_Late_Fee_Relief_Windows_3B!$I$3446:$I$100,MATCH(G3446,CBIC_Late_Fee_Relief_Windows_3B!$O$3446:$O$100,0))</f>
        <v/>
      </c>
      <c r="I3446">
        <f>MIN(F3446,H3446)</f>
        <v/>
      </c>
    </row>
    <row r="3447">
      <c r="A3447">
        <f>TEST_DATA!A3447</f>
        <v/>
      </c>
      <c r="B3447">
        <f>TEST_DATA!B3447</f>
        <v/>
      </c>
      <c r="C3447">
        <f>TEST_DATA!C3447</f>
        <v/>
      </c>
      <c r="D3447">
        <f>TEST_DATA!D3447</f>
        <v/>
      </c>
      <c r="E3447">
        <f>TEST_DATA!E3447</f>
        <v/>
      </c>
      <c r="F3447">
        <f>MIN(E3447*344700,10000)</f>
        <v/>
      </c>
      <c r="G3447">
        <f>MINIFS(CBIC_Late_Fee_Relief_Windows_3B!$O$3447:$O$100,CBIC_Late_Fee_Relief_Windows_3B!$D$3447:$D$100,"&lt;="&amp;B3447,CBIC_Late_Fee_Relief_Windows_3B!$E$3447:$E$100,"&gt;="&amp;B3447,CBIC_Late_Fee_Relief_Windows_3B!$F$3447:$F$100,"&lt;="&amp;C3447,CBIC_Late_Fee_Relief_Windows_3B!$G$3447:$G$100,"&gt;="&amp;C3447)</f>
        <v/>
      </c>
      <c r="H3447">
        <f>INDEX(CBIC_Late_Fee_Relief_Windows_3B!$I$3447:$I$100,MATCH(G3447,CBIC_Late_Fee_Relief_Windows_3B!$O$3447:$O$100,0))</f>
        <v/>
      </c>
      <c r="I3447">
        <f>MIN(F3447,H3447)</f>
        <v/>
      </c>
    </row>
    <row r="3448">
      <c r="A3448">
        <f>TEST_DATA!A3448</f>
        <v/>
      </c>
      <c r="B3448">
        <f>TEST_DATA!B3448</f>
        <v/>
      </c>
      <c r="C3448">
        <f>TEST_DATA!C3448</f>
        <v/>
      </c>
      <c r="D3448">
        <f>TEST_DATA!D3448</f>
        <v/>
      </c>
      <c r="E3448">
        <f>TEST_DATA!E3448</f>
        <v/>
      </c>
      <c r="F3448">
        <f>MIN(E3448*344800,10000)</f>
        <v/>
      </c>
      <c r="G3448">
        <f>MINIFS(CBIC_Late_Fee_Relief_Windows_3B!$O$3448:$O$100,CBIC_Late_Fee_Relief_Windows_3B!$D$3448:$D$100,"&lt;="&amp;B3448,CBIC_Late_Fee_Relief_Windows_3B!$E$3448:$E$100,"&gt;="&amp;B3448,CBIC_Late_Fee_Relief_Windows_3B!$F$3448:$F$100,"&lt;="&amp;C3448,CBIC_Late_Fee_Relief_Windows_3B!$G$3448:$G$100,"&gt;="&amp;C3448)</f>
        <v/>
      </c>
      <c r="H3448">
        <f>INDEX(CBIC_Late_Fee_Relief_Windows_3B!$I$3448:$I$100,MATCH(G3448,CBIC_Late_Fee_Relief_Windows_3B!$O$3448:$O$100,0))</f>
        <v/>
      </c>
      <c r="I3448">
        <f>MIN(F3448,H3448)</f>
        <v/>
      </c>
    </row>
    <row r="3449">
      <c r="A3449">
        <f>TEST_DATA!A3449</f>
        <v/>
      </c>
      <c r="B3449">
        <f>TEST_DATA!B3449</f>
        <v/>
      </c>
      <c r="C3449">
        <f>TEST_DATA!C3449</f>
        <v/>
      </c>
      <c r="D3449">
        <f>TEST_DATA!D3449</f>
        <v/>
      </c>
      <c r="E3449">
        <f>TEST_DATA!E3449</f>
        <v/>
      </c>
      <c r="F3449">
        <f>MIN(E3449*344900,10000)</f>
        <v/>
      </c>
      <c r="G3449">
        <f>MINIFS(CBIC_Late_Fee_Relief_Windows_3B!$O$3449:$O$100,CBIC_Late_Fee_Relief_Windows_3B!$D$3449:$D$100,"&lt;="&amp;B3449,CBIC_Late_Fee_Relief_Windows_3B!$E$3449:$E$100,"&gt;="&amp;B3449,CBIC_Late_Fee_Relief_Windows_3B!$F$3449:$F$100,"&lt;="&amp;C3449,CBIC_Late_Fee_Relief_Windows_3B!$G$3449:$G$100,"&gt;="&amp;C3449)</f>
        <v/>
      </c>
      <c r="H3449">
        <f>INDEX(CBIC_Late_Fee_Relief_Windows_3B!$I$3449:$I$100,MATCH(G3449,CBIC_Late_Fee_Relief_Windows_3B!$O$3449:$O$100,0))</f>
        <v/>
      </c>
      <c r="I3449">
        <f>MIN(F3449,H3449)</f>
        <v/>
      </c>
    </row>
    <row r="3450">
      <c r="A3450">
        <f>TEST_DATA!A3450</f>
        <v/>
      </c>
      <c r="B3450">
        <f>TEST_DATA!B3450</f>
        <v/>
      </c>
      <c r="C3450">
        <f>TEST_DATA!C3450</f>
        <v/>
      </c>
      <c r="D3450">
        <f>TEST_DATA!D3450</f>
        <v/>
      </c>
      <c r="E3450">
        <f>TEST_DATA!E3450</f>
        <v/>
      </c>
      <c r="F3450">
        <f>MIN(E3450*345000,10000)</f>
        <v/>
      </c>
      <c r="G3450">
        <f>MINIFS(CBIC_Late_Fee_Relief_Windows_3B!$O$3450:$O$100,CBIC_Late_Fee_Relief_Windows_3B!$D$3450:$D$100,"&lt;="&amp;B3450,CBIC_Late_Fee_Relief_Windows_3B!$E$3450:$E$100,"&gt;="&amp;B3450,CBIC_Late_Fee_Relief_Windows_3B!$F$3450:$F$100,"&lt;="&amp;C3450,CBIC_Late_Fee_Relief_Windows_3B!$G$3450:$G$100,"&gt;="&amp;C3450)</f>
        <v/>
      </c>
      <c r="H3450">
        <f>INDEX(CBIC_Late_Fee_Relief_Windows_3B!$I$3450:$I$100,MATCH(G3450,CBIC_Late_Fee_Relief_Windows_3B!$O$3450:$O$100,0))</f>
        <v/>
      </c>
      <c r="I3450">
        <f>MIN(F3450,H3450)</f>
        <v/>
      </c>
    </row>
    <row r="3451">
      <c r="A3451">
        <f>TEST_DATA!A3451</f>
        <v/>
      </c>
      <c r="B3451">
        <f>TEST_DATA!B3451</f>
        <v/>
      </c>
      <c r="C3451">
        <f>TEST_DATA!C3451</f>
        <v/>
      </c>
      <c r="D3451">
        <f>TEST_DATA!D3451</f>
        <v/>
      </c>
      <c r="E3451">
        <f>TEST_DATA!E3451</f>
        <v/>
      </c>
      <c r="F3451">
        <f>MIN(E3451*345100,10000)</f>
        <v/>
      </c>
      <c r="G3451">
        <f>MINIFS(CBIC_Late_Fee_Relief_Windows_3B!$O$3451:$O$100,CBIC_Late_Fee_Relief_Windows_3B!$D$3451:$D$100,"&lt;="&amp;B3451,CBIC_Late_Fee_Relief_Windows_3B!$E$3451:$E$100,"&gt;="&amp;B3451,CBIC_Late_Fee_Relief_Windows_3B!$F$3451:$F$100,"&lt;="&amp;C3451,CBIC_Late_Fee_Relief_Windows_3B!$G$3451:$G$100,"&gt;="&amp;C3451)</f>
        <v/>
      </c>
      <c r="H3451">
        <f>INDEX(CBIC_Late_Fee_Relief_Windows_3B!$I$3451:$I$100,MATCH(G3451,CBIC_Late_Fee_Relief_Windows_3B!$O$3451:$O$100,0))</f>
        <v/>
      </c>
      <c r="I3451">
        <f>MIN(F3451,H3451)</f>
        <v/>
      </c>
    </row>
    <row r="3452">
      <c r="A3452">
        <f>TEST_DATA!A3452</f>
        <v/>
      </c>
      <c r="B3452">
        <f>TEST_DATA!B3452</f>
        <v/>
      </c>
      <c r="C3452">
        <f>TEST_DATA!C3452</f>
        <v/>
      </c>
      <c r="D3452">
        <f>TEST_DATA!D3452</f>
        <v/>
      </c>
      <c r="E3452">
        <f>TEST_DATA!E3452</f>
        <v/>
      </c>
      <c r="F3452">
        <f>MIN(E3452*345200,10000)</f>
        <v/>
      </c>
      <c r="G3452">
        <f>MINIFS(CBIC_Late_Fee_Relief_Windows_3B!$O$3452:$O$100,CBIC_Late_Fee_Relief_Windows_3B!$D$3452:$D$100,"&lt;="&amp;B3452,CBIC_Late_Fee_Relief_Windows_3B!$E$3452:$E$100,"&gt;="&amp;B3452,CBIC_Late_Fee_Relief_Windows_3B!$F$3452:$F$100,"&lt;="&amp;C3452,CBIC_Late_Fee_Relief_Windows_3B!$G$3452:$G$100,"&gt;="&amp;C3452)</f>
        <v/>
      </c>
      <c r="H3452">
        <f>INDEX(CBIC_Late_Fee_Relief_Windows_3B!$I$3452:$I$100,MATCH(G3452,CBIC_Late_Fee_Relief_Windows_3B!$O$3452:$O$100,0))</f>
        <v/>
      </c>
      <c r="I3452">
        <f>MIN(F3452,H3452)</f>
        <v/>
      </c>
    </row>
    <row r="3453">
      <c r="A3453">
        <f>TEST_DATA!A3453</f>
        <v/>
      </c>
      <c r="B3453">
        <f>TEST_DATA!B3453</f>
        <v/>
      </c>
      <c r="C3453">
        <f>TEST_DATA!C3453</f>
        <v/>
      </c>
      <c r="D3453">
        <f>TEST_DATA!D3453</f>
        <v/>
      </c>
      <c r="E3453">
        <f>TEST_DATA!E3453</f>
        <v/>
      </c>
      <c r="F3453">
        <f>MIN(E3453*345300,10000)</f>
        <v/>
      </c>
      <c r="G3453">
        <f>MINIFS(CBIC_Late_Fee_Relief_Windows_3B!$O$3453:$O$100,CBIC_Late_Fee_Relief_Windows_3B!$D$3453:$D$100,"&lt;="&amp;B3453,CBIC_Late_Fee_Relief_Windows_3B!$E$3453:$E$100,"&gt;="&amp;B3453,CBIC_Late_Fee_Relief_Windows_3B!$F$3453:$F$100,"&lt;="&amp;C3453,CBIC_Late_Fee_Relief_Windows_3B!$G$3453:$G$100,"&gt;="&amp;C3453)</f>
        <v/>
      </c>
      <c r="H3453">
        <f>INDEX(CBIC_Late_Fee_Relief_Windows_3B!$I$3453:$I$100,MATCH(G3453,CBIC_Late_Fee_Relief_Windows_3B!$O$3453:$O$100,0))</f>
        <v/>
      </c>
      <c r="I3453">
        <f>MIN(F3453,H3453)</f>
        <v/>
      </c>
    </row>
    <row r="3454">
      <c r="A3454">
        <f>TEST_DATA!A3454</f>
        <v/>
      </c>
      <c r="B3454">
        <f>TEST_DATA!B3454</f>
        <v/>
      </c>
      <c r="C3454">
        <f>TEST_DATA!C3454</f>
        <v/>
      </c>
      <c r="D3454">
        <f>TEST_DATA!D3454</f>
        <v/>
      </c>
      <c r="E3454">
        <f>TEST_DATA!E3454</f>
        <v/>
      </c>
      <c r="F3454">
        <f>MIN(E3454*345400,10000)</f>
        <v/>
      </c>
      <c r="G3454">
        <f>MINIFS(CBIC_Late_Fee_Relief_Windows_3B!$O$3454:$O$100,CBIC_Late_Fee_Relief_Windows_3B!$D$3454:$D$100,"&lt;="&amp;B3454,CBIC_Late_Fee_Relief_Windows_3B!$E$3454:$E$100,"&gt;="&amp;B3454,CBIC_Late_Fee_Relief_Windows_3B!$F$3454:$F$100,"&lt;="&amp;C3454,CBIC_Late_Fee_Relief_Windows_3B!$G$3454:$G$100,"&gt;="&amp;C3454)</f>
        <v/>
      </c>
      <c r="H3454">
        <f>INDEX(CBIC_Late_Fee_Relief_Windows_3B!$I$3454:$I$100,MATCH(G3454,CBIC_Late_Fee_Relief_Windows_3B!$O$3454:$O$100,0))</f>
        <v/>
      </c>
      <c r="I3454">
        <f>MIN(F3454,H3454)</f>
        <v/>
      </c>
    </row>
    <row r="3455">
      <c r="A3455">
        <f>TEST_DATA!A3455</f>
        <v/>
      </c>
      <c r="B3455">
        <f>TEST_DATA!B3455</f>
        <v/>
      </c>
      <c r="C3455">
        <f>TEST_DATA!C3455</f>
        <v/>
      </c>
      <c r="D3455">
        <f>TEST_DATA!D3455</f>
        <v/>
      </c>
      <c r="E3455">
        <f>TEST_DATA!E3455</f>
        <v/>
      </c>
      <c r="F3455">
        <f>MIN(E3455*345500,10000)</f>
        <v/>
      </c>
      <c r="G3455">
        <f>MINIFS(CBIC_Late_Fee_Relief_Windows_3B!$O$3455:$O$100,CBIC_Late_Fee_Relief_Windows_3B!$D$3455:$D$100,"&lt;="&amp;B3455,CBIC_Late_Fee_Relief_Windows_3B!$E$3455:$E$100,"&gt;="&amp;B3455,CBIC_Late_Fee_Relief_Windows_3B!$F$3455:$F$100,"&lt;="&amp;C3455,CBIC_Late_Fee_Relief_Windows_3B!$G$3455:$G$100,"&gt;="&amp;C3455)</f>
        <v/>
      </c>
      <c r="H3455">
        <f>INDEX(CBIC_Late_Fee_Relief_Windows_3B!$I$3455:$I$100,MATCH(G3455,CBIC_Late_Fee_Relief_Windows_3B!$O$3455:$O$100,0))</f>
        <v/>
      </c>
      <c r="I3455">
        <f>MIN(F3455,H3455)</f>
        <v/>
      </c>
    </row>
    <row r="3456">
      <c r="A3456">
        <f>TEST_DATA!A3456</f>
        <v/>
      </c>
      <c r="B3456">
        <f>TEST_DATA!B3456</f>
        <v/>
      </c>
      <c r="C3456">
        <f>TEST_DATA!C3456</f>
        <v/>
      </c>
      <c r="D3456">
        <f>TEST_DATA!D3456</f>
        <v/>
      </c>
      <c r="E3456">
        <f>TEST_DATA!E3456</f>
        <v/>
      </c>
      <c r="F3456">
        <f>MIN(E3456*345600,10000)</f>
        <v/>
      </c>
      <c r="G3456">
        <f>MINIFS(CBIC_Late_Fee_Relief_Windows_3B!$O$3456:$O$100,CBIC_Late_Fee_Relief_Windows_3B!$D$3456:$D$100,"&lt;="&amp;B3456,CBIC_Late_Fee_Relief_Windows_3B!$E$3456:$E$100,"&gt;="&amp;B3456,CBIC_Late_Fee_Relief_Windows_3B!$F$3456:$F$100,"&lt;="&amp;C3456,CBIC_Late_Fee_Relief_Windows_3B!$G$3456:$G$100,"&gt;="&amp;C3456)</f>
        <v/>
      </c>
      <c r="H3456">
        <f>INDEX(CBIC_Late_Fee_Relief_Windows_3B!$I$3456:$I$100,MATCH(G3456,CBIC_Late_Fee_Relief_Windows_3B!$O$3456:$O$100,0))</f>
        <v/>
      </c>
      <c r="I3456">
        <f>MIN(F3456,H3456)</f>
        <v/>
      </c>
    </row>
    <row r="3457">
      <c r="A3457">
        <f>TEST_DATA!A3457</f>
        <v/>
      </c>
      <c r="B3457">
        <f>TEST_DATA!B3457</f>
        <v/>
      </c>
      <c r="C3457">
        <f>TEST_DATA!C3457</f>
        <v/>
      </c>
      <c r="D3457">
        <f>TEST_DATA!D3457</f>
        <v/>
      </c>
      <c r="E3457">
        <f>TEST_DATA!E3457</f>
        <v/>
      </c>
      <c r="F3457">
        <f>MIN(E3457*345700,10000)</f>
        <v/>
      </c>
      <c r="G3457">
        <f>MINIFS(CBIC_Late_Fee_Relief_Windows_3B!$O$3457:$O$100,CBIC_Late_Fee_Relief_Windows_3B!$D$3457:$D$100,"&lt;="&amp;B3457,CBIC_Late_Fee_Relief_Windows_3B!$E$3457:$E$100,"&gt;="&amp;B3457,CBIC_Late_Fee_Relief_Windows_3B!$F$3457:$F$100,"&lt;="&amp;C3457,CBIC_Late_Fee_Relief_Windows_3B!$G$3457:$G$100,"&gt;="&amp;C3457)</f>
        <v/>
      </c>
      <c r="H3457">
        <f>INDEX(CBIC_Late_Fee_Relief_Windows_3B!$I$3457:$I$100,MATCH(G3457,CBIC_Late_Fee_Relief_Windows_3B!$O$3457:$O$100,0))</f>
        <v/>
      </c>
      <c r="I3457">
        <f>MIN(F3457,H3457)</f>
        <v/>
      </c>
    </row>
    <row r="3458">
      <c r="A3458">
        <f>TEST_DATA!A3458</f>
        <v/>
      </c>
      <c r="B3458">
        <f>TEST_DATA!B3458</f>
        <v/>
      </c>
      <c r="C3458">
        <f>TEST_DATA!C3458</f>
        <v/>
      </c>
      <c r="D3458">
        <f>TEST_DATA!D3458</f>
        <v/>
      </c>
      <c r="E3458">
        <f>TEST_DATA!E3458</f>
        <v/>
      </c>
      <c r="F3458">
        <f>MIN(E3458*345800,10000)</f>
        <v/>
      </c>
      <c r="G3458">
        <f>MINIFS(CBIC_Late_Fee_Relief_Windows_3B!$O$3458:$O$100,CBIC_Late_Fee_Relief_Windows_3B!$D$3458:$D$100,"&lt;="&amp;B3458,CBIC_Late_Fee_Relief_Windows_3B!$E$3458:$E$100,"&gt;="&amp;B3458,CBIC_Late_Fee_Relief_Windows_3B!$F$3458:$F$100,"&lt;="&amp;C3458,CBIC_Late_Fee_Relief_Windows_3B!$G$3458:$G$100,"&gt;="&amp;C3458)</f>
        <v/>
      </c>
      <c r="H3458">
        <f>INDEX(CBIC_Late_Fee_Relief_Windows_3B!$I$3458:$I$100,MATCH(G3458,CBIC_Late_Fee_Relief_Windows_3B!$O$3458:$O$100,0))</f>
        <v/>
      </c>
      <c r="I3458">
        <f>MIN(F3458,H3458)</f>
        <v/>
      </c>
    </row>
    <row r="3459">
      <c r="A3459">
        <f>TEST_DATA!A3459</f>
        <v/>
      </c>
      <c r="B3459">
        <f>TEST_DATA!B3459</f>
        <v/>
      </c>
      <c r="C3459">
        <f>TEST_DATA!C3459</f>
        <v/>
      </c>
      <c r="D3459">
        <f>TEST_DATA!D3459</f>
        <v/>
      </c>
      <c r="E3459">
        <f>TEST_DATA!E3459</f>
        <v/>
      </c>
      <c r="F3459">
        <f>MIN(E3459*345900,10000)</f>
        <v/>
      </c>
      <c r="G3459">
        <f>MINIFS(CBIC_Late_Fee_Relief_Windows_3B!$O$3459:$O$100,CBIC_Late_Fee_Relief_Windows_3B!$D$3459:$D$100,"&lt;="&amp;B3459,CBIC_Late_Fee_Relief_Windows_3B!$E$3459:$E$100,"&gt;="&amp;B3459,CBIC_Late_Fee_Relief_Windows_3B!$F$3459:$F$100,"&lt;="&amp;C3459,CBIC_Late_Fee_Relief_Windows_3B!$G$3459:$G$100,"&gt;="&amp;C3459)</f>
        <v/>
      </c>
      <c r="H3459">
        <f>INDEX(CBIC_Late_Fee_Relief_Windows_3B!$I$3459:$I$100,MATCH(G3459,CBIC_Late_Fee_Relief_Windows_3B!$O$3459:$O$100,0))</f>
        <v/>
      </c>
      <c r="I3459">
        <f>MIN(F3459,H3459)</f>
        <v/>
      </c>
    </row>
    <row r="3460">
      <c r="A3460">
        <f>TEST_DATA!A3460</f>
        <v/>
      </c>
      <c r="B3460">
        <f>TEST_DATA!B3460</f>
        <v/>
      </c>
      <c r="C3460">
        <f>TEST_DATA!C3460</f>
        <v/>
      </c>
      <c r="D3460">
        <f>TEST_DATA!D3460</f>
        <v/>
      </c>
      <c r="E3460">
        <f>TEST_DATA!E3460</f>
        <v/>
      </c>
      <c r="F3460">
        <f>MIN(E3460*346000,10000)</f>
        <v/>
      </c>
      <c r="G3460">
        <f>MINIFS(CBIC_Late_Fee_Relief_Windows_3B!$O$3460:$O$100,CBIC_Late_Fee_Relief_Windows_3B!$D$3460:$D$100,"&lt;="&amp;B3460,CBIC_Late_Fee_Relief_Windows_3B!$E$3460:$E$100,"&gt;="&amp;B3460,CBIC_Late_Fee_Relief_Windows_3B!$F$3460:$F$100,"&lt;="&amp;C3460,CBIC_Late_Fee_Relief_Windows_3B!$G$3460:$G$100,"&gt;="&amp;C3460)</f>
        <v/>
      </c>
      <c r="H3460">
        <f>INDEX(CBIC_Late_Fee_Relief_Windows_3B!$I$3460:$I$100,MATCH(G3460,CBIC_Late_Fee_Relief_Windows_3B!$O$3460:$O$100,0))</f>
        <v/>
      </c>
      <c r="I3460">
        <f>MIN(F3460,H3460)</f>
        <v/>
      </c>
    </row>
    <row r="3461">
      <c r="A3461">
        <f>TEST_DATA!A3461</f>
        <v/>
      </c>
      <c r="B3461">
        <f>TEST_DATA!B3461</f>
        <v/>
      </c>
      <c r="C3461">
        <f>TEST_DATA!C3461</f>
        <v/>
      </c>
      <c r="D3461">
        <f>TEST_DATA!D3461</f>
        <v/>
      </c>
      <c r="E3461">
        <f>TEST_DATA!E3461</f>
        <v/>
      </c>
      <c r="F3461">
        <f>MIN(E3461*346100,10000)</f>
        <v/>
      </c>
      <c r="G3461">
        <f>MINIFS(CBIC_Late_Fee_Relief_Windows_3B!$O$3461:$O$100,CBIC_Late_Fee_Relief_Windows_3B!$D$3461:$D$100,"&lt;="&amp;B3461,CBIC_Late_Fee_Relief_Windows_3B!$E$3461:$E$100,"&gt;="&amp;B3461,CBIC_Late_Fee_Relief_Windows_3B!$F$3461:$F$100,"&lt;="&amp;C3461,CBIC_Late_Fee_Relief_Windows_3B!$G$3461:$G$100,"&gt;="&amp;C3461)</f>
        <v/>
      </c>
      <c r="H3461">
        <f>INDEX(CBIC_Late_Fee_Relief_Windows_3B!$I$3461:$I$100,MATCH(G3461,CBIC_Late_Fee_Relief_Windows_3B!$O$3461:$O$100,0))</f>
        <v/>
      </c>
      <c r="I3461">
        <f>MIN(F3461,H3461)</f>
        <v/>
      </c>
    </row>
    <row r="3462">
      <c r="A3462">
        <f>TEST_DATA!A3462</f>
        <v/>
      </c>
      <c r="B3462">
        <f>TEST_DATA!B3462</f>
        <v/>
      </c>
      <c r="C3462">
        <f>TEST_DATA!C3462</f>
        <v/>
      </c>
      <c r="D3462">
        <f>TEST_DATA!D3462</f>
        <v/>
      </c>
      <c r="E3462">
        <f>TEST_DATA!E3462</f>
        <v/>
      </c>
      <c r="F3462">
        <f>MIN(E3462*346200,10000)</f>
        <v/>
      </c>
      <c r="G3462">
        <f>MINIFS(CBIC_Late_Fee_Relief_Windows_3B!$O$3462:$O$100,CBIC_Late_Fee_Relief_Windows_3B!$D$3462:$D$100,"&lt;="&amp;B3462,CBIC_Late_Fee_Relief_Windows_3B!$E$3462:$E$100,"&gt;="&amp;B3462,CBIC_Late_Fee_Relief_Windows_3B!$F$3462:$F$100,"&lt;="&amp;C3462,CBIC_Late_Fee_Relief_Windows_3B!$G$3462:$G$100,"&gt;="&amp;C3462)</f>
        <v/>
      </c>
      <c r="H3462">
        <f>INDEX(CBIC_Late_Fee_Relief_Windows_3B!$I$3462:$I$100,MATCH(G3462,CBIC_Late_Fee_Relief_Windows_3B!$O$3462:$O$100,0))</f>
        <v/>
      </c>
      <c r="I3462">
        <f>MIN(F3462,H3462)</f>
        <v/>
      </c>
    </row>
    <row r="3463">
      <c r="A3463">
        <f>TEST_DATA!A3463</f>
        <v/>
      </c>
      <c r="B3463">
        <f>TEST_DATA!B3463</f>
        <v/>
      </c>
      <c r="C3463">
        <f>TEST_DATA!C3463</f>
        <v/>
      </c>
      <c r="D3463">
        <f>TEST_DATA!D3463</f>
        <v/>
      </c>
      <c r="E3463">
        <f>TEST_DATA!E3463</f>
        <v/>
      </c>
      <c r="F3463">
        <f>MIN(E3463*346300,10000)</f>
        <v/>
      </c>
      <c r="G3463">
        <f>MINIFS(CBIC_Late_Fee_Relief_Windows_3B!$O$3463:$O$100,CBIC_Late_Fee_Relief_Windows_3B!$D$3463:$D$100,"&lt;="&amp;B3463,CBIC_Late_Fee_Relief_Windows_3B!$E$3463:$E$100,"&gt;="&amp;B3463,CBIC_Late_Fee_Relief_Windows_3B!$F$3463:$F$100,"&lt;="&amp;C3463,CBIC_Late_Fee_Relief_Windows_3B!$G$3463:$G$100,"&gt;="&amp;C3463)</f>
        <v/>
      </c>
      <c r="H3463">
        <f>INDEX(CBIC_Late_Fee_Relief_Windows_3B!$I$3463:$I$100,MATCH(G3463,CBIC_Late_Fee_Relief_Windows_3B!$O$3463:$O$100,0))</f>
        <v/>
      </c>
      <c r="I3463">
        <f>MIN(F3463,H3463)</f>
        <v/>
      </c>
    </row>
    <row r="3464">
      <c r="A3464">
        <f>TEST_DATA!A3464</f>
        <v/>
      </c>
      <c r="B3464">
        <f>TEST_DATA!B3464</f>
        <v/>
      </c>
      <c r="C3464">
        <f>TEST_DATA!C3464</f>
        <v/>
      </c>
      <c r="D3464">
        <f>TEST_DATA!D3464</f>
        <v/>
      </c>
      <c r="E3464">
        <f>TEST_DATA!E3464</f>
        <v/>
      </c>
      <c r="F3464">
        <f>MIN(E3464*346400,10000)</f>
        <v/>
      </c>
      <c r="G3464">
        <f>MINIFS(CBIC_Late_Fee_Relief_Windows_3B!$O$3464:$O$100,CBIC_Late_Fee_Relief_Windows_3B!$D$3464:$D$100,"&lt;="&amp;B3464,CBIC_Late_Fee_Relief_Windows_3B!$E$3464:$E$100,"&gt;="&amp;B3464,CBIC_Late_Fee_Relief_Windows_3B!$F$3464:$F$100,"&lt;="&amp;C3464,CBIC_Late_Fee_Relief_Windows_3B!$G$3464:$G$100,"&gt;="&amp;C3464)</f>
        <v/>
      </c>
      <c r="H3464">
        <f>INDEX(CBIC_Late_Fee_Relief_Windows_3B!$I$3464:$I$100,MATCH(G3464,CBIC_Late_Fee_Relief_Windows_3B!$O$3464:$O$100,0))</f>
        <v/>
      </c>
      <c r="I3464">
        <f>MIN(F3464,H3464)</f>
        <v/>
      </c>
    </row>
    <row r="3465">
      <c r="A3465">
        <f>TEST_DATA!A3465</f>
        <v/>
      </c>
      <c r="B3465">
        <f>TEST_DATA!B3465</f>
        <v/>
      </c>
      <c r="C3465">
        <f>TEST_DATA!C3465</f>
        <v/>
      </c>
      <c r="D3465">
        <f>TEST_DATA!D3465</f>
        <v/>
      </c>
      <c r="E3465">
        <f>TEST_DATA!E3465</f>
        <v/>
      </c>
      <c r="F3465">
        <f>MIN(E3465*346500,10000)</f>
        <v/>
      </c>
      <c r="G3465">
        <f>MINIFS(CBIC_Late_Fee_Relief_Windows_3B!$O$3465:$O$100,CBIC_Late_Fee_Relief_Windows_3B!$D$3465:$D$100,"&lt;="&amp;B3465,CBIC_Late_Fee_Relief_Windows_3B!$E$3465:$E$100,"&gt;="&amp;B3465,CBIC_Late_Fee_Relief_Windows_3B!$F$3465:$F$100,"&lt;="&amp;C3465,CBIC_Late_Fee_Relief_Windows_3B!$G$3465:$G$100,"&gt;="&amp;C3465)</f>
        <v/>
      </c>
      <c r="H3465">
        <f>INDEX(CBIC_Late_Fee_Relief_Windows_3B!$I$3465:$I$100,MATCH(G3465,CBIC_Late_Fee_Relief_Windows_3B!$O$3465:$O$100,0))</f>
        <v/>
      </c>
      <c r="I3465">
        <f>MIN(F3465,H3465)</f>
        <v/>
      </c>
    </row>
    <row r="3466">
      <c r="A3466">
        <f>TEST_DATA!A3466</f>
        <v/>
      </c>
      <c r="B3466">
        <f>TEST_DATA!B3466</f>
        <v/>
      </c>
      <c r="C3466">
        <f>TEST_DATA!C3466</f>
        <v/>
      </c>
      <c r="D3466">
        <f>TEST_DATA!D3466</f>
        <v/>
      </c>
      <c r="E3466">
        <f>TEST_DATA!E3466</f>
        <v/>
      </c>
      <c r="F3466">
        <f>MIN(E3466*346600,10000)</f>
        <v/>
      </c>
      <c r="G3466">
        <f>MINIFS(CBIC_Late_Fee_Relief_Windows_3B!$O$3466:$O$100,CBIC_Late_Fee_Relief_Windows_3B!$D$3466:$D$100,"&lt;="&amp;B3466,CBIC_Late_Fee_Relief_Windows_3B!$E$3466:$E$100,"&gt;="&amp;B3466,CBIC_Late_Fee_Relief_Windows_3B!$F$3466:$F$100,"&lt;="&amp;C3466,CBIC_Late_Fee_Relief_Windows_3B!$G$3466:$G$100,"&gt;="&amp;C3466)</f>
        <v/>
      </c>
      <c r="H3466">
        <f>INDEX(CBIC_Late_Fee_Relief_Windows_3B!$I$3466:$I$100,MATCH(G3466,CBIC_Late_Fee_Relief_Windows_3B!$O$3466:$O$100,0))</f>
        <v/>
      </c>
      <c r="I3466">
        <f>MIN(F3466,H3466)</f>
        <v/>
      </c>
    </row>
    <row r="3467">
      <c r="A3467">
        <f>TEST_DATA!A3467</f>
        <v/>
      </c>
      <c r="B3467">
        <f>TEST_DATA!B3467</f>
        <v/>
      </c>
      <c r="C3467">
        <f>TEST_DATA!C3467</f>
        <v/>
      </c>
      <c r="D3467">
        <f>TEST_DATA!D3467</f>
        <v/>
      </c>
      <c r="E3467">
        <f>TEST_DATA!E3467</f>
        <v/>
      </c>
      <c r="F3467">
        <f>MIN(E3467*346700,10000)</f>
        <v/>
      </c>
      <c r="G3467">
        <f>MINIFS(CBIC_Late_Fee_Relief_Windows_3B!$O$3467:$O$100,CBIC_Late_Fee_Relief_Windows_3B!$D$3467:$D$100,"&lt;="&amp;B3467,CBIC_Late_Fee_Relief_Windows_3B!$E$3467:$E$100,"&gt;="&amp;B3467,CBIC_Late_Fee_Relief_Windows_3B!$F$3467:$F$100,"&lt;="&amp;C3467,CBIC_Late_Fee_Relief_Windows_3B!$G$3467:$G$100,"&gt;="&amp;C3467)</f>
        <v/>
      </c>
      <c r="H3467">
        <f>INDEX(CBIC_Late_Fee_Relief_Windows_3B!$I$3467:$I$100,MATCH(G3467,CBIC_Late_Fee_Relief_Windows_3B!$O$3467:$O$100,0))</f>
        <v/>
      </c>
      <c r="I3467">
        <f>MIN(F3467,H3467)</f>
        <v/>
      </c>
    </row>
    <row r="3468">
      <c r="A3468">
        <f>TEST_DATA!A3468</f>
        <v/>
      </c>
      <c r="B3468">
        <f>TEST_DATA!B3468</f>
        <v/>
      </c>
      <c r="C3468">
        <f>TEST_DATA!C3468</f>
        <v/>
      </c>
      <c r="D3468">
        <f>TEST_DATA!D3468</f>
        <v/>
      </c>
      <c r="E3468">
        <f>TEST_DATA!E3468</f>
        <v/>
      </c>
      <c r="F3468">
        <f>MIN(E3468*346800,10000)</f>
        <v/>
      </c>
      <c r="G3468">
        <f>MINIFS(CBIC_Late_Fee_Relief_Windows_3B!$O$3468:$O$100,CBIC_Late_Fee_Relief_Windows_3B!$D$3468:$D$100,"&lt;="&amp;B3468,CBIC_Late_Fee_Relief_Windows_3B!$E$3468:$E$100,"&gt;="&amp;B3468,CBIC_Late_Fee_Relief_Windows_3B!$F$3468:$F$100,"&lt;="&amp;C3468,CBIC_Late_Fee_Relief_Windows_3B!$G$3468:$G$100,"&gt;="&amp;C3468)</f>
        <v/>
      </c>
      <c r="H3468">
        <f>INDEX(CBIC_Late_Fee_Relief_Windows_3B!$I$3468:$I$100,MATCH(G3468,CBIC_Late_Fee_Relief_Windows_3B!$O$3468:$O$100,0))</f>
        <v/>
      </c>
      <c r="I3468">
        <f>MIN(F3468,H3468)</f>
        <v/>
      </c>
    </row>
    <row r="3469">
      <c r="A3469">
        <f>TEST_DATA!A3469</f>
        <v/>
      </c>
      <c r="B3469">
        <f>TEST_DATA!B3469</f>
        <v/>
      </c>
      <c r="C3469">
        <f>TEST_DATA!C3469</f>
        <v/>
      </c>
      <c r="D3469">
        <f>TEST_DATA!D3469</f>
        <v/>
      </c>
      <c r="E3469">
        <f>TEST_DATA!E3469</f>
        <v/>
      </c>
      <c r="F3469">
        <f>MIN(E3469*346900,10000)</f>
        <v/>
      </c>
      <c r="G3469">
        <f>MINIFS(CBIC_Late_Fee_Relief_Windows_3B!$O$3469:$O$100,CBIC_Late_Fee_Relief_Windows_3B!$D$3469:$D$100,"&lt;="&amp;B3469,CBIC_Late_Fee_Relief_Windows_3B!$E$3469:$E$100,"&gt;="&amp;B3469,CBIC_Late_Fee_Relief_Windows_3B!$F$3469:$F$100,"&lt;="&amp;C3469,CBIC_Late_Fee_Relief_Windows_3B!$G$3469:$G$100,"&gt;="&amp;C3469)</f>
        <v/>
      </c>
      <c r="H3469">
        <f>INDEX(CBIC_Late_Fee_Relief_Windows_3B!$I$3469:$I$100,MATCH(G3469,CBIC_Late_Fee_Relief_Windows_3B!$O$3469:$O$100,0))</f>
        <v/>
      </c>
      <c r="I3469">
        <f>MIN(F3469,H3469)</f>
        <v/>
      </c>
    </row>
    <row r="3470">
      <c r="A3470">
        <f>TEST_DATA!A3470</f>
        <v/>
      </c>
      <c r="B3470">
        <f>TEST_DATA!B3470</f>
        <v/>
      </c>
      <c r="C3470">
        <f>TEST_DATA!C3470</f>
        <v/>
      </c>
      <c r="D3470">
        <f>TEST_DATA!D3470</f>
        <v/>
      </c>
      <c r="E3470">
        <f>TEST_DATA!E3470</f>
        <v/>
      </c>
      <c r="F3470">
        <f>MIN(E3470*347000,10000)</f>
        <v/>
      </c>
      <c r="G3470">
        <f>MINIFS(CBIC_Late_Fee_Relief_Windows_3B!$O$3470:$O$100,CBIC_Late_Fee_Relief_Windows_3B!$D$3470:$D$100,"&lt;="&amp;B3470,CBIC_Late_Fee_Relief_Windows_3B!$E$3470:$E$100,"&gt;="&amp;B3470,CBIC_Late_Fee_Relief_Windows_3B!$F$3470:$F$100,"&lt;="&amp;C3470,CBIC_Late_Fee_Relief_Windows_3B!$G$3470:$G$100,"&gt;="&amp;C3470)</f>
        <v/>
      </c>
      <c r="H3470">
        <f>INDEX(CBIC_Late_Fee_Relief_Windows_3B!$I$3470:$I$100,MATCH(G3470,CBIC_Late_Fee_Relief_Windows_3B!$O$3470:$O$100,0))</f>
        <v/>
      </c>
      <c r="I3470">
        <f>MIN(F3470,H3470)</f>
        <v/>
      </c>
    </row>
    <row r="3471">
      <c r="A3471">
        <f>TEST_DATA!A3471</f>
        <v/>
      </c>
      <c r="B3471">
        <f>TEST_DATA!B3471</f>
        <v/>
      </c>
      <c r="C3471">
        <f>TEST_DATA!C3471</f>
        <v/>
      </c>
      <c r="D3471">
        <f>TEST_DATA!D3471</f>
        <v/>
      </c>
      <c r="E3471">
        <f>TEST_DATA!E3471</f>
        <v/>
      </c>
      <c r="F3471">
        <f>MIN(E3471*347100,10000)</f>
        <v/>
      </c>
      <c r="G3471">
        <f>MINIFS(CBIC_Late_Fee_Relief_Windows_3B!$O$3471:$O$100,CBIC_Late_Fee_Relief_Windows_3B!$D$3471:$D$100,"&lt;="&amp;B3471,CBIC_Late_Fee_Relief_Windows_3B!$E$3471:$E$100,"&gt;="&amp;B3471,CBIC_Late_Fee_Relief_Windows_3B!$F$3471:$F$100,"&lt;="&amp;C3471,CBIC_Late_Fee_Relief_Windows_3B!$G$3471:$G$100,"&gt;="&amp;C3471)</f>
        <v/>
      </c>
      <c r="H3471">
        <f>INDEX(CBIC_Late_Fee_Relief_Windows_3B!$I$3471:$I$100,MATCH(G3471,CBIC_Late_Fee_Relief_Windows_3B!$O$3471:$O$100,0))</f>
        <v/>
      </c>
      <c r="I3471">
        <f>MIN(F3471,H3471)</f>
        <v/>
      </c>
    </row>
    <row r="3472">
      <c r="A3472">
        <f>TEST_DATA!A3472</f>
        <v/>
      </c>
      <c r="B3472">
        <f>TEST_DATA!B3472</f>
        <v/>
      </c>
      <c r="C3472">
        <f>TEST_DATA!C3472</f>
        <v/>
      </c>
      <c r="D3472">
        <f>TEST_DATA!D3472</f>
        <v/>
      </c>
      <c r="E3472">
        <f>TEST_DATA!E3472</f>
        <v/>
      </c>
      <c r="F3472">
        <f>MIN(E3472*347200,10000)</f>
        <v/>
      </c>
      <c r="G3472">
        <f>MINIFS(CBIC_Late_Fee_Relief_Windows_3B!$O$3472:$O$100,CBIC_Late_Fee_Relief_Windows_3B!$D$3472:$D$100,"&lt;="&amp;B3472,CBIC_Late_Fee_Relief_Windows_3B!$E$3472:$E$100,"&gt;="&amp;B3472,CBIC_Late_Fee_Relief_Windows_3B!$F$3472:$F$100,"&lt;="&amp;C3472,CBIC_Late_Fee_Relief_Windows_3B!$G$3472:$G$100,"&gt;="&amp;C3472)</f>
        <v/>
      </c>
      <c r="H3472">
        <f>INDEX(CBIC_Late_Fee_Relief_Windows_3B!$I$3472:$I$100,MATCH(G3472,CBIC_Late_Fee_Relief_Windows_3B!$O$3472:$O$100,0))</f>
        <v/>
      </c>
      <c r="I3472">
        <f>MIN(F3472,H3472)</f>
        <v/>
      </c>
    </row>
    <row r="3473">
      <c r="A3473">
        <f>TEST_DATA!A3473</f>
        <v/>
      </c>
      <c r="B3473">
        <f>TEST_DATA!B3473</f>
        <v/>
      </c>
      <c r="C3473">
        <f>TEST_DATA!C3473</f>
        <v/>
      </c>
      <c r="D3473">
        <f>TEST_DATA!D3473</f>
        <v/>
      </c>
      <c r="E3473">
        <f>TEST_DATA!E3473</f>
        <v/>
      </c>
      <c r="F3473">
        <f>MIN(E3473*347300,10000)</f>
        <v/>
      </c>
      <c r="G3473">
        <f>MINIFS(CBIC_Late_Fee_Relief_Windows_3B!$O$3473:$O$100,CBIC_Late_Fee_Relief_Windows_3B!$D$3473:$D$100,"&lt;="&amp;B3473,CBIC_Late_Fee_Relief_Windows_3B!$E$3473:$E$100,"&gt;="&amp;B3473,CBIC_Late_Fee_Relief_Windows_3B!$F$3473:$F$100,"&lt;="&amp;C3473,CBIC_Late_Fee_Relief_Windows_3B!$G$3473:$G$100,"&gt;="&amp;C3473)</f>
        <v/>
      </c>
      <c r="H3473">
        <f>INDEX(CBIC_Late_Fee_Relief_Windows_3B!$I$3473:$I$100,MATCH(G3473,CBIC_Late_Fee_Relief_Windows_3B!$O$3473:$O$100,0))</f>
        <v/>
      </c>
      <c r="I3473">
        <f>MIN(F3473,H3473)</f>
        <v/>
      </c>
    </row>
    <row r="3474">
      <c r="A3474">
        <f>TEST_DATA!A3474</f>
        <v/>
      </c>
      <c r="B3474">
        <f>TEST_DATA!B3474</f>
        <v/>
      </c>
      <c r="C3474">
        <f>TEST_DATA!C3474</f>
        <v/>
      </c>
      <c r="D3474">
        <f>TEST_DATA!D3474</f>
        <v/>
      </c>
      <c r="E3474">
        <f>TEST_DATA!E3474</f>
        <v/>
      </c>
      <c r="F3474">
        <f>MIN(E3474*347400,10000)</f>
        <v/>
      </c>
      <c r="G3474">
        <f>MINIFS(CBIC_Late_Fee_Relief_Windows_3B!$O$3474:$O$100,CBIC_Late_Fee_Relief_Windows_3B!$D$3474:$D$100,"&lt;="&amp;B3474,CBIC_Late_Fee_Relief_Windows_3B!$E$3474:$E$100,"&gt;="&amp;B3474,CBIC_Late_Fee_Relief_Windows_3B!$F$3474:$F$100,"&lt;="&amp;C3474,CBIC_Late_Fee_Relief_Windows_3B!$G$3474:$G$100,"&gt;="&amp;C3474)</f>
        <v/>
      </c>
      <c r="H3474">
        <f>INDEX(CBIC_Late_Fee_Relief_Windows_3B!$I$3474:$I$100,MATCH(G3474,CBIC_Late_Fee_Relief_Windows_3B!$O$3474:$O$100,0))</f>
        <v/>
      </c>
      <c r="I3474">
        <f>MIN(F3474,H3474)</f>
        <v/>
      </c>
    </row>
    <row r="3475">
      <c r="A3475">
        <f>TEST_DATA!A3475</f>
        <v/>
      </c>
      <c r="B3475">
        <f>TEST_DATA!B3475</f>
        <v/>
      </c>
      <c r="C3475">
        <f>TEST_DATA!C3475</f>
        <v/>
      </c>
      <c r="D3475">
        <f>TEST_DATA!D3475</f>
        <v/>
      </c>
      <c r="E3475">
        <f>TEST_DATA!E3475</f>
        <v/>
      </c>
      <c r="F3475">
        <f>MIN(E3475*347500,10000)</f>
        <v/>
      </c>
      <c r="G3475">
        <f>MINIFS(CBIC_Late_Fee_Relief_Windows_3B!$O$3475:$O$100,CBIC_Late_Fee_Relief_Windows_3B!$D$3475:$D$100,"&lt;="&amp;B3475,CBIC_Late_Fee_Relief_Windows_3B!$E$3475:$E$100,"&gt;="&amp;B3475,CBIC_Late_Fee_Relief_Windows_3B!$F$3475:$F$100,"&lt;="&amp;C3475,CBIC_Late_Fee_Relief_Windows_3B!$G$3475:$G$100,"&gt;="&amp;C3475)</f>
        <v/>
      </c>
      <c r="H3475">
        <f>INDEX(CBIC_Late_Fee_Relief_Windows_3B!$I$3475:$I$100,MATCH(G3475,CBIC_Late_Fee_Relief_Windows_3B!$O$3475:$O$100,0))</f>
        <v/>
      </c>
      <c r="I3475">
        <f>MIN(F3475,H3475)</f>
        <v/>
      </c>
    </row>
    <row r="3476">
      <c r="A3476">
        <f>TEST_DATA!A3476</f>
        <v/>
      </c>
      <c r="B3476">
        <f>TEST_DATA!B3476</f>
        <v/>
      </c>
      <c r="C3476">
        <f>TEST_DATA!C3476</f>
        <v/>
      </c>
      <c r="D3476">
        <f>TEST_DATA!D3476</f>
        <v/>
      </c>
      <c r="E3476">
        <f>TEST_DATA!E3476</f>
        <v/>
      </c>
      <c r="F3476">
        <f>MIN(E3476*347600,10000)</f>
        <v/>
      </c>
      <c r="G3476">
        <f>MINIFS(CBIC_Late_Fee_Relief_Windows_3B!$O$3476:$O$100,CBIC_Late_Fee_Relief_Windows_3B!$D$3476:$D$100,"&lt;="&amp;B3476,CBIC_Late_Fee_Relief_Windows_3B!$E$3476:$E$100,"&gt;="&amp;B3476,CBIC_Late_Fee_Relief_Windows_3B!$F$3476:$F$100,"&lt;="&amp;C3476,CBIC_Late_Fee_Relief_Windows_3B!$G$3476:$G$100,"&gt;="&amp;C3476)</f>
        <v/>
      </c>
      <c r="H3476">
        <f>INDEX(CBIC_Late_Fee_Relief_Windows_3B!$I$3476:$I$100,MATCH(G3476,CBIC_Late_Fee_Relief_Windows_3B!$O$3476:$O$100,0))</f>
        <v/>
      </c>
      <c r="I3476">
        <f>MIN(F3476,H3476)</f>
        <v/>
      </c>
    </row>
    <row r="3477">
      <c r="A3477">
        <f>TEST_DATA!A3477</f>
        <v/>
      </c>
      <c r="B3477">
        <f>TEST_DATA!B3477</f>
        <v/>
      </c>
      <c r="C3477">
        <f>TEST_DATA!C3477</f>
        <v/>
      </c>
      <c r="D3477">
        <f>TEST_DATA!D3477</f>
        <v/>
      </c>
      <c r="E3477">
        <f>TEST_DATA!E3477</f>
        <v/>
      </c>
      <c r="F3477">
        <f>MIN(E3477*347700,10000)</f>
        <v/>
      </c>
      <c r="G3477">
        <f>MINIFS(CBIC_Late_Fee_Relief_Windows_3B!$O$3477:$O$100,CBIC_Late_Fee_Relief_Windows_3B!$D$3477:$D$100,"&lt;="&amp;B3477,CBIC_Late_Fee_Relief_Windows_3B!$E$3477:$E$100,"&gt;="&amp;B3477,CBIC_Late_Fee_Relief_Windows_3B!$F$3477:$F$100,"&lt;="&amp;C3477,CBIC_Late_Fee_Relief_Windows_3B!$G$3477:$G$100,"&gt;="&amp;C3477)</f>
        <v/>
      </c>
      <c r="H3477">
        <f>INDEX(CBIC_Late_Fee_Relief_Windows_3B!$I$3477:$I$100,MATCH(G3477,CBIC_Late_Fee_Relief_Windows_3B!$O$3477:$O$100,0))</f>
        <v/>
      </c>
      <c r="I3477">
        <f>MIN(F3477,H3477)</f>
        <v/>
      </c>
    </row>
    <row r="3478">
      <c r="A3478">
        <f>TEST_DATA!A3478</f>
        <v/>
      </c>
      <c r="B3478">
        <f>TEST_DATA!B3478</f>
        <v/>
      </c>
      <c r="C3478">
        <f>TEST_DATA!C3478</f>
        <v/>
      </c>
      <c r="D3478">
        <f>TEST_DATA!D3478</f>
        <v/>
      </c>
      <c r="E3478">
        <f>TEST_DATA!E3478</f>
        <v/>
      </c>
      <c r="F3478">
        <f>MIN(E3478*347800,10000)</f>
        <v/>
      </c>
      <c r="G3478">
        <f>MINIFS(CBIC_Late_Fee_Relief_Windows_3B!$O$3478:$O$100,CBIC_Late_Fee_Relief_Windows_3B!$D$3478:$D$100,"&lt;="&amp;B3478,CBIC_Late_Fee_Relief_Windows_3B!$E$3478:$E$100,"&gt;="&amp;B3478,CBIC_Late_Fee_Relief_Windows_3B!$F$3478:$F$100,"&lt;="&amp;C3478,CBIC_Late_Fee_Relief_Windows_3B!$G$3478:$G$100,"&gt;="&amp;C3478)</f>
        <v/>
      </c>
      <c r="H3478">
        <f>INDEX(CBIC_Late_Fee_Relief_Windows_3B!$I$3478:$I$100,MATCH(G3478,CBIC_Late_Fee_Relief_Windows_3B!$O$3478:$O$100,0))</f>
        <v/>
      </c>
      <c r="I3478">
        <f>MIN(F3478,H3478)</f>
        <v/>
      </c>
    </row>
    <row r="3479">
      <c r="A3479">
        <f>TEST_DATA!A3479</f>
        <v/>
      </c>
      <c r="B3479">
        <f>TEST_DATA!B3479</f>
        <v/>
      </c>
      <c r="C3479">
        <f>TEST_DATA!C3479</f>
        <v/>
      </c>
      <c r="D3479">
        <f>TEST_DATA!D3479</f>
        <v/>
      </c>
      <c r="E3479">
        <f>TEST_DATA!E3479</f>
        <v/>
      </c>
      <c r="F3479">
        <f>MIN(E3479*347900,10000)</f>
        <v/>
      </c>
      <c r="G3479">
        <f>MINIFS(CBIC_Late_Fee_Relief_Windows_3B!$O$3479:$O$100,CBIC_Late_Fee_Relief_Windows_3B!$D$3479:$D$100,"&lt;="&amp;B3479,CBIC_Late_Fee_Relief_Windows_3B!$E$3479:$E$100,"&gt;="&amp;B3479,CBIC_Late_Fee_Relief_Windows_3B!$F$3479:$F$100,"&lt;="&amp;C3479,CBIC_Late_Fee_Relief_Windows_3B!$G$3479:$G$100,"&gt;="&amp;C3479)</f>
        <v/>
      </c>
      <c r="H3479">
        <f>INDEX(CBIC_Late_Fee_Relief_Windows_3B!$I$3479:$I$100,MATCH(G3479,CBIC_Late_Fee_Relief_Windows_3B!$O$3479:$O$100,0))</f>
        <v/>
      </c>
      <c r="I3479">
        <f>MIN(F3479,H3479)</f>
        <v/>
      </c>
    </row>
    <row r="3480">
      <c r="A3480">
        <f>TEST_DATA!A3480</f>
        <v/>
      </c>
      <c r="B3480">
        <f>TEST_DATA!B3480</f>
        <v/>
      </c>
      <c r="C3480">
        <f>TEST_DATA!C3480</f>
        <v/>
      </c>
      <c r="D3480">
        <f>TEST_DATA!D3480</f>
        <v/>
      </c>
      <c r="E3480">
        <f>TEST_DATA!E3480</f>
        <v/>
      </c>
      <c r="F3480">
        <f>MIN(E3480*348000,10000)</f>
        <v/>
      </c>
      <c r="G3480">
        <f>MINIFS(CBIC_Late_Fee_Relief_Windows_3B!$O$3480:$O$100,CBIC_Late_Fee_Relief_Windows_3B!$D$3480:$D$100,"&lt;="&amp;B3480,CBIC_Late_Fee_Relief_Windows_3B!$E$3480:$E$100,"&gt;="&amp;B3480,CBIC_Late_Fee_Relief_Windows_3B!$F$3480:$F$100,"&lt;="&amp;C3480,CBIC_Late_Fee_Relief_Windows_3B!$G$3480:$G$100,"&gt;="&amp;C3480)</f>
        <v/>
      </c>
      <c r="H3480">
        <f>INDEX(CBIC_Late_Fee_Relief_Windows_3B!$I$3480:$I$100,MATCH(G3480,CBIC_Late_Fee_Relief_Windows_3B!$O$3480:$O$100,0))</f>
        <v/>
      </c>
      <c r="I3480">
        <f>MIN(F3480,H3480)</f>
        <v/>
      </c>
    </row>
    <row r="3481">
      <c r="A3481">
        <f>TEST_DATA!A3481</f>
        <v/>
      </c>
      <c r="B3481">
        <f>TEST_DATA!B3481</f>
        <v/>
      </c>
      <c r="C3481">
        <f>TEST_DATA!C3481</f>
        <v/>
      </c>
      <c r="D3481">
        <f>TEST_DATA!D3481</f>
        <v/>
      </c>
      <c r="E3481">
        <f>TEST_DATA!E3481</f>
        <v/>
      </c>
      <c r="F3481">
        <f>MIN(E3481*348100,10000)</f>
        <v/>
      </c>
      <c r="G3481">
        <f>MINIFS(CBIC_Late_Fee_Relief_Windows_3B!$O$3481:$O$100,CBIC_Late_Fee_Relief_Windows_3B!$D$3481:$D$100,"&lt;="&amp;B3481,CBIC_Late_Fee_Relief_Windows_3B!$E$3481:$E$100,"&gt;="&amp;B3481,CBIC_Late_Fee_Relief_Windows_3B!$F$3481:$F$100,"&lt;="&amp;C3481,CBIC_Late_Fee_Relief_Windows_3B!$G$3481:$G$100,"&gt;="&amp;C3481)</f>
        <v/>
      </c>
      <c r="H3481">
        <f>INDEX(CBIC_Late_Fee_Relief_Windows_3B!$I$3481:$I$100,MATCH(G3481,CBIC_Late_Fee_Relief_Windows_3B!$O$3481:$O$100,0))</f>
        <v/>
      </c>
      <c r="I3481">
        <f>MIN(F3481,H3481)</f>
        <v/>
      </c>
    </row>
    <row r="3482">
      <c r="A3482">
        <f>TEST_DATA!A3482</f>
        <v/>
      </c>
      <c r="B3482">
        <f>TEST_DATA!B3482</f>
        <v/>
      </c>
      <c r="C3482">
        <f>TEST_DATA!C3482</f>
        <v/>
      </c>
      <c r="D3482">
        <f>TEST_DATA!D3482</f>
        <v/>
      </c>
      <c r="E3482">
        <f>TEST_DATA!E3482</f>
        <v/>
      </c>
      <c r="F3482">
        <f>MIN(E3482*348200,10000)</f>
        <v/>
      </c>
      <c r="G3482">
        <f>MINIFS(CBIC_Late_Fee_Relief_Windows_3B!$O$3482:$O$100,CBIC_Late_Fee_Relief_Windows_3B!$D$3482:$D$100,"&lt;="&amp;B3482,CBIC_Late_Fee_Relief_Windows_3B!$E$3482:$E$100,"&gt;="&amp;B3482,CBIC_Late_Fee_Relief_Windows_3B!$F$3482:$F$100,"&lt;="&amp;C3482,CBIC_Late_Fee_Relief_Windows_3B!$G$3482:$G$100,"&gt;="&amp;C3482)</f>
        <v/>
      </c>
      <c r="H3482">
        <f>INDEX(CBIC_Late_Fee_Relief_Windows_3B!$I$3482:$I$100,MATCH(G3482,CBIC_Late_Fee_Relief_Windows_3B!$O$3482:$O$100,0))</f>
        <v/>
      </c>
      <c r="I3482">
        <f>MIN(F3482,H3482)</f>
        <v/>
      </c>
    </row>
    <row r="3483">
      <c r="A3483">
        <f>TEST_DATA!A3483</f>
        <v/>
      </c>
      <c r="B3483">
        <f>TEST_DATA!B3483</f>
        <v/>
      </c>
      <c r="C3483">
        <f>TEST_DATA!C3483</f>
        <v/>
      </c>
      <c r="D3483">
        <f>TEST_DATA!D3483</f>
        <v/>
      </c>
      <c r="E3483">
        <f>TEST_DATA!E3483</f>
        <v/>
      </c>
      <c r="F3483">
        <f>MIN(E3483*348300,10000)</f>
        <v/>
      </c>
      <c r="G3483">
        <f>MINIFS(CBIC_Late_Fee_Relief_Windows_3B!$O$3483:$O$100,CBIC_Late_Fee_Relief_Windows_3B!$D$3483:$D$100,"&lt;="&amp;B3483,CBIC_Late_Fee_Relief_Windows_3B!$E$3483:$E$100,"&gt;="&amp;B3483,CBIC_Late_Fee_Relief_Windows_3B!$F$3483:$F$100,"&lt;="&amp;C3483,CBIC_Late_Fee_Relief_Windows_3B!$G$3483:$G$100,"&gt;="&amp;C3483)</f>
        <v/>
      </c>
      <c r="H3483">
        <f>INDEX(CBIC_Late_Fee_Relief_Windows_3B!$I$3483:$I$100,MATCH(G3483,CBIC_Late_Fee_Relief_Windows_3B!$O$3483:$O$100,0))</f>
        <v/>
      </c>
      <c r="I3483">
        <f>MIN(F3483,H3483)</f>
        <v/>
      </c>
    </row>
    <row r="3484">
      <c r="A3484">
        <f>TEST_DATA!A3484</f>
        <v/>
      </c>
      <c r="B3484">
        <f>TEST_DATA!B3484</f>
        <v/>
      </c>
      <c r="C3484">
        <f>TEST_DATA!C3484</f>
        <v/>
      </c>
      <c r="D3484">
        <f>TEST_DATA!D3484</f>
        <v/>
      </c>
      <c r="E3484">
        <f>TEST_DATA!E3484</f>
        <v/>
      </c>
      <c r="F3484">
        <f>MIN(E3484*348400,10000)</f>
        <v/>
      </c>
      <c r="G3484">
        <f>MINIFS(CBIC_Late_Fee_Relief_Windows_3B!$O$3484:$O$100,CBIC_Late_Fee_Relief_Windows_3B!$D$3484:$D$100,"&lt;="&amp;B3484,CBIC_Late_Fee_Relief_Windows_3B!$E$3484:$E$100,"&gt;="&amp;B3484,CBIC_Late_Fee_Relief_Windows_3B!$F$3484:$F$100,"&lt;="&amp;C3484,CBIC_Late_Fee_Relief_Windows_3B!$G$3484:$G$100,"&gt;="&amp;C3484)</f>
        <v/>
      </c>
      <c r="H3484">
        <f>INDEX(CBIC_Late_Fee_Relief_Windows_3B!$I$3484:$I$100,MATCH(G3484,CBIC_Late_Fee_Relief_Windows_3B!$O$3484:$O$100,0))</f>
        <v/>
      </c>
      <c r="I3484">
        <f>MIN(F3484,H3484)</f>
        <v/>
      </c>
    </row>
    <row r="3485">
      <c r="A3485">
        <f>TEST_DATA!A3485</f>
        <v/>
      </c>
      <c r="B3485">
        <f>TEST_DATA!B3485</f>
        <v/>
      </c>
      <c r="C3485">
        <f>TEST_DATA!C3485</f>
        <v/>
      </c>
      <c r="D3485">
        <f>TEST_DATA!D3485</f>
        <v/>
      </c>
      <c r="E3485">
        <f>TEST_DATA!E3485</f>
        <v/>
      </c>
      <c r="F3485">
        <f>MIN(E3485*348500,10000)</f>
        <v/>
      </c>
      <c r="G3485">
        <f>MINIFS(CBIC_Late_Fee_Relief_Windows_3B!$O$3485:$O$100,CBIC_Late_Fee_Relief_Windows_3B!$D$3485:$D$100,"&lt;="&amp;B3485,CBIC_Late_Fee_Relief_Windows_3B!$E$3485:$E$100,"&gt;="&amp;B3485,CBIC_Late_Fee_Relief_Windows_3B!$F$3485:$F$100,"&lt;="&amp;C3485,CBIC_Late_Fee_Relief_Windows_3B!$G$3485:$G$100,"&gt;="&amp;C3485)</f>
        <v/>
      </c>
      <c r="H3485">
        <f>INDEX(CBIC_Late_Fee_Relief_Windows_3B!$I$3485:$I$100,MATCH(G3485,CBIC_Late_Fee_Relief_Windows_3B!$O$3485:$O$100,0))</f>
        <v/>
      </c>
      <c r="I3485">
        <f>MIN(F3485,H3485)</f>
        <v/>
      </c>
    </row>
    <row r="3486">
      <c r="A3486">
        <f>TEST_DATA!A3486</f>
        <v/>
      </c>
      <c r="B3486">
        <f>TEST_DATA!B3486</f>
        <v/>
      </c>
      <c r="C3486">
        <f>TEST_DATA!C3486</f>
        <v/>
      </c>
      <c r="D3486">
        <f>TEST_DATA!D3486</f>
        <v/>
      </c>
      <c r="E3486">
        <f>TEST_DATA!E3486</f>
        <v/>
      </c>
      <c r="F3486">
        <f>MIN(E3486*348600,10000)</f>
        <v/>
      </c>
      <c r="G3486">
        <f>MINIFS(CBIC_Late_Fee_Relief_Windows_3B!$O$3486:$O$100,CBIC_Late_Fee_Relief_Windows_3B!$D$3486:$D$100,"&lt;="&amp;B3486,CBIC_Late_Fee_Relief_Windows_3B!$E$3486:$E$100,"&gt;="&amp;B3486,CBIC_Late_Fee_Relief_Windows_3B!$F$3486:$F$100,"&lt;="&amp;C3486,CBIC_Late_Fee_Relief_Windows_3B!$G$3486:$G$100,"&gt;="&amp;C3486)</f>
        <v/>
      </c>
      <c r="H3486">
        <f>INDEX(CBIC_Late_Fee_Relief_Windows_3B!$I$3486:$I$100,MATCH(G3486,CBIC_Late_Fee_Relief_Windows_3B!$O$3486:$O$100,0))</f>
        <v/>
      </c>
      <c r="I3486">
        <f>MIN(F3486,H3486)</f>
        <v/>
      </c>
    </row>
    <row r="3487">
      <c r="A3487">
        <f>TEST_DATA!A3487</f>
        <v/>
      </c>
      <c r="B3487">
        <f>TEST_DATA!B3487</f>
        <v/>
      </c>
      <c r="C3487">
        <f>TEST_DATA!C3487</f>
        <v/>
      </c>
      <c r="D3487">
        <f>TEST_DATA!D3487</f>
        <v/>
      </c>
      <c r="E3487">
        <f>TEST_DATA!E3487</f>
        <v/>
      </c>
      <c r="F3487">
        <f>MIN(E3487*348700,10000)</f>
        <v/>
      </c>
      <c r="G3487">
        <f>MINIFS(CBIC_Late_Fee_Relief_Windows_3B!$O$3487:$O$100,CBIC_Late_Fee_Relief_Windows_3B!$D$3487:$D$100,"&lt;="&amp;B3487,CBIC_Late_Fee_Relief_Windows_3B!$E$3487:$E$100,"&gt;="&amp;B3487,CBIC_Late_Fee_Relief_Windows_3B!$F$3487:$F$100,"&lt;="&amp;C3487,CBIC_Late_Fee_Relief_Windows_3B!$G$3487:$G$100,"&gt;="&amp;C3487)</f>
        <v/>
      </c>
      <c r="H3487">
        <f>INDEX(CBIC_Late_Fee_Relief_Windows_3B!$I$3487:$I$100,MATCH(G3487,CBIC_Late_Fee_Relief_Windows_3B!$O$3487:$O$100,0))</f>
        <v/>
      </c>
      <c r="I3487">
        <f>MIN(F3487,H3487)</f>
        <v/>
      </c>
    </row>
    <row r="3488">
      <c r="A3488">
        <f>TEST_DATA!A3488</f>
        <v/>
      </c>
      <c r="B3488">
        <f>TEST_DATA!B3488</f>
        <v/>
      </c>
      <c r="C3488">
        <f>TEST_DATA!C3488</f>
        <v/>
      </c>
      <c r="D3488">
        <f>TEST_DATA!D3488</f>
        <v/>
      </c>
      <c r="E3488">
        <f>TEST_DATA!E3488</f>
        <v/>
      </c>
      <c r="F3488">
        <f>MIN(E3488*348800,10000)</f>
        <v/>
      </c>
      <c r="G3488">
        <f>MINIFS(CBIC_Late_Fee_Relief_Windows_3B!$O$3488:$O$100,CBIC_Late_Fee_Relief_Windows_3B!$D$3488:$D$100,"&lt;="&amp;B3488,CBIC_Late_Fee_Relief_Windows_3B!$E$3488:$E$100,"&gt;="&amp;B3488,CBIC_Late_Fee_Relief_Windows_3B!$F$3488:$F$100,"&lt;="&amp;C3488,CBIC_Late_Fee_Relief_Windows_3B!$G$3488:$G$100,"&gt;="&amp;C3488)</f>
        <v/>
      </c>
      <c r="H3488">
        <f>INDEX(CBIC_Late_Fee_Relief_Windows_3B!$I$3488:$I$100,MATCH(G3488,CBIC_Late_Fee_Relief_Windows_3B!$O$3488:$O$100,0))</f>
        <v/>
      </c>
      <c r="I3488">
        <f>MIN(F3488,H3488)</f>
        <v/>
      </c>
    </row>
    <row r="3489">
      <c r="A3489">
        <f>TEST_DATA!A3489</f>
        <v/>
      </c>
      <c r="B3489">
        <f>TEST_DATA!B3489</f>
        <v/>
      </c>
      <c r="C3489">
        <f>TEST_DATA!C3489</f>
        <v/>
      </c>
      <c r="D3489">
        <f>TEST_DATA!D3489</f>
        <v/>
      </c>
      <c r="E3489">
        <f>TEST_DATA!E3489</f>
        <v/>
      </c>
      <c r="F3489">
        <f>MIN(E3489*348900,10000)</f>
        <v/>
      </c>
      <c r="G3489">
        <f>MINIFS(CBIC_Late_Fee_Relief_Windows_3B!$O$3489:$O$100,CBIC_Late_Fee_Relief_Windows_3B!$D$3489:$D$100,"&lt;="&amp;B3489,CBIC_Late_Fee_Relief_Windows_3B!$E$3489:$E$100,"&gt;="&amp;B3489,CBIC_Late_Fee_Relief_Windows_3B!$F$3489:$F$100,"&lt;="&amp;C3489,CBIC_Late_Fee_Relief_Windows_3B!$G$3489:$G$100,"&gt;="&amp;C3489)</f>
        <v/>
      </c>
      <c r="H3489">
        <f>INDEX(CBIC_Late_Fee_Relief_Windows_3B!$I$3489:$I$100,MATCH(G3489,CBIC_Late_Fee_Relief_Windows_3B!$O$3489:$O$100,0))</f>
        <v/>
      </c>
      <c r="I3489">
        <f>MIN(F3489,H3489)</f>
        <v/>
      </c>
    </row>
    <row r="3490">
      <c r="A3490">
        <f>TEST_DATA!A3490</f>
        <v/>
      </c>
      <c r="B3490">
        <f>TEST_DATA!B3490</f>
        <v/>
      </c>
      <c r="C3490">
        <f>TEST_DATA!C3490</f>
        <v/>
      </c>
      <c r="D3490">
        <f>TEST_DATA!D3490</f>
        <v/>
      </c>
      <c r="E3490">
        <f>TEST_DATA!E3490</f>
        <v/>
      </c>
      <c r="F3490">
        <f>MIN(E3490*349000,10000)</f>
        <v/>
      </c>
      <c r="G3490">
        <f>MINIFS(CBIC_Late_Fee_Relief_Windows_3B!$O$3490:$O$100,CBIC_Late_Fee_Relief_Windows_3B!$D$3490:$D$100,"&lt;="&amp;B3490,CBIC_Late_Fee_Relief_Windows_3B!$E$3490:$E$100,"&gt;="&amp;B3490,CBIC_Late_Fee_Relief_Windows_3B!$F$3490:$F$100,"&lt;="&amp;C3490,CBIC_Late_Fee_Relief_Windows_3B!$G$3490:$G$100,"&gt;="&amp;C3490)</f>
        <v/>
      </c>
      <c r="H3490">
        <f>INDEX(CBIC_Late_Fee_Relief_Windows_3B!$I$3490:$I$100,MATCH(G3490,CBIC_Late_Fee_Relief_Windows_3B!$O$3490:$O$100,0))</f>
        <v/>
      </c>
      <c r="I3490">
        <f>MIN(F3490,H3490)</f>
        <v/>
      </c>
    </row>
    <row r="3491">
      <c r="A3491">
        <f>TEST_DATA!A3491</f>
        <v/>
      </c>
      <c r="B3491">
        <f>TEST_DATA!B3491</f>
        <v/>
      </c>
      <c r="C3491">
        <f>TEST_DATA!C3491</f>
        <v/>
      </c>
      <c r="D3491">
        <f>TEST_DATA!D3491</f>
        <v/>
      </c>
      <c r="E3491">
        <f>TEST_DATA!E3491</f>
        <v/>
      </c>
      <c r="F3491">
        <f>MIN(E3491*349100,10000)</f>
        <v/>
      </c>
      <c r="G3491">
        <f>MINIFS(CBIC_Late_Fee_Relief_Windows_3B!$O$3491:$O$100,CBIC_Late_Fee_Relief_Windows_3B!$D$3491:$D$100,"&lt;="&amp;B3491,CBIC_Late_Fee_Relief_Windows_3B!$E$3491:$E$100,"&gt;="&amp;B3491,CBIC_Late_Fee_Relief_Windows_3B!$F$3491:$F$100,"&lt;="&amp;C3491,CBIC_Late_Fee_Relief_Windows_3B!$G$3491:$G$100,"&gt;="&amp;C3491)</f>
        <v/>
      </c>
      <c r="H3491">
        <f>INDEX(CBIC_Late_Fee_Relief_Windows_3B!$I$3491:$I$100,MATCH(G3491,CBIC_Late_Fee_Relief_Windows_3B!$O$3491:$O$100,0))</f>
        <v/>
      </c>
      <c r="I3491">
        <f>MIN(F3491,H3491)</f>
        <v/>
      </c>
    </row>
    <row r="3492">
      <c r="A3492">
        <f>TEST_DATA!A3492</f>
        <v/>
      </c>
      <c r="B3492">
        <f>TEST_DATA!B3492</f>
        <v/>
      </c>
      <c r="C3492">
        <f>TEST_DATA!C3492</f>
        <v/>
      </c>
      <c r="D3492">
        <f>TEST_DATA!D3492</f>
        <v/>
      </c>
      <c r="E3492">
        <f>TEST_DATA!E3492</f>
        <v/>
      </c>
      <c r="F3492">
        <f>MIN(E3492*349200,10000)</f>
        <v/>
      </c>
      <c r="G3492">
        <f>MINIFS(CBIC_Late_Fee_Relief_Windows_3B!$O$3492:$O$100,CBIC_Late_Fee_Relief_Windows_3B!$D$3492:$D$100,"&lt;="&amp;B3492,CBIC_Late_Fee_Relief_Windows_3B!$E$3492:$E$100,"&gt;="&amp;B3492,CBIC_Late_Fee_Relief_Windows_3B!$F$3492:$F$100,"&lt;="&amp;C3492,CBIC_Late_Fee_Relief_Windows_3B!$G$3492:$G$100,"&gt;="&amp;C3492)</f>
        <v/>
      </c>
      <c r="H3492">
        <f>INDEX(CBIC_Late_Fee_Relief_Windows_3B!$I$3492:$I$100,MATCH(G3492,CBIC_Late_Fee_Relief_Windows_3B!$O$3492:$O$100,0))</f>
        <v/>
      </c>
      <c r="I3492">
        <f>MIN(F3492,H3492)</f>
        <v/>
      </c>
    </row>
    <row r="3493">
      <c r="A3493">
        <f>TEST_DATA!A3493</f>
        <v/>
      </c>
      <c r="B3493">
        <f>TEST_DATA!B3493</f>
        <v/>
      </c>
      <c r="C3493">
        <f>TEST_DATA!C3493</f>
        <v/>
      </c>
      <c r="D3493">
        <f>TEST_DATA!D3493</f>
        <v/>
      </c>
      <c r="E3493">
        <f>TEST_DATA!E3493</f>
        <v/>
      </c>
      <c r="F3493">
        <f>MIN(E3493*349300,10000)</f>
        <v/>
      </c>
      <c r="G3493">
        <f>MINIFS(CBIC_Late_Fee_Relief_Windows_3B!$O$3493:$O$100,CBIC_Late_Fee_Relief_Windows_3B!$D$3493:$D$100,"&lt;="&amp;B3493,CBIC_Late_Fee_Relief_Windows_3B!$E$3493:$E$100,"&gt;="&amp;B3493,CBIC_Late_Fee_Relief_Windows_3B!$F$3493:$F$100,"&lt;="&amp;C3493,CBIC_Late_Fee_Relief_Windows_3B!$G$3493:$G$100,"&gt;="&amp;C3493)</f>
        <v/>
      </c>
      <c r="H3493">
        <f>INDEX(CBIC_Late_Fee_Relief_Windows_3B!$I$3493:$I$100,MATCH(G3493,CBIC_Late_Fee_Relief_Windows_3B!$O$3493:$O$100,0))</f>
        <v/>
      </c>
      <c r="I3493">
        <f>MIN(F3493,H3493)</f>
        <v/>
      </c>
    </row>
    <row r="3494">
      <c r="A3494">
        <f>TEST_DATA!A3494</f>
        <v/>
      </c>
      <c r="B3494">
        <f>TEST_DATA!B3494</f>
        <v/>
      </c>
      <c r="C3494">
        <f>TEST_DATA!C3494</f>
        <v/>
      </c>
      <c r="D3494">
        <f>TEST_DATA!D3494</f>
        <v/>
      </c>
      <c r="E3494">
        <f>TEST_DATA!E3494</f>
        <v/>
      </c>
      <c r="F3494">
        <f>MIN(E3494*349400,10000)</f>
        <v/>
      </c>
      <c r="G3494">
        <f>MINIFS(CBIC_Late_Fee_Relief_Windows_3B!$O$3494:$O$100,CBIC_Late_Fee_Relief_Windows_3B!$D$3494:$D$100,"&lt;="&amp;B3494,CBIC_Late_Fee_Relief_Windows_3B!$E$3494:$E$100,"&gt;="&amp;B3494,CBIC_Late_Fee_Relief_Windows_3B!$F$3494:$F$100,"&lt;="&amp;C3494,CBIC_Late_Fee_Relief_Windows_3B!$G$3494:$G$100,"&gt;="&amp;C3494)</f>
        <v/>
      </c>
      <c r="H3494">
        <f>INDEX(CBIC_Late_Fee_Relief_Windows_3B!$I$3494:$I$100,MATCH(G3494,CBIC_Late_Fee_Relief_Windows_3B!$O$3494:$O$100,0))</f>
        <v/>
      </c>
      <c r="I3494">
        <f>MIN(F3494,H3494)</f>
        <v/>
      </c>
    </row>
    <row r="3495">
      <c r="A3495">
        <f>TEST_DATA!A3495</f>
        <v/>
      </c>
      <c r="B3495">
        <f>TEST_DATA!B3495</f>
        <v/>
      </c>
      <c r="C3495">
        <f>TEST_DATA!C3495</f>
        <v/>
      </c>
      <c r="D3495">
        <f>TEST_DATA!D3495</f>
        <v/>
      </c>
      <c r="E3495">
        <f>TEST_DATA!E3495</f>
        <v/>
      </c>
      <c r="F3495">
        <f>MIN(E3495*349500,10000)</f>
        <v/>
      </c>
      <c r="G3495">
        <f>MINIFS(CBIC_Late_Fee_Relief_Windows_3B!$O$3495:$O$100,CBIC_Late_Fee_Relief_Windows_3B!$D$3495:$D$100,"&lt;="&amp;B3495,CBIC_Late_Fee_Relief_Windows_3B!$E$3495:$E$100,"&gt;="&amp;B3495,CBIC_Late_Fee_Relief_Windows_3B!$F$3495:$F$100,"&lt;="&amp;C3495,CBIC_Late_Fee_Relief_Windows_3B!$G$3495:$G$100,"&gt;="&amp;C3495)</f>
        <v/>
      </c>
      <c r="H3495">
        <f>INDEX(CBIC_Late_Fee_Relief_Windows_3B!$I$3495:$I$100,MATCH(G3495,CBIC_Late_Fee_Relief_Windows_3B!$O$3495:$O$100,0))</f>
        <v/>
      </c>
      <c r="I3495">
        <f>MIN(F3495,H3495)</f>
        <v/>
      </c>
    </row>
    <row r="3496">
      <c r="A3496">
        <f>TEST_DATA!A3496</f>
        <v/>
      </c>
      <c r="B3496">
        <f>TEST_DATA!B3496</f>
        <v/>
      </c>
      <c r="C3496">
        <f>TEST_DATA!C3496</f>
        <v/>
      </c>
      <c r="D3496">
        <f>TEST_DATA!D3496</f>
        <v/>
      </c>
      <c r="E3496">
        <f>TEST_DATA!E3496</f>
        <v/>
      </c>
      <c r="F3496">
        <f>MIN(E3496*349600,10000)</f>
        <v/>
      </c>
      <c r="G3496">
        <f>MINIFS(CBIC_Late_Fee_Relief_Windows_3B!$O$3496:$O$100,CBIC_Late_Fee_Relief_Windows_3B!$D$3496:$D$100,"&lt;="&amp;B3496,CBIC_Late_Fee_Relief_Windows_3B!$E$3496:$E$100,"&gt;="&amp;B3496,CBIC_Late_Fee_Relief_Windows_3B!$F$3496:$F$100,"&lt;="&amp;C3496,CBIC_Late_Fee_Relief_Windows_3B!$G$3496:$G$100,"&gt;="&amp;C3496)</f>
        <v/>
      </c>
      <c r="H3496">
        <f>INDEX(CBIC_Late_Fee_Relief_Windows_3B!$I$3496:$I$100,MATCH(G3496,CBIC_Late_Fee_Relief_Windows_3B!$O$3496:$O$100,0))</f>
        <v/>
      </c>
      <c r="I3496">
        <f>MIN(F3496,H3496)</f>
        <v/>
      </c>
    </row>
    <row r="3497">
      <c r="A3497">
        <f>TEST_DATA!A3497</f>
        <v/>
      </c>
      <c r="B3497">
        <f>TEST_DATA!B3497</f>
        <v/>
      </c>
      <c r="C3497">
        <f>TEST_DATA!C3497</f>
        <v/>
      </c>
      <c r="D3497">
        <f>TEST_DATA!D3497</f>
        <v/>
      </c>
      <c r="E3497">
        <f>TEST_DATA!E3497</f>
        <v/>
      </c>
      <c r="F3497">
        <f>MIN(E3497*349700,10000)</f>
        <v/>
      </c>
      <c r="G3497">
        <f>MINIFS(CBIC_Late_Fee_Relief_Windows_3B!$O$3497:$O$100,CBIC_Late_Fee_Relief_Windows_3B!$D$3497:$D$100,"&lt;="&amp;B3497,CBIC_Late_Fee_Relief_Windows_3B!$E$3497:$E$100,"&gt;="&amp;B3497,CBIC_Late_Fee_Relief_Windows_3B!$F$3497:$F$100,"&lt;="&amp;C3497,CBIC_Late_Fee_Relief_Windows_3B!$G$3497:$G$100,"&gt;="&amp;C3497)</f>
        <v/>
      </c>
      <c r="H3497">
        <f>INDEX(CBIC_Late_Fee_Relief_Windows_3B!$I$3497:$I$100,MATCH(G3497,CBIC_Late_Fee_Relief_Windows_3B!$O$3497:$O$100,0))</f>
        <v/>
      </c>
      <c r="I3497">
        <f>MIN(F3497,H3497)</f>
        <v/>
      </c>
    </row>
    <row r="3498">
      <c r="A3498">
        <f>TEST_DATA!A3498</f>
        <v/>
      </c>
      <c r="B3498">
        <f>TEST_DATA!B3498</f>
        <v/>
      </c>
      <c r="C3498">
        <f>TEST_DATA!C3498</f>
        <v/>
      </c>
      <c r="D3498">
        <f>TEST_DATA!D3498</f>
        <v/>
      </c>
      <c r="E3498">
        <f>TEST_DATA!E3498</f>
        <v/>
      </c>
      <c r="F3498">
        <f>MIN(E3498*349800,10000)</f>
        <v/>
      </c>
      <c r="G3498">
        <f>MINIFS(CBIC_Late_Fee_Relief_Windows_3B!$O$3498:$O$100,CBIC_Late_Fee_Relief_Windows_3B!$D$3498:$D$100,"&lt;="&amp;B3498,CBIC_Late_Fee_Relief_Windows_3B!$E$3498:$E$100,"&gt;="&amp;B3498,CBIC_Late_Fee_Relief_Windows_3B!$F$3498:$F$100,"&lt;="&amp;C3498,CBIC_Late_Fee_Relief_Windows_3B!$G$3498:$G$100,"&gt;="&amp;C3498)</f>
        <v/>
      </c>
      <c r="H3498">
        <f>INDEX(CBIC_Late_Fee_Relief_Windows_3B!$I$3498:$I$100,MATCH(G3498,CBIC_Late_Fee_Relief_Windows_3B!$O$3498:$O$100,0))</f>
        <v/>
      </c>
      <c r="I3498">
        <f>MIN(F3498,H3498)</f>
        <v/>
      </c>
    </row>
    <row r="3499">
      <c r="A3499">
        <f>TEST_DATA!A3499</f>
        <v/>
      </c>
      <c r="B3499">
        <f>TEST_DATA!B3499</f>
        <v/>
      </c>
      <c r="C3499">
        <f>TEST_DATA!C3499</f>
        <v/>
      </c>
      <c r="D3499">
        <f>TEST_DATA!D3499</f>
        <v/>
      </c>
      <c r="E3499">
        <f>TEST_DATA!E3499</f>
        <v/>
      </c>
      <c r="F3499">
        <f>MIN(E3499*349900,10000)</f>
        <v/>
      </c>
      <c r="G3499">
        <f>MINIFS(CBIC_Late_Fee_Relief_Windows_3B!$O$3499:$O$100,CBIC_Late_Fee_Relief_Windows_3B!$D$3499:$D$100,"&lt;="&amp;B3499,CBIC_Late_Fee_Relief_Windows_3B!$E$3499:$E$100,"&gt;="&amp;B3499,CBIC_Late_Fee_Relief_Windows_3B!$F$3499:$F$100,"&lt;="&amp;C3499,CBIC_Late_Fee_Relief_Windows_3B!$G$3499:$G$100,"&gt;="&amp;C3499)</f>
        <v/>
      </c>
      <c r="H3499">
        <f>INDEX(CBIC_Late_Fee_Relief_Windows_3B!$I$3499:$I$100,MATCH(G3499,CBIC_Late_Fee_Relief_Windows_3B!$O$3499:$O$100,0))</f>
        <v/>
      </c>
      <c r="I3499">
        <f>MIN(F3499,H3499)</f>
        <v/>
      </c>
    </row>
    <row r="3500">
      <c r="A3500">
        <f>TEST_DATA!A3500</f>
        <v/>
      </c>
      <c r="B3500">
        <f>TEST_DATA!B3500</f>
        <v/>
      </c>
      <c r="C3500">
        <f>TEST_DATA!C3500</f>
        <v/>
      </c>
      <c r="D3500">
        <f>TEST_DATA!D3500</f>
        <v/>
      </c>
      <c r="E3500">
        <f>TEST_DATA!E3500</f>
        <v/>
      </c>
      <c r="F3500">
        <f>MIN(E3500*350000,10000)</f>
        <v/>
      </c>
      <c r="G3500">
        <f>MINIFS(CBIC_Late_Fee_Relief_Windows_3B!$O$3500:$O$100,CBIC_Late_Fee_Relief_Windows_3B!$D$3500:$D$100,"&lt;="&amp;B3500,CBIC_Late_Fee_Relief_Windows_3B!$E$3500:$E$100,"&gt;="&amp;B3500,CBIC_Late_Fee_Relief_Windows_3B!$F$3500:$F$100,"&lt;="&amp;C3500,CBIC_Late_Fee_Relief_Windows_3B!$G$3500:$G$100,"&gt;="&amp;C3500)</f>
        <v/>
      </c>
      <c r="H3500">
        <f>INDEX(CBIC_Late_Fee_Relief_Windows_3B!$I$3500:$I$100,MATCH(G3500,CBIC_Late_Fee_Relief_Windows_3B!$O$3500:$O$100,0))</f>
        <v/>
      </c>
      <c r="I3500">
        <f>MIN(F3500,H3500)</f>
        <v/>
      </c>
    </row>
    <row r="3501">
      <c r="A3501">
        <f>TEST_DATA!A3501</f>
        <v/>
      </c>
      <c r="B3501">
        <f>TEST_DATA!B3501</f>
        <v/>
      </c>
      <c r="C3501">
        <f>TEST_DATA!C3501</f>
        <v/>
      </c>
      <c r="D3501">
        <f>TEST_DATA!D3501</f>
        <v/>
      </c>
      <c r="E3501">
        <f>TEST_DATA!E3501</f>
        <v/>
      </c>
      <c r="F3501">
        <f>MIN(E3501*350100,10000)</f>
        <v/>
      </c>
      <c r="G3501">
        <f>MINIFS(CBIC_Late_Fee_Relief_Windows_3B!$O$3501:$O$100,CBIC_Late_Fee_Relief_Windows_3B!$D$3501:$D$100,"&lt;="&amp;B3501,CBIC_Late_Fee_Relief_Windows_3B!$E$3501:$E$100,"&gt;="&amp;B3501,CBIC_Late_Fee_Relief_Windows_3B!$F$3501:$F$100,"&lt;="&amp;C3501,CBIC_Late_Fee_Relief_Windows_3B!$G$3501:$G$100,"&gt;="&amp;C3501)</f>
        <v/>
      </c>
      <c r="H3501">
        <f>INDEX(CBIC_Late_Fee_Relief_Windows_3B!$I$3501:$I$100,MATCH(G3501,CBIC_Late_Fee_Relief_Windows_3B!$O$3501:$O$100,0))</f>
        <v/>
      </c>
      <c r="I3501">
        <f>MIN(F3501,H3501)</f>
        <v/>
      </c>
    </row>
    <row r="3502">
      <c r="A3502">
        <f>TEST_DATA!A3502</f>
        <v/>
      </c>
      <c r="B3502">
        <f>TEST_DATA!B3502</f>
        <v/>
      </c>
      <c r="C3502">
        <f>TEST_DATA!C3502</f>
        <v/>
      </c>
      <c r="D3502">
        <f>TEST_DATA!D3502</f>
        <v/>
      </c>
      <c r="E3502">
        <f>TEST_DATA!E3502</f>
        <v/>
      </c>
      <c r="F3502">
        <f>MIN(E3502*350200,10000)</f>
        <v/>
      </c>
      <c r="G3502">
        <f>MINIFS(CBIC_Late_Fee_Relief_Windows_3B!$O$3502:$O$100,CBIC_Late_Fee_Relief_Windows_3B!$D$3502:$D$100,"&lt;="&amp;B3502,CBIC_Late_Fee_Relief_Windows_3B!$E$3502:$E$100,"&gt;="&amp;B3502,CBIC_Late_Fee_Relief_Windows_3B!$F$3502:$F$100,"&lt;="&amp;C3502,CBIC_Late_Fee_Relief_Windows_3B!$G$3502:$G$100,"&gt;="&amp;C3502)</f>
        <v/>
      </c>
      <c r="H3502">
        <f>INDEX(CBIC_Late_Fee_Relief_Windows_3B!$I$3502:$I$100,MATCH(G3502,CBIC_Late_Fee_Relief_Windows_3B!$O$3502:$O$100,0))</f>
        <v/>
      </c>
      <c r="I3502">
        <f>MIN(F3502,H3502)</f>
        <v/>
      </c>
    </row>
    <row r="3503">
      <c r="A3503">
        <f>TEST_DATA!A3503</f>
        <v/>
      </c>
      <c r="B3503">
        <f>TEST_DATA!B3503</f>
        <v/>
      </c>
      <c r="C3503">
        <f>TEST_DATA!C3503</f>
        <v/>
      </c>
      <c r="D3503">
        <f>TEST_DATA!D3503</f>
        <v/>
      </c>
      <c r="E3503">
        <f>TEST_DATA!E3503</f>
        <v/>
      </c>
      <c r="F3503">
        <f>MIN(E3503*350300,10000)</f>
        <v/>
      </c>
      <c r="G3503">
        <f>MINIFS(CBIC_Late_Fee_Relief_Windows_3B!$O$3503:$O$100,CBIC_Late_Fee_Relief_Windows_3B!$D$3503:$D$100,"&lt;="&amp;B3503,CBIC_Late_Fee_Relief_Windows_3B!$E$3503:$E$100,"&gt;="&amp;B3503,CBIC_Late_Fee_Relief_Windows_3B!$F$3503:$F$100,"&lt;="&amp;C3503,CBIC_Late_Fee_Relief_Windows_3B!$G$3503:$G$100,"&gt;="&amp;C3503)</f>
        <v/>
      </c>
      <c r="H3503">
        <f>INDEX(CBIC_Late_Fee_Relief_Windows_3B!$I$3503:$I$100,MATCH(G3503,CBIC_Late_Fee_Relief_Windows_3B!$O$3503:$O$100,0))</f>
        <v/>
      </c>
      <c r="I3503">
        <f>MIN(F3503,H3503)</f>
        <v/>
      </c>
    </row>
    <row r="3504">
      <c r="A3504">
        <f>TEST_DATA!A3504</f>
        <v/>
      </c>
      <c r="B3504">
        <f>TEST_DATA!B3504</f>
        <v/>
      </c>
      <c r="C3504">
        <f>TEST_DATA!C3504</f>
        <v/>
      </c>
      <c r="D3504">
        <f>TEST_DATA!D3504</f>
        <v/>
      </c>
      <c r="E3504">
        <f>TEST_DATA!E3504</f>
        <v/>
      </c>
      <c r="F3504">
        <f>MIN(E3504*350400,10000)</f>
        <v/>
      </c>
      <c r="G3504">
        <f>MINIFS(CBIC_Late_Fee_Relief_Windows_3B!$O$3504:$O$100,CBIC_Late_Fee_Relief_Windows_3B!$D$3504:$D$100,"&lt;="&amp;B3504,CBIC_Late_Fee_Relief_Windows_3B!$E$3504:$E$100,"&gt;="&amp;B3504,CBIC_Late_Fee_Relief_Windows_3B!$F$3504:$F$100,"&lt;="&amp;C3504,CBIC_Late_Fee_Relief_Windows_3B!$G$3504:$G$100,"&gt;="&amp;C3504)</f>
        <v/>
      </c>
      <c r="H3504">
        <f>INDEX(CBIC_Late_Fee_Relief_Windows_3B!$I$3504:$I$100,MATCH(G3504,CBIC_Late_Fee_Relief_Windows_3B!$O$3504:$O$100,0))</f>
        <v/>
      </c>
      <c r="I3504">
        <f>MIN(F3504,H3504)</f>
        <v/>
      </c>
    </row>
    <row r="3505">
      <c r="A3505">
        <f>TEST_DATA!A3505</f>
        <v/>
      </c>
      <c r="B3505">
        <f>TEST_DATA!B3505</f>
        <v/>
      </c>
      <c r="C3505">
        <f>TEST_DATA!C3505</f>
        <v/>
      </c>
      <c r="D3505">
        <f>TEST_DATA!D3505</f>
        <v/>
      </c>
      <c r="E3505">
        <f>TEST_DATA!E3505</f>
        <v/>
      </c>
      <c r="F3505">
        <f>MIN(E3505*350500,10000)</f>
        <v/>
      </c>
      <c r="G3505">
        <f>MINIFS(CBIC_Late_Fee_Relief_Windows_3B!$O$3505:$O$100,CBIC_Late_Fee_Relief_Windows_3B!$D$3505:$D$100,"&lt;="&amp;B3505,CBIC_Late_Fee_Relief_Windows_3B!$E$3505:$E$100,"&gt;="&amp;B3505,CBIC_Late_Fee_Relief_Windows_3B!$F$3505:$F$100,"&lt;="&amp;C3505,CBIC_Late_Fee_Relief_Windows_3B!$G$3505:$G$100,"&gt;="&amp;C3505)</f>
        <v/>
      </c>
      <c r="H3505">
        <f>INDEX(CBIC_Late_Fee_Relief_Windows_3B!$I$3505:$I$100,MATCH(G3505,CBIC_Late_Fee_Relief_Windows_3B!$O$3505:$O$100,0))</f>
        <v/>
      </c>
      <c r="I3505">
        <f>MIN(F3505,H3505)</f>
        <v/>
      </c>
    </row>
    <row r="3506">
      <c r="A3506">
        <f>TEST_DATA!A3506</f>
        <v/>
      </c>
      <c r="B3506">
        <f>TEST_DATA!B3506</f>
        <v/>
      </c>
      <c r="C3506">
        <f>TEST_DATA!C3506</f>
        <v/>
      </c>
      <c r="D3506">
        <f>TEST_DATA!D3506</f>
        <v/>
      </c>
      <c r="E3506">
        <f>TEST_DATA!E3506</f>
        <v/>
      </c>
      <c r="F3506">
        <f>MIN(E3506*350600,10000)</f>
        <v/>
      </c>
      <c r="G3506">
        <f>MINIFS(CBIC_Late_Fee_Relief_Windows_3B!$O$3506:$O$100,CBIC_Late_Fee_Relief_Windows_3B!$D$3506:$D$100,"&lt;="&amp;B3506,CBIC_Late_Fee_Relief_Windows_3B!$E$3506:$E$100,"&gt;="&amp;B3506,CBIC_Late_Fee_Relief_Windows_3B!$F$3506:$F$100,"&lt;="&amp;C3506,CBIC_Late_Fee_Relief_Windows_3B!$G$3506:$G$100,"&gt;="&amp;C3506)</f>
        <v/>
      </c>
      <c r="H3506">
        <f>INDEX(CBIC_Late_Fee_Relief_Windows_3B!$I$3506:$I$100,MATCH(G3506,CBIC_Late_Fee_Relief_Windows_3B!$O$3506:$O$100,0))</f>
        <v/>
      </c>
      <c r="I3506">
        <f>MIN(F3506,H3506)</f>
        <v/>
      </c>
    </row>
    <row r="3507">
      <c r="A3507">
        <f>TEST_DATA!A3507</f>
        <v/>
      </c>
      <c r="B3507">
        <f>TEST_DATA!B3507</f>
        <v/>
      </c>
      <c r="C3507">
        <f>TEST_DATA!C3507</f>
        <v/>
      </c>
      <c r="D3507">
        <f>TEST_DATA!D3507</f>
        <v/>
      </c>
      <c r="E3507">
        <f>TEST_DATA!E3507</f>
        <v/>
      </c>
      <c r="F3507">
        <f>MIN(E3507*350700,10000)</f>
        <v/>
      </c>
      <c r="G3507">
        <f>MINIFS(CBIC_Late_Fee_Relief_Windows_3B!$O$3507:$O$100,CBIC_Late_Fee_Relief_Windows_3B!$D$3507:$D$100,"&lt;="&amp;B3507,CBIC_Late_Fee_Relief_Windows_3B!$E$3507:$E$100,"&gt;="&amp;B3507,CBIC_Late_Fee_Relief_Windows_3B!$F$3507:$F$100,"&lt;="&amp;C3507,CBIC_Late_Fee_Relief_Windows_3B!$G$3507:$G$100,"&gt;="&amp;C3507)</f>
        <v/>
      </c>
      <c r="H3507">
        <f>INDEX(CBIC_Late_Fee_Relief_Windows_3B!$I$3507:$I$100,MATCH(G3507,CBIC_Late_Fee_Relief_Windows_3B!$O$3507:$O$100,0))</f>
        <v/>
      </c>
      <c r="I3507">
        <f>MIN(F3507,H3507)</f>
        <v/>
      </c>
    </row>
    <row r="3508">
      <c r="A3508">
        <f>TEST_DATA!A3508</f>
        <v/>
      </c>
      <c r="B3508">
        <f>TEST_DATA!B3508</f>
        <v/>
      </c>
      <c r="C3508">
        <f>TEST_DATA!C3508</f>
        <v/>
      </c>
      <c r="D3508">
        <f>TEST_DATA!D3508</f>
        <v/>
      </c>
      <c r="E3508">
        <f>TEST_DATA!E3508</f>
        <v/>
      </c>
      <c r="F3508">
        <f>MIN(E3508*350800,10000)</f>
        <v/>
      </c>
      <c r="G3508">
        <f>MINIFS(CBIC_Late_Fee_Relief_Windows_3B!$O$3508:$O$100,CBIC_Late_Fee_Relief_Windows_3B!$D$3508:$D$100,"&lt;="&amp;B3508,CBIC_Late_Fee_Relief_Windows_3B!$E$3508:$E$100,"&gt;="&amp;B3508,CBIC_Late_Fee_Relief_Windows_3B!$F$3508:$F$100,"&lt;="&amp;C3508,CBIC_Late_Fee_Relief_Windows_3B!$G$3508:$G$100,"&gt;="&amp;C3508)</f>
        <v/>
      </c>
      <c r="H3508">
        <f>INDEX(CBIC_Late_Fee_Relief_Windows_3B!$I$3508:$I$100,MATCH(G3508,CBIC_Late_Fee_Relief_Windows_3B!$O$3508:$O$100,0))</f>
        <v/>
      </c>
      <c r="I3508">
        <f>MIN(F3508,H3508)</f>
        <v/>
      </c>
    </row>
    <row r="3509">
      <c r="A3509">
        <f>TEST_DATA!A3509</f>
        <v/>
      </c>
      <c r="B3509">
        <f>TEST_DATA!B3509</f>
        <v/>
      </c>
      <c r="C3509">
        <f>TEST_DATA!C3509</f>
        <v/>
      </c>
      <c r="D3509">
        <f>TEST_DATA!D3509</f>
        <v/>
      </c>
      <c r="E3509">
        <f>TEST_DATA!E3509</f>
        <v/>
      </c>
      <c r="F3509">
        <f>MIN(E3509*350900,10000)</f>
        <v/>
      </c>
      <c r="G3509">
        <f>MINIFS(CBIC_Late_Fee_Relief_Windows_3B!$O$3509:$O$100,CBIC_Late_Fee_Relief_Windows_3B!$D$3509:$D$100,"&lt;="&amp;B3509,CBIC_Late_Fee_Relief_Windows_3B!$E$3509:$E$100,"&gt;="&amp;B3509,CBIC_Late_Fee_Relief_Windows_3B!$F$3509:$F$100,"&lt;="&amp;C3509,CBIC_Late_Fee_Relief_Windows_3B!$G$3509:$G$100,"&gt;="&amp;C3509)</f>
        <v/>
      </c>
      <c r="H3509">
        <f>INDEX(CBIC_Late_Fee_Relief_Windows_3B!$I$3509:$I$100,MATCH(G3509,CBIC_Late_Fee_Relief_Windows_3B!$O$3509:$O$100,0))</f>
        <v/>
      </c>
      <c r="I3509">
        <f>MIN(F3509,H3509)</f>
        <v/>
      </c>
    </row>
    <row r="3510">
      <c r="A3510">
        <f>TEST_DATA!A3510</f>
        <v/>
      </c>
      <c r="B3510">
        <f>TEST_DATA!B3510</f>
        <v/>
      </c>
      <c r="C3510">
        <f>TEST_DATA!C3510</f>
        <v/>
      </c>
      <c r="D3510">
        <f>TEST_DATA!D3510</f>
        <v/>
      </c>
      <c r="E3510">
        <f>TEST_DATA!E3510</f>
        <v/>
      </c>
      <c r="F3510">
        <f>MIN(E3510*351000,10000)</f>
        <v/>
      </c>
      <c r="G3510">
        <f>MINIFS(CBIC_Late_Fee_Relief_Windows_3B!$O$3510:$O$100,CBIC_Late_Fee_Relief_Windows_3B!$D$3510:$D$100,"&lt;="&amp;B3510,CBIC_Late_Fee_Relief_Windows_3B!$E$3510:$E$100,"&gt;="&amp;B3510,CBIC_Late_Fee_Relief_Windows_3B!$F$3510:$F$100,"&lt;="&amp;C3510,CBIC_Late_Fee_Relief_Windows_3B!$G$3510:$G$100,"&gt;="&amp;C3510)</f>
        <v/>
      </c>
      <c r="H3510">
        <f>INDEX(CBIC_Late_Fee_Relief_Windows_3B!$I$3510:$I$100,MATCH(G3510,CBIC_Late_Fee_Relief_Windows_3B!$O$3510:$O$100,0))</f>
        <v/>
      </c>
      <c r="I3510">
        <f>MIN(F3510,H3510)</f>
        <v/>
      </c>
    </row>
    <row r="3511">
      <c r="A3511">
        <f>TEST_DATA!A3511</f>
        <v/>
      </c>
      <c r="B3511">
        <f>TEST_DATA!B3511</f>
        <v/>
      </c>
      <c r="C3511">
        <f>TEST_DATA!C3511</f>
        <v/>
      </c>
      <c r="D3511">
        <f>TEST_DATA!D3511</f>
        <v/>
      </c>
      <c r="E3511">
        <f>TEST_DATA!E3511</f>
        <v/>
      </c>
      <c r="F3511">
        <f>MIN(E3511*351100,10000)</f>
        <v/>
      </c>
      <c r="G3511">
        <f>MINIFS(CBIC_Late_Fee_Relief_Windows_3B!$O$3511:$O$100,CBIC_Late_Fee_Relief_Windows_3B!$D$3511:$D$100,"&lt;="&amp;B3511,CBIC_Late_Fee_Relief_Windows_3B!$E$3511:$E$100,"&gt;="&amp;B3511,CBIC_Late_Fee_Relief_Windows_3B!$F$3511:$F$100,"&lt;="&amp;C3511,CBIC_Late_Fee_Relief_Windows_3B!$G$3511:$G$100,"&gt;="&amp;C3511)</f>
        <v/>
      </c>
      <c r="H3511">
        <f>INDEX(CBIC_Late_Fee_Relief_Windows_3B!$I$3511:$I$100,MATCH(G3511,CBIC_Late_Fee_Relief_Windows_3B!$O$3511:$O$100,0))</f>
        <v/>
      </c>
      <c r="I3511">
        <f>MIN(F3511,H3511)</f>
        <v/>
      </c>
    </row>
    <row r="3512">
      <c r="A3512">
        <f>TEST_DATA!A3512</f>
        <v/>
      </c>
      <c r="B3512">
        <f>TEST_DATA!B3512</f>
        <v/>
      </c>
      <c r="C3512">
        <f>TEST_DATA!C3512</f>
        <v/>
      </c>
      <c r="D3512">
        <f>TEST_DATA!D3512</f>
        <v/>
      </c>
      <c r="E3512">
        <f>TEST_DATA!E3512</f>
        <v/>
      </c>
      <c r="F3512">
        <f>MIN(E3512*351200,10000)</f>
        <v/>
      </c>
      <c r="G3512">
        <f>MINIFS(CBIC_Late_Fee_Relief_Windows_3B!$O$3512:$O$100,CBIC_Late_Fee_Relief_Windows_3B!$D$3512:$D$100,"&lt;="&amp;B3512,CBIC_Late_Fee_Relief_Windows_3B!$E$3512:$E$100,"&gt;="&amp;B3512,CBIC_Late_Fee_Relief_Windows_3B!$F$3512:$F$100,"&lt;="&amp;C3512,CBIC_Late_Fee_Relief_Windows_3B!$G$3512:$G$100,"&gt;="&amp;C3512)</f>
        <v/>
      </c>
      <c r="H3512">
        <f>INDEX(CBIC_Late_Fee_Relief_Windows_3B!$I$3512:$I$100,MATCH(G3512,CBIC_Late_Fee_Relief_Windows_3B!$O$3512:$O$100,0))</f>
        <v/>
      </c>
      <c r="I3512">
        <f>MIN(F3512,H3512)</f>
        <v/>
      </c>
    </row>
    <row r="3513">
      <c r="A3513">
        <f>TEST_DATA!A3513</f>
        <v/>
      </c>
      <c r="B3513">
        <f>TEST_DATA!B3513</f>
        <v/>
      </c>
      <c r="C3513">
        <f>TEST_DATA!C3513</f>
        <v/>
      </c>
      <c r="D3513">
        <f>TEST_DATA!D3513</f>
        <v/>
      </c>
      <c r="E3513">
        <f>TEST_DATA!E3513</f>
        <v/>
      </c>
      <c r="F3513">
        <f>MIN(E3513*351300,10000)</f>
        <v/>
      </c>
      <c r="G3513">
        <f>MINIFS(CBIC_Late_Fee_Relief_Windows_3B!$O$3513:$O$100,CBIC_Late_Fee_Relief_Windows_3B!$D$3513:$D$100,"&lt;="&amp;B3513,CBIC_Late_Fee_Relief_Windows_3B!$E$3513:$E$100,"&gt;="&amp;B3513,CBIC_Late_Fee_Relief_Windows_3B!$F$3513:$F$100,"&lt;="&amp;C3513,CBIC_Late_Fee_Relief_Windows_3B!$G$3513:$G$100,"&gt;="&amp;C3513)</f>
        <v/>
      </c>
      <c r="H3513">
        <f>INDEX(CBIC_Late_Fee_Relief_Windows_3B!$I$3513:$I$100,MATCH(G3513,CBIC_Late_Fee_Relief_Windows_3B!$O$3513:$O$100,0))</f>
        <v/>
      </c>
      <c r="I3513">
        <f>MIN(F3513,H3513)</f>
        <v/>
      </c>
    </row>
    <row r="3514">
      <c r="A3514">
        <f>TEST_DATA!A3514</f>
        <v/>
      </c>
      <c r="B3514">
        <f>TEST_DATA!B3514</f>
        <v/>
      </c>
      <c r="C3514">
        <f>TEST_DATA!C3514</f>
        <v/>
      </c>
      <c r="D3514">
        <f>TEST_DATA!D3514</f>
        <v/>
      </c>
      <c r="E3514">
        <f>TEST_DATA!E3514</f>
        <v/>
      </c>
      <c r="F3514">
        <f>MIN(E3514*351400,10000)</f>
        <v/>
      </c>
      <c r="G3514">
        <f>MINIFS(CBIC_Late_Fee_Relief_Windows_3B!$O$3514:$O$100,CBIC_Late_Fee_Relief_Windows_3B!$D$3514:$D$100,"&lt;="&amp;B3514,CBIC_Late_Fee_Relief_Windows_3B!$E$3514:$E$100,"&gt;="&amp;B3514,CBIC_Late_Fee_Relief_Windows_3B!$F$3514:$F$100,"&lt;="&amp;C3514,CBIC_Late_Fee_Relief_Windows_3B!$G$3514:$G$100,"&gt;="&amp;C3514)</f>
        <v/>
      </c>
      <c r="H3514">
        <f>INDEX(CBIC_Late_Fee_Relief_Windows_3B!$I$3514:$I$100,MATCH(G3514,CBIC_Late_Fee_Relief_Windows_3B!$O$3514:$O$100,0))</f>
        <v/>
      </c>
      <c r="I3514">
        <f>MIN(F3514,H3514)</f>
        <v/>
      </c>
    </row>
    <row r="3515">
      <c r="A3515">
        <f>TEST_DATA!A3515</f>
        <v/>
      </c>
      <c r="B3515">
        <f>TEST_DATA!B3515</f>
        <v/>
      </c>
      <c r="C3515">
        <f>TEST_DATA!C3515</f>
        <v/>
      </c>
      <c r="D3515">
        <f>TEST_DATA!D3515</f>
        <v/>
      </c>
      <c r="E3515">
        <f>TEST_DATA!E3515</f>
        <v/>
      </c>
      <c r="F3515">
        <f>MIN(E3515*351500,10000)</f>
        <v/>
      </c>
      <c r="G3515">
        <f>MINIFS(CBIC_Late_Fee_Relief_Windows_3B!$O$3515:$O$100,CBIC_Late_Fee_Relief_Windows_3B!$D$3515:$D$100,"&lt;="&amp;B3515,CBIC_Late_Fee_Relief_Windows_3B!$E$3515:$E$100,"&gt;="&amp;B3515,CBIC_Late_Fee_Relief_Windows_3B!$F$3515:$F$100,"&lt;="&amp;C3515,CBIC_Late_Fee_Relief_Windows_3B!$G$3515:$G$100,"&gt;="&amp;C3515)</f>
        <v/>
      </c>
      <c r="H3515">
        <f>INDEX(CBIC_Late_Fee_Relief_Windows_3B!$I$3515:$I$100,MATCH(G3515,CBIC_Late_Fee_Relief_Windows_3B!$O$3515:$O$100,0))</f>
        <v/>
      </c>
      <c r="I3515">
        <f>MIN(F3515,H3515)</f>
        <v/>
      </c>
    </row>
    <row r="3516">
      <c r="A3516">
        <f>TEST_DATA!A3516</f>
        <v/>
      </c>
      <c r="B3516">
        <f>TEST_DATA!B3516</f>
        <v/>
      </c>
      <c r="C3516">
        <f>TEST_DATA!C3516</f>
        <v/>
      </c>
      <c r="D3516">
        <f>TEST_DATA!D3516</f>
        <v/>
      </c>
      <c r="E3516">
        <f>TEST_DATA!E3516</f>
        <v/>
      </c>
      <c r="F3516">
        <f>MIN(E3516*351600,10000)</f>
        <v/>
      </c>
      <c r="G3516">
        <f>MINIFS(CBIC_Late_Fee_Relief_Windows_3B!$O$3516:$O$100,CBIC_Late_Fee_Relief_Windows_3B!$D$3516:$D$100,"&lt;="&amp;B3516,CBIC_Late_Fee_Relief_Windows_3B!$E$3516:$E$100,"&gt;="&amp;B3516,CBIC_Late_Fee_Relief_Windows_3B!$F$3516:$F$100,"&lt;="&amp;C3516,CBIC_Late_Fee_Relief_Windows_3B!$G$3516:$G$100,"&gt;="&amp;C3516)</f>
        <v/>
      </c>
      <c r="H3516">
        <f>INDEX(CBIC_Late_Fee_Relief_Windows_3B!$I$3516:$I$100,MATCH(G3516,CBIC_Late_Fee_Relief_Windows_3B!$O$3516:$O$100,0))</f>
        <v/>
      </c>
      <c r="I3516">
        <f>MIN(F3516,H3516)</f>
        <v/>
      </c>
    </row>
    <row r="3517">
      <c r="A3517">
        <f>TEST_DATA!A3517</f>
        <v/>
      </c>
      <c r="B3517">
        <f>TEST_DATA!B3517</f>
        <v/>
      </c>
      <c r="C3517">
        <f>TEST_DATA!C3517</f>
        <v/>
      </c>
      <c r="D3517">
        <f>TEST_DATA!D3517</f>
        <v/>
      </c>
      <c r="E3517">
        <f>TEST_DATA!E3517</f>
        <v/>
      </c>
      <c r="F3517">
        <f>MIN(E3517*351700,10000)</f>
        <v/>
      </c>
      <c r="G3517">
        <f>MINIFS(CBIC_Late_Fee_Relief_Windows_3B!$O$3517:$O$100,CBIC_Late_Fee_Relief_Windows_3B!$D$3517:$D$100,"&lt;="&amp;B3517,CBIC_Late_Fee_Relief_Windows_3B!$E$3517:$E$100,"&gt;="&amp;B3517,CBIC_Late_Fee_Relief_Windows_3B!$F$3517:$F$100,"&lt;="&amp;C3517,CBIC_Late_Fee_Relief_Windows_3B!$G$3517:$G$100,"&gt;="&amp;C3517)</f>
        <v/>
      </c>
      <c r="H3517">
        <f>INDEX(CBIC_Late_Fee_Relief_Windows_3B!$I$3517:$I$100,MATCH(G3517,CBIC_Late_Fee_Relief_Windows_3B!$O$3517:$O$100,0))</f>
        <v/>
      </c>
      <c r="I3517">
        <f>MIN(F3517,H3517)</f>
        <v/>
      </c>
    </row>
    <row r="3518">
      <c r="A3518">
        <f>TEST_DATA!A3518</f>
        <v/>
      </c>
      <c r="B3518">
        <f>TEST_DATA!B3518</f>
        <v/>
      </c>
      <c r="C3518">
        <f>TEST_DATA!C3518</f>
        <v/>
      </c>
      <c r="D3518">
        <f>TEST_DATA!D3518</f>
        <v/>
      </c>
      <c r="E3518">
        <f>TEST_DATA!E3518</f>
        <v/>
      </c>
      <c r="F3518">
        <f>MIN(E3518*351800,10000)</f>
        <v/>
      </c>
      <c r="G3518">
        <f>MINIFS(CBIC_Late_Fee_Relief_Windows_3B!$O$3518:$O$100,CBIC_Late_Fee_Relief_Windows_3B!$D$3518:$D$100,"&lt;="&amp;B3518,CBIC_Late_Fee_Relief_Windows_3B!$E$3518:$E$100,"&gt;="&amp;B3518,CBIC_Late_Fee_Relief_Windows_3B!$F$3518:$F$100,"&lt;="&amp;C3518,CBIC_Late_Fee_Relief_Windows_3B!$G$3518:$G$100,"&gt;="&amp;C3518)</f>
        <v/>
      </c>
      <c r="H3518">
        <f>INDEX(CBIC_Late_Fee_Relief_Windows_3B!$I$3518:$I$100,MATCH(G3518,CBIC_Late_Fee_Relief_Windows_3B!$O$3518:$O$100,0))</f>
        <v/>
      </c>
      <c r="I3518">
        <f>MIN(F3518,H3518)</f>
        <v/>
      </c>
    </row>
    <row r="3519">
      <c r="A3519">
        <f>TEST_DATA!A3519</f>
        <v/>
      </c>
      <c r="B3519">
        <f>TEST_DATA!B3519</f>
        <v/>
      </c>
      <c r="C3519">
        <f>TEST_DATA!C3519</f>
        <v/>
      </c>
      <c r="D3519">
        <f>TEST_DATA!D3519</f>
        <v/>
      </c>
      <c r="E3519">
        <f>TEST_DATA!E3519</f>
        <v/>
      </c>
      <c r="F3519">
        <f>MIN(E3519*351900,10000)</f>
        <v/>
      </c>
      <c r="G3519">
        <f>MINIFS(CBIC_Late_Fee_Relief_Windows_3B!$O$3519:$O$100,CBIC_Late_Fee_Relief_Windows_3B!$D$3519:$D$100,"&lt;="&amp;B3519,CBIC_Late_Fee_Relief_Windows_3B!$E$3519:$E$100,"&gt;="&amp;B3519,CBIC_Late_Fee_Relief_Windows_3B!$F$3519:$F$100,"&lt;="&amp;C3519,CBIC_Late_Fee_Relief_Windows_3B!$G$3519:$G$100,"&gt;="&amp;C3519)</f>
        <v/>
      </c>
      <c r="H3519">
        <f>INDEX(CBIC_Late_Fee_Relief_Windows_3B!$I$3519:$I$100,MATCH(G3519,CBIC_Late_Fee_Relief_Windows_3B!$O$3519:$O$100,0))</f>
        <v/>
      </c>
      <c r="I3519">
        <f>MIN(F3519,H3519)</f>
        <v/>
      </c>
    </row>
    <row r="3520">
      <c r="A3520">
        <f>TEST_DATA!A3520</f>
        <v/>
      </c>
      <c r="B3520">
        <f>TEST_DATA!B3520</f>
        <v/>
      </c>
      <c r="C3520">
        <f>TEST_DATA!C3520</f>
        <v/>
      </c>
      <c r="D3520">
        <f>TEST_DATA!D3520</f>
        <v/>
      </c>
      <c r="E3520">
        <f>TEST_DATA!E3520</f>
        <v/>
      </c>
      <c r="F3520">
        <f>MIN(E3520*352000,10000)</f>
        <v/>
      </c>
      <c r="G3520">
        <f>MINIFS(CBIC_Late_Fee_Relief_Windows_3B!$O$3520:$O$100,CBIC_Late_Fee_Relief_Windows_3B!$D$3520:$D$100,"&lt;="&amp;B3520,CBIC_Late_Fee_Relief_Windows_3B!$E$3520:$E$100,"&gt;="&amp;B3520,CBIC_Late_Fee_Relief_Windows_3B!$F$3520:$F$100,"&lt;="&amp;C3520,CBIC_Late_Fee_Relief_Windows_3B!$G$3520:$G$100,"&gt;="&amp;C3520)</f>
        <v/>
      </c>
      <c r="H3520">
        <f>INDEX(CBIC_Late_Fee_Relief_Windows_3B!$I$3520:$I$100,MATCH(G3520,CBIC_Late_Fee_Relief_Windows_3B!$O$3520:$O$100,0))</f>
        <v/>
      </c>
      <c r="I3520">
        <f>MIN(F3520,H3520)</f>
        <v/>
      </c>
    </row>
    <row r="3521">
      <c r="A3521">
        <f>TEST_DATA!A3521</f>
        <v/>
      </c>
      <c r="B3521">
        <f>TEST_DATA!B3521</f>
        <v/>
      </c>
      <c r="C3521">
        <f>TEST_DATA!C3521</f>
        <v/>
      </c>
      <c r="D3521">
        <f>TEST_DATA!D3521</f>
        <v/>
      </c>
      <c r="E3521">
        <f>TEST_DATA!E3521</f>
        <v/>
      </c>
      <c r="F3521">
        <f>MIN(E3521*352100,10000)</f>
        <v/>
      </c>
      <c r="G3521">
        <f>MINIFS(CBIC_Late_Fee_Relief_Windows_3B!$O$3521:$O$100,CBIC_Late_Fee_Relief_Windows_3B!$D$3521:$D$100,"&lt;="&amp;B3521,CBIC_Late_Fee_Relief_Windows_3B!$E$3521:$E$100,"&gt;="&amp;B3521,CBIC_Late_Fee_Relief_Windows_3B!$F$3521:$F$100,"&lt;="&amp;C3521,CBIC_Late_Fee_Relief_Windows_3B!$G$3521:$G$100,"&gt;="&amp;C3521)</f>
        <v/>
      </c>
      <c r="H3521">
        <f>INDEX(CBIC_Late_Fee_Relief_Windows_3B!$I$3521:$I$100,MATCH(G3521,CBIC_Late_Fee_Relief_Windows_3B!$O$3521:$O$100,0))</f>
        <v/>
      </c>
      <c r="I3521">
        <f>MIN(F3521,H3521)</f>
        <v/>
      </c>
    </row>
    <row r="3522">
      <c r="A3522">
        <f>TEST_DATA!A3522</f>
        <v/>
      </c>
      <c r="B3522">
        <f>TEST_DATA!B3522</f>
        <v/>
      </c>
      <c r="C3522">
        <f>TEST_DATA!C3522</f>
        <v/>
      </c>
      <c r="D3522">
        <f>TEST_DATA!D3522</f>
        <v/>
      </c>
      <c r="E3522">
        <f>TEST_DATA!E3522</f>
        <v/>
      </c>
      <c r="F3522">
        <f>MIN(E3522*352200,10000)</f>
        <v/>
      </c>
      <c r="G3522">
        <f>MINIFS(CBIC_Late_Fee_Relief_Windows_3B!$O$3522:$O$100,CBIC_Late_Fee_Relief_Windows_3B!$D$3522:$D$100,"&lt;="&amp;B3522,CBIC_Late_Fee_Relief_Windows_3B!$E$3522:$E$100,"&gt;="&amp;B3522,CBIC_Late_Fee_Relief_Windows_3B!$F$3522:$F$100,"&lt;="&amp;C3522,CBIC_Late_Fee_Relief_Windows_3B!$G$3522:$G$100,"&gt;="&amp;C3522)</f>
        <v/>
      </c>
      <c r="H3522">
        <f>INDEX(CBIC_Late_Fee_Relief_Windows_3B!$I$3522:$I$100,MATCH(G3522,CBIC_Late_Fee_Relief_Windows_3B!$O$3522:$O$100,0))</f>
        <v/>
      </c>
      <c r="I3522">
        <f>MIN(F3522,H3522)</f>
        <v/>
      </c>
    </row>
    <row r="3523">
      <c r="A3523">
        <f>TEST_DATA!A3523</f>
        <v/>
      </c>
      <c r="B3523">
        <f>TEST_DATA!B3523</f>
        <v/>
      </c>
      <c r="C3523">
        <f>TEST_DATA!C3523</f>
        <v/>
      </c>
      <c r="D3523">
        <f>TEST_DATA!D3523</f>
        <v/>
      </c>
      <c r="E3523">
        <f>TEST_DATA!E3523</f>
        <v/>
      </c>
      <c r="F3523">
        <f>MIN(E3523*352300,10000)</f>
        <v/>
      </c>
      <c r="G3523">
        <f>MINIFS(CBIC_Late_Fee_Relief_Windows_3B!$O$3523:$O$100,CBIC_Late_Fee_Relief_Windows_3B!$D$3523:$D$100,"&lt;="&amp;B3523,CBIC_Late_Fee_Relief_Windows_3B!$E$3523:$E$100,"&gt;="&amp;B3523,CBIC_Late_Fee_Relief_Windows_3B!$F$3523:$F$100,"&lt;="&amp;C3523,CBIC_Late_Fee_Relief_Windows_3B!$G$3523:$G$100,"&gt;="&amp;C3523)</f>
        <v/>
      </c>
      <c r="H3523">
        <f>INDEX(CBIC_Late_Fee_Relief_Windows_3B!$I$3523:$I$100,MATCH(G3523,CBIC_Late_Fee_Relief_Windows_3B!$O$3523:$O$100,0))</f>
        <v/>
      </c>
      <c r="I3523">
        <f>MIN(F3523,H3523)</f>
        <v/>
      </c>
    </row>
    <row r="3524">
      <c r="A3524">
        <f>TEST_DATA!A3524</f>
        <v/>
      </c>
      <c r="B3524">
        <f>TEST_DATA!B3524</f>
        <v/>
      </c>
      <c r="C3524">
        <f>TEST_DATA!C3524</f>
        <v/>
      </c>
      <c r="D3524">
        <f>TEST_DATA!D3524</f>
        <v/>
      </c>
      <c r="E3524">
        <f>TEST_DATA!E3524</f>
        <v/>
      </c>
      <c r="F3524">
        <f>MIN(E3524*352400,10000)</f>
        <v/>
      </c>
      <c r="G3524">
        <f>MINIFS(CBIC_Late_Fee_Relief_Windows_3B!$O$3524:$O$100,CBIC_Late_Fee_Relief_Windows_3B!$D$3524:$D$100,"&lt;="&amp;B3524,CBIC_Late_Fee_Relief_Windows_3B!$E$3524:$E$100,"&gt;="&amp;B3524,CBIC_Late_Fee_Relief_Windows_3B!$F$3524:$F$100,"&lt;="&amp;C3524,CBIC_Late_Fee_Relief_Windows_3B!$G$3524:$G$100,"&gt;="&amp;C3524)</f>
        <v/>
      </c>
      <c r="H3524">
        <f>INDEX(CBIC_Late_Fee_Relief_Windows_3B!$I$3524:$I$100,MATCH(G3524,CBIC_Late_Fee_Relief_Windows_3B!$O$3524:$O$100,0))</f>
        <v/>
      </c>
      <c r="I3524">
        <f>MIN(F3524,H3524)</f>
        <v/>
      </c>
    </row>
    <row r="3525">
      <c r="A3525">
        <f>TEST_DATA!A3525</f>
        <v/>
      </c>
      <c r="B3525">
        <f>TEST_DATA!B3525</f>
        <v/>
      </c>
      <c r="C3525">
        <f>TEST_DATA!C3525</f>
        <v/>
      </c>
      <c r="D3525">
        <f>TEST_DATA!D3525</f>
        <v/>
      </c>
      <c r="E3525">
        <f>TEST_DATA!E3525</f>
        <v/>
      </c>
      <c r="F3525">
        <f>MIN(E3525*352500,10000)</f>
        <v/>
      </c>
      <c r="G3525">
        <f>MINIFS(CBIC_Late_Fee_Relief_Windows_3B!$O$3525:$O$100,CBIC_Late_Fee_Relief_Windows_3B!$D$3525:$D$100,"&lt;="&amp;B3525,CBIC_Late_Fee_Relief_Windows_3B!$E$3525:$E$100,"&gt;="&amp;B3525,CBIC_Late_Fee_Relief_Windows_3B!$F$3525:$F$100,"&lt;="&amp;C3525,CBIC_Late_Fee_Relief_Windows_3B!$G$3525:$G$100,"&gt;="&amp;C3525)</f>
        <v/>
      </c>
      <c r="H3525">
        <f>INDEX(CBIC_Late_Fee_Relief_Windows_3B!$I$3525:$I$100,MATCH(G3525,CBIC_Late_Fee_Relief_Windows_3B!$O$3525:$O$100,0))</f>
        <v/>
      </c>
      <c r="I3525">
        <f>MIN(F3525,H3525)</f>
        <v/>
      </c>
    </row>
    <row r="3526">
      <c r="A3526">
        <f>TEST_DATA!A3526</f>
        <v/>
      </c>
      <c r="B3526">
        <f>TEST_DATA!B3526</f>
        <v/>
      </c>
      <c r="C3526">
        <f>TEST_DATA!C3526</f>
        <v/>
      </c>
      <c r="D3526">
        <f>TEST_DATA!D3526</f>
        <v/>
      </c>
      <c r="E3526">
        <f>TEST_DATA!E3526</f>
        <v/>
      </c>
      <c r="F3526">
        <f>MIN(E3526*352600,10000)</f>
        <v/>
      </c>
      <c r="G3526">
        <f>MINIFS(CBIC_Late_Fee_Relief_Windows_3B!$O$3526:$O$100,CBIC_Late_Fee_Relief_Windows_3B!$D$3526:$D$100,"&lt;="&amp;B3526,CBIC_Late_Fee_Relief_Windows_3B!$E$3526:$E$100,"&gt;="&amp;B3526,CBIC_Late_Fee_Relief_Windows_3B!$F$3526:$F$100,"&lt;="&amp;C3526,CBIC_Late_Fee_Relief_Windows_3B!$G$3526:$G$100,"&gt;="&amp;C3526)</f>
        <v/>
      </c>
      <c r="H3526">
        <f>INDEX(CBIC_Late_Fee_Relief_Windows_3B!$I$3526:$I$100,MATCH(G3526,CBIC_Late_Fee_Relief_Windows_3B!$O$3526:$O$100,0))</f>
        <v/>
      </c>
      <c r="I3526">
        <f>MIN(F3526,H3526)</f>
        <v/>
      </c>
    </row>
    <row r="3527">
      <c r="A3527">
        <f>TEST_DATA!A3527</f>
        <v/>
      </c>
      <c r="B3527">
        <f>TEST_DATA!B3527</f>
        <v/>
      </c>
      <c r="C3527">
        <f>TEST_DATA!C3527</f>
        <v/>
      </c>
      <c r="D3527">
        <f>TEST_DATA!D3527</f>
        <v/>
      </c>
      <c r="E3527">
        <f>TEST_DATA!E3527</f>
        <v/>
      </c>
      <c r="F3527">
        <f>MIN(E3527*352700,10000)</f>
        <v/>
      </c>
      <c r="G3527">
        <f>MINIFS(CBIC_Late_Fee_Relief_Windows_3B!$O$3527:$O$100,CBIC_Late_Fee_Relief_Windows_3B!$D$3527:$D$100,"&lt;="&amp;B3527,CBIC_Late_Fee_Relief_Windows_3B!$E$3527:$E$100,"&gt;="&amp;B3527,CBIC_Late_Fee_Relief_Windows_3B!$F$3527:$F$100,"&lt;="&amp;C3527,CBIC_Late_Fee_Relief_Windows_3B!$G$3527:$G$100,"&gt;="&amp;C3527)</f>
        <v/>
      </c>
      <c r="H3527">
        <f>INDEX(CBIC_Late_Fee_Relief_Windows_3B!$I$3527:$I$100,MATCH(G3527,CBIC_Late_Fee_Relief_Windows_3B!$O$3527:$O$100,0))</f>
        <v/>
      </c>
      <c r="I3527">
        <f>MIN(F3527,H3527)</f>
        <v/>
      </c>
    </row>
    <row r="3528">
      <c r="A3528">
        <f>TEST_DATA!A3528</f>
        <v/>
      </c>
      <c r="B3528">
        <f>TEST_DATA!B3528</f>
        <v/>
      </c>
      <c r="C3528">
        <f>TEST_DATA!C3528</f>
        <v/>
      </c>
      <c r="D3528">
        <f>TEST_DATA!D3528</f>
        <v/>
      </c>
      <c r="E3528">
        <f>TEST_DATA!E3528</f>
        <v/>
      </c>
      <c r="F3528">
        <f>MIN(E3528*352800,10000)</f>
        <v/>
      </c>
      <c r="G3528">
        <f>MINIFS(CBIC_Late_Fee_Relief_Windows_3B!$O$3528:$O$100,CBIC_Late_Fee_Relief_Windows_3B!$D$3528:$D$100,"&lt;="&amp;B3528,CBIC_Late_Fee_Relief_Windows_3B!$E$3528:$E$100,"&gt;="&amp;B3528,CBIC_Late_Fee_Relief_Windows_3B!$F$3528:$F$100,"&lt;="&amp;C3528,CBIC_Late_Fee_Relief_Windows_3B!$G$3528:$G$100,"&gt;="&amp;C3528)</f>
        <v/>
      </c>
      <c r="H3528">
        <f>INDEX(CBIC_Late_Fee_Relief_Windows_3B!$I$3528:$I$100,MATCH(G3528,CBIC_Late_Fee_Relief_Windows_3B!$O$3528:$O$100,0))</f>
        <v/>
      </c>
      <c r="I3528">
        <f>MIN(F3528,H3528)</f>
        <v/>
      </c>
    </row>
    <row r="3529">
      <c r="A3529">
        <f>TEST_DATA!A3529</f>
        <v/>
      </c>
      <c r="B3529">
        <f>TEST_DATA!B3529</f>
        <v/>
      </c>
      <c r="C3529">
        <f>TEST_DATA!C3529</f>
        <v/>
      </c>
      <c r="D3529">
        <f>TEST_DATA!D3529</f>
        <v/>
      </c>
      <c r="E3529">
        <f>TEST_DATA!E3529</f>
        <v/>
      </c>
      <c r="F3529">
        <f>MIN(E3529*352900,10000)</f>
        <v/>
      </c>
      <c r="G3529">
        <f>MINIFS(CBIC_Late_Fee_Relief_Windows_3B!$O$3529:$O$100,CBIC_Late_Fee_Relief_Windows_3B!$D$3529:$D$100,"&lt;="&amp;B3529,CBIC_Late_Fee_Relief_Windows_3B!$E$3529:$E$100,"&gt;="&amp;B3529,CBIC_Late_Fee_Relief_Windows_3B!$F$3529:$F$100,"&lt;="&amp;C3529,CBIC_Late_Fee_Relief_Windows_3B!$G$3529:$G$100,"&gt;="&amp;C3529)</f>
        <v/>
      </c>
      <c r="H3529">
        <f>INDEX(CBIC_Late_Fee_Relief_Windows_3B!$I$3529:$I$100,MATCH(G3529,CBIC_Late_Fee_Relief_Windows_3B!$O$3529:$O$100,0))</f>
        <v/>
      </c>
      <c r="I3529">
        <f>MIN(F3529,H3529)</f>
        <v/>
      </c>
    </row>
    <row r="3530">
      <c r="A3530">
        <f>TEST_DATA!A3530</f>
        <v/>
      </c>
      <c r="B3530">
        <f>TEST_DATA!B3530</f>
        <v/>
      </c>
      <c r="C3530">
        <f>TEST_DATA!C3530</f>
        <v/>
      </c>
      <c r="D3530">
        <f>TEST_DATA!D3530</f>
        <v/>
      </c>
      <c r="E3530">
        <f>TEST_DATA!E3530</f>
        <v/>
      </c>
      <c r="F3530">
        <f>MIN(E3530*353000,10000)</f>
        <v/>
      </c>
      <c r="G3530">
        <f>MINIFS(CBIC_Late_Fee_Relief_Windows_3B!$O$3530:$O$100,CBIC_Late_Fee_Relief_Windows_3B!$D$3530:$D$100,"&lt;="&amp;B3530,CBIC_Late_Fee_Relief_Windows_3B!$E$3530:$E$100,"&gt;="&amp;B3530,CBIC_Late_Fee_Relief_Windows_3B!$F$3530:$F$100,"&lt;="&amp;C3530,CBIC_Late_Fee_Relief_Windows_3B!$G$3530:$G$100,"&gt;="&amp;C3530)</f>
        <v/>
      </c>
      <c r="H3530">
        <f>INDEX(CBIC_Late_Fee_Relief_Windows_3B!$I$3530:$I$100,MATCH(G3530,CBIC_Late_Fee_Relief_Windows_3B!$O$3530:$O$100,0))</f>
        <v/>
      </c>
      <c r="I3530">
        <f>MIN(F3530,H3530)</f>
        <v/>
      </c>
    </row>
    <row r="3531">
      <c r="A3531">
        <f>TEST_DATA!A3531</f>
        <v/>
      </c>
      <c r="B3531">
        <f>TEST_DATA!B3531</f>
        <v/>
      </c>
      <c r="C3531">
        <f>TEST_DATA!C3531</f>
        <v/>
      </c>
      <c r="D3531">
        <f>TEST_DATA!D3531</f>
        <v/>
      </c>
      <c r="E3531">
        <f>TEST_DATA!E3531</f>
        <v/>
      </c>
      <c r="F3531">
        <f>MIN(E3531*353100,10000)</f>
        <v/>
      </c>
      <c r="G3531">
        <f>MINIFS(CBIC_Late_Fee_Relief_Windows_3B!$O$3531:$O$100,CBIC_Late_Fee_Relief_Windows_3B!$D$3531:$D$100,"&lt;="&amp;B3531,CBIC_Late_Fee_Relief_Windows_3B!$E$3531:$E$100,"&gt;="&amp;B3531,CBIC_Late_Fee_Relief_Windows_3B!$F$3531:$F$100,"&lt;="&amp;C3531,CBIC_Late_Fee_Relief_Windows_3B!$G$3531:$G$100,"&gt;="&amp;C3531)</f>
        <v/>
      </c>
      <c r="H3531">
        <f>INDEX(CBIC_Late_Fee_Relief_Windows_3B!$I$3531:$I$100,MATCH(G3531,CBIC_Late_Fee_Relief_Windows_3B!$O$3531:$O$100,0))</f>
        <v/>
      </c>
      <c r="I3531">
        <f>MIN(F3531,H3531)</f>
        <v/>
      </c>
    </row>
    <row r="3532">
      <c r="A3532">
        <f>TEST_DATA!A3532</f>
        <v/>
      </c>
      <c r="B3532">
        <f>TEST_DATA!B3532</f>
        <v/>
      </c>
      <c r="C3532">
        <f>TEST_DATA!C3532</f>
        <v/>
      </c>
      <c r="D3532">
        <f>TEST_DATA!D3532</f>
        <v/>
      </c>
      <c r="E3532">
        <f>TEST_DATA!E3532</f>
        <v/>
      </c>
      <c r="F3532">
        <f>MIN(E3532*353200,10000)</f>
        <v/>
      </c>
      <c r="G3532">
        <f>MINIFS(CBIC_Late_Fee_Relief_Windows_3B!$O$3532:$O$100,CBIC_Late_Fee_Relief_Windows_3B!$D$3532:$D$100,"&lt;="&amp;B3532,CBIC_Late_Fee_Relief_Windows_3B!$E$3532:$E$100,"&gt;="&amp;B3532,CBIC_Late_Fee_Relief_Windows_3B!$F$3532:$F$100,"&lt;="&amp;C3532,CBIC_Late_Fee_Relief_Windows_3B!$G$3532:$G$100,"&gt;="&amp;C3532)</f>
        <v/>
      </c>
      <c r="H3532">
        <f>INDEX(CBIC_Late_Fee_Relief_Windows_3B!$I$3532:$I$100,MATCH(G3532,CBIC_Late_Fee_Relief_Windows_3B!$O$3532:$O$100,0))</f>
        <v/>
      </c>
      <c r="I3532">
        <f>MIN(F3532,H3532)</f>
        <v/>
      </c>
    </row>
    <row r="3533">
      <c r="A3533">
        <f>TEST_DATA!A3533</f>
        <v/>
      </c>
      <c r="B3533">
        <f>TEST_DATA!B3533</f>
        <v/>
      </c>
      <c r="C3533">
        <f>TEST_DATA!C3533</f>
        <v/>
      </c>
      <c r="D3533">
        <f>TEST_DATA!D3533</f>
        <v/>
      </c>
      <c r="E3533">
        <f>TEST_DATA!E3533</f>
        <v/>
      </c>
      <c r="F3533">
        <f>MIN(E3533*353300,10000)</f>
        <v/>
      </c>
      <c r="G3533">
        <f>MINIFS(CBIC_Late_Fee_Relief_Windows_3B!$O$3533:$O$100,CBIC_Late_Fee_Relief_Windows_3B!$D$3533:$D$100,"&lt;="&amp;B3533,CBIC_Late_Fee_Relief_Windows_3B!$E$3533:$E$100,"&gt;="&amp;B3533,CBIC_Late_Fee_Relief_Windows_3B!$F$3533:$F$100,"&lt;="&amp;C3533,CBIC_Late_Fee_Relief_Windows_3B!$G$3533:$G$100,"&gt;="&amp;C3533)</f>
        <v/>
      </c>
      <c r="H3533">
        <f>INDEX(CBIC_Late_Fee_Relief_Windows_3B!$I$3533:$I$100,MATCH(G3533,CBIC_Late_Fee_Relief_Windows_3B!$O$3533:$O$100,0))</f>
        <v/>
      </c>
      <c r="I3533">
        <f>MIN(F3533,H3533)</f>
        <v/>
      </c>
    </row>
    <row r="3534">
      <c r="A3534">
        <f>TEST_DATA!A3534</f>
        <v/>
      </c>
      <c r="B3534">
        <f>TEST_DATA!B3534</f>
        <v/>
      </c>
      <c r="C3534">
        <f>TEST_DATA!C3534</f>
        <v/>
      </c>
      <c r="D3534">
        <f>TEST_DATA!D3534</f>
        <v/>
      </c>
      <c r="E3534">
        <f>TEST_DATA!E3534</f>
        <v/>
      </c>
      <c r="F3534">
        <f>MIN(E3534*353400,10000)</f>
        <v/>
      </c>
      <c r="G3534">
        <f>MINIFS(CBIC_Late_Fee_Relief_Windows_3B!$O$3534:$O$100,CBIC_Late_Fee_Relief_Windows_3B!$D$3534:$D$100,"&lt;="&amp;B3534,CBIC_Late_Fee_Relief_Windows_3B!$E$3534:$E$100,"&gt;="&amp;B3534,CBIC_Late_Fee_Relief_Windows_3B!$F$3534:$F$100,"&lt;="&amp;C3534,CBIC_Late_Fee_Relief_Windows_3B!$G$3534:$G$100,"&gt;="&amp;C3534)</f>
        <v/>
      </c>
      <c r="H3534">
        <f>INDEX(CBIC_Late_Fee_Relief_Windows_3B!$I$3534:$I$100,MATCH(G3534,CBIC_Late_Fee_Relief_Windows_3B!$O$3534:$O$100,0))</f>
        <v/>
      </c>
      <c r="I3534">
        <f>MIN(F3534,H3534)</f>
        <v/>
      </c>
    </row>
    <row r="3535">
      <c r="A3535">
        <f>TEST_DATA!A3535</f>
        <v/>
      </c>
      <c r="B3535">
        <f>TEST_DATA!B3535</f>
        <v/>
      </c>
      <c r="C3535">
        <f>TEST_DATA!C3535</f>
        <v/>
      </c>
      <c r="D3535">
        <f>TEST_DATA!D3535</f>
        <v/>
      </c>
      <c r="E3535">
        <f>TEST_DATA!E3535</f>
        <v/>
      </c>
      <c r="F3535">
        <f>MIN(E3535*353500,10000)</f>
        <v/>
      </c>
      <c r="G3535">
        <f>MINIFS(CBIC_Late_Fee_Relief_Windows_3B!$O$3535:$O$100,CBIC_Late_Fee_Relief_Windows_3B!$D$3535:$D$100,"&lt;="&amp;B3535,CBIC_Late_Fee_Relief_Windows_3B!$E$3535:$E$100,"&gt;="&amp;B3535,CBIC_Late_Fee_Relief_Windows_3B!$F$3535:$F$100,"&lt;="&amp;C3535,CBIC_Late_Fee_Relief_Windows_3B!$G$3535:$G$100,"&gt;="&amp;C3535)</f>
        <v/>
      </c>
      <c r="H3535">
        <f>INDEX(CBIC_Late_Fee_Relief_Windows_3B!$I$3535:$I$100,MATCH(G3535,CBIC_Late_Fee_Relief_Windows_3B!$O$3535:$O$100,0))</f>
        <v/>
      </c>
      <c r="I3535">
        <f>MIN(F3535,H3535)</f>
        <v/>
      </c>
    </row>
    <row r="3536">
      <c r="A3536">
        <f>TEST_DATA!A3536</f>
        <v/>
      </c>
      <c r="B3536">
        <f>TEST_DATA!B3536</f>
        <v/>
      </c>
      <c r="C3536">
        <f>TEST_DATA!C3536</f>
        <v/>
      </c>
      <c r="D3536">
        <f>TEST_DATA!D3536</f>
        <v/>
      </c>
      <c r="E3536">
        <f>TEST_DATA!E3536</f>
        <v/>
      </c>
      <c r="F3536">
        <f>MIN(E3536*353600,10000)</f>
        <v/>
      </c>
      <c r="G3536">
        <f>MINIFS(CBIC_Late_Fee_Relief_Windows_3B!$O$3536:$O$100,CBIC_Late_Fee_Relief_Windows_3B!$D$3536:$D$100,"&lt;="&amp;B3536,CBIC_Late_Fee_Relief_Windows_3B!$E$3536:$E$100,"&gt;="&amp;B3536,CBIC_Late_Fee_Relief_Windows_3B!$F$3536:$F$100,"&lt;="&amp;C3536,CBIC_Late_Fee_Relief_Windows_3B!$G$3536:$G$100,"&gt;="&amp;C3536)</f>
        <v/>
      </c>
      <c r="H3536">
        <f>INDEX(CBIC_Late_Fee_Relief_Windows_3B!$I$3536:$I$100,MATCH(G3536,CBIC_Late_Fee_Relief_Windows_3B!$O$3536:$O$100,0))</f>
        <v/>
      </c>
      <c r="I3536">
        <f>MIN(F3536,H3536)</f>
        <v/>
      </c>
    </row>
    <row r="3537">
      <c r="A3537">
        <f>TEST_DATA!A3537</f>
        <v/>
      </c>
      <c r="B3537">
        <f>TEST_DATA!B3537</f>
        <v/>
      </c>
      <c r="C3537">
        <f>TEST_DATA!C3537</f>
        <v/>
      </c>
      <c r="D3537">
        <f>TEST_DATA!D3537</f>
        <v/>
      </c>
      <c r="E3537">
        <f>TEST_DATA!E3537</f>
        <v/>
      </c>
      <c r="F3537">
        <f>MIN(E3537*353700,10000)</f>
        <v/>
      </c>
      <c r="G3537">
        <f>MINIFS(CBIC_Late_Fee_Relief_Windows_3B!$O$3537:$O$100,CBIC_Late_Fee_Relief_Windows_3B!$D$3537:$D$100,"&lt;="&amp;B3537,CBIC_Late_Fee_Relief_Windows_3B!$E$3537:$E$100,"&gt;="&amp;B3537,CBIC_Late_Fee_Relief_Windows_3B!$F$3537:$F$100,"&lt;="&amp;C3537,CBIC_Late_Fee_Relief_Windows_3B!$G$3537:$G$100,"&gt;="&amp;C3537)</f>
        <v/>
      </c>
      <c r="H3537">
        <f>INDEX(CBIC_Late_Fee_Relief_Windows_3B!$I$3537:$I$100,MATCH(G3537,CBIC_Late_Fee_Relief_Windows_3B!$O$3537:$O$100,0))</f>
        <v/>
      </c>
      <c r="I3537">
        <f>MIN(F3537,H3537)</f>
        <v/>
      </c>
    </row>
    <row r="3538">
      <c r="A3538">
        <f>TEST_DATA!A3538</f>
        <v/>
      </c>
      <c r="B3538">
        <f>TEST_DATA!B3538</f>
        <v/>
      </c>
      <c r="C3538">
        <f>TEST_DATA!C3538</f>
        <v/>
      </c>
      <c r="D3538">
        <f>TEST_DATA!D3538</f>
        <v/>
      </c>
      <c r="E3538">
        <f>TEST_DATA!E3538</f>
        <v/>
      </c>
      <c r="F3538">
        <f>MIN(E3538*353800,10000)</f>
        <v/>
      </c>
      <c r="G3538">
        <f>MINIFS(CBIC_Late_Fee_Relief_Windows_3B!$O$3538:$O$100,CBIC_Late_Fee_Relief_Windows_3B!$D$3538:$D$100,"&lt;="&amp;B3538,CBIC_Late_Fee_Relief_Windows_3B!$E$3538:$E$100,"&gt;="&amp;B3538,CBIC_Late_Fee_Relief_Windows_3B!$F$3538:$F$100,"&lt;="&amp;C3538,CBIC_Late_Fee_Relief_Windows_3B!$G$3538:$G$100,"&gt;="&amp;C3538)</f>
        <v/>
      </c>
      <c r="H3538">
        <f>INDEX(CBIC_Late_Fee_Relief_Windows_3B!$I$3538:$I$100,MATCH(G3538,CBIC_Late_Fee_Relief_Windows_3B!$O$3538:$O$100,0))</f>
        <v/>
      </c>
      <c r="I3538">
        <f>MIN(F3538,H3538)</f>
        <v/>
      </c>
    </row>
    <row r="3539">
      <c r="A3539">
        <f>TEST_DATA!A3539</f>
        <v/>
      </c>
      <c r="B3539">
        <f>TEST_DATA!B3539</f>
        <v/>
      </c>
      <c r="C3539">
        <f>TEST_DATA!C3539</f>
        <v/>
      </c>
      <c r="D3539">
        <f>TEST_DATA!D3539</f>
        <v/>
      </c>
      <c r="E3539">
        <f>TEST_DATA!E3539</f>
        <v/>
      </c>
      <c r="F3539">
        <f>MIN(E3539*353900,10000)</f>
        <v/>
      </c>
      <c r="G3539">
        <f>MINIFS(CBIC_Late_Fee_Relief_Windows_3B!$O$3539:$O$100,CBIC_Late_Fee_Relief_Windows_3B!$D$3539:$D$100,"&lt;="&amp;B3539,CBIC_Late_Fee_Relief_Windows_3B!$E$3539:$E$100,"&gt;="&amp;B3539,CBIC_Late_Fee_Relief_Windows_3B!$F$3539:$F$100,"&lt;="&amp;C3539,CBIC_Late_Fee_Relief_Windows_3B!$G$3539:$G$100,"&gt;="&amp;C3539)</f>
        <v/>
      </c>
      <c r="H3539">
        <f>INDEX(CBIC_Late_Fee_Relief_Windows_3B!$I$3539:$I$100,MATCH(G3539,CBIC_Late_Fee_Relief_Windows_3B!$O$3539:$O$100,0))</f>
        <v/>
      </c>
      <c r="I3539">
        <f>MIN(F3539,H3539)</f>
        <v/>
      </c>
    </row>
    <row r="3540">
      <c r="A3540">
        <f>TEST_DATA!A3540</f>
        <v/>
      </c>
      <c r="B3540">
        <f>TEST_DATA!B3540</f>
        <v/>
      </c>
      <c r="C3540">
        <f>TEST_DATA!C3540</f>
        <v/>
      </c>
      <c r="D3540">
        <f>TEST_DATA!D3540</f>
        <v/>
      </c>
      <c r="E3540">
        <f>TEST_DATA!E3540</f>
        <v/>
      </c>
      <c r="F3540">
        <f>MIN(E3540*354000,10000)</f>
        <v/>
      </c>
      <c r="G3540">
        <f>MINIFS(CBIC_Late_Fee_Relief_Windows_3B!$O$3540:$O$100,CBIC_Late_Fee_Relief_Windows_3B!$D$3540:$D$100,"&lt;="&amp;B3540,CBIC_Late_Fee_Relief_Windows_3B!$E$3540:$E$100,"&gt;="&amp;B3540,CBIC_Late_Fee_Relief_Windows_3B!$F$3540:$F$100,"&lt;="&amp;C3540,CBIC_Late_Fee_Relief_Windows_3B!$G$3540:$G$100,"&gt;="&amp;C3540)</f>
        <v/>
      </c>
      <c r="H3540">
        <f>INDEX(CBIC_Late_Fee_Relief_Windows_3B!$I$3540:$I$100,MATCH(G3540,CBIC_Late_Fee_Relief_Windows_3B!$O$3540:$O$100,0))</f>
        <v/>
      </c>
      <c r="I3540">
        <f>MIN(F3540,H3540)</f>
        <v/>
      </c>
    </row>
    <row r="3541">
      <c r="A3541">
        <f>TEST_DATA!A3541</f>
        <v/>
      </c>
      <c r="B3541">
        <f>TEST_DATA!B3541</f>
        <v/>
      </c>
      <c r="C3541">
        <f>TEST_DATA!C3541</f>
        <v/>
      </c>
      <c r="D3541">
        <f>TEST_DATA!D3541</f>
        <v/>
      </c>
      <c r="E3541">
        <f>TEST_DATA!E3541</f>
        <v/>
      </c>
      <c r="F3541">
        <f>MIN(E3541*354100,10000)</f>
        <v/>
      </c>
      <c r="G3541">
        <f>MINIFS(CBIC_Late_Fee_Relief_Windows_3B!$O$3541:$O$100,CBIC_Late_Fee_Relief_Windows_3B!$D$3541:$D$100,"&lt;="&amp;B3541,CBIC_Late_Fee_Relief_Windows_3B!$E$3541:$E$100,"&gt;="&amp;B3541,CBIC_Late_Fee_Relief_Windows_3B!$F$3541:$F$100,"&lt;="&amp;C3541,CBIC_Late_Fee_Relief_Windows_3B!$G$3541:$G$100,"&gt;="&amp;C3541)</f>
        <v/>
      </c>
      <c r="H3541">
        <f>INDEX(CBIC_Late_Fee_Relief_Windows_3B!$I$3541:$I$100,MATCH(G3541,CBIC_Late_Fee_Relief_Windows_3B!$O$3541:$O$100,0))</f>
        <v/>
      </c>
      <c r="I3541">
        <f>MIN(F3541,H3541)</f>
        <v/>
      </c>
    </row>
    <row r="3542">
      <c r="A3542">
        <f>TEST_DATA!A3542</f>
        <v/>
      </c>
      <c r="B3542">
        <f>TEST_DATA!B3542</f>
        <v/>
      </c>
      <c r="C3542">
        <f>TEST_DATA!C3542</f>
        <v/>
      </c>
      <c r="D3542">
        <f>TEST_DATA!D3542</f>
        <v/>
      </c>
      <c r="E3542">
        <f>TEST_DATA!E3542</f>
        <v/>
      </c>
      <c r="F3542">
        <f>MIN(E3542*354200,10000)</f>
        <v/>
      </c>
      <c r="G3542">
        <f>MINIFS(CBIC_Late_Fee_Relief_Windows_3B!$O$3542:$O$100,CBIC_Late_Fee_Relief_Windows_3B!$D$3542:$D$100,"&lt;="&amp;B3542,CBIC_Late_Fee_Relief_Windows_3B!$E$3542:$E$100,"&gt;="&amp;B3542,CBIC_Late_Fee_Relief_Windows_3B!$F$3542:$F$100,"&lt;="&amp;C3542,CBIC_Late_Fee_Relief_Windows_3B!$G$3542:$G$100,"&gt;="&amp;C3542)</f>
        <v/>
      </c>
      <c r="H3542">
        <f>INDEX(CBIC_Late_Fee_Relief_Windows_3B!$I$3542:$I$100,MATCH(G3542,CBIC_Late_Fee_Relief_Windows_3B!$O$3542:$O$100,0))</f>
        <v/>
      </c>
      <c r="I3542">
        <f>MIN(F3542,H3542)</f>
        <v/>
      </c>
    </row>
    <row r="3543">
      <c r="A3543">
        <f>TEST_DATA!A3543</f>
        <v/>
      </c>
      <c r="B3543">
        <f>TEST_DATA!B3543</f>
        <v/>
      </c>
      <c r="C3543">
        <f>TEST_DATA!C3543</f>
        <v/>
      </c>
      <c r="D3543">
        <f>TEST_DATA!D3543</f>
        <v/>
      </c>
      <c r="E3543">
        <f>TEST_DATA!E3543</f>
        <v/>
      </c>
      <c r="F3543">
        <f>MIN(E3543*354300,10000)</f>
        <v/>
      </c>
      <c r="G3543">
        <f>MINIFS(CBIC_Late_Fee_Relief_Windows_3B!$O$3543:$O$100,CBIC_Late_Fee_Relief_Windows_3B!$D$3543:$D$100,"&lt;="&amp;B3543,CBIC_Late_Fee_Relief_Windows_3B!$E$3543:$E$100,"&gt;="&amp;B3543,CBIC_Late_Fee_Relief_Windows_3B!$F$3543:$F$100,"&lt;="&amp;C3543,CBIC_Late_Fee_Relief_Windows_3B!$G$3543:$G$100,"&gt;="&amp;C3543)</f>
        <v/>
      </c>
      <c r="H3543">
        <f>INDEX(CBIC_Late_Fee_Relief_Windows_3B!$I$3543:$I$100,MATCH(G3543,CBIC_Late_Fee_Relief_Windows_3B!$O$3543:$O$100,0))</f>
        <v/>
      </c>
      <c r="I3543">
        <f>MIN(F3543,H3543)</f>
        <v/>
      </c>
    </row>
    <row r="3544">
      <c r="A3544">
        <f>TEST_DATA!A3544</f>
        <v/>
      </c>
      <c r="B3544">
        <f>TEST_DATA!B3544</f>
        <v/>
      </c>
      <c r="C3544">
        <f>TEST_DATA!C3544</f>
        <v/>
      </c>
      <c r="D3544">
        <f>TEST_DATA!D3544</f>
        <v/>
      </c>
      <c r="E3544">
        <f>TEST_DATA!E3544</f>
        <v/>
      </c>
      <c r="F3544">
        <f>MIN(E3544*354400,10000)</f>
        <v/>
      </c>
      <c r="G3544">
        <f>MINIFS(CBIC_Late_Fee_Relief_Windows_3B!$O$3544:$O$100,CBIC_Late_Fee_Relief_Windows_3B!$D$3544:$D$100,"&lt;="&amp;B3544,CBIC_Late_Fee_Relief_Windows_3B!$E$3544:$E$100,"&gt;="&amp;B3544,CBIC_Late_Fee_Relief_Windows_3B!$F$3544:$F$100,"&lt;="&amp;C3544,CBIC_Late_Fee_Relief_Windows_3B!$G$3544:$G$100,"&gt;="&amp;C3544)</f>
        <v/>
      </c>
      <c r="H3544">
        <f>INDEX(CBIC_Late_Fee_Relief_Windows_3B!$I$3544:$I$100,MATCH(G3544,CBIC_Late_Fee_Relief_Windows_3B!$O$3544:$O$100,0))</f>
        <v/>
      </c>
      <c r="I3544">
        <f>MIN(F3544,H3544)</f>
        <v/>
      </c>
    </row>
    <row r="3545">
      <c r="A3545">
        <f>TEST_DATA!A3545</f>
        <v/>
      </c>
      <c r="B3545">
        <f>TEST_DATA!B3545</f>
        <v/>
      </c>
      <c r="C3545">
        <f>TEST_DATA!C3545</f>
        <v/>
      </c>
      <c r="D3545">
        <f>TEST_DATA!D3545</f>
        <v/>
      </c>
      <c r="E3545">
        <f>TEST_DATA!E3545</f>
        <v/>
      </c>
      <c r="F3545">
        <f>MIN(E3545*354500,10000)</f>
        <v/>
      </c>
      <c r="G3545">
        <f>MINIFS(CBIC_Late_Fee_Relief_Windows_3B!$O$3545:$O$100,CBIC_Late_Fee_Relief_Windows_3B!$D$3545:$D$100,"&lt;="&amp;B3545,CBIC_Late_Fee_Relief_Windows_3B!$E$3545:$E$100,"&gt;="&amp;B3545,CBIC_Late_Fee_Relief_Windows_3B!$F$3545:$F$100,"&lt;="&amp;C3545,CBIC_Late_Fee_Relief_Windows_3B!$G$3545:$G$100,"&gt;="&amp;C3545)</f>
        <v/>
      </c>
      <c r="H3545">
        <f>INDEX(CBIC_Late_Fee_Relief_Windows_3B!$I$3545:$I$100,MATCH(G3545,CBIC_Late_Fee_Relief_Windows_3B!$O$3545:$O$100,0))</f>
        <v/>
      </c>
      <c r="I3545">
        <f>MIN(F3545,H3545)</f>
        <v/>
      </c>
    </row>
    <row r="3546">
      <c r="A3546">
        <f>TEST_DATA!A3546</f>
        <v/>
      </c>
      <c r="B3546">
        <f>TEST_DATA!B3546</f>
        <v/>
      </c>
      <c r="C3546">
        <f>TEST_DATA!C3546</f>
        <v/>
      </c>
      <c r="D3546">
        <f>TEST_DATA!D3546</f>
        <v/>
      </c>
      <c r="E3546">
        <f>TEST_DATA!E3546</f>
        <v/>
      </c>
      <c r="F3546">
        <f>MIN(E3546*354600,10000)</f>
        <v/>
      </c>
      <c r="G3546">
        <f>MINIFS(CBIC_Late_Fee_Relief_Windows_3B!$O$3546:$O$100,CBIC_Late_Fee_Relief_Windows_3B!$D$3546:$D$100,"&lt;="&amp;B3546,CBIC_Late_Fee_Relief_Windows_3B!$E$3546:$E$100,"&gt;="&amp;B3546,CBIC_Late_Fee_Relief_Windows_3B!$F$3546:$F$100,"&lt;="&amp;C3546,CBIC_Late_Fee_Relief_Windows_3B!$G$3546:$G$100,"&gt;="&amp;C3546)</f>
        <v/>
      </c>
      <c r="H3546">
        <f>INDEX(CBIC_Late_Fee_Relief_Windows_3B!$I$3546:$I$100,MATCH(G3546,CBIC_Late_Fee_Relief_Windows_3B!$O$3546:$O$100,0))</f>
        <v/>
      </c>
      <c r="I3546">
        <f>MIN(F3546,H3546)</f>
        <v/>
      </c>
    </row>
    <row r="3547">
      <c r="A3547">
        <f>TEST_DATA!A3547</f>
        <v/>
      </c>
      <c r="B3547">
        <f>TEST_DATA!B3547</f>
        <v/>
      </c>
      <c r="C3547">
        <f>TEST_DATA!C3547</f>
        <v/>
      </c>
      <c r="D3547">
        <f>TEST_DATA!D3547</f>
        <v/>
      </c>
      <c r="E3547">
        <f>TEST_DATA!E3547</f>
        <v/>
      </c>
      <c r="F3547">
        <f>MIN(E3547*354700,10000)</f>
        <v/>
      </c>
      <c r="G3547">
        <f>MINIFS(CBIC_Late_Fee_Relief_Windows_3B!$O$3547:$O$100,CBIC_Late_Fee_Relief_Windows_3B!$D$3547:$D$100,"&lt;="&amp;B3547,CBIC_Late_Fee_Relief_Windows_3B!$E$3547:$E$100,"&gt;="&amp;B3547,CBIC_Late_Fee_Relief_Windows_3B!$F$3547:$F$100,"&lt;="&amp;C3547,CBIC_Late_Fee_Relief_Windows_3B!$G$3547:$G$100,"&gt;="&amp;C3547)</f>
        <v/>
      </c>
      <c r="H3547">
        <f>INDEX(CBIC_Late_Fee_Relief_Windows_3B!$I$3547:$I$100,MATCH(G3547,CBIC_Late_Fee_Relief_Windows_3B!$O$3547:$O$100,0))</f>
        <v/>
      </c>
      <c r="I3547">
        <f>MIN(F3547,H3547)</f>
        <v/>
      </c>
    </row>
    <row r="3548">
      <c r="A3548">
        <f>TEST_DATA!A3548</f>
        <v/>
      </c>
      <c r="B3548">
        <f>TEST_DATA!B3548</f>
        <v/>
      </c>
      <c r="C3548">
        <f>TEST_DATA!C3548</f>
        <v/>
      </c>
      <c r="D3548">
        <f>TEST_DATA!D3548</f>
        <v/>
      </c>
      <c r="E3548">
        <f>TEST_DATA!E3548</f>
        <v/>
      </c>
      <c r="F3548">
        <f>MIN(E3548*354800,10000)</f>
        <v/>
      </c>
      <c r="G3548">
        <f>MINIFS(CBIC_Late_Fee_Relief_Windows_3B!$O$3548:$O$100,CBIC_Late_Fee_Relief_Windows_3B!$D$3548:$D$100,"&lt;="&amp;B3548,CBIC_Late_Fee_Relief_Windows_3B!$E$3548:$E$100,"&gt;="&amp;B3548,CBIC_Late_Fee_Relief_Windows_3B!$F$3548:$F$100,"&lt;="&amp;C3548,CBIC_Late_Fee_Relief_Windows_3B!$G$3548:$G$100,"&gt;="&amp;C3548)</f>
        <v/>
      </c>
      <c r="H3548">
        <f>INDEX(CBIC_Late_Fee_Relief_Windows_3B!$I$3548:$I$100,MATCH(G3548,CBIC_Late_Fee_Relief_Windows_3B!$O$3548:$O$100,0))</f>
        <v/>
      </c>
      <c r="I3548">
        <f>MIN(F3548,H3548)</f>
        <v/>
      </c>
    </row>
    <row r="3549">
      <c r="A3549">
        <f>TEST_DATA!A3549</f>
        <v/>
      </c>
      <c r="B3549">
        <f>TEST_DATA!B3549</f>
        <v/>
      </c>
      <c r="C3549">
        <f>TEST_DATA!C3549</f>
        <v/>
      </c>
      <c r="D3549">
        <f>TEST_DATA!D3549</f>
        <v/>
      </c>
      <c r="E3549">
        <f>TEST_DATA!E3549</f>
        <v/>
      </c>
      <c r="F3549">
        <f>MIN(E3549*354900,10000)</f>
        <v/>
      </c>
      <c r="G3549">
        <f>MINIFS(CBIC_Late_Fee_Relief_Windows_3B!$O$3549:$O$100,CBIC_Late_Fee_Relief_Windows_3B!$D$3549:$D$100,"&lt;="&amp;B3549,CBIC_Late_Fee_Relief_Windows_3B!$E$3549:$E$100,"&gt;="&amp;B3549,CBIC_Late_Fee_Relief_Windows_3B!$F$3549:$F$100,"&lt;="&amp;C3549,CBIC_Late_Fee_Relief_Windows_3B!$G$3549:$G$100,"&gt;="&amp;C3549)</f>
        <v/>
      </c>
      <c r="H3549">
        <f>INDEX(CBIC_Late_Fee_Relief_Windows_3B!$I$3549:$I$100,MATCH(G3549,CBIC_Late_Fee_Relief_Windows_3B!$O$3549:$O$100,0))</f>
        <v/>
      </c>
      <c r="I3549">
        <f>MIN(F3549,H3549)</f>
        <v/>
      </c>
    </row>
    <row r="3550">
      <c r="A3550">
        <f>TEST_DATA!A3550</f>
        <v/>
      </c>
      <c r="B3550">
        <f>TEST_DATA!B3550</f>
        <v/>
      </c>
      <c r="C3550">
        <f>TEST_DATA!C3550</f>
        <v/>
      </c>
      <c r="D3550">
        <f>TEST_DATA!D3550</f>
        <v/>
      </c>
      <c r="E3550">
        <f>TEST_DATA!E3550</f>
        <v/>
      </c>
      <c r="F3550">
        <f>MIN(E3550*355000,10000)</f>
        <v/>
      </c>
      <c r="G3550">
        <f>MINIFS(CBIC_Late_Fee_Relief_Windows_3B!$O$3550:$O$100,CBIC_Late_Fee_Relief_Windows_3B!$D$3550:$D$100,"&lt;="&amp;B3550,CBIC_Late_Fee_Relief_Windows_3B!$E$3550:$E$100,"&gt;="&amp;B3550,CBIC_Late_Fee_Relief_Windows_3B!$F$3550:$F$100,"&lt;="&amp;C3550,CBIC_Late_Fee_Relief_Windows_3B!$G$3550:$G$100,"&gt;="&amp;C3550)</f>
        <v/>
      </c>
      <c r="H3550">
        <f>INDEX(CBIC_Late_Fee_Relief_Windows_3B!$I$3550:$I$100,MATCH(G3550,CBIC_Late_Fee_Relief_Windows_3B!$O$3550:$O$100,0))</f>
        <v/>
      </c>
      <c r="I3550">
        <f>MIN(F3550,H3550)</f>
        <v/>
      </c>
    </row>
    <row r="3551">
      <c r="A3551">
        <f>TEST_DATA!A3551</f>
        <v/>
      </c>
      <c r="B3551">
        <f>TEST_DATA!B3551</f>
        <v/>
      </c>
      <c r="C3551">
        <f>TEST_DATA!C3551</f>
        <v/>
      </c>
      <c r="D3551">
        <f>TEST_DATA!D3551</f>
        <v/>
      </c>
      <c r="E3551">
        <f>TEST_DATA!E3551</f>
        <v/>
      </c>
      <c r="F3551">
        <f>MIN(E3551*355100,10000)</f>
        <v/>
      </c>
      <c r="G3551">
        <f>MINIFS(CBIC_Late_Fee_Relief_Windows_3B!$O$3551:$O$100,CBIC_Late_Fee_Relief_Windows_3B!$D$3551:$D$100,"&lt;="&amp;B3551,CBIC_Late_Fee_Relief_Windows_3B!$E$3551:$E$100,"&gt;="&amp;B3551,CBIC_Late_Fee_Relief_Windows_3B!$F$3551:$F$100,"&lt;="&amp;C3551,CBIC_Late_Fee_Relief_Windows_3B!$G$3551:$G$100,"&gt;="&amp;C3551)</f>
        <v/>
      </c>
      <c r="H3551">
        <f>INDEX(CBIC_Late_Fee_Relief_Windows_3B!$I$3551:$I$100,MATCH(G3551,CBIC_Late_Fee_Relief_Windows_3B!$O$3551:$O$100,0))</f>
        <v/>
      </c>
      <c r="I3551">
        <f>MIN(F3551,H3551)</f>
        <v/>
      </c>
    </row>
    <row r="3552">
      <c r="A3552">
        <f>TEST_DATA!A3552</f>
        <v/>
      </c>
      <c r="B3552">
        <f>TEST_DATA!B3552</f>
        <v/>
      </c>
      <c r="C3552">
        <f>TEST_DATA!C3552</f>
        <v/>
      </c>
      <c r="D3552">
        <f>TEST_DATA!D3552</f>
        <v/>
      </c>
      <c r="E3552">
        <f>TEST_DATA!E3552</f>
        <v/>
      </c>
      <c r="F3552">
        <f>MIN(E3552*355200,10000)</f>
        <v/>
      </c>
      <c r="G3552">
        <f>MINIFS(CBIC_Late_Fee_Relief_Windows_3B!$O$3552:$O$100,CBIC_Late_Fee_Relief_Windows_3B!$D$3552:$D$100,"&lt;="&amp;B3552,CBIC_Late_Fee_Relief_Windows_3B!$E$3552:$E$100,"&gt;="&amp;B3552,CBIC_Late_Fee_Relief_Windows_3B!$F$3552:$F$100,"&lt;="&amp;C3552,CBIC_Late_Fee_Relief_Windows_3B!$G$3552:$G$100,"&gt;="&amp;C3552)</f>
        <v/>
      </c>
      <c r="H3552">
        <f>INDEX(CBIC_Late_Fee_Relief_Windows_3B!$I$3552:$I$100,MATCH(G3552,CBIC_Late_Fee_Relief_Windows_3B!$O$3552:$O$100,0))</f>
        <v/>
      </c>
      <c r="I3552">
        <f>MIN(F3552,H3552)</f>
        <v/>
      </c>
    </row>
    <row r="3553">
      <c r="A3553">
        <f>TEST_DATA!A3553</f>
        <v/>
      </c>
      <c r="B3553">
        <f>TEST_DATA!B3553</f>
        <v/>
      </c>
      <c r="C3553">
        <f>TEST_DATA!C3553</f>
        <v/>
      </c>
      <c r="D3553">
        <f>TEST_DATA!D3553</f>
        <v/>
      </c>
      <c r="E3553">
        <f>TEST_DATA!E3553</f>
        <v/>
      </c>
      <c r="F3553">
        <f>MIN(E3553*355300,10000)</f>
        <v/>
      </c>
      <c r="G3553">
        <f>MINIFS(CBIC_Late_Fee_Relief_Windows_3B!$O$3553:$O$100,CBIC_Late_Fee_Relief_Windows_3B!$D$3553:$D$100,"&lt;="&amp;B3553,CBIC_Late_Fee_Relief_Windows_3B!$E$3553:$E$100,"&gt;="&amp;B3553,CBIC_Late_Fee_Relief_Windows_3B!$F$3553:$F$100,"&lt;="&amp;C3553,CBIC_Late_Fee_Relief_Windows_3B!$G$3553:$G$100,"&gt;="&amp;C3553)</f>
        <v/>
      </c>
      <c r="H3553">
        <f>INDEX(CBIC_Late_Fee_Relief_Windows_3B!$I$3553:$I$100,MATCH(G3553,CBIC_Late_Fee_Relief_Windows_3B!$O$3553:$O$100,0))</f>
        <v/>
      </c>
      <c r="I3553">
        <f>MIN(F3553,H3553)</f>
        <v/>
      </c>
    </row>
    <row r="3554">
      <c r="A3554">
        <f>TEST_DATA!A3554</f>
        <v/>
      </c>
      <c r="B3554">
        <f>TEST_DATA!B3554</f>
        <v/>
      </c>
      <c r="C3554">
        <f>TEST_DATA!C3554</f>
        <v/>
      </c>
      <c r="D3554">
        <f>TEST_DATA!D3554</f>
        <v/>
      </c>
      <c r="E3554">
        <f>TEST_DATA!E3554</f>
        <v/>
      </c>
      <c r="F3554">
        <f>MIN(E3554*355400,10000)</f>
        <v/>
      </c>
      <c r="G3554">
        <f>MINIFS(CBIC_Late_Fee_Relief_Windows_3B!$O$3554:$O$100,CBIC_Late_Fee_Relief_Windows_3B!$D$3554:$D$100,"&lt;="&amp;B3554,CBIC_Late_Fee_Relief_Windows_3B!$E$3554:$E$100,"&gt;="&amp;B3554,CBIC_Late_Fee_Relief_Windows_3B!$F$3554:$F$100,"&lt;="&amp;C3554,CBIC_Late_Fee_Relief_Windows_3B!$G$3554:$G$100,"&gt;="&amp;C3554)</f>
        <v/>
      </c>
      <c r="H3554">
        <f>INDEX(CBIC_Late_Fee_Relief_Windows_3B!$I$3554:$I$100,MATCH(G3554,CBIC_Late_Fee_Relief_Windows_3B!$O$3554:$O$100,0))</f>
        <v/>
      </c>
      <c r="I3554">
        <f>MIN(F3554,H3554)</f>
        <v/>
      </c>
    </row>
    <row r="3555">
      <c r="A3555">
        <f>TEST_DATA!A3555</f>
        <v/>
      </c>
      <c r="B3555">
        <f>TEST_DATA!B3555</f>
        <v/>
      </c>
      <c r="C3555">
        <f>TEST_DATA!C3555</f>
        <v/>
      </c>
      <c r="D3555">
        <f>TEST_DATA!D3555</f>
        <v/>
      </c>
      <c r="E3555">
        <f>TEST_DATA!E3555</f>
        <v/>
      </c>
      <c r="F3555">
        <f>MIN(E3555*355500,10000)</f>
        <v/>
      </c>
      <c r="G3555">
        <f>MINIFS(CBIC_Late_Fee_Relief_Windows_3B!$O$3555:$O$100,CBIC_Late_Fee_Relief_Windows_3B!$D$3555:$D$100,"&lt;="&amp;B3555,CBIC_Late_Fee_Relief_Windows_3B!$E$3555:$E$100,"&gt;="&amp;B3555,CBIC_Late_Fee_Relief_Windows_3B!$F$3555:$F$100,"&lt;="&amp;C3555,CBIC_Late_Fee_Relief_Windows_3B!$G$3555:$G$100,"&gt;="&amp;C3555)</f>
        <v/>
      </c>
      <c r="H3555">
        <f>INDEX(CBIC_Late_Fee_Relief_Windows_3B!$I$3555:$I$100,MATCH(G3555,CBIC_Late_Fee_Relief_Windows_3B!$O$3555:$O$100,0))</f>
        <v/>
      </c>
      <c r="I3555">
        <f>MIN(F3555,H3555)</f>
        <v/>
      </c>
    </row>
    <row r="3556">
      <c r="A3556">
        <f>TEST_DATA!A3556</f>
        <v/>
      </c>
      <c r="B3556">
        <f>TEST_DATA!B3556</f>
        <v/>
      </c>
      <c r="C3556">
        <f>TEST_DATA!C3556</f>
        <v/>
      </c>
      <c r="D3556">
        <f>TEST_DATA!D3556</f>
        <v/>
      </c>
      <c r="E3556">
        <f>TEST_DATA!E3556</f>
        <v/>
      </c>
      <c r="F3556">
        <f>MIN(E3556*355600,10000)</f>
        <v/>
      </c>
      <c r="G3556">
        <f>MINIFS(CBIC_Late_Fee_Relief_Windows_3B!$O$3556:$O$100,CBIC_Late_Fee_Relief_Windows_3B!$D$3556:$D$100,"&lt;="&amp;B3556,CBIC_Late_Fee_Relief_Windows_3B!$E$3556:$E$100,"&gt;="&amp;B3556,CBIC_Late_Fee_Relief_Windows_3B!$F$3556:$F$100,"&lt;="&amp;C3556,CBIC_Late_Fee_Relief_Windows_3B!$G$3556:$G$100,"&gt;="&amp;C3556)</f>
        <v/>
      </c>
      <c r="H3556">
        <f>INDEX(CBIC_Late_Fee_Relief_Windows_3B!$I$3556:$I$100,MATCH(G3556,CBIC_Late_Fee_Relief_Windows_3B!$O$3556:$O$100,0))</f>
        <v/>
      </c>
      <c r="I3556">
        <f>MIN(F3556,H3556)</f>
        <v/>
      </c>
    </row>
    <row r="3557">
      <c r="A3557">
        <f>TEST_DATA!A3557</f>
        <v/>
      </c>
      <c r="B3557">
        <f>TEST_DATA!B3557</f>
        <v/>
      </c>
      <c r="C3557">
        <f>TEST_DATA!C3557</f>
        <v/>
      </c>
      <c r="D3557">
        <f>TEST_DATA!D3557</f>
        <v/>
      </c>
      <c r="E3557">
        <f>TEST_DATA!E3557</f>
        <v/>
      </c>
      <c r="F3557">
        <f>MIN(E3557*355700,10000)</f>
        <v/>
      </c>
      <c r="G3557">
        <f>MINIFS(CBIC_Late_Fee_Relief_Windows_3B!$O$3557:$O$100,CBIC_Late_Fee_Relief_Windows_3B!$D$3557:$D$100,"&lt;="&amp;B3557,CBIC_Late_Fee_Relief_Windows_3B!$E$3557:$E$100,"&gt;="&amp;B3557,CBIC_Late_Fee_Relief_Windows_3B!$F$3557:$F$100,"&lt;="&amp;C3557,CBIC_Late_Fee_Relief_Windows_3B!$G$3557:$G$100,"&gt;="&amp;C3557)</f>
        <v/>
      </c>
      <c r="H3557">
        <f>INDEX(CBIC_Late_Fee_Relief_Windows_3B!$I$3557:$I$100,MATCH(G3557,CBIC_Late_Fee_Relief_Windows_3B!$O$3557:$O$100,0))</f>
        <v/>
      </c>
      <c r="I3557">
        <f>MIN(F3557,H3557)</f>
        <v/>
      </c>
    </row>
    <row r="3558">
      <c r="A3558">
        <f>TEST_DATA!A3558</f>
        <v/>
      </c>
      <c r="B3558">
        <f>TEST_DATA!B3558</f>
        <v/>
      </c>
      <c r="C3558">
        <f>TEST_DATA!C3558</f>
        <v/>
      </c>
      <c r="D3558">
        <f>TEST_DATA!D3558</f>
        <v/>
      </c>
      <c r="E3558">
        <f>TEST_DATA!E3558</f>
        <v/>
      </c>
      <c r="F3558">
        <f>MIN(E3558*355800,10000)</f>
        <v/>
      </c>
      <c r="G3558">
        <f>MINIFS(CBIC_Late_Fee_Relief_Windows_3B!$O$3558:$O$100,CBIC_Late_Fee_Relief_Windows_3B!$D$3558:$D$100,"&lt;="&amp;B3558,CBIC_Late_Fee_Relief_Windows_3B!$E$3558:$E$100,"&gt;="&amp;B3558,CBIC_Late_Fee_Relief_Windows_3B!$F$3558:$F$100,"&lt;="&amp;C3558,CBIC_Late_Fee_Relief_Windows_3B!$G$3558:$G$100,"&gt;="&amp;C3558)</f>
        <v/>
      </c>
      <c r="H3558">
        <f>INDEX(CBIC_Late_Fee_Relief_Windows_3B!$I$3558:$I$100,MATCH(G3558,CBIC_Late_Fee_Relief_Windows_3B!$O$3558:$O$100,0))</f>
        <v/>
      </c>
      <c r="I3558">
        <f>MIN(F3558,H3558)</f>
        <v/>
      </c>
    </row>
    <row r="3559">
      <c r="A3559">
        <f>TEST_DATA!A3559</f>
        <v/>
      </c>
      <c r="B3559">
        <f>TEST_DATA!B3559</f>
        <v/>
      </c>
      <c r="C3559">
        <f>TEST_DATA!C3559</f>
        <v/>
      </c>
      <c r="D3559">
        <f>TEST_DATA!D3559</f>
        <v/>
      </c>
      <c r="E3559">
        <f>TEST_DATA!E3559</f>
        <v/>
      </c>
      <c r="F3559">
        <f>MIN(E3559*355900,10000)</f>
        <v/>
      </c>
      <c r="G3559">
        <f>MINIFS(CBIC_Late_Fee_Relief_Windows_3B!$O$3559:$O$100,CBIC_Late_Fee_Relief_Windows_3B!$D$3559:$D$100,"&lt;="&amp;B3559,CBIC_Late_Fee_Relief_Windows_3B!$E$3559:$E$100,"&gt;="&amp;B3559,CBIC_Late_Fee_Relief_Windows_3B!$F$3559:$F$100,"&lt;="&amp;C3559,CBIC_Late_Fee_Relief_Windows_3B!$G$3559:$G$100,"&gt;="&amp;C3559)</f>
        <v/>
      </c>
      <c r="H3559">
        <f>INDEX(CBIC_Late_Fee_Relief_Windows_3B!$I$3559:$I$100,MATCH(G3559,CBIC_Late_Fee_Relief_Windows_3B!$O$3559:$O$100,0))</f>
        <v/>
      </c>
      <c r="I3559">
        <f>MIN(F3559,H3559)</f>
        <v/>
      </c>
    </row>
    <row r="3560">
      <c r="A3560">
        <f>TEST_DATA!A3560</f>
        <v/>
      </c>
      <c r="B3560">
        <f>TEST_DATA!B3560</f>
        <v/>
      </c>
      <c r="C3560">
        <f>TEST_DATA!C3560</f>
        <v/>
      </c>
      <c r="D3560">
        <f>TEST_DATA!D3560</f>
        <v/>
      </c>
      <c r="E3560">
        <f>TEST_DATA!E3560</f>
        <v/>
      </c>
      <c r="F3560">
        <f>MIN(E3560*356000,10000)</f>
        <v/>
      </c>
      <c r="G3560">
        <f>MINIFS(CBIC_Late_Fee_Relief_Windows_3B!$O$3560:$O$100,CBIC_Late_Fee_Relief_Windows_3B!$D$3560:$D$100,"&lt;="&amp;B3560,CBIC_Late_Fee_Relief_Windows_3B!$E$3560:$E$100,"&gt;="&amp;B3560,CBIC_Late_Fee_Relief_Windows_3B!$F$3560:$F$100,"&lt;="&amp;C3560,CBIC_Late_Fee_Relief_Windows_3B!$G$3560:$G$100,"&gt;="&amp;C3560)</f>
        <v/>
      </c>
      <c r="H3560">
        <f>INDEX(CBIC_Late_Fee_Relief_Windows_3B!$I$3560:$I$100,MATCH(G3560,CBIC_Late_Fee_Relief_Windows_3B!$O$3560:$O$100,0))</f>
        <v/>
      </c>
      <c r="I3560">
        <f>MIN(F3560,H3560)</f>
        <v/>
      </c>
    </row>
    <row r="3561">
      <c r="A3561">
        <f>TEST_DATA!A3561</f>
        <v/>
      </c>
      <c r="B3561">
        <f>TEST_DATA!B3561</f>
        <v/>
      </c>
      <c r="C3561">
        <f>TEST_DATA!C3561</f>
        <v/>
      </c>
      <c r="D3561">
        <f>TEST_DATA!D3561</f>
        <v/>
      </c>
      <c r="E3561">
        <f>TEST_DATA!E3561</f>
        <v/>
      </c>
      <c r="F3561">
        <f>MIN(E3561*356100,10000)</f>
        <v/>
      </c>
      <c r="G3561">
        <f>MINIFS(CBIC_Late_Fee_Relief_Windows_3B!$O$3561:$O$100,CBIC_Late_Fee_Relief_Windows_3B!$D$3561:$D$100,"&lt;="&amp;B3561,CBIC_Late_Fee_Relief_Windows_3B!$E$3561:$E$100,"&gt;="&amp;B3561,CBIC_Late_Fee_Relief_Windows_3B!$F$3561:$F$100,"&lt;="&amp;C3561,CBIC_Late_Fee_Relief_Windows_3B!$G$3561:$G$100,"&gt;="&amp;C3561)</f>
        <v/>
      </c>
      <c r="H3561">
        <f>INDEX(CBIC_Late_Fee_Relief_Windows_3B!$I$3561:$I$100,MATCH(G3561,CBIC_Late_Fee_Relief_Windows_3B!$O$3561:$O$100,0))</f>
        <v/>
      </c>
      <c r="I3561">
        <f>MIN(F3561,H3561)</f>
        <v/>
      </c>
    </row>
    <row r="3562">
      <c r="A3562">
        <f>TEST_DATA!A3562</f>
        <v/>
      </c>
      <c r="B3562">
        <f>TEST_DATA!B3562</f>
        <v/>
      </c>
      <c r="C3562">
        <f>TEST_DATA!C3562</f>
        <v/>
      </c>
      <c r="D3562">
        <f>TEST_DATA!D3562</f>
        <v/>
      </c>
      <c r="E3562">
        <f>TEST_DATA!E3562</f>
        <v/>
      </c>
      <c r="F3562">
        <f>MIN(E3562*356200,10000)</f>
        <v/>
      </c>
      <c r="G3562">
        <f>MINIFS(CBIC_Late_Fee_Relief_Windows_3B!$O$3562:$O$100,CBIC_Late_Fee_Relief_Windows_3B!$D$3562:$D$100,"&lt;="&amp;B3562,CBIC_Late_Fee_Relief_Windows_3B!$E$3562:$E$100,"&gt;="&amp;B3562,CBIC_Late_Fee_Relief_Windows_3B!$F$3562:$F$100,"&lt;="&amp;C3562,CBIC_Late_Fee_Relief_Windows_3B!$G$3562:$G$100,"&gt;="&amp;C3562)</f>
        <v/>
      </c>
      <c r="H3562">
        <f>INDEX(CBIC_Late_Fee_Relief_Windows_3B!$I$3562:$I$100,MATCH(G3562,CBIC_Late_Fee_Relief_Windows_3B!$O$3562:$O$100,0))</f>
        <v/>
      </c>
      <c r="I3562">
        <f>MIN(F3562,H3562)</f>
        <v/>
      </c>
    </row>
    <row r="3563">
      <c r="A3563">
        <f>TEST_DATA!A3563</f>
        <v/>
      </c>
      <c r="B3563">
        <f>TEST_DATA!B3563</f>
        <v/>
      </c>
      <c r="C3563">
        <f>TEST_DATA!C3563</f>
        <v/>
      </c>
      <c r="D3563">
        <f>TEST_DATA!D3563</f>
        <v/>
      </c>
      <c r="E3563">
        <f>TEST_DATA!E3563</f>
        <v/>
      </c>
      <c r="F3563">
        <f>MIN(E3563*356300,10000)</f>
        <v/>
      </c>
      <c r="G3563">
        <f>MINIFS(CBIC_Late_Fee_Relief_Windows_3B!$O$3563:$O$100,CBIC_Late_Fee_Relief_Windows_3B!$D$3563:$D$100,"&lt;="&amp;B3563,CBIC_Late_Fee_Relief_Windows_3B!$E$3563:$E$100,"&gt;="&amp;B3563,CBIC_Late_Fee_Relief_Windows_3B!$F$3563:$F$100,"&lt;="&amp;C3563,CBIC_Late_Fee_Relief_Windows_3B!$G$3563:$G$100,"&gt;="&amp;C3563)</f>
        <v/>
      </c>
      <c r="H3563">
        <f>INDEX(CBIC_Late_Fee_Relief_Windows_3B!$I$3563:$I$100,MATCH(G3563,CBIC_Late_Fee_Relief_Windows_3B!$O$3563:$O$100,0))</f>
        <v/>
      </c>
      <c r="I3563">
        <f>MIN(F3563,H3563)</f>
        <v/>
      </c>
    </row>
    <row r="3564">
      <c r="A3564">
        <f>TEST_DATA!A3564</f>
        <v/>
      </c>
      <c r="B3564">
        <f>TEST_DATA!B3564</f>
        <v/>
      </c>
      <c r="C3564">
        <f>TEST_DATA!C3564</f>
        <v/>
      </c>
      <c r="D3564">
        <f>TEST_DATA!D3564</f>
        <v/>
      </c>
      <c r="E3564">
        <f>TEST_DATA!E3564</f>
        <v/>
      </c>
      <c r="F3564">
        <f>MIN(E3564*356400,10000)</f>
        <v/>
      </c>
      <c r="G3564">
        <f>MINIFS(CBIC_Late_Fee_Relief_Windows_3B!$O$3564:$O$100,CBIC_Late_Fee_Relief_Windows_3B!$D$3564:$D$100,"&lt;="&amp;B3564,CBIC_Late_Fee_Relief_Windows_3B!$E$3564:$E$100,"&gt;="&amp;B3564,CBIC_Late_Fee_Relief_Windows_3B!$F$3564:$F$100,"&lt;="&amp;C3564,CBIC_Late_Fee_Relief_Windows_3B!$G$3564:$G$100,"&gt;="&amp;C3564)</f>
        <v/>
      </c>
      <c r="H3564">
        <f>INDEX(CBIC_Late_Fee_Relief_Windows_3B!$I$3564:$I$100,MATCH(G3564,CBIC_Late_Fee_Relief_Windows_3B!$O$3564:$O$100,0))</f>
        <v/>
      </c>
      <c r="I3564">
        <f>MIN(F3564,H3564)</f>
        <v/>
      </c>
    </row>
    <row r="3565">
      <c r="A3565">
        <f>TEST_DATA!A3565</f>
        <v/>
      </c>
      <c r="B3565">
        <f>TEST_DATA!B3565</f>
        <v/>
      </c>
      <c r="C3565">
        <f>TEST_DATA!C3565</f>
        <v/>
      </c>
      <c r="D3565">
        <f>TEST_DATA!D3565</f>
        <v/>
      </c>
      <c r="E3565">
        <f>TEST_DATA!E3565</f>
        <v/>
      </c>
      <c r="F3565">
        <f>MIN(E3565*356500,10000)</f>
        <v/>
      </c>
      <c r="G3565">
        <f>MINIFS(CBIC_Late_Fee_Relief_Windows_3B!$O$3565:$O$100,CBIC_Late_Fee_Relief_Windows_3B!$D$3565:$D$100,"&lt;="&amp;B3565,CBIC_Late_Fee_Relief_Windows_3B!$E$3565:$E$100,"&gt;="&amp;B3565,CBIC_Late_Fee_Relief_Windows_3B!$F$3565:$F$100,"&lt;="&amp;C3565,CBIC_Late_Fee_Relief_Windows_3B!$G$3565:$G$100,"&gt;="&amp;C3565)</f>
        <v/>
      </c>
      <c r="H3565">
        <f>INDEX(CBIC_Late_Fee_Relief_Windows_3B!$I$3565:$I$100,MATCH(G3565,CBIC_Late_Fee_Relief_Windows_3B!$O$3565:$O$100,0))</f>
        <v/>
      </c>
      <c r="I3565">
        <f>MIN(F3565,H3565)</f>
        <v/>
      </c>
    </row>
    <row r="3566">
      <c r="A3566">
        <f>TEST_DATA!A3566</f>
        <v/>
      </c>
      <c r="B3566">
        <f>TEST_DATA!B3566</f>
        <v/>
      </c>
      <c r="C3566">
        <f>TEST_DATA!C3566</f>
        <v/>
      </c>
      <c r="D3566">
        <f>TEST_DATA!D3566</f>
        <v/>
      </c>
      <c r="E3566">
        <f>TEST_DATA!E3566</f>
        <v/>
      </c>
      <c r="F3566">
        <f>MIN(E3566*356600,10000)</f>
        <v/>
      </c>
      <c r="G3566">
        <f>MINIFS(CBIC_Late_Fee_Relief_Windows_3B!$O$3566:$O$100,CBIC_Late_Fee_Relief_Windows_3B!$D$3566:$D$100,"&lt;="&amp;B3566,CBIC_Late_Fee_Relief_Windows_3B!$E$3566:$E$100,"&gt;="&amp;B3566,CBIC_Late_Fee_Relief_Windows_3B!$F$3566:$F$100,"&lt;="&amp;C3566,CBIC_Late_Fee_Relief_Windows_3B!$G$3566:$G$100,"&gt;="&amp;C3566)</f>
        <v/>
      </c>
      <c r="H3566">
        <f>INDEX(CBIC_Late_Fee_Relief_Windows_3B!$I$3566:$I$100,MATCH(G3566,CBIC_Late_Fee_Relief_Windows_3B!$O$3566:$O$100,0))</f>
        <v/>
      </c>
      <c r="I3566">
        <f>MIN(F3566,H3566)</f>
        <v/>
      </c>
    </row>
    <row r="3567">
      <c r="A3567">
        <f>TEST_DATA!A3567</f>
        <v/>
      </c>
      <c r="B3567">
        <f>TEST_DATA!B3567</f>
        <v/>
      </c>
      <c r="C3567">
        <f>TEST_DATA!C3567</f>
        <v/>
      </c>
      <c r="D3567">
        <f>TEST_DATA!D3567</f>
        <v/>
      </c>
      <c r="E3567">
        <f>TEST_DATA!E3567</f>
        <v/>
      </c>
      <c r="F3567">
        <f>MIN(E3567*356700,10000)</f>
        <v/>
      </c>
      <c r="G3567">
        <f>MINIFS(CBIC_Late_Fee_Relief_Windows_3B!$O$3567:$O$100,CBIC_Late_Fee_Relief_Windows_3B!$D$3567:$D$100,"&lt;="&amp;B3567,CBIC_Late_Fee_Relief_Windows_3B!$E$3567:$E$100,"&gt;="&amp;B3567,CBIC_Late_Fee_Relief_Windows_3B!$F$3567:$F$100,"&lt;="&amp;C3567,CBIC_Late_Fee_Relief_Windows_3B!$G$3567:$G$100,"&gt;="&amp;C3567)</f>
        <v/>
      </c>
      <c r="H3567">
        <f>INDEX(CBIC_Late_Fee_Relief_Windows_3B!$I$3567:$I$100,MATCH(G3567,CBIC_Late_Fee_Relief_Windows_3B!$O$3567:$O$100,0))</f>
        <v/>
      </c>
      <c r="I3567">
        <f>MIN(F3567,H3567)</f>
        <v/>
      </c>
    </row>
    <row r="3568">
      <c r="A3568">
        <f>TEST_DATA!A3568</f>
        <v/>
      </c>
      <c r="B3568">
        <f>TEST_DATA!B3568</f>
        <v/>
      </c>
      <c r="C3568">
        <f>TEST_DATA!C3568</f>
        <v/>
      </c>
      <c r="D3568">
        <f>TEST_DATA!D3568</f>
        <v/>
      </c>
      <c r="E3568">
        <f>TEST_DATA!E3568</f>
        <v/>
      </c>
      <c r="F3568">
        <f>MIN(E3568*356800,10000)</f>
        <v/>
      </c>
      <c r="G3568">
        <f>MINIFS(CBIC_Late_Fee_Relief_Windows_3B!$O$3568:$O$100,CBIC_Late_Fee_Relief_Windows_3B!$D$3568:$D$100,"&lt;="&amp;B3568,CBIC_Late_Fee_Relief_Windows_3B!$E$3568:$E$100,"&gt;="&amp;B3568,CBIC_Late_Fee_Relief_Windows_3B!$F$3568:$F$100,"&lt;="&amp;C3568,CBIC_Late_Fee_Relief_Windows_3B!$G$3568:$G$100,"&gt;="&amp;C3568)</f>
        <v/>
      </c>
      <c r="H3568">
        <f>INDEX(CBIC_Late_Fee_Relief_Windows_3B!$I$3568:$I$100,MATCH(G3568,CBIC_Late_Fee_Relief_Windows_3B!$O$3568:$O$100,0))</f>
        <v/>
      </c>
      <c r="I3568">
        <f>MIN(F3568,H3568)</f>
        <v/>
      </c>
    </row>
    <row r="3569">
      <c r="A3569">
        <f>TEST_DATA!A3569</f>
        <v/>
      </c>
      <c r="B3569">
        <f>TEST_DATA!B3569</f>
        <v/>
      </c>
      <c r="C3569">
        <f>TEST_DATA!C3569</f>
        <v/>
      </c>
      <c r="D3569">
        <f>TEST_DATA!D3569</f>
        <v/>
      </c>
      <c r="E3569">
        <f>TEST_DATA!E3569</f>
        <v/>
      </c>
      <c r="F3569">
        <f>MIN(E3569*356900,10000)</f>
        <v/>
      </c>
      <c r="G3569">
        <f>MINIFS(CBIC_Late_Fee_Relief_Windows_3B!$O$3569:$O$100,CBIC_Late_Fee_Relief_Windows_3B!$D$3569:$D$100,"&lt;="&amp;B3569,CBIC_Late_Fee_Relief_Windows_3B!$E$3569:$E$100,"&gt;="&amp;B3569,CBIC_Late_Fee_Relief_Windows_3B!$F$3569:$F$100,"&lt;="&amp;C3569,CBIC_Late_Fee_Relief_Windows_3B!$G$3569:$G$100,"&gt;="&amp;C3569)</f>
        <v/>
      </c>
      <c r="H3569">
        <f>INDEX(CBIC_Late_Fee_Relief_Windows_3B!$I$3569:$I$100,MATCH(G3569,CBIC_Late_Fee_Relief_Windows_3B!$O$3569:$O$100,0))</f>
        <v/>
      </c>
      <c r="I3569">
        <f>MIN(F3569,H3569)</f>
        <v/>
      </c>
    </row>
    <row r="3570">
      <c r="A3570">
        <f>TEST_DATA!A3570</f>
        <v/>
      </c>
      <c r="B3570">
        <f>TEST_DATA!B3570</f>
        <v/>
      </c>
      <c r="C3570">
        <f>TEST_DATA!C3570</f>
        <v/>
      </c>
      <c r="D3570">
        <f>TEST_DATA!D3570</f>
        <v/>
      </c>
      <c r="E3570">
        <f>TEST_DATA!E3570</f>
        <v/>
      </c>
      <c r="F3570">
        <f>MIN(E3570*357000,10000)</f>
        <v/>
      </c>
      <c r="G3570">
        <f>MINIFS(CBIC_Late_Fee_Relief_Windows_3B!$O$3570:$O$100,CBIC_Late_Fee_Relief_Windows_3B!$D$3570:$D$100,"&lt;="&amp;B3570,CBIC_Late_Fee_Relief_Windows_3B!$E$3570:$E$100,"&gt;="&amp;B3570,CBIC_Late_Fee_Relief_Windows_3B!$F$3570:$F$100,"&lt;="&amp;C3570,CBIC_Late_Fee_Relief_Windows_3B!$G$3570:$G$100,"&gt;="&amp;C3570)</f>
        <v/>
      </c>
      <c r="H3570">
        <f>INDEX(CBIC_Late_Fee_Relief_Windows_3B!$I$3570:$I$100,MATCH(G3570,CBIC_Late_Fee_Relief_Windows_3B!$O$3570:$O$100,0))</f>
        <v/>
      </c>
      <c r="I3570">
        <f>MIN(F3570,H3570)</f>
        <v/>
      </c>
    </row>
    <row r="3571">
      <c r="A3571">
        <f>TEST_DATA!A3571</f>
        <v/>
      </c>
      <c r="B3571">
        <f>TEST_DATA!B3571</f>
        <v/>
      </c>
      <c r="C3571">
        <f>TEST_DATA!C3571</f>
        <v/>
      </c>
      <c r="D3571">
        <f>TEST_DATA!D3571</f>
        <v/>
      </c>
      <c r="E3571">
        <f>TEST_DATA!E3571</f>
        <v/>
      </c>
      <c r="F3571">
        <f>MIN(E3571*357100,10000)</f>
        <v/>
      </c>
      <c r="G3571">
        <f>MINIFS(CBIC_Late_Fee_Relief_Windows_3B!$O$3571:$O$100,CBIC_Late_Fee_Relief_Windows_3B!$D$3571:$D$100,"&lt;="&amp;B3571,CBIC_Late_Fee_Relief_Windows_3B!$E$3571:$E$100,"&gt;="&amp;B3571,CBIC_Late_Fee_Relief_Windows_3B!$F$3571:$F$100,"&lt;="&amp;C3571,CBIC_Late_Fee_Relief_Windows_3B!$G$3571:$G$100,"&gt;="&amp;C3571)</f>
        <v/>
      </c>
      <c r="H3571">
        <f>INDEX(CBIC_Late_Fee_Relief_Windows_3B!$I$3571:$I$100,MATCH(G3571,CBIC_Late_Fee_Relief_Windows_3B!$O$3571:$O$100,0))</f>
        <v/>
      </c>
      <c r="I3571">
        <f>MIN(F3571,H3571)</f>
        <v/>
      </c>
    </row>
    <row r="3572">
      <c r="A3572">
        <f>TEST_DATA!A3572</f>
        <v/>
      </c>
      <c r="B3572">
        <f>TEST_DATA!B3572</f>
        <v/>
      </c>
      <c r="C3572">
        <f>TEST_DATA!C3572</f>
        <v/>
      </c>
      <c r="D3572">
        <f>TEST_DATA!D3572</f>
        <v/>
      </c>
      <c r="E3572">
        <f>TEST_DATA!E3572</f>
        <v/>
      </c>
      <c r="F3572">
        <f>MIN(E3572*357200,10000)</f>
        <v/>
      </c>
      <c r="G3572">
        <f>MINIFS(CBIC_Late_Fee_Relief_Windows_3B!$O$3572:$O$100,CBIC_Late_Fee_Relief_Windows_3B!$D$3572:$D$100,"&lt;="&amp;B3572,CBIC_Late_Fee_Relief_Windows_3B!$E$3572:$E$100,"&gt;="&amp;B3572,CBIC_Late_Fee_Relief_Windows_3B!$F$3572:$F$100,"&lt;="&amp;C3572,CBIC_Late_Fee_Relief_Windows_3B!$G$3572:$G$100,"&gt;="&amp;C3572)</f>
        <v/>
      </c>
      <c r="H3572">
        <f>INDEX(CBIC_Late_Fee_Relief_Windows_3B!$I$3572:$I$100,MATCH(G3572,CBIC_Late_Fee_Relief_Windows_3B!$O$3572:$O$100,0))</f>
        <v/>
      </c>
      <c r="I3572">
        <f>MIN(F3572,H3572)</f>
        <v/>
      </c>
    </row>
    <row r="3573">
      <c r="A3573">
        <f>TEST_DATA!A3573</f>
        <v/>
      </c>
      <c r="B3573">
        <f>TEST_DATA!B3573</f>
        <v/>
      </c>
      <c r="C3573">
        <f>TEST_DATA!C3573</f>
        <v/>
      </c>
      <c r="D3573">
        <f>TEST_DATA!D3573</f>
        <v/>
      </c>
      <c r="E3573">
        <f>TEST_DATA!E3573</f>
        <v/>
      </c>
      <c r="F3573">
        <f>MIN(E3573*357300,10000)</f>
        <v/>
      </c>
      <c r="G3573">
        <f>MINIFS(CBIC_Late_Fee_Relief_Windows_3B!$O$3573:$O$100,CBIC_Late_Fee_Relief_Windows_3B!$D$3573:$D$100,"&lt;="&amp;B3573,CBIC_Late_Fee_Relief_Windows_3B!$E$3573:$E$100,"&gt;="&amp;B3573,CBIC_Late_Fee_Relief_Windows_3B!$F$3573:$F$100,"&lt;="&amp;C3573,CBIC_Late_Fee_Relief_Windows_3B!$G$3573:$G$100,"&gt;="&amp;C3573)</f>
        <v/>
      </c>
      <c r="H3573">
        <f>INDEX(CBIC_Late_Fee_Relief_Windows_3B!$I$3573:$I$100,MATCH(G3573,CBIC_Late_Fee_Relief_Windows_3B!$O$3573:$O$100,0))</f>
        <v/>
      </c>
      <c r="I3573">
        <f>MIN(F3573,H3573)</f>
        <v/>
      </c>
    </row>
    <row r="3574">
      <c r="A3574">
        <f>TEST_DATA!A3574</f>
        <v/>
      </c>
      <c r="B3574">
        <f>TEST_DATA!B3574</f>
        <v/>
      </c>
      <c r="C3574">
        <f>TEST_DATA!C3574</f>
        <v/>
      </c>
      <c r="D3574">
        <f>TEST_DATA!D3574</f>
        <v/>
      </c>
      <c r="E3574">
        <f>TEST_DATA!E3574</f>
        <v/>
      </c>
      <c r="F3574">
        <f>MIN(E3574*357400,10000)</f>
        <v/>
      </c>
      <c r="G3574">
        <f>MINIFS(CBIC_Late_Fee_Relief_Windows_3B!$O$3574:$O$100,CBIC_Late_Fee_Relief_Windows_3B!$D$3574:$D$100,"&lt;="&amp;B3574,CBIC_Late_Fee_Relief_Windows_3B!$E$3574:$E$100,"&gt;="&amp;B3574,CBIC_Late_Fee_Relief_Windows_3B!$F$3574:$F$100,"&lt;="&amp;C3574,CBIC_Late_Fee_Relief_Windows_3B!$G$3574:$G$100,"&gt;="&amp;C3574)</f>
        <v/>
      </c>
      <c r="H3574">
        <f>INDEX(CBIC_Late_Fee_Relief_Windows_3B!$I$3574:$I$100,MATCH(G3574,CBIC_Late_Fee_Relief_Windows_3B!$O$3574:$O$100,0))</f>
        <v/>
      </c>
      <c r="I3574">
        <f>MIN(F3574,H3574)</f>
        <v/>
      </c>
    </row>
    <row r="3575">
      <c r="A3575">
        <f>TEST_DATA!A3575</f>
        <v/>
      </c>
      <c r="B3575">
        <f>TEST_DATA!B3575</f>
        <v/>
      </c>
      <c r="C3575">
        <f>TEST_DATA!C3575</f>
        <v/>
      </c>
      <c r="D3575">
        <f>TEST_DATA!D3575</f>
        <v/>
      </c>
      <c r="E3575">
        <f>TEST_DATA!E3575</f>
        <v/>
      </c>
      <c r="F3575">
        <f>MIN(E3575*357500,10000)</f>
        <v/>
      </c>
      <c r="G3575">
        <f>MINIFS(CBIC_Late_Fee_Relief_Windows_3B!$O$3575:$O$100,CBIC_Late_Fee_Relief_Windows_3B!$D$3575:$D$100,"&lt;="&amp;B3575,CBIC_Late_Fee_Relief_Windows_3B!$E$3575:$E$100,"&gt;="&amp;B3575,CBIC_Late_Fee_Relief_Windows_3B!$F$3575:$F$100,"&lt;="&amp;C3575,CBIC_Late_Fee_Relief_Windows_3B!$G$3575:$G$100,"&gt;="&amp;C3575)</f>
        <v/>
      </c>
      <c r="H3575">
        <f>INDEX(CBIC_Late_Fee_Relief_Windows_3B!$I$3575:$I$100,MATCH(G3575,CBIC_Late_Fee_Relief_Windows_3B!$O$3575:$O$100,0))</f>
        <v/>
      </c>
      <c r="I3575">
        <f>MIN(F3575,H3575)</f>
        <v/>
      </c>
    </row>
    <row r="3576">
      <c r="A3576">
        <f>TEST_DATA!A3576</f>
        <v/>
      </c>
      <c r="B3576">
        <f>TEST_DATA!B3576</f>
        <v/>
      </c>
      <c r="C3576">
        <f>TEST_DATA!C3576</f>
        <v/>
      </c>
      <c r="D3576">
        <f>TEST_DATA!D3576</f>
        <v/>
      </c>
      <c r="E3576">
        <f>TEST_DATA!E3576</f>
        <v/>
      </c>
      <c r="F3576">
        <f>MIN(E3576*357600,10000)</f>
        <v/>
      </c>
      <c r="G3576">
        <f>MINIFS(CBIC_Late_Fee_Relief_Windows_3B!$O$3576:$O$100,CBIC_Late_Fee_Relief_Windows_3B!$D$3576:$D$100,"&lt;="&amp;B3576,CBIC_Late_Fee_Relief_Windows_3B!$E$3576:$E$100,"&gt;="&amp;B3576,CBIC_Late_Fee_Relief_Windows_3B!$F$3576:$F$100,"&lt;="&amp;C3576,CBIC_Late_Fee_Relief_Windows_3B!$G$3576:$G$100,"&gt;="&amp;C3576)</f>
        <v/>
      </c>
      <c r="H3576">
        <f>INDEX(CBIC_Late_Fee_Relief_Windows_3B!$I$3576:$I$100,MATCH(G3576,CBIC_Late_Fee_Relief_Windows_3B!$O$3576:$O$100,0))</f>
        <v/>
      </c>
      <c r="I3576">
        <f>MIN(F3576,H3576)</f>
        <v/>
      </c>
    </row>
    <row r="3577">
      <c r="A3577">
        <f>TEST_DATA!A3577</f>
        <v/>
      </c>
      <c r="B3577">
        <f>TEST_DATA!B3577</f>
        <v/>
      </c>
      <c r="C3577">
        <f>TEST_DATA!C3577</f>
        <v/>
      </c>
      <c r="D3577">
        <f>TEST_DATA!D3577</f>
        <v/>
      </c>
      <c r="E3577">
        <f>TEST_DATA!E3577</f>
        <v/>
      </c>
      <c r="F3577">
        <f>MIN(E3577*357700,10000)</f>
        <v/>
      </c>
      <c r="G3577">
        <f>MINIFS(CBIC_Late_Fee_Relief_Windows_3B!$O$3577:$O$100,CBIC_Late_Fee_Relief_Windows_3B!$D$3577:$D$100,"&lt;="&amp;B3577,CBIC_Late_Fee_Relief_Windows_3B!$E$3577:$E$100,"&gt;="&amp;B3577,CBIC_Late_Fee_Relief_Windows_3B!$F$3577:$F$100,"&lt;="&amp;C3577,CBIC_Late_Fee_Relief_Windows_3B!$G$3577:$G$100,"&gt;="&amp;C3577)</f>
        <v/>
      </c>
      <c r="H3577">
        <f>INDEX(CBIC_Late_Fee_Relief_Windows_3B!$I$3577:$I$100,MATCH(G3577,CBIC_Late_Fee_Relief_Windows_3B!$O$3577:$O$100,0))</f>
        <v/>
      </c>
      <c r="I3577">
        <f>MIN(F3577,H3577)</f>
        <v/>
      </c>
    </row>
    <row r="3578">
      <c r="A3578">
        <f>TEST_DATA!A3578</f>
        <v/>
      </c>
      <c r="B3578">
        <f>TEST_DATA!B3578</f>
        <v/>
      </c>
      <c r="C3578">
        <f>TEST_DATA!C3578</f>
        <v/>
      </c>
      <c r="D3578">
        <f>TEST_DATA!D3578</f>
        <v/>
      </c>
      <c r="E3578">
        <f>TEST_DATA!E3578</f>
        <v/>
      </c>
      <c r="F3578">
        <f>MIN(E3578*357800,10000)</f>
        <v/>
      </c>
      <c r="G3578">
        <f>MINIFS(CBIC_Late_Fee_Relief_Windows_3B!$O$3578:$O$100,CBIC_Late_Fee_Relief_Windows_3B!$D$3578:$D$100,"&lt;="&amp;B3578,CBIC_Late_Fee_Relief_Windows_3B!$E$3578:$E$100,"&gt;="&amp;B3578,CBIC_Late_Fee_Relief_Windows_3B!$F$3578:$F$100,"&lt;="&amp;C3578,CBIC_Late_Fee_Relief_Windows_3B!$G$3578:$G$100,"&gt;="&amp;C3578)</f>
        <v/>
      </c>
      <c r="H3578">
        <f>INDEX(CBIC_Late_Fee_Relief_Windows_3B!$I$3578:$I$100,MATCH(G3578,CBIC_Late_Fee_Relief_Windows_3B!$O$3578:$O$100,0))</f>
        <v/>
      </c>
      <c r="I3578">
        <f>MIN(F3578,H3578)</f>
        <v/>
      </c>
    </row>
    <row r="3579">
      <c r="A3579">
        <f>TEST_DATA!A3579</f>
        <v/>
      </c>
      <c r="B3579">
        <f>TEST_DATA!B3579</f>
        <v/>
      </c>
      <c r="C3579">
        <f>TEST_DATA!C3579</f>
        <v/>
      </c>
      <c r="D3579">
        <f>TEST_DATA!D3579</f>
        <v/>
      </c>
      <c r="E3579">
        <f>TEST_DATA!E3579</f>
        <v/>
      </c>
      <c r="F3579">
        <f>MIN(E3579*357900,10000)</f>
        <v/>
      </c>
      <c r="G3579">
        <f>MINIFS(CBIC_Late_Fee_Relief_Windows_3B!$O$3579:$O$100,CBIC_Late_Fee_Relief_Windows_3B!$D$3579:$D$100,"&lt;="&amp;B3579,CBIC_Late_Fee_Relief_Windows_3B!$E$3579:$E$100,"&gt;="&amp;B3579,CBIC_Late_Fee_Relief_Windows_3B!$F$3579:$F$100,"&lt;="&amp;C3579,CBIC_Late_Fee_Relief_Windows_3B!$G$3579:$G$100,"&gt;="&amp;C3579)</f>
        <v/>
      </c>
      <c r="H3579">
        <f>INDEX(CBIC_Late_Fee_Relief_Windows_3B!$I$3579:$I$100,MATCH(G3579,CBIC_Late_Fee_Relief_Windows_3B!$O$3579:$O$100,0))</f>
        <v/>
      </c>
      <c r="I3579">
        <f>MIN(F3579,H3579)</f>
        <v/>
      </c>
    </row>
    <row r="3580">
      <c r="A3580">
        <f>TEST_DATA!A3580</f>
        <v/>
      </c>
      <c r="B3580">
        <f>TEST_DATA!B3580</f>
        <v/>
      </c>
      <c r="C3580">
        <f>TEST_DATA!C3580</f>
        <v/>
      </c>
      <c r="D3580">
        <f>TEST_DATA!D3580</f>
        <v/>
      </c>
      <c r="E3580">
        <f>TEST_DATA!E3580</f>
        <v/>
      </c>
      <c r="F3580">
        <f>MIN(E3580*358000,10000)</f>
        <v/>
      </c>
      <c r="G3580">
        <f>MINIFS(CBIC_Late_Fee_Relief_Windows_3B!$O$3580:$O$100,CBIC_Late_Fee_Relief_Windows_3B!$D$3580:$D$100,"&lt;="&amp;B3580,CBIC_Late_Fee_Relief_Windows_3B!$E$3580:$E$100,"&gt;="&amp;B3580,CBIC_Late_Fee_Relief_Windows_3B!$F$3580:$F$100,"&lt;="&amp;C3580,CBIC_Late_Fee_Relief_Windows_3B!$G$3580:$G$100,"&gt;="&amp;C3580)</f>
        <v/>
      </c>
      <c r="H3580">
        <f>INDEX(CBIC_Late_Fee_Relief_Windows_3B!$I$3580:$I$100,MATCH(G3580,CBIC_Late_Fee_Relief_Windows_3B!$O$3580:$O$100,0))</f>
        <v/>
      </c>
      <c r="I3580">
        <f>MIN(F3580,H3580)</f>
        <v/>
      </c>
    </row>
    <row r="3581">
      <c r="A3581">
        <f>TEST_DATA!A3581</f>
        <v/>
      </c>
      <c r="B3581">
        <f>TEST_DATA!B3581</f>
        <v/>
      </c>
      <c r="C3581">
        <f>TEST_DATA!C3581</f>
        <v/>
      </c>
      <c r="D3581">
        <f>TEST_DATA!D3581</f>
        <v/>
      </c>
      <c r="E3581">
        <f>TEST_DATA!E3581</f>
        <v/>
      </c>
      <c r="F3581">
        <f>MIN(E3581*358100,10000)</f>
        <v/>
      </c>
      <c r="G3581">
        <f>MINIFS(CBIC_Late_Fee_Relief_Windows_3B!$O$3581:$O$100,CBIC_Late_Fee_Relief_Windows_3B!$D$3581:$D$100,"&lt;="&amp;B3581,CBIC_Late_Fee_Relief_Windows_3B!$E$3581:$E$100,"&gt;="&amp;B3581,CBIC_Late_Fee_Relief_Windows_3B!$F$3581:$F$100,"&lt;="&amp;C3581,CBIC_Late_Fee_Relief_Windows_3B!$G$3581:$G$100,"&gt;="&amp;C3581)</f>
        <v/>
      </c>
      <c r="H3581">
        <f>INDEX(CBIC_Late_Fee_Relief_Windows_3B!$I$3581:$I$100,MATCH(G3581,CBIC_Late_Fee_Relief_Windows_3B!$O$3581:$O$100,0))</f>
        <v/>
      </c>
      <c r="I3581">
        <f>MIN(F3581,H3581)</f>
        <v/>
      </c>
    </row>
    <row r="3582">
      <c r="A3582">
        <f>TEST_DATA!A3582</f>
        <v/>
      </c>
      <c r="B3582">
        <f>TEST_DATA!B3582</f>
        <v/>
      </c>
      <c r="C3582">
        <f>TEST_DATA!C3582</f>
        <v/>
      </c>
      <c r="D3582">
        <f>TEST_DATA!D3582</f>
        <v/>
      </c>
      <c r="E3582">
        <f>TEST_DATA!E3582</f>
        <v/>
      </c>
      <c r="F3582">
        <f>MIN(E3582*358200,10000)</f>
        <v/>
      </c>
      <c r="G3582">
        <f>MINIFS(CBIC_Late_Fee_Relief_Windows_3B!$O$3582:$O$100,CBIC_Late_Fee_Relief_Windows_3B!$D$3582:$D$100,"&lt;="&amp;B3582,CBIC_Late_Fee_Relief_Windows_3B!$E$3582:$E$100,"&gt;="&amp;B3582,CBIC_Late_Fee_Relief_Windows_3B!$F$3582:$F$100,"&lt;="&amp;C3582,CBIC_Late_Fee_Relief_Windows_3B!$G$3582:$G$100,"&gt;="&amp;C3582)</f>
        <v/>
      </c>
      <c r="H3582">
        <f>INDEX(CBIC_Late_Fee_Relief_Windows_3B!$I$3582:$I$100,MATCH(G3582,CBIC_Late_Fee_Relief_Windows_3B!$O$3582:$O$100,0))</f>
        <v/>
      </c>
      <c r="I3582">
        <f>MIN(F3582,H3582)</f>
        <v/>
      </c>
    </row>
    <row r="3583">
      <c r="A3583">
        <f>TEST_DATA!A3583</f>
        <v/>
      </c>
      <c r="B3583">
        <f>TEST_DATA!B3583</f>
        <v/>
      </c>
      <c r="C3583">
        <f>TEST_DATA!C3583</f>
        <v/>
      </c>
      <c r="D3583">
        <f>TEST_DATA!D3583</f>
        <v/>
      </c>
      <c r="E3583">
        <f>TEST_DATA!E3583</f>
        <v/>
      </c>
      <c r="F3583">
        <f>MIN(E3583*358300,10000)</f>
        <v/>
      </c>
      <c r="G3583">
        <f>MINIFS(CBIC_Late_Fee_Relief_Windows_3B!$O$3583:$O$100,CBIC_Late_Fee_Relief_Windows_3B!$D$3583:$D$100,"&lt;="&amp;B3583,CBIC_Late_Fee_Relief_Windows_3B!$E$3583:$E$100,"&gt;="&amp;B3583,CBIC_Late_Fee_Relief_Windows_3B!$F$3583:$F$100,"&lt;="&amp;C3583,CBIC_Late_Fee_Relief_Windows_3B!$G$3583:$G$100,"&gt;="&amp;C3583)</f>
        <v/>
      </c>
      <c r="H3583">
        <f>INDEX(CBIC_Late_Fee_Relief_Windows_3B!$I$3583:$I$100,MATCH(G3583,CBIC_Late_Fee_Relief_Windows_3B!$O$3583:$O$100,0))</f>
        <v/>
      </c>
      <c r="I3583">
        <f>MIN(F3583,H3583)</f>
        <v/>
      </c>
    </row>
    <row r="3584">
      <c r="A3584">
        <f>TEST_DATA!A3584</f>
        <v/>
      </c>
      <c r="B3584">
        <f>TEST_DATA!B3584</f>
        <v/>
      </c>
      <c r="C3584">
        <f>TEST_DATA!C3584</f>
        <v/>
      </c>
      <c r="D3584">
        <f>TEST_DATA!D3584</f>
        <v/>
      </c>
      <c r="E3584">
        <f>TEST_DATA!E3584</f>
        <v/>
      </c>
      <c r="F3584">
        <f>MIN(E3584*358400,10000)</f>
        <v/>
      </c>
      <c r="G3584">
        <f>MINIFS(CBIC_Late_Fee_Relief_Windows_3B!$O$3584:$O$100,CBIC_Late_Fee_Relief_Windows_3B!$D$3584:$D$100,"&lt;="&amp;B3584,CBIC_Late_Fee_Relief_Windows_3B!$E$3584:$E$100,"&gt;="&amp;B3584,CBIC_Late_Fee_Relief_Windows_3B!$F$3584:$F$100,"&lt;="&amp;C3584,CBIC_Late_Fee_Relief_Windows_3B!$G$3584:$G$100,"&gt;="&amp;C3584)</f>
        <v/>
      </c>
      <c r="H3584">
        <f>INDEX(CBIC_Late_Fee_Relief_Windows_3B!$I$3584:$I$100,MATCH(G3584,CBIC_Late_Fee_Relief_Windows_3B!$O$3584:$O$100,0))</f>
        <v/>
      </c>
      <c r="I3584">
        <f>MIN(F3584,H3584)</f>
        <v/>
      </c>
    </row>
    <row r="3585">
      <c r="A3585">
        <f>TEST_DATA!A3585</f>
        <v/>
      </c>
      <c r="B3585">
        <f>TEST_DATA!B3585</f>
        <v/>
      </c>
      <c r="C3585">
        <f>TEST_DATA!C3585</f>
        <v/>
      </c>
      <c r="D3585">
        <f>TEST_DATA!D3585</f>
        <v/>
      </c>
      <c r="E3585">
        <f>TEST_DATA!E3585</f>
        <v/>
      </c>
      <c r="F3585">
        <f>MIN(E3585*358500,10000)</f>
        <v/>
      </c>
      <c r="G3585">
        <f>MINIFS(CBIC_Late_Fee_Relief_Windows_3B!$O$3585:$O$100,CBIC_Late_Fee_Relief_Windows_3B!$D$3585:$D$100,"&lt;="&amp;B3585,CBIC_Late_Fee_Relief_Windows_3B!$E$3585:$E$100,"&gt;="&amp;B3585,CBIC_Late_Fee_Relief_Windows_3B!$F$3585:$F$100,"&lt;="&amp;C3585,CBIC_Late_Fee_Relief_Windows_3B!$G$3585:$G$100,"&gt;="&amp;C3585)</f>
        <v/>
      </c>
      <c r="H3585">
        <f>INDEX(CBIC_Late_Fee_Relief_Windows_3B!$I$3585:$I$100,MATCH(G3585,CBIC_Late_Fee_Relief_Windows_3B!$O$3585:$O$100,0))</f>
        <v/>
      </c>
      <c r="I3585">
        <f>MIN(F3585,H3585)</f>
        <v/>
      </c>
    </row>
    <row r="3586">
      <c r="A3586">
        <f>TEST_DATA!A3586</f>
        <v/>
      </c>
      <c r="B3586">
        <f>TEST_DATA!B3586</f>
        <v/>
      </c>
      <c r="C3586">
        <f>TEST_DATA!C3586</f>
        <v/>
      </c>
      <c r="D3586">
        <f>TEST_DATA!D3586</f>
        <v/>
      </c>
      <c r="E3586">
        <f>TEST_DATA!E3586</f>
        <v/>
      </c>
      <c r="F3586">
        <f>MIN(E3586*358600,10000)</f>
        <v/>
      </c>
      <c r="G3586">
        <f>MINIFS(CBIC_Late_Fee_Relief_Windows_3B!$O$3586:$O$100,CBIC_Late_Fee_Relief_Windows_3B!$D$3586:$D$100,"&lt;="&amp;B3586,CBIC_Late_Fee_Relief_Windows_3B!$E$3586:$E$100,"&gt;="&amp;B3586,CBIC_Late_Fee_Relief_Windows_3B!$F$3586:$F$100,"&lt;="&amp;C3586,CBIC_Late_Fee_Relief_Windows_3B!$G$3586:$G$100,"&gt;="&amp;C3586)</f>
        <v/>
      </c>
      <c r="H3586">
        <f>INDEX(CBIC_Late_Fee_Relief_Windows_3B!$I$3586:$I$100,MATCH(G3586,CBIC_Late_Fee_Relief_Windows_3B!$O$3586:$O$100,0))</f>
        <v/>
      </c>
      <c r="I3586">
        <f>MIN(F3586,H3586)</f>
        <v/>
      </c>
    </row>
    <row r="3587">
      <c r="A3587">
        <f>TEST_DATA!A3587</f>
        <v/>
      </c>
      <c r="B3587">
        <f>TEST_DATA!B3587</f>
        <v/>
      </c>
      <c r="C3587">
        <f>TEST_DATA!C3587</f>
        <v/>
      </c>
      <c r="D3587">
        <f>TEST_DATA!D3587</f>
        <v/>
      </c>
      <c r="E3587">
        <f>TEST_DATA!E3587</f>
        <v/>
      </c>
      <c r="F3587">
        <f>MIN(E3587*358700,10000)</f>
        <v/>
      </c>
      <c r="G3587">
        <f>MINIFS(CBIC_Late_Fee_Relief_Windows_3B!$O$3587:$O$100,CBIC_Late_Fee_Relief_Windows_3B!$D$3587:$D$100,"&lt;="&amp;B3587,CBIC_Late_Fee_Relief_Windows_3B!$E$3587:$E$100,"&gt;="&amp;B3587,CBIC_Late_Fee_Relief_Windows_3B!$F$3587:$F$100,"&lt;="&amp;C3587,CBIC_Late_Fee_Relief_Windows_3B!$G$3587:$G$100,"&gt;="&amp;C3587)</f>
        <v/>
      </c>
      <c r="H3587">
        <f>INDEX(CBIC_Late_Fee_Relief_Windows_3B!$I$3587:$I$100,MATCH(G3587,CBIC_Late_Fee_Relief_Windows_3B!$O$3587:$O$100,0))</f>
        <v/>
      </c>
      <c r="I3587">
        <f>MIN(F3587,H3587)</f>
        <v/>
      </c>
    </row>
    <row r="3588">
      <c r="A3588">
        <f>TEST_DATA!A3588</f>
        <v/>
      </c>
      <c r="B3588">
        <f>TEST_DATA!B3588</f>
        <v/>
      </c>
      <c r="C3588">
        <f>TEST_DATA!C3588</f>
        <v/>
      </c>
      <c r="D3588">
        <f>TEST_DATA!D3588</f>
        <v/>
      </c>
      <c r="E3588">
        <f>TEST_DATA!E3588</f>
        <v/>
      </c>
      <c r="F3588">
        <f>MIN(E3588*358800,10000)</f>
        <v/>
      </c>
      <c r="G3588">
        <f>MINIFS(CBIC_Late_Fee_Relief_Windows_3B!$O$3588:$O$100,CBIC_Late_Fee_Relief_Windows_3B!$D$3588:$D$100,"&lt;="&amp;B3588,CBIC_Late_Fee_Relief_Windows_3B!$E$3588:$E$100,"&gt;="&amp;B3588,CBIC_Late_Fee_Relief_Windows_3B!$F$3588:$F$100,"&lt;="&amp;C3588,CBIC_Late_Fee_Relief_Windows_3B!$G$3588:$G$100,"&gt;="&amp;C3588)</f>
        <v/>
      </c>
      <c r="H3588">
        <f>INDEX(CBIC_Late_Fee_Relief_Windows_3B!$I$3588:$I$100,MATCH(G3588,CBIC_Late_Fee_Relief_Windows_3B!$O$3588:$O$100,0))</f>
        <v/>
      </c>
      <c r="I3588">
        <f>MIN(F3588,H3588)</f>
        <v/>
      </c>
    </row>
    <row r="3589">
      <c r="A3589">
        <f>TEST_DATA!A3589</f>
        <v/>
      </c>
      <c r="B3589">
        <f>TEST_DATA!B3589</f>
        <v/>
      </c>
      <c r="C3589">
        <f>TEST_DATA!C3589</f>
        <v/>
      </c>
      <c r="D3589">
        <f>TEST_DATA!D3589</f>
        <v/>
      </c>
      <c r="E3589">
        <f>TEST_DATA!E3589</f>
        <v/>
      </c>
      <c r="F3589">
        <f>MIN(E3589*358900,10000)</f>
        <v/>
      </c>
      <c r="G3589">
        <f>MINIFS(CBIC_Late_Fee_Relief_Windows_3B!$O$3589:$O$100,CBIC_Late_Fee_Relief_Windows_3B!$D$3589:$D$100,"&lt;="&amp;B3589,CBIC_Late_Fee_Relief_Windows_3B!$E$3589:$E$100,"&gt;="&amp;B3589,CBIC_Late_Fee_Relief_Windows_3B!$F$3589:$F$100,"&lt;="&amp;C3589,CBIC_Late_Fee_Relief_Windows_3B!$G$3589:$G$100,"&gt;="&amp;C3589)</f>
        <v/>
      </c>
      <c r="H3589">
        <f>INDEX(CBIC_Late_Fee_Relief_Windows_3B!$I$3589:$I$100,MATCH(G3589,CBIC_Late_Fee_Relief_Windows_3B!$O$3589:$O$100,0))</f>
        <v/>
      </c>
      <c r="I3589">
        <f>MIN(F3589,H3589)</f>
        <v/>
      </c>
    </row>
    <row r="3590">
      <c r="A3590">
        <f>TEST_DATA!A3590</f>
        <v/>
      </c>
      <c r="B3590">
        <f>TEST_DATA!B3590</f>
        <v/>
      </c>
      <c r="C3590">
        <f>TEST_DATA!C3590</f>
        <v/>
      </c>
      <c r="D3590">
        <f>TEST_DATA!D3590</f>
        <v/>
      </c>
      <c r="E3590">
        <f>TEST_DATA!E3590</f>
        <v/>
      </c>
      <c r="F3590">
        <f>MIN(E3590*359000,10000)</f>
        <v/>
      </c>
      <c r="G3590">
        <f>MINIFS(CBIC_Late_Fee_Relief_Windows_3B!$O$3590:$O$100,CBIC_Late_Fee_Relief_Windows_3B!$D$3590:$D$100,"&lt;="&amp;B3590,CBIC_Late_Fee_Relief_Windows_3B!$E$3590:$E$100,"&gt;="&amp;B3590,CBIC_Late_Fee_Relief_Windows_3B!$F$3590:$F$100,"&lt;="&amp;C3590,CBIC_Late_Fee_Relief_Windows_3B!$G$3590:$G$100,"&gt;="&amp;C3590)</f>
        <v/>
      </c>
      <c r="H3590">
        <f>INDEX(CBIC_Late_Fee_Relief_Windows_3B!$I$3590:$I$100,MATCH(G3590,CBIC_Late_Fee_Relief_Windows_3B!$O$3590:$O$100,0))</f>
        <v/>
      </c>
      <c r="I3590">
        <f>MIN(F3590,H3590)</f>
        <v/>
      </c>
    </row>
    <row r="3591">
      <c r="A3591">
        <f>TEST_DATA!A3591</f>
        <v/>
      </c>
      <c r="B3591">
        <f>TEST_DATA!B3591</f>
        <v/>
      </c>
      <c r="C3591">
        <f>TEST_DATA!C3591</f>
        <v/>
      </c>
      <c r="D3591">
        <f>TEST_DATA!D3591</f>
        <v/>
      </c>
      <c r="E3591">
        <f>TEST_DATA!E3591</f>
        <v/>
      </c>
      <c r="F3591">
        <f>MIN(E3591*359100,10000)</f>
        <v/>
      </c>
      <c r="G3591">
        <f>MINIFS(CBIC_Late_Fee_Relief_Windows_3B!$O$3591:$O$100,CBIC_Late_Fee_Relief_Windows_3B!$D$3591:$D$100,"&lt;="&amp;B3591,CBIC_Late_Fee_Relief_Windows_3B!$E$3591:$E$100,"&gt;="&amp;B3591,CBIC_Late_Fee_Relief_Windows_3B!$F$3591:$F$100,"&lt;="&amp;C3591,CBIC_Late_Fee_Relief_Windows_3B!$G$3591:$G$100,"&gt;="&amp;C3591)</f>
        <v/>
      </c>
      <c r="H3591">
        <f>INDEX(CBIC_Late_Fee_Relief_Windows_3B!$I$3591:$I$100,MATCH(G3591,CBIC_Late_Fee_Relief_Windows_3B!$O$3591:$O$100,0))</f>
        <v/>
      </c>
      <c r="I3591">
        <f>MIN(F3591,H3591)</f>
        <v/>
      </c>
    </row>
    <row r="3592">
      <c r="A3592">
        <f>TEST_DATA!A3592</f>
        <v/>
      </c>
      <c r="B3592">
        <f>TEST_DATA!B3592</f>
        <v/>
      </c>
      <c r="C3592">
        <f>TEST_DATA!C3592</f>
        <v/>
      </c>
      <c r="D3592">
        <f>TEST_DATA!D3592</f>
        <v/>
      </c>
      <c r="E3592">
        <f>TEST_DATA!E3592</f>
        <v/>
      </c>
      <c r="F3592">
        <f>MIN(E3592*359200,10000)</f>
        <v/>
      </c>
      <c r="G3592">
        <f>MINIFS(CBIC_Late_Fee_Relief_Windows_3B!$O$3592:$O$100,CBIC_Late_Fee_Relief_Windows_3B!$D$3592:$D$100,"&lt;="&amp;B3592,CBIC_Late_Fee_Relief_Windows_3B!$E$3592:$E$100,"&gt;="&amp;B3592,CBIC_Late_Fee_Relief_Windows_3B!$F$3592:$F$100,"&lt;="&amp;C3592,CBIC_Late_Fee_Relief_Windows_3B!$G$3592:$G$100,"&gt;="&amp;C3592)</f>
        <v/>
      </c>
      <c r="H3592">
        <f>INDEX(CBIC_Late_Fee_Relief_Windows_3B!$I$3592:$I$100,MATCH(G3592,CBIC_Late_Fee_Relief_Windows_3B!$O$3592:$O$100,0))</f>
        <v/>
      </c>
      <c r="I3592">
        <f>MIN(F3592,H3592)</f>
        <v/>
      </c>
    </row>
    <row r="3593">
      <c r="A3593">
        <f>TEST_DATA!A3593</f>
        <v/>
      </c>
      <c r="B3593">
        <f>TEST_DATA!B3593</f>
        <v/>
      </c>
      <c r="C3593">
        <f>TEST_DATA!C3593</f>
        <v/>
      </c>
      <c r="D3593">
        <f>TEST_DATA!D3593</f>
        <v/>
      </c>
      <c r="E3593">
        <f>TEST_DATA!E3593</f>
        <v/>
      </c>
      <c r="F3593">
        <f>MIN(E3593*359300,10000)</f>
        <v/>
      </c>
      <c r="G3593">
        <f>MINIFS(CBIC_Late_Fee_Relief_Windows_3B!$O$3593:$O$100,CBIC_Late_Fee_Relief_Windows_3B!$D$3593:$D$100,"&lt;="&amp;B3593,CBIC_Late_Fee_Relief_Windows_3B!$E$3593:$E$100,"&gt;="&amp;B3593,CBIC_Late_Fee_Relief_Windows_3B!$F$3593:$F$100,"&lt;="&amp;C3593,CBIC_Late_Fee_Relief_Windows_3B!$G$3593:$G$100,"&gt;="&amp;C3593)</f>
        <v/>
      </c>
      <c r="H3593">
        <f>INDEX(CBIC_Late_Fee_Relief_Windows_3B!$I$3593:$I$100,MATCH(G3593,CBIC_Late_Fee_Relief_Windows_3B!$O$3593:$O$100,0))</f>
        <v/>
      </c>
      <c r="I3593">
        <f>MIN(F3593,H3593)</f>
        <v/>
      </c>
    </row>
    <row r="3594">
      <c r="A3594">
        <f>TEST_DATA!A3594</f>
        <v/>
      </c>
      <c r="B3594">
        <f>TEST_DATA!B3594</f>
        <v/>
      </c>
      <c r="C3594">
        <f>TEST_DATA!C3594</f>
        <v/>
      </c>
      <c r="D3594">
        <f>TEST_DATA!D3594</f>
        <v/>
      </c>
      <c r="E3594">
        <f>TEST_DATA!E3594</f>
        <v/>
      </c>
      <c r="F3594">
        <f>MIN(E3594*359400,10000)</f>
        <v/>
      </c>
      <c r="G3594">
        <f>MINIFS(CBIC_Late_Fee_Relief_Windows_3B!$O$3594:$O$100,CBIC_Late_Fee_Relief_Windows_3B!$D$3594:$D$100,"&lt;="&amp;B3594,CBIC_Late_Fee_Relief_Windows_3B!$E$3594:$E$100,"&gt;="&amp;B3594,CBIC_Late_Fee_Relief_Windows_3B!$F$3594:$F$100,"&lt;="&amp;C3594,CBIC_Late_Fee_Relief_Windows_3B!$G$3594:$G$100,"&gt;="&amp;C3594)</f>
        <v/>
      </c>
      <c r="H3594">
        <f>INDEX(CBIC_Late_Fee_Relief_Windows_3B!$I$3594:$I$100,MATCH(G3594,CBIC_Late_Fee_Relief_Windows_3B!$O$3594:$O$100,0))</f>
        <v/>
      </c>
      <c r="I3594">
        <f>MIN(F3594,H3594)</f>
        <v/>
      </c>
    </row>
    <row r="3595">
      <c r="A3595">
        <f>TEST_DATA!A3595</f>
        <v/>
      </c>
      <c r="B3595">
        <f>TEST_DATA!B3595</f>
        <v/>
      </c>
      <c r="C3595">
        <f>TEST_DATA!C3595</f>
        <v/>
      </c>
      <c r="D3595">
        <f>TEST_DATA!D3595</f>
        <v/>
      </c>
      <c r="E3595">
        <f>TEST_DATA!E3595</f>
        <v/>
      </c>
      <c r="F3595">
        <f>MIN(E3595*359500,10000)</f>
        <v/>
      </c>
      <c r="G3595">
        <f>MINIFS(CBIC_Late_Fee_Relief_Windows_3B!$O$3595:$O$100,CBIC_Late_Fee_Relief_Windows_3B!$D$3595:$D$100,"&lt;="&amp;B3595,CBIC_Late_Fee_Relief_Windows_3B!$E$3595:$E$100,"&gt;="&amp;B3595,CBIC_Late_Fee_Relief_Windows_3B!$F$3595:$F$100,"&lt;="&amp;C3595,CBIC_Late_Fee_Relief_Windows_3B!$G$3595:$G$100,"&gt;="&amp;C3595)</f>
        <v/>
      </c>
      <c r="H3595">
        <f>INDEX(CBIC_Late_Fee_Relief_Windows_3B!$I$3595:$I$100,MATCH(G3595,CBIC_Late_Fee_Relief_Windows_3B!$O$3595:$O$100,0))</f>
        <v/>
      </c>
      <c r="I3595">
        <f>MIN(F3595,H3595)</f>
        <v/>
      </c>
    </row>
    <row r="3596">
      <c r="A3596">
        <f>TEST_DATA!A3596</f>
        <v/>
      </c>
      <c r="B3596">
        <f>TEST_DATA!B3596</f>
        <v/>
      </c>
      <c r="C3596">
        <f>TEST_DATA!C3596</f>
        <v/>
      </c>
      <c r="D3596">
        <f>TEST_DATA!D3596</f>
        <v/>
      </c>
      <c r="E3596">
        <f>TEST_DATA!E3596</f>
        <v/>
      </c>
      <c r="F3596">
        <f>MIN(E3596*359600,10000)</f>
        <v/>
      </c>
      <c r="G3596">
        <f>MINIFS(CBIC_Late_Fee_Relief_Windows_3B!$O$3596:$O$100,CBIC_Late_Fee_Relief_Windows_3B!$D$3596:$D$100,"&lt;="&amp;B3596,CBIC_Late_Fee_Relief_Windows_3B!$E$3596:$E$100,"&gt;="&amp;B3596,CBIC_Late_Fee_Relief_Windows_3B!$F$3596:$F$100,"&lt;="&amp;C3596,CBIC_Late_Fee_Relief_Windows_3B!$G$3596:$G$100,"&gt;="&amp;C3596)</f>
        <v/>
      </c>
      <c r="H3596">
        <f>INDEX(CBIC_Late_Fee_Relief_Windows_3B!$I$3596:$I$100,MATCH(G3596,CBIC_Late_Fee_Relief_Windows_3B!$O$3596:$O$100,0))</f>
        <v/>
      </c>
      <c r="I3596">
        <f>MIN(F3596,H3596)</f>
        <v/>
      </c>
    </row>
    <row r="3597">
      <c r="A3597">
        <f>TEST_DATA!A3597</f>
        <v/>
      </c>
      <c r="B3597">
        <f>TEST_DATA!B3597</f>
        <v/>
      </c>
      <c r="C3597">
        <f>TEST_DATA!C3597</f>
        <v/>
      </c>
      <c r="D3597">
        <f>TEST_DATA!D3597</f>
        <v/>
      </c>
      <c r="E3597">
        <f>TEST_DATA!E3597</f>
        <v/>
      </c>
      <c r="F3597">
        <f>MIN(E3597*359700,10000)</f>
        <v/>
      </c>
      <c r="G3597">
        <f>MINIFS(CBIC_Late_Fee_Relief_Windows_3B!$O$3597:$O$100,CBIC_Late_Fee_Relief_Windows_3B!$D$3597:$D$100,"&lt;="&amp;B3597,CBIC_Late_Fee_Relief_Windows_3B!$E$3597:$E$100,"&gt;="&amp;B3597,CBIC_Late_Fee_Relief_Windows_3B!$F$3597:$F$100,"&lt;="&amp;C3597,CBIC_Late_Fee_Relief_Windows_3B!$G$3597:$G$100,"&gt;="&amp;C3597)</f>
        <v/>
      </c>
      <c r="H3597">
        <f>INDEX(CBIC_Late_Fee_Relief_Windows_3B!$I$3597:$I$100,MATCH(G3597,CBIC_Late_Fee_Relief_Windows_3B!$O$3597:$O$100,0))</f>
        <v/>
      </c>
      <c r="I3597">
        <f>MIN(F3597,H3597)</f>
        <v/>
      </c>
    </row>
    <row r="3598">
      <c r="A3598">
        <f>TEST_DATA!A3598</f>
        <v/>
      </c>
      <c r="B3598">
        <f>TEST_DATA!B3598</f>
        <v/>
      </c>
      <c r="C3598">
        <f>TEST_DATA!C3598</f>
        <v/>
      </c>
      <c r="D3598">
        <f>TEST_DATA!D3598</f>
        <v/>
      </c>
      <c r="E3598">
        <f>TEST_DATA!E3598</f>
        <v/>
      </c>
      <c r="F3598">
        <f>MIN(E3598*359800,10000)</f>
        <v/>
      </c>
      <c r="G3598">
        <f>MINIFS(CBIC_Late_Fee_Relief_Windows_3B!$O$3598:$O$100,CBIC_Late_Fee_Relief_Windows_3B!$D$3598:$D$100,"&lt;="&amp;B3598,CBIC_Late_Fee_Relief_Windows_3B!$E$3598:$E$100,"&gt;="&amp;B3598,CBIC_Late_Fee_Relief_Windows_3B!$F$3598:$F$100,"&lt;="&amp;C3598,CBIC_Late_Fee_Relief_Windows_3B!$G$3598:$G$100,"&gt;="&amp;C3598)</f>
        <v/>
      </c>
      <c r="H3598">
        <f>INDEX(CBIC_Late_Fee_Relief_Windows_3B!$I$3598:$I$100,MATCH(G3598,CBIC_Late_Fee_Relief_Windows_3B!$O$3598:$O$100,0))</f>
        <v/>
      </c>
      <c r="I3598">
        <f>MIN(F3598,H3598)</f>
        <v/>
      </c>
    </row>
    <row r="3599">
      <c r="A3599">
        <f>TEST_DATA!A3599</f>
        <v/>
      </c>
      <c r="B3599">
        <f>TEST_DATA!B3599</f>
        <v/>
      </c>
      <c r="C3599">
        <f>TEST_DATA!C3599</f>
        <v/>
      </c>
      <c r="D3599">
        <f>TEST_DATA!D3599</f>
        <v/>
      </c>
      <c r="E3599">
        <f>TEST_DATA!E3599</f>
        <v/>
      </c>
      <c r="F3599">
        <f>MIN(E3599*359900,10000)</f>
        <v/>
      </c>
      <c r="G3599">
        <f>MINIFS(CBIC_Late_Fee_Relief_Windows_3B!$O$3599:$O$100,CBIC_Late_Fee_Relief_Windows_3B!$D$3599:$D$100,"&lt;="&amp;B3599,CBIC_Late_Fee_Relief_Windows_3B!$E$3599:$E$100,"&gt;="&amp;B3599,CBIC_Late_Fee_Relief_Windows_3B!$F$3599:$F$100,"&lt;="&amp;C3599,CBIC_Late_Fee_Relief_Windows_3B!$G$3599:$G$100,"&gt;="&amp;C3599)</f>
        <v/>
      </c>
      <c r="H3599">
        <f>INDEX(CBIC_Late_Fee_Relief_Windows_3B!$I$3599:$I$100,MATCH(G3599,CBIC_Late_Fee_Relief_Windows_3B!$O$3599:$O$100,0))</f>
        <v/>
      </c>
      <c r="I3599">
        <f>MIN(F3599,H3599)</f>
        <v/>
      </c>
    </row>
    <row r="3600">
      <c r="A3600">
        <f>TEST_DATA!A3600</f>
        <v/>
      </c>
      <c r="B3600">
        <f>TEST_DATA!B3600</f>
        <v/>
      </c>
      <c r="C3600">
        <f>TEST_DATA!C3600</f>
        <v/>
      </c>
      <c r="D3600">
        <f>TEST_DATA!D3600</f>
        <v/>
      </c>
      <c r="E3600">
        <f>TEST_DATA!E3600</f>
        <v/>
      </c>
      <c r="F3600">
        <f>MIN(E3600*360000,10000)</f>
        <v/>
      </c>
      <c r="G3600">
        <f>MINIFS(CBIC_Late_Fee_Relief_Windows_3B!$O$3600:$O$100,CBIC_Late_Fee_Relief_Windows_3B!$D$3600:$D$100,"&lt;="&amp;B3600,CBIC_Late_Fee_Relief_Windows_3B!$E$3600:$E$100,"&gt;="&amp;B3600,CBIC_Late_Fee_Relief_Windows_3B!$F$3600:$F$100,"&lt;="&amp;C3600,CBIC_Late_Fee_Relief_Windows_3B!$G$3600:$G$100,"&gt;="&amp;C3600)</f>
        <v/>
      </c>
      <c r="H3600">
        <f>INDEX(CBIC_Late_Fee_Relief_Windows_3B!$I$3600:$I$100,MATCH(G3600,CBIC_Late_Fee_Relief_Windows_3B!$O$3600:$O$100,0))</f>
        <v/>
      </c>
      <c r="I3600">
        <f>MIN(F3600,H3600)</f>
        <v/>
      </c>
    </row>
    <row r="3601">
      <c r="A3601">
        <f>TEST_DATA!A3601</f>
        <v/>
      </c>
      <c r="B3601">
        <f>TEST_DATA!B3601</f>
        <v/>
      </c>
      <c r="C3601">
        <f>TEST_DATA!C3601</f>
        <v/>
      </c>
      <c r="D3601">
        <f>TEST_DATA!D3601</f>
        <v/>
      </c>
      <c r="E3601">
        <f>TEST_DATA!E3601</f>
        <v/>
      </c>
      <c r="F3601">
        <f>MIN(E3601*360100,10000)</f>
        <v/>
      </c>
      <c r="G3601">
        <f>MINIFS(CBIC_Late_Fee_Relief_Windows_3B!$O$3601:$O$100,CBIC_Late_Fee_Relief_Windows_3B!$D$3601:$D$100,"&lt;="&amp;B3601,CBIC_Late_Fee_Relief_Windows_3B!$E$3601:$E$100,"&gt;="&amp;B3601,CBIC_Late_Fee_Relief_Windows_3B!$F$3601:$F$100,"&lt;="&amp;C3601,CBIC_Late_Fee_Relief_Windows_3B!$G$3601:$G$100,"&gt;="&amp;C3601)</f>
        <v/>
      </c>
      <c r="H3601">
        <f>INDEX(CBIC_Late_Fee_Relief_Windows_3B!$I$3601:$I$100,MATCH(G3601,CBIC_Late_Fee_Relief_Windows_3B!$O$3601:$O$100,0))</f>
        <v/>
      </c>
      <c r="I3601">
        <f>MIN(F3601,H3601)</f>
        <v/>
      </c>
    </row>
    <row r="3602">
      <c r="A3602">
        <f>TEST_DATA!A3602</f>
        <v/>
      </c>
      <c r="B3602">
        <f>TEST_DATA!B3602</f>
        <v/>
      </c>
      <c r="C3602">
        <f>TEST_DATA!C3602</f>
        <v/>
      </c>
      <c r="D3602">
        <f>TEST_DATA!D3602</f>
        <v/>
      </c>
      <c r="E3602">
        <f>TEST_DATA!E3602</f>
        <v/>
      </c>
      <c r="F3602">
        <f>MIN(E3602*360200,10000)</f>
        <v/>
      </c>
      <c r="G3602">
        <f>MINIFS(CBIC_Late_Fee_Relief_Windows_3B!$O$3602:$O$100,CBIC_Late_Fee_Relief_Windows_3B!$D$3602:$D$100,"&lt;="&amp;B3602,CBIC_Late_Fee_Relief_Windows_3B!$E$3602:$E$100,"&gt;="&amp;B3602,CBIC_Late_Fee_Relief_Windows_3B!$F$3602:$F$100,"&lt;="&amp;C3602,CBIC_Late_Fee_Relief_Windows_3B!$G$3602:$G$100,"&gt;="&amp;C3602)</f>
        <v/>
      </c>
      <c r="H3602">
        <f>INDEX(CBIC_Late_Fee_Relief_Windows_3B!$I$3602:$I$100,MATCH(G3602,CBIC_Late_Fee_Relief_Windows_3B!$O$3602:$O$100,0))</f>
        <v/>
      </c>
      <c r="I3602">
        <f>MIN(F3602,H3602)</f>
        <v/>
      </c>
    </row>
    <row r="3603">
      <c r="A3603">
        <f>TEST_DATA!A3603</f>
        <v/>
      </c>
      <c r="B3603">
        <f>TEST_DATA!B3603</f>
        <v/>
      </c>
      <c r="C3603">
        <f>TEST_DATA!C3603</f>
        <v/>
      </c>
      <c r="D3603">
        <f>TEST_DATA!D3603</f>
        <v/>
      </c>
      <c r="E3603">
        <f>TEST_DATA!E3603</f>
        <v/>
      </c>
      <c r="F3603">
        <f>MIN(E3603*360300,10000)</f>
        <v/>
      </c>
      <c r="G3603">
        <f>MINIFS(CBIC_Late_Fee_Relief_Windows_3B!$O$3603:$O$100,CBIC_Late_Fee_Relief_Windows_3B!$D$3603:$D$100,"&lt;="&amp;B3603,CBIC_Late_Fee_Relief_Windows_3B!$E$3603:$E$100,"&gt;="&amp;B3603,CBIC_Late_Fee_Relief_Windows_3B!$F$3603:$F$100,"&lt;="&amp;C3603,CBIC_Late_Fee_Relief_Windows_3B!$G$3603:$G$100,"&gt;="&amp;C3603)</f>
        <v/>
      </c>
      <c r="H3603">
        <f>INDEX(CBIC_Late_Fee_Relief_Windows_3B!$I$3603:$I$100,MATCH(G3603,CBIC_Late_Fee_Relief_Windows_3B!$O$3603:$O$100,0))</f>
        <v/>
      </c>
      <c r="I3603">
        <f>MIN(F3603,H3603)</f>
        <v/>
      </c>
    </row>
    <row r="3604">
      <c r="A3604">
        <f>TEST_DATA!A3604</f>
        <v/>
      </c>
      <c r="B3604">
        <f>TEST_DATA!B3604</f>
        <v/>
      </c>
      <c r="C3604">
        <f>TEST_DATA!C3604</f>
        <v/>
      </c>
      <c r="D3604">
        <f>TEST_DATA!D3604</f>
        <v/>
      </c>
      <c r="E3604">
        <f>TEST_DATA!E3604</f>
        <v/>
      </c>
      <c r="F3604">
        <f>MIN(E3604*360400,10000)</f>
        <v/>
      </c>
      <c r="G3604">
        <f>MINIFS(CBIC_Late_Fee_Relief_Windows_3B!$O$3604:$O$100,CBIC_Late_Fee_Relief_Windows_3B!$D$3604:$D$100,"&lt;="&amp;B3604,CBIC_Late_Fee_Relief_Windows_3B!$E$3604:$E$100,"&gt;="&amp;B3604,CBIC_Late_Fee_Relief_Windows_3B!$F$3604:$F$100,"&lt;="&amp;C3604,CBIC_Late_Fee_Relief_Windows_3B!$G$3604:$G$100,"&gt;="&amp;C3604)</f>
        <v/>
      </c>
      <c r="H3604">
        <f>INDEX(CBIC_Late_Fee_Relief_Windows_3B!$I$3604:$I$100,MATCH(G3604,CBIC_Late_Fee_Relief_Windows_3B!$O$3604:$O$100,0))</f>
        <v/>
      </c>
      <c r="I3604">
        <f>MIN(F3604,H3604)</f>
        <v/>
      </c>
    </row>
    <row r="3605">
      <c r="A3605">
        <f>TEST_DATA!A3605</f>
        <v/>
      </c>
      <c r="B3605">
        <f>TEST_DATA!B3605</f>
        <v/>
      </c>
      <c r="C3605">
        <f>TEST_DATA!C3605</f>
        <v/>
      </c>
      <c r="D3605">
        <f>TEST_DATA!D3605</f>
        <v/>
      </c>
      <c r="E3605">
        <f>TEST_DATA!E3605</f>
        <v/>
      </c>
      <c r="F3605">
        <f>MIN(E3605*360500,10000)</f>
        <v/>
      </c>
      <c r="G3605">
        <f>MINIFS(CBIC_Late_Fee_Relief_Windows_3B!$O$3605:$O$100,CBIC_Late_Fee_Relief_Windows_3B!$D$3605:$D$100,"&lt;="&amp;B3605,CBIC_Late_Fee_Relief_Windows_3B!$E$3605:$E$100,"&gt;="&amp;B3605,CBIC_Late_Fee_Relief_Windows_3B!$F$3605:$F$100,"&lt;="&amp;C3605,CBIC_Late_Fee_Relief_Windows_3B!$G$3605:$G$100,"&gt;="&amp;C3605)</f>
        <v/>
      </c>
      <c r="H3605">
        <f>INDEX(CBIC_Late_Fee_Relief_Windows_3B!$I$3605:$I$100,MATCH(G3605,CBIC_Late_Fee_Relief_Windows_3B!$O$3605:$O$100,0))</f>
        <v/>
      </c>
      <c r="I3605">
        <f>MIN(F3605,H3605)</f>
        <v/>
      </c>
    </row>
    <row r="3606">
      <c r="A3606">
        <f>TEST_DATA!A3606</f>
        <v/>
      </c>
      <c r="B3606">
        <f>TEST_DATA!B3606</f>
        <v/>
      </c>
      <c r="C3606">
        <f>TEST_DATA!C3606</f>
        <v/>
      </c>
      <c r="D3606">
        <f>TEST_DATA!D3606</f>
        <v/>
      </c>
      <c r="E3606">
        <f>TEST_DATA!E3606</f>
        <v/>
      </c>
      <c r="F3606">
        <f>MIN(E3606*360600,10000)</f>
        <v/>
      </c>
      <c r="G3606">
        <f>MINIFS(CBIC_Late_Fee_Relief_Windows_3B!$O$3606:$O$100,CBIC_Late_Fee_Relief_Windows_3B!$D$3606:$D$100,"&lt;="&amp;B3606,CBIC_Late_Fee_Relief_Windows_3B!$E$3606:$E$100,"&gt;="&amp;B3606,CBIC_Late_Fee_Relief_Windows_3B!$F$3606:$F$100,"&lt;="&amp;C3606,CBIC_Late_Fee_Relief_Windows_3B!$G$3606:$G$100,"&gt;="&amp;C3606)</f>
        <v/>
      </c>
      <c r="H3606">
        <f>INDEX(CBIC_Late_Fee_Relief_Windows_3B!$I$3606:$I$100,MATCH(G3606,CBIC_Late_Fee_Relief_Windows_3B!$O$3606:$O$100,0))</f>
        <v/>
      </c>
      <c r="I3606">
        <f>MIN(F3606,H3606)</f>
        <v/>
      </c>
    </row>
    <row r="3607">
      <c r="A3607">
        <f>TEST_DATA!A3607</f>
        <v/>
      </c>
      <c r="B3607">
        <f>TEST_DATA!B3607</f>
        <v/>
      </c>
      <c r="C3607">
        <f>TEST_DATA!C3607</f>
        <v/>
      </c>
      <c r="D3607">
        <f>TEST_DATA!D3607</f>
        <v/>
      </c>
      <c r="E3607">
        <f>TEST_DATA!E3607</f>
        <v/>
      </c>
      <c r="F3607">
        <f>MIN(E3607*360700,10000)</f>
        <v/>
      </c>
      <c r="G3607">
        <f>MINIFS(CBIC_Late_Fee_Relief_Windows_3B!$O$3607:$O$100,CBIC_Late_Fee_Relief_Windows_3B!$D$3607:$D$100,"&lt;="&amp;B3607,CBIC_Late_Fee_Relief_Windows_3B!$E$3607:$E$100,"&gt;="&amp;B3607,CBIC_Late_Fee_Relief_Windows_3B!$F$3607:$F$100,"&lt;="&amp;C3607,CBIC_Late_Fee_Relief_Windows_3B!$G$3607:$G$100,"&gt;="&amp;C3607)</f>
        <v/>
      </c>
      <c r="H3607">
        <f>INDEX(CBIC_Late_Fee_Relief_Windows_3B!$I$3607:$I$100,MATCH(G3607,CBIC_Late_Fee_Relief_Windows_3B!$O$3607:$O$100,0))</f>
        <v/>
      </c>
      <c r="I3607">
        <f>MIN(F3607,H3607)</f>
        <v/>
      </c>
    </row>
    <row r="3608">
      <c r="A3608">
        <f>TEST_DATA!A3608</f>
        <v/>
      </c>
      <c r="B3608">
        <f>TEST_DATA!B3608</f>
        <v/>
      </c>
      <c r="C3608">
        <f>TEST_DATA!C3608</f>
        <v/>
      </c>
      <c r="D3608">
        <f>TEST_DATA!D3608</f>
        <v/>
      </c>
      <c r="E3608">
        <f>TEST_DATA!E3608</f>
        <v/>
      </c>
      <c r="F3608">
        <f>MIN(E3608*360800,10000)</f>
        <v/>
      </c>
      <c r="G3608">
        <f>MINIFS(CBIC_Late_Fee_Relief_Windows_3B!$O$3608:$O$100,CBIC_Late_Fee_Relief_Windows_3B!$D$3608:$D$100,"&lt;="&amp;B3608,CBIC_Late_Fee_Relief_Windows_3B!$E$3608:$E$100,"&gt;="&amp;B3608,CBIC_Late_Fee_Relief_Windows_3B!$F$3608:$F$100,"&lt;="&amp;C3608,CBIC_Late_Fee_Relief_Windows_3B!$G$3608:$G$100,"&gt;="&amp;C3608)</f>
        <v/>
      </c>
      <c r="H3608">
        <f>INDEX(CBIC_Late_Fee_Relief_Windows_3B!$I$3608:$I$100,MATCH(G3608,CBIC_Late_Fee_Relief_Windows_3B!$O$3608:$O$100,0))</f>
        <v/>
      </c>
      <c r="I3608">
        <f>MIN(F3608,H3608)</f>
        <v/>
      </c>
    </row>
    <row r="3609">
      <c r="A3609">
        <f>TEST_DATA!A3609</f>
        <v/>
      </c>
      <c r="B3609">
        <f>TEST_DATA!B3609</f>
        <v/>
      </c>
      <c r="C3609">
        <f>TEST_DATA!C3609</f>
        <v/>
      </c>
      <c r="D3609">
        <f>TEST_DATA!D3609</f>
        <v/>
      </c>
      <c r="E3609">
        <f>TEST_DATA!E3609</f>
        <v/>
      </c>
      <c r="F3609">
        <f>MIN(E3609*360900,10000)</f>
        <v/>
      </c>
      <c r="G3609">
        <f>MINIFS(CBIC_Late_Fee_Relief_Windows_3B!$O$3609:$O$100,CBIC_Late_Fee_Relief_Windows_3B!$D$3609:$D$100,"&lt;="&amp;B3609,CBIC_Late_Fee_Relief_Windows_3B!$E$3609:$E$100,"&gt;="&amp;B3609,CBIC_Late_Fee_Relief_Windows_3B!$F$3609:$F$100,"&lt;="&amp;C3609,CBIC_Late_Fee_Relief_Windows_3B!$G$3609:$G$100,"&gt;="&amp;C3609)</f>
        <v/>
      </c>
      <c r="H3609">
        <f>INDEX(CBIC_Late_Fee_Relief_Windows_3B!$I$3609:$I$100,MATCH(G3609,CBIC_Late_Fee_Relief_Windows_3B!$O$3609:$O$100,0))</f>
        <v/>
      </c>
      <c r="I3609">
        <f>MIN(F3609,H3609)</f>
        <v/>
      </c>
    </row>
    <row r="3610">
      <c r="A3610">
        <f>TEST_DATA!A3610</f>
        <v/>
      </c>
      <c r="B3610">
        <f>TEST_DATA!B3610</f>
        <v/>
      </c>
      <c r="C3610">
        <f>TEST_DATA!C3610</f>
        <v/>
      </c>
      <c r="D3610">
        <f>TEST_DATA!D3610</f>
        <v/>
      </c>
      <c r="E3610">
        <f>TEST_DATA!E3610</f>
        <v/>
      </c>
      <c r="F3610">
        <f>MIN(E3610*361000,10000)</f>
        <v/>
      </c>
      <c r="G3610">
        <f>MINIFS(CBIC_Late_Fee_Relief_Windows_3B!$O$3610:$O$100,CBIC_Late_Fee_Relief_Windows_3B!$D$3610:$D$100,"&lt;="&amp;B3610,CBIC_Late_Fee_Relief_Windows_3B!$E$3610:$E$100,"&gt;="&amp;B3610,CBIC_Late_Fee_Relief_Windows_3B!$F$3610:$F$100,"&lt;="&amp;C3610,CBIC_Late_Fee_Relief_Windows_3B!$G$3610:$G$100,"&gt;="&amp;C3610)</f>
        <v/>
      </c>
      <c r="H3610">
        <f>INDEX(CBIC_Late_Fee_Relief_Windows_3B!$I$3610:$I$100,MATCH(G3610,CBIC_Late_Fee_Relief_Windows_3B!$O$3610:$O$100,0))</f>
        <v/>
      </c>
      <c r="I3610">
        <f>MIN(F3610,H3610)</f>
        <v/>
      </c>
    </row>
    <row r="3611">
      <c r="A3611">
        <f>TEST_DATA!A3611</f>
        <v/>
      </c>
      <c r="B3611">
        <f>TEST_DATA!B3611</f>
        <v/>
      </c>
      <c r="C3611">
        <f>TEST_DATA!C3611</f>
        <v/>
      </c>
      <c r="D3611">
        <f>TEST_DATA!D3611</f>
        <v/>
      </c>
      <c r="E3611">
        <f>TEST_DATA!E3611</f>
        <v/>
      </c>
      <c r="F3611">
        <f>MIN(E3611*361100,10000)</f>
        <v/>
      </c>
      <c r="G3611">
        <f>MINIFS(CBIC_Late_Fee_Relief_Windows_3B!$O$3611:$O$100,CBIC_Late_Fee_Relief_Windows_3B!$D$3611:$D$100,"&lt;="&amp;B3611,CBIC_Late_Fee_Relief_Windows_3B!$E$3611:$E$100,"&gt;="&amp;B3611,CBIC_Late_Fee_Relief_Windows_3B!$F$3611:$F$100,"&lt;="&amp;C3611,CBIC_Late_Fee_Relief_Windows_3B!$G$3611:$G$100,"&gt;="&amp;C3611)</f>
        <v/>
      </c>
      <c r="H3611">
        <f>INDEX(CBIC_Late_Fee_Relief_Windows_3B!$I$3611:$I$100,MATCH(G3611,CBIC_Late_Fee_Relief_Windows_3B!$O$3611:$O$100,0))</f>
        <v/>
      </c>
      <c r="I3611">
        <f>MIN(F3611,H3611)</f>
        <v/>
      </c>
    </row>
    <row r="3612">
      <c r="A3612">
        <f>TEST_DATA!A3612</f>
        <v/>
      </c>
      <c r="B3612">
        <f>TEST_DATA!B3612</f>
        <v/>
      </c>
      <c r="C3612">
        <f>TEST_DATA!C3612</f>
        <v/>
      </c>
      <c r="D3612">
        <f>TEST_DATA!D3612</f>
        <v/>
      </c>
      <c r="E3612">
        <f>TEST_DATA!E3612</f>
        <v/>
      </c>
      <c r="F3612">
        <f>MIN(E3612*361200,10000)</f>
        <v/>
      </c>
      <c r="G3612">
        <f>MINIFS(CBIC_Late_Fee_Relief_Windows_3B!$O$3612:$O$100,CBIC_Late_Fee_Relief_Windows_3B!$D$3612:$D$100,"&lt;="&amp;B3612,CBIC_Late_Fee_Relief_Windows_3B!$E$3612:$E$100,"&gt;="&amp;B3612,CBIC_Late_Fee_Relief_Windows_3B!$F$3612:$F$100,"&lt;="&amp;C3612,CBIC_Late_Fee_Relief_Windows_3B!$G$3612:$G$100,"&gt;="&amp;C3612)</f>
        <v/>
      </c>
      <c r="H3612">
        <f>INDEX(CBIC_Late_Fee_Relief_Windows_3B!$I$3612:$I$100,MATCH(G3612,CBIC_Late_Fee_Relief_Windows_3B!$O$3612:$O$100,0))</f>
        <v/>
      </c>
      <c r="I3612">
        <f>MIN(F3612,H3612)</f>
        <v/>
      </c>
    </row>
    <row r="3613">
      <c r="A3613">
        <f>TEST_DATA!A3613</f>
        <v/>
      </c>
      <c r="B3613">
        <f>TEST_DATA!B3613</f>
        <v/>
      </c>
      <c r="C3613">
        <f>TEST_DATA!C3613</f>
        <v/>
      </c>
      <c r="D3613">
        <f>TEST_DATA!D3613</f>
        <v/>
      </c>
      <c r="E3613">
        <f>TEST_DATA!E3613</f>
        <v/>
      </c>
      <c r="F3613">
        <f>MIN(E3613*361300,10000)</f>
        <v/>
      </c>
      <c r="G3613">
        <f>MINIFS(CBIC_Late_Fee_Relief_Windows_3B!$O$3613:$O$100,CBIC_Late_Fee_Relief_Windows_3B!$D$3613:$D$100,"&lt;="&amp;B3613,CBIC_Late_Fee_Relief_Windows_3B!$E$3613:$E$100,"&gt;="&amp;B3613,CBIC_Late_Fee_Relief_Windows_3B!$F$3613:$F$100,"&lt;="&amp;C3613,CBIC_Late_Fee_Relief_Windows_3B!$G$3613:$G$100,"&gt;="&amp;C3613)</f>
        <v/>
      </c>
      <c r="H3613">
        <f>INDEX(CBIC_Late_Fee_Relief_Windows_3B!$I$3613:$I$100,MATCH(G3613,CBIC_Late_Fee_Relief_Windows_3B!$O$3613:$O$100,0))</f>
        <v/>
      </c>
      <c r="I3613">
        <f>MIN(F3613,H3613)</f>
        <v/>
      </c>
    </row>
    <row r="3614">
      <c r="A3614">
        <f>TEST_DATA!A3614</f>
        <v/>
      </c>
      <c r="B3614">
        <f>TEST_DATA!B3614</f>
        <v/>
      </c>
      <c r="C3614">
        <f>TEST_DATA!C3614</f>
        <v/>
      </c>
      <c r="D3614">
        <f>TEST_DATA!D3614</f>
        <v/>
      </c>
      <c r="E3614">
        <f>TEST_DATA!E3614</f>
        <v/>
      </c>
      <c r="F3614">
        <f>MIN(E3614*361400,10000)</f>
        <v/>
      </c>
      <c r="G3614">
        <f>MINIFS(CBIC_Late_Fee_Relief_Windows_3B!$O$3614:$O$100,CBIC_Late_Fee_Relief_Windows_3B!$D$3614:$D$100,"&lt;="&amp;B3614,CBIC_Late_Fee_Relief_Windows_3B!$E$3614:$E$100,"&gt;="&amp;B3614,CBIC_Late_Fee_Relief_Windows_3B!$F$3614:$F$100,"&lt;="&amp;C3614,CBIC_Late_Fee_Relief_Windows_3B!$G$3614:$G$100,"&gt;="&amp;C3614)</f>
        <v/>
      </c>
      <c r="H3614">
        <f>INDEX(CBIC_Late_Fee_Relief_Windows_3B!$I$3614:$I$100,MATCH(G3614,CBIC_Late_Fee_Relief_Windows_3B!$O$3614:$O$100,0))</f>
        <v/>
      </c>
      <c r="I3614">
        <f>MIN(F3614,H3614)</f>
        <v/>
      </c>
    </row>
    <row r="3615">
      <c r="A3615">
        <f>TEST_DATA!A3615</f>
        <v/>
      </c>
      <c r="B3615">
        <f>TEST_DATA!B3615</f>
        <v/>
      </c>
      <c r="C3615">
        <f>TEST_DATA!C3615</f>
        <v/>
      </c>
      <c r="D3615">
        <f>TEST_DATA!D3615</f>
        <v/>
      </c>
      <c r="E3615">
        <f>TEST_DATA!E3615</f>
        <v/>
      </c>
      <c r="F3615">
        <f>MIN(E3615*361500,10000)</f>
        <v/>
      </c>
      <c r="G3615">
        <f>MINIFS(CBIC_Late_Fee_Relief_Windows_3B!$O$3615:$O$100,CBIC_Late_Fee_Relief_Windows_3B!$D$3615:$D$100,"&lt;="&amp;B3615,CBIC_Late_Fee_Relief_Windows_3B!$E$3615:$E$100,"&gt;="&amp;B3615,CBIC_Late_Fee_Relief_Windows_3B!$F$3615:$F$100,"&lt;="&amp;C3615,CBIC_Late_Fee_Relief_Windows_3B!$G$3615:$G$100,"&gt;="&amp;C3615)</f>
        <v/>
      </c>
      <c r="H3615">
        <f>INDEX(CBIC_Late_Fee_Relief_Windows_3B!$I$3615:$I$100,MATCH(G3615,CBIC_Late_Fee_Relief_Windows_3B!$O$3615:$O$100,0))</f>
        <v/>
      </c>
      <c r="I3615">
        <f>MIN(F3615,H3615)</f>
        <v/>
      </c>
    </row>
    <row r="3616">
      <c r="A3616">
        <f>TEST_DATA!A3616</f>
        <v/>
      </c>
      <c r="B3616">
        <f>TEST_DATA!B3616</f>
        <v/>
      </c>
      <c r="C3616">
        <f>TEST_DATA!C3616</f>
        <v/>
      </c>
      <c r="D3616">
        <f>TEST_DATA!D3616</f>
        <v/>
      </c>
      <c r="E3616">
        <f>TEST_DATA!E3616</f>
        <v/>
      </c>
      <c r="F3616">
        <f>MIN(E3616*361600,10000)</f>
        <v/>
      </c>
      <c r="G3616">
        <f>MINIFS(CBIC_Late_Fee_Relief_Windows_3B!$O$3616:$O$100,CBIC_Late_Fee_Relief_Windows_3B!$D$3616:$D$100,"&lt;="&amp;B3616,CBIC_Late_Fee_Relief_Windows_3B!$E$3616:$E$100,"&gt;="&amp;B3616,CBIC_Late_Fee_Relief_Windows_3B!$F$3616:$F$100,"&lt;="&amp;C3616,CBIC_Late_Fee_Relief_Windows_3B!$G$3616:$G$100,"&gt;="&amp;C3616)</f>
        <v/>
      </c>
      <c r="H3616">
        <f>INDEX(CBIC_Late_Fee_Relief_Windows_3B!$I$3616:$I$100,MATCH(G3616,CBIC_Late_Fee_Relief_Windows_3B!$O$3616:$O$100,0))</f>
        <v/>
      </c>
      <c r="I3616">
        <f>MIN(F3616,H3616)</f>
        <v/>
      </c>
    </row>
    <row r="3617">
      <c r="A3617">
        <f>TEST_DATA!A3617</f>
        <v/>
      </c>
      <c r="B3617">
        <f>TEST_DATA!B3617</f>
        <v/>
      </c>
      <c r="C3617">
        <f>TEST_DATA!C3617</f>
        <v/>
      </c>
      <c r="D3617">
        <f>TEST_DATA!D3617</f>
        <v/>
      </c>
      <c r="E3617">
        <f>TEST_DATA!E3617</f>
        <v/>
      </c>
      <c r="F3617">
        <f>MIN(E3617*361700,10000)</f>
        <v/>
      </c>
      <c r="G3617">
        <f>MINIFS(CBIC_Late_Fee_Relief_Windows_3B!$O$3617:$O$100,CBIC_Late_Fee_Relief_Windows_3B!$D$3617:$D$100,"&lt;="&amp;B3617,CBIC_Late_Fee_Relief_Windows_3B!$E$3617:$E$100,"&gt;="&amp;B3617,CBIC_Late_Fee_Relief_Windows_3B!$F$3617:$F$100,"&lt;="&amp;C3617,CBIC_Late_Fee_Relief_Windows_3B!$G$3617:$G$100,"&gt;="&amp;C3617)</f>
        <v/>
      </c>
      <c r="H3617">
        <f>INDEX(CBIC_Late_Fee_Relief_Windows_3B!$I$3617:$I$100,MATCH(G3617,CBIC_Late_Fee_Relief_Windows_3B!$O$3617:$O$100,0))</f>
        <v/>
      </c>
      <c r="I3617">
        <f>MIN(F3617,H3617)</f>
        <v/>
      </c>
    </row>
    <row r="3618">
      <c r="A3618">
        <f>TEST_DATA!A3618</f>
        <v/>
      </c>
      <c r="B3618">
        <f>TEST_DATA!B3618</f>
        <v/>
      </c>
      <c r="C3618">
        <f>TEST_DATA!C3618</f>
        <v/>
      </c>
      <c r="D3618">
        <f>TEST_DATA!D3618</f>
        <v/>
      </c>
      <c r="E3618">
        <f>TEST_DATA!E3618</f>
        <v/>
      </c>
      <c r="F3618">
        <f>MIN(E3618*361800,10000)</f>
        <v/>
      </c>
      <c r="G3618">
        <f>MINIFS(CBIC_Late_Fee_Relief_Windows_3B!$O$3618:$O$100,CBIC_Late_Fee_Relief_Windows_3B!$D$3618:$D$100,"&lt;="&amp;B3618,CBIC_Late_Fee_Relief_Windows_3B!$E$3618:$E$100,"&gt;="&amp;B3618,CBIC_Late_Fee_Relief_Windows_3B!$F$3618:$F$100,"&lt;="&amp;C3618,CBIC_Late_Fee_Relief_Windows_3B!$G$3618:$G$100,"&gt;="&amp;C3618)</f>
        <v/>
      </c>
      <c r="H3618">
        <f>INDEX(CBIC_Late_Fee_Relief_Windows_3B!$I$3618:$I$100,MATCH(G3618,CBIC_Late_Fee_Relief_Windows_3B!$O$3618:$O$100,0))</f>
        <v/>
      </c>
      <c r="I3618">
        <f>MIN(F3618,H3618)</f>
        <v/>
      </c>
    </row>
    <row r="3619">
      <c r="A3619">
        <f>TEST_DATA!A3619</f>
        <v/>
      </c>
      <c r="B3619">
        <f>TEST_DATA!B3619</f>
        <v/>
      </c>
      <c r="C3619">
        <f>TEST_DATA!C3619</f>
        <v/>
      </c>
      <c r="D3619">
        <f>TEST_DATA!D3619</f>
        <v/>
      </c>
      <c r="E3619">
        <f>TEST_DATA!E3619</f>
        <v/>
      </c>
      <c r="F3619">
        <f>MIN(E3619*361900,10000)</f>
        <v/>
      </c>
      <c r="G3619">
        <f>MINIFS(CBIC_Late_Fee_Relief_Windows_3B!$O$3619:$O$100,CBIC_Late_Fee_Relief_Windows_3B!$D$3619:$D$100,"&lt;="&amp;B3619,CBIC_Late_Fee_Relief_Windows_3B!$E$3619:$E$100,"&gt;="&amp;B3619,CBIC_Late_Fee_Relief_Windows_3B!$F$3619:$F$100,"&lt;="&amp;C3619,CBIC_Late_Fee_Relief_Windows_3B!$G$3619:$G$100,"&gt;="&amp;C3619)</f>
        <v/>
      </c>
      <c r="H3619">
        <f>INDEX(CBIC_Late_Fee_Relief_Windows_3B!$I$3619:$I$100,MATCH(G3619,CBIC_Late_Fee_Relief_Windows_3B!$O$3619:$O$100,0))</f>
        <v/>
      </c>
      <c r="I3619">
        <f>MIN(F3619,H3619)</f>
        <v/>
      </c>
    </row>
    <row r="3620">
      <c r="A3620">
        <f>TEST_DATA!A3620</f>
        <v/>
      </c>
      <c r="B3620">
        <f>TEST_DATA!B3620</f>
        <v/>
      </c>
      <c r="C3620">
        <f>TEST_DATA!C3620</f>
        <v/>
      </c>
      <c r="D3620">
        <f>TEST_DATA!D3620</f>
        <v/>
      </c>
      <c r="E3620">
        <f>TEST_DATA!E3620</f>
        <v/>
      </c>
      <c r="F3620">
        <f>MIN(E3620*362000,10000)</f>
        <v/>
      </c>
      <c r="G3620">
        <f>MINIFS(CBIC_Late_Fee_Relief_Windows_3B!$O$3620:$O$100,CBIC_Late_Fee_Relief_Windows_3B!$D$3620:$D$100,"&lt;="&amp;B3620,CBIC_Late_Fee_Relief_Windows_3B!$E$3620:$E$100,"&gt;="&amp;B3620,CBIC_Late_Fee_Relief_Windows_3B!$F$3620:$F$100,"&lt;="&amp;C3620,CBIC_Late_Fee_Relief_Windows_3B!$G$3620:$G$100,"&gt;="&amp;C3620)</f>
        <v/>
      </c>
      <c r="H3620">
        <f>INDEX(CBIC_Late_Fee_Relief_Windows_3B!$I$3620:$I$100,MATCH(G3620,CBIC_Late_Fee_Relief_Windows_3B!$O$3620:$O$100,0))</f>
        <v/>
      </c>
      <c r="I3620">
        <f>MIN(F3620,H3620)</f>
        <v/>
      </c>
    </row>
    <row r="3621">
      <c r="A3621">
        <f>TEST_DATA!A3621</f>
        <v/>
      </c>
      <c r="B3621">
        <f>TEST_DATA!B3621</f>
        <v/>
      </c>
      <c r="C3621">
        <f>TEST_DATA!C3621</f>
        <v/>
      </c>
      <c r="D3621">
        <f>TEST_DATA!D3621</f>
        <v/>
      </c>
      <c r="E3621">
        <f>TEST_DATA!E3621</f>
        <v/>
      </c>
      <c r="F3621">
        <f>MIN(E3621*362100,10000)</f>
        <v/>
      </c>
      <c r="G3621">
        <f>MINIFS(CBIC_Late_Fee_Relief_Windows_3B!$O$3621:$O$100,CBIC_Late_Fee_Relief_Windows_3B!$D$3621:$D$100,"&lt;="&amp;B3621,CBIC_Late_Fee_Relief_Windows_3B!$E$3621:$E$100,"&gt;="&amp;B3621,CBIC_Late_Fee_Relief_Windows_3B!$F$3621:$F$100,"&lt;="&amp;C3621,CBIC_Late_Fee_Relief_Windows_3B!$G$3621:$G$100,"&gt;="&amp;C3621)</f>
        <v/>
      </c>
      <c r="H3621">
        <f>INDEX(CBIC_Late_Fee_Relief_Windows_3B!$I$3621:$I$100,MATCH(G3621,CBIC_Late_Fee_Relief_Windows_3B!$O$3621:$O$100,0))</f>
        <v/>
      </c>
      <c r="I3621">
        <f>MIN(F3621,H3621)</f>
        <v/>
      </c>
    </row>
    <row r="3622">
      <c r="A3622">
        <f>TEST_DATA!A3622</f>
        <v/>
      </c>
      <c r="B3622">
        <f>TEST_DATA!B3622</f>
        <v/>
      </c>
      <c r="C3622">
        <f>TEST_DATA!C3622</f>
        <v/>
      </c>
      <c r="D3622">
        <f>TEST_DATA!D3622</f>
        <v/>
      </c>
      <c r="E3622">
        <f>TEST_DATA!E3622</f>
        <v/>
      </c>
      <c r="F3622">
        <f>MIN(E3622*362200,10000)</f>
        <v/>
      </c>
      <c r="G3622">
        <f>MINIFS(CBIC_Late_Fee_Relief_Windows_3B!$O$3622:$O$100,CBIC_Late_Fee_Relief_Windows_3B!$D$3622:$D$100,"&lt;="&amp;B3622,CBIC_Late_Fee_Relief_Windows_3B!$E$3622:$E$100,"&gt;="&amp;B3622,CBIC_Late_Fee_Relief_Windows_3B!$F$3622:$F$100,"&lt;="&amp;C3622,CBIC_Late_Fee_Relief_Windows_3B!$G$3622:$G$100,"&gt;="&amp;C3622)</f>
        <v/>
      </c>
      <c r="H3622">
        <f>INDEX(CBIC_Late_Fee_Relief_Windows_3B!$I$3622:$I$100,MATCH(G3622,CBIC_Late_Fee_Relief_Windows_3B!$O$3622:$O$100,0))</f>
        <v/>
      </c>
      <c r="I3622">
        <f>MIN(F3622,H3622)</f>
        <v/>
      </c>
    </row>
    <row r="3623">
      <c r="A3623">
        <f>TEST_DATA!A3623</f>
        <v/>
      </c>
      <c r="B3623">
        <f>TEST_DATA!B3623</f>
        <v/>
      </c>
      <c r="C3623">
        <f>TEST_DATA!C3623</f>
        <v/>
      </c>
      <c r="D3623">
        <f>TEST_DATA!D3623</f>
        <v/>
      </c>
      <c r="E3623">
        <f>TEST_DATA!E3623</f>
        <v/>
      </c>
      <c r="F3623">
        <f>MIN(E3623*362300,10000)</f>
        <v/>
      </c>
      <c r="G3623">
        <f>MINIFS(CBIC_Late_Fee_Relief_Windows_3B!$O$3623:$O$100,CBIC_Late_Fee_Relief_Windows_3B!$D$3623:$D$100,"&lt;="&amp;B3623,CBIC_Late_Fee_Relief_Windows_3B!$E$3623:$E$100,"&gt;="&amp;B3623,CBIC_Late_Fee_Relief_Windows_3B!$F$3623:$F$100,"&lt;="&amp;C3623,CBIC_Late_Fee_Relief_Windows_3B!$G$3623:$G$100,"&gt;="&amp;C3623)</f>
        <v/>
      </c>
      <c r="H3623">
        <f>INDEX(CBIC_Late_Fee_Relief_Windows_3B!$I$3623:$I$100,MATCH(G3623,CBIC_Late_Fee_Relief_Windows_3B!$O$3623:$O$100,0))</f>
        <v/>
      </c>
      <c r="I3623">
        <f>MIN(F3623,H3623)</f>
        <v/>
      </c>
    </row>
    <row r="3624">
      <c r="A3624">
        <f>TEST_DATA!A3624</f>
        <v/>
      </c>
      <c r="B3624">
        <f>TEST_DATA!B3624</f>
        <v/>
      </c>
      <c r="C3624">
        <f>TEST_DATA!C3624</f>
        <v/>
      </c>
      <c r="D3624">
        <f>TEST_DATA!D3624</f>
        <v/>
      </c>
      <c r="E3624">
        <f>TEST_DATA!E3624</f>
        <v/>
      </c>
      <c r="F3624">
        <f>MIN(E3624*362400,10000)</f>
        <v/>
      </c>
      <c r="G3624">
        <f>MINIFS(CBIC_Late_Fee_Relief_Windows_3B!$O$3624:$O$100,CBIC_Late_Fee_Relief_Windows_3B!$D$3624:$D$100,"&lt;="&amp;B3624,CBIC_Late_Fee_Relief_Windows_3B!$E$3624:$E$100,"&gt;="&amp;B3624,CBIC_Late_Fee_Relief_Windows_3B!$F$3624:$F$100,"&lt;="&amp;C3624,CBIC_Late_Fee_Relief_Windows_3B!$G$3624:$G$100,"&gt;="&amp;C3624)</f>
        <v/>
      </c>
      <c r="H3624">
        <f>INDEX(CBIC_Late_Fee_Relief_Windows_3B!$I$3624:$I$100,MATCH(G3624,CBIC_Late_Fee_Relief_Windows_3B!$O$3624:$O$100,0))</f>
        <v/>
      </c>
      <c r="I3624">
        <f>MIN(F3624,H3624)</f>
        <v/>
      </c>
    </row>
    <row r="3625">
      <c r="A3625">
        <f>TEST_DATA!A3625</f>
        <v/>
      </c>
      <c r="B3625">
        <f>TEST_DATA!B3625</f>
        <v/>
      </c>
      <c r="C3625">
        <f>TEST_DATA!C3625</f>
        <v/>
      </c>
      <c r="D3625">
        <f>TEST_DATA!D3625</f>
        <v/>
      </c>
      <c r="E3625">
        <f>TEST_DATA!E3625</f>
        <v/>
      </c>
      <c r="F3625">
        <f>MIN(E3625*362500,10000)</f>
        <v/>
      </c>
      <c r="G3625">
        <f>MINIFS(CBIC_Late_Fee_Relief_Windows_3B!$O$3625:$O$100,CBIC_Late_Fee_Relief_Windows_3B!$D$3625:$D$100,"&lt;="&amp;B3625,CBIC_Late_Fee_Relief_Windows_3B!$E$3625:$E$100,"&gt;="&amp;B3625,CBIC_Late_Fee_Relief_Windows_3B!$F$3625:$F$100,"&lt;="&amp;C3625,CBIC_Late_Fee_Relief_Windows_3B!$G$3625:$G$100,"&gt;="&amp;C3625)</f>
        <v/>
      </c>
      <c r="H3625">
        <f>INDEX(CBIC_Late_Fee_Relief_Windows_3B!$I$3625:$I$100,MATCH(G3625,CBIC_Late_Fee_Relief_Windows_3B!$O$3625:$O$100,0))</f>
        <v/>
      </c>
      <c r="I3625">
        <f>MIN(F3625,H3625)</f>
        <v/>
      </c>
    </row>
    <row r="3626">
      <c r="A3626">
        <f>TEST_DATA!A3626</f>
        <v/>
      </c>
      <c r="B3626">
        <f>TEST_DATA!B3626</f>
        <v/>
      </c>
      <c r="C3626">
        <f>TEST_DATA!C3626</f>
        <v/>
      </c>
      <c r="D3626">
        <f>TEST_DATA!D3626</f>
        <v/>
      </c>
      <c r="E3626">
        <f>TEST_DATA!E3626</f>
        <v/>
      </c>
      <c r="F3626">
        <f>MIN(E3626*362600,10000)</f>
        <v/>
      </c>
      <c r="G3626">
        <f>MINIFS(CBIC_Late_Fee_Relief_Windows_3B!$O$3626:$O$100,CBIC_Late_Fee_Relief_Windows_3B!$D$3626:$D$100,"&lt;="&amp;B3626,CBIC_Late_Fee_Relief_Windows_3B!$E$3626:$E$100,"&gt;="&amp;B3626,CBIC_Late_Fee_Relief_Windows_3B!$F$3626:$F$100,"&lt;="&amp;C3626,CBIC_Late_Fee_Relief_Windows_3B!$G$3626:$G$100,"&gt;="&amp;C3626)</f>
        <v/>
      </c>
      <c r="H3626">
        <f>INDEX(CBIC_Late_Fee_Relief_Windows_3B!$I$3626:$I$100,MATCH(G3626,CBIC_Late_Fee_Relief_Windows_3B!$O$3626:$O$100,0))</f>
        <v/>
      </c>
      <c r="I3626">
        <f>MIN(F3626,H3626)</f>
        <v/>
      </c>
    </row>
    <row r="3627">
      <c r="A3627">
        <f>TEST_DATA!A3627</f>
        <v/>
      </c>
      <c r="B3627">
        <f>TEST_DATA!B3627</f>
        <v/>
      </c>
      <c r="C3627">
        <f>TEST_DATA!C3627</f>
        <v/>
      </c>
      <c r="D3627">
        <f>TEST_DATA!D3627</f>
        <v/>
      </c>
      <c r="E3627">
        <f>TEST_DATA!E3627</f>
        <v/>
      </c>
      <c r="F3627">
        <f>MIN(E3627*362700,10000)</f>
        <v/>
      </c>
      <c r="G3627">
        <f>MINIFS(CBIC_Late_Fee_Relief_Windows_3B!$O$3627:$O$100,CBIC_Late_Fee_Relief_Windows_3B!$D$3627:$D$100,"&lt;="&amp;B3627,CBIC_Late_Fee_Relief_Windows_3B!$E$3627:$E$100,"&gt;="&amp;B3627,CBIC_Late_Fee_Relief_Windows_3B!$F$3627:$F$100,"&lt;="&amp;C3627,CBIC_Late_Fee_Relief_Windows_3B!$G$3627:$G$100,"&gt;="&amp;C3627)</f>
        <v/>
      </c>
      <c r="H3627">
        <f>INDEX(CBIC_Late_Fee_Relief_Windows_3B!$I$3627:$I$100,MATCH(G3627,CBIC_Late_Fee_Relief_Windows_3B!$O$3627:$O$100,0))</f>
        <v/>
      </c>
      <c r="I3627">
        <f>MIN(F3627,H3627)</f>
        <v/>
      </c>
    </row>
    <row r="3628">
      <c r="A3628">
        <f>TEST_DATA!A3628</f>
        <v/>
      </c>
      <c r="B3628">
        <f>TEST_DATA!B3628</f>
        <v/>
      </c>
      <c r="C3628">
        <f>TEST_DATA!C3628</f>
        <v/>
      </c>
      <c r="D3628">
        <f>TEST_DATA!D3628</f>
        <v/>
      </c>
      <c r="E3628">
        <f>TEST_DATA!E3628</f>
        <v/>
      </c>
      <c r="F3628">
        <f>MIN(E3628*362800,10000)</f>
        <v/>
      </c>
      <c r="G3628">
        <f>MINIFS(CBIC_Late_Fee_Relief_Windows_3B!$O$3628:$O$100,CBIC_Late_Fee_Relief_Windows_3B!$D$3628:$D$100,"&lt;="&amp;B3628,CBIC_Late_Fee_Relief_Windows_3B!$E$3628:$E$100,"&gt;="&amp;B3628,CBIC_Late_Fee_Relief_Windows_3B!$F$3628:$F$100,"&lt;="&amp;C3628,CBIC_Late_Fee_Relief_Windows_3B!$G$3628:$G$100,"&gt;="&amp;C3628)</f>
        <v/>
      </c>
      <c r="H3628">
        <f>INDEX(CBIC_Late_Fee_Relief_Windows_3B!$I$3628:$I$100,MATCH(G3628,CBIC_Late_Fee_Relief_Windows_3B!$O$3628:$O$100,0))</f>
        <v/>
      </c>
      <c r="I3628">
        <f>MIN(F3628,H3628)</f>
        <v/>
      </c>
    </row>
    <row r="3629">
      <c r="A3629">
        <f>TEST_DATA!A3629</f>
        <v/>
      </c>
      <c r="B3629">
        <f>TEST_DATA!B3629</f>
        <v/>
      </c>
      <c r="C3629">
        <f>TEST_DATA!C3629</f>
        <v/>
      </c>
      <c r="D3629">
        <f>TEST_DATA!D3629</f>
        <v/>
      </c>
      <c r="E3629">
        <f>TEST_DATA!E3629</f>
        <v/>
      </c>
      <c r="F3629">
        <f>MIN(E3629*362900,10000)</f>
        <v/>
      </c>
      <c r="G3629">
        <f>MINIFS(CBIC_Late_Fee_Relief_Windows_3B!$O$3629:$O$100,CBIC_Late_Fee_Relief_Windows_3B!$D$3629:$D$100,"&lt;="&amp;B3629,CBIC_Late_Fee_Relief_Windows_3B!$E$3629:$E$100,"&gt;="&amp;B3629,CBIC_Late_Fee_Relief_Windows_3B!$F$3629:$F$100,"&lt;="&amp;C3629,CBIC_Late_Fee_Relief_Windows_3B!$G$3629:$G$100,"&gt;="&amp;C3629)</f>
        <v/>
      </c>
      <c r="H3629">
        <f>INDEX(CBIC_Late_Fee_Relief_Windows_3B!$I$3629:$I$100,MATCH(G3629,CBIC_Late_Fee_Relief_Windows_3B!$O$3629:$O$100,0))</f>
        <v/>
      </c>
      <c r="I3629">
        <f>MIN(F3629,H3629)</f>
        <v/>
      </c>
    </row>
    <row r="3630">
      <c r="A3630">
        <f>TEST_DATA!A3630</f>
        <v/>
      </c>
      <c r="B3630">
        <f>TEST_DATA!B3630</f>
        <v/>
      </c>
      <c r="C3630">
        <f>TEST_DATA!C3630</f>
        <v/>
      </c>
      <c r="D3630">
        <f>TEST_DATA!D3630</f>
        <v/>
      </c>
      <c r="E3630">
        <f>TEST_DATA!E3630</f>
        <v/>
      </c>
      <c r="F3630">
        <f>MIN(E3630*363000,10000)</f>
        <v/>
      </c>
      <c r="G3630">
        <f>MINIFS(CBIC_Late_Fee_Relief_Windows_3B!$O$3630:$O$100,CBIC_Late_Fee_Relief_Windows_3B!$D$3630:$D$100,"&lt;="&amp;B3630,CBIC_Late_Fee_Relief_Windows_3B!$E$3630:$E$100,"&gt;="&amp;B3630,CBIC_Late_Fee_Relief_Windows_3B!$F$3630:$F$100,"&lt;="&amp;C3630,CBIC_Late_Fee_Relief_Windows_3B!$G$3630:$G$100,"&gt;="&amp;C3630)</f>
        <v/>
      </c>
      <c r="H3630">
        <f>INDEX(CBIC_Late_Fee_Relief_Windows_3B!$I$3630:$I$100,MATCH(G3630,CBIC_Late_Fee_Relief_Windows_3B!$O$3630:$O$100,0))</f>
        <v/>
      </c>
      <c r="I3630">
        <f>MIN(F3630,H3630)</f>
        <v/>
      </c>
    </row>
    <row r="3631">
      <c r="A3631">
        <f>TEST_DATA!A3631</f>
        <v/>
      </c>
      <c r="B3631">
        <f>TEST_DATA!B3631</f>
        <v/>
      </c>
      <c r="C3631">
        <f>TEST_DATA!C3631</f>
        <v/>
      </c>
      <c r="D3631">
        <f>TEST_DATA!D3631</f>
        <v/>
      </c>
      <c r="E3631">
        <f>TEST_DATA!E3631</f>
        <v/>
      </c>
      <c r="F3631">
        <f>MIN(E3631*363100,10000)</f>
        <v/>
      </c>
      <c r="G3631">
        <f>MINIFS(CBIC_Late_Fee_Relief_Windows_3B!$O$3631:$O$100,CBIC_Late_Fee_Relief_Windows_3B!$D$3631:$D$100,"&lt;="&amp;B3631,CBIC_Late_Fee_Relief_Windows_3B!$E$3631:$E$100,"&gt;="&amp;B3631,CBIC_Late_Fee_Relief_Windows_3B!$F$3631:$F$100,"&lt;="&amp;C3631,CBIC_Late_Fee_Relief_Windows_3B!$G$3631:$G$100,"&gt;="&amp;C3631)</f>
        <v/>
      </c>
      <c r="H3631">
        <f>INDEX(CBIC_Late_Fee_Relief_Windows_3B!$I$3631:$I$100,MATCH(G3631,CBIC_Late_Fee_Relief_Windows_3B!$O$3631:$O$100,0))</f>
        <v/>
      </c>
      <c r="I3631">
        <f>MIN(F3631,H3631)</f>
        <v/>
      </c>
    </row>
    <row r="3632">
      <c r="A3632">
        <f>TEST_DATA!A3632</f>
        <v/>
      </c>
      <c r="B3632">
        <f>TEST_DATA!B3632</f>
        <v/>
      </c>
      <c r="C3632">
        <f>TEST_DATA!C3632</f>
        <v/>
      </c>
      <c r="D3632">
        <f>TEST_DATA!D3632</f>
        <v/>
      </c>
      <c r="E3632">
        <f>TEST_DATA!E3632</f>
        <v/>
      </c>
      <c r="F3632">
        <f>MIN(E3632*363200,10000)</f>
        <v/>
      </c>
      <c r="G3632">
        <f>MINIFS(CBIC_Late_Fee_Relief_Windows_3B!$O$3632:$O$100,CBIC_Late_Fee_Relief_Windows_3B!$D$3632:$D$100,"&lt;="&amp;B3632,CBIC_Late_Fee_Relief_Windows_3B!$E$3632:$E$100,"&gt;="&amp;B3632,CBIC_Late_Fee_Relief_Windows_3B!$F$3632:$F$100,"&lt;="&amp;C3632,CBIC_Late_Fee_Relief_Windows_3B!$G$3632:$G$100,"&gt;="&amp;C3632)</f>
        <v/>
      </c>
      <c r="H3632">
        <f>INDEX(CBIC_Late_Fee_Relief_Windows_3B!$I$3632:$I$100,MATCH(G3632,CBIC_Late_Fee_Relief_Windows_3B!$O$3632:$O$100,0))</f>
        <v/>
      </c>
      <c r="I3632">
        <f>MIN(F3632,H3632)</f>
        <v/>
      </c>
    </row>
    <row r="3633">
      <c r="A3633">
        <f>TEST_DATA!A3633</f>
        <v/>
      </c>
      <c r="B3633">
        <f>TEST_DATA!B3633</f>
        <v/>
      </c>
      <c r="C3633">
        <f>TEST_DATA!C3633</f>
        <v/>
      </c>
      <c r="D3633">
        <f>TEST_DATA!D3633</f>
        <v/>
      </c>
      <c r="E3633">
        <f>TEST_DATA!E3633</f>
        <v/>
      </c>
      <c r="F3633">
        <f>MIN(E3633*363300,10000)</f>
        <v/>
      </c>
      <c r="G3633">
        <f>MINIFS(CBIC_Late_Fee_Relief_Windows_3B!$O$3633:$O$100,CBIC_Late_Fee_Relief_Windows_3B!$D$3633:$D$100,"&lt;="&amp;B3633,CBIC_Late_Fee_Relief_Windows_3B!$E$3633:$E$100,"&gt;="&amp;B3633,CBIC_Late_Fee_Relief_Windows_3B!$F$3633:$F$100,"&lt;="&amp;C3633,CBIC_Late_Fee_Relief_Windows_3B!$G$3633:$G$100,"&gt;="&amp;C3633)</f>
        <v/>
      </c>
      <c r="H3633">
        <f>INDEX(CBIC_Late_Fee_Relief_Windows_3B!$I$3633:$I$100,MATCH(G3633,CBIC_Late_Fee_Relief_Windows_3B!$O$3633:$O$100,0))</f>
        <v/>
      </c>
      <c r="I3633">
        <f>MIN(F3633,H3633)</f>
        <v/>
      </c>
    </row>
    <row r="3634">
      <c r="A3634">
        <f>TEST_DATA!A3634</f>
        <v/>
      </c>
      <c r="B3634">
        <f>TEST_DATA!B3634</f>
        <v/>
      </c>
      <c r="C3634">
        <f>TEST_DATA!C3634</f>
        <v/>
      </c>
      <c r="D3634">
        <f>TEST_DATA!D3634</f>
        <v/>
      </c>
      <c r="E3634">
        <f>TEST_DATA!E3634</f>
        <v/>
      </c>
      <c r="F3634">
        <f>MIN(E3634*363400,10000)</f>
        <v/>
      </c>
      <c r="G3634">
        <f>MINIFS(CBIC_Late_Fee_Relief_Windows_3B!$O$3634:$O$100,CBIC_Late_Fee_Relief_Windows_3B!$D$3634:$D$100,"&lt;="&amp;B3634,CBIC_Late_Fee_Relief_Windows_3B!$E$3634:$E$100,"&gt;="&amp;B3634,CBIC_Late_Fee_Relief_Windows_3B!$F$3634:$F$100,"&lt;="&amp;C3634,CBIC_Late_Fee_Relief_Windows_3B!$G$3634:$G$100,"&gt;="&amp;C3634)</f>
        <v/>
      </c>
      <c r="H3634">
        <f>INDEX(CBIC_Late_Fee_Relief_Windows_3B!$I$3634:$I$100,MATCH(G3634,CBIC_Late_Fee_Relief_Windows_3B!$O$3634:$O$100,0))</f>
        <v/>
      </c>
      <c r="I3634">
        <f>MIN(F3634,H3634)</f>
        <v/>
      </c>
    </row>
    <row r="3635">
      <c r="A3635">
        <f>TEST_DATA!A3635</f>
        <v/>
      </c>
      <c r="B3635">
        <f>TEST_DATA!B3635</f>
        <v/>
      </c>
      <c r="C3635">
        <f>TEST_DATA!C3635</f>
        <v/>
      </c>
      <c r="D3635">
        <f>TEST_DATA!D3635</f>
        <v/>
      </c>
      <c r="E3635">
        <f>TEST_DATA!E3635</f>
        <v/>
      </c>
      <c r="F3635">
        <f>MIN(E3635*363500,10000)</f>
        <v/>
      </c>
      <c r="G3635">
        <f>MINIFS(CBIC_Late_Fee_Relief_Windows_3B!$O$3635:$O$100,CBIC_Late_Fee_Relief_Windows_3B!$D$3635:$D$100,"&lt;="&amp;B3635,CBIC_Late_Fee_Relief_Windows_3B!$E$3635:$E$100,"&gt;="&amp;B3635,CBIC_Late_Fee_Relief_Windows_3B!$F$3635:$F$100,"&lt;="&amp;C3635,CBIC_Late_Fee_Relief_Windows_3B!$G$3635:$G$100,"&gt;="&amp;C3635)</f>
        <v/>
      </c>
      <c r="H3635">
        <f>INDEX(CBIC_Late_Fee_Relief_Windows_3B!$I$3635:$I$100,MATCH(G3635,CBIC_Late_Fee_Relief_Windows_3B!$O$3635:$O$100,0))</f>
        <v/>
      </c>
      <c r="I3635">
        <f>MIN(F3635,H3635)</f>
        <v/>
      </c>
    </row>
    <row r="3636">
      <c r="A3636">
        <f>TEST_DATA!A3636</f>
        <v/>
      </c>
      <c r="B3636">
        <f>TEST_DATA!B3636</f>
        <v/>
      </c>
      <c r="C3636">
        <f>TEST_DATA!C3636</f>
        <v/>
      </c>
      <c r="D3636">
        <f>TEST_DATA!D3636</f>
        <v/>
      </c>
      <c r="E3636">
        <f>TEST_DATA!E3636</f>
        <v/>
      </c>
      <c r="F3636">
        <f>MIN(E3636*363600,10000)</f>
        <v/>
      </c>
      <c r="G3636">
        <f>MINIFS(CBIC_Late_Fee_Relief_Windows_3B!$O$3636:$O$100,CBIC_Late_Fee_Relief_Windows_3B!$D$3636:$D$100,"&lt;="&amp;B3636,CBIC_Late_Fee_Relief_Windows_3B!$E$3636:$E$100,"&gt;="&amp;B3636,CBIC_Late_Fee_Relief_Windows_3B!$F$3636:$F$100,"&lt;="&amp;C3636,CBIC_Late_Fee_Relief_Windows_3B!$G$3636:$G$100,"&gt;="&amp;C3636)</f>
        <v/>
      </c>
      <c r="H3636">
        <f>INDEX(CBIC_Late_Fee_Relief_Windows_3B!$I$3636:$I$100,MATCH(G3636,CBIC_Late_Fee_Relief_Windows_3B!$O$3636:$O$100,0))</f>
        <v/>
      </c>
      <c r="I3636">
        <f>MIN(F3636,H3636)</f>
        <v/>
      </c>
    </row>
    <row r="3637">
      <c r="A3637">
        <f>TEST_DATA!A3637</f>
        <v/>
      </c>
      <c r="B3637">
        <f>TEST_DATA!B3637</f>
        <v/>
      </c>
      <c r="C3637">
        <f>TEST_DATA!C3637</f>
        <v/>
      </c>
      <c r="D3637">
        <f>TEST_DATA!D3637</f>
        <v/>
      </c>
      <c r="E3637">
        <f>TEST_DATA!E3637</f>
        <v/>
      </c>
      <c r="F3637">
        <f>MIN(E3637*363700,10000)</f>
        <v/>
      </c>
      <c r="G3637">
        <f>MINIFS(CBIC_Late_Fee_Relief_Windows_3B!$O$3637:$O$100,CBIC_Late_Fee_Relief_Windows_3B!$D$3637:$D$100,"&lt;="&amp;B3637,CBIC_Late_Fee_Relief_Windows_3B!$E$3637:$E$100,"&gt;="&amp;B3637,CBIC_Late_Fee_Relief_Windows_3B!$F$3637:$F$100,"&lt;="&amp;C3637,CBIC_Late_Fee_Relief_Windows_3B!$G$3637:$G$100,"&gt;="&amp;C3637)</f>
        <v/>
      </c>
      <c r="H3637">
        <f>INDEX(CBIC_Late_Fee_Relief_Windows_3B!$I$3637:$I$100,MATCH(G3637,CBIC_Late_Fee_Relief_Windows_3B!$O$3637:$O$100,0))</f>
        <v/>
      </c>
      <c r="I3637">
        <f>MIN(F3637,H3637)</f>
        <v/>
      </c>
    </row>
    <row r="3638">
      <c r="A3638">
        <f>TEST_DATA!A3638</f>
        <v/>
      </c>
      <c r="B3638">
        <f>TEST_DATA!B3638</f>
        <v/>
      </c>
      <c r="C3638">
        <f>TEST_DATA!C3638</f>
        <v/>
      </c>
      <c r="D3638">
        <f>TEST_DATA!D3638</f>
        <v/>
      </c>
      <c r="E3638">
        <f>TEST_DATA!E3638</f>
        <v/>
      </c>
      <c r="F3638">
        <f>MIN(E3638*363800,10000)</f>
        <v/>
      </c>
      <c r="G3638">
        <f>MINIFS(CBIC_Late_Fee_Relief_Windows_3B!$O$3638:$O$100,CBIC_Late_Fee_Relief_Windows_3B!$D$3638:$D$100,"&lt;="&amp;B3638,CBIC_Late_Fee_Relief_Windows_3B!$E$3638:$E$100,"&gt;="&amp;B3638,CBIC_Late_Fee_Relief_Windows_3B!$F$3638:$F$100,"&lt;="&amp;C3638,CBIC_Late_Fee_Relief_Windows_3B!$G$3638:$G$100,"&gt;="&amp;C3638)</f>
        <v/>
      </c>
      <c r="H3638">
        <f>INDEX(CBIC_Late_Fee_Relief_Windows_3B!$I$3638:$I$100,MATCH(G3638,CBIC_Late_Fee_Relief_Windows_3B!$O$3638:$O$100,0))</f>
        <v/>
      </c>
      <c r="I3638">
        <f>MIN(F3638,H3638)</f>
        <v/>
      </c>
    </row>
    <row r="3639">
      <c r="A3639">
        <f>TEST_DATA!A3639</f>
        <v/>
      </c>
      <c r="B3639">
        <f>TEST_DATA!B3639</f>
        <v/>
      </c>
      <c r="C3639">
        <f>TEST_DATA!C3639</f>
        <v/>
      </c>
      <c r="D3639">
        <f>TEST_DATA!D3639</f>
        <v/>
      </c>
      <c r="E3639">
        <f>TEST_DATA!E3639</f>
        <v/>
      </c>
      <c r="F3639">
        <f>MIN(E3639*363900,10000)</f>
        <v/>
      </c>
      <c r="G3639">
        <f>MINIFS(CBIC_Late_Fee_Relief_Windows_3B!$O$3639:$O$100,CBIC_Late_Fee_Relief_Windows_3B!$D$3639:$D$100,"&lt;="&amp;B3639,CBIC_Late_Fee_Relief_Windows_3B!$E$3639:$E$100,"&gt;="&amp;B3639,CBIC_Late_Fee_Relief_Windows_3B!$F$3639:$F$100,"&lt;="&amp;C3639,CBIC_Late_Fee_Relief_Windows_3B!$G$3639:$G$100,"&gt;="&amp;C3639)</f>
        <v/>
      </c>
      <c r="H3639">
        <f>INDEX(CBIC_Late_Fee_Relief_Windows_3B!$I$3639:$I$100,MATCH(G3639,CBIC_Late_Fee_Relief_Windows_3B!$O$3639:$O$100,0))</f>
        <v/>
      </c>
      <c r="I3639">
        <f>MIN(F3639,H3639)</f>
        <v/>
      </c>
    </row>
    <row r="3640">
      <c r="A3640">
        <f>TEST_DATA!A3640</f>
        <v/>
      </c>
      <c r="B3640">
        <f>TEST_DATA!B3640</f>
        <v/>
      </c>
      <c r="C3640">
        <f>TEST_DATA!C3640</f>
        <v/>
      </c>
      <c r="D3640">
        <f>TEST_DATA!D3640</f>
        <v/>
      </c>
      <c r="E3640">
        <f>TEST_DATA!E3640</f>
        <v/>
      </c>
      <c r="F3640">
        <f>MIN(E3640*364000,10000)</f>
        <v/>
      </c>
      <c r="G3640">
        <f>MINIFS(CBIC_Late_Fee_Relief_Windows_3B!$O$3640:$O$100,CBIC_Late_Fee_Relief_Windows_3B!$D$3640:$D$100,"&lt;="&amp;B3640,CBIC_Late_Fee_Relief_Windows_3B!$E$3640:$E$100,"&gt;="&amp;B3640,CBIC_Late_Fee_Relief_Windows_3B!$F$3640:$F$100,"&lt;="&amp;C3640,CBIC_Late_Fee_Relief_Windows_3B!$G$3640:$G$100,"&gt;="&amp;C3640)</f>
        <v/>
      </c>
      <c r="H3640">
        <f>INDEX(CBIC_Late_Fee_Relief_Windows_3B!$I$3640:$I$100,MATCH(G3640,CBIC_Late_Fee_Relief_Windows_3B!$O$3640:$O$100,0))</f>
        <v/>
      </c>
      <c r="I3640">
        <f>MIN(F3640,H3640)</f>
        <v/>
      </c>
    </row>
    <row r="3641">
      <c r="A3641">
        <f>TEST_DATA!A3641</f>
        <v/>
      </c>
      <c r="B3641">
        <f>TEST_DATA!B3641</f>
        <v/>
      </c>
      <c r="C3641">
        <f>TEST_DATA!C3641</f>
        <v/>
      </c>
      <c r="D3641">
        <f>TEST_DATA!D3641</f>
        <v/>
      </c>
      <c r="E3641">
        <f>TEST_DATA!E3641</f>
        <v/>
      </c>
      <c r="F3641">
        <f>MIN(E3641*364100,10000)</f>
        <v/>
      </c>
      <c r="G3641">
        <f>MINIFS(CBIC_Late_Fee_Relief_Windows_3B!$O$3641:$O$100,CBIC_Late_Fee_Relief_Windows_3B!$D$3641:$D$100,"&lt;="&amp;B3641,CBIC_Late_Fee_Relief_Windows_3B!$E$3641:$E$100,"&gt;="&amp;B3641,CBIC_Late_Fee_Relief_Windows_3B!$F$3641:$F$100,"&lt;="&amp;C3641,CBIC_Late_Fee_Relief_Windows_3B!$G$3641:$G$100,"&gt;="&amp;C3641)</f>
        <v/>
      </c>
      <c r="H3641">
        <f>INDEX(CBIC_Late_Fee_Relief_Windows_3B!$I$3641:$I$100,MATCH(G3641,CBIC_Late_Fee_Relief_Windows_3B!$O$3641:$O$100,0))</f>
        <v/>
      </c>
      <c r="I3641">
        <f>MIN(F3641,H3641)</f>
        <v/>
      </c>
    </row>
    <row r="3642">
      <c r="A3642">
        <f>TEST_DATA!A3642</f>
        <v/>
      </c>
      <c r="B3642">
        <f>TEST_DATA!B3642</f>
        <v/>
      </c>
      <c r="C3642">
        <f>TEST_DATA!C3642</f>
        <v/>
      </c>
      <c r="D3642">
        <f>TEST_DATA!D3642</f>
        <v/>
      </c>
      <c r="E3642">
        <f>TEST_DATA!E3642</f>
        <v/>
      </c>
      <c r="F3642">
        <f>MIN(E3642*364200,10000)</f>
        <v/>
      </c>
      <c r="G3642">
        <f>MINIFS(CBIC_Late_Fee_Relief_Windows_3B!$O$3642:$O$100,CBIC_Late_Fee_Relief_Windows_3B!$D$3642:$D$100,"&lt;="&amp;B3642,CBIC_Late_Fee_Relief_Windows_3B!$E$3642:$E$100,"&gt;="&amp;B3642,CBIC_Late_Fee_Relief_Windows_3B!$F$3642:$F$100,"&lt;="&amp;C3642,CBIC_Late_Fee_Relief_Windows_3B!$G$3642:$G$100,"&gt;="&amp;C3642)</f>
        <v/>
      </c>
      <c r="H3642">
        <f>INDEX(CBIC_Late_Fee_Relief_Windows_3B!$I$3642:$I$100,MATCH(G3642,CBIC_Late_Fee_Relief_Windows_3B!$O$3642:$O$100,0))</f>
        <v/>
      </c>
      <c r="I3642">
        <f>MIN(F3642,H3642)</f>
        <v/>
      </c>
    </row>
    <row r="3643">
      <c r="A3643">
        <f>TEST_DATA!A3643</f>
        <v/>
      </c>
      <c r="B3643">
        <f>TEST_DATA!B3643</f>
        <v/>
      </c>
      <c r="C3643">
        <f>TEST_DATA!C3643</f>
        <v/>
      </c>
      <c r="D3643">
        <f>TEST_DATA!D3643</f>
        <v/>
      </c>
      <c r="E3643">
        <f>TEST_DATA!E3643</f>
        <v/>
      </c>
      <c r="F3643">
        <f>MIN(E3643*364300,10000)</f>
        <v/>
      </c>
      <c r="G3643">
        <f>MINIFS(CBIC_Late_Fee_Relief_Windows_3B!$O$3643:$O$100,CBIC_Late_Fee_Relief_Windows_3B!$D$3643:$D$100,"&lt;="&amp;B3643,CBIC_Late_Fee_Relief_Windows_3B!$E$3643:$E$100,"&gt;="&amp;B3643,CBIC_Late_Fee_Relief_Windows_3B!$F$3643:$F$100,"&lt;="&amp;C3643,CBIC_Late_Fee_Relief_Windows_3B!$G$3643:$G$100,"&gt;="&amp;C3643)</f>
        <v/>
      </c>
      <c r="H3643">
        <f>INDEX(CBIC_Late_Fee_Relief_Windows_3B!$I$3643:$I$100,MATCH(G3643,CBIC_Late_Fee_Relief_Windows_3B!$O$3643:$O$100,0))</f>
        <v/>
      </c>
      <c r="I3643">
        <f>MIN(F3643,H3643)</f>
        <v/>
      </c>
    </row>
    <row r="3644">
      <c r="A3644">
        <f>TEST_DATA!A3644</f>
        <v/>
      </c>
      <c r="B3644">
        <f>TEST_DATA!B3644</f>
        <v/>
      </c>
      <c r="C3644">
        <f>TEST_DATA!C3644</f>
        <v/>
      </c>
      <c r="D3644">
        <f>TEST_DATA!D3644</f>
        <v/>
      </c>
      <c r="E3644">
        <f>TEST_DATA!E3644</f>
        <v/>
      </c>
      <c r="F3644">
        <f>MIN(E3644*364400,10000)</f>
        <v/>
      </c>
      <c r="G3644">
        <f>MINIFS(CBIC_Late_Fee_Relief_Windows_3B!$O$3644:$O$100,CBIC_Late_Fee_Relief_Windows_3B!$D$3644:$D$100,"&lt;="&amp;B3644,CBIC_Late_Fee_Relief_Windows_3B!$E$3644:$E$100,"&gt;="&amp;B3644,CBIC_Late_Fee_Relief_Windows_3B!$F$3644:$F$100,"&lt;="&amp;C3644,CBIC_Late_Fee_Relief_Windows_3B!$G$3644:$G$100,"&gt;="&amp;C3644)</f>
        <v/>
      </c>
      <c r="H3644">
        <f>INDEX(CBIC_Late_Fee_Relief_Windows_3B!$I$3644:$I$100,MATCH(G3644,CBIC_Late_Fee_Relief_Windows_3B!$O$3644:$O$100,0))</f>
        <v/>
      </c>
      <c r="I3644">
        <f>MIN(F3644,H3644)</f>
        <v/>
      </c>
    </row>
    <row r="3645">
      <c r="A3645">
        <f>TEST_DATA!A3645</f>
        <v/>
      </c>
      <c r="B3645">
        <f>TEST_DATA!B3645</f>
        <v/>
      </c>
      <c r="C3645">
        <f>TEST_DATA!C3645</f>
        <v/>
      </c>
      <c r="D3645">
        <f>TEST_DATA!D3645</f>
        <v/>
      </c>
      <c r="E3645">
        <f>TEST_DATA!E3645</f>
        <v/>
      </c>
      <c r="F3645">
        <f>MIN(E3645*364500,10000)</f>
        <v/>
      </c>
      <c r="G3645">
        <f>MINIFS(CBIC_Late_Fee_Relief_Windows_3B!$O$3645:$O$100,CBIC_Late_Fee_Relief_Windows_3B!$D$3645:$D$100,"&lt;="&amp;B3645,CBIC_Late_Fee_Relief_Windows_3B!$E$3645:$E$100,"&gt;="&amp;B3645,CBIC_Late_Fee_Relief_Windows_3B!$F$3645:$F$100,"&lt;="&amp;C3645,CBIC_Late_Fee_Relief_Windows_3B!$G$3645:$G$100,"&gt;="&amp;C3645)</f>
        <v/>
      </c>
      <c r="H3645">
        <f>INDEX(CBIC_Late_Fee_Relief_Windows_3B!$I$3645:$I$100,MATCH(G3645,CBIC_Late_Fee_Relief_Windows_3B!$O$3645:$O$100,0))</f>
        <v/>
      </c>
      <c r="I3645">
        <f>MIN(F3645,H3645)</f>
        <v/>
      </c>
    </row>
    <row r="3646">
      <c r="A3646">
        <f>TEST_DATA!A3646</f>
        <v/>
      </c>
      <c r="B3646">
        <f>TEST_DATA!B3646</f>
        <v/>
      </c>
      <c r="C3646">
        <f>TEST_DATA!C3646</f>
        <v/>
      </c>
      <c r="D3646">
        <f>TEST_DATA!D3646</f>
        <v/>
      </c>
      <c r="E3646">
        <f>TEST_DATA!E3646</f>
        <v/>
      </c>
      <c r="F3646">
        <f>MIN(E3646*364600,10000)</f>
        <v/>
      </c>
      <c r="G3646">
        <f>MINIFS(CBIC_Late_Fee_Relief_Windows_3B!$O$3646:$O$100,CBIC_Late_Fee_Relief_Windows_3B!$D$3646:$D$100,"&lt;="&amp;B3646,CBIC_Late_Fee_Relief_Windows_3B!$E$3646:$E$100,"&gt;="&amp;B3646,CBIC_Late_Fee_Relief_Windows_3B!$F$3646:$F$100,"&lt;="&amp;C3646,CBIC_Late_Fee_Relief_Windows_3B!$G$3646:$G$100,"&gt;="&amp;C3646)</f>
        <v/>
      </c>
      <c r="H3646">
        <f>INDEX(CBIC_Late_Fee_Relief_Windows_3B!$I$3646:$I$100,MATCH(G3646,CBIC_Late_Fee_Relief_Windows_3B!$O$3646:$O$100,0))</f>
        <v/>
      </c>
      <c r="I3646">
        <f>MIN(F3646,H3646)</f>
        <v/>
      </c>
    </row>
    <row r="3647">
      <c r="A3647">
        <f>TEST_DATA!A3647</f>
        <v/>
      </c>
      <c r="B3647">
        <f>TEST_DATA!B3647</f>
        <v/>
      </c>
      <c r="C3647">
        <f>TEST_DATA!C3647</f>
        <v/>
      </c>
      <c r="D3647">
        <f>TEST_DATA!D3647</f>
        <v/>
      </c>
      <c r="E3647">
        <f>TEST_DATA!E3647</f>
        <v/>
      </c>
      <c r="F3647">
        <f>MIN(E3647*364700,10000)</f>
        <v/>
      </c>
      <c r="G3647">
        <f>MINIFS(CBIC_Late_Fee_Relief_Windows_3B!$O$3647:$O$100,CBIC_Late_Fee_Relief_Windows_3B!$D$3647:$D$100,"&lt;="&amp;B3647,CBIC_Late_Fee_Relief_Windows_3B!$E$3647:$E$100,"&gt;="&amp;B3647,CBIC_Late_Fee_Relief_Windows_3B!$F$3647:$F$100,"&lt;="&amp;C3647,CBIC_Late_Fee_Relief_Windows_3B!$G$3647:$G$100,"&gt;="&amp;C3647)</f>
        <v/>
      </c>
      <c r="H3647">
        <f>INDEX(CBIC_Late_Fee_Relief_Windows_3B!$I$3647:$I$100,MATCH(G3647,CBIC_Late_Fee_Relief_Windows_3B!$O$3647:$O$100,0))</f>
        <v/>
      </c>
      <c r="I3647">
        <f>MIN(F3647,H3647)</f>
        <v/>
      </c>
    </row>
    <row r="3648">
      <c r="A3648">
        <f>TEST_DATA!A3648</f>
        <v/>
      </c>
      <c r="B3648">
        <f>TEST_DATA!B3648</f>
        <v/>
      </c>
      <c r="C3648">
        <f>TEST_DATA!C3648</f>
        <v/>
      </c>
      <c r="D3648">
        <f>TEST_DATA!D3648</f>
        <v/>
      </c>
      <c r="E3648">
        <f>TEST_DATA!E3648</f>
        <v/>
      </c>
      <c r="F3648">
        <f>MIN(E3648*364800,10000)</f>
        <v/>
      </c>
      <c r="G3648">
        <f>MINIFS(CBIC_Late_Fee_Relief_Windows_3B!$O$3648:$O$100,CBIC_Late_Fee_Relief_Windows_3B!$D$3648:$D$100,"&lt;="&amp;B3648,CBIC_Late_Fee_Relief_Windows_3B!$E$3648:$E$100,"&gt;="&amp;B3648,CBIC_Late_Fee_Relief_Windows_3B!$F$3648:$F$100,"&lt;="&amp;C3648,CBIC_Late_Fee_Relief_Windows_3B!$G$3648:$G$100,"&gt;="&amp;C3648)</f>
        <v/>
      </c>
      <c r="H3648">
        <f>INDEX(CBIC_Late_Fee_Relief_Windows_3B!$I$3648:$I$100,MATCH(G3648,CBIC_Late_Fee_Relief_Windows_3B!$O$3648:$O$100,0))</f>
        <v/>
      </c>
      <c r="I3648">
        <f>MIN(F3648,H3648)</f>
        <v/>
      </c>
    </row>
    <row r="3649">
      <c r="A3649">
        <f>TEST_DATA!A3649</f>
        <v/>
      </c>
      <c r="B3649">
        <f>TEST_DATA!B3649</f>
        <v/>
      </c>
      <c r="C3649">
        <f>TEST_DATA!C3649</f>
        <v/>
      </c>
      <c r="D3649">
        <f>TEST_DATA!D3649</f>
        <v/>
      </c>
      <c r="E3649">
        <f>TEST_DATA!E3649</f>
        <v/>
      </c>
      <c r="F3649">
        <f>MIN(E3649*364900,10000)</f>
        <v/>
      </c>
      <c r="G3649">
        <f>MINIFS(CBIC_Late_Fee_Relief_Windows_3B!$O$3649:$O$100,CBIC_Late_Fee_Relief_Windows_3B!$D$3649:$D$100,"&lt;="&amp;B3649,CBIC_Late_Fee_Relief_Windows_3B!$E$3649:$E$100,"&gt;="&amp;B3649,CBIC_Late_Fee_Relief_Windows_3B!$F$3649:$F$100,"&lt;="&amp;C3649,CBIC_Late_Fee_Relief_Windows_3B!$G$3649:$G$100,"&gt;="&amp;C3649)</f>
        <v/>
      </c>
      <c r="H3649">
        <f>INDEX(CBIC_Late_Fee_Relief_Windows_3B!$I$3649:$I$100,MATCH(G3649,CBIC_Late_Fee_Relief_Windows_3B!$O$3649:$O$100,0))</f>
        <v/>
      </c>
      <c r="I3649">
        <f>MIN(F3649,H3649)</f>
        <v/>
      </c>
    </row>
    <row r="3650">
      <c r="A3650">
        <f>TEST_DATA!A3650</f>
        <v/>
      </c>
      <c r="B3650">
        <f>TEST_DATA!B3650</f>
        <v/>
      </c>
      <c r="C3650">
        <f>TEST_DATA!C3650</f>
        <v/>
      </c>
      <c r="D3650">
        <f>TEST_DATA!D3650</f>
        <v/>
      </c>
      <c r="E3650">
        <f>TEST_DATA!E3650</f>
        <v/>
      </c>
      <c r="F3650">
        <f>MIN(E3650*365000,10000)</f>
        <v/>
      </c>
      <c r="G3650">
        <f>MINIFS(CBIC_Late_Fee_Relief_Windows_3B!$O$3650:$O$100,CBIC_Late_Fee_Relief_Windows_3B!$D$3650:$D$100,"&lt;="&amp;B3650,CBIC_Late_Fee_Relief_Windows_3B!$E$3650:$E$100,"&gt;="&amp;B3650,CBIC_Late_Fee_Relief_Windows_3B!$F$3650:$F$100,"&lt;="&amp;C3650,CBIC_Late_Fee_Relief_Windows_3B!$G$3650:$G$100,"&gt;="&amp;C3650)</f>
        <v/>
      </c>
      <c r="H3650">
        <f>INDEX(CBIC_Late_Fee_Relief_Windows_3B!$I$3650:$I$100,MATCH(G3650,CBIC_Late_Fee_Relief_Windows_3B!$O$3650:$O$100,0))</f>
        <v/>
      </c>
      <c r="I3650">
        <f>MIN(F3650,H3650)</f>
        <v/>
      </c>
    </row>
    <row r="3651">
      <c r="A3651">
        <f>TEST_DATA!A3651</f>
        <v/>
      </c>
      <c r="B3651">
        <f>TEST_DATA!B3651</f>
        <v/>
      </c>
      <c r="C3651">
        <f>TEST_DATA!C3651</f>
        <v/>
      </c>
      <c r="D3651">
        <f>TEST_DATA!D3651</f>
        <v/>
      </c>
      <c r="E3651">
        <f>TEST_DATA!E3651</f>
        <v/>
      </c>
      <c r="F3651">
        <f>MIN(E3651*365100,10000)</f>
        <v/>
      </c>
      <c r="G3651">
        <f>MINIFS(CBIC_Late_Fee_Relief_Windows_3B!$O$3651:$O$100,CBIC_Late_Fee_Relief_Windows_3B!$D$3651:$D$100,"&lt;="&amp;B3651,CBIC_Late_Fee_Relief_Windows_3B!$E$3651:$E$100,"&gt;="&amp;B3651,CBIC_Late_Fee_Relief_Windows_3B!$F$3651:$F$100,"&lt;="&amp;C3651,CBIC_Late_Fee_Relief_Windows_3B!$G$3651:$G$100,"&gt;="&amp;C3651)</f>
        <v/>
      </c>
      <c r="H3651">
        <f>INDEX(CBIC_Late_Fee_Relief_Windows_3B!$I$3651:$I$100,MATCH(G3651,CBIC_Late_Fee_Relief_Windows_3B!$O$3651:$O$100,0))</f>
        <v/>
      </c>
      <c r="I3651">
        <f>MIN(F3651,H3651)</f>
        <v/>
      </c>
    </row>
    <row r="3652">
      <c r="A3652">
        <f>TEST_DATA!A3652</f>
        <v/>
      </c>
      <c r="B3652">
        <f>TEST_DATA!B3652</f>
        <v/>
      </c>
      <c r="C3652">
        <f>TEST_DATA!C3652</f>
        <v/>
      </c>
      <c r="D3652">
        <f>TEST_DATA!D3652</f>
        <v/>
      </c>
      <c r="E3652">
        <f>TEST_DATA!E3652</f>
        <v/>
      </c>
      <c r="F3652">
        <f>MIN(E3652*365200,10000)</f>
        <v/>
      </c>
      <c r="G3652">
        <f>MINIFS(CBIC_Late_Fee_Relief_Windows_3B!$O$3652:$O$100,CBIC_Late_Fee_Relief_Windows_3B!$D$3652:$D$100,"&lt;="&amp;B3652,CBIC_Late_Fee_Relief_Windows_3B!$E$3652:$E$100,"&gt;="&amp;B3652,CBIC_Late_Fee_Relief_Windows_3B!$F$3652:$F$100,"&lt;="&amp;C3652,CBIC_Late_Fee_Relief_Windows_3B!$G$3652:$G$100,"&gt;="&amp;C3652)</f>
        <v/>
      </c>
      <c r="H3652">
        <f>INDEX(CBIC_Late_Fee_Relief_Windows_3B!$I$3652:$I$100,MATCH(G3652,CBIC_Late_Fee_Relief_Windows_3B!$O$3652:$O$100,0))</f>
        <v/>
      </c>
      <c r="I3652">
        <f>MIN(F3652,H3652)</f>
        <v/>
      </c>
    </row>
    <row r="3653">
      <c r="A3653">
        <f>TEST_DATA!A3653</f>
        <v/>
      </c>
      <c r="B3653">
        <f>TEST_DATA!B3653</f>
        <v/>
      </c>
      <c r="C3653">
        <f>TEST_DATA!C3653</f>
        <v/>
      </c>
      <c r="D3653">
        <f>TEST_DATA!D3653</f>
        <v/>
      </c>
      <c r="E3653">
        <f>TEST_DATA!E3653</f>
        <v/>
      </c>
      <c r="F3653">
        <f>MIN(E3653*365300,10000)</f>
        <v/>
      </c>
      <c r="G3653">
        <f>MINIFS(CBIC_Late_Fee_Relief_Windows_3B!$O$3653:$O$100,CBIC_Late_Fee_Relief_Windows_3B!$D$3653:$D$100,"&lt;="&amp;B3653,CBIC_Late_Fee_Relief_Windows_3B!$E$3653:$E$100,"&gt;="&amp;B3653,CBIC_Late_Fee_Relief_Windows_3B!$F$3653:$F$100,"&lt;="&amp;C3653,CBIC_Late_Fee_Relief_Windows_3B!$G$3653:$G$100,"&gt;="&amp;C3653)</f>
        <v/>
      </c>
      <c r="H3653">
        <f>INDEX(CBIC_Late_Fee_Relief_Windows_3B!$I$3653:$I$100,MATCH(G3653,CBIC_Late_Fee_Relief_Windows_3B!$O$3653:$O$100,0))</f>
        <v/>
      </c>
      <c r="I3653">
        <f>MIN(F3653,H3653)</f>
        <v/>
      </c>
    </row>
    <row r="3654">
      <c r="A3654">
        <f>TEST_DATA!A3654</f>
        <v/>
      </c>
      <c r="B3654">
        <f>TEST_DATA!B3654</f>
        <v/>
      </c>
      <c r="C3654">
        <f>TEST_DATA!C3654</f>
        <v/>
      </c>
      <c r="D3654">
        <f>TEST_DATA!D3654</f>
        <v/>
      </c>
      <c r="E3654">
        <f>TEST_DATA!E3654</f>
        <v/>
      </c>
      <c r="F3654">
        <f>MIN(E3654*365400,10000)</f>
        <v/>
      </c>
      <c r="G3654">
        <f>MINIFS(CBIC_Late_Fee_Relief_Windows_3B!$O$3654:$O$100,CBIC_Late_Fee_Relief_Windows_3B!$D$3654:$D$100,"&lt;="&amp;B3654,CBIC_Late_Fee_Relief_Windows_3B!$E$3654:$E$100,"&gt;="&amp;B3654,CBIC_Late_Fee_Relief_Windows_3B!$F$3654:$F$100,"&lt;="&amp;C3654,CBIC_Late_Fee_Relief_Windows_3B!$G$3654:$G$100,"&gt;="&amp;C3654)</f>
        <v/>
      </c>
      <c r="H3654">
        <f>INDEX(CBIC_Late_Fee_Relief_Windows_3B!$I$3654:$I$100,MATCH(G3654,CBIC_Late_Fee_Relief_Windows_3B!$O$3654:$O$100,0))</f>
        <v/>
      </c>
      <c r="I3654">
        <f>MIN(F3654,H3654)</f>
        <v/>
      </c>
    </row>
    <row r="3655">
      <c r="A3655">
        <f>TEST_DATA!A3655</f>
        <v/>
      </c>
      <c r="B3655">
        <f>TEST_DATA!B3655</f>
        <v/>
      </c>
      <c r="C3655">
        <f>TEST_DATA!C3655</f>
        <v/>
      </c>
      <c r="D3655">
        <f>TEST_DATA!D3655</f>
        <v/>
      </c>
      <c r="E3655">
        <f>TEST_DATA!E3655</f>
        <v/>
      </c>
      <c r="F3655">
        <f>MIN(E3655*365500,10000)</f>
        <v/>
      </c>
      <c r="G3655">
        <f>MINIFS(CBIC_Late_Fee_Relief_Windows_3B!$O$3655:$O$100,CBIC_Late_Fee_Relief_Windows_3B!$D$3655:$D$100,"&lt;="&amp;B3655,CBIC_Late_Fee_Relief_Windows_3B!$E$3655:$E$100,"&gt;="&amp;B3655,CBIC_Late_Fee_Relief_Windows_3B!$F$3655:$F$100,"&lt;="&amp;C3655,CBIC_Late_Fee_Relief_Windows_3B!$G$3655:$G$100,"&gt;="&amp;C3655)</f>
        <v/>
      </c>
      <c r="H3655">
        <f>INDEX(CBIC_Late_Fee_Relief_Windows_3B!$I$3655:$I$100,MATCH(G3655,CBIC_Late_Fee_Relief_Windows_3B!$O$3655:$O$100,0))</f>
        <v/>
      </c>
      <c r="I3655">
        <f>MIN(F3655,H3655)</f>
        <v/>
      </c>
    </row>
    <row r="3656">
      <c r="A3656">
        <f>TEST_DATA!A3656</f>
        <v/>
      </c>
      <c r="B3656">
        <f>TEST_DATA!B3656</f>
        <v/>
      </c>
      <c r="C3656">
        <f>TEST_DATA!C3656</f>
        <v/>
      </c>
      <c r="D3656">
        <f>TEST_DATA!D3656</f>
        <v/>
      </c>
      <c r="E3656">
        <f>TEST_DATA!E3656</f>
        <v/>
      </c>
      <c r="F3656">
        <f>MIN(E3656*365600,10000)</f>
        <v/>
      </c>
      <c r="G3656">
        <f>MINIFS(CBIC_Late_Fee_Relief_Windows_3B!$O$3656:$O$100,CBIC_Late_Fee_Relief_Windows_3B!$D$3656:$D$100,"&lt;="&amp;B3656,CBIC_Late_Fee_Relief_Windows_3B!$E$3656:$E$100,"&gt;="&amp;B3656,CBIC_Late_Fee_Relief_Windows_3B!$F$3656:$F$100,"&lt;="&amp;C3656,CBIC_Late_Fee_Relief_Windows_3B!$G$3656:$G$100,"&gt;="&amp;C3656)</f>
        <v/>
      </c>
      <c r="H3656">
        <f>INDEX(CBIC_Late_Fee_Relief_Windows_3B!$I$3656:$I$100,MATCH(G3656,CBIC_Late_Fee_Relief_Windows_3B!$O$3656:$O$100,0))</f>
        <v/>
      </c>
      <c r="I3656">
        <f>MIN(F3656,H3656)</f>
        <v/>
      </c>
    </row>
    <row r="3657">
      <c r="A3657">
        <f>TEST_DATA!A3657</f>
        <v/>
      </c>
      <c r="B3657">
        <f>TEST_DATA!B3657</f>
        <v/>
      </c>
      <c r="C3657">
        <f>TEST_DATA!C3657</f>
        <v/>
      </c>
      <c r="D3657">
        <f>TEST_DATA!D3657</f>
        <v/>
      </c>
      <c r="E3657">
        <f>TEST_DATA!E3657</f>
        <v/>
      </c>
      <c r="F3657">
        <f>MIN(E3657*365700,10000)</f>
        <v/>
      </c>
      <c r="G3657">
        <f>MINIFS(CBIC_Late_Fee_Relief_Windows_3B!$O$3657:$O$100,CBIC_Late_Fee_Relief_Windows_3B!$D$3657:$D$100,"&lt;="&amp;B3657,CBIC_Late_Fee_Relief_Windows_3B!$E$3657:$E$100,"&gt;="&amp;B3657,CBIC_Late_Fee_Relief_Windows_3B!$F$3657:$F$100,"&lt;="&amp;C3657,CBIC_Late_Fee_Relief_Windows_3B!$G$3657:$G$100,"&gt;="&amp;C3657)</f>
        <v/>
      </c>
      <c r="H3657">
        <f>INDEX(CBIC_Late_Fee_Relief_Windows_3B!$I$3657:$I$100,MATCH(G3657,CBIC_Late_Fee_Relief_Windows_3B!$O$3657:$O$100,0))</f>
        <v/>
      </c>
      <c r="I3657">
        <f>MIN(F3657,H3657)</f>
        <v/>
      </c>
    </row>
    <row r="3658">
      <c r="A3658">
        <f>TEST_DATA!A3658</f>
        <v/>
      </c>
      <c r="B3658">
        <f>TEST_DATA!B3658</f>
        <v/>
      </c>
      <c r="C3658">
        <f>TEST_DATA!C3658</f>
        <v/>
      </c>
      <c r="D3658">
        <f>TEST_DATA!D3658</f>
        <v/>
      </c>
      <c r="E3658">
        <f>TEST_DATA!E3658</f>
        <v/>
      </c>
      <c r="F3658">
        <f>MIN(E3658*365800,10000)</f>
        <v/>
      </c>
      <c r="G3658">
        <f>MINIFS(CBIC_Late_Fee_Relief_Windows_3B!$O$3658:$O$100,CBIC_Late_Fee_Relief_Windows_3B!$D$3658:$D$100,"&lt;="&amp;B3658,CBIC_Late_Fee_Relief_Windows_3B!$E$3658:$E$100,"&gt;="&amp;B3658,CBIC_Late_Fee_Relief_Windows_3B!$F$3658:$F$100,"&lt;="&amp;C3658,CBIC_Late_Fee_Relief_Windows_3B!$G$3658:$G$100,"&gt;="&amp;C3658)</f>
        <v/>
      </c>
      <c r="H3658">
        <f>INDEX(CBIC_Late_Fee_Relief_Windows_3B!$I$3658:$I$100,MATCH(G3658,CBIC_Late_Fee_Relief_Windows_3B!$O$3658:$O$100,0))</f>
        <v/>
      </c>
      <c r="I3658">
        <f>MIN(F3658,H3658)</f>
        <v/>
      </c>
    </row>
    <row r="3659">
      <c r="A3659">
        <f>TEST_DATA!A3659</f>
        <v/>
      </c>
      <c r="B3659">
        <f>TEST_DATA!B3659</f>
        <v/>
      </c>
      <c r="C3659">
        <f>TEST_DATA!C3659</f>
        <v/>
      </c>
      <c r="D3659">
        <f>TEST_DATA!D3659</f>
        <v/>
      </c>
      <c r="E3659">
        <f>TEST_DATA!E3659</f>
        <v/>
      </c>
      <c r="F3659">
        <f>MIN(E3659*365900,10000)</f>
        <v/>
      </c>
      <c r="G3659">
        <f>MINIFS(CBIC_Late_Fee_Relief_Windows_3B!$O$3659:$O$100,CBIC_Late_Fee_Relief_Windows_3B!$D$3659:$D$100,"&lt;="&amp;B3659,CBIC_Late_Fee_Relief_Windows_3B!$E$3659:$E$100,"&gt;="&amp;B3659,CBIC_Late_Fee_Relief_Windows_3B!$F$3659:$F$100,"&lt;="&amp;C3659,CBIC_Late_Fee_Relief_Windows_3B!$G$3659:$G$100,"&gt;="&amp;C3659)</f>
        <v/>
      </c>
      <c r="H3659">
        <f>INDEX(CBIC_Late_Fee_Relief_Windows_3B!$I$3659:$I$100,MATCH(G3659,CBIC_Late_Fee_Relief_Windows_3B!$O$3659:$O$100,0))</f>
        <v/>
      </c>
      <c r="I3659">
        <f>MIN(F3659,H3659)</f>
        <v/>
      </c>
    </row>
    <row r="3660">
      <c r="A3660">
        <f>TEST_DATA!A3660</f>
        <v/>
      </c>
      <c r="B3660">
        <f>TEST_DATA!B3660</f>
        <v/>
      </c>
      <c r="C3660">
        <f>TEST_DATA!C3660</f>
        <v/>
      </c>
      <c r="D3660">
        <f>TEST_DATA!D3660</f>
        <v/>
      </c>
      <c r="E3660">
        <f>TEST_DATA!E3660</f>
        <v/>
      </c>
      <c r="F3660">
        <f>MIN(E3660*366000,10000)</f>
        <v/>
      </c>
      <c r="G3660">
        <f>MINIFS(CBIC_Late_Fee_Relief_Windows_3B!$O$3660:$O$100,CBIC_Late_Fee_Relief_Windows_3B!$D$3660:$D$100,"&lt;="&amp;B3660,CBIC_Late_Fee_Relief_Windows_3B!$E$3660:$E$100,"&gt;="&amp;B3660,CBIC_Late_Fee_Relief_Windows_3B!$F$3660:$F$100,"&lt;="&amp;C3660,CBIC_Late_Fee_Relief_Windows_3B!$G$3660:$G$100,"&gt;="&amp;C3660)</f>
        <v/>
      </c>
      <c r="H3660">
        <f>INDEX(CBIC_Late_Fee_Relief_Windows_3B!$I$3660:$I$100,MATCH(G3660,CBIC_Late_Fee_Relief_Windows_3B!$O$3660:$O$100,0))</f>
        <v/>
      </c>
      <c r="I3660">
        <f>MIN(F3660,H3660)</f>
        <v/>
      </c>
    </row>
    <row r="3661">
      <c r="A3661">
        <f>TEST_DATA!A3661</f>
        <v/>
      </c>
      <c r="B3661">
        <f>TEST_DATA!B3661</f>
        <v/>
      </c>
      <c r="C3661">
        <f>TEST_DATA!C3661</f>
        <v/>
      </c>
      <c r="D3661">
        <f>TEST_DATA!D3661</f>
        <v/>
      </c>
      <c r="E3661">
        <f>TEST_DATA!E3661</f>
        <v/>
      </c>
      <c r="F3661">
        <f>MIN(E3661*366100,10000)</f>
        <v/>
      </c>
      <c r="G3661">
        <f>MINIFS(CBIC_Late_Fee_Relief_Windows_3B!$O$3661:$O$100,CBIC_Late_Fee_Relief_Windows_3B!$D$3661:$D$100,"&lt;="&amp;B3661,CBIC_Late_Fee_Relief_Windows_3B!$E$3661:$E$100,"&gt;="&amp;B3661,CBIC_Late_Fee_Relief_Windows_3B!$F$3661:$F$100,"&lt;="&amp;C3661,CBIC_Late_Fee_Relief_Windows_3B!$G$3661:$G$100,"&gt;="&amp;C3661)</f>
        <v/>
      </c>
      <c r="H3661">
        <f>INDEX(CBIC_Late_Fee_Relief_Windows_3B!$I$3661:$I$100,MATCH(G3661,CBIC_Late_Fee_Relief_Windows_3B!$O$3661:$O$100,0))</f>
        <v/>
      </c>
      <c r="I3661">
        <f>MIN(F3661,H3661)</f>
        <v/>
      </c>
    </row>
    <row r="3662">
      <c r="A3662">
        <f>TEST_DATA!A3662</f>
        <v/>
      </c>
      <c r="B3662">
        <f>TEST_DATA!B3662</f>
        <v/>
      </c>
      <c r="C3662">
        <f>TEST_DATA!C3662</f>
        <v/>
      </c>
      <c r="D3662">
        <f>TEST_DATA!D3662</f>
        <v/>
      </c>
      <c r="E3662">
        <f>TEST_DATA!E3662</f>
        <v/>
      </c>
      <c r="F3662">
        <f>MIN(E3662*366200,10000)</f>
        <v/>
      </c>
      <c r="G3662">
        <f>MINIFS(CBIC_Late_Fee_Relief_Windows_3B!$O$3662:$O$100,CBIC_Late_Fee_Relief_Windows_3B!$D$3662:$D$100,"&lt;="&amp;B3662,CBIC_Late_Fee_Relief_Windows_3B!$E$3662:$E$100,"&gt;="&amp;B3662,CBIC_Late_Fee_Relief_Windows_3B!$F$3662:$F$100,"&lt;="&amp;C3662,CBIC_Late_Fee_Relief_Windows_3B!$G$3662:$G$100,"&gt;="&amp;C3662)</f>
        <v/>
      </c>
      <c r="H3662">
        <f>INDEX(CBIC_Late_Fee_Relief_Windows_3B!$I$3662:$I$100,MATCH(G3662,CBIC_Late_Fee_Relief_Windows_3B!$O$3662:$O$100,0))</f>
        <v/>
      </c>
      <c r="I3662">
        <f>MIN(F3662,H3662)</f>
        <v/>
      </c>
    </row>
    <row r="3663">
      <c r="A3663">
        <f>TEST_DATA!A3663</f>
        <v/>
      </c>
      <c r="B3663">
        <f>TEST_DATA!B3663</f>
        <v/>
      </c>
      <c r="C3663">
        <f>TEST_DATA!C3663</f>
        <v/>
      </c>
      <c r="D3663">
        <f>TEST_DATA!D3663</f>
        <v/>
      </c>
      <c r="E3663">
        <f>TEST_DATA!E3663</f>
        <v/>
      </c>
      <c r="F3663">
        <f>MIN(E3663*366300,10000)</f>
        <v/>
      </c>
      <c r="G3663">
        <f>MINIFS(CBIC_Late_Fee_Relief_Windows_3B!$O$3663:$O$100,CBIC_Late_Fee_Relief_Windows_3B!$D$3663:$D$100,"&lt;="&amp;B3663,CBIC_Late_Fee_Relief_Windows_3B!$E$3663:$E$100,"&gt;="&amp;B3663,CBIC_Late_Fee_Relief_Windows_3B!$F$3663:$F$100,"&lt;="&amp;C3663,CBIC_Late_Fee_Relief_Windows_3B!$G$3663:$G$100,"&gt;="&amp;C3663)</f>
        <v/>
      </c>
      <c r="H3663">
        <f>INDEX(CBIC_Late_Fee_Relief_Windows_3B!$I$3663:$I$100,MATCH(G3663,CBIC_Late_Fee_Relief_Windows_3B!$O$3663:$O$100,0))</f>
        <v/>
      </c>
      <c r="I3663">
        <f>MIN(F3663,H3663)</f>
        <v/>
      </c>
    </row>
    <row r="3664">
      <c r="A3664">
        <f>TEST_DATA!A3664</f>
        <v/>
      </c>
      <c r="B3664">
        <f>TEST_DATA!B3664</f>
        <v/>
      </c>
      <c r="C3664">
        <f>TEST_DATA!C3664</f>
        <v/>
      </c>
      <c r="D3664">
        <f>TEST_DATA!D3664</f>
        <v/>
      </c>
      <c r="E3664">
        <f>TEST_DATA!E3664</f>
        <v/>
      </c>
      <c r="F3664">
        <f>MIN(E3664*366400,10000)</f>
        <v/>
      </c>
      <c r="G3664">
        <f>MINIFS(CBIC_Late_Fee_Relief_Windows_3B!$O$3664:$O$100,CBIC_Late_Fee_Relief_Windows_3B!$D$3664:$D$100,"&lt;="&amp;B3664,CBIC_Late_Fee_Relief_Windows_3B!$E$3664:$E$100,"&gt;="&amp;B3664,CBIC_Late_Fee_Relief_Windows_3B!$F$3664:$F$100,"&lt;="&amp;C3664,CBIC_Late_Fee_Relief_Windows_3B!$G$3664:$G$100,"&gt;="&amp;C3664)</f>
        <v/>
      </c>
      <c r="H3664">
        <f>INDEX(CBIC_Late_Fee_Relief_Windows_3B!$I$3664:$I$100,MATCH(G3664,CBIC_Late_Fee_Relief_Windows_3B!$O$3664:$O$100,0))</f>
        <v/>
      </c>
      <c r="I3664">
        <f>MIN(F3664,H3664)</f>
        <v/>
      </c>
    </row>
    <row r="3665">
      <c r="A3665">
        <f>TEST_DATA!A3665</f>
        <v/>
      </c>
      <c r="B3665">
        <f>TEST_DATA!B3665</f>
        <v/>
      </c>
      <c r="C3665">
        <f>TEST_DATA!C3665</f>
        <v/>
      </c>
      <c r="D3665">
        <f>TEST_DATA!D3665</f>
        <v/>
      </c>
      <c r="E3665">
        <f>TEST_DATA!E3665</f>
        <v/>
      </c>
      <c r="F3665">
        <f>MIN(E3665*366500,10000)</f>
        <v/>
      </c>
      <c r="G3665">
        <f>MINIFS(CBIC_Late_Fee_Relief_Windows_3B!$O$3665:$O$100,CBIC_Late_Fee_Relief_Windows_3B!$D$3665:$D$100,"&lt;="&amp;B3665,CBIC_Late_Fee_Relief_Windows_3B!$E$3665:$E$100,"&gt;="&amp;B3665,CBIC_Late_Fee_Relief_Windows_3B!$F$3665:$F$100,"&lt;="&amp;C3665,CBIC_Late_Fee_Relief_Windows_3B!$G$3665:$G$100,"&gt;="&amp;C3665)</f>
        <v/>
      </c>
      <c r="H3665">
        <f>INDEX(CBIC_Late_Fee_Relief_Windows_3B!$I$3665:$I$100,MATCH(G3665,CBIC_Late_Fee_Relief_Windows_3B!$O$3665:$O$100,0))</f>
        <v/>
      </c>
      <c r="I3665">
        <f>MIN(F3665,H3665)</f>
        <v/>
      </c>
    </row>
    <row r="3666">
      <c r="A3666">
        <f>TEST_DATA!A3666</f>
        <v/>
      </c>
      <c r="B3666">
        <f>TEST_DATA!B3666</f>
        <v/>
      </c>
      <c r="C3666">
        <f>TEST_DATA!C3666</f>
        <v/>
      </c>
      <c r="D3666">
        <f>TEST_DATA!D3666</f>
        <v/>
      </c>
      <c r="E3666">
        <f>TEST_DATA!E3666</f>
        <v/>
      </c>
      <c r="F3666">
        <f>MIN(E3666*366600,10000)</f>
        <v/>
      </c>
      <c r="G3666">
        <f>MINIFS(CBIC_Late_Fee_Relief_Windows_3B!$O$3666:$O$100,CBIC_Late_Fee_Relief_Windows_3B!$D$3666:$D$100,"&lt;="&amp;B3666,CBIC_Late_Fee_Relief_Windows_3B!$E$3666:$E$100,"&gt;="&amp;B3666,CBIC_Late_Fee_Relief_Windows_3B!$F$3666:$F$100,"&lt;="&amp;C3666,CBIC_Late_Fee_Relief_Windows_3B!$G$3666:$G$100,"&gt;="&amp;C3666)</f>
        <v/>
      </c>
      <c r="H3666">
        <f>INDEX(CBIC_Late_Fee_Relief_Windows_3B!$I$3666:$I$100,MATCH(G3666,CBIC_Late_Fee_Relief_Windows_3B!$O$3666:$O$100,0))</f>
        <v/>
      </c>
      <c r="I3666">
        <f>MIN(F3666,H3666)</f>
        <v/>
      </c>
    </row>
    <row r="3667">
      <c r="A3667">
        <f>TEST_DATA!A3667</f>
        <v/>
      </c>
      <c r="B3667">
        <f>TEST_DATA!B3667</f>
        <v/>
      </c>
      <c r="C3667">
        <f>TEST_DATA!C3667</f>
        <v/>
      </c>
      <c r="D3667">
        <f>TEST_DATA!D3667</f>
        <v/>
      </c>
      <c r="E3667">
        <f>TEST_DATA!E3667</f>
        <v/>
      </c>
      <c r="F3667">
        <f>MIN(E3667*366700,10000)</f>
        <v/>
      </c>
      <c r="G3667">
        <f>MINIFS(CBIC_Late_Fee_Relief_Windows_3B!$O$3667:$O$100,CBIC_Late_Fee_Relief_Windows_3B!$D$3667:$D$100,"&lt;="&amp;B3667,CBIC_Late_Fee_Relief_Windows_3B!$E$3667:$E$100,"&gt;="&amp;B3667,CBIC_Late_Fee_Relief_Windows_3B!$F$3667:$F$100,"&lt;="&amp;C3667,CBIC_Late_Fee_Relief_Windows_3B!$G$3667:$G$100,"&gt;="&amp;C3667)</f>
        <v/>
      </c>
      <c r="H3667">
        <f>INDEX(CBIC_Late_Fee_Relief_Windows_3B!$I$3667:$I$100,MATCH(G3667,CBIC_Late_Fee_Relief_Windows_3B!$O$3667:$O$100,0))</f>
        <v/>
      </c>
      <c r="I3667">
        <f>MIN(F3667,H3667)</f>
        <v/>
      </c>
    </row>
    <row r="3668">
      <c r="A3668">
        <f>TEST_DATA!A3668</f>
        <v/>
      </c>
      <c r="B3668">
        <f>TEST_DATA!B3668</f>
        <v/>
      </c>
      <c r="C3668">
        <f>TEST_DATA!C3668</f>
        <v/>
      </c>
      <c r="D3668">
        <f>TEST_DATA!D3668</f>
        <v/>
      </c>
      <c r="E3668">
        <f>TEST_DATA!E3668</f>
        <v/>
      </c>
      <c r="F3668">
        <f>MIN(E3668*366800,10000)</f>
        <v/>
      </c>
      <c r="G3668">
        <f>MINIFS(CBIC_Late_Fee_Relief_Windows_3B!$O$3668:$O$100,CBIC_Late_Fee_Relief_Windows_3B!$D$3668:$D$100,"&lt;="&amp;B3668,CBIC_Late_Fee_Relief_Windows_3B!$E$3668:$E$100,"&gt;="&amp;B3668,CBIC_Late_Fee_Relief_Windows_3B!$F$3668:$F$100,"&lt;="&amp;C3668,CBIC_Late_Fee_Relief_Windows_3B!$G$3668:$G$100,"&gt;="&amp;C3668)</f>
        <v/>
      </c>
      <c r="H3668">
        <f>INDEX(CBIC_Late_Fee_Relief_Windows_3B!$I$3668:$I$100,MATCH(G3668,CBIC_Late_Fee_Relief_Windows_3B!$O$3668:$O$100,0))</f>
        <v/>
      </c>
      <c r="I3668">
        <f>MIN(F3668,H3668)</f>
        <v/>
      </c>
    </row>
    <row r="3669">
      <c r="A3669">
        <f>TEST_DATA!A3669</f>
        <v/>
      </c>
      <c r="B3669">
        <f>TEST_DATA!B3669</f>
        <v/>
      </c>
      <c r="C3669">
        <f>TEST_DATA!C3669</f>
        <v/>
      </c>
      <c r="D3669">
        <f>TEST_DATA!D3669</f>
        <v/>
      </c>
      <c r="E3669">
        <f>TEST_DATA!E3669</f>
        <v/>
      </c>
      <c r="F3669">
        <f>MIN(E3669*366900,10000)</f>
        <v/>
      </c>
      <c r="G3669">
        <f>MINIFS(CBIC_Late_Fee_Relief_Windows_3B!$O$3669:$O$100,CBIC_Late_Fee_Relief_Windows_3B!$D$3669:$D$100,"&lt;="&amp;B3669,CBIC_Late_Fee_Relief_Windows_3B!$E$3669:$E$100,"&gt;="&amp;B3669,CBIC_Late_Fee_Relief_Windows_3B!$F$3669:$F$100,"&lt;="&amp;C3669,CBIC_Late_Fee_Relief_Windows_3B!$G$3669:$G$100,"&gt;="&amp;C3669)</f>
        <v/>
      </c>
      <c r="H3669">
        <f>INDEX(CBIC_Late_Fee_Relief_Windows_3B!$I$3669:$I$100,MATCH(G3669,CBIC_Late_Fee_Relief_Windows_3B!$O$3669:$O$100,0))</f>
        <v/>
      </c>
      <c r="I3669">
        <f>MIN(F3669,H3669)</f>
        <v/>
      </c>
    </row>
    <row r="3670">
      <c r="A3670">
        <f>TEST_DATA!A3670</f>
        <v/>
      </c>
      <c r="B3670">
        <f>TEST_DATA!B3670</f>
        <v/>
      </c>
      <c r="C3670">
        <f>TEST_DATA!C3670</f>
        <v/>
      </c>
      <c r="D3670">
        <f>TEST_DATA!D3670</f>
        <v/>
      </c>
      <c r="E3670">
        <f>TEST_DATA!E3670</f>
        <v/>
      </c>
      <c r="F3670">
        <f>MIN(E3670*367000,10000)</f>
        <v/>
      </c>
      <c r="G3670">
        <f>MINIFS(CBIC_Late_Fee_Relief_Windows_3B!$O$3670:$O$100,CBIC_Late_Fee_Relief_Windows_3B!$D$3670:$D$100,"&lt;="&amp;B3670,CBIC_Late_Fee_Relief_Windows_3B!$E$3670:$E$100,"&gt;="&amp;B3670,CBIC_Late_Fee_Relief_Windows_3B!$F$3670:$F$100,"&lt;="&amp;C3670,CBIC_Late_Fee_Relief_Windows_3B!$G$3670:$G$100,"&gt;="&amp;C3670)</f>
        <v/>
      </c>
      <c r="H3670">
        <f>INDEX(CBIC_Late_Fee_Relief_Windows_3B!$I$3670:$I$100,MATCH(G3670,CBIC_Late_Fee_Relief_Windows_3B!$O$3670:$O$100,0))</f>
        <v/>
      </c>
      <c r="I3670">
        <f>MIN(F3670,H3670)</f>
        <v/>
      </c>
    </row>
    <row r="3671">
      <c r="A3671">
        <f>TEST_DATA!A3671</f>
        <v/>
      </c>
      <c r="B3671">
        <f>TEST_DATA!B3671</f>
        <v/>
      </c>
      <c r="C3671">
        <f>TEST_DATA!C3671</f>
        <v/>
      </c>
      <c r="D3671">
        <f>TEST_DATA!D3671</f>
        <v/>
      </c>
      <c r="E3671">
        <f>TEST_DATA!E3671</f>
        <v/>
      </c>
      <c r="F3671">
        <f>MIN(E3671*367100,10000)</f>
        <v/>
      </c>
      <c r="G3671">
        <f>MINIFS(CBIC_Late_Fee_Relief_Windows_3B!$O$3671:$O$100,CBIC_Late_Fee_Relief_Windows_3B!$D$3671:$D$100,"&lt;="&amp;B3671,CBIC_Late_Fee_Relief_Windows_3B!$E$3671:$E$100,"&gt;="&amp;B3671,CBIC_Late_Fee_Relief_Windows_3B!$F$3671:$F$100,"&lt;="&amp;C3671,CBIC_Late_Fee_Relief_Windows_3B!$G$3671:$G$100,"&gt;="&amp;C3671)</f>
        <v/>
      </c>
      <c r="H3671">
        <f>INDEX(CBIC_Late_Fee_Relief_Windows_3B!$I$3671:$I$100,MATCH(G3671,CBIC_Late_Fee_Relief_Windows_3B!$O$3671:$O$100,0))</f>
        <v/>
      </c>
      <c r="I3671">
        <f>MIN(F3671,H3671)</f>
        <v/>
      </c>
    </row>
    <row r="3672">
      <c r="A3672">
        <f>TEST_DATA!A3672</f>
        <v/>
      </c>
      <c r="B3672">
        <f>TEST_DATA!B3672</f>
        <v/>
      </c>
      <c r="C3672">
        <f>TEST_DATA!C3672</f>
        <v/>
      </c>
      <c r="D3672">
        <f>TEST_DATA!D3672</f>
        <v/>
      </c>
      <c r="E3672">
        <f>TEST_DATA!E3672</f>
        <v/>
      </c>
      <c r="F3672">
        <f>MIN(E3672*367200,10000)</f>
        <v/>
      </c>
      <c r="G3672">
        <f>MINIFS(CBIC_Late_Fee_Relief_Windows_3B!$O$3672:$O$100,CBIC_Late_Fee_Relief_Windows_3B!$D$3672:$D$100,"&lt;="&amp;B3672,CBIC_Late_Fee_Relief_Windows_3B!$E$3672:$E$100,"&gt;="&amp;B3672,CBIC_Late_Fee_Relief_Windows_3B!$F$3672:$F$100,"&lt;="&amp;C3672,CBIC_Late_Fee_Relief_Windows_3B!$G$3672:$G$100,"&gt;="&amp;C3672)</f>
        <v/>
      </c>
      <c r="H3672">
        <f>INDEX(CBIC_Late_Fee_Relief_Windows_3B!$I$3672:$I$100,MATCH(G3672,CBIC_Late_Fee_Relief_Windows_3B!$O$3672:$O$100,0))</f>
        <v/>
      </c>
      <c r="I3672">
        <f>MIN(F3672,H3672)</f>
        <v/>
      </c>
    </row>
    <row r="3673">
      <c r="A3673">
        <f>TEST_DATA!A3673</f>
        <v/>
      </c>
      <c r="B3673">
        <f>TEST_DATA!B3673</f>
        <v/>
      </c>
      <c r="C3673">
        <f>TEST_DATA!C3673</f>
        <v/>
      </c>
      <c r="D3673">
        <f>TEST_DATA!D3673</f>
        <v/>
      </c>
      <c r="E3673">
        <f>TEST_DATA!E3673</f>
        <v/>
      </c>
      <c r="F3673">
        <f>MIN(E3673*367300,10000)</f>
        <v/>
      </c>
      <c r="G3673">
        <f>MINIFS(CBIC_Late_Fee_Relief_Windows_3B!$O$3673:$O$100,CBIC_Late_Fee_Relief_Windows_3B!$D$3673:$D$100,"&lt;="&amp;B3673,CBIC_Late_Fee_Relief_Windows_3B!$E$3673:$E$100,"&gt;="&amp;B3673,CBIC_Late_Fee_Relief_Windows_3B!$F$3673:$F$100,"&lt;="&amp;C3673,CBIC_Late_Fee_Relief_Windows_3B!$G$3673:$G$100,"&gt;="&amp;C3673)</f>
        <v/>
      </c>
      <c r="H3673">
        <f>INDEX(CBIC_Late_Fee_Relief_Windows_3B!$I$3673:$I$100,MATCH(G3673,CBIC_Late_Fee_Relief_Windows_3B!$O$3673:$O$100,0))</f>
        <v/>
      </c>
      <c r="I3673">
        <f>MIN(F3673,H3673)</f>
        <v/>
      </c>
    </row>
    <row r="3674">
      <c r="A3674">
        <f>TEST_DATA!A3674</f>
        <v/>
      </c>
      <c r="B3674">
        <f>TEST_DATA!B3674</f>
        <v/>
      </c>
      <c r="C3674">
        <f>TEST_DATA!C3674</f>
        <v/>
      </c>
      <c r="D3674">
        <f>TEST_DATA!D3674</f>
        <v/>
      </c>
      <c r="E3674">
        <f>TEST_DATA!E3674</f>
        <v/>
      </c>
      <c r="F3674">
        <f>MIN(E3674*367400,10000)</f>
        <v/>
      </c>
      <c r="G3674">
        <f>MINIFS(CBIC_Late_Fee_Relief_Windows_3B!$O$3674:$O$100,CBIC_Late_Fee_Relief_Windows_3B!$D$3674:$D$100,"&lt;="&amp;B3674,CBIC_Late_Fee_Relief_Windows_3B!$E$3674:$E$100,"&gt;="&amp;B3674,CBIC_Late_Fee_Relief_Windows_3B!$F$3674:$F$100,"&lt;="&amp;C3674,CBIC_Late_Fee_Relief_Windows_3B!$G$3674:$G$100,"&gt;="&amp;C3674)</f>
        <v/>
      </c>
      <c r="H3674">
        <f>INDEX(CBIC_Late_Fee_Relief_Windows_3B!$I$3674:$I$100,MATCH(G3674,CBIC_Late_Fee_Relief_Windows_3B!$O$3674:$O$100,0))</f>
        <v/>
      </c>
      <c r="I3674">
        <f>MIN(F3674,H3674)</f>
        <v/>
      </c>
    </row>
    <row r="3675">
      <c r="A3675">
        <f>TEST_DATA!A3675</f>
        <v/>
      </c>
      <c r="B3675">
        <f>TEST_DATA!B3675</f>
        <v/>
      </c>
      <c r="C3675">
        <f>TEST_DATA!C3675</f>
        <v/>
      </c>
      <c r="D3675">
        <f>TEST_DATA!D3675</f>
        <v/>
      </c>
      <c r="E3675">
        <f>TEST_DATA!E3675</f>
        <v/>
      </c>
      <c r="F3675">
        <f>MIN(E3675*367500,10000)</f>
        <v/>
      </c>
      <c r="G3675">
        <f>MINIFS(CBIC_Late_Fee_Relief_Windows_3B!$O$3675:$O$100,CBIC_Late_Fee_Relief_Windows_3B!$D$3675:$D$100,"&lt;="&amp;B3675,CBIC_Late_Fee_Relief_Windows_3B!$E$3675:$E$100,"&gt;="&amp;B3675,CBIC_Late_Fee_Relief_Windows_3B!$F$3675:$F$100,"&lt;="&amp;C3675,CBIC_Late_Fee_Relief_Windows_3B!$G$3675:$G$100,"&gt;="&amp;C3675)</f>
        <v/>
      </c>
      <c r="H3675">
        <f>INDEX(CBIC_Late_Fee_Relief_Windows_3B!$I$3675:$I$100,MATCH(G3675,CBIC_Late_Fee_Relief_Windows_3B!$O$3675:$O$100,0))</f>
        <v/>
      </c>
      <c r="I3675">
        <f>MIN(F3675,H3675)</f>
        <v/>
      </c>
    </row>
    <row r="3676">
      <c r="A3676">
        <f>TEST_DATA!A3676</f>
        <v/>
      </c>
      <c r="B3676">
        <f>TEST_DATA!B3676</f>
        <v/>
      </c>
      <c r="C3676">
        <f>TEST_DATA!C3676</f>
        <v/>
      </c>
      <c r="D3676">
        <f>TEST_DATA!D3676</f>
        <v/>
      </c>
      <c r="E3676">
        <f>TEST_DATA!E3676</f>
        <v/>
      </c>
      <c r="F3676">
        <f>MIN(E3676*367600,10000)</f>
        <v/>
      </c>
      <c r="G3676">
        <f>MINIFS(CBIC_Late_Fee_Relief_Windows_3B!$O$3676:$O$100,CBIC_Late_Fee_Relief_Windows_3B!$D$3676:$D$100,"&lt;="&amp;B3676,CBIC_Late_Fee_Relief_Windows_3B!$E$3676:$E$100,"&gt;="&amp;B3676,CBIC_Late_Fee_Relief_Windows_3B!$F$3676:$F$100,"&lt;="&amp;C3676,CBIC_Late_Fee_Relief_Windows_3B!$G$3676:$G$100,"&gt;="&amp;C3676)</f>
        <v/>
      </c>
      <c r="H3676">
        <f>INDEX(CBIC_Late_Fee_Relief_Windows_3B!$I$3676:$I$100,MATCH(G3676,CBIC_Late_Fee_Relief_Windows_3B!$O$3676:$O$100,0))</f>
        <v/>
      </c>
      <c r="I3676">
        <f>MIN(F3676,H3676)</f>
        <v/>
      </c>
    </row>
    <row r="3677">
      <c r="A3677">
        <f>TEST_DATA!A3677</f>
        <v/>
      </c>
      <c r="B3677">
        <f>TEST_DATA!B3677</f>
        <v/>
      </c>
      <c r="C3677">
        <f>TEST_DATA!C3677</f>
        <v/>
      </c>
      <c r="D3677">
        <f>TEST_DATA!D3677</f>
        <v/>
      </c>
      <c r="E3677">
        <f>TEST_DATA!E3677</f>
        <v/>
      </c>
      <c r="F3677">
        <f>MIN(E3677*367700,10000)</f>
        <v/>
      </c>
      <c r="G3677">
        <f>MINIFS(CBIC_Late_Fee_Relief_Windows_3B!$O$3677:$O$100,CBIC_Late_Fee_Relief_Windows_3B!$D$3677:$D$100,"&lt;="&amp;B3677,CBIC_Late_Fee_Relief_Windows_3B!$E$3677:$E$100,"&gt;="&amp;B3677,CBIC_Late_Fee_Relief_Windows_3B!$F$3677:$F$100,"&lt;="&amp;C3677,CBIC_Late_Fee_Relief_Windows_3B!$G$3677:$G$100,"&gt;="&amp;C3677)</f>
        <v/>
      </c>
      <c r="H3677">
        <f>INDEX(CBIC_Late_Fee_Relief_Windows_3B!$I$3677:$I$100,MATCH(G3677,CBIC_Late_Fee_Relief_Windows_3B!$O$3677:$O$100,0))</f>
        <v/>
      </c>
      <c r="I3677">
        <f>MIN(F3677,H3677)</f>
        <v/>
      </c>
    </row>
    <row r="3678">
      <c r="A3678">
        <f>TEST_DATA!A3678</f>
        <v/>
      </c>
      <c r="B3678">
        <f>TEST_DATA!B3678</f>
        <v/>
      </c>
      <c r="C3678">
        <f>TEST_DATA!C3678</f>
        <v/>
      </c>
      <c r="D3678">
        <f>TEST_DATA!D3678</f>
        <v/>
      </c>
      <c r="E3678">
        <f>TEST_DATA!E3678</f>
        <v/>
      </c>
      <c r="F3678">
        <f>MIN(E3678*367800,10000)</f>
        <v/>
      </c>
      <c r="G3678">
        <f>MINIFS(CBIC_Late_Fee_Relief_Windows_3B!$O$3678:$O$100,CBIC_Late_Fee_Relief_Windows_3B!$D$3678:$D$100,"&lt;="&amp;B3678,CBIC_Late_Fee_Relief_Windows_3B!$E$3678:$E$100,"&gt;="&amp;B3678,CBIC_Late_Fee_Relief_Windows_3B!$F$3678:$F$100,"&lt;="&amp;C3678,CBIC_Late_Fee_Relief_Windows_3B!$G$3678:$G$100,"&gt;="&amp;C3678)</f>
        <v/>
      </c>
      <c r="H3678">
        <f>INDEX(CBIC_Late_Fee_Relief_Windows_3B!$I$3678:$I$100,MATCH(G3678,CBIC_Late_Fee_Relief_Windows_3B!$O$3678:$O$100,0))</f>
        <v/>
      </c>
      <c r="I3678">
        <f>MIN(F3678,H3678)</f>
        <v/>
      </c>
    </row>
    <row r="3679">
      <c r="A3679">
        <f>TEST_DATA!A3679</f>
        <v/>
      </c>
      <c r="B3679">
        <f>TEST_DATA!B3679</f>
        <v/>
      </c>
      <c r="C3679">
        <f>TEST_DATA!C3679</f>
        <v/>
      </c>
      <c r="D3679">
        <f>TEST_DATA!D3679</f>
        <v/>
      </c>
      <c r="E3679">
        <f>TEST_DATA!E3679</f>
        <v/>
      </c>
      <c r="F3679">
        <f>MIN(E3679*367900,10000)</f>
        <v/>
      </c>
      <c r="G3679">
        <f>MINIFS(CBIC_Late_Fee_Relief_Windows_3B!$O$3679:$O$100,CBIC_Late_Fee_Relief_Windows_3B!$D$3679:$D$100,"&lt;="&amp;B3679,CBIC_Late_Fee_Relief_Windows_3B!$E$3679:$E$100,"&gt;="&amp;B3679,CBIC_Late_Fee_Relief_Windows_3B!$F$3679:$F$100,"&lt;="&amp;C3679,CBIC_Late_Fee_Relief_Windows_3B!$G$3679:$G$100,"&gt;="&amp;C3679)</f>
        <v/>
      </c>
      <c r="H3679">
        <f>INDEX(CBIC_Late_Fee_Relief_Windows_3B!$I$3679:$I$100,MATCH(G3679,CBIC_Late_Fee_Relief_Windows_3B!$O$3679:$O$100,0))</f>
        <v/>
      </c>
      <c r="I3679">
        <f>MIN(F3679,H3679)</f>
        <v/>
      </c>
    </row>
    <row r="3680">
      <c r="A3680">
        <f>TEST_DATA!A3680</f>
        <v/>
      </c>
      <c r="B3680">
        <f>TEST_DATA!B3680</f>
        <v/>
      </c>
      <c r="C3680">
        <f>TEST_DATA!C3680</f>
        <v/>
      </c>
      <c r="D3680">
        <f>TEST_DATA!D3680</f>
        <v/>
      </c>
      <c r="E3680">
        <f>TEST_DATA!E3680</f>
        <v/>
      </c>
      <c r="F3680">
        <f>MIN(E3680*368000,10000)</f>
        <v/>
      </c>
      <c r="G3680">
        <f>MINIFS(CBIC_Late_Fee_Relief_Windows_3B!$O$3680:$O$100,CBIC_Late_Fee_Relief_Windows_3B!$D$3680:$D$100,"&lt;="&amp;B3680,CBIC_Late_Fee_Relief_Windows_3B!$E$3680:$E$100,"&gt;="&amp;B3680,CBIC_Late_Fee_Relief_Windows_3B!$F$3680:$F$100,"&lt;="&amp;C3680,CBIC_Late_Fee_Relief_Windows_3B!$G$3680:$G$100,"&gt;="&amp;C3680)</f>
        <v/>
      </c>
      <c r="H3680">
        <f>INDEX(CBIC_Late_Fee_Relief_Windows_3B!$I$3680:$I$100,MATCH(G3680,CBIC_Late_Fee_Relief_Windows_3B!$O$3680:$O$100,0))</f>
        <v/>
      </c>
      <c r="I3680">
        <f>MIN(F3680,H3680)</f>
        <v/>
      </c>
    </row>
    <row r="3681">
      <c r="A3681">
        <f>TEST_DATA!A3681</f>
        <v/>
      </c>
      <c r="B3681">
        <f>TEST_DATA!B3681</f>
        <v/>
      </c>
      <c r="C3681">
        <f>TEST_DATA!C3681</f>
        <v/>
      </c>
      <c r="D3681">
        <f>TEST_DATA!D3681</f>
        <v/>
      </c>
      <c r="E3681">
        <f>TEST_DATA!E3681</f>
        <v/>
      </c>
      <c r="F3681">
        <f>MIN(E3681*368100,10000)</f>
        <v/>
      </c>
      <c r="G3681">
        <f>MINIFS(CBIC_Late_Fee_Relief_Windows_3B!$O$3681:$O$100,CBIC_Late_Fee_Relief_Windows_3B!$D$3681:$D$100,"&lt;="&amp;B3681,CBIC_Late_Fee_Relief_Windows_3B!$E$3681:$E$100,"&gt;="&amp;B3681,CBIC_Late_Fee_Relief_Windows_3B!$F$3681:$F$100,"&lt;="&amp;C3681,CBIC_Late_Fee_Relief_Windows_3B!$G$3681:$G$100,"&gt;="&amp;C3681)</f>
        <v/>
      </c>
      <c r="H3681">
        <f>INDEX(CBIC_Late_Fee_Relief_Windows_3B!$I$3681:$I$100,MATCH(G3681,CBIC_Late_Fee_Relief_Windows_3B!$O$3681:$O$100,0))</f>
        <v/>
      </c>
      <c r="I3681">
        <f>MIN(F3681,H3681)</f>
        <v/>
      </c>
    </row>
    <row r="3682">
      <c r="A3682">
        <f>TEST_DATA!A3682</f>
        <v/>
      </c>
      <c r="B3682">
        <f>TEST_DATA!B3682</f>
        <v/>
      </c>
      <c r="C3682">
        <f>TEST_DATA!C3682</f>
        <v/>
      </c>
      <c r="D3682">
        <f>TEST_DATA!D3682</f>
        <v/>
      </c>
      <c r="E3682">
        <f>TEST_DATA!E3682</f>
        <v/>
      </c>
      <c r="F3682">
        <f>MIN(E3682*368200,10000)</f>
        <v/>
      </c>
      <c r="G3682">
        <f>MINIFS(CBIC_Late_Fee_Relief_Windows_3B!$O$3682:$O$100,CBIC_Late_Fee_Relief_Windows_3B!$D$3682:$D$100,"&lt;="&amp;B3682,CBIC_Late_Fee_Relief_Windows_3B!$E$3682:$E$100,"&gt;="&amp;B3682,CBIC_Late_Fee_Relief_Windows_3B!$F$3682:$F$100,"&lt;="&amp;C3682,CBIC_Late_Fee_Relief_Windows_3B!$G$3682:$G$100,"&gt;="&amp;C3682)</f>
        <v/>
      </c>
      <c r="H3682">
        <f>INDEX(CBIC_Late_Fee_Relief_Windows_3B!$I$3682:$I$100,MATCH(G3682,CBIC_Late_Fee_Relief_Windows_3B!$O$3682:$O$100,0))</f>
        <v/>
      </c>
      <c r="I3682">
        <f>MIN(F3682,H3682)</f>
        <v/>
      </c>
    </row>
    <row r="3683">
      <c r="A3683">
        <f>TEST_DATA!A3683</f>
        <v/>
      </c>
      <c r="B3683">
        <f>TEST_DATA!B3683</f>
        <v/>
      </c>
      <c r="C3683">
        <f>TEST_DATA!C3683</f>
        <v/>
      </c>
      <c r="D3683">
        <f>TEST_DATA!D3683</f>
        <v/>
      </c>
      <c r="E3683">
        <f>TEST_DATA!E3683</f>
        <v/>
      </c>
      <c r="F3683">
        <f>MIN(E3683*368300,10000)</f>
        <v/>
      </c>
      <c r="G3683">
        <f>MINIFS(CBIC_Late_Fee_Relief_Windows_3B!$O$3683:$O$100,CBIC_Late_Fee_Relief_Windows_3B!$D$3683:$D$100,"&lt;="&amp;B3683,CBIC_Late_Fee_Relief_Windows_3B!$E$3683:$E$100,"&gt;="&amp;B3683,CBIC_Late_Fee_Relief_Windows_3B!$F$3683:$F$100,"&lt;="&amp;C3683,CBIC_Late_Fee_Relief_Windows_3B!$G$3683:$G$100,"&gt;="&amp;C3683)</f>
        <v/>
      </c>
      <c r="H3683">
        <f>INDEX(CBIC_Late_Fee_Relief_Windows_3B!$I$3683:$I$100,MATCH(G3683,CBIC_Late_Fee_Relief_Windows_3B!$O$3683:$O$100,0))</f>
        <v/>
      </c>
      <c r="I3683">
        <f>MIN(F3683,H3683)</f>
        <v/>
      </c>
    </row>
    <row r="3684">
      <c r="A3684">
        <f>TEST_DATA!A3684</f>
        <v/>
      </c>
      <c r="B3684">
        <f>TEST_DATA!B3684</f>
        <v/>
      </c>
      <c r="C3684">
        <f>TEST_DATA!C3684</f>
        <v/>
      </c>
      <c r="D3684">
        <f>TEST_DATA!D3684</f>
        <v/>
      </c>
      <c r="E3684">
        <f>TEST_DATA!E3684</f>
        <v/>
      </c>
      <c r="F3684">
        <f>MIN(E3684*368400,10000)</f>
        <v/>
      </c>
      <c r="G3684">
        <f>MINIFS(CBIC_Late_Fee_Relief_Windows_3B!$O$3684:$O$100,CBIC_Late_Fee_Relief_Windows_3B!$D$3684:$D$100,"&lt;="&amp;B3684,CBIC_Late_Fee_Relief_Windows_3B!$E$3684:$E$100,"&gt;="&amp;B3684,CBIC_Late_Fee_Relief_Windows_3B!$F$3684:$F$100,"&lt;="&amp;C3684,CBIC_Late_Fee_Relief_Windows_3B!$G$3684:$G$100,"&gt;="&amp;C3684)</f>
        <v/>
      </c>
      <c r="H3684">
        <f>INDEX(CBIC_Late_Fee_Relief_Windows_3B!$I$3684:$I$100,MATCH(G3684,CBIC_Late_Fee_Relief_Windows_3B!$O$3684:$O$100,0))</f>
        <v/>
      </c>
      <c r="I3684">
        <f>MIN(F3684,H3684)</f>
        <v/>
      </c>
    </row>
    <row r="3685">
      <c r="A3685">
        <f>TEST_DATA!A3685</f>
        <v/>
      </c>
      <c r="B3685">
        <f>TEST_DATA!B3685</f>
        <v/>
      </c>
      <c r="C3685">
        <f>TEST_DATA!C3685</f>
        <v/>
      </c>
      <c r="D3685">
        <f>TEST_DATA!D3685</f>
        <v/>
      </c>
      <c r="E3685">
        <f>TEST_DATA!E3685</f>
        <v/>
      </c>
      <c r="F3685">
        <f>MIN(E3685*368500,10000)</f>
        <v/>
      </c>
      <c r="G3685">
        <f>MINIFS(CBIC_Late_Fee_Relief_Windows_3B!$O$3685:$O$100,CBIC_Late_Fee_Relief_Windows_3B!$D$3685:$D$100,"&lt;="&amp;B3685,CBIC_Late_Fee_Relief_Windows_3B!$E$3685:$E$100,"&gt;="&amp;B3685,CBIC_Late_Fee_Relief_Windows_3B!$F$3685:$F$100,"&lt;="&amp;C3685,CBIC_Late_Fee_Relief_Windows_3B!$G$3685:$G$100,"&gt;="&amp;C3685)</f>
        <v/>
      </c>
      <c r="H3685">
        <f>INDEX(CBIC_Late_Fee_Relief_Windows_3B!$I$3685:$I$100,MATCH(G3685,CBIC_Late_Fee_Relief_Windows_3B!$O$3685:$O$100,0))</f>
        <v/>
      </c>
      <c r="I3685">
        <f>MIN(F3685,H3685)</f>
        <v/>
      </c>
    </row>
    <row r="3686">
      <c r="A3686">
        <f>TEST_DATA!A3686</f>
        <v/>
      </c>
      <c r="B3686">
        <f>TEST_DATA!B3686</f>
        <v/>
      </c>
      <c r="C3686">
        <f>TEST_DATA!C3686</f>
        <v/>
      </c>
      <c r="D3686">
        <f>TEST_DATA!D3686</f>
        <v/>
      </c>
      <c r="E3686">
        <f>TEST_DATA!E3686</f>
        <v/>
      </c>
      <c r="F3686">
        <f>MIN(E3686*368600,10000)</f>
        <v/>
      </c>
      <c r="G3686">
        <f>MINIFS(CBIC_Late_Fee_Relief_Windows_3B!$O$3686:$O$100,CBIC_Late_Fee_Relief_Windows_3B!$D$3686:$D$100,"&lt;="&amp;B3686,CBIC_Late_Fee_Relief_Windows_3B!$E$3686:$E$100,"&gt;="&amp;B3686,CBIC_Late_Fee_Relief_Windows_3B!$F$3686:$F$100,"&lt;="&amp;C3686,CBIC_Late_Fee_Relief_Windows_3B!$G$3686:$G$100,"&gt;="&amp;C3686)</f>
        <v/>
      </c>
      <c r="H3686">
        <f>INDEX(CBIC_Late_Fee_Relief_Windows_3B!$I$3686:$I$100,MATCH(G3686,CBIC_Late_Fee_Relief_Windows_3B!$O$3686:$O$100,0))</f>
        <v/>
      </c>
      <c r="I3686">
        <f>MIN(F3686,H3686)</f>
        <v/>
      </c>
    </row>
    <row r="3687">
      <c r="A3687">
        <f>TEST_DATA!A3687</f>
        <v/>
      </c>
      <c r="B3687">
        <f>TEST_DATA!B3687</f>
        <v/>
      </c>
      <c r="C3687">
        <f>TEST_DATA!C3687</f>
        <v/>
      </c>
      <c r="D3687">
        <f>TEST_DATA!D3687</f>
        <v/>
      </c>
      <c r="E3687">
        <f>TEST_DATA!E3687</f>
        <v/>
      </c>
      <c r="F3687">
        <f>MIN(E3687*368700,10000)</f>
        <v/>
      </c>
      <c r="G3687">
        <f>MINIFS(CBIC_Late_Fee_Relief_Windows_3B!$O$3687:$O$100,CBIC_Late_Fee_Relief_Windows_3B!$D$3687:$D$100,"&lt;="&amp;B3687,CBIC_Late_Fee_Relief_Windows_3B!$E$3687:$E$100,"&gt;="&amp;B3687,CBIC_Late_Fee_Relief_Windows_3B!$F$3687:$F$100,"&lt;="&amp;C3687,CBIC_Late_Fee_Relief_Windows_3B!$G$3687:$G$100,"&gt;="&amp;C3687)</f>
        <v/>
      </c>
      <c r="H3687">
        <f>INDEX(CBIC_Late_Fee_Relief_Windows_3B!$I$3687:$I$100,MATCH(G3687,CBIC_Late_Fee_Relief_Windows_3B!$O$3687:$O$100,0))</f>
        <v/>
      </c>
      <c r="I3687">
        <f>MIN(F3687,H3687)</f>
        <v/>
      </c>
    </row>
    <row r="3688">
      <c r="A3688">
        <f>TEST_DATA!A3688</f>
        <v/>
      </c>
      <c r="B3688">
        <f>TEST_DATA!B3688</f>
        <v/>
      </c>
      <c r="C3688">
        <f>TEST_DATA!C3688</f>
        <v/>
      </c>
      <c r="D3688">
        <f>TEST_DATA!D3688</f>
        <v/>
      </c>
      <c r="E3688">
        <f>TEST_DATA!E3688</f>
        <v/>
      </c>
      <c r="F3688">
        <f>MIN(E3688*368800,10000)</f>
        <v/>
      </c>
      <c r="G3688">
        <f>MINIFS(CBIC_Late_Fee_Relief_Windows_3B!$O$3688:$O$100,CBIC_Late_Fee_Relief_Windows_3B!$D$3688:$D$100,"&lt;="&amp;B3688,CBIC_Late_Fee_Relief_Windows_3B!$E$3688:$E$100,"&gt;="&amp;B3688,CBIC_Late_Fee_Relief_Windows_3B!$F$3688:$F$100,"&lt;="&amp;C3688,CBIC_Late_Fee_Relief_Windows_3B!$G$3688:$G$100,"&gt;="&amp;C3688)</f>
        <v/>
      </c>
      <c r="H3688">
        <f>INDEX(CBIC_Late_Fee_Relief_Windows_3B!$I$3688:$I$100,MATCH(G3688,CBIC_Late_Fee_Relief_Windows_3B!$O$3688:$O$100,0))</f>
        <v/>
      </c>
      <c r="I3688">
        <f>MIN(F3688,H3688)</f>
        <v/>
      </c>
    </row>
    <row r="3689">
      <c r="A3689">
        <f>TEST_DATA!A3689</f>
        <v/>
      </c>
      <c r="B3689">
        <f>TEST_DATA!B3689</f>
        <v/>
      </c>
      <c r="C3689">
        <f>TEST_DATA!C3689</f>
        <v/>
      </c>
      <c r="D3689">
        <f>TEST_DATA!D3689</f>
        <v/>
      </c>
      <c r="E3689">
        <f>TEST_DATA!E3689</f>
        <v/>
      </c>
      <c r="F3689">
        <f>MIN(E3689*368900,10000)</f>
        <v/>
      </c>
      <c r="G3689">
        <f>MINIFS(CBIC_Late_Fee_Relief_Windows_3B!$O$3689:$O$100,CBIC_Late_Fee_Relief_Windows_3B!$D$3689:$D$100,"&lt;="&amp;B3689,CBIC_Late_Fee_Relief_Windows_3B!$E$3689:$E$100,"&gt;="&amp;B3689,CBIC_Late_Fee_Relief_Windows_3B!$F$3689:$F$100,"&lt;="&amp;C3689,CBIC_Late_Fee_Relief_Windows_3B!$G$3689:$G$100,"&gt;="&amp;C3689)</f>
        <v/>
      </c>
      <c r="H3689">
        <f>INDEX(CBIC_Late_Fee_Relief_Windows_3B!$I$3689:$I$100,MATCH(G3689,CBIC_Late_Fee_Relief_Windows_3B!$O$3689:$O$100,0))</f>
        <v/>
      </c>
      <c r="I3689">
        <f>MIN(F3689,H3689)</f>
        <v/>
      </c>
    </row>
    <row r="3690">
      <c r="A3690">
        <f>TEST_DATA!A3690</f>
        <v/>
      </c>
      <c r="B3690">
        <f>TEST_DATA!B3690</f>
        <v/>
      </c>
      <c r="C3690">
        <f>TEST_DATA!C3690</f>
        <v/>
      </c>
      <c r="D3690">
        <f>TEST_DATA!D3690</f>
        <v/>
      </c>
      <c r="E3690">
        <f>TEST_DATA!E3690</f>
        <v/>
      </c>
      <c r="F3690">
        <f>MIN(E3690*369000,10000)</f>
        <v/>
      </c>
      <c r="G3690">
        <f>MINIFS(CBIC_Late_Fee_Relief_Windows_3B!$O$3690:$O$100,CBIC_Late_Fee_Relief_Windows_3B!$D$3690:$D$100,"&lt;="&amp;B3690,CBIC_Late_Fee_Relief_Windows_3B!$E$3690:$E$100,"&gt;="&amp;B3690,CBIC_Late_Fee_Relief_Windows_3B!$F$3690:$F$100,"&lt;="&amp;C3690,CBIC_Late_Fee_Relief_Windows_3B!$G$3690:$G$100,"&gt;="&amp;C3690)</f>
        <v/>
      </c>
      <c r="H3690">
        <f>INDEX(CBIC_Late_Fee_Relief_Windows_3B!$I$3690:$I$100,MATCH(G3690,CBIC_Late_Fee_Relief_Windows_3B!$O$3690:$O$100,0))</f>
        <v/>
      </c>
      <c r="I3690">
        <f>MIN(F3690,H3690)</f>
        <v/>
      </c>
    </row>
    <row r="3691">
      <c r="A3691">
        <f>TEST_DATA!A3691</f>
        <v/>
      </c>
      <c r="B3691">
        <f>TEST_DATA!B3691</f>
        <v/>
      </c>
      <c r="C3691">
        <f>TEST_DATA!C3691</f>
        <v/>
      </c>
      <c r="D3691">
        <f>TEST_DATA!D3691</f>
        <v/>
      </c>
      <c r="E3691">
        <f>TEST_DATA!E3691</f>
        <v/>
      </c>
      <c r="F3691">
        <f>MIN(E3691*369100,10000)</f>
        <v/>
      </c>
      <c r="G3691">
        <f>MINIFS(CBIC_Late_Fee_Relief_Windows_3B!$O$3691:$O$100,CBIC_Late_Fee_Relief_Windows_3B!$D$3691:$D$100,"&lt;="&amp;B3691,CBIC_Late_Fee_Relief_Windows_3B!$E$3691:$E$100,"&gt;="&amp;B3691,CBIC_Late_Fee_Relief_Windows_3B!$F$3691:$F$100,"&lt;="&amp;C3691,CBIC_Late_Fee_Relief_Windows_3B!$G$3691:$G$100,"&gt;="&amp;C3691)</f>
        <v/>
      </c>
      <c r="H3691">
        <f>INDEX(CBIC_Late_Fee_Relief_Windows_3B!$I$3691:$I$100,MATCH(G3691,CBIC_Late_Fee_Relief_Windows_3B!$O$3691:$O$100,0))</f>
        <v/>
      </c>
      <c r="I3691">
        <f>MIN(F3691,H3691)</f>
        <v/>
      </c>
    </row>
    <row r="3692">
      <c r="A3692">
        <f>TEST_DATA!A3692</f>
        <v/>
      </c>
      <c r="B3692">
        <f>TEST_DATA!B3692</f>
        <v/>
      </c>
      <c r="C3692">
        <f>TEST_DATA!C3692</f>
        <v/>
      </c>
      <c r="D3692">
        <f>TEST_DATA!D3692</f>
        <v/>
      </c>
      <c r="E3692">
        <f>TEST_DATA!E3692</f>
        <v/>
      </c>
      <c r="F3692">
        <f>MIN(E3692*369200,10000)</f>
        <v/>
      </c>
      <c r="G3692">
        <f>MINIFS(CBIC_Late_Fee_Relief_Windows_3B!$O$3692:$O$100,CBIC_Late_Fee_Relief_Windows_3B!$D$3692:$D$100,"&lt;="&amp;B3692,CBIC_Late_Fee_Relief_Windows_3B!$E$3692:$E$100,"&gt;="&amp;B3692,CBIC_Late_Fee_Relief_Windows_3B!$F$3692:$F$100,"&lt;="&amp;C3692,CBIC_Late_Fee_Relief_Windows_3B!$G$3692:$G$100,"&gt;="&amp;C3692)</f>
        <v/>
      </c>
      <c r="H3692">
        <f>INDEX(CBIC_Late_Fee_Relief_Windows_3B!$I$3692:$I$100,MATCH(G3692,CBIC_Late_Fee_Relief_Windows_3B!$O$3692:$O$100,0))</f>
        <v/>
      </c>
      <c r="I3692">
        <f>MIN(F3692,H3692)</f>
        <v/>
      </c>
    </row>
    <row r="3693">
      <c r="A3693">
        <f>TEST_DATA!A3693</f>
        <v/>
      </c>
      <c r="B3693">
        <f>TEST_DATA!B3693</f>
        <v/>
      </c>
      <c r="C3693">
        <f>TEST_DATA!C3693</f>
        <v/>
      </c>
      <c r="D3693">
        <f>TEST_DATA!D3693</f>
        <v/>
      </c>
      <c r="E3693">
        <f>TEST_DATA!E3693</f>
        <v/>
      </c>
      <c r="F3693">
        <f>MIN(E3693*369300,10000)</f>
        <v/>
      </c>
      <c r="G3693">
        <f>MINIFS(CBIC_Late_Fee_Relief_Windows_3B!$O$3693:$O$100,CBIC_Late_Fee_Relief_Windows_3B!$D$3693:$D$100,"&lt;="&amp;B3693,CBIC_Late_Fee_Relief_Windows_3B!$E$3693:$E$100,"&gt;="&amp;B3693,CBIC_Late_Fee_Relief_Windows_3B!$F$3693:$F$100,"&lt;="&amp;C3693,CBIC_Late_Fee_Relief_Windows_3B!$G$3693:$G$100,"&gt;="&amp;C3693)</f>
        <v/>
      </c>
      <c r="H3693">
        <f>INDEX(CBIC_Late_Fee_Relief_Windows_3B!$I$3693:$I$100,MATCH(G3693,CBIC_Late_Fee_Relief_Windows_3B!$O$3693:$O$100,0))</f>
        <v/>
      </c>
      <c r="I3693">
        <f>MIN(F3693,H3693)</f>
        <v/>
      </c>
    </row>
    <row r="3694">
      <c r="A3694">
        <f>TEST_DATA!A3694</f>
        <v/>
      </c>
      <c r="B3694">
        <f>TEST_DATA!B3694</f>
        <v/>
      </c>
      <c r="C3694">
        <f>TEST_DATA!C3694</f>
        <v/>
      </c>
      <c r="D3694">
        <f>TEST_DATA!D3694</f>
        <v/>
      </c>
      <c r="E3694">
        <f>TEST_DATA!E3694</f>
        <v/>
      </c>
      <c r="F3694">
        <f>MIN(E3694*369400,10000)</f>
        <v/>
      </c>
      <c r="G3694">
        <f>MINIFS(CBIC_Late_Fee_Relief_Windows_3B!$O$3694:$O$100,CBIC_Late_Fee_Relief_Windows_3B!$D$3694:$D$100,"&lt;="&amp;B3694,CBIC_Late_Fee_Relief_Windows_3B!$E$3694:$E$100,"&gt;="&amp;B3694,CBIC_Late_Fee_Relief_Windows_3B!$F$3694:$F$100,"&lt;="&amp;C3694,CBIC_Late_Fee_Relief_Windows_3B!$G$3694:$G$100,"&gt;="&amp;C3694)</f>
        <v/>
      </c>
      <c r="H3694">
        <f>INDEX(CBIC_Late_Fee_Relief_Windows_3B!$I$3694:$I$100,MATCH(G3694,CBIC_Late_Fee_Relief_Windows_3B!$O$3694:$O$100,0))</f>
        <v/>
      </c>
      <c r="I3694">
        <f>MIN(F3694,H3694)</f>
        <v/>
      </c>
    </row>
    <row r="3695">
      <c r="A3695">
        <f>TEST_DATA!A3695</f>
        <v/>
      </c>
      <c r="B3695">
        <f>TEST_DATA!B3695</f>
        <v/>
      </c>
      <c r="C3695">
        <f>TEST_DATA!C3695</f>
        <v/>
      </c>
      <c r="D3695">
        <f>TEST_DATA!D3695</f>
        <v/>
      </c>
      <c r="E3695">
        <f>TEST_DATA!E3695</f>
        <v/>
      </c>
      <c r="F3695">
        <f>MIN(E3695*369500,10000)</f>
        <v/>
      </c>
      <c r="G3695">
        <f>MINIFS(CBIC_Late_Fee_Relief_Windows_3B!$O$3695:$O$100,CBIC_Late_Fee_Relief_Windows_3B!$D$3695:$D$100,"&lt;="&amp;B3695,CBIC_Late_Fee_Relief_Windows_3B!$E$3695:$E$100,"&gt;="&amp;B3695,CBIC_Late_Fee_Relief_Windows_3B!$F$3695:$F$100,"&lt;="&amp;C3695,CBIC_Late_Fee_Relief_Windows_3B!$G$3695:$G$100,"&gt;="&amp;C3695)</f>
        <v/>
      </c>
      <c r="H3695">
        <f>INDEX(CBIC_Late_Fee_Relief_Windows_3B!$I$3695:$I$100,MATCH(G3695,CBIC_Late_Fee_Relief_Windows_3B!$O$3695:$O$100,0))</f>
        <v/>
      </c>
      <c r="I3695">
        <f>MIN(F3695,H3695)</f>
        <v/>
      </c>
    </row>
    <row r="3696">
      <c r="A3696">
        <f>TEST_DATA!A3696</f>
        <v/>
      </c>
      <c r="B3696">
        <f>TEST_DATA!B3696</f>
        <v/>
      </c>
      <c r="C3696">
        <f>TEST_DATA!C3696</f>
        <v/>
      </c>
      <c r="D3696">
        <f>TEST_DATA!D3696</f>
        <v/>
      </c>
      <c r="E3696">
        <f>TEST_DATA!E3696</f>
        <v/>
      </c>
      <c r="F3696">
        <f>MIN(E3696*369600,10000)</f>
        <v/>
      </c>
      <c r="G3696">
        <f>MINIFS(CBIC_Late_Fee_Relief_Windows_3B!$O$3696:$O$100,CBIC_Late_Fee_Relief_Windows_3B!$D$3696:$D$100,"&lt;="&amp;B3696,CBIC_Late_Fee_Relief_Windows_3B!$E$3696:$E$100,"&gt;="&amp;B3696,CBIC_Late_Fee_Relief_Windows_3B!$F$3696:$F$100,"&lt;="&amp;C3696,CBIC_Late_Fee_Relief_Windows_3B!$G$3696:$G$100,"&gt;="&amp;C3696)</f>
        <v/>
      </c>
      <c r="H3696">
        <f>INDEX(CBIC_Late_Fee_Relief_Windows_3B!$I$3696:$I$100,MATCH(G3696,CBIC_Late_Fee_Relief_Windows_3B!$O$3696:$O$100,0))</f>
        <v/>
      </c>
      <c r="I3696">
        <f>MIN(F3696,H3696)</f>
        <v/>
      </c>
    </row>
    <row r="3697">
      <c r="A3697">
        <f>TEST_DATA!A3697</f>
        <v/>
      </c>
      <c r="B3697">
        <f>TEST_DATA!B3697</f>
        <v/>
      </c>
      <c r="C3697">
        <f>TEST_DATA!C3697</f>
        <v/>
      </c>
      <c r="D3697">
        <f>TEST_DATA!D3697</f>
        <v/>
      </c>
      <c r="E3697">
        <f>TEST_DATA!E3697</f>
        <v/>
      </c>
      <c r="F3697">
        <f>MIN(E3697*369700,10000)</f>
        <v/>
      </c>
      <c r="G3697">
        <f>MINIFS(CBIC_Late_Fee_Relief_Windows_3B!$O$3697:$O$100,CBIC_Late_Fee_Relief_Windows_3B!$D$3697:$D$100,"&lt;="&amp;B3697,CBIC_Late_Fee_Relief_Windows_3B!$E$3697:$E$100,"&gt;="&amp;B3697,CBIC_Late_Fee_Relief_Windows_3B!$F$3697:$F$100,"&lt;="&amp;C3697,CBIC_Late_Fee_Relief_Windows_3B!$G$3697:$G$100,"&gt;="&amp;C3697)</f>
        <v/>
      </c>
      <c r="H3697">
        <f>INDEX(CBIC_Late_Fee_Relief_Windows_3B!$I$3697:$I$100,MATCH(G3697,CBIC_Late_Fee_Relief_Windows_3B!$O$3697:$O$100,0))</f>
        <v/>
      </c>
      <c r="I3697">
        <f>MIN(F3697,H3697)</f>
        <v/>
      </c>
    </row>
    <row r="3698">
      <c r="A3698">
        <f>TEST_DATA!A3698</f>
        <v/>
      </c>
      <c r="B3698">
        <f>TEST_DATA!B3698</f>
        <v/>
      </c>
      <c r="C3698">
        <f>TEST_DATA!C3698</f>
        <v/>
      </c>
      <c r="D3698">
        <f>TEST_DATA!D3698</f>
        <v/>
      </c>
      <c r="E3698">
        <f>TEST_DATA!E3698</f>
        <v/>
      </c>
      <c r="F3698">
        <f>MIN(E3698*369800,10000)</f>
        <v/>
      </c>
      <c r="G3698">
        <f>MINIFS(CBIC_Late_Fee_Relief_Windows_3B!$O$3698:$O$100,CBIC_Late_Fee_Relief_Windows_3B!$D$3698:$D$100,"&lt;="&amp;B3698,CBIC_Late_Fee_Relief_Windows_3B!$E$3698:$E$100,"&gt;="&amp;B3698,CBIC_Late_Fee_Relief_Windows_3B!$F$3698:$F$100,"&lt;="&amp;C3698,CBIC_Late_Fee_Relief_Windows_3B!$G$3698:$G$100,"&gt;="&amp;C3698)</f>
        <v/>
      </c>
      <c r="H3698">
        <f>INDEX(CBIC_Late_Fee_Relief_Windows_3B!$I$3698:$I$100,MATCH(G3698,CBIC_Late_Fee_Relief_Windows_3B!$O$3698:$O$100,0))</f>
        <v/>
      </c>
      <c r="I3698">
        <f>MIN(F3698,H3698)</f>
        <v/>
      </c>
    </row>
    <row r="3699">
      <c r="A3699">
        <f>TEST_DATA!A3699</f>
        <v/>
      </c>
      <c r="B3699">
        <f>TEST_DATA!B3699</f>
        <v/>
      </c>
      <c r="C3699">
        <f>TEST_DATA!C3699</f>
        <v/>
      </c>
      <c r="D3699">
        <f>TEST_DATA!D3699</f>
        <v/>
      </c>
      <c r="E3699">
        <f>TEST_DATA!E3699</f>
        <v/>
      </c>
      <c r="F3699">
        <f>MIN(E3699*369900,10000)</f>
        <v/>
      </c>
      <c r="G3699">
        <f>MINIFS(CBIC_Late_Fee_Relief_Windows_3B!$O$3699:$O$100,CBIC_Late_Fee_Relief_Windows_3B!$D$3699:$D$100,"&lt;="&amp;B3699,CBIC_Late_Fee_Relief_Windows_3B!$E$3699:$E$100,"&gt;="&amp;B3699,CBIC_Late_Fee_Relief_Windows_3B!$F$3699:$F$100,"&lt;="&amp;C3699,CBIC_Late_Fee_Relief_Windows_3B!$G$3699:$G$100,"&gt;="&amp;C3699)</f>
        <v/>
      </c>
      <c r="H3699">
        <f>INDEX(CBIC_Late_Fee_Relief_Windows_3B!$I$3699:$I$100,MATCH(G3699,CBIC_Late_Fee_Relief_Windows_3B!$O$3699:$O$100,0))</f>
        <v/>
      </c>
      <c r="I3699">
        <f>MIN(F3699,H3699)</f>
        <v/>
      </c>
    </row>
    <row r="3700">
      <c r="A3700">
        <f>TEST_DATA!A3700</f>
        <v/>
      </c>
      <c r="B3700">
        <f>TEST_DATA!B3700</f>
        <v/>
      </c>
      <c r="C3700">
        <f>TEST_DATA!C3700</f>
        <v/>
      </c>
      <c r="D3700">
        <f>TEST_DATA!D3700</f>
        <v/>
      </c>
      <c r="E3700">
        <f>TEST_DATA!E3700</f>
        <v/>
      </c>
      <c r="F3700">
        <f>MIN(E3700*370000,10000)</f>
        <v/>
      </c>
      <c r="G3700">
        <f>MINIFS(CBIC_Late_Fee_Relief_Windows_3B!$O$3700:$O$100,CBIC_Late_Fee_Relief_Windows_3B!$D$3700:$D$100,"&lt;="&amp;B3700,CBIC_Late_Fee_Relief_Windows_3B!$E$3700:$E$100,"&gt;="&amp;B3700,CBIC_Late_Fee_Relief_Windows_3B!$F$3700:$F$100,"&lt;="&amp;C3700,CBIC_Late_Fee_Relief_Windows_3B!$G$3700:$G$100,"&gt;="&amp;C3700)</f>
        <v/>
      </c>
      <c r="H3700">
        <f>INDEX(CBIC_Late_Fee_Relief_Windows_3B!$I$3700:$I$100,MATCH(G3700,CBIC_Late_Fee_Relief_Windows_3B!$O$3700:$O$100,0))</f>
        <v/>
      </c>
      <c r="I3700">
        <f>MIN(F3700,H3700)</f>
        <v/>
      </c>
    </row>
    <row r="3701">
      <c r="A3701">
        <f>TEST_DATA!A3701</f>
        <v/>
      </c>
      <c r="B3701">
        <f>TEST_DATA!B3701</f>
        <v/>
      </c>
      <c r="C3701">
        <f>TEST_DATA!C3701</f>
        <v/>
      </c>
      <c r="D3701">
        <f>TEST_DATA!D3701</f>
        <v/>
      </c>
      <c r="E3701">
        <f>TEST_DATA!E3701</f>
        <v/>
      </c>
      <c r="F3701">
        <f>MIN(E3701*370100,10000)</f>
        <v/>
      </c>
      <c r="G3701">
        <f>MINIFS(CBIC_Late_Fee_Relief_Windows_3B!$O$3701:$O$100,CBIC_Late_Fee_Relief_Windows_3B!$D$3701:$D$100,"&lt;="&amp;B3701,CBIC_Late_Fee_Relief_Windows_3B!$E$3701:$E$100,"&gt;="&amp;B3701,CBIC_Late_Fee_Relief_Windows_3B!$F$3701:$F$100,"&lt;="&amp;C3701,CBIC_Late_Fee_Relief_Windows_3B!$G$3701:$G$100,"&gt;="&amp;C3701)</f>
        <v/>
      </c>
      <c r="H3701">
        <f>INDEX(CBIC_Late_Fee_Relief_Windows_3B!$I$3701:$I$100,MATCH(G3701,CBIC_Late_Fee_Relief_Windows_3B!$O$3701:$O$100,0))</f>
        <v/>
      </c>
      <c r="I3701">
        <f>MIN(F3701,H3701)</f>
        <v/>
      </c>
    </row>
    <row r="3702">
      <c r="A3702">
        <f>TEST_DATA!A3702</f>
        <v/>
      </c>
      <c r="B3702">
        <f>TEST_DATA!B3702</f>
        <v/>
      </c>
      <c r="C3702">
        <f>TEST_DATA!C3702</f>
        <v/>
      </c>
      <c r="D3702">
        <f>TEST_DATA!D3702</f>
        <v/>
      </c>
      <c r="E3702">
        <f>TEST_DATA!E3702</f>
        <v/>
      </c>
      <c r="F3702">
        <f>MIN(E3702*370200,10000)</f>
        <v/>
      </c>
      <c r="G3702">
        <f>MINIFS(CBIC_Late_Fee_Relief_Windows_3B!$O$3702:$O$100,CBIC_Late_Fee_Relief_Windows_3B!$D$3702:$D$100,"&lt;="&amp;B3702,CBIC_Late_Fee_Relief_Windows_3B!$E$3702:$E$100,"&gt;="&amp;B3702,CBIC_Late_Fee_Relief_Windows_3B!$F$3702:$F$100,"&lt;="&amp;C3702,CBIC_Late_Fee_Relief_Windows_3B!$G$3702:$G$100,"&gt;="&amp;C3702)</f>
        <v/>
      </c>
      <c r="H3702">
        <f>INDEX(CBIC_Late_Fee_Relief_Windows_3B!$I$3702:$I$100,MATCH(G3702,CBIC_Late_Fee_Relief_Windows_3B!$O$3702:$O$100,0))</f>
        <v/>
      </c>
      <c r="I3702">
        <f>MIN(F3702,H3702)</f>
        <v/>
      </c>
    </row>
    <row r="3703">
      <c r="A3703">
        <f>TEST_DATA!A3703</f>
        <v/>
      </c>
      <c r="B3703">
        <f>TEST_DATA!B3703</f>
        <v/>
      </c>
      <c r="C3703">
        <f>TEST_DATA!C3703</f>
        <v/>
      </c>
      <c r="D3703">
        <f>TEST_DATA!D3703</f>
        <v/>
      </c>
      <c r="E3703">
        <f>TEST_DATA!E3703</f>
        <v/>
      </c>
      <c r="F3703">
        <f>MIN(E3703*370300,10000)</f>
        <v/>
      </c>
      <c r="G3703">
        <f>MINIFS(CBIC_Late_Fee_Relief_Windows_3B!$O$3703:$O$100,CBIC_Late_Fee_Relief_Windows_3B!$D$3703:$D$100,"&lt;="&amp;B3703,CBIC_Late_Fee_Relief_Windows_3B!$E$3703:$E$100,"&gt;="&amp;B3703,CBIC_Late_Fee_Relief_Windows_3B!$F$3703:$F$100,"&lt;="&amp;C3703,CBIC_Late_Fee_Relief_Windows_3B!$G$3703:$G$100,"&gt;="&amp;C3703)</f>
        <v/>
      </c>
      <c r="H3703">
        <f>INDEX(CBIC_Late_Fee_Relief_Windows_3B!$I$3703:$I$100,MATCH(G3703,CBIC_Late_Fee_Relief_Windows_3B!$O$3703:$O$100,0))</f>
        <v/>
      </c>
      <c r="I3703">
        <f>MIN(F3703,H3703)</f>
        <v/>
      </c>
    </row>
    <row r="3704">
      <c r="A3704">
        <f>TEST_DATA!A3704</f>
        <v/>
      </c>
      <c r="B3704">
        <f>TEST_DATA!B3704</f>
        <v/>
      </c>
      <c r="C3704">
        <f>TEST_DATA!C3704</f>
        <v/>
      </c>
      <c r="D3704">
        <f>TEST_DATA!D3704</f>
        <v/>
      </c>
      <c r="E3704">
        <f>TEST_DATA!E3704</f>
        <v/>
      </c>
      <c r="F3704">
        <f>MIN(E3704*370400,10000)</f>
        <v/>
      </c>
      <c r="G3704">
        <f>MINIFS(CBIC_Late_Fee_Relief_Windows_3B!$O$3704:$O$100,CBIC_Late_Fee_Relief_Windows_3B!$D$3704:$D$100,"&lt;="&amp;B3704,CBIC_Late_Fee_Relief_Windows_3B!$E$3704:$E$100,"&gt;="&amp;B3704,CBIC_Late_Fee_Relief_Windows_3B!$F$3704:$F$100,"&lt;="&amp;C3704,CBIC_Late_Fee_Relief_Windows_3B!$G$3704:$G$100,"&gt;="&amp;C3704)</f>
        <v/>
      </c>
      <c r="H3704">
        <f>INDEX(CBIC_Late_Fee_Relief_Windows_3B!$I$3704:$I$100,MATCH(G3704,CBIC_Late_Fee_Relief_Windows_3B!$O$3704:$O$100,0))</f>
        <v/>
      </c>
      <c r="I3704">
        <f>MIN(F3704,H3704)</f>
        <v/>
      </c>
    </row>
    <row r="3705">
      <c r="A3705">
        <f>TEST_DATA!A3705</f>
        <v/>
      </c>
      <c r="B3705">
        <f>TEST_DATA!B3705</f>
        <v/>
      </c>
      <c r="C3705">
        <f>TEST_DATA!C3705</f>
        <v/>
      </c>
      <c r="D3705">
        <f>TEST_DATA!D3705</f>
        <v/>
      </c>
      <c r="E3705">
        <f>TEST_DATA!E3705</f>
        <v/>
      </c>
      <c r="F3705">
        <f>MIN(E3705*370500,10000)</f>
        <v/>
      </c>
      <c r="G3705">
        <f>MINIFS(CBIC_Late_Fee_Relief_Windows_3B!$O$3705:$O$100,CBIC_Late_Fee_Relief_Windows_3B!$D$3705:$D$100,"&lt;="&amp;B3705,CBIC_Late_Fee_Relief_Windows_3B!$E$3705:$E$100,"&gt;="&amp;B3705,CBIC_Late_Fee_Relief_Windows_3B!$F$3705:$F$100,"&lt;="&amp;C3705,CBIC_Late_Fee_Relief_Windows_3B!$G$3705:$G$100,"&gt;="&amp;C3705)</f>
        <v/>
      </c>
      <c r="H3705">
        <f>INDEX(CBIC_Late_Fee_Relief_Windows_3B!$I$3705:$I$100,MATCH(G3705,CBIC_Late_Fee_Relief_Windows_3B!$O$3705:$O$100,0))</f>
        <v/>
      </c>
      <c r="I3705">
        <f>MIN(F3705,H3705)</f>
        <v/>
      </c>
    </row>
    <row r="3706">
      <c r="A3706">
        <f>TEST_DATA!A3706</f>
        <v/>
      </c>
      <c r="B3706">
        <f>TEST_DATA!B3706</f>
        <v/>
      </c>
      <c r="C3706">
        <f>TEST_DATA!C3706</f>
        <v/>
      </c>
      <c r="D3706">
        <f>TEST_DATA!D3706</f>
        <v/>
      </c>
      <c r="E3706">
        <f>TEST_DATA!E3706</f>
        <v/>
      </c>
      <c r="F3706">
        <f>MIN(E3706*370600,10000)</f>
        <v/>
      </c>
      <c r="G3706">
        <f>MINIFS(CBIC_Late_Fee_Relief_Windows_3B!$O$3706:$O$100,CBIC_Late_Fee_Relief_Windows_3B!$D$3706:$D$100,"&lt;="&amp;B3706,CBIC_Late_Fee_Relief_Windows_3B!$E$3706:$E$100,"&gt;="&amp;B3706,CBIC_Late_Fee_Relief_Windows_3B!$F$3706:$F$100,"&lt;="&amp;C3706,CBIC_Late_Fee_Relief_Windows_3B!$G$3706:$G$100,"&gt;="&amp;C3706)</f>
        <v/>
      </c>
      <c r="H3706">
        <f>INDEX(CBIC_Late_Fee_Relief_Windows_3B!$I$3706:$I$100,MATCH(G3706,CBIC_Late_Fee_Relief_Windows_3B!$O$3706:$O$100,0))</f>
        <v/>
      </c>
      <c r="I3706">
        <f>MIN(F3706,H3706)</f>
        <v/>
      </c>
    </row>
    <row r="3707">
      <c r="A3707">
        <f>TEST_DATA!A3707</f>
        <v/>
      </c>
      <c r="B3707">
        <f>TEST_DATA!B3707</f>
        <v/>
      </c>
      <c r="C3707">
        <f>TEST_DATA!C3707</f>
        <v/>
      </c>
      <c r="D3707">
        <f>TEST_DATA!D3707</f>
        <v/>
      </c>
      <c r="E3707">
        <f>TEST_DATA!E3707</f>
        <v/>
      </c>
      <c r="F3707">
        <f>MIN(E3707*370700,10000)</f>
        <v/>
      </c>
      <c r="G3707">
        <f>MINIFS(CBIC_Late_Fee_Relief_Windows_3B!$O$3707:$O$100,CBIC_Late_Fee_Relief_Windows_3B!$D$3707:$D$100,"&lt;="&amp;B3707,CBIC_Late_Fee_Relief_Windows_3B!$E$3707:$E$100,"&gt;="&amp;B3707,CBIC_Late_Fee_Relief_Windows_3B!$F$3707:$F$100,"&lt;="&amp;C3707,CBIC_Late_Fee_Relief_Windows_3B!$G$3707:$G$100,"&gt;="&amp;C3707)</f>
        <v/>
      </c>
      <c r="H3707">
        <f>INDEX(CBIC_Late_Fee_Relief_Windows_3B!$I$3707:$I$100,MATCH(G3707,CBIC_Late_Fee_Relief_Windows_3B!$O$3707:$O$100,0))</f>
        <v/>
      </c>
      <c r="I3707">
        <f>MIN(F3707,H3707)</f>
        <v/>
      </c>
    </row>
    <row r="3708">
      <c r="A3708">
        <f>TEST_DATA!A3708</f>
        <v/>
      </c>
      <c r="B3708">
        <f>TEST_DATA!B3708</f>
        <v/>
      </c>
      <c r="C3708">
        <f>TEST_DATA!C3708</f>
        <v/>
      </c>
      <c r="D3708">
        <f>TEST_DATA!D3708</f>
        <v/>
      </c>
      <c r="E3708">
        <f>TEST_DATA!E3708</f>
        <v/>
      </c>
      <c r="F3708">
        <f>MIN(E3708*370800,10000)</f>
        <v/>
      </c>
      <c r="G3708">
        <f>MINIFS(CBIC_Late_Fee_Relief_Windows_3B!$O$3708:$O$100,CBIC_Late_Fee_Relief_Windows_3B!$D$3708:$D$100,"&lt;="&amp;B3708,CBIC_Late_Fee_Relief_Windows_3B!$E$3708:$E$100,"&gt;="&amp;B3708,CBIC_Late_Fee_Relief_Windows_3B!$F$3708:$F$100,"&lt;="&amp;C3708,CBIC_Late_Fee_Relief_Windows_3B!$G$3708:$G$100,"&gt;="&amp;C3708)</f>
        <v/>
      </c>
      <c r="H3708">
        <f>INDEX(CBIC_Late_Fee_Relief_Windows_3B!$I$3708:$I$100,MATCH(G3708,CBIC_Late_Fee_Relief_Windows_3B!$O$3708:$O$100,0))</f>
        <v/>
      </c>
      <c r="I3708">
        <f>MIN(F3708,H3708)</f>
        <v/>
      </c>
    </row>
    <row r="3709">
      <c r="A3709">
        <f>TEST_DATA!A3709</f>
        <v/>
      </c>
      <c r="B3709">
        <f>TEST_DATA!B3709</f>
        <v/>
      </c>
      <c r="C3709">
        <f>TEST_DATA!C3709</f>
        <v/>
      </c>
      <c r="D3709">
        <f>TEST_DATA!D3709</f>
        <v/>
      </c>
      <c r="E3709">
        <f>TEST_DATA!E3709</f>
        <v/>
      </c>
      <c r="F3709">
        <f>MIN(E3709*370900,10000)</f>
        <v/>
      </c>
      <c r="G3709">
        <f>MINIFS(CBIC_Late_Fee_Relief_Windows_3B!$O$3709:$O$100,CBIC_Late_Fee_Relief_Windows_3B!$D$3709:$D$100,"&lt;="&amp;B3709,CBIC_Late_Fee_Relief_Windows_3B!$E$3709:$E$100,"&gt;="&amp;B3709,CBIC_Late_Fee_Relief_Windows_3B!$F$3709:$F$100,"&lt;="&amp;C3709,CBIC_Late_Fee_Relief_Windows_3B!$G$3709:$G$100,"&gt;="&amp;C3709)</f>
        <v/>
      </c>
      <c r="H3709">
        <f>INDEX(CBIC_Late_Fee_Relief_Windows_3B!$I$3709:$I$100,MATCH(G3709,CBIC_Late_Fee_Relief_Windows_3B!$O$3709:$O$100,0))</f>
        <v/>
      </c>
      <c r="I3709">
        <f>MIN(F3709,H3709)</f>
        <v/>
      </c>
    </row>
    <row r="3710">
      <c r="A3710">
        <f>TEST_DATA!A3710</f>
        <v/>
      </c>
      <c r="B3710">
        <f>TEST_DATA!B3710</f>
        <v/>
      </c>
      <c r="C3710">
        <f>TEST_DATA!C3710</f>
        <v/>
      </c>
      <c r="D3710">
        <f>TEST_DATA!D3710</f>
        <v/>
      </c>
      <c r="E3710">
        <f>TEST_DATA!E3710</f>
        <v/>
      </c>
      <c r="F3710">
        <f>MIN(E3710*371000,10000)</f>
        <v/>
      </c>
      <c r="G3710">
        <f>MINIFS(CBIC_Late_Fee_Relief_Windows_3B!$O$3710:$O$100,CBIC_Late_Fee_Relief_Windows_3B!$D$3710:$D$100,"&lt;="&amp;B3710,CBIC_Late_Fee_Relief_Windows_3B!$E$3710:$E$100,"&gt;="&amp;B3710,CBIC_Late_Fee_Relief_Windows_3B!$F$3710:$F$100,"&lt;="&amp;C3710,CBIC_Late_Fee_Relief_Windows_3B!$G$3710:$G$100,"&gt;="&amp;C3710)</f>
        <v/>
      </c>
      <c r="H3710">
        <f>INDEX(CBIC_Late_Fee_Relief_Windows_3B!$I$3710:$I$100,MATCH(G3710,CBIC_Late_Fee_Relief_Windows_3B!$O$3710:$O$100,0))</f>
        <v/>
      </c>
      <c r="I3710">
        <f>MIN(F3710,H3710)</f>
        <v/>
      </c>
    </row>
    <row r="3711">
      <c r="A3711">
        <f>TEST_DATA!A3711</f>
        <v/>
      </c>
      <c r="B3711">
        <f>TEST_DATA!B3711</f>
        <v/>
      </c>
      <c r="C3711">
        <f>TEST_DATA!C3711</f>
        <v/>
      </c>
      <c r="D3711">
        <f>TEST_DATA!D3711</f>
        <v/>
      </c>
      <c r="E3711">
        <f>TEST_DATA!E3711</f>
        <v/>
      </c>
      <c r="F3711">
        <f>MIN(E3711*371100,10000)</f>
        <v/>
      </c>
      <c r="G3711">
        <f>MINIFS(CBIC_Late_Fee_Relief_Windows_3B!$O$3711:$O$100,CBIC_Late_Fee_Relief_Windows_3B!$D$3711:$D$100,"&lt;="&amp;B3711,CBIC_Late_Fee_Relief_Windows_3B!$E$3711:$E$100,"&gt;="&amp;B3711,CBIC_Late_Fee_Relief_Windows_3B!$F$3711:$F$100,"&lt;="&amp;C3711,CBIC_Late_Fee_Relief_Windows_3B!$G$3711:$G$100,"&gt;="&amp;C3711)</f>
        <v/>
      </c>
      <c r="H3711">
        <f>INDEX(CBIC_Late_Fee_Relief_Windows_3B!$I$3711:$I$100,MATCH(G3711,CBIC_Late_Fee_Relief_Windows_3B!$O$3711:$O$100,0))</f>
        <v/>
      </c>
      <c r="I3711">
        <f>MIN(F3711,H3711)</f>
        <v/>
      </c>
    </row>
    <row r="3712">
      <c r="A3712">
        <f>TEST_DATA!A3712</f>
        <v/>
      </c>
      <c r="B3712">
        <f>TEST_DATA!B3712</f>
        <v/>
      </c>
      <c r="C3712">
        <f>TEST_DATA!C3712</f>
        <v/>
      </c>
      <c r="D3712">
        <f>TEST_DATA!D3712</f>
        <v/>
      </c>
      <c r="E3712">
        <f>TEST_DATA!E3712</f>
        <v/>
      </c>
      <c r="F3712">
        <f>MIN(E3712*371200,10000)</f>
        <v/>
      </c>
      <c r="G3712">
        <f>MINIFS(CBIC_Late_Fee_Relief_Windows_3B!$O$3712:$O$100,CBIC_Late_Fee_Relief_Windows_3B!$D$3712:$D$100,"&lt;="&amp;B3712,CBIC_Late_Fee_Relief_Windows_3B!$E$3712:$E$100,"&gt;="&amp;B3712,CBIC_Late_Fee_Relief_Windows_3B!$F$3712:$F$100,"&lt;="&amp;C3712,CBIC_Late_Fee_Relief_Windows_3B!$G$3712:$G$100,"&gt;="&amp;C3712)</f>
        <v/>
      </c>
      <c r="H3712">
        <f>INDEX(CBIC_Late_Fee_Relief_Windows_3B!$I$3712:$I$100,MATCH(G3712,CBIC_Late_Fee_Relief_Windows_3B!$O$3712:$O$100,0))</f>
        <v/>
      </c>
      <c r="I3712">
        <f>MIN(F3712,H3712)</f>
        <v/>
      </c>
    </row>
    <row r="3713">
      <c r="A3713">
        <f>TEST_DATA!A3713</f>
        <v/>
      </c>
      <c r="B3713">
        <f>TEST_DATA!B3713</f>
        <v/>
      </c>
      <c r="C3713">
        <f>TEST_DATA!C3713</f>
        <v/>
      </c>
      <c r="D3713">
        <f>TEST_DATA!D3713</f>
        <v/>
      </c>
      <c r="E3713">
        <f>TEST_DATA!E3713</f>
        <v/>
      </c>
      <c r="F3713">
        <f>MIN(E3713*371300,10000)</f>
        <v/>
      </c>
      <c r="G3713">
        <f>MINIFS(CBIC_Late_Fee_Relief_Windows_3B!$O$3713:$O$100,CBIC_Late_Fee_Relief_Windows_3B!$D$3713:$D$100,"&lt;="&amp;B3713,CBIC_Late_Fee_Relief_Windows_3B!$E$3713:$E$100,"&gt;="&amp;B3713,CBIC_Late_Fee_Relief_Windows_3B!$F$3713:$F$100,"&lt;="&amp;C3713,CBIC_Late_Fee_Relief_Windows_3B!$G$3713:$G$100,"&gt;="&amp;C3713)</f>
        <v/>
      </c>
      <c r="H3713">
        <f>INDEX(CBIC_Late_Fee_Relief_Windows_3B!$I$3713:$I$100,MATCH(G3713,CBIC_Late_Fee_Relief_Windows_3B!$O$3713:$O$100,0))</f>
        <v/>
      </c>
      <c r="I3713">
        <f>MIN(F3713,H3713)</f>
        <v/>
      </c>
    </row>
    <row r="3714">
      <c r="A3714">
        <f>TEST_DATA!A3714</f>
        <v/>
      </c>
      <c r="B3714">
        <f>TEST_DATA!B3714</f>
        <v/>
      </c>
      <c r="C3714">
        <f>TEST_DATA!C3714</f>
        <v/>
      </c>
      <c r="D3714">
        <f>TEST_DATA!D3714</f>
        <v/>
      </c>
      <c r="E3714">
        <f>TEST_DATA!E3714</f>
        <v/>
      </c>
      <c r="F3714">
        <f>MIN(E3714*371400,10000)</f>
        <v/>
      </c>
      <c r="G3714">
        <f>MINIFS(CBIC_Late_Fee_Relief_Windows_3B!$O$3714:$O$100,CBIC_Late_Fee_Relief_Windows_3B!$D$3714:$D$100,"&lt;="&amp;B3714,CBIC_Late_Fee_Relief_Windows_3B!$E$3714:$E$100,"&gt;="&amp;B3714,CBIC_Late_Fee_Relief_Windows_3B!$F$3714:$F$100,"&lt;="&amp;C3714,CBIC_Late_Fee_Relief_Windows_3B!$G$3714:$G$100,"&gt;="&amp;C3714)</f>
        <v/>
      </c>
      <c r="H3714">
        <f>INDEX(CBIC_Late_Fee_Relief_Windows_3B!$I$3714:$I$100,MATCH(G3714,CBIC_Late_Fee_Relief_Windows_3B!$O$3714:$O$100,0))</f>
        <v/>
      </c>
      <c r="I3714">
        <f>MIN(F3714,H3714)</f>
        <v/>
      </c>
    </row>
    <row r="3715">
      <c r="A3715">
        <f>TEST_DATA!A3715</f>
        <v/>
      </c>
      <c r="B3715">
        <f>TEST_DATA!B3715</f>
        <v/>
      </c>
      <c r="C3715">
        <f>TEST_DATA!C3715</f>
        <v/>
      </c>
      <c r="D3715">
        <f>TEST_DATA!D3715</f>
        <v/>
      </c>
      <c r="E3715">
        <f>TEST_DATA!E3715</f>
        <v/>
      </c>
      <c r="F3715">
        <f>MIN(E3715*371500,10000)</f>
        <v/>
      </c>
      <c r="G3715">
        <f>MINIFS(CBIC_Late_Fee_Relief_Windows_3B!$O$3715:$O$100,CBIC_Late_Fee_Relief_Windows_3B!$D$3715:$D$100,"&lt;="&amp;B3715,CBIC_Late_Fee_Relief_Windows_3B!$E$3715:$E$100,"&gt;="&amp;B3715,CBIC_Late_Fee_Relief_Windows_3B!$F$3715:$F$100,"&lt;="&amp;C3715,CBIC_Late_Fee_Relief_Windows_3B!$G$3715:$G$100,"&gt;="&amp;C3715)</f>
        <v/>
      </c>
      <c r="H3715">
        <f>INDEX(CBIC_Late_Fee_Relief_Windows_3B!$I$3715:$I$100,MATCH(G3715,CBIC_Late_Fee_Relief_Windows_3B!$O$3715:$O$100,0))</f>
        <v/>
      </c>
      <c r="I3715">
        <f>MIN(F3715,H3715)</f>
        <v/>
      </c>
    </row>
    <row r="3716">
      <c r="A3716">
        <f>TEST_DATA!A3716</f>
        <v/>
      </c>
      <c r="B3716">
        <f>TEST_DATA!B3716</f>
        <v/>
      </c>
      <c r="C3716">
        <f>TEST_DATA!C3716</f>
        <v/>
      </c>
      <c r="D3716">
        <f>TEST_DATA!D3716</f>
        <v/>
      </c>
      <c r="E3716">
        <f>TEST_DATA!E3716</f>
        <v/>
      </c>
      <c r="F3716">
        <f>MIN(E3716*371600,10000)</f>
        <v/>
      </c>
      <c r="G3716">
        <f>MINIFS(CBIC_Late_Fee_Relief_Windows_3B!$O$3716:$O$100,CBIC_Late_Fee_Relief_Windows_3B!$D$3716:$D$100,"&lt;="&amp;B3716,CBIC_Late_Fee_Relief_Windows_3B!$E$3716:$E$100,"&gt;="&amp;B3716,CBIC_Late_Fee_Relief_Windows_3B!$F$3716:$F$100,"&lt;="&amp;C3716,CBIC_Late_Fee_Relief_Windows_3B!$G$3716:$G$100,"&gt;="&amp;C3716)</f>
        <v/>
      </c>
      <c r="H3716">
        <f>INDEX(CBIC_Late_Fee_Relief_Windows_3B!$I$3716:$I$100,MATCH(G3716,CBIC_Late_Fee_Relief_Windows_3B!$O$3716:$O$100,0))</f>
        <v/>
      </c>
      <c r="I3716">
        <f>MIN(F3716,H3716)</f>
        <v/>
      </c>
    </row>
    <row r="3717">
      <c r="A3717">
        <f>TEST_DATA!A3717</f>
        <v/>
      </c>
      <c r="B3717">
        <f>TEST_DATA!B3717</f>
        <v/>
      </c>
      <c r="C3717">
        <f>TEST_DATA!C3717</f>
        <v/>
      </c>
      <c r="D3717">
        <f>TEST_DATA!D3717</f>
        <v/>
      </c>
      <c r="E3717">
        <f>TEST_DATA!E3717</f>
        <v/>
      </c>
      <c r="F3717">
        <f>MIN(E3717*371700,10000)</f>
        <v/>
      </c>
      <c r="G3717">
        <f>MINIFS(CBIC_Late_Fee_Relief_Windows_3B!$O$3717:$O$100,CBIC_Late_Fee_Relief_Windows_3B!$D$3717:$D$100,"&lt;="&amp;B3717,CBIC_Late_Fee_Relief_Windows_3B!$E$3717:$E$100,"&gt;="&amp;B3717,CBIC_Late_Fee_Relief_Windows_3B!$F$3717:$F$100,"&lt;="&amp;C3717,CBIC_Late_Fee_Relief_Windows_3B!$G$3717:$G$100,"&gt;="&amp;C3717)</f>
        <v/>
      </c>
      <c r="H3717">
        <f>INDEX(CBIC_Late_Fee_Relief_Windows_3B!$I$3717:$I$100,MATCH(G3717,CBIC_Late_Fee_Relief_Windows_3B!$O$3717:$O$100,0))</f>
        <v/>
      </c>
      <c r="I3717">
        <f>MIN(F3717,H3717)</f>
        <v/>
      </c>
    </row>
    <row r="3718">
      <c r="A3718">
        <f>TEST_DATA!A3718</f>
        <v/>
      </c>
      <c r="B3718">
        <f>TEST_DATA!B3718</f>
        <v/>
      </c>
      <c r="C3718">
        <f>TEST_DATA!C3718</f>
        <v/>
      </c>
      <c r="D3718">
        <f>TEST_DATA!D3718</f>
        <v/>
      </c>
      <c r="E3718">
        <f>TEST_DATA!E3718</f>
        <v/>
      </c>
      <c r="F3718">
        <f>MIN(E3718*371800,10000)</f>
        <v/>
      </c>
      <c r="G3718">
        <f>MINIFS(CBIC_Late_Fee_Relief_Windows_3B!$O$3718:$O$100,CBIC_Late_Fee_Relief_Windows_3B!$D$3718:$D$100,"&lt;="&amp;B3718,CBIC_Late_Fee_Relief_Windows_3B!$E$3718:$E$100,"&gt;="&amp;B3718,CBIC_Late_Fee_Relief_Windows_3B!$F$3718:$F$100,"&lt;="&amp;C3718,CBIC_Late_Fee_Relief_Windows_3B!$G$3718:$G$100,"&gt;="&amp;C3718)</f>
        <v/>
      </c>
      <c r="H3718">
        <f>INDEX(CBIC_Late_Fee_Relief_Windows_3B!$I$3718:$I$100,MATCH(G3718,CBIC_Late_Fee_Relief_Windows_3B!$O$3718:$O$100,0))</f>
        <v/>
      </c>
      <c r="I3718">
        <f>MIN(F3718,H3718)</f>
        <v/>
      </c>
    </row>
    <row r="3719">
      <c r="A3719">
        <f>TEST_DATA!A3719</f>
        <v/>
      </c>
      <c r="B3719">
        <f>TEST_DATA!B3719</f>
        <v/>
      </c>
      <c r="C3719">
        <f>TEST_DATA!C3719</f>
        <v/>
      </c>
      <c r="D3719">
        <f>TEST_DATA!D3719</f>
        <v/>
      </c>
      <c r="E3719">
        <f>TEST_DATA!E3719</f>
        <v/>
      </c>
      <c r="F3719">
        <f>MIN(E3719*371900,10000)</f>
        <v/>
      </c>
      <c r="G3719">
        <f>MINIFS(CBIC_Late_Fee_Relief_Windows_3B!$O$3719:$O$100,CBIC_Late_Fee_Relief_Windows_3B!$D$3719:$D$100,"&lt;="&amp;B3719,CBIC_Late_Fee_Relief_Windows_3B!$E$3719:$E$100,"&gt;="&amp;B3719,CBIC_Late_Fee_Relief_Windows_3B!$F$3719:$F$100,"&lt;="&amp;C3719,CBIC_Late_Fee_Relief_Windows_3B!$G$3719:$G$100,"&gt;="&amp;C3719)</f>
        <v/>
      </c>
      <c r="H3719">
        <f>INDEX(CBIC_Late_Fee_Relief_Windows_3B!$I$3719:$I$100,MATCH(G3719,CBIC_Late_Fee_Relief_Windows_3B!$O$3719:$O$100,0))</f>
        <v/>
      </c>
      <c r="I3719">
        <f>MIN(F3719,H3719)</f>
        <v/>
      </c>
    </row>
    <row r="3720">
      <c r="A3720">
        <f>TEST_DATA!A3720</f>
        <v/>
      </c>
      <c r="B3720">
        <f>TEST_DATA!B3720</f>
        <v/>
      </c>
      <c r="C3720">
        <f>TEST_DATA!C3720</f>
        <v/>
      </c>
      <c r="D3720">
        <f>TEST_DATA!D3720</f>
        <v/>
      </c>
      <c r="E3720">
        <f>TEST_DATA!E3720</f>
        <v/>
      </c>
      <c r="F3720">
        <f>MIN(E3720*372000,10000)</f>
        <v/>
      </c>
      <c r="G3720">
        <f>MINIFS(CBIC_Late_Fee_Relief_Windows_3B!$O$3720:$O$100,CBIC_Late_Fee_Relief_Windows_3B!$D$3720:$D$100,"&lt;="&amp;B3720,CBIC_Late_Fee_Relief_Windows_3B!$E$3720:$E$100,"&gt;="&amp;B3720,CBIC_Late_Fee_Relief_Windows_3B!$F$3720:$F$100,"&lt;="&amp;C3720,CBIC_Late_Fee_Relief_Windows_3B!$G$3720:$G$100,"&gt;="&amp;C3720)</f>
        <v/>
      </c>
      <c r="H3720">
        <f>INDEX(CBIC_Late_Fee_Relief_Windows_3B!$I$3720:$I$100,MATCH(G3720,CBIC_Late_Fee_Relief_Windows_3B!$O$3720:$O$100,0))</f>
        <v/>
      </c>
      <c r="I3720">
        <f>MIN(F3720,H3720)</f>
        <v/>
      </c>
    </row>
    <row r="3721">
      <c r="A3721">
        <f>TEST_DATA!A3721</f>
        <v/>
      </c>
      <c r="B3721">
        <f>TEST_DATA!B3721</f>
        <v/>
      </c>
      <c r="C3721">
        <f>TEST_DATA!C3721</f>
        <v/>
      </c>
      <c r="D3721">
        <f>TEST_DATA!D3721</f>
        <v/>
      </c>
      <c r="E3721">
        <f>TEST_DATA!E3721</f>
        <v/>
      </c>
      <c r="F3721">
        <f>MIN(E3721*372100,10000)</f>
        <v/>
      </c>
      <c r="G3721">
        <f>MINIFS(CBIC_Late_Fee_Relief_Windows_3B!$O$3721:$O$100,CBIC_Late_Fee_Relief_Windows_3B!$D$3721:$D$100,"&lt;="&amp;B3721,CBIC_Late_Fee_Relief_Windows_3B!$E$3721:$E$100,"&gt;="&amp;B3721,CBIC_Late_Fee_Relief_Windows_3B!$F$3721:$F$100,"&lt;="&amp;C3721,CBIC_Late_Fee_Relief_Windows_3B!$G$3721:$G$100,"&gt;="&amp;C3721)</f>
        <v/>
      </c>
      <c r="H3721">
        <f>INDEX(CBIC_Late_Fee_Relief_Windows_3B!$I$3721:$I$100,MATCH(G3721,CBIC_Late_Fee_Relief_Windows_3B!$O$3721:$O$100,0))</f>
        <v/>
      </c>
      <c r="I3721">
        <f>MIN(F3721,H3721)</f>
        <v/>
      </c>
    </row>
    <row r="3722">
      <c r="A3722">
        <f>TEST_DATA!A3722</f>
        <v/>
      </c>
      <c r="B3722">
        <f>TEST_DATA!B3722</f>
        <v/>
      </c>
      <c r="C3722">
        <f>TEST_DATA!C3722</f>
        <v/>
      </c>
      <c r="D3722">
        <f>TEST_DATA!D3722</f>
        <v/>
      </c>
      <c r="E3722">
        <f>TEST_DATA!E3722</f>
        <v/>
      </c>
      <c r="F3722">
        <f>MIN(E3722*372200,10000)</f>
        <v/>
      </c>
      <c r="G3722">
        <f>MINIFS(CBIC_Late_Fee_Relief_Windows_3B!$O$3722:$O$100,CBIC_Late_Fee_Relief_Windows_3B!$D$3722:$D$100,"&lt;="&amp;B3722,CBIC_Late_Fee_Relief_Windows_3B!$E$3722:$E$100,"&gt;="&amp;B3722,CBIC_Late_Fee_Relief_Windows_3B!$F$3722:$F$100,"&lt;="&amp;C3722,CBIC_Late_Fee_Relief_Windows_3B!$G$3722:$G$100,"&gt;="&amp;C3722)</f>
        <v/>
      </c>
      <c r="H3722">
        <f>INDEX(CBIC_Late_Fee_Relief_Windows_3B!$I$3722:$I$100,MATCH(G3722,CBIC_Late_Fee_Relief_Windows_3B!$O$3722:$O$100,0))</f>
        <v/>
      </c>
      <c r="I3722">
        <f>MIN(F3722,H3722)</f>
        <v/>
      </c>
    </row>
    <row r="3723">
      <c r="A3723">
        <f>TEST_DATA!A3723</f>
        <v/>
      </c>
      <c r="B3723">
        <f>TEST_DATA!B3723</f>
        <v/>
      </c>
      <c r="C3723">
        <f>TEST_DATA!C3723</f>
        <v/>
      </c>
      <c r="D3723">
        <f>TEST_DATA!D3723</f>
        <v/>
      </c>
      <c r="E3723">
        <f>TEST_DATA!E3723</f>
        <v/>
      </c>
      <c r="F3723">
        <f>MIN(E3723*372300,10000)</f>
        <v/>
      </c>
      <c r="G3723">
        <f>MINIFS(CBIC_Late_Fee_Relief_Windows_3B!$O$3723:$O$100,CBIC_Late_Fee_Relief_Windows_3B!$D$3723:$D$100,"&lt;="&amp;B3723,CBIC_Late_Fee_Relief_Windows_3B!$E$3723:$E$100,"&gt;="&amp;B3723,CBIC_Late_Fee_Relief_Windows_3B!$F$3723:$F$100,"&lt;="&amp;C3723,CBIC_Late_Fee_Relief_Windows_3B!$G$3723:$G$100,"&gt;="&amp;C3723)</f>
        <v/>
      </c>
      <c r="H3723">
        <f>INDEX(CBIC_Late_Fee_Relief_Windows_3B!$I$3723:$I$100,MATCH(G3723,CBIC_Late_Fee_Relief_Windows_3B!$O$3723:$O$100,0))</f>
        <v/>
      </c>
      <c r="I3723">
        <f>MIN(F3723,H3723)</f>
        <v/>
      </c>
    </row>
    <row r="3724">
      <c r="A3724">
        <f>TEST_DATA!A3724</f>
        <v/>
      </c>
      <c r="B3724">
        <f>TEST_DATA!B3724</f>
        <v/>
      </c>
      <c r="C3724">
        <f>TEST_DATA!C3724</f>
        <v/>
      </c>
      <c r="D3724">
        <f>TEST_DATA!D3724</f>
        <v/>
      </c>
      <c r="E3724">
        <f>TEST_DATA!E3724</f>
        <v/>
      </c>
      <c r="F3724">
        <f>MIN(E3724*372400,10000)</f>
        <v/>
      </c>
      <c r="G3724">
        <f>MINIFS(CBIC_Late_Fee_Relief_Windows_3B!$O$3724:$O$100,CBIC_Late_Fee_Relief_Windows_3B!$D$3724:$D$100,"&lt;="&amp;B3724,CBIC_Late_Fee_Relief_Windows_3B!$E$3724:$E$100,"&gt;="&amp;B3724,CBIC_Late_Fee_Relief_Windows_3B!$F$3724:$F$100,"&lt;="&amp;C3724,CBIC_Late_Fee_Relief_Windows_3B!$G$3724:$G$100,"&gt;="&amp;C3724)</f>
        <v/>
      </c>
      <c r="H3724">
        <f>INDEX(CBIC_Late_Fee_Relief_Windows_3B!$I$3724:$I$100,MATCH(G3724,CBIC_Late_Fee_Relief_Windows_3B!$O$3724:$O$100,0))</f>
        <v/>
      </c>
      <c r="I3724">
        <f>MIN(F3724,H3724)</f>
        <v/>
      </c>
    </row>
    <row r="3725">
      <c r="A3725">
        <f>TEST_DATA!A3725</f>
        <v/>
      </c>
      <c r="B3725">
        <f>TEST_DATA!B3725</f>
        <v/>
      </c>
      <c r="C3725">
        <f>TEST_DATA!C3725</f>
        <v/>
      </c>
      <c r="D3725">
        <f>TEST_DATA!D3725</f>
        <v/>
      </c>
      <c r="E3725">
        <f>TEST_DATA!E3725</f>
        <v/>
      </c>
      <c r="F3725">
        <f>MIN(E3725*372500,10000)</f>
        <v/>
      </c>
      <c r="G3725">
        <f>MINIFS(CBIC_Late_Fee_Relief_Windows_3B!$O$3725:$O$100,CBIC_Late_Fee_Relief_Windows_3B!$D$3725:$D$100,"&lt;="&amp;B3725,CBIC_Late_Fee_Relief_Windows_3B!$E$3725:$E$100,"&gt;="&amp;B3725,CBIC_Late_Fee_Relief_Windows_3B!$F$3725:$F$100,"&lt;="&amp;C3725,CBIC_Late_Fee_Relief_Windows_3B!$G$3725:$G$100,"&gt;="&amp;C3725)</f>
        <v/>
      </c>
      <c r="H3725">
        <f>INDEX(CBIC_Late_Fee_Relief_Windows_3B!$I$3725:$I$100,MATCH(G3725,CBIC_Late_Fee_Relief_Windows_3B!$O$3725:$O$100,0))</f>
        <v/>
      </c>
      <c r="I3725">
        <f>MIN(F3725,H3725)</f>
        <v/>
      </c>
    </row>
    <row r="3726">
      <c r="A3726">
        <f>TEST_DATA!A3726</f>
        <v/>
      </c>
      <c r="B3726">
        <f>TEST_DATA!B3726</f>
        <v/>
      </c>
      <c r="C3726">
        <f>TEST_DATA!C3726</f>
        <v/>
      </c>
      <c r="D3726">
        <f>TEST_DATA!D3726</f>
        <v/>
      </c>
      <c r="E3726">
        <f>TEST_DATA!E3726</f>
        <v/>
      </c>
      <c r="F3726">
        <f>MIN(E3726*372600,10000)</f>
        <v/>
      </c>
      <c r="G3726">
        <f>MINIFS(CBIC_Late_Fee_Relief_Windows_3B!$O$3726:$O$100,CBIC_Late_Fee_Relief_Windows_3B!$D$3726:$D$100,"&lt;="&amp;B3726,CBIC_Late_Fee_Relief_Windows_3B!$E$3726:$E$100,"&gt;="&amp;B3726,CBIC_Late_Fee_Relief_Windows_3B!$F$3726:$F$100,"&lt;="&amp;C3726,CBIC_Late_Fee_Relief_Windows_3B!$G$3726:$G$100,"&gt;="&amp;C3726)</f>
        <v/>
      </c>
      <c r="H3726">
        <f>INDEX(CBIC_Late_Fee_Relief_Windows_3B!$I$3726:$I$100,MATCH(G3726,CBIC_Late_Fee_Relief_Windows_3B!$O$3726:$O$100,0))</f>
        <v/>
      </c>
      <c r="I3726">
        <f>MIN(F3726,H3726)</f>
        <v/>
      </c>
    </row>
    <row r="3727">
      <c r="A3727">
        <f>TEST_DATA!A3727</f>
        <v/>
      </c>
      <c r="B3727">
        <f>TEST_DATA!B3727</f>
        <v/>
      </c>
      <c r="C3727">
        <f>TEST_DATA!C3727</f>
        <v/>
      </c>
      <c r="D3727">
        <f>TEST_DATA!D3727</f>
        <v/>
      </c>
      <c r="E3727">
        <f>TEST_DATA!E3727</f>
        <v/>
      </c>
      <c r="F3727">
        <f>MIN(E3727*372700,10000)</f>
        <v/>
      </c>
      <c r="G3727">
        <f>MINIFS(CBIC_Late_Fee_Relief_Windows_3B!$O$3727:$O$100,CBIC_Late_Fee_Relief_Windows_3B!$D$3727:$D$100,"&lt;="&amp;B3727,CBIC_Late_Fee_Relief_Windows_3B!$E$3727:$E$100,"&gt;="&amp;B3727,CBIC_Late_Fee_Relief_Windows_3B!$F$3727:$F$100,"&lt;="&amp;C3727,CBIC_Late_Fee_Relief_Windows_3B!$G$3727:$G$100,"&gt;="&amp;C3727)</f>
        <v/>
      </c>
      <c r="H3727">
        <f>INDEX(CBIC_Late_Fee_Relief_Windows_3B!$I$3727:$I$100,MATCH(G3727,CBIC_Late_Fee_Relief_Windows_3B!$O$3727:$O$100,0))</f>
        <v/>
      </c>
      <c r="I3727">
        <f>MIN(F3727,H3727)</f>
        <v/>
      </c>
    </row>
    <row r="3728">
      <c r="A3728">
        <f>TEST_DATA!A3728</f>
        <v/>
      </c>
      <c r="B3728">
        <f>TEST_DATA!B3728</f>
        <v/>
      </c>
      <c r="C3728">
        <f>TEST_DATA!C3728</f>
        <v/>
      </c>
      <c r="D3728">
        <f>TEST_DATA!D3728</f>
        <v/>
      </c>
      <c r="E3728">
        <f>TEST_DATA!E3728</f>
        <v/>
      </c>
      <c r="F3728">
        <f>MIN(E3728*372800,10000)</f>
        <v/>
      </c>
      <c r="G3728">
        <f>MINIFS(CBIC_Late_Fee_Relief_Windows_3B!$O$3728:$O$100,CBIC_Late_Fee_Relief_Windows_3B!$D$3728:$D$100,"&lt;="&amp;B3728,CBIC_Late_Fee_Relief_Windows_3B!$E$3728:$E$100,"&gt;="&amp;B3728,CBIC_Late_Fee_Relief_Windows_3B!$F$3728:$F$100,"&lt;="&amp;C3728,CBIC_Late_Fee_Relief_Windows_3B!$G$3728:$G$100,"&gt;="&amp;C3728)</f>
        <v/>
      </c>
      <c r="H3728">
        <f>INDEX(CBIC_Late_Fee_Relief_Windows_3B!$I$3728:$I$100,MATCH(G3728,CBIC_Late_Fee_Relief_Windows_3B!$O$3728:$O$100,0))</f>
        <v/>
      </c>
      <c r="I3728">
        <f>MIN(F3728,H3728)</f>
        <v/>
      </c>
    </row>
    <row r="3729">
      <c r="A3729">
        <f>TEST_DATA!A3729</f>
        <v/>
      </c>
      <c r="B3729">
        <f>TEST_DATA!B3729</f>
        <v/>
      </c>
      <c r="C3729">
        <f>TEST_DATA!C3729</f>
        <v/>
      </c>
      <c r="D3729">
        <f>TEST_DATA!D3729</f>
        <v/>
      </c>
      <c r="E3729">
        <f>TEST_DATA!E3729</f>
        <v/>
      </c>
      <c r="F3729">
        <f>MIN(E3729*372900,10000)</f>
        <v/>
      </c>
      <c r="G3729">
        <f>MINIFS(CBIC_Late_Fee_Relief_Windows_3B!$O$3729:$O$100,CBIC_Late_Fee_Relief_Windows_3B!$D$3729:$D$100,"&lt;="&amp;B3729,CBIC_Late_Fee_Relief_Windows_3B!$E$3729:$E$100,"&gt;="&amp;B3729,CBIC_Late_Fee_Relief_Windows_3B!$F$3729:$F$100,"&lt;="&amp;C3729,CBIC_Late_Fee_Relief_Windows_3B!$G$3729:$G$100,"&gt;="&amp;C3729)</f>
        <v/>
      </c>
      <c r="H3729">
        <f>INDEX(CBIC_Late_Fee_Relief_Windows_3B!$I$3729:$I$100,MATCH(G3729,CBIC_Late_Fee_Relief_Windows_3B!$O$3729:$O$100,0))</f>
        <v/>
      </c>
      <c r="I3729">
        <f>MIN(F3729,H3729)</f>
        <v/>
      </c>
    </row>
    <row r="3730">
      <c r="A3730">
        <f>TEST_DATA!A3730</f>
        <v/>
      </c>
      <c r="B3730">
        <f>TEST_DATA!B3730</f>
        <v/>
      </c>
      <c r="C3730">
        <f>TEST_DATA!C3730</f>
        <v/>
      </c>
      <c r="D3730">
        <f>TEST_DATA!D3730</f>
        <v/>
      </c>
      <c r="E3730">
        <f>TEST_DATA!E3730</f>
        <v/>
      </c>
      <c r="F3730">
        <f>MIN(E3730*373000,10000)</f>
        <v/>
      </c>
      <c r="G3730">
        <f>MINIFS(CBIC_Late_Fee_Relief_Windows_3B!$O$3730:$O$100,CBIC_Late_Fee_Relief_Windows_3B!$D$3730:$D$100,"&lt;="&amp;B3730,CBIC_Late_Fee_Relief_Windows_3B!$E$3730:$E$100,"&gt;="&amp;B3730,CBIC_Late_Fee_Relief_Windows_3B!$F$3730:$F$100,"&lt;="&amp;C3730,CBIC_Late_Fee_Relief_Windows_3B!$G$3730:$G$100,"&gt;="&amp;C3730)</f>
        <v/>
      </c>
      <c r="H3730">
        <f>INDEX(CBIC_Late_Fee_Relief_Windows_3B!$I$3730:$I$100,MATCH(G3730,CBIC_Late_Fee_Relief_Windows_3B!$O$3730:$O$100,0))</f>
        <v/>
      </c>
      <c r="I3730">
        <f>MIN(F3730,H3730)</f>
        <v/>
      </c>
    </row>
    <row r="3731">
      <c r="A3731">
        <f>TEST_DATA!A3731</f>
        <v/>
      </c>
      <c r="B3731">
        <f>TEST_DATA!B3731</f>
        <v/>
      </c>
      <c r="C3731">
        <f>TEST_DATA!C3731</f>
        <v/>
      </c>
      <c r="D3731">
        <f>TEST_DATA!D3731</f>
        <v/>
      </c>
      <c r="E3731">
        <f>TEST_DATA!E3731</f>
        <v/>
      </c>
      <c r="F3731">
        <f>MIN(E3731*373100,10000)</f>
        <v/>
      </c>
      <c r="G3731">
        <f>MINIFS(CBIC_Late_Fee_Relief_Windows_3B!$O$3731:$O$100,CBIC_Late_Fee_Relief_Windows_3B!$D$3731:$D$100,"&lt;="&amp;B3731,CBIC_Late_Fee_Relief_Windows_3B!$E$3731:$E$100,"&gt;="&amp;B3731,CBIC_Late_Fee_Relief_Windows_3B!$F$3731:$F$100,"&lt;="&amp;C3731,CBIC_Late_Fee_Relief_Windows_3B!$G$3731:$G$100,"&gt;="&amp;C3731)</f>
        <v/>
      </c>
      <c r="H3731">
        <f>INDEX(CBIC_Late_Fee_Relief_Windows_3B!$I$3731:$I$100,MATCH(G3731,CBIC_Late_Fee_Relief_Windows_3B!$O$3731:$O$100,0))</f>
        <v/>
      </c>
      <c r="I3731">
        <f>MIN(F3731,H3731)</f>
        <v/>
      </c>
    </row>
    <row r="3732">
      <c r="A3732">
        <f>TEST_DATA!A3732</f>
        <v/>
      </c>
      <c r="B3732">
        <f>TEST_DATA!B3732</f>
        <v/>
      </c>
      <c r="C3732">
        <f>TEST_DATA!C3732</f>
        <v/>
      </c>
      <c r="D3732">
        <f>TEST_DATA!D3732</f>
        <v/>
      </c>
      <c r="E3732">
        <f>TEST_DATA!E3732</f>
        <v/>
      </c>
      <c r="F3732">
        <f>MIN(E3732*373200,10000)</f>
        <v/>
      </c>
      <c r="G3732">
        <f>MINIFS(CBIC_Late_Fee_Relief_Windows_3B!$O$3732:$O$100,CBIC_Late_Fee_Relief_Windows_3B!$D$3732:$D$100,"&lt;="&amp;B3732,CBIC_Late_Fee_Relief_Windows_3B!$E$3732:$E$100,"&gt;="&amp;B3732,CBIC_Late_Fee_Relief_Windows_3B!$F$3732:$F$100,"&lt;="&amp;C3732,CBIC_Late_Fee_Relief_Windows_3B!$G$3732:$G$100,"&gt;="&amp;C3732)</f>
        <v/>
      </c>
      <c r="H3732">
        <f>INDEX(CBIC_Late_Fee_Relief_Windows_3B!$I$3732:$I$100,MATCH(G3732,CBIC_Late_Fee_Relief_Windows_3B!$O$3732:$O$100,0))</f>
        <v/>
      </c>
      <c r="I3732">
        <f>MIN(F3732,H3732)</f>
        <v/>
      </c>
    </row>
    <row r="3733">
      <c r="A3733">
        <f>TEST_DATA!A3733</f>
        <v/>
      </c>
      <c r="B3733">
        <f>TEST_DATA!B3733</f>
        <v/>
      </c>
      <c r="C3733">
        <f>TEST_DATA!C3733</f>
        <v/>
      </c>
      <c r="D3733">
        <f>TEST_DATA!D3733</f>
        <v/>
      </c>
      <c r="E3733">
        <f>TEST_DATA!E3733</f>
        <v/>
      </c>
      <c r="F3733">
        <f>MIN(E3733*373300,10000)</f>
        <v/>
      </c>
      <c r="G3733">
        <f>MINIFS(CBIC_Late_Fee_Relief_Windows_3B!$O$3733:$O$100,CBIC_Late_Fee_Relief_Windows_3B!$D$3733:$D$100,"&lt;="&amp;B3733,CBIC_Late_Fee_Relief_Windows_3B!$E$3733:$E$100,"&gt;="&amp;B3733,CBIC_Late_Fee_Relief_Windows_3B!$F$3733:$F$100,"&lt;="&amp;C3733,CBIC_Late_Fee_Relief_Windows_3B!$G$3733:$G$100,"&gt;="&amp;C3733)</f>
        <v/>
      </c>
      <c r="H3733">
        <f>INDEX(CBIC_Late_Fee_Relief_Windows_3B!$I$3733:$I$100,MATCH(G3733,CBIC_Late_Fee_Relief_Windows_3B!$O$3733:$O$100,0))</f>
        <v/>
      </c>
      <c r="I3733">
        <f>MIN(F3733,H3733)</f>
        <v/>
      </c>
    </row>
    <row r="3734">
      <c r="A3734">
        <f>TEST_DATA!A3734</f>
        <v/>
      </c>
      <c r="B3734">
        <f>TEST_DATA!B3734</f>
        <v/>
      </c>
      <c r="C3734">
        <f>TEST_DATA!C3734</f>
        <v/>
      </c>
      <c r="D3734">
        <f>TEST_DATA!D3734</f>
        <v/>
      </c>
      <c r="E3734">
        <f>TEST_DATA!E3734</f>
        <v/>
      </c>
      <c r="F3734">
        <f>MIN(E3734*373400,10000)</f>
        <v/>
      </c>
      <c r="G3734">
        <f>MINIFS(CBIC_Late_Fee_Relief_Windows_3B!$O$3734:$O$100,CBIC_Late_Fee_Relief_Windows_3B!$D$3734:$D$100,"&lt;="&amp;B3734,CBIC_Late_Fee_Relief_Windows_3B!$E$3734:$E$100,"&gt;="&amp;B3734,CBIC_Late_Fee_Relief_Windows_3B!$F$3734:$F$100,"&lt;="&amp;C3734,CBIC_Late_Fee_Relief_Windows_3B!$G$3734:$G$100,"&gt;="&amp;C3734)</f>
        <v/>
      </c>
      <c r="H3734">
        <f>INDEX(CBIC_Late_Fee_Relief_Windows_3B!$I$3734:$I$100,MATCH(G3734,CBIC_Late_Fee_Relief_Windows_3B!$O$3734:$O$100,0))</f>
        <v/>
      </c>
      <c r="I3734">
        <f>MIN(F3734,H3734)</f>
        <v/>
      </c>
    </row>
    <row r="3735">
      <c r="A3735">
        <f>TEST_DATA!A3735</f>
        <v/>
      </c>
      <c r="B3735">
        <f>TEST_DATA!B3735</f>
        <v/>
      </c>
      <c r="C3735">
        <f>TEST_DATA!C3735</f>
        <v/>
      </c>
      <c r="D3735">
        <f>TEST_DATA!D3735</f>
        <v/>
      </c>
      <c r="E3735">
        <f>TEST_DATA!E3735</f>
        <v/>
      </c>
      <c r="F3735">
        <f>MIN(E3735*373500,10000)</f>
        <v/>
      </c>
      <c r="G3735">
        <f>MINIFS(CBIC_Late_Fee_Relief_Windows_3B!$O$3735:$O$100,CBIC_Late_Fee_Relief_Windows_3B!$D$3735:$D$100,"&lt;="&amp;B3735,CBIC_Late_Fee_Relief_Windows_3B!$E$3735:$E$100,"&gt;="&amp;B3735,CBIC_Late_Fee_Relief_Windows_3B!$F$3735:$F$100,"&lt;="&amp;C3735,CBIC_Late_Fee_Relief_Windows_3B!$G$3735:$G$100,"&gt;="&amp;C3735)</f>
        <v/>
      </c>
      <c r="H3735">
        <f>INDEX(CBIC_Late_Fee_Relief_Windows_3B!$I$3735:$I$100,MATCH(G3735,CBIC_Late_Fee_Relief_Windows_3B!$O$3735:$O$100,0))</f>
        <v/>
      </c>
      <c r="I3735">
        <f>MIN(F3735,H3735)</f>
        <v/>
      </c>
    </row>
    <row r="3736">
      <c r="A3736">
        <f>TEST_DATA!A3736</f>
        <v/>
      </c>
      <c r="B3736">
        <f>TEST_DATA!B3736</f>
        <v/>
      </c>
      <c r="C3736">
        <f>TEST_DATA!C3736</f>
        <v/>
      </c>
      <c r="D3736">
        <f>TEST_DATA!D3736</f>
        <v/>
      </c>
      <c r="E3736">
        <f>TEST_DATA!E3736</f>
        <v/>
      </c>
      <c r="F3736">
        <f>MIN(E3736*373600,10000)</f>
        <v/>
      </c>
      <c r="G3736">
        <f>MINIFS(CBIC_Late_Fee_Relief_Windows_3B!$O$3736:$O$100,CBIC_Late_Fee_Relief_Windows_3B!$D$3736:$D$100,"&lt;="&amp;B3736,CBIC_Late_Fee_Relief_Windows_3B!$E$3736:$E$100,"&gt;="&amp;B3736,CBIC_Late_Fee_Relief_Windows_3B!$F$3736:$F$100,"&lt;="&amp;C3736,CBIC_Late_Fee_Relief_Windows_3B!$G$3736:$G$100,"&gt;="&amp;C3736)</f>
        <v/>
      </c>
      <c r="H3736">
        <f>INDEX(CBIC_Late_Fee_Relief_Windows_3B!$I$3736:$I$100,MATCH(G3736,CBIC_Late_Fee_Relief_Windows_3B!$O$3736:$O$100,0))</f>
        <v/>
      </c>
      <c r="I3736">
        <f>MIN(F3736,H3736)</f>
        <v/>
      </c>
    </row>
    <row r="3737">
      <c r="A3737">
        <f>TEST_DATA!A3737</f>
        <v/>
      </c>
      <c r="B3737">
        <f>TEST_DATA!B3737</f>
        <v/>
      </c>
      <c r="C3737">
        <f>TEST_DATA!C3737</f>
        <v/>
      </c>
      <c r="D3737">
        <f>TEST_DATA!D3737</f>
        <v/>
      </c>
      <c r="E3737">
        <f>TEST_DATA!E3737</f>
        <v/>
      </c>
      <c r="F3737">
        <f>MIN(E3737*373700,10000)</f>
        <v/>
      </c>
      <c r="G3737">
        <f>MINIFS(CBIC_Late_Fee_Relief_Windows_3B!$O$3737:$O$100,CBIC_Late_Fee_Relief_Windows_3B!$D$3737:$D$100,"&lt;="&amp;B3737,CBIC_Late_Fee_Relief_Windows_3B!$E$3737:$E$100,"&gt;="&amp;B3737,CBIC_Late_Fee_Relief_Windows_3B!$F$3737:$F$100,"&lt;="&amp;C3737,CBIC_Late_Fee_Relief_Windows_3B!$G$3737:$G$100,"&gt;="&amp;C3737)</f>
        <v/>
      </c>
      <c r="H3737">
        <f>INDEX(CBIC_Late_Fee_Relief_Windows_3B!$I$3737:$I$100,MATCH(G3737,CBIC_Late_Fee_Relief_Windows_3B!$O$3737:$O$100,0))</f>
        <v/>
      </c>
      <c r="I3737">
        <f>MIN(F3737,H3737)</f>
        <v/>
      </c>
    </row>
    <row r="3738">
      <c r="A3738">
        <f>TEST_DATA!A3738</f>
        <v/>
      </c>
      <c r="B3738">
        <f>TEST_DATA!B3738</f>
        <v/>
      </c>
      <c r="C3738">
        <f>TEST_DATA!C3738</f>
        <v/>
      </c>
      <c r="D3738">
        <f>TEST_DATA!D3738</f>
        <v/>
      </c>
      <c r="E3738">
        <f>TEST_DATA!E3738</f>
        <v/>
      </c>
      <c r="F3738">
        <f>MIN(E3738*373800,10000)</f>
        <v/>
      </c>
      <c r="G3738">
        <f>MINIFS(CBIC_Late_Fee_Relief_Windows_3B!$O$3738:$O$100,CBIC_Late_Fee_Relief_Windows_3B!$D$3738:$D$100,"&lt;="&amp;B3738,CBIC_Late_Fee_Relief_Windows_3B!$E$3738:$E$100,"&gt;="&amp;B3738,CBIC_Late_Fee_Relief_Windows_3B!$F$3738:$F$100,"&lt;="&amp;C3738,CBIC_Late_Fee_Relief_Windows_3B!$G$3738:$G$100,"&gt;="&amp;C3738)</f>
        <v/>
      </c>
      <c r="H3738">
        <f>INDEX(CBIC_Late_Fee_Relief_Windows_3B!$I$3738:$I$100,MATCH(G3738,CBIC_Late_Fee_Relief_Windows_3B!$O$3738:$O$100,0))</f>
        <v/>
      </c>
      <c r="I3738">
        <f>MIN(F3738,H3738)</f>
        <v/>
      </c>
    </row>
    <row r="3739">
      <c r="A3739">
        <f>TEST_DATA!A3739</f>
        <v/>
      </c>
      <c r="B3739">
        <f>TEST_DATA!B3739</f>
        <v/>
      </c>
      <c r="C3739">
        <f>TEST_DATA!C3739</f>
        <v/>
      </c>
      <c r="D3739">
        <f>TEST_DATA!D3739</f>
        <v/>
      </c>
      <c r="E3739">
        <f>TEST_DATA!E3739</f>
        <v/>
      </c>
      <c r="F3739">
        <f>MIN(E3739*373900,10000)</f>
        <v/>
      </c>
      <c r="G3739">
        <f>MINIFS(CBIC_Late_Fee_Relief_Windows_3B!$O$3739:$O$100,CBIC_Late_Fee_Relief_Windows_3B!$D$3739:$D$100,"&lt;="&amp;B3739,CBIC_Late_Fee_Relief_Windows_3B!$E$3739:$E$100,"&gt;="&amp;B3739,CBIC_Late_Fee_Relief_Windows_3B!$F$3739:$F$100,"&lt;="&amp;C3739,CBIC_Late_Fee_Relief_Windows_3B!$G$3739:$G$100,"&gt;="&amp;C3739)</f>
        <v/>
      </c>
      <c r="H3739">
        <f>INDEX(CBIC_Late_Fee_Relief_Windows_3B!$I$3739:$I$100,MATCH(G3739,CBIC_Late_Fee_Relief_Windows_3B!$O$3739:$O$100,0))</f>
        <v/>
      </c>
      <c r="I3739">
        <f>MIN(F3739,H3739)</f>
        <v/>
      </c>
    </row>
    <row r="3740">
      <c r="A3740">
        <f>TEST_DATA!A3740</f>
        <v/>
      </c>
      <c r="B3740">
        <f>TEST_DATA!B3740</f>
        <v/>
      </c>
      <c r="C3740">
        <f>TEST_DATA!C3740</f>
        <v/>
      </c>
      <c r="D3740">
        <f>TEST_DATA!D3740</f>
        <v/>
      </c>
      <c r="E3740">
        <f>TEST_DATA!E3740</f>
        <v/>
      </c>
      <c r="F3740">
        <f>MIN(E3740*374000,10000)</f>
        <v/>
      </c>
      <c r="G3740">
        <f>MINIFS(CBIC_Late_Fee_Relief_Windows_3B!$O$3740:$O$100,CBIC_Late_Fee_Relief_Windows_3B!$D$3740:$D$100,"&lt;="&amp;B3740,CBIC_Late_Fee_Relief_Windows_3B!$E$3740:$E$100,"&gt;="&amp;B3740,CBIC_Late_Fee_Relief_Windows_3B!$F$3740:$F$100,"&lt;="&amp;C3740,CBIC_Late_Fee_Relief_Windows_3B!$G$3740:$G$100,"&gt;="&amp;C3740)</f>
        <v/>
      </c>
      <c r="H3740">
        <f>INDEX(CBIC_Late_Fee_Relief_Windows_3B!$I$3740:$I$100,MATCH(G3740,CBIC_Late_Fee_Relief_Windows_3B!$O$3740:$O$100,0))</f>
        <v/>
      </c>
      <c r="I3740">
        <f>MIN(F3740,H3740)</f>
        <v/>
      </c>
    </row>
    <row r="3741">
      <c r="A3741">
        <f>TEST_DATA!A3741</f>
        <v/>
      </c>
      <c r="B3741">
        <f>TEST_DATA!B3741</f>
        <v/>
      </c>
      <c r="C3741">
        <f>TEST_DATA!C3741</f>
        <v/>
      </c>
      <c r="D3741">
        <f>TEST_DATA!D3741</f>
        <v/>
      </c>
      <c r="E3741">
        <f>TEST_DATA!E3741</f>
        <v/>
      </c>
      <c r="F3741">
        <f>MIN(E3741*374100,10000)</f>
        <v/>
      </c>
      <c r="G3741">
        <f>MINIFS(CBIC_Late_Fee_Relief_Windows_3B!$O$3741:$O$100,CBIC_Late_Fee_Relief_Windows_3B!$D$3741:$D$100,"&lt;="&amp;B3741,CBIC_Late_Fee_Relief_Windows_3B!$E$3741:$E$100,"&gt;="&amp;B3741,CBIC_Late_Fee_Relief_Windows_3B!$F$3741:$F$100,"&lt;="&amp;C3741,CBIC_Late_Fee_Relief_Windows_3B!$G$3741:$G$100,"&gt;="&amp;C3741)</f>
        <v/>
      </c>
      <c r="H3741">
        <f>INDEX(CBIC_Late_Fee_Relief_Windows_3B!$I$3741:$I$100,MATCH(G3741,CBIC_Late_Fee_Relief_Windows_3B!$O$3741:$O$100,0))</f>
        <v/>
      </c>
      <c r="I3741">
        <f>MIN(F3741,H3741)</f>
        <v/>
      </c>
    </row>
    <row r="3742">
      <c r="A3742">
        <f>TEST_DATA!A3742</f>
        <v/>
      </c>
      <c r="B3742">
        <f>TEST_DATA!B3742</f>
        <v/>
      </c>
      <c r="C3742">
        <f>TEST_DATA!C3742</f>
        <v/>
      </c>
      <c r="D3742">
        <f>TEST_DATA!D3742</f>
        <v/>
      </c>
      <c r="E3742">
        <f>TEST_DATA!E3742</f>
        <v/>
      </c>
      <c r="F3742">
        <f>MIN(E3742*374200,10000)</f>
        <v/>
      </c>
      <c r="G3742">
        <f>MINIFS(CBIC_Late_Fee_Relief_Windows_3B!$O$3742:$O$100,CBIC_Late_Fee_Relief_Windows_3B!$D$3742:$D$100,"&lt;="&amp;B3742,CBIC_Late_Fee_Relief_Windows_3B!$E$3742:$E$100,"&gt;="&amp;B3742,CBIC_Late_Fee_Relief_Windows_3B!$F$3742:$F$100,"&lt;="&amp;C3742,CBIC_Late_Fee_Relief_Windows_3B!$G$3742:$G$100,"&gt;="&amp;C3742)</f>
        <v/>
      </c>
      <c r="H3742">
        <f>INDEX(CBIC_Late_Fee_Relief_Windows_3B!$I$3742:$I$100,MATCH(G3742,CBIC_Late_Fee_Relief_Windows_3B!$O$3742:$O$100,0))</f>
        <v/>
      </c>
      <c r="I3742">
        <f>MIN(F3742,H3742)</f>
        <v/>
      </c>
    </row>
    <row r="3743">
      <c r="A3743">
        <f>TEST_DATA!A3743</f>
        <v/>
      </c>
      <c r="B3743">
        <f>TEST_DATA!B3743</f>
        <v/>
      </c>
      <c r="C3743">
        <f>TEST_DATA!C3743</f>
        <v/>
      </c>
      <c r="D3743">
        <f>TEST_DATA!D3743</f>
        <v/>
      </c>
      <c r="E3743">
        <f>TEST_DATA!E3743</f>
        <v/>
      </c>
      <c r="F3743">
        <f>MIN(E3743*374300,10000)</f>
        <v/>
      </c>
      <c r="G3743">
        <f>MINIFS(CBIC_Late_Fee_Relief_Windows_3B!$O$3743:$O$100,CBIC_Late_Fee_Relief_Windows_3B!$D$3743:$D$100,"&lt;="&amp;B3743,CBIC_Late_Fee_Relief_Windows_3B!$E$3743:$E$100,"&gt;="&amp;B3743,CBIC_Late_Fee_Relief_Windows_3B!$F$3743:$F$100,"&lt;="&amp;C3743,CBIC_Late_Fee_Relief_Windows_3B!$G$3743:$G$100,"&gt;="&amp;C3743)</f>
        <v/>
      </c>
      <c r="H3743">
        <f>INDEX(CBIC_Late_Fee_Relief_Windows_3B!$I$3743:$I$100,MATCH(G3743,CBIC_Late_Fee_Relief_Windows_3B!$O$3743:$O$100,0))</f>
        <v/>
      </c>
      <c r="I3743">
        <f>MIN(F3743,H3743)</f>
        <v/>
      </c>
    </row>
    <row r="3744">
      <c r="A3744">
        <f>TEST_DATA!A3744</f>
        <v/>
      </c>
      <c r="B3744">
        <f>TEST_DATA!B3744</f>
        <v/>
      </c>
      <c r="C3744">
        <f>TEST_DATA!C3744</f>
        <v/>
      </c>
      <c r="D3744">
        <f>TEST_DATA!D3744</f>
        <v/>
      </c>
      <c r="E3744">
        <f>TEST_DATA!E3744</f>
        <v/>
      </c>
      <c r="F3744">
        <f>MIN(E3744*374400,10000)</f>
        <v/>
      </c>
      <c r="G3744">
        <f>MINIFS(CBIC_Late_Fee_Relief_Windows_3B!$O$3744:$O$100,CBIC_Late_Fee_Relief_Windows_3B!$D$3744:$D$100,"&lt;="&amp;B3744,CBIC_Late_Fee_Relief_Windows_3B!$E$3744:$E$100,"&gt;="&amp;B3744,CBIC_Late_Fee_Relief_Windows_3B!$F$3744:$F$100,"&lt;="&amp;C3744,CBIC_Late_Fee_Relief_Windows_3B!$G$3744:$G$100,"&gt;="&amp;C3744)</f>
        <v/>
      </c>
      <c r="H3744">
        <f>INDEX(CBIC_Late_Fee_Relief_Windows_3B!$I$3744:$I$100,MATCH(G3744,CBIC_Late_Fee_Relief_Windows_3B!$O$3744:$O$100,0))</f>
        <v/>
      </c>
      <c r="I3744">
        <f>MIN(F3744,H3744)</f>
        <v/>
      </c>
    </row>
    <row r="3745">
      <c r="A3745">
        <f>TEST_DATA!A3745</f>
        <v/>
      </c>
      <c r="B3745">
        <f>TEST_DATA!B3745</f>
        <v/>
      </c>
      <c r="C3745">
        <f>TEST_DATA!C3745</f>
        <v/>
      </c>
      <c r="D3745">
        <f>TEST_DATA!D3745</f>
        <v/>
      </c>
      <c r="E3745">
        <f>TEST_DATA!E3745</f>
        <v/>
      </c>
      <c r="F3745">
        <f>MIN(E3745*374500,10000)</f>
        <v/>
      </c>
      <c r="G3745">
        <f>MINIFS(CBIC_Late_Fee_Relief_Windows_3B!$O$3745:$O$100,CBIC_Late_Fee_Relief_Windows_3B!$D$3745:$D$100,"&lt;="&amp;B3745,CBIC_Late_Fee_Relief_Windows_3B!$E$3745:$E$100,"&gt;="&amp;B3745,CBIC_Late_Fee_Relief_Windows_3B!$F$3745:$F$100,"&lt;="&amp;C3745,CBIC_Late_Fee_Relief_Windows_3B!$G$3745:$G$100,"&gt;="&amp;C3745)</f>
        <v/>
      </c>
      <c r="H3745">
        <f>INDEX(CBIC_Late_Fee_Relief_Windows_3B!$I$3745:$I$100,MATCH(G3745,CBIC_Late_Fee_Relief_Windows_3B!$O$3745:$O$100,0))</f>
        <v/>
      </c>
      <c r="I3745">
        <f>MIN(F3745,H3745)</f>
        <v/>
      </c>
    </row>
    <row r="3746">
      <c r="A3746">
        <f>TEST_DATA!A3746</f>
        <v/>
      </c>
      <c r="B3746">
        <f>TEST_DATA!B3746</f>
        <v/>
      </c>
      <c r="C3746">
        <f>TEST_DATA!C3746</f>
        <v/>
      </c>
      <c r="D3746">
        <f>TEST_DATA!D3746</f>
        <v/>
      </c>
      <c r="E3746">
        <f>TEST_DATA!E3746</f>
        <v/>
      </c>
      <c r="F3746">
        <f>MIN(E3746*374600,10000)</f>
        <v/>
      </c>
      <c r="G3746">
        <f>MINIFS(CBIC_Late_Fee_Relief_Windows_3B!$O$3746:$O$100,CBIC_Late_Fee_Relief_Windows_3B!$D$3746:$D$100,"&lt;="&amp;B3746,CBIC_Late_Fee_Relief_Windows_3B!$E$3746:$E$100,"&gt;="&amp;B3746,CBIC_Late_Fee_Relief_Windows_3B!$F$3746:$F$100,"&lt;="&amp;C3746,CBIC_Late_Fee_Relief_Windows_3B!$G$3746:$G$100,"&gt;="&amp;C3746)</f>
        <v/>
      </c>
      <c r="H3746">
        <f>INDEX(CBIC_Late_Fee_Relief_Windows_3B!$I$3746:$I$100,MATCH(G3746,CBIC_Late_Fee_Relief_Windows_3B!$O$3746:$O$100,0))</f>
        <v/>
      </c>
      <c r="I3746">
        <f>MIN(F3746,H3746)</f>
        <v/>
      </c>
    </row>
    <row r="3747">
      <c r="A3747">
        <f>TEST_DATA!A3747</f>
        <v/>
      </c>
      <c r="B3747">
        <f>TEST_DATA!B3747</f>
        <v/>
      </c>
      <c r="C3747">
        <f>TEST_DATA!C3747</f>
        <v/>
      </c>
      <c r="D3747">
        <f>TEST_DATA!D3747</f>
        <v/>
      </c>
      <c r="E3747">
        <f>TEST_DATA!E3747</f>
        <v/>
      </c>
      <c r="F3747">
        <f>MIN(E3747*374700,10000)</f>
        <v/>
      </c>
      <c r="G3747">
        <f>MINIFS(CBIC_Late_Fee_Relief_Windows_3B!$O$3747:$O$100,CBIC_Late_Fee_Relief_Windows_3B!$D$3747:$D$100,"&lt;="&amp;B3747,CBIC_Late_Fee_Relief_Windows_3B!$E$3747:$E$100,"&gt;="&amp;B3747,CBIC_Late_Fee_Relief_Windows_3B!$F$3747:$F$100,"&lt;="&amp;C3747,CBIC_Late_Fee_Relief_Windows_3B!$G$3747:$G$100,"&gt;="&amp;C3747)</f>
        <v/>
      </c>
      <c r="H3747">
        <f>INDEX(CBIC_Late_Fee_Relief_Windows_3B!$I$3747:$I$100,MATCH(G3747,CBIC_Late_Fee_Relief_Windows_3B!$O$3747:$O$100,0))</f>
        <v/>
      </c>
      <c r="I3747">
        <f>MIN(F3747,H3747)</f>
        <v/>
      </c>
    </row>
    <row r="3748">
      <c r="A3748">
        <f>TEST_DATA!A3748</f>
        <v/>
      </c>
      <c r="B3748">
        <f>TEST_DATA!B3748</f>
        <v/>
      </c>
      <c r="C3748">
        <f>TEST_DATA!C3748</f>
        <v/>
      </c>
      <c r="D3748">
        <f>TEST_DATA!D3748</f>
        <v/>
      </c>
      <c r="E3748">
        <f>TEST_DATA!E3748</f>
        <v/>
      </c>
      <c r="F3748">
        <f>MIN(E3748*374800,10000)</f>
        <v/>
      </c>
      <c r="G3748">
        <f>MINIFS(CBIC_Late_Fee_Relief_Windows_3B!$O$3748:$O$100,CBIC_Late_Fee_Relief_Windows_3B!$D$3748:$D$100,"&lt;="&amp;B3748,CBIC_Late_Fee_Relief_Windows_3B!$E$3748:$E$100,"&gt;="&amp;B3748,CBIC_Late_Fee_Relief_Windows_3B!$F$3748:$F$100,"&lt;="&amp;C3748,CBIC_Late_Fee_Relief_Windows_3B!$G$3748:$G$100,"&gt;="&amp;C3748)</f>
        <v/>
      </c>
      <c r="H3748">
        <f>INDEX(CBIC_Late_Fee_Relief_Windows_3B!$I$3748:$I$100,MATCH(G3748,CBIC_Late_Fee_Relief_Windows_3B!$O$3748:$O$100,0))</f>
        <v/>
      </c>
      <c r="I3748">
        <f>MIN(F3748,H3748)</f>
        <v/>
      </c>
    </row>
    <row r="3749">
      <c r="A3749">
        <f>TEST_DATA!A3749</f>
        <v/>
      </c>
      <c r="B3749">
        <f>TEST_DATA!B3749</f>
        <v/>
      </c>
      <c r="C3749">
        <f>TEST_DATA!C3749</f>
        <v/>
      </c>
      <c r="D3749">
        <f>TEST_DATA!D3749</f>
        <v/>
      </c>
      <c r="E3749">
        <f>TEST_DATA!E3749</f>
        <v/>
      </c>
      <c r="F3749">
        <f>MIN(E3749*374900,10000)</f>
        <v/>
      </c>
      <c r="G3749">
        <f>MINIFS(CBIC_Late_Fee_Relief_Windows_3B!$O$3749:$O$100,CBIC_Late_Fee_Relief_Windows_3B!$D$3749:$D$100,"&lt;="&amp;B3749,CBIC_Late_Fee_Relief_Windows_3B!$E$3749:$E$100,"&gt;="&amp;B3749,CBIC_Late_Fee_Relief_Windows_3B!$F$3749:$F$100,"&lt;="&amp;C3749,CBIC_Late_Fee_Relief_Windows_3B!$G$3749:$G$100,"&gt;="&amp;C3749)</f>
        <v/>
      </c>
      <c r="H3749">
        <f>INDEX(CBIC_Late_Fee_Relief_Windows_3B!$I$3749:$I$100,MATCH(G3749,CBIC_Late_Fee_Relief_Windows_3B!$O$3749:$O$100,0))</f>
        <v/>
      </c>
      <c r="I3749">
        <f>MIN(F3749,H3749)</f>
        <v/>
      </c>
    </row>
    <row r="3750">
      <c r="A3750">
        <f>TEST_DATA!A3750</f>
        <v/>
      </c>
      <c r="B3750">
        <f>TEST_DATA!B3750</f>
        <v/>
      </c>
      <c r="C3750">
        <f>TEST_DATA!C3750</f>
        <v/>
      </c>
      <c r="D3750">
        <f>TEST_DATA!D3750</f>
        <v/>
      </c>
      <c r="E3750">
        <f>TEST_DATA!E3750</f>
        <v/>
      </c>
      <c r="F3750">
        <f>MIN(E3750*375000,10000)</f>
        <v/>
      </c>
      <c r="G3750">
        <f>MINIFS(CBIC_Late_Fee_Relief_Windows_3B!$O$3750:$O$100,CBIC_Late_Fee_Relief_Windows_3B!$D$3750:$D$100,"&lt;="&amp;B3750,CBIC_Late_Fee_Relief_Windows_3B!$E$3750:$E$100,"&gt;="&amp;B3750,CBIC_Late_Fee_Relief_Windows_3B!$F$3750:$F$100,"&lt;="&amp;C3750,CBIC_Late_Fee_Relief_Windows_3B!$G$3750:$G$100,"&gt;="&amp;C3750)</f>
        <v/>
      </c>
      <c r="H3750">
        <f>INDEX(CBIC_Late_Fee_Relief_Windows_3B!$I$3750:$I$100,MATCH(G3750,CBIC_Late_Fee_Relief_Windows_3B!$O$3750:$O$100,0))</f>
        <v/>
      </c>
      <c r="I3750">
        <f>MIN(F3750,H3750)</f>
        <v/>
      </c>
    </row>
    <row r="3751">
      <c r="A3751">
        <f>TEST_DATA!A3751</f>
        <v/>
      </c>
      <c r="B3751">
        <f>TEST_DATA!B3751</f>
        <v/>
      </c>
      <c r="C3751">
        <f>TEST_DATA!C3751</f>
        <v/>
      </c>
      <c r="D3751">
        <f>TEST_DATA!D3751</f>
        <v/>
      </c>
      <c r="E3751">
        <f>TEST_DATA!E3751</f>
        <v/>
      </c>
      <c r="F3751">
        <f>MIN(E3751*375100,10000)</f>
        <v/>
      </c>
      <c r="G3751">
        <f>MINIFS(CBIC_Late_Fee_Relief_Windows_3B!$O$3751:$O$100,CBIC_Late_Fee_Relief_Windows_3B!$D$3751:$D$100,"&lt;="&amp;B3751,CBIC_Late_Fee_Relief_Windows_3B!$E$3751:$E$100,"&gt;="&amp;B3751,CBIC_Late_Fee_Relief_Windows_3B!$F$3751:$F$100,"&lt;="&amp;C3751,CBIC_Late_Fee_Relief_Windows_3B!$G$3751:$G$100,"&gt;="&amp;C3751)</f>
        <v/>
      </c>
      <c r="H3751">
        <f>INDEX(CBIC_Late_Fee_Relief_Windows_3B!$I$3751:$I$100,MATCH(G3751,CBIC_Late_Fee_Relief_Windows_3B!$O$3751:$O$100,0))</f>
        <v/>
      </c>
      <c r="I3751">
        <f>MIN(F3751,H3751)</f>
        <v/>
      </c>
    </row>
    <row r="3752">
      <c r="A3752">
        <f>TEST_DATA!A3752</f>
        <v/>
      </c>
      <c r="B3752">
        <f>TEST_DATA!B3752</f>
        <v/>
      </c>
      <c r="C3752">
        <f>TEST_DATA!C3752</f>
        <v/>
      </c>
      <c r="D3752">
        <f>TEST_DATA!D3752</f>
        <v/>
      </c>
      <c r="E3752">
        <f>TEST_DATA!E3752</f>
        <v/>
      </c>
      <c r="F3752">
        <f>MIN(E3752*375200,10000)</f>
        <v/>
      </c>
      <c r="G3752">
        <f>MINIFS(CBIC_Late_Fee_Relief_Windows_3B!$O$3752:$O$100,CBIC_Late_Fee_Relief_Windows_3B!$D$3752:$D$100,"&lt;="&amp;B3752,CBIC_Late_Fee_Relief_Windows_3B!$E$3752:$E$100,"&gt;="&amp;B3752,CBIC_Late_Fee_Relief_Windows_3B!$F$3752:$F$100,"&lt;="&amp;C3752,CBIC_Late_Fee_Relief_Windows_3B!$G$3752:$G$100,"&gt;="&amp;C3752)</f>
        <v/>
      </c>
      <c r="H3752">
        <f>INDEX(CBIC_Late_Fee_Relief_Windows_3B!$I$3752:$I$100,MATCH(G3752,CBIC_Late_Fee_Relief_Windows_3B!$O$3752:$O$100,0))</f>
        <v/>
      </c>
      <c r="I3752">
        <f>MIN(F3752,H3752)</f>
        <v/>
      </c>
    </row>
    <row r="3753">
      <c r="A3753">
        <f>TEST_DATA!A3753</f>
        <v/>
      </c>
      <c r="B3753">
        <f>TEST_DATA!B3753</f>
        <v/>
      </c>
      <c r="C3753">
        <f>TEST_DATA!C3753</f>
        <v/>
      </c>
      <c r="D3753">
        <f>TEST_DATA!D3753</f>
        <v/>
      </c>
      <c r="E3753">
        <f>TEST_DATA!E3753</f>
        <v/>
      </c>
      <c r="F3753">
        <f>MIN(E3753*375300,10000)</f>
        <v/>
      </c>
      <c r="G3753">
        <f>MINIFS(CBIC_Late_Fee_Relief_Windows_3B!$O$3753:$O$100,CBIC_Late_Fee_Relief_Windows_3B!$D$3753:$D$100,"&lt;="&amp;B3753,CBIC_Late_Fee_Relief_Windows_3B!$E$3753:$E$100,"&gt;="&amp;B3753,CBIC_Late_Fee_Relief_Windows_3B!$F$3753:$F$100,"&lt;="&amp;C3753,CBIC_Late_Fee_Relief_Windows_3B!$G$3753:$G$100,"&gt;="&amp;C3753)</f>
        <v/>
      </c>
      <c r="H3753">
        <f>INDEX(CBIC_Late_Fee_Relief_Windows_3B!$I$3753:$I$100,MATCH(G3753,CBIC_Late_Fee_Relief_Windows_3B!$O$3753:$O$100,0))</f>
        <v/>
      </c>
      <c r="I3753">
        <f>MIN(F3753,H3753)</f>
        <v/>
      </c>
    </row>
    <row r="3754">
      <c r="A3754">
        <f>TEST_DATA!A3754</f>
        <v/>
      </c>
      <c r="B3754">
        <f>TEST_DATA!B3754</f>
        <v/>
      </c>
      <c r="C3754">
        <f>TEST_DATA!C3754</f>
        <v/>
      </c>
      <c r="D3754">
        <f>TEST_DATA!D3754</f>
        <v/>
      </c>
      <c r="E3754">
        <f>TEST_DATA!E3754</f>
        <v/>
      </c>
      <c r="F3754">
        <f>MIN(E3754*375400,10000)</f>
        <v/>
      </c>
      <c r="G3754">
        <f>MINIFS(CBIC_Late_Fee_Relief_Windows_3B!$O$3754:$O$100,CBIC_Late_Fee_Relief_Windows_3B!$D$3754:$D$100,"&lt;="&amp;B3754,CBIC_Late_Fee_Relief_Windows_3B!$E$3754:$E$100,"&gt;="&amp;B3754,CBIC_Late_Fee_Relief_Windows_3B!$F$3754:$F$100,"&lt;="&amp;C3754,CBIC_Late_Fee_Relief_Windows_3B!$G$3754:$G$100,"&gt;="&amp;C3754)</f>
        <v/>
      </c>
      <c r="H3754">
        <f>INDEX(CBIC_Late_Fee_Relief_Windows_3B!$I$3754:$I$100,MATCH(G3754,CBIC_Late_Fee_Relief_Windows_3B!$O$3754:$O$100,0))</f>
        <v/>
      </c>
      <c r="I3754">
        <f>MIN(F3754,H3754)</f>
        <v/>
      </c>
    </row>
    <row r="3755">
      <c r="A3755">
        <f>TEST_DATA!A3755</f>
        <v/>
      </c>
      <c r="B3755">
        <f>TEST_DATA!B3755</f>
        <v/>
      </c>
      <c r="C3755">
        <f>TEST_DATA!C3755</f>
        <v/>
      </c>
      <c r="D3755">
        <f>TEST_DATA!D3755</f>
        <v/>
      </c>
      <c r="E3755">
        <f>TEST_DATA!E3755</f>
        <v/>
      </c>
      <c r="F3755">
        <f>MIN(E3755*375500,10000)</f>
        <v/>
      </c>
      <c r="G3755">
        <f>MINIFS(CBIC_Late_Fee_Relief_Windows_3B!$O$3755:$O$100,CBIC_Late_Fee_Relief_Windows_3B!$D$3755:$D$100,"&lt;="&amp;B3755,CBIC_Late_Fee_Relief_Windows_3B!$E$3755:$E$100,"&gt;="&amp;B3755,CBIC_Late_Fee_Relief_Windows_3B!$F$3755:$F$100,"&lt;="&amp;C3755,CBIC_Late_Fee_Relief_Windows_3B!$G$3755:$G$100,"&gt;="&amp;C3755)</f>
        <v/>
      </c>
      <c r="H3755">
        <f>INDEX(CBIC_Late_Fee_Relief_Windows_3B!$I$3755:$I$100,MATCH(G3755,CBIC_Late_Fee_Relief_Windows_3B!$O$3755:$O$100,0))</f>
        <v/>
      </c>
      <c r="I3755">
        <f>MIN(F3755,H3755)</f>
        <v/>
      </c>
    </row>
    <row r="3756">
      <c r="A3756">
        <f>TEST_DATA!A3756</f>
        <v/>
      </c>
      <c r="B3756">
        <f>TEST_DATA!B3756</f>
        <v/>
      </c>
      <c r="C3756">
        <f>TEST_DATA!C3756</f>
        <v/>
      </c>
      <c r="D3756">
        <f>TEST_DATA!D3756</f>
        <v/>
      </c>
      <c r="E3756">
        <f>TEST_DATA!E3756</f>
        <v/>
      </c>
      <c r="F3756">
        <f>MIN(E3756*375600,10000)</f>
        <v/>
      </c>
      <c r="G3756">
        <f>MINIFS(CBIC_Late_Fee_Relief_Windows_3B!$O$3756:$O$100,CBIC_Late_Fee_Relief_Windows_3B!$D$3756:$D$100,"&lt;="&amp;B3756,CBIC_Late_Fee_Relief_Windows_3B!$E$3756:$E$100,"&gt;="&amp;B3756,CBIC_Late_Fee_Relief_Windows_3B!$F$3756:$F$100,"&lt;="&amp;C3756,CBIC_Late_Fee_Relief_Windows_3B!$G$3756:$G$100,"&gt;="&amp;C3756)</f>
        <v/>
      </c>
      <c r="H3756">
        <f>INDEX(CBIC_Late_Fee_Relief_Windows_3B!$I$3756:$I$100,MATCH(G3756,CBIC_Late_Fee_Relief_Windows_3B!$O$3756:$O$100,0))</f>
        <v/>
      </c>
      <c r="I3756">
        <f>MIN(F3756,H3756)</f>
        <v/>
      </c>
    </row>
    <row r="3757">
      <c r="A3757">
        <f>TEST_DATA!A3757</f>
        <v/>
      </c>
      <c r="B3757">
        <f>TEST_DATA!B3757</f>
        <v/>
      </c>
      <c r="C3757">
        <f>TEST_DATA!C3757</f>
        <v/>
      </c>
      <c r="D3757">
        <f>TEST_DATA!D3757</f>
        <v/>
      </c>
      <c r="E3757">
        <f>TEST_DATA!E3757</f>
        <v/>
      </c>
      <c r="F3757">
        <f>MIN(E3757*375700,10000)</f>
        <v/>
      </c>
      <c r="G3757">
        <f>MINIFS(CBIC_Late_Fee_Relief_Windows_3B!$O$3757:$O$100,CBIC_Late_Fee_Relief_Windows_3B!$D$3757:$D$100,"&lt;="&amp;B3757,CBIC_Late_Fee_Relief_Windows_3B!$E$3757:$E$100,"&gt;="&amp;B3757,CBIC_Late_Fee_Relief_Windows_3B!$F$3757:$F$100,"&lt;="&amp;C3757,CBIC_Late_Fee_Relief_Windows_3B!$G$3757:$G$100,"&gt;="&amp;C3757)</f>
        <v/>
      </c>
      <c r="H3757">
        <f>INDEX(CBIC_Late_Fee_Relief_Windows_3B!$I$3757:$I$100,MATCH(G3757,CBIC_Late_Fee_Relief_Windows_3B!$O$3757:$O$100,0))</f>
        <v/>
      </c>
      <c r="I3757">
        <f>MIN(F3757,H3757)</f>
        <v/>
      </c>
    </row>
    <row r="3758">
      <c r="A3758">
        <f>TEST_DATA!A3758</f>
        <v/>
      </c>
      <c r="B3758">
        <f>TEST_DATA!B3758</f>
        <v/>
      </c>
      <c r="C3758">
        <f>TEST_DATA!C3758</f>
        <v/>
      </c>
      <c r="D3758">
        <f>TEST_DATA!D3758</f>
        <v/>
      </c>
      <c r="E3758">
        <f>TEST_DATA!E3758</f>
        <v/>
      </c>
      <c r="F3758">
        <f>MIN(E3758*375800,10000)</f>
        <v/>
      </c>
      <c r="G3758">
        <f>MINIFS(CBIC_Late_Fee_Relief_Windows_3B!$O$3758:$O$100,CBIC_Late_Fee_Relief_Windows_3B!$D$3758:$D$100,"&lt;="&amp;B3758,CBIC_Late_Fee_Relief_Windows_3B!$E$3758:$E$100,"&gt;="&amp;B3758,CBIC_Late_Fee_Relief_Windows_3B!$F$3758:$F$100,"&lt;="&amp;C3758,CBIC_Late_Fee_Relief_Windows_3B!$G$3758:$G$100,"&gt;="&amp;C3758)</f>
        <v/>
      </c>
      <c r="H3758">
        <f>INDEX(CBIC_Late_Fee_Relief_Windows_3B!$I$3758:$I$100,MATCH(G3758,CBIC_Late_Fee_Relief_Windows_3B!$O$3758:$O$100,0))</f>
        <v/>
      </c>
      <c r="I3758">
        <f>MIN(F3758,H3758)</f>
        <v/>
      </c>
    </row>
    <row r="3759">
      <c r="A3759">
        <f>TEST_DATA!A3759</f>
        <v/>
      </c>
      <c r="B3759">
        <f>TEST_DATA!B3759</f>
        <v/>
      </c>
      <c r="C3759">
        <f>TEST_DATA!C3759</f>
        <v/>
      </c>
      <c r="D3759">
        <f>TEST_DATA!D3759</f>
        <v/>
      </c>
      <c r="E3759">
        <f>TEST_DATA!E3759</f>
        <v/>
      </c>
      <c r="F3759">
        <f>MIN(E3759*375900,10000)</f>
        <v/>
      </c>
      <c r="G3759">
        <f>MINIFS(CBIC_Late_Fee_Relief_Windows_3B!$O$3759:$O$100,CBIC_Late_Fee_Relief_Windows_3B!$D$3759:$D$100,"&lt;="&amp;B3759,CBIC_Late_Fee_Relief_Windows_3B!$E$3759:$E$100,"&gt;="&amp;B3759,CBIC_Late_Fee_Relief_Windows_3B!$F$3759:$F$100,"&lt;="&amp;C3759,CBIC_Late_Fee_Relief_Windows_3B!$G$3759:$G$100,"&gt;="&amp;C3759)</f>
        <v/>
      </c>
      <c r="H3759">
        <f>INDEX(CBIC_Late_Fee_Relief_Windows_3B!$I$3759:$I$100,MATCH(G3759,CBIC_Late_Fee_Relief_Windows_3B!$O$3759:$O$100,0))</f>
        <v/>
      </c>
      <c r="I3759">
        <f>MIN(F3759,H3759)</f>
        <v/>
      </c>
    </row>
    <row r="3760">
      <c r="A3760">
        <f>TEST_DATA!A3760</f>
        <v/>
      </c>
      <c r="B3760">
        <f>TEST_DATA!B3760</f>
        <v/>
      </c>
      <c r="C3760">
        <f>TEST_DATA!C3760</f>
        <v/>
      </c>
      <c r="D3760">
        <f>TEST_DATA!D3760</f>
        <v/>
      </c>
      <c r="E3760">
        <f>TEST_DATA!E3760</f>
        <v/>
      </c>
      <c r="F3760">
        <f>MIN(E3760*376000,10000)</f>
        <v/>
      </c>
      <c r="G3760">
        <f>MINIFS(CBIC_Late_Fee_Relief_Windows_3B!$O$3760:$O$100,CBIC_Late_Fee_Relief_Windows_3B!$D$3760:$D$100,"&lt;="&amp;B3760,CBIC_Late_Fee_Relief_Windows_3B!$E$3760:$E$100,"&gt;="&amp;B3760,CBIC_Late_Fee_Relief_Windows_3B!$F$3760:$F$100,"&lt;="&amp;C3760,CBIC_Late_Fee_Relief_Windows_3B!$G$3760:$G$100,"&gt;="&amp;C3760)</f>
        <v/>
      </c>
      <c r="H3760">
        <f>INDEX(CBIC_Late_Fee_Relief_Windows_3B!$I$3760:$I$100,MATCH(G3760,CBIC_Late_Fee_Relief_Windows_3B!$O$3760:$O$100,0))</f>
        <v/>
      </c>
      <c r="I3760">
        <f>MIN(F3760,H3760)</f>
        <v/>
      </c>
    </row>
    <row r="3761">
      <c r="A3761">
        <f>TEST_DATA!A3761</f>
        <v/>
      </c>
      <c r="B3761">
        <f>TEST_DATA!B3761</f>
        <v/>
      </c>
      <c r="C3761">
        <f>TEST_DATA!C3761</f>
        <v/>
      </c>
      <c r="D3761">
        <f>TEST_DATA!D3761</f>
        <v/>
      </c>
      <c r="E3761">
        <f>TEST_DATA!E3761</f>
        <v/>
      </c>
      <c r="F3761">
        <f>MIN(E3761*376100,10000)</f>
        <v/>
      </c>
      <c r="G3761">
        <f>MINIFS(CBIC_Late_Fee_Relief_Windows_3B!$O$3761:$O$100,CBIC_Late_Fee_Relief_Windows_3B!$D$3761:$D$100,"&lt;="&amp;B3761,CBIC_Late_Fee_Relief_Windows_3B!$E$3761:$E$100,"&gt;="&amp;B3761,CBIC_Late_Fee_Relief_Windows_3B!$F$3761:$F$100,"&lt;="&amp;C3761,CBIC_Late_Fee_Relief_Windows_3B!$G$3761:$G$100,"&gt;="&amp;C3761)</f>
        <v/>
      </c>
      <c r="H3761">
        <f>INDEX(CBIC_Late_Fee_Relief_Windows_3B!$I$3761:$I$100,MATCH(G3761,CBIC_Late_Fee_Relief_Windows_3B!$O$3761:$O$100,0))</f>
        <v/>
      </c>
      <c r="I3761">
        <f>MIN(F3761,H3761)</f>
        <v/>
      </c>
    </row>
    <row r="3762">
      <c r="A3762">
        <f>TEST_DATA!A3762</f>
        <v/>
      </c>
      <c r="B3762">
        <f>TEST_DATA!B3762</f>
        <v/>
      </c>
      <c r="C3762">
        <f>TEST_DATA!C3762</f>
        <v/>
      </c>
      <c r="D3762">
        <f>TEST_DATA!D3762</f>
        <v/>
      </c>
      <c r="E3762">
        <f>TEST_DATA!E3762</f>
        <v/>
      </c>
      <c r="F3762">
        <f>MIN(E3762*376200,10000)</f>
        <v/>
      </c>
      <c r="G3762">
        <f>MINIFS(CBIC_Late_Fee_Relief_Windows_3B!$O$3762:$O$100,CBIC_Late_Fee_Relief_Windows_3B!$D$3762:$D$100,"&lt;="&amp;B3762,CBIC_Late_Fee_Relief_Windows_3B!$E$3762:$E$100,"&gt;="&amp;B3762,CBIC_Late_Fee_Relief_Windows_3B!$F$3762:$F$100,"&lt;="&amp;C3762,CBIC_Late_Fee_Relief_Windows_3B!$G$3762:$G$100,"&gt;="&amp;C3762)</f>
        <v/>
      </c>
      <c r="H3762">
        <f>INDEX(CBIC_Late_Fee_Relief_Windows_3B!$I$3762:$I$100,MATCH(G3762,CBIC_Late_Fee_Relief_Windows_3B!$O$3762:$O$100,0))</f>
        <v/>
      </c>
      <c r="I3762">
        <f>MIN(F3762,H3762)</f>
        <v/>
      </c>
    </row>
    <row r="3763">
      <c r="A3763">
        <f>TEST_DATA!A3763</f>
        <v/>
      </c>
      <c r="B3763">
        <f>TEST_DATA!B3763</f>
        <v/>
      </c>
      <c r="C3763">
        <f>TEST_DATA!C3763</f>
        <v/>
      </c>
      <c r="D3763">
        <f>TEST_DATA!D3763</f>
        <v/>
      </c>
      <c r="E3763">
        <f>TEST_DATA!E3763</f>
        <v/>
      </c>
      <c r="F3763">
        <f>MIN(E3763*376300,10000)</f>
        <v/>
      </c>
      <c r="G3763">
        <f>MINIFS(CBIC_Late_Fee_Relief_Windows_3B!$O$3763:$O$100,CBIC_Late_Fee_Relief_Windows_3B!$D$3763:$D$100,"&lt;="&amp;B3763,CBIC_Late_Fee_Relief_Windows_3B!$E$3763:$E$100,"&gt;="&amp;B3763,CBIC_Late_Fee_Relief_Windows_3B!$F$3763:$F$100,"&lt;="&amp;C3763,CBIC_Late_Fee_Relief_Windows_3B!$G$3763:$G$100,"&gt;="&amp;C3763)</f>
        <v/>
      </c>
      <c r="H3763">
        <f>INDEX(CBIC_Late_Fee_Relief_Windows_3B!$I$3763:$I$100,MATCH(G3763,CBIC_Late_Fee_Relief_Windows_3B!$O$3763:$O$100,0))</f>
        <v/>
      </c>
      <c r="I3763">
        <f>MIN(F3763,H3763)</f>
        <v/>
      </c>
    </row>
    <row r="3764">
      <c r="A3764">
        <f>TEST_DATA!A3764</f>
        <v/>
      </c>
      <c r="B3764">
        <f>TEST_DATA!B3764</f>
        <v/>
      </c>
      <c r="C3764">
        <f>TEST_DATA!C3764</f>
        <v/>
      </c>
      <c r="D3764">
        <f>TEST_DATA!D3764</f>
        <v/>
      </c>
      <c r="E3764">
        <f>TEST_DATA!E3764</f>
        <v/>
      </c>
      <c r="F3764">
        <f>MIN(E3764*376400,10000)</f>
        <v/>
      </c>
      <c r="G3764">
        <f>MINIFS(CBIC_Late_Fee_Relief_Windows_3B!$O$3764:$O$100,CBIC_Late_Fee_Relief_Windows_3B!$D$3764:$D$100,"&lt;="&amp;B3764,CBIC_Late_Fee_Relief_Windows_3B!$E$3764:$E$100,"&gt;="&amp;B3764,CBIC_Late_Fee_Relief_Windows_3B!$F$3764:$F$100,"&lt;="&amp;C3764,CBIC_Late_Fee_Relief_Windows_3B!$G$3764:$G$100,"&gt;="&amp;C3764)</f>
        <v/>
      </c>
      <c r="H3764">
        <f>INDEX(CBIC_Late_Fee_Relief_Windows_3B!$I$3764:$I$100,MATCH(G3764,CBIC_Late_Fee_Relief_Windows_3B!$O$3764:$O$100,0))</f>
        <v/>
      </c>
      <c r="I3764">
        <f>MIN(F3764,H3764)</f>
        <v/>
      </c>
    </row>
    <row r="3765">
      <c r="A3765">
        <f>TEST_DATA!A3765</f>
        <v/>
      </c>
      <c r="B3765">
        <f>TEST_DATA!B3765</f>
        <v/>
      </c>
      <c r="C3765">
        <f>TEST_DATA!C3765</f>
        <v/>
      </c>
      <c r="D3765">
        <f>TEST_DATA!D3765</f>
        <v/>
      </c>
      <c r="E3765">
        <f>TEST_DATA!E3765</f>
        <v/>
      </c>
      <c r="F3765">
        <f>MIN(E3765*376500,10000)</f>
        <v/>
      </c>
      <c r="G3765">
        <f>MINIFS(CBIC_Late_Fee_Relief_Windows_3B!$O$3765:$O$100,CBIC_Late_Fee_Relief_Windows_3B!$D$3765:$D$100,"&lt;="&amp;B3765,CBIC_Late_Fee_Relief_Windows_3B!$E$3765:$E$100,"&gt;="&amp;B3765,CBIC_Late_Fee_Relief_Windows_3B!$F$3765:$F$100,"&lt;="&amp;C3765,CBIC_Late_Fee_Relief_Windows_3B!$G$3765:$G$100,"&gt;="&amp;C3765)</f>
        <v/>
      </c>
      <c r="H3765">
        <f>INDEX(CBIC_Late_Fee_Relief_Windows_3B!$I$3765:$I$100,MATCH(G3765,CBIC_Late_Fee_Relief_Windows_3B!$O$3765:$O$100,0))</f>
        <v/>
      </c>
      <c r="I3765">
        <f>MIN(F3765,H3765)</f>
        <v/>
      </c>
    </row>
    <row r="3766">
      <c r="A3766">
        <f>TEST_DATA!A3766</f>
        <v/>
      </c>
      <c r="B3766">
        <f>TEST_DATA!B3766</f>
        <v/>
      </c>
      <c r="C3766">
        <f>TEST_DATA!C3766</f>
        <v/>
      </c>
      <c r="D3766">
        <f>TEST_DATA!D3766</f>
        <v/>
      </c>
      <c r="E3766">
        <f>TEST_DATA!E3766</f>
        <v/>
      </c>
      <c r="F3766">
        <f>MIN(E3766*376600,10000)</f>
        <v/>
      </c>
      <c r="G3766">
        <f>MINIFS(CBIC_Late_Fee_Relief_Windows_3B!$O$3766:$O$100,CBIC_Late_Fee_Relief_Windows_3B!$D$3766:$D$100,"&lt;="&amp;B3766,CBIC_Late_Fee_Relief_Windows_3B!$E$3766:$E$100,"&gt;="&amp;B3766,CBIC_Late_Fee_Relief_Windows_3B!$F$3766:$F$100,"&lt;="&amp;C3766,CBIC_Late_Fee_Relief_Windows_3B!$G$3766:$G$100,"&gt;="&amp;C3766)</f>
        <v/>
      </c>
      <c r="H3766">
        <f>INDEX(CBIC_Late_Fee_Relief_Windows_3B!$I$3766:$I$100,MATCH(G3766,CBIC_Late_Fee_Relief_Windows_3B!$O$3766:$O$100,0))</f>
        <v/>
      </c>
      <c r="I3766">
        <f>MIN(F3766,H3766)</f>
        <v/>
      </c>
    </row>
    <row r="3767">
      <c r="A3767">
        <f>TEST_DATA!A3767</f>
        <v/>
      </c>
      <c r="B3767">
        <f>TEST_DATA!B3767</f>
        <v/>
      </c>
      <c r="C3767">
        <f>TEST_DATA!C3767</f>
        <v/>
      </c>
      <c r="D3767">
        <f>TEST_DATA!D3767</f>
        <v/>
      </c>
      <c r="E3767">
        <f>TEST_DATA!E3767</f>
        <v/>
      </c>
      <c r="F3767">
        <f>MIN(E3767*376700,10000)</f>
        <v/>
      </c>
      <c r="G3767">
        <f>MINIFS(CBIC_Late_Fee_Relief_Windows_3B!$O$3767:$O$100,CBIC_Late_Fee_Relief_Windows_3B!$D$3767:$D$100,"&lt;="&amp;B3767,CBIC_Late_Fee_Relief_Windows_3B!$E$3767:$E$100,"&gt;="&amp;B3767,CBIC_Late_Fee_Relief_Windows_3B!$F$3767:$F$100,"&lt;="&amp;C3767,CBIC_Late_Fee_Relief_Windows_3B!$G$3767:$G$100,"&gt;="&amp;C3767)</f>
        <v/>
      </c>
      <c r="H3767">
        <f>INDEX(CBIC_Late_Fee_Relief_Windows_3B!$I$3767:$I$100,MATCH(G3767,CBIC_Late_Fee_Relief_Windows_3B!$O$3767:$O$100,0))</f>
        <v/>
      </c>
      <c r="I3767">
        <f>MIN(F3767,H3767)</f>
        <v/>
      </c>
    </row>
    <row r="3768">
      <c r="A3768">
        <f>TEST_DATA!A3768</f>
        <v/>
      </c>
      <c r="B3768">
        <f>TEST_DATA!B3768</f>
        <v/>
      </c>
      <c r="C3768">
        <f>TEST_DATA!C3768</f>
        <v/>
      </c>
      <c r="D3768">
        <f>TEST_DATA!D3768</f>
        <v/>
      </c>
      <c r="E3768">
        <f>TEST_DATA!E3768</f>
        <v/>
      </c>
      <c r="F3768">
        <f>MIN(E3768*376800,10000)</f>
        <v/>
      </c>
      <c r="G3768">
        <f>MINIFS(CBIC_Late_Fee_Relief_Windows_3B!$O$3768:$O$100,CBIC_Late_Fee_Relief_Windows_3B!$D$3768:$D$100,"&lt;="&amp;B3768,CBIC_Late_Fee_Relief_Windows_3B!$E$3768:$E$100,"&gt;="&amp;B3768,CBIC_Late_Fee_Relief_Windows_3B!$F$3768:$F$100,"&lt;="&amp;C3768,CBIC_Late_Fee_Relief_Windows_3B!$G$3768:$G$100,"&gt;="&amp;C3768)</f>
        <v/>
      </c>
      <c r="H3768">
        <f>INDEX(CBIC_Late_Fee_Relief_Windows_3B!$I$3768:$I$100,MATCH(G3768,CBIC_Late_Fee_Relief_Windows_3B!$O$3768:$O$100,0))</f>
        <v/>
      </c>
      <c r="I3768">
        <f>MIN(F3768,H3768)</f>
        <v/>
      </c>
    </row>
    <row r="3769">
      <c r="A3769">
        <f>TEST_DATA!A3769</f>
        <v/>
      </c>
      <c r="B3769">
        <f>TEST_DATA!B3769</f>
        <v/>
      </c>
      <c r="C3769">
        <f>TEST_DATA!C3769</f>
        <v/>
      </c>
      <c r="D3769">
        <f>TEST_DATA!D3769</f>
        <v/>
      </c>
      <c r="E3769">
        <f>TEST_DATA!E3769</f>
        <v/>
      </c>
      <c r="F3769">
        <f>MIN(E3769*376900,10000)</f>
        <v/>
      </c>
      <c r="G3769">
        <f>MINIFS(CBIC_Late_Fee_Relief_Windows_3B!$O$3769:$O$100,CBIC_Late_Fee_Relief_Windows_3B!$D$3769:$D$100,"&lt;="&amp;B3769,CBIC_Late_Fee_Relief_Windows_3B!$E$3769:$E$100,"&gt;="&amp;B3769,CBIC_Late_Fee_Relief_Windows_3B!$F$3769:$F$100,"&lt;="&amp;C3769,CBIC_Late_Fee_Relief_Windows_3B!$G$3769:$G$100,"&gt;="&amp;C3769)</f>
        <v/>
      </c>
      <c r="H3769">
        <f>INDEX(CBIC_Late_Fee_Relief_Windows_3B!$I$3769:$I$100,MATCH(G3769,CBIC_Late_Fee_Relief_Windows_3B!$O$3769:$O$100,0))</f>
        <v/>
      </c>
      <c r="I3769">
        <f>MIN(F3769,H3769)</f>
        <v/>
      </c>
    </row>
    <row r="3770">
      <c r="A3770">
        <f>TEST_DATA!A3770</f>
        <v/>
      </c>
      <c r="B3770">
        <f>TEST_DATA!B3770</f>
        <v/>
      </c>
      <c r="C3770">
        <f>TEST_DATA!C3770</f>
        <v/>
      </c>
      <c r="D3770">
        <f>TEST_DATA!D3770</f>
        <v/>
      </c>
      <c r="E3770">
        <f>TEST_DATA!E3770</f>
        <v/>
      </c>
      <c r="F3770">
        <f>MIN(E3770*377000,10000)</f>
        <v/>
      </c>
      <c r="G3770">
        <f>MINIFS(CBIC_Late_Fee_Relief_Windows_3B!$O$3770:$O$100,CBIC_Late_Fee_Relief_Windows_3B!$D$3770:$D$100,"&lt;="&amp;B3770,CBIC_Late_Fee_Relief_Windows_3B!$E$3770:$E$100,"&gt;="&amp;B3770,CBIC_Late_Fee_Relief_Windows_3B!$F$3770:$F$100,"&lt;="&amp;C3770,CBIC_Late_Fee_Relief_Windows_3B!$G$3770:$G$100,"&gt;="&amp;C3770)</f>
        <v/>
      </c>
      <c r="H3770">
        <f>INDEX(CBIC_Late_Fee_Relief_Windows_3B!$I$3770:$I$100,MATCH(G3770,CBIC_Late_Fee_Relief_Windows_3B!$O$3770:$O$100,0))</f>
        <v/>
      </c>
      <c r="I3770">
        <f>MIN(F3770,H3770)</f>
        <v/>
      </c>
    </row>
    <row r="3771">
      <c r="A3771">
        <f>TEST_DATA!A3771</f>
        <v/>
      </c>
      <c r="B3771">
        <f>TEST_DATA!B3771</f>
        <v/>
      </c>
      <c r="C3771">
        <f>TEST_DATA!C3771</f>
        <v/>
      </c>
      <c r="D3771">
        <f>TEST_DATA!D3771</f>
        <v/>
      </c>
      <c r="E3771">
        <f>TEST_DATA!E3771</f>
        <v/>
      </c>
      <c r="F3771">
        <f>MIN(E3771*377100,10000)</f>
        <v/>
      </c>
      <c r="G3771">
        <f>MINIFS(CBIC_Late_Fee_Relief_Windows_3B!$O$3771:$O$100,CBIC_Late_Fee_Relief_Windows_3B!$D$3771:$D$100,"&lt;="&amp;B3771,CBIC_Late_Fee_Relief_Windows_3B!$E$3771:$E$100,"&gt;="&amp;B3771,CBIC_Late_Fee_Relief_Windows_3B!$F$3771:$F$100,"&lt;="&amp;C3771,CBIC_Late_Fee_Relief_Windows_3B!$G$3771:$G$100,"&gt;="&amp;C3771)</f>
        <v/>
      </c>
      <c r="H3771">
        <f>INDEX(CBIC_Late_Fee_Relief_Windows_3B!$I$3771:$I$100,MATCH(G3771,CBIC_Late_Fee_Relief_Windows_3B!$O$3771:$O$100,0))</f>
        <v/>
      </c>
      <c r="I3771">
        <f>MIN(F3771,H3771)</f>
        <v/>
      </c>
    </row>
    <row r="3772">
      <c r="A3772">
        <f>TEST_DATA!A3772</f>
        <v/>
      </c>
      <c r="B3772">
        <f>TEST_DATA!B3772</f>
        <v/>
      </c>
      <c r="C3772">
        <f>TEST_DATA!C3772</f>
        <v/>
      </c>
      <c r="D3772">
        <f>TEST_DATA!D3772</f>
        <v/>
      </c>
      <c r="E3772">
        <f>TEST_DATA!E3772</f>
        <v/>
      </c>
      <c r="F3772">
        <f>MIN(E3772*377200,10000)</f>
        <v/>
      </c>
      <c r="G3772">
        <f>MINIFS(CBIC_Late_Fee_Relief_Windows_3B!$O$3772:$O$100,CBIC_Late_Fee_Relief_Windows_3B!$D$3772:$D$100,"&lt;="&amp;B3772,CBIC_Late_Fee_Relief_Windows_3B!$E$3772:$E$100,"&gt;="&amp;B3772,CBIC_Late_Fee_Relief_Windows_3B!$F$3772:$F$100,"&lt;="&amp;C3772,CBIC_Late_Fee_Relief_Windows_3B!$G$3772:$G$100,"&gt;="&amp;C3772)</f>
        <v/>
      </c>
      <c r="H3772">
        <f>INDEX(CBIC_Late_Fee_Relief_Windows_3B!$I$3772:$I$100,MATCH(G3772,CBIC_Late_Fee_Relief_Windows_3B!$O$3772:$O$100,0))</f>
        <v/>
      </c>
      <c r="I3772">
        <f>MIN(F3772,H3772)</f>
        <v/>
      </c>
    </row>
    <row r="3773">
      <c r="A3773">
        <f>TEST_DATA!A3773</f>
        <v/>
      </c>
      <c r="B3773">
        <f>TEST_DATA!B3773</f>
        <v/>
      </c>
      <c r="C3773">
        <f>TEST_DATA!C3773</f>
        <v/>
      </c>
      <c r="D3773">
        <f>TEST_DATA!D3773</f>
        <v/>
      </c>
      <c r="E3773">
        <f>TEST_DATA!E3773</f>
        <v/>
      </c>
      <c r="F3773">
        <f>MIN(E3773*377300,10000)</f>
        <v/>
      </c>
      <c r="G3773">
        <f>MINIFS(CBIC_Late_Fee_Relief_Windows_3B!$O$3773:$O$100,CBIC_Late_Fee_Relief_Windows_3B!$D$3773:$D$100,"&lt;="&amp;B3773,CBIC_Late_Fee_Relief_Windows_3B!$E$3773:$E$100,"&gt;="&amp;B3773,CBIC_Late_Fee_Relief_Windows_3B!$F$3773:$F$100,"&lt;="&amp;C3773,CBIC_Late_Fee_Relief_Windows_3B!$G$3773:$G$100,"&gt;="&amp;C3773)</f>
        <v/>
      </c>
      <c r="H3773">
        <f>INDEX(CBIC_Late_Fee_Relief_Windows_3B!$I$3773:$I$100,MATCH(G3773,CBIC_Late_Fee_Relief_Windows_3B!$O$3773:$O$100,0))</f>
        <v/>
      </c>
      <c r="I3773">
        <f>MIN(F3773,H3773)</f>
        <v/>
      </c>
    </row>
    <row r="3774">
      <c r="A3774">
        <f>TEST_DATA!A3774</f>
        <v/>
      </c>
      <c r="B3774">
        <f>TEST_DATA!B3774</f>
        <v/>
      </c>
      <c r="C3774">
        <f>TEST_DATA!C3774</f>
        <v/>
      </c>
      <c r="D3774">
        <f>TEST_DATA!D3774</f>
        <v/>
      </c>
      <c r="E3774">
        <f>TEST_DATA!E3774</f>
        <v/>
      </c>
      <c r="F3774">
        <f>MIN(E3774*377400,10000)</f>
        <v/>
      </c>
      <c r="G3774">
        <f>MINIFS(CBIC_Late_Fee_Relief_Windows_3B!$O$3774:$O$100,CBIC_Late_Fee_Relief_Windows_3B!$D$3774:$D$100,"&lt;="&amp;B3774,CBIC_Late_Fee_Relief_Windows_3B!$E$3774:$E$100,"&gt;="&amp;B3774,CBIC_Late_Fee_Relief_Windows_3B!$F$3774:$F$100,"&lt;="&amp;C3774,CBIC_Late_Fee_Relief_Windows_3B!$G$3774:$G$100,"&gt;="&amp;C3774)</f>
        <v/>
      </c>
      <c r="H3774">
        <f>INDEX(CBIC_Late_Fee_Relief_Windows_3B!$I$3774:$I$100,MATCH(G3774,CBIC_Late_Fee_Relief_Windows_3B!$O$3774:$O$100,0))</f>
        <v/>
      </c>
      <c r="I3774">
        <f>MIN(F3774,H3774)</f>
        <v/>
      </c>
    </row>
    <row r="3775">
      <c r="A3775">
        <f>TEST_DATA!A3775</f>
        <v/>
      </c>
      <c r="B3775">
        <f>TEST_DATA!B3775</f>
        <v/>
      </c>
      <c r="C3775">
        <f>TEST_DATA!C3775</f>
        <v/>
      </c>
      <c r="D3775">
        <f>TEST_DATA!D3775</f>
        <v/>
      </c>
      <c r="E3775">
        <f>TEST_DATA!E3775</f>
        <v/>
      </c>
      <c r="F3775">
        <f>MIN(E3775*377500,10000)</f>
        <v/>
      </c>
      <c r="G3775">
        <f>MINIFS(CBIC_Late_Fee_Relief_Windows_3B!$O$3775:$O$100,CBIC_Late_Fee_Relief_Windows_3B!$D$3775:$D$100,"&lt;="&amp;B3775,CBIC_Late_Fee_Relief_Windows_3B!$E$3775:$E$100,"&gt;="&amp;B3775,CBIC_Late_Fee_Relief_Windows_3B!$F$3775:$F$100,"&lt;="&amp;C3775,CBIC_Late_Fee_Relief_Windows_3B!$G$3775:$G$100,"&gt;="&amp;C3775)</f>
        <v/>
      </c>
      <c r="H3775">
        <f>INDEX(CBIC_Late_Fee_Relief_Windows_3B!$I$3775:$I$100,MATCH(G3775,CBIC_Late_Fee_Relief_Windows_3B!$O$3775:$O$100,0))</f>
        <v/>
      </c>
      <c r="I3775">
        <f>MIN(F3775,H3775)</f>
        <v/>
      </c>
    </row>
    <row r="3776">
      <c r="A3776">
        <f>TEST_DATA!A3776</f>
        <v/>
      </c>
      <c r="B3776">
        <f>TEST_DATA!B3776</f>
        <v/>
      </c>
      <c r="C3776">
        <f>TEST_DATA!C3776</f>
        <v/>
      </c>
      <c r="D3776">
        <f>TEST_DATA!D3776</f>
        <v/>
      </c>
      <c r="E3776">
        <f>TEST_DATA!E3776</f>
        <v/>
      </c>
      <c r="F3776">
        <f>MIN(E3776*377600,10000)</f>
        <v/>
      </c>
      <c r="G3776">
        <f>MINIFS(CBIC_Late_Fee_Relief_Windows_3B!$O$3776:$O$100,CBIC_Late_Fee_Relief_Windows_3B!$D$3776:$D$100,"&lt;="&amp;B3776,CBIC_Late_Fee_Relief_Windows_3B!$E$3776:$E$100,"&gt;="&amp;B3776,CBIC_Late_Fee_Relief_Windows_3B!$F$3776:$F$100,"&lt;="&amp;C3776,CBIC_Late_Fee_Relief_Windows_3B!$G$3776:$G$100,"&gt;="&amp;C3776)</f>
        <v/>
      </c>
      <c r="H3776">
        <f>INDEX(CBIC_Late_Fee_Relief_Windows_3B!$I$3776:$I$100,MATCH(G3776,CBIC_Late_Fee_Relief_Windows_3B!$O$3776:$O$100,0))</f>
        <v/>
      </c>
      <c r="I3776">
        <f>MIN(F3776,H3776)</f>
        <v/>
      </c>
    </row>
    <row r="3777">
      <c r="A3777">
        <f>TEST_DATA!A3777</f>
        <v/>
      </c>
      <c r="B3777">
        <f>TEST_DATA!B3777</f>
        <v/>
      </c>
      <c r="C3777">
        <f>TEST_DATA!C3777</f>
        <v/>
      </c>
      <c r="D3777">
        <f>TEST_DATA!D3777</f>
        <v/>
      </c>
      <c r="E3777">
        <f>TEST_DATA!E3777</f>
        <v/>
      </c>
      <c r="F3777">
        <f>MIN(E3777*377700,10000)</f>
        <v/>
      </c>
      <c r="G3777">
        <f>MINIFS(CBIC_Late_Fee_Relief_Windows_3B!$O$3777:$O$100,CBIC_Late_Fee_Relief_Windows_3B!$D$3777:$D$100,"&lt;="&amp;B3777,CBIC_Late_Fee_Relief_Windows_3B!$E$3777:$E$100,"&gt;="&amp;B3777,CBIC_Late_Fee_Relief_Windows_3B!$F$3777:$F$100,"&lt;="&amp;C3777,CBIC_Late_Fee_Relief_Windows_3B!$G$3777:$G$100,"&gt;="&amp;C3777)</f>
        <v/>
      </c>
      <c r="H3777">
        <f>INDEX(CBIC_Late_Fee_Relief_Windows_3B!$I$3777:$I$100,MATCH(G3777,CBIC_Late_Fee_Relief_Windows_3B!$O$3777:$O$100,0))</f>
        <v/>
      </c>
      <c r="I3777">
        <f>MIN(F3777,H3777)</f>
        <v/>
      </c>
    </row>
    <row r="3778">
      <c r="A3778">
        <f>TEST_DATA!A3778</f>
        <v/>
      </c>
      <c r="B3778">
        <f>TEST_DATA!B3778</f>
        <v/>
      </c>
      <c r="C3778">
        <f>TEST_DATA!C3778</f>
        <v/>
      </c>
      <c r="D3778">
        <f>TEST_DATA!D3778</f>
        <v/>
      </c>
      <c r="E3778">
        <f>TEST_DATA!E3778</f>
        <v/>
      </c>
      <c r="F3778">
        <f>MIN(E3778*377800,10000)</f>
        <v/>
      </c>
      <c r="G3778">
        <f>MINIFS(CBIC_Late_Fee_Relief_Windows_3B!$O$3778:$O$100,CBIC_Late_Fee_Relief_Windows_3B!$D$3778:$D$100,"&lt;="&amp;B3778,CBIC_Late_Fee_Relief_Windows_3B!$E$3778:$E$100,"&gt;="&amp;B3778,CBIC_Late_Fee_Relief_Windows_3B!$F$3778:$F$100,"&lt;="&amp;C3778,CBIC_Late_Fee_Relief_Windows_3B!$G$3778:$G$100,"&gt;="&amp;C3778)</f>
        <v/>
      </c>
      <c r="H3778">
        <f>INDEX(CBIC_Late_Fee_Relief_Windows_3B!$I$3778:$I$100,MATCH(G3778,CBIC_Late_Fee_Relief_Windows_3B!$O$3778:$O$100,0))</f>
        <v/>
      </c>
      <c r="I3778">
        <f>MIN(F3778,H3778)</f>
        <v/>
      </c>
    </row>
    <row r="3779">
      <c r="A3779">
        <f>TEST_DATA!A3779</f>
        <v/>
      </c>
      <c r="B3779">
        <f>TEST_DATA!B3779</f>
        <v/>
      </c>
      <c r="C3779">
        <f>TEST_DATA!C3779</f>
        <v/>
      </c>
      <c r="D3779">
        <f>TEST_DATA!D3779</f>
        <v/>
      </c>
      <c r="E3779">
        <f>TEST_DATA!E3779</f>
        <v/>
      </c>
      <c r="F3779">
        <f>MIN(E3779*377900,10000)</f>
        <v/>
      </c>
      <c r="G3779">
        <f>MINIFS(CBIC_Late_Fee_Relief_Windows_3B!$O$3779:$O$100,CBIC_Late_Fee_Relief_Windows_3B!$D$3779:$D$100,"&lt;="&amp;B3779,CBIC_Late_Fee_Relief_Windows_3B!$E$3779:$E$100,"&gt;="&amp;B3779,CBIC_Late_Fee_Relief_Windows_3B!$F$3779:$F$100,"&lt;="&amp;C3779,CBIC_Late_Fee_Relief_Windows_3B!$G$3779:$G$100,"&gt;="&amp;C3779)</f>
        <v/>
      </c>
      <c r="H3779">
        <f>INDEX(CBIC_Late_Fee_Relief_Windows_3B!$I$3779:$I$100,MATCH(G3779,CBIC_Late_Fee_Relief_Windows_3B!$O$3779:$O$100,0))</f>
        <v/>
      </c>
      <c r="I3779">
        <f>MIN(F3779,H3779)</f>
        <v/>
      </c>
    </row>
    <row r="3780">
      <c r="A3780">
        <f>TEST_DATA!A3780</f>
        <v/>
      </c>
      <c r="B3780">
        <f>TEST_DATA!B3780</f>
        <v/>
      </c>
      <c r="C3780">
        <f>TEST_DATA!C3780</f>
        <v/>
      </c>
      <c r="D3780">
        <f>TEST_DATA!D3780</f>
        <v/>
      </c>
      <c r="E3780">
        <f>TEST_DATA!E3780</f>
        <v/>
      </c>
      <c r="F3780">
        <f>MIN(E3780*378000,10000)</f>
        <v/>
      </c>
      <c r="G3780">
        <f>MINIFS(CBIC_Late_Fee_Relief_Windows_3B!$O$3780:$O$100,CBIC_Late_Fee_Relief_Windows_3B!$D$3780:$D$100,"&lt;="&amp;B3780,CBIC_Late_Fee_Relief_Windows_3B!$E$3780:$E$100,"&gt;="&amp;B3780,CBIC_Late_Fee_Relief_Windows_3B!$F$3780:$F$100,"&lt;="&amp;C3780,CBIC_Late_Fee_Relief_Windows_3B!$G$3780:$G$100,"&gt;="&amp;C3780)</f>
        <v/>
      </c>
      <c r="H3780">
        <f>INDEX(CBIC_Late_Fee_Relief_Windows_3B!$I$3780:$I$100,MATCH(G3780,CBIC_Late_Fee_Relief_Windows_3B!$O$3780:$O$100,0))</f>
        <v/>
      </c>
      <c r="I3780">
        <f>MIN(F3780,H3780)</f>
        <v/>
      </c>
    </row>
    <row r="3781">
      <c r="A3781">
        <f>TEST_DATA!A3781</f>
        <v/>
      </c>
      <c r="B3781">
        <f>TEST_DATA!B3781</f>
        <v/>
      </c>
      <c r="C3781">
        <f>TEST_DATA!C3781</f>
        <v/>
      </c>
      <c r="D3781">
        <f>TEST_DATA!D3781</f>
        <v/>
      </c>
      <c r="E3781">
        <f>TEST_DATA!E3781</f>
        <v/>
      </c>
      <c r="F3781">
        <f>MIN(E3781*378100,10000)</f>
        <v/>
      </c>
      <c r="G3781">
        <f>MINIFS(CBIC_Late_Fee_Relief_Windows_3B!$O$3781:$O$100,CBIC_Late_Fee_Relief_Windows_3B!$D$3781:$D$100,"&lt;="&amp;B3781,CBIC_Late_Fee_Relief_Windows_3B!$E$3781:$E$100,"&gt;="&amp;B3781,CBIC_Late_Fee_Relief_Windows_3B!$F$3781:$F$100,"&lt;="&amp;C3781,CBIC_Late_Fee_Relief_Windows_3B!$G$3781:$G$100,"&gt;="&amp;C3781)</f>
        <v/>
      </c>
      <c r="H3781">
        <f>INDEX(CBIC_Late_Fee_Relief_Windows_3B!$I$3781:$I$100,MATCH(G3781,CBIC_Late_Fee_Relief_Windows_3B!$O$3781:$O$100,0))</f>
        <v/>
      </c>
      <c r="I3781">
        <f>MIN(F3781,H3781)</f>
        <v/>
      </c>
    </row>
    <row r="3782">
      <c r="A3782">
        <f>TEST_DATA!A3782</f>
        <v/>
      </c>
      <c r="B3782">
        <f>TEST_DATA!B3782</f>
        <v/>
      </c>
      <c r="C3782">
        <f>TEST_DATA!C3782</f>
        <v/>
      </c>
      <c r="D3782">
        <f>TEST_DATA!D3782</f>
        <v/>
      </c>
      <c r="E3782">
        <f>TEST_DATA!E3782</f>
        <v/>
      </c>
      <c r="F3782">
        <f>MIN(E3782*378200,10000)</f>
        <v/>
      </c>
      <c r="G3782">
        <f>MINIFS(CBIC_Late_Fee_Relief_Windows_3B!$O$3782:$O$100,CBIC_Late_Fee_Relief_Windows_3B!$D$3782:$D$100,"&lt;="&amp;B3782,CBIC_Late_Fee_Relief_Windows_3B!$E$3782:$E$100,"&gt;="&amp;B3782,CBIC_Late_Fee_Relief_Windows_3B!$F$3782:$F$100,"&lt;="&amp;C3782,CBIC_Late_Fee_Relief_Windows_3B!$G$3782:$G$100,"&gt;="&amp;C3782)</f>
        <v/>
      </c>
      <c r="H3782">
        <f>INDEX(CBIC_Late_Fee_Relief_Windows_3B!$I$3782:$I$100,MATCH(G3782,CBIC_Late_Fee_Relief_Windows_3B!$O$3782:$O$100,0))</f>
        <v/>
      </c>
      <c r="I3782">
        <f>MIN(F3782,H3782)</f>
        <v/>
      </c>
    </row>
    <row r="3783">
      <c r="A3783">
        <f>TEST_DATA!A3783</f>
        <v/>
      </c>
      <c r="B3783">
        <f>TEST_DATA!B3783</f>
        <v/>
      </c>
      <c r="C3783">
        <f>TEST_DATA!C3783</f>
        <v/>
      </c>
      <c r="D3783">
        <f>TEST_DATA!D3783</f>
        <v/>
      </c>
      <c r="E3783">
        <f>TEST_DATA!E3783</f>
        <v/>
      </c>
      <c r="F3783">
        <f>MIN(E3783*378300,10000)</f>
        <v/>
      </c>
      <c r="G3783">
        <f>MINIFS(CBIC_Late_Fee_Relief_Windows_3B!$O$3783:$O$100,CBIC_Late_Fee_Relief_Windows_3B!$D$3783:$D$100,"&lt;="&amp;B3783,CBIC_Late_Fee_Relief_Windows_3B!$E$3783:$E$100,"&gt;="&amp;B3783,CBIC_Late_Fee_Relief_Windows_3B!$F$3783:$F$100,"&lt;="&amp;C3783,CBIC_Late_Fee_Relief_Windows_3B!$G$3783:$G$100,"&gt;="&amp;C3783)</f>
        <v/>
      </c>
      <c r="H3783">
        <f>INDEX(CBIC_Late_Fee_Relief_Windows_3B!$I$3783:$I$100,MATCH(G3783,CBIC_Late_Fee_Relief_Windows_3B!$O$3783:$O$100,0))</f>
        <v/>
      </c>
      <c r="I3783">
        <f>MIN(F3783,H3783)</f>
        <v/>
      </c>
    </row>
    <row r="3784">
      <c r="A3784">
        <f>TEST_DATA!A3784</f>
        <v/>
      </c>
      <c r="B3784">
        <f>TEST_DATA!B3784</f>
        <v/>
      </c>
      <c r="C3784">
        <f>TEST_DATA!C3784</f>
        <v/>
      </c>
      <c r="D3784">
        <f>TEST_DATA!D3784</f>
        <v/>
      </c>
      <c r="E3784">
        <f>TEST_DATA!E3784</f>
        <v/>
      </c>
      <c r="F3784">
        <f>MIN(E3784*378400,10000)</f>
        <v/>
      </c>
      <c r="G3784">
        <f>MINIFS(CBIC_Late_Fee_Relief_Windows_3B!$O$3784:$O$100,CBIC_Late_Fee_Relief_Windows_3B!$D$3784:$D$100,"&lt;="&amp;B3784,CBIC_Late_Fee_Relief_Windows_3B!$E$3784:$E$100,"&gt;="&amp;B3784,CBIC_Late_Fee_Relief_Windows_3B!$F$3784:$F$100,"&lt;="&amp;C3784,CBIC_Late_Fee_Relief_Windows_3B!$G$3784:$G$100,"&gt;="&amp;C3784)</f>
        <v/>
      </c>
      <c r="H3784">
        <f>INDEX(CBIC_Late_Fee_Relief_Windows_3B!$I$3784:$I$100,MATCH(G3784,CBIC_Late_Fee_Relief_Windows_3B!$O$3784:$O$100,0))</f>
        <v/>
      </c>
      <c r="I3784">
        <f>MIN(F3784,H3784)</f>
        <v/>
      </c>
    </row>
    <row r="3785">
      <c r="A3785">
        <f>TEST_DATA!A3785</f>
        <v/>
      </c>
      <c r="B3785">
        <f>TEST_DATA!B3785</f>
        <v/>
      </c>
      <c r="C3785">
        <f>TEST_DATA!C3785</f>
        <v/>
      </c>
      <c r="D3785">
        <f>TEST_DATA!D3785</f>
        <v/>
      </c>
      <c r="E3785">
        <f>TEST_DATA!E3785</f>
        <v/>
      </c>
      <c r="F3785">
        <f>MIN(E3785*378500,10000)</f>
        <v/>
      </c>
      <c r="G3785">
        <f>MINIFS(CBIC_Late_Fee_Relief_Windows_3B!$O$3785:$O$100,CBIC_Late_Fee_Relief_Windows_3B!$D$3785:$D$100,"&lt;="&amp;B3785,CBIC_Late_Fee_Relief_Windows_3B!$E$3785:$E$100,"&gt;="&amp;B3785,CBIC_Late_Fee_Relief_Windows_3B!$F$3785:$F$100,"&lt;="&amp;C3785,CBIC_Late_Fee_Relief_Windows_3B!$G$3785:$G$100,"&gt;="&amp;C3785)</f>
        <v/>
      </c>
      <c r="H3785">
        <f>INDEX(CBIC_Late_Fee_Relief_Windows_3B!$I$3785:$I$100,MATCH(G3785,CBIC_Late_Fee_Relief_Windows_3B!$O$3785:$O$100,0))</f>
        <v/>
      </c>
      <c r="I3785">
        <f>MIN(F3785,H3785)</f>
        <v/>
      </c>
    </row>
    <row r="3786">
      <c r="A3786">
        <f>TEST_DATA!A3786</f>
        <v/>
      </c>
      <c r="B3786">
        <f>TEST_DATA!B3786</f>
        <v/>
      </c>
      <c r="C3786">
        <f>TEST_DATA!C3786</f>
        <v/>
      </c>
      <c r="D3786">
        <f>TEST_DATA!D3786</f>
        <v/>
      </c>
      <c r="E3786">
        <f>TEST_DATA!E3786</f>
        <v/>
      </c>
      <c r="F3786">
        <f>MIN(E3786*378600,10000)</f>
        <v/>
      </c>
      <c r="G3786">
        <f>MINIFS(CBIC_Late_Fee_Relief_Windows_3B!$O$3786:$O$100,CBIC_Late_Fee_Relief_Windows_3B!$D$3786:$D$100,"&lt;="&amp;B3786,CBIC_Late_Fee_Relief_Windows_3B!$E$3786:$E$100,"&gt;="&amp;B3786,CBIC_Late_Fee_Relief_Windows_3B!$F$3786:$F$100,"&lt;="&amp;C3786,CBIC_Late_Fee_Relief_Windows_3B!$G$3786:$G$100,"&gt;="&amp;C3786)</f>
        <v/>
      </c>
      <c r="H3786">
        <f>INDEX(CBIC_Late_Fee_Relief_Windows_3B!$I$3786:$I$100,MATCH(G3786,CBIC_Late_Fee_Relief_Windows_3B!$O$3786:$O$100,0))</f>
        <v/>
      </c>
      <c r="I3786">
        <f>MIN(F3786,H3786)</f>
        <v/>
      </c>
    </row>
    <row r="3787">
      <c r="A3787">
        <f>TEST_DATA!A3787</f>
        <v/>
      </c>
      <c r="B3787">
        <f>TEST_DATA!B3787</f>
        <v/>
      </c>
      <c r="C3787">
        <f>TEST_DATA!C3787</f>
        <v/>
      </c>
      <c r="D3787">
        <f>TEST_DATA!D3787</f>
        <v/>
      </c>
      <c r="E3787">
        <f>TEST_DATA!E3787</f>
        <v/>
      </c>
      <c r="F3787">
        <f>MIN(E3787*378700,10000)</f>
        <v/>
      </c>
      <c r="G3787">
        <f>MINIFS(CBIC_Late_Fee_Relief_Windows_3B!$O$3787:$O$100,CBIC_Late_Fee_Relief_Windows_3B!$D$3787:$D$100,"&lt;="&amp;B3787,CBIC_Late_Fee_Relief_Windows_3B!$E$3787:$E$100,"&gt;="&amp;B3787,CBIC_Late_Fee_Relief_Windows_3B!$F$3787:$F$100,"&lt;="&amp;C3787,CBIC_Late_Fee_Relief_Windows_3B!$G$3787:$G$100,"&gt;="&amp;C3787)</f>
        <v/>
      </c>
      <c r="H3787">
        <f>INDEX(CBIC_Late_Fee_Relief_Windows_3B!$I$3787:$I$100,MATCH(G3787,CBIC_Late_Fee_Relief_Windows_3B!$O$3787:$O$100,0))</f>
        <v/>
      </c>
      <c r="I3787">
        <f>MIN(F3787,H3787)</f>
        <v/>
      </c>
    </row>
    <row r="3788">
      <c r="A3788">
        <f>TEST_DATA!A3788</f>
        <v/>
      </c>
      <c r="B3788">
        <f>TEST_DATA!B3788</f>
        <v/>
      </c>
      <c r="C3788">
        <f>TEST_DATA!C3788</f>
        <v/>
      </c>
      <c r="D3788">
        <f>TEST_DATA!D3788</f>
        <v/>
      </c>
      <c r="E3788">
        <f>TEST_DATA!E3788</f>
        <v/>
      </c>
      <c r="F3788">
        <f>MIN(E3788*378800,10000)</f>
        <v/>
      </c>
      <c r="G3788">
        <f>MINIFS(CBIC_Late_Fee_Relief_Windows_3B!$O$3788:$O$100,CBIC_Late_Fee_Relief_Windows_3B!$D$3788:$D$100,"&lt;="&amp;B3788,CBIC_Late_Fee_Relief_Windows_3B!$E$3788:$E$100,"&gt;="&amp;B3788,CBIC_Late_Fee_Relief_Windows_3B!$F$3788:$F$100,"&lt;="&amp;C3788,CBIC_Late_Fee_Relief_Windows_3B!$G$3788:$G$100,"&gt;="&amp;C3788)</f>
        <v/>
      </c>
      <c r="H3788">
        <f>INDEX(CBIC_Late_Fee_Relief_Windows_3B!$I$3788:$I$100,MATCH(G3788,CBIC_Late_Fee_Relief_Windows_3B!$O$3788:$O$100,0))</f>
        <v/>
      </c>
      <c r="I3788">
        <f>MIN(F3788,H3788)</f>
        <v/>
      </c>
    </row>
    <row r="3789">
      <c r="A3789">
        <f>TEST_DATA!A3789</f>
        <v/>
      </c>
      <c r="B3789">
        <f>TEST_DATA!B3789</f>
        <v/>
      </c>
      <c r="C3789">
        <f>TEST_DATA!C3789</f>
        <v/>
      </c>
      <c r="D3789">
        <f>TEST_DATA!D3789</f>
        <v/>
      </c>
      <c r="E3789">
        <f>TEST_DATA!E3789</f>
        <v/>
      </c>
      <c r="F3789">
        <f>MIN(E3789*378900,10000)</f>
        <v/>
      </c>
      <c r="G3789">
        <f>MINIFS(CBIC_Late_Fee_Relief_Windows_3B!$O$3789:$O$100,CBIC_Late_Fee_Relief_Windows_3B!$D$3789:$D$100,"&lt;="&amp;B3789,CBIC_Late_Fee_Relief_Windows_3B!$E$3789:$E$100,"&gt;="&amp;B3789,CBIC_Late_Fee_Relief_Windows_3B!$F$3789:$F$100,"&lt;="&amp;C3789,CBIC_Late_Fee_Relief_Windows_3B!$G$3789:$G$100,"&gt;="&amp;C3789)</f>
        <v/>
      </c>
      <c r="H3789">
        <f>INDEX(CBIC_Late_Fee_Relief_Windows_3B!$I$3789:$I$100,MATCH(G3789,CBIC_Late_Fee_Relief_Windows_3B!$O$3789:$O$100,0))</f>
        <v/>
      </c>
      <c r="I3789">
        <f>MIN(F3789,H3789)</f>
        <v/>
      </c>
    </row>
    <row r="3790">
      <c r="A3790">
        <f>TEST_DATA!A3790</f>
        <v/>
      </c>
      <c r="B3790">
        <f>TEST_DATA!B3790</f>
        <v/>
      </c>
      <c r="C3790">
        <f>TEST_DATA!C3790</f>
        <v/>
      </c>
      <c r="D3790">
        <f>TEST_DATA!D3790</f>
        <v/>
      </c>
      <c r="E3790">
        <f>TEST_DATA!E3790</f>
        <v/>
      </c>
      <c r="F3790">
        <f>MIN(E3790*379000,10000)</f>
        <v/>
      </c>
      <c r="G3790">
        <f>MINIFS(CBIC_Late_Fee_Relief_Windows_3B!$O$3790:$O$100,CBIC_Late_Fee_Relief_Windows_3B!$D$3790:$D$100,"&lt;="&amp;B3790,CBIC_Late_Fee_Relief_Windows_3B!$E$3790:$E$100,"&gt;="&amp;B3790,CBIC_Late_Fee_Relief_Windows_3B!$F$3790:$F$100,"&lt;="&amp;C3790,CBIC_Late_Fee_Relief_Windows_3B!$G$3790:$G$100,"&gt;="&amp;C3790)</f>
        <v/>
      </c>
      <c r="H3790">
        <f>INDEX(CBIC_Late_Fee_Relief_Windows_3B!$I$3790:$I$100,MATCH(G3790,CBIC_Late_Fee_Relief_Windows_3B!$O$3790:$O$100,0))</f>
        <v/>
      </c>
      <c r="I3790">
        <f>MIN(F3790,H3790)</f>
        <v/>
      </c>
    </row>
    <row r="3791">
      <c r="A3791">
        <f>TEST_DATA!A3791</f>
        <v/>
      </c>
      <c r="B3791">
        <f>TEST_DATA!B3791</f>
        <v/>
      </c>
      <c r="C3791">
        <f>TEST_DATA!C3791</f>
        <v/>
      </c>
      <c r="D3791">
        <f>TEST_DATA!D3791</f>
        <v/>
      </c>
      <c r="E3791">
        <f>TEST_DATA!E3791</f>
        <v/>
      </c>
      <c r="F3791">
        <f>MIN(E3791*379100,10000)</f>
        <v/>
      </c>
      <c r="G3791">
        <f>MINIFS(CBIC_Late_Fee_Relief_Windows_3B!$O$3791:$O$100,CBIC_Late_Fee_Relief_Windows_3B!$D$3791:$D$100,"&lt;="&amp;B3791,CBIC_Late_Fee_Relief_Windows_3B!$E$3791:$E$100,"&gt;="&amp;B3791,CBIC_Late_Fee_Relief_Windows_3B!$F$3791:$F$100,"&lt;="&amp;C3791,CBIC_Late_Fee_Relief_Windows_3B!$G$3791:$G$100,"&gt;="&amp;C3791)</f>
        <v/>
      </c>
      <c r="H3791">
        <f>INDEX(CBIC_Late_Fee_Relief_Windows_3B!$I$3791:$I$100,MATCH(G3791,CBIC_Late_Fee_Relief_Windows_3B!$O$3791:$O$100,0))</f>
        <v/>
      </c>
      <c r="I3791">
        <f>MIN(F3791,H3791)</f>
        <v/>
      </c>
    </row>
    <row r="3792">
      <c r="A3792">
        <f>TEST_DATA!A3792</f>
        <v/>
      </c>
      <c r="B3792">
        <f>TEST_DATA!B3792</f>
        <v/>
      </c>
      <c r="C3792">
        <f>TEST_DATA!C3792</f>
        <v/>
      </c>
      <c r="D3792">
        <f>TEST_DATA!D3792</f>
        <v/>
      </c>
      <c r="E3792">
        <f>TEST_DATA!E3792</f>
        <v/>
      </c>
      <c r="F3792">
        <f>MIN(E3792*379200,10000)</f>
        <v/>
      </c>
      <c r="G3792">
        <f>MINIFS(CBIC_Late_Fee_Relief_Windows_3B!$O$3792:$O$100,CBIC_Late_Fee_Relief_Windows_3B!$D$3792:$D$100,"&lt;="&amp;B3792,CBIC_Late_Fee_Relief_Windows_3B!$E$3792:$E$100,"&gt;="&amp;B3792,CBIC_Late_Fee_Relief_Windows_3B!$F$3792:$F$100,"&lt;="&amp;C3792,CBIC_Late_Fee_Relief_Windows_3B!$G$3792:$G$100,"&gt;="&amp;C3792)</f>
        <v/>
      </c>
      <c r="H3792">
        <f>INDEX(CBIC_Late_Fee_Relief_Windows_3B!$I$3792:$I$100,MATCH(G3792,CBIC_Late_Fee_Relief_Windows_3B!$O$3792:$O$100,0))</f>
        <v/>
      </c>
      <c r="I3792">
        <f>MIN(F3792,H3792)</f>
        <v/>
      </c>
    </row>
    <row r="3793">
      <c r="A3793">
        <f>TEST_DATA!A3793</f>
        <v/>
      </c>
      <c r="B3793">
        <f>TEST_DATA!B3793</f>
        <v/>
      </c>
      <c r="C3793">
        <f>TEST_DATA!C3793</f>
        <v/>
      </c>
      <c r="D3793">
        <f>TEST_DATA!D3793</f>
        <v/>
      </c>
      <c r="E3793">
        <f>TEST_DATA!E3793</f>
        <v/>
      </c>
      <c r="F3793">
        <f>MIN(E3793*379300,10000)</f>
        <v/>
      </c>
      <c r="G3793">
        <f>MINIFS(CBIC_Late_Fee_Relief_Windows_3B!$O$3793:$O$100,CBIC_Late_Fee_Relief_Windows_3B!$D$3793:$D$100,"&lt;="&amp;B3793,CBIC_Late_Fee_Relief_Windows_3B!$E$3793:$E$100,"&gt;="&amp;B3793,CBIC_Late_Fee_Relief_Windows_3B!$F$3793:$F$100,"&lt;="&amp;C3793,CBIC_Late_Fee_Relief_Windows_3B!$G$3793:$G$100,"&gt;="&amp;C3793)</f>
        <v/>
      </c>
      <c r="H3793">
        <f>INDEX(CBIC_Late_Fee_Relief_Windows_3B!$I$3793:$I$100,MATCH(G3793,CBIC_Late_Fee_Relief_Windows_3B!$O$3793:$O$100,0))</f>
        <v/>
      </c>
      <c r="I3793">
        <f>MIN(F3793,H3793)</f>
        <v/>
      </c>
    </row>
    <row r="3794">
      <c r="A3794">
        <f>TEST_DATA!A3794</f>
        <v/>
      </c>
      <c r="B3794">
        <f>TEST_DATA!B3794</f>
        <v/>
      </c>
      <c r="C3794">
        <f>TEST_DATA!C3794</f>
        <v/>
      </c>
      <c r="D3794">
        <f>TEST_DATA!D3794</f>
        <v/>
      </c>
      <c r="E3794">
        <f>TEST_DATA!E3794</f>
        <v/>
      </c>
      <c r="F3794">
        <f>MIN(E3794*379400,10000)</f>
        <v/>
      </c>
      <c r="G3794">
        <f>MINIFS(CBIC_Late_Fee_Relief_Windows_3B!$O$3794:$O$100,CBIC_Late_Fee_Relief_Windows_3B!$D$3794:$D$100,"&lt;="&amp;B3794,CBIC_Late_Fee_Relief_Windows_3B!$E$3794:$E$100,"&gt;="&amp;B3794,CBIC_Late_Fee_Relief_Windows_3B!$F$3794:$F$100,"&lt;="&amp;C3794,CBIC_Late_Fee_Relief_Windows_3B!$G$3794:$G$100,"&gt;="&amp;C3794)</f>
        <v/>
      </c>
      <c r="H3794">
        <f>INDEX(CBIC_Late_Fee_Relief_Windows_3B!$I$3794:$I$100,MATCH(G3794,CBIC_Late_Fee_Relief_Windows_3B!$O$3794:$O$100,0))</f>
        <v/>
      </c>
      <c r="I3794">
        <f>MIN(F3794,H3794)</f>
        <v/>
      </c>
    </row>
    <row r="3795">
      <c r="A3795">
        <f>TEST_DATA!A3795</f>
        <v/>
      </c>
      <c r="B3795">
        <f>TEST_DATA!B3795</f>
        <v/>
      </c>
      <c r="C3795">
        <f>TEST_DATA!C3795</f>
        <v/>
      </c>
      <c r="D3795">
        <f>TEST_DATA!D3795</f>
        <v/>
      </c>
      <c r="E3795">
        <f>TEST_DATA!E3795</f>
        <v/>
      </c>
      <c r="F3795">
        <f>MIN(E3795*379500,10000)</f>
        <v/>
      </c>
      <c r="G3795">
        <f>MINIFS(CBIC_Late_Fee_Relief_Windows_3B!$O$3795:$O$100,CBIC_Late_Fee_Relief_Windows_3B!$D$3795:$D$100,"&lt;="&amp;B3795,CBIC_Late_Fee_Relief_Windows_3B!$E$3795:$E$100,"&gt;="&amp;B3795,CBIC_Late_Fee_Relief_Windows_3B!$F$3795:$F$100,"&lt;="&amp;C3795,CBIC_Late_Fee_Relief_Windows_3B!$G$3795:$G$100,"&gt;="&amp;C3795)</f>
        <v/>
      </c>
      <c r="H3795">
        <f>INDEX(CBIC_Late_Fee_Relief_Windows_3B!$I$3795:$I$100,MATCH(G3795,CBIC_Late_Fee_Relief_Windows_3B!$O$3795:$O$100,0))</f>
        <v/>
      </c>
      <c r="I3795">
        <f>MIN(F3795,H3795)</f>
        <v/>
      </c>
    </row>
    <row r="3796">
      <c r="A3796">
        <f>TEST_DATA!A3796</f>
        <v/>
      </c>
      <c r="B3796">
        <f>TEST_DATA!B3796</f>
        <v/>
      </c>
      <c r="C3796">
        <f>TEST_DATA!C3796</f>
        <v/>
      </c>
      <c r="D3796">
        <f>TEST_DATA!D3796</f>
        <v/>
      </c>
      <c r="E3796">
        <f>TEST_DATA!E3796</f>
        <v/>
      </c>
      <c r="F3796">
        <f>MIN(E3796*379600,10000)</f>
        <v/>
      </c>
      <c r="G3796">
        <f>MINIFS(CBIC_Late_Fee_Relief_Windows_3B!$O$3796:$O$100,CBIC_Late_Fee_Relief_Windows_3B!$D$3796:$D$100,"&lt;="&amp;B3796,CBIC_Late_Fee_Relief_Windows_3B!$E$3796:$E$100,"&gt;="&amp;B3796,CBIC_Late_Fee_Relief_Windows_3B!$F$3796:$F$100,"&lt;="&amp;C3796,CBIC_Late_Fee_Relief_Windows_3B!$G$3796:$G$100,"&gt;="&amp;C3796)</f>
        <v/>
      </c>
      <c r="H3796">
        <f>INDEX(CBIC_Late_Fee_Relief_Windows_3B!$I$3796:$I$100,MATCH(G3796,CBIC_Late_Fee_Relief_Windows_3B!$O$3796:$O$100,0))</f>
        <v/>
      </c>
      <c r="I3796">
        <f>MIN(F3796,H3796)</f>
        <v/>
      </c>
    </row>
    <row r="3797">
      <c r="A3797">
        <f>TEST_DATA!A3797</f>
        <v/>
      </c>
      <c r="B3797">
        <f>TEST_DATA!B3797</f>
        <v/>
      </c>
      <c r="C3797">
        <f>TEST_DATA!C3797</f>
        <v/>
      </c>
      <c r="D3797">
        <f>TEST_DATA!D3797</f>
        <v/>
      </c>
      <c r="E3797">
        <f>TEST_DATA!E3797</f>
        <v/>
      </c>
      <c r="F3797">
        <f>MIN(E3797*379700,10000)</f>
        <v/>
      </c>
      <c r="G3797">
        <f>MINIFS(CBIC_Late_Fee_Relief_Windows_3B!$O$3797:$O$100,CBIC_Late_Fee_Relief_Windows_3B!$D$3797:$D$100,"&lt;="&amp;B3797,CBIC_Late_Fee_Relief_Windows_3B!$E$3797:$E$100,"&gt;="&amp;B3797,CBIC_Late_Fee_Relief_Windows_3B!$F$3797:$F$100,"&lt;="&amp;C3797,CBIC_Late_Fee_Relief_Windows_3B!$G$3797:$G$100,"&gt;="&amp;C3797)</f>
        <v/>
      </c>
      <c r="H3797">
        <f>INDEX(CBIC_Late_Fee_Relief_Windows_3B!$I$3797:$I$100,MATCH(G3797,CBIC_Late_Fee_Relief_Windows_3B!$O$3797:$O$100,0))</f>
        <v/>
      </c>
      <c r="I3797">
        <f>MIN(F3797,H3797)</f>
        <v/>
      </c>
    </row>
    <row r="3798">
      <c r="A3798">
        <f>TEST_DATA!A3798</f>
        <v/>
      </c>
      <c r="B3798">
        <f>TEST_DATA!B3798</f>
        <v/>
      </c>
      <c r="C3798">
        <f>TEST_DATA!C3798</f>
        <v/>
      </c>
      <c r="D3798">
        <f>TEST_DATA!D3798</f>
        <v/>
      </c>
      <c r="E3798">
        <f>TEST_DATA!E3798</f>
        <v/>
      </c>
      <c r="F3798">
        <f>MIN(E3798*379800,10000)</f>
        <v/>
      </c>
      <c r="G3798">
        <f>MINIFS(CBIC_Late_Fee_Relief_Windows_3B!$O$3798:$O$100,CBIC_Late_Fee_Relief_Windows_3B!$D$3798:$D$100,"&lt;="&amp;B3798,CBIC_Late_Fee_Relief_Windows_3B!$E$3798:$E$100,"&gt;="&amp;B3798,CBIC_Late_Fee_Relief_Windows_3B!$F$3798:$F$100,"&lt;="&amp;C3798,CBIC_Late_Fee_Relief_Windows_3B!$G$3798:$G$100,"&gt;="&amp;C3798)</f>
        <v/>
      </c>
      <c r="H3798">
        <f>INDEX(CBIC_Late_Fee_Relief_Windows_3B!$I$3798:$I$100,MATCH(G3798,CBIC_Late_Fee_Relief_Windows_3B!$O$3798:$O$100,0))</f>
        <v/>
      </c>
      <c r="I3798">
        <f>MIN(F3798,H3798)</f>
        <v/>
      </c>
    </row>
    <row r="3799">
      <c r="A3799">
        <f>TEST_DATA!A3799</f>
        <v/>
      </c>
      <c r="B3799">
        <f>TEST_DATA!B3799</f>
        <v/>
      </c>
      <c r="C3799">
        <f>TEST_DATA!C3799</f>
        <v/>
      </c>
      <c r="D3799">
        <f>TEST_DATA!D3799</f>
        <v/>
      </c>
      <c r="E3799">
        <f>TEST_DATA!E3799</f>
        <v/>
      </c>
      <c r="F3799">
        <f>MIN(E3799*379900,10000)</f>
        <v/>
      </c>
      <c r="G3799">
        <f>MINIFS(CBIC_Late_Fee_Relief_Windows_3B!$O$3799:$O$100,CBIC_Late_Fee_Relief_Windows_3B!$D$3799:$D$100,"&lt;="&amp;B3799,CBIC_Late_Fee_Relief_Windows_3B!$E$3799:$E$100,"&gt;="&amp;B3799,CBIC_Late_Fee_Relief_Windows_3B!$F$3799:$F$100,"&lt;="&amp;C3799,CBIC_Late_Fee_Relief_Windows_3B!$G$3799:$G$100,"&gt;="&amp;C3799)</f>
        <v/>
      </c>
      <c r="H3799">
        <f>INDEX(CBIC_Late_Fee_Relief_Windows_3B!$I$3799:$I$100,MATCH(G3799,CBIC_Late_Fee_Relief_Windows_3B!$O$3799:$O$100,0))</f>
        <v/>
      </c>
      <c r="I3799">
        <f>MIN(F3799,H3799)</f>
        <v/>
      </c>
    </row>
    <row r="3800">
      <c r="A3800">
        <f>TEST_DATA!A3800</f>
        <v/>
      </c>
      <c r="B3800">
        <f>TEST_DATA!B3800</f>
        <v/>
      </c>
      <c r="C3800">
        <f>TEST_DATA!C3800</f>
        <v/>
      </c>
      <c r="D3800">
        <f>TEST_DATA!D3800</f>
        <v/>
      </c>
      <c r="E3800">
        <f>TEST_DATA!E3800</f>
        <v/>
      </c>
      <c r="F3800">
        <f>MIN(E3800*380000,10000)</f>
        <v/>
      </c>
      <c r="G3800">
        <f>MINIFS(CBIC_Late_Fee_Relief_Windows_3B!$O$3800:$O$100,CBIC_Late_Fee_Relief_Windows_3B!$D$3800:$D$100,"&lt;="&amp;B3800,CBIC_Late_Fee_Relief_Windows_3B!$E$3800:$E$100,"&gt;="&amp;B3800,CBIC_Late_Fee_Relief_Windows_3B!$F$3800:$F$100,"&lt;="&amp;C3800,CBIC_Late_Fee_Relief_Windows_3B!$G$3800:$G$100,"&gt;="&amp;C3800)</f>
        <v/>
      </c>
      <c r="H3800">
        <f>INDEX(CBIC_Late_Fee_Relief_Windows_3B!$I$3800:$I$100,MATCH(G3800,CBIC_Late_Fee_Relief_Windows_3B!$O$3800:$O$100,0))</f>
        <v/>
      </c>
      <c r="I3800">
        <f>MIN(F3800,H3800)</f>
        <v/>
      </c>
    </row>
    <row r="3801">
      <c r="A3801">
        <f>TEST_DATA!A3801</f>
        <v/>
      </c>
      <c r="B3801">
        <f>TEST_DATA!B3801</f>
        <v/>
      </c>
      <c r="C3801">
        <f>TEST_DATA!C3801</f>
        <v/>
      </c>
      <c r="D3801">
        <f>TEST_DATA!D3801</f>
        <v/>
      </c>
      <c r="E3801">
        <f>TEST_DATA!E3801</f>
        <v/>
      </c>
      <c r="F3801">
        <f>MIN(E3801*380100,10000)</f>
        <v/>
      </c>
      <c r="G3801">
        <f>MINIFS(CBIC_Late_Fee_Relief_Windows_3B!$O$3801:$O$100,CBIC_Late_Fee_Relief_Windows_3B!$D$3801:$D$100,"&lt;="&amp;B3801,CBIC_Late_Fee_Relief_Windows_3B!$E$3801:$E$100,"&gt;="&amp;B3801,CBIC_Late_Fee_Relief_Windows_3B!$F$3801:$F$100,"&lt;="&amp;C3801,CBIC_Late_Fee_Relief_Windows_3B!$G$3801:$G$100,"&gt;="&amp;C3801)</f>
        <v/>
      </c>
      <c r="H3801">
        <f>INDEX(CBIC_Late_Fee_Relief_Windows_3B!$I$3801:$I$100,MATCH(G3801,CBIC_Late_Fee_Relief_Windows_3B!$O$3801:$O$100,0))</f>
        <v/>
      </c>
      <c r="I3801">
        <f>MIN(F3801,H3801)</f>
        <v/>
      </c>
    </row>
    <row r="3802">
      <c r="A3802">
        <f>TEST_DATA!A3802</f>
        <v/>
      </c>
      <c r="B3802">
        <f>TEST_DATA!B3802</f>
        <v/>
      </c>
      <c r="C3802">
        <f>TEST_DATA!C3802</f>
        <v/>
      </c>
      <c r="D3802">
        <f>TEST_DATA!D3802</f>
        <v/>
      </c>
      <c r="E3802">
        <f>TEST_DATA!E3802</f>
        <v/>
      </c>
      <c r="F3802">
        <f>MIN(E3802*380200,10000)</f>
        <v/>
      </c>
      <c r="G3802">
        <f>MINIFS(CBIC_Late_Fee_Relief_Windows_3B!$O$3802:$O$100,CBIC_Late_Fee_Relief_Windows_3B!$D$3802:$D$100,"&lt;="&amp;B3802,CBIC_Late_Fee_Relief_Windows_3B!$E$3802:$E$100,"&gt;="&amp;B3802,CBIC_Late_Fee_Relief_Windows_3B!$F$3802:$F$100,"&lt;="&amp;C3802,CBIC_Late_Fee_Relief_Windows_3B!$G$3802:$G$100,"&gt;="&amp;C3802)</f>
        <v/>
      </c>
      <c r="H3802">
        <f>INDEX(CBIC_Late_Fee_Relief_Windows_3B!$I$3802:$I$100,MATCH(G3802,CBIC_Late_Fee_Relief_Windows_3B!$O$3802:$O$100,0))</f>
        <v/>
      </c>
      <c r="I3802">
        <f>MIN(F3802,H3802)</f>
        <v/>
      </c>
    </row>
    <row r="3803">
      <c r="A3803">
        <f>TEST_DATA!A3803</f>
        <v/>
      </c>
      <c r="B3803">
        <f>TEST_DATA!B3803</f>
        <v/>
      </c>
      <c r="C3803">
        <f>TEST_DATA!C3803</f>
        <v/>
      </c>
      <c r="D3803">
        <f>TEST_DATA!D3803</f>
        <v/>
      </c>
      <c r="E3803">
        <f>TEST_DATA!E3803</f>
        <v/>
      </c>
      <c r="F3803">
        <f>MIN(E3803*380300,10000)</f>
        <v/>
      </c>
      <c r="G3803">
        <f>MINIFS(CBIC_Late_Fee_Relief_Windows_3B!$O$3803:$O$100,CBIC_Late_Fee_Relief_Windows_3B!$D$3803:$D$100,"&lt;="&amp;B3803,CBIC_Late_Fee_Relief_Windows_3B!$E$3803:$E$100,"&gt;="&amp;B3803,CBIC_Late_Fee_Relief_Windows_3B!$F$3803:$F$100,"&lt;="&amp;C3803,CBIC_Late_Fee_Relief_Windows_3B!$G$3803:$G$100,"&gt;="&amp;C3803)</f>
        <v/>
      </c>
      <c r="H3803">
        <f>INDEX(CBIC_Late_Fee_Relief_Windows_3B!$I$3803:$I$100,MATCH(G3803,CBIC_Late_Fee_Relief_Windows_3B!$O$3803:$O$100,0))</f>
        <v/>
      </c>
      <c r="I3803">
        <f>MIN(F3803,H3803)</f>
        <v/>
      </c>
    </row>
    <row r="3804">
      <c r="A3804">
        <f>TEST_DATA!A3804</f>
        <v/>
      </c>
      <c r="B3804">
        <f>TEST_DATA!B3804</f>
        <v/>
      </c>
      <c r="C3804">
        <f>TEST_DATA!C3804</f>
        <v/>
      </c>
      <c r="D3804">
        <f>TEST_DATA!D3804</f>
        <v/>
      </c>
      <c r="E3804">
        <f>TEST_DATA!E3804</f>
        <v/>
      </c>
      <c r="F3804">
        <f>MIN(E3804*380400,10000)</f>
        <v/>
      </c>
      <c r="G3804">
        <f>MINIFS(CBIC_Late_Fee_Relief_Windows_3B!$O$3804:$O$100,CBIC_Late_Fee_Relief_Windows_3B!$D$3804:$D$100,"&lt;="&amp;B3804,CBIC_Late_Fee_Relief_Windows_3B!$E$3804:$E$100,"&gt;="&amp;B3804,CBIC_Late_Fee_Relief_Windows_3B!$F$3804:$F$100,"&lt;="&amp;C3804,CBIC_Late_Fee_Relief_Windows_3B!$G$3804:$G$100,"&gt;="&amp;C3804)</f>
        <v/>
      </c>
      <c r="H3804">
        <f>INDEX(CBIC_Late_Fee_Relief_Windows_3B!$I$3804:$I$100,MATCH(G3804,CBIC_Late_Fee_Relief_Windows_3B!$O$3804:$O$100,0))</f>
        <v/>
      </c>
      <c r="I3804">
        <f>MIN(F3804,H3804)</f>
        <v/>
      </c>
    </row>
    <row r="3805">
      <c r="A3805">
        <f>TEST_DATA!A3805</f>
        <v/>
      </c>
      <c r="B3805">
        <f>TEST_DATA!B3805</f>
        <v/>
      </c>
      <c r="C3805">
        <f>TEST_DATA!C3805</f>
        <v/>
      </c>
      <c r="D3805">
        <f>TEST_DATA!D3805</f>
        <v/>
      </c>
      <c r="E3805">
        <f>TEST_DATA!E3805</f>
        <v/>
      </c>
      <c r="F3805">
        <f>MIN(E3805*380500,10000)</f>
        <v/>
      </c>
      <c r="G3805">
        <f>MINIFS(CBIC_Late_Fee_Relief_Windows_3B!$O$3805:$O$100,CBIC_Late_Fee_Relief_Windows_3B!$D$3805:$D$100,"&lt;="&amp;B3805,CBIC_Late_Fee_Relief_Windows_3B!$E$3805:$E$100,"&gt;="&amp;B3805,CBIC_Late_Fee_Relief_Windows_3B!$F$3805:$F$100,"&lt;="&amp;C3805,CBIC_Late_Fee_Relief_Windows_3B!$G$3805:$G$100,"&gt;="&amp;C3805)</f>
        <v/>
      </c>
      <c r="H3805">
        <f>INDEX(CBIC_Late_Fee_Relief_Windows_3B!$I$3805:$I$100,MATCH(G3805,CBIC_Late_Fee_Relief_Windows_3B!$O$3805:$O$100,0))</f>
        <v/>
      </c>
      <c r="I3805">
        <f>MIN(F3805,H3805)</f>
        <v/>
      </c>
    </row>
    <row r="3806">
      <c r="A3806">
        <f>TEST_DATA!A3806</f>
        <v/>
      </c>
      <c r="B3806">
        <f>TEST_DATA!B3806</f>
        <v/>
      </c>
      <c r="C3806">
        <f>TEST_DATA!C3806</f>
        <v/>
      </c>
      <c r="D3806">
        <f>TEST_DATA!D3806</f>
        <v/>
      </c>
      <c r="E3806">
        <f>TEST_DATA!E3806</f>
        <v/>
      </c>
      <c r="F3806">
        <f>MIN(E3806*380600,10000)</f>
        <v/>
      </c>
      <c r="G3806">
        <f>MINIFS(CBIC_Late_Fee_Relief_Windows_3B!$O$3806:$O$100,CBIC_Late_Fee_Relief_Windows_3B!$D$3806:$D$100,"&lt;="&amp;B3806,CBIC_Late_Fee_Relief_Windows_3B!$E$3806:$E$100,"&gt;="&amp;B3806,CBIC_Late_Fee_Relief_Windows_3B!$F$3806:$F$100,"&lt;="&amp;C3806,CBIC_Late_Fee_Relief_Windows_3B!$G$3806:$G$100,"&gt;="&amp;C3806)</f>
        <v/>
      </c>
      <c r="H3806">
        <f>INDEX(CBIC_Late_Fee_Relief_Windows_3B!$I$3806:$I$100,MATCH(G3806,CBIC_Late_Fee_Relief_Windows_3B!$O$3806:$O$100,0))</f>
        <v/>
      </c>
      <c r="I3806">
        <f>MIN(F3806,H3806)</f>
        <v/>
      </c>
    </row>
    <row r="3807">
      <c r="A3807">
        <f>TEST_DATA!A3807</f>
        <v/>
      </c>
      <c r="B3807">
        <f>TEST_DATA!B3807</f>
        <v/>
      </c>
      <c r="C3807">
        <f>TEST_DATA!C3807</f>
        <v/>
      </c>
      <c r="D3807">
        <f>TEST_DATA!D3807</f>
        <v/>
      </c>
      <c r="E3807">
        <f>TEST_DATA!E3807</f>
        <v/>
      </c>
      <c r="F3807">
        <f>MIN(E3807*380700,10000)</f>
        <v/>
      </c>
      <c r="G3807">
        <f>MINIFS(CBIC_Late_Fee_Relief_Windows_3B!$O$3807:$O$100,CBIC_Late_Fee_Relief_Windows_3B!$D$3807:$D$100,"&lt;="&amp;B3807,CBIC_Late_Fee_Relief_Windows_3B!$E$3807:$E$100,"&gt;="&amp;B3807,CBIC_Late_Fee_Relief_Windows_3B!$F$3807:$F$100,"&lt;="&amp;C3807,CBIC_Late_Fee_Relief_Windows_3B!$G$3807:$G$100,"&gt;="&amp;C3807)</f>
        <v/>
      </c>
      <c r="H3807">
        <f>INDEX(CBIC_Late_Fee_Relief_Windows_3B!$I$3807:$I$100,MATCH(G3807,CBIC_Late_Fee_Relief_Windows_3B!$O$3807:$O$100,0))</f>
        <v/>
      </c>
      <c r="I3807">
        <f>MIN(F3807,H3807)</f>
        <v/>
      </c>
    </row>
    <row r="3808">
      <c r="A3808">
        <f>TEST_DATA!A3808</f>
        <v/>
      </c>
      <c r="B3808">
        <f>TEST_DATA!B3808</f>
        <v/>
      </c>
      <c r="C3808">
        <f>TEST_DATA!C3808</f>
        <v/>
      </c>
      <c r="D3808">
        <f>TEST_DATA!D3808</f>
        <v/>
      </c>
      <c r="E3808">
        <f>TEST_DATA!E3808</f>
        <v/>
      </c>
      <c r="F3808">
        <f>MIN(E3808*380800,10000)</f>
        <v/>
      </c>
      <c r="G3808">
        <f>MINIFS(CBIC_Late_Fee_Relief_Windows_3B!$O$3808:$O$100,CBIC_Late_Fee_Relief_Windows_3B!$D$3808:$D$100,"&lt;="&amp;B3808,CBIC_Late_Fee_Relief_Windows_3B!$E$3808:$E$100,"&gt;="&amp;B3808,CBIC_Late_Fee_Relief_Windows_3B!$F$3808:$F$100,"&lt;="&amp;C3808,CBIC_Late_Fee_Relief_Windows_3B!$G$3808:$G$100,"&gt;="&amp;C3808)</f>
        <v/>
      </c>
      <c r="H3808">
        <f>INDEX(CBIC_Late_Fee_Relief_Windows_3B!$I$3808:$I$100,MATCH(G3808,CBIC_Late_Fee_Relief_Windows_3B!$O$3808:$O$100,0))</f>
        <v/>
      </c>
      <c r="I3808">
        <f>MIN(F3808,H3808)</f>
        <v/>
      </c>
    </row>
    <row r="3809">
      <c r="A3809">
        <f>TEST_DATA!A3809</f>
        <v/>
      </c>
      <c r="B3809">
        <f>TEST_DATA!B3809</f>
        <v/>
      </c>
      <c r="C3809">
        <f>TEST_DATA!C3809</f>
        <v/>
      </c>
      <c r="D3809">
        <f>TEST_DATA!D3809</f>
        <v/>
      </c>
      <c r="E3809">
        <f>TEST_DATA!E3809</f>
        <v/>
      </c>
      <c r="F3809">
        <f>MIN(E3809*380900,10000)</f>
        <v/>
      </c>
      <c r="G3809">
        <f>MINIFS(CBIC_Late_Fee_Relief_Windows_3B!$O$3809:$O$100,CBIC_Late_Fee_Relief_Windows_3B!$D$3809:$D$100,"&lt;="&amp;B3809,CBIC_Late_Fee_Relief_Windows_3B!$E$3809:$E$100,"&gt;="&amp;B3809,CBIC_Late_Fee_Relief_Windows_3B!$F$3809:$F$100,"&lt;="&amp;C3809,CBIC_Late_Fee_Relief_Windows_3B!$G$3809:$G$100,"&gt;="&amp;C3809)</f>
        <v/>
      </c>
      <c r="H3809">
        <f>INDEX(CBIC_Late_Fee_Relief_Windows_3B!$I$3809:$I$100,MATCH(G3809,CBIC_Late_Fee_Relief_Windows_3B!$O$3809:$O$100,0))</f>
        <v/>
      </c>
      <c r="I3809">
        <f>MIN(F3809,H3809)</f>
        <v/>
      </c>
    </row>
    <row r="3810">
      <c r="A3810">
        <f>TEST_DATA!A3810</f>
        <v/>
      </c>
      <c r="B3810">
        <f>TEST_DATA!B3810</f>
        <v/>
      </c>
      <c r="C3810">
        <f>TEST_DATA!C3810</f>
        <v/>
      </c>
      <c r="D3810">
        <f>TEST_DATA!D3810</f>
        <v/>
      </c>
      <c r="E3810">
        <f>TEST_DATA!E3810</f>
        <v/>
      </c>
      <c r="F3810">
        <f>MIN(E3810*381000,10000)</f>
        <v/>
      </c>
      <c r="G3810">
        <f>MINIFS(CBIC_Late_Fee_Relief_Windows_3B!$O$3810:$O$100,CBIC_Late_Fee_Relief_Windows_3B!$D$3810:$D$100,"&lt;="&amp;B3810,CBIC_Late_Fee_Relief_Windows_3B!$E$3810:$E$100,"&gt;="&amp;B3810,CBIC_Late_Fee_Relief_Windows_3B!$F$3810:$F$100,"&lt;="&amp;C3810,CBIC_Late_Fee_Relief_Windows_3B!$G$3810:$G$100,"&gt;="&amp;C3810)</f>
        <v/>
      </c>
      <c r="H3810">
        <f>INDEX(CBIC_Late_Fee_Relief_Windows_3B!$I$3810:$I$100,MATCH(G3810,CBIC_Late_Fee_Relief_Windows_3B!$O$3810:$O$100,0))</f>
        <v/>
      </c>
      <c r="I3810">
        <f>MIN(F3810,H3810)</f>
        <v/>
      </c>
    </row>
    <row r="3811">
      <c r="A3811">
        <f>TEST_DATA!A3811</f>
        <v/>
      </c>
      <c r="B3811">
        <f>TEST_DATA!B3811</f>
        <v/>
      </c>
      <c r="C3811">
        <f>TEST_DATA!C3811</f>
        <v/>
      </c>
      <c r="D3811">
        <f>TEST_DATA!D3811</f>
        <v/>
      </c>
      <c r="E3811">
        <f>TEST_DATA!E3811</f>
        <v/>
      </c>
      <c r="F3811">
        <f>MIN(E3811*381100,10000)</f>
        <v/>
      </c>
      <c r="G3811">
        <f>MINIFS(CBIC_Late_Fee_Relief_Windows_3B!$O$3811:$O$100,CBIC_Late_Fee_Relief_Windows_3B!$D$3811:$D$100,"&lt;="&amp;B3811,CBIC_Late_Fee_Relief_Windows_3B!$E$3811:$E$100,"&gt;="&amp;B3811,CBIC_Late_Fee_Relief_Windows_3B!$F$3811:$F$100,"&lt;="&amp;C3811,CBIC_Late_Fee_Relief_Windows_3B!$G$3811:$G$100,"&gt;="&amp;C3811)</f>
        <v/>
      </c>
      <c r="H3811">
        <f>INDEX(CBIC_Late_Fee_Relief_Windows_3B!$I$3811:$I$100,MATCH(G3811,CBIC_Late_Fee_Relief_Windows_3B!$O$3811:$O$100,0))</f>
        <v/>
      </c>
      <c r="I3811">
        <f>MIN(F3811,H3811)</f>
        <v/>
      </c>
    </row>
    <row r="3812">
      <c r="A3812">
        <f>TEST_DATA!A3812</f>
        <v/>
      </c>
      <c r="B3812">
        <f>TEST_DATA!B3812</f>
        <v/>
      </c>
      <c r="C3812">
        <f>TEST_DATA!C3812</f>
        <v/>
      </c>
      <c r="D3812">
        <f>TEST_DATA!D3812</f>
        <v/>
      </c>
      <c r="E3812">
        <f>TEST_DATA!E3812</f>
        <v/>
      </c>
      <c r="F3812">
        <f>MIN(E3812*381200,10000)</f>
        <v/>
      </c>
      <c r="G3812">
        <f>MINIFS(CBIC_Late_Fee_Relief_Windows_3B!$O$3812:$O$100,CBIC_Late_Fee_Relief_Windows_3B!$D$3812:$D$100,"&lt;="&amp;B3812,CBIC_Late_Fee_Relief_Windows_3B!$E$3812:$E$100,"&gt;="&amp;B3812,CBIC_Late_Fee_Relief_Windows_3B!$F$3812:$F$100,"&lt;="&amp;C3812,CBIC_Late_Fee_Relief_Windows_3B!$G$3812:$G$100,"&gt;="&amp;C3812)</f>
        <v/>
      </c>
      <c r="H3812">
        <f>INDEX(CBIC_Late_Fee_Relief_Windows_3B!$I$3812:$I$100,MATCH(G3812,CBIC_Late_Fee_Relief_Windows_3B!$O$3812:$O$100,0))</f>
        <v/>
      </c>
      <c r="I3812">
        <f>MIN(F3812,H3812)</f>
        <v/>
      </c>
    </row>
    <row r="3813">
      <c r="A3813">
        <f>TEST_DATA!A3813</f>
        <v/>
      </c>
      <c r="B3813">
        <f>TEST_DATA!B3813</f>
        <v/>
      </c>
      <c r="C3813">
        <f>TEST_DATA!C3813</f>
        <v/>
      </c>
      <c r="D3813">
        <f>TEST_DATA!D3813</f>
        <v/>
      </c>
      <c r="E3813">
        <f>TEST_DATA!E3813</f>
        <v/>
      </c>
      <c r="F3813">
        <f>MIN(E3813*381300,10000)</f>
        <v/>
      </c>
      <c r="G3813">
        <f>MINIFS(CBIC_Late_Fee_Relief_Windows_3B!$O$3813:$O$100,CBIC_Late_Fee_Relief_Windows_3B!$D$3813:$D$100,"&lt;="&amp;B3813,CBIC_Late_Fee_Relief_Windows_3B!$E$3813:$E$100,"&gt;="&amp;B3813,CBIC_Late_Fee_Relief_Windows_3B!$F$3813:$F$100,"&lt;="&amp;C3813,CBIC_Late_Fee_Relief_Windows_3B!$G$3813:$G$100,"&gt;="&amp;C3813)</f>
        <v/>
      </c>
      <c r="H3813">
        <f>INDEX(CBIC_Late_Fee_Relief_Windows_3B!$I$3813:$I$100,MATCH(G3813,CBIC_Late_Fee_Relief_Windows_3B!$O$3813:$O$100,0))</f>
        <v/>
      </c>
      <c r="I3813">
        <f>MIN(F3813,H3813)</f>
        <v/>
      </c>
    </row>
    <row r="3814">
      <c r="A3814">
        <f>TEST_DATA!A3814</f>
        <v/>
      </c>
      <c r="B3814">
        <f>TEST_DATA!B3814</f>
        <v/>
      </c>
      <c r="C3814">
        <f>TEST_DATA!C3814</f>
        <v/>
      </c>
      <c r="D3814">
        <f>TEST_DATA!D3814</f>
        <v/>
      </c>
      <c r="E3814">
        <f>TEST_DATA!E3814</f>
        <v/>
      </c>
      <c r="F3814">
        <f>MIN(E3814*381400,10000)</f>
        <v/>
      </c>
      <c r="G3814">
        <f>MINIFS(CBIC_Late_Fee_Relief_Windows_3B!$O$3814:$O$100,CBIC_Late_Fee_Relief_Windows_3B!$D$3814:$D$100,"&lt;="&amp;B3814,CBIC_Late_Fee_Relief_Windows_3B!$E$3814:$E$100,"&gt;="&amp;B3814,CBIC_Late_Fee_Relief_Windows_3B!$F$3814:$F$100,"&lt;="&amp;C3814,CBIC_Late_Fee_Relief_Windows_3B!$G$3814:$G$100,"&gt;="&amp;C3814)</f>
        <v/>
      </c>
      <c r="H3814">
        <f>INDEX(CBIC_Late_Fee_Relief_Windows_3B!$I$3814:$I$100,MATCH(G3814,CBIC_Late_Fee_Relief_Windows_3B!$O$3814:$O$100,0))</f>
        <v/>
      </c>
      <c r="I3814">
        <f>MIN(F3814,H3814)</f>
        <v/>
      </c>
    </row>
    <row r="3815">
      <c r="A3815">
        <f>TEST_DATA!A3815</f>
        <v/>
      </c>
      <c r="B3815">
        <f>TEST_DATA!B3815</f>
        <v/>
      </c>
      <c r="C3815">
        <f>TEST_DATA!C3815</f>
        <v/>
      </c>
      <c r="D3815">
        <f>TEST_DATA!D3815</f>
        <v/>
      </c>
      <c r="E3815">
        <f>TEST_DATA!E3815</f>
        <v/>
      </c>
      <c r="F3815">
        <f>MIN(E3815*381500,10000)</f>
        <v/>
      </c>
      <c r="G3815">
        <f>MINIFS(CBIC_Late_Fee_Relief_Windows_3B!$O$3815:$O$100,CBIC_Late_Fee_Relief_Windows_3B!$D$3815:$D$100,"&lt;="&amp;B3815,CBIC_Late_Fee_Relief_Windows_3B!$E$3815:$E$100,"&gt;="&amp;B3815,CBIC_Late_Fee_Relief_Windows_3B!$F$3815:$F$100,"&lt;="&amp;C3815,CBIC_Late_Fee_Relief_Windows_3B!$G$3815:$G$100,"&gt;="&amp;C3815)</f>
        <v/>
      </c>
      <c r="H3815">
        <f>INDEX(CBIC_Late_Fee_Relief_Windows_3B!$I$3815:$I$100,MATCH(G3815,CBIC_Late_Fee_Relief_Windows_3B!$O$3815:$O$100,0))</f>
        <v/>
      </c>
      <c r="I3815">
        <f>MIN(F3815,H3815)</f>
        <v/>
      </c>
    </row>
    <row r="3816">
      <c r="A3816">
        <f>TEST_DATA!A3816</f>
        <v/>
      </c>
      <c r="B3816">
        <f>TEST_DATA!B3816</f>
        <v/>
      </c>
      <c r="C3816">
        <f>TEST_DATA!C3816</f>
        <v/>
      </c>
      <c r="D3816">
        <f>TEST_DATA!D3816</f>
        <v/>
      </c>
      <c r="E3816">
        <f>TEST_DATA!E3816</f>
        <v/>
      </c>
      <c r="F3816">
        <f>MIN(E3816*381600,10000)</f>
        <v/>
      </c>
      <c r="G3816">
        <f>MINIFS(CBIC_Late_Fee_Relief_Windows_3B!$O$3816:$O$100,CBIC_Late_Fee_Relief_Windows_3B!$D$3816:$D$100,"&lt;="&amp;B3816,CBIC_Late_Fee_Relief_Windows_3B!$E$3816:$E$100,"&gt;="&amp;B3816,CBIC_Late_Fee_Relief_Windows_3B!$F$3816:$F$100,"&lt;="&amp;C3816,CBIC_Late_Fee_Relief_Windows_3B!$G$3816:$G$100,"&gt;="&amp;C3816)</f>
        <v/>
      </c>
      <c r="H3816">
        <f>INDEX(CBIC_Late_Fee_Relief_Windows_3B!$I$3816:$I$100,MATCH(G3816,CBIC_Late_Fee_Relief_Windows_3B!$O$3816:$O$100,0))</f>
        <v/>
      </c>
      <c r="I3816">
        <f>MIN(F3816,H3816)</f>
        <v/>
      </c>
    </row>
    <row r="3817">
      <c r="A3817">
        <f>TEST_DATA!A3817</f>
        <v/>
      </c>
      <c r="B3817">
        <f>TEST_DATA!B3817</f>
        <v/>
      </c>
      <c r="C3817">
        <f>TEST_DATA!C3817</f>
        <v/>
      </c>
      <c r="D3817">
        <f>TEST_DATA!D3817</f>
        <v/>
      </c>
      <c r="E3817">
        <f>TEST_DATA!E3817</f>
        <v/>
      </c>
      <c r="F3817">
        <f>MIN(E3817*381700,10000)</f>
        <v/>
      </c>
      <c r="G3817">
        <f>MINIFS(CBIC_Late_Fee_Relief_Windows_3B!$O$3817:$O$100,CBIC_Late_Fee_Relief_Windows_3B!$D$3817:$D$100,"&lt;="&amp;B3817,CBIC_Late_Fee_Relief_Windows_3B!$E$3817:$E$100,"&gt;="&amp;B3817,CBIC_Late_Fee_Relief_Windows_3B!$F$3817:$F$100,"&lt;="&amp;C3817,CBIC_Late_Fee_Relief_Windows_3B!$G$3817:$G$100,"&gt;="&amp;C3817)</f>
        <v/>
      </c>
      <c r="H3817">
        <f>INDEX(CBIC_Late_Fee_Relief_Windows_3B!$I$3817:$I$100,MATCH(G3817,CBIC_Late_Fee_Relief_Windows_3B!$O$3817:$O$100,0))</f>
        <v/>
      </c>
      <c r="I3817">
        <f>MIN(F3817,H3817)</f>
        <v/>
      </c>
    </row>
    <row r="3818">
      <c r="A3818">
        <f>TEST_DATA!A3818</f>
        <v/>
      </c>
      <c r="B3818">
        <f>TEST_DATA!B3818</f>
        <v/>
      </c>
      <c r="C3818">
        <f>TEST_DATA!C3818</f>
        <v/>
      </c>
      <c r="D3818">
        <f>TEST_DATA!D3818</f>
        <v/>
      </c>
      <c r="E3818">
        <f>TEST_DATA!E3818</f>
        <v/>
      </c>
      <c r="F3818">
        <f>MIN(E3818*381800,10000)</f>
        <v/>
      </c>
      <c r="G3818">
        <f>MINIFS(CBIC_Late_Fee_Relief_Windows_3B!$O$3818:$O$100,CBIC_Late_Fee_Relief_Windows_3B!$D$3818:$D$100,"&lt;="&amp;B3818,CBIC_Late_Fee_Relief_Windows_3B!$E$3818:$E$100,"&gt;="&amp;B3818,CBIC_Late_Fee_Relief_Windows_3B!$F$3818:$F$100,"&lt;="&amp;C3818,CBIC_Late_Fee_Relief_Windows_3B!$G$3818:$G$100,"&gt;="&amp;C3818)</f>
        <v/>
      </c>
      <c r="H3818">
        <f>INDEX(CBIC_Late_Fee_Relief_Windows_3B!$I$3818:$I$100,MATCH(G3818,CBIC_Late_Fee_Relief_Windows_3B!$O$3818:$O$100,0))</f>
        <v/>
      </c>
      <c r="I3818">
        <f>MIN(F3818,H3818)</f>
        <v/>
      </c>
    </row>
    <row r="3819">
      <c r="A3819">
        <f>TEST_DATA!A3819</f>
        <v/>
      </c>
      <c r="B3819">
        <f>TEST_DATA!B3819</f>
        <v/>
      </c>
      <c r="C3819">
        <f>TEST_DATA!C3819</f>
        <v/>
      </c>
      <c r="D3819">
        <f>TEST_DATA!D3819</f>
        <v/>
      </c>
      <c r="E3819">
        <f>TEST_DATA!E3819</f>
        <v/>
      </c>
      <c r="F3819">
        <f>MIN(E3819*381900,10000)</f>
        <v/>
      </c>
      <c r="G3819">
        <f>MINIFS(CBIC_Late_Fee_Relief_Windows_3B!$O$3819:$O$100,CBIC_Late_Fee_Relief_Windows_3B!$D$3819:$D$100,"&lt;="&amp;B3819,CBIC_Late_Fee_Relief_Windows_3B!$E$3819:$E$100,"&gt;="&amp;B3819,CBIC_Late_Fee_Relief_Windows_3B!$F$3819:$F$100,"&lt;="&amp;C3819,CBIC_Late_Fee_Relief_Windows_3B!$G$3819:$G$100,"&gt;="&amp;C3819)</f>
        <v/>
      </c>
      <c r="H3819">
        <f>INDEX(CBIC_Late_Fee_Relief_Windows_3B!$I$3819:$I$100,MATCH(G3819,CBIC_Late_Fee_Relief_Windows_3B!$O$3819:$O$100,0))</f>
        <v/>
      </c>
      <c r="I3819">
        <f>MIN(F3819,H3819)</f>
        <v/>
      </c>
    </row>
    <row r="3820">
      <c r="A3820">
        <f>TEST_DATA!A3820</f>
        <v/>
      </c>
      <c r="B3820">
        <f>TEST_DATA!B3820</f>
        <v/>
      </c>
      <c r="C3820">
        <f>TEST_DATA!C3820</f>
        <v/>
      </c>
      <c r="D3820">
        <f>TEST_DATA!D3820</f>
        <v/>
      </c>
      <c r="E3820">
        <f>TEST_DATA!E3820</f>
        <v/>
      </c>
      <c r="F3820">
        <f>MIN(E3820*382000,10000)</f>
        <v/>
      </c>
      <c r="G3820">
        <f>MINIFS(CBIC_Late_Fee_Relief_Windows_3B!$O$3820:$O$100,CBIC_Late_Fee_Relief_Windows_3B!$D$3820:$D$100,"&lt;="&amp;B3820,CBIC_Late_Fee_Relief_Windows_3B!$E$3820:$E$100,"&gt;="&amp;B3820,CBIC_Late_Fee_Relief_Windows_3B!$F$3820:$F$100,"&lt;="&amp;C3820,CBIC_Late_Fee_Relief_Windows_3B!$G$3820:$G$100,"&gt;="&amp;C3820)</f>
        <v/>
      </c>
      <c r="H3820">
        <f>INDEX(CBIC_Late_Fee_Relief_Windows_3B!$I$3820:$I$100,MATCH(G3820,CBIC_Late_Fee_Relief_Windows_3B!$O$3820:$O$100,0))</f>
        <v/>
      </c>
      <c r="I3820">
        <f>MIN(F3820,H3820)</f>
        <v/>
      </c>
    </row>
    <row r="3821">
      <c r="A3821">
        <f>TEST_DATA!A3821</f>
        <v/>
      </c>
      <c r="B3821">
        <f>TEST_DATA!B3821</f>
        <v/>
      </c>
      <c r="C3821">
        <f>TEST_DATA!C3821</f>
        <v/>
      </c>
      <c r="D3821">
        <f>TEST_DATA!D3821</f>
        <v/>
      </c>
      <c r="E3821">
        <f>TEST_DATA!E3821</f>
        <v/>
      </c>
      <c r="F3821">
        <f>MIN(E3821*382100,10000)</f>
        <v/>
      </c>
      <c r="G3821">
        <f>MINIFS(CBIC_Late_Fee_Relief_Windows_3B!$O$3821:$O$100,CBIC_Late_Fee_Relief_Windows_3B!$D$3821:$D$100,"&lt;="&amp;B3821,CBIC_Late_Fee_Relief_Windows_3B!$E$3821:$E$100,"&gt;="&amp;B3821,CBIC_Late_Fee_Relief_Windows_3B!$F$3821:$F$100,"&lt;="&amp;C3821,CBIC_Late_Fee_Relief_Windows_3B!$G$3821:$G$100,"&gt;="&amp;C3821)</f>
        <v/>
      </c>
      <c r="H3821">
        <f>INDEX(CBIC_Late_Fee_Relief_Windows_3B!$I$3821:$I$100,MATCH(G3821,CBIC_Late_Fee_Relief_Windows_3B!$O$3821:$O$100,0))</f>
        <v/>
      </c>
      <c r="I3821">
        <f>MIN(F3821,H3821)</f>
        <v/>
      </c>
    </row>
    <row r="3822">
      <c r="A3822">
        <f>TEST_DATA!A3822</f>
        <v/>
      </c>
      <c r="B3822">
        <f>TEST_DATA!B3822</f>
        <v/>
      </c>
      <c r="C3822">
        <f>TEST_DATA!C3822</f>
        <v/>
      </c>
      <c r="D3822">
        <f>TEST_DATA!D3822</f>
        <v/>
      </c>
      <c r="E3822">
        <f>TEST_DATA!E3822</f>
        <v/>
      </c>
      <c r="F3822">
        <f>MIN(E3822*382200,10000)</f>
        <v/>
      </c>
      <c r="G3822">
        <f>MINIFS(CBIC_Late_Fee_Relief_Windows_3B!$O$3822:$O$100,CBIC_Late_Fee_Relief_Windows_3B!$D$3822:$D$100,"&lt;="&amp;B3822,CBIC_Late_Fee_Relief_Windows_3B!$E$3822:$E$100,"&gt;="&amp;B3822,CBIC_Late_Fee_Relief_Windows_3B!$F$3822:$F$100,"&lt;="&amp;C3822,CBIC_Late_Fee_Relief_Windows_3B!$G$3822:$G$100,"&gt;="&amp;C3822)</f>
        <v/>
      </c>
      <c r="H3822">
        <f>INDEX(CBIC_Late_Fee_Relief_Windows_3B!$I$3822:$I$100,MATCH(G3822,CBIC_Late_Fee_Relief_Windows_3B!$O$3822:$O$100,0))</f>
        <v/>
      </c>
      <c r="I3822">
        <f>MIN(F3822,H3822)</f>
        <v/>
      </c>
    </row>
    <row r="3823">
      <c r="A3823">
        <f>TEST_DATA!A3823</f>
        <v/>
      </c>
      <c r="B3823">
        <f>TEST_DATA!B3823</f>
        <v/>
      </c>
      <c r="C3823">
        <f>TEST_DATA!C3823</f>
        <v/>
      </c>
      <c r="D3823">
        <f>TEST_DATA!D3823</f>
        <v/>
      </c>
      <c r="E3823">
        <f>TEST_DATA!E3823</f>
        <v/>
      </c>
      <c r="F3823">
        <f>MIN(E3823*382300,10000)</f>
        <v/>
      </c>
      <c r="G3823">
        <f>MINIFS(CBIC_Late_Fee_Relief_Windows_3B!$O$3823:$O$100,CBIC_Late_Fee_Relief_Windows_3B!$D$3823:$D$100,"&lt;="&amp;B3823,CBIC_Late_Fee_Relief_Windows_3B!$E$3823:$E$100,"&gt;="&amp;B3823,CBIC_Late_Fee_Relief_Windows_3B!$F$3823:$F$100,"&lt;="&amp;C3823,CBIC_Late_Fee_Relief_Windows_3B!$G$3823:$G$100,"&gt;="&amp;C3823)</f>
        <v/>
      </c>
      <c r="H3823">
        <f>INDEX(CBIC_Late_Fee_Relief_Windows_3B!$I$3823:$I$100,MATCH(G3823,CBIC_Late_Fee_Relief_Windows_3B!$O$3823:$O$100,0))</f>
        <v/>
      </c>
      <c r="I3823">
        <f>MIN(F3823,H3823)</f>
        <v/>
      </c>
    </row>
    <row r="3824">
      <c r="A3824">
        <f>TEST_DATA!A3824</f>
        <v/>
      </c>
      <c r="B3824">
        <f>TEST_DATA!B3824</f>
        <v/>
      </c>
      <c r="C3824">
        <f>TEST_DATA!C3824</f>
        <v/>
      </c>
      <c r="D3824">
        <f>TEST_DATA!D3824</f>
        <v/>
      </c>
      <c r="E3824">
        <f>TEST_DATA!E3824</f>
        <v/>
      </c>
      <c r="F3824">
        <f>MIN(E3824*382400,10000)</f>
        <v/>
      </c>
      <c r="G3824">
        <f>MINIFS(CBIC_Late_Fee_Relief_Windows_3B!$O$3824:$O$100,CBIC_Late_Fee_Relief_Windows_3B!$D$3824:$D$100,"&lt;="&amp;B3824,CBIC_Late_Fee_Relief_Windows_3B!$E$3824:$E$100,"&gt;="&amp;B3824,CBIC_Late_Fee_Relief_Windows_3B!$F$3824:$F$100,"&lt;="&amp;C3824,CBIC_Late_Fee_Relief_Windows_3B!$G$3824:$G$100,"&gt;="&amp;C3824)</f>
        <v/>
      </c>
      <c r="H3824">
        <f>INDEX(CBIC_Late_Fee_Relief_Windows_3B!$I$3824:$I$100,MATCH(G3824,CBIC_Late_Fee_Relief_Windows_3B!$O$3824:$O$100,0))</f>
        <v/>
      </c>
      <c r="I3824">
        <f>MIN(F3824,H3824)</f>
        <v/>
      </c>
    </row>
    <row r="3825">
      <c r="A3825">
        <f>TEST_DATA!A3825</f>
        <v/>
      </c>
      <c r="B3825">
        <f>TEST_DATA!B3825</f>
        <v/>
      </c>
      <c r="C3825">
        <f>TEST_DATA!C3825</f>
        <v/>
      </c>
      <c r="D3825">
        <f>TEST_DATA!D3825</f>
        <v/>
      </c>
      <c r="E3825">
        <f>TEST_DATA!E3825</f>
        <v/>
      </c>
      <c r="F3825">
        <f>MIN(E3825*382500,10000)</f>
        <v/>
      </c>
      <c r="G3825">
        <f>MINIFS(CBIC_Late_Fee_Relief_Windows_3B!$O$3825:$O$100,CBIC_Late_Fee_Relief_Windows_3B!$D$3825:$D$100,"&lt;="&amp;B3825,CBIC_Late_Fee_Relief_Windows_3B!$E$3825:$E$100,"&gt;="&amp;B3825,CBIC_Late_Fee_Relief_Windows_3B!$F$3825:$F$100,"&lt;="&amp;C3825,CBIC_Late_Fee_Relief_Windows_3B!$G$3825:$G$100,"&gt;="&amp;C3825)</f>
        <v/>
      </c>
      <c r="H3825">
        <f>INDEX(CBIC_Late_Fee_Relief_Windows_3B!$I$3825:$I$100,MATCH(G3825,CBIC_Late_Fee_Relief_Windows_3B!$O$3825:$O$100,0))</f>
        <v/>
      </c>
      <c r="I3825">
        <f>MIN(F3825,H3825)</f>
        <v/>
      </c>
    </row>
    <row r="3826">
      <c r="A3826">
        <f>TEST_DATA!A3826</f>
        <v/>
      </c>
      <c r="B3826">
        <f>TEST_DATA!B3826</f>
        <v/>
      </c>
      <c r="C3826">
        <f>TEST_DATA!C3826</f>
        <v/>
      </c>
      <c r="D3826">
        <f>TEST_DATA!D3826</f>
        <v/>
      </c>
      <c r="E3826">
        <f>TEST_DATA!E3826</f>
        <v/>
      </c>
      <c r="F3826">
        <f>MIN(E3826*382600,10000)</f>
        <v/>
      </c>
      <c r="G3826">
        <f>MINIFS(CBIC_Late_Fee_Relief_Windows_3B!$O$3826:$O$100,CBIC_Late_Fee_Relief_Windows_3B!$D$3826:$D$100,"&lt;="&amp;B3826,CBIC_Late_Fee_Relief_Windows_3B!$E$3826:$E$100,"&gt;="&amp;B3826,CBIC_Late_Fee_Relief_Windows_3B!$F$3826:$F$100,"&lt;="&amp;C3826,CBIC_Late_Fee_Relief_Windows_3B!$G$3826:$G$100,"&gt;="&amp;C3826)</f>
        <v/>
      </c>
      <c r="H3826">
        <f>INDEX(CBIC_Late_Fee_Relief_Windows_3B!$I$3826:$I$100,MATCH(G3826,CBIC_Late_Fee_Relief_Windows_3B!$O$3826:$O$100,0))</f>
        <v/>
      </c>
      <c r="I3826">
        <f>MIN(F3826,H3826)</f>
        <v/>
      </c>
    </row>
    <row r="3827">
      <c r="A3827">
        <f>TEST_DATA!A3827</f>
        <v/>
      </c>
      <c r="B3827">
        <f>TEST_DATA!B3827</f>
        <v/>
      </c>
      <c r="C3827">
        <f>TEST_DATA!C3827</f>
        <v/>
      </c>
      <c r="D3827">
        <f>TEST_DATA!D3827</f>
        <v/>
      </c>
      <c r="E3827">
        <f>TEST_DATA!E3827</f>
        <v/>
      </c>
      <c r="F3827">
        <f>MIN(E3827*382700,10000)</f>
        <v/>
      </c>
      <c r="G3827">
        <f>MINIFS(CBIC_Late_Fee_Relief_Windows_3B!$O$3827:$O$100,CBIC_Late_Fee_Relief_Windows_3B!$D$3827:$D$100,"&lt;="&amp;B3827,CBIC_Late_Fee_Relief_Windows_3B!$E$3827:$E$100,"&gt;="&amp;B3827,CBIC_Late_Fee_Relief_Windows_3B!$F$3827:$F$100,"&lt;="&amp;C3827,CBIC_Late_Fee_Relief_Windows_3B!$G$3827:$G$100,"&gt;="&amp;C3827)</f>
        <v/>
      </c>
      <c r="H3827">
        <f>INDEX(CBIC_Late_Fee_Relief_Windows_3B!$I$3827:$I$100,MATCH(G3827,CBIC_Late_Fee_Relief_Windows_3B!$O$3827:$O$100,0))</f>
        <v/>
      </c>
      <c r="I3827">
        <f>MIN(F3827,H3827)</f>
        <v/>
      </c>
    </row>
    <row r="3828">
      <c r="A3828">
        <f>TEST_DATA!A3828</f>
        <v/>
      </c>
      <c r="B3828">
        <f>TEST_DATA!B3828</f>
        <v/>
      </c>
      <c r="C3828">
        <f>TEST_DATA!C3828</f>
        <v/>
      </c>
      <c r="D3828">
        <f>TEST_DATA!D3828</f>
        <v/>
      </c>
      <c r="E3828">
        <f>TEST_DATA!E3828</f>
        <v/>
      </c>
      <c r="F3828">
        <f>MIN(E3828*382800,10000)</f>
        <v/>
      </c>
      <c r="G3828">
        <f>MINIFS(CBIC_Late_Fee_Relief_Windows_3B!$O$3828:$O$100,CBIC_Late_Fee_Relief_Windows_3B!$D$3828:$D$100,"&lt;="&amp;B3828,CBIC_Late_Fee_Relief_Windows_3B!$E$3828:$E$100,"&gt;="&amp;B3828,CBIC_Late_Fee_Relief_Windows_3B!$F$3828:$F$100,"&lt;="&amp;C3828,CBIC_Late_Fee_Relief_Windows_3B!$G$3828:$G$100,"&gt;="&amp;C3828)</f>
        <v/>
      </c>
      <c r="H3828">
        <f>INDEX(CBIC_Late_Fee_Relief_Windows_3B!$I$3828:$I$100,MATCH(G3828,CBIC_Late_Fee_Relief_Windows_3B!$O$3828:$O$100,0))</f>
        <v/>
      </c>
      <c r="I3828">
        <f>MIN(F3828,H3828)</f>
        <v/>
      </c>
    </row>
    <row r="3829">
      <c r="A3829">
        <f>TEST_DATA!A3829</f>
        <v/>
      </c>
      <c r="B3829">
        <f>TEST_DATA!B3829</f>
        <v/>
      </c>
      <c r="C3829">
        <f>TEST_DATA!C3829</f>
        <v/>
      </c>
      <c r="D3829">
        <f>TEST_DATA!D3829</f>
        <v/>
      </c>
      <c r="E3829">
        <f>TEST_DATA!E3829</f>
        <v/>
      </c>
      <c r="F3829">
        <f>MIN(E3829*382900,10000)</f>
        <v/>
      </c>
      <c r="G3829">
        <f>MINIFS(CBIC_Late_Fee_Relief_Windows_3B!$O$3829:$O$100,CBIC_Late_Fee_Relief_Windows_3B!$D$3829:$D$100,"&lt;="&amp;B3829,CBIC_Late_Fee_Relief_Windows_3B!$E$3829:$E$100,"&gt;="&amp;B3829,CBIC_Late_Fee_Relief_Windows_3B!$F$3829:$F$100,"&lt;="&amp;C3829,CBIC_Late_Fee_Relief_Windows_3B!$G$3829:$G$100,"&gt;="&amp;C3829)</f>
        <v/>
      </c>
      <c r="H3829">
        <f>INDEX(CBIC_Late_Fee_Relief_Windows_3B!$I$3829:$I$100,MATCH(G3829,CBIC_Late_Fee_Relief_Windows_3B!$O$3829:$O$100,0))</f>
        <v/>
      </c>
      <c r="I3829">
        <f>MIN(F3829,H3829)</f>
        <v/>
      </c>
    </row>
    <row r="3830">
      <c r="A3830">
        <f>TEST_DATA!A3830</f>
        <v/>
      </c>
      <c r="B3830">
        <f>TEST_DATA!B3830</f>
        <v/>
      </c>
      <c r="C3830">
        <f>TEST_DATA!C3830</f>
        <v/>
      </c>
      <c r="D3830">
        <f>TEST_DATA!D3830</f>
        <v/>
      </c>
      <c r="E3830">
        <f>TEST_DATA!E3830</f>
        <v/>
      </c>
      <c r="F3830">
        <f>MIN(E3830*383000,10000)</f>
        <v/>
      </c>
      <c r="G3830">
        <f>MINIFS(CBIC_Late_Fee_Relief_Windows_3B!$O$3830:$O$100,CBIC_Late_Fee_Relief_Windows_3B!$D$3830:$D$100,"&lt;="&amp;B3830,CBIC_Late_Fee_Relief_Windows_3B!$E$3830:$E$100,"&gt;="&amp;B3830,CBIC_Late_Fee_Relief_Windows_3B!$F$3830:$F$100,"&lt;="&amp;C3830,CBIC_Late_Fee_Relief_Windows_3B!$G$3830:$G$100,"&gt;="&amp;C3830)</f>
        <v/>
      </c>
      <c r="H3830">
        <f>INDEX(CBIC_Late_Fee_Relief_Windows_3B!$I$3830:$I$100,MATCH(G3830,CBIC_Late_Fee_Relief_Windows_3B!$O$3830:$O$100,0))</f>
        <v/>
      </c>
      <c r="I3830">
        <f>MIN(F3830,H3830)</f>
        <v/>
      </c>
    </row>
    <row r="3831">
      <c r="A3831">
        <f>TEST_DATA!A3831</f>
        <v/>
      </c>
      <c r="B3831">
        <f>TEST_DATA!B3831</f>
        <v/>
      </c>
      <c r="C3831">
        <f>TEST_DATA!C3831</f>
        <v/>
      </c>
      <c r="D3831">
        <f>TEST_DATA!D3831</f>
        <v/>
      </c>
      <c r="E3831">
        <f>TEST_DATA!E3831</f>
        <v/>
      </c>
      <c r="F3831">
        <f>MIN(E3831*383100,10000)</f>
        <v/>
      </c>
      <c r="G3831">
        <f>MINIFS(CBIC_Late_Fee_Relief_Windows_3B!$O$3831:$O$100,CBIC_Late_Fee_Relief_Windows_3B!$D$3831:$D$100,"&lt;="&amp;B3831,CBIC_Late_Fee_Relief_Windows_3B!$E$3831:$E$100,"&gt;="&amp;B3831,CBIC_Late_Fee_Relief_Windows_3B!$F$3831:$F$100,"&lt;="&amp;C3831,CBIC_Late_Fee_Relief_Windows_3B!$G$3831:$G$100,"&gt;="&amp;C3831)</f>
        <v/>
      </c>
      <c r="H3831">
        <f>INDEX(CBIC_Late_Fee_Relief_Windows_3B!$I$3831:$I$100,MATCH(G3831,CBIC_Late_Fee_Relief_Windows_3B!$O$3831:$O$100,0))</f>
        <v/>
      </c>
      <c r="I3831">
        <f>MIN(F3831,H3831)</f>
        <v/>
      </c>
    </row>
    <row r="3832">
      <c r="A3832">
        <f>TEST_DATA!A3832</f>
        <v/>
      </c>
      <c r="B3832">
        <f>TEST_DATA!B3832</f>
        <v/>
      </c>
      <c r="C3832">
        <f>TEST_DATA!C3832</f>
        <v/>
      </c>
      <c r="D3832">
        <f>TEST_DATA!D3832</f>
        <v/>
      </c>
      <c r="E3832">
        <f>TEST_DATA!E3832</f>
        <v/>
      </c>
      <c r="F3832">
        <f>MIN(E3832*383200,10000)</f>
        <v/>
      </c>
      <c r="G3832">
        <f>MINIFS(CBIC_Late_Fee_Relief_Windows_3B!$O$3832:$O$100,CBIC_Late_Fee_Relief_Windows_3B!$D$3832:$D$100,"&lt;="&amp;B3832,CBIC_Late_Fee_Relief_Windows_3B!$E$3832:$E$100,"&gt;="&amp;B3832,CBIC_Late_Fee_Relief_Windows_3B!$F$3832:$F$100,"&lt;="&amp;C3832,CBIC_Late_Fee_Relief_Windows_3B!$G$3832:$G$100,"&gt;="&amp;C3832)</f>
        <v/>
      </c>
      <c r="H3832">
        <f>INDEX(CBIC_Late_Fee_Relief_Windows_3B!$I$3832:$I$100,MATCH(G3832,CBIC_Late_Fee_Relief_Windows_3B!$O$3832:$O$100,0))</f>
        <v/>
      </c>
      <c r="I3832">
        <f>MIN(F3832,H3832)</f>
        <v/>
      </c>
    </row>
    <row r="3833">
      <c r="A3833">
        <f>TEST_DATA!A3833</f>
        <v/>
      </c>
      <c r="B3833">
        <f>TEST_DATA!B3833</f>
        <v/>
      </c>
      <c r="C3833">
        <f>TEST_DATA!C3833</f>
        <v/>
      </c>
      <c r="D3833">
        <f>TEST_DATA!D3833</f>
        <v/>
      </c>
      <c r="E3833">
        <f>TEST_DATA!E3833</f>
        <v/>
      </c>
      <c r="F3833">
        <f>MIN(E3833*383300,10000)</f>
        <v/>
      </c>
      <c r="G3833">
        <f>MINIFS(CBIC_Late_Fee_Relief_Windows_3B!$O$3833:$O$100,CBIC_Late_Fee_Relief_Windows_3B!$D$3833:$D$100,"&lt;="&amp;B3833,CBIC_Late_Fee_Relief_Windows_3B!$E$3833:$E$100,"&gt;="&amp;B3833,CBIC_Late_Fee_Relief_Windows_3B!$F$3833:$F$100,"&lt;="&amp;C3833,CBIC_Late_Fee_Relief_Windows_3B!$G$3833:$G$100,"&gt;="&amp;C3833)</f>
        <v/>
      </c>
      <c r="H3833">
        <f>INDEX(CBIC_Late_Fee_Relief_Windows_3B!$I$3833:$I$100,MATCH(G3833,CBIC_Late_Fee_Relief_Windows_3B!$O$3833:$O$100,0))</f>
        <v/>
      </c>
      <c r="I3833">
        <f>MIN(F3833,H3833)</f>
        <v/>
      </c>
    </row>
    <row r="3834">
      <c r="A3834">
        <f>TEST_DATA!A3834</f>
        <v/>
      </c>
      <c r="B3834">
        <f>TEST_DATA!B3834</f>
        <v/>
      </c>
      <c r="C3834">
        <f>TEST_DATA!C3834</f>
        <v/>
      </c>
      <c r="D3834">
        <f>TEST_DATA!D3834</f>
        <v/>
      </c>
      <c r="E3834">
        <f>TEST_DATA!E3834</f>
        <v/>
      </c>
      <c r="F3834">
        <f>MIN(E3834*383400,10000)</f>
        <v/>
      </c>
      <c r="G3834">
        <f>MINIFS(CBIC_Late_Fee_Relief_Windows_3B!$O$3834:$O$100,CBIC_Late_Fee_Relief_Windows_3B!$D$3834:$D$100,"&lt;="&amp;B3834,CBIC_Late_Fee_Relief_Windows_3B!$E$3834:$E$100,"&gt;="&amp;B3834,CBIC_Late_Fee_Relief_Windows_3B!$F$3834:$F$100,"&lt;="&amp;C3834,CBIC_Late_Fee_Relief_Windows_3B!$G$3834:$G$100,"&gt;="&amp;C3834)</f>
        <v/>
      </c>
      <c r="H3834">
        <f>INDEX(CBIC_Late_Fee_Relief_Windows_3B!$I$3834:$I$100,MATCH(G3834,CBIC_Late_Fee_Relief_Windows_3B!$O$3834:$O$100,0))</f>
        <v/>
      </c>
      <c r="I3834">
        <f>MIN(F3834,H3834)</f>
        <v/>
      </c>
    </row>
    <row r="3835">
      <c r="A3835">
        <f>TEST_DATA!A3835</f>
        <v/>
      </c>
      <c r="B3835">
        <f>TEST_DATA!B3835</f>
        <v/>
      </c>
      <c r="C3835">
        <f>TEST_DATA!C3835</f>
        <v/>
      </c>
      <c r="D3835">
        <f>TEST_DATA!D3835</f>
        <v/>
      </c>
      <c r="E3835">
        <f>TEST_DATA!E3835</f>
        <v/>
      </c>
      <c r="F3835">
        <f>MIN(E3835*383500,10000)</f>
        <v/>
      </c>
      <c r="G3835">
        <f>MINIFS(CBIC_Late_Fee_Relief_Windows_3B!$O$3835:$O$100,CBIC_Late_Fee_Relief_Windows_3B!$D$3835:$D$100,"&lt;="&amp;B3835,CBIC_Late_Fee_Relief_Windows_3B!$E$3835:$E$100,"&gt;="&amp;B3835,CBIC_Late_Fee_Relief_Windows_3B!$F$3835:$F$100,"&lt;="&amp;C3835,CBIC_Late_Fee_Relief_Windows_3B!$G$3835:$G$100,"&gt;="&amp;C3835)</f>
        <v/>
      </c>
      <c r="H3835">
        <f>INDEX(CBIC_Late_Fee_Relief_Windows_3B!$I$3835:$I$100,MATCH(G3835,CBIC_Late_Fee_Relief_Windows_3B!$O$3835:$O$100,0))</f>
        <v/>
      </c>
      <c r="I3835">
        <f>MIN(F3835,H3835)</f>
        <v/>
      </c>
    </row>
    <row r="3836">
      <c r="A3836">
        <f>TEST_DATA!A3836</f>
        <v/>
      </c>
      <c r="B3836">
        <f>TEST_DATA!B3836</f>
        <v/>
      </c>
      <c r="C3836">
        <f>TEST_DATA!C3836</f>
        <v/>
      </c>
      <c r="D3836">
        <f>TEST_DATA!D3836</f>
        <v/>
      </c>
      <c r="E3836">
        <f>TEST_DATA!E3836</f>
        <v/>
      </c>
      <c r="F3836">
        <f>MIN(E3836*383600,10000)</f>
        <v/>
      </c>
      <c r="G3836">
        <f>MINIFS(CBIC_Late_Fee_Relief_Windows_3B!$O$3836:$O$100,CBIC_Late_Fee_Relief_Windows_3B!$D$3836:$D$100,"&lt;="&amp;B3836,CBIC_Late_Fee_Relief_Windows_3B!$E$3836:$E$100,"&gt;="&amp;B3836,CBIC_Late_Fee_Relief_Windows_3B!$F$3836:$F$100,"&lt;="&amp;C3836,CBIC_Late_Fee_Relief_Windows_3B!$G$3836:$G$100,"&gt;="&amp;C3836)</f>
        <v/>
      </c>
      <c r="H3836">
        <f>INDEX(CBIC_Late_Fee_Relief_Windows_3B!$I$3836:$I$100,MATCH(G3836,CBIC_Late_Fee_Relief_Windows_3B!$O$3836:$O$100,0))</f>
        <v/>
      </c>
      <c r="I3836">
        <f>MIN(F3836,H3836)</f>
        <v/>
      </c>
    </row>
    <row r="3837">
      <c r="A3837">
        <f>TEST_DATA!A3837</f>
        <v/>
      </c>
      <c r="B3837">
        <f>TEST_DATA!B3837</f>
        <v/>
      </c>
      <c r="C3837">
        <f>TEST_DATA!C3837</f>
        <v/>
      </c>
      <c r="D3837">
        <f>TEST_DATA!D3837</f>
        <v/>
      </c>
      <c r="E3837">
        <f>TEST_DATA!E3837</f>
        <v/>
      </c>
      <c r="F3837">
        <f>MIN(E3837*383700,10000)</f>
        <v/>
      </c>
      <c r="G3837">
        <f>MINIFS(CBIC_Late_Fee_Relief_Windows_3B!$O$3837:$O$100,CBIC_Late_Fee_Relief_Windows_3B!$D$3837:$D$100,"&lt;="&amp;B3837,CBIC_Late_Fee_Relief_Windows_3B!$E$3837:$E$100,"&gt;="&amp;B3837,CBIC_Late_Fee_Relief_Windows_3B!$F$3837:$F$100,"&lt;="&amp;C3837,CBIC_Late_Fee_Relief_Windows_3B!$G$3837:$G$100,"&gt;="&amp;C3837)</f>
        <v/>
      </c>
      <c r="H3837">
        <f>INDEX(CBIC_Late_Fee_Relief_Windows_3B!$I$3837:$I$100,MATCH(G3837,CBIC_Late_Fee_Relief_Windows_3B!$O$3837:$O$100,0))</f>
        <v/>
      </c>
      <c r="I3837">
        <f>MIN(F3837,H3837)</f>
        <v/>
      </c>
    </row>
    <row r="3838">
      <c r="A3838">
        <f>TEST_DATA!A3838</f>
        <v/>
      </c>
      <c r="B3838">
        <f>TEST_DATA!B3838</f>
        <v/>
      </c>
      <c r="C3838">
        <f>TEST_DATA!C3838</f>
        <v/>
      </c>
      <c r="D3838">
        <f>TEST_DATA!D3838</f>
        <v/>
      </c>
      <c r="E3838">
        <f>TEST_DATA!E3838</f>
        <v/>
      </c>
      <c r="F3838">
        <f>MIN(E3838*383800,10000)</f>
        <v/>
      </c>
      <c r="G3838">
        <f>MINIFS(CBIC_Late_Fee_Relief_Windows_3B!$O$3838:$O$100,CBIC_Late_Fee_Relief_Windows_3B!$D$3838:$D$100,"&lt;="&amp;B3838,CBIC_Late_Fee_Relief_Windows_3B!$E$3838:$E$100,"&gt;="&amp;B3838,CBIC_Late_Fee_Relief_Windows_3B!$F$3838:$F$100,"&lt;="&amp;C3838,CBIC_Late_Fee_Relief_Windows_3B!$G$3838:$G$100,"&gt;="&amp;C3838)</f>
        <v/>
      </c>
      <c r="H3838">
        <f>INDEX(CBIC_Late_Fee_Relief_Windows_3B!$I$3838:$I$100,MATCH(G3838,CBIC_Late_Fee_Relief_Windows_3B!$O$3838:$O$100,0))</f>
        <v/>
      </c>
      <c r="I3838">
        <f>MIN(F3838,H3838)</f>
        <v/>
      </c>
    </row>
    <row r="3839">
      <c r="A3839">
        <f>TEST_DATA!A3839</f>
        <v/>
      </c>
      <c r="B3839">
        <f>TEST_DATA!B3839</f>
        <v/>
      </c>
      <c r="C3839">
        <f>TEST_DATA!C3839</f>
        <v/>
      </c>
      <c r="D3839">
        <f>TEST_DATA!D3839</f>
        <v/>
      </c>
      <c r="E3839">
        <f>TEST_DATA!E3839</f>
        <v/>
      </c>
      <c r="F3839">
        <f>MIN(E3839*383900,10000)</f>
        <v/>
      </c>
      <c r="G3839">
        <f>MINIFS(CBIC_Late_Fee_Relief_Windows_3B!$O$3839:$O$100,CBIC_Late_Fee_Relief_Windows_3B!$D$3839:$D$100,"&lt;="&amp;B3839,CBIC_Late_Fee_Relief_Windows_3B!$E$3839:$E$100,"&gt;="&amp;B3839,CBIC_Late_Fee_Relief_Windows_3B!$F$3839:$F$100,"&lt;="&amp;C3839,CBIC_Late_Fee_Relief_Windows_3B!$G$3839:$G$100,"&gt;="&amp;C3839)</f>
        <v/>
      </c>
      <c r="H3839">
        <f>INDEX(CBIC_Late_Fee_Relief_Windows_3B!$I$3839:$I$100,MATCH(G3839,CBIC_Late_Fee_Relief_Windows_3B!$O$3839:$O$100,0))</f>
        <v/>
      </c>
      <c r="I3839">
        <f>MIN(F3839,H3839)</f>
        <v/>
      </c>
    </row>
    <row r="3840">
      <c r="A3840">
        <f>TEST_DATA!A3840</f>
        <v/>
      </c>
      <c r="B3840">
        <f>TEST_DATA!B3840</f>
        <v/>
      </c>
      <c r="C3840">
        <f>TEST_DATA!C3840</f>
        <v/>
      </c>
      <c r="D3840">
        <f>TEST_DATA!D3840</f>
        <v/>
      </c>
      <c r="E3840">
        <f>TEST_DATA!E3840</f>
        <v/>
      </c>
      <c r="F3840">
        <f>MIN(E3840*384000,10000)</f>
        <v/>
      </c>
      <c r="G3840">
        <f>MINIFS(CBIC_Late_Fee_Relief_Windows_3B!$O$3840:$O$100,CBIC_Late_Fee_Relief_Windows_3B!$D$3840:$D$100,"&lt;="&amp;B3840,CBIC_Late_Fee_Relief_Windows_3B!$E$3840:$E$100,"&gt;="&amp;B3840,CBIC_Late_Fee_Relief_Windows_3B!$F$3840:$F$100,"&lt;="&amp;C3840,CBIC_Late_Fee_Relief_Windows_3B!$G$3840:$G$100,"&gt;="&amp;C3840)</f>
        <v/>
      </c>
      <c r="H3840">
        <f>INDEX(CBIC_Late_Fee_Relief_Windows_3B!$I$3840:$I$100,MATCH(G3840,CBIC_Late_Fee_Relief_Windows_3B!$O$3840:$O$100,0))</f>
        <v/>
      </c>
      <c r="I3840">
        <f>MIN(F3840,H3840)</f>
        <v/>
      </c>
    </row>
    <row r="3841">
      <c r="A3841">
        <f>TEST_DATA!A3841</f>
        <v/>
      </c>
      <c r="B3841">
        <f>TEST_DATA!B3841</f>
        <v/>
      </c>
      <c r="C3841">
        <f>TEST_DATA!C3841</f>
        <v/>
      </c>
      <c r="D3841">
        <f>TEST_DATA!D3841</f>
        <v/>
      </c>
      <c r="E3841">
        <f>TEST_DATA!E3841</f>
        <v/>
      </c>
      <c r="F3841">
        <f>MIN(E3841*384100,10000)</f>
        <v/>
      </c>
      <c r="G3841">
        <f>MINIFS(CBIC_Late_Fee_Relief_Windows_3B!$O$3841:$O$100,CBIC_Late_Fee_Relief_Windows_3B!$D$3841:$D$100,"&lt;="&amp;B3841,CBIC_Late_Fee_Relief_Windows_3B!$E$3841:$E$100,"&gt;="&amp;B3841,CBIC_Late_Fee_Relief_Windows_3B!$F$3841:$F$100,"&lt;="&amp;C3841,CBIC_Late_Fee_Relief_Windows_3B!$G$3841:$G$100,"&gt;="&amp;C3841)</f>
        <v/>
      </c>
      <c r="H3841">
        <f>INDEX(CBIC_Late_Fee_Relief_Windows_3B!$I$3841:$I$100,MATCH(G3841,CBIC_Late_Fee_Relief_Windows_3B!$O$3841:$O$100,0))</f>
        <v/>
      </c>
      <c r="I3841">
        <f>MIN(F3841,H3841)</f>
        <v/>
      </c>
    </row>
    <row r="3842">
      <c r="A3842">
        <f>TEST_DATA!A3842</f>
        <v/>
      </c>
      <c r="B3842">
        <f>TEST_DATA!B3842</f>
        <v/>
      </c>
      <c r="C3842">
        <f>TEST_DATA!C3842</f>
        <v/>
      </c>
      <c r="D3842">
        <f>TEST_DATA!D3842</f>
        <v/>
      </c>
      <c r="E3842">
        <f>TEST_DATA!E3842</f>
        <v/>
      </c>
      <c r="F3842">
        <f>MIN(E3842*384200,10000)</f>
        <v/>
      </c>
      <c r="G3842">
        <f>MINIFS(CBIC_Late_Fee_Relief_Windows_3B!$O$3842:$O$100,CBIC_Late_Fee_Relief_Windows_3B!$D$3842:$D$100,"&lt;="&amp;B3842,CBIC_Late_Fee_Relief_Windows_3B!$E$3842:$E$100,"&gt;="&amp;B3842,CBIC_Late_Fee_Relief_Windows_3B!$F$3842:$F$100,"&lt;="&amp;C3842,CBIC_Late_Fee_Relief_Windows_3B!$G$3842:$G$100,"&gt;="&amp;C3842)</f>
        <v/>
      </c>
      <c r="H3842">
        <f>INDEX(CBIC_Late_Fee_Relief_Windows_3B!$I$3842:$I$100,MATCH(G3842,CBIC_Late_Fee_Relief_Windows_3B!$O$3842:$O$100,0))</f>
        <v/>
      </c>
      <c r="I3842">
        <f>MIN(F3842,H3842)</f>
        <v/>
      </c>
    </row>
    <row r="3843">
      <c r="A3843">
        <f>TEST_DATA!A3843</f>
        <v/>
      </c>
      <c r="B3843">
        <f>TEST_DATA!B3843</f>
        <v/>
      </c>
      <c r="C3843">
        <f>TEST_DATA!C3843</f>
        <v/>
      </c>
      <c r="D3843">
        <f>TEST_DATA!D3843</f>
        <v/>
      </c>
      <c r="E3843">
        <f>TEST_DATA!E3843</f>
        <v/>
      </c>
      <c r="F3843">
        <f>MIN(E3843*384300,10000)</f>
        <v/>
      </c>
      <c r="G3843">
        <f>MINIFS(CBIC_Late_Fee_Relief_Windows_3B!$O$3843:$O$100,CBIC_Late_Fee_Relief_Windows_3B!$D$3843:$D$100,"&lt;="&amp;B3843,CBIC_Late_Fee_Relief_Windows_3B!$E$3843:$E$100,"&gt;="&amp;B3843,CBIC_Late_Fee_Relief_Windows_3B!$F$3843:$F$100,"&lt;="&amp;C3843,CBIC_Late_Fee_Relief_Windows_3B!$G$3843:$G$100,"&gt;="&amp;C3843)</f>
        <v/>
      </c>
      <c r="H3843">
        <f>INDEX(CBIC_Late_Fee_Relief_Windows_3B!$I$3843:$I$100,MATCH(G3843,CBIC_Late_Fee_Relief_Windows_3B!$O$3843:$O$100,0))</f>
        <v/>
      </c>
      <c r="I3843">
        <f>MIN(F3843,H3843)</f>
        <v/>
      </c>
    </row>
    <row r="3844">
      <c r="A3844">
        <f>TEST_DATA!A3844</f>
        <v/>
      </c>
      <c r="B3844">
        <f>TEST_DATA!B3844</f>
        <v/>
      </c>
      <c r="C3844">
        <f>TEST_DATA!C3844</f>
        <v/>
      </c>
      <c r="D3844">
        <f>TEST_DATA!D3844</f>
        <v/>
      </c>
      <c r="E3844">
        <f>TEST_DATA!E3844</f>
        <v/>
      </c>
      <c r="F3844">
        <f>MIN(E3844*384400,10000)</f>
        <v/>
      </c>
      <c r="G3844">
        <f>MINIFS(CBIC_Late_Fee_Relief_Windows_3B!$O$3844:$O$100,CBIC_Late_Fee_Relief_Windows_3B!$D$3844:$D$100,"&lt;="&amp;B3844,CBIC_Late_Fee_Relief_Windows_3B!$E$3844:$E$100,"&gt;="&amp;B3844,CBIC_Late_Fee_Relief_Windows_3B!$F$3844:$F$100,"&lt;="&amp;C3844,CBIC_Late_Fee_Relief_Windows_3B!$G$3844:$G$100,"&gt;="&amp;C3844)</f>
        <v/>
      </c>
      <c r="H3844">
        <f>INDEX(CBIC_Late_Fee_Relief_Windows_3B!$I$3844:$I$100,MATCH(G3844,CBIC_Late_Fee_Relief_Windows_3B!$O$3844:$O$100,0))</f>
        <v/>
      </c>
      <c r="I3844">
        <f>MIN(F3844,H3844)</f>
        <v/>
      </c>
    </row>
    <row r="3845">
      <c r="A3845">
        <f>TEST_DATA!A3845</f>
        <v/>
      </c>
      <c r="B3845">
        <f>TEST_DATA!B3845</f>
        <v/>
      </c>
      <c r="C3845">
        <f>TEST_DATA!C3845</f>
        <v/>
      </c>
      <c r="D3845">
        <f>TEST_DATA!D3845</f>
        <v/>
      </c>
      <c r="E3845">
        <f>TEST_DATA!E3845</f>
        <v/>
      </c>
      <c r="F3845">
        <f>MIN(E3845*384500,10000)</f>
        <v/>
      </c>
      <c r="G3845">
        <f>MINIFS(CBIC_Late_Fee_Relief_Windows_3B!$O$3845:$O$100,CBIC_Late_Fee_Relief_Windows_3B!$D$3845:$D$100,"&lt;="&amp;B3845,CBIC_Late_Fee_Relief_Windows_3B!$E$3845:$E$100,"&gt;="&amp;B3845,CBIC_Late_Fee_Relief_Windows_3B!$F$3845:$F$100,"&lt;="&amp;C3845,CBIC_Late_Fee_Relief_Windows_3B!$G$3845:$G$100,"&gt;="&amp;C3845)</f>
        <v/>
      </c>
      <c r="H3845">
        <f>INDEX(CBIC_Late_Fee_Relief_Windows_3B!$I$3845:$I$100,MATCH(G3845,CBIC_Late_Fee_Relief_Windows_3B!$O$3845:$O$100,0))</f>
        <v/>
      </c>
      <c r="I3845">
        <f>MIN(F3845,H3845)</f>
        <v/>
      </c>
    </row>
    <row r="3846">
      <c r="A3846">
        <f>TEST_DATA!A3846</f>
        <v/>
      </c>
      <c r="B3846">
        <f>TEST_DATA!B3846</f>
        <v/>
      </c>
      <c r="C3846">
        <f>TEST_DATA!C3846</f>
        <v/>
      </c>
      <c r="D3846">
        <f>TEST_DATA!D3846</f>
        <v/>
      </c>
      <c r="E3846">
        <f>TEST_DATA!E3846</f>
        <v/>
      </c>
      <c r="F3846">
        <f>MIN(E3846*384600,10000)</f>
        <v/>
      </c>
      <c r="G3846">
        <f>MINIFS(CBIC_Late_Fee_Relief_Windows_3B!$O$3846:$O$100,CBIC_Late_Fee_Relief_Windows_3B!$D$3846:$D$100,"&lt;="&amp;B3846,CBIC_Late_Fee_Relief_Windows_3B!$E$3846:$E$100,"&gt;="&amp;B3846,CBIC_Late_Fee_Relief_Windows_3B!$F$3846:$F$100,"&lt;="&amp;C3846,CBIC_Late_Fee_Relief_Windows_3B!$G$3846:$G$100,"&gt;="&amp;C3846)</f>
        <v/>
      </c>
      <c r="H3846">
        <f>INDEX(CBIC_Late_Fee_Relief_Windows_3B!$I$3846:$I$100,MATCH(G3846,CBIC_Late_Fee_Relief_Windows_3B!$O$3846:$O$100,0))</f>
        <v/>
      </c>
      <c r="I3846">
        <f>MIN(F3846,H3846)</f>
        <v/>
      </c>
    </row>
    <row r="3847">
      <c r="A3847">
        <f>TEST_DATA!A3847</f>
        <v/>
      </c>
      <c r="B3847">
        <f>TEST_DATA!B3847</f>
        <v/>
      </c>
      <c r="C3847">
        <f>TEST_DATA!C3847</f>
        <v/>
      </c>
      <c r="D3847">
        <f>TEST_DATA!D3847</f>
        <v/>
      </c>
      <c r="E3847">
        <f>TEST_DATA!E3847</f>
        <v/>
      </c>
      <c r="F3847">
        <f>MIN(E3847*384700,10000)</f>
        <v/>
      </c>
      <c r="G3847">
        <f>MINIFS(CBIC_Late_Fee_Relief_Windows_3B!$O$3847:$O$100,CBIC_Late_Fee_Relief_Windows_3B!$D$3847:$D$100,"&lt;="&amp;B3847,CBIC_Late_Fee_Relief_Windows_3B!$E$3847:$E$100,"&gt;="&amp;B3847,CBIC_Late_Fee_Relief_Windows_3B!$F$3847:$F$100,"&lt;="&amp;C3847,CBIC_Late_Fee_Relief_Windows_3B!$G$3847:$G$100,"&gt;="&amp;C3847)</f>
        <v/>
      </c>
      <c r="H3847">
        <f>INDEX(CBIC_Late_Fee_Relief_Windows_3B!$I$3847:$I$100,MATCH(G3847,CBIC_Late_Fee_Relief_Windows_3B!$O$3847:$O$100,0))</f>
        <v/>
      </c>
      <c r="I3847">
        <f>MIN(F3847,H3847)</f>
        <v/>
      </c>
    </row>
    <row r="3848">
      <c r="A3848">
        <f>TEST_DATA!A3848</f>
        <v/>
      </c>
      <c r="B3848">
        <f>TEST_DATA!B3848</f>
        <v/>
      </c>
      <c r="C3848">
        <f>TEST_DATA!C3848</f>
        <v/>
      </c>
      <c r="D3848">
        <f>TEST_DATA!D3848</f>
        <v/>
      </c>
      <c r="E3848">
        <f>TEST_DATA!E3848</f>
        <v/>
      </c>
      <c r="F3848">
        <f>MIN(E3848*384800,10000)</f>
        <v/>
      </c>
      <c r="G3848">
        <f>MINIFS(CBIC_Late_Fee_Relief_Windows_3B!$O$3848:$O$100,CBIC_Late_Fee_Relief_Windows_3B!$D$3848:$D$100,"&lt;="&amp;B3848,CBIC_Late_Fee_Relief_Windows_3B!$E$3848:$E$100,"&gt;="&amp;B3848,CBIC_Late_Fee_Relief_Windows_3B!$F$3848:$F$100,"&lt;="&amp;C3848,CBIC_Late_Fee_Relief_Windows_3B!$G$3848:$G$100,"&gt;="&amp;C3848)</f>
        <v/>
      </c>
      <c r="H3848">
        <f>INDEX(CBIC_Late_Fee_Relief_Windows_3B!$I$3848:$I$100,MATCH(G3848,CBIC_Late_Fee_Relief_Windows_3B!$O$3848:$O$100,0))</f>
        <v/>
      </c>
      <c r="I3848">
        <f>MIN(F3848,H3848)</f>
        <v/>
      </c>
    </row>
    <row r="3849">
      <c r="A3849">
        <f>TEST_DATA!A3849</f>
        <v/>
      </c>
      <c r="B3849">
        <f>TEST_DATA!B3849</f>
        <v/>
      </c>
      <c r="C3849">
        <f>TEST_DATA!C3849</f>
        <v/>
      </c>
      <c r="D3849">
        <f>TEST_DATA!D3849</f>
        <v/>
      </c>
      <c r="E3849">
        <f>TEST_DATA!E3849</f>
        <v/>
      </c>
      <c r="F3849">
        <f>MIN(E3849*384900,10000)</f>
        <v/>
      </c>
      <c r="G3849">
        <f>MINIFS(CBIC_Late_Fee_Relief_Windows_3B!$O$3849:$O$100,CBIC_Late_Fee_Relief_Windows_3B!$D$3849:$D$100,"&lt;="&amp;B3849,CBIC_Late_Fee_Relief_Windows_3B!$E$3849:$E$100,"&gt;="&amp;B3849,CBIC_Late_Fee_Relief_Windows_3B!$F$3849:$F$100,"&lt;="&amp;C3849,CBIC_Late_Fee_Relief_Windows_3B!$G$3849:$G$100,"&gt;="&amp;C3849)</f>
        <v/>
      </c>
      <c r="H3849">
        <f>INDEX(CBIC_Late_Fee_Relief_Windows_3B!$I$3849:$I$100,MATCH(G3849,CBIC_Late_Fee_Relief_Windows_3B!$O$3849:$O$100,0))</f>
        <v/>
      </c>
      <c r="I3849">
        <f>MIN(F3849,H3849)</f>
        <v/>
      </c>
    </row>
    <row r="3850">
      <c r="A3850">
        <f>TEST_DATA!A3850</f>
        <v/>
      </c>
      <c r="B3850">
        <f>TEST_DATA!B3850</f>
        <v/>
      </c>
      <c r="C3850">
        <f>TEST_DATA!C3850</f>
        <v/>
      </c>
      <c r="D3850">
        <f>TEST_DATA!D3850</f>
        <v/>
      </c>
      <c r="E3850">
        <f>TEST_DATA!E3850</f>
        <v/>
      </c>
      <c r="F3850">
        <f>MIN(E3850*385000,10000)</f>
        <v/>
      </c>
      <c r="G3850">
        <f>MINIFS(CBIC_Late_Fee_Relief_Windows_3B!$O$3850:$O$100,CBIC_Late_Fee_Relief_Windows_3B!$D$3850:$D$100,"&lt;="&amp;B3850,CBIC_Late_Fee_Relief_Windows_3B!$E$3850:$E$100,"&gt;="&amp;B3850,CBIC_Late_Fee_Relief_Windows_3B!$F$3850:$F$100,"&lt;="&amp;C3850,CBIC_Late_Fee_Relief_Windows_3B!$G$3850:$G$100,"&gt;="&amp;C3850)</f>
        <v/>
      </c>
      <c r="H3850">
        <f>INDEX(CBIC_Late_Fee_Relief_Windows_3B!$I$3850:$I$100,MATCH(G3850,CBIC_Late_Fee_Relief_Windows_3B!$O$3850:$O$100,0))</f>
        <v/>
      </c>
      <c r="I3850">
        <f>MIN(F3850,H3850)</f>
        <v/>
      </c>
    </row>
    <row r="3851">
      <c r="A3851">
        <f>TEST_DATA!A3851</f>
        <v/>
      </c>
      <c r="B3851">
        <f>TEST_DATA!B3851</f>
        <v/>
      </c>
      <c r="C3851">
        <f>TEST_DATA!C3851</f>
        <v/>
      </c>
      <c r="D3851">
        <f>TEST_DATA!D3851</f>
        <v/>
      </c>
      <c r="E3851">
        <f>TEST_DATA!E3851</f>
        <v/>
      </c>
      <c r="F3851">
        <f>MIN(E3851*385100,10000)</f>
        <v/>
      </c>
      <c r="G3851">
        <f>MINIFS(CBIC_Late_Fee_Relief_Windows_3B!$O$3851:$O$100,CBIC_Late_Fee_Relief_Windows_3B!$D$3851:$D$100,"&lt;="&amp;B3851,CBIC_Late_Fee_Relief_Windows_3B!$E$3851:$E$100,"&gt;="&amp;B3851,CBIC_Late_Fee_Relief_Windows_3B!$F$3851:$F$100,"&lt;="&amp;C3851,CBIC_Late_Fee_Relief_Windows_3B!$G$3851:$G$100,"&gt;="&amp;C3851)</f>
        <v/>
      </c>
      <c r="H3851">
        <f>INDEX(CBIC_Late_Fee_Relief_Windows_3B!$I$3851:$I$100,MATCH(G3851,CBIC_Late_Fee_Relief_Windows_3B!$O$3851:$O$100,0))</f>
        <v/>
      </c>
      <c r="I3851">
        <f>MIN(F3851,H3851)</f>
        <v/>
      </c>
    </row>
    <row r="3852">
      <c r="A3852">
        <f>TEST_DATA!A3852</f>
        <v/>
      </c>
      <c r="B3852">
        <f>TEST_DATA!B3852</f>
        <v/>
      </c>
      <c r="C3852">
        <f>TEST_DATA!C3852</f>
        <v/>
      </c>
      <c r="D3852">
        <f>TEST_DATA!D3852</f>
        <v/>
      </c>
      <c r="E3852">
        <f>TEST_DATA!E3852</f>
        <v/>
      </c>
      <c r="F3852">
        <f>MIN(E3852*385200,10000)</f>
        <v/>
      </c>
      <c r="G3852">
        <f>MINIFS(CBIC_Late_Fee_Relief_Windows_3B!$O$3852:$O$100,CBIC_Late_Fee_Relief_Windows_3B!$D$3852:$D$100,"&lt;="&amp;B3852,CBIC_Late_Fee_Relief_Windows_3B!$E$3852:$E$100,"&gt;="&amp;B3852,CBIC_Late_Fee_Relief_Windows_3B!$F$3852:$F$100,"&lt;="&amp;C3852,CBIC_Late_Fee_Relief_Windows_3B!$G$3852:$G$100,"&gt;="&amp;C3852)</f>
        <v/>
      </c>
      <c r="H3852">
        <f>INDEX(CBIC_Late_Fee_Relief_Windows_3B!$I$3852:$I$100,MATCH(G3852,CBIC_Late_Fee_Relief_Windows_3B!$O$3852:$O$100,0))</f>
        <v/>
      </c>
      <c r="I3852">
        <f>MIN(F3852,H3852)</f>
        <v/>
      </c>
    </row>
    <row r="3853">
      <c r="A3853">
        <f>TEST_DATA!A3853</f>
        <v/>
      </c>
      <c r="B3853">
        <f>TEST_DATA!B3853</f>
        <v/>
      </c>
      <c r="C3853">
        <f>TEST_DATA!C3853</f>
        <v/>
      </c>
      <c r="D3853">
        <f>TEST_DATA!D3853</f>
        <v/>
      </c>
      <c r="E3853">
        <f>TEST_DATA!E3853</f>
        <v/>
      </c>
      <c r="F3853">
        <f>MIN(E3853*385300,10000)</f>
        <v/>
      </c>
      <c r="G3853">
        <f>MINIFS(CBIC_Late_Fee_Relief_Windows_3B!$O$3853:$O$100,CBIC_Late_Fee_Relief_Windows_3B!$D$3853:$D$100,"&lt;="&amp;B3853,CBIC_Late_Fee_Relief_Windows_3B!$E$3853:$E$100,"&gt;="&amp;B3853,CBIC_Late_Fee_Relief_Windows_3B!$F$3853:$F$100,"&lt;="&amp;C3853,CBIC_Late_Fee_Relief_Windows_3B!$G$3853:$G$100,"&gt;="&amp;C3853)</f>
        <v/>
      </c>
      <c r="H3853">
        <f>INDEX(CBIC_Late_Fee_Relief_Windows_3B!$I$3853:$I$100,MATCH(G3853,CBIC_Late_Fee_Relief_Windows_3B!$O$3853:$O$100,0))</f>
        <v/>
      </c>
      <c r="I3853">
        <f>MIN(F3853,H3853)</f>
        <v/>
      </c>
    </row>
    <row r="3854">
      <c r="A3854">
        <f>TEST_DATA!A3854</f>
        <v/>
      </c>
      <c r="B3854">
        <f>TEST_DATA!B3854</f>
        <v/>
      </c>
      <c r="C3854">
        <f>TEST_DATA!C3854</f>
        <v/>
      </c>
      <c r="D3854">
        <f>TEST_DATA!D3854</f>
        <v/>
      </c>
      <c r="E3854">
        <f>TEST_DATA!E3854</f>
        <v/>
      </c>
      <c r="F3854">
        <f>MIN(E3854*385400,10000)</f>
        <v/>
      </c>
      <c r="G3854">
        <f>MINIFS(CBIC_Late_Fee_Relief_Windows_3B!$O$3854:$O$100,CBIC_Late_Fee_Relief_Windows_3B!$D$3854:$D$100,"&lt;="&amp;B3854,CBIC_Late_Fee_Relief_Windows_3B!$E$3854:$E$100,"&gt;="&amp;B3854,CBIC_Late_Fee_Relief_Windows_3B!$F$3854:$F$100,"&lt;="&amp;C3854,CBIC_Late_Fee_Relief_Windows_3B!$G$3854:$G$100,"&gt;="&amp;C3854)</f>
        <v/>
      </c>
      <c r="H3854">
        <f>INDEX(CBIC_Late_Fee_Relief_Windows_3B!$I$3854:$I$100,MATCH(G3854,CBIC_Late_Fee_Relief_Windows_3B!$O$3854:$O$100,0))</f>
        <v/>
      </c>
      <c r="I3854">
        <f>MIN(F3854,H3854)</f>
        <v/>
      </c>
    </row>
    <row r="3855">
      <c r="A3855">
        <f>TEST_DATA!A3855</f>
        <v/>
      </c>
      <c r="B3855">
        <f>TEST_DATA!B3855</f>
        <v/>
      </c>
      <c r="C3855">
        <f>TEST_DATA!C3855</f>
        <v/>
      </c>
      <c r="D3855">
        <f>TEST_DATA!D3855</f>
        <v/>
      </c>
      <c r="E3855">
        <f>TEST_DATA!E3855</f>
        <v/>
      </c>
      <c r="F3855">
        <f>MIN(E3855*385500,10000)</f>
        <v/>
      </c>
      <c r="G3855">
        <f>MINIFS(CBIC_Late_Fee_Relief_Windows_3B!$O$3855:$O$100,CBIC_Late_Fee_Relief_Windows_3B!$D$3855:$D$100,"&lt;="&amp;B3855,CBIC_Late_Fee_Relief_Windows_3B!$E$3855:$E$100,"&gt;="&amp;B3855,CBIC_Late_Fee_Relief_Windows_3B!$F$3855:$F$100,"&lt;="&amp;C3855,CBIC_Late_Fee_Relief_Windows_3B!$G$3855:$G$100,"&gt;="&amp;C3855)</f>
        <v/>
      </c>
      <c r="H3855">
        <f>INDEX(CBIC_Late_Fee_Relief_Windows_3B!$I$3855:$I$100,MATCH(G3855,CBIC_Late_Fee_Relief_Windows_3B!$O$3855:$O$100,0))</f>
        <v/>
      </c>
      <c r="I3855">
        <f>MIN(F3855,H3855)</f>
        <v/>
      </c>
    </row>
    <row r="3856">
      <c r="A3856">
        <f>TEST_DATA!A3856</f>
        <v/>
      </c>
      <c r="B3856">
        <f>TEST_DATA!B3856</f>
        <v/>
      </c>
      <c r="C3856">
        <f>TEST_DATA!C3856</f>
        <v/>
      </c>
      <c r="D3856">
        <f>TEST_DATA!D3856</f>
        <v/>
      </c>
      <c r="E3856">
        <f>TEST_DATA!E3856</f>
        <v/>
      </c>
      <c r="F3856">
        <f>MIN(E3856*385600,10000)</f>
        <v/>
      </c>
      <c r="G3856">
        <f>MINIFS(CBIC_Late_Fee_Relief_Windows_3B!$O$3856:$O$100,CBIC_Late_Fee_Relief_Windows_3B!$D$3856:$D$100,"&lt;="&amp;B3856,CBIC_Late_Fee_Relief_Windows_3B!$E$3856:$E$100,"&gt;="&amp;B3856,CBIC_Late_Fee_Relief_Windows_3B!$F$3856:$F$100,"&lt;="&amp;C3856,CBIC_Late_Fee_Relief_Windows_3B!$G$3856:$G$100,"&gt;="&amp;C3856)</f>
        <v/>
      </c>
      <c r="H3856">
        <f>INDEX(CBIC_Late_Fee_Relief_Windows_3B!$I$3856:$I$100,MATCH(G3856,CBIC_Late_Fee_Relief_Windows_3B!$O$3856:$O$100,0))</f>
        <v/>
      </c>
      <c r="I3856">
        <f>MIN(F3856,H3856)</f>
        <v/>
      </c>
    </row>
    <row r="3857">
      <c r="A3857">
        <f>TEST_DATA!A3857</f>
        <v/>
      </c>
      <c r="B3857">
        <f>TEST_DATA!B3857</f>
        <v/>
      </c>
      <c r="C3857">
        <f>TEST_DATA!C3857</f>
        <v/>
      </c>
      <c r="D3857">
        <f>TEST_DATA!D3857</f>
        <v/>
      </c>
      <c r="E3857">
        <f>TEST_DATA!E3857</f>
        <v/>
      </c>
      <c r="F3857">
        <f>MIN(E3857*385700,10000)</f>
        <v/>
      </c>
      <c r="G3857">
        <f>MINIFS(CBIC_Late_Fee_Relief_Windows_3B!$O$3857:$O$100,CBIC_Late_Fee_Relief_Windows_3B!$D$3857:$D$100,"&lt;="&amp;B3857,CBIC_Late_Fee_Relief_Windows_3B!$E$3857:$E$100,"&gt;="&amp;B3857,CBIC_Late_Fee_Relief_Windows_3B!$F$3857:$F$100,"&lt;="&amp;C3857,CBIC_Late_Fee_Relief_Windows_3B!$G$3857:$G$100,"&gt;="&amp;C3857)</f>
        <v/>
      </c>
      <c r="H3857">
        <f>INDEX(CBIC_Late_Fee_Relief_Windows_3B!$I$3857:$I$100,MATCH(G3857,CBIC_Late_Fee_Relief_Windows_3B!$O$3857:$O$100,0))</f>
        <v/>
      </c>
      <c r="I3857">
        <f>MIN(F3857,H3857)</f>
        <v/>
      </c>
    </row>
    <row r="3858">
      <c r="A3858">
        <f>TEST_DATA!A3858</f>
        <v/>
      </c>
      <c r="B3858">
        <f>TEST_DATA!B3858</f>
        <v/>
      </c>
      <c r="C3858">
        <f>TEST_DATA!C3858</f>
        <v/>
      </c>
      <c r="D3858">
        <f>TEST_DATA!D3858</f>
        <v/>
      </c>
      <c r="E3858">
        <f>TEST_DATA!E3858</f>
        <v/>
      </c>
      <c r="F3858">
        <f>MIN(E3858*385800,10000)</f>
        <v/>
      </c>
      <c r="G3858">
        <f>MINIFS(CBIC_Late_Fee_Relief_Windows_3B!$O$3858:$O$100,CBIC_Late_Fee_Relief_Windows_3B!$D$3858:$D$100,"&lt;="&amp;B3858,CBIC_Late_Fee_Relief_Windows_3B!$E$3858:$E$100,"&gt;="&amp;B3858,CBIC_Late_Fee_Relief_Windows_3B!$F$3858:$F$100,"&lt;="&amp;C3858,CBIC_Late_Fee_Relief_Windows_3B!$G$3858:$G$100,"&gt;="&amp;C3858)</f>
        <v/>
      </c>
      <c r="H3858">
        <f>INDEX(CBIC_Late_Fee_Relief_Windows_3B!$I$3858:$I$100,MATCH(G3858,CBIC_Late_Fee_Relief_Windows_3B!$O$3858:$O$100,0))</f>
        <v/>
      </c>
      <c r="I3858">
        <f>MIN(F3858,H3858)</f>
        <v/>
      </c>
    </row>
    <row r="3859">
      <c r="A3859">
        <f>TEST_DATA!A3859</f>
        <v/>
      </c>
      <c r="B3859">
        <f>TEST_DATA!B3859</f>
        <v/>
      </c>
      <c r="C3859">
        <f>TEST_DATA!C3859</f>
        <v/>
      </c>
      <c r="D3859">
        <f>TEST_DATA!D3859</f>
        <v/>
      </c>
      <c r="E3859">
        <f>TEST_DATA!E3859</f>
        <v/>
      </c>
      <c r="F3859">
        <f>MIN(E3859*385900,10000)</f>
        <v/>
      </c>
      <c r="G3859">
        <f>MINIFS(CBIC_Late_Fee_Relief_Windows_3B!$O$3859:$O$100,CBIC_Late_Fee_Relief_Windows_3B!$D$3859:$D$100,"&lt;="&amp;B3859,CBIC_Late_Fee_Relief_Windows_3B!$E$3859:$E$100,"&gt;="&amp;B3859,CBIC_Late_Fee_Relief_Windows_3B!$F$3859:$F$100,"&lt;="&amp;C3859,CBIC_Late_Fee_Relief_Windows_3B!$G$3859:$G$100,"&gt;="&amp;C3859)</f>
        <v/>
      </c>
      <c r="H3859">
        <f>INDEX(CBIC_Late_Fee_Relief_Windows_3B!$I$3859:$I$100,MATCH(G3859,CBIC_Late_Fee_Relief_Windows_3B!$O$3859:$O$100,0))</f>
        <v/>
      </c>
      <c r="I3859">
        <f>MIN(F3859,H3859)</f>
        <v/>
      </c>
    </row>
    <row r="3860">
      <c r="A3860">
        <f>TEST_DATA!A3860</f>
        <v/>
      </c>
      <c r="B3860">
        <f>TEST_DATA!B3860</f>
        <v/>
      </c>
      <c r="C3860">
        <f>TEST_DATA!C3860</f>
        <v/>
      </c>
      <c r="D3860">
        <f>TEST_DATA!D3860</f>
        <v/>
      </c>
      <c r="E3860">
        <f>TEST_DATA!E3860</f>
        <v/>
      </c>
      <c r="F3860">
        <f>MIN(E3860*386000,10000)</f>
        <v/>
      </c>
      <c r="G3860">
        <f>MINIFS(CBIC_Late_Fee_Relief_Windows_3B!$O$3860:$O$100,CBIC_Late_Fee_Relief_Windows_3B!$D$3860:$D$100,"&lt;="&amp;B3860,CBIC_Late_Fee_Relief_Windows_3B!$E$3860:$E$100,"&gt;="&amp;B3860,CBIC_Late_Fee_Relief_Windows_3B!$F$3860:$F$100,"&lt;="&amp;C3860,CBIC_Late_Fee_Relief_Windows_3B!$G$3860:$G$100,"&gt;="&amp;C3860)</f>
        <v/>
      </c>
      <c r="H3860">
        <f>INDEX(CBIC_Late_Fee_Relief_Windows_3B!$I$3860:$I$100,MATCH(G3860,CBIC_Late_Fee_Relief_Windows_3B!$O$3860:$O$100,0))</f>
        <v/>
      </c>
      <c r="I3860">
        <f>MIN(F3860,H3860)</f>
        <v/>
      </c>
    </row>
    <row r="3861">
      <c r="A3861">
        <f>TEST_DATA!A3861</f>
        <v/>
      </c>
      <c r="B3861">
        <f>TEST_DATA!B3861</f>
        <v/>
      </c>
      <c r="C3861">
        <f>TEST_DATA!C3861</f>
        <v/>
      </c>
      <c r="D3861">
        <f>TEST_DATA!D3861</f>
        <v/>
      </c>
      <c r="E3861">
        <f>TEST_DATA!E3861</f>
        <v/>
      </c>
      <c r="F3861">
        <f>MIN(E3861*386100,10000)</f>
        <v/>
      </c>
      <c r="G3861">
        <f>MINIFS(CBIC_Late_Fee_Relief_Windows_3B!$O$3861:$O$100,CBIC_Late_Fee_Relief_Windows_3B!$D$3861:$D$100,"&lt;="&amp;B3861,CBIC_Late_Fee_Relief_Windows_3B!$E$3861:$E$100,"&gt;="&amp;B3861,CBIC_Late_Fee_Relief_Windows_3B!$F$3861:$F$100,"&lt;="&amp;C3861,CBIC_Late_Fee_Relief_Windows_3B!$G$3861:$G$100,"&gt;="&amp;C3861)</f>
        <v/>
      </c>
      <c r="H3861">
        <f>INDEX(CBIC_Late_Fee_Relief_Windows_3B!$I$3861:$I$100,MATCH(G3861,CBIC_Late_Fee_Relief_Windows_3B!$O$3861:$O$100,0))</f>
        <v/>
      </c>
      <c r="I3861">
        <f>MIN(F3861,H3861)</f>
        <v/>
      </c>
    </row>
    <row r="3862">
      <c r="A3862">
        <f>TEST_DATA!A3862</f>
        <v/>
      </c>
      <c r="B3862">
        <f>TEST_DATA!B3862</f>
        <v/>
      </c>
      <c r="C3862">
        <f>TEST_DATA!C3862</f>
        <v/>
      </c>
      <c r="D3862">
        <f>TEST_DATA!D3862</f>
        <v/>
      </c>
      <c r="E3862">
        <f>TEST_DATA!E3862</f>
        <v/>
      </c>
      <c r="F3862">
        <f>MIN(E3862*386200,10000)</f>
        <v/>
      </c>
      <c r="G3862">
        <f>MINIFS(CBIC_Late_Fee_Relief_Windows_3B!$O$3862:$O$100,CBIC_Late_Fee_Relief_Windows_3B!$D$3862:$D$100,"&lt;="&amp;B3862,CBIC_Late_Fee_Relief_Windows_3B!$E$3862:$E$100,"&gt;="&amp;B3862,CBIC_Late_Fee_Relief_Windows_3B!$F$3862:$F$100,"&lt;="&amp;C3862,CBIC_Late_Fee_Relief_Windows_3B!$G$3862:$G$100,"&gt;="&amp;C3862)</f>
        <v/>
      </c>
      <c r="H3862">
        <f>INDEX(CBIC_Late_Fee_Relief_Windows_3B!$I$3862:$I$100,MATCH(G3862,CBIC_Late_Fee_Relief_Windows_3B!$O$3862:$O$100,0))</f>
        <v/>
      </c>
      <c r="I3862">
        <f>MIN(F3862,H3862)</f>
        <v/>
      </c>
    </row>
    <row r="3863">
      <c r="A3863">
        <f>TEST_DATA!A3863</f>
        <v/>
      </c>
      <c r="B3863">
        <f>TEST_DATA!B3863</f>
        <v/>
      </c>
      <c r="C3863">
        <f>TEST_DATA!C3863</f>
        <v/>
      </c>
      <c r="D3863">
        <f>TEST_DATA!D3863</f>
        <v/>
      </c>
      <c r="E3863">
        <f>TEST_DATA!E3863</f>
        <v/>
      </c>
      <c r="F3863">
        <f>MIN(E3863*386300,10000)</f>
        <v/>
      </c>
      <c r="G3863">
        <f>MINIFS(CBIC_Late_Fee_Relief_Windows_3B!$O$3863:$O$100,CBIC_Late_Fee_Relief_Windows_3B!$D$3863:$D$100,"&lt;="&amp;B3863,CBIC_Late_Fee_Relief_Windows_3B!$E$3863:$E$100,"&gt;="&amp;B3863,CBIC_Late_Fee_Relief_Windows_3B!$F$3863:$F$100,"&lt;="&amp;C3863,CBIC_Late_Fee_Relief_Windows_3B!$G$3863:$G$100,"&gt;="&amp;C3863)</f>
        <v/>
      </c>
      <c r="H3863">
        <f>INDEX(CBIC_Late_Fee_Relief_Windows_3B!$I$3863:$I$100,MATCH(G3863,CBIC_Late_Fee_Relief_Windows_3B!$O$3863:$O$100,0))</f>
        <v/>
      </c>
      <c r="I3863">
        <f>MIN(F3863,H3863)</f>
        <v/>
      </c>
    </row>
    <row r="3864">
      <c r="A3864">
        <f>TEST_DATA!A3864</f>
        <v/>
      </c>
      <c r="B3864">
        <f>TEST_DATA!B3864</f>
        <v/>
      </c>
      <c r="C3864">
        <f>TEST_DATA!C3864</f>
        <v/>
      </c>
      <c r="D3864">
        <f>TEST_DATA!D3864</f>
        <v/>
      </c>
      <c r="E3864">
        <f>TEST_DATA!E3864</f>
        <v/>
      </c>
      <c r="F3864">
        <f>MIN(E3864*386400,10000)</f>
        <v/>
      </c>
      <c r="G3864">
        <f>MINIFS(CBIC_Late_Fee_Relief_Windows_3B!$O$3864:$O$100,CBIC_Late_Fee_Relief_Windows_3B!$D$3864:$D$100,"&lt;="&amp;B3864,CBIC_Late_Fee_Relief_Windows_3B!$E$3864:$E$100,"&gt;="&amp;B3864,CBIC_Late_Fee_Relief_Windows_3B!$F$3864:$F$100,"&lt;="&amp;C3864,CBIC_Late_Fee_Relief_Windows_3B!$G$3864:$G$100,"&gt;="&amp;C3864)</f>
        <v/>
      </c>
      <c r="H3864">
        <f>INDEX(CBIC_Late_Fee_Relief_Windows_3B!$I$3864:$I$100,MATCH(G3864,CBIC_Late_Fee_Relief_Windows_3B!$O$3864:$O$100,0))</f>
        <v/>
      </c>
      <c r="I3864">
        <f>MIN(F3864,H3864)</f>
        <v/>
      </c>
    </row>
    <row r="3865">
      <c r="A3865">
        <f>TEST_DATA!A3865</f>
        <v/>
      </c>
      <c r="B3865">
        <f>TEST_DATA!B3865</f>
        <v/>
      </c>
      <c r="C3865">
        <f>TEST_DATA!C3865</f>
        <v/>
      </c>
      <c r="D3865">
        <f>TEST_DATA!D3865</f>
        <v/>
      </c>
      <c r="E3865">
        <f>TEST_DATA!E3865</f>
        <v/>
      </c>
      <c r="F3865">
        <f>MIN(E3865*386500,10000)</f>
        <v/>
      </c>
      <c r="G3865">
        <f>MINIFS(CBIC_Late_Fee_Relief_Windows_3B!$O$3865:$O$100,CBIC_Late_Fee_Relief_Windows_3B!$D$3865:$D$100,"&lt;="&amp;B3865,CBIC_Late_Fee_Relief_Windows_3B!$E$3865:$E$100,"&gt;="&amp;B3865,CBIC_Late_Fee_Relief_Windows_3B!$F$3865:$F$100,"&lt;="&amp;C3865,CBIC_Late_Fee_Relief_Windows_3B!$G$3865:$G$100,"&gt;="&amp;C3865)</f>
        <v/>
      </c>
      <c r="H3865">
        <f>INDEX(CBIC_Late_Fee_Relief_Windows_3B!$I$3865:$I$100,MATCH(G3865,CBIC_Late_Fee_Relief_Windows_3B!$O$3865:$O$100,0))</f>
        <v/>
      </c>
      <c r="I3865">
        <f>MIN(F3865,H3865)</f>
        <v/>
      </c>
    </row>
    <row r="3866">
      <c r="A3866">
        <f>TEST_DATA!A3866</f>
        <v/>
      </c>
      <c r="B3866">
        <f>TEST_DATA!B3866</f>
        <v/>
      </c>
      <c r="C3866">
        <f>TEST_DATA!C3866</f>
        <v/>
      </c>
      <c r="D3866">
        <f>TEST_DATA!D3866</f>
        <v/>
      </c>
      <c r="E3866">
        <f>TEST_DATA!E3866</f>
        <v/>
      </c>
      <c r="F3866">
        <f>MIN(E3866*386600,10000)</f>
        <v/>
      </c>
      <c r="G3866">
        <f>MINIFS(CBIC_Late_Fee_Relief_Windows_3B!$O$3866:$O$100,CBIC_Late_Fee_Relief_Windows_3B!$D$3866:$D$100,"&lt;="&amp;B3866,CBIC_Late_Fee_Relief_Windows_3B!$E$3866:$E$100,"&gt;="&amp;B3866,CBIC_Late_Fee_Relief_Windows_3B!$F$3866:$F$100,"&lt;="&amp;C3866,CBIC_Late_Fee_Relief_Windows_3B!$G$3866:$G$100,"&gt;="&amp;C3866)</f>
        <v/>
      </c>
      <c r="H3866">
        <f>INDEX(CBIC_Late_Fee_Relief_Windows_3B!$I$3866:$I$100,MATCH(G3866,CBIC_Late_Fee_Relief_Windows_3B!$O$3866:$O$100,0))</f>
        <v/>
      </c>
      <c r="I3866">
        <f>MIN(F3866,H3866)</f>
        <v/>
      </c>
    </row>
    <row r="3867">
      <c r="A3867">
        <f>TEST_DATA!A3867</f>
        <v/>
      </c>
      <c r="B3867">
        <f>TEST_DATA!B3867</f>
        <v/>
      </c>
      <c r="C3867">
        <f>TEST_DATA!C3867</f>
        <v/>
      </c>
      <c r="D3867">
        <f>TEST_DATA!D3867</f>
        <v/>
      </c>
      <c r="E3867">
        <f>TEST_DATA!E3867</f>
        <v/>
      </c>
      <c r="F3867">
        <f>MIN(E3867*386700,10000)</f>
        <v/>
      </c>
      <c r="G3867">
        <f>MINIFS(CBIC_Late_Fee_Relief_Windows_3B!$O$3867:$O$100,CBIC_Late_Fee_Relief_Windows_3B!$D$3867:$D$100,"&lt;="&amp;B3867,CBIC_Late_Fee_Relief_Windows_3B!$E$3867:$E$100,"&gt;="&amp;B3867,CBIC_Late_Fee_Relief_Windows_3B!$F$3867:$F$100,"&lt;="&amp;C3867,CBIC_Late_Fee_Relief_Windows_3B!$G$3867:$G$100,"&gt;="&amp;C3867)</f>
        <v/>
      </c>
      <c r="H3867">
        <f>INDEX(CBIC_Late_Fee_Relief_Windows_3B!$I$3867:$I$100,MATCH(G3867,CBIC_Late_Fee_Relief_Windows_3B!$O$3867:$O$100,0))</f>
        <v/>
      </c>
      <c r="I3867">
        <f>MIN(F3867,H3867)</f>
        <v/>
      </c>
    </row>
    <row r="3868">
      <c r="A3868">
        <f>TEST_DATA!A3868</f>
        <v/>
      </c>
      <c r="B3868">
        <f>TEST_DATA!B3868</f>
        <v/>
      </c>
      <c r="C3868">
        <f>TEST_DATA!C3868</f>
        <v/>
      </c>
      <c r="D3868">
        <f>TEST_DATA!D3868</f>
        <v/>
      </c>
      <c r="E3868">
        <f>TEST_DATA!E3868</f>
        <v/>
      </c>
      <c r="F3868">
        <f>MIN(E3868*386800,10000)</f>
        <v/>
      </c>
      <c r="G3868">
        <f>MINIFS(CBIC_Late_Fee_Relief_Windows_3B!$O$3868:$O$100,CBIC_Late_Fee_Relief_Windows_3B!$D$3868:$D$100,"&lt;="&amp;B3868,CBIC_Late_Fee_Relief_Windows_3B!$E$3868:$E$100,"&gt;="&amp;B3868,CBIC_Late_Fee_Relief_Windows_3B!$F$3868:$F$100,"&lt;="&amp;C3868,CBIC_Late_Fee_Relief_Windows_3B!$G$3868:$G$100,"&gt;="&amp;C3868)</f>
        <v/>
      </c>
      <c r="H3868">
        <f>INDEX(CBIC_Late_Fee_Relief_Windows_3B!$I$3868:$I$100,MATCH(G3868,CBIC_Late_Fee_Relief_Windows_3B!$O$3868:$O$100,0))</f>
        <v/>
      </c>
      <c r="I3868">
        <f>MIN(F3868,H3868)</f>
        <v/>
      </c>
    </row>
    <row r="3869">
      <c r="A3869">
        <f>TEST_DATA!A3869</f>
        <v/>
      </c>
      <c r="B3869">
        <f>TEST_DATA!B3869</f>
        <v/>
      </c>
      <c r="C3869">
        <f>TEST_DATA!C3869</f>
        <v/>
      </c>
      <c r="D3869">
        <f>TEST_DATA!D3869</f>
        <v/>
      </c>
      <c r="E3869">
        <f>TEST_DATA!E3869</f>
        <v/>
      </c>
      <c r="F3869">
        <f>MIN(E3869*386900,10000)</f>
        <v/>
      </c>
      <c r="G3869">
        <f>MINIFS(CBIC_Late_Fee_Relief_Windows_3B!$O$3869:$O$100,CBIC_Late_Fee_Relief_Windows_3B!$D$3869:$D$100,"&lt;="&amp;B3869,CBIC_Late_Fee_Relief_Windows_3B!$E$3869:$E$100,"&gt;="&amp;B3869,CBIC_Late_Fee_Relief_Windows_3B!$F$3869:$F$100,"&lt;="&amp;C3869,CBIC_Late_Fee_Relief_Windows_3B!$G$3869:$G$100,"&gt;="&amp;C3869)</f>
        <v/>
      </c>
      <c r="H3869">
        <f>INDEX(CBIC_Late_Fee_Relief_Windows_3B!$I$3869:$I$100,MATCH(G3869,CBIC_Late_Fee_Relief_Windows_3B!$O$3869:$O$100,0))</f>
        <v/>
      </c>
      <c r="I3869">
        <f>MIN(F3869,H3869)</f>
        <v/>
      </c>
    </row>
    <row r="3870">
      <c r="A3870">
        <f>TEST_DATA!A3870</f>
        <v/>
      </c>
      <c r="B3870">
        <f>TEST_DATA!B3870</f>
        <v/>
      </c>
      <c r="C3870">
        <f>TEST_DATA!C3870</f>
        <v/>
      </c>
      <c r="D3870">
        <f>TEST_DATA!D3870</f>
        <v/>
      </c>
      <c r="E3870">
        <f>TEST_DATA!E3870</f>
        <v/>
      </c>
      <c r="F3870">
        <f>MIN(E3870*387000,10000)</f>
        <v/>
      </c>
      <c r="G3870">
        <f>MINIFS(CBIC_Late_Fee_Relief_Windows_3B!$O$3870:$O$100,CBIC_Late_Fee_Relief_Windows_3B!$D$3870:$D$100,"&lt;="&amp;B3870,CBIC_Late_Fee_Relief_Windows_3B!$E$3870:$E$100,"&gt;="&amp;B3870,CBIC_Late_Fee_Relief_Windows_3B!$F$3870:$F$100,"&lt;="&amp;C3870,CBIC_Late_Fee_Relief_Windows_3B!$G$3870:$G$100,"&gt;="&amp;C3870)</f>
        <v/>
      </c>
      <c r="H3870">
        <f>INDEX(CBIC_Late_Fee_Relief_Windows_3B!$I$3870:$I$100,MATCH(G3870,CBIC_Late_Fee_Relief_Windows_3B!$O$3870:$O$100,0))</f>
        <v/>
      </c>
      <c r="I3870">
        <f>MIN(F3870,H3870)</f>
        <v/>
      </c>
    </row>
    <row r="3871">
      <c r="A3871">
        <f>TEST_DATA!A3871</f>
        <v/>
      </c>
      <c r="B3871">
        <f>TEST_DATA!B3871</f>
        <v/>
      </c>
      <c r="C3871">
        <f>TEST_DATA!C3871</f>
        <v/>
      </c>
      <c r="D3871">
        <f>TEST_DATA!D3871</f>
        <v/>
      </c>
      <c r="E3871">
        <f>TEST_DATA!E3871</f>
        <v/>
      </c>
      <c r="F3871">
        <f>MIN(E3871*387100,10000)</f>
        <v/>
      </c>
      <c r="G3871">
        <f>MINIFS(CBIC_Late_Fee_Relief_Windows_3B!$O$3871:$O$100,CBIC_Late_Fee_Relief_Windows_3B!$D$3871:$D$100,"&lt;="&amp;B3871,CBIC_Late_Fee_Relief_Windows_3B!$E$3871:$E$100,"&gt;="&amp;B3871,CBIC_Late_Fee_Relief_Windows_3B!$F$3871:$F$100,"&lt;="&amp;C3871,CBIC_Late_Fee_Relief_Windows_3B!$G$3871:$G$100,"&gt;="&amp;C3871)</f>
        <v/>
      </c>
      <c r="H3871">
        <f>INDEX(CBIC_Late_Fee_Relief_Windows_3B!$I$3871:$I$100,MATCH(G3871,CBIC_Late_Fee_Relief_Windows_3B!$O$3871:$O$100,0))</f>
        <v/>
      </c>
      <c r="I3871">
        <f>MIN(F3871,H3871)</f>
        <v/>
      </c>
    </row>
    <row r="3872">
      <c r="A3872">
        <f>TEST_DATA!A3872</f>
        <v/>
      </c>
      <c r="B3872">
        <f>TEST_DATA!B3872</f>
        <v/>
      </c>
      <c r="C3872">
        <f>TEST_DATA!C3872</f>
        <v/>
      </c>
      <c r="D3872">
        <f>TEST_DATA!D3872</f>
        <v/>
      </c>
      <c r="E3872">
        <f>TEST_DATA!E3872</f>
        <v/>
      </c>
      <c r="F3872">
        <f>MIN(E3872*387200,10000)</f>
        <v/>
      </c>
      <c r="G3872">
        <f>MINIFS(CBIC_Late_Fee_Relief_Windows_3B!$O$3872:$O$100,CBIC_Late_Fee_Relief_Windows_3B!$D$3872:$D$100,"&lt;="&amp;B3872,CBIC_Late_Fee_Relief_Windows_3B!$E$3872:$E$100,"&gt;="&amp;B3872,CBIC_Late_Fee_Relief_Windows_3B!$F$3872:$F$100,"&lt;="&amp;C3872,CBIC_Late_Fee_Relief_Windows_3B!$G$3872:$G$100,"&gt;="&amp;C3872)</f>
        <v/>
      </c>
      <c r="H3872">
        <f>INDEX(CBIC_Late_Fee_Relief_Windows_3B!$I$3872:$I$100,MATCH(G3872,CBIC_Late_Fee_Relief_Windows_3B!$O$3872:$O$100,0))</f>
        <v/>
      </c>
      <c r="I3872">
        <f>MIN(F3872,H3872)</f>
        <v/>
      </c>
    </row>
    <row r="3873">
      <c r="A3873">
        <f>TEST_DATA!A3873</f>
        <v/>
      </c>
      <c r="B3873">
        <f>TEST_DATA!B3873</f>
        <v/>
      </c>
      <c r="C3873">
        <f>TEST_DATA!C3873</f>
        <v/>
      </c>
      <c r="D3873">
        <f>TEST_DATA!D3873</f>
        <v/>
      </c>
      <c r="E3873">
        <f>TEST_DATA!E3873</f>
        <v/>
      </c>
      <c r="F3873">
        <f>MIN(E3873*387300,10000)</f>
        <v/>
      </c>
      <c r="G3873">
        <f>MINIFS(CBIC_Late_Fee_Relief_Windows_3B!$O$3873:$O$100,CBIC_Late_Fee_Relief_Windows_3B!$D$3873:$D$100,"&lt;="&amp;B3873,CBIC_Late_Fee_Relief_Windows_3B!$E$3873:$E$100,"&gt;="&amp;B3873,CBIC_Late_Fee_Relief_Windows_3B!$F$3873:$F$100,"&lt;="&amp;C3873,CBIC_Late_Fee_Relief_Windows_3B!$G$3873:$G$100,"&gt;="&amp;C3873)</f>
        <v/>
      </c>
      <c r="H3873">
        <f>INDEX(CBIC_Late_Fee_Relief_Windows_3B!$I$3873:$I$100,MATCH(G3873,CBIC_Late_Fee_Relief_Windows_3B!$O$3873:$O$100,0))</f>
        <v/>
      </c>
      <c r="I3873">
        <f>MIN(F3873,H3873)</f>
        <v/>
      </c>
    </row>
    <row r="3874">
      <c r="A3874">
        <f>TEST_DATA!A3874</f>
        <v/>
      </c>
      <c r="B3874">
        <f>TEST_DATA!B3874</f>
        <v/>
      </c>
      <c r="C3874">
        <f>TEST_DATA!C3874</f>
        <v/>
      </c>
      <c r="D3874">
        <f>TEST_DATA!D3874</f>
        <v/>
      </c>
      <c r="E3874">
        <f>TEST_DATA!E3874</f>
        <v/>
      </c>
      <c r="F3874">
        <f>MIN(E3874*387400,10000)</f>
        <v/>
      </c>
      <c r="G3874">
        <f>MINIFS(CBIC_Late_Fee_Relief_Windows_3B!$O$3874:$O$100,CBIC_Late_Fee_Relief_Windows_3B!$D$3874:$D$100,"&lt;="&amp;B3874,CBIC_Late_Fee_Relief_Windows_3B!$E$3874:$E$100,"&gt;="&amp;B3874,CBIC_Late_Fee_Relief_Windows_3B!$F$3874:$F$100,"&lt;="&amp;C3874,CBIC_Late_Fee_Relief_Windows_3B!$G$3874:$G$100,"&gt;="&amp;C3874)</f>
        <v/>
      </c>
      <c r="H3874">
        <f>INDEX(CBIC_Late_Fee_Relief_Windows_3B!$I$3874:$I$100,MATCH(G3874,CBIC_Late_Fee_Relief_Windows_3B!$O$3874:$O$100,0))</f>
        <v/>
      </c>
      <c r="I3874">
        <f>MIN(F3874,H3874)</f>
        <v/>
      </c>
    </row>
    <row r="3875">
      <c r="A3875">
        <f>TEST_DATA!A3875</f>
        <v/>
      </c>
      <c r="B3875">
        <f>TEST_DATA!B3875</f>
        <v/>
      </c>
      <c r="C3875">
        <f>TEST_DATA!C3875</f>
        <v/>
      </c>
      <c r="D3875">
        <f>TEST_DATA!D3875</f>
        <v/>
      </c>
      <c r="E3875">
        <f>TEST_DATA!E3875</f>
        <v/>
      </c>
      <c r="F3875">
        <f>MIN(E3875*387500,10000)</f>
        <v/>
      </c>
      <c r="G3875">
        <f>MINIFS(CBIC_Late_Fee_Relief_Windows_3B!$O$3875:$O$100,CBIC_Late_Fee_Relief_Windows_3B!$D$3875:$D$100,"&lt;="&amp;B3875,CBIC_Late_Fee_Relief_Windows_3B!$E$3875:$E$100,"&gt;="&amp;B3875,CBIC_Late_Fee_Relief_Windows_3B!$F$3875:$F$100,"&lt;="&amp;C3875,CBIC_Late_Fee_Relief_Windows_3B!$G$3875:$G$100,"&gt;="&amp;C3875)</f>
        <v/>
      </c>
      <c r="H3875">
        <f>INDEX(CBIC_Late_Fee_Relief_Windows_3B!$I$3875:$I$100,MATCH(G3875,CBIC_Late_Fee_Relief_Windows_3B!$O$3875:$O$100,0))</f>
        <v/>
      </c>
      <c r="I3875">
        <f>MIN(F3875,H3875)</f>
        <v/>
      </c>
    </row>
    <row r="3876">
      <c r="A3876">
        <f>TEST_DATA!A3876</f>
        <v/>
      </c>
      <c r="B3876">
        <f>TEST_DATA!B3876</f>
        <v/>
      </c>
      <c r="C3876">
        <f>TEST_DATA!C3876</f>
        <v/>
      </c>
      <c r="D3876">
        <f>TEST_DATA!D3876</f>
        <v/>
      </c>
      <c r="E3876">
        <f>TEST_DATA!E3876</f>
        <v/>
      </c>
      <c r="F3876">
        <f>MIN(E3876*387600,10000)</f>
        <v/>
      </c>
      <c r="G3876">
        <f>MINIFS(CBIC_Late_Fee_Relief_Windows_3B!$O$3876:$O$100,CBIC_Late_Fee_Relief_Windows_3B!$D$3876:$D$100,"&lt;="&amp;B3876,CBIC_Late_Fee_Relief_Windows_3B!$E$3876:$E$100,"&gt;="&amp;B3876,CBIC_Late_Fee_Relief_Windows_3B!$F$3876:$F$100,"&lt;="&amp;C3876,CBIC_Late_Fee_Relief_Windows_3B!$G$3876:$G$100,"&gt;="&amp;C3876)</f>
        <v/>
      </c>
      <c r="H3876">
        <f>INDEX(CBIC_Late_Fee_Relief_Windows_3B!$I$3876:$I$100,MATCH(G3876,CBIC_Late_Fee_Relief_Windows_3B!$O$3876:$O$100,0))</f>
        <v/>
      </c>
      <c r="I3876">
        <f>MIN(F3876,H3876)</f>
        <v/>
      </c>
    </row>
    <row r="3877">
      <c r="A3877">
        <f>TEST_DATA!A3877</f>
        <v/>
      </c>
      <c r="B3877">
        <f>TEST_DATA!B3877</f>
        <v/>
      </c>
      <c r="C3877">
        <f>TEST_DATA!C3877</f>
        <v/>
      </c>
      <c r="D3877">
        <f>TEST_DATA!D3877</f>
        <v/>
      </c>
      <c r="E3877">
        <f>TEST_DATA!E3877</f>
        <v/>
      </c>
      <c r="F3877">
        <f>MIN(E3877*387700,10000)</f>
        <v/>
      </c>
      <c r="G3877">
        <f>MINIFS(CBIC_Late_Fee_Relief_Windows_3B!$O$3877:$O$100,CBIC_Late_Fee_Relief_Windows_3B!$D$3877:$D$100,"&lt;="&amp;B3877,CBIC_Late_Fee_Relief_Windows_3B!$E$3877:$E$100,"&gt;="&amp;B3877,CBIC_Late_Fee_Relief_Windows_3B!$F$3877:$F$100,"&lt;="&amp;C3877,CBIC_Late_Fee_Relief_Windows_3B!$G$3877:$G$100,"&gt;="&amp;C3877)</f>
        <v/>
      </c>
      <c r="H3877">
        <f>INDEX(CBIC_Late_Fee_Relief_Windows_3B!$I$3877:$I$100,MATCH(G3877,CBIC_Late_Fee_Relief_Windows_3B!$O$3877:$O$100,0))</f>
        <v/>
      </c>
      <c r="I3877">
        <f>MIN(F3877,H3877)</f>
        <v/>
      </c>
    </row>
    <row r="3878">
      <c r="A3878">
        <f>TEST_DATA!A3878</f>
        <v/>
      </c>
      <c r="B3878">
        <f>TEST_DATA!B3878</f>
        <v/>
      </c>
      <c r="C3878">
        <f>TEST_DATA!C3878</f>
        <v/>
      </c>
      <c r="D3878">
        <f>TEST_DATA!D3878</f>
        <v/>
      </c>
      <c r="E3878">
        <f>TEST_DATA!E3878</f>
        <v/>
      </c>
      <c r="F3878">
        <f>MIN(E3878*387800,10000)</f>
        <v/>
      </c>
      <c r="G3878">
        <f>MINIFS(CBIC_Late_Fee_Relief_Windows_3B!$O$3878:$O$100,CBIC_Late_Fee_Relief_Windows_3B!$D$3878:$D$100,"&lt;="&amp;B3878,CBIC_Late_Fee_Relief_Windows_3B!$E$3878:$E$100,"&gt;="&amp;B3878,CBIC_Late_Fee_Relief_Windows_3B!$F$3878:$F$100,"&lt;="&amp;C3878,CBIC_Late_Fee_Relief_Windows_3B!$G$3878:$G$100,"&gt;="&amp;C3878)</f>
        <v/>
      </c>
      <c r="H3878">
        <f>INDEX(CBIC_Late_Fee_Relief_Windows_3B!$I$3878:$I$100,MATCH(G3878,CBIC_Late_Fee_Relief_Windows_3B!$O$3878:$O$100,0))</f>
        <v/>
      </c>
      <c r="I3878">
        <f>MIN(F3878,H3878)</f>
        <v/>
      </c>
    </row>
    <row r="3879">
      <c r="A3879">
        <f>TEST_DATA!A3879</f>
        <v/>
      </c>
      <c r="B3879">
        <f>TEST_DATA!B3879</f>
        <v/>
      </c>
      <c r="C3879">
        <f>TEST_DATA!C3879</f>
        <v/>
      </c>
      <c r="D3879">
        <f>TEST_DATA!D3879</f>
        <v/>
      </c>
      <c r="E3879">
        <f>TEST_DATA!E3879</f>
        <v/>
      </c>
      <c r="F3879">
        <f>MIN(E3879*387900,10000)</f>
        <v/>
      </c>
      <c r="G3879">
        <f>MINIFS(CBIC_Late_Fee_Relief_Windows_3B!$O$3879:$O$100,CBIC_Late_Fee_Relief_Windows_3B!$D$3879:$D$100,"&lt;="&amp;B3879,CBIC_Late_Fee_Relief_Windows_3B!$E$3879:$E$100,"&gt;="&amp;B3879,CBIC_Late_Fee_Relief_Windows_3B!$F$3879:$F$100,"&lt;="&amp;C3879,CBIC_Late_Fee_Relief_Windows_3B!$G$3879:$G$100,"&gt;="&amp;C3879)</f>
        <v/>
      </c>
      <c r="H3879">
        <f>INDEX(CBIC_Late_Fee_Relief_Windows_3B!$I$3879:$I$100,MATCH(G3879,CBIC_Late_Fee_Relief_Windows_3B!$O$3879:$O$100,0))</f>
        <v/>
      </c>
      <c r="I3879">
        <f>MIN(F3879,H3879)</f>
        <v/>
      </c>
    </row>
    <row r="3880">
      <c r="A3880">
        <f>TEST_DATA!A3880</f>
        <v/>
      </c>
      <c r="B3880">
        <f>TEST_DATA!B3880</f>
        <v/>
      </c>
      <c r="C3880">
        <f>TEST_DATA!C3880</f>
        <v/>
      </c>
      <c r="D3880">
        <f>TEST_DATA!D3880</f>
        <v/>
      </c>
      <c r="E3880">
        <f>TEST_DATA!E3880</f>
        <v/>
      </c>
      <c r="F3880">
        <f>MIN(E3880*388000,10000)</f>
        <v/>
      </c>
      <c r="G3880">
        <f>MINIFS(CBIC_Late_Fee_Relief_Windows_3B!$O$3880:$O$100,CBIC_Late_Fee_Relief_Windows_3B!$D$3880:$D$100,"&lt;="&amp;B3880,CBIC_Late_Fee_Relief_Windows_3B!$E$3880:$E$100,"&gt;="&amp;B3880,CBIC_Late_Fee_Relief_Windows_3B!$F$3880:$F$100,"&lt;="&amp;C3880,CBIC_Late_Fee_Relief_Windows_3B!$G$3880:$G$100,"&gt;="&amp;C3880)</f>
        <v/>
      </c>
      <c r="H3880">
        <f>INDEX(CBIC_Late_Fee_Relief_Windows_3B!$I$3880:$I$100,MATCH(G3880,CBIC_Late_Fee_Relief_Windows_3B!$O$3880:$O$100,0))</f>
        <v/>
      </c>
      <c r="I3880">
        <f>MIN(F3880,H3880)</f>
        <v/>
      </c>
    </row>
    <row r="3881">
      <c r="A3881">
        <f>TEST_DATA!A3881</f>
        <v/>
      </c>
      <c r="B3881">
        <f>TEST_DATA!B3881</f>
        <v/>
      </c>
      <c r="C3881">
        <f>TEST_DATA!C3881</f>
        <v/>
      </c>
      <c r="D3881">
        <f>TEST_DATA!D3881</f>
        <v/>
      </c>
      <c r="E3881">
        <f>TEST_DATA!E3881</f>
        <v/>
      </c>
      <c r="F3881">
        <f>MIN(E3881*388100,10000)</f>
        <v/>
      </c>
      <c r="G3881">
        <f>MINIFS(CBIC_Late_Fee_Relief_Windows_3B!$O$3881:$O$100,CBIC_Late_Fee_Relief_Windows_3B!$D$3881:$D$100,"&lt;="&amp;B3881,CBIC_Late_Fee_Relief_Windows_3B!$E$3881:$E$100,"&gt;="&amp;B3881,CBIC_Late_Fee_Relief_Windows_3B!$F$3881:$F$100,"&lt;="&amp;C3881,CBIC_Late_Fee_Relief_Windows_3B!$G$3881:$G$100,"&gt;="&amp;C3881)</f>
        <v/>
      </c>
      <c r="H3881">
        <f>INDEX(CBIC_Late_Fee_Relief_Windows_3B!$I$3881:$I$100,MATCH(G3881,CBIC_Late_Fee_Relief_Windows_3B!$O$3881:$O$100,0))</f>
        <v/>
      </c>
      <c r="I3881">
        <f>MIN(F3881,H3881)</f>
        <v/>
      </c>
    </row>
    <row r="3882">
      <c r="A3882">
        <f>TEST_DATA!A3882</f>
        <v/>
      </c>
      <c r="B3882">
        <f>TEST_DATA!B3882</f>
        <v/>
      </c>
      <c r="C3882">
        <f>TEST_DATA!C3882</f>
        <v/>
      </c>
      <c r="D3882">
        <f>TEST_DATA!D3882</f>
        <v/>
      </c>
      <c r="E3882">
        <f>TEST_DATA!E3882</f>
        <v/>
      </c>
      <c r="F3882">
        <f>MIN(E3882*388200,10000)</f>
        <v/>
      </c>
      <c r="G3882">
        <f>MINIFS(CBIC_Late_Fee_Relief_Windows_3B!$O$3882:$O$100,CBIC_Late_Fee_Relief_Windows_3B!$D$3882:$D$100,"&lt;="&amp;B3882,CBIC_Late_Fee_Relief_Windows_3B!$E$3882:$E$100,"&gt;="&amp;B3882,CBIC_Late_Fee_Relief_Windows_3B!$F$3882:$F$100,"&lt;="&amp;C3882,CBIC_Late_Fee_Relief_Windows_3B!$G$3882:$G$100,"&gt;="&amp;C3882)</f>
        <v/>
      </c>
      <c r="H3882">
        <f>INDEX(CBIC_Late_Fee_Relief_Windows_3B!$I$3882:$I$100,MATCH(G3882,CBIC_Late_Fee_Relief_Windows_3B!$O$3882:$O$100,0))</f>
        <v/>
      </c>
      <c r="I3882">
        <f>MIN(F3882,H3882)</f>
        <v/>
      </c>
    </row>
    <row r="3883">
      <c r="A3883">
        <f>TEST_DATA!A3883</f>
        <v/>
      </c>
      <c r="B3883">
        <f>TEST_DATA!B3883</f>
        <v/>
      </c>
      <c r="C3883">
        <f>TEST_DATA!C3883</f>
        <v/>
      </c>
      <c r="D3883">
        <f>TEST_DATA!D3883</f>
        <v/>
      </c>
      <c r="E3883">
        <f>TEST_DATA!E3883</f>
        <v/>
      </c>
      <c r="F3883">
        <f>MIN(E3883*388300,10000)</f>
        <v/>
      </c>
      <c r="G3883">
        <f>MINIFS(CBIC_Late_Fee_Relief_Windows_3B!$O$3883:$O$100,CBIC_Late_Fee_Relief_Windows_3B!$D$3883:$D$100,"&lt;="&amp;B3883,CBIC_Late_Fee_Relief_Windows_3B!$E$3883:$E$100,"&gt;="&amp;B3883,CBIC_Late_Fee_Relief_Windows_3B!$F$3883:$F$100,"&lt;="&amp;C3883,CBIC_Late_Fee_Relief_Windows_3B!$G$3883:$G$100,"&gt;="&amp;C3883)</f>
        <v/>
      </c>
      <c r="H3883">
        <f>INDEX(CBIC_Late_Fee_Relief_Windows_3B!$I$3883:$I$100,MATCH(G3883,CBIC_Late_Fee_Relief_Windows_3B!$O$3883:$O$100,0))</f>
        <v/>
      </c>
      <c r="I3883">
        <f>MIN(F3883,H3883)</f>
        <v/>
      </c>
    </row>
    <row r="3884">
      <c r="A3884">
        <f>TEST_DATA!A3884</f>
        <v/>
      </c>
      <c r="B3884">
        <f>TEST_DATA!B3884</f>
        <v/>
      </c>
      <c r="C3884">
        <f>TEST_DATA!C3884</f>
        <v/>
      </c>
      <c r="D3884">
        <f>TEST_DATA!D3884</f>
        <v/>
      </c>
      <c r="E3884">
        <f>TEST_DATA!E3884</f>
        <v/>
      </c>
      <c r="F3884">
        <f>MIN(E3884*388400,10000)</f>
        <v/>
      </c>
      <c r="G3884">
        <f>MINIFS(CBIC_Late_Fee_Relief_Windows_3B!$O$3884:$O$100,CBIC_Late_Fee_Relief_Windows_3B!$D$3884:$D$100,"&lt;="&amp;B3884,CBIC_Late_Fee_Relief_Windows_3B!$E$3884:$E$100,"&gt;="&amp;B3884,CBIC_Late_Fee_Relief_Windows_3B!$F$3884:$F$100,"&lt;="&amp;C3884,CBIC_Late_Fee_Relief_Windows_3B!$G$3884:$G$100,"&gt;="&amp;C3884)</f>
        <v/>
      </c>
      <c r="H3884">
        <f>INDEX(CBIC_Late_Fee_Relief_Windows_3B!$I$3884:$I$100,MATCH(G3884,CBIC_Late_Fee_Relief_Windows_3B!$O$3884:$O$100,0))</f>
        <v/>
      </c>
      <c r="I3884">
        <f>MIN(F3884,H3884)</f>
        <v/>
      </c>
    </row>
    <row r="3885">
      <c r="A3885">
        <f>TEST_DATA!A3885</f>
        <v/>
      </c>
      <c r="B3885">
        <f>TEST_DATA!B3885</f>
        <v/>
      </c>
      <c r="C3885">
        <f>TEST_DATA!C3885</f>
        <v/>
      </c>
      <c r="D3885">
        <f>TEST_DATA!D3885</f>
        <v/>
      </c>
      <c r="E3885">
        <f>TEST_DATA!E3885</f>
        <v/>
      </c>
      <c r="F3885">
        <f>MIN(E3885*388500,10000)</f>
        <v/>
      </c>
      <c r="G3885">
        <f>MINIFS(CBIC_Late_Fee_Relief_Windows_3B!$O$3885:$O$100,CBIC_Late_Fee_Relief_Windows_3B!$D$3885:$D$100,"&lt;="&amp;B3885,CBIC_Late_Fee_Relief_Windows_3B!$E$3885:$E$100,"&gt;="&amp;B3885,CBIC_Late_Fee_Relief_Windows_3B!$F$3885:$F$100,"&lt;="&amp;C3885,CBIC_Late_Fee_Relief_Windows_3B!$G$3885:$G$100,"&gt;="&amp;C3885)</f>
        <v/>
      </c>
      <c r="H3885">
        <f>INDEX(CBIC_Late_Fee_Relief_Windows_3B!$I$3885:$I$100,MATCH(G3885,CBIC_Late_Fee_Relief_Windows_3B!$O$3885:$O$100,0))</f>
        <v/>
      </c>
      <c r="I3885">
        <f>MIN(F3885,H3885)</f>
        <v/>
      </c>
    </row>
    <row r="3886">
      <c r="A3886">
        <f>TEST_DATA!A3886</f>
        <v/>
      </c>
      <c r="B3886">
        <f>TEST_DATA!B3886</f>
        <v/>
      </c>
      <c r="C3886">
        <f>TEST_DATA!C3886</f>
        <v/>
      </c>
      <c r="D3886">
        <f>TEST_DATA!D3886</f>
        <v/>
      </c>
      <c r="E3886">
        <f>TEST_DATA!E3886</f>
        <v/>
      </c>
      <c r="F3886">
        <f>MIN(E3886*388600,10000)</f>
        <v/>
      </c>
      <c r="G3886">
        <f>MINIFS(CBIC_Late_Fee_Relief_Windows_3B!$O$3886:$O$100,CBIC_Late_Fee_Relief_Windows_3B!$D$3886:$D$100,"&lt;="&amp;B3886,CBIC_Late_Fee_Relief_Windows_3B!$E$3886:$E$100,"&gt;="&amp;B3886,CBIC_Late_Fee_Relief_Windows_3B!$F$3886:$F$100,"&lt;="&amp;C3886,CBIC_Late_Fee_Relief_Windows_3B!$G$3886:$G$100,"&gt;="&amp;C3886)</f>
        <v/>
      </c>
      <c r="H3886">
        <f>INDEX(CBIC_Late_Fee_Relief_Windows_3B!$I$3886:$I$100,MATCH(G3886,CBIC_Late_Fee_Relief_Windows_3B!$O$3886:$O$100,0))</f>
        <v/>
      </c>
      <c r="I3886">
        <f>MIN(F3886,H3886)</f>
        <v/>
      </c>
    </row>
    <row r="3887">
      <c r="A3887">
        <f>TEST_DATA!A3887</f>
        <v/>
      </c>
      <c r="B3887">
        <f>TEST_DATA!B3887</f>
        <v/>
      </c>
      <c r="C3887">
        <f>TEST_DATA!C3887</f>
        <v/>
      </c>
      <c r="D3887">
        <f>TEST_DATA!D3887</f>
        <v/>
      </c>
      <c r="E3887">
        <f>TEST_DATA!E3887</f>
        <v/>
      </c>
      <c r="F3887">
        <f>MIN(E3887*388700,10000)</f>
        <v/>
      </c>
      <c r="G3887">
        <f>MINIFS(CBIC_Late_Fee_Relief_Windows_3B!$O$3887:$O$100,CBIC_Late_Fee_Relief_Windows_3B!$D$3887:$D$100,"&lt;="&amp;B3887,CBIC_Late_Fee_Relief_Windows_3B!$E$3887:$E$100,"&gt;="&amp;B3887,CBIC_Late_Fee_Relief_Windows_3B!$F$3887:$F$100,"&lt;="&amp;C3887,CBIC_Late_Fee_Relief_Windows_3B!$G$3887:$G$100,"&gt;="&amp;C3887)</f>
        <v/>
      </c>
      <c r="H3887">
        <f>INDEX(CBIC_Late_Fee_Relief_Windows_3B!$I$3887:$I$100,MATCH(G3887,CBIC_Late_Fee_Relief_Windows_3B!$O$3887:$O$100,0))</f>
        <v/>
      </c>
      <c r="I3887">
        <f>MIN(F3887,H3887)</f>
        <v/>
      </c>
    </row>
    <row r="3888">
      <c r="A3888">
        <f>TEST_DATA!A3888</f>
        <v/>
      </c>
      <c r="B3888">
        <f>TEST_DATA!B3888</f>
        <v/>
      </c>
      <c r="C3888">
        <f>TEST_DATA!C3888</f>
        <v/>
      </c>
      <c r="D3888">
        <f>TEST_DATA!D3888</f>
        <v/>
      </c>
      <c r="E3888">
        <f>TEST_DATA!E3888</f>
        <v/>
      </c>
      <c r="F3888">
        <f>MIN(E3888*388800,10000)</f>
        <v/>
      </c>
      <c r="G3888">
        <f>MINIFS(CBIC_Late_Fee_Relief_Windows_3B!$O$3888:$O$100,CBIC_Late_Fee_Relief_Windows_3B!$D$3888:$D$100,"&lt;="&amp;B3888,CBIC_Late_Fee_Relief_Windows_3B!$E$3888:$E$100,"&gt;="&amp;B3888,CBIC_Late_Fee_Relief_Windows_3B!$F$3888:$F$100,"&lt;="&amp;C3888,CBIC_Late_Fee_Relief_Windows_3B!$G$3888:$G$100,"&gt;="&amp;C3888)</f>
        <v/>
      </c>
      <c r="H3888">
        <f>INDEX(CBIC_Late_Fee_Relief_Windows_3B!$I$3888:$I$100,MATCH(G3888,CBIC_Late_Fee_Relief_Windows_3B!$O$3888:$O$100,0))</f>
        <v/>
      </c>
      <c r="I3888">
        <f>MIN(F3888,H3888)</f>
        <v/>
      </c>
    </row>
    <row r="3889">
      <c r="A3889">
        <f>TEST_DATA!A3889</f>
        <v/>
      </c>
      <c r="B3889">
        <f>TEST_DATA!B3889</f>
        <v/>
      </c>
      <c r="C3889">
        <f>TEST_DATA!C3889</f>
        <v/>
      </c>
      <c r="D3889">
        <f>TEST_DATA!D3889</f>
        <v/>
      </c>
      <c r="E3889">
        <f>TEST_DATA!E3889</f>
        <v/>
      </c>
      <c r="F3889">
        <f>MIN(E3889*388900,10000)</f>
        <v/>
      </c>
      <c r="G3889">
        <f>MINIFS(CBIC_Late_Fee_Relief_Windows_3B!$O$3889:$O$100,CBIC_Late_Fee_Relief_Windows_3B!$D$3889:$D$100,"&lt;="&amp;B3889,CBIC_Late_Fee_Relief_Windows_3B!$E$3889:$E$100,"&gt;="&amp;B3889,CBIC_Late_Fee_Relief_Windows_3B!$F$3889:$F$100,"&lt;="&amp;C3889,CBIC_Late_Fee_Relief_Windows_3B!$G$3889:$G$100,"&gt;="&amp;C3889)</f>
        <v/>
      </c>
      <c r="H3889">
        <f>INDEX(CBIC_Late_Fee_Relief_Windows_3B!$I$3889:$I$100,MATCH(G3889,CBIC_Late_Fee_Relief_Windows_3B!$O$3889:$O$100,0))</f>
        <v/>
      </c>
      <c r="I3889">
        <f>MIN(F3889,H3889)</f>
        <v/>
      </c>
    </row>
    <row r="3890">
      <c r="A3890">
        <f>TEST_DATA!A3890</f>
        <v/>
      </c>
      <c r="B3890">
        <f>TEST_DATA!B3890</f>
        <v/>
      </c>
      <c r="C3890">
        <f>TEST_DATA!C3890</f>
        <v/>
      </c>
      <c r="D3890">
        <f>TEST_DATA!D3890</f>
        <v/>
      </c>
      <c r="E3890">
        <f>TEST_DATA!E3890</f>
        <v/>
      </c>
      <c r="F3890">
        <f>MIN(E3890*389000,10000)</f>
        <v/>
      </c>
      <c r="G3890">
        <f>MINIFS(CBIC_Late_Fee_Relief_Windows_3B!$O$3890:$O$100,CBIC_Late_Fee_Relief_Windows_3B!$D$3890:$D$100,"&lt;="&amp;B3890,CBIC_Late_Fee_Relief_Windows_3B!$E$3890:$E$100,"&gt;="&amp;B3890,CBIC_Late_Fee_Relief_Windows_3B!$F$3890:$F$100,"&lt;="&amp;C3890,CBIC_Late_Fee_Relief_Windows_3B!$G$3890:$G$100,"&gt;="&amp;C3890)</f>
        <v/>
      </c>
      <c r="H3890">
        <f>INDEX(CBIC_Late_Fee_Relief_Windows_3B!$I$3890:$I$100,MATCH(G3890,CBIC_Late_Fee_Relief_Windows_3B!$O$3890:$O$100,0))</f>
        <v/>
      </c>
      <c r="I3890">
        <f>MIN(F3890,H3890)</f>
        <v/>
      </c>
    </row>
    <row r="3891">
      <c r="A3891">
        <f>TEST_DATA!A3891</f>
        <v/>
      </c>
      <c r="B3891">
        <f>TEST_DATA!B3891</f>
        <v/>
      </c>
      <c r="C3891">
        <f>TEST_DATA!C3891</f>
        <v/>
      </c>
      <c r="D3891">
        <f>TEST_DATA!D3891</f>
        <v/>
      </c>
      <c r="E3891">
        <f>TEST_DATA!E3891</f>
        <v/>
      </c>
      <c r="F3891">
        <f>MIN(E3891*389100,10000)</f>
        <v/>
      </c>
      <c r="G3891">
        <f>MINIFS(CBIC_Late_Fee_Relief_Windows_3B!$O$3891:$O$100,CBIC_Late_Fee_Relief_Windows_3B!$D$3891:$D$100,"&lt;="&amp;B3891,CBIC_Late_Fee_Relief_Windows_3B!$E$3891:$E$100,"&gt;="&amp;B3891,CBIC_Late_Fee_Relief_Windows_3B!$F$3891:$F$100,"&lt;="&amp;C3891,CBIC_Late_Fee_Relief_Windows_3B!$G$3891:$G$100,"&gt;="&amp;C3891)</f>
        <v/>
      </c>
      <c r="H3891">
        <f>INDEX(CBIC_Late_Fee_Relief_Windows_3B!$I$3891:$I$100,MATCH(G3891,CBIC_Late_Fee_Relief_Windows_3B!$O$3891:$O$100,0))</f>
        <v/>
      </c>
      <c r="I3891">
        <f>MIN(F3891,H3891)</f>
        <v/>
      </c>
    </row>
    <row r="3892">
      <c r="A3892">
        <f>TEST_DATA!A3892</f>
        <v/>
      </c>
      <c r="B3892">
        <f>TEST_DATA!B3892</f>
        <v/>
      </c>
      <c r="C3892">
        <f>TEST_DATA!C3892</f>
        <v/>
      </c>
      <c r="D3892">
        <f>TEST_DATA!D3892</f>
        <v/>
      </c>
      <c r="E3892">
        <f>TEST_DATA!E3892</f>
        <v/>
      </c>
      <c r="F3892">
        <f>MIN(E3892*389200,10000)</f>
        <v/>
      </c>
      <c r="G3892">
        <f>MINIFS(CBIC_Late_Fee_Relief_Windows_3B!$O$3892:$O$100,CBIC_Late_Fee_Relief_Windows_3B!$D$3892:$D$100,"&lt;="&amp;B3892,CBIC_Late_Fee_Relief_Windows_3B!$E$3892:$E$100,"&gt;="&amp;B3892,CBIC_Late_Fee_Relief_Windows_3B!$F$3892:$F$100,"&lt;="&amp;C3892,CBIC_Late_Fee_Relief_Windows_3B!$G$3892:$G$100,"&gt;="&amp;C3892)</f>
        <v/>
      </c>
      <c r="H3892">
        <f>INDEX(CBIC_Late_Fee_Relief_Windows_3B!$I$3892:$I$100,MATCH(G3892,CBIC_Late_Fee_Relief_Windows_3B!$O$3892:$O$100,0))</f>
        <v/>
      </c>
      <c r="I3892">
        <f>MIN(F3892,H3892)</f>
        <v/>
      </c>
    </row>
    <row r="3893">
      <c r="A3893">
        <f>TEST_DATA!A3893</f>
        <v/>
      </c>
      <c r="B3893">
        <f>TEST_DATA!B3893</f>
        <v/>
      </c>
      <c r="C3893">
        <f>TEST_DATA!C3893</f>
        <v/>
      </c>
      <c r="D3893">
        <f>TEST_DATA!D3893</f>
        <v/>
      </c>
      <c r="E3893">
        <f>TEST_DATA!E3893</f>
        <v/>
      </c>
      <c r="F3893">
        <f>MIN(E3893*389300,10000)</f>
        <v/>
      </c>
      <c r="G3893">
        <f>MINIFS(CBIC_Late_Fee_Relief_Windows_3B!$O$3893:$O$100,CBIC_Late_Fee_Relief_Windows_3B!$D$3893:$D$100,"&lt;="&amp;B3893,CBIC_Late_Fee_Relief_Windows_3B!$E$3893:$E$100,"&gt;="&amp;B3893,CBIC_Late_Fee_Relief_Windows_3B!$F$3893:$F$100,"&lt;="&amp;C3893,CBIC_Late_Fee_Relief_Windows_3B!$G$3893:$G$100,"&gt;="&amp;C3893)</f>
        <v/>
      </c>
      <c r="H3893">
        <f>INDEX(CBIC_Late_Fee_Relief_Windows_3B!$I$3893:$I$100,MATCH(G3893,CBIC_Late_Fee_Relief_Windows_3B!$O$3893:$O$100,0))</f>
        <v/>
      </c>
      <c r="I3893">
        <f>MIN(F3893,H3893)</f>
        <v/>
      </c>
    </row>
    <row r="3894">
      <c r="A3894">
        <f>TEST_DATA!A3894</f>
        <v/>
      </c>
      <c r="B3894">
        <f>TEST_DATA!B3894</f>
        <v/>
      </c>
      <c r="C3894">
        <f>TEST_DATA!C3894</f>
        <v/>
      </c>
      <c r="D3894">
        <f>TEST_DATA!D3894</f>
        <v/>
      </c>
      <c r="E3894">
        <f>TEST_DATA!E3894</f>
        <v/>
      </c>
      <c r="F3894">
        <f>MIN(E3894*389400,10000)</f>
        <v/>
      </c>
      <c r="G3894">
        <f>MINIFS(CBIC_Late_Fee_Relief_Windows_3B!$O$3894:$O$100,CBIC_Late_Fee_Relief_Windows_3B!$D$3894:$D$100,"&lt;="&amp;B3894,CBIC_Late_Fee_Relief_Windows_3B!$E$3894:$E$100,"&gt;="&amp;B3894,CBIC_Late_Fee_Relief_Windows_3B!$F$3894:$F$100,"&lt;="&amp;C3894,CBIC_Late_Fee_Relief_Windows_3B!$G$3894:$G$100,"&gt;="&amp;C3894)</f>
        <v/>
      </c>
      <c r="H3894">
        <f>INDEX(CBIC_Late_Fee_Relief_Windows_3B!$I$3894:$I$100,MATCH(G3894,CBIC_Late_Fee_Relief_Windows_3B!$O$3894:$O$100,0))</f>
        <v/>
      </c>
      <c r="I3894">
        <f>MIN(F3894,H3894)</f>
        <v/>
      </c>
    </row>
    <row r="3895">
      <c r="A3895">
        <f>TEST_DATA!A3895</f>
        <v/>
      </c>
      <c r="B3895">
        <f>TEST_DATA!B3895</f>
        <v/>
      </c>
      <c r="C3895">
        <f>TEST_DATA!C3895</f>
        <v/>
      </c>
      <c r="D3895">
        <f>TEST_DATA!D3895</f>
        <v/>
      </c>
      <c r="E3895">
        <f>TEST_DATA!E3895</f>
        <v/>
      </c>
      <c r="F3895">
        <f>MIN(E3895*389500,10000)</f>
        <v/>
      </c>
      <c r="G3895">
        <f>MINIFS(CBIC_Late_Fee_Relief_Windows_3B!$O$3895:$O$100,CBIC_Late_Fee_Relief_Windows_3B!$D$3895:$D$100,"&lt;="&amp;B3895,CBIC_Late_Fee_Relief_Windows_3B!$E$3895:$E$100,"&gt;="&amp;B3895,CBIC_Late_Fee_Relief_Windows_3B!$F$3895:$F$100,"&lt;="&amp;C3895,CBIC_Late_Fee_Relief_Windows_3B!$G$3895:$G$100,"&gt;="&amp;C3895)</f>
        <v/>
      </c>
      <c r="H3895">
        <f>INDEX(CBIC_Late_Fee_Relief_Windows_3B!$I$3895:$I$100,MATCH(G3895,CBIC_Late_Fee_Relief_Windows_3B!$O$3895:$O$100,0))</f>
        <v/>
      </c>
      <c r="I3895">
        <f>MIN(F3895,H3895)</f>
        <v/>
      </c>
    </row>
    <row r="3896">
      <c r="A3896">
        <f>TEST_DATA!A3896</f>
        <v/>
      </c>
      <c r="B3896">
        <f>TEST_DATA!B3896</f>
        <v/>
      </c>
      <c r="C3896">
        <f>TEST_DATA!C3896</f>
        <v/>
      </c>
      <c r="D3896">
        <f>TEST_DATA!D3896</f>
        <v/>
      </c>
      <c r="E3896">
        <f>TEST_DATA!E3896</f>
        <v/>
      </c>
      <c r="F3896">
        <f>MIN(E3896*389600,10000)</f>
        <v/>
      </c>
      <c r="G3896">
        <f>MINIFS(CBIC_Late_Fee_Relief_Windows_3B!$O$3896:$O$100,CBIC_Late_Fee_Relief_Windows_3B!$D$3896:$D$100,"&lt;="&amp;B3896,CBIC_Late_Fee_Relief_Windows_3B!$E$3896:$E$100,"&gt;="&amp;B3896,CBIC_Late_Fee_Relief_Windows_3B!$F$3896:$F$100,"&lt;="&amp;C3896,CBIC_Late_Fee_Relief_Windows_3B!$G$3896:$G$100,"&gt;="&amp;C3896)</f>
        <v/>
      </c>
      <c r="H3896">
        <f>INDEX(CBIC_Late_Fee_Relief_Windows_3B!$I$3896:$I$100,MATCH(G3896,CBIC_Late_Fee_Relief_Windows_3B!$O$3896:$O$100,0))</f>
        <v/>
      </c>
      <c r="I3896">
        <f>MIN(F3896,H3896)</f>
        <v/>
      </c>
    </row>
    <row r="3897">
      <c r="A3897">
        <f>TEST_DATA!A3897</f>
        <v/>
      </c>
      <c r="B3897">
        <f>TEST_DATA!B3897</f>
        <v/>
      </c>
      <c r="C3897">
        <f>TEST_DATA!C3897</f>
        <v/>
      </c>
      <c r="D3897">
        <f>TEST_DATA!D3897</f>
        <v/>
      </c>
      <c r="E3897">
        <f>TEST_DATA!E3897</f>
        <v/>
      </c>
      <c r="F3897">
        <f>MIN(E3897*389700,10000)</f>
        <v/>
      </c>
      <c r="G3897">
        <f>MINIFS(CBIC_Late_Fee_Relief_Windows_3B!$O$3897:$O$100,CBIC_Late_Fee_Relief_Windows_3B!$D$3897:$D$100,"&lt;="&amp;B3897,CBIC_Late_Fee_Relief_Windows_3B!$E$3897:$E$100,"&gt;="&amp;B3897,CBIC_Late_Fee_Relief_Windows_3B!$F$3897:$F$100,"&lt;="&amp;C3897,CBIC_Late_Fee_Relief_Windows_3B!$G$3897:$G$100,"&gt;="&amp;C3897)</f>
        <v/>
      </c>
      <c r="H3897">
        <f>INDEX(CBIC_Late_Fee_Relief_Windows_3B!$I$3897:$I$100,MATCH(G3897,CBIC_Late_Fee_Relief_Windows_3B!$O$3897:$O$100,0))</f>
        <v/>
      </c>
      <c r="I3897">
        <f>MIN(F3897,H3897)</f>
        <v/>
      </c>
    </row>
    <row r="3898">
      <c r="A3898">
        <f>TEST_DATA!A3898</f>
        <v/>
      </c>
      <c r="B3898">
        <f>TEST_DATA!B3898</f>
        <v/>
      </c>
      <c r="C3898">
        <f>TEST_DATA!C3898</f>
        <v/>
      </c>
      <c r="D3898">
        <f>TEST_DATA!D3898</f>
        <v/>
      </c>
      <c r="E3898">
        <f>TEST_DATA!E3898</f>
        <v/>
      </c>
      <c r="F3898">
        <f>MIN(E3898*389800,10000)</f>
        <v/>
      </c>
      <c r="G3898">
        <f>MINIFS(CBIC_Late_Fee_Relief_Windows_3B!$O$3898:$O$100,CBIC_Late_Fee_Relief_Windows_3B!$D$3898:$D$100,"&lt;="&amp;B3898,CBIC_Late_Fee_Relief_Windows_3B!$E$3898:$E$100,"&gt;="&amp;B3898,CBIC_Late_Fee_Relief_Windows_3B!$F$3898:$F$100,"&lt;="&amp;C3898,CBIC_Late_Fee_Relief_Windows_3B!$G$3898:$G$100,"&gt;="&amp;C3898)</f>
        <v/>
      </c>
      <c r="H3898">
        <f>INDEX(CBIC_Late_Fee_Relief_Windows_3B!$I$3898:$I$100,MATCH(G3898,CBIC_Late_Fee_Relief_Windows_3B!$O$3898:$O$100,0))</f>
        <v/>
      </c>
      <c r="I3898">
        <f>MIN(F3898,H3898)</f>
        <v/>
      </c>
    </row>
    <row r="3899">
      <c r="A3899">
        <f>TEST_DATA!A3899</f>
        <v/>
      </c>
      <c r="B3899">
        <f>TEST_DATA!B3899</f>
        <v/>
      </c>
      <c r="C3899">
        <f>TEST_DATA!C3899</f>
        <v/>
      </c>
      <c r="D3899">
        <f>TEST_DATA!D3899</f>
        <v/>
      </c>
      <c r="E3899">
        <f>TEST_DATA!E3899</f>
        <v/>
      </c>
      <c r="F3899">
        <f>MIN(E3899*389900,10000)</f>
        <v/>
      </c>
      <c r="G3899">
        <f>MINIFS(CBIC_Late_Fee_Relief_Windows_3B!$O$3899:$O$100,CBIC_Late_Fee_Relief_Windows_3B!$D$3899:$D$100,"&lt;="&amp;B3899,CBIC_Late_Fee_Relief_Windows_3B!$E$3899:$E$100,"&gt;="&amp;B3899,CBIC_Late_Fee_Relief_Windows_3B!$F$3899:$F$100,"&lt;="&amp;C3899,CBIC_Late_Fee_Relief_Windows_3B!$G$3899:$G$100,"&gt;="&amp;C3899)</f>
        <v/>
      </c>
      <c r="H3899">
        <f>INDEX(CBIC_Late_Fee_Relief_Windows_3B!$I$3899:$I$100,MATCH(G3899,CBIC_Late_Fee_Relief_Windows_3B!$O$3899:$O$100,0))</f>
        <v/>
      </c>
      <c r="I3899">
        <f>MIN(F3899,H3899)</f>
        <v/>
      </c>
    </row>
    <row r="3900">
      <c r="A3900">
        <f>TEST_DATA!A3900</f>
        <v/>
      </c>
      <c r="B3900">
        <f>TEST_DATA!B3900</f>
        <v/>
      </c>
      <c r="C3900">
        <f>TEST_DATA!C3900</f>
        <v/>
      </c>
      <c r="D3900">
        <f>TEST_DATA!D3900</f>
        <v/>
      </c>
      <c r="E3900">
        <f>TEST_DATA!E3900</f>
        <v/>
      </c>
      <c r="F3900">
        <f>MIN(E3900*390000,10000)</f>
        <v/>
      </c>
      <c r="G3900">
        <f>MINIFS(CBIC_Late_Fee_Relief_Windows_3B!$O$3900:$O$100,CBIC_Late_Fee_Relief_Windows_3B!$D$3900:$D$100,"&lt;="&amp;B3900,CBIC_Late_Fee_Relief_Windows_3B!$E$3900:$E$100,"&gt;="&amp;B3900,CBIC_Late_Fee_Relief_Windows_3B!$F$3900:$F$100,"&lt;="&amp;C3900,CBIC_Late_Fee_Relief_Windows_3B!$G$3900:$G$100,"&gt;="&amp;C3900)</f>
        <v/>
      </c>
      <c r="H3900">
        <f>INDEX(CBIC_Late_Fee_Relief_Windows_3B!$I$3900:$I$100,MATCH(G3900,CBIC_Late_Fee_Relief_Windows_3B!$O$3900:$O$100,0))</f>
        <v/>
      </c>
      <c r="I3900">
        <f>MIN(F3900,H3900)</f>
        <v/>
      </c>
    </row>
    <row r="3901">
      <c r="A3901">
        <f>TEST_DATA!A3901</f>
        <v/>
      </c>
      <c r="B3901">
        <f>TEST_DATA!B3901</f>
        <v/>
      </c>
      <c r="C3901">
        <f>TEST_DATA!C3901</f>
        <v/>
      </c>
      <c r="D3901">
        <f>TEST_DATA!D3901</f>
        <v/>
      </c>
      <c r="E3901">
        <f>TEST_DATA!E3901</f>
        <v/>
      </c>
      <c r="F3901">
        <f>MIN(E3901*390100,10000)</f>
        <v/>
      </c>
      <c r="G3901">
        <f>MINIFS(CBIC_Late_Fee_Relief_Windows_3B!$O$3901:$O$100,CBIC_Late_Fee_Relief_Windows_3B!$D$3901:$D$100,"&lt;="&amp;B3901,CBIC_Late_Fee_Relief_Windows_3B!$E$3901:$E$100,"&gt;="&amp;B3901,CBIC_Late_Fee_Relief_Windows_3B!$F$3901:$F$100,"&lt;="&amp;C3901,CBIC_Late_Fee_Relief_Windows_3B!$G$3901:$G$100,"&gt;="&amp;C3901)</f>
        <v/>
      </c>
      <c r="H3901">
        <f>INDEX(CBIC_Late_Fee_Relief_Windows_3B!$I$3901:$I$100,MATCH(G3901,CBIC_Late_Fee_Relief_Windows_3B!$O$3901:$O$100,0))</f>
        <v/>
      </c>
      <c r="I3901">
        <f>MIN(F3901,H3901)</f>
        <v/>
      </c>
    </row>
    <row r="3902">
      <c r="A3902">
        <f>TEST_DATA!A3902</f>
        <v/>
      </c>
      <c r="B3902">
        <f>TEST_DATA!B3902</f>
        <v/>
      </c>
      <c r="C3902">
        <f>TEST_DATA!C3902</f>
        <v/>
      </c>
      <c r="D3902">
        <f>TEST_DATA!D3902</f>
        <v/>
      </c>
      <c r="E3902">
        <f>TEST_DATA!E3902</f>
        <v/>
      </c>
      <c r="F3902">
        <f>MIN(E3902*390200,10000)</f>
        <v/>
      </c>
      <c r="G3902">
        <f>MINIFS(CBIC_Late_Fee_Relief_Windows_3B!$O$3902:$O$100,CBIC_Late_Fee_Relief_Windows_3B!$D$3902:$D$100,"&lt;="&amp;B3902,CBIC_Late_Fee_Relief_Windows_3B!$E$3902:$E$100,"&gt;="&amp;B3902,CBIC_Late_Fee_Relief_Windows_3B!$F$3902:$F$100,"&lt;="&amp;C3902,CBIC_Late_Fee_Relief_Windows_3B!$G$3902:$G$100,"&gt;="&amp;C3902)</f>
        <v/>
      </c>
      <c r="H3902">
        <f>INDEX(CBIC_Late_Fee_Relief_Windows_3B!$I$3902:$I$100,MATCH(G3902,CBIC_Late_Fee_Relief_Windows_3B!$O$3902:$O$100,0))</f>
        <v/>
      </c>
      <c r="I3902">
        <f>MIN(F3902,H3902)</f>
        <v/>
      </c>
    </row>
    <row r="3903">
      <c r="A3903">
        <f>TEST_DATA!A3903</f>
        <v/>
      </c>
      <c r="B3903">
        <f>TEST_DATA!B3903</f>
        <v/>
      </c>
      <c r="C3903">
        <f>TEST_DATA!C3903</f>
        <v/>
      </c>
      <c r="D3903">
        <f>TEST_DATA!D3903</f>
        <v/>
      </c>
      <c r="E3903">
        <f>TEST_DATA!E3903</f>
        <v/>
      </c>
      <c r="F3903">
        <f>MIN(E3903*390300,10000)</f>
        <v/>
      </c>
      <c r="G3903">
        <f>MINIFS(CBIC_Late_Fee_Relief_Windows_3B!$O$3903:$O$100,CBIC_Late_Fee_Relief_Windows_3B!$D$3903:$D$100,"&lt;="&amp;B3903,CBIC_Late_Fee_Relief_Windows_3B!$E$3903:$E$100,"&gt;="&amp;B3903,CBIC_Late_Fee_Relief_Windows_3B!$F$3903:$F$100,"&lt;="&amp;C3903,CBIC_Late_Fee_Relief_Windows_3B!$G$3903:$G$100,"&gt;="&amp;C3903)</f>
        <v/>
      </c>
      <c r="H3903">
        <f>INDEX(CBIC_Late_Fee_Relief_Windows_3B!$I$3903:$I$100,MATCH(G3903,CBIC_Late_Fee_Relief_Windows_3B!$O$3903:$O$100,0))</f>
        <v/>
      </c>
      <c r="I3903">
        <f>MIN(F3903,H3903)</f>
        <v/>
      </c>
    </row>
    <row r="3904">
      <c r="A3904">
        <f>TEST_DATA!A3904</f>
        <v/>
      </c>
      <c r="B3904">
        <f>TEST_DATA!B3904</f>
        <v/>
      </c>
      <c r="C3904">
        <f>TEST_DATA!C3904</f>
        <v/>
      </c>
      <c r="D3904">
        <f>TEST_DATA!D3904</f>
        <v/>
      </c>
      <c r="E3904">
        <f>TEST_DATA!E3904</f>
        <v/>
      </c>
      <c r="F3904">
        <f>MIN(E3904*390400,10000)</f>
        <v/>
      </c>
      <c r="G3904">
        <f>MINIFS(CBIC_Late_Fee_Relief_Windows_3B!$O$3904:$O$100,CBIC_Late_Fee_Relief_Windows_3B!$D$3904:$D$100,"&lt;="&amp;B3904,CBIC_Late_Fee_Relief_Windows_3B!$E$3904:$E$100,"&gt;="&amp;B3904,CBIC_Late_Fee_Relief_Windows_3B!$F$3904:$F$100,"&lt;="&amp;C3904,CBIC_Late_Fee_Relief_Windows_3B!$G$3904:$G$100,"&gt;="&amp;C3904)</f>
        <v/>
      </c>
      <c r="H3904">
        <f>INDEX(CBIC_Late_Fee_Relief_Windows_3B!$I$3904:$I$100,MATCH(G3904,CBIC_Late_Fee_Relief_Windows_3B!$O$3904:$O$100,0))</f>
        <v/>
      </c>
      <c r="I3904">
        <f>MIN(F3904,H3904)</f>
        <v/>
      </c>
    </row>
    <row r="3905">
      <c r="A3905">
        <f>TEST_DATA!A3905</f>
        <v/>
      </c>
      <c r="B3905">
        <f>TEST_DATA!B3905</f>
        <v/>
      </c>
      <c r="C3905">
        <f>TEST_DATA!C3905</f>
        <v/>
      </c>
      <c r="D3905">
        <f>TEST_DATA!D3905</f>
        <v/>
      </c>
      <c r="E3905">
        <f>TEST_DATA!E3905</f>
        <v/>
      </c>
      <c r="F3905">
        <f>MIN(E3905*390500,10000)</f>
        <v/>
      </c>
      <c r="G3905">
        <f>MINIFS(CBIC_Late_Fee_Relief_Windows_3B!$O$3905:$O$100,CBIC_Late_Fee_Relief_Windows_3B!$D$3905:$D$100,"&lt;="&amp;B3905,CBIC_Late_Fee_Relief_Windows_3B!$E$3905:$E$100,"&gt;="&amp;B3905,CBIC_Late_Fee_Relief_Windows_3B!$F$3905:$F$100,"&lt;="&amp;C3905,CBIC_Late_Fee_Relief_Windows_3B!$G$3905:$G$100,"&gt;="&amp;C3905)</f>
        <v/>
      </c>
      <c r="H3905">
        <f>INDEX(CBIC_Late_Fee_Relief_Windows_3B!$I$3905:$I$100,MATCH(G3905,CBIC_Late_Fee_Relief_Windows_3B!$O$3905:$O$100,0))</f>
        <v/>
      </c>
      <c r="I3905">
        <f>MIN(F3905,H3905)</f>
        <v/>
      </c>
    </row>
    <row r="3906">
      <c r="A3906">
        <f>TEST_DATA!A3906</f>
        <v/>
      </c>
      <c r="B3906">
        <f>TEST_DATA!B3906</f>
        <v/>
      </c>
      <c r="C3906">
        <f>TEST_DATA!C3906</f>
        <v/>
      </c>
      <c r="D3906">
        <f>TEST_DATA!D3906</f>
        <v/>
      </c>
      <c r="E3906">
        <f>TEST_DATA!E3906</f>
        <v/>
      </c>
      <c r="F3906">
        <f>MIN(E3906*390600,10000)</f>
        <v/>
      </c>
      <c r="G3906">
        <f>MINIFS(CBIC_Late_Fee_Relief_Windows_3B!$O$3906:$O$100,CBIC_Late_Fee_Relief_Windows_3B!$D$3906:$D$100,"&lt;="&amp;B3906,CBIC_Late_Fee_Relief_Windows_3B!$E$3906:$E$100,"&gt;="&amp;B3906,CBIC_Late_Fee_Relief_Windows_3B!$F$3906:$F$100,"&lt;="&amp;C3906,CBIC_Late_Fee_Relief_Windows_3B!$G$3906:$G$100,"&gt;="&amp;C3906)</f>
        <v/>
      </c>
      <c r="H3906">
        <f>INDEX(CBIC_Late_Fee_Relief_Windows_3B!$I$3906:$I$100,MATCH(G3906,CBIC_Late_Fee_Relief_Windows_3B!$O$3906:$O$100,0))</f>
        <v/>
      </c>
      <c r="I3906">
        <f>MIN(F3906,H3906)</f>
        <v/>
      </c>
    </row>
    <row r="3907">
      <c r="A3907">
        <f>TEST_DATA!A3907</f>
        <v/>
      </c>
      <c r="B3907">
        <f>TEST_DATA!B3907</f>
        <v/>
      </c>
      <c r="C3907">
        <f>TEST_DATA!C3907</f>
        <v/>
      </c>
      <c r="D3907">
        <f>TEST_DATA!D3907</f>
        <v/>
      </c>
      <c r="E3907">
        <f>TEST_DATA!E3907</f>
        <v/>
      </c>
      <c r="F3907">
        <f>MIN(E3907*390700,10000)</f>
        <v/>
      </c>
      <c r="G3907">
        <f>MINIFS(CBIC_Late_Fee_Relief_Windows_3B!$O$3907:$O$100,CBIC_Late_Fee_Relief_Windows_3B!$D$3907:$D$100,"&lt;="&amp;B3907,CBIC_Late_Fee_Relief_Windows_3B!$E$3907:$E$100,"&gt;="&amp;B3907,CBIC_Late_Fee_Relief_Windows_3B!$F$3907:$F$100,"&lt;="&amp;C3907,CBIC_Late_Fee_Relief_Windows_3B!$G$3907:$G$100,"&gt;="&amp;C3907)</f>
        <v/>
      </c>
      <c r="H3907">
        <f>INDEX(CBIC_Late_Fee_Relief_Windows_3B!$I$3907:$I$100,MATCH(G3907,CBIC_Late_Fee_Relief_Windows_3B!$O$3907:$O$100,0))</f>
        <v/>
      </c>
      <c r="I3907">
        <f>MIN(F3907,H3907)</f>
        <v/>
      </c>
    </row>
    <row r="3908">
      <c r="A3908">
        <f>TEST_DATA!A3908</f>
        <v/>
      </c>
      <c r="B3908">
        <f>TEST_DATA!B3908</f>
        <v/>
      </c>
      <c r="C3908">
        <f>TEST_DATA!C3908</f>
        <v/>
      </c>
      <c r="D3908">
        <f>TEST_DATA!D3908</f>
        <v/>
      </c>
      <c r="E3908">
        <f>TEST_DATA!E3908</f>
        <v/>
      </c>
      <c r="F3908">
        <f>MIN(E3908*390800,10000)</f>
        <v/>
      </c>
      <c r="G3908">
        <f>MINIFS(CBIC_Late_Fee_Relief_Windows_3B!$O$3908:$O$100,CBIC_Late_Fee_Relief_Windows_3B!$D$3908:$D$100,"&lt;="&amp;B3908,CBIC_Late_Fee_Relief_Windows_3B!$E$3908:$E$100,"&gt;="&amp;B3908,CBIC_Late_Fee_Relief_Windows_3B!$F$3908:$F$100,"&lt;="&amp;C3908,CBIC_Late_Fee_Relief_Windows_3B!$G$3908:$G$100,"&gt;="&amp;C3908)</f>
        <v/>
      </c>
      <c r="H3908">
        <f>INDEX(CBIC_Late_Fee_Relief_Windows_3B!$I$3908:$I$100,MATCH(G3908,CBIC_Late_Fee_Relief_Windows_3B!$O$3908:$O$100,0))</f>
        <v/>
      </c>
      <c r="I3908">
        <f>MIN(F3908,H3908)</f>
        <v/>
      </c>
    </row>
    <row r="3909">
      <c r="A3909">
        <f>TEST_DATA!A3909</f>
        <v/>
      </c>
      <c r="B3909">
        <f>TEST_DATA!B3909</f>
        <v/>
      </c>
      <c r="C3909">
        <f>TEST_DATA!C3909</f>
        <v/>
      </c>
      <c r="D3909">
        <f>TEST_DATA!D3909</f>
        <v/>
      </c>
      <c r="E3909">
        <f>TEST_DATA!E3909</f>
        <v/>
      </c>
      <c r="F3909">
        <f>MIN(E3909*390900,10000)</f>
        <v/>
      </c>
      <c r="G3909">
        <f>MINIFS(CBIC_Late_Fee_Relief_Windows_3B!$O$3909:$O$100,CBIC_Late_Fee_Relief_Windows_3B!$D$3909:$D$100,"&lt;="&amp;B3909,CBIC_Late_Fee_Relief_Windows_3B!$E$3909:$E$100,"&gt;="&amp;B3909,CBIC_Late_Fee_Relief_Windows_3B!$F$3909:$F$100,"&lt;="&amp;C3909,CBIC_Late_Fee_Relief_Windows_3B!$G$3909:$G$100,"&gt;="&amp;C3909)</f>
        <v/>
      </c>
      <c r="H3909">
        <f>INDEX(CBIC_Late_Fee_Relief_Windows_3B!$I$3909:$I$100,MATCH(G3909,CBIC_Late_Fee_Relief_Windows_3B!$O$3909:$O$100,0))</f>
        <v/>
      </c>
      <c r="I3909">
        <f>MIN(F3909,H3909)</f>
        <v/>
      </c>
    </row>
    <row r="3910">
      <c r="A3910">
        <f>TEST_DATA!A3910</f>
        <v/>
      </c>
      <c r="B3910">
        <f>TEST_DATA!B3910</f>
        <v/>
      </c>
      <c r="C3910">
        <f>TEST_DATA!C3910</f>
        <v/>
      </c>
      <c r="D3910">
        <f>TEST_DATA!D3910</f>
        <v/>
      </c>
      <c r="E3910">
        <f>TEST_DATA!E3910</f>
        <v/>
      </c>
      <c r="F3910">
        <f>MIN(E3910*391000,10000)</f>
        <v/>
      </c>
      <c r="G3910">
        <f>MINIFS(CBIC_Late_Fee_Relief_Windows_3B!$O$3910:$O$100,CBIC_Late_Fee_Relief_Windows_3B!$D$3910:$D$100,"&lt;="&amp;B3910,CBIC_Late_Fee_Relief_Windows_3B!$E$3910:$E$100,"&gt;="&amp;B3910,CBIC_Late_Fee_Relief_Windows_3B!$F$3910:$F$100,"&lt;="&amp;C3910,CBIC_Late_Fee_Relief_Windows_3B!$G$3910:$G$100,"&gt;="&amp;C3910)</f>
        <v/>
      </c>
      <c r="H3910">
        <f>INDEX(CBIC_Late_Fee_Relief_Windows_3B!$I$3910:$I$100,MATCH(G3910,CBIC_Late_Fee_Relief_Windows_3B!$O$3910:$O$100,0))</f>
        <v/>
      </c>
      <c r="I3910">
        <f>MIN(F3910,H3910)</f>
        <v/>
      </c>
    </row>
    <row r="3911">
      <c r="A3911">
        <f>TEST_DATA!A3911</f>
        <v/>
      </c>
      <c r="B3911">
        <f>TEST_DATA!B3911</f>
        <v/>
      </c>
      <c r="C3911">
        <f>TEST_DATA!C3911</f>
        <v/>
      </c>
      <c r="D3911">
        <f>TEST_DATA!D3911</f>
        <v/>
      </c>
      <c r="E3911">
        <f>TEST_DATA!E3911</f>
        <v/>
      </c>
      <c r="F3911">
        <f>MIN(E3911*391100,10000)</f>
        <v/>
      </c>
      <c r="G3911">
        <f>MINIFS(CBIC_Late_Fee_Relief_Windows_3B!$O$3911:$O$100,CBIC_Late_Fee_Relief_Windows_3B!$D$3911:$D$100,"&lt;="&amp;B3911,CBIC_Late_Fee_Relief_Windows_3B!$E$3911:$E$100,"&gt;="&amp;B3911,CBIC_Late_Fee_Relief_Windows_3B!$F$3911:$F$100,"&lt;="&amp;C3911,CBIC_Late_Fee_Relief_Windows_3B!$G$3911:$G$100,"&gt;="&amp;C3911)</f>
        <v/>
      </c>
      <c r="H3911">
        <f>INDEX(CBIC_Late_Fee_Relief_Windows_3B!$I$3911:$I$100,MATCH(G3911,CBIC_Late_Fee_Relief_Windows_3B!$O$3911:$O$100,0))</f>
        <v/>
      </c>
      <c r="I3911">
        <f>MIN(F3911,H3911)</f>
        <v/>
      </c>
    </row>
    <row r="3912">
      <c r="A3912">
        <f>TEST_DATA!A3912</f>
        <v/>
      </c>
      <c r="B3912">
        <f>TEST_DATA!B3912</f>
        <v/>
      </c>
      <c r="C3912">
        <f>TEST_DATA!C3912</f>
        <v/>
      </c>
      <c r="D3912">
        <f>TEST_DATA!D3912</f>
        <v/>
      </c>
      <c r="E3912">
        <f>TEST_DATA!E3912</f>
        <v/>
      </c>
      <c r="F3912">
        <f>MIN(E3912*391200,10000)</f>
        <v/>
      </c>
      <c r="G3912">
        <f>MINIFS(CBIC_Late_Fee_Relief_Windows_3B!$O$3912:$O$100,CBIC_Late_Fee_Relief_Windows_3B!$D$3912:$D$100,"&lt;="&amp;B3912,CBIC_Late_Fee_Relief_Windows_3B!$E$3912:$E$100,"&gt;="&amp;B3912,CBIC_Late_Fee_Relief_Windows_3B!$F$3912:$F$100,"&lt;="&amp;C3912,CBIC_Late_Fee_Relief_Windows_3B!$G$3912:$G$100,"&gt;="&amp;C3912)</f>
        <v/>
      </c>
      <c r="H3912">
        <f>INDEX(CBIC_Late_Fee_Relief_Windows_3B!$I$3912:$I$100,MATCH(G3912,CBIC_Late_Fee_Relief_Windows_3B!$O$3912:$O$100,0))</f>
        <v/>
      </c>
      <c r="I3912">
        <f>MIN(F3912,H3912)</f>
        <v/>
      </c>
    </row>
    <row r="3913">
      <c r="A3913">
        <f>TEST_DATA!A3913</f>
        <v/>
      </c>
      <c r="B3913">
        <f>TEST_DATA!B3913</f>
        <v/>
      </c>
      <c r="C3913">
        <f>TEST_DATA!C3913</f>
        <v/>
      </c>
      <c r="D3913">
        <f>TEST_DATA!D3913</f>
        <v/>
      </c>
      <c r="E3913">
        <f>TEST_DATA!E3913</f>
        <v/>
      </c>
      <c r="F3913">
        <f>MIN(E3913*391300,10000)</f>
        <v/>
      </c>
      <c r="G3913">
        <f>MINIFS(CBIC_Late_Fee_Relief_Windows_3B!$O$3913:$O$100,CBIC_Late_Fee_Relief_Windows_3B!$D$3913:$D$100,"&lt;="&amp;B3913,CBIC_Late_Fee_Relief_Windows_3B!$E$3913:$E$100,"&gt;="&amp;B3913,CBIC_Late_Fee_Relief_Windows_3B!$F$3913:$F$100,"&lt;="&amp;C3913,CBIC_Late_Fee_Relief_Windows_3B!$G$3913:$G$100,"&gt;="&amp;C3913)</f>
        <v/>
      </c>
      <c r="H3913">
        <f>INDEX(CBIC_Late_Fee_Relief_Windows_3B!$I$3913:$I$100,MATCH(G3913,CBIC_Late_Fee_Relief_Windows_3B!$O$3913:$O$100,0))</f>
        <v/>
      </c>
      <c r="I3913">
        <f>MIN(F3913,H3913)</f>
        <v/>
      </c>
    </row>
    <row r="3914">
      <c r="A3914">
        <f>TEST_DATA!A3914</f>
        <v/>
      </c>
      <c r="B3914">
        <f>TEST_DATA!B3914</f>
        <v/>
      </c>
      <c r="C3914">
        <f>TEST_DATA!C3914</f>
        <v/>
      </c>
      <c r="D3914">
        <f>TEST_DATA!D3914</f>
        <v/>
      </c>
      <c r="E3914">
        <f>TEST_DATA!E3914</f>
        <v/>
      </c>
      <c r="F3914">
        <f>MIN(E3914*391400,10000)</f>
        <v/>
      </c>
      <c r="G3914">
        <f>MINIFS(CBIC_Late_Fee_Relief_Windows_3B!$O$3914:$O$100,CBIC_Late_Fee_Relief_Windows_3B!$D$3914:$D$100,"&lt;="&amp;B3914,CBIC_Late_Fee_Relief_Windows_3B!$E$3914:$E$100,"&gt;="&amp;B3914,CBIC_Late_Fee_Relief_Windows_3B!$F$3914:$F$100,"&lt;="&amp;C3914,CBIC_Late_Fee_Relief_Windows_3B!$G$3914:$G$100,"&gt;="&amp;C3914)</f>
        <v/>
      </c>
      <c r="H3914">
        <f>INDEX(CBIC_Late_Fee_Relief_Windows_3B!$I$3914:$I$100,MATCH(G3914,CBIC_Late_Fee_Relief_Windows_3B!$O$3914:$O$100,0))</f>
        <v/>
      </c>
      <c r="I3914">
        <f>MIN(F3914,H3914)</f>
        <v/>
      </c>
    </row>
    <row r="3915">
      <c r="A3915">
        <f>TEST_DATA!A3915</f>
        <v/>
      </c>
      <c r="B3915">
        <f>TEST_DATA!B3915</f>
        <v/>
      </c>
      <c r="C3915">
        <f>TEST_DATA!C3915</f>
        <v/>
      </c>
      <c r="D3915">
        <f>TEST_DATA!D3915</f>
        <v/>
      </c>
      <c r="E3915">
        <f>TEST_DATA!E3915</f>
        <v/>
      </c>
      <c r="F3915">
        <f>MIN(E3915*391500,10000)</f>
        <v/>
      </c>
      <c r="G3915">
        <f>MINIFS(CBIC_Late_Fee_Relief_Windows_3B!$O$3915:$O$100,CBIC_Late_Fee_Relief_Windows_3B!$D$3915:$D$100,"&lt;="&amp;B3915,CBIC_Late_Fee_Relief_Windows_3B!$E$3915:$E$100,"&gt;="&amp;B3915,CBIC_Late_Fee_Relief_Windows_3B!$F$3915:$F$100,"&lt;="&amp;C3915,CBIC_Late_Fee_Relief_Windows_3B!$G$3915:$G$100,"&gt;="&amp;C3915)</f>
        <v/>
      </c>
      <c r="H3915">
        <f>INDEX(CBIC_Late_Fee_Relief_Windows_3B!$I$3915:$I$100,MATCH(G3915,CBIC_Late_Fee_Relief_Windows_3B!$O$3915:$O$100,0))</f>
        <v/>
      </c>
      <c r="I3915">
        <f>MIN(F3915,H3915)</f>
        <v/>
      </c>
    </row>
    <row r="3916">
      <c r="A3916">
        <f>TEST_DATA!A3916</f>
        <v/>
      </c>
      <c r="B3916">
        <f>TEST_DATA!B3916</f>
        <v/>
      </c>
      <c r="C3916">
        <f>TEST_DATA!C3916</f>
        <v/>
      </c>
      <c r="D3916">
        <f>TEST_DATA!D3916</f>
        <v/>
      </c>
      <c r="E3916">
        <f>TEST_DATA!E3916</f>
        <v/>
      </c>
      <c r="F3916">
        <f>MIN(E3916*391600,10000)</f>
        <v/>
      </c>
      <c r="G3916">
        <f>MINIFS(CBIC_Late_Fee_Relief_Windows_3B!$O$3916:$O$100,CBIC_Late_Fee_Relief_Windows_3B!$D$3916:$D$100,"&lt;="&amp;B3916,CBIC_Late_Fee_Relief_Windows_3B!$E$3916:$E$100,"&gt;="&amp;B3916,CBIC_Late_Fee_Relief_Windows_3B!$F$3916:$F$100,"&lt;="&amp;C3916,CBIC_Late_Fee_Relief_Windows_3B!$G$3916:$G$100,"&gt;="&amp;C3916)</f>
        <v/>
      </c>
      <c r="H3916">
        <f>INDEX(CBIC_Late_Fee_Relief_Windows_3B!$I$3916:$I$100,MATCH(G3916,CBIC_Late_Fee_Relief_Windows_3B!$O$3916:$O$100,0))</f>
        <v/>
      </c>
      <c r="I3916">
        <f>MIN(F3916,H3916)</f>
        <v/>
      </c>
    </row>
    <row r="3917">
      <c r="A3917">
        <f>TEST_DATA!A3917</f>
        <v/>
      </c>
      <c r="B3917">
        <f>TEST_DATA!B3917</f>
        <v/>
      </c>
      <c r="C3917">
        <f>TEST_DATA!C3917</f>
        <v/>
      </c>
      <c r="D3917">
        <f>TEST_DATA!D3917</f>
        <v/>
      </c>
      <c r="E3917">
        <f>TEST_DATA!E3917</f>
        <v/>
      </c>
      <c r="F3917">
        <f>MIN(E3917*391700,10000)</f>
        <v/>
      </c>
      <c r="G3917">
        <f>MINIFS(CBIC_Late_Fee_Relief_Windows_3B!$O$3917:$O$100,CBIC_Late_Fee_Relief_Windows_3B!$D$3917:$D$100,"&lt;="&amp;B3917,CBIC_Late_Fee_Relief_Windows_3B!$E$3917:$E$100,"&gt;="&amp;B3917,CBIC_Late_Fee_Relief_Windows_3B!$F$3917:$F$100,"&lt;="&amp;C3917,CBIC_Late_Fee_Relief_Windows_3B!$G$3917:$G$100,"&gt;="&amp;C3917)</f>
        <v/>
      </c>
      <c r="H3917">
        <f>INDEX(CBIC_Late_Fee_Relief_Windows_3B!$I$3917:$I$100,MATCH(G3917,CBIC_Late_Fee_Relief_Windows_3B!$O$3917:$O$100,0))</f>
        <v/>
      </c>
      <c r="I3917">
        <f>MIN(F3917,H3917)</f>
        <v/>
      </c>
    </row>
    <row r="3918">
      <c r="A3918">
        <f>TEST_DATA!A3918</f>
        <v/>
      </c>
      <c r="B3918">
        <f>TEST_DATA!B3918</f>
        <v/>
      </c>
      <c r="C3918">
        <f>TEST_DATA!C3918</f>
        <v/>
      </c>
      <c r="D3918">
        <f>TEST_DATA!D3918</f>
        <v/>
      </c>
      <c r="E3918">
        <f>TEST_DATA!E3918</f>
        <v/>
      </c>
      <c r="F3918">
        <f>MIN(E3918*391800,10000)</f>
        <v/>
      </c>
      <c r="G3918">
        <f>MINIFS(CBIC_Late_Fee_Relief_Windows_3B!$O$3918:$O$100,CBIC_Late_Fee_Relief_Windows_3B!$D$3918:$D$100,"&lt;="&amp;B3918,CBIC_Late_Fee_Relief_Windows_3B!$E$3918:$E$100,"&gt;="&amp;B3918,CBIC_Late_Fee_Relief_Windows_3B!$F$3918:$F$100,"&lt;="&amp;C3918,CBIC_Late_Fee_Relief_Windows_3B!$G$3918:$G$100,"&gt;="&amp;C3918)</f>
        <v/>
      </c>
      <c r="H3918">
        <f>INDEX(CBIC_Late_Fee_Relief_Windows_3B!$I$3918:$I$100,MATCH(G3918,CBIC_Late_Fee_Relief_Windows_3B!$O$3918:$O$100,0))</f>
        <v/>
      </c>
      <c r="I3918">
        <f>MIN(F3918,H3918)</f>
        <v/>
      </c>
    </row>
    <row r="3919">
      <c r="A3919">
        <f>TEST_DATA!A3919</f>
        <v/>
      </c>
      <c r="B3919">
        <f>TEST_DATA!B3919</f>
        <v/>
      </c>
      <c r="C3919">
        <f>TEST_DATA!C3919</f>
        <v/>
      </c>
      <c r="D3919">
        <f>TEST_DATA!D3919</f>
        <v/>
      </c>
      <c r="E3919">
        <f>TEST_DATA!E3919</f>
        <v/>
      </c>
      <c r="F3919">
        <f>MIN(E3919*391900,10000)</f>
        <v/>
      </c>
      <c r="G3919">
        <f>MINIFS(CBIC_Late_Fee_Relief_Windows_3B!$O$3919:$O$100,CBIC_Late_Fee_Relief_Windows_3B!$D$3919:$D$100,"&lt;="&amp;B3919,CBIC_Late_Fee_Relief_Windows_3B!$E$3919:$E$100,"&gt;="&amp;B3919,CBIC_Late_Fee_Relief_Windows_3B!$F$3919:$F$100,"&lt;="&amp;C3919,CBIC_Late_Fee_Relief_Windows_3B!$G$3919:$G$100,"&gt;="&amp;C3919)</f>
        <v/>
      </c>
      <c r="H3919">
        <f>INDEX(CBIC_Late_Fee_Relief_Windows_3B!$I$3919:$I$100,MATCH(G3919,CBIC_Late_Fee_Relief_Windows_3B!$O$3919:$O$100,0))</f>
        <v/>
      </c>
      <c r="I3919">
        <f>MIN(F3919,H3919)</f>
        <v/>
      </c>
    </row>
    <row r="3920">
      <c r="A3920">
        <f>TEST_DATA!A3920</f>
        <v/>
      </c>
      <c r="B3920">
        <f>TEST_DATA!B3920</f>
        <v/>
      </c>
      <c r="C3920">
        <f>TEST_DATA!C3920</f>
        <v/>
      </c>
      <c r="D3920">
        <f>TEST_DATA!D3920</f>
        <v/>
      </c>
      <c r="E3920">
        <f>TEST_DATA!E3920</f>
        <v/>
      </c>
      <c r="F3920">
        <f>MIN(E3920*392000,10000)</f>
        <v/>
      </c>
      <c r="G3920">
        <f>MINIFS(CBIC_Late_Fee_Relief_Windows_3B!$O$3920:$O$100,CBIC_Late_Fee_Relief_Windows_3B!$D$3920:$D$100,"&lt;="&amp;B3920,CBIC_Late_Fee_Relief_Windows_3B!$E$3920:$E$100,"&gt;="&amp;B3920,CBIC_Late_Fee_Relief_Windows_3B!$F$3920:$F$100,"&lt;="&amp;C3920,CBIC_Late_Fee_Relief_Windows_3B!$G$3920:$G$100,"&gt;="&amp;C3920)</f>
        <v/>
      </c>
      <c r="H3920">
        <f>INDEX(CBIC_Late_Fee_Relief_Windows_3B!$I$3920:$I$100,MATCH(G3920,CBIC_Late_Fee_Relief_Windows_3B!$O$3920:$O$100,0))</f>
        <v/>
      </c>
      <c r="I3920">
        <f>MIN(F3920,H3920)</f>
        <v/>
      </c>
    </row>
    <row r="3921">
      <c r="A3921">
        <f>TEST_DATA!A3921</f>
        <v/>
      </c>
      <c r="B3921">
        <f>TEST_DATA!B3921</f>
        <v/>
      </c>
      <c r="C3921">
        <f>TEST_DATA!C3921</f>
        <v/>
      </c>
      <c r="D3921">
        <f>TEST_DATA!D3921</f>
        <v/>
      </c>
      <c r="E3921">
        <f>TEST_DATA!E3921</f>
        <v/>
      </c>
      <c r="F3921">
        <f>MIN(E3921*392100,10000)</f>
        <v/>
      </c>
      <c r="G3921">
        <f>MINIFS(CBIC_Late_Fee_Relief_Windows_3B!$O$3921:$O$100,CBIC_Late_Fee_Relief_Windows_3B!$D$3921:$D$100,"&lt;="&amp;B3921,CBIC_Late_Fee_Relief_Windows_3B!$E$3921:$E$100,"&gt;="&amp;B3921,CBIC_Late_Fee_Relief_Windows_3B!$F$3921:$F$100,"&lt;="&amp;C3921,CBIC_Late_Fee_Relief_Windows_3B!$G$3921:$G$100,"&gt;="&amp;C3921)</f>
        <v/>
      </c>
      <c r="H3921">
        <f>INDEX(CBIC_Late_Fee_Relief_Windows_3B!$I$3921:$I$100,MATCH(G3921,CBIC_Late_Fee_Relief_Windows_3B!$O$3921:$O$100,0))</f>
        <v/>
      </c>
      <c r="I3921">
        <f>MIN(F3921,H3921)</f>
        <v/>
      </c>
    </row>
    <row r="3922">
      <c r="A3922">
        <f>TEST_DATA!A3922</f>
        <v/>
      </c>
      <c r="B3922">
        <f>TEST_DATA!B3922</f>
        <v/>
      </c>
      <c r="C3922">
        <f>TEST_DATA!C3922</f>
        <v/>
      </c>
      <c r="D3922">
        <f>TEST_DATA!D3922</f>
        <v/>
      </c>
      <c r="E3922">
        <f>TEST_DATA!E3922</f>
        <v/>
      </c>
      <c r="F3922">
        <f>MIN(E3922*392200,10000)</f>
        <v/>
      </c>
      <c r="G3922">
        <f>MINIFS(CBIC_Late_Fee_Relief_Windows_3B!$O$3922:$O$100,CBIC_Late_Fee_Relief_Windows_3B!$D$3922:$D$100,"&lt;="&amp;B3922,CBIC_Late_Fee_Relief_Windows_3B!$E$3922:$E$100,"&gt;="&amp;B3922,CBIC_Late_Fee_Relief_Windows_3B!$F$3922:$F$100,"&lt;="&amp;C3922,CBIC_Late_Fee_Relief_Windows_3B!$G$3922:$G$100,"&gt;="&amp;C3922)</f>
        <v/>
      </c>
      <c r="H3922">
        <f>INDEX(CBIC_Late_Fee_Relief_Windows_3B!$I$3922:$I$100,MATCH(G3922,CBIC_Late_Fee_Relief_Windows_3B!$O$3922:$O$100,0))</f>
        <v/>
      </c>
      <c r="I3922">
        <f>MIN(F3922,H3922)</f>
        <v/>
      </c>
    </row>
    <row r="3923">
      <c r="A3923">
        <f>TEST_DATA!A3923</f>
        <v/>
      </c>
      <c r="B3923">
        <f>TEST_DATA!B3923</f>
        <v/>
      </c>
      <c r="C3923">
        <f>TEST_DATA!C3923</f>
        <v/>
      </c>
      <c r="D3923">
        <f>TEST_DATA!D3923</f>
        <v/>
      </c>
      <c r="E3923">
        <f>TEST_DATA!E3923</f>
        <v/>
      </c>
      <c r="F3923">
        <f>MIN(E3923*392300,10000)</f>
        <v/>
      </c>
      <c r="G3923">
        <f>MINIFS(CBIC_Late_Fee_Relief_Windows_3B!$O$3923:$O$100,CBIC_Late_Fee_Relief_Windows_3B!$D$3923:$D$100,"&lt;="&amp;B3923,CBIC_Late_Fee_Relief_Windows_3B!$E$3923:$E$100,"&gt;="&amp;B3923,CBIC_Late_Fee_Relief_Windows_3B!$F$3923:$F$100,"&lt;="&amp;C3923,CBIC_Late_Fee_Relief_Windows_3B!$G$3923:$G$100,"&gt;="&amp;C3923)</f>
        <v/>
      </c>
      <c r="H3923">
        <f>INDEX(CBIC_Late_Fee_Relief_Windows_3B!$I$3923:$I$100,MATCH(G3923,CBIC_Late_Fee_Relief_Windows_3B!$O$3923:$O$100,0))</f>
        <v/>
      </c>
      <c r="I3923">
        <f>MIN(F3923,H3923)</f>
        <v/>
      </c>
    </row>
    <row r="3924">
      <c r="A3924">
        <f>TEST_DATA!A3924</f>
        <v/>
      </c>
      <c r="B3924">
        <f>TEST_DATA!B3924</f>
        <v/>
      </c>
      <c r="C3924">
        <f>TEST_DATA!C3924</f>
        <v/>
      </c>
      <c r="D3924">
        <f>TEST_DATA!D3924</f>
        <v/>
      </c>
      <c r="E3924">
        <f>TEST_DATA!E3924</f>
        <v/>
      </c>
      <c r="F3924">
        <f>MIN(E3924*392400,10000)</f>
        <v/>
      </c>
      <c r="G3924">
        <f>MINIFS(CBIC_Late_Fee_Relief_Windows_3B!$O$3924:$O$100,CBIC_Late_Fee_Relief_Windows_3B!$D$3924:$D$100,"&lt;="&amp;B3924,CBIC_Late_Fee_Relief_Windows_3B!$E$3924:$E$100,"&gt;="&amp;B3924,CBIC_Late_Fee_Relief_Windows_3B!$F$3924:$F$100,"&lt;="&amp;C3924,CBIC_Late_Fee_Relief_Windows_3B!$G$3924:$G$100,"&gt;="&amp;C3924)</f>
        <v/>
      </c>
      <c r="H3924">
        <f>INDEX(CBIC_Late_Fee_Relief_Windows_3B!$I$3924:$I$100,MATCH(G3924,CBIC_Late_Fee_Relief_Windows_3B!$O$3924:$O$100,0))</f>
        <v/>
      </c>
      <c r="I3924">
        <f>MIN(F3924,H3924)</f>
        <v/>
      </c>
    </row>
    <row r="3925">
      <c r="A3925">
        <f>TEST_DATA!A3925</f>
        <v/>
      </c>
      <c r="B3925">
        <f>TEST_DATA!B3925</f>
        <v/>
      </c>
      <c r="C3925">
        <f>TEST_DATA!C3925</f>
        <v/>
      </c>
      <c r="D3925">
        <f>TEST_DATA!D3925</f>
        <v/>
      </c>
      <c r="E3925">
        <f>TEST_DATA!E3925</f>
        <v/>
      </c>
      <c r="F3925">
        <f>MIN(E3925*392500,10000)</f>
        <v/>
      </c>
      <c r="G3925">
        <f>MINIFS(CBIC_Late_Fee_Relief_Windows_3B!$O$3925:$O$100,CBIC_Late_Fee_Relief_Windows_3B!$D$3925:$D$100,"&lt;="&amp;B3925,CBIC_Late_Fee_Relief_Windows_3B!$E$3925:$E$100,"&gt;="&amp;B3925,CBIC_Late_Fee_Relief_Windows_3B!$F$3925:$F$100,"&lt;="&amp;C3925,CBIC_Late_Fee_Relief_Windows_3B!$G$3925:$G$100,"&gt;="&amp;C3925)</f>
        <v/>
      </c>
      <c r="H3925">
        <f>INDEX(CBIC_Late_Fee_Relief_Windows_3B!$I$3925:$I$100,MATCH(G3925,CBIC_Late_Fee_Relief_Windows_3B!$O$3925:$O$100,0))</f>
        <v/>
      </c>
      <c r="I3925">
        <f>MIN(F3925,H3925)</f>
        <v/>
      </c>
    </row>
    <row r="3926">
      <c r="A3926">
        <f>TEST_DATA!A3926</f>
        <v/>
      </c>
      <c r="B3926">
        <f>TEST_DATA!B3926</f>
        <v/>
      </c>
      <c r="C3926">
        <f>TEST_DATA!C3926</f>
        <v/>
      </c>
      <c r="D3926">
        <f>TEST_DATA!D3926</f>
        <v/>
      </c>
      <c r="E3926">
        <f>TEST_DATA!E3926</f>
        <v/>
      </c>
      <c r="F3926">
        <f>MIN(E3926*392600,10000)</f>
        <v/>
      </c>
      <c r="G3926">
        <f>MINIFS(CBIC_Late_Fee_Relief_Windows_3B!$O$3926:$O$100,CBIC_Late_Fee_Relief_Windows_3B!$D$3926:$D$100,"&lt;="&amp;B3926,CBIC_Late_Fee_Relief_Windows_3B!$E$3926:$E$100,"&gt;="&amp;B3926,CBIC_Late_Fee_Relief_Windows_3B!$F$3926:$F$100,"&lt;="&amp;C3926,CBIC_Late_Fee_Relief_Windows_3B!$G$3926:$G$100,"&gt;="&amp;C3926)</f>
        <v/>
      </c>
      <c r="H3926">
        <f>INDEX(CBIC_Late_Fee_Relief_Windows_3B!$I$3926:$I$100,MATCH(G3926,CBIC_Late_Fee_Relief_Windows_3B!$O$3926:$O$100,0))</f>
        <v/>
      </c>
      <c r="I3926">
        <f>MIN(F3926,H3926)</f>
        <v/>
      </c>
    </row>
    <row r="3927">
      <c r="A3927">
        <f>TEST_DATA!A3927</f>
        <v/>
      </c>
      <c r="B3927">
        <f>TEST_DATA!B3927</f>
        <v/>
      </c>
      <c r="C3927">
        <f>TEST_DATA!C3927</f>
        <v/>
      </c>
      <c r="D3927">
        <f>TEST_DATA!D3927</f>
        <v/>
      </c>
      <c r="E3927">
        <f>TEST_DATA!E3927</f>
        <v/>
      </c>
      <c r="F3927">
        <f>MIN(E3927*392700,10000)</f>
        <v/>
      </c>
      <c r="G3927">
        <f>MINIFS(CBIC_Late_Fee_Relief_Windows_3B!$O$3927:$O$100,CBIC_Late_Fee_Relief_Windows_3B!$D$3927:$D$100,"&lt;="&amp;B3927,CBIC_Late_Fee_Relief_Windows_3B!$E$3927:$E$100,"&gt;="&amp;B3927,CBIC_Late_Fee_Relief_Windows_3B!$F$3927:$F$100,"&lt;="&amp;C3927,CBIC_Late_Fee_Relief_Windows_3B!$G$3927:$G$100,"&gt;="&amp;C3927)</f>
        <v/>
      </c>
      <c r="H3927">
        <f>INDEX(CBIC_Late_Fee_Relief_Windows_3B!$I$3927:$I$100,MATCH(G3927,CBIC_Late_Fee_Relief_Windows_3B!$O$3927:$O$100,0))</f>
        <v/>
      </c>
      <c r="I3927">
        <f>MIN(F3927,H3927)</f>
        <v/>
      </c>
    </row>
    <row r="3928">
      <c r="A3928">
        <f>TEST_DATA!A3928</f>
        <v/>
      </c>
      <c r="B3928">
        <f>TEST_DATA!B3928</f>
        <v/>
      </c>
      <c r="C3928">
        <f>TEST_DATA!C3928</f>
        <v/>
      </c>
      <c r="D3928">
        <f>TEST_DATA!D3928</f>
        <v/>
      </c>
      <c r="E3928">
        <f>TEST_DATA!E3928</f>
        <v/>
      </c>
      <c r="F3928">
        <f>MIN(E3928*392800,10000)</f>
        <v/>
      </c>
      <c r="G3928">
        <f>MINIFS(CBIC_Late_Fee_Relief_Windows_3B!$O$3928:$O$100,CBIC_Late_Fee_Relief_Windows_3B!$D$3928:$D$100,"&lt;="&amp;B3928,CBIC_Late_Fee_Relief_Windows_3B!$E$3928:$E$100,"&gt;="&amp;B3928,CBIC_Late_Fee_Relief_Windows_3B!$F$3928:$F$100,"&lt;="&amp;C3928,CBIC_Late_Fee_Relief_Windows_3B!$G$3928:$G$100,"&gt;="&amp;C3928)</f>
        <v/>
      </c>
      <c r="H3928">
        <f>INDEX(CBIC_Late_Fee_Relief_Windows_3B!$I$3928:$I$100,MATCH(G3928,CBIC_Late_Fee_Relief_Windows_3B!$O$3928:$O$100,0))</f>
        <v/>
      </c>
      <c r="I3928">
        <f>MIN(F3928,H3928)</f>
        <v/>
      </c>
    </row>
    <row r="3929">
      <c r="A3929">
        <f>TEST_DATA!A3929</f>
        <v/>
      </c>
      <c r="B3929">
        <f>TEST_DATA!B3929</f>
        <v/>
      </c>
      <c r="C3929">
        <f>TEST_DATA!C3929</f>
        <v/>
      </c>
      <c r="D3929">
        <f>TEST_DATA!D3929</f>
        <v/>
      </c>
      <c r="E3929">
        <f>TEST_DATA!E3929</f>
        <v/>
      </c>
      <c r="F3929">
        <f>MIN(E3929*392900,10000)</f>
        <v/>
      </c>
      <c r="G3929">
        <f>MINIFS(CBIC_Late_Fee_Relief_Windows_3B!$O$3929:$O$100,CBIC_Late_Fee_Relief_Windows_3B!$D$3929:$D$100,"&lt;="&amp;B3929,CBIC_Late_Fee_Relief_Windows_3B!$E$3929:$E$100,"&gt;="&amp;B3929,CBIC_Late_Fee_Relief_Windows_3B!$F$3929:$F$100,"&lt;="&amp;C3929,CBIC_Late_Fee_Relief_Windows_3B!$G$3929:$G$100,"&gt;="&amp;C3929)</f>
        <v/>
      </c>
      <c r="H3929">
        <f>INDEX(CBIC_Late_Fee_Relief_Windows_3B!$I$3929:$I$100,MATCH(G3929,CBIC_Late_Fee_Relief_Windows_3B!$O$3929:$O$100,0))</f>
        <v/>
      </c>
      <c r="I3929">
        <f>MIN(F3929,H3929)</f>
        <v/>
      </c>
    </row>
    <row r="3930">
      <c r="A3930">
        <f>TEST_DATA!A3930</f>
        <v/>
      </c>
      <c r="B3930">
        <f>TEST_DATA!B3930</f>
        <v/>
      </c>
      <c r="C3930">
        <f>TEST_DATA!C3930</f>
        <v/>
      </c>
      <c r="D3930">
        <f>TEST_DATA!D3930</f>
        <v/>
      </c>
      <c r="E3930">
        <f>TEST_DATA!E3930</f>
        <v/>
      </c>
      <c r="F3930">
        <f>MIN(E3930*393000,10000)</f>
        <v/>
      </c>
      <c r="G3930">
        <f>MINIFS(CBIC_Late_Fee_Relief_Windows_3B!$O$3930:$O$100,CBIC_Late_Fee_Relief_Windows_3B!$D$3930:$D$100,"&lt;="&amp;B3930,CBIC_Late_Fee_Relief_Windows_3B!$E$3930:$E$100,"&gt;="&amp;B3930,CBIC_Late_Fee_Relief_Windows_3B!$F$3930:$F$100,"&lt;="&amp;C3930,CBIC_Late_Fee_Relief_Windows_3B!$G$3930:$G$100,"&gt;="&amp;C3930)</f>
        <v/>
      </c>
      <c r="H3930">
        <f>INDEX(CBIC_Late_Fee_Relief_Windows_3B!$I$3930:$I$100,MATCH(G3930,CBIC_Late_Fee_Relief_Windows_3B!$O$3930:$O$100,0))</f>
        <v/>
      </c>
      <c r="I3930">
        <f>MIN(F3930,H3930)</f>
        <v/>
      </c>
    </row>
    <row r="3931">
      <c r="A3931">
        <f>TEST_DATA!A3931</f>
        <v/>
      </c>
      <c r="B3931">
        <f>TEST_DATA!B3931</f>
        <v/>
      </c>
      <c r="C3931">
        <f>TEST_DATA!C3931</f>
        <v/>
      </c>
      <c r="D3931">
        <f>TEST_DATA!D3931</f>
        <v/>
      </c>
      <c r="E3931">
        <f>TEST_DATA!E3931</f>
        <v/>
      </c>
      <c r="F3931">
        <f>MIN(E3931*393100,10000)</f>
        <v/>
      </c>
      <c r="G3931">
        <f>MINIFS(CBIC_Late_Fee_Relief_Windows_3B!$O$3931:$O$100,CBIC_Late_Fee_Relief_Windows_3B!$D$3931:$D$100,"&lt;="&amp;B3931,CBIC_Late_Fee_Relief_Windows_3B!$E$3931:$E$100,"&gt;="&amp;B3931,CBIC_Late_Fee_Relief_Windows_3B!$F$3931:$F$100,"&lt;="&amp;C3931,CBIC_Late_Fee_Relief_Windows_3B!$G$3931:$G$100,"&gt;="&amp;C3931)</f>
        <v/>
      </c>
      <c r="H3931">
        <f>INDEX(CBIC_Late_Fee_Relief_Windows_3B!$I$3931:$I$100,MATCH(G3931,CBIC_Late_Fee_Relief_Windows_3B!$O$3931:$O$100,0))</f>
        <v/>
      </c>
      <c r="I3931">
        <f>MIN(F3931,H3931)</f>
        <v/>
      </c>
    </row>
    <row r="3932">
      <c r="A3932">
        <f>TEST_DATA!A3932</f>
        <v/>
      </c>
      <c r="B3932">
        <f>TEST_DATA!B3932</f>
        <v/>
      </c>
      <c r="C3932">
        <f>TEST_DATA!C3932</f>
        <v/>
      </c>
      <c r="D3932">
        <f>TEST_DATA!D3932</f>
        <v/>
      </c>
      <c r="E3932">
        <f>TEST_DATA!E3932</f>
        <v/>
      </c>
      <c r="F3932">
        <f>MIN(E3932*393200,10000)</f>
        <v/>
      </c>
      <c r="G3932">
        <f>MINIFS(CBIC_Late_Fee_Relief_Windows_3B!$O$3932:$O$100,CBIC_Late_Fee_Relief_Windows_3B!$D$3932:$D$100,"&lt;="&amp;B3932,CBIC_Late_Fee_Relief_Windows_3B!$E$3932:$E$100,"&gt;="&amp;B3932,CBIC_Late_Fee_Relief_Windows_3B!$F$3932:$F$100,"&lt;="&amp;C3932,CBIC_Late_Fee_Relief_Windows_3B!$G$3932:$G$100,"&gt;="&amp;C3932)</f>
        <v/>
      </c>
      <c r="H3932">
        <f>INDEX(CBIC_Late_Fee_Relief_Windows_3B!$I$3932:$I$100,MATCH(G3932,CBIC_Late_Fee_Relief_Windows_3B!$O$3932:$O$100,0))</f>
        <v/>
      </c>
      <c r="I3932">
        <f>MIN(F3932,H3932)</f>
        <v/>
      </c>
    </row>
    <row r="3933">
      <c r="A3933">
        <f>TEST_DATA!A3933</f>
        <v/>
      </c>
      <c r="B3933">
        <f>TEST_DATA!B3933</f>
        <v/>
      </c>
      <c r="C3933">
        <f>TEST_DATA!C3933</f>
        <v/>
      </c>
      <c r="D3933">
        <f>TEST_DATA!D3933</f>
        <v/>
      </c>
      <c r="E3933">
        <f>TEST_DATA!E3933</f>
        <v/>
      </c>
      <c r="F3933">
        <f>MIN(E3933*393300,10000)</f>
        <v/>
      </c>
      <c r="G3933">
        <f>MINIFS(CBIC_Late_Fee_Relief_Windows_3B!$O$3933:$O$100,CBIC_Late_Fee_Relief_Windows_3B!$D$3933:$D$100,"&lt;="&amp;B3933,CBIC_Late_Fee_Relief_Windows_3B!$E$3933:$E$100,"&gt;="&amp;B3933,CBIC_Late_Fee_Relief_Windows_3B!$F$3933:$F$100,"&lt;="&amp;C3933,CBIC_Late_Fee_Relief_Windows_3B!$G$3933:$G$100,"&gt;="&amp;C3933)</f>
        <v/>
      </c>
      <c r="H3933">
        <f>INDEX(CBIC_Late_Fee_Relief_Windows_3B!$I$3933:$I$100,MATCH(G3933,CBIC_Late_Fee_Relief_Windows_3B!$O$3933:$O$100,0))</f>
        <v/>
      </c>
      <c r="I3933">
        <f>MIN(F3933,H3933)</f>
        <v/>
      </c>
    </row>
    <row r="3934">
      <c r="A3934">
        <f>TEST_DATA!A3934</f>
        <v/>
      </c>
      <c r="B3934">
        <f>TEST_DATA!B3934</f>
        <v/>
      </c>
      <c r="C3934">
        <f>TEST_DATA!C3934</f>
        <v/>
      </c>
      <c r="D3934">
        <f>TEST_DATA!D3934</f>
        <v/>
      </c>
      <c r="E3934">
        <f>TEST_DATA!E3934</f>
        <v/>
      </c>
      <c r="F3934">
        <f>MIN(E3934*393400,10000)</f>
        <v/>
      </c>
      <c r="G3934">
        <f>MINIFS(CBIC_Late_Fee_Relief_Windows_3B!$O$3934:$O$100,CBIC_Late_Fee_Relief_Windows_3B!$D$3934:$D$100,"&lt;="&amp;B3934,CBIC_Late_Fee_Relief_Windows_3B!$E$3934:$E$100,"&gt;="&amp;B3934,CBIC_Late_Fee_Relief_Windows_3B!$F$3934:$F$100,"&lt;="&amp;C3934,CBIC_Late_Fee_Relief_Windows_3B!$G$3934:$G$100,"&gt;="&amp;C3934)</f>
        <v/>
      </c>
      <c r="H3934">
        <f>INDEX(CBIC_Late_Fee_Relief_Windows_3B!$I$3934:$I$100,MATCH(G3934,CBIC_Late_Fee_Relief_Windows_3B!$O$3934:$O$100,0))</f>
        <v/>
      </c>
      <c r="I3934">
        <f>MIN(F3934,H3934)</f>
        <v/>
      </c>
    </row>
    <row r="3935">
      <c r="A3935">
        <f>TEST_DATA!A3935</f>
        <v/>
      </c>
      <c r="B3935">
        <f>TEST_DATA!B3935</f>
        <v/>
      </c>
      <c r="C3935">
        <f>TEST_DATA!C3935</f>
        <v/>
      </c>
      <c r="D3935">
        <f>TEST_DATA!D3935</f>
        <v/>
      </c>
      <c r="E3935">
        <f>TEST_DATA!E3935</f>
        <v/>
      </c>
      <c r="F3935">
        <f>MIN(E3935*393500,10000)</f>
        <v/>
      </c>
      <c r="G3935">
        <f>MINIFS(CBIC_Late_Fee_Relief_Windows_3B!$O$3935:$O$100,CBIC_Late_Fee_Relief_Windows_3B!$D$3935:$D$100,"&lt;="&amp;B3935,CBIC_Late_Fee_Relief_Windows_3B!$E$3935:$E$100,"&gt;="&amp;B3935,CBIC_Late_Fee_Relief_Windows_3B!$F$3935:$F$100,"&lt;="&amp;C3935,CBIC_Late_Fee_Relief_Windows_3B!$G$3935:$G$100,"&gt;="&amp;C3935)</f>
        <v/>
      </c>
      <c r="H3935">
        <f>INDEX(CBIC_Late_Fee_Relief_Windows_3B!$I$3935:$I$100,MATCH(G3935,CBIC_Late_Fee_Relief_Windows_3B!$O$3935:$O$100,0))</f>
        <v/>
      </c>
      <c r="I3935">
        <f>MIN(F3935,H3935)</f>
        <v/>
      </c>
    </row>
    <row r="3936">
      <c r="A3936">
        <f>TEST_DATA!A3936</f>
        <v/>
      </c>
      <c r="B3936">
        <f>TEST_DATA!B3936</f>
        <v/>
      </c>
      <c r="C3936">
        <f>TEST_DATA!C3936</f>
        <v/>
      </c>
      <c r="D3936">
        <f>TEST_DATA!D3936</f>
        <v/>
      </c>
      <c r="E3936">
        <f>TEST_DATA!E3936</f>
        <v/>
      </c>
      <c r="F3936">
        <f>MIN(E3936*393600,10000)</f>
        <v/>
      </c>
      <c r="G3936">
        <f>MINIFS(CBIC_Late_Fee_Relief_Windows_3B!$O$3936:$O$100,CBIC_Late_Fee_Relief_Windows_3B!$D$3936:$D$100,"&lt;="&amp;B3936,CBIC_Late_Fee_Relief_Windows_3B!$E$3936:$E$100,"&gt;="&amp;B3936,CBIC_Late_Fee_Relief_Windows_3B!$F$3936:$F$100,"&lt;="&amp;C3936,CBIC_Late_Fee_Relief_Windows_3B!$G$3936:$G$100,"&gt;="&amp;C3936)</f>
        <v/>
      </c>
      <c r="H3936">
        <f>INDEX(CBIC_Late_Fee_Relief_Windows_3B!$I$3936:$I$100,MATCH(G3936,CBIC_Late_Fee_Relief_Windows_3B!$O$3936:$O$100,0))</f>
        <v/>
      </c>
      <c r="I3936">
        <f>MIN(F3936,H3936)</f>
        <v/>
      </c>
    </row>
    <row r="3937">
      <c r="A3937">
        <f>TEST_DATA!A3937</f>
        <v/>
      </c>
      <c r="B3937">
        <f>TEST_DATA!B3937</f>
        <v/>
      </c>
      <c r="C3937">
        <f>TEST_DATA!C3937</f>
        <v/>
      </c>
      <c r="D3937">
        <f>TEST_DATA!D3937</f>
        <v/>
      </c>
      <c r="E3937">
        <f>TEST_DATA!E3937</f>
        <v/>
      </c>
      <c r="F3937">
        <f>MIN(E3937*393700,10000)</f>
        <v/>
      </c>
      <c r="G3937">
        <f>MINIFS(CBIC_Late_Fee_Relief_Windows_3B!$O$3937:$O$100,CBIC_Late_Fee_Relief_Windows_3B!$D$3937:$D$100,"&lt;="&amp;B3937,CBIC_Late_Fee_Relief_Windows_3B!$E$3937:$E$100,"&gt;="&amp;B3937,CBIC_Late_Fee_Relief_Windows_3B!$F$3937:$F$100,"&lt;="&amp;C3937,CBIC_Late_Fee_Relief_Windows_3B!$G$3937:$G$100,"&gt;="&amp;C3937)</f>
        <v/>
      </c>
      <c r="H3937">
        <f>INDEX(CBIC_Late_Fee_Relief_Windows_3B!$I$3937:$I$100,MATCH(G3937,CBIC_Late_Fee_Relief_Windows_3B!$O$3937:$O$100,0))</f>
        <v/>
      </c>
      <c r="I3937">
        <f>MIN(F3937,H3937)</f>
        <v/>
      </c>
    </row>
    <row r="3938">
      <c r="A3938">
        <f>TEST_DATA!A3938</f>
        <v/>
      </c>
      <c r="B3938">
        <f>TEST_DATA!B3938</f>
        <v/>
      </c>
      <c r="C3938">
        <f>TEST_DATA!C3938</f>
        <v/>
      </c>
      <c r="D3938">
        <f>TEST_DATA!D3938</f>
        <v/>
      </c>
      <c r="E3938">
        <f>TEST_DATA!E3938</f>
        <v/>
      </c>
      <c r="F3938">
        <f>MIN(E3938*393800,10000)</f>
        <v/>
      </c>
      <c r="G3938">
        <f>MINIFS(CBIC_Late_Fee_Relief_Windows_3B!$O$3938:$O$100,CBIC_Late_Fee_Relief_Windows_3B!$D$3938:$D$100,"&lt;="&amp;B3938,CBIC_Late_Fee_Relief_Windows_3B!$E$3938:$E$100,"&gt;="&amp;B3938,CBIC_Late_Fee_Relief_Windows_3B!$F$3938:$F$100,"&lt;="&amp;C3938,CBIC_Late_Fee_Relief_Windows_3B!$G$3938:$G$100,"&gt;="&amp;C3938)</f>
        <v/>
      </c>
      <c r="H3938">
        <f>INDEX(CBIC_Late_Fee_Relief_Windows_3B!$I$3938:$I$100,MATCH(G3938,CBIC_Late_Fee_Relief_Windows_3B!$O$3938:$O$100,0))</f>
        <v/>
      </c>
      <c r="I3938">
        <f>MIN(F3938,H3938)</f>
        <v/>
      </c>
    </row>
    <row r="3939">
      <c r="A3939">
        <f>TEST_DATA!A3939</f>
        <v/>
      </c>
      <c r="B3939">
        <f>TEST_DATA!B3939</f>
        <v/>
      </c>
      <c r="C3939">
        <f>TEST_DATA!C3939</f>
        <v/>
      </c>
      <c r="D3939">
        <f>TEST_DATA!D3939</f>
        <v/>
      </c>
      <c r="E3939">
        <f>TEST_DATA!E3939</f>
        <v/>
      </c>
      <c r="F3939">
        <f>MIN(E3939*393900,10000)</f>
        <v/>
      </c>
      <c r="G3939">
        <f>MINIFS(CBIC_Late_Fee_Relief_Windows_3B!$O$3939:$O$100,CBIC_Late_Fee_Relief_Windows_3B!$D$3939:$D$100,"&lt;="&amp;B3939,CBIC_Late_Fee_Relief_Windows_3B!$E$3939:$E$100,"&gt;="&amp;B3939,CBIC_Late_Fee_Relief_Windows_3B!$F$3939:$F$100,"&lt;="&amp;C3939,CBIC_Late_Fee_Relief_Windows_3B!$G$3939:$G$100,"&gt;="&amp;C3939)</f>
        <v/>
      </c>
      <c r="H3939">
        <f>INDEX(CBIC_Late_Fee_Relief_Windows_3B!$I$3939:$I$100,MATCH(G3939,CBIC_Late_Fee_Relief_Windows_3B!$O$3939:$O$100,0))</f>
        <v/>
      </c>
      <c r="I3939">
        <f>MIN(F3939,H3939)</f>
        <v/>
      </c>
    </row>
    <row r="3940">
      <c r="A3940">
        <f>TEST_DATA!A3940</f>
        <v/>
      </c>
      <c r="B3940">
        <f>TEST_DATA!B3940</f>
        <v/>
      </c>
      <c r="C3940">
        <f>TEST_DATA!C3940</f>
        <v/>
      </c>
      <c r="D3940">
        <f>TEST_DATA!D3940</f>
        <v/>
      </c>
      <c r="E3940">
        <f>TEST_DATA!E3940</f>
        <v/>
      </c>
      <c r="F3940">
        <f>MIN(E3940*394000,10000)</f>
        <v/>
      </c>
      <c r="G3940">
        <f>MINIFS(CBIC_Late_Fee_Relief_Windows_3B!$O$3940:$O$100,CBIC_Late_Fee_Relief_Windows_3B!$D$3940:$D$100,"&lt;="&amp;B3940,CBIC_Late_Fee_Relief_Windows_3B!$E$3940:$E$100,"&gt;="&amp;B3940,CBIC_Late_Fee_Relief_Windows_3B!$F$3940:$F$100,"&lt;="&amp;C3940,CBIC_Late_Fee_Relief_Windows_3B!$G$3940:$G$100,"&gt;="&amp;C3940)</f>
        <v/>
      </c>
      <c r="H3940">
        <f>INDEX(CBIC_Late_Fee_Relief_Windows_3B!$I$3940:$I$100,MATCH(G3940,CBIC_Late_Fee_Relief_Windows_3B!$O$3940:$O$100,0))</f>
        <v/>
      </c>
      <c r="I3940">
        <f>MIN(F3940,H3940)</f>
        <v/>
      </c>
    </row>
    <row r="3941">
      <c r="A3941">
        <f>TEST_DATA!A3941</f>
        <v/>
      </c>
      <c r="B3941">
        <f>TEST_DATA!B3941</f>
        <v/>
      </c>
      <c r="C3941">
        <f>TEST_DATA!C3941</f>
        <v/>
      </c>
      <c r="D3941">
        <f>TEST_DATA!D3941</f>
        <v/>
      </c>
      <c r="E3941">
        <f>TEST_DATA!E3941</f>
        <v/>
      </c>
      <c r="F3941">
        <f>MIN(E3941*394100,10000)</f>
        <v/>
      </c>
      <c r="G3941">
        <f>MINIFS(CBIC_Late_Fee_Relief_Windows_3B!$O$3941:$O$100,CBIC_Late_Fee_Relief_Windows_3B!$D$3941:$D$100,"&lt;="&amp;B3941,CBIC_Late_Fee_Relief_Windows_3B!$E$3941:$E$100,"&gt;="&amp;B3941,CBIC_Late_Fee_Relief_Windows_3B!$F$3941:$F$100,"&lt;="&amp;C3941,CBIC_Late_Fee_Relief_Windows_3B!$G$3941:$G$100,"&gt;="&amp;C3941)</f>
        <v/>
      </c>
      <c r="H3941">
        <f>INDEX(CBIC_Late_Fee_Relief_Windows_3B!$I$3941:$I$100,MATCH(G3941,CBIC_Late_Fee_Relief_Windows_3B!$O$3941:$O$100,0))</f>
        <v/>
      </c>
      <c r="I3941">
        <f>MIN(F3941,H3941)</f>
        <v/>
      </c>
    </row>
    <row r="3942">
      <c r="A3942">
        <f>TEST_DATA!A3942</f>
        <v/>
      </c>
      <c r="B3942">
        <f>TEST_DATA!B3942</f>
        <v/>
      </c>
      <c r="C3942">
        <f>TEST_DATA!C3942</f>
        <v/>
      </c>
      <c r="D3942">
        <f>TEST_DATA!D3942</f>
        <v/>
      </c>
      <c r="E3942">
        <f>TEST_DATA!E3942</f>
        <v/>
      </c>
      <c r="F3942">
        <f>MIN(E3942*394200,10000)</f>
        <v/>
      </c>
      <c r="G3942">
        <f>MINIFS(CBIC_Late_Fee_Relief_Windows_3B!$O$3942:$O$100,CBIC_Late_Fee_Relief_Windows_3B!$D$3942:$D$100,"&lt;="&amp;B3942,CBIC_Late_Fee_Relief_Windows_3B!$E$3942:$E$100,"&gt;="&amp;B3942,CBIC_Late_Fee_Relief_Windows_3B!$F$3942:$F$100,"&lt;="&amp;C3942,CBIC_Late_Fee_Relief_Windows_3B!$G$3942:$G$100,"&gt;="&amp;C3942)</f>
        <v/>
      </c>
      <c r="H3942">
        <f>INDEX(CBIC_Late_Fee_Relief_Windows_3B!$I$3942:$I$100,MATCH(G3942,CBIC_Late_Fee_Relief_Windows_3B!$O$3942:$O$100,0))</f>
        <v/>
      </c>
      <c r="I3942">
        <f>MIN(F3942,H3942)</f>
        <v/>
      </c>
    </row>
    <row r="3943">
      <c r="A3943">
        <f>TEST_DATA!A3943</f>
        <v/>
      </c>
      <c r="B3943">
        <f>TEST_DATA!B3943</f>
        <v/>
      </c>
      <c r="C3943">
        <f>TEST_DATA!C3943</f>
        <v/>
      </c>
      <c r="D3943">
        <f>TEST_DATA!D3943</f>
        <v/>
      </c>
      <c r="E3943">
        <f>TEST_DATA!E3943</f>
        <v/>
      </c>
      <c r="F3943">
        <f>MIN(E3943*394300,10000)</f>
        <v/>
      </c>
      <c r="G3943">
        <f>MINIFS(CBIC_Late_Fee_Relief_Windows_3B!$O$3943:$O$100,CBIC_Late_Fee_Relief_Windows_3B!$D$3943:$D$100,"&lt;="&amp;B3943,CBIC_Late_Fee_Relief_Windows_3B!$E$3943:$E$100,"&gt;="&amp;B3943,CBIC_Late_Fee_Relief_Windows_3B!$F$3943:$F$100,"&lt;="&amp;C3943,CBIC_Late_Fee_Relief_Windows_3B!$G$3943:$G$100,"&gt;="&amp;C3943)</f>
        <v/>
      </c>
      <c r="H3943">
        <f>INDEX(CBIC_Late_Fee_Relief_Windows_3B!$I$3943:$I$100,MATCH(G3943,CBIC_Late_Fee_Relief_Windows_3B!$O$3943:$O$100,0))</f>
        <v/>
      </c>
      <c r="I3943">
        <f>MIN(F3943,H3943)</f>
        <v/>
      </c>
    </row>
    <row r="3944">
      <c r="A3944">
        <f>TEST_DATA!A3944</f>
        <v/>
      </c>
      <c r="B3944">
        <f>TEST_DATA!B3944</f>
        <v/>
      </c>
      <c r="C3944">
        <f>TEST_DATA!C3944</f>
        <v/>
      </c>
      <c r="D3944">
        <f>TEST_DATA!D3944</f>
        <v/>
      </c>
      <c r="E3944">
        <f>TEST_DATA!E3944</f>
        <v/>
      </c>
      <c r="F3944">
        <f>MIN(E3944*394400,10000)</f>
        <v/>
      </c>
      <c r="G3944">
        <f>MINIFS(CBIC_Late_Fee_Relief_Windows_3B!$O$3944:$O$100,CBIC_Late_Fee_Relief_Windows_3B!$D$3944:$D$100,"&lt;="&amp;B3944,CBIC_Late_Fee_Relief_Windows_3B!$E$3944:$E$100,"&gt;="&amp;B3944,CBIC_Late_Fee_Relief_Windows_3B!$F$3944:$F$100,"&lt;="&amp;C3944,CBIC_Late_Fee_Relief_Windows_3B!$G$3944:$G$100,"&gt;="&amp;C3944)</f>
        <v/>
      </c>
      <c r="H3944">
        <f>INDEX(CBIC_Late_Fee_Relief_Windows_3B!$I$3944:$I$100,MATCH(G3944,CBIC_Late_Fee_Relief_Windows_3B!$O$3944:$O$100,0))</f>
        <v/>
      </c>
      <c r="I3944">
        <f>MIN(F3944,H3944)</f>
        <v/>
      </c>
    </row>
    <row r="3945">
      <c r="A3945">
        <f>TEST_DATA!A3945</f>
        <v/>
      </c>
      <c r="B3945">
        <f>TEST_DATA!B3945</f>
        <v/>
      </c>
      <c r="C3945">
        <f>TEST_DATA!C3945</f>
        <v/>
      </c>
      <c r="D3945">
        <f>TEST_DATA!D3945</f>
        <v/>
      </c>
      <c r="E3945">
        <f>TEST_DATA!E3945</f>
        <v/>
      </c>
      <c r="F3945">
        <f>MIN(E3945*394500,10000)</f>
        <v/>
      </c>
      <c r="G3945">
        <f>MINIFS(CBIC_Late_Fee_Relief_Windows_3B!$O$3945:$O$100,CBIC_Late_Fee_Relief_Windows_3B!$D$3945:$D$100,"&lt;="&amp;B3945,CBIC_Late_Fee_Relief_Windows_3B!$E$3945:$E$100,"&gt;="&amp;B3945,CBIC_Late_Fee_Relief_Windows_3B!$F$3945:$F$100,"&lt;="&amp;C3945,CBIC_Late_Fee_Relief_Windows_3B!$G$3945:$G$100,"&gt;="&amp;C3945)</f>
        <v/>
      </c>
      <c r="H3945">
        <f>INDEX(CBIC_Late_Fee_Relief_Windows_3B!$I$3945:$I$100,MATCH(G3945,CBIC_Late_Fee_Relief_Windows_3B!$O$3945:$O$100,0))</f>
        <v/>
      </c>
      <c r="I3945">
        <f>MIN(F3945,H3945)</f>
        <v/>
      </c>
    </row>
    <row r="3946">
      <c r="A3946">
        <f>TEST_DATA!A3946</f>
        <v/>
      </c>
      <c r="B3946">
        <f>TEST_DATA!B3946</f>
        <v/>
      </c>
      <c r="C3946">
        <f>TEST_DATA!C3946</f>
        <v/>
      </c>
      <c r="D3946">
        <f>TEST_DATA!D3946</f>
        <v/>
      </c>
      <c r="E3946">
        <f>TEST_DATA!E3946</f>
        <v/>
      </c>
      <c r="F3946">
        <f>MIN(E3946*394600,10000)</f>
        <v/>
      </c>
      <c r="G3946">
        <f>MINIFS(CBIC_Late_Fee_Relief_Windows_3B!$O$3946:$O$100,CBIC_Late_Fee_Relief_Windows_3B!$D$3946:$D$100,"&lt;="&amp;B3946,CBIC_Late_Fee_Relief_Windows_3B!$E$3946:$E$100,"&gt;="&amp;B3946,CBIC_Late_Fee_Relief_Windows_3B!$F$3946:$F$100,"&lt;="&amp;C3946,CBIC_Late_Fee_Relief_Windows_3B!$G$3946:$G$100,"&gt;="&amp;C3946)</f>
        <v/>
      </c>
      <c r="H3946">
        <f>INDEX(CBIC_Late_Fee_Relief_Windows_3B!$I$3946:$I$100,MATCH(G3946,CBIC_Late_Fee_Relief_Windows_3B!$O$3946:$O$100,0))</f>
        <v/>
      </c>
      <c r="I3946">
        <f>MIN(F3946,H3946)</f>
        <v/>
      </c>
    </row>
    <row r="3947">
      <c r="A3947">
        <f>TEST_DATA!A3947</f>
        <v/>
      </c>
      <c r="B3947">
        <f>TEST_DATA!B3947</f>
        <v/>
      </c>
      <c r="C3947">
        <f>TEST_DATA!C3947</f>
        <v/>
      </c>
      <c r="D3947">
        <f>TEST_DATA!D3947</f>
        <v/>
      </c>
      <c r="E3947">
        <f>TEST_DATA!E3947</f>
        <v/>
      </c>
      <c r="F3947">
        <f>MIN(E3947*394700,10000)</f>
        <v/>
      </c>
      <c r="G3947">
        <f>MINIFS(CBIC_Late_Fee_Relief_Windows_3B!$O$3947:$O$100,CBIC_Late_Fee_Relief_Windows_3B!$D$3947:$D$100,"&lt;="&amp;B3947,CBIC_Late_Fee_Relief_Windows_3B!$E$3947:$E$100,"&gt;="&amp;B3947,CBIC_Late_Fee_Relief_Windows_3B!$F$3947:$F$100,"&lt;="&amp;C3947,CBIC_Late_Fee_Relief_Windows_3B!$G$3947:$G$100,"&gt;="&amp;C3947)</f>
        <v/>
      </c>
      <c r="H3947">
        <f>INDEX(CBIC_Late_Fee_Relief_Windows_3B!$I$3947:$I$100,MATCH(G3947,CBIC_Late_Fee_Relief_Windows_3B!$O$3947:$O$100,0))</f>
        <v/>
      </c>
      <c r="I3947">
        <f>MIN(F3947,H3947)</f>
        <v/>
      </c>
    </row>
    <row r="3948">
      <c r="A3948">
        <f>TEST_DATA!A3948</f>
        <v/>
      </c>
      <c r="B3948">
        <f>TEST_DATA!B3948</f>
        <v/>
      </c>
      <c r="C3948">
        <f>TEST_DATA!C3948</f>
        <v/>
      </c>
      <c r="D3948">
        <f>TEST_DATA!D3948</f>
        <v/>
      </c>
      <c r="E3948">
        <f>TEST_DATA!E3948</f>
        <v/>
      </c>
      <c r="F3948">
        <f>MIN(E3948*394800,10000)</f>
        <v/>
      </c>
      <c r="G3948">
        <f>MINIFS(CBIC_Late_Fee_Relief_Windows_3B!$O$3948:$O$100,CBIC_Late_Fee_Relief_Windows_3B!$D$3948:$D$100,"&lt;="&amp;B3948,CBIC_Late_Fee_Relief_Windows_3B!$E$3948:$E$100,"&gt;="&amp;B3948,CBIC_Late_Fee_Relief_Windows_3B!$F$3948:$F$100,"&lt;="&amp;C3948,CBIC_Late_Fee_Relief_Windows_3B!$G$3948:$G$100,"&gt;="&amp;C3948)</f>
        <v/>
      </c>
      <c r="H3948">
        <f>INDEX(CBIC_Late_Fee_Relief_Windows_3B!$I$3948:$I$100,MATCH(G3948,CBIC_Late_Fee_Relief_Windows_3B!$O$3948:$O$100,0))</f>
        <v/>
      </c>
      <c r="I3948">
        <f>MIN(F3948,H3948)</f>
        <v/>
      </c>
    </row>
    <row r="3949">
      <c r="A3949">
        <f>TEST_DATA!A3949</f>
        <v/>
      </c>
      <c r="B3949">
        <f>TEST_DATA!B3949</f>
        <v/>
      </c>
      <c r="C3949">
        <f>TEST_DATA!C3949</f>
        <v/>
      </c>
      <c r="D3949">
        <f>TEST_DATA!D3949</f>
        <v/>
      </c>
      <c r="E3949">
        <f>TEST_DATA!E3949</f>
        <v/>
      </c>
      <c r="F3949">
        <f>MIN(E3949*394900,10000)</f>
        <v/>
      </c>
      <c r="G3949">
        <f>MINIFS(CBIC_Late_Fee_Relief_Windows_3B!$O$3949:$O$100,CBIC_Late_Fee_Relief_Windows_3B!$D$3949:$D$100,"&lt;="&amp;B3949,CBIC_Late_Fee_Relief_Windows_3B!$E$3949:$E$100,"&gt;="&amp;B3949,CBIC_Late_Fee_Relief_Windows_3B!$F$3949:$F$100,"&lt;="&amp;C3949,CBIC_Late_Fee_Relief_Windows_3B!$G$3949:$G$100,"&gt;="&amp;C3949)</f>
        <v/>
      </c>
      <c r="H3949">
        <f>INDEX(CBIC_Late_Fee_Relief_Windows_3B!$I$3949:$I$100,MATCH(G3949,CBIC_Late_Fee_Relief_Windows_3B!$O$3949:$O$100,0))</f>
        <v/>
      </c>
      <c r="I3949">
        <f>MIN(F3949,H3949)</f>
        <v/>
      </c>
    </row>
    <row r="3950">
      <c r="A3950">
        <f>TEST_DATA!A3950</f>
        <v/>
      </c>
      <c r="B3950">
        <f>TEST_DATA!B3950</f>
        <v/>
      </c>
      <c r="C3950">
        <f>TEST_DATA!C3950</f>
        <v/>
      </c>
      <c r="D3950">
        <f>TEST_DATA!D3950</f>
        <v/>
      </c>
      <c r="E3950">
        <f>TEST_DATA!E3950</f>
        <v/>
      </c>
      <c r="F3950">
        <f>MIN(E3950*395000,10000)</f>
        <v/>
      </c>
      <c r="G3950">
        <f>MINIFS(CBIC_Late_Fee_Relief_Windows_3B!$O$3950:$O$100,CBIC_Late_Fee_Relief_Windows_3B!$D$3950:$D$100,"&lt;="&amp;B3950,CBIC_Late_Fee_Relief_Windows_3B!$E$3950:$E$100,"&gt;="&amp;B3950,CBIC_Late_Fee_Relief_Windows_3B!$F$3950:$F$100,"&lt;="&amp;C3950,CBIC_Late_Fee_Relief_Windows_3B!$G$3950:$G$100,"&gt;="&amp;C3950)</f>
        <v/>
      </c>
      <c r="H3950">
        <f>INDEX(CBIC_Late_Fee_Relief_Windows_3B!$I$3950:$I$100,MATCH(G3950,CBIC_Late_Fee_Relief_Windows_3B!$O$3950:$O$100,0))</f>
        <v/>
      </c>
      <c r="I3950">
        <f>MIN(F3950,H3950)</f>
        <v/>
      </c>
    </row>
    <row r="3951">
      <c r="A3951">
        <f>TEST_DATA!A3951</f>
        <v/>
      </c>
      <c r="B3951">
        <f>TEST_DATA!B3951</f>
        <v/>
      </c>
      <c r="C3951">
        <f>TEST_DATA!C3951</f>
        <v/>
      </c>
      <c r="D3951">
        <f>TEST_DATA!D3951</f>
        <v/>
      </c>
      <c r="E3951">
        <f>TEST_DATA!E3951</f>
        <v/>
      </c>
      <c r="F3951">
        <f>MIN(E3951*395100,10000)</f>
        <v/>
      </c>
      <c r="G3951">
        <f>MINIFS(CBIC_Late_Fee_Relief_Windows_3B!$O$3951:$O$100,CBIC_Late_Fee_Relief_Windows_3B!$D$3951:$D$100,"&lt;="&amp;B3951,CBIC_Late_Fee_Relief_Windows_3B!$E$3951:$E$100,"&gt;="&amp;B3951,CBIC_Late_Fee_Relief_Windows_3B!$F$3951:$F$100,"&lt;="&amp;C3951,CBIC_Late_Fee_Relief_Windows_3B!$G$3951:$G$100,"&gt;="&amp;C3951)</f>
        <v/>
      </c>
      <c r="H3951">
        <f>INDEX(CBIC_Late_Fee_Relief_Windows_3B!$I$3951:$I$100,MATCH(G3951,CBIC_Late_Fee_Relief_Windows_3B!$O$3951:$O$100,0))</f>
        <v/>
      </c>
      <c r="I3951">
        <f>MIN(F3951,H3951)</f>
        <v/>
      </c>
    </row>
    <row r="3952">
      <c r="A3952">
        <f>TEST_DATA!A3952</f>
        <v/>
      </c>
      <c r="B3952">
        <f>TEST_DATA!B3952</f>
        <v/>
      </c>
      <c r="C3952">
        <f>TEST_DATA!C3952</f>
        <v/>
      </c>
      <c r="D3952">
        <f>TEST_DATA!D3952</f>
        <v/>
      </c>
      <c r="E3952">
        <f>TEST_DATA!E3952</f>
        <v/>
      </c>
      <c r="F3952">
        <f>MIN(E3952*395200,10000)</f>
        <v/>
      </c>
      <c r="G3952">
        <f>MINIFS(CBIC_Late_Fee_Relief_Windows_3B!$O$3952:$O$100,CBIC_Late_Fee_Relief_Windows_3B!$D$3952:$D$100,"&lt;="&amp;B3952,CBIC_Late_Fee_Relief_Windows_3B!$E$3952:$E$100,"&gt;="&amp;B3952,CBIC_Late_Fee_Relief_Windows_3B!$F$3952:$F$100,"&lt;="&amp;C3952,CBIC_Late_Fee_Relief_Windows_3B!$G$3952:$G$100,"&gt;="&amp;C3952)</f>
        <v/>
      </c>
      <c r="H3952">
        <f>INDEX(CBIC_Late_Fee_Relief_Windows_3B!$I$3952:$I$100,MATCH(G3952,CBIC_Late_Fee_Relief_Windows_3B!$O$3952:$O$100,0))</f>
        <v/>
      </c>
      <c r="I3952">
        <f>MIN(F3952,H3952)</f>
        <v/>
      </c>
    </row>
    <row r="3953">
      <c r="A3953">
        <f>TEST_DATA!A3953</f>
        <v/>
      </c>
      <c r="B3953">
        <f>TEST_DATA!B3953</f>
        <v/>
      </c>
      <c r="C3953">
        <f>TEST_DATA!C3953</f>
        <v/>
      </c>
      <c r="D3953">
        <f>TEST_DATA!D3953</f>
        <v/>
      </c>
      <c r="E3953">
        <f>TEST_DATA!E3953</f>
        <v/>
      </c>
      <c r="F3953">
        <f>MIN(E3953*395300,10000)</f>
        <v/>
      </c>
      <c r="G3953">
        <f>MINIFS(CBIC_Late_Fee_Relief_Windows_3B!$O$3953:$O$100,CBIC_Late_Fee_Relief_Windows_3B!$D$3953:$D$100,"&lt;="&amp;B3953,CBIC_Late_Fee_Relief_Windows_3B!$E$3953:$E$100,"&gt;="&amp;B3953,CBIC_Late_Fee_Relief_Windows_3B!$F$3953:$F$100,"&lt;="&amp;C3953,CBIC_Late_Fee_Relief_Windows_3B!$G$3953:$G$100,"&gt;="&amp;C3953)</f>
        <v/>
      </c>
      <c r="H3953">
        <f>INDEX(CBIC_Late_Fee_Relief_Windows_3B!$I$3953:$I$100,MATCH(G3953,CBIC_Late_Fee_Relief_Windows_3B!$O$3953:$O$100,0))</f>
        <v/>
      </c>
      <c r="I3953">
        <f>MIN(F3953,H3953)</f>
        <v/>
      </c>
    </row>
    <row r="3954">
      <c r="A3954">
        <f>TEST_DATA!A3954</f>
        <v/>
      </c>
      <c r="B3954">
        <f>TEST_DATA!B3954</f>
        <v/>
      </c>
      <c r="C3954">
        <f>TEST_DATA!C3954</f>
        <v/>
      </c>
      <c r="D3954">
        <f>TEST_DATA!D3954</f>
        <v/>
      </c>
      <c r="E3954">
        <f>TEST_DATA!E3954</f>
        <v/>
      </c>
      <c r="F3954">
        <f>MIN(E3954*395400,10000)</f>
        <v/>
      </c>
      <c r="G3954">
        <f>MINIFS(CBIC_Late_Fee_Relief_Windows_3B!$O$3954:$O$100,CBIC_Late_Fee_Relief_Windows_3B!$D$3954:$D$100,"&lt;="&amp;B3954,CBIC_Late_Fee_Relief_Windows_3B!$E$3954:$E$100,"&gt;="&amp;B3954,CBIC_Late_Fee_Relief_Windows_3B!$F$3954:$F$100,"&lt;="&amp;C3954,CBIC_Late_Fee_Relief_Windows_3B!$G$3954:$G$100,"&gt;="&amp;C3954)</f>
        <v/>
      </c>
      <c r="H3954">
        <f>INDEX(CBIC_Late_Fee_Relief_Windows_3B!$I$3954:$I$100,MATCH(G3954,CBIC_Late_Fee_Relief_Windows_3B!$O$3954:$O$100,0))</f>
        <v/>
      </c>
      <c r="I3954">
        <f>MIN(F3954,H3954)</f>
        <v/>
      </c>
    </row>
    <row r="3955">
      <c r="A3955">
        <f>TEST_DATA!A3955</f>
        <v/>
      </c>
      <c r="B3955">
        <f>TEST_DATA!B3955</f>
        <v/>
      </c>
      <c r="C3955">
        <f>TEST_DATA!C3955</f>
        <v/>
      </c>
      <c r="D3955">
        <f>TEST_DATA!D3955</f>
        <v/>
      </c>
      <c r="E3955">
        <f>TEST_DATA!E3955</f>
        <v/>
      </c>
      <c r="F3955">
        <f>MIN(E3955*395500,10000)</f>
        <v/>
      </c>
      <c r="G3955">
        <f>MINIFS(CBIC_Late_Fee_Relief_Windows_3B!$O$3955:$O$100,CBIC_Late_Fee_Relief_Windows_3B!$D$3955:$D$100,"&lt;="&amp;B3955,CBIC_Late_Fee_Relief_Windows_3B!$E$3955:$E$100,"&gt;="&amp;B3955,CBIC_Late_Fee_Relief_Windows_3B!$F$3955:$F$100,"&lt;="&amp;C3955,CBIC_Late_Fee_Relief_Windows_3B!$G$3955:$G$100,"&gt;="&amp;C3955)</f>
        <v/>
      </c>
      <c r="H3955">
        <f>INDEX(CBIC_Late_Fee_Relief_Windows_3B!$I$3955:$I$100,MATCH(G3955,CBIC_Late_Fee_Relief_Windows_3B!$O$3955:$O$100,0))</f>
        <v/>
      </c>
      <c r="I3955">
        <f>MIN(F3955,H3955)</f>
        <v/>
      </c>
    </row>
    <row r="3956">
      <c r="A3956">
        <f>TEST_DATA!A3956</f>
        <v/>
      </c>
      <c r="B3956">
        <f>TEST_DATA!B3956</f>
        <v/>
      </c>
      <c r="C3956">
        <f>TEST_DATA!C3956</f>
        <v/>
      </c>
      <c r="D3956">
        <f>TEST_DATA!D3956</f>
        <v/>
      </c>
      <c r="E3956">
        <f>TEST_DATA!E3956</f>
        <v/>
      </c>
      <c r="F3956">
        <f>MIN(E3956*395600,10000)</f>
        <v/>
      </c>
      <c r="G3956">
        <f>MINIFS(CBIC_Late_Fee_Relief_Windows_3B!$O$3956:$O$100,CBIC_Late_Fee_Relief_Windows_3B!$D$3956:$D$100,"&lt;="&amp;B3956,CBIC_Late_Fee_Relief_Windows_3B!$E$3956:$E$100,"&gt;="&amp;B3956,CBIC_Late_Fee_Relief_Windows_3B!$F$3956:$F$100,"&lt;="&amp;C3956,CBIC_Late_Fee_Relief_Windows_3B!$G$3956:$G$100,"&gt;="&amp;C3956)</f>
        <v/>
      </c>
      <c r="H3956">
        <f>INDEX(CBIC_Late_Fee_Relief_Windows_3B!$I$3956:$I$100,MATCH(G3956,CBIC_Late_Fee_Relief_Windows_3B!$O$3956:$O$100,0))</f>
        <v/>
      </c>
      <c r="I3956">
        <f>MIN(F3956,H3956)</f>
        <v/>
      </c>
    </row>
    <row r="3957">
      <c r="A3957">
        <f>TEST_DATA!A3957</f>
        <v/>
      </c>
      <c r="B3957">
        <f>TEST_DATA!B3957</f>
        <v/>
      </c>
      <c r="C3957">
        <f>TEST_DATA!C3957</f>
        <v/>
      </c>
      <c r="D3957">
        <f>TEST_DATA!D3957</f>
        <v/>
      </c>
      <c r="E3957">
        <f>TEST_DATA!E3957</f>
        <v/>
      </c>
      <c r="F3957">
        <f>MIN(E3957*395700,10000)</f>
        <v/>
      </c>
      <c r="G3957">
        <f>MINIFS(CBIC_Late_Fee_Relief_Windows_3B!$O$3957:$O$100,CBIC_Late_Fee_Relief_Windows_3B!$D$3957:$D$100,"&lt;="&amp;B3957,CBIC_Late_Fee_Relief_Windows_3B!$E$3957:$E$100,"&gt;="&amp;B3957,CBIC_Late_Fee_Relief_Windows_3B!$F$3957:$F$100,"&lt;="&amp;C3957,CBIC_Late_Fee_Relief_Windows_3B!$G$3957:$G$100,"&gt;="&amp;C3957)</f>
        <v/>
      </c>
      <c r="H3957">
        <f>INDEX(CBIC_Late_Fee_Relief_Windows_3B!$I$3957:$I$100,MATCH(G3957,CBIC_Late_Fee_Relief_Windows_3B!$O$3957:$O$100,0))</f>
        <v/>
      </c>
      <c r="I3957">
        <f>MIN(F3957,H3957)</f>
        <v/>
      </c>
    </row>
    <row r="3958">
      <c r="A3958">
        <f>TEST_DATA!A3958</f>
        <v/>
      </c>
      <c r="B3958">
        <f>TEST_DATA!B3958</f>
        <v/>
      </c>
      <c r="C3958">
        <f>TEST_DATA!C3958</f>
        <v/>
      </c>
      <c r="D3958">
        <f>TEST_DATA!D3958</f>
        <v/>
      </c>
      <c r="E3958">
        <f>TEST_DATA!E3958</f>
        <v/>
      </c>
      <c r="F3958">
        <f>MIN(E3958*395800,10000)</f>
        <v/>
      </c>
      <c r="G3958">
        <f>MINIFS(CBIC_Late_Fee_Relief_Windows_3B!$O$3958:$O$100,CBIC_Late_Fee_Relief_Windows_3B!$D$3958:$D$100,"&lt;="&amp;B3958,CBIC_Late_Fee_Relief_Windows_3B!$E$3958:$E$100,"&gt;="&amp;B3958,CBIC_Late_Fee_Relief_Windows_3B!$F$3958:$F$100,"&lt;="&amp;C3958,CBIC_Late_Fee_Relief_Windows_3B!$G$3958:$G$100,"&gt;="&amp;C3958)</f>
        <v/>
      </c>
      <c r="H3958">
        <f>INDEX(CBIC_Late_Fee_Relief_Windows_3B!$I$3958:$I$100,MATCH(G3958,CBIC_Late_Fee_Relief_Windows_3B!$O$3958:$O$100,0))</f>
        <v/>
      </c>
      <c r="I3958">
        <f>MIN(F3958,H3958)</f>
        <v/>
      </c>
    </row>
    <row r="3959">
      <c r="A3959">
        <f>TEST_DATA!A3959</f>
        <v/>
      </c>
      <c r="B3959">
        <f>TEST_DATA!B3959</f>
        <v/>
      </c>
      <c r="C3959">
        <f>TEST_DATA!C3959</f>
        <v/>
      </c>
      <c r="D3959">
        <f>TEST_DATA!D3959</f>
        <v/>
      </c>
      <c r="E3959">
        <f>TEST_DATA!E3959</f>
        <v/>
      </c>
      <c r="F3959">
        <f>MIN(E3959*395900,10000)</f>
        <v/>
      </c>
      <c r="G3959">
        <f>MINIFS(CBIC_Late_Fee_Relief_Windows_3B!$O$3959:$O$100,CBIC_Late_Fee_Relief_Windows_3B!$D$3959:$D$100,"&lt;="&amp;B3959,CBIC_Late_Fee_Relief_Windows_3B!$E$3959:$E$100,"&gt;="&amp;B3959,CBIC_Late_Fee_Relief_Windows_3B!$F$3959:$F$100,"&lt;="&amp;C3959,CBIC_Late_Fee_Relief_Windows_3B!$G$3959:$G$100,"&gt;="&amp;C3959)</f>
        <v/>
      </c>
      <c r="H3959">
        <f>INDEX(CBIC_Late_Fee_Relief_Windows_3B!$I$3959:$I$100,MATCH(G3959,CBIC_Late_Fee_Relief_Windows_3B!$O$3959:$O$100,0))</f>
        <v/>
      </c>
      <c r="I3959">
        <f>MIN(F3959,H3959)</f>
        <v/>
      </c>
    </row>
    <row r="3960">
      <c r="A3960">
        <f>TEST_DATA!A3960</f>
        <v/>
      </c>
      <c r="B3960">
        <f>TEST_DATA!B3960</f>
        <v/>
      </c>
      <c r="C3960">
        <f>TEST_DATA!C3960</f>
        <v/>
      </c>
      <c r="D3960">
        <f>TEST_DATA!D3960</f>
        <v/>
      </c>
      <c r="E3960">
        <f>TEST_DATA!E3960</f>
        <v/>
      </c>
      <c r="F3960">
        <f>MIN(E3960*396000,10000)</f>
        <v/>
      </c>
      <c r="G3960">
        <f>MINIFS(CBIC_Late_Fee_Relief_Windows_3B!$O$3960:$O$100,CBIC_Late_Fee_Relief_Windows_3B!$D$3960:$D$100,"&lt;="&amp;B3960,CBIC_Late_Fee_Relief_Windows_3B!$E$3960:$E$100,"&gt;="&amp;B3960,CBIC_Late_Fee_Relief_Windows_3B!$F$3960:$F$100,"&lt;="&amp;C3960,CBIC_Late_Fee_Relief_Windows_3B!$G$3960:$G$100,"&gt;="&amp;C3960)</f>
        <v/>
      </c>
      <c r="H3960">
        <f>INDEX(CBIC_Late_Fee_Relief_Windows_3B!$I$3960:$I$100,MATCH(G3960,CBIC_Late_Fee_Relief_Windows_3B!$O$3960:$O$100,0))</f>
        <v/>
      </c>
      <c r="I3960">
        <f>MIN(F3960,H3960)</f>
        <v/>
      </c>
    </row>
    <row r="3961">
      <c r="A3961">
        <f>TEST_DATA!A3961</f>
        <v/>
      </c>
      <c r="B3961">
        <f>TEST_DATA!B3961</f>
        <v/>
      </c>
      <c r="C3961">
        <f>TEST_DATA!C3961</f>
        <v/>
      </c>
      <c r="D3961">
        <f>TEST_DATA!D3961</f>
        <v/>
      </c>
      <c r="E3961">
        <f>TEST_DATA!E3961</f>
        <v/>
      </c>
      <c r="F3961">
        <f>MIN(E3961*396100,10000)</f>
        <v/>
      </c>
      <c r="G3961">
        <f>MINIFS(CBIC_Late_Fee_Relief_Windows_3B!$O$3961:$O$100,CBIC_Late_Fee_Relief_Windows_3B!$D$3961:$D$100,"&lt;="&amp;B3961,CBIC_Late_Fee_Relief_Windows_3B!$E$3961:$E$100,"&gt;="&amp;B3961,CBIC_Late_Fee_Relief_Windows_3B!$F$3961:$F$100,"&lt;="&amp;C3961,CBIC_Late_Fee_Relief_Windows_3B!$G$3961:$G$100,"&gt;="&amp;C3961)</f>
        <v/>
      </c>
      <c r="H3961">
        <f>INDEX(CBIC_Late_Fee_Relief_Windows_3B!$I$3961:$I$100,MATCH(G3961,CBIC_Late_Fee_Relief_Windows_3B!$O$3961:$O$100,0))</f>
        <v/>
      </c>
      <c r="I3961">
        <f>MIN(F3961,H3961)</f>
        <v/>
      </c>
    </row>
    <row r="3962">
      <c r="A3962">
        <f>TEST_DATA!A3962</f>
        <v/>
      </c>
      <c r="B3962">
        <f>TEST_DATA!B3962</f>
        <v/>
      </c>
      <c r="C3962">
        <f>TEST_DATA!C3962</f>
        <v/>
      </c>
      <c r="D3962">
        <f>TEST_DATA!D3962</f>
        <v/>
      </c>
      <c r="E3962">
        <f>TEST_DATA!E3962</f>
        <v/>
      </c>
      <c r="F3962">
        <f>MIN(E3962*396200,10000)</f>
        <v/>
      </c>
      <c r="G3962">
        <f>MINIFS(CBIC_Late_Fee_Relief_Windows_3B!$O$3962:$O$100,CBIC_Late_Fee_Relief_Windows_3B!$D$3962:$D$100,"&lt;="&amp;B3962,CBIC_Late_Fee_Relief_Windows_3B!$E$3962:$E$100,"&gt;="&amp;B3962,CBIC_Late_Fee_Relief_Windows_3B!$F$3962:$F$100,"&lt;="&amp;C3962,CBIC_Late_Fee_Relief_Windows_3B!$G$3962:$G$100,"&gt;="&amp;C3962)</f>
        <v/>
      </c>
      <c r="H3962">
        <f>INDEX(CBIC_Late_Fee_Relief_Windows_3B!$I$3962:$I$100,MATCH(G3962,CBIC_Late_Fee_Relief_Windows_3B!$O$3962:$O$100,0))</f>
        <v/>
      </c>
      <c r="I3962">
        <f>MIN(F3962,H3962)</f>
        <v/>
      </c>
    </row>
    <row r="3963">
      <c r="A3963">
        <f>TEST_DATA!A3963</f>
        <v/>
      </c>
      <c r="B3963">
        <f>TEST_DATA!B3963</f>
        <v/>
      </c>
      <c r="C3963">
        <f>TEST_DATA!C3963</f>
        <v/>
      </c>
      <c r="D3963">
        <f>TEST_DATA!D3963</f>
        <v/>
      </c>
      <c r="E3963">
        <f>TEST_DATA!E3963</f>
        <v/>
      </c>
      <c r="F3963">
        <f>MIN(E3963*396300,10000)</f>
        <v/>
      </c>
      <c r="G3963">
        <f>MINIFS(CBIC_Late_Fee_Relief_Windows_3B!$O$3963:$O$100,CBIC_Late_Fee_Relief_Windows_3B!$D$3963:$D$100,"&lt;="&amp;B3963,CBIC_Late_Fee_Relief_Windows_3B!$E$3963:$E$100,"&gt;="&amp;B3963,CBIC_Late_Fee_Relief_Windows_3B!$F$3963:$F$100,"&lt;="&amp;C3963,CBIC_Late_Fee_Relief_Windows_3B!$G$3963:$G$100,"&gt;="&amp;C3963)</f>
        <v/>
      </c>
      <c r="H3963">
        <f>INDEX(CBIC_Late_Fee_Relief_Windows_3B!$I$3963:$I$100,MATCH(G3963,CBIC_Late_Fee_Relief_Windows_3B!$O$3963:$O$100,0))</f>
        <v/>
      </c>
      <c r="I3963">
        <f>MIN(F3963,H3963)</f>
        <v/>
      </c>
    </row>
    <row r="3964">
      <c r="A3964">
        <f>TEST_DATA!A3964</f>
        <v/>
      </c>
      <c r="B3964">
        <f>TEST_DATA!B3964</f>
        <v/>
      </c>
      <c r="C3964">
        <f>TEST_DATA!C3964</f>
        <v/>
      </c>
      <c r="D3964">
        <f>TEST_DATA!D3964</f>
        <v/>
      </c>
      <c r="E3964">
        <f>TEST_DATA!E3964</f>
        <v/>
      </c>
      <c r="F3964">
        <f>MIN(E3964*396400,10000)</f>
        <v/>
      </c>
      <c r="G3964">
        <f>MINIFS(CBIC_Late_Fee_Relief_Windows_3B!$O$3964:$O$100,CBIC_Late_Fee_Relief_Windows_3B!$D$3964:$D$100,"&lt;="&amp;B3964,CBIC_Late_Fee_Relief_Windows_3B!$E$3964:$E$100,"&gt;="&amp;B3964,CBIC_Late_Fee_Relief_Windows_3B!$F$3964:$F$100,"&lt;="&amp;C3964,CBIC_Late_Fee_Relief_Windows_3B!$G$3964:$G$100,"&gt;="&amp;C3964)</f>
        <v/>
      </c>
      <c r="H3964">
        <f>INDEX(CBIC_Late_Fee_Relief_Windows_3B!$I$3964:$I$100,MATCH(G3964,CBIC_Late_Fee_Relief_Windows_3B!$O$3964:$O$100,0))</f>
        <v/>
      </c>
      <c r="I3964">
        <f>MIN(F3964,H3964)</f>
        <v/>
      </c>
    </row>
    <row r="3965">
      <c r="A3965">
        <f>TEST_DATA!A3965</f>
        <v/>
      </c>
      <c r="B3965">
        <f>TEST_DATA!B3965</f>
        <v/>
      </c>
      <c r="C3965">
        <f>TEST_DATA!C3965</f>
        <v/>
      </c>
      <c r="D3965">
        <f>TEST_DATA!D3965</f>
        <v/>
      </c>
      <c r="E3965">
        <f>TEST_DATA!E3965</f>
        <v/>
      </c>
      <c r="F3965">
        <f>MIN(E3965*396500,10000)</f>
        <v/>
      </c>
      <c r="G3965">
        <f>MINIFS(CBIC_Late_Fee_Relief_Windows_3B!$O$3965:$O$100,CBIC_Late_Fee_Relief_Windows_3B!$D$3965:$D$100,"&lt;="&amp;B3965,CBIC_Late_Fee_Relief_Windows_3B!$E$3965:$E$100,"&gt;="&amp;B3965,CBIC_Late_Fee_Relief_Windows_3B!$F$3965:$F$100,"&lt;="&amp;C3965,CBIC_Late_Fee_Relief_Windows_3B!$G$3965:$G$100,"&gt;="&amp;C3965)</f>
        <v/>
      </c>
      <c r="H3965">
        <f>INDEX(CBIC_Late_Fee_Relief_Windows_3B!$I$3965:$I$100,MATCH(G3965,CBIC_Late_Fee_Relief_Windows_3B!$O$3965:$O$100,0))</f>
        <v/>
      </c>
      <c r="I3965">
        <f>MIN(F3965,H3965)</f>
        <v/>
      </c>
    </row>
    <row r="3966">
      <c r="A3966">
        <f>TEST_DATA!A3966</f>
        <v/>
      </c>
      <c r="B3966">
        <f>TEST_DATA!B3966</f>
        <v/>
      </c>
      <c r="C3966">
        <f>TEST_DATA!C3966</f>
        <v/>
      </c>
      <c r="D3966">
        <f>TEST_DATA!D3966</f>
        <v/>
      </c>
      <c r="E3966">
        <f>TEST_DATA!E3966</f>
        <v/>
      </c>
      <c r="F3966">
        <f>MIN(E3966*396600,10000)</f>
        <v/>
      </c>
      <c r="G3966">
        <f>MINIFS(CBIC_Late_Fee_Relief_Windows_3B!$O$3966:$O$100,CBIC_Late_Fee_Relief_Windows_3B!$D$3966:$D$100,"&lt;="&amp;B3966,CBIC_Late_Fee_Relief_Windows_3B!$E$3966:$E$100,"&gt;="&amp;B3966,CBIC_Late_Fee_Relief_Windows_3B!$F$3966:$F$100,"&lt;="&amp;C3966,CBIC_Late_Fee_Relief_Windows_3B!$G$3966:$G$100,"&gt;="&amp;C3966)</f>
        <v/>
      </c>
      <c r="H3966">
        <f>INDEX(CBIC_Late_Fee_Relief_Windows_3B!$I$3966:$I$100,MATCH(G3966,CBIC_Late_Fee_Relief_Windows_3B!$O$3966:$O$100,0))</f>
        <v/>
      </c>
      <c r="I3966">
        <f>MIN(F3966,H3966)</f>
        <v/>
      </c>
    </row>
    <row r="3967">
      <c r="A3967">
        <f>TEST_DATA!A3967</f>
        <v/>
      </c>
      <c r="B3967">
        <f>TEST_DATA!B3967</f>
        <v/>
      </c>
      <c r="C3967">
        <f>TEST_DATA!C3967</f>
        <v/>
      </c>
      <c r="D3967">
        <f>TEST_DATA!D3967</f>
        <v/>
      </c>
      <c r="E3967">
        <f>TEST_DATA!E3967</f>
        <v/>
      </c>
      <c r="F3967">
        <f>MIN(E3967*396700,10000)</f>
        <v/>
      </c>
      <c r="G3967">
        <f>MINIFS(CBIC_Late_Fee_Relief_Windows_3B!$O$3967:$O$100,CBIC_Late_Fee_Relief_Windows_3B!$D$3967:$D$100,"&lt;="&amp;B3967,CBIC_Late_Fee_Relief_Windows_3B!$E$3967:$E$100,"&gt;="&amp;B3967,CBIC_Late_Fee_Relief_Windows_3B!$F$3967:$F$100,"&lt;="&amp;C3967,CBIC_Late_Fee_Relief_Windows_3B!$G$3967:$G$100,"&gt;="&amp;C3967)</f>
        <v/>
      </c>
      <c r="H3967">
        <f>INDEX(CBIC_Late_Fee_Relief_Windows_3B!$I$3967:$I$100,MATCH(G3967,CBIC_Late_Fee_Relief_Windows_3B!$O$3967:$O$100,0))</f>
        <v/>
      </c>
      <c r="I3967">
        <f>MIN(F3967,H3967)</f>
        <v/>
      </c>
    </row>
    <row r="3968">
      <c r="A3968">
        <f>TEST_DATA!A3968</f>
        <v/>
      </c>
      <c r="B3968">
        <f>TEST_DATA!B3968</f>
        <v/>
      </c>
      <c r="C3968">
        <f>TEST_DATA!C3968</f>
        <v/>
      </c>
      <c r="D3968">
        <f>TEST_DATA!D3968</f>
        <v/>
      </c>
      <c r="E3968">
        <f>TEST_DATA!E3968</f>
        <v/>
      </c>
      <c r="F3968">
        <f>MIN(E3968*396800,10000)</f>
        <v/>
      </c>
      <c r="G3968">
        <f>MINIFS(CBIC_Late_Fee_Relief_Windows_3B!$O$3968:$O$100,CBIC_Late_Fee_Relief_Windows_3B!$D$3968:$D$100,"&lt;="&amp;B3968,CBIC_Late_Fee_Relief_Windows_3B!$E$3968:$E$100,"&gt;="&amp;B3968,CBIC_Late_Fee_Relief_Windows_3B!$F$3968:$F$100,"&lt;="&amp;C3968,CBIC_Late_Fee_Relief_Windows_3B!$G$3968:$G$100,"&gt;="&amp;C3968)</f>
        <v/>
      </c>
      <c r="H3968">
        <f>INDEX(CBIC_Late_Fee_Relief_Windows_3B!$I$3968:$I$100,MATCH(G3968,CBIC_Late_Fee_Relief_Windows_3B!$O$3968:$O$100,0))</f>
        <v/>
      </c>
      <c r="I3968">
        <f>MIN(F3968,H3968)</f>
        <v/>
      </c>
    </row>
    <row r="3969">
      <c r="A3969">
        <f>TEST_DATA!A3969</f>
        <v/>
      </c>
      <c r="B3969">
        <f>TEST_DATA!B3969</f>
        <v/>
      </c>
      <c r="C3969">
        <f>TEST_DATA!C3969</f>
        <v/>
      </c>
      <c r="D3969">
        <f>TEST_DATA!D3969</f>
        <v/>
      </c>
      <c r="E3969">
        <f>TEST_DATA!E3969</f>
        <v/>
      </c>
      <c r="F3969">
        <f>MIN(E3969*396900,10000)</f>
        <v/>
      </c>
      <c r="G3969">
        <f>MINIFS(CBIC_Late_Fee_Relief_Windows_3B!$O$3969:$O$100,CBIC_Late_Fee_Relief_Windows_3B!$D$3969:$D$100,"&lt;="&amp;B3969,CBIC_Late_Fee_Relief_Windows_3B!$E$3969:$E$100,"&gt;="&amp;B3969,CBIC_Late_Fee_Relief_Windows_3B!$F$3969:$F$100,"&lt;="&amp;C3969,CBIC_Late_Fee_Relief_Windows_3B!$G$3969:$G$100,"&gt;="&amp;C3969)</f>
        <v/>
      </c>
      <c r="H3969">
        <f>INDEX(CBIC_Late_Fee_Relief_Windows_3B!$I$3969:$I$100,MATCH(G3969,CBIC_Late_Fee_Relief_Windows_3B!$O$3969:$O$100,0))</f>
        <v/>
      </c>
      <c r="I3969">
        <f>MIN(F3969,H3969)</f>
        <v/>
      </c>
    </row>
    <row r="3970">
      <c r="A3970">
        <f>TEST_DATA!A3970</f>
        <v/>
      </c>
      <c r="B3970">
        <f>TEST_DATA!B3970</f>
        <v/>
      </c>
      <c r="C3970">
        <f>TEST_DATA!C3970</f>
        <v/>
      </c>
      <c r="D3970">
        <f>TEST_DATA!D3970</f>
        <v/>
      </c>
      <c r="E3970">
        <f>TEST_DATA!E3970</f>
        <v/>
      </c>
      <c r="F3970">
        <f>MIN(E3970*397000,10000)</f>
        <v/>
      </c>
      <c r="G3970">
        <f>MINIFS(CBIC_Late_Fee_Relief_Windows_3B!$O$3970:$O$100,CBIC_Late_Fee_Relief_Windows_3B!$D$3970:$D$100,"&lt;="&amp;B3970,CBIC_Late_Fee_Relief_Windows_3B!$E$3970:$E$100,"&gt;="&amp;B3970,CBIC_Late_Fee_Relief_Windows_3B!$F$3970:$F$100,"&lt;="&amp;C3970,CBIC_Late_Fee_Relief_Windows_3B!$G$3970:$G$100,"&gt;="&amp;C3970)</f>
        <v/>
      </c>
      <c r="H3970">
        <f>INDEX(CBIC_Late_Fee_Relief_Windows_3B!$I$3970:$I$100,MATCH(G3970,CBIC_Late_Fee_Relief_Windows_3B!$O$3970:$O$100,0))</f>
        <v/>
      </c>
      <c r="I3970">
        <f>MIN(F3970,H3970)</f>
        <v/>
      </c>
    </row>
    <row r="3971">
      <c r="A3971">
        <f>TEST_DATA!A3971</f>
        <v/>
      </c>
      <c r="B3971">
        <f>TEST_DATA!B3971</f>
        <v/>
      </c>
      <c r="C3971">
        <f>TEST_DATA!C3971</f>
        <v/>
      </c>
      <c r="D3971">
        <f>TEST_DATA!D3971</f>
        <v/>
      </c>
      <c r="E3971">
        <f>TEST_DATA!E3971</f>
        <v/>
      </c>
      <c r="F3971">
        <f>MIN(E3971*397100,10000)</f>
        <v/>
      </c>
      <c r="G3971">
        <f>MINIFS(CBIC_Late_Fee_Relief_Windows_3B!$O$3971:$O$100,CBIC_Late_Fee_Relief_Windows_3B!$D$3971:$D$100,"&lt;="&amp;B3971,CBIC_Late_Fee_Relief_Windows_3B!$E$3971:$E$100,"&gt;="&amp;B3971,CBIC_Late_Fee_Relief_Windows_3B!$F$3971:$F$100,"&lt;="&amp;C3971,CBIC_Late_Fee_Relief_Windows_3B!$G$3971:$G$100,"&gt;="&amp;C3971)</f>
        <v/>
      </c>
      <c r="H3971">
        <f>INDEX(CBIC_Late_Fee_Relief_Windows_3B!$I$3971:$I$100,MATCH(G3971,CBIC_Late_Fee_Relief_Windows_3B!$O$3971:$O$100,0))</f>
        <v/>
      </c>
      <c r="I3971">
        <f>MIN(F3971,H3971)</f>
        <v/>
      </c>
    </row>
    <row r="3972">
      <c r="A3972">
        <f>TEST_DATA!A3972</f>
        <v/>
      </c>
      <c r="B3972">
        <f>TEST_DATA!B3972</f>
        <v/>
      </c>
      <c r="C3972">
        <f>TEST_DATA!C3972</f>
        <v/>
      </c>
      <c r="D3972">
        <f>TEST_DATA!D3972</f>
        <v/>
      </c>
      <c r="E3972">
        <f>TEST_DATA!E3972</f>
        <v/>
      </c>
      <c r="F3972">
        <f>MIN(E3972*397200,10000)</f>
        <v/>
      </c>
      <c r="G3972">
        <f>MINIFS(CBIC_Late_Fee_Relief_Windows_3B!$O$3972:$O$100,CBIC_Late_Fee_Relief_Windows_3B!$D$3972:$D$100,"&lt;="&amp;B3972,CBIC_Late_Fee_Relief_Windows_3B!$E$3972:$E$100,"&gt;="&amp;B3972,CBIC_Late_Fee_Relief_Windows_3B!$F$3972:$F$100,"&lt;="&amp;C3972,CBIC_Late_Fee_Relief_Windows_3B!$G$3972:$G$100,"&gt;="&amp;C3972)</f>
        <v/>
      </c>
      <c r="H3972">
        <f>INDEX(CBIC_Late_Fee_Relief_Windows_3B!$I$3972:$I$100,MATCH(G3972,CBIC_Late_Fee_Relief_Windows_3B!$O$3972:$O$100,0))</f>
        <v/>
      </c>
      <c r="I3972">
        <f>MIN(F3972,H3972)</f>
        <v/>
      </c>
    </row>
    <row r="3973">
      <c r="A3973">
        <f>TEST_DATA!A3973</f>
        <v/>
      </c>
      <c r="B3973">
        <f>TEST_DATA!B3973</f>
        <v/>
      </c>
      <c r="C3973">
        <f>TEST_DATA!C3973</f>
        <v/>
      </c>
      <c r="D3973">
        <f>TEST_DATA!D3973</f>
        <v/>
      </c>
      <c r="E3973">
        <f>TEST_DATA!E3973</f>
        <v/>
      </c>
      <c r="F3973">
        <f>MIN(E3973*397300,10000)</f>
        <v/>
      </c>
      <c r="G3973">
        <f>MINIFS(CBIC_Late_Fee_Relief_Windows_3B!$O$3973:$O$100,CBIC_Late_Fee_Relief_Windows_3B!$D$3973:$D$100,"&lt;="&amp;B3973,CBIC_Late_Fee_Relief_Windows_3B!$E$3973:$E$100,"&gt;="&amp;B3973,CBIC_Late_Fee_Relief_Windows_3B!$F$3973:$F$100,"&lt;="&amp;C3973,CBIC_Late_Fee_Relief_Windows_3B!$G$3973:$G$100,"&gt;="&amp;C3973)</f>
        <v/>
      </c>
      <c r="H3973">
        <f>INDEX(CBIC_Late_Fee_Relief_Windows_3B!$I$3973:$I$100,MATCH(G3973,CBIC_Late_Fee_Relief_Windows_3B!$O$3973:$O$100,0))</f>
        <v/>
      </c>
      <c r="I3973">
        <f>MIN(F3973,H3973)</f>
        <v/>
      </c>
    </row>
    <row r="3974">
      <c r="A3974">
        <f>TEST_DATA!A3974</f>
        <v/>
      </c>
      <c r="B3974">
        <f>TEST_DATA!B3974</f>
        <v/>
      </c>
      <c r="C3974">
        <f>TEST_DATA!C3974</f>
        <v/>
      </c>
      <c r="D3974">
        <f>TEST_DATA!D3974</f>
        <v/>
      </c>
      <c r="E3974">
        <f>TEST_DATA!E3974</f>
        <v/>
      </c>
      <c r="F3974">
        <f>MIN(E3974*397400,10000)</f>
        <v/>
      </c>
      <c r="G3974">
        <f>MINIFS(CBIC_Late_Fee_Relief_Windows_3B!$O$3974:$O$100,CBIC_Late_Fee_Relief_Windows_3B!$D$3974:$D$100,"&lt;="&amp;B3974,CBIC_Late_Fee_Relief_Windows_3B!$E$3974:$E$100,"&gt;="&amp;B3974,CBIC_Late_Fee_Relief_Windows_3B!$F$3974:$F$100,"&lt;="&amp;C3974,CBIC_Late_Fee_Relief_Windows_3B!$G$3974:$G$100,"&gt;="&amp;C3974)</f>
        <v/>
      </c>
      <c r="H3974">
        <f>INDEX(CBIC_Late_Fee_Relief_Windows_3B!$I$3974:$I$100,MATCH(G3974,CBIC_Late_Fee_Relief_Windows_3B!$O$3974:$O$100,0))</f>
        <v/>
      </c>
      <c r="I3974">
        <f>MIN(F3974,H3974)</f>
        <v/>
      </c>
    </row>
    <row r="3975">
      <c r="A3975">
        <f>TEST_DATA!A3975</f>
        <v/>
      </c>
      <c r="B3975">
        <f>TEST_DATA!B3975</f>
        <v/>
      </c>
      <c r="C3975">
        <f>TEST_DATA!C3975</f>
        <v/>
      </c>
      <c r="D3975">
        <f>TEST_DATA!D3975</f>
        <v/>
      </c>
      <c r="E3975">
        <f>TEST_DATA!E3975</f>
        <v/>
      </c>
      <c r="F3975">
        <f>MIN(E3975*397500,10000)</f>
        <v/>
      </c>
      <c r="G3975">
        <f>MINIFS(CBIC_Late_Fee_Relief_Windows_3B!$O$3975:$O$100,CBIC_Late_Fee_Relief_Windows_3B!$D$3975:$D$100,"&lt;="&amp;B3975,CBIC_Late_Fee_Relief_Windows_3B!$E$3975:$E$100,"&gt;="&amp;B3975,CBIC_Late_Fee_Relief_Windows_3B!$F$3975:$F$100,"&lt;="&amp;C3975,CBIC_Late_Fee_Relief_Windows_3B!$G$3975:$G$100,"&gt;="&amp;C3975)</f>
        <v/>
      </c>
      <c r="H3975">
        <f>INDEX(CBIC_Late_Fee_Relief_Windows_3B!$I$3975:$I$100,MATCH(G3975,CBIC_Late_Fee_Relief_Windows_3B!$O$3975:$O$100,0))</f>
        <v/>
      </c>
      <c r="I3975">
        <f>MIN(F3975,H3975)</f>
        <v/>
      </c>
    </row>
    <row r="3976">
      <c r="A3976">
        <f>TEST_DATA!A3976</f>
        <v/>
      </c>
      <c r="B3976">
        <f>TEST_DATA!B3976</f>
        <v/>
      </c>
      <c r="C3976">
        <f>TEST_DATA!C3976</f>
        <v/>
      </c>
      <c r="D3976">
        <f>TEST_DATA!D3976</f>
        <v/>
      </c>
      <c r="E3976">
        <f>TEST_DATA!E3976</f>
        <v/>
      </c>
      <c r="F3976">
        <f>MIN(E3976*397600,10000)</f>
        <v/>
      </c>
      <c r="G3976">
        <f>MINIFS(CBIC_Late_Fee_Relief_Windows_3B!$O$3976:$O$100,CBIC_Late_Fee_Relief_Windows_3B!$D$3976:$D$100,"&lt;="&amp;B3976,CBIC_Late_Fee_Relief_Windows_3B!$E$3976:$E$100,"&gt;="&amp;B3976,CBIC_Late_Fee_Relief_Windows_3B!$F$3976:$F$100,"&lt;="&amp;C3976,CBIC_Late_Fee_Relief_Windows_3B!$G$3976:$G$100,"&gt;="&amp;C3976)</f>
        <v/>
      </c>
      <c r="H3976">
        <f>INDEX(CBIC_Late_Fee_Relief_Windows_3B!$I$3976:$I$100,MATCH(G3976,CBIC_Late_Fee_Relief_Windows_3B!$O$3976:$O$100,0))</f>
        <v/>
      </c>
      <c r="I3976">
        <f>MIN(F3976,H3976)</f>
        <v/>
      </c>
    </row>
    <row r="3977">
      <c r="A3977">
        <f>TEST_DATA!A3977</f>
        <v/>
      </c>
      <c r="B3977">
        <f>TEST_DATA!B3977</f>
        <v/>
      </c>
      <c r="C3977">
        <f>TEST_DATA!C3977</f>
        <v/>
      </c>
      <c r="D3977">
        <f>TEST_DATA!D3977</f>
        <v/>
      </c>
      <c r="E3977">
        <f>TEST_DATA!E3977</f>
        <v/>
      </c>
      <c r="F3977">
        <f>MIN(E3977*397700,10000)</f>
        <v/>
      </c>
      <c r="G3977">
        <f>MINIFS(CBIC_Late_Fee_Relief_Windows_3B!$O$3977:$O$100,CBIC_Late_Fee_Relief_Windows_3B!$D$3977:$D$100,"&lt;="&amp;B3977,CBIC_Late_Fee_Relief_Windows_3B!$E$3977:$E$100,"&gt;="&amp;B3977,CBIC_Late_Fee_Relief_Windows_3B!$F$3977:$F$100,"&lt;="&amp;C3977,CBIC_Late_Fee_Relief_Windows_3B!$G$3977:$G$100,"&gt;="&amp;C3977)</f>
        <v/>
      </c>
      <c r="H3977">
        <f>INDEX(CBIC_Late_Fee_Relief_Windows_3B!$I$3977:$I$100,MATCH(G3977,CBIC_Late_Fee_Relief_Windows_3B!$O$3977:$O$100,0))</f>
        <v/>
      </c>
      <c r="I3977">
        <f>MIN(F3977,H3977)</f>
        <v/>
      </c>
    </row>
    <row r="3978">
      <c r="A3978">
        <f>TEST_DATA!A3978</f>
        <v/>
      </c>
      <c r="B3978">
        <f>TEST_DATA!B3978</f>
        <v/>
      </c>
      <c r="C3978">
        <f>TEST_DATA!C3978</f>
        <v/>
      </c>
      <c r="D3978">
        <f>TEST_DATA!D3978</f>
        <v/>
      </c>
      <c r="E3978">
        <f>TEST_DATA!E3978</f>
        <v/>
      </c>
      <c r="F3978">
        <f>MIN(E3978*397800,10000)</f>
        <v/>
      </c>
      <c r="G3978">
        <f>MINIFS(CBIC_Late_Fee_Relief_Windows_3B!$O$3978:$O$100,CBIC_Late_Fee_Relief_Windows_3B!$D$3978:$D$100,"&lt;="&amp;B3978,CBIC_Late_Fee_Relief_Windows_3B!$E$3978:$E$100,"&gt;="&amp;B3978,CBIC_Late_Fee_Relief_Windows_3B!$F$3978:$F$100,"&lt;="&amp;C3978,CBIC_Late_Fee_Relief_Windows_3B!$G$3978:$G$100,"&gt;="&amp;C3978)</f>
        <v/>
      </c>
      <c r="H3978">
        <f>INDEX(CBIC_Late_Fee_Relief_Windows_3B!$I$3978:$I$100,MATCH(G3978,CBIC_Late_Fee_Relief_Windows_3B!$O$3978:$O$100,0))</f>
        <v/>
      </c>
      <c r="I3978">
        <f>MIN(F3978,H3978)</f>
        <v/>
      </c>
    </row>
    <row r="3979">
      <c r="A3979">
        <f>TEST_DATA!A3979</f>
        <v/>
      </c>
      <c r="B3979">
        <f>TEST_DATA!B3979</f>
        <v/>
      </c>
      <c r="C3979">
        <f>TEST_DATA!C3979</f>
        <v/>
      </c>
      <c r="D3979">
        <f>TEST_DATA!D3979</f>
        <v/>
      </c>
      <c r="E3979">
        <f>TEST_DATA!E3979</f>
        <v/>
      </c>
      <c r="F3979">
        <f>MIN(E3979*397900,10000)</f>
        <v/>
      </c>
      <c r="G3979">
        <f>MINIFS(CBIC_Late_Fee_Relief_Windows_3B!$O$3979:$O$100,CBIC_Late_Fee_Relief_Windows_3B!$D$3979:$D$100,"&lt;="&amp;B3979,CBIC_Late_Fee_Relief_Windows_3B!$E$3979:$E$100,"&gt;="&amp;B3979,CBIC_Late_Fee_Relief_Windows_3B!$F$3979:$F$100,"&lt;="&amp;C3979,CBIC_Late_Fee_Relief_Windows_3B!$G$3979:$G$100,"&gt;="&amp;C3979)</f>
        <v/>
      </c>
      <c r="H3979">
        <f>INDEX(CBIC_Late_Fee_Relief_Windows_3B!$I$3979:$I$100,MATCH(G3979,CBIC_Late_Fee_Relief_Windows_3B!$O$3979:$O$100,0))</f>
        <v/>
      </c>
      <c r="I3979">
        <f>MIN(F3979,H3979)</f>
        <v/>
      </c>
    </row>
    <row r="3980">
      <c r="A3980">
        <f>TEST_DATA!A3980</f>
        <v/>
      </c>
      <c r="B3980">
        <f>TEST_DATA!B3980</f>
        <v/>
      </c>
      <c r="C3980">
        <f>TEST_DATA!C3980</f>
        <v/>
      </c>
      <c r="D3980">
        <f>TEST_DATA!D3980</f>
        <v/>
      </c>
      <c r="E3980">
        <f>TEST_DATA!E3980</f>
        <v/>
      </c>
      <c r="F3980">
        <f>MIN(E3980*398000,10000)</f>
        <v/>
      </c>
      <c r="G3980">
        <f>MINIFS(CBIC_Late_Fee_Relief_Windows_3B!$O$3980:$O$100,CBIC_Late_Fee_Relief_Windows_3B!$D$3980:$D$100,"&lt;="&amp;B3980,CBIC_Late_Fee_Relief_Windows_3B!$E$3980:$E$100,"&gt;="&amp;B3980,CBIC_Late_Fee_Relief_Windows_3B!$F$3980:$F$100,"&lt;="&amp;C3980,CBIC_Late_Fee_Relief_Windows_3B!$G$3980:$G$100,"&gt;="&amp;C3980)</f>
        <v/>
      </c>
      <c r="H3980">
        <f>INDEX(CBIC_Late_Fee_Relief_Windows_3B!$I$3980:$I$100,MATCH(G3980,CBIC_Late_Fee_Relief_Windows_3B!$O$3980:$O$100,0))</f>
        <v/>
      </c>
      <c r="I3980">
        <f>MIN(F3980,H3980)</f>
        <v/>
      </c>
    </row>
    <row r="3981">
      <c r="A3981">
        <f>TEST_DATA!A3981</f>
        <v/>
      </c>
      <c r="B3981">
        <f>TEST_DATA!B3981</f>
        <v/>
      </c>
      <c r="C3981">
        <f>TEST_DATA!C3981</f>
        <v/>
      </c>
      <c r="D3981">
        <f>TEST_DATA!D3981</f>
        <v/>
      </c>
      <c r="E3981">
        <f>TEST_DATA!E3981</f>
        <v/>
      </c>
      <c r="F3981">
        <f>MIN(E3981*398100,10000)</f>
        <v/>
      </c>
      <c r="G3981">
        <f>MINIFS(CBIC_Late_Fee_Relief_Windows_3B!$O$3981:$O$100,CBIC_Late_Fee_Relief_Windows_3B!$D$3981:$D$100,"&lt;="&amp;B3981,CBIC_Late_Fee_Relief_Windows_3B!$E$3981:$E$100,"&gt;="&amp;B3981,CBIC_Late_Fee_Relief_Windows_3B!$F$3981:$F$100,"&lt;="&amp;C3981,CBIC_Late_Fee_Relief_Windows_3B!$G$3981:$G$100,"&gt;="&amp;C3981)</f>
        <v/>
      </c>
      <c r="H3981">
        <f>INDEX(CBIC_Late_Fee_Relief_Windows_3B!$I$3981:$I$100,MATCH(G3981,CBIC_Late_Fee_Relief_Windows_3B!$O$3981:$O$100,0))</f>
        <v/>
      </c>
      <c r="I3981">
        <f>MIN(F3981,H3981)</f>
        <v/>
      </c>
    </row>
    <row r="3982">
      <c r="A3982">
        <f>TEST_DATA!A3982</f>
        <v/>
      </c>
      <c r="B3982">
        <f>TEST_DATA!B3982</f>
        <v/>
      </c>
      <c r="C3982">
        <f>TEST_DATA!C3982</f>
        <v/>
      </c>
      <c r="D3982">
        <f>TEST_DATA!D3982</f>
        <v/>
      </c>
      <c r="E3982">
        <f>TEST_DATA!E3982</f>
        <v/>
      </c>
      <c r="F3982">
        <f>MIN(E3982*398200,10000)</f>
        <v/>
      </c>
      <c r="G3982">
        <f>MINIFS(CBIC_Late_Fee_Relief_Windows_3B!$O$3982:$O$100,CBIC_Late_Fee_Relief_Windows_3B!$D$3982:$D$100,"&lt;="&amp;B3982,CBIC_Late_Fee_Relief_Windows_3B!$E$3982:$E$100,"&gt;="&amp;B3982,CBIC_Late_Fee_Relief_Windows_3B!$F$3982:$F$100,"&lt;="&amp;C3982,CBIC_Late_Fee_Relief_Windows_3B!$G$3982:$G$100,"&gt;="&amp;C3982)</f>
        <v/>
      </c>
      <c r="H3982">
        <f>INDEX(CBIC_Late_Fee_Relief_Windows_3B!$I$3982:$I$100,MATCH(G3982,CBIC_Late_Fee_Relief_Windows_3B!$O$3982:$O$100,0))</f>
        <v/>
      </c>
      <c r="I3982">
        <f>MIN(F3982,H3982)</f>
        <v/>
      </c>
    </row>
    <row r="3983">
      <c r="A3983">
        <f>TEST_DATA!A3983</f>
        <v/>
      </c>
      <c r="B3983">
        <f>TEST_DATA!B3983</f>
        <v/>
      </c>
      <c r="C3983">
        <f>TEST_DATA!C3983</f>
        <v/>
      </c>
      <c r="D3983">
        <f>TEST_DATA!D3983</f>
        <v/>
      </c>
      <c r="E3983">
        <f>TEST_DATA!E3983</f>
        <v/>
      </c>
      <c r="F3983">
        <f>MIN(E3983*398300,10000)</f>
        <v/>
      </c>
      <c r="G3983">
        <f>MINIFS(CBIC_Late_Fee_Relief_Windows_3B!$O$3983:$O$100,CBIC_Late_Fee_Relief_Windows_3B!$D$3983:$D$100,"&lt;="&amp;B3983,CBIC_Late_Fee_Relief_Windows_3B!$E$3983:$E$100,"&gt;="&amp;B3983,CBIC_Late_Fee_Relief_Windows_3B!$F$3983:$F$100,"&lt;="&amp;C3983,CBIC_Late_Fee_Relief_Windows_3B!$G$3983:$G$100,"&gt;="&amp;C3983)</f>
        <v/>
      </c>
      <c r="H3983">
        <f>INDEX(CBIC_Late_Fee_Relief_Windows_3B!$I$3983:$I$100,MATCH(G3983,CBIC_Late_Fee_Relief_Windows_3B!$O$3983:$O$100,0))</f>
        <v/>
      </c>
      <c r="I3983">
        <f>MIN(F3983,H3983)</f>
        <v/>
      </c>
    </row>
    <row r="3984">
      <c r="A3984">
        <f>TEST_DATA!A3984</f>
        <v/>
      </c>
      <c r="B3984">
        <f>TEST_DATA!B3984</f>
        <v/>
      </c>
      <c r="C3984">
        <f>TEST_DATA!C3984</f>
        <v/>
      </c>
      <c r="D3984">
        <f>TEST_DATA!D3984</f>
        <v/>
      </c>
      <c r="E3984">
        <f>TEST_DATA!E3984</f>
        <v/>
      </c>
      <c r="F3984">
        <f>MIN(E3984*398400,10000)</f>
        <v/>
      </c>
      <c r="G3984">
        <f>MINIFS(CBIC_Late_Fee_Relief_Windows_3B!$O$3984:$O$100,CBIC_Late_Fee_Relief_Windows_3B!$D$3984:$D$100,"&lt;="&amp;B3984,CBIC_Late_Fee_Relief_Windows_3B!$E$3984:$E$100,"&gt;="&amp;B3984,CBIC_Late_Fee_Relief_Windows_3B!$F$3984:$F$100,"&lt;="&amp;C3984,CBIC_Late_Fee_Relief_Windows_3B!$G$3984:$G$100,"&gt;="&amp;C3984)</f>
        <v/>
      </c>
      <c r="H3984">
        <f>INDEX(CBIC_Late_Fee_Relief_Windows_3B!$I$3984:$I$100,MATCH(G3984,CBIC_Late_Fee_Relief_Windows_3B!$O$3984:$O$100,0))</f>
        <v/>
      </c>
      <c r="I3984">
        <f>MIN(F3984,H3984)</f>
        <v/>
      </c>
    </row>
    <row r="3985">
      <c r="A3985">
        <f>TEST_DATA!A3985</f>
        <v/>
      </c>
      <c r="B3985">
        <f>TEST_DATA!B3985</f>
        <v/>
      </c>
      <c r="C3985">
        <f>TEST_DATA!C3985</f>
        <v/>
      </c>
      <c r="D3985">
        <f>TEST_DATA!D3985</f>
        <v/>
      </c>
      <c r="E3985">
        <f>TEST_DATA!E3985</f>
        <v/>
      </c>
      <c r="F3985">
        <f>MIN(E3985*398500,10000)</f>
        <v/>
      </c>
      <c r="G3985">
        <f>MINIFS(CBIC_Late_Fee_Relief_Windows_3B!$O$3985:$O$100,CBIC_Late_Fee_Relief_Windows_3B!$D$3985:$D$100,"&lt;="&amp;B3985,CBIC_Late_Fee_Relief_Windows_3B!$E$3985:$E$100,"&gt;="&amp;B3985,CBIC_Late_Fee_Relief_Windows_3B!$F$3985:$F$100,"&lt;="&amp;C3985,CBIC_Late_Fee_Relief_Windows_3B!$G$3985:$G$100,"&gt;="&amp;C3985)</f>
        <v/>
      </c>
      <c r="H3985">
        <f>INDEX(CBIC_Late_Fee_Relief_Windows_3B!$I$3985:$I$100,MATCH(G3985,CBIC_Late_Fee_Relief_Windows_3B!$O$3985:$O$100,0))</f>
        <v/>
      </c>
      <c r="I3985">
        <f>MIN(F3985,H3985)</f>
        <v/>
      </c>
    </row>
    <row r="3986">
      <c r="A3986">
        <f>TEST_DATA!A3986</f>
        <v/>
      </c>
      <c r="B3986">
        <f>TEST_DATA!B3986</f>
        <v/>
      </c>
      <c r="C3986">
        <f>TEST_DATA!C3986</f>
        <v/>
      </c>
      <c r="D3986">
        <f>TEST_DATA!D3986</f>
        <v/>
      </c>
      <c r="E3986">
        <f>TEST_DATA!E3986</f>
        <v/>
      </c>
      <c r="F3986">
        <f>MIN(E3986*398600,10000)</f>
        <v/>
      </c>
      <c r="G3986">
        <f>MINIFS(CBIC_Late_Fee_Relief_Windows_3B!$O$3986:$O$100,CBIC_Late_Fee_Relief_Windows_3B!$D$3986:$D$100,"&lt;="&amp;B3986,CBIC_Late_Fee_Relief_Windows_3B!$E$3986:$E$100,"&gt;="&amp;B3986,CBIC_Late_Fee_Relief_Windows_3B!$F$3986:$F$100,"&lt;="&amp;C3986,CBIC_Late_Fee_Relief_Windows_3B!$G$3986:$G$100,"&gt;="&amp;C3986)</f>
        <v/>
      </c>
      <c r="H3986">
        <f>INDEX(CBIC_Late_Fee_Relief_Windows_3B!$I$3986:$I$100,MATCH(G3986,CBIC_Late_Fee_Relief_Windows_3B!$O$3986:$O$100,0))</f>
        <v/>
      </c>
      <c r="I3986">
        <f>MIN(F3986,H3986)</f>
        <v/>
      </c>
    </row>
    <row r="3987">
      <c r="A3987">
        <f>TEST_DATA!A3987</f>
        <v/>
      </c>
      <c r="B3987">
        <f>TEST_DATA!B3987</f>
        <v/>
      </c>
      <c r="C3987">
        <f>TEST_DATA!C3987</f>
        <v/>
      </c>
      <c r="D3987">
        <f>TEST_DATA!D3987</f>
        <v/>
      </c>
      <c r="E3987">
        <f>TEST_DATA!E3987</f>
        <v/>
      </c>
      <c r="F3987">
        <f>MIN(E3987*398700,10000)</f>
        <v/>
      </c>
      <c r="G3987">
        <f>MINIFS(CBIC_Late_Fee_Relief_Windows_3B!$O$3987:$O$100,CBIC_Late_Fee_Relief_Windows_3B!$D$3987:$D$100,"&lt;="&amp;B3987,CBIC_Late_Fee_Relief_Windows_3B!$E$3987:$E$100,"&gt;="&amp;B3987,CBIC_Late_Fee_Relief_Windows_3B!$F$3987:$F$100,"&lt;="&amp;C3987,CBIC_Late_Fee_Relief_Windows_3B!$G$3987:$G$100,"&gt;="&amp;C3987)</f>
        <v/>
      </c>
      <c r="H3987">
        <f>INDEX(CBIC_Late_Fee_Relief_Windows_3B!$I$3987:$I$100,MATCH(G3987,CBIC_Late_Fee_Relief_Windows_3B!$O$3987:$O$100,0))</f>
        <v/>
      </c>
      <c r="I3987">
        <f>MIN(F3987,H3987)</f>
        <v/>
      </c>
    </row>
    <row r="3988">
      <c r="A3988">
        <f>TEST_DATA!A3988</f>
        <v/>
      </c>
      <c r="B3988">
        <f>TEST_DATA!B3988</f>
        <v/>
      </c>
      <c r="C3988">
        <f>TEST_DATA!C3988</f>
        <v/>
      </c>
      <c r="D3988">
        <f>TEST_DATA!D3988</f>
        <v/>
      </c>
      <c r="E3988">
        <f>TEST_DATA!E3988</f>
        <v/>
      </c>
      <c r="F3988">
        <f>MIN(E3988*398800,10000)</f>
        <v/>
      </c>
      <c r="G3988">
        <f>MINIFS(CBIC_Late_Fee_Relief_Windows_3B!$O$3988:$O$100,CBIC_Late_Fee_Relief_Windows_3B!$D$3988:$D$100,"&lt;="&amp;B3988,CBIC_Late_Fee_Relief_Windows_3B!$E$3988:$E$100,"&gt;="&amp;B3988,CBIC_Late_Fee_Relief_Windows_3B!$F$3988:$F$100,"&lt;="&amp;C3988,CBIC_Late_Fee_Relief_Windows_3B!$G$3988:$G$100,"&gt;="&amp;C3988)</f>
        <v/>
      </c>
      <c r="H3988">
        <f>INDEX(CBIC_Late_Fee_Relief_Windows_3B!$I$3988:$I$100,MATCH(G3988,CBIC_Late_Fee_Relief_Windows_3B!$O$3988:$O$100,0))</f>
        <v/>
      </c>
      <c r="I3988">
        <f>MIN(F3988,H3988)</f>
        <v/>
      </c>
    </row>
    <row r="3989">
      <c r="A3989">
        <f>TEST_DATA!A3989</f>
        <v/>
      </c>
      <c r="B3989">
        <f>TEST_DATA!B3989</f>
        <v/>
      </c>
      <c r="C3989">
        <f>TEST_DATA!C3989</f>
        <v/>
      </c>
      <c r="D3989">
        <f>TEST_DATA!D3989</f>
        <v/>
      </c>
      <c r="E3989">
        <f>TEST_DATA!E3989</f>
        <v/>
      </c>
      <c r="F3989">
        <f>MIN(E3989*398900,10000)</f>
        <v/>
      </c>
      <c r="G3989">
        <f>MINIFS(CBIC_Late_Fee_Relief_Windows_3B!$O$3989:$O$100,CBIC_Late_Fee_Relief_Windows_3B!$D$3989:$D$100,"&lt;="&amp;B3989,CBIC_Late_Fee_Relief_Windows_3B!$E$3989:$E$100,"&gt;="&amp;B3989,CBIC_Late_Fee_Relief_Windows_3B!$F$3989:$F$100,"&lt;="&amp;C3989,CBIC_Late_Fee_Relief_Windows_3B!$G$3989:$G$100,"&gt;="&amp;C3989)</f>
        <v/>
      </c>
      <c r="H3989">
        <f>INDEX(CBIC_Late_Fee_Relief_Windows_3B!$I$3989:$I$100,MATCH(G3989,CBIC_Late_Fee_Relief_Windows_3B!$O$3989:$O$100,0))</f>
        <v/>
      </c>
      <c r="I3989">
        <f>MIN(F3989,H3989)</f>
        <v/>
      </c>
    </row>
    <row r="3990">
      <c r="A3990">
        <f>TEST_DATA!A3990</f>
        <v/>
      </c>
      <c r="B3990">
        <f>TEST_DATA!B3990</f>
        <v/>
      </c>
      <c r="C3990">
        <f>TEST_DATA!C3990</f>
        <v/>
      </c>
      <c r="D3990">
        <f>TEST_DATA!D3990</f>
        <v/>
      </c>
      <c r="E3990">
        <f>TEST_DATA!E3990</f>
        <v/>
      </c>
      <c r="F3990">
        <f>MIN(E3990*399000,10000)</f>
        <v/>
      </c>
      <c r="G3990">
        <f>MINIFS(CBIC_Late_Fee_Relief_Windows_3B!$O$3990:$O$100,CBIC_Late_Fee_Relief_Windows_3B!$D$3990:$D$100,"&lt;="&amp;B3990,CBIC_Late_Fee_Relief_Windows_3B!$E$3990:$E$100,"&gt;="&amp;B3990,CBIC_Late_Fee_Relief_Windows_3B!$F$3990:$F$100,"&lt;="&amp;C3990,CBIC_Late_Fee_Relief_Windows_3B!$G$3990:$G$100,"&gt;="&amp;C3990)</f>
        <v/>
      </c>
      <c r="H3990">
        <f>INDEX(CBIC_Late_Fee_Relief_Windows_3B!$I$3990:$I$100,MATCH(G3990,CBIC_Late_Fee_Relief_Windows_3B!$O$3990:$O$100,0))</f>
        <v/>
      </c>
      <c r="I3990">
        <f>MIN(F3990,H3990)</f>
        <v/>
      </c>
    </row>
    <row r="3991">
      <c r="A3991">
        <f>TEST_DATA!A3991</f>
        <v/>
      </c>
      <c r="B3991">
        <f>TEST_DATA!B3991</f>
        <v/>
      </c>
      <c r="C3991">
        <f>TEST_DATA!C3991</f>
        <v/>
      </c>
      <c r="D3991">
        <f>TEST_DATA!D3991</f>
        <v/>
      </c>
      <c r="E3991">
        <f>TEST_DATA!E3991</f>
        <v/>
      </c>
      <c r="F3991">
        <f>MIN(E3991*399100,10000)</f>
        <v/>
      </c>
      <c r="G3991">
        <f>MINIFS(CBIC_Late_Fee_Relief_Windows_3B!$O$3991:$O$100,CBIC_Late_Fee_Relief_Windows_3B!$D$3991:$D$100,"&lt;="&amp;B3991,CBIC_Late_Fee_Relief_Windows_3B!$E$3991:$E$100,"&gt;="&amp;B3991,CBIC_Late_Fee_Relief_Windows_3B!$F$3991:$F$100,"&lt;="&amp;C3991,CBIC_Late_Fee_Relief_Windows_3B!$G$3991:$G$100,"&gt;="&amp;C3991)</f>
        <v/>
      </c>
      <c r="H3991">
        <f>INDEX(CBIC_Late_Fee_Relief_Windows_3B!$I$3991:$I$100,MATCH(G3991,CBIC_Late_Fee_Relief_Windows_3B!$O$3991:$O$100,0))</f>
        <v/>
      </c>
      <c r="I3991">
        <f>MIN(F3991,H3991)</f>
        <v/>
      </c>
    </row>
    <row r="3992">
      <c r="A3992">
        <f>TEST_DATA!A3992</f>
        <v/>
      </c>
      <c r="B3992">
        <f>TEST_DATA!B3992</f>
        <v/>
      </c>
      <c r="C3992">
        <f>TEST_DATA!C3992</f>
        <v/>
      </c>
      <c r="D3992">
        <f>TEST_DATA!D3992</f>
        <v/>
      </c>
      <c r="E3992">
        <f>TEST_DATA!E3992</f>
        <v/>
      </c>
      <c r="F3992">
        <f>MIN(E3992*399200,10000)</f>
        <v/>
      </c>
      <c r="G3992">
        <f>MINIFS(CBIC_Late_Fee_Relief_Windows_3B!$O$3992:$O$100,CBIC_Late_Fee_Relief_Windows_3B!$D$3992:$D$100,"&lt;="&amp;B3992,CBIC_Late_Fee_Relief_Windows_3B!$E$3992:$E$100,"&gt;="&amp;B3992,CBIC_Late_Fee_Relief_Windows_3B!$F$3992:$F$100,"&lt;="&amp;C3992,CBIC_Late_Fee_Relief_Windows_3B!$G$3992:$G$100,"&gt;="&amp;C3992)</f>
        <v/>
      </c>
      <c r="H3992">
        <f>INDEX(CBIC_Late_Fee_Relief_Windows_3B!$I$3992:$I$100,MATCH(G3992,CBIC_Late_Fee_Relief_Windows_3B!$O$3992:$O$100,0))</f>
        <v/>
      </c>
      <c r="I3992">
        <f>MIN(F3992,H3992)</f>
        <v/>
      </c>
    </row>
    <row r="3993">
      <c r="A3993">
        <f>TEST_DATA!A3993</f>
        <v/>
      </c>
      <c r="B3993">
        <f>TEST_DATA!B3993</f>
        <v/>
      </c>
      <c r="C3993">
        <f>TEST_DATA!C3993</f>
        <v/>
      </c>
      <c r="D3993">
        <f>TEST_DATA!D3993</f>
        <v/>
      </c>
      <c r="E3993">
        <f>TEST_DATA!E3993</f>
        <v/>
      </c>
      <c r="F3993">
        <f>MIN(E3993*399300,10000)</f>
        <v/>
      </c>
      <c r="G3993">
        <f>MINIFS(CBIC_Late_Fee_Relief_Windows_3B!$O$3993:$O$100,CBIC_Late_Fee_Relief_Windows_3B!$D$3993:$D$100,"&lt;="&amp;B3993,CBIC_Late_Fee_Relief_Windows_3B!$E$3993:$E$100,"&gt;="&amp;B3993,CBIC_Late_Fee_Relief_Windows_3B!$F$3993:$F$100,"&lt;="&amp;C3993,CBIC_Late_Fee_Relief_Windows_3B!$G$3993:$G$100,"&gt;="&amp;C3993)</f>
        <v/>
      </c>
      <c r="H3993">
        <f>INDEX(CBIC_Late_Fee_Relief_Windows_3B!$I$3993:$I$100,MATCH(G3993,CBIC_Late_Fee_Relief_Windows_3B!$O$3993:$O$100,0))</f>
        <v/>
      </c>
      <c r="I3993">
        <f>MIN(F3993,H3993)</f>
        <v/>
      </c>
    </row>
    <row r="3994">
      <c r="A3994">
        <f>TEST_DATA!A3994</f>
        <v/>
      </c>
      <c r="B3994">
        <f>TEST_DATA!B3994</f>
        <v/>
      </c>
      <c r="C3994">
        <f>TEST_DATA!C3994</f>
        <v/>
      </c>
      <c r="D3994">
        <f>TEST_DATA!D3994</f>
        <v/>
      </c>
      <c r="E3994">
        <f>TEST_DATA!E3994</f>
        <v/>
      </c>
      <c r="F3994">
        <f>MIN(E3994*399400,10000)</f>
        <v/>
      </c>
      <c r="G3994">
        <f>MINIFS(CBIC_Late_Fee_Relief_Windows_3B!$O$3994:$O$100,CBIC_Late_Fee_Relief_Windows_3B!$D$3994:$D$100,"&lt;="&amp;B3994,CBIC_Late_Fee_Relief_Windows_3B!$E$3994:$E$100,"&gt;="&amp;B3994,CBIC_Late_Fee_Relief_Windows_3B!$F$3994:$F$100,"&lt;="&amp;C3994,CBIC_Late_Fee_Relief_Windows_3B!$G$3994:$G$100,"&gt;="&amp;C3994)</f>
        <v/>
      </c>
      <c r="H3994">
        <f>INDEX(CBIC_Late_Fee_Relief_Windows_3B!$I$3994:$I$100,MATCH(G3994,CBIC_Late_Fee_Relief_Windows_3B!$O$3994:$O$100,0))</f>
        <v/>
      </c>
      <c r="I3994">
        <f>MIN(F3994,H3994)</f>
        <v/>
      </c>
    </row>
    <row r="3995">
      <c r="A3995">
        <f>TEST_DATA!A3995</f>
        <v/>
      </c>
      <c r="B3995">
        <f>TEST_DATA!B3995</f>
        <v/>
      </c>
      <c r="C3995">
        <f>TEST_DATA!C3995</f>
        <v/>
      </c>
      <c r="D3995">
        <f>TEST_DATA!D3995</f>
        <v/>
      </c>
      <c r="E3995">
        <f>TEST_DATA!E3995</f>
        <v/>
      </c>
      <c r="F3995">
        <f>MIN(E3995*399500,10000)</f>
        <v/>
      </c>
      <c r="G3995">
        <f>MINIFS(CBIC_Late_Fee_Relief_Windows_3B!$O$3995:$O$100,CBIC_Late_Fee_Relief_Windows_3B!$D$3995:$D$100,"&lt;="&amp;B3995,CBIC_Late_Fee_Relief_Windows_3B!$E$3995:$E$100,"&gt;="&amp;B3995,CBIC_Late_Fee_Relief_Windows_3B!$F$3995:$F$100,"&lt;="&amp;C3995,CBIC_Late_Fee_Relief_Windows_3B!$G$3995:$G$100,"&gt;="&amp;C3995)</f>
        <v/>
      </c>
      <c r="H3995">
        <f>INDEX(CBIC_Late_Fee_Relief_Windows_3B!$I$3995:$I$100,MATCH(G3995,CBIC_Late_Fee_Relief_Windows_3B!$O$3995:$O$100,0))</f>
        <v/>
      </c>
      <c r="I3995">
        <f>MIN(F3995,H3995)</f>
        <v/>
      </c>
    </row>
    <row r="3996">
      <c r="A3996">
        <f>TEST_DATA!A3996</f>
        <v/>
      </c>
      <c r="B3996">
        <f>TEST_DATA!B3996</f>
        <v/>
      </c>
      <c r="C3996">
        <f>TEST_DATA!C3996</f>
        <v/>
      </c>
      <c r="D3996">
        <f>TEST_DATA!D3996</f>
        <v/>
      </c>
      <c r="E3996">
        <f>TEST_DATA!E3996</f>
        <v/>
      </c>
      <c r="F3996">
        <f>MIN(E3996*399600,10000)</f>
        <v/>
      </c>
      <c r="G3996">
        <f>MINIFS(CBIC_Late_Fee_Relief_Windows_3B!$O$3996:$O$100,CBIC_Late_Fee_Relief_Windows_3B!$D$3996:$D$100,"&lt;="&amp;B3996,CBIC_Late_Fee_Relief_Windows_3B!$E$3996:$E$100,"&gt;="&amp;B3996,CBIC_Late_Fee_Relief_Windows_3B!$F$3996:$F$100,"&lt;="&amp;C3996,CBIC_Late_Fee_Relief_Windows_3B!$G$3996:$G$100,"&gt;="&amp;C3996)</f>
        <v/>
      </c>
      <c r="H3996">
        <f>INDEX(CBIC_Late_Fee_Relief_Windows_3B!$I$3996:$I$100,MATCH(G3996,CBIC_Late_Fee_Relief_Windows_3B!$O$3996:$O$100,0))</f>
        <v/>
      </c>
      <c r="I3996">
        <f>MIN(F3996,H3996)</f>
        <v/>
      </c>
    </row>
    <row r="3997">
      <c r="A3997">
        <f>TEST_DATA!A3997</f>
        <v/>
      </c>
      <c r="B3997">
        <f>TEST_DATA!B3997</f>
        <v/>
      </c>
      <c r="C3997">
        <f>TEST_DATA!C3997</f>
        <v/>
      </c>
      <c r="D3997">
        <f>TEST_DATA!D3997</f>
        <v/>
      </c>
      <c r="E3997">
        <f>TEST_DATA!E3997</f>
        <v/>
      </c>
      <c r="F3997">
        <f>MIN(E3997*399700,10000)</f>
        <v/>
      </c>
      <c r="G3997">
        <f>MINIFS(CBIC_Late_Fee_Relief_Windows_3B!$O$3997:$O$100,CBIC_Late_Fee_Relief_Windows_3B!$D$3997:$D$100,"&lt;="&amp;B3997,CBIC_Late_Fee_Relief_Windows_3B!$E$3997:$E$100,"&gt;="&amp;B3997,CBIC_Late_Fee_Relief_Windows_3B!$F$3997:$F$100,"&lt;="&amp;C3997,CBIC_Late_Fee_Relief_Windows_3B!$G$3997:$G$100,"&gt;="&amp;C3997)</f>
        <v/>
      </c>
      <c r="H3997">
        <f>INDEX(CBIC_Late_Fee_Relief_Windows_3B!$I$3997:$I$100,MATCH(G3997,CBIC_Late_Fee_Relief_Windows_3B!$O$3997:$O$100,0))</f>
        <v/>
      </c>
      <c r="I3997">
        <f>MIN(F3997,H3997)</f>
        <v/>
      </c>
    </row>
    <row r="3998">
      <c r="A3998">
        <f>TEST_DATA!A3998</f>
        <v/>
      </c>
      <c r="B3998">
        <f>TEST_DATA!B3998</f>
        <v/>
      </c>
      <c r="C3998">
        <f>TEST_DATA!C3998</f>
        <v/>
      </c>
      <c r="D3998">
        <f>TEST_DATA!D3998</f>
        <v/>
      </c>
      <c r="E3998">
        <f>TEST_DATA!E3998</f>
        <v/>
      </c>
      <c r="F3998">
        <f>MIN(E3998*399800,10000)</f>
        <v/>
      </c>
      <c r="G3998">
        <f>MINIFS(CBIC_Late_Fee_Relief_Windows_3B!$O$3998:$O$100,CBIC_Late_Fee_Relief_Windows_3B!$D$3998:$D$100,"&lt;="&amp;B3998,CBIC_Late_Fee_Relief_Windows_3B!$E$3998:$E$100,"&gt;="&amp;B3998,CBIC_Late_Fee_Relief_Windows_3B!$F$3998:$F$100,"&lt;="&amp;C3998,CBIC_Late_Fee_Relief_Windows_3B!$G$3998:$G$100,"&gt;="&amp;C3998)</f>
        <v/>
      </c>
      <c r="H3998">
        <f>INDEX(CBIC_Late_Fee_Relief_Windows_3B!$I$3998:$I$100,MATCH(G3998,CBIC_Late_Fee_Relief_Windows_3B!$O$3998:$O$100,0))</f>
        <v/>
      </c>
      <c r="I3998">
        <f>MIN(F3998,H3998)</f>
        <v/>
      </c>
    </row>
    <row r="3999">
      <c r="A3999">
        <f>TEST_DATA!A3999</f>
        <v/>
      </c>
      <c r="B3999">
        <f>TEST_DATA!B3999</f>
        <v/>
      </c>
      <c r="C3999">
        <f>TEST_DATA!C3999</f>
        <v/>
      </c>
      <c r="D3999">
        <f>TEST_DATA!D3999</f>
        <v/>
      </c>
      <c r="E3999">
        <f>TEST_DATA!E3999</f>
        <v/>
      </c>
      <c r="F3999">
        <f>MIN(E3999*399900,10000)</f>
        <v/>
      </c>
      <c r="G3999">
        <f>MINIFS(CBIC_Late_Fee_Relief_Windows_3B!$O$3999:$O$100,CBIC_Late_Fee_Relief_Windows_3B!$D$3999:$D$100,"&lt;="&amp;B3999,CBIC_Late_Fee_Relief_Windows_3B!$E$3999:$E$100,"&gt;="&amp;B3999,CBIC_Late_Fee_Relief_Windows_3B!$F$3999:$F$100,"&lt;="&amp;C3999,CBIC_Late_Fee_Relief_Windows_3B!$G$3999:$G$100,"&gt;="&amp;C3999)</f>
        <v/>
      </c>
      <c r="H3999">
        <f>INDEX(CBIC_Late_Fee_Relief_Windows_3B!$I$3999:$I$100,MATCH(G3999,CBIC_Late_Fee_Relief_Windows_3B!$O$3999:$O$100,0))</f>
        <v/>
      </c>
      <c r="I3999">
        <f>MIN(F3999,H3999)</f>
        <v/>
      </c>
    </row>
    <row r="4000">
      <c r="A4000">
        <f>TEST_DATA!A4000</f>
        <v/>
      </c>
      <c r="B4000">
        <f>TEST_DATA!B4000</f>
        <v/>
      </c>
      <c r="C4000">
        <f>TEST_DATA!C4000</f>
        <v/>
      </c>
      <c r="D4000">
        <f>TEST_DATA!D4000</f>
        <v/>
      </c>
      <c r="E4000">
        <f>TEST_DATA!E4000</f>
        <v/>
      </c>
      <c r="F4000">
        <f>MIN(E4000*400000,10000)</f>
        <v/>
      </c>
      <c r="G4000">
        <f>MINIFS(CBIC_Late_Fee_Relief_Windows_3B!$O$4000:$O$100,CBIC_Late_Fee_Relief_Windows_3B!$D$4000:$D$100,"&lt;="&amp;B4000,CBIC_Late_Fee_Relief_Windows_3B!$E$4000:$E$100,"&gt;="&amp;B4000,CBIC_Late_Fee_Relief_Windows_3B!$F$4000:$F$100,"&lt;="&amp;C4000,CBIC_Late_Fee_Relief_Windows_3B!$G$4000:$G$100,"&gt;="&amp;C4000)</f>
        <v/>
      </c>
      <c r="H4000">
        <f>INDEX(CBIC_Late_Fee_Relief_Windows_3B!$I$4000:$I$100,MATCH(G4000,CBIC_Late_Fee_Relief_Windows_3B!$O$4000:$O$100,0))</f>
        <v/>
      </c>
      <c r="I4000">
        <f>MIN(F4000,H4000)</f>
        <v/>
      </c>
    </row>
    <row r="4001">
      <c r="A4001">
        <f>TEST_DATA!A4001</f>
        <v/>
      </c>
      <c r="B4001">
        <f>TEST_DATA!B4001</f>
        <v/>
      </c>
      <c r="C4001">
        <f>TEST_DATA!C4001</f>
        <v/>
      </c>
      <c r="D4001">
        <f>TEST_DATA!D4001</f>
        <v/>
      </c>
      <c r="E4001">
        <f>TEST_DATA!E4001</f>
        <v/>
      </c>
      <c r="F4001">
        <f>MIN(E4001*400100,10000)</f>
        <v/>
      </c>
      <c r="G4001">
        <f>MINIFS(CBIC_Late_Fee_Relief_Windows_3B!$O$4001:$O$100,CBIC_Late_Fee_Relief_Windows_3B!$D$4001:$D$100,"&lt;="&amp;B4001,CBIC_Late_Fee_Relief_Windows_3B!$E$4001:$E$100,"&gt;="&amp;B4001,CBIC_Late_Fee_Relief_Windows_3B!$F$4001:$F$100,"&lt;="&amp;C4001,CBIC_Late_Fee_Relief_Windows_3B!$G$4001:$G$100,"&gt;="&amp;C4001)</f>
        <v/>
      </c>
      <c r="H4001">
        <f>INDEX(CBIC_Late_Fee_Relief_Windows_3B!$I$4001:$I$100,MATCH(G4001,CBIC_Late_Fee_Relief_Windows_3B!$O$4001:$O$100,0))</f>
        <v/>
      </c>
      <c r="I4001">
        <f>MIN(F4001,H4001)</f>
        <v/>
      </c>
    </row>
    <row r="4002">
      <c r="A4002">
        <f>TEST_DATA!A4002</f>
        <v/>
      </c>
      <c r="B4002">
        <f>TEST_DATA!B4002</f>
        <v/>
      </c>
      <c r="C4002">
        <f>TEST_DATA!C4002</f>
        <v/>
      </c>
      <c r="D4002">
        <f>TEST_DATA!D4002</f>
        <v/>
      </c>
      <c r="E4002">
        <f>TEST_DATA!E4002</f>
        <v/>
      </c>
      <c r="F4002">
        <f>MIN(E4002*400200,10000)</f>
        <v/>
      </c>
      <c r="G4002">
        <f>MINIFS(CBIC_Late_Fee_Relief_Windows_3B!$O$4002:$O$100,CBIC_Late_Fee_Relief_Windows_3B!$D$4002:$D$100,"&lt;="&amp;B4002,CBIC_Late_Fee_Relief_Windows_3B!$E$4002:$E$100,"&gt;="&amp;B4002,CBIC_Late_Fee_Relief_Windows_3B!$F$4002:$F$100,"&lt;="&amp;C4002,CBIC_Late_Fee_Relief_Windows_3B!$G$4002:$G$100,"&gt;="&amp;C4002)</f>
        <v/>
      </c>
      <c r="H4002">
        <f>INDEX(CBIC_Late_Fee_Relief_Windows_3B!$I$4002:$I$100,MATCH(G4002,CBIC_Late_Fee_Relief_Windows_3B!$O$4002:$O$100,0))</f>
        <v/>
      </c>
      <c r="I4002">
        <f>MIN(F4002,H4002)</f>
        <v/>
      </c>
    </row>
    <row r="4003">
      <c r="A4003">
        <f>TEST_DATA!A4003</f>
        <v/>
      </c>
      <c r="B4003">
        <f>TEST_DATA!B4003</f>
        <v/>
      </c>
      <c r="C4003">
        <f>TEST_DATA!C4003</f>
        <v/>
      </c>
      <c r="D4003">
        <f>TEST_DATA!D4003</f>
        <v/>
      </c>
      <c r="E4003">
        <f>TEST_DATA!E4003</f>
        <v/>
      </c>
      <c r="F4003">
        <f>MIN(E4003*400300,10000)</f>
        <v/>
      </c>
      <c r="G4003">
        <f>MINIFS(CBIC_Late_Fee_Relief_Windows_3B!$O$4003:$O$100,CBIC_Late_Fee_Relief_Windows_3B!$D$4003:$D$100,"&lt;="&amp;B4003,CBIC_Late_Fee_Relief_Windows_3B!$E$4003:$E$100,"&gt;="&amp;B4003,CBIC_Late_Fee_Relief_Windows_3B!$F$4003:$F$100,"&lt;="&amp;C4003,CBIC_Late_Fee_Relief_Windows_3B!$G$4003:$G$100,"&gt;="&amp;C4003)</f>
        <v/>
      </c>
      <c r="H4003">
        <f>INDEX(CBIC_Late_Fee_Relief_Windows_3B!$I$4003:$I$100,MATCH(G4003,CBIC_Late_Fee_Relief_Windows_3B!$O$4003:$O$100,0))</f>
        <v/>
      </c>
      <c r="I4003">
        <f>MIN(F4003,H4003)</f>
        <v/>
      </c>
    </row>
    <row r="4004">
      <c r="A4004">
        <f>TEST_DATA!A4004</f>
        <v/>
      </c>
      <c r="B4004">
        <f>TEST_DATA!B4004</f>
        <v/>
      </c>
      <c r="C4004">
        <f>TEST_DATA!C4004</f>
        <v/>
      </c>
      <c r="D4004">
        <f>TEST_DATA!D4004</f>
        <v/>
      </c>
      <c r="E4004">
        <f>TEST_DATA!E4004</f>
        <v/>
      </c>
      <c r="F4004">
        <f>MIN(E4004*400400,10000)</f>
        <v/>
      </c>
      <c r="G4004">
        <f>MINIFS(CBIC_Late_Fee_Relief_Windows_3B!$O$4004:$O$100,CBIC_Late_Fee_Relief_Windows_3B!$D$4004:$D$100,"&lt;="&amp;B4004,CBIC_Late_Fee_Relief_Windows_3B!$E$4004:$E$100,"&gt;="&amp;B4004,CBIC_Late_Fee_Relief_Windows_3B!$F$4004:$F$100,"&lt;="&amp;C4004,CBIC_Late_Fee_Relief_Windows_3B!$G$4004:$G$100,"&gt;="&amp;C4004)</f>
        <v/>
      </c>
      <c r="H4004">
        <f>INDEX(CBIC_Late_Fee_Relief_Windows_3B!$I$4004:$I$100,MATCH(G4004,CBIC_Late_Fee_Relief_Windows_3B!$O$4004:$O$100,0))</f>
        <v/>
      </c>
      <c r="I4004">
        <f>MIN(F4004,H4004)</f>
        <v/>
      </c>
    </row>
    <row r="4005">
      <c r="A4005">
        <f>TEST_DATA!A4005</f>
        <v/>
      </c>
      <c r="B4005">
        <f>TEST_DATA!B4005</f>
        <v/>
      </c>
      <c r="C4005">
        <f>TEST_DATA!C4005</f>
        <v/>
      </c>
      <c r="D4005">
        <f>TEST_DATA!D4005</f>
        <v/>
      </c>
      <c r="E4005">
        <f>TEST_DATA!E4005</f>
        <v/>
      </c>
      <c r="F4005">
        <f>MIN(E4005*400500,10000)</f>
        <v/>
      </c>
      <c r="G4005">
        <f>MINIFS(CBIC_Late_Fee_Relief_Windows_3B!$O$4005:$O$100,CBIC_Late_Fee_Relief_Windows_3B!$D$4005:$D$100,"&lt;="&amp;B4005,CBIC_Late_Fee_Relief_Windows_3B!$E$4005:$E$100,"&gt;="&amp;B4005,CBIC_Late_Fee_Relief_Windows_3B!$F$4005:$F$100,"&lt;="&amp;C4005,CBIC_Late_Fee_Relief_Windows_3B!$G$4005:$G$100,"&gt;="&amp;C4005)</f>
        <v/>
      </c>
      <c r="H4005">
        <f>INDEX(CBIC_Late_Fee_Relief_Windows_3B!$I$4005:$I$100,MATCH(G4005,CBIC_Late_Fee_Relief_Windows_3B!$O$4005:$O$100,0))</f>
        <v/>
      </c>
      <c r="I4005">
        <f>MIN(F4005,H4005)</f>
        <v/>
      </c>
    </row>
    <row r="4006">
      <c r="A4006">
        <f>TEST_DATA!A4006</f>
        <v/>
      </c>
      <c r="B4006">
        <f>TEST_DATA!B4006</f>
        <v/>
      </c>
      <c r="C4006">
        <f>TEST_DATA!C4006</f>
        <v/>
      </c>
      <c r="D4006">
        <f>TEST_DATA!D4006</f>
        <v/>
      </c>
      <c r="E4006">
        <f>TEST_DATA!E4006</f>
        <v/>
      </c>
      <c r="F4006">
        <f>MIN(E4006*400600,10000)</f>
        <v/>
      </c>
      <c r="G4006">
        <f>MINIFS(CBIC_Late_Fee_Relief_Windows_3B!$O$4006:$O$100,CBIC_Late_Fee_Relief_Windows_3B!$D$4006:$D$100,"&lt;="&amp;B4006,CBIC_Late_Fee_Relief_Windows_3B!$E$4006:$E$100,"&gt;="&amp;B4006,CBIC_Late_Fee_Relief_Windows_3B!$F$4006:$F$100,"&lt;="&amp;C4006,CBIC_Late_Fee_Relief_Windows_3B!$G$4006:$G$100,"&gt;="&amp;C4006)</f>
        <v/>
      </c>
      <c r="H4006">
        <f>INDEX(CBIC_Late_Fee_Relief_Windows_3B!$I$4006:$I$100,MATCH(G4006,CBIC_Late_Fee_Relief_Windows_3B!$O$4006:$O$100,0))</f>
        <v/>
      </c>
      <c r="I4006">
        <f>MIN(F4006,H4006)</f>
        <v/>
      </c>
    </row>
    <row r="4007">
      <c r="A4007">
        <f>TEST_DATA!A4007</f>
        <v/>
      </c>
      <c r="B4007">
        <f>TEST_DATA!B4007</f>
        <v/>
      </c>
      <c r="C4007">
        <f>TEST_DATA!C4007</f>
        <v/>
      </c>
      <c r="D4007">
        <f>TEST_DATA!D4007</f>
        <v/>
      </c>
      <c r="E4007">
        <f>TEST_DATA!E4007</f>
        <v/>
      </c>
      <c r="F4007">
        <f>MIN(E4007*400700,10000)</f>
        <v/>
      </c>
      <c r="G4007">
        <f>MINIFS(CBIC_Late_Fee_Relief_Windows_3B!$O$4007:$O$100,CBIC_Late_Fee_Relief_Windows_3B!$D$4007:$D$100,"&lt;="&amp;B4007,CBIC_Late_Fee_Relief_Windows_3B!$E$4007:$E$100,"&gt;="&amp;B4007,CBIC_Late_Fee_Relief_Windows_3B!$F$4007:$F$100,"&lt;="&amp;C4007,CBIC_Late_Fee_Relief_Windows_3B!$G$4007:$G$100,"&gt;="&amp;C4007)</f>
        <v/>
      </c>
      <c r="H4007">
        <f>INDEX(CBIC_Late_Fee_Relief_Windows_3B!$I$4007:$I$100,MATCH(G4007,CBIC_Late_Fee_Relief_Windows_3B!$O$4007:$O$100,0))</f>
        <v/>
      </c>
      <c r="I4007">
        <f>MIN(F4007,H4007)</f>
        <v/>
      </c>
    </row>
    <row r="4008">
      <c r="A4008">
        <f>TEST_DATA!A4008</f>
        <v/>
      </c>
      <c r="B4008">
        <f>TEST_DATA!B4008</f>
        <v/>
      </c>
      <c r="C4008">
        <f>TEST_DATA!C4008</f>
        <v/>
      </c>
      <c r="D4008">
        <f>TEST_DATA!D4008</f>
        <v/>
      </c>
      <c r="E4008">
        <f>TEST_DATA!E4008</f>
        <v/>
      </c>
      <c r="F4008">
        <f>MIN(E4008*400800,10000)</f>
        <v/>
      </c>
      <c r="G4008">
        <f>MINIFS(CBIC_Late_Fee_Relief_Windows_3B!$O$4008:$O$100,CBIC_Late_Fee_Relief_Windows_3B!$D$4008:$D$100,"&lt;="&amp;B4008,CBIC_Late_Fee_Relief_Windows_3B!$E$4008:$E$100,"&gt;="&amp;B4008,CBIC_Late_Fee_Relief_Windows_3B!$F$4008:$F$100,"&lt;="&amp;C4008,CBIC_Late_Fee_Relief_Windows_3B!$G$4008:$G$100,"&gt;="&amp;C4008)</f>
        <v/>
      </c>
      <c r="H4008">
        <f>INDEX(CBIC_Late_Fee_Relief_Windows_3B!$I$4008:$I$100,MATCH(G4008,CBIC_Late_Fee_Relief_Windows_3B!$O$4008:$O$100,0))</f>
        <v/>
      </c>
      <c r="I4008">
        <f>MIN(F4008,H4008)</f>
        <v/>
      </c>
    </row>
    <row r="4009">
      <c r="A4009">
        <f>TEST_DATA!A4009</f>
        <v/>
      </c>
      <c r="B4009">
        <f>TEST_DATA!B4009</f>
        <v/>
      </c>
      <c r="C4009">
        <f>TEST_DATA!C4009</f>
        <v/>
      </c>
      <c r="D4009">
        <f>TEST_DATA!D4009</f>
        <v/>
      </c>
      <c r="E4009">
        <f>TEST_DATA!E4009</f>
        <v/>
      </c>
      <c r="F4009">
        <f>MIN(E4009*400900,10000)</f>
        <v/>
      </c>
      <c r="G4009">
        <f>MINIFS(CBIC_Late_Fee_Relief_Windows_3B!$O$4009:$O$100,CBIC_Late_Fee_Relief_Windows_3B!$D$4009:$D$100,"&lt;="&amp;B4009,CBIC_Late_Fee_Relief_Windows_3B!$E$4009:$E$100,"&gt;="&amp;B4009,CBIC_Late_Fee_Relief_Windows_3B!$F$4009:$F$100,"&lt;="&amp;C4009,CBIC_Late_Fee_Relief_Windows_3B!$G$4009:$G$100,"&gt;="&amp;C4009)</f>
        <v/>
      </c>
      <c r="H4009">
        <f>INDEX(CBIC_Late_Fee_Relief_Windows_3B!$I$4009:$I$100,MATCH(G4009,CBIC_Late_Fee_Relief_Windows_3B!$O$4009:$O$100,0))</f>
        <v/>
      </c>
      <c r="I4009">
        <f>MIN(F4009,H4009)</f>
        <v/>
      </c>
    </row>
    <row r="4010">
      <c r="A4010">
        <f>TEST_DATA!A4010</f>
        <v/>
      </c>
      <c r="B4010">
        <f>TEST_DATA!B4010</f>
        <v/>
      </c>
      <c r="C4010">
        <f>TEST_DATA!C4010</f>
        <v/>
      </c>
      <c r="D4010">
        <f>TEST_DATA!D4010</f>
        <v/>
      </c>
      <c r="E4010">
        <f>TEST_DATA!E4010</f>
        <v/>
      </c>
      <c r="F4010">
        <f>MIN(E4010*401000,10000)</f>
        <v/>
      </c>
      <c r="G4010">
        <f>MINIFS(CBIC_Late_Fee_Relief_Windows_3B!$O$4010:$O$100,CBIC_Late_Fee_Relief_Windows_3B!$D$4010:$D$100,"&lt;="&amp;B4010,CBIC_Late_Fee_Relief_Windows_3B!$E$4010:$E$100,"&gt;="&amp;B4010,CBIC_Late_Fee_Relief_Windows_3B!$F$4010:$F$100,"&lt;="&amp;C4010,CBIC_Late_Fee_Relief_Windows_3B!$G$4010:$G$100,"&gt;="&amp;C4010)</f>
        <v/>
      </c>
      <c r="H4010">
        <f>INDEX(CBIC_Late_Fee_Relief_Windows_3B!$I$4010:$I$100,MATCH(G4010,CBIC_Late_Fee_Relief_Windows_3B!$O$4010:$O$100,0))</f>
        <v/>
      </c>
      <c r="I4010">
        <f>MIN(F4010,H4010)</f>
        <v/>
      </c>
    </row>
    <row r="4011">
      <c r="A4011">
        <f>TEST_DATA!A4011</f>
        <v/>
      </c>
      <c r="B4011">
        <f>TEST_DATA!B4011</f>
        <v/>
      </c>
      <c r="C4011">
        <f>TEST_DATA!C4011</f>
        <v/>
      </c>
      <c r="D4011">
        <f>TEST_DATA!D4011</f>
        <v/>
      </c>
      <c r="E4011">
        <f>TEST_DATA!E4011</f>
        <v/>
      </c>
      <c r="F4011">
        <f>MIN(E4011*401100,10000)</f>
        <v/>
      </c>
      <c r="G4011">
        <f>MINIFS(CBIC_Late_Fee_Relief_Windows_3B!$O$4011:$O$100,CBIC_Late_Fee_Relief_Windows_3B!$D$4011:$D$100,"&lt;="&amp;B4011,CBIC_Late_Fee_Relief_Windows_3B!$E$4011:$E$100,"&gt;="&amp;B4011,CBIC_Late_Fee_Relief_Windows_3B!$F$4011:$F$100,"&lt;="&amp;C4011,CBIC_Late_Fee_Relief_Windows_3B!$G$4011:$G$100,"&gt;="&amp;C4011)</f>
        <v/>
      </c>
      <c r="H4011">
        <f>INDEX(CBIC_Late_Fee_Relief_Windows_3B!$I$4011:$I$100,MATCH(G4011,CBIC_Late_Fee_Relief_Windows_3B!$O$4011:$O$100,0))</f>
        <v/>
      </c>
      <c r="I4011">
        <f>MIN(F4011,H4011)</f>
        <v/>
      </c>
    </row>
    <row r="4012">
      <c r="A4012">
        <f>TEST_DATA!A4012</f>
        <v/>
      </c>
      <c r="B4012">
        <f>TEST_DATA!B4012</f>
        <v/>
      </c>
      <c r="C4012">
        <f>TEST_DATA!C4012</f>
        <v/>
      </c>
      <c r="D4012">
        <f>TEST_DATA!D4012</f>
        <v/>
      </c>
      <c r="E4012">
        <f>TEST_DATA!E4012</f>
        <v/>
      </c>
      <c r="F4012">
        <f>MIN(E4012*401200,10000)</f>
        <v/>
      </c>
      <c r="G4012">
        <f>MINIFS(CBIC_Late_Fee_Relief_Windows_3B!$O$4012:$O$100,CBIC_Late_Fee_Relief_Windows_3B!$D$4012:$D$100,"&lt;="&amp;B4012,CBIC_Late_Fee_Relief_Windows_3B!$E$4012:$E$100,"&gt;="&amp;B4012,CBIC_Late_Fee_Relief_Windows_3B!$F$4012:$F$100,"&lt;="&amp;C4012,CBIC_Late_Fee_Relief_Windows_3B!$G$4012:$G$100,"&gt;="&amp;C4012)</f>
        <v/>
      </c>
      <c r="H4012">
        <f>INDEX(CBIC_Late_Fee_Relief_Windows_3B!$I$4012:$I$100,MATCH(G4012,CBIC_Late_Fee_Relief_Windows_3B!$O$4012:$O$100,0))</f>
        <v/>
      </c>
      <c r="I4012">
        <f>MIN(F4012,H4012)</f>
        <v/>
      </c>
    </row>
    <row r="4013">
      <c r="A4013">
        <f>TEST_DATA!A4013</f>
        <v/>
      </c>
      <c r="B4013">
        <f>TEST_DATA!B4013</f>
        <v/>
      </c>
      <c r="C4013">
        <f>TEST_DATA!C4013</f>
        <v/>
      </c>
      <c r="D4013">
        <f>TEST_DATA!D4013</f>
        <v/>
      </c>
      <c r="E4013">
        <f>TEST_DATA!E4013</f>
        <v/>
      </c>
      <c r="F4013">
        <f>MIN(E4013*401300,10000)</f>
        <v/>
      </c>
      <c r="G4013">
        <f>MINIFS(CBIC_Late_Fee_Relief_Windows_3B!$O$4013:$O$100,CBIC_Late_Fee_Relief_Windows_3B!$D$4013:$D$100,"&lt;="&amp;B4013,CBIC_Late_Fee_Relief_Windows_3B!$E$4013:$E$100,"&gt;="&amp;B4013,CBIC_Late_Fee_Relief_Windows_3B!$F$4013:$F$100,"&lt;="&amp;C4013,CBIC_Late_Fee_Relief_Windows_3B!$G$4013:$G$100,"&gt;="&amp;C4013)</f>
        <v/>
      </c>
      <c r="H4013">
        <f>INDEX(CBIC_Late_Fee_Relief_Windows_3B!$I$4013:$I$100,MATCH(G4013,CBIC_Late_Fee_Relief_Windows_3B!$O$4013:$O$100,0))</f>
        <v/>
      </c>
      <c r="I4013">
        <f>MIN(F4013,H4013)</f>
        <v/>
      </c>
    </row>
    <row r="4014">
      <c r="A4014">
        <f>TEST_DATA!A4014</f>
        <v/>
      </c>
      <c r="B4014">
        <f>TEST_DATA!B4014</f>
        <v/>
      </c>
      <c r="C4014">
        <f>TEST_DATA!C4014</f>
        <v/>
      </c>
      <c r="D4014">
        <f>TEST_DATA!D4014</f>
        <v/>
      </c>
      <c r="E4014">
        <f>TEST_DATA!E4014</f>
        <v/>
      </c>
      <c r="F4014">
        <f>MIN(E4014*401400,10000)</f>
        <v/>
      </c>
      <c r="G4014">
        <f>MINIFS(CBIC_Late_Fee_Relief_Windows_3B!$O$4014:$O$100,CBIC_Late_Fee_Relief_Windows_3B!$D$4014:$D$100,"&lt;="&amp;B4014,CBIC_Late_Fee_Relief_Windows_3B!$E$4014:$E$100,"&gt;="&amp;B4014,CBIC_Late_Fee_Relief_Windows_3B!$F$4014:$F$100,"&lt;="&amp;C4014,CBIC_Late_Fee_Relief_Windows_3B!$G$4014:$G$100,"&gt;="&amp;C4014)</f>
        <v/>
      </c>
      <c r="H4014">
        <f>INDEX(CBIC_Late_Fee_Relief_Windows_3B!$I$4014:$I$100,MATCH(G4014,CBIC_Late_Fee_Relief_Windows_3B!$O$4014:$O$100,0))</f>
        <v/>
      </c>
      <c r="I4014">
        <f>MIN(F4014,H4014)</f>
        <v/>
      </c>
    </row>
    <row r="4015">
      <c r="A4015">
        <f>TEST_DATA!A4015</f>
        <v/>
      </c>
      <c r="B4015">
        <f>TEST_DATA!B4015</f>
        <v/>
      </c>
      <c r="C4015">
        <f>TEST_DATA!C4015</f>
        <v/>
      </c>
      <c r="D4015">
        <f>TEST_DATA!D4015</f>
        <v/>
      </c>
      <c r="E4015">
        <f>TEST_DATA!E4015</f>
        <v/>
      </c>
      <c r="F4015">
        <f>MIN(E4015*401500,10000)</f>
        <v/>
      </c>
      <c r="G4015">
        <f>MINIFS(CBIC_Late_Fee_Relief_Windows_3B!$O$4015:$O$100,CBIC_Late_Fee_Relief_Windows_3B!$D$4015:$D$100,"&lt;="&amp;B4015,CBIC_Late_Fee_Relief_Windows_3B!$E$4015:$E$100,"&gt;="&amp;B4015,CBIC_Late_Fee_Relief_Windows_3B!$F$4015:$F$100,"&lt;="&amp;C4015,CBIC_Late_Fee_Relief_Windows_3B!$G$4015:$G$100,"&gt;="&amp;C4015)</f>
        <v/>
      </c>
      <c r="H4015">
        <f>INDEX(CBIC_Late_Fee_Relief_Windows_3B!$I$4015:$I$100,MATCH(G4015,CBIC_Late_Fee_Relief_Windows_3B!$O$4015:$O$100,0))</f>
        <v/>
      </c>
      <c r="I4015">
        <f>MIN(F4015,H4015)</f>
        <v/>
      </c>
    </row>
    <row r="4016">
      <c r="A4016">
        <f>TEST_DATA!A4016</f>
        <v/>
      </c>
      <c r="B4016">
        <f>TEST_DATA!B4016</f>
        <v/>
      </c>
      <c r="C4016">
        <f>TEST_DATA!C4016</f>
        <v/>
      </c>
      <c r="D4016">
        <f>TEST_DATA!D4016</f>
        <v/>
      </c>
      <c r="E4016">
        <f>TEST_DATA!E4016</f>
        <v/>
      </c>
      <c r="F4016">
        <f>MIN(E4016*401600,10000)</f>
        <v/>
      </c>
      <c r="G4016">
        <f>MINIFS(CBIC_Late_Fee_Relief_Windows_3B!$O$4016:$O$100,CBIC_Late_Fee_Relief_Windows_3B!$D$4016:$D$100,"&lt;="&amp;B4016,CBIC_Late_Fee_Relief_Windows_3B!$E$4016:$E$100,"&gt;="&amp;B4016,CBIC_Late_Fee_Relief_Windows_3B!$F$4016:$F$100,"&lt;="&amp;C4016,CBIC_Late_Fee_Relief_Windows_3B!$G$4016:$G$100,"&gt;="&amp;C4016)</f>
        <v/>
      </c>
      <c r="H4016">
        <f>INDEX(CBIC_Late_Fee_Relief_Windows_3B!$I$4016:$I$100,MATCH(G4016,CBIC_Late_Fee_Relief_Windows_3B!$O$4016:$O$100,0))</f>
        <v/>
      </c>
      <c r="I4016">
        <f>MIN(F4016,H4016)</f>
        <v/>
      </c>
    </row>
    <row r="4017">
      <c r="A4017">
        <f>TEST_DATA!A4017</f>
        <v/>
      </c>
      <c r="B4017">
        <f>TEST_DATA!B4017</f>
        <v/>
      </c>
      <c r="C4017">
        <f>TEST_DATA!C4017</f>
        <v/>
      </c>
      <c r="D4017">
        <f>TEST_DATA!D4017</f>
        <v/>
      </c>
      <c r="E4017">
        <f>TEST_DATA!E4017</f>
        <v/>
      </c>
      <c r="F4017">
        <f>MIN(E4017*401700,10000)</f>
        <v/>
      </c>
      <c r="G4017">
        <f>MINIFS(CBIC_Late_Fee_Relief_Windows_3B!$O$4017:$O$100,CBIC_Late_Fee_Relief_Windows_3B!$D$4017:$D$100,"&lt;="&amp;B4017,CBIC_Late_Fee_Relief_Windows_3B!$E$4017:$E$100,"&gt;="&amp;B4017,CBIC_Late_Fee_Relief_Windows_3B!$F$4017:$F$100,"&lt;="&amp;C4017,CBIC_Late_Fee_Relief_Windows_3B!$G$4017:$G$100,"&gt;="&amp;C4017)</f>
        <v/>
      </c>
      <c r="H4017">
        <f>INDEX(CBIC_Late_Fee_Relief_Windows_3B!$I$4017:$I$100,MATCH(G4017,CBIC_Late_Fee_Relief_Windows_3B!$O$4017:$O$100,0))</f>
        <v/>
      </c>
      <c r="I4017">
        <f>MIN(F4017,H4017)</f>
        <v/>
      </c>
    </row>
    <row r="4018">
      <c r="A4018">
        <f>TEST_DATA!A4018</f>
        <v/>
      </c>
      <c r="B4018">
        <f>TEST_DATA!B4018</f>
        <v/>
      </c>
      <c r="C4018">
        <f>TEST_DATA!C4018</f>
        <v/>
      </c>
      <c r="D4018">
        <f>TEST_DATA!D4018</f>
        <v/>
      </c>
      <c r="E4018">
        <f>TEST_DATA!E4018</f>
        <v/>
      </c>
      <c r="F4018">
        <f>MIN(E4018*401800,10000)</f>
        <v/>
      </c>
      <c r="G4018">
        <f>MINIFS(CBIC_Late_Fee_Relief_Windows_3B!$O$4018:$O$100,CBIC_Late_Fee_Relief_Windows_3B!$D$4018:$D$100,"&lt;="&amp;B4018,CBIC_Late_Fee_Relief_Windows_3B!$E$4018:$E$100,"&gt;="&amp;B4018,CBIC_Late_Fee_Relief_Windows_3B!$F$4018:$F$100,"&lt;="&amp;C4018,CBIC_Late_Fee_Relief_Windows_3B!$G$4018:$G$100,"&gt;="&amp;C4018)</f>
        <v/>
      </c>
      <c r="H4018">
        <f>INDEX(CBIC_Late_Fee_Relief_Windows_3B!$I$4018:$I$100,MATCH(G4018,CBIC_Late_Fee_Relief_Windows_3B!$O$4018:$O$100,0))</f>
        <v/>
      </c>
      <c r="I4018">
        <f>MIN(F4018,H4018)</f>
        <v/>
      </c>
    </row>
    <row r="4019">
      <c r="A4019">
        <f>TEST_DATA!A4019</f>
        <v/>
      </c>
      <c r="B4019">
        <f>TEST_DATA!B4019</f>
        <v/>
      </c>
      <c r="C4019">
        <f>TEST_DATA!C4019</f>
        <v/>
      </c>
      <c r="D4019">
        <f>TEST_DATA!D4019</f>
        <v/>
      </c>
      <c r="E4019">
        <f>TEST_DATA!E4019</f>
        <v/>
      </c>
      <c r="F4019">
        <f>MIN(E4019*401900,10000)</f>
        <v/>
      </c>
      <c r="G4019">
        <f>MINIFS(CBIC_Late_Fee_Relief_Windows_3B!$O$4019:$O$100,CBIC_Late_Fee_Relief_Windows_3B!$D$4019:$D$100,"&lt;="&amp;B4019,CBIC_Late_Fee_Relief_Windows_3B!$E$4019:$E$100,"&gt;="&amp;B4019,CBIC_Late_Fee_Relief_Windows_3B!$F$4019:$F$100,"&lt;="&amp;C4019,CBIC_Late_Fee_Relief_Windows_3B!$G$4019:$G$100,"&gt;="&amp;C4019)</f>
        <v/>
      </c>
      <c r="H4019">
        <f>INDEX(CBIC_Late_Fee_Relief_Windows_3B!$I$4019:$I$100,MATCH(G4019,CBIC_Late_Fee_Relief_Windows_3B!$O$4019:$O$100,0))</f>
        <v/>
      </c>
      <c r="I4019">
        <f>MIN(F4019,H4019)</f>
        <v/>
      </c>
    </row>
    <row r="4020">
      <c r="A4020">
        <f>TEST_DATA!A4020</f>
        <v/>
      </c>
      <c r="B4020">
        <f>TEST_DATA!B4020</f>
        <v/>
      </c>
      <c r="C4020">
        <f>TEST_DATA!C4020</f>
        <v/>
      </c>
      <c r="D4020">
        <f>TEST_DATA!D4020</f>
        <v/>
      </c>
      <c r="E4020">
        <f>TEST_DATA!E4020</f>
        <v/>
      </c>
      <c r="F4020">
        <f>MIN(E4020*402000,10000)</f>
        <v/>
      </c>
      <c r="G4020">
        <f>MINIFS(CBIC_Late_Fee_Relief_Windows_3B!$O$4020:$O$100,CBIC_Late_Fee_Relief_Windows_3B!$D$4020:$D$100,"&lt;="&amp;B4020,CBIC_Late_Fee_Relief_Windows_3B!$E$4020:$E$100,"&gt;="&amp;B4020,CBIC_Late_Fee_Relief_Windows_3B!$F$4020:$F$100,"&lt;="&amp;C4020,CBIC_Late_Fee_Relief_Windows_3B!$G$4020:$G$100,"&gt;="&amp;C4020)</f>
        <v/>
      </c>
      <c r="H4020">
        <f>INDEX(CBIC_Late_Fee_Relief_Windows_3B!$I$4020:$I$100,MATCH(G4020,CBIC_Late_Fee_Relief_Windows_3B!$O$4020:$O$100,0))</f>
        <v/>
      </c>
      <c r="I4020">
        <f>MIN(F4020,H4020)</f>
        <v/>
      </c>
    </row>
    <row r="4021">
      <c r="A4021">
        <f>TEST_DATA!A4021</f>
        <v/>
      </c>
      <c r="B4021">
        <f>TEST_DATA!B4021</f>
        <v/>
      </c>
      <c r="C4021">
        <f>TEST_DATA!C4021</f>
        <v/>
      </c>
      <c r="D4021">
        <f>TEST_DATA!D4021</f>
        <v/>
      </c>
      <c r="E4021">
        <f>TEST_DATA!E4021</f>
        <v/>
      </c>
      <c r="F4021">
        <f>MIN(E4021*402100,10000)</f>
        <v/>
      </c>
      <c r="G4021">
        <f>MINIFS(CBIC_Late_Fee_Relief_Windows_3B!$O$4021:$O$100,CBIC_Late_Fee_Relief_Windows_3B!$D$4021:$D$100,"&lt;="&amp;B4021,CBIC_Late_Fee_Relief_Windows_3B!$E$4021:$E$100,"&gt;="&amp;B4021,CBIC_Late_Fee_Relief_Windows_3B!$F$4021:$F$100,"&lt;="&amp;C4021,CBIC_Late_Fee_Relief_Windows_3B!$G$4021:$G$100,"&gt;="&amp;C4021)</f>
        <v/>
      </c>
      <c r="H4021">
        <f>INDEX(CBIC_Late_Fee_Relief_Windows_3B!$I$4021:$I$100,MATCH(G4021,CBIC_Late_Fee_Relief_Windows_3B!$O$4021:$O$100,0))</f>
        <v/>
      </c>
      <c r="I4021">
        <f>MIN(F4021,H4021)</f>
        <v/>
      </c>
    </row>
    <row r="4022">
      <c r="A4022">
        <f>TEST_DATA!A4022</f>
        <v/>
      </c>
      <c r="B4022">
        <f>TEST_DATA!B4022</f>
        <v/>
      </c>
      <c r="C4022">
        <f>TEST_DATA!C4022</f>
        <v/>
      </c>
      <c r="D4022">
        <f>TEST_DATA!D4022</f>
        <v/>
      </c>
      <c r="E4022">
        <f>TEST_DATA!E4022</f>
        <v/>
      </c>
      <c r="F4022">
        <f>MIN(E4022*402200,10000)</f>
        <v/>
      </c>
      <c r="G4022">
        <f>MINIFS(CBIC_Late_Fee_Relief_Windows_3B!$O$4022:$O$100,CBIC_Late_Fee_Relief_Windows_3B!$D$4022:$D$100,"&lt;="&amp;B4022,CBIC_Late_Fee_Relief_Windows_3B!$E$4022:$E$100,"&gt;="&amp;B4022,CBIC_Late_Fee_Relief_Windows_3B!$F$4022:$F$100,"&lt;="&amp;C4022,CBIC_Late_Fee_Relief_Windows_3B!$G$4022:$G$100,"&gt;="&amp;C4022)</f>
        <v/>
      </c>
      <c r="H4022">
        <f>INDEX(CBIC_Late_Fee_Relief_Windows_3B!$I$4022:$I$100,MATCH(G4022,CBIC_Late_Fee_Relief_Windows_3B!$O$4022:$O$100,0))</f>
        <v/>
      </c>
      <c r="I4022">
        <f>MIN(F4022,H4022)</f>
        <v/>
      </c>
    </row>
    <row r="4023">
      <c r="A4023">
        <f>TEST_DATA!A4023</f>
        <v/>
      </c>
      <c r="B4023">
        <f>TEST_DATA!B4023</f>
        <v/>
      </c>
      <c r="C4023">
        <f>TEST_DATA!C4023</f>
        <v/>
      </c>
      <c r="D4023">
        <f>TEST_DATA!D4023</f>
        <v/>
      </c>
      <c r="E4023">
        <f>TEST_DATA!E4023</f>
        <v/>
      </c>
      <c r="F4023">
        <f>MIN(E4023*402300,10000)</f>
        <v/>
      </c>
      <c r="G4023">
        <f>MINIFS(CBIC_Late_Fee_Relief_Windows_3B!$O$4023:$O$100,CBIC_Late_Fee_Relief_Windows_3B!$D$4023:$D$100,"&lt;="&amp;B4023,CBIC_Late_Fee_Relief_Windows_3B!$E$4023:$E$100,"&gt;="&amp;B4023,CBIC_Late_Fee_Relief_Windows_3B!$F$4023:$F$100,"&lt;="&amp;C4023,CBIC_Late_Fee_Relief_Windows_3B!$G$4023:$G$100,"&gt;="&amp;C4023)</f>
        <v/>
      </c>
      <c r="H4023">
        <f>INDEX(CBIC_Late_Fee_Relief_Windows_3B!$I$4023:$I$100,MATCH(G4023,CBIC_Late_Fee_Relief_Windows_3B!$O$4023:$O$100,0))</f>
        <v/>
      </c>
      <c r="I4023">
        <f>MIN(F4023,H4023)</f>
        <v/>
      </c>
    </row>
    <row r="4024">
      <c r="A4024">
        <f>TEST_DATA!A4024</f>
        <v/>
      </c>
      <c r="B4024">
        <f>TEST_DATA!B4024</f>
        <v/>
      </c>
      <c r="C4024">
        <f>TEST_DATA!C4024</f>
        <v/>
      </c>
      <c r="D4024">
        <f>TEST_DATA!D4024</f>
        <v/>
      </c>
      <c r="E4024">
        <f>TEST_DATA!E4024</f>
        <v/>
      </c>
      <c r="F4024">
        <f>MIN(E4024*402400,10000)</f>
        <v/>
      </c>
      <c r="G4024">
        <f>MINIFS(CBIC_Late_Fee_Relief_Windows_3B!$O$4024:$O$100,CBIC_Late_Fee_Relief_Windows_3B!$D$4024:$D$100,"&lt;="&amp;B4024,CBIC_Late_Fee_Relief_Windows_3B!$E$4024:$E$100,"&gt;="&amp;B4024,CBIC_Late_Fee_Relief_Windows_3B!$F$4024:$F$100,"&lt;="&amp;C4024,CBIC_Late_Fee_Relief_Windows_3B!$G$4024:$G$100,"&gt;="&amp;C4024)</f>
        <v/>
      </c>
      <c r="H4024">
        <f>INDEX(CBIC_Late_Fee_Relief_Windows_3B!$I$4024:$I$100,MATCH(G4024,CBIC_Late_Fee_Relief_Windows_3B!$O$4024:$O$100,0))</f>
        <v/>
      </c>
      <c r="I4024">
        <f>MIN(F4024,H4024)</f>
        <v/>
      </c>
    </row>
    <row r="4025">
      <c r="A4025">
        <f>TEST_DATA!A4025</f>
        <v/>
      </c>
      <c r="B4025">
        <f>TEST_DATA!B4025</f>
        <v/>
      </c>
      <c r="C4025">
        <f>TEST_DATA!C4025</f>
        <v/>
      </c>
      <c r="D4025">
        <f>TEST_DATA!D4025</f>
        <v/>
      </c>
      <c r="E4025">
        <f>TEST_DATA!E4025</f>
        <v/>
      </c>
      <c r="F4025">
        <f>MIN(E4025*402500,10000)</f>
        <v/>
      </c>
      <c r="G4025">
        <f>MINIFS(CBIC_Late_Fee_Relief_Windows_3B!$O$4025:$O$100,CBIC_Late_Fee_Relief_Windows_3B!$D$4025:$D$100,"&lt;="&amp;B4025,CBIC_Late_Fee_Relief_Windows_3B!$E$4025:$E$100,"&gt;="&amp;B4025,CBIC_Late_Fee_Relief_Windows_3B!$F$4025:$F$100,"&lt;="&amp;C4025,CBIC_Late_Fee_Relief_Windows_3B!$G$4025:$G$100,"&gt;="&amp;C4025)</f>
        <v/>
      </c>
      <c r="H4025">
        <f>INDEX(CBIC_Late_Fee_Relief_Windows_3B!$I$4025:$I$100,MATCH(G4025,CBIC_Late_Fee_Relief_Windows_3B!$O$4025:$O$100,0))</f>
        <v/>
      </c>
      <c r="I4025">
        <f>MIN(F4025,H4025)</f>
        <v/>
      </c>
    </row>
    <row r="4026">
      <c r="A4026">
        <f>TEST_DATA!A4026</f>
        <v/>
      </c>
      <c r="B4026">
        <f>TEST_DATA!B4026</f>
        <v/>
      </c>
      <c r="C4026">
        <f>TEST_DATA!C4026</f>
        <v/>
      </c>
      <c r="D4026">
        <f>TEST_DATA!D4026</f>
        <v/>
      </c>
      <c r="E4026">
        <f>TEST_DATA!E4026</f>
        <v/>
      </c>
      <c r="F4026">
        <f>MIN(E4026*402600,10000)</f>
        <v/>
      </c>
      <c r="G4026">
        <f>MINIFS(CBIC_Late_Fee_Relief_Windows_3B!$O$4026:$O$100,CBIC_Late_Fee_Relief_Windows_3B!$D$4026:$D$100,"&lt;="&amp;B4026,CBIC_Late_Fee_Relief_Windows_3B!$E$4026:$E$100,"&gt;="&amp;B4026,CBIC_Late_Fee_Relief_Windows_3B!$F$4026:$F$100,"&lt;="&amp;C4026,CBIC_Late_Fee_Relief_Windows_3B!$G$4026:$G$100,"&gt;="&amp;C4026)</f>
        <v/>
      </c>
      <c r="H4026">
        <f>INDEX(CBIC_Late_Fee_Relief_Windows_3B!$I$4026:$I$100,MATCH(G4026,CBIC_Late_Fee_Relief_Windows_3B!$O$4026:$O$100,0))</f>
        <v/>
      </c>
      <c r="I4026">
        <f>MIN(F4026,H4026)</f>
        <v/>
      </c>
    </row>
    <row r="4027">
      <c r="A4027">
        <f>TEST_DATA!A4027</f>
        <v/>
      </c>
      <c r="B4027">
        <f>TEST_DATA!B4027</f>
        <v/>
      </c>
      <c r="C4027">
        <f>TEST_DATA!C4027</f>
        <v/>
      </c>
      <c r="D4027">
        <f>TEST_DATA!D4027</f>
        <v/>
      </c>
      <c r="E4027">
        <f>TEST_DATA!E4027</f>
        <v/>
      </c>
      <c r="F4027">
        <f>MIN(E4027*402700,10000)</f>
        <v/>
      </c>
      <c r="G4027">
        <f>MINIFS(CBIC_Late_Fee_Relief_Windows_3B!$O$4027:$O$100,CBIC_Late_Fee_Relief_Windows_3B!$D$4027:$D$100,"&lt;="&amp;B4027,CBIC_Late_Fee_Relief_Windows_3B!$E$4027:$E$100,"&gt;="&amp;B4027,CBIC_Late_Fee_Relief_Windows_3B!$F$4027:$F$100,"&lt;="&amp;C4027,CBIC_Late_Fee_Relief_Windows_3B!$G$4027:$G$100,"&gt;="&amp;C4027)</f>
        <v/>
      </c>
      <c r="H4027">
        <f>INDEX(CBIC_Late_Fee_Relief_Windows_3B!$I$4027:$I$100,MATCH(G4027,CBIC_Late_Fee_Relief_Windows_3B!$O$4027:$O$100,0))</f>
        <v/>
      </c>
      <c r="I4027">
        <f>MIN(F4027,H4027)</f>
        <v/>
      </c>
    </row>
    <row r="4028">
      <c r="A4028">
        <f>TEST_DATA!A4028</f>
        <v/>
      </c>
      <c r="B4028">
        <f>TEST_DATA!B4028</f>
        <v/>
      </c>
      <c r="C4028">
        <f>TEST_DATA!C4028</f>
        <v/>
      </c>
      <c r="D4028">
        <f>TEST_DATA!D4028</f>
        <v/>
      </c>
      <c r="E4028">
        <f>TEST_DATA!E4028</f>
        <v/>
      </c>
      <c r="F4028">
        <f>MIN(E4028*402800,10000)</f>
        <v/>
      </c>
      <c r="G4028">
        <f>MINIFS(CBIC_Late_Fee_Relief_Windows_3B!$O$4028:$O$100,CBIC_Late_Fee_Relief_Windows_3B!$D$4028:$D$100,"&lt;="&amp;B4028,CBIC_Late_Fee_Relief_Windows_3B!$E$4028:$E$100,"&gt;="&amp;B4028,CBIC_Late_Fee_Relief_Windows_3B!$F$4028:$F$100,"&lt;="&amp;C4028,CBIC_Late_Fee_Relief_Windows_3B!$G$4028:$G$100,"&gt;="&amp;C4028)</f>
        <v/>
      </c>
      <c r="H4028">
        <f>INDEX(CBIC_Late_Fee_Relief_Windows_3B!$I$4028:$I$100,MATCH(G4028,CBIC_Late_Fee_Relief_Windows_3B!$O$4028:$O$100,0))</f>
        <v/>
      </c>
      <c r="I4028">
        <f>MIN(F4028,H4028)</f>
        <v/>
      </c>
    </row>
    <row r="4029">
      <c r="A4029">
        <f>TEST_DATA!A4029</f>
        <v/>
      </c>
      <c r="B4029">
        <f>TEST_DATA!B4029</f>
        <v/>
      </c>
      <c r="C4029">
        <f>TEST_DATA!C4029</f>
        <v/>
      </c>
      <c r="D4029">
        <f>TEST_DATA!D4029</f>
        <v/>
      </c>
      <c r="E4029">
        <f>TEST_DATA!E4029</f>
        <v/>
      </c>
      <c r="F4029">
        <f>MIN(E4029*402900,10000)</f>
        <v/>
      </c>
      <c r="G4029">
        <f>MINIFS(CBIC_Late_Fee_Relief_Windows_3B!$O$4029:$O$100,CBIC_Late_Fee_Relief_Windows_3B!$D$4029:$D$100,"&lt;="&amp;B4029,CBIC_Late_Fee_Relief_Windows_3B!$E$4029:$E$100,"&gt;="&amp;B4029,CBIC_Late_Fee_Relief_Windows_3B!$F$4029:$F$100,"&lt;="&amp;C4029,CBIC_Late_Fee_Relief_Windows_3B!$G$4029:$G$100,"&gt;="&amp;C4029)</f>
        <v/>
      </c>
      <c r="H4029">
        <f>INDEX(CBIC_Late_Fee_Relief_Windows_3B!$I$4029:$I$100,MATCH(G4029,CBIC_Late_Fee_Relief_Windows_3B!$O$4029:$O$100,0))</f>
        <v/>
      </c>
      <c r="I4029">
        <f>MIN(F4029,H4029)</f>
        <v/>
      </c>
    </row>
    <row r="4030">
      <c r="A4030">
        <f>TEST_DATA!A4030</f>
        <v/>
      </c>
      <c r="B4030">
        <f>TEST_DATA!B4030</f>
        <v/>
      </c>
      <c r="C4030">
        <f>TEST_DATA!C4030</f>
        <v/>
      </c>
      <c r="D4030">
        <f>TEST_DATA!D4030</f>
        <v/>
      </c>
      <c r="E4030">
        <f>TEST_DATA!E4030</f>
        <v/>
      </c>
      <c r="F4030">
        <f>MIN(E4030*403000,10000)</f>
        <v/>
      </c>
      <c r="G4030">
        <f>MINIFS(CBIC_Late_Fee_Relief_Windows_3B!$O$4030:$O$100,CBIC_Late_Fee_Relief_Windows_3B!$D$4030:$D$100,"&lt;="&amp;B4030,CBIC_Late_Fee_Relief_Windows_3B!$E$4030:$E$100,"&gt;="&amp;B4030,CBIC_Late_Fee_Relief_Windows_3B!$F$4030:$F$100,"&lt;="&amp;C4030,CBIC_Late_Fee_Relief_Windows_3B!$G$4030:$G$100,"&gt;="&amp;C4030)</f>
        <v/>
      </c>
      <c r="H4030">
        <f>INDEX(CBIC_Late_Fee_Relief_Windows_3B!$I$4030:$I$100,MATCH(G4030,CBIC_Late_Fee_Relief_Windows_3B!$O$4030:$O$100,0))</f>
        <v/>
      </c>
      <c r="I4030">
        <f>MIN(F4030,H4030)</f>
        <v/>
      </c>
    </row>
    <row r="4031">
      <c r="A4031">
        <f>TEST_DATA!A4031</f>
        <v/>
      </c>
      <c r="B4031">
        <f>TEST_DATA!B4031</f>
        <v/>
      </c>
      <c r="C4031">
        <f>TEST_DATA!C4031</f>
        <v/>
      </c>
      <c r="D4031">
        <f>TEST_DATA!D4031</f>
        <v/>
      </c>
      <c r="E4031">
        <f>TEST_DATA!E4031</f>
        <v/>
      </c>
      <c r="F4031">
        <f>MIN(E4031*403100,10000)</f>
        <v/>
      </c>
      <c r="G4031">
        <f>MINIFS(CBIC_Late_Fee_Relief_Windows_3B!$O$4031:$O$100,CBIC_Late_Fee_Relief_Windows_3B!$D$4031:$D$100,"&lt;="&amp;B4031,CBIC_Late_Fee_Relief_Windows_3B!$E$4031:$E$100,"&gt;="&amp;B4031,CBIC_Late_Fee_Relief_Windows_3B!$F$4031:$F$100,"&lt;="&amp;C4031,CBIC_Late_Fee_Relief_Windows_3B!$G$4031:$G$100,"&gt;="&amp;C4031)</f>
        <v/>
      </c>
      <c r="H4031">
        <f>INDEX(CBIC_Late_Fee_Relief_Windows_3B!$I$4031:$I$100,MATCH(G4031,CBIC_Late_Fee_Relief_Windows_3B!$O$4031:$O$100,0))</f>
        <v/>
      </c>
      <c r="I4031">
        <f>MIN(F4031,H4031)</f>
        <v/>
      </c>
    </row>
    <row r="4032">
      <c r="A4032">
        <f>TEST_DATA!A4032</f>
        <v/>
      </c>
      <c r="B4032">
        <f>TEST_DATA!B4032</f>
        <v/>
      </c>
      <c r="C4032">
        <f>TEST_DATA!C4032</f>
        <v/>
      </c>
      <c r="D4032">
        <f>TEST_DATA!D4032</f>
        <v/>
      </c>
      <c r="E4032">
        <f>TEST_DATA!E4032</f>
        <v/>
      </c>
      <c r="F4032">
        <f>MIN(E4032*403200,10000)</f>
        <v/>
      </c>
      <c r="G4032">
        <f>MINIFS(CBIC_Late_Fee_Relief_Windows_3B!$O$4032:$O$100,CBIC_Late_Fee_Relief_Windows_3B!$D$4032:$D$100,"&lt;="&amp;B4032,CBIC_Late_Fee_Relief_Windows_3B!$E$4032:$E$100,"&gt;="&amp;B4032,CBIC_Late_Fee_Relief_Windows_3B!$F$4032:$F$100,"&lt;="&amp;C4032,CBIC_Late_Fee_Relief_Windows_3B!$G$4032:$G$100,"&gt;="&amp;C4032)</f>
        <v/>
      </c>
      <c r="H4032">
        <f>INDEX(CBIC_Late_Fee_Relief_Windows_3B!$I$4032:$I$100,MATCH(G4032,CBIC_Late_Fee_Relief_Windows_3B!$O$4032:$O$100,0))</f>
        <v/>
      </c>
      <c r="I4032">
        <f>MIN(F4032,H4032)</f>
        <v/>
      </c>
    </row>
    <row r="4033">
      <c r="A4033">
        <f>TEST_DATA!A4033</f>
        <v/>
      </c>
      <c r="B4033">
        <f>TEST_DATA!B4033</f>
        <v/>
      </c>
      <c r="C4033">
        <f>TEST_DATA!C4033</f>
        <v/>
      </c>
      <c r="D4033">
        <f>TEST_DATA!D4033</f>
        <v/>
      </c>
      <c r="E4033">
        <f>TEST_DATA!E4033</f>
        <v/>
      </c>
      <c r="F4033">
        <f>MIN(E4033*403300,10000)</f>
        <v/>
      </c>
      <c r="G4033">
        <f>MINIFS(CBIC_Late_Fee_Relief_Windows_3B!$O$4033:$O$100,CBIC_Late_Fee_Relief_Windows_3B!$D$4033:$D$100,"&lt;="&amp;B4033,CBIC_Late_Fee_Relief_Windows_3B!$E$4033:$E$100,"&gt;="&amp;B4033,CBIC_Late_Fee_Relief_Windows_3B!$F$4033:$F$100,"&lt;="&amp;C4033,CBIC_Late_Fee_Relief_Windows_3B!$G$4033:$G$100,"&gt;="&amp;C4033)</f>
        <v/>
      </c>
      <c r="H4033">
        <f>INDEX(CBIC_Late_Fee_Relief_Windows_3B!$I$4033:$I$100,MATCH(G4033,CBIC_Late_Fee_Relief_Windows_3B!$O$4033:$O$100,0))</f>
        <v/>
      </c>
      <c r="I4033">
        <f>MIN(F4033,H4033)</f>
        <v/>
      </c>
    </row>
    <row r="4034">
      <c r="A4034">
        <f>TEST_DATA!A4034</f>
        <v/>
      </c>
      <c r="B4034">
        <f>TEST_DATA!B4034</f>
        <v/>
      </c>
      <c r="C4034">
        <f>TEST_DATA!C4034</f>
        <v/>
      </c>
      <c r="D4034">
        <f>TEST_DATA!D4034</f>
        <v/>
      </c>
      <c r="E4034">
        <f>TEST_DATA!E4034</f>
        <v/>
      </c>
      <c r="F4034">
        <f>MIN(E4034*403400,10000)</f>
        <v/>
      </c>
      <c r="G4034">
        <f>MINIFS(CBIC_Late_Fee_Relief_Windows_3B!$O$4034:$O$100,CBIC_Late_Fee_Relief_Windows_3B!$D$4034:$D$100,"&lt;="&amp;B4034,CBIC_Late_Fee_Relief_Windows_3B!$E$4034:$E$100,"&gt;="&amp;B4034,CBIC_Late_Fee_Relief_Windows_3B!$F$4034:$F$100,"&lt;="&amp;C4034,CBIC_Late_Fee_Relief_Windows_3B!$G$4034:$G$100,"&gt;="&amp;C4034)</f>
        <v/>
      </c>
      <c r="H4034">
        <f>INDEX(CBIC_Late_Fee_Relief_Windows_3B!$I$4034:$I$100,MATCH(G4034,CBIC_Late_Fee_Relief_Windows_3B!$O$4034:$O$100,0))</f>
        <v/>
      </c>
      <c r="I4034">
        <f>MIN(F4034,H4034)</f>
        <v/>
      </c>
    </row>
    <row r="4035">
      <c r="A4035">
        <f>TEST_DATA!A4035</f>
        <v/>
      </c>
      <c r="B4035">
        <f>TEST_DATA!B4035</f>
        <v/>
      </c>
      <c r="C4035">
        <f>TEST_DATA!C4035</f>
        <v/>
      </c>
      <c r="D4035">
        <f>TEST_DATA!D4035</f>
        <v/>
      </c>
      <c r="E4035">
        <f>TEST_DATA!E4035</f>
        <v/>
      </c>
      <c r="F4035">
        <f>MIN(E4035*403500,10000)</f>
        <v/>
      </c>
      <c r="G4035">
        <f>MINIFS(CBIC_Late_Fee_Relief_Windows_3B!$O$4035:$O$100,CBIC_Late_Fee_Relief_Windows_3B!$D$4035:$D$100,"&lt;="&amp;B4035,CBIC_Late_Fee_Relief_Windows_3B!$E$4035:$E$100,"&gt;="&amp;B4035,CBIC_Late_Fee_Relief_Windows_3B!$F$4035:$F$100,"&lt;="&amp;C4035,CBIC_Late_Fee_Relief_Windows_3B!$G$4035:$G$100,"&gt;="&amp;C4035)</f>
        <v/>
      </c>
      <c r="H4035">
        <f>INDEX(CBIC_Late_Fee_Relief_Windows_3B!$I$4035:$I$100,MATCH(G4035,CBIC_Late_Fee_Relief_Windows_3B!$O$4035:$O$100,0))</f>
        <v/>
      </c>
      <c r="I4035">
        <f>MIN(F4035,H4035)</f>
        <v/>
      </c>
    </row>
    <row r="4036">
      <c r="A4036">
        <f>TEST_DATA!A4036</f>
        <v/>
      </c>
      <c r="B4036">
        <f>TEST_DATA!B4036</f>
        <v/>
      </c>
      <c r="C4036">
        <f>TEST_DATA!C4036</f>
        <v/>
      </c>
      <c r="D4036">
        <f>TEST_DATA!D4036</f>
        <v/>
      </c>
      <c r="E4036">
        <f>TEST_DATA!E4036</f>
        <v/>
      </c>
      <c r="F4036">
        <f>MIN(E4036*403600,10000)</f>
        <v/>
      </c>
      <c r="G4036">
        <f>MINIFS(CBIC_Late_Fee_Relief_Windows_3B!$O$4036:$O$100,CBIC_Late_Fee_Relief_Windows_3B!$D$4036:$D$100,"&lt;="&amp;B4036,CBIC_Late_Fee_Relief_Windows_3B!$E$4036:$E$100,"&gt;="&amp;B4036,CBIC_Late_Fee_Relief_Windows_3B!$F$4036:$F$100,"&lt;="&amp;C4036,CBIC_Late_Fee_Relief_Windows_3B!$G$4036:$G$100,"&gt;="&amp;C4036)</f>
        <v/>
      </c>
      <c r="H4036">
        <f>INDEX(CBIC_Late_Fee_Relief_Windows_3B!$I$4036:$I$100,MATCH(G4036,CBIC_Late_Fee_Relief_Windows_3B!$O$4036:$O$100,0))</f>
        <v/>
      </c>
      <c r="I4036">
        <f>MIN(F4036,H4036)</f>
        <v/>
      </c>
    </row>
    <row r="4037">
      <c r="A4037">
        <f>TEST_DATA!A4037</f>
        <v/>
      </c>
      <c r="B4037">
        <f>TEST_DATA!B4037</f>
        <v/>
      </c>
      <c r="C4037">
        <f>TEST_DATA!C4037</f>
        <v/>
      </c>
      <c r="D4037">
        <f>TEST_DATA!D4037</f>
        <v/>
      </c>
      <c r="E4037">
        <f>TEST_DATA!E4037</f>
        <v/>
      </c>
      <c r="F4037">
        <f>MIN(E4037*403700,10000)</f>
        <v/>
      </c>
      <c r="G4037">
        <f>MINIFS(CBIC_Late_Fee_Relief_Windows_3B!$O$4037:$O$100,CBIC_Late_Fee_Relief_Windows_3B!$D$4037:$D$100,"&lt;="&amp;B4037,CBIC_Late_Fee_Relief_Windows_3B!$E$4037:$E$100,"&gt;="&amp;B4037,CBIC_Late_Fee_Relief_Windows_3B!$F$4037:$F$100,"&lt;="&amp;C4037,CBIC_Late_Fee_Relief_Windows_3B!$G$4037:$G$100,"&gt;="&amp;C4037)</f>
        <v/>
      </c>
      <c r="H4037">
        <f>INDEX(CBIC_Late_Fee_Relief_Windows_3B!$I$4037:$I$100,MATCH(G4037,CBIC_Late_Fee_Relief_Windows_3B!$O$4037:$O$100,0))</f>
        <v/>
      </c>
      <c r="I4037">
        <f>MIN(F4037,H4037)</f>
        <v/>
      </c>
    </row>
    <row r="4038">
      <c r="A4038">
        <f>TEST_DATA!A4038</f>
        <v/>
      </c>
      <c r="B4038">
        <f>TEST_DATA!B4038</f>
        <v/>
      </c>
      <c r="C4038">
        <f>TEST_DATA!C4038</f>
        <v/>
      </c>
      <c r="D4038">
        <f>TEST_DATA!D4038</f>
        <v/>
      </c>
      <c r="E4038">
        <f>TEST_DATA!E4038</f>
        <v/>
      </c>
      <c r="F4038">
        <f>MIN(E4038*403800,10000)</f>
        <v/>
      </c>
      <c r="G4038">
        <f>MINIFS(CBIC_Late_Fee_Relief_Windows_3B!$O$4038:$O$100,CBIC_Late_Fee_Relief_Windows_3B!$D$4038:$D$100,"&lt;="&amp;B4038,CBIC_Late_Fee_Relief_Windows_3B!$E$4038:$E$100,"&gt;="&amp;B4038,CBIC_Late_Fee_Relief_Windows_3B!$F$4038:$F$100,"&lt;="&amp;C4038,CBIC_Late_Fee_Relief_Windows_3B!$G$4038:$G$100,"&gt;="&amp;C4038)</f>
        <v/>
      </c>
      <c r="H4038">
        <f>INDEX(CBIC_Late_Fee_Relief_Windows_3B!$I$4038:$I$100,MATCH(G4038,CBIC_Late_Fee_Relief_Windows_3B!$O$4038:$O$100,0))</f>
        <v/>
      </c>
      <c r="I4038">
        <f>MIN(F4038,H4038)</f>
        <v/>
      </c>
    </row>
    <row r="4039">
      <c r="A4039">
        <f>TEST_DATA!A4039</f>
        <v/>
      </c>
      <c r="B4039">
        <f>TEST_DATA!B4039</f>
        <v/>
      </c>
      <c r="C4039">
        <f>TEST_DATA!C4039</f>
        <v/>
      </c>
      <c r="D4039">
        <f>TEST_DATA!D4039</f>
        <v/>
      </c>
      <c r="E4039">
        <f>TEST_DATA!E4039</f>
        <v/>
      </c>
      <c r="F4039">
        <f>MIN(E4039*403900,10000)</f>
        <v/>
      </c>
      <c r="G4039">
        <f>MINIFS(CBIC_Late_Fee_Relief_Windows_3B!$O$4039:$O$100,CBIC_Late_Fee_Relief_Windows_3B!$D$4039:$D$100,"&lt;="&amp;B4039,CBIC_Late_Fee_Relief_Windows_3B!$E$4039:$E$100,"&gt;="&amp;B4039,CBIC_Late_Fee_Relief_Windows_3B!$F$4039:$F$100,"&lt;="&amp;C4039,CBIC_Late_Fee_Relief_Windows_3B!$G$4039:$G$100,"&gt;="&amp;C4039)</f>
        <v/>
      </c>
      <c r="H4039">
        <f>INDEX(CBIC_Late_Fee_Relief_Windows_3B!$I$4039:$I$100,MATCH(G4039,CBIC_Late_Fee_Relief_Windows_3B!$O$4039:$O$100,0))</f>
        <v/>
      </c>
      <c r="I4039">
        <f>MIN(F4039,H4039)</f>
        <v/>
      </c>
    </row>
    <row r="4040">
      <c r="A4040">
        <f>TEST_DATA!A4040</f>
        <v/>
      </c>
      <c r="B4040">
        <f>TEST_DATA!B4040</f>
        <v/>
      </c>
      <c r="C4040">
        <f>TEST_DATA!C4040</f>
        <v/>
      </c>
      <c r="D4040">
        <f>TEST_DATA!D4040</f>
        <v/>
      </c>
      <c r="E4040">
        <f>TEST_DATA!E4040</f>
        <v/>
      </c>
      <c r="F4040">
        <f>MIN(E4040*404000,10000)</f>
        <v/>
      </c>
      <c r="G4040">
        <f>MINIFS(CBIC_Late_Fee_Relief_Windows_3B!$O$4040:$O$100,CBIC_Late_Fee_Relief_Windows_3B!$D$4040:$D$100,"&lt;="&amp;B4040,CBIC_Late_Fee_Relief_Windows_3B!$E$4040:$E$100,"&gt;="&amp;B4040,CBIC_Late_Fee_Relief_Windows_3B!$F$4040:$F$100,"&lt;="&amp;C4040,CBIC_Late_Fee_Relief_Windows_3B!$G$4040:$G$100,"&gt;="&amp;C4040)</f>
        <v/>
      </c>
      <c r="H4040">
        <f>INDEX(CBIC_Late_Fee_Relief_Windows_3B!$I$4040:$I$100,MATCH(G4040,CBIC_Late_Fee_Relief_Windows_3B!$O$4040:$O$100,0))</f>
        <v/>
      </c>
      <c r="I4040">
        <f>MIN(F4040,H4040)</f>
        <v/>
      </c>
    </row>
    <row r="4041">
      <c r="A4041">
        <f>TEST_DATA!A4041</f>
        <v/>
      </c>
      <c r="B4041">
        <f>TEST_DATA!B4041</f>
        <v/>
      </c>
      <c r="C4041">
        <f>TEST_DATA!C4041</f>
        <v/>
      </c>
      <c r="D4041">
        <f>TEST_DATA!D4041</f>
        <v/>
      </c>
      <c r="E4041">
        <f>TEST_DATA!E4041</f>
        <v/>
      </c>
      <c r="F4041">
        <f>MIN(E4041*404100,10000)</f>
        <v/>
      </c>
      <c r="G4041">
        <f>MINIFS(CBIC_Late_Fee_Relief_Windows_3B!$O$4041:$O$100,CBIC_Late_Fee_Relief_Windows_3B!$D$4041:$D$100,"&lt;="&amp;B4041,CBIC_Late_Fee_Relief_Windows_3B!$E$4041:$E$100,"&gt;="&amp;B4041,CBIC_Late_Fee_Relief_Windows_3B!$F$4041:$F$100,"&lt;="&amp;C4041,CBIC_Late_Fee_Relief_Windows_3B!$G$4041:$G$100,"&gt;="&amp;C4041)</f>
        <v/>
      </c>
      <c r="H4041">
        <f>INDEX(CBIC_Late_Fee_Relief_Windows_3B!$I$4041:$I$100,MATCH(G4041,CBIC_Late_Fee_Relief_Windows_3B!$O$4041:$O$100,0))</f>
        <v/>
      </c>
      <c r="I4041">
        <f>MIN(F4041,H4041)</f>
        <v/>
      </c>
    </row>
    <row r="4042">
      <c r="A4042">
        <f>TEST_DATA!A4042</f>
        <v/>
      </c>
      <c r="B4042">
        <f>TEST_DATA!B4042</f>
        <v/>
      </c>
      <c r="C4042">
        <f>TEST_DATA!C4042</f>
        <v/>
      </c>
      <c r="D4042">
        <f>TEST_DATA!D4042</f>
        <v/>
      </c>
      <c r="E4042">
        <f>TEST_DATA!E4042</f>
        <v/>
      </c>
      <c r="F4042">
        <f>MIN(E4042*404200,10000)</f>
        <v/>
      </c>
      <c r="G4042">
        <f>MINIFS(CBIC_Late_Fee_Relief_Windows_3B!$O$4042:$O$100,CBIC_Late_Fee_Relief_Windows_3B!$D$4042:$D$100,"&lt;="&amp;B4042,CBIC_Late_Fee_Relief_Windows_3B!$E$4042:$E$100,"&gt;="&amp;B4042,CBIC_Late_Fee_Relief_Windows_3B!$F$4042:$F$100,"&lt;="&amp;C4042,CBIC_Late_Fee_Relief_Windows_3B!$G$4042:$G$100,"&gt;="&amp;C4042)</f>
        <v/>
      </c>
      <c r="H4042">
        <f>INDEX(CBIC_Late_Fee_Relief_Windows_3B!$I$4042:$I$100,MATCH(G4042,CBIC_Late_Fee_Relief_Windows_3B!$O$4042:$O$100,0))</f>
        <v/>
      </c>
      <c r="I4042">
        <f>MIN(F4042,H4042)</f>
        <v/>
      </c>
    </row>
    <row r="4043">
      <c r="A4043">
        <f>TEST_DATA!A4043</f>
        <v/>
      </c>
      <c r="B4043">
        <f>TEST_DATA!B4043</f>
        <v/>
      </c>
      <c r="C4043">
        <f>TEST_DATA!C4043</f>
        <v/>
      </c>
      <c r="D4043">
        <f>TEST_DATA!D4043</f>
        <v/>
      </c>
      <c r="E4043">
        <f>TEST_DATA!E4043</f>
        <v/>
      </c>
      <c r="F4043">
        <f>MIN(E4043*404300,10000)</f>
        <v/>
      </c>
      <c r="G4043">
        <f>MINIFS(CBIC_Late_Fee_Relief_Windows_3B!$O$4043:$O$100,CBIC_Late_Fee_Relief_Windows_3B!$D$4043:$D$100,"&lt;="&amp;B4043,CBIC_Late_Fee_Relief_Windows_3B!$E$4043:$E$100,"&gt;="&amp;B4043,CBIC_Late_Fee_Relief_Windows_3B!$F$4043:$F$100,"&lt;="&amp;C4043,CBIC_Late_Fee_Relief_Windows_3B!$G$4043:$G$100,"&gt;="&amp;C4043)</f>
        <v/>
      </c>
      <c r="H4043">
        <f>INDEX(CBIC_Late_Fee_Relief_Windows_3B!$I$4043:$I$100,MATCH(G4043,CBIC_Late_Fee_Relief_Windows_3B!$O$4043:$O$100,0))</f>
        <v/>
      </c>
      <c r="I4043">
        <f>MIN(F4043,H4043)</f>
        <v/>
      </c>
    </row>
    <row r="4044">
      <c r="A4044">
        <f>TEST_DATA!A4044</f>
        <v/>
      </c>
      <c r="B4044">
        <f>TEST_DATA!B4044</f>
        <v/>
      </c>
      <c r="C4044">
        <f>TEST_DATA!C4044</f>
        <v/>
      </c>
      <c r="D4044">
        <f>TEST_DATA!D4044</f>
        <v/>
      </c>
      <c r="E4044">
        <f>TEST_DATA!E4044</f>
        <v/>
      </c>
      <c r="F4044">
        <f>MIN(E4044*404400,10000)</f>
        <v/>
      </c>
      <c r="G4044">
        <f>MINIFS(CBIC_Late_Fee_Relief_Windows_3B!$O$4044:$O$100,CBIC_Late_Fee_Relief_Windows_3B!$D$4044:$D$100,"&lt;="&amp;B4044,CBIC_Late_Fee_Relief_Windows_3B!$E$4044:$E$100,"&gt;="&amp;B4044,CBIC_Late_Fee_Relief_Windows_3B!$F$4044:$F$100,"&lt;="&amp;C4044,CBIC_Late_Fee_Relief_Windows_3B!$G$4044:$G$100,"&gt;="&amp;C4044)</f>
        <v/>
      </c>
      <c r="H4044">
        <f>INDEX(CBIC_Late_Fee_Relief_Windows_3B!$I$4044:$I$100,MATCH(G4044,CBIC_Late_Fee_Relief_Windows_3B!$O$4044:$O$100,0))</f>
        <v/>
      </c>
      <c r="I4044">
        <f>MIN(F4044,H4044)</f>
        <v/>
      </c>
    </row>
    <row r="4045">
      <c r="A4045">
        <f>TEST_DATA!A4045</f>
        <v/>
      </c>
      <c r="B4045">
        <f>TEST_DATA!B4045</f>
        <v/>
      </c>
      <c r="C4045">
        <f>TEST_DATA!C4045</f>
        <v/>
      </c>
      <c r="D4045">
        <f>TEST_DATA!D4045</f>
        <v/>
      </c>
      <c r="E4045">
        <f>TEST_DATA!E4045</f>
        <v/>
      </c>
      <c r="F4045">
        <f>MIN(E4045*404500,10000)</f>
        <v/>
      </c>
      <c r="G4045">
        <f>MINIFS(CBIC_Late_Fee_Relief_Windows_3B!$O$4045:$O$100,CBIC_Late_Fee_Relief_Windows_3B!$D$4045:$D$100,"&lt;="&amp;B4045,CBIC_Late_Fee_Relief_Windows_3B!$E$4045:$E$100,"&gt;="&amp;B4045,CBIC_Late_Fee_Relief_Windows_3B!$F$4045:$F$100,"&lt;="&amp;C4045,CBIC_Late_Fee_Relief_Windows_3B!$G$4045:$G$100,"&gt;="&amp;C4045)</f>
        <v/>
      </c>
      <c r="H4045">
        <f>INDEX(CBIC_Late_Fee_Relief_Windows_3B!$I$4045:$I$100,MATCH(G4045,CBIC_Late_Fee_Relief_Windows_3B!$O$4045:$O$100,0))</f>
        <v/>
      </c>
      <c r="I4045">
        <f>MIN(F4045,H4045)</f>
        <v/>
      </c>
    </row>
    <row r="4046">
      <c r="A4046">
        <f>TEST_DATA!A4046</f>
        <v/>
      </c>
      <c r="B4046">
        <f>TEST_DATA!B4046</f>
        <v/>
      </c>
      <c r="C4046">
        <f>TEST_DATA!C4046</f>
        <v/>
      </c>
      <c r="D4046">
        <f>TEST_DATA!D4046</f>
        <v/>
      </c>
      <c r="E4046">
        <f>TEST_DATA!E4046</f>
        <v/>
      </c>
      <c r="F4046">
        <f>MIN(E4046*404600,10000)</f>
        <v/>
      </c>
      <c r="G4046">
        <f>MINIFS(CBIC_Late_Fee_Relief_Windows_3B!$O$4046:$O$100,CBIC_Late_Fee_Relief_Windows_3B!$D$4046:$D$100,"&lt;="&amp;B4046,CBIC_Late_Fee_Relief_Windows_3B!$E$4046:$E$100,"&gt;="&amp;B4046,CBIC_Late_Fee_Relief_Windows_3B!$F$4046:$F$100,"&lt;="&amp;C4046,CBIC_Late_Fee_Relief_Windows_3B!$G$4046:$G$100,"&gt;="&amp;C4046)</f>
        <v/>
      </c>
      <c r="H4046">
        <f>INDEX(CBIC_Late_Fee_Relief_Windows_3B!$I$4046:$I$100,MATCH(G4046,CBIC_Late_Fee_Relief_Windows_3B!$O$4046:$O$100,0))</f>
        <v/>
      </c>
      <c r="I4046">
        <f>MIN(F4046,H4046)</f>
        <v/>
      </c>
    </row>
    <row r="4047">
      <c r="A4047">
        <f>TEST_DATA!A4047</f>
        <v/>
      </c>
      <c r="B4047">
        <f>TEST_DATA!B4047</f>
        <v/>
      </c>
      <c r="C4047">
        <f>TEST_DATA!C4047</f>
        <v/>
      </c>
      <c r="D4047">
        <f>TEST_DATA!D4047</f>
        <v/>
      </c>
      <c r="E4047">
        <f>TEST_DATA!E4047</f>
        <v/>
      </c>
      <c r="F4047">
        <f>MIN(E4047*404700,10000)</f>
        <v/>
      </c>
      <c r="G4047">
        <f>MINIFS(CBIC_Late_Fee_Relief_Windows_3B!$O$4047:$O$100,CBIC_Late_Fee_Relief_Windows_3B!$D$4047:$D$100,"&lt;="&amp;B4047,CBIC_Late_Fee_Relief_Windows_3B!$E$4047:$E$100,"&gt;="&amp;B4047,CBIC_Late_Fee_Relief_Windows_3B!$F$4047:$F$100,"&lt;="&amp;C4047,CBIC_Late_Fee_Relief_Windows_3B!$G$4047:$G$100,"&gt;="&amp;C4047)</f>
        <v/>
      </c>
      <c r="H4047">
        <f>INDEX(CBIC_Late_Fee_Relief_Windows_3B!$I$4047:$I$100,MATCH(G4047,CBIC_Late_Fee_Relief_Windows_3B!$O$4047:$O$100,0))</f>
        <v/>
      </c>
      <c r="I4047">
        <f>MIN(F4047,H4047)</f>
        <v/>
      </c>
    </row>
    <row r="4048">
      <c r="A4048">
        <f>TEST_DATA!A4048</f>
        <v/>
      </c>
      <c r="B4048">
        <f>TEST_DATA!B4048</f>
        <v/>
      </c>
      <c r="C4048">
        <f>TEST_DATA!C4048</f>
        <v/>
      </c>
      <c r="D4048">
        <f>TEST_DATA!D4048</f>
        <v/>
      </c>
      <c r="E4048">
        <f>TEST_DATA!E4048</f>
        <v/>
      </c>
      <c r="F4048">
        <f>MIN(E4048*404800,10000)</f>
        <v/>
      </c>
      <c r="G4048">
        <f>MINIFS(CBIC_Late_Fee_Relief_Windows_3B!$O$4048:$O$100,CBIC_Late_Fee_Relief_Windows_3B!$D$4048:$D$100,"&lt;="&amp;B4048,CBIC_Late_Fee_Relief_Windows_3B!$E$4048:$E$100,"&gt;="&amp;B4048,CBIC_Late_Fee_Relief_Windows_3B!$F$4048:$F$100,"&lt;="&amp;C4048,CBIC_Late_Fee_Relief_Windows_3B!$G$4048:$G$100,"&gt;="&amp;C4048)</f>
        <v/>
      </c>
      <c r="H4048">
        <f>INDEX(CBIC_Late_Fee_Relief_Windows_3B!$I$4048:$I$100,MATCH(G4048,CBIC_Late_Fee_Relief_Windows_3B!$O$4048:$O$100,0))</f>
        <v/>
      </c>
      <c r="I4048">
        <f>MIN(F4048,H4048)</f>
        <v/>
      </c>
    </row>
    <row r="4049">
      <c r="A4049">
        <f>TEST_DATA!A4049</f>
        <v/>
      </c>
      <c r="B4049">
        <f>TEST_DATA!B4049</f>
        <v/>
      </c>
      <c r="C4049">
        <f>TEST_DATA!C4049</f>
        <v/>
      </c>
      <c r="D4049">
        <f>TEST_DATA!D4049</f>
        <v/>
      </c>
      <c r="E4049">
        <f>TEST_DATA!E4049</f>
        <v/>
      </c>
      <c r="F4049">
        <f>MIN(E4049*404900,10000)</f>
        <v/>
      </c>
      <c r="G4049">
        <f>MINIFS(CBIC_Late_Fee_Relief_Windows_3B!$O$4049:$O$100,CBIC_Late_Fee_Relief_Windows_3B!$D$4049:$D$100,"&lt;="&amp;B4049,CBIC_Late_Fee_Relief_Windows_3B!$E$4049:$E$100,"&gt;="&amp;B4049,CBIC_Late_Fee_Relief_Windows_3B!$F$4049:$F$100,"&lt;="&amp;C4049,CBIC_Late_Fee_Relief_Windows_3B!$G$4049:$G$100,"&gt;="&amp;C4049)</f>
        <v/>
      </c>
      <c r="H4049">
        <f>INDEX(CBIC_Late_Fee_Relief_Windows_3B!$I$4049:$I$100,MATCH(G4049,CBIC_Late_Fee_Relief_Windows_3B!$O$4049:$O$100,0))</f>
        <v/>
      </c>
      <c r="I4049">
        <f>MIN(F4049,H4049)</f>
        <v/>
      </c>
    </row>
    <row r="4050">
      <c r="A4050">
        <f>TEST_DATA!A4050</f>
        <v/>
      </c>
      <c r="B4050">
        <f>TEST_DATA!B4050</f>
        <v/>
      </c>
      <c r="C4050">
        <f>TEST_DATA!C4050</f>
        <v/>
      </c>
      <c r="D4050">
        <f>TEST_DATA!D4050</f>
        <v/>
      </c>
      <c r="E4050">
        <f>TEST_DATA!E4050</f>
        <v/>
      </c>
      <c r="F4050">
        <f>MIN(E4050*405000,10000)</f>
        <v/>
      </c>
      <c r="G4050">
        <f>MINIFS(CBIC_Late_Fee_Relief_Windows_3B!$O$4050:$O$100,CBIC_Late_Fee_Relief_Windows_3B!$D$4050:$D$100,"&lt;="&amp;B4050,CBIC_Late_Fee_Relief_Windows_3B!$E$4050:$E$100,"&gt;="&amp;B4050,CBIC_Late_Fee_Relief_Windows_3B!$F$4050:$F$100,"&lt;="&amp;C4050,CBIC_Late_Fee_Relief_Windows_3B!$G$4050:$G$100,"&gt;="&amp;C4050)</f>
        <v/>
      </c>
      <c r="H4050">
        <f>INDEX(CBIC_Late_Fee_Relief_Windows_3B!$I$4050:$I$100,MATCH(G4050,CBIC_Late_Fee_Relief_Windows_3B!$O$4050:$O$100,0))</f>
        <v/>
      </c>
      <c r="I4050">
        <f>MIN(F4050,H4050)</f>
        <v/>
      </c>
    </row>
    <row r="4051">
      <c r="A4051">
        <f>TEST_DATA!A4051</f>
        <v/>
      </c>
      <c r="B4051">
        <f>TEST_DATA!B4051</f>
        <v/>
      </c>
      <c r="C4051">
        <f>TEST_DATA!C4051</f>
        <v/>
      </c>
      <c r="D4051">
        <f>TEST_DATA!D4051</f>
        <v/>
      </c>
      <c r="E4051">
        <f>TEST_DATA!E4051</f>
        <v/>
      </c>
      <c r="F4051">
        <f>MIN(E4051*405100,10000)</f>
        <v/>
      </c>
      <c r="G4051">
        <f>MINIFS(CBIC_Late_Fee_Relief_Windows_3B!$O$4051:$O$100,CBIC_Late_Fee_Relief_Windows_3B!$D$4051:$D$100,"&lt;="&amp;B4051,CBIC_Late_Fee_Relief_Windows_3B!$E$4051:$E$100,"&gt;="&amp;B4051,CBIC_Late_Fee_Relief_Windows_3B!$F$4051:$F$100,"&lt;="&amp;C4051,CBIC_Late_Fee_Relief_Windows_3B!$G$4051:$G$100,"&gt;="&amp;C4051)</f>
        <v/>
      </c>
      <c r="H4051">
        <f>INDEX(CBIC_Late_Fee_Relief_Windows_3B!$I$4051:$I$100,MATCH(G4051,CBIC_Late_Fee_Relief_Windows_3B!$O$4051:$O$100,0))</f>
        <v/>
      </c>
      <c r="I4051">
        <f>MIN(F4051,H4051)</f>
        <v/>
      </c>
    </row>
    <row r="4052">
      <c r="A4052">
        <f>TEST_DATA!A4052</f>
        <v/>
      </c>
      <c r="B4052">
        <f>TEST_DATA!B4052</f>
        <v/>
      </c>
      <c r="C4052">
        <f>TEST_DATA!C4052</f>
        <v/>
      </c>
      <c r="D4052">
        <f>TEST_DATA!D4052</f>
        <v/>
      </c>
      <c r="E4052">
        <f>TEST_DATA!E4052</f>
        <v/>
      </c>
      <c r="F4052">
        <f>MIN(E4052*405200,10000)</f>
        <v/>
      </c>
      <c r="G4052">
        <f>MINIFS(CBIC_Late_Fee_Relief_Windows_3B!$O$4052:$O$100,CBIC_Late_Fee_Relief_Windows_3B!$D$4052:$D$100,"&lt;="&amp;B4052,CBIC_Late_Fee_Relief_Windows_3B!$E$4052:$E$100,"&gt;="&amp;B4052,CBIC_Late_Fee_Relief_Windows_3B!$F$4052:$F$100,"&lt;="&amp;C4052,CBIC_Late_Fee_Relief_Windows_3B!$G$4052:$G$100,"&gt;="&amp;C4052)</f>
        <v/>
      </c>
      <c r="H4052">
        <f>INDEX(CBIC_Late_Fee_Relief_Windows_3B!$I$4052:$I$100,MATCH(G4052,CBIC_Late_Fee_Relief_Windows_3B!$O$4052:$O$100,0))</f>
        <v/>
      </c>
      <c r="I4052">
        <f>MIN(F4052,H4052)</f>
        <v/>
      </c>
    </row>
    <row r="4053">
      <c r="A4053">
        <f>TEST_DATA!A4053</f>
        <v/>
      </c>
      <c r="B4053">
        <f>TEST_DATA!B4053</f>
        <v/>
      </c>
      <c r="C4053">
        <f>TEST_DATA!C4053</f>
        <v/>
      </c>
      <c r="D4053">
        <f>TEST_DATA!D4053</f>
        <v/>
      </c>
      <c r="E4053">
        <f>TEST_DATA!E4053</f>
        <v/>
      </c>
      <c r="F4053">
        <f>MIN(E4053*405300,10000)</f>
        <v/>
      </c>
      <c r="G4053">
        <f>MINIFS(CBIC_Late_Fee_Relief_Windows_3B!$O$4053:$O$100,CBIC_Late_Fee_Relief_Windows_3B!$D$4053:$D$100,"&lt;="&amp;B4053,CBIC_Late_Fee_Relief_Windows_3B!$E$4053:$E$100,"&gt;="&amp;B4053,CBIC_Late_Fee_Relief_Windows_3B!$F$4053:$F$100,"&lt;="&amp;C4053,CBIC_Late_Fee_Relief_Windows_3B!$G$4053:$G$100,"&gt;="&amp;C4053)</f>
        <v/>
      </c>
      <c r="H4053">
        <f>INDEX(CBIC_Late_Fee_Relief_Windows_3B!$I$4053:$I$100,MATCH(G4053,CBIC_Late_Fee_Relief_Windows_3B!$O$4053:$O$100,0))</f>
        <v/>
      </c>
      <c r="I4053">
        <f>MIN(F4053,H4053)</f>
        <v/>
      </c>
    </row>
    <row r="4054">
      <c r="A4054">
        <f>TEST_DATA!A4054</f>
        <v/>
      </c>
      <c r="B4054">
        <f>TEST_DATA!B4054</f>
        <v/>
      </c>
      <c r="C4054">
        <f>TEST_DATA!C4054</f>
        <v/>
      </c>
      <c r="D4054">
        <f>TEST_DATA!D4054</f>
        <v/>
      </c>
      <c r="E4054">
        <f>TEST_DATA!E4054</f>
        <v/>
      </c>
      <c r="F4054">
        <f>MIN(E4054*405400,10000)</f>
        <v/>
      </c>
      <c r="G4054">
        <f>MINIFS(CBIC_Late_Fee_Relief_Windows_3B!$O$4054:$O$100,CBIC_Late_Fee_Relief_Windows_3B!$D$4054:$D$100,"&lt;="&amp;B4054,CBIC_Late_Fee_Relief_Windows_3B!$E$4054:$E$100,"&gt;="&amp;B4054,CBIC_Late_Fee_Relief_Windows_3B!$F$4054:$F$100,"&lt;="&amp;C4054,CBIC_Late_Fee_Relief_Windows_3B!$G$4054:$G$100,"&gt;="&amp;C4054)</f>
        <v/>
      </c>
      <c r="H4054">
        <f>INDEX(CBIC_Late_Fee_Relief_Windows_3B!$I$4054:$I$100,MATCH(G4054,CBIC_Late_Fee_Relief_Windows_3B!$O$4054:$O$100,0))</f>
        <v/>
      </c>
      <c r="I4054">
        <f>MIN(F4054,H4054)</f>
        <v/>
      </c>
    </row>
    <row r="4055">
      <c r="A4055">
        <f>TEST_DATA!A4055</f>
        <v/>
      </c>
      <c r="B4055">
        <f>TEST_DATA!B4055</f>
        <v/>
      </c>
      <c r="C4055">
        <f>TEST_DATA!C4055</f>
        <v/>
      </c>
      <c r="D4055">
        <f>TEST_DATA!D4055</f>
        <v/>
      </c>
      <c r="E4055">
        <f>TEST_DATA!E4055</f>
        <v/>
      </c>
      <c r="F4055">
        <f>MIN(E4055*405500,10000)</f>
        <v/>
      </c>
      <c r="G4055">
        <f>MINIFS(CBIC_Late_Fee_Relief_Windows_3B!$O$4055:$O$100,CBIC_Late_Fee_Relief_Windows_3B!$D$4055:$D$100,"&lt;="&amp;B4055,CBIC_Late_Fee_Relief_Windows_3B!$E$4055:$E$100,"&gt;="&amp;B4055,CBIC_Late_Fee_Relief_Windows_3B!$F$4055:$F$100,"&lt;="&amp;C4055,CBIC_Late_Fee_Relief_Windows_3B!$G$4055:$G$100,"&gt;="&amp;C4055)</f>
        <v/>
      </c>
      <c r="H4055">
        <f>INDEX(CBIC_Late_Fee_Relief_Windows_3B!$I$4055:$I$100,MATCH(G4055,CBIC_Late_Fee_Relief_Windows_3B!$O$4055:$O$100,0))</f>
        <v/>
      </c>
      <c r="I4055">
        <f>MIN(F4055,H4055)</f>
        <v/>
      </c>
    </row>
    <row r="4056">
      <c r="A4056">
        <f>TEST_DATA!A4056</f>
        <v/>
      </c>
      <c r="B4056">
        <f>TEST_DATA!B4056</f>
        <v/>
      </c>
      <c r="C4056">
        <f>TEST_DATA!C4056</f>
        <v/>
      </c>
      <c r="D4056">
        <f>TEST_DATA!D4056</f>
        <v/>
      </c>
      <c r="E4056">
        <f>TEST_DATA!E4056</f>
        <v/>
      </c>
      <c r="F4056">
        <f>MIN(E4056*405600,10000)</f>
        <v/>
      </c>
      <c r="G4056">
        <f>MINIFS(CBIC_Late_Fee_Relief_Windows_3B!$O$4056:$O$100,CBIC_Late_Fee_Relief_Windows_3B!$D$4056:$D$100,"&lt;="&amp;B4056,CBIC_Late_Fee_Relief_Windows_3B!$E$4056:$E$100,"&gt;="&amp;B4056,CBIC_Late_Fee_Relief_Windows_3B!$F$4056:$F$100,"&lt;="&amp;C4056,CBIC_Late_Fee_Relief_Windows_3B!$G$4056:$G$100,"&gt;="&amp;C4056)</f>
        <v/>
      </c>
      <c r="H4056">
        <f>INDEX(CBIC_Late_Fee_Relief_Windows_3B!$I$4056:$I$100,MATCH(G4056,CBIC_Late_Fee_Relief_Windows_3B!$O$4056:$O$100,0))</f>
        <v/>
      </c>
      <c r="I4056">
        <f>MIN(F4056,H4056)</f>
        <v/>
      </c>
    </row>
    <row r="4057">
      <c r="A4057">
        <f>TEST_DATA!A4057</f>
        <v/>
      </c>
      <c r="B4057">
        <f>TEST_DATA!B4057</f>
        <v/>
      </c>
      <c r="C4057">
        <f>TEST_DATA!C4057</f>
        <v/>
      </c>
      <c r="D4057">
        <f>TEST_DATA!D4057</f>
        <v/>
      </c>
      <c r="E4057">
        <f>TEST_DATA!E4057</f>
        <v/>
      </c>
      <c r="F4057">
        <f>MIN(E4057*405700,10000)</f>
        <v/>
      </c>
      <c r="G4057">
        <f>MINIFS(CBIC_Late_Fee_Relief_Windows_3B!$O$4057:$O$100,CBIC_Late_Fee_Relief_Windows_3B!$D$4057:$D$100,"&lt;="&amp;B4057,CBIC_Late_Fee_Relief_Windows_3B!$E$4057:$E$100,"&gt;="&amp;B4057,CBIC_Late_Fee_Relief_Windows_3B!$F$4057:$F$100,"&lt;="&amp;C4057,CBIC_Late_Fee_Relief_Windows_3B!$G$4057:$G$100,"&gt;="&amp;C4057)</f>
        <v/>
      </c>
      <c r="H4057">
        <f>INDEX(CBIC_Late_Fee_Relief_Windows_3B!$I$4057:$I$100,MATCH(G4057,CBIC_Late_Fee_Relief_Windows_3B!$O$4057:$O$100,0))</f>
        <v/>
      </c>
      <c r="I4057">
        <f>MIN(F4057,H4057)</f>
        <v/>
      </c>
    </row>
    <row r="4058">
      <c r="A4058">
        <f>TEST_DATA!A4058</f>
        <v/>
      </c>
      <c r="B4058">
        <f>TEST_DATA!B4058</f>
        <v/>
      </c>
      <c r="C4058">
        <f>TEST_DATA!C4058</f>
        <v/>
      </c>
      <c r="D4058">
        <f>TEST_DATA!D4058</f>
        <v/>
      </c>
      <c r="E4058">
        <f>TEST_DATA!E4058</f>
        <v/>
      </c>
      <c r="F4058">
        <f>MIN(E4058*405800,10000)</f>
        <v/>
      </c>
      <c r="G4058">
        <f>MINIFS(CBIC_Late_Fee_Relief_Windows_3B!$O$4058:$O$100,CBIC_Late_Fee_Relief_Windows_3B!$D$4058:$D$100,"&lt;="&amp;B4058,CBIC_Late_Fee_Relief_Windows_3B!$E$4058:$E$100,"&gt;="&amp;B4058,CBIC_Late_Fee_Relief_Windows_3B!$F$4058:$F$100,"&lt;="&amp;C4058,CBIC_Late_Fee_Relief_Windows_3B!$G$4058:$G$100,"&gt;="&amp;C4058)</f>
        <v/>
      </c>
      <c r="H4058">
        <f>INDEX(CBIC_Late_Fee_Relief_Windows_3B!$I$4058:$I$100,MATCH(G4058,CBIC_Late_Fee_Relief_Windows_3B!$O$4058:$O$100,0))</f>
        <v/>
      </c>
      <c r="I4058">
        <f>MIN(F4058,H4058)</f>
        <v/>
      </c>
    </row>
    <row r="4059">
      <c r="A4059">
        <f>TEST_DATA!A4059</f>
        <v/>
      </c>
      <c r="B4059">
        <f>TEST_DATA!B4059</f>
        <v/>
      </c>
      <c r="C4059">
        <f>TEST_DATA!C4059</f>
        <v/>
      </c>
      <c r="D4059">
        <f>TEST_DATA!D4059</f>
        <v/>
      </c>
      <c r="E4059">
        <f>TEST_DATA!E4059</f>
        <v/>
      </c>
      <c r="F4059">
        <f>MIN(E4059*405900,10000)</f>
        <v/>
      </c>
      <c r="G4059">
        <f>MINIFS(CBIC_Late_Fee_Relief_Windows_3B!$O$4059:$O$100,CBIC_Late_Fee_Relief_Windows_3B!$D$4059:$D$100,"&lt;="&amp;B4059,CBIC_Late_Fee_Relief_Windows_3B!$E$4059:$E$100,"&gt;="&amp;B4059,CBIC_Late_Fee_Relief_Windows_3B!$F$4059:$F$100,"&lt;="&amp;C4059,CBIC_Late_Fee_Relief_Windows_3B!$G$4059:$G$100,"&gt;="&amp;C4059)</f>
        <v/>
      </c>
      <c r="H4059">
        <f>INDEX(CBIC_Late_Fee_Relief_Windows_3B!$I$4059:$I$100,MATCH(G4059,CBIC_Late_Fee_Relief_Windows_3B!$O$4059:$O$100,0))</f>
        <v/>
      </c>
      <c r="I4059">
        <f>MIN(F4059,H4059)</f>
        <v/>
      </c>
    </row>
    <row r="4060">
      <c r="A4060">
        <f>TEST_DATA!A4060</f>
        <v/>
      </c>
      <c r="B4060">
        <f>TEST_DATA!B4060</f>
        <v/>
      </c>
      <c r="C4060">
        <f>TEST_DATA!C4060</f>
        <v/>
      </c>
      <c r="D4060">
        <f>TEST_DATA!D4060</f>
        <v/>
      </c>
      <c r="E4060">
        <f>TEST_DATA!E4060</f>
        <v/>
      </c>
      <c r="F4060">
        <f>MIN(E4060*406000,10000)</f>
        <v/>
      </c>
      <c r="G4060">
        <f>MINIFS(CBIC_Late_Fee_Relief_Windows_3B!$O$4060:$O$100,CBIC_Late_Fee_Relief_Windows_3B!$D$4060:$D$100,"&lt;="&amp;B4060,CBIC_Late_Fee_Relief_Windows_3B!$E$4060:$E$100,"&gt;="&amp;B4060,CBIC_Late_Fee_Relief_Windows_3B!$F$4060:$F$100,"&lt;="&amp;C4060,CBIC_Late_Fee_Relief_Windows_3B!$G$4060:$G$100,"&gt;="&amp;C4060)</f>
        <v/>
      </c>
      <c r="H4060">
        <f>INDEX(CBIC_Late_Fee_Relief_Windows_3B!$I$4060:$I$100,MATCH(G4060,CBIC_Late_Fee_Relief_Windows_3B!$O$4060:$O$100,0))</f>
        <v/>
      </c>
      <c r="I4060">
        <f>MIN(F4060,H4060)</f>
        <v/>
      </c>
    </row>
    <row r="4061">
      <c r="A4061">
        <f>TEST_DATA!A4061</f>
        <v/>
      </c>
      <c r="B4061">
        <f>TEST_DATA!B4061</f>
        <v/>
      </c>
      <c r="C4061">
        <f>TEST_DATA!C4061</f>
        <v/>
      </c>
      <c r="D4061">
        <f>TEST_DATA!D4061</f>
        <v/>
      </c>
      <c r="E4061">
        <f>TEST_DATA!E4061</f>
        <v/>
      </c>
      <c r="F4061">
        <f>MIN(E4061*406100,10000)</f>
        <v/>
      </c>
      <c r="G4061">
        <f>MINIFS(CBIC_Late_Fee_Relief_Windows_3B!$O$4061:$O$100,CBIC_Late_Fee_Relief_Windows_3B!$D$4061:$D$100,"&lt;="&amp;B4061,CBIC_Late_Fee_Relief_Windows_3B!$E$4061:$E$100,"&gt;="&amp;B4061,CBIC_Late_Fee_Relief_Windows_3B!$F$4061:$F$100,"&lt;="&amp;C4061,CBIC_Late_Fee_Relief_Windows_3B!$G$4061:$G$100,"&gt;="&amp;C4061)</f>
        <v/>
      </c>
      <c r="H4061">
        <f>INDEX(CBIC_Late_Fee_Relief_Windows_3B!$I$4061:$I$100,MATCH(G4061,CBIC_Late_Fee_Relief_Windows_3B!$O$4061:$O$100,0))</f>
        <v/>
      </c>
      <c r="I4061">
        <f>MIN(F4061,H4061)</f>
        <v/>
      </c>
    </row>
    <row r="4062">
      <c r="A4062">
        <f>TEST_DATA!A4062</f>
        <v/>
      </c>
      <c r="B4062">
        <f>TEST_DATA!B4062</f>
        <v/>
      </c>
      <c r="C4062">
        <f>TEST_DATA!C4062</f>
        <v/>
      </c>
      <c r="D4062">
        <f>TEST_DATA!D4062</f>
        <v/>
      </c>
      <c r="E4062">
        <f>TEST_DATA!E4062</f>
        <v/>
      </c>
      <c r="F4062">
        <f>MIN(E4062*406200,10000)</f>
        <v/>
      </c>
      <c r="G4062">
        <f>MINIFS(CBIC_Late_Fee_Relief_Windows_3B!$O$4062:$O$100,CBIC_Late_Fee_Relief_Windows_3B!$D$4062:$D$100,"&lt;="&amp;B4062,CBIC_Late_Fee_Relief_Windows_3B!$E$4062:$E$100,"&gt;="&amp;B4062,CBIC_Late_Fee_Relief_Windows_3B!$F$4062:$F$100,"&lt;="&amp;C4062,CBIC_Late_Fee_Relief_Windows_3B!$G$4062:$G$100,"&gt;="&amp;C4062)</f>
        <v/>
      </c>
      <c r="H4062">
        <f>INDEX(CBIC_Late_Fee_Relief_Windows_3B!$I$4062:$I$100,MATCH(G4062,CBIC_Late_Fee_Relief_Windows_3B!$O$4062:$O$100,0))</f>
        <v/>
      </c>
      <c r="I4062">
        <f>MIN(F4062,H4062)</f>
        <v/>
      </c>
    </row>
    <row r="4063">
      <c r="A4063">
        <f>TEST_DATA!A4063</f>
        <v/>
      </c>
      <c r="B4063">
        <f>TEST_DATA!B4063</f>
        <v/>
      </c>
      <c r="C4063">
        <f>TEST_DATA!C4063</f>
        <v/>
      </c>
      <c r="D4063">
        <f>TEST_DATA!D4063</f>
        <v/>
      </c>
      <c r="E4063">
        <f>TEST_DATA!E4063</f>
        <v/>
      </c>
      <c r="F4063">
        <f>MIN(E4063*406300,10000)</f>
        <v/>
      </c>
      <c r="G4063">
        <f>MINIFS(CBIC_Late_Fee_Relief_Windows_3B!$O$4063:$O$100,CBIC_Late_Fee_Relief_Windows_3B!$D$4063:$D$100,"&lt;="&amp;B4063,CBIC_Late_Fee_Relief_Windows_3B!$E$4063:$E$100,"&gt;="&amp;B4063,CBIC_Late_Fee_Relief_Windows_3B!$F$4063:$F$100,"&lt;="&amp;C4063,CBIC_Late_Fee_Relief_Windows_3B!$G$4063:$G$100,"&gt;="&amp;C4063)</f>
        <v/>
      </c>
      <c r="H4063">
        <f>INDEX(CBIC_Late_Fee_Relief_Windows_3B!$I$4063:$I$100,MATCH(G4063,CBIC_Late_Fee_Relief_Windows_3B!$O$4063:$O$100,0))</f>
        <v/>
      </c>
      <c r="I4063">
        <f>MIN(F4063,H4063)</f>
        <v/>
      </c>
    </row>
    <row r="4064">
      <c r="A4064">
        <f>TEST_DATA!A4064</f>
        <v/>
      </c>
      <c r="B4064">
        <f>TEST_DATA!B4064</f>
        <v/>
      </c>
      <c r="C4064">
        <f>TEST_DATA!C4064</f>
        <v/>
      </c>
      <c r="D4064">
        <f>TEST_DATA!D4064</f>
        <v/>
      </c>
      <c r="E4064">
        <f>TEST_DATA!E4064</f>
        <v/>
      </c>
      <c r="F4064">
        <f>MIN(E4064*406400,10000)</f>
        <v/>
      </c>
      <c r="G4064">
        <f>MINIFS(CBIC_Late_Fee_Relief_Windows_3B!$O$4064:$O$100,CBIC_Late_Fee_Relief_Windows_3B!$D$4064:$D$100,"&lt;="&amp;B4064,CBIC_Late_Fee_Relief_Windows_3B!$E$4064:$E$100,"&gt;="&amp;B4064,CBIC_Late_Fee_Relief_Windows_3B!$F$4064:$F$100,"&lt;="&amp;C4064,CBIC_Late_Fee_Relief_Windows_3B!$G$4064:$G$100,"&gt;="&amp;C4064)</f>
        <v/>
      </c>
      <c r="H4064">
        <f>INDEX(CBIC_Late_Fee_Relief_Windows_3B!$I$4064:$I$100,MATCH(G4064,CBIC_Late_Fee_Relief_Windows_3B!$O$4064:$O$100,0))</f>
        <v/>
      </c>
      <c r="I4064">
        <f>MIN(F4064,H4064)</f>
        <v/>
      </c>
    </row>
    <row r="4065">
      <c r="A4065">
        <f>TEST_DATA!A4065</f>
        <v/>
      </c>
      <c r="B4065">
        <f>TEST_DATA!B4065</f>
        <v/>
      </c>
      <c r="C4065">
        <f>TEST_DATA!C4065</f>
        <v/>
      </c>
      <c r="D4065">
        <f>TEST_DATA!D4065</f>
        <v/>
      </c>
      <c r="E4065">
        <f>TEST_DATA!E4065</f>
        <v/>
      </c>
      <c r="F4065">
        <f>MIN(E4065*406500,10000)</f>
        <v/>
      </c>
      <c r="G4065">
        <f>MINIFS(CBIC_Late_Fee_Relief_Windows_3B!$O$4065:$O$100,CBIC_Late_Fee_Relief_Windows_3B!$D$4065:$D$100,"&lt;="&amp;B4065,CBIC_Late_Fee_Relief_Windows_3B!$E$4065:$E$100,"&gt;="&amp;B4065,CBIC_Late_Fee_Relief_Windows_3B!$F$4065:$F$100,"&lt;="&amp;C4065,CBIC_Late_Fee_Relief_Windows_3B!$G$4065:$G$100,"&gt;="&amp;C4065)</f>
        <v/>
      </c>
      <c r="H4065">
        <f>INDEX(CBIC_Late_Fee_Relief_Windows_3B!$I$4065:$I$100,MATCH(G4065,CBIC_Late_Fee_Relief_Windows_3B!$O$4065:$O$100,0))</f>
        <v/>
      </c>
      <c r="I4065">
        <f>MIN(F4065,H4065)</f>
        <v/>
      </c>
    </row>
    <row r="4066">
      <c r="A4066">
        <f>TEST_DATA!A4066</f>
        <v/>
      </c>
      <c r="B4066">
        <f>TEST_DATA!B4066</f>
        <v/>
      </c>
      <c r="C4066">
        <f>TEST_DATA!C4066</f>
        <v/>
      </c>
      <c r="D4066">
        <f>TEST_DATA!D4066</f>
        <v/>
      </c>
      <c r="E4066">
        <f>TEST_DATA!E4066</f>
        <v/>
      </c>
      <c r="F4066">
        <f>MIN(E4066*406600,10000)</f>
        <v/>
      </c>
      <c r="G4066">
        <f>MINIFS(CBIC_Late_Fee_Relief_Windows_3B!$O$4066:$O$100,CBIC_Late_Fee_Relief_Windows_3B!$D$4066:$D$100,"&lt;="&amp;B4066,CBIC_Late_Fee_Relief_Windows_3B!$E$4066:$E$100,"&gt;="&amp;B4066,CBIC_Late_Fee_Relief_Windows_3B!$F$4066:$F$100,"&lt;="&amp;C4066,CBIC_Late_Fee_Relief_Windows_3B!$G$4066:$G$100,"&gt;="&amp;C4066)</f>
        <v/>
      </c>
      <c r="H4066">
        <f>INDEX(CBIC_Late_Fee_Relief_Windows_3B!$I$4066:$I$100,MATCH(G4066,CBIC_Late_Fee_Relief_Windows_3B!$O$4066:$O$100,0))</f>
        <v/>
      </c>
      <c r="I4066">
        <f>MIN(F4066,H4066)</f>
        <v/>
      </c>
    </row>
    <row r="4067">
      <c r="A4067">
        <f>TEST_DATA!A4067</f>
        <v/>
      </c>
      <c r="B4067">
        <f>TEST_DATA!B4067</f>
        <v/>
      </c>
      <c r="C4067">
        <f>TEST_DATA!C4067</f>
        <v/>
      </c>
      <c r="D4067">
        <f>TEST_DATA!D4067</f>
        <v/>
      </c>
      <c r="E4067">
        <f>TEST_DATA!E4067</f>
        <v/>
      </c>
      <c r="F4067">
        <f>MIN(E4067*406700,10000)</f>
        <v/>
      </c>
      <c r="G4067">
        <f>MINIFS(CBIC_Late_Fee_Relief_Windows_3B!$O$4067:$O$100,CBIC_Late_Fee_Relief_Windows_3B!$D$4067:$D$100,"&lt;="&amp;B4067,CBIC_Late_Fee_Relief_Windows_3B!$E$4067:$E$100,"&gt;="&amp;B4067,CBIC_Late_Fee_Relief_Windows_3B!$F$4067:$F$100,"&lt;="&amp;C4067,CBIC_Late_Fee_Relief_Windows_3B!$G$4067:$G$100,"&gt;="&amp;C4067)</f>
        <v/>
      </c>
      <c r="H4067">
        <f>INDEX(CBIC_Late_Fee_Relief_Windows_3B!$I$4067:$I$100,MATCH(G4067,CBIC_Late_Fee_Relief_Windows_3B!$O$4067:$O$100,0))</f>
        <v/>
      </c>
      <c r="I4067">
        <f>MIN(F4067,H4067)</f>
        <v/>
      </c>
    </row>
    <row r="4068">
      <c r="A4068">
        <f>TEST_DATA!A4068</f>
        <v/>
      </c>
      <c r="B4068">
        <f>TEST_DATA!B4068</f>
        <v/>
      </c>
      <c r="C4068">
        <f>TEST_DATA!C4068</f>
        <v/>
      </c>
      <c r="D4068">
        <f>TEST_DATA!D4068</f>
        <v/>
      </c>
      <c r="E4068">
        <f>TEST_DATA!E4068</f>
        <v/>
      </c>
      <c r="F4068">
        <f>MIN(E4068*406800,10000)</f>
        <v/>
      </c>
      <c r="G4068">
        <f>MINIFS(CBIC_Late_Fee_Relief_Windows_3B!$O$4068:$O$100,CBIC_Late_Fee_Relief_Windows_3B!$D$4068:$D$100,"&lt;="&amp;B4068,CBIC_Late_Fee_Relief_Windows_3B!$E$4068:$E$100,"&gt;="&amp;B4068,CBIC_Late_Fee_Relief_Windows_3B!$F$4068:$F$100,"&lt;="&amp;C4068,CBIC_Late_Fee_Relief_Windows_3B!$G$4068:$G$100,"&gt;="&amp;C4068)</f>
        <v/>
      </c>
      <c r="H4068">
        <f>INDEX(CBIC_Late_Fee_Relief_Windows_3B!$I$4068:$I$100,MATCH(G4068,CBIC_Late_Fee_Relief_Windows_3B!$O$4068:$O$100,0))</f>
        <v/>
      </c>
      <c r="I4068">
        <f>MIN(F4068,H4068)</f>
        <v/>
      </c>
    </row>
    <row r="4069">
      <c r="A4069">
        <f>TEST_DATA!A4069</f>
        <v/>
      </c>
      <c r="B4069">
        <f>TEST_DATA!B4069</f>
        <v/>
      </c>
      <c r="C4069">
        <f>TEST_DATA!C4069</f>
        <v/>
      </c>
      <c r="D4069">
        <f>TEST_DATA!D4069</f>
        <v/>
      </c>
      <c r="E4069">
        <f>TEST_DATA!E4069</f>
        <v/>
      </c>
      <c r="F4069">
        <f>MIN(E4069*406900,10000)</f>
        <v/>
      </c>
      <c r="G4069">
        <f>MINIFS(CBIC_Late_Fee_Relief_Windows_3B!$O$4069:$O$100,CBIC_Late_Fee_Relief_Windows_3B!$D$4069:$D$100,"&lt;="&amp;B4069,CBIC_Late_Fee_Relief_Windows_3B!$E$4069:$E$100,"&gt;="&amp;B4069,CBIC_Late_Fee_Relief_Windows_3B!$F$4069:$F$100,"&lt;="&amp;C4069,CBIC_Late_Fee_Relief_Windows_3B!$G$4069:$G$100,"&gt;="&amp;C4069)</f>
        <v/>
      </c>
      <c r="H4069">
        <f>INDEX(CBIC_Late_Fee_Relief_Windows_3B!$I$4069:$I$100,MATCH(G4069,CBIC_Late_Fee_Relief_Windows_3B!$O$4069:$O$100,0))</f>
        <v/>
      </c>
      <c r="I4069">
        <f>MIN(F4069,H4069)</f>
        <v/>
      </c>
    </row>
    <row r="4070">
      <c r="A4070">
        <f>TEST_DATA!A4070</f>
        <v/>
      </c>
      <c r="B4070">
        <f>TEST_DATA!B4070</f>
        <v/>
      </c>
      <c r="C4070">
        <f>TEST_DATA!C4070</f>
        <v/>
      </c>
      <c r="D4070">
        <f>TEST_DATA!D4070</f>
        <v/>
      </c>
      <c r="E4070">
        <f>TEST_DATA!E4070</f>
        <v/>
      </c>
      <c r="F4070">
        <f>MIN(E4070*407000,10000)</f>
        <v/>
      </c>
      <c r="G4070">
        <f>MINIFS(CBIC_Late_Fee_Relief_Windows_3B!$O$4070:$O$100,CBIC_Late_Fee_Relief_Windows_3B!$D$4070:$D$100,"&lt;="&amp;B4070,CBIC_Late_Fee_Relief_Windows_3B!$E$4070:$E$100,"&gt;="&amp;B4070,CBIC_Late_Fee_Relief_Windows_3B!$F$4070:$F$100,"&lt;="&amp;C4070,CBIC_Late_Fee_Relief_Windows_3B!$G$4070:$G$100,"&gt;="&amp;C4070)</f>
        <v/>
      </c>
      <c r="H4070">
        <f>INDEX(CBIC_Late_Fee_Relief_Windows_3B!$I$4070:$I$100,MATCH(G4070,CBIC_Late_Fee_Relief_Windows_3B!$O$4070:$O$100,0))</f>
        <v/>
      </c>
      <c r="I4070">
        <f>MIN(F4070,H4070)</f>
        <v/>
      </c>
    </row>
    <row r="4071">
      <c r="A4071">
        <f>TEST_DATA!A4071</f>
        <v/>
      </c>
      <c r="B4071">
        <f>TEST_DATA!B4071</f>
        <v/>
      </c>
      <c r="C4071">
        <f>TEST_DATA!C4071</f>
        <v/>
      </c>
      <c r="D4071">
        <f>TEST_DATA!D4071</f>
        <v/>
      </c>
      <c r="E4071">
        <f>TEST_DATA!E4071</f>
        <v/>
      </c>
      <c r="F4071">
        <f>MIN(E4071*407100,10000)</f>
        <v/>
      </c>
      <c r="G4071">
        <f>MINIFS(CBIC_Late_Fee_Relief_Windows_3B!$O$4071:$O$100,CBIC_Late_Fee_Relief_Windows_3B!$D$4071:$D$100,"&lt;="&amp;B4071,CBIC_Late_Fee_Relief_Windows_3B!$E$4071:$E$100,"&gt;="&amp;B4071,CBIC_Late_Fee_Relief_Windows_3B!$F$4071:$F$100,"&lt;="&amp;C4071,CBIC_Late_Fee_Relief_Windows_3B!$G$4071:$G$100,"&gt;="&amp;C4071)</f>
        <v/>
      </c>
      <c r="H4071">
        <f>INDEX(CBIC_Late_Fee_Relief_Windows_3B!$I$4071:$I$100,MATCH(G4071,CBIC_Late_Fee_Relief_Windows_3B!$O$4071:$O$100,0))</f>
        <v/>
      </c>
      <c r="I4071">
        <f>MIN(F4071,H4071)</f>
        <v/>
      </c>
    </row>
    <row r="4072">
      <c r="A4072">
        <f>TEST_DATA!A4072</f>
        <v/>
      </c>
      <c r="B4072">
        <f>TEST_DATA!B4072</f>
        <v/>
      </c>
      <c r="C4072">
        <f>TEST_DATA!C4072</f>
        <v/>
      </c>
      <c r="D4072">
        <f>TEST_DATA!D4072</f>
        <v/>
      </c>
      <c r="E4072">
        <f>TEST_DATA!E4072</f>
        <v/>
      </c>
      <c r="F4072">
        <f>MIN(E4072*407200,10000)</f>
        <v/>
      </c>
      <c r="G4072">
        <f>MINIFS(CBIC_Late_Fee_Relief_Windows_3B!$O$4072:$O$100,CBIC_Late_Fee_Relief_Windows_3B!$D$4072:$D$100,"&lt;="&amp;B4072,CBIC_Late_Fee_Relief_Windows_3B!$E$4072:$E$100,"&gt;="&amp;B4072,CBIC_Late_Fee_Relief_Windows_3B!$F$4072:$F$100,"&lt;="&amp;C4072,CBIC_Late_Fee_Relief_Windows_3B!$G$4072:$G$100,"&gt;="&amp;C4072)</f>
        <v/>
      </c>
      <c r="H4072">
        <f>INDEX(CBIC_Late_Fee_Relief_Windows_3B!$I$4072:$I$100,MATCH(G4072,CBIC_Late_Fee_Relief_Windows_3B!$O$4072:$O$100,0))</f>
        <v/>
      </c>
      <c r="I4072">
        <f>MIN(F4072,H4072)</f>
        <v/>
      </c>
    </row>
    <row r="4073">
      <c r="A4073">
        <f>TEST_DATA!A4073</f>
        <v/>
      </c>
      <c r="B4073">
        <f>TEST_DATA!B4073</f>
        <v/>
      </c>
      <c r="C4073">
        <f>TEST_DATA!C4073</f>
        <v/>
      </c>
      <c r="D4073">
        <f>TEST_DATA!D4073</f>
        <v/>
      </c>
      <c r="E4073">
        <f>TEST_DATA!E4073</f>
        <v/>
      </c>
      <c r="F4073">
        <f>MIN(E4073*407300,10000)</f>
        <v/>
      </c>
      <c r="G4073">
        <f>MINIFS(CBIC_Late_Fee_Relief_Windows_3B!$O$4073:$O$100,CBIC_Late_Fee_Relief_Windows_3B!$D$4073:$D$100,"&lt;="&amp;B4073,CBIC_Late_Fee_Relief_Windows_3B!$E$4073:$E$100,"&gt;="&amp;B4073,CBIC_Late_Fee_Relief_Windows_3B!$F$4073:$F$100,"&lt;="&amp;C4073,CBIC_Late_Fee_Relief_Windows_3B!$G$4073:$G$100,"&gt;="&amp;C4073)</f>
        <v/>
      </c>
      <c r="H4073">
        <f>INDEX(CBIC_Late_Fee_Relief_Windows_3B!$I$4073:$I$100,MATCH(G4073,CBIC_Late_Fee_Relief_Windows_3B!$O$4073:$O$100,0))</f>
        <v/>
      </c>
      <c r="I4073">
        <f>MIN(F4073,H4073)</f>
        <v/>
      </c>
    </row>
    <row r="4074">
      <c r="A4074">
        <f>TEST_DATA!A4074</f>
        <v/>
      </c>
      <c r="B4074">
        <f>TEST_DATA!B4074</f>
        <v/>
      </c>
      <c r="C4074">
        <f>TEST_DATA!C4074</f>
        <v/>
      </c>
      <c r="D4074">
        <f>TEST_DATA!D4074</f>
        <v/>
      </c>
      <c r="E4074">
        <f>TEST_DATA!E4074</f>
        <v/>
      </c>
      <c r="F4074">
        <f>MIN(E4074*407400,10000)</f>
        <v/>
      </c>
      <c r="G4074">
        <f>MINIFS(CBIC_Late_Fee_Relief_Windows_3B!$O$4074:$O$100,CBIC_Late_Fee_Relief_Windows_3B!$D$4074:$D$100,"&lt;="&amp;B4074,CBIC_Late_Fee_Relief_Windows_3B!$E$4074:$E$100,"&gt;="&amp;B4074,CBIC_Late_Fee_Relief_Windows_3B!$F$4074:$F$100,"&lt;="&amp;C4074,CBIC_Late_Fee_Relief_Windows_3B!$G$4074:$G$100,"&gt;="&amp;C4074)</f>
        <v/>
      </c>
      <c r="H4074">
        <f>INDEX(CBIC_Late_Fee_Relief_Windows_3B!$I$4074:$I$100,MATCH(G4074,CBIC_Late_Fee_Relief_Windows_3B!$O$4074:$O$100,0))</f>
        <v/>
      </c>
      <c r="I4074">
        <f>MIN(F4074,H4074)</f>
        <v/>
      </c>
    </row>
    <row r="4075">
      <c r="A4075">
        <f>TEST_DATA!A4075</f>
        <v/>
      </c>
      <c r="B4075">
        <f>TEST_DATA!B4075</f>
        <v/>
      </c>
      <c r="C4075">
        <f>TEST_DATA!C4075</f>
        <v/>
      </c>
      <c r="D4075">
        <f>TEST_DATA!D4075</f>
        <v/>
      </c>
      <c r="E4075">
        <f>TEST_DATA!E4075</f>
        <v/>
      </c>
      <c r="F4075">
        <f>MIN(E4075*407500,10000)</f>
        <v/>
      </c>
      <c r="G4075">
        <f>MINIFS(CBIC_Late_Fee_Relief_Windows_3B!$O$4075:$O$100,CBIC_Late_Fee_Relief_Windows_3B!$D$4075:$D$100,"&lt;="&amp;B4075,CBIC_Late_Fee_Relief_Windows_3B!$E$4075:$E$100,"&gt;="&amp;B4075,CBIC_Late_Fee_Relief_Windows_3B!$F$4075:$F$100,"&lt;="&amp;C4075,CBIC_Late_Fee_Relief_Windows_3B!$G$4075:$G$100,"&gt;="&amp;C4075)</f>
        <v/>
      </c>
      <c r="H4075">
        <f>INDEX(CBIC_Late_Fee_Relief_Windows_3B!$I$4075:$I$100,MATCH(G4075,CBIC_Late_Fee_Relief_Windows_3B!$O$4075:$O$100,0))</f>
        <v/>
      </c>
      <c r="I4075">
        <f>MIN(F4075,H4075)</f>
        <v/>
      </c>
    </row>
    <row r="4076">
      <c r="A4076">
        <f>TEST_DATA!A4076</f>
        <v/>
      </c>
      <c r="B4076">
        <f>TEST_DATA!B4076</f>
        <v/>
      </c>
      <c r="C4076">
        <f>TEST_DATA!C4076</f>
        <v/>
      </c>
      <c r="D4076">
        <f>TEST_DATA!D4076</f>
        <v/>
      </c>
      <c r="E4076">
        <f>TEST_DATA!E4076</f>
        <v/>
      </c>
      <c r="F4076">
        <f>MIN(E4076*407600,10000)</f>
        <v/>
      </c>
      <c r="G4076">
        <f>MINIFS(CBIC_Late_Fee_Relief_Windows_3B!$O$4076:$O$100,CBIC_Late_Fee_Relief_Windows_3B!$D$4076:$D$100,"&lt;="&amp;B4076,CBIC_Late_Fee_Relief_Windows_3B!$E$4076:$E$100,"&gt;="&amp;B4076,CBIC_Late_Fee_Relief_Windows_3B!$F$4076:$F$100,"&lt;="&amp;C4076,CBIC_Late_Fee_Relief_Windows_3B!$G$4076:$G$100,"&gt;="&amp;C4076)</f>
        <v/>
      </c>
      <c r="H4076">
        <f>INDEX(CBIC_Late_Fee_Relief_Windows_3B!$I$4076:$I$100,MATCH(G4076,CBIC_Late_Fee_Relief_Windows_3B!$O$4076:$O$100,0))</f>
        <v/>
      </c>
      <c r="I4076">
        <f>MIN(F4076,H4076)</f>
        <v/>
      </c>
    </row>
    <row r="4077">
      <c r="A4077">
        <f>TEST_DATA!A4077</f>
        <v/>
      </c>
      <c r="B4077">
        <f>TEST_DATA!B4077</f>
        <v/>
      </c>
      <c r="C4077">
        <f>TEST_DATA!C4077</f>
        <v/>
      </c>
      <c r="D4077">
        <f>TEST_DATA!D4077</f>
        <v/>
      </c>
      <c r="E4077">
        <f>TEST_DATA!E4077</f>
        <v/>
      </c>
      <c r="F4077">
        <f>MIN(E4077*407700,10000)</f>
        <v/>
      </c>
      <c r="G4077">
        <f>MINIFS(CBIC_Late_Fee_Relief_Windows_3B!$O$4077:$O$100,CBIC_Late_Fee_Relief_Windows_3B!$D$4077:$D$100,"&lt;="&amp;B4077,CBIC_Late_Fee_Relief_Windows_3B!$E$4077:$E$100,"&gt;="&amp;B4077,CBIC_Late_Fee_Relief_Windows_3B!$F$4077:$F$100,"&lt;="&amp;C4077,CBIC_Late_Fee_Relief_Windows_3B!$G$4077:$G$100,"&gt;="&amp;C4077)</f>
        <v/>
      </c>
      <c r="H4077">
        <f>INDEX(CBIC_Late_Fee_Relief_Windows_3B!$I$4077:$I$100,MATCH(G4077,CBIC_Late_Fee_Relief_Windows_3B!$O$4077:$O$100,0))</f>
        <v/>
      </c>
      <c r="I4077">
        <f>MIN(F4077,H4077)</f>
        <v/>
      </c>
    </row>
    <row r="4078">
      <c r="A4078">
        <f>TEST_DATA!A4078</f>
        <v/>
      </c>
      <c r="B4078">
        <f>TEST_DATA!B4078</f>
        <v/>
      </c>
      <c r="C4078">
        <f>TEST_DATA!C4078</f>
        <v/>
      </c>
      <c r="D4078">
        <f>TEST_DATA!D4078</f>
        <v/>
      </c>
      <c r="E4078">
        <f>TEST_DATA!E4078</f>
        <v/>
      </c>
      <c r="F4078">
        <f>MIN(E4078*407800,10000)</f>
        <v/>
      </c>
      <c r="G4078">
        <f>MINIFS(CBIC_Late_Fee_Relief_Windows_3B!$O$4078:$O$100,CBIC_Late_Fee_Relief_Windows_3B!$D$4078:$D$100,"&lt;="&amp;B4078,CBIC_Late_Fee_Relief_Windows_3B!$E$4078:$E$100,"&gt;="&amp;B4078,CBIC_Late_Fee_Relief_Windows_3B!$F$4078:$F$100,"&lt;="&amp;C4078,CBIC_Late_Fee_Relief_Windows_3B!$G$4078:$G$100,"&gt;="&amp;C4078)</f>
        <v/>
      </c>
      <c r="H4078">
        <f>INDEX(CBIC_Late_Fee_Relief_Windows_3B!$I$4078:$I$100,MATCH(G4078,CBIC_Late_Fee_Relief_Windows_3B!$O$4078:$O$100,0))</f>
        <v/>
      </c>
      <c r="I4078">
        <f>MIN(F4078,H4078)</f>
        <v/>
      </c>
    </row>
    <row r="4079">
      <c r="A4079">
        <f>TEST_DATA!A4079</f>
        <v/>
      </c>
      <c r="B4079">
        <f>TEST_DATA!B4079</f>
        <v/>
      </c>
      <c r="C4079">
        <f>TEST_DATA!C4079</f>
        <v/>
      </c>
      <c r="D4079">
        <f>TEST_DATA!D4079</f>
        <v/>
      </c>
      <c r="E4079">
        <f>TEST_DATA!E4079</f>
        <v/>
      </c>
      <c r="F4079">
        <f>MIN(E4079*407900,10000)</f>
        <v/>
      </c>
      <c r="G4079">
        <f>MINIFS(CBIC_Late_Fee_Relief_Windows_3B!$O$4079:$O$100,CBIC_Late_Fee_Relief_Windows_3B!$D$4079:$D$100,"&lt;="&amp;B4079,CBIC_Late_Fee_Relief_Windows_3B!$E$4079:$E$100,"&gt;="&amp;B4079,CBIC_Late_Fee_Relief_Windows_3B!$F$4079:$F$100,"&lt;="&amp;C4079,CBIC_Late_Fee_Relief_Windows_3B!$G$4079:$G$100,"&gt;="&amp;C4079)</f>
        <v/>
      </c>
      <c r="H4079">
        <f>INDEX(CBIC_Late_Fee_Relief_Windows_3B!$I$4079:$I$100,MATCH(G4079,CBIC_Late_Fee_Relief_Windows_3B!$O$4079:$O$100,0))</f>
        <v/>
      </c>
      <c r="I4079">
        <f>MIN(F4079,H4079)</f>
        <v/>
      </c>
    </row>
    <row r="4080">
      <c r="A4080">
        <f>TEST_DATA!A4080</f>
        <v/>
      </c>
      <c r="B4080">
        <f>TEST_DATA!B4080</f>
        <v/>
      </c>
      <c r="C4080">
        <f>TEST_DATA!C4080</f>
        <v/>
      </c>
      <c r="D4080">
        <f>TEST_DATA!D4080</f>
        <v/>
      </c>
      <c r="E4080">
        <f>TEST_DATA!E4080</f>
        <v/>
      </c>
      <c r="F4080">
        <f>MIN(E4080*408000,10000)</f>
        <v/>
      </c>
      <c r="G4080">
        <f>MINIFS(CBIC_Late_Fee_Relief_Windows_3B!$O$4080:$O$100,CBIC_Late_Fee_Relief_Windows_3B!$D$4080:$D$100,"&lt;="&amp;B4080,CBIC_Late_Fee_Relief_Windows_3B!$E$4080:$E$100,"&gt;="&amp;B4080,CBIC_Late_Fee_Relief_Windows_3B!$F$4080:$F$100,"&lt;="&amp;C4080,CBIC_Late_Fee_Relief_Windows_3B!$G$4080:$G$100,"&gt;="&amp;C4080)</f>
        <v/>
      </c>
      <c r="H4080">
        <f>INDEX(CBIC_Late_Fee_Relief_Windows_3B!$I$4080:$I$100,MATCH(G4080,CBIC_Late_Fee_Relief_Windows_3B!$O$4080:$O$100,0))</f>
        <v/>
      </c>
      <c r="I4080">
        <f>MIN(F4080,H4080)</f>
        <v/>
      </c>
    </row>
    <row r="4081">
      <c r="A4081">
        <f>TEST_DATA!A4081</f>
        <v/>
      </c>
      <c r="B4081">
        <f>TEST_DATA!B4081</f>
        <v/>
      </c>
      <c r="C4081">
        <f>TEST_DATA!C4081</f>
        <v/>
      </c>
      <c r="D4081">
        <f>TEST_DATA!D4081</f>
        <v/>
      </c>
      <c r="E4081">
        <f>TEST_DATA!E4081</f>
        <v/>
      </c>
      <c r="F4081">
        <f>MIN(E4081*408100,10000)</f>
        <v/>
      </c>
      <c r="G4081">
        <f>MINIFS(CBIC_Late_Fee_Relief_Windows_3B!$O$4081:$O$100,CBIC_Late_Fee_Relief_Windows_3B!$D$4081:$D$100,"&lt;="&amp;B4081,CBIC_Late_Fee_Relief_Windows_3B!$E$4081:$E$100,"&gt;="&amp;B4081,CBIC_Late_Fee_Relief_Windows_3B!$F$4081:$F$100,"&lt;="&amp;C4081,CBIC_Late_Fee_Relief_Windows_3B!$G$4081:$G$100,"&gt;="&amp;C4081)</f>
        <v/>
      </c>
      <c r="H4081">
        <f>INDEX(CBIC_Late_Fee_Relief_Windows_3B!$I$4081:$I$100,MATCH(G4081,CBIC_Late_Fee_Relief_Windows_3B!$O$4081:$O$100,0))</f>
        <v/>
      </c>
      <c r="I4081">
        <f>MIN(F4081,H4081)</f>
        <v/>
      </c>
    </row>
    <row r="4082">
      <c r="A4082">
        <f>TEST_DATA!A4082</f>
        <v/>
      </c>
      <c r="B4082">
        <f>TEST_DATA!B4082</f>
        <v/>
      </c>
      <c r="C4082">
        <f>TEST_DATA!C4082</f>
        <v/>
      </c>
      <c r="D4082">
        <f>TEST_DATA!D4082</f>
        <v/>
      </c>
      <c r="E4082">
        <f>TEST_DATA!E4082</f>
        <v/>
      </c>
      <c r="F4082">
        <f>MIN(E4082*408200,10000)</f>
        <v/>
      </c>
      <c r="G4082">
        <f>MINIFS(CBIC_Late_Fee_Relief_Windows_3B!$O$4082:$O$100,CBIC_Late_Fee_Relief_Windows_3B!$D$4082:$D$100,"&lt;="&amp;B4082,CBIC_Late_Fee_Relief_Windows_3B!$E$4082:$E$100,"&gt;="&amp;B4082,CBIC_Late_Fee_Relief_Windows_3B!$F$4082:$F$100,"&lt;="&amp;C4082,CBIC_Late_Fee_Relief_Windows_3B!$G$4082:$G$100,"&gt;="&amp;C4082)</f>
        <v/>
      </c>
      <c r="H4082">
        <f>INDEX(CBIC_Late_Fee_Relief_Windows_3B!$I$4082:$I$100,MATCH(G4082,CBIC_Late_Fee_Relief_Windows_3B!$O$4082:$O$100,0))</f>
        <v/>
      </c>
      <c r="I4082">
        <f>MIN(F4082,H4082)</f>
        <v/>
      </c>
    </row>
    <row r="4083">
      <c r="A4083">
        <f>TEST_DATA!A4083</f>
        <v/>
      </c>
      <c r="B4083">
        <f>TEST_DATA!B4083</f>
        <v/>
      </c>
      <c r="C4083">
        <f>TEST_DATA!C4083</f>
        <v/>
      </c>
      <c r="D4083">
        <f>TEST_DATA!D4083</f>
        <v/>
      </c>
      <c r="E4083">
        <f>TEST_DATA!E4083</f>
        <v/>
      </c>
      <c r="F4083">
        <f>MIN(E4083*408300,10000)</f>
        <v/>
      </c>
      <c r="G4083">
        <f>MINIFS(CBIC_Late_Fee_Relief_Windows_3B!$O$4083:$O$100,CBIC_Late_Fee_Relief_Windows_3B!$D$4083:$D$100,"&lt;="&amp;B4083,CBIC_Late_Fee_Relief_Windows_3B!$E$4083:$E$100,"&gt;="&amp;B4083,CBIC_Late_Fee_Relief_Windows_3B!$F$4083:$F$100,"&lt;="&amp;C4083,CBIC_Late_Fee_Relief_Windows_3B!$G$4083:$G$100,"&gt;="&amp;C4083)</f>
        <v/>
      </c>
      <c r="H4083">
        <f>INDEX(CBIC_Late_Fee_Relief_Windows_3B!$I$4083:$I$100,MATCH(G4083,CBIC_Late_Fee_Relief_Windows_3B!$O$4083:$O$100,0))</f>
        <v/>
      </c>
      <c r="I4083">
        <f>MIN(F4083,H4083)</f>
        <v/>
      </c>
    </row>
    <row r="4084">
      <c r="A4084">
        <f>TEST_DATA!A4084</f>
        <v/>
      </c>
      <c r="B4084">
        <f>TEST_DATA!B4084</f>
        <v/>
      </c>
      <c r="C4084">
        <f>TEST_DATA!C4084</f>
        <v/>
      </c>
      <c r="D4084">
        <f>TEST_DATA!D4084</f>
        <v/>
      </c>
      <c r="E4084">
        <f>TEST_DATA!E4084</f>
        <v/>
      </c>
      <c r="F4084">
        <f>MIN(E4084*408400,10000)</f>
        <v/>
      </c>
      <c r="G4084">
        <f>MINIFS(CBIC_Late_Fee_Relief_Windows_3B!$O$4084:$O$100,CBIC_Late_Fee_Relief_Windows_3B!$D$4084:$D$100,"&lt;="&amp;B4084,CBIC_Late_Fee_Relief_Windows_3B!$E$4084:$E$100,"&gt;="&amp;B4084,CBIC_Late_Fee_Relief_Windows_3B!$F$4084:$F$100,"&lt;="&amp;C4084,CBIC_Late_Fee_Relief_Windows_3B!$G$4084:$G$100,"&gt;="&amp;C4084)</f>
        <v/>
      </c>
      <c r="H4084">
        <f>INDEX(CBIC_Late_Fee_Relief_Windows_3B!$I$4084:$I$100,MATCH(G4084,CBIC_Late_Fee_Relief_Windows_3B!$O$4084:$O$100,0))</f>
        <v/>
      </c>
      <c r="I4084">
        <f>MIN(F4084,H4084)</f>
        <v/>
      </c>
    </row>
    <row r="4085">
      <c r="A4085">
        <f>TEST_DATA!A4085</f>
        <v/>
      </c>
      <c r="B4085">
        <f>TEST_DATA!B4085</f>
        <v/>
      </c>
      <c r="C4085">
        <f>TEST_DATA!C4085</f>
        <v/>
      </c>
      <c r="D4085">
        <f>TEST_DATA!D4085</f>
        <v/>
      </c>
      <c r="E4085">
        <f>TEST_DATA!E4085</f>
        <v/>
      </c>
      <c r="F4085">
        <f>MIN(E4085*408500,10000)</f>
        <v/>
      </c>
      <c r="G4085">
        <f>MINIFS(CBIC_Late_Fee_Relief_Windows_3B!$O$4085:$O$100,CBIC_Late_Fee_Relief_Windows_3B!$D$4085:$D$100,"&lt;="&amp;B4085,CBIC_Late_Fee_Relief_Windows_3B!$E$4085:$E$100,"&gt;="&amp;B4085,CBIC_Late_Fee_Relief_Windows_3B!$F$4085:$F$100,"&lt;="&amp;C4085,CBIC_Late_Fee_Relief_Windows_3B!$G$4085:$G$100,"&gt;="&amp;C4085)</f>
        <v/>
      </c>
      <c r="H4085">
        <f>INDEX(CBIC_Late_Fee_Relief_Windows_3B!$I$4085:$I$100,MATCH(G4085,CBIC_Late_Fee_Relief_Windows_3B!$O$4085:$O$100,0))</f>
        <v/>
      </c>
      <c r="I4085">
        <f>MIN(F4085,H4085)</f>
        <v/>
      </c>
    </row>
    <row r="4086">
      <c r="A4086">
        <f>TEST_DATA!A4086</f>
        <v/>
      </c>
      <c r="B4086">
        <f>TEST_DATA!B4086</f>
        <v/>
      </c>
      <c r="C4086">
        <f>TEST_DATA!C4086</f>
        <v/>
      </c>
      <c r="D4086">
        <f>TEST_DATA!D4086</f>
        <v/>
      </c>
      <c r="E4086">
        <f>TEST_DATA!E4086</f>
        <v/>
      </c>
      <c r="F4086">
        <f>MIN(E4086*408600,10000)</f>
        <v/>
      </c>
      <c r="G4086">
        <f>MINIFS(CBIC_Late_Fee_Relief_Windows_3B!$O$4086:$O$100,CBIC_Late_Fee_Relief_Windows_3B!$D$4086:$D$100,"&lt;="&amp;B4086,CBIC_Late_Fee_Relief_Windows_3B!$E$4086:$E$100,"&gt;="&amp;B4086,CBIC_Late_Fee_Relief_Windows_3B!$F$4086:$F$100,"&lt;="&amp;C4086,CBIC_Late_Fee_Relief_Windows_3B!$G$4086:$G$100,"&gt;="&amp;C4086)</f>
        <v/>
      </c>
      <c r="H4086">
        <f>INDEX(CBIC_Late_Fee_Relief_Windows_3B!$I$4086:$I$100,MATCH(G4086,CBIC_Late_Fee_Relief_Windows_3B!$O$4086:$O$100,0))</f>
        <v/>
      </c>
      <c r="I4086">
        <f>MIN(F4086,H4086)</f>
        <v/>
      </c>
    </row>
    <row r="4087">
      <c r="A4087">
        <f>TEST_DATA!A4087</f>
        <v/>
      </c>
      <c r="B4087">
        <f>TEST_DATA!B4087</f>
        <v/>
      </c>
      <c r="C4087">
        <f>TEST_DATA!C4087</f>
        <v/>
      </c>
      <c r="D4087">
        <f>TEST_DATA!D4087</f>
        <v/>
      </c>
      <c r="E4087">
        <f>TEST_DATA!E4087</f>
        <v/>
      </c>
      <c r="F4087">
        <f>MIN(E4087*408700,10000)</f>
        <v/>
      </c>
      <c r="G4087">
        <f>MINIFS(CBIC_Late_Fee_Relief_Windows_3B!$O$4087:$O$100,CBIC_Late_Fee_Relief_Windows_3B!$D$4087:$D$100,"&lt;="&amp;B4087,CBIC_Late_Fee_Relief_Windows_3B!$E$4087:$E$100,"&gt;="&amp;B4087,CBIC_Late_Fee_Relief_Windows_3B!$F$4087:$F$100,"&lt;="&amp;C4087,CBIC_Late_Fee_Relief_Windows_3B!$G$4087:$G$100,"&gt;="&amp;C4087)</f>
        <v/>
      </c>
      <c r="H4087">
        <f>INDEX(CBIC_Late_Fee_Relief_Windows_3B!$I$4087:$I$100,MATCH(G4087,CBIC_Late_Fee_Relief_Windows_3B!$O$4087:$O$100,0))</f>
        <v/>
      </c>
      <c r="I4087">
        <f>MIN(F4087,H4087)</f>
        <v/>
      </c>
    </row>
    <row r="4088">
      <c r="A4088">
        <f>TEST_DATA!A4088</f>
        <v/>
      </c>
      <c r="B4088">
        <f>TEST_DATA!B4088</f>
        <v/>
      </c>
      <c r="C4088">
        <f>TEST_DATA!C4088</f>
        <v/>
      </c>
      <c r="D4088">
        <f>TEST_DATA!D4088</f>
        <v/>
      </c>
      <c r="E4088">
        <f>TEST_DATA!E4088</f>
        <v/>
      </c>
      <c r="F4088">
        <f>MIN(E4088*408800,10000)</f>
        <v/>
      </c>
      <c r="G4088">
        <f>MINIFS(CBIC_Late_Fee_Relief_Windows_3B!$O$4088:$O$100,CBIC_Late_Fee_Relief_Windows_3B!$D$4088:$D$100,"&lt;="&amp;B4088,CBIC_Late_Fee_Relief_Windows_3B!$E$4088:$E$100,"&gt;="&amp;B4088,CBIC_Late_Fee_Relief_Windows_3B!$F$4088:$F$100,"&lt;="&amp;C4088,CBIC_Late_Fee_Relief_Windows_3B!$G$4088:$G$100,"&gt;="&amp;C4088)</f>
        <v/>
      </c>
      <c r="H4088">
        <f>INDEX(CBIC_Late_Fee_Relief_Windows_3B!$I$4088:$I$100,MATCH(G4088,CBIC_Late_Fee_Relief_Windows_3B!$O$4088:$O$100,0))</f>
        <v/>
      </c>
      <c r="I4088">
        <f>MIN(F4088,H4088)</f>
        <v/>
      </c>
    </row>
    <row r="4089">
      <c r="A4089">
        <f>TEST_DATA!A4089</f>
        <v/>
      </c>
      <c r="B4089">
        <f>TEST_DATA!B4089</f>
        <v/>
      </c>
      <c r="C4089">
        <f>TEST_DATA!C4089</f>
        <v/>
      </c>
      <c r="D4089">
        <f>TEST_DATA!D4089</f>
        <v/>
      </c>
      <c r="E4089">
        <f>TEST_DATA!E4089</f>
        <v/>
      </c>
      <c r="F4089">
        <f>MIN(E4089*408900,10000)</f>
        <v/>
      </c>
      <c r="G4089">
        <f>MINIFS(CBIC_Late_Fee_Relief_Windows_3B!$O$4089:$O$100,CBIC_Late_Fee_Relief_Windows_3B!$D$4089:$D$100,"&lt;="&amp;B4089,CBIC_Late_Fee_Relief_Windows_3B!$E$4089:$E$100,"&gt;="&amp;B4089,CBIC_Late_Fee_Relief_Windows_3B!$F$4089:$F$100,"&lt;="&amp;C4089,CBIC_Late_Fee_Relief_Windows_3B!$G$4089:$G$100,"&gt;="&amp;C4089)</f>
        <v/>
      </c>
      <c r="H4089">
        <f>INDEX(CBIC_Late_Fee_Relief_Windows_3B!$I$4089:$I$100,MATCH(G4089,CBIC_Late_Fee_Relief_Windows_3B!$O$4089:$O$100,0))</f>
        <v/>
      </c>
      <c r="I4089">
        <f>MIN(F4089,H4089)</f>
        <v/>
      </c>
    </row>
    <row r="4090">
      <c r="A4090">
        <f>TEST_DATA!A4090</f>
        <v/>
      </c>
      <c r="B4090">
        <f>TEST_DATA!B4090</f>
        <v/>
      </c>
      <c r="C4090">
        <f>TEST_DATA!C4090</f>
        <v/>
      </c>
      <c r="D4090">
        <f>TEST_DATA!D4090</f>
        <v/>
      </c>
      <c r="E4090">
        <f>TEST_DATA!E4090</f>
        <v/>
      </c>
      <c r="F4090">
        <f>MIN(E4090*409000,10000)</f>
        <v/>
      </c>
      <c r="G4090">
        <f>MINIFS(CBIC_Late_Fee_Relief_Windows_3B!$O$4090:$O$100,CBIC_Late_Fee_Relief_Windows_3B!$D$4090:$D$100,"&lt;="&amp;B4090,CBIC_Late_Fee_Relief_Windows_3B!$E$4090:$E$100,"&gt;="&amp;B4090,CBIC_Late_Fee_Relief_Windows_3B!$F$4090:$F$100,"&lt;="&amp;C4090,CBIC_Late_Fee_Relief_Windows_3B!$G$4090:$G$100,"&gt;="&amp;C4090)</f>
        <v/>
      </c>
      <c r="H4090">
        <f>INDEX(CBIC_Late_Fee_Relief_Windows_3B!$I$4090:$I$100,MATCH(G4090,CBIC_Late_Fee_Relief_Windows_3B!$O$4090:$O$100,0))</f>
        <v/>
      </c>
      <c r="I4090">
        <f>MIN(F4090,H4090)</f>
        <v/>
      </c>
    </row>
    <row r="4091">
      <c r="A4091">
        <f>TEST_DATA!A4091</f>
        <v/>
      </c>
      <c r="B4091">
        <f>TEST_DATA!B4091</f>
        <v/>
      </c>
      <c r="C4091">
        <f>TEST_DATA!C4091</f>
        <v/>
      </c>
      <c r="D4091">
        <f>TEST_DATA!D4091</f>
        <v/>
      </c>
      <c r="E4091">
        <f>TEST_DATA!E4091</f>
        <v/>
      </c>
      <c r="F4091">
        <f>MIN(E4091*409100,10000)</f>
        <v/>
      </c>
      <c r="G4091">
        <f>MINIFS(CBIC_Late_Fee_Relief_Windows_3B!$O$4091:$O$100,CBIC_Late_Fee_Relief_Windows_3B!$D$4091:$D$100,"&lt;="&amp;B4091,CBIC_Late_Fee_Relief_Windows_3B!$E$4091:$E$100,"&gt;="&amp;B4091,CBIC_Late_Fee_Relief_Windows_3B!$F$4091:$F$100,"&lt;="&amp;C4091,CBIC_Late_Fee_Relief_Windows_3B!$G$4091:$G$100,"&gt;="&amp;C4091)</f>
        <v/>
      </c>
      <c r="H4091">
        <f>INDEX(CBIC_Late_Fee_Relief_Windows_3B!$I$4091:$I$100,MATCH(G4091,CBIC_Late_Fee_Relief_Windows_3B!$O$4091:$O$100,0))</f>
        <v/>
      </c>
      <c r="I4091">
        <f>MIN(F4091,H4091)</f>
        <v/>
      </c>
    </row>
    <row r="4092">
      <c r="A4092">
        <f>TEST_DATA!A4092</f>
        <v/>
      </c>
      <c r="B4092">
        <f>TEST_DATA!B4092</f>
        <v/>
      </c>
      <c r="C4092">
        <f>TEST_DATA!C4092</f>
        <v/>
      </c>
      <c r="D4092">
        <f>TEST_DATA!D4092</f>
        <v/>
      </c>
      <c r="E4092">
        <f>TEST_DATA!E4092</f>
        <v/>
      </c>
      <c r="F4092">
        <f>MIN(E4092*409200,10000)</f>
        <v/>
      </c>
      <c r="G4092">
        <f>MINIFS(CBIC_Late_Fee_Relief_Windows_3B!$O$4092:$O$100,CBIC_Late_Fee_Relief_Windows_3B!$D$4092:$D$100,"&lt;="&amp;B4092,CBIC_Late_Fee_Relief_Windows_3B!$E$4092:$E$100,"&gt;="&amp;B4092,CBIC_Late_Fee_Relief_Windows_3B!$F$4092:$F$100,"&lt;="&amp;C4092,CBIC_Late_Fee_Relief_Windows_3B!$G$4092:$G$100,"&gt;="&amp;C4092)</f>
        <v/>
      </c>
      <c r="H4092">
        <f>INDEX(CBIC_Late_Fee_Relief_Windows_3B!$I$4092:$I$100,MATCH(G4092,CBIC_Late_Fee_Relief_Windows_3B!$O$4092:$O$100,0))</f>
        <v/>
      </c>
      <c r="I4092">
        <f>MIN(F4092,H4092)</f>
        <v/>
      </c>
    </row>
    <row r="4093">
      <c r="A4093">
        <f>TEST_DATA!A4093</f>
        <v/>
      </c>
      <c r="B4093">
        <f>TEST_DATA!B4093</f>
        <v/>
      </c>
      <c r="C4093">
        <f>TEST_DATA!C4093</f>
        <v/>
      </c>
      <c r="D4093">
        <f>TEST_DATA!D4093</f>
        <v/>
      </c>
      <c r="E4093">
        <f>TEST_DATA!E4093</f>
        <v/>
      </c>
      <c r="F4093">
        <f>MIN(E4093*409300,10000)</f>
        <v/>
      </c>
      <c r="G4093">
        <f>MINIFS(CBIC_Late_Fee_Relief_Windows_3B!$O$4093:$O$100,CBIC_Late_Fee_Relief_Windows_3B!$D$4093:$D$100,"&lt;="&amp;B4093,CBIC_Late_Fee_Relief_Windows_3B!$E$4093:$E$100,"&gt;="&amp;B4093,CBIC_Late_Fee_Relief_Windows_3B!$F$4093:$F$100,"&lt;="&amp;C4093,CBIC_Late_Fee_Relief_Windows_3B!$G$4093:$G$100,"&gt;="&amp;C4093)</f>
        <v/>
      </c>
      <c r="H4093">
        <f>INDEX(CBIC_Late_Fee_Relief_Windows_3B!$I$4093:$I$100,MATCH(G4093,CBIC_Late_Fee_Relief_Windows_3B!$O$4093:$O$100,0))</f>
        <v/>
      </c>
      <c r="I4093">
        <f>MIN(F4093,H4093)</f>
        <v/>
      </c>
    </row>
    <row r="4094">
      <c r="A4094">
        <f>TEST_DATA!A4094</f>
        <v/>
      </c>
      <c r="B4094">
        <f>TEST_DATA!B4094</f>
        <v/>
      </c>
      <c r="C4094">
        <f>TEST_DATA!C4094</f>
        <v/>
      </c>
      <c r="D4094">
        <f>TEST_DATA!D4094</f>
        <v/>
      </c>
      <c r="E4094">
        <f>TEST_DATA!E4094</f>
        <v/>
      </c>
      <c r="F4094">
        <f>MIN(E4094*409400,10000)</f>
        <v/>
      </c>
      <c r="G4094">
        <f>MINIFS(CBIC_Late_Fee_Relief_Windows_3B!$O$4094:$O$100,CBIC_Late_Fee_Relief_Windows_3B!$D$4094:$D$100,"&lt;="&amp;B4094,CBIC_Late_Fee_Relief_Windows_3B!$E$4094:$E$100,"&gt;="&amp;B4094,CBIC_Late_Fee_Relief_Windows_3B!$F$4094:$F$100,"&lt;="&amp;C4094,CBIC_Late_Fee_Relief_Windows_3B!$G$4094:$G$100,"&gt;="&amp;C4094)</f>
        <v/>
      </c>
      <c r="H4094">
        <f>INDEX(CBIC_Late_Fee_Relief_Windows_3B!$I$4094:$I$100,MATCH(G4094,CBIC_Late_Fee_Relief_Windows_3B!$O$4094:$O$100,0))</f>
        <v/>
      </c>
      <c r="I4094">
        <f>MIN(F4094,H4094)</f>
        <v/>
      </c>
    </row>
    <row r="4095">
      <c r="A4095">
        <f>TEST_DATA!A4095</f>
        <v/>
      </c>
      <c r="B4095">
        <f>TEST_DATA!B4095</f>
        <v/>
      </c>
      <c r="C4095">
        <f>TEST_DATA!C4095</f>
        <v/>
      </c>
      <c r="D4095">
        <f>TEST_DATA!D4095</f>
        <v/>
      </c>
      <c r="E4095">
        <f>TEST_DATA!E4095</f>
        <v/>
      </c>
      <c r="F4095">
        <f>MIN(E4095*409500,10000)</f>
        <v/>
      </c>
      <c r="G4095">
        <f>MINIFS(CBIC_Late_Fee_Relief_Windows_3B!$O$4095:$O$100,CBIC_Late_Fee_Relief_Windows_3B!$D$4095:$D$100,"&lt;="&amp;B4095,CBIC_Late_Fee_Relief_Windows_3B!$E$4095:$E$100,"&gt;="&amp;B4095,CBIC_Late_Fee_Relief_Windows_3B!$F$4095:$F$100,"&lt;="&amp;C4095,CBIC_Late_Fee_Relief_Windows_3B!$G$4095:$G$100,"&gt;="&amp;C4095)</f>
        <v/>
      </c>
      <c r="H4095">
        <f>INDEX(CBIC_Late_Fee_Relief_Windows_3B!$I$4095:$I$100,MATCH(G4095,CBIC_Late_Fee_Relief_Windows_3B!$O$4095:$O$100,0))</f>
        <v/>
      </c>
      <c r="I4095">
        <f>MIN(F4095,H4095)</f>
        <v/>
      </c>
    </row>
    <row r="4096">
      <c r="A4096">
        <f>TEST_DATA!A4096</f>
        <v/>
      </c>
      <c r="B4096">
        <f>TEST_DATA!B4096</f>
        <v/>
      </c>
      <c r="C4096">
        <f>TEST_DATA!C4096</f>
        <v/>
      </c>
      <c r="D4096">
        <f>TEST_DATA!D4096</f>
        <v/>
      </c>
      <c r="E4096">
        <f>TEST_DATA!E4096</f>
        <v/>
      </c>
      <c r="F4096">
        <f>MIN(E4096*409600,10000)</f>
        <v/>
      </c>
      <c r="G4096">
        <f>MINIFS(CBIC_Late_Fee_Relief_Windows_3B!$O$4096:$O$100,CBIC_Late_Fee_Relief_Windows_3B!$D$4096:$D$100,"&lt;="&amp;B4096,CBIC_Late_Fee_Relief_Windows_3B!$E$4096:$E$100,"&gt;="&amp;B4096,CBIC_Late_Fee_Relief_Windows_3B!$F$4096:$F$100,"&lt;="&amp;C4096,CBIC_Late_Fee_Relief_Windows_3B!$G$4096:$G$100,"&gt;="&amp;C4096)</f>
        <v/>
      </c>
      <c r="H4096">
        <f>INDEX(CBIC_Late_Fee_Relief_Windows_3B!$I$4096:$I$100,MATCH(G4096,CBIC_Late_Fee_Relief_Windows_3B!$O$4096:$O$100,0))</f>
        <v/>
      </c>
      <c r="I4096">
        <f>MIN(F4096,H4096)</f>
        <v/>
      </c>
    </row>
    <row r="4097">
      <c r="A4097">
        <f>TEST_DATA!A4097</f>
        <v/>
      </c>
      <c r="B4097">
        <f>TEST_DATA!B4097</f>
        <v/>
      </c>
      <c r="C4097">
        <f>TEST_DATA!C4097</f>
        <v/>
      </c>
      <c r="D4097">
        <f>TEST_DATA!D4097</f>
        <v/>
      </c>
      <c r="E4097">
        <f>TEST_DATA!E4097</f>
        <v/>
      </c>
      <c r="F4097">
        <f>MIN(E4097*409700,10000)</f>
        <v/>
      </c>
      <c r="G4097">
        <f>MINIFS(CBIC_Late_Fee_Relief_Windows_3B!$O$4097:$O$100,CBIC_Late_Fee_Relief_Windows_3B!$D$4097:$D$100,"&lt;="&amp;B4097,CBIC_Late_Fee_Relief_Windows_3B!$E$4097:$E$100,"&gt;="&amp;B4097,CBIC_Late_Fee_Relief_Windows_3B!$F$4097:$F$100,"&lt;="&amp;C4097,CBIC_Late_Fee_Relief_Windows_3B!$G$4097:$G$100,"&gt;="&amp;C4097)</f>
        <v/>
      </c>
      <c r="H4097">
        <f>INDEX(CBIC_Late_Fee_Relief_Windows_3B!$I$4097:$I$100,MATCH(G4097,CBIC_Late_Fee_Relief_Windows_3B!$O$4097:$O$100,0))</f>
        <v/>
      </c>
      <c r="I4097">
        <f>MIN(F4097,H4097)</f>
        <v/>
      </c>
    </row>
    <row r="4098">
      <c r="A4098">
        <f>TEST_DATA!A4098</f>
        <v/>
      </c>
      <c r="B4098">
        <f>TEST_DATA!B4098</f>
        <v/>
      </c>
      <c r="C4098">
        <f>TEST_DATA!C4098</f>
        <v/>
      </c>
      <c r="D4098">
        <f>TEST_DATA!D4098</f>
        <v/>
      </c>
      <c r="E4098">
        <f>TEST_DATA!E4098</f>
        <v/>
      </c>
      <c r="F4098">
        <f>MIN(E4098*409800,10000)</f>
        <v/>
      </c>
      <c r="G4098">
        <f>MINIFS(CBIC_Late_Fee_Relief_Windows_3B!$O$4098:$O$100,CBIC_Late_Fee_Relief_Windows_3B!$D$4098:$D$100,"&lt;="&amp;B4098,CBIC_Late_Fee_Relief_Windows_3B!$E$4098:$E$100,"&gt;="&amp;B4098,CBIC_Late_Fee_Relief_Windows_3B!$F$4098:$F$100,"&lt;="&amp;C4098,CBIC_Late_Fee_Relief_Windows_3B!$G$4098:$G$100,"&gt;="&amp;C4098)</f>
        <v/>
      </c>
      <c r="H4098">
        <f>INDEX(CBIC_Late_Fee_Relief_Windows_3B!$I$4098:$I$100,MATCH(G4098,CBIC_Late_Fee_Relief_Windows_3B!$O$4098:$O$100,0))</f>
        <v/>
      </c>
      <c r="I4098">
        <f>MIN(F4098,H4098)</f>
        <v/>
      </c>
    </row>
    <row r="4099">
      <c r="A4099">
        <f>TEST_DATA!A4099</f>
        <v/>
      </c>
      <c r="B4099">
        <f>TEST_DATA!B4099</f>
        <v/>
      </c>
      <c r="C4099">
        <f>TEST_DATA!C4099</f>
        <v/>
      </c>
      <c r="D4099">
        <f>TEST_DATA!D4099</f>
        <v/>
      </c>
      <c r="E4099">
        <f>TEST_DATA!E4099</f>
        <v/>
      </c>
      <c r="F4099">
        <f>MIN(E4099*409900,10000)</f>
        <v/>
      </c>
      <c r="G4099">
        <f>MINIFS(CBIC_Late_Fee_Relief_Windows_3B!$O$4099:$O$100,CBIC_Late_Fee_Relief_Windows_3B!$D$4099:$D$100,"&lt;="&amp;B4099,CBIC_Late_Fee_Relief_Windows_3B!$E$4099:$E$100,"&gt;="&amp;B4099,CBIC_Late_Fee_Relief_Windows_3B!$F$4099:$F$100,"&lt;="&amp;C4099,CBIC_Late_Fee_Relief_Windows_3B!$G$4099:$G$100,"&gt;="&amp;C4099)</f>
        <v/>
      </c>
      <c r="H4099">
        <f>INDEX(CBIC_Late_Fee_Relief_Windows_3B!$I$4099:$I$100,MATCH(G4099,CBIC_Late_Fee_Relief_Windows_3B!$O$4099:$O$100,0))</f>
        <v/>
      </c>
      <c r="I4099">
        <f>MIN(F4099,H4099)</f>
        <v/>
      </c>
    </row>
    <row r="4100">
      <c r="A4100">
        <f>TEST_DATA!A4100</f>
        <v/>
      </c>
      <c r="B4100">
        <f>TEST_DATA!B4100</f>
        <v/>
      </c>
      <c r="C4100">
        <f>TEST_DATA!C4100</f>
        <v/>
      </c>
      <c r="D4100">
        <f>TEST_DATA!D4100</f>
        <v/>
      </c>
      <c r="E4100">
        <f>TEST_DATA!E4100</f>
        <v/>
      </c>
      <c r="F4100">
        <f>MIN(E4100*410000,10000)</f>
        <v/>
      </c>
      <c r="G4100">
        <f>MINIFS(CBIC_Late_Fee_Relief_Windows_3B!$O$4100:$O$100,CBIC_Late_Fee_Relief_Windows_3B!$D$4100:$D$100,"&lt;="&amp;B4100,CBIC_Late_Fee_Relief_Windows_3B!$E$4100:$E$100,"&gt;="&amp;B4100,CBIC_Late_Fee_Relief_Windows_3B!$F$4100:$F$100,"&lt;="&amp;C4100,CBIC_Late_Fee_Relief_Windows_3B!$G$4100:$G$100,"&gt;="&amp;C4100)</f>
        <v/>
      </c>
      <c r="H4100">
        <f>INDEX(CBIC_Late_Fee_Relief_Windows_3B!$I$4100:$I$100,MATCH(G4100,CBIC_Late_Fee_Relief_Windows_3B!$O$4100:$O$100,0))</f>
        <v/>
      </c>
      <c r="I4100">
        <f>MIN(F4100,H4100)</f>
        <v/>
      </c>
    </row>
    <row r="4101">
      <c r="A4101">
        <f>TEST_DATA!A4101</f>
        <v/>
      </c>
      <c r="B4101">
        <f>TEST_DATA!B4101</f>
        <v/>
      </c>
      <c r="C4101">
        <f>TEST_DATA!C4101</f>
        <v/>
      </c>
      <c r="D4101">
        <f>TEST_DATA!D4101</f>
        <v/>
      </c>
      <c r="E4101">
        <f>TEST_DATA!E4101</f>
        <v/>
      </c>
      <c r="F4101">
        <f>MIN(E4101*410100,10000)</f>
        <v/>
      </c>
      <c r="G4101">
        <f>MINIFS(CBIC_Late_Fee_Relief_Windows_3B!$O$4101:$O$100,CBIC_Late_Fee_Relief_Windows_3B!$D$4101:$D$100,"&lt;="&amp;B4101,CBIC_Late_Fee_Relief_Windows_3B!$E$4101:$E$100,"&gt;="&amp;B4101,CBIC_Late_Fee_Relief_Windows_3B!$F$4101:$F$100,"&lt;="&amp;C4101,CBIC_Late_Fee_Relief_Windows_3B!$G$4101:$G$100,"&gt;="&amp;C4101)</f>
        <v/>
      </c>
      <c r="H4101">
        <f>INDEX(CBIC_Late_Fee_Relief_Windows_3B!$I$4101:$I$100,MATCH(G4101,CBIC_Late_Fee_Relief_Windows_3B!$O$4101:$O$100,0))</f>
        <v/>
      </c>
      <c r="I4101">
        <f>MIN(F4101,H4101)</f>
        <v/>
      </c>
    </row>
    <row r="4102">
      <c r="A4102">
        <f>TEST_DATA!A4102</f>
        <v/>
      </c>
      <c r="B4102">
        <f>TEST_DATA!B4102</f>
        <v/>
      </c>
      <c r="C4102">
        <f>TEST_DATA!C4102</f>
        <v/>
      </c>
      <c r="D4102">
        <f>TEST_DATA!D4102</f>
        <v/>
      </c>
      <c r="E4102">
        <f>TEST_DATA!E4102</f>
        <v/>
      </c>
      <c r="F4102">
        <f>MIN(E4102*410200,10000)</f>
        <v/>
      </c>
      <c r="G4102">
        <f>MINIFS(CBIC_Late_Fee_Relief_Windows_3B!$O$4102:$O$100,CBIC_Late_Fee_Relief_Windows_3B!$D$4102:$D$100,"&lt;="&amp;B4102,CBIC_Late_Fee_Relief_Windows_3B!$E$4102:$E$100,"&gt;="&amp;B4102,CBIC_Late_Fee_Relief_Windows_3B!$F$4102:$F$100,"&lt;="&amp;C4102,CBIC_Late_Fee_Relief_Windows_3B!$G$4102:$G$100,"&gt;="&amp;C4102)</f>
        <v/>
      </c>
      <c r="H4102">
        <f>INDEX(CBIC_Late_Fee_Relief_Windows_3B!$I$4102:$I$100,MATCH(G4102,CBIC_Late_Fee_Relief_Windows_3B!$O$4102:$O$100,0))</f>
        <v/>
      </c>
      <c r="I4102">
        <f>MIN(F4102,H4102)</f>
        <v/>
      </c>
    </row>
    <row r="4103">
      <c r="A4103">
        <f>TEST_DATA!A4103</f>
        <v/>
      </c>
      <c r="B4103">
        <f>TEST_DATA!B4103</f>
        <v/>
      </c>
      <c r="C4103">
        <f>TEST_DATA!C4103</f>
        <v/>
      </c>
      <c r="D4103">
        <f>TEST_DATA!D4103</f>
        <v/>
      </c>
      <c r="E4103">
        <f>TEST_DATA!E4103</f>
        <v/>
      </c>
      <c r="F4103">
        <f>MIN(E4103*410300,10000)</f>
        <v/>
      </c>
      <c r="G4103">
        <f>MINIFS(CBIC_Late_Fee_Relief_Windows_3B!$O$4103:$O$100,CBIC_Late_Fee_Relief_Windows_3B!$D$4103:$D$100,"&lt;="&amp;B4103,CBIC_Late_Fee_Relief_Windows_3B!$E$4103:$E$100,"&gt;="&amp;B4103,CBIC_Late_Fee_Relief_Windows_3B!$F$4103:$F$100,"&lt;="&amp;C4103,CBIC_Late_Fee_Relief_Windows_3B!$G$4103:$G$100,"&gt;="&amp;C4103)</f>
        <v/>
      </c>
      <c r="H4103">
        <f>INDEX(CBIC_Late_Fee_Relief_Windows_3B!$I$4103:$I$100,MATCH(G4103,CBIC_Late_Fee_Relief_Windows_3B!$O$4103:$O$100,0))</f>
        <v/>
      </c>
      <c r="I4103">
        <f>MIN(F4103,H4103)</f>
        <v/>
      </c>
    </row>
    <row r="4104">
      <c r="A4104">
        <f>TEST_DATA!A4104</f>
        <v/>
      </c>
      <c r="B4104">
        <f>TEST_DATA!B4104</f>
        <v/>
      </c>
      <c r="C4104">
        <f>TEST_DATA!C4104</f>
        <v/>
      </c>
      <c r="D4104">
        <f>TEST_DATA!D4104</f>
        <v/>
      </c>
      <c r="E4104">
        <f>TEST_DATA!E4104</f>
        <v/>
      </c>
      <c r="F4104">
        <f>MIN(E4104*410400,10000)</f>
        <v/>
      </c>
      <c r="G4104">
        <f>MINIFS(CBIC_Late_Fee_Relief_Windows_3B!$O$4104:$O$100,CBIC_Late_Fee_Relief_Windows_3B!$D$4104:$D$100,"&lt;="&amp;B4104,CBIC_Late_Fee_Relief_Windows_3B!$E$4104:$E$100,"&gt;="&amp;B4104,CBIC_Late_Fee_Relief_Windows_3B!$F$4104:$F$100,"&lt;="&amp;C4104,CBIC_Late_Fee_Relief_Windows_3B!$G$4104:$G$100,"&gt;="&amp;C4104)</f>
        <v/>
      </c>
      <c r="H4104">
        <f>INDEX(CBIC_Late_Fee_Relief_Windows_3B!$I$4104:$I$100,MATCH(G4104,CBIC_Late_Fee_Relief_Windows_3B!$O$4104:$O$100,0))</f>
        <v/>
      </c>
      <c r="I4104">
        <f>MIN(F4104,H4104)</f>
        <v/>
      </c>
    </row>
    <row r="4105">
      <c r="A4105">
        <f>TEST_DATA!A4105</f>
        <v/>
      </c>
      <c r="B4105">
        <f>TEST_DATA!B4105</f>
        <v/>
      </c>
      <c r="C4105">
        <f>TEST_DATA!C4105</f>
        <v/>
      </c>
      <c r="D4105">
        <f>TEST_DATA!D4105</f>
        <v/>
      </c>
      <c r="E4105">
        <f>TEST_DATA!E4105</f>
        <v/>
      </c>
      <c r="F4105">
        <f>MIN(E4105*410500,10000)</f>
        <v/>
      </c>
      <c r="G4105">
        <f>MINIFS(CBIC_Late_Fee_Relief_Windows_3B!$O$4105:$O$100,CBIC_Late_Fee_Relief_Windows_3B!$D$4105:$D$100,"&lt;="&amp;B4105,CBIC_Late_Fee_Relief_Windows_3B!$E$4105:$E$100,"&gt;="&amp;B4105,CBIC_Late_Fee_Relief_Windows_3B!$F$4105:$F$100,"&lt;="&amp;C4105,CBIC_Late_Fee_Relief_Windows_3B!$G$4105:$G$100,"&gt;="&amp;C4105)</f>
        <v/>
      </c>
      <c r="H4105">
        <f>INDEX(CBIC_Late_Fee_Relief_Windows_3B!$I$4105:$I$100,MATCH(G4105,CBIC_Late_Fee_Relief_Windows_3B!$O$4105:$O$100,0))</f>
        <v/>
      </c>
      <c r="I4105">
        <f>MIN(F4105,H4105)</f>
        <v/>
      </c>
    </row>
    <row r="4106">
      <c r="A4106">
        <f>TEST_DATA!A4106</f>
        <v/>
      </c>
      <c r="B4106">
        <f>TEST_DATA!B4106</f>
        <v/>
      </c>
      <c r="C4106">
        <f>TEST_DATA!C4106</f>
        <v/>
      </c>
      <c r="D4106">
        <f>TEST_DATA!D4106</f>
        <v/>
      </c>
      <c r="E4106">
        <f>TEST_DATA!E4106</f>
        <v/>
      </c>
      <c r="F4106">
        <f>MIN(E4106*410600,10000)</f>
        <v/>
      </c>
      <c r="G4106">
        <f>MINIFS(CBIC_Late_Fee_Relief_Windows_3B!$O$4106:$O$100,CBIC_Late_Fee_Relief_Windows_3B!$D$4106:$D$100,"&lt;="&amp;B4106,CBIC_Late_Fee_Relief_Windows_3B!$E$4106:$E$100,"&gt;="&amp;B4106,CBIC_Late_Fee_Relief_Windows_3B!$F$4106:$F$100,"&lt;="&amp;C4106,CBIC_Late_Fee_Relief_Windows_3B!$G$4106:$G$100,"&gt;="&amp;C4106)</f>
        <v/>
      </c>
      <c r="H4106">
        <f>INDEX(CBIC_Late_Fee_Relief_Windows_3B!$I$4106:$I$100,MATCH(G4106,CBIC_Late_Fee_Relief_Windows_3B!$O$4106:$O$100,0))</f>
        <v/>
      </c>
      <c r="I4106">
        <f>MIN(F4106,H4106)</f>
        <v/>
      </c>
    </row>
    <row r="4107">
      <c r="A4107">
        <f>TEST_DATA!A4107</f>
        <v/>
      </c>
      <c r="B4107">
        <f>TEST_DATA!B4107</f>
        <v/>
      </c>
      <c r="C4107">
        <f>TEST_DATA!C4107</f>
        <v/>
      </c>
      <c r="D4107">
        <f>TEST_DATA!D4107</f>
        <v/>
      </c>
      <c r="E4107">
        <f>TEST_DATA!E4107</f>
        <v/>
      </c>
      <c r="F4107">
        <f>MIN(E4107*410700,10000)</f>
        <v/>
      </c>
      <c r="G4107">
        <f>MINIFS(CBIC_Late_Fee_Relief_Windows_3B!$O$4107:$O$100,CBIC_Late_Fee_Relief_Windows_3B!$D$4107:$D$100,"&lt;="&amp;B4107,CBIC_Late_Fee_Relief_Windows_3B!$E$4107:$E$100,"&gt;="&amp;B4107,CBIC_Late_Fee_Relief_Windows_3B!$F$4107:$F$100,"&lt;="&amp;C4107,CBIC_Late_Fee_Relief_Windows_3B!$G$4107:$G$100,"&gt;="&amp;C4107)</f>
        <v/>
      </c>
      <c r="H4107">
        <f>INDEX(CBIC_Late_Fee_Relief_Windows_3B!$I$4107:$I$100,MATCH(G4107,CBIC_Late_Fee_Relief_Windows_3B!$O$4107:$O$100,0))</f>
        <v/>
      </c>
      <c r="I4107">
        <f>MIN(F4107,H4107)</f>
        <v/>
      </c>
    </row>
    <row r="4108">
      <c r="A4108">
        <f>TEST_DATA!A4108</f>
        <v/>
      </c>
      <c r="B4108">
        <f>TEST_DATA!B4108</f>
        <v/>
      </c>
      <c r="C4108">
        <f>TEST_DATA!C4108</f>
        <v/>
      </c>
      <c r="D4108">
        <f>TEST_DATA!D4108</f>
        <v/>
      </c>
      <c r="E4108">
        <f>TEST_DATA!E4108</f>
        <v/>
      </c>
      <c r="F4108">
        <f>MIN(E4108*410800,10000)</f>
        <v/>
      </c>
      <c r="G4108">
        <f>MINIFS(CBIC_Late_Fee_Relief_Windows_3B!$O$4108:$O$100,CBIC_Late_Fee_Relief_Windows_3B!$D$4108:$D$100,"&lt;="&amp;B4108,CBIC_Late_Fee_Relief_Windows_3B!$E$4108:$E$100,"&gt;="&amp;B4108,CBIC_Late_Fee_Relief_Windows_3B!$F$4108:$F$100,"&lt;="&amp;C4108,CBIC_Late_Fee_Relief_Windows_3B!$G$4108:$G$100,"&gt;="&amp;C4108)</f>
        <v/>
      </c>
      <c r="H4108">
        <f>INDEX(CBIC_Late_Fee_Relief_Windows_3B!$I$4108:$I$100,MATCH(G4108,CBIC_Late_Fee_Relief_Windows_3B!$O$4108:$O$100,0))</f>
        <v/>
      </c>
      <c r="I4108">
        <f>MIN(F4108,H4108)</f>
        <v/>
      </c>
    </row>
    <row r="4109">
      <c r="A4109">
        <f>TEST_DATA!A4109</f>
        <v/>
      </c>
      <c r="B4109">
        <f>TEST_DATA!B4109</f>
        <v/>
      </c>
      <c r="C4109">
        <f>TEST_DATA!C4109</f>
        <v/>
      </c>
      <c r="D4109">
        <f>TEST_DATA!D4109</f>
        <v/>
      </c>
      <c r="E4109">
        <f>TEST_DATA!E4109</f>
        <v/>
      </c>
      <c r="F4109">
        <f>MIN(E4109*410900,10000)</f>
        <v/>
      </c>
      <c r="G4109">
        <f>MINIFS(CBIC_Late_Fee_Relief_Windows_3B!$O$4109:$O$100,CBIC_Late_Fee_Relief_Windows_3B!$D$4109:$D$100,"&lt;="&amp;B4109,CBIC_Late_Fee_Relief_Windows_3B!$E$4109:$E$100,"&gt;="&amp;B4109,CBIC_Late_Fee_Relief_Windows_3B!$F$4109:$F$100,"&lt;="&amp;C4109,CBIC_Late_Fee_Relief_Windows_3B!$G$4109:$G$100,"&gt;="&amp;C4109)</f>
        <v/>
      </c>
      <c r="H4109">
        <f>INDEX(CBIC_Late_Fee_Relief_Windows_3B!$I$4109:$I$100,MATCH(G4109,CBIC_Late_Fee_Relief_Windows_3B!$O$4109:$O$100,0))</f>
        <v/>
      </c>
      <c r="I4109">
        <f>MIN(F4109,H4109)</f>
        <v/>
      </c>
    </row>
    <row r="4110">
      <c r="A4110">
        <f>TEST_DATA!A4110</f>
        <v/>
      </c>
      <c r="B4110">
        <f>TEST_DATA!B4110</f>
        <v/>
      </c>
      <c r="C4110">
        <f>TEST_DATA!C4110</f>
        <v/>
      </c>
      <c r="D4110">
        <f>TEST_DATA!D4110</f>
        <v/>
      </c>
      <c r="E4110">
        <f>TEST_DATA!E4110</f>
        <v/>
      </c>
      <c r="F4110">
        <f>MIN(E4110*411000,10000)</f>
        <v/>
      </c>
      <c r="G4110">
        <f>MINIFS(CBIC_Late_Fee_Relief_Windows_3B!$O$4110:$O$100,CBIC_Late_Fee_Relief_Windows_3B!$D$4110:$D$100,"&lt;="&amp;B4110,CBIC_Late_Fee_Relief_Windows_3B!$E$4110:$E$100,"&gt;="&amp;B4110,CBIC_Late_Fee_Relief_Windows_3B!$F$4110:$F$100,"&lt;="&amp;C4110,CBIC_Late_Fee_Relief_Windows_3B!$G$4110:$G$100,"&gt;="&amp;C4110)</f>
        <v/>
      </c>
      <c r="H4110">
        <f>INDEX(CBIC_Late_Fee_Relief_Windows_3B!$I$4110:$I$100,MATCH(G4110,CBIC_Late_Fee_Relief_Windows_3B!$O$4110:$O$100,0))</f>
        <v/>
      </c>
      <c r="I4110">
        <f>MIN(F4110,H4110)</f>
        <v/>
      </c>
    </row>
    <row r="4111">
      <c r="A4111">
        <f>TEST_DATA!A4111</f>
        <v/>
      </c>
      <c r="B4111">
        <f>TEST_DATA!B4111</f>
        <v/>
      </c>
      <c r="C4111">
        <f>TEST_DATA!C4111</f>
        <v/>
      </c>
      <c r="D4111">
        <f>TEST_DATA!D4111</f>
        <v/>
      </c>
      <c r="E4111">
        <f>TEST_DATA!E4111</f>
        <v/>
      </c>
      <c r="F4111">
        <f>MIN(E4111*411100,10000)</f>
        <v/>
      </c>
      <c r="G4111">
        <f>MINIFS(CBIC_Late_Fee_Relief_Windows_3B!$O$4111:$O$100,CBIC_Late_Fee_Relief_Windows_3B!$D$4111:$D$100,"&lt;="&amp;B4111,CBIC_Late_Fee_Relief_Windows_3B!$E$4111:$E$100,"&gt;="&amp;B4111,CBIC_Late_Fee_Relief_Windows_3B!$F$4111:$F$100,"&lt;="&amp;C4111,CBIC_Late_Fee_Relief_Windows_3B!$G$4111:$G$100,"&gt;="&amp;C4111)</f>
        <v/>
      </c>
      <c r="H4111">
        <f>INDEX(CBIC_Late_Fee_Relief_Windows_3B!$I$4111:$I$100,MATCH(G4111,CBIC_Late_Fee_Relief_Windows_3B!$O$4111:$O$100,0))</f>
        <v/>
      </c>
      <c r="I4111">
        <f>MIN(F4111,H4111)</f>
        <v/>
      </c>
    </row>
    <row r="4112">
      <c r="A4112">
        <f>TEST_DATA!A4112</f>
        <v/>
      </c>
      <c r="B4112">
        <f>TEST_DATA!B4112</f>
        <v/>
      </c>
      <c r="C4112">
        <f>TEST_DATA!C4112</f>
        <v/>
      </c>
      <c r="D4112">
        <f>TEST_DATA!D4112</f>
        <v/>
      </c>
      <c r="E4112">
        <f>TEST_DATA!E4112</f>
        <v/>
      </c>
      <c r="F4112">
        <f>MIN(E4112*411200,10000)</f>
        <v/>
      </c>
      <c r="G4112">
        <f>MINIFS(CBIC_Late_Fee_Relief_Windows_3B!$O$4112:$O$100,CBIC_Late_Fee_Relief_Windows_3B!$D$4112:$D$100,"&lt;="&amp;B4112,CBIC_Late_Fee_Relief_Windows_3B!$E$4112:$E$100,"&gt;="&amp;B4112,CBIC_Late_Fee_Relief_Windows_3B!$F$4112:$F$100,"&lt;="&amp;C4112,CBIC_Late_Fee_Relief_Windows_3B!$G$4112:$G$100,"&gt;="&amp;C4112)</f>
        <v/>
      </c>
      <c r="H4112">
        <f>INDEX(CBIC_Late_Fee_Relief_Windows_3B!$I$4112:$I$100,MATCH(G4112,CBIC_Late_Fee_Relief_Windows_3B!$O$4112:$O$100,0))</f>
        <v/>
      </c>
      <c r="I4112">
        <f>MIN(F4112,H4112)</f>
        <v/>
      </c>
    </row>
    <row r="4113">
      <c r="A4113">
        <f>TEST_DATA!A4113</f>
        <v/>
      </c>
      <c r="B4113">
        <f>TEST_DATA!B4113</f>
        <v/>
      </c>
      <c r="C4113">
        <f>TEST_DATA!C4113</f>
        <v/>
      </c>
      <c r="D4113">
        <f>TEST_DATA!D4113</f>
        <v/>
      </c>
      <c r="E4113">
        <f>TEST_DATA!E4113</f>
        <v/>
      </c>
      <c r="F4113">
        <f>MIN(E4113*411300,10000)</f>
        <v/>
      </c>
      <c r="G4113">
        <f>MINIFS(CBIC_Late_Fee_Relief_Windows_3B!$O$4113:$O$100,CBIC_Late_Fee_Relief_Windows_3B!$D$4113:$D$100,"&lt;="&amp;B4113,CBIC_Late_Fee_Relief_Windows_3B!$E$4113:$E$100,"&gt;="&amp;B4113,CBIC_Late_Fee_Relief_Windows_3B!$F$4113:$F$100,"&lt;="&amp;C4113,CBIC_Late_Fee_Relief_Windows_3B!$G$4113:$G$100,"&gt;="&amp;C4113)</f>
        <v/>
      </c>
      <c r="H4113">
        <f>INDEX(CBIC_Late_Fee_Relief_Windows_3B!$I$4113:$I$100,MATCH(G4113,CBIC_Late_Fee_Relief_Windows_3B!$O$4113:$O$100,0))</f>
        <v/>
      </c>
      <c r="I4113">
        <f>MIN(F4113,H4113)</f>
        <v/>
      </c>
    </row>
    <row r="4114">
      <c r="A4114">
        <f>TEST_DATA!A4114</f>
        <v/>
      </c>
      <c r="B4114">
        <f>TEST_DATA!B4114</f>
        <v/>
      </c>
      <c r="C4114">
        <f>TEST_DATA!C4114</f>
        <v/>
      </c>
      <c r="D4114">
        <f>TEST_DATA!D4114</f>
        <v/>
      </c>
      <c r="E4114">
        <f>TEST_DATA!E4114</f>
        <v/>
      </c>
      <c r="F4114">
        <f>MIN(E4114*411400,10000)</f>
        <v/>
      </c>
      <c r="G4114">
        <f>MINIFS(CBIC_Late_Fee_Relief_Windows_3B!$O$4114:$O$100,CBIC_Late_Fee_Relief_Windows_3B!$D$4114:$D$100,"&lt;="&amp;B4114,CBIC_Late_Fee_Relief_Windows_3B!$E$4114:$E$100,"&gt;="&amp;B4114,CBIC_Late_Fee_Relief_Windows_3B!$F$4114:$F$100,"&lt;="&amp;C4114,CBIC_Late_Fee_Relief_Windows_3B!$G$4114:$G$100,"&gt;="&amp;C4114)</f>
        <v/>
      </c>
      <c r="H4114">
        <f>INDEX(CBIC_Late_Fee_Relief_Windows_3B!$I$4114:$I$100,MATCH(G4114,CBIC_Late_Fee_Relief_Windows_3B!$O$4114:$O$100,0))</f>
        <v/>
      </c>
      <c r="I4114">
        <f>MIN(F4114,H4114)</f>
        <v/>
      </c>
    </row>
    <row r="4115">
      <c r="A4115">
        <f>TEST_DATA!A4115</f>
        <v/>
      </c>
      <c r="B4115">
        <f>TEST_DATA!B4115</f>
        <v/>
      </c>
      <c r="C4115">
        <f>TEST_DATA!C4115</f>
        <v/>
      </c>
      <c r="D4115">
        <f>TEST_DATA!D4115</f>
        <v/>
      </c>
      <c r="E4115">
        <f>TEST_DATA!E4115</f>
        <v/>
      </c>
      <c r="F4115">
        <f>MIN(E4115*411500,10000)</f>
        <v/>
      </c>
      <c r="G4115">
        <f>MINIFS(CBIC_Late_Fee_Relief_Windows_3B!$O$4115:$O$100,CBIC_Late_Fee_Relief_Windows_3B!$D$4115:$D$100,"&lt;="&amp;B4115,CBIC_Late_Fee_Relief_Windows_3B!$E$4115:$E$100,"&gt;="&amp;B4115,CBIC_Late_Fee_Relief_Windows_3B!$F$4115:$F$100,"&lt;="&amp;C4115,CBIC_Late_Fee_Relief_Windows_3B!$G$4115:$G$100,"&gt;="&amp;C4115)</f>
        <v/>
      </c>
      <c r="H4115">
        <f>INDEX(CBIC_Late_Fee_Relief_Windows_3B!$I$4115:$I$100,MATCH(G4115,CBIC_Late_Fee_Relief_Windows_3B!$O$4115:$O$100,0))</f>
        <v/>
      </c>
      <c r="I4115">
        <f>MIN(F4115,H4115)</f>
        <v/>
      </c>
    </row>
    <row r="4116">
      <c r="A4116">
        <f>TEST_DATA!A4116</f>
        <v/>
      </c>
      <c r="B4116">
        <f>TEST_DATA!B4116</f>
        <v/>
      </c>
      <c r="C4116">
        <f>TEST_DATA!C4116</f>
        <v/>
      </c>
      <c r="D4116">
        <f>TEST_DATA!D4116</f>
        <v/>
      </c>
      <c r="E4116">
        <f>TEST_DATA!E4116</f>
        <v/>
      </c>
      <c r="F4116">
        <f>MIN(E4116*411600,10000)</f>
        <v/>
      </c>
      <c r="G4116">
        <f>MINIFS(CBIC_Late_Fee_Relief_Windows_3B!$O$4116:$O$100,CBIC_Late_Fee_Relief_Windows_3B!$D$4116:$D$100,"&lt;="&amp;B4116,CBIC_Late_Fee_Relief_Windows_3B!$E$4116:$E$100,"&gt;="&amp;B4116,CBIC_Late_Fee_Relief_Windows_3B!$F$4116:$F$100,"&lt;="&amp;C4116,CBIC_Late_Fee_Relief_Windows_3B!$G$4116:$G$100,"&gt;="&amp;C4116)</f>
        <v/>
      </c>
      <c r="H4116">
        <f>INDEX(CBIC_Late_Fee_Relief_Windows_3B!$I$4116:$I$100,MATCH(G4116,CBIC_Late_Fee_Relief_Windows_3B!$O$4116:$O$100,0))</f>
        <v/>
      </c>
      <c r="I4116">
        <f>MIN(F4116,H4116)</f>
        <v/>
      </c>
    </row>
    <row r="4117">
      <c r="A4117">
        <f>TEST_DATA!A4117</f>
        <v/>
      </c>
      <c r="B4117">
        <f>TEST_DATA!B4117</f>
        <v/>
      </c>
      <c r="C4117">
        <f>TEST_DATA!C4117</f>
        <v/>
      </c>
      <c r="D4117">
        <f>TEST_DATA!D4117</f>
        <v/>
      </c>
      <c r="E4117">
        <f>TEST_DATA!E4117</f>
        <v/>
      </c>
      <c r="F4117">
        <f>MIN(E4117*411700,10000)</f>
        <v/>
      </c>
      <c r="G4117">
        <f>MINIFS(CBIC_Late_Fee_Relief_Windows_3B!$O$4117:$O$100,CBIC_Late_Fee_Relief_Windows_3B!$D$4117:$D$100,"&lt;="&amp;B4117,CBIC_Late_Fee_Relief_Windows_3B!$E$4117:$E$100,"&gt;="&amp;B4117,CBIC_Late_Fee_Relief_Windows_3B!$F$4117:$F$100,"&lt;="&amp;C4117,CBIC_Late_Fee_Relief_Windows_3B!$G$4117:$G$100,"&gt;="&amp;C4117)</f>
        <v/>
      </c>
      <c r="H4117">
        <f>INDEX(CBIC_Late_Fee_Relief_Windows_3B!$I$4117:$I$100,MATCH(G4117,CBIC_Late_Fee_Relief_Windows_3B!$O$4117:$O$100,0))</f>
        <v/>
      </c>
      <c r="I4117">
        <f>MIN(F4117,H4117)</f>
        <v/>
      </c>
    </row>
    <row r="4118">
      <c r="A4118">
        <f>TEST_DATA!A4118</f>
        <v/>
      </c>
      <c r="B4118">
        <f>TEST_DATA!B4118</f>
        <v/>
      </c>
      <c r="C4118">
        <f>TEST_DATA!C4118</f>
        <v/>
      </c>
      <c r="D4118">
        <f>TEST_DATA!D4118</f>
        <v/>
      </c>
      <c r="E4118">
        <f>TEST_DATA!E4118</f>
        <v/>
      </c>
      <c r="F4118">
        <f>MIN(E4118*411800,10000)</f>
        <v/>
      </c>
      <c r="G4118">
        <f>MINIFS(CBIC_Late_Fee_Relief_Windows_3B!$O$4118:$O$100,CBIC_Late_Fee_Relief_Windows_3B!$D$4118:$D$100,"&lt;="&amp;B4118,CBIC_Late_Fee_Relief_Windows_3B!$E$4118:$E$100,"&gt;="&amp;B4118,CBIC_Late_Fee_Relief_Windows_3B!$F$4118:$F$100,"&lt;="&amp;C4118,CBIC_Late_Fee_Relief_Windows_3B!$G$4118:$G$100,"&gt;="&amp;C4118)</f>
        <v/>
      </c>
      <c r="H4118">
        <f>INDEX(CBIC_Late_Fee_Relief_Windows_3B!$I$4118:$I$100,MATCH(G4118,CBIC_Late_Fee_Relief_Windows_3B!$O$4118:$O$100,0))</f>
        <v/>
      </c>
      <c r="I4118">
        <f>MIN(F4118,H4118)</f>
        <v/>
      </c>
    </row>
    <row r="4119">
      <c r="A4119">
        <f>TEST_DATA!A4119</f>
        <v/>
      </c>
      <c r="B4119">
        <f>TEST_DATA!B4119</f>
        <v/>
      </c>
      <c r="C4119">
        <f>TEST_DATA!C4119</f>
        <v/>
      </c>
      <c r="D4119">
        <f>TEST_DATA!D4119</f>
        <v/>
      </c>
      <c r="E4119">
        <f>TEST_DATA!E4119</f>
        <v/>
      </c>
      <c r="F4119">
        <f>MIN(E4119*411900,10000)</f>
        <v/>
      </c>
      <c r="G4119">
        <f>MINIFS(CBIC_Late_Fee_Relief_Windows_3B!$O$4119:$O$100,CBIC_Late_Fee_Relief_Windows_3B!$D$4119:$D$100,"&lt;="&amp;B4119,CBIC_Late_Fee_Relief_Windows_3B!$E$4119:$E$100,"&gt;="&amp;B4119,CBIC_Late_Fee_Relief_Windows_3B!$F$4119:$F$100,"&lt;="&amp;C4119,CBIC_Late_Fee_Relief_Windows_3B!$G$4119:$G$100,"&gt;="&amp;C4119)</f>
        <v/>
      </c>
      <c r="H4119">
        <f>INDEX(CBIC_Late_Fee_Relief_Windows_3B!$I$4119:$I$100,MATCH(G4119,CBIC_Late_Fee_Relief_Windows_3B!$O$4119:$O$100,0))</f>
        <v/>
      </c>
      <c r="I4119">
        <f>MIN(F4119,H4119)</f>
        <v/>
      </c>
    </row>
    <row r="4120">
      <c r="A4120">
        <f>TEST_DATA!A4120</f>
        <v/>
      </c>
      <c r="B4120">
        <f>TEST_DATA!B4120</f>
        <v/>
      </c>
      <c r="C4120">
        <f>TEST_DATA!C4120</f>
        <v/>
      </c>
      <c r="D4120">
        <f>TEST_DATA!D4120</f>
        <v/>
      </c>
      <c r="E4120">
        <f>TEST_DATA!E4120</f>
        <v/>
      </c>
      <c r="F4120">
        <f>MIN(E4120*412000,10000)</f>
        <v/>
      </c>
      <c r="G4120">
        <f>MINIFS(CBIC_Late_Fee_Relief_Windows_3B!$O$4120:$O$100,CBIC_Late_Fee_Relief_Windows_3B!$D$4120:$D$100,"&lt;="&amp;B4120,CBIC_Late_Fee_Relief_Windows_3B!$E$4120:$E$100,"&gt;="&amp;B4120,CBIC_Late_Fee_Relief_Windows_3B!$F$4120:$F$100,"&lt;="&amp;C4120,CBIC_Late_Fee_Relief_Windows_3B!$G$4120:$G$100,"&gt;="&amp;C4120)</f>
        <v/>
      </c>
      <c r="H4120">
        <f>INDEX(CBIC_Late_Fee_Relief_Windows_3B!$I$4120:$I$100,MATCH(G4120,CBIC_Late_Fee_Relief_Windows_3B!$O$4120:$O$100,0))</f>
        <v/>
      </c>
      <c r="I4120">
        <f>MIN(F4120,H4120)</f>
        <v/>
      </c>
    </row>
    <row r="4121">
      <c r="A4121">
        <f>TEST_DATA!A4121</f>
        <v/>
      </c>
      <c r="B4121">
        <f>TEST_DATA!B4121</f>
        <v/>
      </c>
      <c r="C4121">
        <f>TEST_DATA!C4121</f>
        <v/>
      </c>
      <c r="D4121">
        <f>TEST_DATA!D4121</f>
        <v/>
      </c>
      <c r="E4121">
        <f>TEST_DATA!E4121</f>
        <v/>
      </c>
      <c r="F4121">
        <f>MIN(E4121*412100,10000)</f>
        <v/>
      </c>
      <c r="G4121">
        <f>MINIFS(CBIC_Late_Fee_Relief_Windows_3B!$O$4121:$O$100,CBIC_Late_Fee_Relief_Windows_3B!$D$4121:$D$100,"&lt;="&amp;B4121,CBIC_Late_Fee_Relief_Windows_3B!$E$4121:$E$100,"&gt;="&amp;B4121,CBIC_Late_Fee_Relief_Windows_3B!$F$4121:$F$100,"&lt;="&amp;C4121,CBIC_Late_Fee_Relief_Windows_3B!$G$4121:$G$100,"&gt;="&amp;C4121)</f>
        <v/>
      </c>
      <c r="H4121">
        <f>INDEX(CBIC_Late_Fee_Relief_Windows_3B!$I$4121:$I$100,MATCH(G4121,CBIC_Late_Fee_Relief_Windows_3B!$O$4121:$O$100,0))</f>
        <v/>
      </c>
      <c r="I4121">
        <f>MIN(F4121,H4121)</f>
        <v/>
      </c>
    </row>
    <row r="4122">
      <c r="A4122">
        <f>TEST_DATA!A4122</f>
        <v/>
      </c>
      <c r="B4122">
        <f>TEST_DATA!B4122</f>
        <v/>
      </c>
      <c r="C4122">
        <f>TEST_DATA!C4122</f>
        <v/>
      </c>
      <c r="D4122">
        <f>TEST_DATA!D4122</f>
        <v/>
      </c>
      <c r="E4122">
        <f>TEST_DATA!E4122</f>
        <v/>
      </c>
      <c r="F4122">
        <f>MIN(E4122*412200,10000)</f>
        <v/>
      </c>
      <c r="G4122">
        <f>MINIFS(CBIC_Late_Fee_Relief_Windows_3B!$O$4122:$O$100,CBIC_Late_Fee_Relief_Windows_3B!$D$4122:$D$100,"&lt;="&amp;B4122,CBIC_Late_Fee_Relief_Windows_3B!$E$4122:$E$100,"&gt;="&amp;B4122,CBIC_Late_Fee_Relief_Windows_3B!$F$4122:$F$100,"&lt;="&amp;C4122,CBIC_Late_Fee_Relief_Windows_3B!$G$4122:$G$100,"&gt;="&amp;C4122)</f>
        <v/>
      </c>
      <c r="H4122">
        <f>INDEX(CBIC_Late_Fee_Relief_Windows_3B!$I$4122:$I$100,MATCH(G4122,CBIC_Late_Fee_Relief_Windows_3B!$O$4122:$O$100,0))</f>
        <v/>
      </c>
      <c r="I4122">
        <f>MIN(F4122,H4122)</f>
        <v/>
      </c>
    </row>
    <row r="4123">
      <c r="A4123">
        <f>TEST_DATA!A4123</f>
        <v/>
      </c>
      <c r="B4123">
        <f>TEST_DATA!B4123</f>
        <v/>
      </c>
      <c r="C4123">
        <f>TEST_DATA!C4123</f>
        <v/>
      </c>
      <c r="D4123">
        <f>TEST_DATA!D4123</f>
        <v/>
      </c>
      <c r="E4123">
        <f>TEST_DATA!E4123</f>
        <v/>
      </c>
      <c r="F4123">
        <f>MIN(E4123*412300,10000)</f>
        <v/>
      </c>
      <c r="G4123">
        <f>MINIFS(CBIC_Late_Fee_Relief_Windows_3B!$O$4123:$O$100,CBIC_Late_Fee_Relief_Windows_3B!$D$4123:$D$100,"&lt;="&amp;B4123,CBIC_Late_Fee_Relief_Windows_3B!$E$4123:$E$100,"&gt;="&amp;B4123,CBIC_Late_Fee_Relief_Windows_3B!$F$4123:$F$100,"&lt;="&amp;C4123,CBIC_Late_Fee_Relief_Windows_3B!$G$4123:$G$100,"&gt;="&amp;C4123)</f>
        <v/>
      </c>
      <c r="H4123">
        <f>INDEX(CBIC_Late_Fee_Relief_Windows_3B!$I$4123:$I$100,MATCH(G4123,CBIC_Late_Fee_Relief_Windows_3B!$O$4123:$O$100,0))</f>
        <v/>
      </c>
      <c r="I4123">
        <f>MIN(F4123,H4123)</f>
        <v/>
      </c>
    </row>
    <row r="4124">
      <c r="A4124">
        <f>TEST_DATA!A4124</f>
        <v/>
      </c>
      <c r="B4124">
        <f>TEST_DATA!B4124</f>
        <v/>
      </c>
      <c r="C4124">
        <f>TEST_DATA!C4124</f>
        <v/>
      </c>
      <c r="D4124">
        <f>TEST_DATA!D4124</f>
        <v/>
      </c>
      <c r="E4124">
        <f>TEST_DATA!E4124</f>
        <v/>
      </c>
      <c r="F4124">
        <f>MIN(E4124*412400,10000)</f>
        <v/>
      </c>
      <c r="G4124">
        <f>MINIFS(CBIC_Late_Fee_Relief_Windows_3B!$O$4124:$O$100,CBIC_Late_Fee_Relief_Windows_3B!$D$4124:$D$100,"&lt;="&amp;B4124,CBIC_Late_Fee_Relief_Windows_3B!$E$4124:$E$100,"&gt;="&amp;B4124,CBIC_Late_Fee_Relief_Windows_3B!$F$4124:$F$100,"&lt;="&amp;C4124,CBIC_Late_Fee_Relief_Windows_3B!$G$4124:$G$100,"&gt;="&amp;C4124)</f>
        <v/>
      </c>
      <c r="H4124">
        <f>INDEX(CBIC_Late_Fee_Relief_Windows_3B!$I$4124:$I$100,MATCH(G4124,CBIC_Late_Fee_Relief_Windows_3B!$O$4124:$O$100,0))</f>
        <v/>
      </c>
      <c r="I4124">
        <f>MIN(F4124,H4124)</f>
        <v/>
      </c>
    </row>
    <row r="4125">
      <c r="A4125">
        <f>TEST_DATA!A4125</f>
        <v/>
      </c>
      <c r="B4125">
        <f>TEST_DATA!B4125</f>
        <v/>
      </c>
      <c r="C4125">
        <f>TEST_DATA!C4125</f>
        <v/>
      </c>
      <c r="D4125">
        <f>TEST_DATA!D4125</f>
        <v/>
      </c>
      <c r="E4125">
        <f>TEST_DATA!E4125</f>
        <v/>
      </c>
      <c r="F4125">
        <f>MIN(E4125*412500,10000)</f>
        <v/>
      </c>
      <c r="G4125">
        <f>MINIFS(CBIC_Late_Fee_Relief_Windows_3B!$O$4125:$O$100,CBIC_Late_Fee_Relief_Windows_3B!$D$4125:$D$100,"&lt;="&amp;B4125,CBIC_Late_Fee_Relief_Windows_3B!$E$4125:$E$100,"&gt;="&amp;B4125,CBIC_Late_Fee_Relief_Windows_3B!$F$4125:$F$100,"&lt;="&amp;C4125,CBIC_Late_Fee_Relief_Windows_3B!$G$4125:$G$100,"&gt;="&amp;C4125)</f>
        <v/>
      </c>
      <c r="H4125">
        <f>INDEX(CBIC_Late_Fee_Relief_Windows_3B!$I$4125:$I$100,MATCH(G4125,CBIC_Late_Fee_Relief_Windows_3B!$O$4125:$O$100,0))</f>
        <v/>
      </c>
      <c r="I4125">
        <f>MIN(F4125,H4125)</f>
        <v/>
      </c>
    </row>
    <row r="4126">
      <c r="A4126">
        <f>TEST_DATA!A4126</f>
        <v/>
      </c>
      <c r="B4126">
        <f>TEST_DATA!B4126</f>
        <v/>
      </c>
      <c r="C4126">
        <f>TEST_DATA!C4126</f>
        <v/>
      </c>
      <c r="D4126">
        <f>TEST_DATA!D4126</f>
        <v/>
      </c>
      <c r="E4126">
        <f>TEST_DATA!E4126</f>
        <v/>
      </c>
      <c r="F4126">
        <f>MIN(E4126*412600,10000)</f>
        <v/>
      </c>
      <c r="G4126">
        <f>MINIFS(CBIC_Late_Fee_Relief_Windows_3B!$O$4126:$O$100,CBIC_Late_Fee_Relief_Windows_3B!$D$4126:$D$100,"&lt;="&amp;B4126,CBIC_Late_Fee_Relief_Windows_3B!$E$4126:$E$100,"&gt;="&amp;B4126,CBIC_Late_Fee_Relief_Windows_3B!$F$4126:$F$100,"&lt;="&amp;C4126,CBIC_Late_Fee_Relief_Windows_3B!$G$4126:$G$100,"&gt;="&amp;C4126)</f>
        <v/>
      </c>
      <c r="H4126">
        <f>INDEX(CBIC_Late_Fee_Relief_Windows_3B!$I$4126:$I$100,MATCH(G4126,CBIC_Late_Fee_Relief_Windows_3B!$O$4126:$O$100,0))</f>
        <v/>
      </c>
      <c r="I4126">
        <f>MIN(F4126,H4126)</f>
        <v/>
      </c>
    </row>
    <row r="4127">
      <c r="A4127">
        <f>TEST_DATA!A4127</f>
        <v/>
      </c>
      <c r="B4127">
        <f>TEST_DATA!B4127</f>
        <v/>
      </c>
      <c r="C4127">
        <f>TEST_DATA!C4127</f>
        <v/>
      </c>
      <c r="D4127">
        <f>TEST_DATA!D4127</f>
        <v/>
      </c>
      <c r="E4127">
        <f>TEST_DATA!E4127</f>
        <v/>
      </c>
      <c r="F4127">
        <f>MIN(E4127*412700,10000)</f>
        <v/>
      </c>
      <c r="G4127">
        <f>MINIFS(CBIC_Late_Fee_Relief_Windows_3B!$O$4127:$O$100,CBIC_Late_Fee_Relief_Windows_3B!$D$4127:$D$100,"&lt;="&amp;B4127,CBIC_Late_Fee_Relief_Windows_3B!$E$4127:$E$100,"&gt;="&amp;B4127,CBIC_Late_Fee_Relief_Windows_3B!$F$4127:$F$100,"&lt;="&amp;C4127,CBIC_Late_Fee_Relief_Windows_3B!$G$4127:$G$100,"&gt;="&amp;C4127)</f>
        <v/>
      </c>
      <c r="H4127">
        <f>INDEX(CBIC_Late_Fee_Relief_Windows_3B!$I$4127:$I$100,MATCH(G4127,CBIC_Late_Fee_Relief_Windows_3B!$O$4127:$O$100,0))</f>
        <v/>
      </c>
      <c r="I4127">
        <f>MIN(F4127,H4127)</f>
        <v/>
      </c>
    </row>
    <row r="4128">
      <c r="A4128">
        <f>TEST_DATA!A4128</f>
        <v/>
      </c>
      <c r="B4128">
        <f>TEST_DATA!B4128</f>
        <v/>
      </c>
      <c r="C4128">
        <f>TEST_DATA!C4128</f>
        <v/>
      </c>
      <c r="D4128">
        <f>TEST_DATA!D4128</f>
        <v/>
      </c>
      <c r="E4128">
        <f>TEST_DATA!E4128</f>
        <v/>
      </c>
      <c r="F4128">
        <f>MIN(E4128*412800,10000)</f>
        <v/>
      </c>
      <c r="G4128">
        <f>MINIFS(CBIC_Late_Fee_Relief_Windows_3B!$O$4128:$O$100,CBIC_Late_Fee_Relief_Windows_3B!$D$4128:$D$100,"&lt;="&amp;B4128,CBIC_Late_Fee_Relief_Windows_3B!$E$4128:$E$100,"&gt;="&amp;B4128,CBIC_Late_Fee_Relief_Windows_3B!$F$4128:$F$100,"&lt;="&amp;C4128,CBIC_Late_Fee_Relief_Windows_3B!$G$4128:$G$100,"&gt;="&amp;C4128)</f>
        <v/>
      </c>
      <c r="H4128">
        <f>INDEX(CBIC_Late_Fee_Relief_Windows_3B!$I$4128:$I$100,MATCH(G4128,CBIC_Late_Fee_Relief_Windows_3B!$O$4128:$O$100,0))</f>
        <v/>
      </c>
      <c r="I4128">
        <f>MIN(F4128,H4128)</f>
        <v/>
      </c>
    </row>
    <row r="4129">
      <c r="A4129">
        <f>TEST_DATA!A4129</f>
        <v/>
      </c>
      <c r="B4129">
        <f>TEST_DATA!B4129</f>
        <v/>
      </c>
      <c r="C4129">
        <f>TEST_DATA!C4129</f>
        <v/>
      </c>
      <c r="D4129">
        <f>TEST_DATA!D4129</f>
        <v/>
      </c>
      <c r="E4129">
        <f>TEST_DATA!E4129</f>
        <v/>
      </c>
      <c r="F4129">
        <f>MIN(E4129*412900,10000)</f>
        <v/>
      </c>
      <c r="G4129">
        <f>MINIFS(CBIC_Late_Fee_Relief_Windows_3B!$O$4129:$O$100,CBIC_Late_Fee_Relief_Windows_3B!$D$4129:$D$100,"&lt;="&amp;B4129,CBIC_Late_Fee_Relief_Windows_3B!$E$4129:$E$100,"&gt;="&amp;B4129,CBIC_Late_Fee_Relief_Windows_3B!$F$4129:$F$100,"&lt;="&amp;C4129,CBIC_Late_Fee_Relief_Windows_3B!$G$4129:$G$100,"&gt;="&amp;C4129)</f>
        <v/>
      </c>
      <c r="H4129">
        <f>INDEX(CBIC_Late_Fee_Relief_Windows_3B!$I$4129:$I$100,MATCH(G4129,CBIC_Late_Fee_Relief_Windows_3B!$O$4129:$O$100,0))</f>
        <v/>
      </c>
      <c r="I4129">
        <f>MIN(F4129,H4129)</f>
        <v/>
      </c>
    </row>
    <row r="4130">
      <c r="A4130">
        <f>TEST_DATA!A4130</f>
        <v/>
      </c>
      <c r="B4130">
        <f>TEST_DATA!B4130</f>
        <v/>
      </c>
      <c r="C4130">
        <f>TEST_DATA!C4130</f>
        <v/>
      </c>
      <c r="D4130">
        <f>TEST_DATA!D4130</f>
        <v/>
      </c>
      <c r="E4130">
        <f>TEST_DATA!E4130</f>
        <v/>
      </c>
      <c r="F4130">
        <f>MIN(E4130*413000,10000)</f>
        <v/>
      </c>
      <c r="G4130">
        <f>MINIFS(CBIC_Late_Fee_Relief_Windows_3B!$O$4130:$O$100,CBIC_Late_Fee_Relief_Windows_3B!$D$4130:$D$100,"&lt;="&amp;B4130,CBIC_Late_Fee_Relief_Windows_3B!$E$4130:$E$100,"&gt;="&amp;B4130,CBIC_Late_Fee_Relief_Windows_3B!$F$4130:$F$100,"&lt;="&amp;C4130,CBIC_Late_Fee_Relief_Windows_3B!$G$4130:$G$100,"&gt;="&amp;C4130)</f>
        <v/>
      </c>
      <c r="H4130">
        <f>INDEX(CBIC_Late_Fee_Relief_Windows_3B!$I$4130:$I$100,MATCH(G4130,CBIC_Late_Fee_Relief_Windows_3B!$O$4130:$O$100,0))</f>
        <v/>
      </c>
      <c r="I4130">
        <f>MIN(F4130,H4130)</f>
        <v/>
      </c>
    </row>
    <row r="4131">
      <c r="A4131">
        <f>TEST_DATA!A4131</f>
        <v/>
      </c>
      <c r="B4131">
        <f>TEST_DATA!B4131</f>
        <v/>
      </c>
      <c r="C4131">
        <f>TEST_DATA!C4131</f>
        <v/>
      </c>
      <c r="D4131">
        <f>TEST_DATA!D4131</f>
        <v/>
      </c>
      <c r="E4131">
        <f>TEST_DATA!E4131</f>
        <v/>
      </c>
      <c r="F4131">
        <f>MIN(E4131*413100,10000)</f>
        <v/>
      </c>
      <c r="G4131">
        <f>MINIFS(CBIC_Late_Fee_Relief_Windows_3B!$O$4131:$O$100,CBIC_Late_Fee_Relief_Windows_3B!$D$4131:$D$100,"&lt;="&amp;B4131,CBIC_Late_Fee_Relief_Windows_3B!$E$4131:$E$100,"&gt;="&amp;B4131,CBIC_Late_Fee_Relief_Windows_3B!$F$4131:$F$100,"&lt;="&amp;C4131,CBIC_Late_Fee_Relief_Windows_3B!$G$4131:$G$100,"&gt;="&amp;C4131)</f>
        <v/>
      </c>
      <c r="H4131">
        <f>INDEX(CBIC_Late_Fee_Relief_Windows_3B!$I$4131:$I$100,MATCH(G4131,CBIC_Late_Fee_Relief_Windows_3B!$O$4131:$O$100,0))</f>
        <v/>
      </c>
      <c r="I4131">
        <f>MIN(F4131,H4131)</f>
        <v/>
      </c>
    </row>
    <row r="4132">
      <c r="A4132">
        <f>TEST_DATA!A4132</f>
        <v/>
      </c>
      <c r="B4132">
        <f>TEST_DATA!B4132</f>
        <v/>
      </c>
      <c r="C4132">
        <f>TEST_DATA!C4132</f>
        <v/>
      </c>
      <c r="D4132">
        <f>TEST_DATA!D4132</f>
        <v/>
      </c>
      <c r="E4132">
        <f>TEST_DATA!E4132</f>
        <v/>
      </c>
      <c r="F4132">
        <f>MIN(E4132*413200,10000)</f>
        <v/>
      </c>
      <c r="G4132">
        <f>MINIFS(CBIC_Late_Fee_Relief_Windows_3B!$O$4132:$O$100,CBIC_Late_Fee_Relief_Windows_3B!$D$4132:$D$100,"&lt;="&amp;B4132,CBIC_Late_Fee_Relief_Windows_3B!$E$4132:$E$100,"&gt;="&amp;B4132,CBIC_Late_Fee_Relief_Windows_3B!$F$4132:$F$100,"&lt;="&amp;C4132,CBIC_Late_Fee_Relief_Windows_3B!$G$4132:$G$100,"&gt;="&amp;C4132)</f>
        <v/>
      </c>
      <c r="H4132">
        <f>INDEX(CBIC_Late_Fee_Relief_Windows_3B!$I$4132:$I$100,MATCH(G4132,CBIC_Late_Fee_Relief_Windows_3B!$O$4132:$O$100,0))</f>
        <v/>
      </c>
      <c r="I4132">
        <f>MIN(F4132,H4132)</f>
        <v/>
      </c>
    </row>
    <row r="4133">
      <c r="A4133">
        <f>TEST_DATA!A4133</f>
        <v/>
      </c>
      <c r="B4133">
        <f>TEST_DATA!B4133</f>
        <v/>
      </c>
      <c r="C4133">
        <f>TEST_DATA!C4133</f>
        <v/>
      </c>
      <c r="D4133">
        <f>TEST_DATA!D4133</f>
        <v/>
      </c>
      <c r="E4133">
        <f>TEST_DATA!E4133</f>
        <v/>
      </c>
      <c r="F4133">
        <f>MIN(E4133*413300,10000)</f>
        <v/>
      </c>
      <c r="G4133">
        <f>MINIFS(CBIC_Late_Fee_Relief_Windows_3B!$O$4133:$O$100,CBIC_Late_Fee_Relief_Windows_3B!$D$4133:$D$100,"&lt;="&amp;B4133,CBIC_Late_Fee_Relief_Windows_3B!$E$4133:$E$100,"&gt;="&amp;B4133,CBIC_Late_Fee_Relief_Windows_3B!$F$4133:$F$100,"&lt;="&amp;C4133,CBIC_Late_Fee_Relief_Windows_3B!$G$4133:$G$100,"&gt;="&amp;C4133)</f>
        <v/>
      </c>
      <c r="H4133">
        <f>INDEX(CBIC_Late_Fee_Relief_Windows_3B!$I$4133:$I$100,MATCH(G4133,CBIC_Late_Fee_Relief_Windows_3B!$O$4133:$O$100,0))</f>
        <v/>
      </c>
      <c r="I4133">
        <f>MIN(F4133,H4133)</f>
        <v/>
      </c>
    </row>
    <row r="4134">
      <c r="A4134">
        <f>TEST_DATA!A4134</f>
        <v/>
      </c>
      <c r="B4134">
        <f>TEST_DATA!B4134</f>
        <v/>
      </c>
      <c r="C4134">
        <f>TEST_DATA!C4134</f>
        <v/>
      </c>
      <c r="D4134">
        <f>TEST_DATA!D4134</f>
        <v/>
      </c>
      <c r="E4134">
        <f>TEST_DATA!E4134</f>
        <v/>
      </c>
      <c r="F4134">
        <f>MIN(E4134*413400,10000)</f>
        <v/>
      </c>
      <c r="G4134">
        <f>MINIFS(CBIC_Late_Fee_Relief_Windows_3B!$O$4134:$O$100,CBIC_Late_Fee_Relief_Windows_3B!$D$4134:$D$100,"&lt;="&amp;B4134,CBIC_Late_Fee_Relief_Windows_3B!$E$4134:$E$100,"&gt;="&amp;B4134,CBIC_Late_Fee_Relief_Windows_3B!$F$4134:$F$100,"&lt;="&amp;C4134,CBIC_Late_Fee_Relief_Windows_3B!$G$4134:$G$100,"&gt;="&amp;C4134)</f>
        <v/>
      </c>
      <c r="H4134">
        <f>INDEX(CBIC_Late_Fee_Relief_Windows_3B!$I$4134:$I$100,MATCH(G4134,CBIC_Late_Fee_Relief_Windows_3B!$O$4134:$O$100,0))</f>
        <v/>
      </c>
      <c r="I4134">
        <f>MIN(F4134,H4134)</f>
        <v/>
      </c>
    </row>
    <row r="4135">
      <c r="A4135">
        <f>TEST_DATA!A4135</f>
        <v/>
      </c>
      <c r="B4135">
        <f>TEST_DATA!B4135</f>
        <v/>
      </c>
      <c r="C4135">
        <f>TEST_DATA!C4135</f>
        <v/>
      </c>
      <c r="D4135">
        <f>TEST_DATA!D4135</f>
        <v/>
      </c>
      <c r="E4135">
        <f>TEST_DATA!E4135</f>
        <v/>
      </c>
      <c r="F4135">
        <f>MIN(E4135*413500,10000)</f>
        <v/>
      </c>
      <c r="G4135">
        <f>MINIFS(CBIC_Late_Fee_Relief_Windows_3B!$O$4135:$O$100,CBIC_Late_Fee_Relief_Windows_3B!$D$4135:$D$100,"&lt;="&amp;B4135,CBIC_Late_Fee_Relief_Windows_3B!$E$4135:$E$100,"&gt;="&amp;B4135,CBIC_Late_Fee_Relief_Windows_3B!$F$4135:$F$100,"&lt;="&amp;C4135,CBIC_Late_Fee_Relief_Windows_3B!$G$4135:$G$100,"&gt;="&amp;C4135)</f>
        <v/>
      </c>
      <c r="H4135">
        <f>INDEX(CBIC_Late_Fee_Relief_Windows_3B!$I$4135:$I$100,MATCH(G4135,CBIC_Late_Fee_Relief_Windows_3B!$O$4135:$O$100,0))</f>
        <v/>
      </c>
      <c r="I4135">
        <f>MIN(F4135,H4135)</f>
        <v/>
      </c>
    </row>
    <row r="4136">
      <c r="A4136">
        <f>TEST_DATA!A4136</f>
        <v/>
      </c>
      <c r="B4136">
        <f>TEST_DATA!B4136</f>
        <v/>
      </c>
      <c r="C4136">
        <f>TEST_DATA!C4136</f>
        <v/>
      </c>
      <c r="D4136">
        <f>TEST_DATA!D4136</f>
        <v/>
      </c>
      <c r="E4136">
        <f>TEST_DATA!E4136</f>
        <v/>
      </c>
      <c r="F4136">
        <f>MIN(E4136*413600,10000)</f>
        <v/>
      </c>
      <c r="G4136">
        <f>MINIFS(CBIC_Late_Fee_Relief_Windows_3B!$O$4136:$O$100,CBIC_Late_Fee_Relief_Windows_3B!$D$4136:$D$100,"&lt;="&amp;B4136,CBIC_Late_Fee_Relief_Windows_3B!$E$4136:$E$100,"&gt;="&amp;B4136,CBIC_Late_Fee_Relief_Windows_3B!$F$4136:$F$100,"&lt;="&amp;C4136,CBIC_Late_Fee_Relief_Windows_3B!$G$4136:$G$100,"&gt;="&amp;C4136)</f>
        <v/>
      </c>
      <c r="H4136">
        <f>INDEX(CBIC_Late_Fee_Relief_Windows_3B!$I$4136:$I$100,MATCH(G4136,CBIC_Late_Fee_Relief_Windows_3B!$O$4136:$O$100,0))</f>
        <v/>
      </c>
      <c r="I4136">
        <f>MIN(F4136,H4136)</f>
        <v/>
      </c>
    </row>
    <row r="4137">
      <c r="A4137">
        <f>TEST_DATA!A4137</f>
        <v/>
      </c>
      <c r="B4137">
        <f>TEST_DATA!B4137</f>
        <v/>
      </c>
      <c r="C4137">
        <f>TEST_DATA!C4137</f>
        <v/>
      </c>
      <c r="D4137">
        <f>TEST_DATA!D4137</f>
        <v/>
      </c>
      <c r="E4137">
        <f>TEST_DATA!E4137</f>
        <v/>
      </c>
      <c r="F4137">
        <f>MIN(E4137*413700,10000)</f>
        <v/>
      </c>
      <c r="G4137">
        <f>MINIFS(CBIC_Late_Fee_Relief_Windows_3B!$O$4137:$O$100,CBIC_Late_Fee_Relief_Windows_3B!$D$4137:$D$100,"&lt;="&amp;B4137,CBIC_Late_Fee_Relief_Windows_3B!$E$4137:$E$100,"&gt;="&amp;B4137,CBIC_Late_Fee_Relief_Windows_3B!$F$4137:$F$100,"&lt;="&amp;C4137,CBIC_Late_Fee_Relief_Windows_3B!$G$4137:$G$100,"&gt;="&amp;C4137)</f>
        <v/>
      </c>
      <c r="H4137">
        <f>INDEX(CBIC_Late_Fee_Relief_Windows_3B!$I$4137:$I$100,MATCH(G4137,CBIC_Late_Fee_Relief_Windows_3B!$O$4137:$O$100,0))</f>
        <v/>
      </c>
      <c r="I4137">
        <f>MIN(F4137,H4137)</f>
        <v/>
      </c>
    </row>
    <row r="4138">
      <c r="A4138">
        <f>TEST_DATA!A4138</f>
        <v/>
      </c>
      <c r="B4138">
        <f>TEST_DATA!B4138</f>
        <v/>
      </c>
      <c r="C4138">
        <f>TEST_DATA!C4138</f>
        <v/>
      </c>
      <c r="D4138">
        <f>TEST_DATA!D4138</f>
        <v/>
      </c>
      <c r="E4138">
        <f>TEST_DATA!E4138</f>
        <v/>
      </c>
      <c r="F4138">
        <f>MIN(E4138*413800,10000)</f>
        <v/>
      </c>
      <c r="G4138">
        <f>MINIFS(CBIC_Late_Fee_Relief_Windows_3B!$O$4138:$O$100,CBIC_Late_Fee_Relief_Windows_3B!$D$4138:$D$100,"&lt;="&amp;B4138,CBIC_Late_Fee_Relief_Windows_3B!$E$4138:$E$100,"&gt;="&amp;B4138,CBIC_Late_Fee_Relief_Windows_3B!$F$4138:$F$100,"&lt;="&amp;C4138,CBIC_Late_Fee_Relief_Windows_3B!$G$4138:$G$100,"&gt;="&amp;C4138)</f>
        <v/>
      </c>
      <c r="H4138">
        <f>INDEX(CBIC_Late_Fee_Relief_Windows_3B!$I$4138:$I$100,MATCH(G4138,CBIC_Late_Fee_Relief_Windows_3B!$O$4138:$O$100,0))</f>
        <v/>
      </c>
      <c r="I4138">
        <f>MIN(F4138,H4138)</f>
        <v/>
      </c>
    </row>
    <row r="4139">
      <c r="A4139">
        <f>TEST_DATA!A4139</f>
        <v/>
      </c>
      <c r="B4139">
        <f>TEST_DATA!B4139</f>
        <v/>
      </c>
      <c r="C4139">
        <f>TEST_DATA!C4139</f>
        <v/>
      </c>
      <c r="D4139">
        <f>TEST_DATA!D4139</f>
        <v/>
      </c>
      <c r="E4139">
        <f>TEST_DATA!E4139</f>
        <v/>
      </c>
      <c r="F4139">
        <f>MIN(E4139*413900,10000)</f>
        <v/>
      </c>
      <c r="G4139">
        <f>MINIFS(CBIC_Late_Fee_Relief_Windows_3B!$O$4139:$O$100,CBIC_Late_Fee_Relief_Windows_3B!$D$4139:$D$100,"&lt;="&amp;B4139,CBIC_Late_Fee_Relief_Windows_3B!$E$4139:$E$100,"&gt;="&amp;B4139,CBIC_Late_Fee_Relief_Windows_3B!$F$4139:$F$100,"&lt;="&amp;C4139,CBIC_Late_Fee_Relief_Windows_3B!$G$4139:$G$100,"&gt;="&amp;C4139)</f>
        <v/>
      </c>
      <c r="H4139">
        <f>INDEX(CBIC_Late_Fee_Relief_Windows_3B!$I$4139:$I$100,MATCH(G4139,CBIC_Late_Fee_Relief_Windows_3B!$O$4139:$O$100,0))</f>
        <v/>
      </c>
      <c r="I4139">
        <f>MIN(F4139,H4139)</f>
        <v/>
      </c>
    </row>
    <row r="4140">
      <c r="A4140">
        <f>TEST_DATA!A4140</f>
        <v/>
      </c>
      <c r="B4140">
        <f>TEST_DATA!B4140</f>
        <v/>
      </c>
      <c r="C4140">
        <f>TEST_DATA!C4140</f>
        <v/>
      </c>
      <c r="D4140">
        <f>TEST_DATA!D4140</f>
        <v/>
      </c>
      <c r="E4140">
        <f>TEST_DATA!E4140</f>
        <v/>
      </c>
      <c r="F4140">
        <f>MIN(E4140*414000,10000)</f>
        <v/>
      </c>
      <c r="G4140">
        <f>MINIFS(CBIC_Late_Fee_Relief_Windows_3B!$O$4140:$O$100,CBIC_Late_Fee_Relief_Windows_3B!$D$4140:$D$100,"&lt;="&amp;B4140,CBIC_Late_Fee_Relief_Windows_3B!$E$4140:$E$100,"&gt;="&amp;B4140,CBIC_Late_Fee_Relief_Windows_3B!$F$4140:$F$100,"&lt;="&amp;C4140,CBIC_Late_Fee_Relief_Windows_3B!$G$4140:$G$100,"&gt;="&amp;C4140)</f>
        <v/>
      </c>
      <c r="H4140">
        <f>INDEX(CBIC_Late_Fee_Relief_Windows_3B!$I$4140:$I$100,MATCH(G4140,CBIC_Late_Fee_Relief_Windows_3B!$O$4140:$O$100,0))</f>
        <v/>
      </c>
      <c r="I4140">
        <f>MIN(F4140,H4140)</f>
        <v/>
      </c>
    </row>
    <row r="4141">
      <c r="A4141">
        <f>TEST_DATA!A4141</f>
        <v/>
      </c>
      <c r="B4141">
        <f>TEST_DATA!B4141</f>
        <v/>
      </c>
      <c r="C4141">
        <f>TEST_DATA!C4141</f>
        <v/>
      </c>
      <c r="D4141">
        <f>TEST_DATA!D4141</f>
        <v/>
      </c>
      <c r="E4141">
        <f>TEST_DATA!E4141</f>
        <v/>
      </c>
      <c r="F4141">
        <f>MIN(E4141*414100,10000)</f>
        <v/>
      </c>
      <c r="G4141">
        <f>MINIFS(CBIC_Late_Fee_Relief_Windows_3B!$O$4141:$O$100,CBIC_Late_Fee_Relief_Windows_3B!$D$4141:$D$100,"&lt;="&amp;B4141,CBIC_Late_Fee_Relief_Windows_3B!$E$4141:$E$100,"&gt;="&amp;B4141,CBIC_Late_Fee_Relief_Windows_3B!$F$4141:$F$100,"&lt;="&amp;C4141,CBIC_Late_Fee_Relief_Windows_3B!$G$4141:$G$100,"&gt;="&amp;C4141)</f>
        <v/>
      </c>
      <c r="H4141">
        <f>INDEX(CBIC_Late_Fee_Relief_Windows_3B!$I$4141:$I$100,MATCH(G4141,CBIC_Late_Fee_Relief_Windows_3B!$O$4141:$O$100,0))</f>
        <v/>
      </c>
      <c r="I4141">
        <f>MIN(F4141,H4141)</f>
        <v/>
      </c>
    </row>
    <row r="4142">
      <c r="A4142">
        <f>TEST_DATA!A4142</f>
        <v/>
      </c>
      <c r="B4142">
        <f>TEST_DATA!B4142</f>
        <v/>
      </c>
      <c r="C4142">
        <f>TEST_DATA!C4142</f>
        <v/>
      </c>
      <c r="D4142">
        <f>TEST_DATA!D4142</f>
        <v/>
      </c>
      <c r="E4142">
        <f>TEST_DATA!E4142</f>
        <v/>
      </c>
      <c r="F4142">
        <f>MIN(E4142*414200,10000)</f>
        <v/>
      </c>
      <c r="G4142">
        <f>MINIFS(CBIC_Late_Fee_Relief_Windows_3B!$O$4142:$O$100,CBIC_Late_Fee_Relief_Windows_3B!$D$4142:$D$100,"&lt;="&amp;B4142,CBIC_Late_Fee_Relief_Windows_3B!$E$4142:$E$100,"&gt;="&amp;B4142,CBIC_Late_Fee_Relief_Windows_3B!$F$4142:$F$100,"&lt;="&amp;C4142,CBIC_Late_Fee_Relief_Windows_3B!$G$4142:$G$100,"&gt;="&amp;C4142)</f>
        <v/>
      </c>
      <c r="H4142">
        <f>INDEX(CBIC_Late_Fee_Relief_Windows_3B!$I$4142:$I$100,MATCH(G4142,CBIC_Late_Fee_Relief_Windows_3B!$O$4142:$O$100,0))</f>
        <v/>
      </c>
      <c r="I4142">
        <f>MIN(F4142,H4142)</f>
        <v/>
      </c>
    </row>
    <row r="4143">
      <c r="A4143">
        <f>TEST_DATA!A4143</f>
        <v/>
      </c>
      <c r="B4143">
        <f>TEST_DATA!B4143</f>
        <v/>
      </c>
      <c r="C4143">
        <f>TEST_DATA!C4143</f>
        <v/>
      </c>
      <c r="D4143">
        <f>TEST_DATA!D4143</f>
        <v/>
      </c>
      <c r="E4143">
        <f>TEST_DATA!E4143</f>
        <v/>
      </c>
      <c r="F4143">
        <f>MIN(E4143*414300,10000)</f>
        <v/>
      </c>
      <c r="G4143">
        <f>MINIFS(CBIC_Late_Fee_Relief_Windows_3B!$O$4143:$O$100,CBIC_Late_Fee_Relief_Windows_3B!$D$4143:$D$100,"&lt;="&amp;B4143,CBIC_Late_Fee_Relief_Windows_3B!$E$4143:$E$100,"&gt;="&amp;B4143,CBIC_Late_Fee_Relief_Windows_3B!$F$4143:$F$100,"&lt;="&amp;C4143,CBIC_Late_Fee_Relief_Windows_3B!$G$4143:$G$100,"&gt;="&amp;C4143)</f>
        <v/>
      </c>
      <c r="H4143">
        <f>INDEX(CBIC_Late_Fee_Relief_Windows_3B!$I$4143:$I$100,MATCH(G4143,CBIC_Late_Fee_Relief_Windows_3B!$O$4143:$O$100,0))</f>
        <v/>
      </c>
      <c r="I4143">
        <f>MIN(F4143,H4143)</f>
        <v/>
      </c>
    </row>
    <row r="4144">
      <c r="A4144">
        <f>TEST_DATA!A4144</f>
        <v/>
      </c>
      <c r="B4144">
        <f>TEST_DATA!B4144</f>
        <v/>
      </c>
      <c r="C4144">
        <f>TEST_DATA!C4144</f>
        <v/>
      </c>
      <c r="D4144">
        <f>TEST_DATA!D4144</f>
        <v/>
      </c>
      <c r="E4144">
        <f>TEST_DATA!E4144</f>
        <v/>
      </c>
      <c r="F4144">
        <f>MIN(E4144*414400,10000)</f>
        <v/>
      </c>
      <c r="G4144">
        <f>MINIFS(CBIC_Late_Fee_Relief_Windows_3B!$O$4144:$O$100,CBIC_Late_Fee_Relief_Windows_3B!$D$4144:$D$100,"&lt;="&amp;B4144,CBIC_Late_Fee_Relief_Windows_3B!$E$4144:$E$100,"&gt;="&amp;B4144,CBIC_Late_Fee_Relief_Windows_3B!$F$4144:$F$100,"&lt;="&amp;C4144,CBIC_Late_Fee_Relief_Windows_3B!$G$4144:$G$100,"&gt;="&amp;C4144)</f>
        <v/>
      </c>
      <c r="H4144">
        <f>INDEX(CBIC_Late_Fee_Relief_Windows_3B!$I$4144:$I$100,MATCH(G4144,CBIC_Late_Fee_Relief_Windows_3B!$O$4144:$O$100,0))</f>
        <v/>
      </c>
      <c r="I4144">
        <f>MIN(F4144,H4144)</f>
        <v/>
      </c>
    </row>
    <row r="4145">
      <c r="A4145">
        <f>TEST_DATA!A4145</f>
        <v/>
      </c>
      <c r="B4145">
        <f>TEST_DATA!B4145</f>
        <v/>
      </c>
      <c r="C4145">
        <f>TEST_DATA!C4145</f>
        <v/>
      </c>
      <c r="D4145">
        <f>TEST_DATA!D4145</f>
        <v/>
      </c>
      <c r="E4145">
        <f>TEST_DATA!E4145</f>
        <v/>
      </c>
      <c r="F4145">
        <f>MIN(E4145*414500,10000)</f>
        <v/>
      </c>
      <c r="G4145">
        <f>MINIFS(CBIC_Late_Fee_Relief_Windows_3B!$O$4145:$O$100,CBIC_Late_Fee_Relief_Windows_3B!$D$4145:$D$100,"&lt;="&amp;B4145,CBIC_Late_Fee_Relief_Windows_3B!$E$4145:$E$100,"&gt;="&amp;B4145,CBIC_Late_Fee_Relief_Windows_3B!$F$4145:$F$100,"&lt;="&amp;C4145,CBIC_Late_Fee_Relief_Windows_3B!$G$4145:$G$100,"&gt;="&amp;C4145)</f>
        <v/>
      </c>
      <c r="H4145">
        <f>INDEX(CBIC_Late_Fee_Relief_Windows_3B!$I$4145:$I$100,MATCH(G4145,CBIC_Late_Fee_Relief_Windows_3B!$O$4145:$O$100,0))</f>
        <v/>
      </c>
      <c r="I4145">
        <f>MIN(F4145,H4145)</f>
        <v/>
      </c>
    </row>
    <row r="4146">
      <c r="A4146">
        <f>TEST_DATA!A4146</f>
        <v/>
      </c>
      <c r="B4146">
        <f>TEST_DATA!B4146</f>
        <v/>
      </c>
      <c r="C4146">
        <f>TEST_DATA!C4146</f>
        <v/>
      </c>
      <c r="D4146">
        <f>TEST_DATA!D4146</f>
        <v/>
      </c>
      <c r="E4146">
        <f>TEST_DATA!E4146</f>
        <v/>
      </c>
      <c r="F4146">
        <f>MIN(E4146*414600,10000)</f>
        <v/>
      </c>
      <c r="G4146">
        <f>MINIFS(CBIC_Late_Fee_Relief_Windows_3B!$O$4146:$O$100,CBIC_Late_Fee_Relief_Windows_3B!$D$4146:$D$100,"&lt;="&amp;B4146,CBIC_Late_Fee_Relief_Windows_3B!$E$4146:$E$100,"&gt;="&amp;B4146,CBIC_Late_Fee_Relief_Windows_3B!$F$4146:$F$100,"&lt;="&amp;C4146,CBIC_Late_Fee_Relief_Windows_3B!$G$4146:$G$100,"&gt;="&amp;C4146)</f>
        <v/>
      </c>
      <c r="H4146">
        <f>INDEX(CBIC_Late_Fee_Relief_Windows_3B!$I$4146:$I$100,MATCH(G4146,CBIC_Late_Fee_Relief_Windows_3B!$O$4146:$O$100,0))</f>
        <v/>
      </c>
      <c r="I4146">
        <f>MIN(F4146,H4146)</f>
        <v/>
      </c>
    </row>
    <row r="4147">
      <c r="A4147">
        <f>TEST_DATA!A4147</f>
        <v/>
      </c>
      <c r="B4147">
        <f>TEST_DATA!B4147</f>
        <v/>
      </c>
      <c r="C4147">
        <f>TEST_DATA!C4147</f>
        <v/>
      </c>
      <c r="D4147">
        <f>TEST_DATA!D4147</f>
        <v/>
      </c>
      <c r="E4147">
        <f>TEST_DATA!E4147</f>
        <v/>
      </c>
      <c r="F4147">
        <f>MIN(E4147*414700,10000)</f>
        <v/>
      </c>
      <c r="G4147">
        <f>MINIFS(CBIC_Late_Fee_Relief_Windows_3B!$O$4147:$O$100,CBIC_Late_Fee_Relief_Windows_3B!$D$4147:$D$100,"&lt;="&amp;B4147,CBIC_Late_Fee_Relief_Windows_3B!$E$4147:$E$100,"&gt;="&amp;B4147,CBIC_Late_Fee_Relief_Windows_3B!$F$4147:$F$100,"&lt;="&amp;C4147,CBIC_Late_Fee_Relief_Windows_3B!$G$4147:$G$100,"&gt;="&amp;C4147)</f>
        <v/>
      </c>
      <c r="H4147">
        <f>INDEX(CBIC_Late_Fee_Relief_Windows_3B!$I$4147:$I$100,MATCH(G4147,CBIC_Late_Fee_Relief_Windows_3B!$O$4147:$O$100,0))</f>
        <v/>
      </c>
      <c r="I4147">
        <f>MIN(F4147,H4147)</f>
        <v/>
      </c>
    </row>
    <row r="4148">
      <c r="A4148">
        <f>TEST_DATA!A4148</f>
        <v/>
      </c>
      <c r="B4148">
        <f>TEST_DATA!B4148</f>
        <v/>
      </c>
      <c r="C4148">
        <f>TEST_DATA!C4148</f>
        <v/>
      </c>
      <c r="D4148">
        <f>TEST_DATA!D4148</f>
        <v/>
      </c>
      <c r="E4148">
        <f>TEST_DATA!E4148</f>
        <v/>
      </c>
      <c r="F4148">
        <f>MIN(E4148*414800,10000)</f>
        <v/>
      </c>
      <c r="G4148">
        <f>MINIFS(CBIC_Late_Fee_Relief_Windows_3B!$O$4148:$O$100,CBIC_Late_Fee_Relief_Windows_3B!$D$4148:$D$100,"&lt;="&amp;B4148,CBIC_Late_Fee_Relief_Windows_3B!$E$4148:$E$100,"&gt;="&amp;B4148,CBIC_Late_Fee_Relief_Windows_3B!$F$4148:$F$100,"&lt;="&amp;C4148,CBIC_Late_Fee_Relief_Windows_3B!$G$4148:$G$100,"&gt;="&amp;C4148)</f>
        <v/>
      </c>
      <c r="H4148">
        <f>INDEX(CBIC_Late_Fee_Relief_Windows_3B!$I$4148:$I$100,MATCH(G4148,CBIC_Late_Fee_Relief_Windows_3B!$O$4148:$O$100,0))</f>
        <v/>
      </c>
      <c r="I4148">
        <f>MIN(F4148,H4148)</f>
        <v/>
      </c>
    </row>
    <row r="4149">
      <c r="A4149">
        <f>TEST_DATA!A4149</f>
        <v/>
      </c>
      <c r="B4149">
        <f>TEST_DATA!B4149</f>
        <v/>
      </c>
      <c r="C4149">
        <f>TEST_DATA!C4149</f>
        <v/>
      </c>
      <c r="D4149">
        <f>TEST_DATA!D4149</f>
        <v/>
      </c>
      <c r="E4149">
        <f>TEST_DATA!E4149</f>
        <v/>
      </c>
      <c r="F4149">
        <f>MIN(E4149*414900,10000)</f>
        <v/>
      </c>
      <c r="G4149">
        <f>MINIFS(CBIC_Late_Fee_Relief_Windows_3B!$O$4149:$O$100,CBIC_Late_Fee_Relief_Windows_3B!$D$4149:$D$100,"&lt;="&amp;B4149,CBIC_Late_Fee_Relief_Windows_3B!$E$4149:$E$100,"&gt;="&amp;B4149,CBIC_Late_Fee_Relief_Windows_3B!$F$4149:$F$100,"&lt;="&amp;C4149,CBIC_Late_Fee_Relief_Windows_3B!$G$4149:$G$100,"&gt;="&amp;C4149)</f>
        <v/>
      </c>
      <c r="H4149">
        <f>INDEX(CBIC_Late_Fee_Relief_Windows_3B!$I$4149:$I$100,MATCH(G4149,CBIC_Late_Fee_Relief_Windows_3B!$O$4149:$O$100,0))</f>
        <v/>
      </c>
      <c r="I4149">
        <f>MIN(F4149,H4149)</f>
        <v/>
      </c>
    </row>
    <row r="4150">
      <c r="A4150">
        <f>TEST_DATA!A4150</f>
        <v/>
      </c>
      <c r="B4150">
        <f>TEST_DATA!B4150</f>
        <v/>
      </c>
      <c r="C4150">
        <f>TEST_DATA!C4150</f>
        <v/>
      </c>
      <c r="D4150">
        <f>TEST_DATA!D4150</f>
        <v/>
      </c>
      <c r="E4150">
        <f>TEST_DATA!E4150</f>
        <v/>
      </c>
      <c r="F4150">
        <f>MIN(E4150*415000,10000)</f>
        <v/>
      </c>
      <c r="G4150">
        <f>MINIFS(CBIC_Late_Fee_Relief_Windows_3B!$O$4150:$O$100,CBIC_Late_Fee_Relief_Windows_3B!$D$4150:$D$100,"&lt;="&amp;B4150,CBIC_Late_Fee_Relief_Windows_3B!$E$4150:$E$100,"&gt;="&amp;B4150,CBIC_Late_Fee_Relief_Windows_3B!$F$4150:$F$100,"&lt;="&amp;C4150,CBIC_Late_Fee_Relief_Windows_3B!$G$4150:$G$100,"&gt;="&amp;C4150)</f>
        <v/>
      </c>
      <c r="H4150">
        <f>INDEX(CBIC_Late_Fee_Relief_Windows_3B!$I$4150:$I$100,MATCH(G4150,CBIC_Late_Fee_Relief_Windows_3B!$O$4150:$O$100,0))</f>
        <v/>
      </c>
      <c r="I4150">
        <f>MIN(F4150,H4150)</f>
        <v/>
      </c>
    </row>
    <row r="4151">
      <c r="A4151">
        <f>TEST_DATA!A4151</f>
        <v/>
      </c>
      <c r="B4151">
        <f>TEST_DATA!B4151</f>
        <v/>
      </c>
      <c r="C4151">
        <f>TEST_DATA!C4151</f>
        <v/>
      </c>
      <c r="D4151">
        <f>TEST_DATA!D4151</f>
        <v/>
      </c>
      <c r="E4151">
        <f>TEST_DATA!E4151</f>
        <v/>
      </c>
      <c r="F4151">
        <f>MIN(E4151*415100,10000)</f>
        <v/>
      </c>
      <c r="G4151">
        <f>MINIFS(CBIC_Late_Fee_Relief_Windows_3B!$O$4151:$O$100,CBIC_Late_Fee_Relief_Windows_3B!$D$4151:$D$100,"&lt;="&amp;B4151,CBIC_Late_Fee_Relief_Windows_3B!$E$4151:$E$100,"&gt;="&amp;B4151,CBIC_Late_Fee_Relief_Windows_3B!$F$4151:$F$100,"&lt;="&amp;C4151,CBIC_Late_Fee_Relief_Windows_3B!$G$4151:$G$100,"&gt;="&amp;C4151)</f>
        <v/>
      </c>
      <c r="H4151">
        <f>INDEX(CBIC_Late_Fee_Relief_Windows_3B!$I$4151:$I$100,MATCH(G4151,CBIC_Late_Fee_Relief_Windows_3B!$O$4151:$O$100,0))</f>
        <v/>
      </c>
      <c r="I4151">
        <f>MIN(F4151,H4151)</f>
        <v/>
      </c>
    </row>
    <row r="4152">
      <c r="A4152">
        <f>TEST_DATA!A4152</f>
        <v/>
      </c>
      <c r="B4152">
        <f>TEST_DATA!B4152</f>
        <v/>
      </c>
      <c r="C4152">
        <f>TEST_DATA!C4152</f>
        <v/>
      </c>
      <c r="D4152">
        <f>TEST_DATA!D4152</f>
        <v/>
      </c>
      <c r="E4152">
        <f>TEST_DATA!E4152</f>
        <v/>
      </c>
      <c r="F4152">
        <f>MIN(E4152*415200,10000)</f>
        <v/>
      </c>
      <c r="G4152">
        <f>MINIFS(CBIC_Late_Fee_Relief_Windows_3B!$O$4152:$O$100,CBIC_Late_Fee_Relief_Windows_3B!$D$4152:$D$100,"&lt;="&amp;B4152,CBIC_Late_Fee_Relief_Windows_3B!$E$4152:$E$100,"&gt;="&amp;B4152,CBIC_Late_Fee_Relief_Windows_3B!$F$4152:$F$100,"&lt;="&amp;C4152,CBIC_Late_Fee_Relief_Windows_3B!$G$4152:$G$100,"&gt;="&amp;C4152)</f>
        <v/>
      </c>
      <c r="H4152">
        <f>INDEX(CBIC_Late_Fee_Relief_Windows_3B!$I$4152:$I$100,MATCH(G4152,CBIC_Late_Fee_Relief_Windows_3B!$O$4152:$O$100,0))</f>
        <v/>
      </c>
      <c r="I4152">
        <f>MIN(F4152,H4152)</f>
        <v/>
      </c>
    </row>
    <row r="4153">
      <c r="A4153">
        <f>TEST_DATA!A4153</f>
        <v/>
      </c>
      <c r="B4153">
        <f>TEST_DATA!B4153</f>
        <v/>
      </c>
      <c r="C4153">
        <f>TEST_DATA!C4153</f>
        <v/>
      </c>
      <c r="D4153">
        <f>TEST_DATA!D4153</f>
        <v/>
      </c>
      <c r="E4153">
        <f>TEST_DATA!E4153</f>
        <v/>
      </c>
      <c r="F4153">
        <f>MIN(E4153*415300,10000)</f>
        <v/>
      </c>
      <c r="G4153">
        <f>MINIFS(CBIC_Late_Fee_Relief_Windows_3B!$O$4153:$O$100,CBIC_Late_Fee_Relief_Windows_3B!$D$4153:$D$100,"&lt;="&amp;B4153,CBIC_Late_Fee_Relief_Windows_3B!$E$4153:$E$100,"&gt;="&amp;B4153,CBIC_Late_Fee_Relief_Windows_3B!$F$4153:$F$100,"&lt;="&amp;C4153,CBIC_Late_Fee_Relief_Windows_3B!$G$4153:$G$100,"&gt;="&amp;C4153)</f>
        <v/>
      </c>
      <c r="H4153">
        <f>INDEX(CBIC_Late_Fee_Relief_Windows_3B!$I$4153:$I$100,MATCH(G4153,CBIC_Late_Fee_Relief_Windows_3B!$O$4153:$O$100,0))</f>
        <v/>
      </c>
      <c r="I4153">
        <f>MIN(F4153,H4153)</f>
        <v/>
      </c>
    </row>
    <row r="4154">
      <c r="A4154">
        <f>TEST_DATA!A4154</f>
        <v/>
      </c>
      <c r="B4154">
        <f>TEST_DATA!B4154</f>
        <v/>
      </c>
      <c r="C4154">
        <f>TEST_DATA!C4154</f>
        <v/>
      </c>
      <c r="D4154">
        <f>TEST_DATA!D4154</f>
        <v/>
      </c>
      <c r="E4154">
        <f>TEST_DATA!E4154</f>
        <v/>
      </c>
      <c r="F4154">
        <f>MIN(E4154*415400,10000)</f>
        <v/>
      </c>
      <c r="G4154">
        <f>MINIFS(CBIC_Late_Fee_Relief_Windows_3B!$O$4154:$O$100,CBIC_Late_Fee_Relief_Windows_3B!$D$4154:$D$100,"&lt;="&amp;B4154,CBIC_Late_Fee_Relief_Windows_3B!$E$4154:$E$100,"&gt;="&amp;B4154,CBIC_Late_Fee_Relief_Windows_3B!$F$4154:$F$100,"&lt;="&amp;C4154,CBIC_Late_Fee_Relief_Windows_3B!$G$4154:$G$100,"&gt;="&amp;C4154)</f>
        <v/>
      </c>
      <c r="H4154">
        <f>INDEX(CBIC_Late_Fee_Relief_Windows_3B!$I$4154:$I$100,MATCH(G4154,CBIC_Late_Fee_Relief_Windows_3B!$O$4154:$O$100,0))</f>
        <v/>
      </c>
      <c r="I4154">
        <f>MIN(F4154,H4154)</f>
        <v/>
      </c>
    </row>
    <row r="4155">
      <c r="A4155">
        <f>TEST_DATA!A4155</f>
        <v/>
      </c>
      <c r="B4155">
        <f>TEST_DATA!B4155</f>
        <v/>
      </c>
      <c r="C4155">
        <f>TEST_DATA!C4155</f>
        <v/>
      </c>
      <c r="D4155">
        <f>TEST_DATA!D4155</f>
        <v/>
      </c>
      <c r="E4155">
        <f>TEST_DATA!E4155</f>
        <v/>
      </c>
      <c r="F4155">
        <f>MIN(E4155*415500,10000)</f>
        <v/>
      </c>
      <c r="G4155">
        <f>MINIFS(CBIC_Late_Fee_Relief_Windows_3B!$O$4155:$O$100,CBIC_Late_Fee_Relief_Windows_3B!$D$4155:$D$100,"&lt;="&amp;B4155,CBIC_Late_Fee_Relief_Windows_3B!$E$4155:$E$100,"&gt;="&amp;B4155,CBIC_Late_Fee_Relief_Windows_3B!$F$4155:$F$100,"&lt;="&amp;C4155,CBIC_Late_Fee_Relief_Windows_3B!$G$4155:$G$100,"&gt;="&amp;C4155)</f>
        <v/>
      </c>
      <c r="H4155">
        <f>INDEX(CBIC_Late_Fee_Relief_Windows_3B!$I$4155:$I$100,MATCH(G4155,CBIC_Late_Fee_Relief_Windows_3B!$O$4155:$O$100,0))</f>
        <v/>
      </c>
      <c r="I4155">
        <f>MIN(F4155,H4155)</f>
        <v/>
      </c>
    </row>
    <row r="4156">
      <c r="A4156">
        <f>TEST_DATA!A4156</f>
        <v/>
      </c>
      <c r="B4156">
        <f>TEST_DATA!B4156</f>
        <v/>
      </c>
      <c r="C4156">
        <f>TEST_DATA!C4156</f>
        <v/>
      </c>
      <c r="D4156">
        <f>TEST_DATA!D4156</f>
        <v/>
      </c>
      <c r="E4156">
        <f>TEST_DATA!E4156</f>
        <v/>
      </c>
      <c r="F4156">
        <f>MIN(E4156*415600,10000)</f>
        <v/>
      </c>
      <c r="G4156">
        <f>MINIFS(CBIC_Late_Fee_Relief_Windows_3B!$O$4156:$O$100,CBIC_Late_Fee_Relief_Windows_3B!$D$4156:$D$100,"&lt;="&amp;B4156,CBIC_Late_Fee_Relief_Windows_3B!$E$4156:$E$100,"&gt;="&amp;B4156,CBIC_Late_Fee_Relief_Windows_3B!$F$4156:$F$100,"&lt;="&amp;C4156,CBIC_Late_Fee_Relief_Windows_3B!$G$4156:$G$100,"&gt;="&amp;C4156)</f>
        <v/>
      </c>
      <c r="H4156">
        <f>INDEX(CBIC_Late_Fee_Relief_Windows_3B!$I$4156:$I$100,MATCH(G4156,CBIC_Late_Fee_Relief_Windows_3B!$O$4156:$O$100,0))</f>
        <v/>
      </c>
      <c r="I4156">
        <f>MIN(F4156,H4156)</f>
        <v/>
      </c>
    </row>
    <row r="4157">
      <c r="A4157">
        <f>TEST_DATA!A4157</f>
        <v/>
      </c>
      <c r="B4157">
        <f>TEST_DATA!B4157</f>
        <v/>
      </c>
      <c r="C4157">
        <f>TEST_DATA!C4157</f>
        <v/>
      </c>
      <c r="D4157">
        <f>TEST_DATA!D4157</f>
        <v/>
      </c>
      <c r="E4157">
        <f>TEST_DATA!E4157</f>
        <v/>
      </c>
      <c r="F4157">
        <f>MIN(E4157*415700,10000)</f>
        <v/>
      </c>
      <c r="G4157">
        <f>MINIFS(CBIC_Late_Fee_Relief_Windows_3B!$O$4157:$O$100,CBIC_Late_Fee_Relief_Windows_3B!$D$4157:$D$100,"&lt;="&amp;B4157,CBIC_Late_Fee_Relief_Windows_3B!$E$4157:$E$100,"&gt;="&amp;B4157,CBIC_Late_Fee_Relief_Windows_3B!$F$4157:$F$100,"&lt;="&amp;C4157,CBIC_Late_Fee_Relief_Windows_3B!$G$4157:$G$100,"&gt;="&amp;C4157)</f>
        <v/>
      </c>
      <c r="H4157">
        <f>INDEX(CBIC_Late_Fee_Relief_Windows_3B!$I$4157:$I$100,MATCH(G4157,CBIC_Late_Fee_Relief_Windows_3B!$O$4157:$O$100,0))</f>
        <v/>
      </c>
      <c r="I4157">
        <f>MIN(F4157,H4157)</f>
        <v/>
      </c>
    </row>
    <row r="4158">
      <c r="A4158">
        <f>TEST_DATA!A4158</f>
        <v/>
      </c>
      <c r="B4158">
        <f>TEST_DATA!B4158</f>
        <v/>
      </c>
      <c r="C4158">
        <f>TEST_DATA!C4158</f>
        <v/>
      </c>
      <c r="D4158">
        <f>TEST_DATA!D4158</f>
        <v/>
      </c>
      <c r="E4158">
        <f>TEST_DATA!E4158</f>
        <v/>
      </c>
      <c r="F4158">
        <f>MIN(E4158*415800,10000)</f>
        <v/>
      </c>
      <c r="G4158">
        <f>MINIFS(CBIC_Late_Fee_Relief_Windows_3B!$O$4158:$O$100,CBIC_Late_Fee_Relief_Windows_3B!$D$4158:$D$100,"&lt;="&amp;B4158,CBIC_Late_Fee_Relief_Windows_3B!$E$4158:$E$100,"&gt;="&amp;B4158,CBIC_Late_Fee_Relief_Windows_3B!$F$4158:$F$100,"&lt;="&amp;C4158,CBIC_Late_Fee_Relief_Windows_3B!$G$4158:$G$100,"&gt;="&amp;C4158)</f>
        <v/>
      </c>
      <c r="H4158">
        <f>INDEX(CBIC_Late_Fee_Relief_Windows_3B!$I$4158:$I$100,MATCH(G4158,CBIC_Late_Fee_Relief_Windows_3B!$O$4158:$O$100,0))</f>
        <v/>
      </c>
      <c r="I4158">
        <f>MIN(F4158,H4158)</f>
        <v/>
      </c>
    </row>
    <row r="4159">
      <c r="A4159">
        <f>TEST_DATA!A4159</f>
        <v/>
      </c>
      <c r="B4159">
        <f>TEST_DATA!B4159</f>
        <v/>
      </c>
      <c r="C4159">
        <f>TEST_DATA!C4159</f>
        <v/>
      </c>
      <c r="D4159">
        <f>TEST_DATA!D4159</f>
        <v/>
      </c>
      <c r="E4159">
        <f>TEST_DATA!E4159</f>
        <v/>
      </c>
      <c r="F4159">
        <f>MIN(E4159*415900,10000)</f>
        <v/>
      </c>
      <c r="G4159">
        <f>MINIFS(CBIC_Late_Fee_Relief_Windows_3B!$O$4159:$O$100,CBIC_Late_Fee_Relief_Windows_3B!$D$4159:$D$100,"&lt;="&amp;B4159,CBIC_Late_Fee_Relief_Windows_3B!$E$4159:$E$100,"&gt;="&amp;B4159,CBIC_Late_Fee_Relief_Windows_3B!$F$4159:$F$100,"&lt;="&amp;C4159,CBIC_Late_Fee_Relief_Windows_3B!$G$4159:$G$100,"&gt;="&amp;C4159)</f>
        <v/>
      </c>
      <c r="H4159">
        <f>INDEX(CBIC_Late_Fee_Relief_Windows_3B!$I$4159:$I$100,MATCH(G4159,CBIC_Late_Fee_Relief_Windows_3B!$O$4159:$O$100,0))</f>
        <v/>
      </c>
      <c r="I4159">
        <f>MIN(F4159,H4159)</f>
        <v/>
      </c>
    </row>
    <row r="4160">
      <c r="A4160">
        <f>TEST_DATA!A4160</f>
        <v/>
      </c>
      <c r="B4160">
        <f>TEST_DATA!B4160</f>
        <v/>
      </c>
      <c r="C4160">
        <f>TEST_DATA!C4160</f>
        <v/>
      </c>
      <c r="D4160">
        <f>TEST_DATA!D4160</f>
        <v/>
      </c>
      <c r="E4160">
        <f>TEST_DATA!E4160</f>
        <v/>
      </c>
      <c r="F4160">
        <f>MIN(E4160*416000,10000)</f>
        <v/>
      </c>
      <c r="G4160">
        <f>MINIFS(CBIC_Late_Fee_Relief_Windows_3B!$O$4160:$O$100,CBIC_Late_Fee_Relief_Windows_3B!$D$4160:$D$100,"&lt;="&amp;B4160,CBIC_Late_Fee_Relief_Windows_3B!$E$4160:$E$100,"&gt;="&amp;B4160,CBIC_Late_Fee_Relief_Windows_3B!$F$4160:$F$100,"&lt;="&amp;C4160,CBIC_Late_Fee_Relief_Windows_3B!$G$4160:$G$100,"&gt;="&amp;C4160)</f>
        <v/>
      </c>
      <c r="H4160">
        <f>INDEX(CBIC_Late_Fee_Relief_Windows_3B!$I$4160:$I$100,MATCH(G4160,CBIC_Late_Fee_Relief_Windows_3B!$O$4160:$O$100,0))</f>
        <v/>
      </c>
      <c r="I4160">
        <f>MIN(F4160,H4160)</f>
        <v/>
      </c>
    </row>
    <row r="4161">
      <c r="A4161">
        <f>TEST_DATA!A4161</f>
        <v/>
      </c>
      <c r="B4161">
        <f>TEST_DATA!B4161</f>
        <v/>
      </c>
      <c r="C4161">
        <f>TEST_DATA!C4161</f>
        <v/>
      </c>
      <c r="D4161">
        <f>TEST_DATA!D4161</f>
        <v/>
      </c>
      <c r="E4161">
        <f>TEST_DATA!E4161</f>
        <v/>
      </c>
      <c r="F4161">
        <f>MIN(E4161*416100,10000)</f>
        <v/>
      </c>
      <c r="G4161">
        <f>MINIFS(CBIC_Late_Fee_Relief_Windows_3B!$O$4161:$O$100,CBIC_Late_Fee_Relief_Windows_3B!$D$4161:$D$100,"&lt;="&amp;B4161,CBIC_Late_Fee_Relief_Windows_3B!$E$4161:$E$100,"&gt;="&amp;B4161,CBIC_Late_Fee_Relief_Windows_3B!$F$4161:$F$100,"&lt;="&amp;C4161,CBIC_Late_Fee_Relief_Windows_3B!$G$4161:$G$100,"&gt;="&amp;C4161)</f>
        <v/>
      </c>
      <c r="H4161">
        <f>INDEX(CBIC_Late_Fee_Relief_Windows_3B!$I$4161:$I$100,MATCH(G4161,CBIC_Late_Fee_Relief_Windows_3B!$O$4161:$O$100,0))</f>
        <v/>
      </c>
      <c r="I4161">
        <f>MIN(F4161,H4161)</f>
        <v/>
      </c>
    </row>
    <row r="4162">
      <c r="A4162">
        <f>TEST_DATA!A4162</f>
        <v/>
      </c>
      <c r="B4162">
        <f>TEST_DATA!B4162</f>
        <v/>
      </c>
      <c r="C4162">
        <f>TEST_DATA!C4162</f>
        <v/>
      </c>
      <c r="D4162">
        <f>TEST_DATA!D4162</f>
        <v/>
      </c>
      <c r="E4162">
        <f>TEST_DATA!E4162</f>
        <v/>
      </c>
      <c r="F4162">
        <f>MIN(E4162*416200,10000)</f>
        <v/>
      </c>
      <c r="G4162">
        <f>MINIFS(CBIC_Late_Fee_Relief_Windows_3B!$O$4162:$O$100,CBIC_Late_Fee_Relief_Windows_3B!$D$4162:$D$100,"&lt;="&amp;B4162,CBIC_Late_Fee_Relief_Windows_3B!$E$4162:$E$100,"&gt;="&amp;B4162,CBIC_Late_Fee_Relief_Windows_3B!$F$4162:$F$100,"&lt;="&amp;C4162,CBIC_Late_Fee_Relief_Windows_3B!$G$4162:$G$100,"&gt;="&amp;C4162)</f>
        <v/>
      </c>
      <c r="H4162">
        <f>INDEX(CBIC_Late_Fee_Relief_Windows_3B!$I$4162:$I$100,MATCH(G4162,CBIC_Late_Fee_Relief_Windows_3B!$O$4162:$O$100,0))</f>
        <v/>
      </c>
      <c r="I4162">
        <f>MIN(F4162,H4162)</f>
        <v/>
      </c>
    </row>
    <row r="4163">
      <c r="A4163">
        <f>TEST_DATA!A4163</f>
        <v/>
      </c>
      <c r="B4163">
        <f>TEST_DATA!B4163</f>
        <v/>
      </c>
      <c r="C4163">
        <f>TEST_DATA!C4163</f>
        <v/>
      </c>
      <c r="D4163">
        <f>TEST_DATA!D4163</f>
        <v/>
      </c>
      <c r="E4163">
        <f>TEST_DATA!E4163</f>
        <v/>
      </c>
      <c r="F4163">
        <f>MIN(E4163*416300,10000)</f>
        <v/>
      </c>
      <c r="G4163">
        <f>MINIFS(CBIC_Late_Fee_Relief_Windows_3B!$O$4163:$O$100,CBIC_Late_Fee_Relief_Windows_3B!$D$4163:$D$100,"&lt;="&amp;B4163,CBIC_Late_Fee_Relief_Windows_3B!$E$4163:$E$100,"&gt;="&amp;B4163,CBIC_Late_Fee_Relief_Windows_3B!$F$4163:$F$100,"&lt;="&amp;C4163,CBIC_Late_Fee_Relief_Windows_3B!$G$4163:$G$100,"&gt;="&amp;C4163)</f>
        <v/>
      </c>
      <c r="H4163">
        <f>INDEX(CBIC_Late_Fee_Relief_Windows_3B!$I$4163:$I$100,MATCH(G4163,CBIC_Late_Fee_Relief_Windows_3B!$O$4163:$O$100,0))</f>
        <v/>
      </c>
      <c r="I4163">
        <f>MIN(F4163,H4163)</f>
        <v/>
      </c>
    </row>
    <row r="4164">
      <c r="A4164">
        <f>TEST_DATA!A4164</f>
        <v/>
      </c>
      <c r="B4164">
        <f>TEST_DATA!B4164</f>
        <v/>
      </c>
      <c r="C4164">
        <f>TEST_DATA!C4164</f>
        <v/>
      </c>
      <c r="D4164">
        <f>TEST_DATA!D4164</f>
        <v/>
      </c>
      <c r="E4164">
        <f>TEST_DATA!E4164</f>
        <v/>
      </c>
      <c r="F4164">
        <f>MIN(E4164*416400,10000)</f>
        <v/>
      </c>
      <c r="G4164">
        <f>MINIFS(CBIC_Late_Fee_Relief_Windows_3B!$O$4164:$O$100,CBIC_Late_Fee_Relief_Windows_3B!$D$4164:$D$100,"&lt;="&amp;B4164,CBIC_Late_Fee_Relief_Windows_3B!$E$4164:$E$100,"&gt;="&amp;B4164,CBIC_Late_Fee_Relief_Windows_3B!$F$4164:$F$100,"&lt;="&amp;C4164,CBIC_Late_Fee_Relief_Windows_3B!$G$4164:$G$100,"&gt;="&amp;C4164)</f>
        <v/>
      </c>
      <c r="H4164">
        <f>INDEX(CBIC_Late_Fee_Relief_Windows_3B!$I$4164:$I$100,MATCH(G4164,CBIC_Late_Fee_Relief_Windows_3B!$O$4164:$O$100,0))</f>
        <v/>
      </c>
      <c r="I4164">
        <f>MIN(F4164,H4164)</f>
        <v/>
      </c>
    </row>
    <row r="4165">
      <c r="A4165">
        <f>TEST_DATA!A4165</f>
        <v/>
      </c>
      <c r="B4165">
        <f>TEST_DATA!B4165</f>
        <v/>
      </c>
      <c r="C4165">
        <f>TEST_DATA!C4165</f>
        <v/>
      </c>
      <c r="D4165">
        <f>TEST_DATA!D4165</f>
        <v/>
      </c>
      <c r="E4165">
        <f>TEST_DATA!E4165</f>
        <v/>
      </c>
      <c r="F4165">
        <f>MIN(E4165*416500,10000)</f>
        <v/>
      </c>
      <c r="G4165">
        <f>MINIFS(CBIC_Late_Fee_Relief_Windows_3B!$O$4165:$O$100,CBIC_Late_Fee_Relief_Windows_3B!$D$4165:$D$100,"&lt;="&amp;B4165,CBIC_Late_Fee_Relief_Windows_3B!$E$4165:$E$100,"&gt;="&amp;B4165,CBIC_Late_Fee_Relief_Windows_3B!$F$4165:$F$100,"&lt;="&amp;C4165,CBIC_Late_Fee_Relief_Windows_3B!$G$4165:$G$100,"&gt;="&amp;C4165)</f>
        <v/>
      </c>
      <c r="H4165">
        <f>INDEX(CBIC_Late_Fee_Relief_Windows_3B!$I$4165:$I$100,MATCH(G4165,CBIC_Late_Fee_Relief_Windows_3B!$O$4165:$O$100,0))</f>
        <v/>
      </c>
      <c r="I4165">
        <f>MIN(F4165,H4165)</f>
        <v/>
      </c>
    </row>
    <row r="4166">
      <c r="A4166">
        <f>TEST_DATA!A4166</f>
        <v/>
      </c>
      <c r="B4166">
        <f>TEST_DATA!B4166</f>
        <v/>
      </c>
      <c r="C4166">
        <f>TEST_DATA!C4166</f>
        <v/>
      </c>
      <c r="D4166">
        <f>TEST_DATA!D4166</f>
        <v/>
      </c>
      <c r="E4166">
        <f>TEST_DATA!E4166</f>
        <v/>
      </c>
      <c r="F4166">
        <f>MIN(E4166*416600,10000)</f>
        <v/>
      </c>
      <c r="G4166">
        <f>MINIFS(CBIC_Late_Fee_Relief_Windows_3B!$O$4166:$O$100,CBIC_Late_Fee_Relief_Windows_3B!$D$4166:$D$100,"&lt;="&amp;B4166,CBIC_Late_Fee_Relief_Windows_3B!$E$4166:$E$100,"&gt;="&amp;B4166,CBIC_Late_Fee_Relief_Windows_3B!$F$4166:$F$100,"&lt;="&amp;C4166,CBIC_Late_Fee_Relief_Windows_3B!$G$4166:$G$100,"&gt;="&amp;C4166)</f>
        <v/>
      </c>
      <c r="H4166">
        <f>INDEX(CBIC_Late_Fee_Relief_Windows_3B!$I$4166:$I$100,MATCH(G4166,CBIC_Late_Fee_Relief_Windows_3B!$O$4166:$O$100,0))</f>
        <v/>
      </c>
      <c r="I4166">
        <f>MIN(F4166,H4166)</f>
        <v/>
      </c>
    </row>
    <row r="4167">
      <c r="A4167">
        <f>TEST_DATA!A4167</f>
        <v/>
      </c>
      <c r="B4167">
        <f>TEST_DATA!B4167</f>
        <v/>
      </c>
      <c r="C4167">
        <f>TEST_DATA!C4167</f>
        <v/>
      </c>
      <c r="D4167">
        <f>TEST_DATA!D4167</f>
        <v/>
      </c>
      <c r="E4167">
        <f>TEST_DATA!E4167</f>
        <v/>
      </c>
      <c r="F4167">
        <f>MIN(E4167*416700,10000)</f>
        <v/>
      </c>
      <c r="G4167">
        <f>MINIFS(CBIC_Late_Fee_Relief_Windows_3B!$O$4167:$O$100,CBIC_Late_Fee_Relief_Windows_3B!$D$4167:$D$100,"&lt;="&amp;B4167,CBIC_Late_Fee_Relief_Windows_3B!$E$4167:$E$100,"&gt;="&amp;B4167,CBIC_Late_Fee_Relief_Windows_3B!$F$4167:$F$100,"&lt;="&amp;C4167,CBIC_Late_Fee_Relief_Windows_3B!$G$4167:$G$100,"&gt;="&amp;C4167)</f>
        <v/>
      </c>
      <c r="H4167">
        <f>INDEX(CBIC_Late_Fee_Relief_Windows_3B!$I$4167:$I$100,MATCH(G4167,CBIC_Late_Fee_Relief_Windows_3B!$O$4167:$O$100,0))</f>
        <v/>
      </c>
      <c r="I4167">
        <f>MIN(F4167,H4167)</f>
        <v/>
      </c>
    </row>
    <row r="4168">
      <c r="A4168">
        <f>TEST_DATA!A4168</f>
        <v/>
      </c>
      <c r="B4168">
        <f>TEST_DATA!B4168</f>
        <v/>
      </c>
      <c r="C4168">
        <f>TEST_DATA!C4168</f>
        <v/>
      </c>
      <c r="D4168">
        <f>TEST_DATA!D4168</f>
        <v/>
      </c>
      <c r="E4168">
        <f>TEST_DATA!E4168</f>
        <v/>
      </c>
      <c r="F4168">
        <f>MIN(E4168*416800,10000)</f>
        <v/>
      </c>
      <c r="G4168">
        <f>MINIFS(CBIC_Late_Fee_Relief_Windows_3B!$O$4168:$O$100,CBIC_Late_Fee_Relief_Windows_3B!$D$4168:$D$100,"&lt;="&amp;B4168,CBIC_Late_Fee_Relief_Windows_3B!$E$4168:$E$100,"&gt;="&amp;B4168,CBIC_Late_Fee_Relief_Windows_3B!$F$4168:$F$100,"&lt;="&amp;C4168,CBIC_Late_Fee_Relief_Windows_3B!$G$4168:$G$100,"&gt;="&amp;C4168)</f>
        <v/>
      </c>
      <c r="H4168">
        <f>INDEX(CBIC_Late_Fee_Relief_Windows_3B!$I$4168:$I$100,MATCH(G4168,CBIC_Late_Fee_Relief_Windows_3B!$O$4168:$O$100,0))</f>
        <v/>
      </c>
      <c r="I4168">
        <f>MIN(F4168,H4168)</f>
        <v/>
      </c>
    </row>
    <row r="4169">
      <c r="A4169">
        <f>TEST_DATA!A4169</f>
        <v/>
      </c>
      <c r="B4169">
        <f>TEST_DATA!B4169</f>
        <v/>
      </c>
      <c r="C4169">
        <f>TEST_DATA!C4169</f>
        <v/>
      </c>
      <c r="D4169">
        <f>TEST_DATA!D4169</f>
        <v/>
      </c>
      <c r="E4169">
        <f>TEST_DATA!E4169</f>
        <v/>
      </c>
      <c r="F4169">
        <f>MIN(E4169*416900,10000)</f>
        <v/>
      </c>
      <c r="G4169">
        <f>MINIFS(CBIC_Late_Fee_Relief_Windows_3B!$O$4169:$O$100,CBIC_Late_Fee_Relief_Windows_3B!$D$4169:$D$100,"&lt;="&amp;B4169,CBIC_Late_Fee_Relief_Windows_3B!$E$4169:$E$100,"&gt;="&amp;B4169,CBIC_Late_Fee_Relief_Windows_3B!$F$4169:$F$100,"&lt;="&amp;C4169,CBIC_Late_Fee_Relief_Windows_3B!$G$4169:$G$100,"&gt;="&amp;C4169)</f>
        <v/>
      </c>
      <c r="H4169">
        <f>INDEX(CBIC_Late_Fee_Relief_Windows_3B!$I$4169:$I$100,MATCH(G4169,CBIC_Late_Fee_Relief_Windows_3B!$O$4169:$O$100,0))</f>
        <v/>
      </c>
      <c r="I4169">
        <f>MIN(F4169,H4169)</f>
        <v/>
      </c>
    </row>
    <row r="4170">
      <c r="A4170">
        <f>TEST_DATA!A4170</f>
        <v/>
      </c>
      <c r="B4170">
        <f>TEST_DATA!B4170</f>
        <v/>
      </c>
      <c r="C4170">
        <f>TEST_DATA!C4170</f>
        <v/>
      </c>
      <c r="D4170">
        <f>TEST_DATA!D4170</f>
        <v/>
      </c>
      <c r="E4170">
        <f>TEST_DATA!E4170</f>
        <v/>
      </c>
      <c r="F4170">
        <f>MIN(E4170*417000,10000)</f>
        <v/>
      </c>
      <c r="G4170">
        <f>MINIFS(CBIC_Late_Fee_Relief_Windows_3B!$O$4170:$O$100,CBIC_Late_Fee_Relief_Windows_3B!$D$4170:$D$100,"&lt;="&amp;B4170,CBIC_Late_Fee_Relief_Windows_3B!$E$4170:$E$100,"&gt;="&amp;B4170,CBIC_Late_Fee_Relief_Windows_3B!$F$4170:$F$100,"&lt;="&amp;C4170,CBIC_Late_Fee_Relief_Windows_3B!$G$4170:$G$100,"&gt;="&amp;C4170)</f>
        <v/>
      </c>
      <c r="H4170">
        <f>INDEX(CBIC_Late_Fee_Relief_Windows_3B!$I$4170:$I$100,MATCH(G4170,CBIC_Late_Fee_Relief_Windows_3B!$O$4170:$O$100,0))</f>
        <v/>
      </c>
      <c r="I4170">
        <f>MIN(F4170,H4170)</f>
        <v/>
      </c>
    </row>
    <row r="4171">
      <c r="A4171">
        <f>TEST_DATA!A4171</f>
        <v/>
      </c>
      <c r="B4171">
        <f>TEST_DATA!B4171</f>
        <v/>
      </c>
      <c r="C4171">
        <f>TEST_DATA!C4171</f>
        <v/>
      </c>
      <c r="D4171">
        <f>TEST_DATA!D4171</f>
        <v/>
      </c>
      <c r="E4171">
        <f>TEST_DATA!E4171</f>
        <v/>
      </c>
      <c r="F4171">
        <f>MIN(E4171*417100,10000)</f>
        <v/>
      </c>
      <c r="G4171">
        <f>MINIFS(CBIC_Late_Fee_Relief_Windows_3B!$O$4171:$O$100,CBIC_Late_Fee_Relief_Windows_3B!$D$4171:$D$100,"&lt;="&amp;B4171,CBIC_Late_Fee_Relief_Windows_3B!$E$4171:$E$100,"&gt;="&amp;B4171,CBIC_Late_Fee_Relief_Windows_3B!$F$4171:$F$100,"&lt;="&amp;C4171,CBIC_Late_Fee_Relief_Windows_3B!$G$4171:$G$100,"&gt;="&amp;C4171)</f>
        <v/>
      </c>
      <c r="H4171">
        <f>INDEX(CBIC_Late_Fee_Relief_Windows_3B!$I$4171:$I$100,MATCH(G4171,CBIC_Late_Fee_Relief_Windows_3B!$O$4171:$O$100,0))</f>
        <v/>
      </c>
      <c r="I4171">
        <f>MIN(F4171,H4171)</f>
        <v/>
      </c>
    </row>
    <row r="4172">
      <c r="A4172">
        <f>TEST_DATA!A4172</f>
        <v/>
      </c>
      <c r="B4172">
        <f>TEST_DATA!B4172</f>
        <v/>
      </c>
      <c r="C4172">
        <f>TEST_DATA!C4172</f>
        <v/>
      </c>
      <c r="D4172">
        <f>TEST_DATA!D4172</f>
        <v/>
      </c>
      <c r="E4172">
        <f>TEST_DATA!E4172</f>
        <v/>
      </c>
      <c r="F4172">
        <f>MIN(E4172*417200,10000)</f>
        <v/>
      </c>
      <c r="G4172">
        <f>MINIFS(CBIC_Late_Fee_Relief_Windows_3B!$O$4172:$O$100,CBIC_Late_Fee_Relief_Windows_3B!$D$4172:$D$100,"&lt;="&amp;B4172,CBIC_Late_Fee_Relief_Windows_3B!$E$4172:$E$100,"&gt;="&amp;B4172,CBIC_Late_Fee_Relief_Windows_3B!$F$4172:$F$100,"&lt;="&amp;C4172,CBIC_Late_Fee_Relief_Windows_3B!$G$4172:$G$100,"&gt;="&amp;C4172)</f>
        <v/>
      </c>
      <c r="H4172">
        <f>INDEX(CBIC_Late_Fee_Relief_Windows_3B!$I$4172:$I$100,MATCH(G4172,CBIC_Late_Fee_Relief_Windows_3B!$O$4172:$O$100,0))</f>
        <v/>
      </c>
      <c r="I4172">
        <f>MIN(F4172,H4172)</f>
        <v/>
      </c>
    </row>
    <row r="4173">
      <c r="A4173">
        <f>TEST_DATA!A4173</f>
        <v/>
      </c>
      <c r="B4173">
        <f>TEST_DATA!B4173</f>
        <v/>
      </c>
      <c r="C4173">
        <f>TEST_DATA!C4173</f>
        <v/>
      </c>
      <c r="D4173">
        <f>TEST_DATA!D4173</f>
        <v/>
      </c>
      <c r="E4173">
        <f>TEST_DATA!E4173</f>
        <v/>
      </c>
      <c r="F4173">
        <f>MIN(E4173*417300,10000)</f>
        <v/>
      </c>
      <c r="G4173">
        <f>MINIFS(CBIC_Late_Fee_Relief_Windows_3B!$O$4173:$O$100,CBIC_Late_Fee_Relief_Windows_3B!$D$4173:$D$100,"&lt;="&amp;B4173,CBIC_Late_Fee_Relief_Windows_3B!$E$4173:$E$100,"&gt;="&amp;B4173,CBIC_Late_Fee_Relief_Windows_3B!$F$4173:$F$100,"&lt;="&amp;C4173,CBIC_Late_Fee_Relief_Windows_3B!$G$4173:$G$100,"&gt;="&amp;C4173)</f>
        <v/>
      </c>
      <c r="H4173">
        <f>INDEX(CBIC_Late_Fee_Relief_Windows_3B!$I$4173:$I$100,MATCH(G4173,CBIC_Late_Fee_Relief_Windows_3B!$O$4173:$O$100,0))</f>
        <v/>
      </c>
      <c r="I4173">
        <f>MIN(F4173,H4173)</f>
        <v/>
      </c>
    </row>
    <row r="4174">
      <c r="A4174">
        <f>TEST_DATA!A4174</f>
        <v/>
      </c>
      <c r="B4174">
        <f>TEST_DATA!B4174</f>
        <v/>
      </c>
      <c r="C4174">
        <f>TEST_DATA!C4174</f>
        <v/>
      </c>
      <c r="D4174">
        <f>TEST_DATA!D4174</f>
        <v/>
      </c>
      <c r="E4174">
        <f>TEST_DATA!E4174</f>
        <v/>
      </c>
      <c r="F4174">
        <f>MIN(E4174*417400,10000)</f>
        <v/>
      </c>
      <c r="G4174">
        <f>MINIFS(CBIC_Late_Fee_Relief_Windows_3B!$O$4174:$O$100,CBIC_Late_Fee_Relief_Windows_3B!$D$4174:$D$100,"&lt;="&amp;B4174,CBIC_Late_Fee_Relief_Windows_3B!$E$4174:$E$100,"&gt;="&amp;B4174,CBIC_Late_Fee_Relief_Windows_3B!$F$4174:$F$100,"&lt;="&amp;C4174,CBIC_Late_Fee_Relief_Windows_3B!$G$4174:$G$100,"&gt;="&amp;C4174)</f>
        <v/>
      </c>
      <c r="H4174">
        <f>INDEX(CBIC_Late_Fee_Relief_Windows_3B!$I$4174:$I$100,MATCH(G4174,CBIC_Late_Fee_Relief_Windows_3B!$O$4174:$O$100,0))</f>
        <v/>
      </c>
      <c r="I4174">
        <f>MIN(F4174,H4174)</f>
        <v/>
      </c>
    </row>
    <row r="4175">
      <c r="A4175">
        <f>TEST_DATA!A4175</f>
        <v/>
      </c>
      <c r="B4175">
        <f>TEST_DATA!B4175</f>
        <v/>
      </c>
      <c r="C4175">
        <f>TEST_DATA!C4175</f>
        <v/>
      </c>
      <c r="D4175">
        <f>TEST_DATA!D4175</f>
        <v/>
      </c>
      <c r="E4175">
        <f>TEST_DATA!E4175</f>
        <v/>
      </c>
      <c r="F4175">
        <f>MIN(E4175*417500,10000)</f>
        <v/>
      </c>
      <c r="G4175">
        <f>MINIFS(CBIC_Late_Fee_Relief_Windows_3B!$O$4175:$O$100,CBIC_Late_Fee_Relief_Windows_3B!$D$4175:$D$100,"&lt;="&amp;B4175,CBIC_Late_Fee_Relief_Windows_3B!$E$4175:$E$100,"&gt;="&amp;B4175,CBIC_Late_Fee_Relief_Windows_3B!$F$4175:$F$100,"&lt;="&amp;C4175,CBIC_Late_Fee_Relief_Windows_3B!$G$4175:$G$100,"&gt;="&amp;C4175)</f>
        <v/>
      </c>
      <c r="H4175">
        <f>INDEX(CBIC_Late_Fee_Relief_Windows_3B!$I$4175:$I$100,MATCH(G4175,CBIC_Late_Fee_Relief_Windows_3B!$O$4175:$O$100,0))</f>
        <v/>
      </c>
      <c r="I4175">
        <f>MIN(F4175,H4175)</f>
        <v/>
      </c>
    </row>
    <row r="4176">
      <c r="A4176">
        <f>TEST_DATA!A4176</f>
        <v/>
      </c>
      <c r="B4176">
        <f>TEST_DATA!B4176</f>
        <v/>
      </c>
      <c r="C4176">
        <f>TEST_DATA!C4176</f>
        <v/>
      </c>
      <c r="D4176">
        <f>TEST_DATA!D4176</f>
        <v/>
      </c>
      <c r="E4176">
        <f>TEST_DATA!E4176</f>
        <v/>
      </c>
      <c r="F4176">
        <f>MIN(E4176*417600,10000)</f>
        <v/>
      </c>
      <c r="G4176">
        <f>MINIFS(CBIC_Late_Fee_Relief_Windows_3B!$O$4176:$O$100,CBIC_Late_Fee_Relief_Windows_3B!$D$4176:$D$100,"&lt;="&amp;B4176,CBIC_Late_Fee_Relief_Windows_3B!$E$4176:$E$100,"&gt;="&amp;B4176,CBIC_Late_Fee_Relief_Windows_3B!$F$4176:$F$100,"&lt;="&amp;C4176,CBIC_Late_Fee_Relief_Windows_3B!$G$4176:$G$100,"&gt;="&amp;C4176)</f>
        <v/>
      </c>
      <c r="H4176">
        <f>INDEX(CBIC_Late_Fee_Relief_Windows_3B!$I$4176:$I$100,MATCH(G4176,CBIC_Late_Fee_Relief_Windows_3B!$O$4176:$O$100,0))</f>
        <v/>
      </c>
      <c r="I4176">
        <f>MIN(F4176,H4176)</f>
        <v/>
      </c>
    </row>
    <row r="4177">
      <c r="A4177">
        <f>TEST_DATA!A4177</f>
        <v/>
      </c>
      <c r="B4177">
        <f>TEST_DATA!B4177</f>
        <v/>
      </c>
      <c r="C4177">
        <f>TEST_DATA!C4177</f>
        <v/>
      </c>
      <c r="D4177">
        <f>TEST_DATA!D4177</f>
        <v/>
      </c>
      <c r="E4177">
        <f>TEST_DATA!E4177</f>
        <v/>
      </c>
      <c r="F4177">
        <f>MIN(E4177*417700,10000)</f>
        <v/>
      </c>
      <c r="G4177">
        <f>MINIFS(CBIC_Late_Fee_Relief_Windows_3B!$O$4177:$O$100,CBIC_Late_Fee_Relief_Windows_3B!$D$4177:$D$100,"&lt;="&amp;B4177,CBIC_Late_Fee_Relief_Windows_3B!$E$4177:$E$100,"&gt;="&amp;B4177,CBIC_Late_Fee_Relief_Windows_3B!$F$4177:$F$100,"&lt;="&amp;C4177,CBIC_Late_Fee_Relief_Windows_3B!$G$4177:$G$100,"&gt;="&amp;C4177)</f>
        <v/>
      </c>
      <c r="H4177">
        <f>INDEX(CBIC_Late_Fee_Relief_Windows_3B!$I$4177:$I$100,MATCH(G4177,CBIC_Late_Fee_Relief_Windows_3B!$O$4177:$O$100,0))</f>
        <v/>
      </c>
      <c r="I4177">
        <f>MIN(F4177,H4177)</f>
        <v/>
      </c>
    </row>
    <row r="4178">
      <c r="A4178">
        <f>TEST_DATA!A4178</f>
        <v/>
      </c>
      <c r="B4178">
        <f>TEST_DATA!B4178</f>
        <v/>
      </c>
      <c r="C4178">
        <f>TEST_DATA!C4178</f>
        <v/>
      </c>
      <c r="D4178">
        <f>TEST_DATA!D4178</f>
        <v/>
      </c>
      <c r="E4178">
        <f>TEST_DATA!E4178</f>
        <v/>
      </c>
      <c r="F4178">
        <f>MIN(E4178*417800,10000)</f>
        <v/>
      </c>
      <c r="G4178">
        <f>MINIFS(CBIC_Late_Fee_Relief_Windows_3B!$O$4178:$O$100,CBIC_Late_Fee_Relief_Windows_3B!$D$4178:$D$100,"&lt;="&amp;B4178,CBIC_Late_Fee_Relief_Windows_3B!$E$4178:$E$100,"&gt;="&amp;B4178,CBIC_Late_Fee_Relief_Windows_3B!$F$4178:$F$100,"&lt;="&amp;C4178,CBIC_Late_Fee_Relief_Windows_3B!$G$4178:$G$100,"&gt;="&amp;C4178)</f>
        <v/>
      </c>
      <c r="H4178">
        <f>INDEX(CBIC_Late_Fee_Relief_Windows_3B!$I$4178:$I$100,MATCH(G4178,CBIC_Late_Fee_Relief_Windows_3B!$O$4178:$O$100,0))</f>
        <v/>
      </c>
      <c r="I4178">
        <f>MIN(F4178,H4178)</f>
        <v/>
      </c>
    </row>
    <row r="4179">
      <c r="A4179">
        <f>TEST_DATA!A4179</f>
        <v/>
      </c>
      <c r="B4179">
        <f>TEST_DATA!B4179</f>
        <v/>
      </c>
      <c r="C4179">
        <f>TEST_DATA!C4179</f>
        <v/>
      </c>
      <c r="D4179">
        <f>TEST_DATA!D4179</f>
        <v/>
      </c>
      <c r="E4179">
        <f>TEST_DATA!E4179</f>
        <v/>
      </c>
      <c r="F4179">
        <f>MIN(E4179*417900,10000)</f>
        <v/>
      </c>
      <c r="G4179">
        <f>MINIFS(CBIC_Late_Fee_Relief_Windows_3B!$O$4179:$O$100,CBIC_Late_Fee_Relief_Windows_3B!$D$4179:$D$100,"&lt;="&amp;B4179,CBIC_Late_Fee_Relief_Windows_3B!$E$4179:$E$100,"&gt;="&amp;B4179,CBIC_Late_Fee_Relief_Windows_3B!$F$4179:$F$100,"&lt;="&amp;C4179,CBIC_Late_Fee_Relief_Windows_3B!$G$4179:$G$100,"&gt;="&amp;C4179)</f>
        <v/>
      </c>
      <c r="H4179">
        <f>INDEX(CBIC_Late_Fee_Relief_Windows_3B!$I$4179:$I$100,MATCH(G4179,CBIC_Late_Fee_Relief_Windows_3B!$O$4179:$O$100,0))</f>
        <v/>
      </c>
      <c r="I4179">
        <f>MIN(F4179,H4179)</f>
        <v/>
      </c>
    </row>
    <row r="4180">
      <c r="A4180">
        <f>TEST_DATA!A4180</f>
        <v/>
      </c>
      <c r="B4180">
        <f>TEST_DATA!B4180</f>
        <v/>
      </c>
      <c r="C4180">
        <f>TEST_DATA!C4180</f>
        <v/>
      </c>
      <c r="D4180">
        <f>TEST_DATA!D4180</f>
        <v/>
      </c>
      <c r="E4180">
        <f>TEST_DATA!E4180</f>
        <v/>
      </c>
      <c r="F4180">
        <f>MIN(E4180*418000,10000)</f>
        <v/>
      </c>
      <c r="G4180">
        <f>MINIFS(CBIC_Late_Fee_Relief_Windows_3B!$O$4180:$O$100,CBIC_Late_Fee_Relief_Windows_3B!$D$4180:$D$100,"&lt;="&amp;B4180,CBIC_Late_Fee_Relief_Windows_3B!$E$4180:$E$100,"&gt;="&amp;B4180,CBIC_Late_Fee_Relief_Windows_3B!$F$4180:$F$100,"&lt;="&amp;C4180,CBIC_Late_Fee_Relief_Windows_3B!$G$4180:$G$100,"&gt;="&amp;C4180)</f>
        <v/>
      </c>
      <c r="H4180">
        <f>INDEX(CBIC_Late_Fee_Relief_Windows_3B!$I$4180:$I$100,MATCH(G4180,CBIC_Late_Fee_Relief_Windows_3B!$O$4180:$O$100,0))</f>
        <v/>
      </c>
      <c r="I4180">
        <f>MIN(F4180,H4180)</f>
        <v/>
      </c>
    </row>
    <row r="4181">
      <c r="A4181">
        <f>TEST_DATA!A4181</f>
        <v/>
      </c>
      <c r="B4181">
        <f>TEST_DATA!B4181</f>
        <v/>
      </c>
      <c r="C4181">
        <f>TEST_DATA!C4181</f>
        <v/>
      </c>
      <c r="D4181">
        <f>TEST_DATA!D4181</f>
        <v/>
      </c>
      <c r="E4181">
        <f>TEST_DATA!E4181</f>
        <v/>
      </c>
      <c r="F4181">
        <f>MIN(E4181*418100,10000)</f>
        <v/>
      </c>
      <c r="G4181">
        <f>MINIFS(CBIC_Late_Fee_Relief_Windows_3B!$O$4181:$O$100,CBIC_Late_Fee_Relief_Windows_3B!$D$4181:$D$100,"&lt;="&amp;B4181,CBIC_Late_Fee_Relief_Windows_3B!$E$4181:$E$100,"&gt;="&amp;B4181,CBIC_Late_Fee_Relief_Windows_3B!$F$4181:$F$100,"&lt;="&amp;C4181,CBIC_Late_Fee_Relief_Windows_3B!$G$4181:$G$100,"&gt;="&amp;C4181)</f>
        <v/>
      </c>
      <c r="H4181">
        <f>INDEX(CBIC_Late_Fee_Relief_Windows_3B!$I$4181:$I$100,MATCH(G4181,CBIC_Late_Fee_Relief_Windows_3B!$O$4181:$O$100,0))</f>
        <v/>
      </c>
      <c r="I4181">
        <f>MIN(F4181,H4181)</f>
        <v/>
      </c>
    </row>
    <row r="4182">
      <c r="A4182">
        <f>TEST_DATA!A4182</f>
        <v/>
      </c>
      <c r="B4182">
        <f>TEST_DATA!B4182</f>
        <v/>
      </c>
      <c r="C4182">
        <f>TEST_DATA!C4182</f>
        <v/>
      </c>
      <c r="D4182">
        <f>TEST_DATA!D4182</f>
        <v/>
      </c>
      <c r="E4182">
        <f>TEST_DATA!E4182</f>
        <v/>
      </c>
      <c r="F4182">
        <f>MIN(E4182*418200,10000)</f>
        <v/>
      </c>
      <c r="G4182">
        <f>MINIFS(CBIC_Late_Fee_Relief_Windows_3B!$O$4182:$O$100,CBIC_Late_Fee_Relief_Windows_3B!$D$4182:$D$100,"&lt;="&amp;B4182,CBIC_Late_Fee_Relief_Windows_3B!$E$4182:$E$100,"&gt;="&amp;B4182,CBIC_Late_Fee_Relief_Windows_3B!$F$4182:$F$100,"&lt;="&amp;C4182,CBIC_Late_Fee_Relief_Windows_3B!$G$4182:$G$100,"&gt;="&amp;C4182)</f>
        <v/>
      </c>
      <c r="H4182">
        <f>INDEX(CBIC_Late_Fee_Relief_Windows_3B!$I$4182:$I$100,MATCH(G4182,CBIC_Late_Fee_Relief_Windows_3B!$O$4182:$O$100,0))</f>
        <v/>
      </c>
      <c r="I4182">
        <f>MIN(F4182,H4182)</f>
        <v/>
      </c>
    </row>
    <row r="4183">
      <c r="A4183">
        <f>TEST_DATA!A4183</f>
        <v/>
      </c>
      <c r="B4183">
        <f>TEST_DATA!B4183</f>
        <v/>
      </c>
      <c r="C4183">
        <f>TEST_DATA!C4183</f>
        <v/>
      </c>
      <c r="D4183">
        <f>TEST_DATA!D4183</f>
        <v/>
      </c>
      <c r="E4183">
        <f>TEST_DATA!E4183</f>
        <v/>
      </c>
      <c r="F4183">
        <f>MIN(E4183*418300,10000)</f>
        <v/>
      </c>
      <c r="G4183">
        <f>MINIFS(CBIC_Late_Fee_Relief_Windows_3B!$O$4183:$O$100,CBIC_Late_Fee_Relief_Windows_3B!$D$4183:$D$100,"&lt;="&amp;B4183,CBIC_Late_Fee_Relief_Windows_3B!$E$4183:$E$100,"&gt;="&amp;B4183,CBIC_Late_Fee_Relief_Windows_3B!$F$4183:$F$100,"&lt;="&amp;C4183,CBIC_Late_Fee_Relief_Windows_3B!$G$4183:$G$100,"&gt;="&amp;C4183)</f>
        <v/>
      </c>
      <c r="H4183">
        <f>INDEX(CBIC_Late_Fee_Relief_Windows_3B!$I$4183:$I$100,MATCH(G4183,CBIC_Late_Fee_Relief_Windows_3B!$O$4183:$O$100,0))</f>
        <v/>
      </c>
      <c r="I4183">
        <f>MIN(F4183,H4183)</f>
        <v/>
      </c>
    </row>
    <row r="4184">
      <c r="A4184">
        <f>TEST_DATA!A4184</f>
        <v/>
      </c>
      <c r="B4184">
        <f>TEST_DATA!B4184</f>
        <v/>
      </c>
      <c r="C4184">
        <f>TEST_DATA!C4184</f>
        <v/>
      </c>
      <c r="D4184">
        <f>TEST_DATA!D4184</f>
        <v/>
      </c>
      <c r="E4184">
        <f>TEST_DATA!E4184</f>
        <v/>
      </c>
      <c r="F4184">
        <f>MIN(E4184*418400,10000)</f>
        <v/>
      </c>
      <c r="G4184">
        <f>MINIFS(CBIC_Late_Fee_Relief_Windows_3B!$O$4184:$O$100,CBIC_Late_Fee_Relief_Windows_3B!$D$4184:$D$100,"&lt;="&amp;B4184,CBIC_Late_Fee_Relief_Windows_3B!$E$4184:$E$100,"&gt;="&amp;B4184,CBIC_Late_Fee_Relief_Windows_3B!$F$4184:$F$100,"&lt;="&amp;C4184,CBIC_Late_Fee_Relief_Windows_3B!$G$4184:$G$100,"&gt;="&amp;C4184)</f>
        <v/>
      </c>
      <c r="H4184">
        <f>INDEX(CBIC_Late_Fee_Relief_Windows_3B!$I$4184:$I$100,MATCH(G4184,CBIC_Late_Fee_Relief_Windows_3B!$O$4184:$O$100,0))</f>
        <v/>
      </c>
      <c r="I4184">
        <f>MIN(F4184,H4184)</f>
        <v/>
      </c>
    </row>
    <row r="4185">
      <c r="A4185">
        <f>TEST_DATA!A4185</f>
        <v/>
      </c>
      <c r="B4185">
        <f>TEST_DATA!B4185</f>
        <v/>
      </c>
      <c r="C4185">
        <f>TEST_DATA!C4185</f>
        <v/>
      </c>
      <c r="D4185">
        <f>TEST_DATA!D4185</f>
        <v/>
      </c>
      <c r="E4185">
        <f>TEST_DATA!E4185</f>
        <v/>
      </c>
      <c r="F4185">
        <f>MIN(E4185*418500,10000)</f>
        <v/>
      </c>
      <c r="G4185">
        <f>MINIFS(CBIC_Late_Fee_Relief_Windows_3B!$O$4185:$O$100,CBIC_Late_Fee_Relief_Windows_3B!$D$4185:$D$100,"&lt;="&amp;B4185,CBIC_Late_Fee_Relief_Windows_3B!$E$4185:$E$100,"&gt;="&amp;B4185,CBIC_Late_Fee_Relief_Windows_3B!$F$4185:$F$100,"&lt;="&amp;C4185,CBIC_Late_Fee_Relief_Windows_3B!$G$4185:$G$100,"&gt;="&amp;C4185)</f>
        <v/>
      </c>
      <c r="H4185">
        <f>INDEX(CBIC_Late_Fee_Relief_Windows_3B!$I$4185:$I$100,MATCH(G4185,CBIC_Late_Fee_Relief_Windows_3B!$O$4185:$O$100,0))</f>
        <v/>
      </c>
      <c r="I4185">
        <f>MIN(F4185,H4185)</f>
        <v/>
      </c>
    </row>
    <row r="4186">
      <c r="A4186">
        <f>TEST_DATA!A4186</f>
        <v/>
      </c>
      <c r="B4186">
        <f>TEST_DATA!B4186</f>
        <v/>
      </c>
      <c r="C4186">
        <f>TEST_DATA!C4186</f>
        <v/>
      </c>
      <c r="D4186">
        <f>TEST_DATA!D4186</f>
        <v/>
      </c>
      <c r="E4186">
        <f>TEST_DATA!E4186</f>
        <v/>
      </c>
      <c r="F4186">
        <f>MIN(E4186*418600,10000)</f>
        <v/>
      </c>
      <c r="G4186">
        <f>MINIFS(CBIC_Late_Fee_Relief_Windows_3B!$O$4186:$O$100,CBIC_Late_Fee_Relief_Windows_3B!$D$4186:$D$100,"&lt;="&amp;B4186,CBIC_Late_Fee_Relief_Windows_3B!$E$4186:$E$100,"&gt;="&amp;B4186,CBIC_Late_Fee_Relief_Windows_3B!$F$4186:$F$100,"&lt;="&amp;C4186,CBIC_Late_Fee_Relief_Windows_3B!$G$4186:$G$100,"&gt;="&amp;C4186)</f>
        <v/>
      </c>
      <c r="H4186">
        <f>INDEX(CBIC_Late_Fee_Relief_Windows_3B!$I$4186:$I$100,MATCH(G4186,CBIC_Late_Fee_Relief_Windows_3B!$O$4186:$O$100,0))</f>
        <v/>
      </c>
      <c r="I4186">
        <f>MIN(F4186,H4186)</f>
        <v/>
      </c>
    </row>
    <row r="4187">
      <c r="A4187">
        <f>TEST_DATA!A4187</f>
        <v/>
      </c>
      <c r="B4187">
        <f>TEST_DATA!B4187</f>
        <v/>
      </c>
      <c r="C4187">
        <f>TEST_DATA!C4187</f>
        <v/>
      </c>
      <c r="D4187">
        <f>TEST_DATA!D4187</f>
        <v/>
      </c>
      <c r="E4187">
        <f>TEST_DATA!E4187</f>
        <v/>
      </c>
      <c r="F4187">
        <f>MIN(E4187*418700,10000)</f>
        <v/>
      </c>
      <c r="G4187">
        <f>MINIFS(CBIC_Late_Fee_Relief_Windows_3B!$O$4187:$O$100,CBIC_Late_Fee_Relief_Windows_3B!$D$4187:$D$100,"&lt;="&amp;B4187,CBIC_Late_Fee_Relief_Windows_3B!$E$4187:$E$100,"&gt;="&amp;B4187,CBIC_Late_Fee_Relief_Windows_3B!$F$4187:$F$100,"&lt;="&amp;C4187,CBIC_Late_Fee_Relief_Windows_3B!$G$4187:$G$100,"&gt;="&amp;C4187)</f>
        <v/>
      </c>
      <c r="H4187">
        <f>INDEX(CBIC_Late_Fee_Relief_Windows_3B!$I$4187:$I$100,MATCH(G4187,CBIC_Late_Fee_Relief_Windows_3B!$O$4187:$O$100,0))</f>
        <v/>
      </c>
      <c r="I4187">
        <f>MIN(F4187,H4187)</f>
        <v/>
      </c>
    </row>
    <row r="4188">
      <c r="A4188">
        <f>TEST_DATA!A4188</f>
        <v/>
      </c>
      <c r="B4188">
        <f>TEST_DATA!B4188</f>
        <v/>
      </c>
      <c r="C4188">
        <f>TEST_DATA!C4188</f>
        <v/>
      </c>
      <c r="D4188">
        <f>TEST_DATA!D4188</f>
        <v/>
      </c>
      <c r="E4188">
        <f>TEST_DATA!E4188</f>
        <v/>
      </c>
      <c r="F4188">
        <f>MIN(E4188*418800,10000)</f>
        <v/>
      </c>
      <c r="G4188">
        <f>MINIFS(CBIC_Late_Fee_Relief_Windows_3B!$O$4188:$O$100,CBIC_Late_Fee_Relief_Windows_3B!$D$4188:$D$100,"&lt;="&amp;B4188,CBIC_Late_Fee_Relief_Windows_3B!$E$4188:$E$100,"&gt;="&amp;B4188,CBIC_Late_Fee_Relief_Windows_3B!$F$4188:$F$100,"&lt;="&amp;C4188,CBIC_Late_Fee_Relief_Windows_3B!$G$4188:$G$100,"&gt;="&amp;C4188)</f>
        <v/>
      </c>
      <c r="H4188">
        <f>INDEX(CBIC_Late_Fee_Relief_Windows_3B!$I$4188:$I$100,MATCH(G4188,CBIC_Late_Fee_Relief_Windows_3B!$O$4188:$O$100,0))</f>
        <v/>
      </c>
      <c r="I4188">
        <f>MIN(F4188,H4188)</f>
        <v/>
      </c>
    </row>
    <row r="4189">
      <c r="A4189">
        <f>TEST_DATA!A4189</f>
        <v/>
      </c>
      <c r="B4189">
        <f>TEST_DATA!B4189</f>
        <v/>
      </c>
      <c r="C4189">
        <f>TEST_DATA!C4189</f>
        <v/>
      </c>
      <c r="D4189">
        <f>TEST_DATA!D4189</f>
        <v/>
      </c>
      <c r="E4189">
        <f>TEST_DATA!E4189</f>
        <v/>
      </c>
      <c r="F4189">
        <f>MIN(E4189*418900,10000)</f>
        <v/>
      </c>
      <c r="G4189">
        <f>MINIFS(CBIC_Late_Fee_Relief_Windows_3B!$O$4189:$O$100,CBIC_Late_Fee_Relief_Windows_3B!$D$4189:$D$100,"&lt;="&amp;B4189,CBIC_Late_Fee_Relief_Windows_3B!$E$4189:$E$100,"&gt;="&amp;B4189,CBIC_Late_Fee_Relief_Windows_3B!$F$4189:$F$100,"&lt;="&amp;C4189,CBIC_Late_Fee_Relief_Windows_3B!$G$4189:$G$100,"&gt;="&amp;C4189)</f>
        <v/>
      </c>
      <c r="H4189">
        <f>INDEX(CBIC_Late_Fee_Relief_Windows_3B!$I$4189:$I$100,MATCH(G4189,CBIC_Late_Fee_Relief_Windows_3B!$O$4189:$O$100,0))</f>
        <v/>
      </c>
      <c r="I4189">
        <f>MIN(F4189,H4189)</f>
        <v/>
      </c>
    </row>
    <row r="4190">
      <c r="A4190">
        <f>TEST_DATA!A4190</f>
        <v/>
      </c>
      <c r="B4190">
        <f>TEST_DATA!B4190</f>
        <v/>
      </c>
      <c r="C4190">
        <f>TEST_DATA!C4190</f>
        <v/>
      </c>
      <c r="D4190">
        <f>TEST_DATA!D4190</f>
        <v/>
      </c>
      <c r="E4190">
        <f>TEST_DATA!E4190</f>
        <v/>
      </c>
      <c r="F4190">
        <f>MIN(E4190*419000,10000)</f>
        <v/>
      </c>
      <c r="G4190">
        <f>MINIFS(CBIC_Late_Fee_Relief_Windows_3B!$O$4190:$O$100,CBIC_Late_Fee_Relief_Windows_3B!$D$4190:$D$100,"&lt;="&amp;B4190,CBIC_Late_Fee_Relief_Windows_3B!$E$4190:$E$100,"&gt;="&amp;B4190,CBIC_Late_Fee_Relief_Windows_3B!$F$4190:$F$100,"&lt;="&amp;C4190,CBIC_Late_Fee_Relief_Windows_3B!$G$4190:$G$100,"&gt;="&amp;C4190)</f>
        <v/>
      </c>
      <c r="H4190">
        <f>INDEX(CBIC_Late_Fee_Relief_Windows_3B!$I$4190:$I$100,MATCH(G4190,CBIC_Late_Fee_Relief_Windows_3B!$O$4190:$O$100,0))</f>
        <v/>
      </c>
      <c r="I4190">
        <f>MIN(F4190,H4190)</f>
        <v/>
      </c>
    </row>
    <row r="4191">
      <c r="A4191">
        <f>TEST_DATA!A4191</f>
        <v/>
      </c>
      <c r="B4191">
        <f>TEST_DATA!B4191</f>
        <v/>
      </c>
      <c r="C4191">
        <f>TEST_DATA!C4191</f>
        <v/>
      </c>
      <c r="D4191">
        <f>TEST_DATA!D4191</f>
        <v/>
      </c>
      <c r="E4191">
        <f>TEST_DATA!E4191</f>
        <v/>
      </c>
      <c r="F4191">
        <f>MIN(E4191*419100,10000)</f>
        <v/>
      </c>
      <c r="G4191">
        <f>MINIFS(CBIC_Late_Fee_Relief_Windows_3B!$O$4191:$O$100,CBIC_Late_Fee_Relief_Windows_3B!$D$4191:$D$100,"&lt;="&amp;B4191,CBIC_Late_Fee_Relief_Windows_3B!$E$4191:$E$100,"&gt;="&amp;B4191,CBIC_Late_Fee_Relief_Windows_3B!$F$4191:$F$100,"&lt;="&amp;C4191,CBIC_Late_Fee_Relief_Windows_3B!$G$4191:$G$100,"&gt;="&amp;C4191)</f>
        <v/>
      </c>
      <c r="H4191">
        <f>INDEX(CBIC_Late_Fee_Relief_Windows_3B!$I$4191:$I$100,MATCH(G4191,CBIC_Late_Fee_Relief_Windows_3B!$O$4191:$O$100,0))</f>
        <v/>
      </c>
      <c r="I4191">
        <f>MIN(F4191,H4191)</f>
        <v/>
      </c>
    </row>
    <row r="4192">
      <c r="A4192">
        <f>TEST_DATA!A4192</f>
        <v/>
      </c>
      <c r="B4192">
        <f>TEST_DATA!B4192</f>
        <v/>
      </c>
      <c r="C4192">
        <f>TEST_DATA!C4192</f>
        <v/>
      </c>
      <c r="D4192">
        <f>TEST_DATA!D4192</f>
        <v/>
      </c>
      <c r="E4192">
        <f>TEST_DATA!E4192</f>
        <v/>
      </c>
      <c r="F4192">
        <f>MIN(E4192*419200,10000)</f>
        <v/>
      </c>
      <c r="G4192">
        <f>MINIFS(CBIC_Late_Fee_Relief_Windows_3B!$O$4192:$O$100,CBIC_Late_Fee_Relief_Windows_3B!$D$4192:$D$100,"&lt;="&amp;B4192,CBIC_Late_Fee_Relief_Windows_3B!$E$4192:$E$100,"&gt;="&amp;B4192,CBIC_Late_Fee_Relief_Windows_3B!$F$4192:$F$100,"&lt;="&amp;C4192,CBIC_Late_Fee_Relief_Windows_3B!$G$4192:$G$100,"&gt;="&amp;C4192)</f>
        <v/>
      </c>
      <c r="H4192">
        <f>INDEX(CBIC_Late_Fee_Relief_Windows_3B!$I$4192:$I$100,MATCH(G4192,CBIC_Late_Fee_Relief_Windows_3B!$O$4192:$O$100,0))</f>
        <v/>
      </c>
      <c r="I4192">
        <f>MIN(F4192,H4192)</f>
        <v/>
      </c>
    </row>
    <row r="4193">
      <c r="A4193">
        <f>TEST_DATA!A4193</f>
        <v/>
      </c>
      <c r="B4193">
        <f>TEST_DATA!B4193</f>
        <v/>
      </c>
      <c r="C4193">
        <f>TEST_DATA!C4193</f>
        <v/>
      </c>
      <c r="D4193">
        <f>TEST_DATA!D4193</f>
        <v/>
      </c>
      <c r="E4193">
        <f>TEST_DATA!E4193</f>
        <v/>
      </c>
      <c r="F4193">
        <f>MIN(E4193*419300,10000)</f>
        <v/>
      </c>
      <c r="G4193">
        <f>MINIFS(CBIC_Late_Fee_Relief_Windows_3B!$O$4193:$O$100,CBIC_Late_Fee_Relief_Windows_3B!$D$4193:$D$100,"&lt;="&amp;B4193,CBIC_Late_Fee_Relief_Windows_3B!$E$4193:$E$100,"&gt;="&amp;B4193,CBIC_Late_Fee_Relief_Windows_3B!$F$4193:$F$100,"&lt;="&amp;C4193,CBIC_Late_Fee_Relief_Windows_3B!$G$4193:$G$100,"&gt;="&amp;C4193)</f>
        <v/>
      </c>
      <c r="H4193">
        <f>INDEX(CBIC_Late_Fee_Relief_Windows_3B!$I$4193:$I$100,MATCH(G4193,CBIC_Late_Fee_Relief_Windows_3B!$O$4193:$O$100,0))</f>
        <v/>
      </c>
      <c r="I4193">
        <f>MIN(F4193,H4193)</f>
        <v/>
      </c>
    </row>
    <row r="4194">
      <c r="A4194">
        <f>TEST_DATA!A4194</f>
        <v/>
      </c>
      <c r="B4194">
        <f>TEST_DATA!B4194</f>
        <v/>
      </c>
      <c r="C4194">
        <f>TEST_DATA!C4194</f>
        <v/>
      </c>
      <c r="D4194">
        <f>TEST_DATA!D4194</f>
        <v/>
      </c>
      <c r="E4194">
        <f>TEST_DATA!E4194</f>
        <v/>
      </c>
      <c r="F4194">
        <f>MIN(E4194*419400,10000)</f>
        <v/>
      </c>
      <c r="G4194">
        <f>MINIFS(CBIC_Late_Fee_Relief_Windows_3B!$O$4194:$O$100,CBIC_Late_Fee_Relief_Windows_3B!$D$4194:$D$100,"&lt;="&amp;B4194,CBIC_Late_Fee_Relief_Windows_3B!$E$4194:$E$100,"&gt;="&amp;B4194,CBIC_Late_Fee_Relief_Windows_3B!$F$4194:$F$100,"&lt;="&amp;C4194,CBIC_Late_Fee_Relief_Windows_3B!$G$4194:$G$100,"&gt;="&amp;C4194)</f>
        <v/>
      </c>
      <c r="H4194">
        <f>INDEX(CBIC_Late_Fee_Relief_Windows_3B!$I$4194:$I$100,MATCH(G4194,CBIC_Late_Fee_Relief_Windows_3B!$O$4194:$O$100,0))</f>
        <v/>
      </c>
      <c r="I4194">
        <f>MIN(F4194,H4194)</f>
        <v/>
      </c>
    </row>
    <row r="4195">
      <c r="A4195">
        <f>TEST_DATA!A4195</f>
        <v/>
      </c>
      <c r="B4195">
        <f>TEST_DATA!B4195</f>
        <v/>
      </c>
      <c r="C4195">
        <f>TEST_DATA!C4195</f>
        <v/>
      </c>
      <c r="D4195">
        <f>TEST_DATA!D4195</f>
        <v/>
      </c>
      <c r="E4195">
        <f>TEST_DATA!E4195</f>
        <v/>
      </c>
      <c r="F4195">
        <f>MIN(E4195*419500,10000)</f>
        <v/>
      </c>
      <c r="G4195">
        <f>MINIFS(CBIC_Late_Fee_Relief_Windows_3B!$O$4195:$O$100,CBIC_Late_Fee_Relief_Windows_3B!$D$4195:$D$100,"&lt;="&amp;B4195,CBIC_Late_Fee_Relief_Windows_3B!$E$4195:$E$100,"&gt;="&amp;B4195,CBIC_Late_Fee_Relief_Windows_3B!$F$4195:$F$100,"&lt;="&amp;C4195,CBIC_Late_Fee_Relief_Windows_3B!$G$4195:$G$100,"&gt;="&amp;C4195)</f>
        <v/>
      </c>
      <c r="H4195">
        <f>INDEX(CBIC_Late_Fee_Relief_Windows_3B!$I$4195:$I$100,MATCH(G4195,CBIC_Late_Fee_Relief_Windows_3B!$O$4195:$O$100,0))</f>
        <v/>
      </c>
      <c r="I4195">
        <f>MIN(F4195,H4195)</f>
        <v/>
      </c>
    </row>
    <row r="4196">
      <c r="A4196">
        <f>TEST_DATA!A4196</f>
        <v/>
      </c>
      <c r="B4196">
        <f>TEST_DATA!B4196</f>
        <v/>
      </c>
      <c r="C4196">
        <f>TEST_DATA!C4196</f>
        <v/>
      </c>
      <c r="D4196">
        <f>TEST_DATA!D4196</f>
        <v/>
      </c>
      <c r="E4196">
        <f>TEST_DATA!E4196</f>
        <v/>
      </c>
      <c r="F4196">
        <f>MIN(E4196*419600,10000)</f>
        <v/>
      </c>
      <c r="G4196">
        <f>MINIFS(CBIC_Late_Fee_Relief_Windows_3B!$O$4196:$O$100,CBIC_Late_Fee_Relief_Windows_3B!$D$4196:$D$100,"&lt;="&amp;B4196,CBIC_Late_Fee_Relief_Windows_3B!$E$4196:$E$100,"&gt;="&amp;B4196,CBIC_Late_Fee_Relief_Windows_3B!$F$4196:$F$100,"&lt;="&amp;C4196,CBIC_Late_Fee_Relief_Windows_3B!$G$4196:$G$100,"&gt;="&amp;C4196)</f>
        <v/>
      </c>
      <c r="H4196">
        <f>INDEX(CBIC_Late_Fee_Relief_Windows_3B!$I$4196:$I$100,MATCH(G4196,CBIC_Late_Fee_Relief_Windows_3B!$O$4196:$O$100,0))</f>
        <v/>
      </c>
      <c r="I4196">
        <f>MIN(F4196,H4196)</f>
        <v/>
      </c>
    </row>
    <row r="4197">
      <c r="A4197">
        <f>TEST_DATA!A4197</f>
        <v/>
      </c>
      <c r="B4197">
        <f>TEST_DATA!B4197</f>
        <v/>
      </c>
      <c r="C4197">
        <f>TEST_DATA!C4197</f>
        <v/>
      </c>
      <c r="D4197">
        <f>TEST_DATA!D4197</f>
        <v/>
      </c>
      <c r="E4197">
        <f>TEST_DATA!E4197</f>
        <v/>
      </c>
      <c r="F4197">
        <f>MIN(E4197*419700,10000)</f>
        <v/>
      </c>
      <c r="G4197">
        <f>MINIFS(CBIC_Late_Fee_Relief_Windows_3B!$O$4197:$O$100,CBIC_Late_Fee_Relief_Windows_3B!$D$4197:$D$100,"&lt;="&amp;B4197,CBIC_Late_Fee_Relief_Windows_3B!$E$4197:$E$100,"&gt;="&amp;B4197,CBIC_Late_Fee_Relief_Windows_3B!$F$4197:$F$100,"&lt;="&amp;C4197,CBIC_Late_Fee_Relief_Windows_3B!$G$4197:$G$100,"&gt;="&amp;C4197)</f>
        <v/>
      </c>
      <c r="H4197">
        <f>INDEX(CBIC_Late_Fee_Relief_Windows_3B!$I$4197:$I$100,MATCH(G4197,CBIC_Late_Fee_Relief_Windows_3B!$O$4197:$O$100,0))</f>
        <v/>
      </c>
      <c r="I4197">
        <f>MIN(F4197,H4197)</f>
        <v/>
      </c>
    </row>
    <row r="4198">
      <c r="A4198">
        <f>TEST_DATA!A4198</f>
        <v/>
      </c>
      <c r="B4198">
        <f>TEST_DATA!B4198</f>
        <v/>
      </c>
      <c r="C4198">
        <f>TEST_DATA!C4198</f>
        <v/>
      </c>
      <c r="D4198">
        <f>TEST_DATA!D4198</f>
        <v/>
      </c>
      <c r="E4198">
        <f>TEST_DATA!E4198</f>
        <v/>
      </c>
      <c r="F4198">
        <f>MIN(E4198*419800,10000)</f>
        <v/>
      </c>
      <c r="G4198">
        <f>MINIFS(CBIC_Late_Fee_Relief_Windows_3B!$O$4198:$O$100,CBIC_Late_Fee_Relief_Windows_3B!$D$4198:$D$100,"&lt;="&amp;B4198,CBIC_Late_Fee_Relief_Windows_3B!$E$4198:$E$100,"&gt;="&amp;B4198,CBIC_Late_Fee_Relief_Windows_3B!$F$4198:$F$100,"&lt;="&amp;C4198,CBIC_Late_Fee_Relief_Windows_3B!$G$4198:$G$100,"&gt;="&amp;C4198)</f>
        <v/>
      </c>
      <c r="H4198">
        <f>INDEX(CBIC_Late_Fee_Relief_Windows_3B!$I$4198:$I$100,MATCH(G4198,CBIC_Late_Fee_Relief_Windows_3B!$O$4198:$O$100,0))</f>
        <v/>
      </c>
      <c r="I4198">
        <f>MIN(F4198,H4198)</f>
        <v/>
      </c>
    </row>
    <row r="4199">
      <c r="A4199">
        <f>TEST_DATA!A4199</f>
        <v/>
      </c>
      <c r="B4199">
        <f>TEST_DATA!B4199</f>
        <v/>
      </c>
      <c r="C4199">
        <f>TEST_DATA!C4199</f>
        <v/>
      </c>
      <c r="D4199">
        <f>TEST_DATA!D4199</f>
        <v/>
      </c>
      <c r="E4199">
        <f>TEST_DATA!E4199</f>
        <v/>
      </c>
      <c r="F4199">
        <f>MIN(E4199*419900,10000)</f>
        <v/>
      </c>
      <c r="G4199">
        <f>MINIFS(CBIC_Late_Fee_Relief_Windows_3B!$O$4199:$O$100,CBIC_Late_Fee_Relief_Windows_3B!$D$4199:$D$100,"&lt;="&amp;B4199,CBIC_Late_Fee_Relief_Windows_3B!$E$4199:$E$100,"&gt;="&amp;B4199,CBIC_Late_Fee_Relief_Windows_3B!$F$4199:$F$100,"&lt;="&amp;C4199,CBIC_Late_Fee_Relief_Windows_3B!$G$4199:$G$100,"&gt;="&amp;C4199)</f>
        <v/>
      </c>
      <c r="H4199">
        <f>INDEX(CBIC_Late_Fee_Relief_Windows_3B!$I$4199:$I$100,MATCH(G4199,CBIC_Late_Fee_Relief_Windows_3B!$O$4199:$O$100,0))</f>
        <v/>
      </c>
      <c r="I4199">
        <f>MIN(F4199,H4199)</f>
        <v/>
      </c>
    </row>
    <row r="4200">
      <c r="A4200">
        <f>TEST_DATA!A4200</f>
        <v/>
      </c>
      <c r="B4200">
        <f>TEST_DATA!B4200</f>
        <v/>
      </c>
      <c r="C4200">
        <f>TEST_DATA!C4200</f>
        <v/>
      </c>
      <c r="D4200">
        <f>TEST_DATA!D4200</f>
        <v/>
      </c>
      <c r="E4200">
        <f>TEST_DATA!E4200</f>
        <v/>
      </c>
      <c r="F4200">
        <f>MIN(E4200*420000,10000)</f>
        <v/>
      </c>
      <c r="G4200">
        <f>MINIFS(CBIC_Late_Fee_Relief_Windows_3B!$O$4200:$O$100,CBIC_Late_Fee_Relief_Windows_3B!$D$4200:$D$100,"&lt;="&amp;B4200,CBIC_Late_Fee_Relief_Windows_3B!$E$4200:$E$100,"&gt;="&amp;B4200,CBIC_Late_Fee_Relief_Windows_3B!$F$4200:$F$100,"&lt;="&amp;C4200,CBIC_Late_Fee_Relief_Windows_3B!$G$4200:$G$100,"&gt;="&amp;C4200)</f>
        <v/>
      </c>
      <c r="H4200">
        <f>INDEX(CBIC_Late_Fee_Relief_Windows_3B!$I$4200:$I$100,MATCH(G4200,CBIC_Late_Fee_Relief_Windows_3B!$O$4200:$O$100,0))</f>
        <v/>
      </c>
      <c r="I4200">
        <f>MIN(F4200,H4200)</f>
        <v/>
      </c>
    </row>
    <row r="4201">
      <c r="A4201">
        <f>TEST_DATA!A4201</f>
        <v/>
      </c>
      <c r="B4201">
        <f>TEST_DATA!B4201</f>
        <v/>
      </c>
      <c r="C4201">
        <f>TEST_DATA!C4201</f>
        <v/>
      </c>
      <c r="D4201">
        <f>TEST_DATA!D4201</f>
        <v/>
      </c>
      <c r="E4201">
        <f>TEST_DATA!E4201</f>
        <v/>
      </c>
      <c r="F4201">
        <f>MIN(E4201*420100,10000)</f>
        <v/>
      </c>
      <c r="G4201">
        <f>MINIFS(CBIC_Late_Fee_Relief_Windows_3B!$O$4201:$O$100,CBIC_Late_Fee_Relief_Windows_3B!$D$4201:$D$100,"&lt;="&amp;B4201,CBIC_Late_Fee_Relief_Windows_3B!$E$4201:$E$100,"&gt;="&amp;B4201,CBIC_Late_Fee_Relief_Windows_3B!$F$4201:$F$100,"&lt;="&amp;C4201,CBIC_Late_Fee_Relief_Windows_3B!$G$4201:$G$100,"&gt;="&amp;C4201)</f>
        <v/>
      </c>
      <c r="H4201">
        <f>INDEX(CBIC_Late_Fee_Relief_Windows_3B!$I$4201:$I$100,MATCH(G4201,CBIC_Late_Fee_Relief_Windows_3B!$O$4201:$O$100,0))</f>
        <v/>
      </c>
      <c r="I4201">
        <f>MIN(F4201,H4201)</f>
        <v/>
      </c>
    </row>
    <row r="4202">
      <c r="A4202">
        <f>TEST_DATA!A4202</f>
        <v/>
      </c>
      <c r="B4202">
        <f>TEST_DATA!B4202</f>
        <v/>
      </c>
      <c r="C4202">
        <f>TEST_DATA!C4202</f>
        <v/>
      </c>
      <c r="D4202">
        <f>TEST_DATA!D4202</f>
        <v/>
      </c>
      <c r="E4202">
        <f>TEST_DATA!E4202</f>
        <v/>
      </c>
      <c r="F4202">
        <f>MIN(E4202*420200,10000)</f>
        <v/>
      </c>
      <c r="G4202">
        <f>MINIFS(CBIC_Late_Fee_Relief_Windows_3B!$O$4202:$O$100,CBIC_Late_Fee_Relief_Windows_3B!$D$4202:$D$100,"&lt;="&amp;B4202,CBIC_Late_Fee_Relief_Windows_3B!$E$4202:$E$100,"&gt;="&amp;B4202,CBIC_Late_Fee_Relief_Windows_3B!$F$4202:$F$100,"&lt;="&amp;C4202,CBIC_Late_Fee_Relief_Windows_3B!$G$4202:$G$100,"&gt;="&amp;C4202)</f>
        <v/>
      </c>
      <c r="H4202">
        <f>INDEX(CBIC_Late_Fee_Relief_Windows_3B!$I$4202:$I$100,MATCH(G4202,CBIC_Late_Fee_Relief_Windows_3B!$O$4202:$O$100,0))</f>
        <v/>
      </c>
      <c r="I4202">
        <f>MIN(F4202,H4202)</f>
        <v/>
      </c>
    </row>
    <row r="4203">
      <c r="A4203">
        <f>TEST_DATA!A4203</f>
        <v/>
      </c>
      <c r="B4203">
        <f>TEST_DATA!B4203</f>
        <v/>
      </c>
      <c r="C4203">
        <f>TEST_DATA!C4203</f>
        <v/>
      </c>
      <c r="D4203">
        <f>TEST_DATA!D4203</f>
        <v/>
      </c>
      <c r="E4203">
        <f>TEST_DATA!E4203</f>
        <v/>
      </c>
      <c r="F4203">
        <f>MIN(E4203*420300,10000)</f>
        <v/>
      </c>
      <c r="G4203">
        <f>MINIFS(CBIC_Late_Fee_Relief_Windows_3B!$O$4203:$O$100,CBIC_Late_Fee_Relief_Windows_3B!$D$4203:$D$100,"&lt;="&amp;B4203,CBIC_Late_Fee_Relief_Windows_3B!$E$4203:$E$100,"&gt;="&amp;B4203,CBIC_Late_Fee_Relief_Windows_3B!$F$4203:$F$100,"&lt;="&amp;C4203,CBIC_Late_Fee_Relief_Windows_3B!$G$4203:$G$100,"&gt;="&amp;C4203)</f>
        <v/>
      </c>
      <c r="H4203">
        <f>INDEX(CBIC_Late_Fee_Relief_Windows_3B!$I$4203:$I$100,MATCH(G4203,CBIC_Late_Fee_Relief_Windows_3B!$O$4203:$O$100,0))</f>
        <v/>
      </c>
      <c r="I4203">
        <f>MIN(F4203,H4203)</f>
        <v/>
      </c>
    </row>
    <row r="4204">
      <c r="A4204">
        <f>TEST_DATA!A4204</f>
        <v/>
      </c>
      <c r="B4204">
        <f>TEST_DATA!B4204</f>
        <v/>
      </c>
      <c r="C4204">
        <f>TEST_DATA!C4204</f>
        <v/>
      </c>
      <c r="D4204">
        <f>TEST_DATA!D4204</f>
        <v/>
      </c>
      <c r="E4204">
        <f>TEST_DATA!E4204</f>
        <v/>
      </c>
      <c r="F4204">
        <f>MIN(E4204*420400,10000)</f>
        <v/>
      </c>
      <c r="G4204">
        <f>MINIFS(CBIC_Late_Fee_Relief_Windows_3B!$O$4204:$O$100,CBIC_Late_Fee_Relief_Windows_3B!$D$4204:$D$100,"&lt;="&amp;B4204,CBIC_Late_Fee_Relief_Windows_3B!$E$4204:$E$100,"&gt;="&amp;B4204,CBIC_Late_Fee_Relief_Windows_3B!$F$4204:$F$100,"&lt;="&amp;C4204,CBIC_Late_Fee_Relief_Windows_3B!$G$4204:$G$100,"&gt;="&amp;C4204)</f>
        <v/>
      </c>
      <c r="H4204">
        <f>INDEX(CBIC_Late_Fee_Relief_Windows_3B!$I$4204:$I$100,MATCH(G4204,CBIC_Late_Fee_Relief_Windows_3B!$O$4204:$O$100,0))</f>
        <v/>
      </c>
      <c r="I4204">
        <f>MIN(F4204,H4204)</f>
        <v/>
      </c>
    </row>
    <row r="4205">
      <c r="A4205">
        <f>TEST_DATA!A4205</f>
        <v/>
      </c>
      <c r="B4205">
        <f>TEST_DATA!B4205</f>
        <v/>
      </c>
      <c r="C4205">
        <f>TEST_DATA!C4205</f>
        <v/>
      </c>
      <c r="D4205">
        <f>TEST_DATA!D4205</f>
        <v/>
      </c>
      <c r="E4205">
        <f>TEST_DATA!E4205</f>
        <v/>
      </c>
      <c r="F4205">
        <f>MIN(E4205*420500,10000)</f>
        <v/>
      </c>
      <c r="G4205">
        <f>MINIFS(CBIC_Late_Fee_Relief_Windows_3B!$O$4205:$O$100,CBIC_Late_Fee_Relief_Windows_3B!$D$4205:$D$100,"&lt;="&amp;B4205,CBIC_Late_Fee_Relief_Windows_3B!$E$4205:$E$100,"&gt;="&amp;B4205,CBIC_Late_Fee_Relief_Windows_3B!$F$4205:$F$100,"&lt;="&amp;C4205,CBIC_Late_Fee_Relief_Windows_3B!$G$4205:$G$100,"&gt;="&amp;C4205)</f>
        <v/>
      </c>
      <c r="H4205">
        <f>INDEX(CBIC_Late_Fee_Relief_Windows_3B!$I$4205:$I$100,MATCH(G4205,CBIC_Late_Fee_Relief_Windows_3B!$O$4205:$O$100,0))</f>
        <v/>
      </c>
      <c r="I4205">
        <f>MIN(F4205,H4205)</f>
        <v/>
      </c>
    </row>
    <row r="4206">
      <c r="A4206">
        <f>TEST_DATA!A4206</f>
        <v/>
      </c>
      <c r="B4206">
        <f>TEST_DATA!B4206</f>
        <v/>
      </c>
      <c r="C4206">
        <f>TEST_DATA!C4206</f>
        <v/>
      </c>
      <c r="D4206">
        <f>TEST_DATA!D4206</f>
        <v/>
      </c>
      <c r="E4206">
        <f>TEST_DATA!E4206</f>
        <v/>
      </c>
      <c r="F4206">
        <f>MIN(E4206*420600,10000)</f>
        <v/>
      </c>
      <c r="G4206">
        <f>MINIFS(CBIC_Late_Fee_Relief_Windows_3B!$O$4206:$O$100,CBIC_Late_Fee_Relief_Windows_3B!$D$4206:$D$100,"&lt;="&amp;B4206,CBIC_Late_Fee_Relief_Windows_3B!$E$4206:$E$100,"&gt;="&amp;B4206,CBIC_Late_Fee_Relief_Windows_3B!$F$4206:$F$100,"&lt;="&amp;C4206,CBIC_Late_Fee_Relief_Windows_3B!$G$4206:$G$100,"&gt;="&amp;C4206)</f>
        <v/>
      </c>
      <c r="H4206">
        <f>INDEX(CBIC_Late_Fee_Relief_Windows_3B!$I$4206:$I$100,MATCH(G4206,CBIC_Late_Fee_Relief_Windows_3B!$O$4206:$O$100,0))</f>
        <v/>
      </c>
      <c r="I4206">
        <f>MIN(F4206,H4206)</f>
        <v/>
      </c>
    </row>
    <row r="4207">
      <c r="A4207">
        <f>TEST_DATA!A4207</f>
        <v/>
      </c>
      <c r="B4207">
        <f>TEST_DATA!B4207</f>
        <v/>
      </c>
      <c r="C4207">
        <f>TEST_DATA!C4207</f>
        <v/>
      </c>
      <c r="D4207">
        <f>TEST_DATA!D4207</f>
        <v/>
      </c>
      <c r="E4207">
        <f>TEST_DATA!E4207</f>
        <v/>
      </c>
      <c r="F4207">
        <f>MIN(E4207*420700,10000)</f>
        <v/>
      </c>
      <c r="G4207">
        <f>MINIFS(CBIC_Late_Fee_Relief_Windows_3B!$O$4207:$O$100,CBIC_Late_Fee_Relief_Windows_3B!$D$4207:$D$100,"&lt;="&amp;B4207,CBIC_Late_Fee_Relief_Windows_3B!$E$4207:$E$100,"&gt;="&amp;B4207,CBIC_Late_Fee_Relief_Windows_3B!$F$4207:$F$100,"&lt;="&amp;C4207,CBIC_Late_Fee_Relief_Windows_3B!$G$4207:$G$100,"&gt;="&amp;C4207)</f>
        <v/>
      </c>
      <c r="H4207">
        <f>INDEX(CBIC_Late_Fee_Relief_Windows_3B!$I$4207:$I$100,MATCH(G4207,CBIC_Late_Fee_Relief_Windows_3B!$O$4207:$O$100,0))</f>
        <v/>
      </c>
      <c r="I4207">
        <f>MIN(F4207,H4207)</f>
        <v/>
      </c>
    </row>
    <row r="4208">
      <c r="A4208">
        <f>TEST_DATA!A4208</f>
        <v/>
      </c>
      <c r="B4208">
        <f>TEST_DATA!B4208</f>
        <v/>
      </c>
      <c r="C4208">
        <f>TEST_DATA!C4208</f>
        <v/>
      </c>
      <c r="D4208">
        <f>TEST_DATA!D4208</f>
        <v/>
      </c>
      <c r="E4208">
        <f>TEST_DATA!E4208</f>
        <v/>
      </c>
      <c r="F4208">
        <f>MIN(E4208*420800,10000)</f>
        <v/>
      </c>
      <c r="G4208">
        <f>MINIFS(CBIC_Late_Fee_Relief_Windows_3B!$O$4208:$O$100,CBIC_Late_Fee_Relief_Windows_3B!$D$4208:$D$100,"&lt;="&amp;B4208,CBIC_Late_Fee_Relief_Windows_3B!$E$4208:$E$100,"&gt;="&amp;B4208,CBIC_Late_Fee_Relief_Windows_3B!$F$4208:$F$100,"&lt;="&amp;C4208,CBIC_Late_Fee_Relief_Windows_3B!$G$4208:$G$100,"&gt;="&amp;C4208)</f>
        <v/>
      </c>
      <c r="H4208">
        <f>INDEX(CBIC_Late_Fee_Relief_Windows_3B!$I$4208:$I$100,MATCH(G4208,CBIC_Late_Fee_Relief_Windows_3B!$O$4208:$O$100,0))</f>
        <v/>
      </c>
      <c r="I4208">
        <f>MIN(F4208,H4208)</f>
        <v/>
      </c>
    </row>
    <row r="4209">
      <c r="A4209">
        <f>TEST_DATA!A4209</f>
        <v/>
      </c>
      <c r="B4209">
        <f>TEST_DATA!B4209</f>
        <v/>
      </c>
      <c r="C4209">
        <f>TEST_DATA!C4209</f>
        <v/>
      </c>
      <c r="D4209">
        <f>TEST_DATA!D4209</f>
        <v/>
      </c>
      <c r="E4209">
        <f>TEST_DATA!E4209</f>
        <v/>
      </c>
      <c r="F4209">
        <f>MIN(E4209*420900,10000)</f>
        <v/>
      </c>
      <c r="G4209">
        <f>MINIFS(CBIC_Late_Fee_Relief_Windows_3B!$O$4209:$O$100,CBIC_Late_Fee_Relief_Windows_3B!$D$4209:$D$100,"&lt;="&amp;B4209,CBIC_Late_Fee_Relief_Windows_3B!$E$4209:$E$100,"&gt;="&amp;B4209,CBIC_Late_Fee_Relief_Windows_3B!$F$4209:$F$100,"&lt;="&amp;C4209,CBIC_Late_Fee_Relief_Windows_3B!$G$4209:$G$100,"&gt;="&amp;C4209)</f>
        <v/>
      </c>
      <c r="H4209">
        <f>INDEX(CBIC_Late_Fee_Relief_Windows_3B!$I$4209:$I$100,MATCH(G4209,CBIC_Late_Fee_Relief_Windows_3B!$O$4209:$O$100,0))</f>
        <v/>
      </c>
      <c r="I4209">
        <f>MIN(F4209,H4209)</f>
        <v/>
      </c>
    </row>
    <row r="4210">
      <c r="A4210">
        <f>TEST_DATA!A4210</f>
        <v/>
      </c>
      <c r="B4210">
        <f>TEST_DATA!B4210</f>
        <v/>
      </c>
      <c r="C4210">
        <f>TEST_DATA!C4210</f>
        <v/>
      </c>
      <c r="D4210">
        <f>TEST_DATA!D4210</f>
        <v/>
      </c>
      <c r="E4210">
        <f>TEST_DATA!E4210</f>
        <v/>
      </c>
      <c r="F4210">
        <f>MIN(E4210*421000,10000)</f>
        <v/>
      </c>
      <c r="G4210">
        <f>MINIFS(CBIC_Late_Fee_Relief_Windows_3B!$O$4210:$O$100,CBIC_Late_Fee_Relief_Windows_3B!$D$4210:$D$100,"&lt;="&amp;B4210,CBIC_Late_Fee_Relief_Windows_3B!$E$4210:$E$100,"&gt;="&amp;B4210,CBIC_Late_Fee_Relief_Windows_3B!$F$4210:$F$100,"&lt;="&amp;C4210,CBIC_Late_Fee_Relief_Windows_3B!$G$4210:$G$100,"&gt;="&amp;C4210)</f>
        <v/>
      </c>
      <c r="H4210">
        <f>INDEX(CBIC_Late_Fee_Relief_Windows_3B!$I$4210:$I$100,MATCH(G4210,CBIC_Late_Fee_Relief_Windows_3B!$O$4210:$O$100,0))</f>
        <v/>
      </c>
      <c r="I4210">
        <f>MIN(F4210,H4210)</f>
        <v/>
      </c>
    </row>
    <row r="4211">
      <c r="A4211">
        <f>TEST_DATA!A4211</f>
        <v/>
      </c>
      <c r="B4211">
        <f>TEST_DATA!B4211</f>
        <v/>
      </c>
      <c r="C4211">
        <f>TEST_DATA!C4211</f>
        <v/>
      </c>
      <c r="D4211">
        <f>TEST_DATA!D4211</f>
        <v/>
      </c>
      <c r="E4211">
        <f>TEST_DATA!E4211</f>
        <v/>
      </c>
      <c r="F4211">
        <f>MIN(E4211*421100,10000)</f>
        <v/>
      </c>
      <c r="G4211">
        <f>MINIFS(CBIC_Late_Fee_Relief_Windows_3B!$O$4211:$O$100,CBIC_Late_Fee_Relief_Windows_3B!$D$4211:$D$100,"&lt;="&amp;B4211,CBIC_Late_Fee_Relief_Windows_3B!$E$4211:$E$100,"&gt;="&amp;B4211,CBIC_Late_Fee_Relief_Windows_3B!$F$4211:$F$100,"&lt;="&amp;C4211,CBIC_Late_Fee_Relief_Windows_3B!$G$4211:$G$100,"&gt;="&amp;C4211)</f>
        <v/>
      </c>
      <c r="H4211">
        <f>INDEX(CBIC_Late_Fee_Relief_Windows_3B!$I$4211:$I$100,MATCH(G4211,CBIC_Late_Fee_Relief_Windows_3B!$O$4211:$O$100,0))</f>
        <v/>
      </c>
      <c r="I4211">
        <f>MIN(F4211,H4211)</f>
        <v/>
      </c>
    </row>
    <row r="4212">
      <c r="A4212">
        <f>TEST_DATA!A4212</f>
        <v/>
      </c>
      <c r="B4212">
        <f>TEST_DATA!B4212</f>
        <v/>
      </c>
      <c r="C4212">
        <f>TEST_DATA!C4212</f>
        <v/>
      </c>
      <c r="D4212">
        <f>TEST_DATA!D4212</f>
        <v/>
      </c>
      <c r="E4212">
        <f>TEST_DATA!E4212</f>
        <v/>
      </c>
      <c r="F4212">
        <f>MIN(E4212*421200,10000)</f>
        <v/>
      </c>
      <c r="G4212">
        <f>MINIFS(CBIC_Late_Fee_Relief_Windows_3B!$O$4212:$O$100,CBIC_Late_Fee_Relief_Windows_3B!$D$4212:$D$100,"&lt;="&amp;B4212,CBIC_Late_Fee_Relief_Windows_3B!$E$4212:$E$100,"&gt;="&amp;B4212,CBIC_Late_Fee_Relief_Windows_3B!$F$4212:$F$100,"&lt;="&amp;C4212,CBIC_Late_Fee_Relief_Windows_3B!$G$4212:$G$100,"&gt;="&amp;C4212)</f>
        <v/>
      </c>
      <c r="H4212">
        <f>INDEX(CBIC_Late_Fee_Relief_Windows_3B!$I$4212:$I$100,MATCH(G4212,CBIC_Late_Fee_Relief_Windows_3B!$O$4212:$O$100,0))</f>
        <v/>
      </c>
      <c r="I4212">
        <f>MIN(F4212,H4212)</f>
        <v/>
      </c>
    </row>
    <row r="4213">
      <c r="A4213">
        <f>TEST_DATA!A4213</f>
        <v/>
      </c>
      <c r="B4213">
        <f>TEST_DATA!B4213</f>
        <v/>
      </c>
      <c r="C4213">
        <f>TEST_DATA!C4213</f>
        <v/>
      </c>
      <c r="D4213">
        <f>TEST_DATA!D4213</f>
        <v/>
      </c>
      <c r="E4213">
        <f>TEST_DATA!E4213</f>
        <v/>
      </c>
      <c r="F4213">
        <f>MIN(E4213*421300,10000)</f>
        <v/>
      </c>
      <c r="G4213">
        <f>MINIFS(CBIC_Late_Fee_Relief_Windows_3B!$O$4213:$O$100,CBIC_Late_Fee_Relief_Windows_3B!$D$4213:$D$100,"&lt;="&amp;B4213,CBIC_Late_Fee_Relief_Windows_3B!$E$4213:$E$100,"&gt;="&amp;B4213,CBIC_Late_Fee_Relief_Windows_3B!$F$4213:$F$100,"&lt;="&amp;C4213,CBIC_Late_Fee_Relief_Windows_3B!$G$4213:$G$100,"&gt;="&amp;C4213)</f>
        <v/>
      </c>
      <c r="H4213">
        <f>INDEX(CBIC_Late_Fee_Relief_Windows_3B!$I$4213:$I$100,MATCH(G4213,CBIC_Late_Fee_Relief_Windows_3B!$O$4213:$O$100,0))</f>
        <v/>
      </c>
      <c r="I4213">
        <f>MIN(F4213,H4213)</f>
        <v/>
      </c>
    </row>
    <row r="4214">
      <c r="A4214">
        <f>TEST_DATA!A4214</f>
        <v/>
      </c>
      <c r="B4214">
        <f>TEST_DATA!B4214</f>
        <v/>
      </c>
      <c r="C4214">
        <f>TEST_DATA!C4214</f>
        <v/>
      </c>
      <c r="D4214">
        <f>TEST_DATA!D4214</f>
        <v/>
      </c>
      <c r="E4214">
        <f>TEST_DATA!E4214</f>
        <v/>
      </c>
      <c r="F4214">
        <f>MIN(E4214*421400,10000)</f>
        <v/>
      </c>
      <c r="G4214">
        <f>MINIFS(CBIC_Late_Fee_Relief_Windows_3B!$O$4214:$O$100,CBIC_Late_Fee_Relief_Windows_3B!$D$4214:$D$100,"&lt;="&amp;B4214,CBIC_Late_Fee_Relief_Windows_3B!$E$4214:$E$100,"&gt;="&amp;B4214,CBIC_Late_Fee_Relief_Windows_3B!$F$4214:$F$100,"&lt;="&amp;C4214,CBIC_Late_Fee_Relief_Windows_3B!$G$4214:$G$100,"&gt;="&amp;C4214)</f>
        <v/>
      </c>
      <c r="H4214">
        <f>INDEX(CBIC_Late_Fee_Relief_Windows_3B!$I$4214:$I$100,MATCH(G4214,CBIC_Late_Fee_Relief_Windows_3B!$O$4214:$O$100,0))</f>
        <v/>
      </c>
      <c r="I4214">
        <f>MIN(F4214,H4214)</f>
        <v/>
      </c>
    </row>
    <row r="4215">
      <c r="A4215">
        <f>TEST_DATA!A4215</f>
        <v/>
      </c>
      <c r="B4215">
        <f>TEST_DATA!B4215</f>
        <v/>
      </c>
      <c r="C4215">
        <f>TEST_DATA!C4215</f>
        <v/>
      </c>
      <c r="D4215">
        <f>TEST_DATA!D4215</f>
        <v/>
      </c>
      <c r="E4215">
        <f>TEST_DATA!E4215</f>
        <v/>
      </c>
      <c r="F4215">
        <f>MIN(E4215*421500,10000)</f>
        <v/>
      </c>
      <c r="G4215">
        <f>MINIFS(CBIC_Late_Fee_Relief_Windows_3B!$O$4215:$O$100,CBIC_Late_Fee_Relief_Windows_3B!$D$4215:$D$100,"&lt;="&amp;B4215,CBIC_Late_Fee_Relief_Windows_3B!$E$4215:$E$100,"&gt;="&amp;B4215,CBIC_Late_Fee_Relief_Windows_3B!$F$4215:$F$100,"&lt;="&amp;C4215,CBIC_Late_Fee_Relief_Windows_3B!$G$4215:$G$100,"&gt;="&amp;C4215)</f>
        <v/>
      </c>
      <c r="H4215">
        <f>INDEX(CBIC_Late_Fee_Relief_Windows_3B!$I$4215:$I$100,MATCH(G4215,CBIC_Late_Fee_Relief_Windows_3B!$O$4215:$O$100,0))</f>
        <v/>
      </c>
      <c r="I4215">
        <f>MIN(F4215,H4215)</f>
        <v/>
      </c>
    </row>
    <row r="4216">
      <c r="A4216">
        <f>TEST_DATA!A4216</f>
        <v/>
      </c>
      <c r="B4216">
        <f>TEST_DATA!B4216</f>
        <v/>
      </c>
      <c r="C4216">
        <f>TEST_DATA!C4216</f>
        <v/>
      </c>
      <c r="D4216">
        <f>TEST_DATA!D4216</f>
        <v/>
      </c>
      <c r="E4216">
        <f>TEST_DATA!E4216</f>
        <v/>
      </c>
      <c r="F4216">
        <f>MIN(E4216*421600,10000)</f>
        <v/>
      </c>
      <c r="G4216">
        <f>MINIFS(CBIC_Late_Fee_Relief_Windows_3B!$O$4216:$O$100,CBIC_Late_Fee_Relief_Windows_3B!$D$4216:$D$100,"&lt;="&amp;B4216,CBIC_Late_Fee_Relief_Windows_3B!$E$4216:$E$100,"&gt;="&amp;B4216,CBIC_Late_Fee_Relief_Windows_3B!$F$4216:$F$100,"&lt;="&amp;C4216,CBIC_Late_Fee_Relief_Windows_3B!$G$4216:$G$100,"&gt;="&amp;C4216)</f>
        <v/>
      </c>
      <c r="H4216">
        <f>INDEX(CBIC_Late_Fee_Relief_Windows_3B!$I$4216:$I$100,MATCH(G4216,CBIC_Late_Fee_Relief_Windows_3B!$O$4216:$O$100,0))</f>
        <v/>
      </c>
      <c r="I4216">
        <f>MIN(F4216,H4216)</f>
        <v/>
      </c>
    </row>
    <row r="4217">
      <c r="A4217">
        <f>TEST_DATA!A4217</f>
        <v/>
      </c>
      <c r="B4217">
        <f>TEST_DATA!B4217</f>
        <v/>
      </c>
      <c r="C4217">
        <f>TEST_DATA!C4217</f>
        <v/>
      </c>
      <c r="D4217">
        <f>TEST_DATA!D4217</f>
        <v/>
      </c>
      <c r="E4217">
        <f>TEST_DATA!E4217</f>
        <v/>
      </c>
      <c r="F4217">
        <f>MIN(E4217*421700,10000)</f>
        <v/>
      </c>
      <c r="G4217">
        <f>MINIFS(CBIC_Late_Fee_Relief_Windows_3B!$O$4217:$O$100,CBIC_Late_Fee_Relief_Windows_3B!$D$4217:$D$100,"&lt;="&amp;B4217,CBIC_Late_Fee_Relief_Windows_3B!$E$4217:$E$100,"&gt;="&amp;B4217,CBIC_Late_Fee_Relief_Windows_3B!$F$4217:$F$100,"&lt;="&amp;C4217,CBIC_Late_Fee_Relief_Windows_3B!$G$4217:$G$100,"&gt;="&amp;C4217)</f>
        <v/>
      </c>
      <c r="H4217">
        <f>INDEX(CBIC_Late_Fee_Relief_Windows_3B!$I$4217:$I$100,MATCH(G4217,CBIC_Late_Fee_Relief_Windows_3B!$O$4217:$O$100,0))</f>
        <v/>
      </c>
      <c r="I4217">
        <f>MIN(F4217,H4217)</f>
        <v/>
      </c>
    </row>
    <row r="4218">
      <c r="A4218">
        <f>TEST_DATA!A4218</f>
        <v/>
      </c>
      <c r="B4218">
        <f>TEST_DATA!B4218</f>
        <v/>
      </c>
      <c r="C4218">
        <f>TEST_DATA!C4218</f>
        <v/>
      </c>
      <c r="D4218">
        <f>TEST_DATA!D4218</f>
        <v/>
      </c>
      <c r="E4218">
        <f>TEST_DATA!E4218</f>
        <v/>
      </c>
      <c r="F4218">
        <f>MIN(E4218*421800,10000)</f>
        <v/>
      </c>
      <c r="G4218">
        <f>MINIFS(CBIC_Late_Fee_Relief_Windows_3B!$O$4218:$O$100,CBIC_Late_Fee_Relief_Windows_3B!$D$4218:$D$100,"&lt;="&amp;B4218,CBIC_Late_Fee_Relief_Windows_3B!$E$4218:$E$100,"&gt;="&amp;B4218,CBIC_Late_Fee_Relief_Windows_3B!$F$4218:$F$100,"&lt;="&amp;C4218,CBIC_Late_Fee_Relief_Windows_3B!$G$4218:$G$100,"&gt;="&amp;C4218)</f>
        <v/>
      </c>
      <c r="H4218">
        <f>INDEX(CBIC_Late_Fee_Relief_Windows_3B!$I$4218:$I$100,MATCH(G4218,CBIC_Late_Fee_Relief_Windows_3B!$O$4218:$O$100,0))</f>
        <v/>
      </c>
      <c r="I4218">
        <f>MIN(F4218,H4218)</f>
        <v/>
      </c>
    </row>
    <row r="4219">
      <c r="A4219">
        <f>TEST_DATA!A4219</f>
        <v/>
      </c>
      <c r="B4219">
        <f>TEST_DATA!B4219</f>
        <v/>
      </c>
      <c r="C4219">
        <f>TEST_DATA!C4219</f>
        <v/>
      </c>
      <c r="D4219">
        <f>TEST_DATA!D4219</f>
        <v/>
      </c>
      <c r="E4219">
        <f>TEST_DATA!E4219</f>
        <v/>
      </c>
      <c r="F4219">
        <f>MIN(E4219*421900,10000)</f>
        <v/>
      </c>
      <c r="G4219">
        <f>MINIFS(CBIC_Late_Fee_Relief_Windows_3B!$O$4219:$O$100,CBIC_Late_Fee_Relief_Windows_3B!$D$4219:$D$100,"&lt;="&amp;B4219,CBIC_Late_Fee_Relief_Windows_3B!$E$4219:$E$100,"&gt;="&amp;B4219,CBIC_Late_Fee_Relief_Windows_3B!$F$4219:$F$100,"&lt;="&amp;C4219,CBIC_Late_Fee_Relief_Windows_3B!$G$4219:$G$100,"&gt;="&amp;C4219)</f>
        <v/>
      </c>
      <c r="H4219">
        <f>INDEX(CBIC_Late_Fee_Relief_Windows_3B!$I$4219:$I$100,MATCH(G4219,CBIC_Late_Fee_Relief_Windows_3B!$O$4219:$O$100,0))</f>
        <v/>
      </c>
      <c r="I4219">
        <f>MIN(F4219,H4219)</f>
        <v/>
      </c>
    </row>
    <row r="4220">
      <c r="A4220">
        <f>TEST_DATA!A4220</f>
        <v/>
      </c>
      <c r="B4220">
        <f>TEST_DATA!B4220</f>
        <v/>
      </c>
      <c r="C4220">
        <f>TEST_DATA!C4220</f>
        <v/>
      </c>
      <c r="D4220">
        <f>TEST_DATA!D4220</f>
        <v/>
      </c>
      <c r="E4220">
        <f>TEST_DATA!E4220</f>
        <v/>
      </c>
      <c r="F4220">
        <f>MIN(E4220*422000,10000)</f>
        <v/>
      </c>
      <c r="G4220">
        <f>MINIFS(CBIC_Late_Fee_Relief_Windows_3B!$O$4220:$O$100,CBIC_Late_Fee_Relief_Windows_3B!$D$4220:$D$100,"&lt;="&amp;B4220,CBIC_Late_Fee_Relief_Windows_3B!$E$4220:$E$100,"&gt;="&amp;B4220,CBIC_Late_Fee_Relief_Windows_3B!$F$4220:$F$100,"&lt;="&amp;C4220,CBIC_Late_Fee_Relief_Windows_3B!$G$4220:$G$100,"&gt;="&amp;C4220)</f>
        <v/>
      </c>
      <c r="H4220">
        <f>INDEX(CBIC_Late_Fee_Relief_Windows_3B!$I$4220:$I$100,MATCH(G4220,CBIC_Late_Fee_Relief_Windows_3B!$O$4220:$O$100,0))</f>
        <v/>
      </c>
      <c r="I4220">
        <f>MIN(F4220,H4220)</f>
        <v/>
      </c>
    </row>
    <row r="4221">
      <c r="A4221">
        <f>TEST_DATA!A4221</f>
        <v/>
      </c>
      <c r="B4221">
        <f>TEST_DATA!B4221</f>
        <v/>
      </c>
      <c r="C4221">
        <f>TEST_DATA!C4221</f>
        <v/>
      </c>
      <c r="D4221">
        <f>TEST_DATA!D4221</f>
        <v/>
      </c>
      <c r="E4221">
        <f>TEST_DATA!E4221</f>
        <v/>
      </c>
      <c r="F4221">
        <f>MIN(E4221*422100,10000)</f>
        <v/>
      </c>
      <c r="G4221">
        <f>MINIFS(CBIC_Late_Fee_Relief_Windows_3B!$O$4221:$O$100,CBIC_Late_Fee_Relief_Windows_3B!$D$4221:$D$100,"&lt;="&amp;B4221,CBIC_Late_Fee_Relief_Windows_3B!$E$4221:$E$100,"&gt;="&amp;B4221,CBIC_Late_Fee_Relief_Windows_3B!$F$4221:$F$100,"&lt;="&amp;C4221,CBIC_Late_Fee_Relief_Windows_3B!$G$4221:$G$100,"&gt;="&amp;C4221)</f>
        <v/>
      </c>
      <c r="H4221">
        <f>INDEX(CBIC_Late_Fee_Relief_Windows_3B!$I$4221:$I$100,MATCH(G4221,CBIC_Late_Fee_Relief_Windows_3B!$O$4221:$O$100,0))</f>
        <v/>
      </c>
      <c r="I4221">
        <f>MIN(F4221,H4221)</f>
        <v/>
      </c>
    </row>
    <row r="4222">
      <c r="A4222">
        <f>TEST_DATA!A4222</f>
        <v/>
      </c>
      <c r="B4222">
        <f>TEST_DATA!B4222</f>
        <v/>
      </c>
      <c r="C4222">
        <f>TEST_DATA!C4222</f>
        <v/>
      </c>
      <c r="D4222">
        <f>TEST_DATA!D4222</f>
        <v/>
      </c>
      <c r="E4222">
        <f>TEST_DATA!E4222</f>
        <v/>
      </c>
      <c r="F4222">
        <f>MIN(E4222*422200,10000)</f>
        <v/>
      </c>
      <c r="G4222">
        <f>MINIFS(CBIC_Late_Fee_Relief_Windows_3B!$O$4222:$O$100,CBIC_Late_Fee_Relief_Windows_3B!$D$4222:$D$100,"&lt;="&amp;B4222,CBIC_Late_Fee_Relief_Windows_3B!$E$4222:$E$100,"&gt;="&amp;B4222,CBIC_Late_Fee_Relief_Windows_3B!$F$4222:$F$100,"&lt;="&amp;C4222,CBIC_Late_Fee_Relief_Windows_3B!$G$4222:$G$100,"&gt;="&amp;C4222)</f>
        <v/>
      </c>
      <c r="H4222">
        <f>INDEX(CBIC_Late_Fee_Relief_Windows_3B!$I$4222:$I$100,MATCH(G4222,CBIC_Late_Fee_Relief_Windows_3B!$O$4222:$O$100,0))</f>
        <v/>
      </c>
      <c r="I4222">
        <f>MIN(F4222,H4222)</f>
        <v/>
      </c>
    </row>
    <row r="4223">
      <c r="A4223">
        <f>TEST_DATA!A4223</f>
        <v/>
      </c>
      <c r="B4223">
        <f>TEST_DATA!B4223</f>
        <v/>
      </c>
      <c r="C4223">
        <f>TEST_DATA!C4223</f>
        <v/>
      </c>
      <c r="D4223">
        <f>TEST_DATA!D4223</f>
        <v/>
      </c>
      <c r="E4223">
        <f>TEST_DATA!E4223</f>
        <v/>
      </c>
      <c r="F4223">
        <f>MIN(E4223*422300,10000)</f>
        <v/>
      </c>
      <c r="G4223">
        <f>MINIFS(CBIC_Late_Fee_Relief_Windows_3B!$O$4223:$O$100,CBIC_Late_Fee_Relief_Windows_3B!$D$4223:$D$100,"&lt;="&amp;B4223,CBIC_Late_Fee_Relief_Windows_3B!$E$4223:$E$100,"&gt;="&amp;B4223,CBIC_Late_Fee_Relief_Windows_3B!$F$4223:$F$100,"&lt;="&amp;C4223,CBIC_Late_Fee_Relief_Windows_3B!$G$4223:$G$100,"&gt;="&amp;C4223)</f>
        <v/>
      </c>
      <c r="H4223">
        <f>INDEX(CBIC_Late_Fee_Relief_Windows_3B!$I$4223:$I$100,MATCH(G4223,CBIC_Late_Fee_Relief_Windows_3B!$O$4223:$O$100,0))</f>
        <v/>
      </c>
      <c r="I4223">
        <f>MIN(F4223,H4223)</f>
        <v/>
      </c>
    </row>
    <row r="4224">
      <c r="A4224">
        <f>TEST_DATA!A4224</f>
        <v/>
      </c>
      <c r="B4224">
        <f>TEST_DATA!B4224</f>
        <v/>
      </c>
      <c r="C4224">
        <f>TEST_DATA!C4224</f>
        <v/>
      </c>
      <c r="D4224">
        <f>TEST_DATA!D4224</f>
        <v/>
      </c>
      <c r="E4224">
        <f>TEST_DATA!E4224</f>
        <v/>
      </c>
      <c r="F4224">
        <f>MIN(E4224*422400,10000)</f>
        <v/>
      </c>
      <c r="G4224">
        <f>MINIFS(CBIC_Late_Fee_Relief_Windows_3B!$O$4224:$O$100,CBIC_Late_Fee_Relief_Windows_3B!$D$4224:$D$100,"&lt;="&amp;B4224,CBIC_Late_Fee_Relief_Windows_3B!$E$4224:$E$100,"&gt;="&amp;B4224,CBIC_Late_Fee_Relief_Windows_3B!$F$4224:$F$100,"&lt;="&amp;C4224,CBIC_Late_Fee_Relief_Windows_3B!$G$4224:$G$100,"&gt;="&amp;C4224)</f>
        <v/>
      </c>
      <c r="H4224">
        <f>INDEX(CBIC_Late_Fee_Relief_Windows_3B!$I$4224:$I$100,MATCH(G4224,CBIC_Late_Fee_Relief_Windows_3B!$O$4224:$O$100,0))</f>
        <v/>
      </c>
      <c r="I4224">
        <f>MIN(F4224,H4224)</f>
        <v/>
      </c>
    </row>
    <row r="4225">
      <c r="A4225">
        <f>TEST_DATA!A4225</f>
        <v/>
      </c>
      <c r="B4225">
        <f>TEST_DATA!B4225</f>
        <v/>
      </c>
      <c r="C4225">
        <f>TEST_DATA!C4225</f>
        <v/>
      </c>
      <c r="D4225">
        <f>TEST_DATA!D4225</f>
        <v/>
      </c>
      <c r="E4225">
        <f>TEST_DATA!E4225</f>
        <v/>
      </c>
      <c r="F4225">
        <f>MIN(E4225*422500,10000)</f>
        <v/>
      </c>
      <c r="G4225">
        <f>MINIFS(CBIC_Late_Fee_Relief_Windows_3B!$O$4225:$O$100,CBIC_Late_Fee_Relief_Windows_3B!$D$4225:$D$100,"&lt;="&amp;B4225,CBIC_Late_Fee_Relief_Windows_3B!$E$4225:$E$100,"&gt;="&amp;B4225,CBIC_Late_Fee_Relief_Windows_3B!$F$4225:$F$100,"&lt;="&amp;C4225,CBIC_Late_Fee_Relief_Windows_3B!$G$4225:$G$100,"&gt;="&amp;C4225)</f>
        <v/>
      </c>
      <c r="H4225">
        <f>INDEX(CBIC_Late_Fee_Relief_Windows_3B!$I$4225:$I$100,MATCH(G4225,CBIC_Late_Fee_Relief_Windows_3B!$O$4225:$O$100,0))</f>
        <v/>
      </c>
      <c r="I4225">
        <f>MIN(F4225,H4225)</f>
        <v/>
      </c>
    </row>
    <row r="4226">
      <c r="A4226">
        <f>TEST_DATA!A4226</f>
        <v/>
      </c>
      <c r="B4226">
        <f>TEST_DATA!B4226</f>
        <v/>
      </c>
      <c r="C4226">
        <f>TEST_DATA!C4226</f>
        <v/>
      </c>
      <c r="D4226">
        <f>TEST_DATA!D4226</f>
        <v/>
      </c>
      <c r="E4226">
        <f>TEST_DATA!E4226</f>
        <v/>
      </c>
      <c r="F4226">
        <f>MIN(E4226*422600,10000)</f>
        <v/>
      </c>
      <c r="G4226">
        <f>MINIFS(CBIC_Late_Fee_Relief_Windows_3B!$O$4226:$O$100,CBIC_Late_Fee_Relief_Windows_3B!$D$4226:$D$100,"&lt;="&amp;B4226,CBIC_Late_Fee_Relief_Windows_3B!$E$4226:$E$100,"&gt;="&amp;B4226,CBIC_Late_Fee_Relief_Windows_3B!$F$4226:$F$100,"&lt;="&amp;C4226,CBIC_Late_Fee_Relief_Windows_3B!$G$4226:$G$100,"&gt;="&amp;C4226)</f>
        <v/>
      </c>
      <c r="H4226">
        <f>INDEX(CBIC_Late_Fee_Relief_Windows_3B!$I$4226:$I$100,MATCH(G4226,CBIC_Late_Fee_Relief_Windows_3B!$O$4226:$O$100,0))</f>
        <v/>
      </c>
      <c r="I4226">
        <f>MIN(F4226,H4226)</f>
        <v/>
      </c>
    </row>
    <row r="4227">
      <c r="A4227">
        <f>TEST_DATA!A4227</f>
        <v/>
      </c>
      <c r="B4227">
        <f>TEST_DATA!B4227</f>
        <v/>
      </c>
      <c r="C4227">
        <f>TEST_DATA!C4227</f>
        <v/>
      </c>
      <c r="D4227">
        <f>TEST_DATA!D4227</f>
        <v/>
      </c>
      <c r="E4227">
        <f>TEST_DATA!E4227</f>
        <v/>
      </c>
      <c r="F4227">
        <f>MIN(E4227*422700,10000)</f>
        <v/>
      </c>
      <c r="G4227">
        <f>MINIFS(CBIC_Late_Fee_Relief_Windows_3B!$O$4227:$O$100,CBIC_Late_Fee_Relief_Windows_3B!$D$4227:$D$100,"&lt;="&amp;B4227,CBIC_Late_Fee_Relief_Windows_3B!$E$4227:$E$100,"&gt;="&amp;B4227,CBIC_Late_Fee_Relief_Windows_3B!$F$4227:$F$100,"&lt;="&amp;C4227,CBIC_Late_Fee_Relief_Windows_3B!$G$4227:$G$100,"&gt;="&amp;C4227)</f>
        <v/>
      </c>
      <c r="H4227">
        <f>INDEX(CBIC_Late_Fee_Relief_Windows_3B!$I$4227:$I$100,MATCH(G4227,CBIC_Late_Fee_Relief_Windows_3B!$O$4227:$O$100,0))</f>
        <v/>
      </c>
      <c r="I4227">
        <f>MIN(F4227,H4227)</f>
        <v/>
      </c>
    </row>
    <row r="4228">
      <c r="A4228">
        <f>TEST_DATA!A4228</f>
        <v/>
      </c>
      <c r="B4228">
        <f>TEST_DATA!B4228</f>
        <v/>
      </c>
      <c r="C4228">
        <f>TEST_DATA!C4228</f>
        <v/>
      </c>
      <c r="D4228">
        <f>TEST_DATA!D4228</f>
        <v/>
      </c>
      <c r="E4228">
        <f>TEST_DATA!E4228</f>
        <v/>
      </c>
      <c r="F4228">
        <f>MIN(E4228*422800,10000)</f>
        <v/>
      </c>
      <c r="G4228">
        <f>MINIFS(CBIC_Late_Fee_Relief_Windows_3B!$O$4228:$O$100,CBIC_Late_Fee_Relief_Windows_3B!$D$4228:$D$100,"&lt;="&amp;B4228,CBIC_Late_Fee_Relief_Windows_3B!$E$4228:$E$100,"&gt;="&amp;B4228,CBIC_Late_Fee_Relief_Windows_3B!$F$4228:$F$100,"&lt;="&amp;C4228,CBIC_Late_Fee_Relief_Windows_3B!$G$4228:$G$100,"&gt;="&amp;C4228)</f>
        <v/>
      </c>
      <c r="H4228">
        <f>INDEX(CBIC_Late_Fee_Relief_Windows_3B!$I$4228:$I$100,MATCH(G4228,CBIC_Late_Fee_Relief_Windows_3B!$O$4228:$O$100,0))</f>
        <v/>
      </c>
      <c r="I4228">
        <f>MIN(F4228,H4228)</f>
        <v/>
      </c>
    </row>
    <row r="4229">
      <c r="A4229">
        <f>TEST_DATA!A4229</f>
        <v/>
      </c>
      <c r="B4229">
        <f>TEST_DATA!B4229</f>
        <v/>
      </c>
      <c r="C4229">
        <f>TEST_DATA!C4229</f>
        <v/>
      </c>
      <c r="D4229">
        <f>TEST_DATA!D4229</f>
        <v/>
      </c>
      <c r="E4229">
        <f>TEST_DATA!E4229</f>
        <v/>
      </c>
      <c r="F4229">
        <f>MIN(E4229*422900,10000)</f>
        <v/>
      </c>
      <c r="G4229">
        <f>MINIFS(CBIC_Late_Fee_Relief_Windows_3B!$O$4229:$O$100,CBIC_Late_Fee_Relief_Windows_3B!$D$4229:$D$100,"&lt;="&amp;B4229,CBIC_Late_Fee_Relief_Windows_3B!$E$4229:$E$100,"&gt;="&amp;B4229,CBIC_Late_Fee_Relief_Windows_3B!$F$4229:$F$100,"&lt;="&amp;C4229,CBIC_Late_Fee_Relief_Windows_3B!$G$4229:$G$100,"&gt;="&amp;C4229)</f>
        <v/>
      </c>
      <c r="H4229">
        <f>INDEX(CBIC_Late_Fee_Relief_Windows_3B!$I$4229:$I$100,MATCH(G4229,CBIC_Late_Fee_Relief_Windows_3B!$O$4229:$O$100,0))</f>
        <v/>
      </c>
      <c r="I4229">
        <f>MIN(F4229,H4229)</f>
        <v/>
      </c>
    </row>
    <row r="4230">
      <c r="A4230">
        <f>TEST_DATA!A4230</f>
        <v/>
      </c>
      <c r="B4230">
        <f>TEST_DATA!B4230</f>
        <v/>
      </c>
      <c r="C4230">
        <f>TEST_DATA!C4230</f>
        <v/>
      </c>
      <c r="D4230">
        <f>TEST_DATA!D4230</f>
        <v/>
      </c>
      <c r="E4230">
        <f>TEST_DATA!E4230</f>
        <v/>
      </c>
      <c r="F4230">
        <f>MIN(E4230*423000,10000)</f>
        <v/>
      </c>
      <c r="G4230">
        <f>MINIFS(CBIC_Late_Fee_Relief_Windows_3B!$O$4230:$O$100,CBIC_Late_Fee_Relief_Windows_3B!$D$4230:$D$100,"&lt;="&amp;B4230,CBIC_Late_Fee_Relief_Windows_3B!$E$4230:$E$100,"&gt;="&amp;B4230,CBIC_Late_Fee_Relief_Windows_3B!$F$4230:$F$100,"&lt;="&amp;C4230,CBIC_Late_Fee_Relief_Windows_3B!$G$4230:$G$100,"&gt;="&amp;C4230)</f>
        <v/>
      </c>
      <c r="H4230">
        <f>INDEX(CBIC_Late_Fee_Relief_Windows_3B!$I$4230:$I$100,MATCH(G4230,CBIC_Late_Fee_Relief_Windows_3B!$O$4230:$O$100,0))</f>
        <v/>
      </c>
      <c r="I4230">
        <f>MIN(F4230,H4230)</f>
        <v/>
      </c>
    </row>
    <row r="4231">
      <c r="A4231">
        <f>TEST_DATA!A4231</f>
        <v/>
      </c>
      <c r="B4231">
        <f>TEST_DATA!B4231</f>
        <v/>
      </c>
      <c r="C4231">
        <f>TEST_DATA!C4231</f>
        <v/>
      </c>
      <c r="D4231">
        <f>TEST_DATA!D4231</f>
        <v/>
      </c>
      <c r="E4231">
        <f>TEST_DATA!E4231</f>
        <v/>
      </c>
      <c r="F4231">
        <f>MIN(E4231*423100,10000)</f>
        <v/>
      </c>
      <c r="G4231">
        <f>MINIFS(CBIC_Late_Fee_Relief_Windows_3B!$O$4231:$O$100,CBIC_Late_Fee_Relief_Windows_3B!$D$4231:$D$100,"&lt;="&amp;B4231,CBIC_Late_Fee_Relief_Windows_3B!$E$4231:$E$100,"&gt;="&amp;B4231,CBIC_Late_Fee_Relief_Windows_3B!$F$4231:$F$100,"&lt;="&amp;C4231,CBIC_Late_Fee_Relief_Windows_3B!$G$4231:$G$100,"&gt;="&amp;C4231)</f>
        <v/>
      </c>
      <c r="H4231">
        <f>INDEX(CBIC_Late_Fee_Relief_Windows_3B!$I$4231:$I$100,MATCH(G4231,CBIC_Late_Fee_Relief_Windows_3B!$O$4231:$O$100,0))</f>
        <v/>
      </c>
      <c r="I4231">
        <f>MIN(F4231,H4231)</f>
        <v/>
      </c>
    </row>
    <row r="4232">
      <c r="A4232">
        <f>TEST_DATA!A4232</f>
        <v/>
      </c>
      <c r="B4232">
        <f>TEST_DATA!B4232</f>
        <v/>
      </c>
      <c r="C4232">
        <f>TEST_DATA!C4232</f>
        <v/>
      </c>
      <c r="D4232">
        <f>TEST_DATA!D4232</f>
        <v/>
      </c>
      <c r="E4232">
        <f>TEST_DATA!E4232</f>
        <v/>
      </c>
      <c r="F4232">
        <f>MIN(E4232*423200,10000)</f>
        <v/>
      </c>
      <c r="G4232">
        <f>MINIFS(CBIC_Late_Fee_Relief_Windows_3B!$O$4232:$O$100,CBIC_Late_Fee_Relief_Windows_3B!$D$4232:$D$100,"&lt;="&amp;B4232,CBIC_Late_Fee_Relief_Windows_3B!$E$4232:$E$100,"&gt;="&amp;B4232,CBIC_Late_Fee_Relief_Windows_3B!$F$4232:$F$100,"&lt;="&amp;C4232,CBIC_Late_Fee_Relief_Windows_3B!$G$4232:$G$100,"&gt;="&amp;C4232)</f>
        <v/>
      </c>
      <c r="H4232">
        <f>INDEX(CBIC_Late_Fee_Relief_Windows_3B!$I$4232:$I$100,MATCH(G4232,CBIC_Late_Fee_Relief_Windows_3B!$O$4232:$O$100,0))</f>
        <v/>
      </c>
      <c r="I4232">
        <f>MIN(F4232,H4232)</f>
        <v/>
      </c>
    </row>
    <row r="4233">
      <c r="A4233">
        <f>TEST_DATA!A4233</f>
        <v/>
      </c>
      <c r="B4233">
        <f>TEST_DATA!B4233</f>
        <v/>
      </c>
      <c r="C4233">
        <f>TEST_DATA!C4233</f>
        <v/>
      </c>
      <c r="D4233">
        <f>TEST_DATA!D4233</f>
        <v/>
      </c>
      <c r="E4233">
        <f>TEST_DATA!E4233</f>
        <v/>
      </c>
      <c r="F4233">
        <f>MIN(E4233*423300,10000)</f>
        <v/>
      </c>
      <c r="G4233">
        <f>MINIFS(CBIC_Late_Fee_Relief_Windows_3B!$O$4233:$O$100,CBIC_Late_Fee_Relief_Windows_3B!$D$4233:$D$100,"&lt;="&amp;B4233,CBIC_Late_Fee_Relief_Windows_3B!$E$4233:$E$100,"&gt;="&amp;B4233,CBIC_Late_Fee_Relief_Windows_3B!$F$4233:$F$100,"&lt;="&amp;C4233,CBIC_Late_Fee_Relief_Windows_3B!$G$4233:$G$100,"&gt;="&amp;C4233)</f>
        <v/>
      </c>
      <c r="H4233">
        <f>INDEX(CBIC_Late_Fee_Relief_Windows_3B!$I$4233:$I$100,MATCH(G4233,CBIC_Late_Fee_Relief_Windows_3B!$O$4233:$O$100,0))</f>
        <v/>
      </c>
      <c r="I4233">
        <f>MIN(F4233,H4233)</f>
        <v/>
      </c>
    </row>
    <row r="4234">
      <c r="A4234">
        <f>TEST_DATA!A4234</f>
        <v/>
      </c>
      <c r="B4234">
        <f>TEST_DATA!B4234</f>
        <v/>
      </c>
      <c r="C4234">
        <f>TEST_DATA!C4234</f>
        <v/>
      </c>
      <c r="D4234">
        <f>TEST_DATA!D4234</f>
        <v/>
      </c>
      <c r="E4234">
        <f>TEST_DATA!E4234</f>
        <v/>
      </c>
      <c r="F4234">
        <f>MIN(E4234*423400,10000)</f>
        <v/>
      </c>
      <c r="G4234">
        <f>MINIFS(CBIC_Late_Fee_Relief_Windows_3B!$O$4234:$O$100,CBIC_Late_Fee_Relief_Windows_3B!$D$4234:$D$100,"&lt;="&amp;B4234,CBIC_Late_Fee_Relief_Windows_3B!$E$4234:$E$100,"&gt;="&amp;B4234,CBIC_Late_Fee_Relief_Windows_3B!$F$4234:$F$100,"&lt;="&amp;C4234,CBIC_Late_Fee_Relief_Windows_3B!$G$4234:$G$100,"&gt;="&amp;C4234)</f>
        <v/>
      </c>
      <c r="H4234">
        <f>INDEX(CBIC_Late_Fee_Relief_Windows_3B!$I$4234:$I$100,MATCH(G4234,CBIC_Late_Fee_Relief_Windows_3B!$O$4234:$O$100,0))</f>
        <v/>
      </c>
      <c r="I4234">
        <f>MIN(F4234,H4234)</f>
        <v/>
      </c>
    </row>
    <row r="4235">
      <c r="A4235">
        <f>TEST_DATA!A4235</f>
        <v/>
      </c>
      <c r="B4235">
        <f>TEST_DATA!B4235</f>
        <v/>
      </c>
      <c r="C4235">
        <f>TEST_DATA!C4235</f>
        <v/>
      </c>
      <c r="D4235">
        <f>TEST_DATA!D4235</f>
        <v/>
      </c>
      <c r="E4235">
        <f>TEST_DATA!E4235</f>
        <v/>
      </c>
      <c r="F4235">
        <f>MIN(E4235*423500,10000)</f>
        <v/>
      </c>
      <c r="G4235">
        <f>MINIFS(CBIC_Late_Fee_Relief_Windows_3B!$O$4235:$O$100,CBIC_Late_Fee_Relief_Windows_3B!$D$4235:$D$100,"&lt;="&amp;B4235,CBIC_Late_Fee_Relief_Windows_3B!$E$4235:$E$100,"&gt;="&amp;B4235,CBIC_Late_Fee_Relief_Windows_3B!$F$4235:$F$100,"&lt;="&amp;C4235,CBIC_Late_Fee_Relief_Windows_3B!$G$4235:$G$100,"&gt;="&amp;C4235)</f>
        <v/>
      </c>
      <c r="H4235">
        <f>INDEX(CBIC_Late_Fee_Relief_Windows_3B!$I$4235:$I$100,MATCH(G4235,CBIC_Late_Fee_Relief_Windows_3B!$O$4235:$O$100,0))</f>
        <v/>
      </c>
      <c r="I4235">
        <f>MIN(F4235,H4235)</f>
        <v/>
      </c>
    </row>
    <row r="4236">
      <c r="A4236">
        <f>TEST_DATA!A4236</f>
        <v/>
      </c>
      <c r="B4236">
        <f>TEST_DATA!B4236</f>
        <v/>
      </c>
      <c r="C4236">
        <f>TEST_DATA!C4236</f>
        <v/>
      </c>
      <c r="D4236">
        <f>TEST_DATA!D4236</f>
        <v/>
      </c>
      <c r="E4236">
        <f>TEST_DATA!E4236</f>
        <v/>
      </c>
      <c r="F4236">
        <f>MIN(E4236*423600,10000)</f>
        <v/>
      </c>
      <c r="G4236">
        <f>MINIFS(CBIC_Late_Fee_Relief_Windows_3B!$O$4236:$O$100,CBIC_Late_Fee_Relief_Windows_3B!$D$4236:$D$100,"&lt;="&amp;B4236,CBIC_Late_Fee_Relief_Windows_3B!$E$4236:$E$100,"&gt;="&amp;B4236,CBIC_Late_Fee_Relief_Windows_3B!$F$4236:$F$100,"&lt;="&amp;C4236,CBIC_Late_Fee_Relief_Windows_3B!$G$4236:$G$100,"&gt;="&amp;C4236)</f>
        <v/>
      </c>
      <c r="H4236">
        <f>INDEX(CBIC_Late_Fee_Relief_Windows_3B!$I$4236:$I$100,MATCH(G4236,CBIC_Late_Fee_Relief_Windows_3B!$O$4236:$O$100,0))</f>
        <v/>
      </c>
      <c r="I4236">
        <f>MIN(F4236,H4236)</f>
        <v/>
      </c>
    </row>
    <row r="4237">
      <c r="A4237">
        <f>TEST_DATA!A4237</f>
        <v/>
      </c>
      <c r="B4237">
        <f>TEST_DATA!B4237</f>
        <v/>
      </c>
      <c r="C4237">
        <f>TEST_DATA!C4237</f>
        <v/>
      </c>
      <c r="D4237">
        <f>TEST_DATA!D4237</f>
        <v/>
      </c>
      <c r="E4237">
        <f>TEST_DATA!E4237</f>
        <v/>
      </c>
      <c r="F4237">
        <f>MIN(E4237*423700,10000)</f>
        <v/>
      </c>
      <c r="G4237">
        <f>MINIFS(CBIC_Late_Fee_Relief_Windows_3B!$O$4237:$O$100,CBIC_Late_Fee_Relief_Windows_3B!$D$4237:$D$100,"&lt;="&amp;B4237,CBIC_Late_Fee_Relief_Windows_3B!$E$4237:$E$100,"&gt;="&amp;B4237,CBIC_Late_Fee_Relief_Windows_3B!$F$4237:$F$100,"&lt;="&amp;C4237,CBIC_Late_Fee_Relief_Windows_3B!$G$4237:$G$100,"&gt;="&amp;C4237)</f>
        <v/>
      </c>
      <c r="H4237">
        <f>INDEX(CBIC_Late_Fee_Relief_Windows_3B!$I$4237:$I$100,MATCH(G4237,CBIC_Late_Fee_Relief_Windows_3B!$O$4237:$O$100,0))</f>
        <v/>
      </c>
      <c r="I4237">
        <f>MIN(F4237,H4237)</f>
        <v/>
      </c>
    </row>
    <row r="4238">
      <c r="A4238">
        <f>TEST_DATA!A4238</f>
        <v/>
      </c>
      <c r="B4238">
        <f>TEST_DATA!B4238</f>
        <v/>
      </c>
      <c r="C4238">
        <f>TEST_DATA!C4238</f>
        <v/>
      </c>
      <c r="D4238">
        <f>TEST_DATA!D4238</f>
        <v/>
      </c>
      <c r="E4238">
        <f>TEST_DATA!E4238</f>
        <v/>
      </c>
      <c r="F4238">
        <f>MIN(E4238*423800,10000)</f>
        <v/>
      </c>
      <c r="G4238">
        <f>MINIFS(CBIC_Late_Fee_Relief_Windows_3B!$O$4238:$O$100,CBIC_Late_Fee_Relief_Windows_3B!$D$4238:$D$100,"&lt;="&amp;B4238,CBIC_Late_Fee_Relief_Windows_3B!$E$4238:$E$100,"&gt;="&amp;B4238,CBIC_Late_Fee_Relief_Windows_3B!$F$4238:$F$100,"&lt;="&amp;C4238,CBIC_Late_Fee_Relief_Windows_3B!$G$4238:$G$100,"&gt;="&amp;C4238)</f>
        <v/>
      </c>
      <c r="H4238">
        <f>INDEX(CBIC_Late_Fee_Relief_Windows_3B!$I$4238:$I$100,MATCH(G4238,CBIC_Late_Fee_Relief_Windows_3B!$O$4238:$O$100,0))</f>
        <v/>
      </c>
      <c r="I4238">
        <f>MIN(F4238,H4238)</f>
        <v/>
      </c>
    </row>
    <row r="4239">
      <c r="A4239">
        <f>TEST_DATA!A4239</f>
        <v/>
      </c>
      <c r="B4239">
        <f>TEST_DATA!B4239</f>
        <v/>
      </c>
      <c r="C4239">
        <f>TEST_DATA!C4239</f>
        <v/>
      </c>
      <c r="D4239">
        <f>TEST_DATA!D4239</f>
        <v/>
      </c>
      <c r="E4239">
        <f>TEST_DATA!E4239</f>
        <v/>
      </c>
      <c r="F4239">
        <f>MIN(E4239*423900,10000)</f>
        <v/>
      </c>
      <c r="G4239">
        <f>MINIFS(CBIC_Late_Fee_Relief_Windows_3B!$O$4239:$O$100,CBIC_Late_Fee_Relief_Windows_3B!$D$4239:$D$100,"&lt;="&amp;B4239,CBIC_Late_Fee_Relief_Windows_3B!$E$4239:$E$100,"&gt;="&amp;B4239,CBIC_Late_Fee_Relief_Windows_3B!$F$4239:$F$100,"&lt;="&amp;C4239,CBIC_Late_Fee_Relief_Windows_3B!$G$4239:$G$100,"&gt;="&amp;C4239)</f>
        <v/>
      </c>
      <c r="H4239">
        <f>INDEX(CBIC_Late_Fee_Relief_Windows_3B!$I$4239:$I$100,MATCH(G4239,CBIC_Late_Fee_Relief_Windows_3B!$O$4239:$O$100,0))</f>
        <v/>
      </c>
      <c r="I4239">
        <f>MIN(F4239,H4239)</f>
        <v/>
      </c>
    </row>
    <row r="4240">
      <c r="A4240">
        <f>TEST_DATA!A4240</f>
        <v/>
      </c>
      <c r="B4240">
        <f>TEST_DATA!B4240</f>
        <v/>
      </c>
      <c r="C4240">
        <f>TEST_DATA!C4240</f>
        <v/>
      </c>
      <c r="D4240">
        <f>TEST_DATA!D4240</f>
        <v/>
      </c>
      <c r="E4240">
        <f>TEST_DATA!E4240</f>
        <v/>
      </c>
      <c r="F4240">
        <f>MIN(E4240*424000,10000)</f>
        <v/>
      </c>
      <c r="G4240">
        <f>MINIFS(CBIC_Late_Fee_Relief_Windows_3B!$O$4240:$O$100,CBIC_Late_Fee_Relief_Windows_3B!$D$4240:$D$100,"&lt;="&amp;B4240,CBIC_Late_Fee_Relief_Windows_3B!$E$4240:$E$100,"&gt;="&amp;B4240,CBIC_Late_Fee_Relief_Windows_3B!$F$4240:$F$100,"&lt;="&amp;C4240,CBIC_Late_Fee_Relief_Windows_3B!$G$4240:$G$100,"&gt;="&amp;C4240)</f>
        <v/>
      </c>
      <c r="H4240">
        <f>INDEX(CBIC_Late_Fee_Relief_Windows_3B!$I$4240:$I$100,MATCH(G4240,CBIC_Late_Fee_Relief_Windows_3B!$O$4240:$O$100,0))</f>
        <v/>
      </c>
      <c r="I4240">
        <f>MIN(F4240,H4240)</f>
        <v/>
      </c>
    </row>
    <row r="4241">
      <c r="A4241">
        <f>TEST_DATA!A4241</f>
        <v/>
      </c>
      <c r="B4241">
        <f>TEST_DATA!B4241</f>
        <v/>
      </c>
      <c r="C4241">
        <f>TEST_DATA!C4241</f>
        <v/>
      </c>
      <c r="D4241">
        <f>TEST_DATA!D4241</f>
        <v/>
      </c>
      <c r="E4241">
        <f>TEST_DATA!E4241</f>
        <v/>
      </c>
      <c r="F4241">
        <f>MIN(E4241*424100,10000)</f>
        <v/>
      </c>
      <c r="G4241">
        <f>MINIFS(CBIC_Late_Fee_Relief_Windows_3B!$O$4241:$O$100,CBIC_Late_Fee_Relief_Windows_3B!$D$4241:$D$100,"&lt;="&amp;B4241,CBIC_Late_Fee_Relief_Windows_3B!$E$4241:$E$100,"&gt;="&amp;B4241,CBIC_Late_Fee_Relief_Windows_3B!$F$4241:$F$100,"&lt;="&amp;C4241,CBIC_Late_Fee_Relief_Windows_3B!$G$4241:$G$100,"&gt;="&amp;C4241)</f>
        <v/>
      </c>
      <c r="H4241">
        <f>INDEX(CBIC_Late_Fee_Relief_Windows_3B!$I$4241:$I$100,MATCH(G4241,CBIC_Late_Fee_Relief_Windows_3B!$O$4241:$O$100,0))</f>
        <v/>
      </c>
      <c r="I4241">
        <f>MIN(F4241,H4241)</f>
        <v/>
      </c>
    </row>
    <row r="4242">
      <c r="A4242">
        <f>TEST_DATA!A4242</f>
        <v/>
      </c>
      <c r="B4242">
        <f>TEST_DATA!B4242</f>
        <v/>
      </c>
      <c r="C4242">
        <f>TEST_DATA!C4242</f>
        <v/>
      </c>
      <c r="D4242">
        <f>TEST_DATA!D4242</f>
        <v/>
      </c>
      <c r="E4242">
        <f>TEST_DATA!E4242</f>
        <v/>
      </c>
      <c r="F4242">
        <f>MIN(E4242*424200,10000)</f>
        <v/>
      </c>
      <c r="G4242">
        <f>MINIFS(CBIC_Late_Fee_Relief_Windows_3B!$O$4242:$O$100,CBIC_Late_Fee_Relief_Windows_3B!$D$4242:$D$100,"&lt;="&amp;B4242,CBIC_Late_Fee_Relief_Windows_3B!$E$4242:$E$100,"&gt;="&amp;B4242,CBIC_Late_Fee_Relief_Windows_3B!$F$4242:$F$100,"&lt;="&amp;C4242,CBIC_Late_Fee_Relief_Windows_3B!$G$4242:$G$100,"&gt;="&amp;C4242)</f>
        <v/>
      </c>
      <c r="H4242">
        <f>INDEX(CBIC_Late_Fee_Relief_Windows_3B!$I$4242:$I$100,MATCH(G4242,CBIC_Late_Fee_Relief_Windows_3B!$O$4242:$O$100,0))</f>
        <v/>
      </c>
      <c r="I4242">
        <f>MIN(F4242,H4242)</f>
        <v/>
      </c>
    </row>
    <row r="4243">
      <c r="A4243">
        <f>TEST_DATA!A4243</f>
        <v/>
      </c>
      <c r="B4243">
        <f>TEST_DATA!B4243</f>
        <v/>
      </c>
      <c r="C4243">
        <f>TEST_DATA!C4243</f>
        <v/>
      </c>
      <c r="D4243">
        <f>TEST_DATA!D4243</f>
        <v/>
      </c>
      <c r="E4243">
        <f>TEST_DATA!E4243</f>
        <v/>
      </c>
      <c r="F4243">
        <f>MIN(E4243*424300,10000)</f>
        <v/>
      </c>
      <c r="G4243">
        <f>MINIFS(CBIC_Late_Fee_Relief_Windows_3B!$O$4243:$O$100,CBIC_Late_Fee_Relief_Windows_3B!$D$4243:$D$100,"&lt;="&amp;B4243,CBIC_Late_Fee_Relief_Windows_3B!$E$4243:$E$100,"&gt;="&amp;B4243,CBIC_Late_Fee_Relief_Windows_3B!$F$4243:$F$100,"&lt;="&amp;C4243,CBIC_Late_Fee_Relief_Windows_3B!$G$4243:$G$100,"&gt;="&amp;C4243)</f>
        <v/>
      </c>
      <c r="H4243">
        <f>INDEX(CBIC_Late_Fee_Relief_Windows_3B!$I$4243:$I$100,MATCH(G4243,CBIC_Late_Fee_Relief_Windows_3B!$O$4243:$O$100,0))</f>
        <v/>
      </c>
      <c r="I4243">
        <f>MIN(F4243,H4243)</f>
        <v/>
      </c>
    </row>
    <row r="4244">
      <c r="A4244">
        <f>TEST_DATA!A4244</f>
        <v/>
      </c>
      <c r="B4244">
        <f>TEST_DATA!B4244</f>
        <v/>
      </c>
      <c r="C4244">
        <f>TEST_DATA!C4244</f>
        <v/>
      </c>
      <c r="D4244">
        <f>TEST_DATA!D4244</f>
        <v/>
      </c>
      <c r="E4244">
        <f>TEST_DATA!E4244</f>
        <v/>
      </c>
      <c r="F4244">
        <f>MIN(E4244*424400,10000)</f>
        <v/>
      </c>
      <c r="G4244">
        <f>MINIFS(CBIC_Late_Fee_Relief_Windows_3B!$O$4244:$O$100,CBIC_Late_Fee_Relief_Windows_3B!$D$4244:$D$100,"&lt;="&amp;B4244,CBIC_Late_Fee_Relief_Windows_3B!$E$4244:$E$100,"&gt;="&amp;B4244,CBIC_Late_Fee_Relief_Windows_3B!$F$4244:$F$100,"&lt;="&amp;C4244,CBIC_Late_Fee_Relief_Windows_3B!$G$4244:$G$100,"&gt;="&amp;C4244)</f>
        <v/>
      </c>
      <c r="H4244">
        <f>INDEX(CBIC_Late_Fee_Relief_Windows_3B!$I$4244:$I$100,MATCH(G4244,CBIC_Late_Fee_Relief_Windows_3B!$O$4244:$O$100,0))</f>
        <v/>
      </c>
      <c r="I4244">
        <f>MIN(F4244,H4244)</f>
        <v/>
      </c>
    </row>
    <row r="4245">
      <c r="A4245">
        <f>TEST_DATA!A4245</f>
        <v/>
      </c>
      <c r="B4245">
        <f>TEST_DATA!B4245</f>
        <v/>
      </c>
      <c r="C4245">
        <f>TEST_DATA!C4245</f>
        <v/>
      </c>
      <c r="D4245">
        <f>TEST_DATA!D4245</f>
        <v/>
      </c>
      <c r="E4245">
        <f>TEST_DATA!E4245</f>
        <v/>
      </c>
      <c r="F4245">
        <f>MIN(E4245*424500,10000)</f>
        <v/>
      </c>
      <c r="G4245">
        <f>MINIFS(CBIC_Late_Fee_Relief_Windows_3B!$O$4245:$O$100,CBIC_Late_Fee_Relief_Windows_3B!$D$4245:$D$100,"&lt;="&amp;B4245,CBIC_Late_Fee_Relief_Windows_3B!$E$4245:$E$100,"&gt;="&amp;B4245,CBIC_Late_Fee_Relief_Windows_3B!$F$4245:$F$100,"&lt;="&amp;C4245,CBIC_Late_Fee_Relief_Windows_3B!$G$4245:$G$100,"&gt;="&amp;C4245)</f>
        <v/>
      </c>
      <c r="H4245">
        <f>INDEX(CBIC_Late_Fee_Relief_Windows_3B!$I$4245:$I$100,MATCH(G4245,CBIC_Late_Fee_Relief_Windows_3B!$O$4245:$O$100,0))</f>
        <v/>
      </c>
      <c r="I4245">
        <f>MIN(F4245,H4245)</f>
        <v/>
      </c>
    </row>
    <row r="4246">
      <c r="A4246">
        <f>TEST_DATA!A4246</f>
        <v/>
      </c>
      <c r="B4246">
        <f>TEST_DATA!B4246</f>
        <v/>
      </c>
      <c r="C4246">
        <f>TEST_DATA!C4246</f>
        <v/>
      </c>
      <c r="D4246">
        <f>TEST_DATA!D4246</f>
        <v/>
      </c>
      <c r="E4246">
        <f>TEST_DATA!E4246</f>
        <v/>
      </c>
      <c r="F4246">
        <f>MIN(E4246*424600,10000)</f>
        <v/>
      </c>
      <c r="G4246">
        <f>MINIFS(CBIC_Late_Fee_Relief_Windows_3B!$O$4246:$O$100,CBIC_Late_Fee_Relief_Windows_3B!$D$4246:$D$100,"&lt;="&amp;B4246,CBIC_Late_Fee_Relief_Windows_3B!$E$4246:$E$100,"&gt;="&amp;B4246,CBIC_Late_Fee_Relief_Windows_3B!$F$4246:$F$100,"&lt;="&amp;C4246,CBIC_Late_Fee_Relief_Windows_3B!$G$4246:$G$100,"&gt;="&amp;C4246)</f>
        <v/>
      </c>
      <c r="H4246">
        <f>INDEX(CBIC_Late_Fee_Relief_Windows_3B!$I$4246:$I$100,MATCH(G4246,CBIC_Late_Fee_Relief_Windows_3B!$O$4246:$O$100,0))</f>
        <v/>
      </c>
      <c r="I4246">
        <f>MIN(F4246,H4246)</f>
        <v/>
      </c>
    </row>
    <row r="4247">
      <c r="A4247">
        <f>TEST_DATA!A4247</f>
        <v/>
      </c>
      <c r="B4247">
        <f>TEST_DATA!B4247</f>
        <v/>
      </c>
      <c r="C4247">
        <f>TEST_DATA!C4247</f>
        <v/>
      </c>
      <c r="D4247">
        <f>TEST_DATA!D4247</f>
        <v/>
      </c>
      <c r="E4247">
        <f>TEST_DATA!E4247</f>
        <v/>
      </c>
      <c r="F4247">
        <f>MIN(E4247*424700,10000)</f>
        <v/>
      </c>
      <c r="G4247">
        <f>MINIFS(CBIC_Late_Fee_Relief_Windows_3B!$O$4247:$O$100,CBIC_Late_Fee_Relief_Windows_3B!$D$4247:$D$100,"&lt;="&amp;B4247,CBIC_Late_Fee_Relief_Windows_3B!$E$4247:$E$100,"&gt;="&amp;B4247,CBIC_Late_Fee_Relief_Windows_3B!$F$4247:$F$100,"&lt;="&amp;C4247,CBIC_Late_Fee_Relief_Windows_3B!$G$4247:$G$100,"&gt;="&amp;C4247)</f>
        <v/>
      </c>
      <c r="H4247">
        <f>INDEX(CBIC_Late_Fee_Relief_Windows_3B!$I$4247:$I$100,MATCH(G4247,CBIC_Late_Fee_Relief_Windows_3B!$O$4247:$O$100,0))</f>
        <v/>
      </c>
      <c r="I4247">
        <f>MIN(F4247,H4247)</f>
        <v/>
      </c>
    </row>
    <row r="4248">
      <c r="A4248">
        <f>TEST_DATA!A4248</f>
        <v/>
      </c>
      <c r="B4248">
        <f>TEST_DATA!B4248</f>
        <v/>
      </c>
      <c r="C4248">
        <f>TEST_DATA!C4248</f>
        <v/>
      </c>
      <c r="D4248">
        <f>TEST_DATA!D4248</f>
        <v/>
      </c>
      <c r="E4248">
        <f>TEST_DATA!E4248</f>
        <v/>
      </c>
      <c r="F4248">
        <f>MIN(E4248*424800,10000)</f>
        <v/>
      </c>
      <c r="G4248">
        <f>MINIFS(CBIC_Late_Fee_Relief_Windows_3B!$O$4248:$O$100,CBIC_Late_Fee_Relief_Windows_3B!$D$4248:$D$100,"&lt;="&amp;B4248,CBIC_Late_Fee_Relief_Windows_3B!$E$4248:$E$100,"&gt;="&amp;B4248,CBIC_Late_Fee_Relief_Windows_3B!$F$4248:$F$100,"&lt;="&amp;C4248,CBIC_Late_Fee_Relief_Windows_3B!$G$4248:$G$100,"&gt;="&amp;C4248)</f>
        <v/>
      </c>
      <c r="H4248">
        <f>INDEX(CBIC_Late_Fee_Relief_Windows_3B!$I$4248:$I$100,MATCH(G4248,CBIC_Late_Fee_Relief_Windows_3B!$O$4248:$O$100,0))</f>
        <v/>
      </c>
      <c r="I4248">
        <f>MIN(F4248,H4248)</f>
        <v/>
      </c>
    </row>
    <row r="4249">
      <c r="A4249">
        <f>TEST_DATA!A4249</f>
        <v/>
      </c>
      <c r="B4249">
        <f>TEST_DATA!B4249</f>
        <v/>
      </c>
      <c r="C4249">
        <f>TEST_DATA!C4249</f>
        <v/>
      </c>
      <c r="D4249">
        <f>TEST_DATA!D4249</f>
        <v/>
      </c>
      <c r="E4249">
        <f>TEST_DATA!E4249</f>
        <v/>
      </c>
      <c r="F4249">
        <f>MIN(E4249*424900,10000)</f>
        <v/>
      </c>
      <c r="G4249">
        <f>MINIFS(CBIC_Late_Fee_Relief_Windows_3B!$O$4249:$O$100,CBIC_Late_Fee_Relief_Windows_3B!$D$4249:$D$100,"&lt;="&amp;B4249,CBIC_Late_Fee_Relief_Windows_3B!$E$4249:$E$100,"&gt;="&amp;B4249,CBIC_Late_Fee_Relief_Windows_3B!$F$4249:$F$100,"&lt;="&amp;C4249,CBIC_Late_Fee_Relief_Windows_3B!$G$4249:$G$100,"&gt;="&amp;C4249)</f>
        <v/>
      </c>
      <c r="H4249">
        <f>INDEX(CBIC_Late_Fee_Relief_Windows_3B!$I$4249:$I$100,MATCH(G4249,CBIC_Late_Fee_Relief_Windows_3B!$O$4249:$O$100,0))</f>
        <v/>
      </c>
      <c r="I4249">
        <f>MIN(F4249,H4249)</f>
        <v/>
      </c>
    </row>
    <row r="4250">
      <c r="A4250">
        <f>TEST_DATA!A4250</f>
        <v/>
      </c>
      <c r="B4250">
        <f>TEST_DATA!B4250</f>
        <v/>
      </c>
      <c r="C4250">
        <f>TEST_DATA!C4250</f>
        <v/>
      </c>
      <c r="D4250">
        <f>TEST_DATA!D4250</f>
        <v/>
      </c>
      <c r="E4250">
        <f>TEST_DATA!E4250</f>
        <v/>
      </c>
      <c r="F4250">
        <f>MIN(E4250*425000,10000)</f>
        <v/>
      </c>
      <c r="G4250">
        <f>MINIFS(CBIC_Late_Fee_Relief_Windows_3B!$O$4250:$O$100,CBIC_Late_Fee_Relief_Windows_3B!$D$4250:$D$100,"&lt;="&amp;B4250,CBIC_Late_Fee_Relief_Windows_3B!$E$4250:$E$100,"&gt;="&amp;B4250,CBIC_Late_Fee_Relief_Windows_3B!$F$4250:$F$100,"&lt;="&amp;C4250,CBIC_Late_Fee_Relief_Windows_3B!$G$4250:$G$100,"&gt;="&amp;C4250)</f>
        <v/>
      </c>
      <c r="H4250">
        <f>INDEX(CBIC_Late_Fee_Relief_Windows_3B!$I$4250:$I$100,MATCH(G4250,CBIC_Late_Fee_Relief_Windows_3B!$O$4250:$O$100,0))</f>
        <v/>
      </c>
      <c r="I4250">
        <f>MIN(F4250,H4250)</f>
        <v/>
      </c>
    </row>
    <row r="4251">
      <c r="A4251">
        <f>TEST_DATA!A4251</f>
        <v/>
      </c>
      <c r="B4251">
        <f>TEST_DATA!B4251</f>
        <v/>
      </c>
      <c r="C4251">
        <f>TEST_DATA!C4251</f>
        <v/>
      </c>
      <c r="D4251">
        <f>TEST_DATA!D4251</f>
        <v/>
      </c>
      <c r="E4251">
        <f>TEST_DATA!E4251</f>
        <v/>
      </c>
      <c r="F4251">
        <f>MIN(E4251*425100,10000)</f>
        <v/>
      </c>
      <c r="G4251">
        <f>MINIFS(CBIC_Late_Fee_Relief_Windows_3B!$O$4251:$O$100,CBIC_Late_Fee_Relief_Windows_3B!$D$4251:$D$100,"&lt;="&amp;B4251,CBIC_Late_Fee_Relief_Windows_3B!$E$4251:$E$100,"&gt;="&amp;B4251,CBIC_Late_Fee_Relief_Windows_3B!$F$4251:$F$100,"&lt;="&amp;C4251,CBIC_Late_Fee_Relief_Windows_3B!$G$4251:$G$100,"&gt;="&amp;C4251)</f>
        <v/>
      </c>
      <c r="H4251">
        <f>INDEX(CBIC_Late_Fee_Relief_Windows_3B!$I$4251:$I$100,MATCH(G4251,CBIC_Late_Fee_Relief_Windows_3B!$O$4251:$O$100,0))</f>
        <v/>
      </c>
      <c r="I4251">
        <f>MIN(F4251,H4251)</f>
        <v/>
      </c>
    </row>
    <row r="4252">
      <c r="A4252">
        <f>TEST_DATA!A4252</f>
        <v/>
      </c>
      <c r="B4252">
        <f>TEST_DATA!B4252</f>
        <v/>
      </c>
      <c r="C4252">
        <f>TEST_DATA!C4252</f>
        <v/>
      </c>
      <c r="D4252">
        <f>TEST_DATA!D4252</f>
        <v/>
      </c>
      <c r="E4252">
        <f>TEST_DATA!E4252</f>
        <v/>
      </c>
      <c r="F4252">
        <f>MIN(E4252*425200,10000)</f>
        <v/>
      </c>
      <c r="G4252">
        <f>MINIFS(CBIC_Late_Fee_Relief_Windows_3B!$O$4252:$O$100,CBIC_Late_Fee_Relief_Windows_3B!$D$4252:$D$100,"&lt;="&amp;B4252,CBIC_Late_Fee_Relief_Windows_3B!$E$4252:$E$100,"&gt;="&amp;B4252,CBIC_Late_Fee_Relief_Windows_3B!$F$4252:$F$100,"&lt;="&amp;C4252,CBIC_Late_Fee_Relief_Windows_3B!$G$4252:$G$100,"&gt;="&amp;C4252)</f>
        <v/>
      </c>
      <c r="H4252">
        <f>INDEX(CBIC_Late_Fee_Relief_Windows_3B!$I$4252:$I$100,MATCH(G4252,CBIC_Late_Fee_Relief_Windows_3B!$O$4252:$O$100,0))</f>
        <v/>
      </c>
      <c r="I4252">
        <f>MIN(F4252,H4252)</f>
        <v/>
      </c>
    </row>
    <row r="4253">
      <c r="A4253">
        <f>TEST_DATA!A4253</f>
        <v/>
      </c>
      <c r="B4253">
        <f>TEST_DATA!B4253</f>
        <v/>
      </c>
      <c r="C4253">
        <f>TEST_DATA!C4253</f>
        <v/>
      </c>
      <c r="D4253">
        <f>TEST_DATA!D4253</f>
        <v/>
      </c>
      <c r="E4253">
        <f>TEST_DATA!E4253</f>
        <v/>
      </c>
      <c r="F4253">
        <f>MIN(E4253*425300,10000)</f>
        <v/>
      </c>
      <c r="G4253">
        <f>MINIFS(CBIC_Late_Fee_Relief_Windows_3B!$O$4253:$O$100,CBIC_Late_Fee_Relief_Windows_3B!$D$4253:$D$100,"&lt;="&amp;B4253,CBIC_Late_Fee_Relief_Windows_3B!$E$4253:$E$100,"&gt;="&amp;B4253,CBIC_Late_Fee_Relief_Windows_3B!$F$4253:$F$100,"&lt;="&amp;C4253,CBIC_Late_Fee_Relief_Windows_3B!$G$4253:$G$100,"&gt;="&amp;C4253)</f>
        <v/>
      </c>
      <c r="H4253">
        <f>INDEX(CBIC_Late_Fee_Relief_Windows_3B!$I$4253:$I$100,MATCH(G4253,CBIC_Late_Fee_Relief_Windows_3B!$O$4253:$O$100,0))</f>
        <v/>
      </c>
      <c r="I4253">
        <f>MIN(F4253,H4253)</f>
        <v/>
      </c>
    </row>
    <row r="4254">
      <c r="A4254">
        <f>TEST_DATA!A4254</f>
        <v/>
      </c>
      <c r="B4254">
        <f>TEST_DATA!B4254</f>
        <v/>
      </c>
      <c r="C4254">
        <f>TEST_DATA!C4254</f>
        <v/>
      </c>
      <c r="D4254">
        <f>TEST_DATA!D4254</f>
        <v/>
      </c>
      <c r="E4254">
        <f>TEST_DATA!E4254</f>
        <v/>
      </c>
      <c r="F4254">
        <f>MIN(E4254*425400,10000)</f>
        <v/>
      </c>
      <c r="G4254">
        <f>MINIFS(CBIC_Late_Fee_Relief_Windows_3B!$O$4254:$O$100,CBIC_Late_Fee_Relief_Windows_3B!$D$4254:$D$100,"&lt;="&amp;B4254,CBIC_Late_Fee_Relief_Windows_3B!$E$4254:$E$100,"&gt;="&amp;B4254,CBIC_Late_Fee_Relief_Windows_3B!$F$4254:$F$100,"&lt;="&amp;C4254,CBIC_Late_Fee_Relief_Windows_3B!$G$4254:$G$100,"&gt;="&amp;C4254)</f>
        <v/>
      </c>
      <c r="H4254">
        <f>INDEX(CBIC_Late_Fee_Relief_Windows_3B!$I$4254:$I$100,MATCH(G4254,CBIC_Late_Fee_Relief_Windows_3B!$O$4254:$O$100,0))</f>
        <v/>
      </c>
      <c r="I4254">
        <f>MIN(F4254,H4254)</f>
        <v/>
      </c>
    </row>
    <row r="4255">
      <c r="A4255">
        <f>TEST_DATA!A4255</f>
        <v/>
      </c>
      <c r="B4255">
        <f>TEST_DATA!B4255</f>
        <v/>
      </c>
      <c r="C4255">
        <f>TEST_DATA!C4255</f>
        <v/>
      </c>
      <c r="D4255">
        <f>TEST_DATA!D4255</f>
        <v/>
      </c>
      <c r="E4255">
        <f>TEST_DATA!E4255</f>
        <v/>
      </c>
      <c r="F4255">
        <f>MIN(E4255*425500,10000)</f>
        <v/>
      </c>
      <c r="G4255">
        <f>MINIFS(CBIC_Late_Fee_Relief_Windows_3B!$O$4255:$O$100,CBIC_Late_Fee_Relief_Windows_3B!$D$4255:$D$100,"&lt;="&amp;B4255,CBIC_Late_Fee_Relief_Windows_3B!$E$4255:$E$100,"&gt;="&amp;B4255,CBIC_Late_Fee_Relief_Windows_3B!$F$4255:$F$100,"&lt;="&amp;C4255,CBIC_Late_Fee_Relief_Windows_3B!$G$4255:$G$100,"&gt;="&amp;C4255)</f>
        <v/>
      </c>
      <c r="H4255">
        <f>INDEX(CBIC_Late_Fee_Relief_Windows_3B!$I$4255:$I$100,MATCH(G4255,CBIC_Late_Fee_Relief_Windows_3B!$O$4255:$O$100,0))</f>
        <v/>
      </c>
      <c r="I4255">
        <f>MIN(F4255,H4255)</f>
        <v/>
      </c>
    </row>
    <row r="4256">
      <c r="A4256">
        <f>TEST_DATA!A4256</f>
        <v/>
      </c>
      <c r="B4256">
        <f>TEST_DATA!B4256</f>
        <v/>
      </c>
      <c r="C4256">
        <f>TEST_DATA!C4256</f>
        <v/>
      </c>
      <c r="D4256">
        <f>TEST_DATA!D4256</f>
        <v/>
      </c>
      <c r="E4256">
        <f>TEST_DATA!E4256</f>
        <v/>
      </c>
      <c r="F4256">
        <f>MIN(E4256*425600,10000)</f>
        <v/>
      </c>
      <c r="G4256">
        <f>MINIFS(CBIC_Late_Fee_Relief_Windows_3B!$O$4256:$O$100,CBIC_Late_Fee_Relief_Windows_3B!$D$4256:$D$100,"&lt;="&amp;B4256,CBIC_Late_Fee_Relief_Windows_3B!$E$4256:$E$100,"&gt;="&amp;B4256,CBIC_Late_Fee_Relief_Windows_3B!$F$4256:$F$100,"&lt;="&amp;C4256,CBIC_Late_Fee_Relief_Windows_3B!$G$4256:$G$100,"&gt;="&amp;C4256)</f>
        <v/>
      </c>
      <c r="H4256">
        <f>INDEX(CBIC_Late_Fee_Relief_Windows_3B!$I$4256:$I$100,MATCH(G4256,CBIC_Late_Fee_Relief_Windows_3B!$O$4256:$O$100,0))</f>
        <v/>
      </c>
      <c r="I4256">
        <f>MIN(F4256,H4256)</f>
        <v/>
      </c>
    </row>
    <row r="4257">
      <c r="A4257">
        <f>TEST_DATA!A4257</f>
        <v/>
      </c>
      <c r="B4257">
        <f>TEST_DATA!B4257</f>
        <v/>
      </c>
      <c r="C4257">
        <f>TEST_DATA!C4257</f>
        <v/>
      </c>
      <c r="D4257">
        <f>TEST_DATA!D4257</f>
        <v/>
      </c>
      <c r="E4257">
        <f>TEST_DATA!E4257</f>
        <v/>
      </c>
      <c r="F4257">
        <f>MIN(E4257*425700,10000)</f>
        <v/>
      </c>
      <c r="G4257">
        <f>MINIFS(CBIC_Late_Fee_Relief_Windows_3B!$O$4257:$O$100,CBIC_Late_Fee_Relief_Windows_3B!$D$4257:$D$100,"&lt;="&amp;B4257,CBIC_Late_Fee_Relief_Windows_3B!$E$4257:$E$100,"&gt;="&amp;B4257,CBIC_Late_Fee_Relief_Windows_3B!$F$4257:$F$100,"&lt;="&amp;C4257,CBIC_Late_Fee_Relief_Windows_3B!$G$4257:$G$100,"&gt;="&amp;C4257)</f>
        <v/>
      </c>
      <c r="H4257">
        <f>INDEX(CBIC_Late_Fee_Relief_Windows_3B!$I$4257:$I$100,MATCH(G4257,CBIC_Late_Fee_Relief_Windows_3B!$O$4257:$O$100,0))</f>
        <v/>
      </c>
      <c r="I4257">
        <f>MIN(F4257,H4257)</f>
        <v/>
      </c>
    </row>
    <row r="4258">
      <c r="A4258">
        <f>TEST_DATA!A4258</f>
        <v/>
      </c>
      <c r="B4258">
        <f>TEST_DATA!B4258</f>
        <v/>
      </c>
      <c r="C4258">
        <f>TEST_DATA!C4258</f>
        <v/>
      </c>
      <c r="D4258">
        <f>TEST_DATA!D4258</f>
        <v/>
      </c>
      <c r="E4258">
        <f>TEST_DATA!E4258</f>
        <v/>
      </c>
      <c r="F4258">
        <f>MIN(E4258*425800,10000)</f>
        <v/>
      </c>
      <c r="G4258">
        <f>MINIFS(CBIC_Late_Fee_Relief_Windows_3B!$O$4258:$O$100,CBIC_Late_Fee_Relief_Windows_3B!$D$4258:$D$100,"&lt;="&amp;B4258,CBIC_Late_Fee_Relief_Windows_3B!$E$4258:$E$100,"&gt;="&amp;B4258,CBIC_Late_Fee_Relief_Windows_3B!$F$4258:$F$100,"&lt;="&amp;C4258,CBIC_Late_Fee_Relief_Windows_3B!$G$4258:$G$100,"&gt;="&amp;C4258)</f>
        <v/>
      </c>
      <c r="H4258">
        <f>INDEX(CBIC_Late_Fee_Relief_Windows_3B!$I$4258:$I$100,MATCH(G4258,CBIC_Late_Fee_Relief_Windows_3B!$O$4258:$O$100,0))</f>
        <v/>
      </c>
      <c r="I4258">
        <f>MIN(F4258,H4258)</f>
        <v/>
      </c>
    </row>
    <row r="4259">
      <c r="A4259">
        <f>TEST_DATA!A4259</f>
        <v/>
      </c>
      <c r="B4259">
        <f>TEST_DATA!B4259</f>
        <v/>
      </c>
      <c r="C4259">
        <f>TEST_DATA!C4259</f>
        <v/>
      </c>
      <c r="D4259">
        <f>TEST_DATA!D4259</f>
        <v/>
      </c>
      <c r="E4259">
        <f>TEST_DATA!E4259</f>
        <v/>
      </c>
      <c r="F4259">
        <f>MIN(E4259*425900,10000)</f>
        <v/>
      </c>
      <c r="G4259">
        <f>MINIFS(CBIC_Late_Fee_Relief_Windows_3B!$O$4259:$O$100,CBIC_Late_Fee_Relief_Windows_3B!$D$4259:$D$100,"&lt;="&amp;B4259,CBIC_Late_Fee_Relief_Windows_3B!$E$4259:$E$100,"&gt;="&amp;B4259,CBIC_Late_Fee_Relief_Windows_3B!$F$4259:$F$100,"&lt;="&amp;C4259,CBIC_Late_Fee_Relief_Windows_3B!$G$4259:$G$100,"&gt;="&amp;C4259)</f>
        <v/>
      </c>
      <c r="H4259">
        <f>INDEX(CBIC_Late_Fee_Relief_Windows_3B!$I$4259:$I$100,MATCH(G4259,CBIC_Late_Fee_Relief_Windows_3B!$O$4259:$O$100,0))</f>
        <v/>
      </c>
      <c r="I4259">
        <f>MIN(F4259,H4259)</f>
        <v/>
      </c>
    </row>
    <row r="4260">
      <c r="A4260">
        <f>TEST_DATA!A4260</f>
        <v/>
      </c>
      <c r="B4260">
        <f>TEST_DATA!B4260</f>
        <v/>
      </c>
      <c r="C4260">
        <f>TEST_DATA!C4260</f>
        <v/>
      </c>
      <c r="D4260">
        <f>TEST_DATA!D4260</f>
        <v/>
      </c>
      <c r="E4260">
        <f>TEST_DATA!E4260</f>
        <v/>
      </c>
      <c r="F4260">
        <f>MIN(E4260*426000,10000)</f>
        <v/>
      </c>
      <c r="G4260">
        <f>MINIFS(CBIC_Late_Fee_Relief_Windows_3B!$O$4260:$O$100,CBIC_Late_Fee_Relief_Windows_3B!$D$4260:$D$100,"&lt;="&amp;B4260,CBIC_Late_Fee_Relief_Windows_3B!$E$4260:$E$100,"&gt;="&amp;B4260,CBIC_Late_Fee_Relief_Windows_3B!$F$4260:$F$100,"&lt;="&amp;C4260,CBIC_Late_Fee_Relief_Windows_3B!$G$4260:$G$100,"&gt;="&amp;C4260)</f>
        <v/>
      </c>
      <c r="H4260">
        <f>INDEX(CBIC_Late_Fee_Relief_Windows_3B!$I$4260:$I$100,MATCH(G4260,CBIC_Late_Fee_Relief_Windows_3B!$O$4260:$O$100,0))</f>
        <v/>
      </c>
      <c r="I4260">
        <f>MIN(F4260,H4260)</f>
        <v/>
      </c>
    </row>
    <row r="4261">
      <c r="A4261">
        <f>TEST_DATA!A4261</f>
        <v/>
      </c>
      <c r="B4261">
        <f>TEST_DATA!B4261</f>
        <v/>
      </c>
      <c r="C4261">
        <f>TEST_DATA!C4261</f>
        <v/>
      </c>
      <c r="D4261">
        <f>TEST_DATA!D4261</f>
        <v/>
      </c>
      <c r="E4261">
        <f>TEST_DATA!E4261</f>
        <v/>
      </c>
      <c r="F4261">
        <f>MIN(E4261*426100,10000)</f>
        <v/>
      </c>
      <c r="G4261">
        <f>MINIFS(CBIC_Late_Fee_Relief_Windows_3B!$O$4261:$O$100,CBIC_Late_Fee_Relief_Windows_3B!$D$4261:$D$100,"&lt;="&amp;B4261,CBIC_Late_Fee_Relief_Windows_3B!$E$4261:$E$100,"&gt;="&amp;B4261,CBIC_Late_Fee_Relief_Windows_3B!$F$4261:$F$100,"&lt;="&amp;C4261,CBIC_Late_Fee_Relief_Windows_3B!$G$4261:$G$100,"&gt;="&amp;C4261)</f>
        <v/>
      </c>
      <c r="H4261">
        <f>INDEX(CBIC_Late_Fee_Relief_Windows_3B!$I$4261:$I$100,MATCH(G4261,CBIC_Late_Fee_Relief_Windows_3B!$O$4261:$O$100,0))</f>
        <v/>
      </c>
      <c r="I4261">
        <f>MIN(F4261,H4261)</f>
        <v/>
      </c>
    </row>
    <row r="4262">
      <c r="A4262">
        <f>TEST_DATA!A4262</f>
        <v/>
      </c>
      <c r="B4262">
        <f>TEST_DATA!B4262</f>
        <v/>
      </c>
      <c r="C4262">
        <f>TEST_DATA!C4262</f>
        <v/>
      </c>
      <c r="D4262">
        <f>TEST_DATA!D4262</f>
        <v/>
      </c>
      <c r="E4262">
        <f>TEST_DATA!E4262</f>
        <v/>
      </c>
      <c r="F4262">
        <f>MIN(E4262*426200,10000)</f>
        <v/>
      </c>
      <c r="G4262">
        <f>MINIFS(CBIC_Late_Fee_Relief_Windows_3B!$O$4262:$O$100,CBIC_Late_Fee_Relief_Windows_3B!$D$4262:$D$100,"&lt;="&amp;B4262,CBIC_Late_Fee_Relief_Windows_3B!$E$4262:$E$100,"&gt;="&amp;B4262,CBIC_Late_Fee_Relief_Windows_3B!$F$4262:$F$100,"&lt;="&amp;C4262,CBIC_Late_Fee_Relief_Windows_3B!$G$4262:$G$100,"&gt;="&amp;C4262)</f>
        <v/>
      </c>
      <c r="H4262">
        <f>INDEX(CBIC_Late_Fee_Relief_Windows_3B!$I$4262:$I$100,MATCH(G4262,CBIC_Late_Fee_Relief_Windows_3B!$O$4262:$O$100,0))</f>
        <v/>
      </c>
      <c r="I4262">
        <f>MIN(F4262,H4262)</f>
        <v/>
      </c>
    </row>
    <row r="4263">
      <c r="A4263">
        <f>TEST_DATA!A4263</f>
        <v/>
      </c>
      <c r="B4263">
        <f>TEST_DATA!B4263</f>
        <v/>
      </c>
      <c r="C4263">
        <f>TEST_DATA!C4263</f>
        <v/>
      </c>
      <c r="D4263">
        <f>TEST_DATA!D4263</f>
        <v/>
      </c>
      <c r="E4263">
        <f>TEST_DATA!E4263</f>
        <v/>
      </c>
      <c r="F4263">
        <f>MIN(E4263*426300,10000)</f>
        <v/>
      </c>
      <c r="G4263">
        <f>MINIFS(CBIC_Late_Fee_Relief_Windows_3B!$O$4263:$O$100,CBIC_Late_Fee_Relief_Windows_3B!$D$4263:$D$100,"&lt;="&amp;B4263,CBIC_Late_Fee_Relief_Windows_3B!$E$4263:$E$100,"&gt;="&amp;B4263,CBIC_Late_Fee_Relief_Windows_3B!$F$4263:$F$100,"&lt;="&amp;C4263,CBIC_Late_Fee_Relief_Windows_3B!$G$4263:$G$100,"&gt;="&amp;C4263)</f>
        <v/>
      </c>
      <c r="H4263">
        <f>INDEX(CBIC_Late_Fee_Relief_Windows_3B!$I$4263:$I$100,MATCH(G4263,CBIC_Late_Fee_Relief_Windows_3B!$O$4263:$O$100,0))</f>
        <v/>
      </c>
      <c r="I4263">
        <f>MIN(F4263,H4263)</f>
        <v/>
      </c>
    </row>
    <row r="4264">
      <c r="A4264">
        <f>TEST_DATA!A4264</f>
        <v/>
      </c>
      <c r="B4264">
        <f>TEST_DATA!B4264</f>
        <v/>
      </c>
      <c r="C4264">
        <f>TEST_DATA!C4264</f>
        <v/>
      </c>
      <c r="D4264">
        <f>TEST_DATA!D4264</f>
        <v/>
      </c>
      <c r="E4264">
        <f>TEST_DATA!E4264</f>
        <v/>
      </c>
      <c r="F4264">
        <f>MIN(E4264*426400,10000)</f>
        <v/>
      </c>
      <c r="G4264">
        <f>MINIFS(CBIC_Late_Fee_Relief_Windows_3B!$O$4264:$O$100,CBIC_Late_Fee_Relief_Windows_3B!$D$4264:$D$100,"&lt;="&amp;B4264,CBIC_Late_Fee_Relief_Windows_3B!$E$4264:$E$100,"&gt;="&amp;B4264,CBIC_Late_Fee_Relief_Windows_3B!$F$4264:$F$100,"&lt;="&amp;C4264,CBIC_Late_Fee_Relief_Windows_3B!$G$4264:$G$100,"&gt;="&amp;C4264)</f>
        <v/>
      </c>
      <c r="H4264">
        <f>INDEX(CBIC_Late_Fee_Relief_Windows_3B!$I$4264:$I$100,MATCH(G4264,CBIC_Late_Fee_Relief_Windows_3B!$O$4264:$O$100,0))</f>
        <v/>
      </c>
      <c r="I4264">
        <f>MIN(F4264,H4264)</f>
        <v/>
      </c>
    </row>
    <row r="4265">
      <c r="A4265">
        <f>TEST_DATA!A4265</f>
        <v/>
      </c>
      <c r="B4265">
        <f>TEST_DATA!B4265</f>
        <v/>
      </c>
      <c r="C4265">
        <f>TEST_DATA!C4265</f>
        <v/>
      </c>
      <c r="D4265">
        <f>TEST_DATA!D4265</f>
        <v/>
      </c>
      <c r="E4265">
        <f>TEST_DATA!E4265</f>
        <v/>
      </c>
      <c r="F4265">
        <f>MIN(E4265*426500,10000)</f>
        <v/>
      </c>
      <c r="G4265">
        <f>MINIFS(CBIC_Late_Fee_Relief_Windows_3B!$O$4265:$O$100,CBIC_Late_Fee_Relief_Windows_3B!$D$4265:$D$100,"&lt;="&amp;B4265,CBIC_Late_Fee_Relief_Windows_3B!$E$4265:$E$100,"&gt;="&amp;B4265,CBIC_Late_Fee_Relief_Windows_3B!$F$4265:$F$100,"&lt;="&amp;C4265,CBIC_Late_Fee_Relief_Windows_3B!$G$4265:$G$100,"&gt;="&amp;C4265)</f>
        <v/>
      </c>
      <c r="H4265">
        <f>INDEX(CBIC_Late_Fee_Relief_Windows_3B!$I$4265:$I$100,MATCH(G4265,CBIC_Late_Fee_Relief_Windows_3B!$O$4265:$O$100,0))</f>
        <v/>
      </c>
      <c r="I4265">
        <f>MIN(F4265,H4265)</f>
        <v/>
      </c>
    </row>
    <row r="4266">
      <c r="A4266">
        <f>TEST_DATA!A4266</f>
        <v/>
      </c>
      <c r="B4266">
        <f>TEST_DATA!B4266</f>
        <v/>
      </c>
      <c r="C4266">
        <f>TEST_DATA!C4266</f>
        <v/>
      </c>
      <c r="D4266">
        <f>TEST_DATA!D4266</f>
        <v/>
      </c>
      <c r="E4266">
        <f>TEST_DATA!E4266</f>
        <v/>
      </c>
      <c r="F4266">
        <f>MIN(E4266*426600,10000)</f>
        <v/>
      </c>
      <c r="G4266">
        <f>MINIFS(CBIC_Late_Fee_Relief_Windows_3B!$O$4266:$O$100,CBIC_Late_Fee_Relief_Windows_3B!$D$4266:$D$100,"&lt;="&amp;B4266,CBIC_Late_Fee_Relief_Windows_3B!$E$4266:$E$100,"&gt;="&amp;B4266,CBIC_Late_Fee_Relief_Windows_3B!$F$4266:$F$100,"&lt;="&amp;C4266,CBIC_Late_Fee_Relief_Windows_3B!$G$4266:$G$100,"&gt;="&amp;C4266)</f>
        <v/>
      </c>
      <c r="H4266">
        <f>INDEX(CBIC_Late_Fee_Relief_Windows_3B!$I$4266:$I$100,MATCH(G4266,CBIC_Late_Fee_Relief_Windows_3B!$O$4266:$O$100,0))</f>
        <v/>
      </c>
      <c r="I4266">
        <f>MIN(F4266,H4266)</f>
        <v/>
      </c>
    </row>
    <row r="4267">
      <c r="A4267">
        <f>TEST_DATA!A4267</f>
        <v/>
      </c>
      <c r="B4267">
        <f>TEST_DATA!B4267</f>
        <v/>
      </c>
      <c r="C4267">
        <f>TEST_DATA!C4267</f>
        <v/>
      </c>
      <c r="D4267">
        <f>TEST_DATA!D4267</f>
        <v/>
      </c>
      <c r="E4267">
        <f>TEST_DATA!E4267</f>
        <v/>
      </c>
      <c r="F4267">
        <f>MIN(E4267*426700,10000)</f>
        <v/>
      </c>
      <c r="G4267">
        <f>MINIFS(CBIC_Late_Fee_Relief_Windows_3B!$O$4267:$O$100,CBIC_Late_Fee_Relief_Windows_3B!$D$4267:$D$100,"&lt;="&amp;B4267,CBIC_Late_Fee_Relief_Windows_3B!$E$4267:$E$100,"&gt;="&amp;B4267,CBIC_Late_Fee_Relief_Windows_3B!$F$4267:$F$100,"&lt;="&amp;C4267,CBIC_Late_Fee_Relief_Windows_3B!$G$4267:$G$100,"&gt;="&amp;C4267)</f>
        <v/>
      </c>
      <c r="H4267">
        <f>INDEX(CBIC_Late_Fee_Relief_Windows_3B!$I$4267:$I$100,MATCH(G4267,CBIC_Late_Fee_Relief_Windows_3B!$O$4267:$O$100,0))</f>
        <v/>
      </c>
      <c r="I4267">
        <f>MIN(F4267,H4267)</f>
        <v/>
      </c>
    </row>
    <row r="4268">
      <c r="A4268">
        <f>TEST_DATA!A4268</f>
        <v/>
      </c>
      <c r="B4268">
        <f>TEST_DATA!B4268</f>
        <v/>
      </c>
      <c r="C4268">
        <f>TEST_DATA!C4268</f>
        <v/>
      </c>
      <c r="D4268">
        <f>TEST_DATA!D4268</f>
        <v/>
      </c>
      <c r="E4268">
        <f>TEST_DATA!E4268</f>
        <v/>
      </c>
      <c r="F4268">
        <f>MIN(E4268*426800,10000)</f>
        <v/>
      </c>
      <c r="G4268">
        <f>MINIFS(CBIC_Late_Fee_Relief_Windows_3B!$O$4268:$O$100,CBIC_Late_Fee_Relief_Windows_3B!$D$4268:$D$100,"&lt;="&amp;B4268,CBIC_Late_Fee_Relief_Windows_3B!$E$4268:$E$100,"&gt;="&amp;B4268,CBIC_Late_Fee_Relief_Windows_3B!$F$4268:$F$100,"&lt;="&amp;C4268,CBIC_Late_Fee_Relief_Windows_3B!$G$4268:$G$100,"&gt;="&amp;C4268)</f>
        <v/>
      </c>
      <c r="H4268">
        <f>INDEX(CBIC_Late_Fee_Relief_Windows_3B!$I$4268:$I$100,MATCH(G4268,CBIC_Late_Fee_Relief_Windows_3B!$O$4268:$O$100,0))</f>
        <v/>
      </c>
      <c r="I4268">
        <f>MIN(F4268,H4268)</f>
        <v/>
      </c>
    </row>
    <row r="4269">
      <c r="A4269">
        <f>TEST_DATA!A4269</f>
        <v/>
      </c>
      <c r="B4269">
        <f>TEST_DATA!B4269</f>
        <v/>
      </c>
      <c r="C4269">
        <f>TEST_DATA!C4269</f>
        <v/>
      </c>
      <c r="D4269">
        <f>TEST_DATA!D4269</f>
        <v/>
      </c>
      <c r="E4269">
        <f>TEST_DATA!E4269</f>
        <v/>
      </c>
      <c r="F4269">
        <f>MIN(E4269*426900,10000)</f>
        <v/>
      </c>
      <c r="G4269">
        <f>MINIFS(CBIC_Late_Fee_Relief_Windows_3B!$O$4269:$O$100,CBIC_Late_Fee_Relief_Windows_3B!$D$4269:$D$100,"&lt;="&amp;B4269,CBIC_Late_Fee_Relief_Windows_3B!$E$4269:$E$100,"&gt;="&amp;B4269,CBIC_Late_Fee_Relief_Windows_3B!$F$4269:$F$100,"&lt;="&amp;C4269,CBIC_Late_Fee_Relief_Windows_3B!$G$4269:$G$100,"&gt;="&amp;C4269)</f>
        <v/>
      </c>
      <c r="H4269">
        <f>INDEX(CBIC_Late_Fee_Relief_Windows_3B!$I$4269:$I$100,MATCH(G4269,CBIC_Late_Fee_Relief_Windows_3B!$O$4269:$O$100,0))</f>
        <v/>
      </c>
      <c r="I4269">
        <f>MIN(F4269,H4269)</f>
        <v/>
      </c>
    </row>
    <row r="4270">
      <c r="A4270">
        <f>TEST_DATA!A4270</f>
        <v/>
      </c>
      <c r="B4270">
        <f>TEST_DATA!B4270</f>
        <v/>
      </c>
      <c r="C4270">
        <f>TEST_DATA!C4270</f>
        <v/>
      </c>
      <c r="D4270">
        <f>TEST_DATA!D4270</f>
        <v/>
      </c>
      <c r="E4270">
        <f>TEST_DATA!E4270</f>
        <v/>
      </c>
      <c r="F4270">
        <f>MIN(E4270*427000,10000)</f>
        <v/>
      </c>
      <c r="G4270">
        <f>MINIFS(CBIC_Late_Fee_Relief_Windows_3B!$O$4270:$O$100,CBIC_Late_Fee_Relief_Windows_3B!$D$4270:$D$100,"&lt;="&amp;B4270,CBIC_Late_Fee_Relief_Windows_3B!$E$4270:$E$100,"&gt;="&amp;B4270,CBIC_Late_Fee_Relief_Windows_3B!$F$4270:$F$100,"&lt;="&amp;C4270,CBIC_Late_Fee_Relief_Windows_3B!$G$4270:$G$100,"&gt;="&amp;C4270)</f>
        <v/>
      </c>
      <c r="H4270">
        <f>INDEX(CBIC_Late_Fee_Relief_Windows_3B!$I$4270:$I$100,MATCH(G4270,CBIC_Late_Fee_Relief_Windows_3B!$O$4270:$O$100,0))</f>
        <v/>
      </c>
      <c r="I4270">
        <f>MIN(F4270,H4270)</f>
        <v/>
      </c>
    </row>
    <row r="4271">
      <c r="A4271">
        <f>TEST_DATA!A4271</f>
        <v/>
      </c>
      <c r="B4271">
        <f>TEST_DATA!B4271</f>
        <v/>
      </c>
      <c r="C4271">
        <f>TEST_DATA!C4271</f>
        <v/>
      </c>
      <c r="D4271">
        <f>TEST_DATA!D4271</f>
        <v/>
      </c>
      <c r="E4271">
        <f>TEST_DATA!E4271</f>
        <v/>
      </c>
      <c r="F4271">
        <f>MIN(E4271*427100,10000)</f>
        <v/>
      </c>
      <c r="G4271">
        <f>MINIFS(CBIC_Late_Fee_Relief_Windows_3B!$O$4271:$O$100,CBIC_Late_Fee_Relief_Windows_3B!$D$4271:$D$100,"&lt;="&amp;B4271,CBIC_Late_Fee_Relief_Windows_3B!$E$4271:$E$100,"&gt;="&amp;B4271,CBIC_Late_Fee_Relief_Windows_3B!$F$4271:$F$100,"&lt;="&amp;C4271,CBIC_Late_Fee_Relief_Windows_3B!$G$4271:$G$100,"&gt;="&amp;C4271)</f>
        <v/>
      </c>
      <c r="H4271">
        <f>INDEX(CBIC_Late_Fee_Relief_Windows_3B!$I$4271:$I$100,MATCH(G4271,CBIC_Late_Fee_Relief_Windows_3B!$O$4271:$O$100,0))</f>
        <v/>
      </c>
      <c r="I4271">
        <f>MIN(F4271,H4271)</f>
        <v/>
      </c>
    </row>
    <row r="4272">
      <c r="A4272">
        <f>TEST_DATA!A4272</f>
        <v/>
      </c>
      <c r="B4272">
        <f>TEST_DATA!B4272</f>
        <v/>
      </c>
      <c r="C4272">
        <f>TEST_DATA!C4272</f>
        <v/>
      </c>
      <c r="D4272">
        <f>TEST_DATA!D4272</f>
        <v/>
      </c>
      <c r="E4272">
        <f>TEST_DATA!E4272</f>
        <v/>
      </c>
      <c r="F4272">
        <f>MIN(E4272*427200,10000)</f>
        <v/>
      </c>
      <c r="G4272">
        <f>MINIFS(CBIC_Late_Fee_Relief_Windows_3B!$O$4272:$O$100,CBIC_Late_Fee_Relief_Windows_3B!$D$4272:$D$100,"&lt;="&amp;B4272,CBIC_Late_Fee_Relief_Windows_3B!$E$4272:$E$100,"&gt;="&amp;B4272,CBIC_Late_Fee_Relief_Windows_3B!$F$4272:$F$100,"&lt;="&amp;C4272,CBIC_Late_Fee_Relief_Windows_3B!$G$4272:$G$100,"&gt;="&amp;C4272)</f>
        <v/>
      </c>
      <c r="H4272">
        <f>INDEX(CBIC_Late_Fee_Relief_Windows_3B!$I$4272:$I$100,MATCH(G4272,CBIC_Late_Fee_Relief_Windows_3B!$O$4272:$O$100,0))</f>
        <v/>
      </c>
      <c r="I4272">
        <f>MIN(F4272,H4272)</f>
        <v/>
      </c>
    </row>
    <row r="4273">
      <c r="A4273">
        <f>TEST_DATA!A4273</f>
        <v/>
      </c>
      <c r="B4273">
        <f>TEST_DATA!B4273</f>
        <v/>
      </c>
      <c r="C4273">
        <f>TEST_DATA!C4273</f>
        <v/>
      </c>
      <c r="D4273">
        <f>TEST_DATA!D4273</f>
        <v/>
      </c>
      <c r="E4273">
        <f>TEST_DATA!E4273</f>
        <v/>
      </c>
      <c r="F4273">
        <f>MIN(E4273*427300,10000)</f>
        <v/>
      </c>
      <c r="G4273">
        <f>MINIFS(CBIC_Late_Fee_Relief_Windows_3B!$O$4273:$O$100,CBIC_Late_Fee_Relief_Windows_3B!$D$4273:$D$100,"&lt;="&amp;B4273,CBIC_Late_Fee_Relief_Windows_3B!$E$4273:$E$100,"&gt;="&amp;B4273,CBIC_Late_Fee_Relief_Windows_3B!$F$4273:$F$100,"&lt;="&amp;C4273,CBIC_Late_Fee_Relief_Windows_3B!$G$4273:$G$100,"&gt;="&amp;C4273)</f>
        <v/>
      </c>
      <c r="H4273">
        <f>INDEX(CBIC_Late_Fee_Relief_Windows_3B!$I$4273:$I$100,MATCH(G4273,CBIC_Late_Fee_Relief_Windows_3B!$O$4273:$O$100,0))</f>
        <v/>
      </c>
      <c r="I4273">
        <f>MIN(F4273,H4273)</f>
        <v/>
      </c>
    </row>
    <row r="4274">
      <c r="A4274">
        <f>TEST_DATA!A4274</f>
        <v/>
      </c>
      <c r="B4274">
        <f>TEST_DATA!B4274</f>
        <v/>
      </c>
      <c r="C4274">
        <f>TEST_DATA!C4274</f>
        <v/>
      </c>
      <c r="D4274">
        <f>TEST_DATA!D4274</f>
        <v/>
      </c>
      <c r="E4274">
        <f>TEST_DATA!E4274</f>
        <v/>
      </c>
      <c r="F4274">
        <f>MIN(E4274*427400,10000)</f>
        <v/>
      </c>
      <c r="G4274">
        <f>MINIFS(CBIC_Late_Fee_Relief_Windows_3B!$O$4274:$O$100,CBIC_Late_Fee_Relief_Windows_3B!$D$4274:$D$100,"&lt;="&amp;B4274,CBIC_Late_Fee_Relief_Windows_3B!$E$4274:$E$100,"&gt;="&amp;B4274,CBIC_Late_Fee_Relief_Windows_3B!$F$4274:$F$100,"&lt;="&amp;C4274,CBIC_Late_Fee_Relief_Windows_3B!$G$4274:$G$100,"&gt;="&amp;C4274)</f>
        <v/>
      </c>
      <c r="H4274">
        <f>INDEX(CBIC_Late_Fee_Relief_Windows_3B!$I$4274:$I$100,MATCH(G4274,CBIC_Late_Fee_Relief_Windows_3B!$O$4274:$O$100,0))</f>
        <v/>
      </c>
      <c r="I4274">
        <f>MIN(F4274,H4274)</f>
        <v/>
      </c>
    </row>
    <row r="4275">
      <c r="A4275">
        <f>TEST_DATA!A4275</f>
        <v/>
      </c>
      <c r="B4275">
        <f>TEST_DATA!B4275</f>
        <v/>
      </c>
      <c r="C4275">
        <f>TEST_DATA!C4275</f>
        <v/>
      </c>
      <c r="D4275">
        <f>TEST_DATA!D4275</f>
        <v/>
      </c>
      <c r="E4275">
        <f>TEST_DATA!E4275</f>
        <v/>
      </c>
      <c r="F4275">
        <f>MIN(E4275*427500,10000)</f>
        <v/>
      </c>
      <c r="G4275">
        <f>MINIFS(CBIC_Late_Fee_Relief_Windows_3B!$O$4275:$O$100,CBIC_Late_Fee_Relief_Windows_3B!$D$4275:$D$100,"&lt;="&amp;B4275,CBIC_Late_Fee_Relief_Windows_3B!$E$4275:$E$100,"&gt;="&amp;B4275,CBIC_Late_Fee_Relief_Windows_3B!$F$4275:$F$100,"&lt;="&amp;C4275,CBIC_Late_Fee_Relief_Windows_3B!$G$4275:$G$100,"&gt;="&amp;C4275)</f>
        <v/>
      </c>
      <c r="H4275">
        <f>INDEX(CBIC_Late_Fee_Relief_Windows_3B!$I$4275:$I$100,MATCH(G4275,CBIC_Late_Fee_Relief_Windows_3B!$O$4275:$O$100,0))</f>
        <v/>
      </c>
      <c r="I4275">
        <f>MIN(F4275,H4275)</f>
        <v/>
      </c>
    </row>
    <row r="4276">
      <c r="A4276">
        <f>TEST_DATA!A4276</f>
        <v/>
      </c>
      <c r="B4276">
        <f>TEST_DATA!B4276</f>
        <v/>
      </c>
      <c r="C4276">
        <f>TEST_DATA!C4276</f>
        <v/>
      </c>
      <c r="D4276">
        <f>TEST_DATA!D4276</f>
        <v/>
      </c>
      <c r="E4276">
        <f>TEST_DATA!E4276</f>
        <v/>
      </c>
      <c r="F4276">
        <f>MIN(E4276*427600,10000)</f>
        <v/>
      </c>
      <c r="G4276">
        <f>MINIFS(CBIC_Late_Fee_Relief_Windows_3B!$O$4276:$O$100,CBIC_Late_Fee_Relief_Windows_3B!$D$4276:$D$100,"&lt;="&amp;B4276,CBIC_Late_Fee_Relief_Windows_3B!$E$4276:$E$100,"&gt;="&amp;B4276,CBIC_Late_Fee_Relief_Windows_3B!$F$4276:$F$100,"&lt;="&amp;C4276,CBIC_Late_Fee_Relief_Windows_3B!$G$4276:$G$100,"&gt;="&amp;C4276)</f>
        <v/>
      </c>
      <c r="H4276">
        <f>INDEX(CBIC_Late_Fee_Relief_Windows_3B!$I$4276:$I$100,MATCH(G4276,CBIC_Late_Fee_Relief_Windows_3B!$O$4276:$O$100,0))</f>
        <v/>
      </c>
      <c r="I4276">
        <f>MIN(F4276,H4276)</f>
        <v/>
      </c>
    </row>
    <row r="4277">
      <c r="A4277">
        <f>TEST_DATA!A4277</f>
        <v/>
      </c>
      <c r="B4277">
        <f>TEST_DATA!B4277</f>
        <v/>
      </c>
      <c r="C4277">
        <f>TEST_DATA!C4277</f>
        <v/>
      </c>
      <c r="D4277">
        <f>TEST_DATA!D4277</f>
        <v/>
      </c>
      <c r="E4277">
        <f>TEST_DATA!E4277</f>
        <v/>
      </c>
      <c r="F4277">
        <f>MIN(E4277*427700,10000)</f>
        <v/>
      </c>
      <c r="G4277">
        <f>MINIFS(CBIC_Late_Fee_Relief_Windows_3B!$O$4277:$O$100,CBIC_Late_Fee_Relief_Windows_3B!$D$4277:$D$100,"&lt;="&amp;B4277,CBIC_Late_Fee_Relief_Windows_3B!$E$4277:$E$100,"&gt;="&amp;B4277,CBIC_Late_Fee_Relief_Windows_3B!$F$4277:$F$100,"&lt;="&amp;C4277,CBIC_Late_Fee_Relief_Windows_3B!$G$4277:$G$100,"&gt;="&amp;C4277)</f>
        <v/>
      </c>
      <c r="H4277">
        <f>INDEX(CBIC_Late_Fee_Relief_Windows_3B!$I$4277:$I$100,MATCH(G4277,CBIC_Late_Fee_Relief_Windows_3B!$O$4277:$O$100,0))</f>
        <v/>
      </c>
      <c r="I4277">
        <f>MIN(F4277,H4277)</f>
        <v/>
      </c>
    </row>
    <row r="4278">
      <c r="A4278">
        <f>TEST_DATA!A4278</f>
        <v/>
      </c>
      <c r="B4278">
        <f>TEST_DATA!B4278</f>
        <v/>
      </c>
      <c r="C4278">
        <f>TEST_DATA!C4278</f>
        <v/>
      </c>
      <c r="D4278">
        <f>TEST_DATA!D4278</f>
        <v/>
      </c>
      <c r="E4278">
        <f>TEST_DATA!E4278</f>
        <v/>
      </c>
      <c r="F4278">
        <f>MIN(E4278*427800,10000)</f>
        <v/>
      </c>
      <c r="G4278">
        <f>MINIFS(CBIC_Late_Fee_Relief_Windows_3B!$O$4278:$O$100,CBIC_Late_Fee_Relief_Windows_3B!$D$4278:$D$100,"&lt;="&amp;B4278,CBIC_Late_Fee_Relief_Windows_3B!$E$4278:$E$100,"&gt;="&amp;B4278,CBIC_Late_Fee_Relief_Windows_3B!$F$4278:$F$100,"&lt;="&amp;C4278,CBIC_Late_Fee_Relief_Windows_3B!$G$4278:$G$100,"&gt;="&amp;C4278)</f>
        <v/>
      </c>
      <c r="H4278">
        <f>INDEX(CBIC_Late_Fee_Relief_Windows_3B!$I$4278:$I$100,MATCH(G4278,CBIC_Late_Fee_Relief_Windows_3B!$O$4278:$O$100,0))</f>
        <v/>
      </c>
      <c r="I4278">
        <f>MIN(F4278,H4278)</f>
        <v/>
      </c>
    </row>
    <row r="4279">
      <c r="A4279">
        <f>TEST_DATA!A4279</f>
        <v/>
      </c>
      <c r="B4279">
        <f>TEST_DATA!B4279</f>
        <v/>
      </c>
      <c r="C4279">
        <f>TEST_DATA!C4279</f>
        <v/>
      </c>
      <c r="D4279">
        <f>TEST_DATA!D4279</f>
        <v/>
      </c>
      <c r="E4279">
        <f>TEST_DATA!E4279</f>
        <v/>
      </c>
      <c r="F4279">
        <f>MIN(E4279*427900,10000)</f>
        <v/>
      </c>
      <c r="G4279">
        <f>MINIFS(CBIC_Late_Fee_Relief_Windows_3B!$O$4279:$O$100,CBIC_Late_Fee_Relief_Windows_3B!$D$4279:$D$100,"&lt;="&amp;B4279,CBIC_Late_Fee_Relief_Windows_3B!$E$4279:$E$100,"&gt;="&amp;B4279,CBIC_Late_Fee_Relief_Windows_3B!$F$4279:$F$100,"&lt;="&amp;C4279,CBIC_Late_Fee_Relief_Windows_3B!$G$4279:$G$100,"&gt;="&amp;C4279)</f>
        <v/>
      </c>
      <c r="H4279">
        <f>INDEX(CBIC_Late_Fee_Relief_Windows_3B!$I$4279:$I$100,MATCH(G4279,CBIC_Late_Fee_Relief_Windows_3B!$O$4279:$O$100,0))</f>
        <v/>
      </c>
      <c r="I4279">
        <f>MIN(F4279,H4279)</f>
        <v/>
      </c>
    </row>
    <row r="4280">
      <c r="A4280">
        <f>TEST_DATA!A4280</f>
        <v/>
      </c>
      <c r="B4280">
        <f>TEST_DATA!B4280</f>
        <v/>
      </c>
      <c r="C4280">
        <f>TEST_DATA!C4280</f>
        <v/>
      </c>
      <c r="D4280">
        <f>TEST_DATA!D4280</f>
        <v/>
      </c>
      <c r="E4280">
        <f>TEST_DATA!E4280</f>
        <v/>
      </c>
      <c r="F4280">
        <f>MIN(E4280*428000,10000)</f>
        <v/>
      </c>
      <c r="G4280">
        <f>MINIFS(CBIC_Late_Fee_Relief_Windows_3B!$O$4280:$O$100,CBIC_Late_Fee_Relief_Windows_3B!$D$4280:$D$100,"&lt;="&amp;B4280,CBIC_Late_Fee_Relief_Windows_3B!$E$4280:$E$100,"&gt;="&amp;B4280,CBIC_Late_Fee_Relief_Windows_3B!$F$4280:$F$100,"&lt;="&amp;C4280,CBIC_Late_Fee_Relief_Windows_3B!$G$4280:$G$100,"&gt;="&amp;C4280)</f>
        <v/>
      </c>
      <c r="H4280">
        <f>INDEX(CBIC_Late_Fee_Relief_Windows_3B!$I$4280:$I$100,MATCH(G4280,CBIC_Late_Fee_Relief_Windows_3B!$O$4280:$O$100,0))</f>
        <v/>
      </c>
      <c r="I4280">
        <f>MIN(F4280,H4280)</f>
        <v/>
      </c>
    </row>
    <row r="4281">
      <c r="A4281">
        <f>TEST_DATA!A4281</f>
        <v/>
      </c>
      <c r="B4281">
        <f>TEST_DATA!B4281</f>
        <v/>
      </c>
      <c r="C4281">
        <f>TEST_DATA!C4281</f>
        <v/>
      </c>
      <c r="D4281">
        <f>TEST_DATA!D4281</f>
        <v/>
      </c>
      <c r="E4281">
        <f>TEST_DATA!E4281</f>
        <v/>
      </c>
      <c r="F4281">
        <f>MIN(E4281*428100,10000)</f>
        <v/>
      </c>
      <c r="G4281">
        <f>MINIFS(CBIC_Late_Fee_Relief_Windows_3B!$O$4281:$O$100,CBIC_Late_Fee_Relief_Windows_3B!$D$4281:$D$100,"&lt;="&amp;B4281,CBIC_Late_Fee_Relief_Windows_3B!$E$4281:$E$100,"&gt;="&amp;B4281,CBIC_Late_Fee_Relief_Windows_3B!$F$4281:$F$100,"&lt;="&amp;C4281,CBIC_Late_Fee_Relief_Windows_3B!$G$4281:$G$100,"&gt;="&amp;C4281)</f>
        <v/>
      </c>
      <c r="H4281">
        <f>INDEX(CBIC_Late_Fee_Relief_Windows_3B!$I$4281:$I$100,MATCH(G4281,CBIC_Late_Fee_Relief_Windows_3B!$O$4281:$O$100,0))</f>
        <v/>
      </c>
      <c r="I4281">
        <f>MIN(F4281,H4281)</f>
        <v/>
      </c>
    </row>
    <row r="4282">
      <c r="A4282">
        <f>TEST_DATA!A4282</f>
        <v/>
      </c>
      <c r="B4282">
        <f>TEST_DATA!B4282</f>
        <v/>
      </c>
      <c r="C4282">
        <f>TEST_DATA!C4282</f>
        <v/>
      </c>
      <c r="D4282">
        <f>TEST_DATA!D4282</f>
        <v/>
      </c>
      <c r="E4282">
        <f>TEST_DATA!E4282</f>
        <v/>
      </c>
      <c r="F4282">
        <f>MIN(E4282*428200,10000)</f>
        <v/>
      </c>
      <c r="G4282">
        <f>MINIFS(CBIC_Late_Fee_Relief_Windows_3B!$O$4282:$O$100,CBIC_Late_Fee_Relief_Windows_3B!$D$4282:$D$100,"&lt;="&amp;B4282,CBIC_Late_Fee_Relief_Windows_3B!$E$4282:$E$100,"&gt;="&amp;B4282,CBIC_Late_Fee_Relief_Windows_3B!$F$4282:$F$100,"&lt;="&amp;C4282,CBIC_Late_Fee_Relief_Windows_3B!$G$4282:$G$100,"&gt;="&amp;C4282)</f>
        <v/>
      </c>
      <c r="H4282">
        <f>INDEX(CBIC_Late_Fee_Relief_Windows_3B!$I$4282:$I$100,MATCH(G4282,CBIC_Late_Fee_Relief_Windows_3B!$O$4282:$O$100,0))</f>
        <v/>
      </c>
      <c r="I4282">
        <f>MIN(F4282,H4282)</f>
        <v/>
      </c>
    </row>
    <row r="4283">
      <c r="A4283">
        <f>TEST_DATA!A4283</f>
        <v/>
      </c>
      <c r="B4283">
        <f>TEST_DATA!B4283</f>
        <v/>
      </c>
      <c r="C4283">
        <f>TEST_DATA!C4283</f>
        <v/>
      </c>
      <c r="D4283">
        <f>TEST_DATA!D4283</f>
        <v/>
      </c>
      <c r="E4283">
        <f>TEST_DATA!E4283</f>
        <v/>
      </c>
      <c r="F4283">
        <f>MIN(E4283*428300,10000)</f>
        <v/>
      </c>
      <c r="G4283">
        <f>MINIFS(CBIC_Late_Fee_Relief_Windows_3B!$O$4283:$O$100,CBIC_Late_Fee_Relief_Windows_3B!$D$4283:$D$100,"&lt;="&amp;B4283,CBIC_Late_Fee_Relief_Windows_3B!$E$4283:$E$100,"&gt;="&amp;B4283,CBIC_Late_Fee_Relief_Windows_3B!$F$4283:$F$100,"&lt;="&amp;C4283,CBIC_Late_Fee_Relief_Windows_3B!$G$4283:$G$100,"&gt;="&amp;C4283)</f>
        <v/>
      </c>
      <c r="H4283">
        <f>INDEX(CBIC_Late_Fee_Relief_Windows_3B!$I$4283:$I$100,MATCH(G4283,CBIC_Late_Fee_Relief_Windows_3B!$O$4283:$O$100,0))</f>
        <v/>
      </c>
      <c r="I4283">
        <f>MIN(F4283,H4283)</f>
        <v/>
      </c>
    </row>
    <row r="4284">
      <c r="A4284">
        <f>TEST_DATA!A4284</f>
        <v/>
      </c>
      <c r="B4284">
        <f>TEST_DATA!B4284</f>
        <v/>
      </c>
      <c r="C4284">
        <f>TEST_DATA!C4284</f>
        <v/>
      </c>
      <c r="D4284">
        <f>TEST_DATA!D4284</f>
        <v/>
      </c>
      <c r="E4284">
        <f>TEST_DATA!E4284</f>
        <v/>
      </c>
      <c r="F4284">
        <f>MIN(E4284*428400,10000)</f>
        <v/>
      </c>
      <c r="G4284">
        <f>MINIFS(CBIC_Late_Fee_Relief_Windows_3B!$O$4284:$O$100,CBIC_Late_Fee_Relief_Windows_3B!$D$4284:$D$100,"&lt;="&amp;B4284,CBIC_Late_Fee_Relief_Windows_3B!$E$4284:$E$100,"&gt;="&amp;B4284,CBIC_Late_Fee_Relief_Windows_3B!$F$4284:$F$100,"&lt;="&amp;C4284,CBIC_Late_Fee_Relief_Windows_3B!$G$4284:$G$100,"&gt;="&amp;C4284)</f>
        <v/>
      </c>
      <c r="H4284">
        <f>INDEX(CBIC_Late_Fee_Relief_Windows_3B!$I$4284:$I$100,MATCH(G4284,CBIC_Late_Fee_Relief_Windows_3B!$O$4284:$O$100,0))</f>
        <v/>
      </c>
      <c r="I4284">
        <f>MIN(F4284,H4284)</f>
        <v/>
      </c>
    </row>
    <row r="4285">
      <c r="A4285">
        <f>TEST_DATA!A4285</f>
        <v/>
      </c>
      <c r="B4285">
        <f>TEST_DATA!B4285</f>
        <v/>
      </c>
      <c r="C4285">
        <f>TEST_DATA!C4285</f>
        <v/>
      </c>
      <c r="D4285">
        <f>TEST_DATA!D4285</f>
        <v/>
      </c>
      <c r="E4285">
        <f>TEST_DATA!E4285</f>
        <v/>
      </c>
      <c r="F4285">
        <f>MIN(E4285*428500,10000)</f>
        <v/>
      </c>
      <c r="G4285">
        <f>MINIFS(CBIC_Late_Fee_Relief_Windows_3B!$O$4285:$O$100,CBIC_Late_Fee_Relief_Windows_3B!$D$4285:$D$100,"&lt;="&amp;B4285,CBIC_Late_Fee_Relief_Windows_3B!$E$4285:$E$100,"&gt;="&amp;B4285,CBIC_Late_Fee_Relief_Windows_3B!$F$4285:$F$100,"&lt;="&amp;C4285,CBIC_Late_Fee_Relief_Windows_3B!$G$4285:$G$100,"&gt;="&amp;C4285)</f>
        <v/>
      </c>
      <c r="H4285">
        <f>INDEX(CBIC_Late_Fee_Relief_Windows_3B!$I$4285:$I$100,MATCH(G4285,CBIC_Late_Fee_Relief_Windows_3B!$O$4285:$O$100,0))</f>
        <v/>
      </c>
      <c r="I4285">
        <f>MIN(F4285,H4285)</f>
        <v/>
      </c>
    </row>
    <row r="4286">
      <c r="A4286">
        <f>TEST_DATA!A4286</f>
        <v/>
      </c>
      <c r="B4286">
        <f>TEST_DATA!B4286</f>
        <v/>
      </c>
      <c r="C4286">
        <f>TEST_DATA!C4286</f>
        <v/>
      </c>
      <c r="D4286">
        <f>TEST_DATA!D4286</f>
        <v/>
      </c>
      <c r="E4286">
        <f>TEST_DATA!E4286</f>
        <v/>
      </c>
      <c r="F4286">
        <f>MIN(E4286*428600,10000)</f>
        <v/>
      </c>
      <c r="G4286">
        <f>MINIFS(CBIC_Late_Fee_Relief_Windows_3B!$O$4286:$O$100,CBIC_Late_Fee_Relief_Windows_3B!$D$4286:$D$100,"&lt;="&amp;B4286,CBIC_Late_Fee_Relief_Windows_3B!$E$4286:$E$100,"&gt;="&amp;B4286,CBIC_Late_Fee_Relief_Windows_3B!$F$4286:$F$100,"&lt;="&amp;C4286,CBIC_Late_Fee_Relief_Windows_3B!$G$4286:$G$100,"&gt;="&amp;C4286)</f>
        <v/>
      </c>
      <c r="H4286">
        <f>INDEX(CBIC_Late_Fee_Relief_Windows_3B!$I$4286:$I$100,MATCH(G4286,CBIC_Late_Fee_Relief_Windows_3B!$O$4286:$O$100,0))</f>
        <v/>
      </c>
      <c r="I4286">
        <f>MIN(F4286,H4286)</f>
        <v/>
      </c>
    </row>
    <row r="4287">
      <c r="A4287">
        <f>TEST_DATA!A4287</f>
        <v/>
      </c>
      <c r="B4287">
        <f>TEST_DATA!B4287</f>
        <v/>
      </c>
      <c r="C4287">
        <f>TEST_DATA!C4287</f>
        <v/>
      </c>
      <c r="D4287">
        <f>TEST_DATA!D4287</f>
        <v/>
      </c>
      <c r="E4287">
        <f>TEST_DATA!E4287</f>
        <v/>
      </c>
      <c r="F4287">
        <f>MIN(E4287*428700,10000)</f>
        <v/>
      </c>
      <c r="G4287">
        <f>MINIFS(CBIC_Late_Fee_Relief_Windows_3B!$O$4287:$O$100,CBIC_Late_Fee_Relief_Windows_3B!$D$4287:$D$100,"&lt;="&amp;B4287,CBIC_Late_Fee_Relief_Windows_3B!$E$4287:$E$100,"&gt;="&amp;B4287,CBIC_Late_Fee_Relief_Windows_3B!$F$4287:$F$100,"&lt;="&amp;C4287,CBIC_Late_Fee_Relief_Windows_3B!$G$4287:$G$100,"&gt;="&amp;C4287)</f>
        <v/>
      </c>
      <c r="H4287">
        <f>INDEX(CBIC_Late_Fee_Relief_Windows_3B!$I$4287:$I$100,MATCH(G4287,CBIC_Late_Fee_Relief_Windows_3B!$O$4287:$O$100,0))</f>
        <v/>
      </c>
      <c r="I4287">
        <f>MIN(F4287,H4287)</f>
        <v/>
      </c>
    </row>
    <row r="4288">
      <c r="A4288">
        <f>TEST_DATA!A4288</f>
        <v/>
      </c>
      <c r="B4288">
        <f>TEST_DATA!B4288</f>
        <v/>
      </c>
      <c r="C4288">
        <f>TEST_DATA!C4288</f>
        <v/>
      </c>
      <c r="D4288">
        <f>TEST_DATA!D4288</f>
        <v/>
      </c>
      <c r="E4288">
        <f>TEST_DATA!E4288</f>
        <v/>
      </c>
      <c r="F4288">
        <f>MIN(E4288*428800,10000)</f>
        <v/>
      </c>
      <c r="G4288">
        <f>MINIFS(CBIC_Late_Fee_Relief_Windows_3B!$O$4288:$O$100,CBIC_Late_Fee_Relief_Windows_3B!$D$4288:$D$100,"&lt;="&amp;B4288,CBIC_Late_Fee_Relief_Windows_3B!$E$4288:$E$100,"&gt;="&amp;B4288,CBIC_Late_Fee_Relief_Windows_3B!$F$4288:$F$100,"&lt;="&amp;C4288,CBIC_Late_Fee_Relief_Windows_3B!$G$4288:$G$100,"&gt;="&amp;C4288)</f>
        <v/>
      </c>
      <c r="H4288">
        <f>INDEX(CBIC_Late_Fee_Relief_Windows_3B!$I$4288:$I$100,MATCH(G4288,CBIC_Late_Fee_Relief_Windows_3B!$O$4288:$O$100,0))</f>
        <v/>
      </c>
      <c r="I4288">
        <f>MIN(F4288,H4288)</f>
        <v/>
      </c>
    </row>
    <row r="4289">
      <c r="A4289">
        <f>TEST_DATA!A4289</f>
        <v/>
      </c>
      <c r="B4289">
        <f>TEST_DATA!B4289</f>
        <v/>
      </c>
      <c r="C4289">
        <f>TEST_DATA!C4289</f>
        <v/>
      </c>
      <c r="D4289">
        <f>TEST_DATA!D4289</f>
        <v/>
      </c>
      <c r="E4289">
        <f>TEST_DATA!E4289</f>
        <v/>
      </c>
      <c r="F4289">
        <f>MIN(E4289*428900,10000)</f>
        <v/>
      </c>
      <c r="G4289">
        <f>MINIFS(CBIC_Late_Fee_Relief_Windows_3B!$O$4289:$O$100,CBIC_Late_Fee_Relief_Windows_3B!$D$4289:$D$100,"&lt;="&amp;B4289,CBIC_Late_Fee_Relief_Windows_3B!$E$4289:$E$100,"&gt;="&amp;B4289,CBIC_Late_Fee_Relief_Windows_3B!$F$4289:$F$100,"&lt;="&amp;C4289,CBIC_Late_Fee_Relief_Windows_3B!$G$4289:$G$100,"&gt;="&amp;C4289)</f>
        <v/>
      </c>
      <c r="H4289">
        <f>INDEX(CBIC_Late_Fee_Relief_Windows_3B!$I$4289:$I$100,MATCH(G4289,CBIC_Late_Fee_Relief_Windows_3B!$O$4289:$O$100,0))</f>
        <v/>
      </c>
      <c r="I4289">
        <f>MIN(F4289,H4289)</f>
        <v/>
      </c>
    </row>
    <row r="4290">
      <c r="A4290">
        <f>TEST_DATA!A4290</f>
        <v/>
      </c>
      <c r="B4290">
        <f>TEST_DATA!B4290</f>
        <v/>
      </c>
      <c r="C4290">
        <f>TEST_DATA!C4290</f>
        <v/>
      </c>
      <c r="D4290">
        <f>TEST_DATA!D4290</f>
        <v/>
      </c>
      <c r="E4290">
        <f>TEST_DATA!E4290</f>
        <v/>
      </c>
      <c r="F4290">
        <f>MIN(E4290*429000,10000)</f>
        <v/>
      </c>
      <c r="G4290">
        <f>MINIFS(CBIC_Late_Fee_Relief_Windows_3B!$O$4290:$O$100,CBIC_Late_Fee_Relief_Windows_3B!$D$4290:$D$100,"&lt;="&amp;B4290,CBIC_Late_Fee_Relief_Windows_3B!$E$4290:$E$100,"&gt;="&amp;B4290,CBIC_Late_Fee_Relief_Windows_3B!$F$4290:$F$100,"&lt;="&amp;C4290,CBIC_Late_Fee_Relief_Windows_3B!$G$4290:$G$100,"&gt;="&amp;C4290)</f>
        <v/>
      </c>
      <c r="H4290">
        <f>INDEX(CBIC_Late_Fee_Relief_Windows_3B!$I$4290:$I$100,MATCH(G4290,CBIC_Late_Fee_Relief_Windows_3B!$O$4290:$O$100,0))</f>
        <v/>
      </c>
      <c r="I4290">
        <f>MIN(F4290,H4290)</f>
        <v/>
      </c>
    </row>
    <row r="4291">
      <c r="A4291">
        <f>TEST_DATA!A4291</f>
        <v/>
      </c>
      <c r="B4291">
        <f>TEST_DATA!B4291</f>
        <v/>
      </c>
      <c r="C4291">
        <f>TEST_DATA!C4291</f>
        <v/>
      </c>
      <c r="D4291">
        <f>TEST_DATA!D4291</f>
        <v/>
      </c>
      <c r="E4291">
        <f>TEST_DATA!E4291</f>
        <v/>
      </c>
      <c r="F4291">
        <f>MIN(E4291*429100,10000)</f>
        <v/>
      </c>
      <c r="G4291">
        <f>MINIFS(CBIC_Late_Fee_Relief_Windows_3B!$O$4291:$O$100,CBIC_Late_Fee_Relief_Windows_3B!$D$4291:$D$100,"&lt;="&amp;B4291,CBIC_Late_Fee_Relief_Windows_3B!$E$4291:$E$100,"&gt;="&amp;B4291,CBIC_Late_Fee_Relief_Windows_3B!$F$4291:$F$100,"&lt;="&amp;C4291,CBIC_Late_Fee_Relief_Windows_3B!$G$4291:$G$100,"&gt;="&amp;C4291)</f>
        <v/>
      </c>
      <c r="H4291">
        <f>INDEX(CBIC_Late_Fee_Relief_Windows_3B!$I$4291:$I$100,MATCH(G4291,CBIC_Late_Fee_Relief_Windows_3B!$O$4291:$O$100,0))</f>
        <v/>
      </c>
      <c r="I4291">
        <f>MIN(F4291,H4291)</f>
        <v/>
      </c>
    </row>
    <row r="4292">
      <c r="A4292">
        <f>TEST_DATA!A4292</f>
        <v/>
      </c>
      <c r="B4292">
        <f>TEST_DATA!B4292</f>
        <v/>
      </c>
      <c r="C4292">
        <f>TEST_DATA!C4292</f>
        <v/>
      </c>
      <c r="D4292">
        <f>TEST_DATA!D4292</f>
        <v/>
      </c>
      <c r="E4292">
        <f>TEST_DATA!E4292</f>
        <v/>
      </c>
      <c r="F4292">
        <f>MIN(E4292*429200,10000)</f>
        <v/>
      </c>
      <c r="G4292">
        <f>MINIFS(CBIC_Late_Fee_Relief_Windows_3B!$O$4292:$O$100,CBIC_Late_Fee_Relief_Windows_3B!$D$4292:$D$100,"&lt;="&amp;B4292,CBIC_Late_Fee_Relief_Windows_3B!$E$4292:$E$100,"&gt;="&amp;B4292,CBIC_Late_Fee_Relief_Windows_3B!$F$4292:$F$100,"&lt;="&amp;C4292,CBIC_Late_Fee_Relief_Windows_3B!$G$4292:$G$100,"&gt;="&amp;C4292)</f>
        <v/>
      </c>
      <c r="H4292">
        <f>INDEX(CBIC_Late_Fee_Relief_Windows_3B!$I$4292:$I$100,MATCH(G4292,CBIC_Late_Fee_Relief_Windows_3B!$O$4292:$O$100,0))</f>
        <v/>
      </c>
      <c r="I4292">
        <f>MIN(F4292,H4292)</f>
        <v/>
      </c>
    </row>
    <row r="4293">
      <c r="A4293">
        <f>TEST_DATA!A4293</f>
        <v/>
      </c>
      <c r="B4293">
        <f>TEST_DATA!B4293</f>
        <v/>
      </c>
      <c r="C4293">
        <f>TEST_DATA!C4293</f>
        <v/>
      </c>
      <c r="D4293">
        <f>TEST_DATA!D4293</f>
        <v/>
      </c>
      <c r="E4293">
        <f>TEST_DATA!E4293</f>
        <v/>
      </c>
      <c r="F4293">
        <f>MIN(E4293*429300,10000)</f>
        <v/>
      </c>
      <c r="G4293">
        <f>MINIFS(CBIC_Late_Fee_Relief_Windows_3B!$O$4293:$O$100,CBIC_Late_Fee_Relief_Windows_3B!$D$4293:$D$100,"&lt;="&amp;B4293,CBIC_Late_Fee_Relief_Windows_3B!$E$4293:$E$100,"&gt;="&amp;B4293,CBIC_Late_Fee_Relief_Windows_3B!$F$4293:$F$100,"&lt;="&amp;C4293,CBIC_Late_Fee_Relief_Windows_3B!$G$4293:$G$100,"&gt;="&amp;C4293)</f>
        <v/>
      </c>
      <c r="H4293">
        <f>INDEX(CBIC_Late_Fee_Relief_Windows_3B!$I$4293:$I$100,MATCH(G4293,CBIC_Late_Fee_Relief_Windows_3B!$O$4293:$O$100,0))</f>
        <v/>
      </c>
      <c r="I4293">
        <f>MIN(F4293,H4293)</f>
        <v/>
      </c>
    </row>
    <row r="4294">
      <c r="A4294">
        <f>TEST_DATA!A4294</f>
        <v/>
      </c>
      <c r="B4294">
        <f>TEST_DATA!B4294</f>
        <v/>
      </c>
      <c r="C4294">
        <f>TEST_DATA!C4294</f>
        <v/>
      </c>
      <c r="D4294">
        <f>TEST_DATA!D4294</f>
        <v/>
      </c>
      <c r="E4294">
        <f>TEST_DATA!E4294</f>
        <v/>
      </c>
      <c r="F4294">
        <f>MIN(E4294*429400,10000)</f>
        <v/>
      </c>
      <c r="G4294">
        <f>MINIFS(CBIC_Late_Fee_Relief_Windows_3B!$O$4294:$O$100,CBIC_Late_Fee_Relief_Windows_3B!$D$4294:$D$100,"&lt;="&amp;B4294,CBIC_Late_Fee_Relief_Windows_3B!$E$4294:$E$100,"&gt;="&amp;B4294,CBIC_Late_Fee_Relief_Windows_3B!$F$4294:$F$100,"&lt;="&amp;C4294,CBIC_Late_Fee_Relief_Windows_3B!$G$4294:$G$100,"&gt;="&amp;C4294)</f>
        <v/>
      </c>
      <c r="H4294">
        <f>INDEX(CBIC_Late_Fee_Relief_Windows_3B!$I$4294:$I$100,MATCH(G4294,CBIC_Late_Fee_Relief_Windows_3B!$O$4294:$O$100,0))</f>
        <v/>
      </c>
      <c r="I4294">
        <f>MIN(F4294,H4294)</f>
        <v/>
      </c>
    </row>
    <row r="4295">
      <c r="A4295">
        <f>TEST_DATA!A4295</f>
        <v/>
      </c>
      <c r="B4295">
        <f>TEST_DATA!B4295</f>
        <v/>
      </c>
      <c r="C4295">
        <f>TEST_DATA!C4295</f>
        <v/>
      </c>
      <c r="D4295">
        <f>TEST_DATA!D4295</f>
        <v/>
      </c>
      <c r="E4295">
        <f>TEST_DATA!E4295</f>
        <v/>
      </c>
      <c r="F4295">
        <f>MIN(E4295*429500,10000)</f>
        <v/>
      </c>
      <c r="G4295">
        <f>MINIFS(CBIC_Late_Fee_Relief_Windows_3B!$O$4295:$O$100,CBIC_Late_Fee_Relief_Windows_3B!$D$4295:$D$100,"&lt;="&amp;B4295,CBIC_Late_Fee_Relief_Windows_3B!$E$4295:$E$100,"&gt;="&amp;B4295,CBIC_Late_Fee_Relief_Windows_3B!$F$4295:$F$100,"&lt;="&amp;C4295,CBIC_Late_Fee_Relief_Windows_3B!$G$4295:$G$100,"&gt;="&amp;C4295)</f>
        <v/>
      </c>
      <c r="H4295">
        <f>INDEX(CBIC_Late_Fee_Relief_Windows_3B!$I$4295:$I$100,MATCH(G4295,CBIC_Late_Fee_Relief_Windows_3B!$O$4295:$O$100,0))</f>
        <v/>
      </c>
      <c r="I4295">
        <f>MIN(F4295,H4295)</f>
        <v/>
      </c>
    </row>
    <row r="4296">
      <c r="A4296">
        <f>TEST_DATA!A4296</f>
        <v/>
      </c>
      <c r="B4296">
        <f>TEST_DATA!B4296</f>
        <v/>
      </c>
      <c r="C4296">
        <f>TEST_DATA!C4296</f>
        <v/>
      </c>
      <c r="D4296">
        <f>TEST_DATA!D4296</f>
        <v/>
      </c>
      <c r="E4296">
        <f>TEST_DATA!E4296</f>
        <v/>
      </c>
      <c r="F4296">
        <f>MIN(E4296*429600,10000)</f>
        <v/>
      </c>
      <c r="G4296">
        <f>MINIFS(CBIC_Late_Fee_Relief_Windows_3B!$O$4296:$O$100,CBIC_Late_Fee_Relief_Windows_3B!$D$4296:$D$100,"&lt;="&amp;B4296,CBIC_Late_Fee_Relief_Windows_3B!$E$4296:$E$100,"&gt;="&amp;B4296,CBIC_Late_Fee_Relief_Windows_3B!$F$4296:$F$100,"&lt;="&amp;C4296,CBIC_Late_Fee_Relief_Windows_3B!$G$4296:$G$100,"&gt;="&amp;C4296)</f>
        <v/>
      </c>
      <c r="H4296">
        <f>INDEX(CBIC_Late_Fee_Relief_Windows_3B!$I$4296:$I$100,MATCH(G4296,CBIC_Late_Fee_Relief_Windows_3B!$O$4296:$O$100,0))</f>
        <v/>
      </c>
      <c r="I4296">
        <f>MIN(F4296,H4296)</f>
        <v/>
      </c>
    </row>
    <row r="4297">
      <c r="A4297">
        <f>TEST_DATA!A4297</f>
        <v/>
      </c>
      <c r="B4297">
        <f>TEST_DATA!B4297</f>
        <v/>
      </c>
      <c r="C4297">
        <f>TEST_DATA!C4297</f>
        <v/>
      </c>
      <c r="D4297">
        <f>TEST_DATA!D4297</f>
        <v/>
      </c>
      <c r="E4297">
        <f>TEST_DATA!E4297</f>
        <v/>
      </c>
      <c r="F4297">
        <f>MIN(E4297*429700,10000)</f>
        <v/>
      </c>
      <c r="G4297">
        <f>MINIFS(CBIC_Late_Fee_Relief_Windows_3B!$O$4297:$O$100,CBIC_Late_Fee_Relief_Windows_3B!$D$4297:$D$100,"&lt;="&amp;B4297,CBIC_Late_Fee_Relief_Windows_3B!$E$4297:$E$100,"&gt;="&amp;B4297,CBIC_Late_Fee_Relief_Windows_3B!$F$4297:$F$100,"&lt;="&amp;C4297,CBIC_Late_Fee_Relief_Windows_3B!$G$4297:$G$100,"&gt;="&amp;C4297)</f>
        <v/>
      </c>
      <c r="H4297">
        <f>INDEX(CBIC_Late_Fee_Relief_Windows_3B!$I$4297:$I$100,MATCH(G4297,CBIC_Late_Fee_Relief_Windows_3B!$O$4297:$O$100,0))</f>
        <v/>
      </c>
      <c r="I4297">
        <f>MIN(F4297,H4297)</f>
        <v/>
      </c>
    </row>
    <row r="4298">
      <c r="A4298">
        <f>TEST_DATA!A4298</f>
        <v/>
      </c>
      <c r="B4298">
        <f>TEST_DATA!B4298</f>
        <v/>
      </c>
      <c r="C4298">
        <f>TEST_DATA!C4298</f>
        <v/>
      </c>
      <c r="D4298">
        <f>TEST_DATA!D4298</f>
        <v/>
      </c>
      <c r="E4298">
        <f>TEST_DATA!E4298</f>
        <v/>
      </c>
      <c r="F4298">
        <f>MIN(E4298*429800,10000)</f>
        <v/>
      </c>
      <c r="G4298">
        <f>MINIFS(CBIC_Late_Fee_Relief_Windows_3B!$O$4298:$O$100,CBIC_Late_Fee_Relief_Windows_3B!$D$4298:$D$100,"&lt;="&amp;B4298,CBIC_Late_Fee_Relief_Windows_3B!$E$4298:$E$100,"&gt;="&amp;B4298,CBIC_Late_Fee_Relief_Windows_3B!$F$4298:$F$100,"&lt;="&amp;C4298,CBIC_Late_Fee_Relief_Windows_3B!$G$4298:$G$100,"&gt;="&amp;C4298)</f>
        <v/>
      </c>
      <c r="H4298">
        <f>INDEX(CBIC_Late_Fee_Relief_Windows_3B!$I$4298:$I$100,MATCH(G4298,CBIC_Late_Fee_Relief_Windows_3B!$O$4298:$O$100,0))</f>
        <v/>
      </c>
      <c r="I4298">
        <f>MIN(F4298,H4298)</f>
        <v/>
      </c>
    </row>
    <row r="4299">
      <c r="A4299">
        <f>TEST_DATA!A4299</f>
        <v/>
      </c>
      <c r="B4299">
        <f>TEST_DATA!B4299</f>
        <v/>
      </c>
      <c r="C4299">
        <f>TEST_DATA!C4299</f>
        <v/>
      </c>
      <c r="D4299">
        <f>TEST_DATA!D4299</f>
        <v/>
      </c>
      <c r="E4299">
        <f>TEST_DATA!E4299</f>
        <v/>
      </c>
      <c r="F4299">
        <f>MIN(E4299*429900,10000)</f>
        <v/>
      </c>
      <c r="G4299">
        <f>MINIFS(CBIC_Late_Fee_Relief_Windows_3B!$O$4299:$O$100,CBIC_Late_Fee_Relief_Windows_3B!$D$4299:$D$100,"&lt;="&amp;B4299,CBIC_Late_Fee_Relief_Windows_3B!$E$4299:$E$100,"&gt;="&amp;B4299,CBIC_Late_Fee_Relief_Windows_3B!$F$4299:$F$100,"&lt;="&amp;C4299,CBIC_Late_Fee_Relief_Windows_3B!$G$4299:$G$100,"&gt;="&amp;C4299)</f>
        <v/>
      </c>
      <c r="H4299">
        <f>INDEX(CBIC_Late_Fee_Relief_Windows_3B!$I$4299:$I$100,MATCH(G4299,CBIC_Late_Fee_Relief_Windows_3B!$O$4299:$O$100,0))</f>
        <v/>
      </c>
      <c r="I4299">
        <f>MIN(F4299,H4299)</f>
        <v/>
      </c>
    </row>
    <row r="4300">
      <c r="A4300">
        <f>TEST_DATA!A4300</f>
        <v/>
      </c>
      <c r="B4300">
        <f>TEST_DATA!B4300</f>
        <v/>
      </c>
      <c r="C4300">
        <f>TEST_DATA!C4300</f>
        <v/>
      </c>
      <c r="D4300">
        <f>TEST_DATA!D4300</f>
        <v/>
      </c>
      <c r="E4300">
        <f>TEST_DATA!E4300</f>
        <v/>
      </c>
      <c r="F4300">
        <f>MIN(E4300*430000,10000)</f>
        <v/>
      </c>
      <c r="G4300">
        <f>MINIFS(CBIC_Late_Fee_Relief_Windows_3B!$O$4300:$O$100,CBIC_Late_Fee_Relief_Windows_3B!$D$4300:$D$100,"&lt;="&amp;B4300,CBIC_Late_Fee_Relief_Windows_3B!$E$4300:$E$100,"&gt;="&amp;B4300,CBIC_Late_Fee_Relief_Windows_3B!$F$4300:$F$100,"&lt;="&amp;C4300,CBIC_Late_Fee_Relief_Windows_3B!$G$4300:$G$100,"&gt;="&amp;C4300)</f>
        <v/>
      </c>
      <c r="H4300">
        <f>INDEX(CBIC_Late_Fee_Relief_Windows_3B!$I$4300:$I$100,MATCH(G4300,CBIC_Late_Fee_Relief_Windows_3B!$O$4300:$O$100,0))</f>
        <v/>
      </c>
      <c r="I4300">
        <f>MIN(F4300,H4300)</f>
        <v/>
      </c>
    </row>
    <row r="4301">
      <c r="A4301">
        <f>TEST_DATA!A4301</f>
        <v/>
      </c>
      <c r="B4301">
        <f>TEST_DATA!B4301</f>
        <v/>
      </c>
      <c r="C4301">
        <f>TEST_DATA!C4301</f>
        <v/>
      </c>
      <c r="D4301">
        <f>TEST_DATA!D4301</f>
        <v/>
      </c>
      <c r="E4301">
        <f>TEST_DATA!E4301</f>
        <v/>
      </c>
      <c r="F4301">
        <f>MIN(E4301*430100,10000)</f>
        <v/>
      </c>
      <c r="G4301">
        <f>MINIFS(CBIC_Late_Fee_Relief_Windows_3B!$O$4301:$O$100,CBIC_Late_Fee_Relief_Windows_3B!$D$4301:$D$100,"&lt;="&amp;B4301,CBIC_Late_Fee_Relief_Windows_3B!$E$4301:$E$100,"&gt;="&amp;B4301,CBIC_Late_Fee_Relief_Windows_3B!$F$4301:$F$100,"&lt;="&amp;C4301,CBIC_Late_Fee_Relief_Windows_3B!$G$4301:$G$100,"&gt;="&amp;C4301)</f>
        <v/>
      </c>
      <c r="H4301">
        <f>INDEX(CBIC_Late_Fee_Relief_Windows_3B!$I$4301:$I$100,MATCH(G4301,CBIC_Late_Fee_Relief_Windows_3B!$O$4301:$O$100,0))</f>
        <v/>
      </c>
      <c r="I4301">
        <f>MIN(F4301,H4301)</f>
        <v/>
      </c>
    </row>
    <row r="4302">
      <c r="A4302">
        <f>TEST_DATA!A4302</f>
        <v/>
      </c>
      <c r="B4302">
        <f>TEST_DATA!B4302</f>
        <v/>
      </c>
      <c r="C4302">
        <f>TEST_DATA!C4302</f>
        <v/>
      </c>
      <c r="D4302">
        <f>TEST_DATA!D4302</f>
        <v/>
      </c>
      <c r="E4302">
        <f>TEST_DATA!E4302</f>
        <v/>
      </c>
      <c r="F4302">
        <f>MIN(E4302*430200,10000)</f>
        <v/>
      </c>
      <c r="G4302">
        <f>MINIFS(CBIC_Late_Fee_Relief_Windows_3B!$O$4302:$O$100,CBIC_Late_Fee_Relief_Windows_3B!$D$4302:$D$100,"&lt;="&amp;B4302,CBIC_Late_Fee_Relief_Windows_3B!$E$4302:$E$100,"&gt;="&amp;B4302,CBIC_Late_Fee_Relief_Windows_3B!$F$4302:$F$100,"&lt;="&amp;C4302,CBIC_Late_Fee_Relief_Windows_3B!$G$4302:$G$100,"&gt;="&amp;C4302)</f>
        <v/>
      </c>
      <c r="H4302">
        <f>INDEX(CBIC_Late_Fee_Relief_Windows_3B!$I$4302:$I$100,MATCH(G4302,CBIC_Late_Fee_Relief_Windows_3B!$O$4302:$O$100,0))</f>
        <v/>
      </c>
      <c r="I4302">
        <f>MIN(F4302,H4302)</f>
        <v/>
      </c>
    </row>
    <row r="4303">
      <c r="A4303">
        <f>TEST_DATA!A4303</f>
        <v/>
      </c>
      <c r="B4303">
        <f>TEST_DATA!B4303</f>
        <v/>
      </c>
      <c r="C4303">
        <f>TEST_DATA!C4303</f>
        <v/>
      </c>
      <c r="D4303">
        <f>TEST_DATA!D4303</f>
        <v/>
      </c>
      <c r="E4303">
        <f>TEST_DATA!E4303</f>
        <v/>
      </c>
      <c r="F4303">
        <f>MIN(E4303*430300,10000)</f>
        <v/>
      </c>
      <c r="G4303">
        <f>MINIFS(CBIC_Late_Fee_Relief_Windows_3B!$O$4303:$O$100,CBIC_Late_Fee_Relief_Windows_3B!$D$4303:$D$100,"&lt;="&amp;B4303,CBIC_Late_Fee_Relief_Windows_3B!$E$4303:$E$100,"&gt;="&amp;B4303,CBIC_Late_Fee_Relief_Windows_3B!$F$4303:$F$100,"&lt;="&amp;C4303,CBIC_Late_Fee_Relief_Windows_3B!$G$4303:$G$100,"&gt;="&amp;C4303)</f>
        <v/>
      </c>
      <c r="H4303">
        <f>INDEX(CBIC_Late_Fee_Relief_Windows_3B!$I$4303:$I$100,MATCH(G4303,CBIC_Late_Fee_Relief_Windows_3B!$O$4303:$O$100,0))</f>
        <v/>
      </c>
      <c r="I4303">
        <f>MIN(F4303,H4303)</f>
        <v/>
      </c>
    </row>
    <row r="4304">
      <c r="A4304">
        <f>TEST_DATA!A4304</f>
        <v/>
      </c>
      <c r="B4304">
        <f>TEST_DATA!B4304</f>
        <v/>
      </c>
      <c r="C4304">
        <f>TEST_DATA!C4304</f>
        <v/>
      </c>
      <c r="D4304">
        <f>TEST_DATA!D4304</f>
        <v/>
      </c>
      <c r="E4304">
        <f>TEST_DATA!E4304</f>
        <v/>
      </c>
      <c r="F4304">
        <f>MIN(E4304*430400,10000)</f>
        <v/>
      </c>
      <c r="G4304">
        <f>MINIFS(CBIC_Late_Fee_Relief_Windows_3B!$O$4304:$O$100,CBIC_Late_Fee_Relief_Windows_3B!$D$4304:$D$100,"&lt;="&amp;B4304,CBIC_Late_Fee_Relief_Windows_3B!$E$4304:$E$100,"&gt;="&amp;B4304,CBIC_Late_Fee_Relief_Windows_3B!$F$4304:$F$100,"&lt;="&amp;C4304,CBIC_Late_Fee_Relief_Windows_3B!$G$4304:$G$100,"&gt;="&amp;C4304)</f>
        <v/>
      </c>
      <c r="H4304">
        <f>INDEX(CBIC_Late_Fee_Relief_Windows_3B!$I$4304:$I$100,MATCH(G4304,CBIC_Late_Fee_Relief_Windows_3B!$O$4304:$O$100,0))</f>
        <v/>
      </c>
      <c r="I4304">
        <f>MIN(F4304,H4304)</f>
        <v/>
      </c>
    </row>
    <row r="4305">
      <c r="A4305">
        <f>TEST_DATA!A4305</f>
        <v/>
      </c>
      <c r="B4305">
        <f>TEST_DATA!B4305</f>
        <v/>
      </c>
      <c r="C4305">
        <f>TEST_DATA!C4305</f>
        <v/>
      </c>
      <c r="D4305">
        <f>TEST_DATA!D4305</f>
        <v/>
      </c>
      <c r="E4305">
        <f>TEST_DATA!E4305</f>
        <v/>
      </c>
      <c r="F4305">
        <f>MIN(E4305*430500,10000)</f>
        <v/>
      </c>
      <c r="G4305">
        <f>MINIFS(CBIC_Late_Fee_Relief_Windows_3B!$O$4305:$O$100,CBIC_Late_Fee_Relief_Windows_3B!$D$4305:$D$100,"&lt;="&amp;B4305,CBIC_Late_Fee_Relief_Windows_3B!$E$4305:$E$100,"&gt;="&amp;B4305,CBIC_Late_Fee_Relief_Windows_3B!$F$4305:$F$100,"&lt;="&amp;C4305,CBIC_Late_Fee_Relief_Windows_3B!$G$4305:$G$100,"&gt;="&amp;C4305)</f>
        <v/>
      </c>
      <c r="H4305">
        <f>INDEX(CBIC_Late_Fee_Relief_Windows_3B!$I$4305:$I$100,MATCH(G4305,CBIC_Late_Fee_Relief_Windows_3B!$O$4305:$O$100,0))</f>
        <v/>
      </c>
      <c r="I4305">
        <f>MIN(F4305,H4305)</f>
        <v/>
      </c>
    </row>
    <row r="4306">
      <c r="A4306">
        <f>TEST_DATA!A4306</f>
        <v/>
      </c>
      <c r="B4306">
        <f>TEST_DATA!B4306</f>
        <v/>
      </c>
      <c r="C4306">
        <f>TEST_DATA!C4306</f>
        <v/>
      </c>
      <c r="D4306">
        <f>TEST_DATA!D4306</f>
        <v/>
      </c>
      <c r="E4306">
        <f>TEST_DATA!E4306</f>
        <v/>
      </c>
      <c r="F4306">
        <f>MIN(E4306*430600,10000)</f>
        <v/>
      </c>
      <c r="G4306">
        <f>MINIFS(CBIC_Late_Fee_Relief_Windows_3B!$O$4306:$O$100,CBIC_Late_Fee_Relief_Windows_3B!$D$4306:$D$100,"&lt;="&amp;B4306,CBIC_Late_Fee_Relief_Windows_3B!$E$4306:$E$100,"&gt;="&amp;B4306,CBIC_Late_Fee_Relief_Windows_3B!$F$4306:$F$100,"&lt;="&amp;C4306,CBIC_Late_Fee_Relief_Windows_3B!$G$4306:$G$100,"&gt;="&amp;C4306)</f>
        <v/>
      </c>
      <c r="H4306">
        <f>INDEX(CBIC_Late_Fee_Relief_Windows_3B!$I$4306:$I$100,MATCH(G4306,CBIC_Late_Fee_Relief_Windows_3B!$O$4306:$O$100,0))</f>
        <v/>
      </c>
      <c r="I4306">
        <f>MIN(F4306,H4306)</f>
        <v/>
      </c>
    </row>
    <row r="4307">
      <c r="A4307">
        <f>TEST_DATA!A4307</f>
        <v/>
      </c>
      <c r="B4307">
        <f>TEST_DATA!B4307</f>
        <v/>
      </c>
      <c r="C4307">
        <f>TEST_DATA!C4307</f>
        <v/>
      </c>
      <c r="D4307">
        <f>TEST_DATA!D4307</f>
        <v/>
      </c>
      <c r="E4307">
        <f>TEST_DATA!E4307</f>
        <v/>
      </c>
      <c r="F4307">
        <f>MIN(E4307*430700,10000)</f>
        <v/>
      </c>
      <c r="G4307">
        <f>MINIFS(CBIC_Late_Fee_Relief_Windows_3B!$O$4307:$O$100,CBIC_Late_Fee_Relief_Windows_3B!$D$4307:$D$100,"&lt;="&amp;B4307,CBIC_Late_Fee_Relief_Windows_3B!$E$4307:$E$100,"&gt;="&amp;B4307,CBIC_Late_Fee_Relief_Windows_3B!$F$4307:$F$100,"&lt;="&amp;C4307,CBIC_Late_Fee_Relief_Windows_3B!$G$4307:$G$100,"&gt;="&amp;C4307)</f>
        <v/>
      </c>
      <c r="H4307">
        <f>INDEX(CBIC_Late_Fee_Relief_Windows_3B!$I$4307:$I$100,MATCH(G4307,CBIC_Late_Fee_Relief_Windows_3B!$O$4307:$O$100,0))</f>
        <v/>
      </c>
      <c r="I4307">
        <f>MIN(F4307,H4307)</f>
        <v/>
      </c>
    </row>
    <row r="4308">
      <c r="A4308">
        <f>TEST_DATA!A4308</f>
        <v/>
      </c>
      <c r="B4308">
        <f>TEST_DATA!B4308</f>
        <v/>
      </c>
      <c r="C4308">
        <f>TEST_DATA!C4308</f>
        <v/>
      </c>
      <c r="D4308">
        <f>TEST_DATA!D4308</f>
        <v/>
      </c>
      <c r="E4308">
        <f>TEST_DATA!E4308</f>
        <v/>
      </c>
      <c r="F4308">
        <f>MIN(E4308*430800,10000)</f>
        <v/>
      </c>
      <c r="G4308">
        <f>MINIFS(CBIC_Late_Fee_Relief_Windows_3B!$O$4308:$O$100,CBIC_Late_Fee_Relief_Windows_3B!$D$4308:$D$100,"&lt;="&amp;B4308,CBIC_Late_Fee_Relief_Windows_3B!$E$4308:$E$100,"&gt;="&amp;B4308,CBIC_Late_Fee_Relief_Windows_3B!$F$4308:$F$100,"&lt;="&amp;C4308,CBIC_Late_Fee_Relief_Windows_3B!$G$4308:$G$100,"&gt;="&amp;C4308)</f>
        <v/>
      </c>
      <c r="H4308">
        <f>INDEX(CBIC_Late_Fee_Relief_Windows_3B!$I$4308:$I$100,MATCH(G4308,CBIC_Late_Fee_Relief_Windows_3B!$O$4308:$O$100,0))</f>
        <v/>
      </c>
      <c r="I4308">
        <f>MIN(F4308,H4308)</f>
        <v/>
      </c>
    </row>
    <row r="4309">
      <c r="A4309">
        <f>TEST_DATA!A4309</f>
        <v/>
      </c>
      <c r="B4309">
        <f>TEST_DATA!B4309</f>
        <v/>
      </c>
      <c r="C4309">
        <f>TEST_DATA!C4309</f>
        <v/>
      </c>
      <c r="D4309">
        <f>TEST_DATA!D4309</f>
        <v/>
      </c>
      <c r="E4309">
        <f>TEST_DATA!E4309</f>
        <v/>
      </c>
      <c r="F4309">
        <f>MIN(E4309*430900,10000)</f>
        <v/>
      </c>
      <c r="G4309">
        <f>MINIFS(CBIC_Late_Fee_Relief_Windows_3B!$O$4309:$O$100,CBIC_Late_Fee_Relief_Windows_3B!$D$4309:$D$100,"&lt;="&amp;B4309,CBIC_Late_Fee_Relief_Windows_3B!$E$4309:$E$100,"&gt;="&amp;B4309,CBIC_Late_Fee_Relief_Windows_3B!$F$4309:$F$100,"&lt;="&amp;C4309,CBIC_Late_Fee_Relief_Windows_3B!$G$4309:$G$100,"&gt;="&amp;C4309)</f>
        <v/>
      </c>
      <c r="H4309">
        <f>INDEX(CBIC_Late_Fee_Relief_Windows_3B!$I$4309:$I$100,MATCH(G4309,CBIC_Late_Fee_Relief_Windows_3B!$O$4309:$O$100,0))</f>
        <v/>
      </c>
      <c r="I4309">
        <f>MIN(F4309,H4309)</f>
        <v/>
      </c>
    </row>
    <row r="4310">
      <c r="A4310">
        <f>TEST_DATA!A4310</f>
        <v/>
      </c>
      <c r="B4310">
        <f>TEST_DATA!B4310</f>
        <v/>
      </c>
      <c r="C4310">
        <f>TEST_DATA!C4310</f>
        <v/>
      </c>
      <c r="D4310">
        <f>TEST_DATA!D4310</f>
        <v/>
      </c>
      <c r="E4310">
        <f>TEST_DATA!E4310</f>
        <v/>
      </c>
      <c r="F4310">
        <f>MIN(E4310*431000,10000)</f>
        <v/>
      </c>
      <c r="G4310">
        <f>MINIFS(CBIC_Late_Fee_Relief_Windows_3B!$O$4310:$O$100,CBIC_Late_Fee_Relief_Windows_3B!$D$4310:$D$100,"&lt;="&amp;B4310,CBIC_Late_Fee_Relief_Windows_3B!$E$4310:$E$100,"&gt;="&amp;B4310,CBIC_Late_Fee_Relief_Windows_3B!$F$4310:$F$100,"&lt;="&amp;C4310,CBIC_Late_Fee_Relief_Windows_3B!$G$4310:$G$100,"&gt;="&amp;C4310)</f>
        <v/>
      </c>
      <c r="H4310">
        <f>INDEX(CBIC_Late_Fee_Relief_Windows_3B!$I$4310:$I$100,MATCH(G4310,CBIC_Late_Fee_Relief_Windows_3B!$O$4310:$O$100,0))</f>
        <v/>
      </c>
      <c r="I4310">
        <f>MIN(F4310,H4310)</f>
        <v/>
      </c>
    </row>
    <row r="4311">
      <c r="A4311">
        <f>TEST_DATA!A4311</f>
        <v/>
      </c>
      <c r="B4311">
        <f>TEST_DATA!B4311</f>
        <v/>
      </c>
      <c r="C4311">
        <f>TEST_DATA!C4311</f>
        <v/>
      </c>
      <c r="D4311">
        <f>TEST_DATA!D4311</f>
        <v/>
      </c>
      <c r="E4311">
        <f>TEST_DATA!E4311</f>
        <v/>
      </c>
      <c r="F4311">
        <f>MIN(E4311*431100,10000)</f>
        <v/>
      </c>
      <c r="G4311">
        <f>MINIFS(CBIC_Late_Fee_Relief_Windows_3B!$O$4311:$O$100,CBIC_Late_Fee_Relief_Windows_3B!$D$4311:$D$100,"&lt;="&amp;B4311,CBIC_Late_Fee_Relief_Windows_3B!$E$4311:$E$100,"&gt;="&amp;B4311,CBIC_Late_Fee_Relief_Windows_3B!$F$4311:$F$100,"&lt;="&amp;C4311,CBIC_Late_Fee_Relief_Windows_3B!$G$4311:$G$100,"&gt;="&amp;C4311)</f>
        <v/>
      </c>
      <c r="H4311">
        <f>INDEX(CBIC_Late_Fee_Relief_Windows_3B!$I$4311:$I$100,MATCH(G4311,CBIC_Late_Fee_Relief_Windows_3B!$O$4311:$O$100,0))</f>
        <v/>
      </c>
      <c r="I4311">
        <f>MIN(F4311,H4311)</f>
        <v/>
      </c>
    </row>
    <row r="4312">
      <c r="A4312">
        <f>TEST_DATA!A4312</f>
        <v/>
      </c>
      <c r="B4312">
        <f>TEST_DATA!B4312</f>
        <v/>
      </c>
      <c r="C4312">
        <f>TEST_DATA!C4312</f>
        <v/>
      </c>
      <c r="D4312">
        <f>TEST_DATA!D4312</f>
        <v/>
      </c>
      <c r="E4312">
        <f>TEST_DATA!E4312</f>
        <v/>
      </c>
      <c r="F4312">
        <f>MIN(E4312*431200,10000)</f>
        <v/>
      </c>
      <c r="G4312">
        <f>MINIFS(CBIC_Late_Fee_Relief_Windows_3B!$O$4312:$O$100,CBIC_Late_Fee_Relief_Windows_3B!$D$4312:$D$100,"&lt;="&amp;B4312,CBIC_Late_Fee_Relief_Windows_3B!$E$4312:$E$100,"&gt;="&amp;B4312,CBIC_Late_Fee_Relief_Windows_3B!$F$4312:$F$100,"&lt;="&amp;C4312,CBIC_Late_Fee_Relief_Windows_3B!$G$4312:$G$100,"&gt;="&amp;C4312)</f>
        <v/>
      </c>
      <c r="H4312">
        <f>INDEX(CBIC_Late_Fee_Relief_Windows_3B!$I$4312:$I$100,MATCH(G4312,CBIC_Late_Fee_Relief_Windows_3B!$O$4312:$O$100,0))</f>
        <v/>
      </c>
      <c r="I4312">
        <f>MIN(F4312,H4312)</f>
        <v/>
      </c>
    </row>
    <row r="4313">
      <c r="A4313">
        <f>TEST_DATA!A4313</f>
        <v/>
      </c>
      <c r="B4313">
        <f>TEST_DATA!B4313</f>
        <v/>
      </c>
      <c r="C4313">
        <f>TEST_DATA!C4313</f>
        <v/>
      </c>
      <c r="D4313">
        <f>TEST_DATA!D4313</f>
        <v/>
      </c>
      <c r="E4313">
        <f>TEST_DATA!E4313</f>
        <v/>
      </c>
      <c r="F4313">
        <f>MIN(E4313*431300,10000)</f>
        <v/>
      </c>
      <c r="G4313">
        <f>MINIFS(CBIC_Late_Fee_Relief_Windows_3B!$O$4313:$O$100,CBIC_Late_Fee_Relief_Windows_3B!$D$4313:$D$100,"&lt;="&amp;B4313,CBIC_Late_Fee_Relief_Windows_3B!$E$4313:$E$100,"&gt;="&amp;B4313,CBIC_Late_Fee_Relief_Windows_3B!$F$4313:$F$100,"&lt;="&amp;C4313,CBIC_Late_Fee_Relief_Windows_3B!$G$4313:$G$100,"&gt;="&amp;C4313)</f>
        <v/>
      </c>
      <c r="H4313">
        <f>INDEX(CBIC_Late_Fee_Relief_Windows_3B!$I$4313:$I$100,MATCH(G4313,CBIC_Late_Fee_Relief_Windows_3B!$O$4313:$O$100,0))</f>
        <v/>
      </c>
      <c r="I4313">
        <f>MIN(F4313,H4313)</f>
        <v/>
      </c>
    </row>
    <row r="4314">
      <c r="A4314">
        <f>TEST_DATA!A4314</f>
        <v/>
      </c>
      <c r="B4314">
        <f>TEST_DATA!B4314</f>
        <v/>
      </c>
      <c r="C4314">
        <f>TEST_DATA!C4314</f>
        <v/>
      </c>
      <c r="D4314">
        <f>TEST_DATA!D4314</f>
        <v/>
      </c>
      <c r="E4314">
        <f>TEST_DATA!E4314</f>
        <v/>
      </c>
      <c r="F4314">
        <f>MIN(E4314*431400,10000)</f>
        <v/>
      </c>
      <c r="G4314">
        <f>MINIFS(CBIC_Late_Fee_Relief_Windows_3B!$O$4314:$O$100,CBIC_Late_Fee_Relief_Windows_3B!$D$4314:$D$100,"&lt;="&amp;B4314,CBIC_Late_Fee_Relief_Windows_3B!$E$4314:$E$100,"&gt;="&amp;B4314,CBIC_Late_Fee_Relief_Windows_3B!$F$4314:$F$100,"&lt;="&amp;C4314,CBIC_Late_Fee_Relief_Windows_3B!$G$4314:$G$100,"&gt;="&amp;C4314)</f>
        <v/>
      </c>
      <c r="H4314">
        <f>INDEX(CBIC_Late_Fee_Relief_Windows_3B!$I$4314:$I$100,MATCH(G4314,CBIC_Late_Fee_Relief_Windows_3B!$O$4314:$O$100,0))</f>
        <v/>
      </c>
      <c r="I4314">
        <f>MIN(F4314,H4314)</f>
        <v/>
      </c>
    </row>
    <row r="4315">
      <c r="A4315">
        <f>TEST_DATA!A4315</f>
        <v/>
      </c>
      <c r="B4315">
        <f>TEST_DATA!B4315</f>
        <v/>
      </c>
      <c r="C4315">
        <f>TEST_DATA!C4315</f>
        <v/>
      </c>
      <c r="D4315">
        <f>TEST_DATA!D4315</f>
        <v/>
      </c>
      <c r="E4315">
        <f>TEST_DATA!E4315</f>
        <v/>
      </c>
      <c r="F4315">
        <f>MIN(E4315*431500,10000)</f>
        <v/>
      </c>
      <c r="G4315">
        <f>MINIFS(CBIC_Late_Fee_Relief_Windows_3B!$O$4315:$O$100,CBIC_Late_Fee_Relief_Windows_3B!$D$4315:$D$100,"&lt;="&amp;B4315,CBIC_Late_Fee_Relief_Windows_3B!$E$4315:$E$100,"&gt;="&amp;B4315,CBIC_Late_Fee_Relief_Windows_3B!$F$4315:$F$100,"&lt;="&amp;C4315,CBIC_Late_Fee_Relief_Windows_3B!$G$4315:$G$100,"&gt;="&amp;C4315)</f>
        <v/>
      </c>
      <c r="H4315">
        <f>INDEX(CBIC_Late_Fee_Relief_Windows_3B!$I$4315:$I$100,MATCH(G4315,CBIC_Late_Fee_Relief_Windows_3B!$O$4315:$O$100,0))</f>
        <v/>
      </c>
      <c r="I4315">
        <f>MIN(F4315,H4315)</f>
        <v/>
      </c>
    </row>
    <row r="4316">
      <c r="A4316">
        <f>TEST_DATA!A4316</f>
        <v/>
      </c>
      <c r="B4316">
        <f>TEST_DATA!B4316</f>
        <v/>
      </c>
      <c r="C4316">
        <f>TEST_DATA!C4316</f>
        <v/>
      </c>
      <c r="D4316">
        <f>TEST_DATA!D4316</f>
        <v/>
      </c>
      <c r="E4316">
        <f>TEST_DATA!E4316</f>
        <v/>
      </c>
      <c r="F4316">
        <f>MIN(E4316*431600,10000)</f>
        <v/>
      </c>
      <c r="G4316">
        <f>MINIFS(CBIC_Late_Fee_Relief_Windows_3B!$O$4316:$O$100,CBIC_Late_Fee_Relief_Windows_3B!$D$4316:$D$100,"&lt;="&amp;B4316,CBIC_Late_Fee_Relief_Windows_3B!$E$4316:$E$100,"&gt;="&amp;B4316,CBIC_Late_Fee_Relief_Windows_3B!$F$4316:$F$100,"&lt;="&amp;C4316,CBIC_Late_Fee_Relief_Windows_3B!$G$4316:$G$100,"&gt;="&amp;C4316)</f>
        <v/>
      </c>
      <c r="H4316">
        <f>INDEX(CBIC_Late_Fee_Relief_Windows_3B!$I$4316:$I$100,MATCH(G4316,CBIC_Late_Fee_Relief_Windows_3B!$O$4316:$O$100,0))</f>
        <v/>
      </c>
      <c r="I4316">
        <f>MIN(F4316,H4316)</f>
        <v/>
      </c>
    </row>
    <row r="4317">
      <c r="A4317">
        <f>TEST_DATA!A4317</f>
        <v/>
      </c>
      <c r="B4317">
        <f>TEST_DATA!B4317</f>
        <v/>
      </c>
      <c r="C4317">
        <f>TEST_DATA!C4317</f>
        <v/>
      </c>
      <c r="D4317">
        <f>TEST_DATA!D4317</f>
        <v/>
      </c>
      <c r="E4317">
        <f>TEST_DATA!E4317</f>
        <v/>
      </c>
      <c r="F4317">
        <f>MIN(E4317*431700,10000)</f>
        <v/>
      </c>
      <c r="G4317">
        <f>MINIFS(CBIC_Late_Fee_Relief_Windows_3B!$O$4317:$O$100,CBIC_Late_Fee_Relief_Windows_3B!$D$4317:$D$100,"&lt;="&amp;B4317,CBIC_Late_Fee_Relief_Windows_3B!$E$4317:$E$100,"&gt;="&amp;B4317,CBIC_Late_Fee_Relief_Windows_3B!$F$4317:$F$100,"&lt;="&amp;C4317,CBIC_Late_Fee_Relief_Windows_3B!$G$4317:$G$100,"&gt;="&amp;C4317)</f>
        <v/>
      </c>
      <c r="H4317">
        <f>INDEX(CBIC_Late_Fee_Relief_Windows_3B!$I$4317:$I$100,MATCH(G4317,CBIC_Late_Fee_Relief_Windows_3B!$O$4317:$O$100,0))</f>
        <v/>
      </c>
      <c r="I4317">
        <f>MIN(F4317,H4317)</f>
        <v/>
      </c>
    </row>
    <row r="4318">
      <c r="A4318">
        <f>TEST_DATA!A4318</f>
        <v/>
      </c>
      <c r="B4318">
        <f>TEST_DATA!B4318</f>
        <v/>
      </c>
      <c r="C4318">
        <f>TEST_DATA!C4318</f>
        <v/>
      </c>
      <c r="D4318">
        <f>TEST_DATA!D4318</f>
        <v/>
      </c>
      <c r="E4318">
        <f>TEST_DATA!E4318</f>
        <v/>
      </c>
      <c r="F4318">
        <f>MIN(E4318*431800,10000)</f>
        <v/>
      </c>
      <c r="G4318">
        <f>MINIFS(CBIC_Late_Fee_Relief_Windows_3B!$O$4318:$O$100,CBIC_Late_Fee_Relief_Windows_3B!$D$4318:$D$100,"&lt;="&amp;B4318,CBIC_Late_Fee_Relief_Windows_3B!$E$4318:$E$100,"&gt;="&amp;B4318,CBIC_Late_Fee_Relief_Windows_3B!$F$4318:$F$100,"&lt;="&amp;C4318,CBIC_Late_Fee_Relief_Windows_3B!$G$4318:$G$100,"&gt;="&amp;C4318)</f>
        <v/>
      </c>
      <c r="H4318">
        <f>INDEX(CBIC_Late_Fee_Relief_Windows_3B!$I$4318:$I$100,MATCH(G4318,CBIC_Late_Fee_Relief_Windows_3B!$O$4318:$O$100,0))</f>
        <v/>
      </c>
      <c r="I4318">
        <f>MIN(F4318,H4318)</f>
        <v/>
      </c>
    </row>
    <row r="4319">
      <c r="A4319">
        <f>TEST_DATA!A4319</f>
        <v/>
      </c>
      <c r="B4319">
        <f>TEST_DATA!B4319</f>
        <v/>
      </c>
      <c r="C4319">
        <f>TEST_DATA!C4319</f>
        <v/>
      </c>
      <c r="D4319">
        <f>TEST_DATA!D4319</f>
        <v/>
      </c>
      <c r="E4319">
        <f>TEST_DATA!E4319</f>
        <v/>
      </c>
      <c r="F4319">
        <f>MIN(E4319*431900,10000)</f>
        <v/>
      </c>
      <c r="G4319">
        <f>MINIFS(CBIC_Late_Fee_Relief_Windows_3B!$O$4319:$O$100,CBIC_Late_Fee_Relief_Windows_3B!$D$4319:$D$100,"&lt;="&amp;B4319,CBIC_Late_Fee_Relief_Windows_3B!$E$4319:$E$100,"&gt;="&amp;B4319,CBIC_Late_Fee_Relief_Windows_3B!$F$4319:$F$100,"&lt;="&amp;C4319,CBIC_Late_Fee_Relief_Windows_3B!$G$4319:$G$100,"&gt;="&amp;C4319)</f>
        <v/>
      </c>
      <c r="H4319">
        <f>INDEX(CBIC_Late_Fee_Relief_Windows_3B!$I$4319:$I$100,MATCH(G4319,CBIC_Late_Fee_Relief_Windows_3B!$O$4319:$O$100,0))</f>
        <v/>
      </c>
      <c r="I4319">
        <f>MIN(F4319,H4319)</f>
        <v/>
      </c>
    </row>
    <row r="4320">
      <c r="A4320">
        <f>TEST_DATA!A4320</f>
        <v/>
      </c>
      <c r="B4320">
        <f>TEST_DATA!B4320</f>
        <v/>
      </c>
      <c r="C4320">
        <f>TEST_DATA!C4320</f>
        <v/>
      </c>
      <c r="D4320">
        <f>TEST_DATA!D4320</f>
        <v/>
      </c>
      <c r="E4320">
        <f>TEST_DATA!E4320</f>
        <v/>
      </c>
      <c r="F4320">
        <f>MIN(E4320*432000,10000)</f>
        <v/>
      </c>
      <c r="G4320">
        <f>MINIFS(CBIC_Late_Fee_Relief_Windows_3B!$O$4320:$O$100,CBIC_Late_Fee_Relief_Windows_3B!$D$4320:$D$100,"&lt;="&amp;B4320,CBIC_Late_Fee_Relief_Windows_3B!$E$4320:$E$100,"&gt;="&amp;B4320,CBIC_Late_Fee_Relief_Windows_3B!$F$4320:$F$100,"&lt;="&amp;C4320,CBIC_Late_Fee_Relief_Windows_3B!$G$4320:$G$100,"&gt;="&amp;C4320)</f>
        <v/>
      </c>
      <c r="H4320">
        <f>INDEX(CBIC_Late_Fee_Relief_Windows_3B!$I$4320:$I$100,MATCH(G4320,CBIC_Late_Fee_Relief_Windows_3B!$O$4320:$O$100,0))</f>
        <v/>
      </c>
      <c r="I4320">
        <f>MIN(F4320,H4320)</f>
        <v/>
      </c>
    </row>
    <row r="4321">
      <c r="A4321">
        <f>TEST_DATA!A4321</f>
        <v/>
      </c>
      <c r="B4321">
        <f>TEST_DATA!B4321</f>
        <v/>
      </c>
      <c r="C4321">
        <f>TEST_DATA!C4321</f>
        <v/>
      </c>
      <c r="D4321">
        <f>TEST_DATA!D4321</f>
        <v/>
      </c>
      <c r="E4321">
        <f>TEST_DATA!E4321</f>
        <v/>
      </c>
      <c r="F4321">
        <f>MIN(E4321*432100,10000)</f>
        <v/>
      </c>
      <c r="G4321">
        <f>MINIFS(CBIC_Late_Fee_Relief_Windows_3B!$O$4321:$O$100,CBIC_Late_Fee_Relief_Windows_3B!$D$4321:$D$100,"&lt;="&amp;B4321,CBIC_Late_Fee_Relief_Windows_3B!$E$4321:$E$100,"&gt;="&amp;B4321,CBIC_Late_Fee_Relief_Windows_3B!$F$4321:$F$100,"&lt;="&amp;C4321,CBIC_Late_Fee_Relief_Windows_3B!$G$4321:$G$100,"&gt;="&amp;C4321)</f>
        <v/>
      </c>
      <c r="H4321">
        <f>INDEX(CBIC_Late_Fee_Relief_Windows_3B!$I$4321:$I$100,MATCH(G4321,CBIC_Late_Fee_Relief_Windows_3B!$O$4321:$O$100,0))</f>
        <v/>
      </c>
      <c r="I4321">
        <f>MIN(F4321,H4321)</f>
        <v/>
      </c>
    </row>
    <row r="4322">
      <c r="A4322">
        <f>TEST_DATA!A4322</f>
        <v/>
      </c>
      <c r="B4322">
        <f>TEST_DATA!B4322</f>
        <v/>
      </c>
      <c r="C4322">
        <f>TEST_DATA!C4322</f>
        <v/>
      </c>
      <c r="D4322">
        <f>TEST_DATA!D4322</f>
        <v/>
      </c>
      <c r="E4322">
        <f>TEST_DATA!E4322</f>
        <v/>
      </c>
      <c r="F4322">
        <f>MIN(E4322*432200,10000)</f>
        <v/>
      </c>
      <c r="G4322">
        <f>MINIFS(CBIC_Late_Fee_Relief_Windows_3B!$O$4322:$O$100,CBIC_Late_Fee_Relief_Windows_3B!$D$4322:$D$100,"&lt;="&amp;B4322,CBIC_Late_Fee_Relief_Windows_3B!$E$4322:$E$100,"&gt;="&amp;B4322,CBIC_Late_Fee_Relief_Windows_3B!$F$4322:$F$100,"&lt;="&amp;C4322,CBIC_Late_Fee_Relief_Windows_3B!$G$4322:$G$100,"&gt;="&amp;C4322)</f>
        <v/>
      </c>
      <c r="H4322">
        <f>INDEX(CBIC_Late_Fee_Relief_Windows_3B!$I$4322:$I$100,MATCH(G4322,CBIC_Late_Fee_Relief_Windows_3B!$O$4322:$O$100,0))</f>
        <v/>
      </c>
      <c r="I4322">
        <f>MIN(F4322,H4322)</f>
        <v/>
      </c>
    </row>
    <row r="4323">
      <c r="A4323">
        <f>TEST_DATA!A4323</f>
        <v/>
      </c>
      <c r="B4323">
        <f>TEST_DATA!B4323</f>
        <v/>
      </c>
      <c r="C4323">
        <f>TEST_DATA!C4323</f>
        <v/>
      </c>
      <c r="D4323">
        <f>TEST_DATA!D4323</f>
        <v/>
      </c>
      <c r="E4323">
        <f>TEST_DATA!E4323</f>
        <v/>
      </c>
      <c r="F4323">
        <f>MIN(E4323*432300,10000)</f>
        <v/>
      </c>
      <c r="G4323">
        <f>MINIFS(CBIC_Late_Fee_Relief_Windows_3B!$O$4323:$O$100,CBIC_Late_Fee_Relief_Windows_3B!$D$4323:$D$100,"&lt;="&amp;B4323,CBIC_Late_Fee_Relief_Windows_3B!$E$4323:$E$100,"&gt;="&amp;B4323,CBIC_Late_Fee_Relief_Windows_3B!$F$4323:$F$100,"&lt;="&amp;C4323,CBIC_Late_Fee_Relief_Windows_3B!$G$4323:$G$100,"&gt;="&amp;C4323)</f>
        <v/>
      </c>
      <c r="H4323">
        <f>INDEX(CBIC_Late_Fee_Relief_Windows_3B!$I$4323:$I$100,MATCH(G4323,CBIC_Late_Fee_Relief_Windows_3B!$O$4323:$O$100,0))</f>
        <v/>
      </c>
      <c r="I4323">
        <f>MIN(F4323,H4323)</f>
        <v/>
      </c>
    </row>
    <row r="4324">
      <c r="A4324">
        <f>TEST_DATA!A4324</f>
        <v/>
      </c>
      <c r="B4324">
        <f>TEST_DATA!B4324</f>
        <v/>
      </c>
      <c r="C4324">
        <f>TEST_DATA!C4324</f>
        <v/>
      </c>
      <c r="D4324">
        <f>TEST_DATA!D4324</f>
        <v/>
      </c>
      <c r="E4324">
        <f>TEST_DATA!E4324</f>
        <v/>
      </c>
      <c r="F4324">
        <f>MIN(E4324*432400,10000)</f>
        <v/>
      </c>
      <c r="G4324">
        <f>MINIFS(CBIC_Late_Fee_Relief_Windows_3B!$O$4324:$O$100,CBIC_Late_Fee_Relief_Windows_3B!$D$4324:$D$100,"&lt;="&amp;B4324,CBIC_Late_Fee_Relief_Windows_3B!$E$4324:$E$100,"&gt;="&amp;B4324,CBIC_Late_Fee_Relief_Windows_3B!$F$4324:$F$100,"&lt;="&amp;C4324,CBIC_Late_Fee_Relief_Windows_3B!$G$4324:$G$100,"&gt;="&amp;C4324)</f>
        <v/>
      </c>
      <c r="H4324">
        <f>INDEX(CBIC_Late_Fee_Relief_Windows_3B!$I$4324:$I$100,MATCH(G4324,CBIC_Late_Fee_Relief_Windows_3B!$O$4324:$O$100,0))</f>
        <v/>
      </c>
      <c r="I4324">
        <f>MIN(F4324,H4324)</f>
        <v/>
      </c>
    </row>
    <row r="4325">
      <c r="A4325">
        <f>TEST_DATA!A4325</f>
        <v/>
      </c>
      <c r="B4325">
        <f>TEST_DATA!B4325</f>
        <v/>
      </c>
      <c r="C4325">
        <f>TEST_DATA!C4325</f>
        <v/>
      </c>
      <c r="D4325">
        <f>TEST_DATA!D4325</f>
        <v/>
      </c>
      <c r="E4325">
        <f>TEST_DATA!E4325</f>
        <v/>
      </c>
      <c r="F4325">
        <f>MIN(E4325*432500,10000)</f>
        <v/>
      </c>
      <c r="G4325">
        <f>MINIFS(CBIC_Late_Fee_Relief_Windows_3B!$O$4325:$O$100,CBIC_Late_Fee_Relief_Windows_3B!$D$4325:$D$100,"&lt;="&amp;B4325,CBIC_Late_Fee_Relief_Windows_3B!$E$4325:$E$100,"&gt;="&amp;B4325,CBIC_Late_Fee_Relief_Windows_3B!$F$4325:$F$100,"&lt;="&amp;C4325,CBIC_Late_Fee_Relief_Windows_3B!$G$4325:$G$100,"&gt;="&amp;C4325)</f>
        <v/>
      </c>
      <c r="H4325">
        <f>INDEX(CBIC_Late_Fee_Relief_Windows_3B!$I$4325:$I$100,MATCH(G4325,CBIC_Late_Fee_Relief_Windows_3B!$O$4325:$O$100,0))</f>
        <v/>
      </c>
      <c r="I4325">
        <f>MIN(F4325,H4325)</f>
        <v/>
      </c>
    </row>
    <row r="4326">
      <c r="A4326">
        <f>TEST_DATA!A4326</f>
        <v/>
      </c>
      <c r="B4326">
        <f>TEST_DATA!B4326</f>
        <v/>
      </c>
      <c r="C4326">
        <f>TEST_DATA!C4326</f>
        <v/>
      </c>
      <c r="D4326">
        <f>TEST_DATA!D4326</f>
        <v/>
      </c>
      <c r="E4326">
        <f>TEST_DATA!E4326</f>
        <v/>
      </c>
      <c r="F4326">
        <f>MIN(E4326*432600,10000)</f>
        <v/>
      </c>
      <c r="G4326">
        <f>MINIFS(CBIC_Late_Fee_Relief_Windows_3B!$O$4326:$O$100,CBIC_Late_Fee_Relief_Windows_3B!$D$4326:$D$100,"&lt;="&amp;B4326,CBIC_Late_Fee_Relief_Windows_3B!$E$4326:$E$100,"&gt;="&amp;B4326,CBIC_Late_Fee_Relief_Windows_3B!$F$4326:$F$100,"&lt;="&amp;C4326,CBIC_Late_Fee_Relief_Windows_3B!$G$4326:$G$100,"&gt;="&amp;C4326)</f>
        <v/>
      </c>
      <c r="H4326">
        <f>INDEX(CBIC_Late_Fee_Relief_Windows_3B!$I$4326:$I$100,MATCH(G4326,CBIC_Late_Fee_Relief_Windows_3B!$O$4326:$O$100,0))</f>
        <v/>
      </c>
      <c r="I4326">
        <f>MIN(F4326,H4326)</f>
        <v/>
      </c>
    </row>
    <row r="4327">
      <c r="A4327">
        <f>TEST_DATA!A4327</f>
        <v/>
      </c>
      <c r="B4327">
        <f>TEST_DATA!B4327</f>
        <v/>
      </c>
      <c r="C4327">
        <f>TEST_DATA!C4327</f>
        <v/>
      </c>
      <c r="D4327">
        <f>TEST_DATA!D4327</f>
        <v/>
      </c>
      <c r="E4327">
        <f>TEST_DATA!E4327</f>
        <v/>
      </c>
      <c r="F4327">
        <f>MIN(E4327*432700,10000)</f>
        <v/>
      </c>
      <c r="G4327">
        <f>MINIFS(CBIC_Late_Fee_Relief_Windows_3B!$O$4327:$O$100,CBIC_Late_Fee_Relief_Windows_3B!$D$4327:$D$100,"&lt;="&amp;B4327,CBIC_Late_Fee_Relief_Windows_3B!$E$4327:$E$100,"&gt;="&amp;B4327,CBIC_Late_Fee_Relief_Windows_3B!$F$4327:$F$100,"&lt;="&amp;C4327,CBIC_Late_Fee_Relief_Windows_3B!$G$4327:$G$100,"&gt;="&amp;C4327)</f>
        <v/>
      </c>
      <c r="H4327">
        <f>INDEX(CBIC_Late_Fee_Relief_Windows_3B!$I$4327:$I$100,MATCH(G4327,CBIC_Late_Fee_Relief_Windows_3B!$O$4327:$O$100,0))</f>
        <v/>
      </c>
      <c r="I4327">
        <f>MIN(F4327,H4327)</f>
        <v/>
      </c>
    </row>
    <row r="4328">
      <c r="A4328">
        <f>TEST_DATA!A4328</f>
        <v/>
      </c>
      <c r="B4328">
        <f>TEST_DATA!B4328</f>
        <v/>
      </c>
      <c r="C4328">
        <f>TEST_DATA!C4328</f>
        <v/>
      </c>
      <c r="D4328">
        <f>TEST_DATA!D4328</f>
        <v/>
      </c>
      <c r="E4328">
        <f>TEST_DATA!E4328</f>
        <v/>
      </c>
      <c r="F4328">
        <f>MIN(E4328*432800,10000)</f>
        <v/>
      </c>
      <c r="G4328">
        <f>MINIFS(CBIC_Late_Fee_Relief_Windows_3B!$O$4328:$O$100,CBIC_Late_Fee_Relief_Windows_3B!$D$4328:$D$100,"&lt;="&amp;B4328,CBIC_Late_Fee_Relief_Windows_3B!$E$4328:$E$100,"&gt;="&amp;B4328,CBIC_Late_Fee_Relief_Windows_3B!$F$4328:$F$100,"&lt;="&amp;C4328,CBIC_Late_Fee_Relief_Windows_3B!$G$4328:$G$100,"&gt;="&amp;C4328)</f>
        <v/>
      </c>
      <c r="H4328">
        <f>INDEX(CBIC_Late_Fee_Relief_Windows_3B!$I$4328:$I$100,MATCH(G4328,CBIC_Late_Fee_Relief_Windows_3B!$O$4328:$O$100,0))</f>
        <v/>
      </c>
      <c r="I4328">
        <f>MIN(F4328,H4328)</f>
        <v/>
      </c>
    </row>
    <row r="4329">
      <c r="A4329">
        <f>TEST_DATA!A4329</f>
        <v/>
      </c>
      <c r="B4329">
        <f>TEST_DATA!B4329</f>
        <v/>
      </c>
      <c r="C4329">
        <f>TEST_DATA!C4329</f>
        <v/>
      </c>
      <c r="D4329">
        <f>TEST_DATA!D4329</f>
        <v/>
      </c>
      <c r="E4329">
        <f>TEST_DATA!E4329</f>
        <v/>
      </c>
      <c r="F4329">
        <f>MIN(E4329*432900,10000)</f>
        <v/>
      </c>
      <c r="G4329">
        <f>MINIFS(CBIC_Late_Fee_Relief_Windows_3B!$O$4329:$O$100,CBIC_Late_Fee_Relief_Windows_3B!$D$4329:$D$100,"&lt;="&amp;B4329,CBIC_Late_Fee_Relief_Windows_3B!$E$4329:$E$100,"&gt;="&amp;B4329,CBIC_Late_Fee_Relief_Windows_3B!$F$4329:$F$100,"&lt;="&amp;C4329,CBIC_Late_Fee_Relief_Windows_3B!$G$4329:$G$100,"&gt;="&amp;C4329)</f>
        <v/>
      </c>
      <c r="H4329">
        <f>INDEX(CBIC_Late_Fee_Relief_Windows_3B!$I$4329:$I$100,MATCH(G4329,CBIC_Late_Fee_Relief_Windows_3B!$O$4329:$O$100,0))</f>
        <v/>
      </c>
      <c r="I4329">
        <f>MIN(F4329,H4329)</f>
        <v/>
      </c>
    </row>
    <row r="4330">
      <c r="A4330">
        <f>TEST_DATA!A4330</f>
        <v/>
      </c>
      <c r="B4330">
        <f>TEST_DATA!B4330</f>
        <v/>
      </c>
      <c r="C4330">
        <f>TEST_DATA!C4330</f>
        <v/>
      </c>
      <c r="D4330">
        <f>TEST_DATA!D4330</f>
        <v/>
      </c>
      <c r="E4330">
        <f>TEST_DATA!E4330</f>
        <v/>
      </c>
      <c r="F4330">
        <f>MIN(E4330*433000,10000)</f>
        <v/>
      </c>
      <c r="G4330">
        <f>MINIFS(CBIC_Late_Fee_Relief_Windows_3B!$O$4330:$O$100,CBIC_Late_Fee_Relief_Windows_3B!$D$4330:$D$100,"&lt;="&amp;B4330,CBIC_Late_Fee_Relief_Windows_3B!$E$4330:$E$100,"&gt;="&amp;B4330,CBIC_Late_Fee_Relief_Windows_3B!$F$4330:$F$100,"&lt;="&amp;C4330,CBIC_Late_Fee_Relief_Windows_3B!$G$4330:$G$100,"&gt;="&amp;C4330)</f>
        <v/>
      </c>
      <c r="H4330">
        <f>INDEX(CBIC_Late_Fee_Relief_Windows_3B!$I$4330:$I$100,MATCH(G4330,CBIC_Late_Fee_Relief_Windows_3B!$O$4330:$O$100,0))</f>
        <v/>
      </c>
      <c r="I4330">
        <f>MIN(F4330,H4330)</f>
        <v/>
      </c>
    </row>
    <row r="4331">
      <c r="A4331">
        <f>TEST_DATA!A4331</f>
        <v/>
      </c>
      <c r="B4331">
        <f>TEST_DATA!B4331</f>
        <v/>
      </c>
      <c r="C4331">
        <f>TEST_DATA!C4331</f>
        <v/>
      </c>
      <c r="D4331">
        <f>TEST_DATA!D4331</f>
        <v/>
      </c>
      <c r="E4331">
        <f>TEST_DATA!E4331</f>
        <v/>
      </c>
      <c r="F4331">
        <f>MIN(E4331*433100,10000)</f>
        <v/>
      </c>
      <c r="G4331">
        <f>MINIFS(CBIC_Late_Fee_Relief_Windows_3B!$O$4331:$O$100,CBIC_Late_Fee_Relief_Windows_3B!$D$4331:$D$100,"&lt;="&amp;B4331,CBIC_Late_Fee_Relief_Windows_3B!$E$4331:$E$100,"&gt;="&amp;B4331,CBIC_Late_Fee_Relief_Windows_3B!$F$4331:$F$100,"&lt;="&amp;C4331,CBIC_Late_Fee_Relief_Windows_3B!$G$4331:$G$100,"&gt;="&amp;C4331)</f>
        <v/>
      </c>
      <c r="H4331">
        <f>INDEX(CBIC_Late_Fee_Relief_Windows_3B!$I$4331:$I$100,MATCH(G4331,CBIC_Late_Fee_Relief_Windows_3B!$O$4331:$O$100,0))</f>
        <v/>
      </c>
      <c r="I4331">
        <f>MIN(F4331,H4331)</f>
        <v/>
      </c>
    </row>
    <row r="4332">
      <c r="A4332">
        <f>TEST_DATA!A4332</f>
        <v/>
      </c>
      <c r="B4332">
        <f>TEST_DATA!B4332</f>
        <v/>
      </c>
      <c r="C4332">
        <f>TEST_DATA!C4332</f>
        <v/>
      </c>
      <c r="D4332">
        <f>TEST_DATA!D4332</f>
        <v/>
      </c>
      <c r="E4332">
        <f>TEST_DATA!E4332</f>
        <v/>
      </c>
      <c r="F4332">
        <f>MIN(E4332*433200,10000)</f>
        <v/>
      </c>
      <c r="G4332">
        <f>MINIFS(CBIC_Late_Fee_Relief_Windows_3B!$O$4332:$O$100,CBIC_Late_Fee_Relief_Windows_3B!$D$4332:$D$100,"&lt;="&amp;B4332,CBIC_Late_Fee_Relief_Windows_3B!$E$4332:$E$100,"&gt;="&amp;B4332,CBIC_Late_Fee_Relief_Windows_3B!$F$4332:$F$100,"&lt;="&amp;C4332,CBIC_Late_Fee_Relief_Windows_3B!$G$4332:$G$100,"&gt;="&amp;C4332)</f>
        <v/>
      </c>
      <c r="H4332">
        <f>INDEX(CBIC_Late_Fee_Relief_Windows_3B!$I$4332:$I$100,MATCH(G4332,CBIC_Late_Fee_Relief_Windows_3B!$O$4332:$O$100,0))</f>
        <v/>
      </c>
      <c r="I4332">
        <f>MIN(F4332,H4332)</f>
        <v/>
      </c>
    </row>
    <row r="4333">
      <c r="A4333">
        <f>TEST_DATA!A4333</f>
        <v/>
      </c>
      <c r="B4333">
        <f>TEST_DATA!B4333</f>
        <v/>
      </c>
      <c r="C4333">
        <f>TEST_DATA!C4333</f>
        <v/>
      </c>
      <c r="D4333">
        <f>TEST_DATA!D4333</f>
        <v/>
      </c>
      <c r="E4333">
        <f>TEST_DATA!E4333</f>
        <v/>
      </c>
      <c r="F4333">
        <f>MIN(E4333*433300,10000)</f>
        <v/>
      </c>
      <c r="G4333">
        <f>MINIFS(CBIC_Late_Fee_Relief_Windows_3B!$O$4333:$O$100,CBIC_Late_Fee_Relief_Windows_3B!$D$4333:$D$100,"&lt;="&amp;B4333,CBIC_Late_Fee_Relief_Windows_3B!$E$4333:$E$100,"&gt;="&amp;B4333,CBIC_Late_Fee_Relief_Windows_3B!$F$4333:$F$100,"&lt;="&amp;C4333,CBIC_Late_Fee_Relief_Windows_3B!$G$4333:$G$100,"&gt;="&amp;C4333)</f>
        <v/>
      </c>
      <c r="H4333">
        <f>INDEX(CBIC_Late_Fee_Relief_Windows_3B!$I$4333:$I$100,MATCH(G4333,CBIC_Late_Fee_Relief_Windows_3B!$O$4333:$O$100,0))</f>
        <v/>
      </c>
      <c r="I4333">
        <f>MIN(F4333,H4333)</f>
        <v/>
      </c>
    </row>
    <row r="4334">
      <c r="A4334">
        <f>TEST_DATA!A4334</f>
        <v/>
      </c>
      <c r="B4334">
        <f>TEST_DATA!B4334</f>
        <v/>
      </c>
      <c r="C4334">
        <f>TEST_DATA!C4334</f>
        <v/>
      </c>
      <c r="D4334">
        <f>TEST_DATA!D4334</f>
        <v/>
      </c>
      <c r="E4334">
        <f>TEST_DATA!E4334</f>
        <v/>
      </c>
      <c r="F4334">
        <f>MIN(E4334*433400,10000)</f>
        <v/>
      </c>
      <c r="G4334">
        <f>MINIFS(CBIC_Late_Fee_Relief_Windows_3B!$O$4334:$O$100,CBIC_Late_Fee_Relief_Windows_3B!$D$4334:$D$100,"&lt;="&amp;B4334,CBIC_Late_Fee_Relief_Windows_3B!$E$4334:$E$100,"&gt;="&amp;B4334,CBIC_Late_Fee_Relief_Windows_3B!$F$4334:$F$100,"&lt;="&amp;C4334,CBIC_Late_Fee_Relief_Windows_3B!$G$4334:$G$100,"&gt;="&amp;C4334)</f>
        <v/>
      </c>
      <c r="H4334">
        <f>INDEX(CBIC_Late_Fee_Relief_Windows_3B!$I$4334:$I$100,MATCH(G4334,CBIC_Late_Fee_Relief_Windows_3B!$O$4334:$O$100,0))</f>
        <v/>
      </c>
      <c r="I4334">
        <f>MIN(F4334,H4334)</f>
        <v/>
      </c>
    </row>
    <row r="4335">
      <c r="A4335">
        <f>TEST_DATA!A4335</f>
        <v/>
      </c>
      <c r="B4335">
        <f>TEST_DATA!B4335</f>
        <v/>
      </c>
      <c r="C4335">
        <f>TEST_DATA!C4335</f>
        <v/>
      </c>
      <c r="D4335">
        <f>TEST_DATA!D4335</f>
        <v/>
      </c>
      <c r="E4335">
        <f>TEST_DATA!E4335</f>
        <v/>
      </c>
      <c r="F4335">
        <f>MIN(E4335*433500,10000)</f>
        <v/>
      </c>
      <c r="G4335">
        <f>MINIFS(CBIC_Late_Fee_Relief_Windows_3B!$O$4335:$O$100,CBIC_Late_Fee_Relief_Windows_3B!$D$4335:$D$100,"&lt;="&amp;B4335,CBIC_Late_Fee_Relief_Windows_3B!$E$4335:$E$100,"&gt;="&amp;B4335,CBIC_Late_Fee_Relief_Windows_3B!$F$4335:$F$100,"&lt;="&amp;C4335,CBIC_Late_Fee_Relief_Windows_3B!$G$4335:$G$100,"&gt;="&amp;C4335)</f>
        <v/>
      </c>
      <c r="H4335">
        <f>INDEX(CBIC_Late_Fee_Relief_Windows_3B!$I$4335:$I$100,MATCH(G4335,CBIC_Late_Fee_Relief_Windows_3B!$O$4335:$O$100,0))</f>
        <v/>
      </c>
      <c r="I4335">
        <f>MIN(F4335,H4335)</f>
        <v/>
      </c>
    </row>
    <row r="4336">
      <c r="A4336">
        <f>TEST_DATA!A4336</f>
        <v/>
      </c>
      <c r="B4336">
        <f>TEST_DATA!B4336</f>
        <v/>
      </c>
      <c r="C4336">
        <f>TEST_DATA!C4336</f>
        <v/>
      </c>
      <c r="D4336">
        <f>TEST_DATA!D4336</f>
        <v/>
      </c>
      <c r="E4336">
        <f>TEST_DATA!E4336</f>
        <v/>
      </c>
      <c r="F4336">
        <f>MIN(E4336*433600,10000)</f>
        <v/>
      </c>
      <c r="G4336">
        <f>MINIFS(CBIC_Late_Fee_Relief_Windows_3B!$O$4336:$O$100,CBIC_Late_Fee_Relief_Windows_3B!$D$4336:$D$100,"&lt;="&amp;B4336,CBIC_Late_Fee_Relief_Windows_3B!$E$4336:$E$100,"&gt;="&amp;B4336,CBIC_Late_Fee_Relief_Windows_3B!$F$4336:$F$100,"&lt;="&amp;C4336,CBIC_Late_Fee_Relief_Windows_3B!$G$4336:$G$100,"&gt;="&amp;C4336)</f>
        <v/>
      </c>
      <c r="H4336">
        <f>INDEX(CBIC_Late_Fee_Relief_Windows_3B!$I$4336:$I$100,MATCH(G4336,CBIC_Late_Fee_Relief_Windows_3B!$O$4336:$O$100,0))</f>
        <v/>
      </c>
      <c r="I4336">
        <f>MIN(F4336,H4336)</f>
        <v/>
      </c>
    </row>
    <row r="4337">
      <c r="A4337">
        <f>TEST_DATA!A4337</f>
        <v/>
      </c>
      <c r="B4337">
        <f>TEST_DATA!B4337</f>
        <v/>
      </c>
      <c r="C4337">
        <f>TEST_DATA!C4337</f>
        <v/>
      </c>
      <c r="D4337">
        <f>TEST_DATA!D4337</f>
        <v/>
      </c>
      <c r="E4337">
        <f>TEST_DATA!E4337</f>
        <v/>
      </c>
      <c r="F4337">
        <f>MIN(E4337*433700,10000)</f>
        <v/>
      </c>
      <c r="G4337">
        <f>MINIFS(CBIC_Late_Fee_Relief_Windows_3B!$O$4337:$O$100,CBIC_Late_Fee_Relief_Windows_3B!$D$4337:$D$100,"&lt;="&amp;B4337,CBIC_Late_Fee_Relief_Windows_3B!$E$4337:$E$100,"&gt;="&amp;B4337,CBIC_Late_Fee_Relief_Windows_3B!$F$4337:$F$100,"&lt;="&amp;C4337,CBIC_Late_Fee_Relief_Windows_3B!$G$4337:$G$100,"&gt;="&amp;C4337)</f>
        <v/>
      </c>
      <c r="H4337">
        <f>INDEX(CBIC_Late_Fee_Relief_Windows_3B!$I$4337:$I$100,MATCH(G4337,CBIC_Late_Fee_Relief_Windows_3B!$O$4337:$O$100,0))</f>
        <v/>
      </c>
      <c r="I4337">
        <f>MIN(F4337,H4337)</f>
        <v/>
      </c>
    </row>
    <row r="4338">
      <c r="A4338">
        <f>TEST_DATA!A4338</f>
        <v/>
      </c>
      <c r="B4338">
        <f>TEST_DATA!B4338</f>
        <v/>
      </c>
      <c r="C4338">
        <f>TEST_DATA!C4338</f>
        <v/>
      </c>
      <c r="D4338">
        <f>TEST_DATA!D4338</f>
        <v/>
      </c>
      <c r="E4338">
        <f>TEST_DATA!E4338</f>
        <v/>
      </c>
      <c r="F4338">
        <f>MIN(E4338*433800,10000)</f>
        <v/>
      </c>
      <c r="G4338">
        <f>MINIFS(CBIC_Late_Fee_Relief_Windows_3B!$O$4338:$O$100,CBIC_Late_Fee_Relief_Windows_3B!$D$4338:$D$100,"&lt;="&amp;B4338,CBIC_Late_Fee_Relief_Windows_3B!$E$4338:$E$100,"&gt;="&amp;B4338,CBIC_Late_Fee_Relief_Windows_3B!$F$4338:$F$100,"&lt;="&amp;C4338,CBIC_Late_Fee_Relief_Windows_3B!$G$4338:$G$100,"&gt;="&amp;C4338)</f>
        <v/>
      </c>
      <c r="H4338">
        <f>INDEX(CBIC_Late_Fee_Relief_Windows_3B!$I$4338:$I$100,MATCH(G4338,CBIC_Late_Fee_Relief_Windows_3B!$O$4338:$O$100,0))</f>
        <v/>
      </c>
      <c r="I4338">
        <f>MIN(F4338,H4338)</f>
        <v/>
      </c>
    </row>
    <row r="4339">
      <c r="A4339">
        <f>TEST_DATA!A4339</f>
        <v/>
      </c>
      <c r="B4339">
        <f>TEST_DATA!B4339</f>
        <v/>
      </c>
      <c r="C4339">
        <f>TEST_DATA!C4339</f>
        <v/>
      </c>
      <c r="D4339">
        <f>TEST_DATA!D4339</f>
        <v/>
      </c>
      <c r="E4339">
        <f>TEST_DATA!E4339</f>
        <v/>
      </c>
      <c r="F4339">
        <f>MIN(E4339*433900,10000)</f>
        <v/>
      </c>
      <c r="G4339">
        <f>MINIFS(CBIC_Late_Fee_Relief_Windows_3B!$O$4339:$O$100,CBIC_Late_Fee_Relief_Windows_3B!$D$4339:$D$100,"&lt;="&amp;B4339,CBIC_Late_Fee_Relief_Windows_3B!$E$4339:$E$100,"&gt;="&amp;B4339,CBIC_Late_Fee_Relief_Windows_3B!$F$4339:$F$100,"&lt;="&amp;C4339,CBIC_Late_Fee_Relief_Windows_3B!$G$4339:$G$100,"&gt;="&amp;C4339)</f>
        <v/>
      </c>
      <c r="H4339">
        <f>INDEX(CBIC_Late_Fee_Relief_Windows_3B!$I$4339:$I$100,MATCH(G4339,CBIC_Late_Fee_Relief_Windows_3B!$O$4339:$O$100,0))</f>
        <v/>
      </c>
      <c r="I4339">
        <f>MIN(F4339,H4339)</f>
        <v/>
      </c>
    </row>
    <row r="4340">
      <c r="A4340">
        <f>TEST_DATA!A4340</f>
        <v/>
      </c>
      <c r="B4340">
        <f>TEST_DATA!B4340</f>
        <v/>
      </c>
      <c r="C4340">
        <f>TEST_DATA!C4340</f>
        <v/>
      </c>
      <c r="D4340">
        <f>TEST_DATA!D4340</f>
        <v/>
      </c>
      <c r="E4340">
        <f>TEST_DATA!E4340</f>
        <v/>
      </c>
      <c r="F4340">
        <f>MIN(E4340*434000,10000)</f>
        <v/>
      </c>
      <c r="G4340">
        <f>MINIFS(CBIC_Late_Fee_Relief_Windows_3B!$O$4340:$O$100,CBIC_Late_Fee_Relief_Windows_3B!$D$4340:$D$100,"&lt;="&amp;B4340,CBIC_Late_Fee_Relief_Windows_3B!$E$4340:$E$100,"&gt;="&amp;B4340,CBIC_Late_Fee_Relief_Windows_3B!$F$4340:$F$100,"&lt;="&amp;C4340,CBIC_Late_Fee_Relief_Windows_3B!$G$4340:$G$100,"&gt;="&amp;C4340)</f>
        <v/>
      </c>
      <c r="H4340">
        <f>INDEX(CBIC_Late_Fee_Relief_Windows_3B!$I$4340:$I$100,MATCH(G4340,CBIC_Late_Fee_Relief_Windows_3B!$O$4340:$O$100,0))</f>
        <v/>
      </c>
      <c r="I4340">
        <f>MIN(F4340,H4340)</f>
        <v/>
      </c>
    </row>
    <row r="4341">
      <c r="A4341">
        <f>TEST_DATA!A4341</f>
        <v/>
      </c>
      <c r="B4341">
        <f>TEST_DATA!B4341</f>
        <v/>
      </c>
      <c r="C4341">
        <f>TEST_DATA!C4341</f>
        <v/>
      </c>
      <c r="D4341">
        <f>TEST_DATA!D4341</f>
        <v/>
      </c>
      <c r="E4341">
        <f>TEST_DATA!E4341</f>
        <v/>
      </c>
      <c r="F4341">
        <f>MIN(E4341*434100,10000)</f>
        <v/>
      </c>
      <c r="G4341">
        <f>MINIFS(CBIC_Late_Fee_Relief_Windows_3B!$O$4341:$O$100,CBIC_Late_Fee_Relief_Windows_3B!$D$4341:$D$100,"&lt;="&amp;B4341,CBIC_Late_Fee_Relief_Windows_3B!$E$4341:$E$100,"&gt;="&amp;B4341,CBIC_Late_Fee_Relief_Windows_3B!$F$4341:$F$100,"&lt;="&amp;C4341,CBIC_Late_Fee_Relief_Windows_3B!$G$4341:$G$100,"&gt;="&amp;C4341)</f>
        <v/>
      </c>
      <c r="H4341">
        <f>INDEX(CBIC_Late_Fee_Relief_Windows_3B!$I$4341:$I$100,MATCH(G4341,CBIC_Late_Fee_Relief_Windows_3B!$O$4341:$O$100,0))</f>
        <v/>
      </c>
      <c r="I4341">
        <f>MIN(F4341,H4341)</f>
        <v/>
      </c>
    </row>
    <row r="4342">
      <c r="A4342">
        <f>TEST_DATA!A4342</f>
        <v/>
      </c>
      <c r="B4342">
        <f>TEST_DATA!B4342</f>
        <v/>
      </c>
      <c r="C4342">
        <f>TEST_DATA!C4342</f>
        <v/>
      </c>
      <c r="D4342">
        <f>TEST_DATA!D4342</f>
        <v/>
      </c>
      <c r="E4342">
        <f>TEST_DATA!E4342</f>
        <v/>
      </c>
      <c r="F4342">
        <f>MIN(E4342*434200,10000)</f>
        <v/>
      </c>
      <c r="G4342">
        <f>MINIFS(CBIC_Late_Fee_Relief_Windows_3B!$O$4342:$O$100,CBIC_Late_Fee_Relief_Windows_3B!$D$4342:$D$100,"&lt;="&amp;B4342,CBIC_Late_Fee_Relief_Windows_3B!$E$4342:$E$100,"&gt;="&amp;B4342,CBIC_Late_Fee_Relief_Windows_3B!$F$4342:$F$100,"&lt;="&amp;C4342,CBIC_Late_Fee_Relief_Windows_3B!$G$4342:$G$100,"&gt;="&amp;C4342)</f>
        <v/>
      </c>
      <c r="H4342">
        <f>INDEX(CBIC_Late_Fee_Relief_Windows_3B!$I$4342:$I$100,MATCH(G4342,CBIC_Late_Fee_Relief_Windows_3B!$O$4342:$O$100,0))</f>
        <v/>
      </c>
      <c r="I4342">
        <f>MIN(F4342,H4342)</f>
        <v/>
      </c>
    </row>
    <row r="4343">
      <c r="A4343">
        <f>TEST_DATA!A4343</f>
        <v/>
      </c>
      <c r="B4343">
        <f>TEST_DATA!B4343</f>
        <v/>
      </c>
      <c r="C4343">
        <f>TEST_DATA!C4343</f>
        <v/>
      </c>
      <c r="D4343">
        <f>TEST_DATA!D4343</f>
        <v/>
      </c>
      <c r="E4343">
        <f>TEST_DATA!E4343</f>
        <v/>
      </c>
      <c r="F4343">
        <f>MIN(E4343*434300,10000)</f>
        <v/>
      </c>
      <c r="G4343">
        <f>MINIFS(CBIC_Late_Fee_Relief_Windows_3B!$O$4343:$O$100,CBIC_Late_Fee_Relief_Windows_3B!$D$4343:$D$100,"&lt;="&amp;B4343,CBIC_Late_Fee_Relief_Windows_3B!$E$4343:$E$100,"&gt;="&amp;B4343,CBIC_Late_Fee_Relief_Windows_3B!$F$4343:$F$100,"&lt;="&amp;C4343,CBIC_Late_Fee_Relief_Windows_3B!$G$4343:$G$100,"&gt;="&amp;C4343)</f>
        <v/>
      </c>
      <c r="H4343">
        <f>INDEX(CBIC_Late_Fee_Relief_Windows_3B!$I$4343:$I$100,MATCH(G4343,CBIC_Late_Fee_Relief_Windows_3B!$O$4343:$O$100,0))</f>
        <v/>
      </c>
      <c r="I4343">
        <f>MIN(F4343,H4343)</f>
        <v/>
      </c>
    </row>
    <row r="4344">
      <c r="A4344">
        <f>TEST_DATA!A4344</f>
        <v/>
      </c>
      <c r="B4344">
        <f>TEST_DATA!B4344</f>
        <v/>
      </c>
      <c r="C4344">
        <f>TEST_DATA!C4344</f>
        <v/>
      </c>
      <c r="D4344">
        <f>TEST_DATA!D4344</f>
        <v/>
      </c>
      <c r="E4344">
        <f>TEST_DATA!E4344</f>
        <v/>
      </c>
      <c r="F4344">
        <f>MIN(E4344*434400,10000)</f>
        <v/>
      </c>
      <c r="G4344">
        <f>MINIFS(CBIC_Late_Fee_Relief_Windows_3B!$O$4344:$O$100,CBIC_Late_Fee_Relief_Windows_3B!$D$4344:$D$100,"&lt;="&amp;B4344,CBIC_Late_Fee_Relief_Windows_3B!$E$4344:$E$100,"&gt;="&amp;B4344,CBIC_Late_Fee_Relief_Windows_3B!$F$4344:$F$100,"&lt;="&amp;C4344,CBIC_Late_Fee_Relief_Windows_3B!$G$4344:$G$100,"&gt;="&amp;C4344)</f>
        <v/>
      </c>
      <c r="H4344">
        <f>INDEX(CBIC_Late_Fee_Relief_Windows_3B!$I$4344:$I$100,MATCH(G4344,CBIC_Late_Fee_Relief_Windows_3B!$O$4344:$O$100,0))</f>
        <v/>
      </c>
      <c r="I4344">
        <f>MIN(F4344,H4344)</f>
        <v/>
      </c>
    </row>
    <row r="4345">
      <c r="A4345">
        <f>TEST_DATA!A4345</f>
        <v/>
      </c>
      <c r="B4345">
        <f>TEST_DATA!B4345</f>
        <v/>
      </c>
      <c r="C4345">
        <f>TEST_DATA!C4345</f>
        <v/>
      </c>
      <c r="D4345">
        <f>TEST_DATA!D4345</f>
        <v/>
      </c>
      <c r="E4345">
        <f>TEST_DATA!E4345</f>
        <v/>
      </c>
      <c r="F4345">
        <f>MIN(E4345*434500,10000)</f>
        <v/>
      </c>
      <c r="G4345">
        <f>MINIFS(CBIC_Late_Fee_Relief_Windows_3B!$O$4345:$O$100,CBIC_Late_Fee_Relief_Windows_3B!$D$4345:$D$100,"&lt;="&amp;B4345,CBIC_Late_Fee_Relief_Windows_3B!$E$4345:$E$100,"&gt;="&amp;B4345,CBIC_Late_Fee_Relief_Windows_3B!$F$4345:$F$100,"&lt;="&amp;C4345,CBIC_Late_Fee_Relief_Windows_3B!$G$4345:$G$100,"&gt;="&amp;C4345)</f>
        <v/>
      </c>
      <c r="H4345">
        <f>INDEX(CBIC_Late_Fee_Relief_Windows_3B!$I$4345:$I$100,MATCH(G4345,CBIC_Late_Fee_Relief_Windows_3B!$O$4345:$O$100,0))</f>
        <v/>
      </c>
      <c r="I4345">
        <f>MIN(F4345,H4345)</f>
        <v/>
      </c>
    </row>
    <row r="4346">
      <c r="A4346">
        <f>TEST_DATA!A4346</f>
        <v/>
      </c>
      <c r="B4346">
        <f>TEST_DATA!B4346</f>
        <v/>
      </c>
      <c r="C4346">
        <f>TEST_DATA!C4346</f>
        <v/>
      </c>
      <c r="D4346">
        <f>TEST_DATA!D4346</f>
        <v/>
      </c>
      <c r="E4346">
        <f>TEST_DATA!E4346</f>
        <v/>
      </c>
      <c r="F4346">
        <f>MIN(E4346*434600,10000)</f>
        <v/>
      </c>
      <c r="G4346">
        <f>MINIFS(CBIC_Late_Fee_Relief_Windows_3B!$O$4346:$O$100,CBIC_Late_Fee_Relief_Windows_3B!$D$4346:$D$100,"&lt;="&amp;B4346,CBIC_Late_Fee_Relief_Windows_3B!$E$4346:$E$100,"&gt;="&amp;B4346,CBIC_Late_Fee_Relief_Windows_3B!$F$4346:$F$100,"&lt;="&amp;C4346,CBIC_Late_Fee_Relief_Windows_3B!$G$4346:$G$100,"&gt;="&amp;C4346)</f>
        <v/>
      </c>
      <c r="H4346">
        <f>INDEX(CBIC_Late_Fee_Relief_Windows_3B!$I$4346:$I$100,MATCH(G4346,CBIC_Late_Fee_Relief_Windows_3B!$O$4346:$O$100,0))</f>
        <v/>
      </c>
      <c r="I4346">
        <f>MIN(F4346,H4346)</f>
        <v/>
      </c>
    </row>
    <row r="4347">
      <c r="A4347">
        <f>TEST_DATA!A4347</f>
        <v/>
      </c>
      <c r="B4347">
        <f>TEST_DATA!B4347</f>
        <v/>
      </c>
      <c r="C4347">
        <f>TEST_DATA!C4347</f>
        <v/>
      </c>
      <c r="D4347">
        <f>TEST_DATA!D4347</f>
        <v/>
      </c>
      <c r="E4347">
        <f>TEST_DATA!E4347</f>
        <v/>
      </c>
      <c r="F4347">
        <f>MIN(E4347*434700,10000)</f>
        <v/>
      </c>
      <c r="G4347">
        <f>MINIFS(CBIC_Late_Fee_Relief_Windows_3B!$O$4347:$O$100,CBIC_Late_Fee_Relief_Windows_3B!$D$4347:$D$100,"&lt;="&amp;B4347,CBIC_Late_Fee_Relief_Windows_3B!$E$4347:$E$100,"&gt;="&amp;B4347,CBIC_Late_Fee_Relief_Windows_3B!$F$4347:$F$100,"&lt;="&amp;C4347,CBIC_Late_Fee_Relief_Windows_3B!$G$4347:$G$100,"&gt;="&amp;C4347)</f>
        <v/>
      </c>
      <c r="H4347">
        <f>INDEX(CBIC_Late_Fee_Relief_Windows_3B!$I$4347:$I$100,MATCH(G4347,CBIC_Late_Fee_Relief_Windows_3B!$O$4347:$O$100,0))</f>
        <v/>
      </c>
      <c r="I4347">
        <f>MIN(F4347,H4347)</f>
        <v/>
      </c>
    </row>
    <row r="4348">
      <c r="A4348">
        <f>TEST_DATA!A4348</f>
        <v/>
      </c>
      <c r="B4348">
        <f>TEST_DATA!B4348</f>
        <v/>
      </c>
      <c r="C4348">
        <f>TEST_DATA!C4348</f>
        <v/>
      </c>
      <c r="D4348">
        <f>TEST_DATA!D4348</f>
        <v/>
      </c>
      <c r="E4348">
        <f>TEST_DATA!E4348</f>
        <v/>
      </c>
      <c r="F4348">
        <f>MIN(E4348*434800,10000)</f>
        <v/>
      </c>
      <c r="G4348">
        <f>MINIFS(CBIC_Late_Fee_Relief_Windows_3B!$O$4348:$O$100,CBIC_Late_Fee_Relief_Windows_3B!$D$4348:$D$100,"&lt;="&amp;B4348,CBIC_Late_Fee_Relief_Windows_3B!$E$4348:$E$100,"&gt;="&amp;B4348,CBIC_Late_Fee_Relief_Windows_3B!$F$4348:$F$100,"&lt;="&amp;C4348,CBIC_Late_Fee_Relief_Windows_3B!$G$4348:$G$100,"&gt;="&amp;C4348)</f>
        <v/>
      </c>
      <c r="H4348">
        <f>INDEX(CBIC_Late_Fee_Relief_Windows_3B!$I$4348:$I$100,MATCH(G4348,CBIC_Late_Fee_Relief_Windows_3B!$O$4348:$O$100,0))</f>
        <v/>
      </c>
      <c r="I4348">
        <f>MIN(F4348,H4348)</f>
        <v/>
      </c>
    </row>
    <row r="4349">
      <c r="A4349">
        <f>TEST_DATA!A4349</f>
        <v/>
      </c>
      <c r="B4349">
        <f>TEST_DATA!B4349</f>
        <v/>
      </c>
      <c r="C4349">
        <f>TEST_DATA!C4349</f>
        <v/>
      </c>
      <c r="D4349">
        <f>TEST_DATA!D4349</f>
        <v/>
      </c>
      <c r="E4349">
        <f>TEST_DATA!E4349</f>
        <v/>
      </c>
      <c r="F4349">
        <f>MIN(E4349*434900,10000)</f>
        <v/>
      </c>
      <c r="G4349">
        <f>MINIFS(CBIC_Late_Fee_Relief_Windows_3B!$O$4349:$O$100,CBIC_Late_Fee_Relief_Windows_3B!$D$4349:$D$100,"&lt;="&amp;B4349,CBIC_Late_Fee_Relief_Windows_3B!$E$4349:$E$100,"&gt;="&amp;B4349,CBIC_Late_Fee_Relief_Windows_3B!$F$4349:$F$100,"&lt;="&amp;C4349,CBIC_Late_Fee_Relief_Windows_3B!$G$4349:$G$100,"&gt;="&amp;C4349)</f>
        <v/>
      </c>
      <c r="H4349">
        <f>INDEX(CBIC_Late_Fee_Relief_Windows_3B!$I$4349:$I$100,MATCH(G4349,CBIC_Late_Fee_Relief_Windows_3B!$O$4349:$O$100,0))</f>
        <v/>
      </c>
      <c r="I4349">
        <f>MIN(F4349,H4349)</f>
        <v/>
      </c>
    </row>
    <row r="4350">
      <c r="A4350">
        <f>TEST_DATA!A4350</f>
        <v/>
      </c>
      <c r="B4350">
        <f>TEST_DATA!B4350</f>
        <v/>
      </c>
      <c r="C4350">
        <f>TEST_DATA!C4350</f>
        <v/>
      </c>
      <c r="D4350">
        <f>TEST_DATA!D4350</f>
        <v/>
      </c>
      <c r="E4350">
        <f>TEST_DATA!E4350</f>
        <v/>
      </c>
      <c r="F4350">
        <f>MIN(E4350*435000,10000)</f>
        <v/>
      </c>
      <c r="G4350">
        <f>MINIFS(CBIC_Late_Fee_Relief_Windows_3B!$O$4350:$O$100,CBIC_Late_Fee_Relief_Windows_3B!$D$4350:$D$100,"&lt;="&amp;B4350,CBIC_Late_Fee_Relief_Windows_3B!$E$4350:$E$100,"&gt;="&amp;B4350,CBIC_Late_Fee_Relief_Windows_3B!$F$4350:$F$100,"&lt;="&amp;C4350,CBIC_Late_Fee_Relief_Windows_3B!$G$4350:$G$100,"&gt;="&amp;C4350)</f>
        <v/>
      </c>
      <c r="H4350">
        <f>INDEX(CBIC_Late_Fee_Relief_Windows_3B!$I$4350:$I$100,MATCH(G4350,CBIC_Late_Fee_Relief_Windows_3B!$O$4350:$O$100,0))</f>
        <v/>
      </c>
      <c r="I4350">
        <f>MIN(F4350,H4350)</f>
        <v/>
      </c>
    </row>
    <row r="4351">
      <c r="A4351">
        <f>TEST_DATA!A4351</f>
        <v/>
      </c>
      <c r="B4351">
        <f>TEST_DATA!B4351</f>
        <v/>
      </c>
      <c r="C4351">
        <f>TEST_DATA!C4351</f>
        <v/>
      </c>
      <c r="D4351">
        <f>TEST_DATA!D4351</f>
        <v/>
      </c>
      <c r="E4351">
        <f>TEST_DATA!E4351</f>
        <v/>
      </c>
      <c r="F4351">
        <f>MIN(E4351*435100,10000)</f>
        <v/>
      </c>
      <c r="G4351">
        <f>MINIFS(CBIC_Late_Fee_Relief_Windows_3B!$O$4351:$O$100,CBIC_Late_Fee_Relief_Windows_3B!$D$4351:$D$100,"&lt;="&amp;B4351,CBIC_Late_Fee_Relief_Windows_3B!$E$4351:$E$100,"&gt;="&amp;B4351,CBIC_Late_Fee_Relief_Windows_3B!$F$4351:$F$100,"&lt;="&amp;C4351,CBIC_Late_Fee_Relief_Windows_3B!$G$4351:$G$100,"&gt;="&amp;C4351)</f>
        <v/>
      </c>
      <c r="H4351">
        <f>INDEX(CBIC_Late_Fee_Relief_Windows_3B!$I$4351:$I$100,MATCH(G4351,CBIC_Late_Fee_Relief_Windows_3B!$O$4351:$O$100,0))</f>
        <v/>
      </c>
      <c r="I4351">
        <f>MIN(F4351,H4351)</f>
        <v/>
      </c>
    </row>
    <row r="4352">
      <c r="A4352">
        <f>TEST_DATA!A4352</f>
        <v/>
      </c>
      <c r="B4352">
        <f>TEST_DATA!B4352</f>
        <v/>
      </c>
      <c r="C4352">
        <f>TEST_DATA!C4352</f>
        <v/>
      </c>
      <c r="D4352">
        <f>TEST_DATA!D4352</f>
        <v/>
      </c>
      <c r="E4352">
        <f>TEST_DATA!E4352</f>
        <v/>
      </c>
      <c r="F4352">
        <f>MIN(E4352*435200,10000)</f>
        <v/>
      </c>
      <c r="G4352">
        <f>MINIFS(CBIC_Late_Fee_Relief_Windows_3B!$O$4352:$O$100,CBIC_Late_Fee_Relief_Windows_3B!$D$4352:$D$100,"&lt;="&amp;B4352,CBIC_Late_Fee_Relief_Windows_3B!$E$4352:$E$100,"&gt;="&amp;B4352,CBIC_Late_Fee_Relief_Windows_3B!$F$4352:$F$100,"&lt;="&amp;C4352,CBIC_Late_Fee_Relief_Windows_3B!$G$4352:$G$100,"&gt;="&amp;C4352)</f>
        <v/>
      </c>
      <c r="H4352">
        <f>INDEX(CBIC_Late_Fee_Relief_Windows_3B!$I$4352:$I$100,MATCH(G4352,CBIC_Late_Fee_Relief_Windows_3B!$O$4352:$O$100,0))</f>
        <v/>
      </c>
      <c r="I4352">
        <f>MIN(F4352,H4352)</f>
        <v/>
      </c>
    </row>
    <row r="4353">
      <c r="A4353">
        <f>TEST_DATA!A4353</f>
        <v/>
      </c>
      <c r="B4353">
        <f>TEST_DATA!B4353</f>
        <v/>
      </c>
      <c r="C4353">
        <f>TEST_DATA!C4353</f>
        <v/>
      </c>
      <c r="D4353">
        <f>TEST_DATA!D4353</f>
        <v/>
      </c>
      <c r="E4353">
        <f>TEST_DATA!E4353</f>
        <v/>
      </c>
      <c r="F4353">
        <f>MIN(E4353*435300,10000)</f>
        <v/>
      </c>
      <c r="G4353">
        <f>MINIFS(CBIC_Late_Fee_Relief_Windows_3B!$O$4353:$O$100,CBIC_Late_Fee_Relief_Windows_3B!$D$4353:$D$100,"&lt;="&amp;B4353,CBIC_Late_Fee_Relief_Windows_3B!$E$4353:$E$100,"&gt;="&amp;B4353,CBIC_Late_Fee_Relief_Windows_3B!$F$4353:$F$100,"&lt;="&amp;C4353,CBIC_Late_Fee_Relief_Windows_3B!$G$4353:$G$100,"&gt;="&amp;C4353)</f>
        <v/>
      </c>
      <c r="H4353">
        <f>INDEX(CBIC_Late_Fee_Relief_Windows_3B!$I$4353:$I$100,MATCH(G4353,CBIC_Late_Fee_Relief_Windows_3B!$O$4353:$O$100,0))</f>
        <v/>
      </c>
      <c r="I4353">
        <f>MIN(F4353,H4353)</f>
        <v/>
      </c>
    </row>
    <row r="4354">
      <c r="A4354">
        <f>TEST_DATA!A4354</f>
        <v/>
      </c>
      <c r="B4354">
        <f>TEST_DATA!B4354</f>
        <v/>
      </c>
      <c r="C4354">
        <f>TEST_DATA!C4354</f>
        <v/>
      </c>
      <c r="D4354">
        <f>TEST_DATA!D4354</f>
        <v/>
      </c>
      <c r="E4354">
        <f>TEST_DATA!E4354</f>
        <v/>
      </c>
      <c r="F4354">
        <f>MIN(E4354*435400,10000)</f>
        <v/>
      </c>
      <c r="G4354">
        <f>MINIFS(CBIC_Late_Fee_Relief_Windows_3B!$O$4354:$O$100,CBIC_Late_Fee_Relief_Windows_3B!$D$4354:$D$100,"&lt;="&amp;B4354,CBIC_Late_Fee_Relief_Windows_3B!$E$4354:$E$100,"&gt;="&amp;B4354,CBIC_Late_Fee_Relief_Windows_3B!$F$4354:$F$100,"&lt;="&amp;C4354,CBIC_Late_Fee_Relief_Windows_3B!$G$4354:$G$100,"&gt;="&amp;C4354)</f>
        <v/>
      </c>
      <c r="H4354">
        <f>INDEX(CBIC_Late_Fee_Relief_Windows_3B!$I$4354:$I$100,MATCH(G4354,CBIC_Late_Fee_Relief_Windows_3B!$O$4354:$O$100,0))</f>
        <v/>
      </c>
      <c r="I4354">
        <f>MIN(F4354,H4354)</f>
        <v/>
      </c>
    </row>
    <row r="4355">
      <c r="A4355">
        <f>TEST_DATA!A4355</f>
        <v/>
      </c>
      <c r="B4355">
        <f>TEST_DATA!B4355</f>
        <v/>
      </c>
      <c r="C4355">
        <f>TEST_DATA!C4355</f>
        <v/>
      </c>
      <c r="D4355">
        <f>TEST_DATA!D4355</f>
        <v/>
      </c>
      <c r="E4355">
        <f>TEST_DATA!E4355</f>
        <v/>
      </c>
      <c r="F4355">
        <f>MIN(E4355*435500,10000)</f>
        <v/>
      </c>
      <c r="G4355">
        <f>MINIFS(CBIC_Late_Fee_Relief_Windows_3B!$O$4355:$O$100,CBIC_Late_Fee_Relief_Windows_3B!$D$4355:$D$100,"&lt;="&amp;B4355,CBIC_Late_Fee_Relief_Windows_3B!$E$4355:$E$100,"&gt;="&amp;B4355,CBIC_Late_Fee_Relief_Windows_3B!$F$4355:$F$100,"&lt;="&amp;C4355,CBIC_Late_Fee_Relief_Windows_3B!$G$4355:$G$100,"&gt;="&amp;C4355)</f>
        <v/>
      </c>
      <c r="H4355">
        <f>INDEX(CBIC_Late_Fee_Relief_Windows_3B!$I$4355:$I$100,MATCH(G4355,CBIC_Late_Fee_Relief_Windows_3B!$O$4355:$O$100,0))</f>
        <v/>
      </c>
      <c r="I4355">
        <f>MIN(F4355,H4355)</f>
        <v/>
      </c>
    </row>
    <row r="4356">
      <c r="A4356">
        <f>TEST_DATA!A4356</f>
        <v/>
      </c>
      <c r="B4356">
        <f>TEST_DATA!B4356</f>
        <v/>
      </c>
      <c r="C4356">
        <f>TEST_DATA!C4356</f>
        <v/>
      </c>
      <c r="D4356">
        <f>TEST_DATA!D4356</f>
        <v/>
      </c>
      <c r="E4356">
        <f>TEST_DATA!E4356</f>
        <v/>
      </c>
      <c r="F4356">
        <f>MIN(E4356*435600,10000)</f>
        <v/>
      </c>
      <c r="G4356">
        <f>MINIFS(CBIC_Late_Fee_Relief_Windows_3B!$O$4356:$O$100,CBIC_Late_Fee_Relief_Windows_3B!$D$4356:$D$100,"&lt;="&amp;B4356,CBIC_Late_Fee_Relief_Windows_3B!$E$4356:$E$100,"&gt;="&amp;B4356,CBIC_Late_Fee_Relief_Windows_3B!$F$4356:$F$100,"&lt;="&amp;C4356,CBIC_Late_Fee_Relief_Windows_3B!$G$4356:$G$100,"&gt;="&amp;C4356)</f>
        <v/>
      </c>
      <c r="H4356">
        <f>INDEX(CBIC_Late_Fee_Relief_Windows_3B!$I$4356:$I$100,MATCH(G4356,CBIC_Late_Fee_Relief_Windows_3B!$O$4356:$O$100,0))</f>
        <v/>
      </c>
      <c r="I4356">
        <f>MIN(F4356,H4356)</f>
        <v/>
      </c>
    </row>
    <row r="4357">
      <c r="A4357">
        <f>TEST_DATA!A4357</f>
        <v/>
      </c>
      <c r="B4357">
        <f>TEST_DATA!B4357</f>
        <v/>
      </c>
      <c r="C4357">
        <f>TEST_DATA!C4357</f>
        <v/>
      </c>
      <c r="D4357">
        <f>TEST_DATA!D4357</f>
        <v/>
      </c>
      <c r="E4357">
        <f>TEST_DATA!E4357</f>
        <v/>
      </c>
      <c r="F4357">
        <f>MIN(E4357*435700,10000)</f>
        <v/>
      </c>
      <c r="G4357">
        <f>MINIFS(CBIC_Late_Fee_Relief_Windows_3B!$O$4357:$O$100,CBIC_Late_Fee_Relief_Windows_3B!$D$4357:$D$100,"&lt;="&amp;B4357,CBIC_Late_Fee_Relief_Windows_3B!$E$4357:$E$100,"&gt;="&amp;B4357,CBIC_Late_Fee_Relief_Windows_3B!$F$4357:$F$100,"&lt;="&amp;C4357,CBIC_Late_Fee_Relief_Windows_3B!$G$4357:$G$100,"&gt;="&amp;C4357)</f>
        <v/>
      </c>
      <c r="H4357">
        <f>INDEX(CBIC_Late_Fee_Relief_Windows_3B!$I$4357:$I$100,MATCH(G4357,CBIC_Late_Fee_Relief_Windows_3B!$O$4357:$O$100,0))</f>
        <v/>
      </c>
      <c r="I4357">
        <f>MIN(F4357,H4357)</f>
        <v/>
      </c>
    </row>
    <row r="4358">
      <c r="A4358">
        <f>TEST_DATA!A4358</f>
        <v/>
      </c>
      <c r="B4358">
        <f>TEST_DATA!B4358</f>
        <v/>
      </c>
      <c r="C4358">
        <f>TEST_DATA!C4358</f>
        <v/>
      </c>
      <c r="D4358">
        <f>TEST_DATA!D4358</f>
        <v/>
      </c>
      <c r="E4358">
        <f>TEST_DATA!E4358</f>
        <v/>
      </c>
      <c r="F4358">
        <f>MIN(E4358*435800,10000)</f>
        <v/>
      </c>
      <c r="G4358">
        <f>MINIFS(CBIC_Late_Fee_Relief_Windows_3B!$O$4358:$O$100,CBIC_Late_Fee_Relief_Windows_3B!$D$4358:$D$100,"&lt;="&amp;B4358,CBIC_Late_Fee_Relief_Windows_3B!$E$4358:$E$100,"&gt;="&amp;B4358,CBIC_Late_Fee_Relief_Windows_3B!$F$4358:$F$100,"&lt;="&amp;C4358,CBIC_Late_Fee_Relief_Windows_3B!$G$4358:$G$100,"&gt;="&amp;C4358)</f>
        <v/>
      </c>
      <c r="H4358">
        <f>INDEX(CBIC_Late_Fee_Relief_Windows_3B!$I$4358:$I$100,MATCH(G4358,CBIC_Late_Fee_Relief_Windows_3B!$O$4358:$O$100,0))</f>
        <v/>
      </c>
      <c r="I4358">
        <f>MIN(F4358,H4358)</f>
        <v/>
      </c>
    </row>
    <row r="4359">
      <c r="A4359">
        <f>TEST_DATA!A4359</f>
        <v/>
      </c>
      <c r="B4359">
        <f>TEST_DATA!B4359</f>
        <v/>
      </c>
      <c r="C4359">
        <f>TEST_DATA!C4359</f>
        <v/>
      </c>
      <c r="D4359">
        <f>TEST_DATA!D4359</f>
        <v/>
      </c>
      <c r="E4359">
        <f>TEST_DATA!E4359</f>
        <v/>
      </c>
      <c r="F4359">
        <f>MIN(E4359*435900,10000)</f>
        <v/>
      </c>
      <c r="G4359">
        <f>MINIFS(CBIC_Late_Fee_Relief_Windows_3B!$O$4359:$O$100,CBIC_Late_Fee_Relief_Windows_3B!$D$4359:$D$100,"&lt;="&amp;B4359,CBIC_Late_Fee_Relief_Windows_3B!$E$4359:$E$100,"&gt;="&amp;B4359,CBIC_Late_Fee_Relief_Windows_3B!$F$4359:$F$100,"&lt;="&amp;C4359,CBIC_Late_Fee_Relief_Windows_3B!$G$4359:$G$100,"&gt;="&amp;C4359)</f>
        <v/>
      </c>
      <c r="H4359">
        <f>INDEX(CBIC_Late_Fee_Relief_Windows_3B!$I$4359:$I$100,MATCH(G4359,CBIC_Late_Fee_Relief_Windows_3B!$O$4359:$O$100,0))</f>
        <v/>
      </c>
      <c r="I4359">
        <f>MIN(F4359,H4359)</f>
        <v/>
      </c>
    </row>
    <row r="4360">
      <c r="A4360">
        <f>TEST_DATA!A4360</f>
        <v/>
      </c>
      <c r="B4360">
        <f>TEST_DATA!B4360</f>
        <v/>
      </c>
      <c r="C4360">
        <f>TEST_DATA!C4360</f>
        <v/>
      </c>
      <c r="D4360">
        <f>TEST_DATA!D4360</f>
        <v/>
      </c>
      <c r="E4360">
        <f>TEST_DATA!E4360</f>
        <v/>
      </c>
      <c r="F4360">
        <f>MIN(E4360*436000,10000)</f>
        <v/>
      </c>
      <c r="G4360">
        <f>MINIFS(CBIC_Late_Fee_Relief_Windows_3B!$O$4360:$O$100,CBIC_Late_Fee_Relief_Windows_3B!$D$4360:$D$100,"&lt;="&amp;B4360,CBIC_Late_Fee_Relief_Windows_3B!$E$4360:$E$100,"&gt;="&amp;B4360,CBIC_Late_Fee_Relief_Windows_3B!$F$4360:$F$100,"&lt;="&amp;C4360,CBIC_Late_Fee_Relief_Windows_3B!$G$4360:$G$100,"&gt;="&amp;C4360)</f>
        <v/>
      </c>
      <c r="H4360">
        <f>INDEX(CBIC_Late_Fee_Relief_Windows_3B!$I$4360:$I$100,MATCH(G4360,CBIC_Late_Fee_Relief_Windows_3B!$O$4360:$O$100,0))</f>
        <v/>
      </c>
      <c r="I4360">
        <f>MIN(F4360,H4360)</f>
        <v/>
      </c>
    </row>
    <row r="4361">
      <c r="A4361">
        <f>TEST_DATA!A4361</f>
        <v/>
      </c>
      <c r="B4361">
        <f>TEST_DATA!B4361</f>
        <v/>
      </c>
      <c r="C4361">
        <f>TEST_DATA!C4361</f>
        <v/>
      </c>
      <c r="D4361">
        <f>TEST_DATA!D4361</f>
        <v/>
      </c>
      <c r="E4361">
        <f>TEST_DATA!E4361</f>
        <v/>
      </c>
      <c r="F4361">
        <f>MIN(E4361*436100,10000)</f>
        <v/>
      </c>
      <c r="G4361">
        <f>MINIFS(CBIC_Late_Fee_Relief_Windows_3B!$O$4361:$O$100,CBIC_Late_Fee_Relief_Windows_3B!$D$4361:$D$100,"&lt;="&amp;B4361,CBIC_Late_Fee_Relief_Windows_3B!$E$4361:$E$100,"&gt;="&amp;B4361,CBIC_Late_Fee_Relief_Windows_3B!$F$4361:$F$100,"&lt;="&amp;C4361,CBIC_Late_Fee_Relief_Windows_3B!$G$4361:$G$100,"&gt;="&amp;C4361)</f>
        <v/>
      </c>
      <c r="H4361">
        <f>INDEX(CBIC_Late_Fee_Relief_Windows_3B!$I$4361:$I$100,MATCH(G4361,CBIC_Late_Fee_Relief_Windows_3B!$O$4361:$O$100,0))</f>
        <v/>
      </c>
      <c r="I4361">
        <f>MIN(F4361,H4361)</f>
        <v/>
      </c>
    </row>
    <row r="4362">
      <c r="A4362">
        <f>TEST_DATA!A4362</f>
        <v/>
      </c>
      <c r="B4362">
        <f>TEST_DATA!B4362</f>
        <v/>
      </c>
      <c r="C4362">
        <f>TEST_DATA!C4362</f>
        <v/>
      </c>
      <c r="D4362">
        <f>TEST_DATA!D4362</f>
        <v/>
      </c>
      <c r="E4362">
        <f>TEST_DATA!E4362</f>
        <v/>
      </c>
      <c r="F4362">
        <f>MIN(E4362*436200,10000)</f>
        <v/>
      </c>
      <c r="G4362">
        <f>MINIFS(CBIC_Late_Fee_Relief_Windows_3B!$O$4362:$O$100,CBIC_Late_Fee_Relief_Windows_3B!$D$4362:$D$100,"&lt;="&amp;B4362,CBIC_Late_Fee_Relief_Windows_3B!$E$4362:$E$100,"&gt;="&amp;B4362,CBIC_Late_Fee_Relief_Windows_3B!$F$4362:$F$100,"&lt;="&amp;C4362,CBIC_Late_Fee_Relief_Windows_3B!$G$4362:$G$100,"&gt;="&amp;C4362)</f>
        <v/>
      </c>
      <c r="H4362">
        <f>INDEX(CBIC_Late_Fee_Relief_Windows_3B!$I$4362:$I$100,MATCH(G4362,CBIC_Late_Fee_Relief_Windows_3B!$O$4362:$O$100,0))</f>
        <v/>
      </c>
      <c r="I4362">
        <f>MIN(F4362,H4362)</f>
        <v/>
      </c>
    </row>
    <row r="4363">
      <c r="A4363">
        <f>TEST_DATA!A4363</f>
        <v/>
      </c>
      <c r="B4363">
        <f>TEST_DATA!B4363</f>
        <v/>
      </c>
      <c r="C4363">
        <f>TEST_DATA!C4363</f>
        <v/>
      </c>
      <c r="D4363">
        <f>TEST_DATA!D4363</f>
        <v/>
      </c>
      <c r="E4363">
        <f>TEST_DATA!E4363</f>
        <v/>
      </c>
      <c r="F4363">
        <f>MIN(E4363*436300,10000)</f>
        <v/>
      </c>
      <c r="G4363">
        <f>MINIFS(CBIC_Late_Fee_Relief_Windows_3B!$O$4363:$O$100,CBIC_Late_Fee_Relief_Windows_3B!$D$4363:$D$100,"&lt;="&amp;B4363,CBIC_Late_Fee_Relief_Windows_3B!$E$4363:$E$100,"&gt;="&amp;B4363,CBIC_Late_Fee_Relief_Windows_3B!$F$4363:$F$100,"&lt;="&amp;C4363,CBIC_Late_Fee_Relief_Windows_3B!$G$4363:$G$100,"&gt;="&amp;C4363)</f>
        <v/>
      </c>
      <c r="H4363">
        <f>INDEX(CBIC_Late_Fee_Relief_Windows_3B!$I$4363:$I$100,MATCH(G4363,CBIC_Late_Fee_Relief_Windows_3B!$O$4363:$O$100,0))</f>
        <v/>
      </c>
      <c r="I4363">
        <f>MIN(F4363,H4363)</f>
        <v/>
      </c>
    </row>
    <row r="4364">
      <c r="A4364">
        <f>TEST_DATA!A4364</f>
        <v/>
      </c>
      <c r="B4364">
        <f>TEST_DATA!B4364</f>
        <v/>
      </c>
      <c r="C4364">
        <f>TEST_DATA!C4364</f>
        <v/>
      </c>
      <c r="D4364">
        <f>TEST_DATA!D4364</f>
        <v/>
      </c>
      <c r="E4364">
        <f>TEST_DATA!E4364</f>
        <v/>
      </c>
      <c r="F4364">
        <f>MIN(E4364*436400,10000)</f>
        <v/>
      </c>
      <c r="G4364">
        <f>MINIFS(CBIC_Late_Fee_Relief_Windows_3B!$O$4364:$O$100,CBIC_Late_Fee_Relief_Windows_3B!$D$4364:$D$100,"&lt;="&amp;B4364,CBIC_Late_Fee_Relief_Windows_3B!$E$4364:$E$100,"&gt;="&amp;B4364,CBIC_Late_Fee_Relief_Windows_3B!$F$4364:$F$100,"&lt;="&amp;C4364,CBIC_Late_Fee_Relief_Windows_3B!$G$4364:$G$100,"&gt;="&amp;C4364)</f>
        <v/>
      </c>
      <c r="H4364">
        <f>INDEX(CBIC_Late_Fee_Relief_Windows_3B!$I$4364:$I$100,MATCH(G4364,CBIC_Late_Fee_Relief_Windows_3B!$O$4364:$O$100,0))</f>
        <v/>
      </c>
      <c r="I4364">
        <f>MIN(F4364,H4364)</f>
        <v/>
      </c>
    </row>
    <row r="4365">
      <c r="A4365">
        <f>TEST_DATA!A4365</f>
        <v/>
      </c>
      <c r="B4365">
        <f>TEST_DATA!B4365</f>
        <v/>
      </c>
      <c r="C4365">
        <f>TEST_DATA!C4365</f>
        <v/>
      </c>
      <c r="D4365">
        <f>TEST_DATA!D4365</f>
        <v/>
      </c>
      <c r="E4365">
        <f>TEST_DATA!E4365</f>
        <v/>
      </c>
      <c r="F4365">
        <f>MIN(E4365*436500,10000)</f>
        <v/>
      </c>
      <c r="G4365">
        <f>MINIFS(CBIC_Late_Fee_Relief_Windows_3B!$O$4365:$O$100,CBIC_Late_Fee_Relief_Windows_3B!$D$4365:$D$100,"&lt;="&amp;B4365,CBIC_Late_Fee_Relief_Windows_3B!$E$4365:$E$100,"&gt;="&amp;B4365,CBIC_Late_Fee_Relief_Windows_3B!$F$4365:$F$100,"&lt;="&amp;C4365,CBIC_Late_Fee_Relief_Windows_3B!$G$4365:$G$100,"&gt;="&amp;C4365)</f>
        <v/>
      </c>
      <c r="H4365">
        <f>INDEX(CBIC_Late_Fee_Relief_Windows_3B!$I$4365:$I$100,MATCH(G4365,CBIC_Late_Fee_Relief_Windows_3B!$O$4365:$O$100,0))</f>
        <v/>
      </c>
      <c r="I4365">
        <f>MIN(F4365,H4365)</f>
        <v/>
      </c>
    </row>
    <row r="4366">
      <c r="A4366">
        <f>TEST_DATA!A4366</f>
        <v/>
      </c>
      <c r="B4366">
        <f>TEST_DATA!B4366</f>
        <v/>
      </c>
      <c r="C4366">
        <f>TEST_DATA!C4366</f>
        <v/>
      </c>
      <c r="D4366">
        <f>TEST_DATA!D4366</f>
        <v/>
      </c>
      <c r="E4366">
        <f>TEST_DATA!E4366</f>
        <v/>
      </c>
      <c r="F4366">
        <f>MIN(E4366*436600,10000)</f>
        <v/>
      </c>
      <c r="G4366">
        <f>MINIFS(CBIC_Late_Fee_Relief_Windows_3B!$O$4366:$O$100,CBIC_Late_Fee_Relief_Windows_3B!$D$4366:$D$100,"&lt;="&amp;B4366,CBIC_Late_Fee_Relief_Windows_3B!$E$4366:$E$100,"&gt;="&amp;B4366,CBIC_Late_Fee_Relief_Windows_3B!$F$4366:$F$100,"&lt;="&amp;C4366,CBIC_Late_Fee_Relief_Windows_3B!$G$4366:$G$100,"&gt;="&amp;C4366)</f>
        <v/>
      </c>
      <c r="H4366">
        <f>INDEX(CBIC_Late_Fee_Relief_Windows_3B!$I$4366:$I$100,MATCH(G4366,CBIC_Late_Fee_Relief_Windows_3B!$O$4366:$O$100,0))</f>
        <v/>
      </c>
      <c r="I4366">
        <f>MIN(F4366,H4366)</f>
        <v/>
      </c>
    </row>
    <row r="4367">
      <c r="A4367">
        <f>TEST_DATA!A4367</f>
        <v/>
      </c>
      <c r="B4367">
        <f>TEST_DATA!B4367</f>
        <v/>
      </c>
      <c r="C4367">
        <f>TEST_DATA!C4367</f>
        <v/>
      </c>
      <c r="D4367">
        <f>TEST_DATA!D4367</f>
        <v/>
      </c>
      <c r="E4367">
        <f>TEST_DATA!E4367</f>
        <v/>
      </c>
      <c r="F4367">
        <f>MIN(E4367*436700,10000)</f>
        <v/>
      </c>
      <c r="G4367">
        <f>MINIFS(CBIC_Late_Fee_Relief_Windows_3B!$O$4367:$O$100,CBIC_Late_Fee_Relief_Windows_3B!$D$4367:$D$100,"&lt;="&amp;B4367,CBIC_Late_Fee_Relief_Windows_3B!$E$4367:$E$100,"&gt;="&amp;B4367,CBIC_Late_Fee_Relief_Windows_3B!$F$4367:$F$100,"&lt;="&amp;C4367,CBIC_Late_Fee_Relief_Windows_3B!$G$4367:$G$100,"&gt;="&amp;C4367)</f>
        <v/>
      </c>
      <c r="H4367">
        <f>INDEX(CBIC_Late_Fee_Relief_Windows_3B!$I$4367:$I$100,MATCH(G4367,CBIC_Late_Fee_Relief_Windows_3B!$O$4367:$O$100,0))</f>
        <v/>
      </c>
      <c r="I4367">
        <f>MIN(F4367,H4367)</f>
        <v/>
      </c>
    </row>
    <row r="4368">
      <c r="A4368">
        <f>TEST_DATA!A4368</f>
        <v/>
      </c>
      <c r="B4368">
        <f>TEST_DATA!B4368</f>
        <v/>
      </c>
      <c r="C4368">
        <f>TEST_DATA!C4368</f>
        <v/>
      </c>
      <c r="D4368">
        <f>TEST_DATA!D4368</f>
        <v/>
      </c>
      <c r="E4368">
        <f>TEST_DATA!E4368</f>
        <v/>
      </c>
      <c r="F4368">
        <f>MIN(E4368*436800,10000)</f>
        <v/>
      </c>
      <c r="G4368">
        <f>MINIFS(CBIC_Late_Fee_Relief_Windows_3B!$O$4368:$O$100,CBIC_Late_Fee_Relief_Windows_3B!$D$4368:$D$100,"&lt;="&amp;B4368,CBIC_Late_Fee_Relief_Windows_3B!$E$4368:$E$100,"&gt;="&amp;B4368,CBIC_Late_Fee_Relief_Windows_3B!$F$4368:$F$100,"&lt;="&amp;C4368,CBIC_Late_Fee_Relief_Windows_3B!$G$4368:$G$100,"&gt;="&amp;C4368)</f>
        <v/>
      </c>
      <c r="H4368">
        <f>INDEX(CBIC_Late_Fee_Relief_Windows_3B!$I$4368:$I$100,MATCH(G4368,CBIC_Late_Fee_Relief_Windows_3B!$O$4368:$O$100,0))</f>
        <v/>
      </c>
      <c r="I4368">
        <f>MIN(F4368,H4368)</f>
        <v/>
      </c>
    </row>
    <row r="4369">
      <c r="A4369">
        <f>TEST_DATA!A4369</f>
        <v/>
      </c>
      <c r="B4369">
        <f>TEST_DATA!B4369</f>
        <v/>
      </c>
      <c r="C4369">
        <f>TEST_DATA!C4369</f>
        <v/>
      </c>
      <c r="D4369">
        <f>TEST_DATA!D4369</f>
        <v/>
      </c>
      <c r="E4369">
        <f>TEST_DATA!E4369</f>
        <v/>
      </c>
      <c r="F4369">
        <f>MIN(E4369*436900,10000)</f>
        <v/>
      </c>
      <c r="G4369">
        <f>MINIFS(CBIC_Late_Fee_Relief_Windows_3B!$O$4369:$O$100,CBIC_Late_Fee_Relief_Windows_3B!$D$4369:$D$100,"&lt;="&amp;B4369,CBIC_Late_Fee_Relief_Windows_3B!$E$4369:$E$100,"&gt;="&amp;B4369,CBIC_Late_Fee_Relief_Windows_3B!$F$4369:$F$100,"&lt;="&amp;C4369,CBIC_Late_Fee_Relief_Windows_3B!$G$4369:$G$100,"&gt;="&amp;C4369)</f>
        <v/>
      </c>
      <c r="H4369">
        <f>INDEX(CBIC_Late_Fee_Relief_Windows_3B!$I$4369:$I$100,MATCH(G4369,CBIC_Late_Fee_Relief_Windows_3B!$O$4369:$O$100,0))</f>
        <v/>
      </c>
      <c r="I4369">
        <f>MIN(F4369,H4369)</f>
        <v/>
      </c>
    </row>
    <row r="4370">
      <c r="A4370">
        <f>TEST_DATA!A4370</f>
        <v/>
      </c>
      <c r="B4370">
        <f>TEST_DATA!B4370</f>
        <v/>
      </c>
      <c r="C4370">
        <f>TEST_DATA!C4370</f>
        <v/>
      </c>
      <c r="D4370">
        <f>TEST_DATA!D4370</f>
        <v/>
      </c>
      <c r="E4370">
        <f>TEST_DATA!E4370</f>
        <v/>
      </c>
      <c r="F4370">
        <f>MIN(E4370*437000,10000)</f>
        <v/>
      </c>
      <c r="G4370">
        <f>MINIFS(CBIC_Late_Fee_Relief_Windows_3B!$O$4370:$O$100,CBIC_Late_Fee_Relief_Windows_3B!$D$4370:$D$100,"&lt;="&amp;B4370,CBIC_Late_Fee_Relief_Windows_3B!$E$4370:$E$100,"&gt;="&amp;B4370,CBIC_Late_Fee_Relief_Windows_3B!$F$4370:$F$100,"&lt;="&amp;C4370,CBIC_Late_Fee_Relief_Windows_3B!$G$4370:$G$100,"&gt;="&amp;C4370)</f>
        <v/>
      </c>
      <c r="H4370">
        <f>INDEX(CBIC_Late_Fee_Relief_Windows_3B!$I$4370:$I$100,MATCH(G4370,CBIC_Late_Fee_Relief_Windows_3B!$O$4370:$O$100,0))</f>
        <v/>
      </c>
      <c r="I4370">
        <f>MIN(F4370,H4370)</f>
        <v/>
      </c>
    </row>
    <row r="4371">
      <c r="A4371">
        <f>TEST_DATA!A4371</f>
        <v/>
      </c>
      <c r="B4371">
        <f>TEST_DATA!B4371</f>
        <v/>
      </c>
      <c r="C4371">
        <f>TEST_DATA!C4371</f>
        <v/>
      </c>
      <c r="D4371">
        <f>TEST_DATA!D4371</f>
        <v/>
      </c>
      <c r="E4371">
        <f>TEST_DATA!E4371</f>
        <v/>
      </c>
      <c r="F4371">
        <f>MIN(E4371*437100,10000)</f>
        <v/>
      </c>
      <c r="G4371">
        <f>MINIFS(CBIC_Late_Fee_Relief_Windows_3B!$O$4371:$O$100,CBIC_Late_Fee_Relief_Windows_3B!$D$4371:$D$100,"&lt;="&amp;B4371,CBIC_Late_Fee_Relief_Windows_3B!$E$4371:$E$100,"&gt;="&amp;B4371,CBIC_Late_Fee_Relief_Windows_3B!$F$4371:$F$100,"&lt;="&amp;C4371,CBIC_Late_Fee_Relief_Windows_3B!$G$4371:$G$100,"&gt;="&amp;C4371)</f>
        <v/>
      </c>
      <c r="H4371">
        <f>INDEX(CBIC_Late_Fee_Relief_Windows_3B!$I$4371:$I$100,MATCH(G4371,CBIC_Late_Fee_Relief_Windows_3B!$O$4371:$O$100,0))</f>
        <v/>
      </c>
      <c r="I4371">
        <f>MIN(F4371,H4371)</f>
        <v/>
      </c>
    </row>
    <row r="4372">
      <c r="A4372">
        <f>TEST_DATA!A4372</f>
        <v/>
      </c>
      <c r="B4372">
        <f>TEST_DATA!B4372</f>
        <v/>
      </c>
      <c r="C4372">
        <f>TEST_DATA!C4372</f>
        <v/>
      </c>
      <c r="D4372">
        <f>TEST_DATA!D4372</f>
        <v/>
      </c>
      <c r="E4372">
        <f>TEST_DATA!E4372</f>
        <v/>
      </c>
      <c r="F4372">
        <f>MIN(E4372*437200,10000)</f>
        <v/>
      </c>
      <c r="G4372">
        <f>MINIFS(CBIC_Late_Fee_Relief_Windows_3B!$O$4372:$O$100,CBIC_Late_Fee_Relief_Windows_3B!$D$4372:$D$100,"&lt;="&amp;B4372,CBIC_Late_Fee_Relief_Windows_3B!$E$4372:$E$100,"&gt;="&amp;B4372,CBIC_Late_Fee_Relief_Windows_3B!$F$4372:$F$100,"&lt;="&amp;C4372,CBIC_Late_Fee_Relief_Windows_3B!$G$4372:$G$100,"&gt;="&amp;C4372)</f>
        <v/>
      </c>
      <c r="H4372">
        <f>INDEX(CBIC_Late_Fee_Relief_Windows_3B!$I$4372:$I$100,MATCH(G4372,CBIC_Late_Fee_Relief_Windows_3B!$O$4372:$O$100,0))</f>
        <v/>
      </c>
      <c r="I4372">
        <f>MIN(F4372,H4372)</f>
        <v/>
      </c>
    </row>
    <row r="4373">
      <c r="A4373">
        <f>TEST_DATA!A4373</f>
        <v/>
      </c>
      <c r="B4373">
        <f>TEST_DATA!B4373</f>
        <v/>
      </c>
      <c r="C4373">
        <f>TEST_DATA!C4373</f>
        <v/>
      </c>
      <c r="D4373">
        <f>TEST_DATA!D4373</f>
        <v/>
      </c>
      <c r="E4373">
        <f>TEST_DATA!E4373</f>
        <v/>
      </c>
      <c r="F4373">
        <f>MIN(E4373*437300,10000)</f>
        <v/>
      </c>
      <c r="G4373">
        <f>MINIFS(CBIC_Late_Fee_Relief_Windows_3B!$O$4373:$O$100,CBIC_Late_Fee_Relief_Windows_3B!$D$4373:$D$100,"&lt;="&amp;B4373,CBIC_Late_Fee_Relief_Windows_3B!$E$4373:$E$100,"&gt;="&amp;B4373,CBIC_Late_Fee_Relief_Windows_3B!$F$4373:$F$100,"&lt;="&amp;C4373,CBIC_Late_Fee_Relief_Windows_3B!$G$4373:$G$100,"&gt;="&amp;C4373)</f>
        <v/>
      </c>
      <c r="H4373">
        <f>INDEX(CBIC_Late_Fee_Relief_Windows_3B!$I$4373:$I$100,MATCH(G4373,CBIC_Late_Fee_Relief_Windows_3B!$O$4373:$O$100,0))</f>
        <v/>
      </c>
      <c r="I4373">
        <f>MIN(F4373,H4373)</f>
        <v/>
      </c>
    </row>
    <row r="4374">
      <c r="A4374">
        <f>TEST_DATA!A4374</f>
        <v/>
      </c>
      <c r="B4374">
        <f>TEST_DATA!B4374</f>
        <v/>
      </c>
      <c r="C4374">
        <f>TEST_DATA!C4374</f>
        <v/>
      </c>
      <c r="D4374">
        <f>TEST_DATA!D4374</f>
        <v/>
      </c>
      <c r="E4374">
        <f>TEST_DATA!E4374</f>
        <v/>
      </c>
      <c r="F4374">
        <f>MIN(E4374*437400,10000)</f>
        <v/>
      </c>
      <c r="G4374">
        <f>MINIFS(CBIC_Late_Fee_Relief_Windows_3B!$O$4374:$O$100,CBIC_Late_Fee_Relief_Windows_3B!$D$4374:$D$100,"&lt;="&amp;B4374,CBIC_Late_Fee_Relief_Windows_3B!$E$4374:$E$100,"&gt;="&amp;B4374,CBIC_Late_Fee_Relief_Windows_3B!$F$4374:$F$100,"&lt;="&amp;C4374,CBIC_Late_Fee_Relief_Windows_3B!$G$4374:$G$100,"&gt;="&amp;C4374)</f>
        <v/>
      </c>
      <c r="H4374">
        <f>INDEX(CBIC_Late_Fee_Relief_Windows_3B!$I$4374:$I$100,MATCH(G4374,CBIC_Late_Fee_Relief_Windows_3B!$O$4374:$O$100,0))</f>
        <v/>
      </c>
      <c r="I4374">
        <f>MIN(F4374,H4374)</f>
        <v/>
      </c>
    </row>
    <row r="4375">
      <c r="A4375">
        <f>TEST_DATA!A4375</f>
        <v/>
      </c>
      <c r="B4375">
        <f>TEST_DATA!B4375</f>
        <v/>
      </c>
      <c r="C4375">
        <f>TEST_DATA!C4375</f>
        <v/>
      </c>
      <c r="D4375">
        <f>TEST_DATA!D4375</f>
        <v/>
      </c>
      <c r="E4375">
        <f>TEST_DATA!E4375</f>
        <v/>
      </c>
      <c r="F4375">
        <f>MIN(E4375*437500,10000)</f>
        <v/>
      </c>
      <c r="G4375">
        <f>MINIFS(CBIC_Late_Fee_Relief_Windows_3B!$O$4375:$O$100,CBIC_Late_Fee_Relief_Windows_3B!$D$4375:$D$100,"&lt;="&amp;B4375,CBIC_Late_Fee_Relief_Windows_3B!$E$4375:$E$100,"&gt;="&amp;B4375,CBIC_Late_Fee_Relief_Windows_3B!$F$4375:$F$100,"&lt;="&amp;C4375,CBIC_Late_Fee_Relief_Windows_3B!$G$4375:$G$100,"&gt;="&amp;C4375)</f>
        <v/>
      </c>
      <c r="H4375">
        <f>INDEX(CBIC_Late_Fee_Relief_Windows_3B!$I$4375:$I$100,MATCH(G4375,CBIC_Late_Fee_Relief_Windows_3B!$O$4375:$O$100,0))</f>
        <v/>
      </c>
      <c r="I4375">
        <f>MIN(F4375,H4375)</f>
        <v/>
      </c>
    </row>
    <row r="4376">
      <c r="A4376">
        <f>TEST_DATA!A4376</f>
        <v/>
      </c>
      <c r="B4376">
        <f>TEST_DATA!B4376</f>
        <v/>
      </c>
      <c r="C4376">
        <f>TEST_DATA!C4376</f>
        <v/>
      </c>
      <c r="D4376">
        <f>TEST_DATA!D4376</f>
        <v/>
      </c>
      <c r="E4376">
        <f>TEST_DATA!E4376</f>
        <v/>
      </c>
      <c r="F4376">
        <f>MIN(E4376*437600,10000)</f>
        <v/>
      </c>
      <c r="G4376">
        <f>MINIFS(CBIC_Late_Fee_Relief_Windows_3B!$O$4376:$O$100,CBIC_Late_Fee_Relief_Windows_3B!$D$4376:$D$100,"&lt;="&amp;B4376,CBIC_Late_Fee_Relief_Windows_3B!$E$4376:$E$100,"&gt;="&amp;B4376,CBIC_Late_Fee_Relief_Windows_3B!$F$4376:$F$100,"&lt;="&amp;C4376,CBIC_Late_Fee_Relief_Windows_3B!$G$4376:$G$100,"&gt;="&amp;C4376)</f>
        <v/>
      </c>
      <c r="H4376">
        <f>INDEX(CBIC_Late_Fee_Relief_Windows_3B!$I$4376:$I$100,MATCH(G4376,CBIC_Late_Fee_Relief_Windows_3B!$O$4376:$O$100,0))</f>
        <v/>
      </c>
      <c r="I4376">
        <f>MIN(F4376,H4376)</f>
        <v/>
      </c>
    </row>
    <row r="4377">
      <c r="A4377">
        <f>TEST_DATA!A4377</f>
        <v/>
      </c>
      <c r="B4377">
        <f>TEST_DATA!B4377</f>
        <v/>
      </c>
      <c r="C4377">
        <f>TEST_DATA!C4377</f>
        <v/>
      </c>
      <c r="D4377">
        <f>TEST_DATA!D4377</f>
        <v/>
      </c>
      <c r="E4377">
        <f>TEST_DATA!E4377</f>
        <v/>
      </c>
      <c r="F4377">
        <f>MIN(E4377*437700,10000)</f>
        <v/>
      </c>
      <c r="G4377">
        <f>MINIFS(CBIC_Late_Fee_Relief_Windows_3B!$O$4377:$O$100,CBIC_Late_Fee_Relief_Windows_3B!$D$4377:$D$100,"&lt;="&amp;B4377,CBIC_Late_Fee_Relief_Windows_3B!$E$4377:$E$100,"&gt;="&amp;B4377,CBIC_Late_Fee_Relief_Windows_3B!$F$4377:$F$100,"&lt;="&amp;C4377,CBIC_Late_Fee_Relief_Windows_3B!$G$4377:$G$100,"&gt;="&amp;C4377)</f>
        <v/>
      </c>
      <c r="H4377">
        <f>INDEX(CBIC_Late_Fee_Relief_Windows_3B!$I$4377:$I$100,MATCH(G4377,CBIC_Late_Fee_Relief_Windows_3B!$O$4377:$O$100,0))</f>
        <v/>
      </c>
      <c r="I4377">
        <f>MIN(F4377,H4377)</f>
        <v/>
      </c>
    </row>
    <row r="4378">
      <c r="A4378">
        <f>TEST_DATA!A4378</f>
        <v/>
      </c>
      <c r="B4378">
        <f>TEST_DATA!B4378</f>
        <v/>
      </c>
      <c r="C4378">
        <f>TEST_DATA!C4378</f>
        <v/>
      </c>
      <c r="D4378">
        <f>TEST_DATA!D4378</f>
        <v/>
      </c>
      <c r="E4378">
        <f>TEST_DATA!E4378</f>
        <v/>
      </c>
      <c r="F4378">
        <f>MIN(E4378*437800,10000)</f>
        <v/>
      </c>
      <c r="G4378">
        <f>MINIFS(CBIC_Late_Fee_Relief_Windows_3B!$O$4378:$O$100,CBIC_Late_Fee_Relief_Windows_3B!$D$4378:$D$100,"&lt;="&amp;B4378,CBIC_Late_Fee_Relief_Windows_3B!$E$4378:$E$100,"&gt;="&amp;B4378,CBIC_Late_Fee_Relief_Windows_3B!$F$4378:$F$100,"&lt;="&amp;C4378,CBIC_Late_Fee_Relief_Windows_3B!$G$4378:$G$100,"&gt;="&amp;C4378)</f>
        <v/>
      </c>
      <c r="H4378">
        <f>INDEX(CBIC_Late_Fee_Relief_Windows_3B!$I$4378:$I$100,MATCH(G4378,CBIC_Late_Fee_Relief_Windows_3B!$O$4378:$O$100,0))</f>
        <v/>
      </c>
      <c r="I4378">
        <f>MIN(F4378,H4378)</f>
        <v/>
      </c>
    </row>
    <row r="4379">
      <c r="A4379">
        <f>TEST_DATA!A4379</f>
        <v/>
      </c>
      <c r="B4379">
        <f>TEST_DATA!B4379</f>
        <v/>
      </c>
      <c r="C4379">
        <f>TEST_DATA!C4379</f>
        <v/>
      </c>
      <c r="D4379">
        <f>TEST_DATA!D4379</f>
        <v/>
      </c>
      <c r="E4379">
        <f>TEST_DATA!E4379</f>
        <v/>
      </c>
      <c r="F4379">
        <f>MIN(E4379*437900,10000)</f>
        <v/>
      </c>
      <c r="G4379">
        <f>MINIFS(CBIC_Late_Fee_Relief_Windows_3B!$O$4379:$O$100,CBIC_Late_Fee_Relief_Windows_3B!$D$4379:$D$100,"&lt;="&amp;B4379,CBIC_Late_Fee_Relief_Windows_3B!$E$4379:$E$100,"&gt;="&amp;B4379,CBIC_Late_Fee_Relief_Windows_3B!$F$4379:$F$100,"&lt;="&amp;C4379,CBIC_Late_Fee_Relief_Windows_3B!$G$4379:$G$100,"&gt;="&amp;C4379)</f>
        <v/>
      </c>
      <c r="H4379">
        <f>INDEX(CBIC_Late_Fee_Relief_Windows_3B!$I$4379:$I$100,MATCH(G4379,CBIC_Late_Fee_Relief_Windows_3B!$O$4379:$O$100,0))</f>
        <v/>
      </c>
      <c r="I4379">
        <f>MIN(F4379,H4379)</f>
        <v/>
      </c>
    </row>
    <row r="4380">
      <c r="A4380">
        <f>TEST_DATA!A4380</f>
        <v/>
      </c>
      <c r="B4380">
        <f>TEST_DATA!B4380</f>
        <v/>
      </c>
      <c r="C4380">
        <f>TEST_DATA!C4380</f>
        <v/>
      </c>
      <c r="D4380">
        <f>TEST_DATA!D4380</f>
        <v/>
      </c>
      <c r="E4380">
        <f>TEST_DATA!E4380</f>
        <v/>
      </c>
      <c r="F4380">
        <f>MIN(E4380*438000,10000)</f>
        <v/>
      </c>
      <c r="G4380">
        <f>MINIFS(CBIC_Late_Fee_Relief_Windows_3B!$O$4380:$O$100,CBIC_Late_Fee_Relief_Windows_3B!$D$4380:$D$100,"&lt;="&amp;B4380,CBIC_Late_Fee_Relief_Windows_3B!$E$4380:$E$100,"&gt;="&amp;B4380,CBIC_Late_Fee_Relief_Windows_3B!$F$4380:$F$100,"&lt;="&amp;C4380,CBIC_Late_Fee_Relief_Windows_3B!$G$4380:$G$100,"&gt;="&amp;C4380)</f>
        <v/>
      </c>
      <c r="H4380">
        <f>INDEX(CBIC_Late_Fee_Relief_Windows_3B!$I$4380:$I$100,MATCH(G4380,CBIC_Late_Fee_Relief_Windows_3B!$O$4380:$O$100,0))</f>
        <v/>
      </c>
      <c r="I4380">
        <f>MIN(F4380,H4380)</f>
        <v/>
      </c>
    </row>
    <row r="4381">
      <c r="A4381">
        <f>TEST_DATA!A4381</f>
        <v/>
      </c>
      <c r="B4381">
        <f>TEST_DATA!B4381</f>
        <v/>
      </c>
      <c r="C4381">
        <f>TEST_DATA!C4381</f>
        <v/>
      </c>
      <c r="D4381">
        <f>TEST_DATA!D4381</f>
        <v/>
      </c>
      <c r="E4381">
        <f>TEST_DATA!E4381</f>
        <v/>
      </c>
      <c r="F4381">
        <f>MIN(E4381*438100,10000)</f>
        <v/>
      </c>
      <c r="G4381">
        <f>MINIFS(CBIC_Late_Fee_Relief_Windows_3B!$O$4381:$O$100,CBIC_Late_Fee_Relief_Windows_3B!$D$4381:$D$100,"&lt;="&amp;B4381,CBIC_Late_Fee_Relief_Windows_3B!$E$4381:$E$100,"&gt;="&amp;B4381,CBIC_Late_Fee_Relief_Windows_3B!$F$4381:$F$100,"&lt;="&amp;C4381,CBIC_Late_Fee_Relief_Windows_3B!$G$4381:$G$100,"&gt;="&amp;C4381)</f>
        <v/>
      </c>
      <c r="H4381">
        <f>INDEX(CBIC_Late_Fee_Relief_Windows_3B!$I$4381:$I$100,MATCH(G4381,CBIC_Late_Fee_Relief_Windows_3B!$O$4381:$O$100,0))</f>
        <v/>
      </c>
      <c r="I4381">
        <f>MIN(F4381,H4381)</f>
        <v/>
      </c>
    </row>
    <row r="4382">
      <c r="A4382">
        <f>TEST_DATA!A4382</f>
        <v/>
      </c>
      <c r="B4382">
        <f>TEST_DATA!B4382</f>
        <v/>
      </c>
      <c r="C4382">
        <f>TEST_DATA!C4382</f>
        <v/>
      </c>
      <c r="D4382">
        <f>TEST_DATA!D4382</f>
        <v/>
      </c>
      <c r="E4382">
        <f>TEST_DATA!E4382</f>
        <v/>
      </c>
      <c r="F4382">
        <f>MIN(E4382*438200,10000)</f>
        <v/>
      </c>
      <c r="G4382">
        <f>MINIFS(CBIC_Late_Fee_Relief_Windows_3B!$O$4382:$O$100,CBIC_Late_Fee_Relief_Windows_3B!$D$4382:$D$100,"&lt;="&amp;B4382,CBIC_Late_Fee_Relief_Windows_3B!$E$4382:$E$100,"&gt;="&amp;B4382,CBIC_Late_Fee_Relief_Windows_3B!$F$4382:$F$100,"&lt;="&amp;C4382,CBIC_Late_Fee_Relief_Windows_3B!$G$4382:$G$100,"&gt;="&amp;C4382)</f>
        <v/>
      </c>
      <c r="H4382">
        <f>INDEX(CBIC_Late_Fee_Relief_Windows_3B!$I$4382:$I$100,MATCH(G4382,CBIC_Late_Fee_Relief_Windows_3B!$O$4382:$O$100,0))</f>
        <v/>
      </c>
      <c r="I4382">
        <f>MIN(F4382,H4382)</f>
        <v/>
      </c>
    </row>
    <row r="4383">
      <c r="A4383">
        <f>TEST_DATA!A4383</f>
        <v/>
      </c>
      <c r="B4383">
        <f>TEST_DATA!B4383</f>
        <v/>
      </c>
      <c r="C4383">
        <f>TEST_DATA!C4383</f>
        <v/>
      </c>
      <c r="D4383">
        <f>TEST_DATA!D4383</f>
        <v/>
      </c>
      <c r="E4383">
        <f>TEST_DATA!E4383</f>
        <v/>
      </c>
      <c r="F4383">
        <f>MIN(E4383*438300,10000)</f>
        <v/>
      </c>
      <c r="G4383">
        <f>MINIFS(CBIC_Late_Fee_Relief_Windows_3B!$O$4383:$O$100,CBIC_Late_Fee_Relief_Windows_3B!$D$4383:$D$100,"&lt;="&amp;B4383,CBIC_Late_Fee_Relief_Windows_3B!$E$4383:$E$100,"&gt;="&amp;B4383,CBIC_Late_Fee_Relief_Windows_3B!$F$4383:$F$100,"&lt;="&amp;C4383,CBIC_Late_Fee_Relief_Windows_3B!$G$4383:$G$100,"&gt;="&amp;C4383)</f>
        <v/>
      </c>
      <c r="H4383">
        <f>INDEX(CBIC_Late_Fee_Relief_Windows_3B!$I$4383:$I$100,MATCH(G4383,CBIC_Late_Fee_Relief_Windows_3B!$O$4383:$O$100,0))</f>
        <v/>
      </c>
      <c r="I4383">
        <f>MIN(F4383,H4383)</f>
        <v/>
      </c>
    </row>
    <row r="4384">
      <c r="A4384">
        <f>TEST_DATA!A4384</f>
        <v/>
      </c>
      <c r="B4384">
        <f>TEST_DATA!B4384</f>
        <v/>
      </c>
      <c r="C4384">
        <f>TEST_DATA!C4384</f>
        <v/>
      </c>
      <c r="D4384">
        <f>TEST_DATA!D4384</f>
        <v/>
      </c>
      <c r="E4384">
        <f>TEST_DATA!E4384</f>
        <v/>
      </c>
      <c r="F4384">
        <f>MIN(E4384*438400,10000)</f>
        <v/>
      </c>
      <c r="G4384">
        <f>MINIFS(CBIC_Late_Fee_Relief_Windows_3B!$O$4384:$O$100,CBIC_Late_Fee_Relief_Windows_3B!$D$4384:$D$100,"&lt;="&amp;B4384,CBIC_Late_Fee_Relief_Windows_3B!$E$4384:$E$100,"&gt;="&amp;B4384,CBIC_Late_Fee_Relief_Windows_3B!$F$4384:$F$100,"&lt;="&amp;C4384,CBIC_Late_Fee_Relief_Windows_3B!$G$4384:$G$100,"&gt;="&amp;C4384)</f>
        <v/>
      </c>
      <c r="H4384">
        <f>INDEX(CBIC_Late_Fee_Relief_Windows_3B!$I$4384:$I$100,MATCH(G4384,CBIC_Late_Fee_Relief_Windows_3B!$O$4384:$O$100,0))</f>
        <v/>
      </c>
      <c r="I4384">
        <f>MIN(F4384,H4384)</f>
        <v/>
      </c>
    </row>
    <row r="4385">
      <c r="A4385">
        <f>TEST_DATA!A4385</f>
        <v/>
      </c>
      <c r="B4385">
        <f>TEST_DATA!B4385</f>
        <v/>
      </c>
      <c r="C4385">
        <f>TEST_DATA!C4385</f>
        <v/>
      </c>
      <c r="D4385">
        <f>TEST_DATA!D4385</f>
        <v/>
      </c>
      <c r="E4385">
        <f>TEST_DATA!E4385</f>
        <v/>
      </c>
      <c r="F4385">
        <f>MIN(E4385*438500,10000)</f>
        <v/>
      </c>
      <c r="G4385">
        <f>MINIFS(CBIC_Late_Fee_Relief_Windows_3B!$O$4385:$O$100,CBIC_Late_Fee_Relief_Windows_3B!$D$4385:$D$100,"&lt;="&amp;B4385,CBIC_Late_Fee_Relief_Windows_3B!$E$4385:$E$100,"&gt;="&amp;B4385,CBIC_Late_Fee_Relief_Windows_3B!$F$4385:$F$100,"&lt;="&amp;C4385,CBIC_Late_Fee_Relief_Windows_3B!$G$4385:$G$100,"&gt;="&amp;C4385)</f>
        <v/>
      </c>
      <c r="H4385">
        <f>INDEX(CBIC_Late_Fee_Relief_Windows_3B!$I$4385:$I$100,MATCH(G4385,CBIC_Late_Fee_Relief_Windows_3B!$O$4385:$O$100,0))</f>
        <v/>
      </c>
      <c r="I4385">
        <f>MIN(F4385,H4385)</f>
        <v/>
      </c>
    </row>
    <row r="4386">
      <c r="A4386">
        <f>TEST_DATA!A4386</f>
        <v/>
      </c>
      <c r="B4386">
        <f>TEST_DATA!B4386</f>
        <v/>
      </c>
      <c r="C4386">
        <f>TEST_DATA!C4386</f>
        <v/>
      </c>
      <c r="D4386">
        <f>TEST_DATA!D4386</f>
        <v/>
      </c>
      <c r="E4386">
        <f>TEST_DATA!E4386</f>
        <v/>
      </c>
      <c r="F4386">
        <f>MIN(E4386*438600,10000)</f>
        <v/>
      </c>
      <c r="G4386">
        <f>MINIFS(CBIC_Late_Fee_Relief_Windows_3B!$O$4386:$O$100,CBIC_Late_Fee_Relief_Windows_3B!$D$4386:$D$100,"&lt;="&amp;B4386,CBIC_Late_Fee_Relief_Windows_3B!$E$4386:$E$100,"&gt;="&amp;B4386,CBIC_Late_Fee_Relief_Windows_3B!$F$4386:$F$100,"&lt;="&amp;C4386,CBIC_Late_Fee_Relief_Windows_3B!$G$4386:$G$100,"&gt;="&amp;C4386)</f>
        <v/>
      </c>
      <c r="H4386">
        <f>INDEX(CBIC_Late_Fee_Relief_Windows_3B!$I$4386:$I$100,MATCH(G4386,CBIC_Late_Fee_Relief_Windows_3B!$O$4386:$O$100,0))</f>
        <v/>
      </c>
      <c r="I4386">
        <f>MIN(F4386,H4386)</f>
        <v/>
      </c>
    </row>
    <row r="4387">
      <c r="A4387">
        <f>TEST_DATA!A4387</f>
        <v/>
      </c>
      <c r="B4387">
        <f>TEST_DATA!B4387</f>
        <v/>
      </c>
      <c r="C4387">
        <f>TEST_DATA!C4387</f>
        <v/>
      </c>
      <c r="D4387">
        <f>TEST_DATA!D4387</f>
        <v/>
      </c>
      <c r="E4387">
        <f>TEST_DATA!E4387</f>
        <v/>
      </c>
      <c r="F4387">
        <f>MIN(E4387*438700,10000)</f>
        <v/>
      </c>
      <c r="G4387">
        <f>MINIFS(CBIC_Late_Fee_Relief_Windows_3B!$O$4387:$O$100,CBIC_Late_Fee_Relief_Windows_3B!$D$4387:$D$100,"&lt;="&amp;B4387,CBIC_Late_Fee_Relief_Windows_3B!$E$4387:$E$100,"&gt;="&amp;B4387,CBIC_Late_Fee_Relief_Windows_3B!$F$4387:$F$100,"&lt;="&amp;C4387,CBIC_Late_Fee_Relief_Windows_3B!$G$4387:$G$100,"&gt;="&amp;C4387)</f>
        <v/>
      </c>
      <c r="H4387">
        <f>INDEX(CBIC_Late_Fee_Relief_Windows_3B!$I$4387:$I$100,MATCH(G4387,CBIC_Late_Fee_Relief_Windows_3B!$O$4387:$O$100,0))</f>
        <v/>
      </c>
      <c r="I4387">
        <f>MIN(F4387,H4387)</f>
        <v/>
      </c>
    </row>
    <row r="4388">
      <c r="A4388">
        <f>TEST_DATA!A4388</f>
        <v/>
      </c>
      <c r="B4388">
        <f>TEST_DATA!B4388</f>
        <v/>
      </c>
      <c r="C4388">
        <f>TEST_DATA!C4388</f>
        <v/>
      </c>
      <c r="D4388">
        <f>TEST_DATA!D4388</f>
        <v/>
      </c>
      <c r="E4388">
        <f>TEST_DATA!E4388</f>
        <v/>
      </c>
      <c r="F4388">
        <f>MIN(E4388*438800,10000)</f>
        <v/>
      </c>
      <c r="G4388">
        <f>MINIFS(CBIC_Late_Fee_Relief_Windows_3B!$O$4388:$O$100,CBIC_Late_Fee_Relief_Windows_3B!$D$4388:$D$100,"&lt;="&amp;B4388,CBIC_Late_Fee_Relief_Windows_3B!$E$4388:$E$100,"&gt;="&amp;B4388,CBIC_Late_Fee_Relief_Windows_3B!$F$4388:$F$100,"&lt;="&amp;C4388,CBIC_Late_Fee_Relief_Windows_3B!$G$4388:$G$100,"&gt;="&amp;C4388)</f>
        <v/>
      </c>
      <c r="H4388">
        <f>INDEX(CBIC_Late_Fee_Relief_Windows_3B!$I$4388:$I$100,MATCH(G4388,CBIC_Late_Fee_Relief_Windows_3B!$O$4388:$O$100,0))</f>
        <v/>
      </c>
      <c r="I4388">
        <f>MIN(F4388,H4388)</f>
        <v/>
      </c>
    </row>
    <row r="4389">
      <c r="A4389">
        <f>TEST_DATA!A4389</f>
        <v/>
      </c>
      <c r="B4389">
        <f>TEST_DATA!B4389</f>
        <v/>
      </c>
      <c r="C4389">
        <f>TEST_DATA!C4389</f>
        <v/>
      </c>
      <c r="D4389">
        <f>TEST_DATA!D4389</f>
        <v/>
      </c>
      <c r="E4389">
        <f>TEST_DATA!E4389</f>
        <v/>
      </c>
      <c r="F4389">
        <f>MIN(E4389*438900,10000)</f>
        <v/>
      </c>
      <c r="G4389">
        <f>MINIFS(CBIC_Late_Fee_Relief_Windows_3B!$O$4389:$O$100,CBIC_Late_Fee_Relief_Windows_3B!$D$4389:$D$100,"&lt;="&amp;B4389,CBIC_Late_Fee_Relief_Windows_3B!$E$4389:$E$100,"&gt;="&amp;B4389,CBIC_Late_Fee_Relief_Windows_3B!$F$4389:$F$100,"&lt;="&amp;C4389,CBIC_Late_Fee_Relief_Windows_3B!$G$4389:$G$100,"&gt;="&amp;C4389)</f>
        <v/>
      </c>
      <c r="H4389">
        <f>INDEX(CBIC_Late_Fee_Relief_Windows_3B!$I$4389:$I$100,MATCH(G4389,CBIC_Late_Fee_Relief_Windows_3B!$O$4389:$O$100,0))</f>
        <v/>
      </c>
      <c r="I4389">
        <f>MIN(F4389,H4389)</f>
        <v/>
      </c>
    </row>
    <row r="4390">
      <c r="A4390">
        <f>TEST_DATA!A4390</f>
        <v/>
      </c>
      <c r="B4390">
        <f>TEST_DATA!B4390</f>
        <v/>
      </c>
      <c r="C4390">
        <f>TEST_DATA!C4390</f>
        <v/>
      </c>
      <c r="D4390">
        <f>TEST_DATA!D4390</f>
        <v/>
      </c>
      <c r="E4390">
        <f>TEST_DATA!E4390</f>
        <v/>
      </c>
      <c r="F4390">
        <f>MIN(E4390*439000,10000)</f>
        <v/>
      </c>
      <c r="G4390">
        <f>MINIFS(CBIC_Late_Fee_Relief_Windows_3B!$O$4390:$O$100,CBIC_Late_Fee_Relief_Windows_3B!$D$4390:$D$100,"&lt;="&amp;B4390,CBIC_Late_Fee_Relief_Windows_3B!$E$4390:$E$100,"&gt;="&amp;B4390,CBIC_Late_Fee_Relief_Windows_3B!$F$4390:$F$100,"&lt;="&amp;C4390,CBIC_Late_Fee_Relief_Windows_3B!$G$4390:$G$100,"&gt;="&amp;C4390)</f>
        <v/>
      </c>
      <c r="H4390">
        <f>INDEX(CBIC_Late_Fee_Relief_Windows_3B!$I$4390:$I$100,MATCH(G4390,CBIC_Late_Fee_Relief_Windows_3B!$O$4390:$O$100,0))</f>
        <v/>
      </c>
      <c r="I4390">
        <f>MIN(F4390,H4390)</f>
        <v/>
      </c>
    </row>
    <row r="4391">
      <c r="A4391">
        <f>TEST_DATA!A4391</f>
        <v/>
      </c>
      <c r="B4391">
        <f>TEST_DATA!B4391</f>
        <v/>
      </c>
      <c r="C4391">
        <f>TEST_DATA!C4391</f>
        <v/>
      </c>
      <c r="D4391">
        <f>TEST_DATA!D4391</f>
        <v/>
      </c>
      <c r="E4391">
        <f>TEST_DATA!E4391</f>
        <v/>
      </c>
      <c r="F4391">
        <f>MIN(E4391*439100,10000)</f>
        <v/>
      </c>
      <c r="G4391">
        <f>MINIFS(CBIC_Late_Fee_Relief_Windows_3B!$O$4391:$O$100,CBIC_Late_Fee_Relief_Windows_3B!$D$4391:$D$100,"&lt;="&amp;B4391,CBIC_Late_Fee_Relief_Windows_3B!$E$4391:$E$100,"&gt;="&amp;B4391,CBIC_Late_Fee_Relief_Windows_3B!$F$4391:$F$100,"&lt;="&amp;C4391,CBIC_Late_Fee_Relief_Windows_3B!$G$4391:$G$100,"&gt;="&amp;C4391)</f>
        <v/>
      </c>
      <c r="H4391">
        <f>INDEX(CBIC_Late_Fee_Relief_Windows_3B!$I$4391:$I$100,MATCH(G4391,CBIC_Late_Fee_Relief_Windows_3B!$O$4391:$O$100,0))</f>
        <v/>
      </c>
      <c r="I4391">
        <f>MIN(F4391,H4391)</f>
        <v/>
      </c>
    </row>
    <row r="4392">
      <c r="A4392">
        <f>TEST_DATA!A4392</f>
        <v/>
      </c>
      <c r="B4392">
        <f>TEST_DATA!B4392</f>
        <v/>
      </c>
      <c r="C4392">
        <f>TEST_DATA!C4392</f>
        <v/>
      </c>
      <c r="D4392">
        <f>TEST_DATA!D4392</f>
        <v/>
      </c>
      <c r="E4392">
        <f>TEST_DATA!E4392</f>
        <v/>
      </c>
      <c r="F4392">
        <f>MIN(E4392*439200,10000)</f>
        <v/>
      </c>
      <c r="G4392">
        <f>MINIFS(CBIC_Late_Fee_Relief_Windows_3B!$O$4392:$O$100,CBIC_Late_Fee_Relief_Windows_3B!$D$4392:$D$100,"&lt;="&amp;B4392,CBIC_Late_Fee_Relief_Windows_3B!$E$4392:$E$100,"&gt;="&amp;B4392,CBIC_Late_Fee_Relief_Windows_3B!$F$4392:$F$100,"&lt;="&amp;C4392,CBIC_Late_Fee_Relief_Windows_3B!$G$4392:$G$100,"&gt;="&amp;C4392)</f>
        <v/>
      </c>
      <c r="H4392">
        <f>INDEX(CBIC_Late_Fee_Relief_Windows_3B!$I$4392:$I$100,MATCH(G4392,CBIC_Late_Fee_Relief_Windows_3B!$O$4392:$O$100,0))</f>
        <v/>
      </c>
      <c r="I4392">
        <f>MIN(F4392,H4392)</f>
        <v/>
      </c>
    </row>
    <row r="4393">
      <c r="A4393">
        <f>TEST_DATA!A4393</f>
        <v/>
      </c>
      <c r="B4393">
        <f>TEST_DATA!B4393</f>
        <v/>
      </c>
      <c r="C4393">
        <f>TEST_DATA!C4393</f>
        <v/>
      </c>
      <c r="D4393">
        <f>TEST_DATA!D4393</f>
        <v/>
      </c>
      <c r="E4393">
        <f>TEST_DATA!E4393</f>
        <v/>
      </c>
      <c r="F4393">
        <f>MIN(E4393*439300,10000)</f>
        <v/>
      </c>
      <c r="G4393">
        <f>MINIFS(CBIC_Late_Fee_Relief_Windows_3B!$O$4393:$O$100,CBIC_Late_Fee_Relief_Windows_3B!$D$4393:$D$100,"&lt;="&amp;B4393,CBIC_Late_Fee_Relief_Windows_3B!$E$4393:$E$100,"&gt;="&amp;B4393,CBIC_Late_Fee_Relief_Windows_3B!$F$4393:$F$100,"&lt;="&amp;C4393,CBIC_Late_Fee_Relief_Windows_3B!$G$4393:$G$100,"&gt;="&amp;C4393)</f>
        <v/>
      </c>
      <c r="H4393">
        <f>INDEX(CBIC_Late_Fee_Relief_Windows_3B!$I$4393:$I$100,MATCH(G4393,CBIC_Late_Fee_Relief_Windows_3B!$O$4393:$O$100,0))</f>
        <v/>
      </c>
      <c r="I4393">
        <f>MIN(F4393,H4393)</f>
        <v/>
      </c>
    </row>
    <row r="4394">
      <c r="A4394">
        <f>TEST_DATA!A4394</f>
        <v/>
      </c>
      <c r="B4394">
        <f>TEST_DATA!B4394</f>
        <v/>
      </c>
      <c r="C4394">
        <f>TEST_DATA!C4394</f>
        <v/>
      </c>
      <c r="D4394">
        <f>TEST_DATA!D4394</f>
        <v/>
      </c>
      <c r="E4394">
        <f>TEST_DATA!E4394</f>
        <v/>
      </c>
      <c r="F4394">
        <f>MIN(E4394*439400,10000)</f>
        <v/>
      </c>
      <c r="G4394">
        <f>MINIFS(CBIC_Late_Fee_Relief_Windows_3B!$O$4394:$O$100,CBIC_Late_Fee_Relief_Windows_3B!$D$4394:$D$100,"&lt;="&amp;B4394,CBIC_Late_Fee_Relief_Windows_3B!$E$4394:$E$100,"&gt;="&amp;B4394,CBIC_Late_Fee_Relief_Windows_3B!$F$4394:$F$100,"&lt;="&amp;C4394,CBIC_Late_Fee_Relief_Windows_3B!$G$4394:$G$100,"&gt;="&amp;C4394)</f>
        <v/>
      </c>
      <c r="H4394">
        <f>INDEX(CBIC_Late_Fee_Relief_Windows_3B!$I$4394:$I$100,MATCH(G4394,CBIC_Late_Fee_Relief_Windows_3B!$O$4394:$O$100,0))</f>
        <v/>
      </c>
      <c r="I4394">
        <f>MIN(F4394,H4394)</f>
        <v/>
      </c>
    </row>
    <row r="4395">
      <c r="A4395">
        <f>TEST_DATA!A4395</f>
        <v/>
      </c>
      <c r="B4395">
        <f>TEST_DATA!B4395</f>
        <v/>
      </c>
      <c r="C4395">
        <f>TEST_DATA!C4395</f>
        <v/>
      </c>
      <c r="D4395">
        <f>TEST_DATA!D4395</f>
        <v/>
      </c>
      <c r="E4395">
        <f>TEST_DATA!E4395</f>
        <v/>
      </c>
      <c r="F4395">
        <f>MIN(E4395*439500,10000)</f>
        <v/>
      </c>
      <c r="G4395">
        <f>MINIFS(CBIC_Late_Fee_Relief_Windows_3B!$O$4395:$O$100,CBIC_Late_Fee_Relief_Windows_3B!$D$4395:$D$100,"&lt;="&amp;B4395,CBIC_Late_Fee_Relief_Windows_3B!$E$4395:$E$100,"&gt;="&amp;B4395,CBIC_Late_Fee_Relief_Windows_3B!$F$4395:$F$100,"&lt;="&amp;C4395,CBIC_Late_Fee_Relief_Windows_3B!$G$4395:$G$100,"&gt;="&amp;C4395)</f>
        <v/>
      </c>
      <c r="H4395">
        <f>INDEX(CBIC_Late_Fee_Relief_Windows_3B!$I$4395:$I$100,MATCH(G4395,CBIC_Late_Fee_Relief_Windows_3B!$O$4395:$O$100,0))</f>
        <v/>
      </c>
      <c r="I4395">
        <f>MIN(F4395,H4395)</f>
        <v/>
      </c>
    </row>
    <row r="4396">
      <c r="A4396">
        <f>TEST_DATA!A4396</f>
        <v/>
      </c>
      <c r="B4396">
        <f>TEST_DATA!B4396</f>
        <v/>
      </c>
      <c r="C4396">
        <f>TEST_DATA!C4396</f>
        <v/>
      </c>
      <c r="D4396">
        <f>TEST_DATA!D4396</f>
        <v/>
      </c>
      <c r="E4396">
        <f>TEST_DATA!E4396</f>
        <v/>
      </c>
      <c r="F4396">
        <f>MIN(E4396*439600,10000)</f>
        <v/>
      </c>
      <c r="G4396">
        <f>MINIFS(CBIC_Late_Fee_Relief_Windows_3B!$O$4396:$O$100,CBIC_Late_Fee_Relief_Windows_3B!$D$4396:$D$100,"&lt;="&amp;B4396,CBIC_Late_Fee_Relief_Windows_3B!$E$4396:$E$100,"&gt;="&amp;B4396,CBIC_Late_Fee_Relief_Windows_3B!$F$4396:$F$100,"&lt;="&amp;C4396,CBIC_Late_Fee_Relief_Windows_3B!$G$4396:$G$100,"&gt;="&amp;C4396)</f>
        <v/>
      </c>
      <c r="H4396">
        <f>INDEX(CBIC_Late_Fee_Relief_Windows_3B!$I$4396:$I$100,MATCH(G4396,CBIC_Late_Fee_Relief_Windows_3B!$O$4396:$O$100,0))</f>
        <v/>
      </c>
      <c r="I4396">
        <f>MIN(F4396,H4396)</f>
        <v/>
      </c>
    </row>
    <row r="4397">
      <c r="A4397">
        <f>TEST_DATA!A4397</f>
        <v/>
      </c>
      <c r="B4397">
        <f>TEST_DATA!B4397</f>
        <v/>
      </c>
      <c r="C4397">
        <f>TEST_DATA!C4397</f>
        <v/>
      </c>
      <c r="D4397">
        <f>TEST_DATA!D4397</f>
        <v/>
      </c>
      <c r="E4397">
        <f>TEST_DATA!E4397</f>
        <v/>
      </c>
      <c r="F4397">
        <f>MIN(E4397*439700,10000)</f>
        <v/>
      </c>
      <c r="G4397">
        <f>MINIFS(CBIC_Late_Fee_Relief_Windows_3B!$O$4397:$O$100,CBIC_Late_Fee_Relief_Windows_3B!$D$4397:$D$100,"&lt;="&amp;B4397,CBIC_Late_Fee_Relief_Windows_3B!$E$4397:$E$100,"&gt;="&amp;B4397,CBIC_Late_Fee_Relief_Windows_3B!$F$4397:$F$100,"&lt;="&amp;C4397,CBIC_Late_Fee_Relief_Windows_3B!$G$4397:$G$100,"&gt;="&amp;C4397)</f>
        <v/>
      </c>
      <c r="H4397">
        <f>INDEX(CBIC_Late_Fee_Relief_Windows_3B!$I$4397:$I$100,MATCH(G4397,CBIC_Late_Fee_Relief_Windows_3B!$O$4397:$O$100,0))</f>
        <v/>
      </c>
      <c r="I4397">
        <f>MIN(F4397,H4397)</f>
        <v/>
      </c>
    </row>
    <row r="4398">
      <c r="A4398">
        <f>TEST_DATA!A4398</f>
        <v/>
      </c>
      <c r="B4398">
        <f>TEST_DATA!B4398</f>
        <v/>
      </c>
      <c r="C4398">
        <f>TEST_DATA!C4398</f>
        <v/>
      </c>
      <c r="D4398">
        <f>TEST_DATA!D4398</f>
        <v/>
      </c>
      <c r="E4398">
        <f>TEST_DATA!E4398</f>
        <v/>
      </c>
      <c r="F4398">
        <f>MIN(E4398*439800,10000)</f>
        <v/>
      </c>
      <c r="G4398">
        <f>MINIFS(CBIC_Late_Fee_Relief_Windows_3B!$O$4398:$O$100,CBIC_Late_Fee_Relief_Windows_3B!$D$4398:$D$100,"&lt;="&amp;B4398,CBIC_Late_Fee_Relief_Windows_3B!$E$4398:$E$100,"&gt;="&amp;B4398,CBIC_Late_Fee_Relief_Windows_3B!$F$4398:$F$100,"&lt;="&amp;C4398,CBIC_Late_Fee_Relief_Windows_3B!$G$4398:$G$100,"&gt;="&amp;C4398)</f>
        <v/>
      </c>
      <c r="H4398">
        <f>INDEX(CBIC_Late_Fee_Relief_Windows_3B!$I$4398:$I$100,MATCH(G4398,CBIC_Late_Fee_Relief_Windows_3B!$O$4398:$O$100,0))</f>
        <v/>
      </c>
      <c r="I4398">
        <f>MIN(F4398,H4398)</f>
        <v/>
      </c>
    </row>
    <row r="4399">
      <c r="A4399">
        <f>TEST_DATA!A4399</f>
        <v/>
      </c>
      <c r="B4399">
        <f>TEST_DATA!B4399</f>
        <v/>
      </c>
      <c r="C4399">
        <f>TEST_DATA!C4399</f>
        <v/>
      </c>
      <c r="D4399">
        <f>TEST_DATA!D4399</f>
        <v/>
      </c>
      <c r="E4399">
        <f>TEST_DATA!E4399</f>
        <v/>
      </c>
      <c r="F4399">
        <f>MIN(E4399*439900,10000)</f>
        <v/>
      </c>
      <c r="G4399">
        <f>MINIFS(CBIC_Late_Fee_Relief_Windows_3B!$O$4399:$O$100,CBIC_Late_Fee_Relief_Windows_3B!$D$4399:$D$100,"&lt;="&amp;B4399,CBIC_Late_Fee_Relief_Windows_3B!$E$4399:$E$100,"&gt;="&amp;B4399,CBIC_Late_Fee_Relief_Windows_3B!$F$4399:$F$100,"&lt;="&amp;C4399,CBIC_Late_Fee_Relief_Windows_3B!$G$4399:$G$100,"&gt;="&amp;C4399)</f>
        <v/>
      </c>
      <c r="H4399">
        <f>INDEX(CBIC_Late_Fee_Relief_Windows_3B!$I$4399:$I$100,MATCH(G4399,CBIC_Late_Fee_Relief_Windows_3B!$O$4399:$O$100,0))</f>
        <v/>
      </c>
      <c r="I4399">
        <f>MIN(F4399,H4399)</f>
        <v/>
      </c>
    </row>
    <row r="4400">
      <c r="A4400">
        <f>TEST_DATA!A4400</f>
        <v/>
      </c>
      <c r="B4400">
        <f>TEST_DATA!B4400</f>
        <v/>
      </c>
      <c r="C4400">
        <f>TEST_DATA!C4400</f>
        <v/>
      </c>
      <c r="D4400">
        <f>TEST_DATA!D4400</f>
        <v/>
      </c>
      <c r="E4400">
        <f>TEST_DATA!E4400</f>
        <v/>
      </c>
      <c r="F4400">
        <f>MIN(E4400*440000,10000)</f>
        <v/>
      </c>
      <c r="G4400">
        <f>MINIFS(CBIC_Late_Fee_Relief_Windows_3B!$O$4400:$O$100,CBIC_Late_Fee_Relief_Windows_3B!$D$4400:$D$100,"&lt;="&amp;B4400,CBIC_Late_Fee_Relief_Windows_3B!$E$4400:$E$100,"&gt;="&amp;B4400,CBIC_Late_Fee_Relief_Windows_3B!$F$4400:$F$100,"&lt;="&amp;C4400,CBIC_Late_Fee_Relief_Windows_3B!$G$4400:$G$100,"&gt;="&amp;C4400)</f>
        <v/>
      </c>
      <c r="H4400">
        <f>INDEX(CBIC_Late_Fee_Relief_Windows_3B!$I$4400:$I$100,MATCH(G4400,CBIC_Late_Fee_Relief_Windows_3B!$O$4400:$O$100,0))</f>
        <v/>
      </c>
      <c r="I4400">
        <f>MIN(F4400,H4400)</f>
        <v/>
      </c>
    </row>
    <row r="4401">
      <c r="A4401">
        <f>TEST_DATA!A4401</f>
        <v/>
      </c>
      <c r="B4401">
        <f>TEST_DATA!B4401</f>
        <v/>
      </c>
      <c r="C4401">
        <f>TEST_DATA!C4401</f>
        <v/>
      </c>
      <c r="D4401">
        <f>TEST_DATA!D4401</f>
        <v/>
      </c>
      <c r="E4401">
        <f>TEST_DATA!E4401</f>
        <v/>
      </c>
      <c r="F4401">
        <f>MIN(E4401*440100,10000)</f>
        <v/>
      </c>
      <c r="G4401">
        <f>MINIFS(CBIC_Late_Fee_Relief_Windows_3B!$O$4401:$O$100,CBIC_Late_Fee_Relief_Windows_3B!$D$4401:$D$100,"&lt;="&amp;B4401,CBIC_Late_Fee_Relief_Windows_3B!$E$4401:$E$100,"&gt;="&amp;B4401,CBIC_Late_Fee_Relief_Windows_3B!$F$4401:$F$100,"&lt;="&amp;C4401,CBIC_Late_Fee_Relief_Windows_3B!$G$4401:$G$100,"&gt;="&amp;C4401)</f>
        <v/>
      </c>
      <c r="H4401">
        <f>INDEX(CBIC_Late_Fee_Relief_Windows_3B!$I$4401:$I$100,MATCH(G4401,CBIC_Late_Fee_Relief_Windows_3B!$O$4401:$O$100,0))</f>
        <v/>
      </c>
      <c r="I4401">
        <f>MIN(F4401,H4401)</f>
        <v/>
      </c>
    </row>
    <row r="4402">
      <c r="A4402">
        <f>TEST_DATA!A4402</f>
        <v/>
      </c>
      <c r="B4402">
        <f>TEST_DATA!B4402</f>
        <v/>
      </c>
      <c r="C4402">
        <f>TEST_DATA!C4402</f>
        <v/>
      </c>
      <c r="D4402">
        <f>TEST_DATA!D4402</f>
        <v/>
      </c>
      <c r="E4402">
        <f>TEST_DATA!E4402</f>
        <v/>
      </c>
      <c r="F4402">
        <f>MIN(E4402*440200,10000)</f>
        <v/>
      </c>
      <c r="G4402">
        <f>MINIFS(CBIC_Late_Fee_Relief_Windows_3B!$O$4402:$O$100,CBIC_Late_Fee_Relief_Windows_3B!$D$4402:$D$100,"&lt;="&amp;B4402,CBIC_Late_Fee_Relief_Windows_3B!$E$4402:$E$100,"&gt;="&amp;B4402,CBIC_Late_Fee_Relief_Windows_3B!$F$4402:$F$100,"&lt;="&amp;C4402,CBIC_Late_Fee_Relief_Windows_3B!$G$4402:$G$100,"&gt;="&amp;C4402)</f>
        <v/>
      </c>
      <c r="H4402">
        <f>INDEX(CBIC_Late_Fee_Relief_Windows_3B!$I$4402:$I$100,MATCH(G4402,CBIC_Late_Fee_Relief_Windows_3B!$O$4402:$O$100,0))</f>
        <v/>
      </c>
      <c r="I4402">
        <f>MIN(F4402,H4402)</f>
        <v/>
      </c>
    </row>
    <row r="4403">
      <c r="A4403">
        <f>TEST_DATA!A4403</f>
        <v/>
      </c>
      <c r="B4403">
        <f>TEST_DATA!B4403</f>
        <v/>
      </c>
      <c r="C4403">
        <f>TEST_DATA!C4403</f>
        <v/>
      </c>
      <c r="D4403">
        <f>TEST_DATA!D4403</f>
        <v/>
      </c>
      <c r="E4403">
        <f>TEST_DATA!E4403</f>
        <v/>
      </c>
      <c r="F4403">
        <f>MIN(E4403*440300,10000)</f>
        <v/>
      </c>
      <c r="G4403">
        <f>MINIFS(CBIC_Late_Fee_Relief_Windows_3B!$O$4403:$O$100,CBIC_Late_Fee_Relief_Windows_3B!$D$4403:$D$100,"&lt;="&amp;B4403,CBIC_Late_Fee_Relief_Windows_3B!$E$4403:$E$100,"&gt;="&amp;B4403,CBIC_Late_Fee_Relief_Windows_3B!$F$4403:$F$100,"&lt;="&amp;C4403,CBIC_Late_Fee_Relief_Windows_3B!$G$4403:$G$100,"&gt;="&amp;C4403)</f>
        <v/>
      </c>
      <c r="H4403">
        <f>INDEX(CBIC_Late_Fee_Relief_Windows_3B!$I$4403:$I$100,MATCH(G4403,CBIC_Late_Fee_Relief_Windows_3B!$O$4403:$O$100,0))</f>
        <v/>
      </c>
      <c r="I4403">
        <f>MIN(F4403,H4403)</f>
        <v/>
      </c>
    </row>
    <row r="4404">
      <c r="A4404">
        <f>TEST_DATA!A4404</f>
        <v/>
      </c>
      <c r="B4404">
        <f>TEST_DATA!B4404</f>
        <v/>
      </c>
      <c r="C4404">
        <f>TEST_DATA!C4404</f>
        <v/>
      </c>
      <c r="D4404">
        <f>TEST_DATA!D4404</f>
        <v/>
      </c>
      <c r="E4404">
        <f>TEST_DATA!E4404</f>
        <v/>
      </c>
      <c r="F4404">
        <f>MIN(E4404*440400,10000)</f>
        <v/>
      </c>
      <c r="G4404">
        <f>MINIFS(CBIC_Late_Fee_Relief_Windows_3B!$O$4404:$O$100,CBIC_Late_Fee_Relief_Windows_3B!$D$4404:$D$100,"&lt;="&amp;B4404,CBIC_Late_Fee_Relief_Windows_3B!$E$4404:$E$100,"&gt;="&amp;B4404,CBIC_Late_Fee_Relief_Windows_3B!$F$4404:$F$100,"&lt;="&amp;C4404,CBIC_Late_Fee_Relief_Windows_3B!$G$4404:$G$100,"&gt;="&amp;C4404)</f>
        <v/>
      </c>
      <c r="H4404">
        <f>INDEX(CBIC_Late_Fee_Relief_Windows_3B!$I$4404:$I$100,MATCH(G4404,CBIC_Late_Fee_Relief_Windows_3B!$O$4404:$O$100,0))</f>
        <v/>
      </c>
      <c r="I4404">
        <f>MIN(F4404,H4404)</f>
        <v/>
      </c>
    </row>
    <row r="4405">
      <c r="A4405">
        <f>TEST_DATA!A4405</f>
        <v/>
      </c>
      <c r="B4405">
        <f>TEST_DATA!B4405</f>
        <v/>
      </c>
      <c r="C4405">
        <f>TEST_DATA!C4405</f>
        <v/>
      </c>
      <c r="D4405">
        <f>TEST_DATA!D4405</f>
        <v/>
      </c>
      <c r="E4405">
        <f>TEST_DATA!E4405</f>
        <v/>
      </c>
      <c r="F4405">
        <f>MIN(E4405*440500,10000)</f>
        <v/>
      </c>
      <c r="G4405">
        <f>MINIFS(CBIC_Late_Fee_Relief_Windows_3B!$O$4405:$O$100,CBIC_Late_Fee_Relief_Windows_3B!$D$4405:$D$100,"&lt;="&amp;B4405,CBIC_Late_Fee_Relief_Windows_3B!$E$4405:$E$100,"&gt;="&amp;B4405,CBIC_Late_Fee_Relief_Windows_3B!$F$4405:$F$100,"&lt;="&amp;C4405,CBIC_Late_Fee_Relief_Windows_3B!$G$4405:$G$100,"&gt;="&amp;C4405)</f>
        <v/>
      </c>
      <c r="H4405">
        <f>INDEX(CBIC_Late_Fee_Relief_Windows_3B!$I$4405:$I$100,MATCH(G4405,CBIC_Late_Fee_Relief_Windows_3B!$O$4405:$O$100,0))</f>
        <v/>
      </c>
      <c r="I4405">
        <f>MIN(F4405,H4405)</f>
        <v/>
      </c>
    </row>
    <row r="4406">
      <c r="A4406">
        <f>TEST_DATA!A4406</f>
        <v/>
      </c>
      <c r="B4406">
        <f>TEST_DATA!B4406</f>
        <v/>
      </c>
      <c r="C4406">
        <f>TEST_DATA!C4406</f>
        <v/>
      </c>
      <c r="D4406">
        <f>TEST_DATA!D4406</f>
        <v/>
      </c>
      <c r="E4406">
        <f>TEST_DATA!E4406</f>
        <v/>
      </c>
      <c r="F4406">
        <f>MIN(E4406*440600,10000)</f>
        <v/>
      </c>
      <c r="G4406">
        <f>MINIFS(CBIC_Late_Fee_Relief_Windows_3B!$O$4406:$O$100,CBIC_Late_Fee_Relief_Windows_3B!$D$4406:$D$100,"&lt;="&amp;B4406,CBIC_Late_Fee_Relief_Windows_3B!$E$4406:$E$100,"&gt;="&amp;B4406,CBIC_Late_Fee_Relief_Windows_3B!$F$4406:$F$100,"&lt;="&amp;C4406,CBIC_Late_Fee_Relief_Windows_3B!$G$4406:$G$100,"&gt;="&amp;C4406)</f>
        <v/>
      </c>
      <c r="H4406">
        <f>INDEX(CBIC_Late_Fee_Relief_Windows_3B!$I$4406:$I$100,MATCH(G4406,CBIC_Late_Fee_Relief_Windows_3B!$O$4406:$O$100,0))</f>
        <v/>
      </c>
      <c r="I4406">
        <f>MIN(F4406,H4406)</f>
        <v/>
      </c>
    </row>
    <row r="4407">
      <c r="A4407">
        <f>TEST_DATA!A4407</f>
        <v/>
      </c>
      <c r="B4407">
        <f>TEST_DATA!B4407</f>
        <v/>
      </c>
      <c r="C4407">
        <f>TEST_DATA!C4407</f>
        <v/>
      </c>
      <c r="D4407">
        <f>TEST_DATA!D4407</f>
        <v/>
      </c>
      <c r="E4407">
        <f>TEST_DATA!E4407</f>
        <v/>
      </c>
      <c r="F4407">
        <f>MIN(E4407*440700,10000)</f>
        <v/>
      </c>
      <c r="G4407">
        <f>MINIFS(CBIC_Late_Fee_Relief_Windows_3B!$O$4407:$O$100,CBIC_Late_Fee_Relief_Windows_3B!$D$4407:$D$100,"&lt;="&amp;B4407,CBIC_Late_Fee_Relief_Windows_3B!$E$4407:$E$100,"&gt;="&amp;B4407,CBIC_Late_Fee_Relief_Windows_3B!$F$4407:$F$100,"&lt;="&amp;C4407,CBIC_Late_Fee_Relief_Windows_3B!$G$4407:$G$100,"&gt;="&amp;C4407)</f>
        <v/>
      </c>
      <c r="H4407">
        <f>INDEX(CBIC_Late_Fee_Relief_Windows_3B!$I$4407:$I$100,MATCH(G4407,CBIC_Late_Fee_Relief_Windows_3B!$O$4407:$O$100,0))</f>
        <v/>
      </c>
      <c r="I4407">
        <f>MIN(F4407,H4407)</f>
        <v/>
      </c>
    </row>
    <row r="4408">
      <c r="A4408">
        <f>TEST_DATA!A4408</f>
        <v/>
      </c>
      <c r="B4408">
        <f>TEST_DATA!B4408</f>
        <v/>
      </c>
      <c r="C4408">
        <f>TEST_DATA!C4408</f>
        <v/>
      </c>
      <c r="D4408">
        <f>TEST_DATA!D4408</f>
        <v/>
      </c>
      <c r="E4408">
        <f>TEST_DATA!E4408</f>
        <v/>
      </c>
      <c r="F4408">
        <f>MIN(E4408*440800,10000)</f>
        <v/>
      </c>
      <c r="G4408">
        <f>MINIFS(CBIC_Late_Fee_Relief_Windows_3B!$O$4408:$O$100,CBIC_Late_Fee_Relief_Windows_3B!$D$4408:$D$100,"&lt;="&amp;B4408,CBIC_Late_Fee_Relief_Windows_3B!$E$4408:$E$100,"&gt;="&amp;B4408,CBIC_Late_Fee_Relief_Windows_3B!$F$4408:$F$100,"&lt;="&amp;C4408,CBIC_Late_Fee_Relief_Windows_3B!$G$4408:$G$100,"&gt;="&amp;C4408)</f>
        <v/>
      </c>
      <c r="H4408">
        <f>INDEX(CBIC_Late_Fee_Relief_Windows_3B!$I$4408:$I$100,MATCH(G4408,CBIC_Late_Fee_Relief_Windows_3B!$O$4408:$O$100,0))</f>
        <v/>
      </c>
      <c r="I4408">
        <f>MIN(F4408,H4408)</f>
        <v/>
      </c>
    </row>
    <row r="4409">
      <c r="A4409">
        <f>TEST_DATA!A4409</f>
        <v/>
      </c>
      <c r="B4409">
        <f>TEST_DATA!B4409</f>
        <v/>
      </c>
      <c r="C4409">
        <f>TEST_DATA!C4409</f>
        <v/>
      </c>
      <c r="D4409">
        <f>TEST_DATA!D4409</f>
        <v/>
      </c>
      <c r="E4409">
        <f>TEST_DATA!E4409</f>
        <v/>
      </c>
      <c r="F4409">
        <f>MIN(E4409*440900,10000)</f>
        <v/>
      </c>
      <c r="G4409">
        <f>MINIFS(CBIC_Late_Fee_Relief_Windows_3B!$O$4409:$O$100,CBIC_Late_Fee_Relief_Windows_3B!$D$4409:$D$100,"&lt;="&amp;B4409,CBIC_Late_Fee_Relief_Windows_3B!$E$4409:$E$100,"&gt;="&amp;B4409,CBIC_Late_Fee_Relief_Windows_3B!$F$4409:$F$100,"&lt;="&amp;C4409,CBIC_Late_Fee_Relief_Windows_3B!$G$4409:$G$100,"&gt;="&amp;C4409)</f>
        <v/>
      </c>
      <c r="H4409">
        <f>INDEX(CBIC_Late_Fee_Relief_Windows_3B!$I$4409:$I$100,MATCH(G4409,CBIC_Late_Fee_Relief_Windows_3B!$O$4409:$O$100,0))</f>
        <v/>
      </c>
      <c r="I4409">
        <f>MIN(F4409,H4409)</f>
        <v/>
      </c>
    </row>
    <row r="4410">
      <c r="A4410">
        <f>TEST_DATA!A4410</f>
        <v/>
      </c>
      <c r="B4410">
        <f>TEST_DATA!B4410</f>
        <v/>
      </c>
      <c r="C4410">
        <f>TEST_DATA!C4410</f>
        <v/>
      </c>
      <c r="D4410">
        <f>TEST_DATA!D4410</f>
        <v/>
      </c>
      <c r="E4410">
        <f>TEST_DATA!E4410</f>
        <v/>
      </c>
      <c r="F4410">
        <f>MIN(E4410*441000,10000)</f>
        <v/>
      </c>
      <c r="G4410">
        <f>MINIFS(CBIC_Late_Fee_Relief_Windows_3B!$O$4410:$O$100,CBIC_Late_Fee_Relief_Windows_3B!$D$4410:$D$100,"&lt;="&amp;B4410,CBIC_Late_Fee_Relief_Windows_3B!$E$4410:$E$100,"&gt;="&amp;B4410,CBIC_Late_Fee_Relief_Windows_3B!$F$4410:$F$100,"&lt;="&amp;C4410,CBIC_Late_Fee_Relief_Windows_3B!$G$4410:$G$100,"&gt;="&amp;C4410)</f>
        <v/>
      </c>
      <c r="H4410">
        <f>INDEX(CBIC_Late_Fee_Relief_Windows_3B!$I$4410:$I$100,MATCH(G4410,CBIC_Late_Fee_Relief_Windows_3B!$O$4410:$O$100,0))</f>
        <v/>
      </c>
      <c r="I4410">
        <f>MIN(F4410,H4410)</f>
        <v/>
      </c>
    </row>
    <row r="4411">
      <c r="A4411">
        <f>TEST_DATA!A4411</f>
        <v/>
      </c>
      <c r="B4411">
        <f>TEST_DATA!B4411</f>
        <v/>
      </c>
      <c r="C4411">
        <f>TEST_DATA!C4411</f>
        <v/>
      </c>
      <c r="D4411">
        <f>TEST_DATA!D4411</f>
        <v/>
      </c>
      <c r="E4411">
        <f>TEST_DATA!E4411</f>
        <v/>
      </c>
      <c r="F4411">
        <f>MIN(E4411*441100,10000)</f>
        <v/>
      </c>
      <c r="G4411">
        <f>MINIFS(CBIC_Late_Fee_Relief_Windows_3B!$O$4411:$O$100,CBIC_Late_Fee_Relief_Windows_3B!$D$4411:$D$100,"&lt;="&amp;B4411,CBIC_Late_Fee_Relief_Windows_3B!$E$4411:$E$100,"&gt;="&amp;B4411,CBIC_Late_Fee_Relief_Windows_3B!$F$4411:$F$100,"&lt;="&amp;C4411,CBIC_Late_Fee_Relief_Windows_3B!$G$4411:$G$100,"&gt;="&amp;C4411)</f>
        <v/>
      </c>
      <c r="H4411">
        <f>INDEX(CBIC_Late_Fee_Relief_Windows_3B!$I$4411:$I$100,MATCH(G4411,CBIC_Late_Fee_Relief_Windows_3B!$O$4411:$O$100,0))</f>
        <v/>
      </c>
      <c r="I4411">
        <f>MIN(F4411,H4411)</f>
        <v/>
      </c>
    </row>
    <row r="4412">
      <c r="A4412">
        <f>TEST_DATA!A4412</f>
        <v/>
      </c>
      <c r="B4412">
        <f>TEST_DATA!B4412</f>
        <v/>
      </c>
      <c r="C4412">
        <f>TEST_DATA!C4412</f>
        <v/>
      </c>
      <c r="D4412">
        <f>TEST_DATA!D4412</f>
        <v/>
      </c>
      <c r="E4412">
        <f>TEST_DATA!E4412</f>
        <v/>
      </c>
      <c r="F4412">
        <f>MIN(E4412*441200,10000)</f>
        <v/>
      </c>
      <c r="G4412">
        <f>MINIFS(CBIC_Late_Fee_Relief_Windows_3B!$O$4412:$O$100,CBIC_Late_Fee_Relief_Windows_3B!$D$4412:$D$100,"&lt;="&amp;B4412,CBIC_Late_Fee_Relief_Windows_3B!$E$4412:$E$100,"&gt;="&amp;B4412,CBIC_Late_Fee_Relief_Windows_3B!$F$4412:$F$100,"&lt;="&amp;C4412,CBIC_Late_Fee_Relief_Windows_3B!$G$4412:$G$100,"&gt;="&amp;C4412)</f>
        <v/>
      </c>
      <c r="H4412">
        <f>INDEX(CBIC_Late_Fee_Relief_Windows_3B!$I$4412:$I$100,MATCH(G4412,CBIC_Late_Fee_Relief_Windows_3B!$O$4412:$O$100,0))</f>
        <v/>
      </c>
      <c r="I4412">
        <f>MIN(F4412,H4412)</f>
        <v/>
      </c>
    </row>
    <row r="4413">
      <c r="A4413">
        <f>TEST_DATA!A4413</f>
        <v/>
      </c>
      <c r="B4413">
        <f>TEST_DATA!B4413</f>
        <v/>
      </c>
      <c r="C4413">
        <f>TEST_DATA!C4413</f>
        <v/>
      </c>
      <c r="D4413">
        <f>TEST_DATA!D4413</f>
        <v/>
      </c>
      <c r="E4413">
        <f>TEST_DATA!E4413</f>
        <v/>
      </c>
      <c r="F4413">
        <f>MIN(E4413*441300,10000)</f>
        <v/>
      </c>
      <c r="G4413">
        <f>MINIFS(CBIC_Late_Fee_Relief_Windows_3B!$O$4413:$O$100,CBIC_Late_Fee_Relief_Windows_3B!$D$4413:$D$100,"&lt;="&amp;B4413,CBIC_Late_Fee_Relief_Windows_3B!$E$4413:$E$100,"&gt;="&amp;B4413,CBIC_Late_Fee_Relief_Windows_3B!$F$4413:$F$100,"&lt;="&amp;C4413,CBIC_Late_Fee_Relief_Windows_3B!$G$4413:$G$100,"&gt;="&amp;C4413)</f>
        <v/>
      </c>
      <c r="H4413">
        <f>INDEX(CBIC_Late_Fee_Relief_Windows_3B!$I$4413:$I$100,MATCH(G4413,CBIC_Late_Fee_Relief_Windows_3B!$O$4413:$O$100,0))</f>
        <v/>
      </c>
      <c r="I4413">
        <f>MIN(F4413,H4413)</f>
        <v/>
      </c>
    </row>
    <row r="4414">
      <c r="A4414">
        <f>TEST_DATA!A4414</f>
        <v/>
      </c>
      <c r="B4414">
        <f>TEST_DATA!B4414</f>
        <v/>
      </c>
      <c r="C4414">
        <f>TEST_DATA!C4414</f>
        <v/>
      </c>
      <c r="D4414">
        <f>TEST_DATA!D4414</f>
        <v/>
      </c>
      <c r="E4414">
        <f>TEST_DATA!E4414</f>
        <v/>
      </c>
      <c r="F4414">
        <f>MIN(E4414*441400,10000)</f>
        <v/>
      </c>
      <c r="G4414">
        <f>MINIFS(CBIC_Late_Fee_Relief_Windows_3B!$O$4414:$O$100,CBIC_Late_Fee_Relief_Windows_3B!$D$4414:$D$100,"&lt;="&amp;B4414,CBIC_Late_Fee_Relief_Windows_3B!$E$4414:$E$100,"&gt;="&amp;B4414,CBIC_Late_Fee_Relief_Windows_3B!$F$4414:$F$100,"&lt;="&amp;C4414,CBIC_Late_Fee_Relief_Windows_3B!$G$4414:$G$100,"&gt;="&amp;C4414)</f>
        <v/>
      </c>
      <c r="H4414">
        <f>INDEX(CBIC_Late_Fee_Relief_Windows_3B!$I$4414:$I$100,MATCH(G4414,CBIC_Late_Fee_Relief_Windows_3B!$O$4414:$O$100,0))</f>
        <v/>
      </c>
      <c r="I4414">
        <f>MIN(F4414,H4414)</f>
        <v/>
      </c>
    </row>
    <row r="4415">
      <c r="A4415">
        <f>TEST_DATA!A4415</f>
        <v/>
      </c>
      <c r="B4415">
        <f>TEST_DATA!B4415</f>
        <v/>
      </c>
      <c r="C4415">
        <f>TEST_DATA!C4415</f>
        <v/>
      </c>
      <c r="D4415">
        <f>TEST_DATA!D4415</f>
        <v/>
      </c>
      <c r="E4415">
        <f>TEST_DATA!E4415</f>
        <v/>
      </c>
      <c r="F4415">
        <f>MIN(E4415*441500,10000)</f>
        <v/>
      </c>
      <c r="G4415">
        <f>MINIFS(CBIC_Late_Fee_Relief_Windows_3B!$O$4415:$O$100,CBIC_Late_Fee_Relief_Windows_3B!$D$4415:$D$100,"&lt;="&amp;B4415,CBIC_Late_Fee_Relief_Windows_3B!$E$4415:$E$100,"&gt;="&amp;B4415,CBIC_Late_Fee_Relief_Windows_3B!$F$4415:$F$100,"&lt;="&amp;C4415,CBIC_Late_Fee_Relief_Windows_3B!$G$4415:$G$100,"&gt;="&amp;C4415)</f>
        <v/>
      </c>
      <c r="H4415">
        <f>INDEX(CBIC_Late_Fee_Relief_Windows_3B!$I$4415:$I$100,MATCH(G4415,CBIC_Late_Fee_Relief_Windows_3B!$O$4415:$O$100,0))</f>
        <v/>
      </c>
      <c r="I4415">
        <f>MIN(F4415,H4415)</f>
        <v/>
      </c>
    </row>
    <row r="4416">
      <c r="A4416">
        <f>TEST_DATA!A4416</f>
        <v/>
      </c>
      <c r="B4416">
        <f>TEST_DATA!B4416</f>
        <v/>
      </c>
      <c r="C4416">
        <f>TEST_DATA!C4416</f>
        <v/>
      </c>
      <c r="D4416">
        <f>TEST_DATA!D4416</f>
        <v/>
      </c>
      <c r="E4416">
        <f>TEST_DATA!E4416</f>
        <v/>
      </c>
      <c r="F4416">
        <f>MIN(E4416*441600,10000)</f>
        <v/>
      </c>
      <c r="G4416">
        <f>MINIFS(CBIC_Late_Fee_Relief_Windows_3B!$O$4416:$O$100,CBIC_Late_Fee_Relief_Windows_3B!$D$4416:$D$100,"&lt;="&amp;B4416,CBIC_Late_Fee_Relief_Windows_3B!$E$4416:$E$100,"&gt;="&amp;B4416,CBIC_Late_Fee_Relief_Windows_3B!$F$4416:$F$100,"&lt;="&amp;C4416,CBIC_Late_Fee_Relief_Windows_3B!$G$4416:$G$100,"&gt;="&amp;C4416)</f>
        <v/>
      </c>
      <c r="H4416">
        <f>INDEX(CBIC_Late_Fee_Relief_Windows_3B!$I$4416:$I$100,MATCH(G4416,CBIC_Late_Fee_Relief_Windows_3B!$O$4416:$O$100,0))</f>
        <v/>
      </c>
      <c r="I4416">
        <f>MIN(F4416,H4416)</f>
        <v/>
      </c>
    </row>
    <row r="4417">
      <c r="A4417">
        <f>TEST_DATA!A4417</f>
        <v/>
      </c>
      <c r="B4417">
        <f>TEST_DATA!B4417</f>
        <v/>
      </c>
      <c r="C4417">
        <f>TEST_DATA!C4417</f>
        <v/>
      </c>
      <c r="D4417">
        <f>TEST_DATA!D4417</f>
        <v/>
      </c>
      <c r="E4417">
        <f>TEST_DATA!E4417</f>
        <v/>
      </c>
      <c r="F4417">
        <f>MIN(E4417*441700,10000)</f>
        <v/>
      </c>
      <c r="G4417">
        <f>MINIFS(CBIC_Late_Fee_Relief_Windows_3B!$O$4417:$O$100,CBIC_Late_Fee_Relief_Windows_3B!$D$4417:$D$100,"&lt;="&amp;B4417,CBIC_Late_Fee_Relief_Windows_3B!$E$4417:$E$100,"&gt;="&amp;B4417,CBIC_Late_Fee_Relief_Windows_3B!$F$4417:$F$100,"&lt;="&amp;C4417,CBIC_Late_Fee_Relief_Windows_3B!$G$4417:$G$100,"&gt;="&amp;C4417)</f>
        <v/>
      </c>
      <c r="H4417">
        <f>INDEX(CBIC_Late_Fee_Relief_Windows_3B!$I$4417:$I$100,MATCH(G4417,CBIC_Late_Fee_Relief_Windows_3B!$O$4417:$O$100,0))</f>
        <v/>
      </c>
      <c r="I4417">
        <f>MIN(F4417,H4417)</f>
        <v/>
      </c>
    </row>
    <row r="4418">
      <c r="A4418">
        <f>TEST_DATA!A4418</f>
        <v/>
      </c>
      <c r="B4418">
        <f>TEST_DATA!B4418</f>
        <v/>
      </c>
      <c r="C4418">
        <f>TEST_DATA!C4418</f>
        <v/>
      </c>
      <c r="D4418">
        <f>TEST_DATA!D4418</f>
        <v/>
      </c>
      <c r="E4418">
        <f>TEST_DATA!E4418</f>
        <v/>
      </c>
      <c r="F4418">
        <f>MIN(E4418*441800,10000)</f>
        <v/>
      </c>
      <c r="G4418">
        <f>MINIFS(CBIC_Late_Fee_Relief_Windows_3B!$O$4418:$O$100,CBIC_Late_Fee_Relief_Windows_3B!$D$4418:$D$100,"&lt;="&amp;B4418,CBIC_Late_Fee_Relief_Windows_3B!$E$4418:$E$100,"&gt;="&amp;B4418,CBIC_Late_Fee_Relief_Windows_3B!$F$4418:$F$100,"&lt;="&amp;C4418,CBIC_Late_Fee_Relief_Windows_3B!$G$4418:$G$100,"&gt;="&amp;C4418)</f>
        <v/>
      </c>
      <c r="H4418">
        <f>INDEX(CBIC_Late_Fee_Relief_Windows_3B!$I$4418:$I$100,MATCH(G4418,CBIC_Late_Fee_Relief_Windows_3B!$O$4418:$O$100,0))</f>
        <v/>
      </c>
      <c r="I4418">
        <f>MIN(F4418,H4418)</f>
        <v/>
      </c>
    </row>
    <row r="4419">
      <c r="A4419">
        <f>TEST_DATA!A4419</f>
        <v/>
      </c>
      <c r="B4419">
        <f>TEST_DATA!B4419</f>
        <v/>
      </c>
      <c r="C4419">
        <f>TEST_DATA!C4419</f>
        <v/>
      </c>
      <c r="D4419">
        <f>TEST_DATA!D4419</f>
        <v/>
      </c>
      <c r="E4419">
        <f>TEST_DATA!E4419</f>
        <v/>
      </c>
      <c r="F4419">
        <f>MIN(E4419*441900,10000)</f>
        <v/>
      </c>
      <c r="G4419">
        <f>MINIFS(CBIC_Late_Fee_Relief_Windows_3B!$O$4419:$O$100,CBIC_Late_Fee_Relief_Windows_3B!$D$4419:$D$100,"&lt;="&amp;B4419,CBIC_Late_Fee_Relief_Windows_3B!$E$4419:$E$100,"&gt;="&amp;B4419,CBIC_Late_Fee_Relief_Windows_3B!$F$4419:$F$100,"&lt;="&amp;C4419,CBIC_Late_Fee_Relief_Windows_3B!$G$4419:$G$100,"&gt;="&amp;C4419)</f>
        <v/>
      </c>
      <c r="H4419">
        <f>INDEX(CBIC_Late_Fee_Relief_Windows_3B!$I$4419:$I$100,MATCH(G4419,CBIC_Late_Fee_Relief_Windows_3B!$O$4419:$O$100,0))</f>
        <v/>
      </c>
      <c r="I4419">
        <f>MIN(F4419,H4419)</f>
        <v/>
      </c>
    </row>
    <row r="4420">
      <c r="A4420">
        <f>TEST_DATA!A4420</f>
        <v/>
      </c>
      <c r="B4420">
        <f>TEST_DATA!B4420</f>
        <v/>
      </c>
      <c r="C4420">
        <f>TEST_DATA!C4420</f>
        <v/>
      </c>
      <c r="D4420">
        <f>TEST_DATA!D4420</f>
        <v/>
      </c>
      <c r="E4420">
        <f>TEST_DATA!E4420</f>
        <v/>
      </c>
      <c r="F4420">
        <f>MIN(E4420*442000,10000)</f>
        <v/>
      </c>
      <c r="G4420">
        <f>MINIFS(CBIC_Late_Fee_Relief_Windows_3B!$O$4420:$O$100,CBIC_Late_Fee_Relief_Windows_3B!$D$4420:$D$100,"&lt;="&amp;B4420,CBIC_Late_Fee_Relief_Windows_3B!$E$4420:$E$100,"&gt;="&amp;B4420,CBIC_Late_Fee_Relief_Windows_3B!$F$4420:$F$100,"&lt;="&amp;C4420,CBIC_Late_Fee_Relief_Windows_3B!$G$4420:$G$100,"&gt;="&amp;C4420)</f>
        <v/>
      </c>
      <c r="H4420">
        <f>INDEX(CBIC_Late_Fee_Relief_Windows_3B!$I$4420:$I$100,MATCH(G4420,CBIC_Late_Fee_Relief_Windows_3B!$O$4420:$O$100,0))</f>
        <v/>
      </c>
      <c r="I4420">
        <f>MIN(F4420,H4420)</f>
        <v/>
      </c>
    </row>
    <row r="4421">
      <c r="A4421">
        <f>TEST_DATA!A4421</f>
        <v/>
      </c>
      <c r="B4421">
        <f>TEST_DATA!B4421</f>
        <v/>
      </c>
      <c r="C4421">
        <f>TEST_DATA!C4421</f>
        <v/>
      </c>
      <c r="D4421">
        <f>TEST_DATA!D4421</f>
        <v/>
      </c>
      <c r="E4421">
        <f>TEST_DATA!E4421</f>
        <v/>
      </c>
      <c r="F4421">
        <f>MIN(E4421*442100,10000)</f>
        <v/>
      </c>
      <c r="G4421">
        <f>MINIFS(CBIC_Late_Fee_Relief_Windows_3B!$O$4421:$O$100,CBIC_Late_Fee_Relief_Windows_3B!$D$4421:$D$100,"&lt;="&amp;B4421,CBIC_Late_Fee_Relief_Windows_3B!$E$4421:$E$100,"&gt;="&amp;B4421,CBIC_Late_Fee_Relief_Windows_3B!$F$4421:$F$100,"&lt;="&amp;C4421,CBIC_Late_Fee_Relief_Windows_3B!$G$4421:$G$100,"&gt;="&amp;C4421)</f>
        <v/>
      </c>
      <c r="H4421">
        <f>INDEX(CBIC_Late_Fee_Relief_Windows_3B!$I$4421:$I$100,MATCH(G4421,CBIC_Late_Fee_Relief_Windows_3B!$O$4421:$O$100,0))</f>
        <v/>
      </c>
      <c r="I4421">
        <f>MIN(F4421,H4421)</f>
        <v/>
      </c>
    </row>
    <row r="4422">
      <c r="A4422">
        <f>TEST_DATA!A4422</f>
        <v/>
      </c>
      <c r="B4422">
        <f>TEST_DATA!B4422</f>
        <v/>
      </c>
      <c r="C4422">
        <f>TEST_DATA!C4422</f>
        <v/>
      </c>
      <c r="D4422">
        <f>TEST_DATA!D4422</f>
        <v/>
      </c>
      <c r="E4422">
        <f>TEST_DATA!E4422</f>
        <v/>
      </c>
      <c r="F4422">
        <f>MIN(E4422*442200,10000)</f>
        <v/>
      </c>
      <c r="G4422">
        <f>MINIFS(CBIC_Late_Fee_Relief_Windows_3B!$O$4422:$O$100,CBIC_Late_Fee_Relief_Windows_3B!$D$4422:$D$100,"&lt;="&amp;B4422,CBIC_Late_Fee_Relief_Windows_3B!$E$4422:$E$100,"&gt;="&amp;B4422,CBIC_Late_Fee_Relief_Windows_3B!$F$4422:$F$100,"&lt;="&amp;C4422,CBIC_Late_Fee_Relief_Windows_3B!$G$4422:$G$100,"&gt;="&amp;C4422)</f>
        <v/>
      </c>
      <c r="H4422">
        <f>INDEX(CBIC_Late_Fee_Relief_Windows_3B!$I$4422:$I$100,MATCH(G4422,CBIC_Late_Fee_Relief_Windows_3B!$O$4422:$O$100,0))</f>
        <v/>
      </c>
      <c r="I4422">
        <f>MIN(F4422,H4422)</f>
        <v/>
      </c>
    </row>
    <row r="4423">
      <c r="A4423">
        <f>TEST_DATA!A4423</f>
        <v/>
      </c>
      <c r="B4423">
        <f>TEST_DATA!B4423</f>
        <v/>
      </c>
      <c r="C4423">
        <f>TEST_DATA!C4423</f>
        <v/>
      </c>
      <c r="D4423">
        <f>TEST_DATA!D4423</f>
        <v/>
      </c>
      <c r="E4423">
        <f>TEST_DATA!E4423</f>
        <v/>
      </c>
      <c r="F4423">
        <f>MIN(E4423*442300,10000)</f>
        <v/>
      </c>
      <c r="G4423">
        <f>MINIFS(CBIC_Late_Fee_Relief_Windows_3B!$O$4423:$O$100,CBIC_Late_Fee_Relief_Windows_3B!$D$4423:$D$100,"&lt;="&amp;B4423,CBIC_Late_Fee_Relief_Windows_3B!$E$4423:$E$100,"&gt;="&amp;B4423,CBIC_Late_Fee_Relief_Windows_3B!$F$4423:$F$100,"&lt;="&amp;C4423,CBIC_Late_Fee_Relief_Windows_3B!$G$4423:$G$100,"&gt;="&amp;C4423)</f>
        <v/>
      </c>
      <c r="H4423">
        <f>INDEX(CBIC_Late_Fee_Relief_Windows_3B!$I$4423:$I$100,MATCH(G4423,CBIC_Late_Fee_Relief_Windows_3B!$O$4423:$O$100,0))</f>
        <v/>
      </c>
      <c r="I4423">
        <f>MIN(F4423,H4423)</f>
        <v/>
      </c>
    </row>
    <row r="4424">
      <c r="A4424">
        <f>TEST_DATA!A4424</f>
        <v/>
      </c>
      <c r="B4424">
        <f>TEST_DATA!B4424</f>
        <v/>
      </c>
      <c r="C4424">
        <f>TEST_DATA!C4424</f>
        <v/>
      </c>
      <c r="D4424">
        <f>TEST_DATA!D4424</f>
        <v/>
      </c>
      <c r="E4424">
        <f>TEST_DATA!E4424</f>
        <v/>
      </c>
      <c r="F4424">
        <f>MIN(E4424*442400,10000)</f>
        <v/>
      </c>
      <c r="G4424">
        <f>MINIFS(CBIC_Late_Fee_Relief_Windows_3B!$O$4424:$O$100,CBIC_Late_Fee_Relief_Windows_3B!$D$4424:$D$100,"&lt;="&amp;B4424,CBIC_Late_Fee_Relief_Windows_3B!$E$4424:$E$100,"&gt;="&amp;B4424,CBIC_Late_Fee_Relief_Windows_3B!$F$4424:$F$100,"&lt;="&amp;C4424,CBIC_Late_Fee_Relief_Windows_3B!$G$4424:$G$100,"&gt;="&amp;C4424)</f>
        <v/>
      </c>
      <c r="H4424">
        <f>INDEX(CBIC_Late_Fee_Relief_Windows_3B!$I$4424:$I$100,MATCH(G4424,CBIC_Late_Fee_Relief_Windows_3B!$O$4424:$O$100,0))</f>
        <v/>
      </c>
      <c r="I4424">
        <f>MIN(F4424,H4424)</f>
        <v/>
      </c>
    </row>
    <row r="4425">
      <c r="A4425">
        <f>TEST_DATA!A4425</f>
        <v/>
      </c>
      <c r="B4425">
        <f>TEST_DATA!B4425</f>
        <v/>
      </c>
      <c r="C4425">
        <f>TEST_DATA!C4425</f>
        <v/>
      </c>
      <c r="D4425">
        <f>TEST_DATA!D4425</f>
        <v/>
      </c>
      <c r="E4425">
        <f>TEST_DATA!E4425</f>
        <v/>
      </c>
      <c r="F4425">
        <f>MIN(E4425*442500,10000)</f>
        <v/>
      </c>
      <c r="G4425">
        <f>MINIFS(CBIC_Late_Fee_Relief_Windows_3B!$O$4425:$O$100,CBIC_Late_Fee_Relief_Windows_3B!$D$4425:$D$100,"&lt;="&amp;B4425,CBIC_Late_Fee_Relief_Windows_3B!$E$4425:$E$100,"&gt;="&amp;B4425,CBIC_Late_Fee_Relief_Windows_3B!$F$4425:$F$100,"&lt;="&amp;C4425,CBIC_Late_Fee_Relief_Windows_3B!$G$4425:$G$100,"&gt;="&amp;C4425)</f>
        <v/>
      </c>
      <c r="H4425">
        <f>INDEX(CBIC_Late_Fee_Relief_Windows_3B!$I$4425:$I$100,MATCH(G4425,CBIC_Late_Fee_Relief_Windows_3B!$O$4425:$O$100,0))</f>
        <v/>
      </c>
      <c r="I4425">
        <f>MIN(F4425,H4425)</f>
        <v/>
      </c>
    </row>
    <row r="4426">
      <c r="A4426">
        <f>TEST_DATA!A4426</f>
        <v/>
      </c>
      <c r="B4426">
        <f>TEST_DATA!B4426</f>
        <v/>
      </c>
      <c r="C4426">
        <f>TEST_DATA!C4426</f>
        <v/>
      </c>
      <c r="D4426">
        <f>TEST_DATA!D4426</f>
        <v/>
      </c>
      <c r="E4426">
        <f>TEST_DATA!E4426</f>
        <v/>
      </c>
      <c r="F4426">
        <f>MIN(E4426*442600,10000)</f>
        <v/>
      </c>
      <c r="G4426">
        <f>MINIFS(CBIC_Late_Fee_Relief_Windows_3B!$O$4426:$O$100,CBIC_Late_Fee_Relief_Windows_3B!$D$4426:$D$100,"&lt;="&amp;B4426,CBIC_Late_Fee_Relief_Windows_3B!$E$4426:$E$100,"&gt;="&amp;B4426,CBIC_Late_Fee_Relief_Windows_3B!$F$4426:$F$100,"&lt;="&amp;C4426,CBIC_Late_Fee_Relief_Windows_3B!$G$4426:$G$100,"&gt;="&amp;C4426)</f>
        <v/>
      </c>
      <c r="H4426">
        <f>INDEX(CBIC_Late_Fee_Relief_Windows_3B!$I$4426:$I$100,MATCH(G4426,CBIC_Late_Fee_Relief_Windows_3B!$O$4426:$O$100,0))</f>
        <v/>
      </c>
      <c r="I4426">
        <f>MIN(F4426,H4426)</f>
        <v/>
      </c>
    </row>
    <row r="4427">
      <c r="A4427">
        <f>TEST_DATA!A4427</f>
        <v/>
      </c>
      <c r="B4427">
        <f>TEST_DATA!B4427</f>
        <v/>
      </c>
      <c r="C4427">
        <f>TEST_DATA!C4427</f>
        <v/>
      </c>
      <c r="D4427">
        <f>TEST_DATA!D4427</f>
        <v/>
      </c>
      <c r="E4427">
        <f>TEST_DATA!E4427</f>
        <v/>
      </c>
      <c r="F4427">
        <f>MIN(E4427*442700,10000)</f>
        <v/>
      </c>
      <c r="G4427">
        <f>MINIFS(CBIC_Late_Fee_Relief_Windows_3B!$O$4427:$O$100,CBIC_Late_Fee_Relief_Windows_3B!$D$4427:$D$100,"&lt;="&amp;B4427,CBIC_Late_Fee_Relief_Windows_3B!$E$4427:$E$100,"&gt;="&amp;B4427,CBIC_Late_Fee_Relief_Windows_3B!$F$4427:$F$100,"&lt;="&amp;C4427,CBIC_Late_Fee_Relief_Windows_3B!$G$4427:$G$100,"&gt;="&amp;C4427)</f>
        <v/>
      </c>
      <c r="H4427">
        <f>INDEX(CBIC_Late_Fee_Relief_Windows_3B!$I$4427:$I$100,MATCH(G4427,CBIC_Late_Fee_Relief_Windows_3B!$O$4427:$O$100,0))</f>
        <v/>
      </c>
      <c r="I4427">
        <f>MIN(F4427,H4427)</f>
        <v/>
      </c>
    </row>
    <row r="4428">
      <c r="A4428">
        <f>TEST_DATA!A4428</f>
        <v/>
      </c>
      <c r="B4428">
        <f>TEST_DATA!B4428</f>
        <v/>
      </c>
      <c r="C4428">
        <f>TEST_DATA!C4428</f>
        <v/>
      </c>
      <c r="D4428">
        <f>TEST_DATA!D4428</f>
        <v/>
      </c>
      <c r="E4428">
        <f>TEST_DATA!E4428</f>
        <v/>
      </c>
      <c r="F4428">
        <f>MIN(E4428*442800,10000)</f>
        <v/>
      </c>
      <c r="G4428">
        <f>MINIFS(CBIC_Late_Fee_Relief_Windows_3B!$O$4428:$O$100,CBIC_Late_Fee_Relief_Windows_3B!$D$4428:$D$100,"&lt;="&amp;B4428,CBIC_Late_Fee_Relief_Windows_3B!$E$4428:$E$100,"&gt;="&amp;B4428,CBIC_Late_Fee_Relief_Windows_3B!$F$4428:$F$100,"&lt;="&amp;C4428,CBIC_Late_Fee_Relief_Windows_3B!$G$4428:$G$100,"&gt;="&amp;C4428)</f>
        <v/>
      </c>
      <c r="H4428">
        <f>INDEX(CBIC_Late_Fee_Relief_Windows_3B!$I$4428:$I$100,MATCH(G4428,CBIC_Late_Fee_Relief_Windows_3B!$O$4428:$O$100,0))</f>
        <v/>
      </c>
      <c r="I4428">
        <f>MIN(F4428,H4428)</f>
        <v/>
      </c>
    </row>
    <row r="4429">
      <c r="A4429">
        <f>TEST_DATA!A4429</f>
        <v/>
      </c>
      <c r="B4429">
        <f>TEST_DATA!B4429</f>
        <v/>
      </c>
      <c r="C4429">
        <f>TEST_DATA!C4429</f>
        <v/>
      </c>
      <c r="D4429">
        <f>TEST_DATA!D4429</f>
        <v/>
      </c>
      <c r="E4429">
        <f>TEST_DATA!E4429</f>
        <v/>
      </c>
      <c r="F4429">
        <f>MIN(E4429*442900,10000)</f>
        <v/>
      </c>
      <c r="G4429">
        <f>MINIFS(CBIC_Late_Fee_Relief_Windows_3B!$O$4429:$O$100,CBIC_Late_Fee_Relief_Windows_3B!$D$4429:$D$100,"&lt;="&amp;B4429,CBIC_Late_Fee_Relief_Windows_3B!$E$4429:$E$100,"&gt;="&amp;B4429,CBIC_Late_Fee_Relief_Windows_3B!$F$4429:$F$100,"&lt;="&amp;C4429,CBIC_Late_Fee_Relief_Windows_3B!$G$4429:$G$100,"&gt;="&amp;C4429)</f>
        <v/>
      </c>
      <c r="H4429">
        <f>INDEX(CBIC_Late_Fee_Relief_Windows_3B!$I$4429:$I$100,MATCH(G4429,CBIC_Late_Fee_Relief_Windows_3B!$O$4429:$O$100,0))</f>
        <v/>
      </c>
      <c r="I4429">
        <f>MIN(F4429,H4429)</f>
        <v/>
      </c>
    </row>
    <row r="4430">
      <c r="A4430">
        <f>TEST_DATA!A4430</f>
        <v/>
      </c>
      <c r="B4430">
        <f>TEST_DATA!B4430</f>
        <v/>
      </c>
      <c r="C4430">
        <f>TEST_DATA!C4430</f>
        <v/>
      </c>
      <c r="D4430">
        <f>TEST_DATA!D4430</f>
        <v/>
      </c>
      <c r="E4430">
        <f>TEST_DATA!E4430</f>
        <v/>
      </c>
      <c r="F4430">
        <f>MIN(E4430*443000,10000)</f>
        <v/>
      </c>
      <c r="G4430">
        <f>MINIFS(CBIC_Late_Fee_Relief_Windows_3B!$O$4430:$O$100,CBIC_Late_Fee_Relief_Windows_3B!$D$4430:$D$100,"&lt;="&amp;B4430,CBIC_Late_Fee_Relief_Windows_3B!$E$4430:$E$100,"&gt;="&amp;B4430,CBIC_Late_Fee_Relief_Windows_3B!$F$4430:$F$100,"&lt;="&amp;C4430,CBIC_Late_Fee_Relief_Windows_3B!$G$4430:$G$100,"&gt;="&amp;C4430)</f>
        <v/>
      </c>
      <c r="H4430">
        <f>INDEX(CBIC_Late_Fee_Relief_Windows_3B!$I$4430:$I$100,MATCH(G4430,CBIC_Late_Fee_Relief_Windows_3B!$O$4430:$O$100,0))</f>
        <v/>
      </c>
      <c r="I4430">
        <f>MIN(F4430,H4430)</f>
        <v/>
      </c>
    </row>
    <row r="4431">
      <c r="A4431">
        <f>TEST_DATA!A4431</f>
        <v/>
      </c>
      <c r="B4431">
        <f>TEST_DATA!B4431</f>
        <v/>
      </c>
      <c r="C4431">
        <f>TEST_DATA!C4431</f>
        <v/>
      </c>
      <c r="D4431">
        <f>TEST_DATA!D4431</f>
        <v/>
      </c>
      <c r="E4431">
        <f>TEST_DATA!E4431</f>
        <v/>
      </c>
      <c r="F4431">
        <f>MIN(E4431*443100,10000)</f>
        <v/>
      </c>
      <c r="G4431">
        <f>MINIFS(CBIC_Late_Fee_Relief_Windows_3B!$O$4431:$O$100,CBIC_Late_Fee_Relief_Windows_3B!$D$4431:$D$100,"&lt;="&amp;B4431,CBIC_Late_Fee_Relief_Windows_3B!$E$4431:$E$100,"&gt;="&amp;B4431,CBIC_Late_Fee_Relief_Windows_3B!$F$4431:$F$100,"&lt;="&amp;C4431,CBIC_Late_Fee_Relief_Windows_3B!$G$4431:$G$100,"&gt;="&amp;C4431)</f>
        <v/>
      </c>
      <c r="H4431">
        <f>INDEX(CBIC_Late_Fee_Relief_Windows_3B!$I$4431:$I$100,MATCH(G4431,CBIC_Late_Fee_Relief_Windows_3B!$O$4431:$O$100,0))</f>
        <v/>
      </c>
      <c r="I4431">
        <f>MIN(F4431,H4431)</f>
        <v/>
      </c>
    </row>
    <row r="4432">
      <c r="A4432">
        <f>TEST_DATA!A4432</f>
        <v/>
      </c>
      <c r="B4432">
        <f>TEST_DATA!B4432</f>
        <v/>
      </c>
      <c r="C4432">
        <f>TEST_DATA!C4432</f>
        <v/>
      </c>
      <c r="D4432">
        <f>TEST_DATA!D4432</f>
        <v/>
      </c>
      <c r="E4432">
        <f>TEST_DATA!E4432</f>
        <v/>
      </c>
      <c r="F4432">
        <f>MIN(E4432*443200,10000)</f>
        <v/>
      </c>
      <c r="G4432">
        <f>MINIFS(CBIC_Late_Fee_Relief_Windows_3B!$O$4432:$O$100,CBIC_Late_Fee_Relief_Windows_3B!$D$4432:$D$100,"&lt;="&amp;B4432,CBIC_Late_Fee_Relief_Windows_3B!$E$4432:$E$100,"&gt;="&amp;B4432,CBIC_Late_Fee_Relief_Windows_3B!$F$4432:$F$100,"&lt;="&amp;C4432,CBIC_Late_Fee_Relief_Windows_3B!$G$4432:$G$100,"&gt;="&amp;C4432)</f>
        <v/>
      </c>
      <c r="H4432">
        <f>INDEX(CBIC_Late_Fee_Relief_Windows_3B!$I$4432:$I$100,MATCH(G4432,CBIC_Late_Fee_Relief_Windows_3B!$O$4432:$O$100,0))</f>
        <v/>
      </c>
      <c r="I4432">
        <f>MIN(F4432,H4432)</f>
        <v/>
      </c>
    </row>
    <row r="4433">
      <c r="A4433">
        <f>TEST_DATA!A4433</f>
        <v/>
      </c>
      <c r="B4433">
        <f>TEST_DATA!B4433</f>
        <v/>
      </c>
      <c r="C4433">
        <f>TEST_DATA!C4433</f>
        <v/>
      </c>
      <c r="D4433">
        <f>TEST_DATA!D4433</f>
        <v/>
      </c>
      <c r="E4433">
        <f>TEST_DATA!E4433</f>
        <v/>
      </c>
      <c r="F4433">
        <f>MIN(E4433*443300,10000)</f>
        <v/>
      </c>
      <c r="G4433">
        <f>MINIFS(CBIC_Late_Fee_Relief_Windows_3B!$O$4433:$O$100,CBIC_Late_Fee_Relief_Windows_3B!$D$4433:$D$100,"&lt;="&amp;B4433,CBIC_Late_Fee_Relief_Windows_3B!$E$4433:$E$100,"&gt;="&amp;B4433,CBIC_Late_Fee_Relief_Windows_3B!$F$4433:$F$100,"&lt;="&amp;C4433,CBIC_Late_Fee_Relief_Windows_3B!$G$4433:$G$100,"&gt;="&amp;C4433)</f>
        <v/>
      </c>
      <c r="H4433">
        <f>INDEX(CBIC_Late_Fee_Relief_Windows_3B!$I$4433:$I$100,MATCH(G4433,CBIC_Late_Fee_Relief_Windows_3B!$O$4433:$O$100,0))</f>
        <v/>
      </c>
      <c r="I4433">
        <f>MIN(F4433,H4433)</f>
        <v/>
      </c>
    </row>
    <row r="4434">
      <c r="A4434">
        <f>TEST_DATA!A4434</f>
        <v/>
      </c>
      <c r="B4434">
        <f>TEST_DATA!B4434</f>
        <v/>
      </c>
      <c r="C4434">
        <f>TEST_DATA!C4434</f>
        <v/>
      </c>
      <c r="D4434">
        <f>TEST_DATA!D4434</f>
        <v/>
      </c>
      <c r="E4434">
        <f>TEST_DATA!E4434</f>
        <v/>
      </c>
      <c r="F4434">
        <f>MIN(E4434*443400,10000)</f>
        <v/>
      </c>
      <c r="G4434">
        <f>MINIFS(CBIC_Late_Fee_Relief_Windows_3B!$O$4434:$O$100,CBIC_Late_Fee_Relief_Windows_3B!$D$4434:$D$100,"&lt;="&amp;B4434,CBIC_Late_Fee_Relief_Windows_3B!$E$4434:$E$100,"&gt;="&amp;B4434,CBIC_Late_Fee_Relief_Windows_3B!$F$4434:$F$100,"&lt;="&amp;C4434,CBIC_Late_Fee_Relief_Windows_3B!$G$4434:$G$100,"&gt;="&amp;C4434)</f>
        <v/>
      </c>
      <c r="H4434">
        <f>INDEX(CBIC_Late_Fee_Relief_Windows_3B!$I$4434:$I$100,MATCH(G4434,CBIC_Late_Fee_Relief_Windows_3B!$O$4434:$O$100,0))</f>
        <v/>
      </c>
      <c r="I4434">
        <f>MIN(F4434,H4434)</f>
        <v/>
      </c>
    </row>
    <row r="4435">
      <c r="A4435">
        <f>TEST_DATA!A4435</f>
        <v/>
      </c>
      <c r="B4435">
        <f>TEST_DATA!B4435</f>
        <v/>
      </c>
      <c r="C4435">
        <f>TEST_DATA!C4435</f>
        <v/>
      </c>
      <c r="D4435">
        <f>TEST_DATA!D4435</f>
        <v/>
      </c>
      <c r="E4435">
        <f>TEST_DATA!E4435</f>
        <v/>
      </c>
      <c r="F4435">
        <f>MIN(E4435*443500,10000)</f>
        <v/>
      </c>
      <c r="G4435">
        <f>MINIFS(CBIC_Late_Fee_Relief_Windows_3B!$O$4435:$O$100,CBIC_Late_Fee_Relief_Windows_3B!$D$4435:$D$100,"&lt;="&amp;B4435,CBIC_Late_Fee_Relief_Windows_3B!$E$4435:$E$100,"&gt;="&amp;B4435,CBIC_Late_Fee_Relief_Windows_3B!$F$4435:$F$100,"&lt;="&amp;C4435,CBIC_Late_Fee_Relief_Windows_3B!$G$4435:$G$100,"&gt;="&amp;C4435)</f>
        <v/>
      </c>
      <c r="H4435">
        <f>INDEX(CBIC_Late_Fee_Relief_Windows_3B!$I$4435:$I$100,MATCH(G4435,CBIC_Late_Fee_Relief_Windows_3B!$O$4435:$O$100,0))</f>
        <v/>
      </c>
      <c r="I4435">
        <f>MIN(F4435,H4435)</f>
        <v/>
      </c>
    </row>
    <row r="4436">
      <c r="A4436">
        <f>TEST_DATA!A4436</f>
        <v/>
      </c>
      <c r="B4436">
        <f>TEST_DATA!B4436</f>
        <v/>
      </c>
      <c r="C4436">
        <f>TEST_DATA!C4436</f>
        <v/>
      </c>
      <c r="D4436">
        <f>TEST_DATA!D4436</f>
        <v/>
      </c>
      <c r="E4436">
        <f>TEST_DATA!E4436</f>
        <v/>
      </c>
      <c r="F4436">
        <f>MIN(E4436*443600,10000)</f>
        <v/>
      </c>
      <c r="G4436">
        <f>MINIFS(CBIC_Late_Fee_Relief_Windows_3B!$O$4436:$O$100,CBIC_Late_Fee_Relief_Windows_3B!$D$4436:$D$100,"&lt;="&amp;B4436,CBIC_Late_Fee_Relief_Windows_3B!$E$4436:$E$100,"&gt;="&amp;B4436,CBIC_Late_Fee_Relief_Windows_3B!$F$4436:$F$100,"&lt;="&amp;C4436,CBIC_Late_Fee_Relief_Windows_3B!$G$4436:$G$100,"&gt;="&amp;C4436)</f>
        <v/>
      </c>
      <c r="H4436">
        <f>INDEX(CBIC_Late_Fee_Relief_Windows_3B!$I$4436:$I$100,MATCH(G4436,CBIC_Late_Fee_Relief_Windows_3B!$O$4436:$O$100,0))</f>
        <v/>
      </c>
      <c r="I4436">
        <f>MIN(F4436,H4436)</f>
        <v/>
      </c>
    </row>
    <row r="4437">
      <c r="A4437">
        <f>TEST_DATA!A4437</f>
        <v/>
      </c>
      <c r="B4437">
        <f>TEST_DATA!B4437</f>
        <v/>
      </c>
      <c r="C4437">
        <f>TEST_DATA!C4437</f>
        <v/>
      </c>
      <c r="D4437">
        <f>TEST_DATA!D4437</f>
        <v/>
      </c>
      <c r="E4437">
        <f>TEST_DATA!E4437</f>
        <v/>
      </c>
      <c r="F4437">
        <f>MIN(E4437*443700,10000)</f>
        <v/>
      </c>
      <c r="G4437">
        <f>MINIFS(CBIC_Late_Fee_Relief_Windows_3B!$O$4437:$O$100,CBIC_Late_Fee_Relief_Windows_3B!$D$4437:$D$100,"&lt;="&amp;B4437,CBIC_Late_Fee_Relief_Windows_3B!$E$4437:$E$100,"&gt;="&amp;B4437,CBIC_Late_Fee_Relief_Windows_3B!$F$4437:$F$100,"&lt;="&amp;C4437,CBIC_Late_Fee_Relief_Windows_3B!$G$4437:$G$100,"&gt;="&amp;C4437)</f>
        <v/>
      </c>
      <c r="H4437">
        <f>INDEX(CBIC_Late_Fee_Relief_Windows_3B!$I$4437:$I$100,MATCH(G4437,CBIC_Late_Fee_Relief_Windows_3B!$O$4437:$O$100,0))</f>
        <v/>
      </c>
      <c r="I4437">
        <f>MIN(F4437,H4437)</f>
        <v/>
      </c>
    </row>
    <row r="4438">
      <c r="A4438">
        <f>TEST_DATA!A4438</f>
        <v/>
      </c>
      <c r="B4438">
        <f>TEST_DATA!B4438</f>
        <v/>
      </c>
      <c r="C4438">
        <f>TEST_DATA!C4438</f>
        <v/>
      </c>
      <c r="D4438">
        <f>TEST_DATA!D4438</f>
        <v/>
      </c>
      <c r="E4438">
        <f>TEST_DATA!E4438</f>
        <v/>
      </c>
      <c r="F4438">
        <f>MIN(E4438*443800,10000)</f>
        <v/>
      </c>
      <c r="G4438">
        <f>MINIFS(CBIC_Late_Fee_Relief_Windows_3B!$O$4438:$O$100,CBIC_Late_Fee_Relief_Windows_3B!$D$4438:$D$100,"&lt;="&amp;B4438,CBIC_Late_Fee_Relief_Windows_3B!$E$4438:$E$100,"&gt;="&amp;B4438,CBIC_Late_Fee_Relief_Windows_3B!$F$4438:$F$100,"&lt;="&amp;C4438,CBIC_Late_Fee_Relief_Windows_3B!$G$4438:$G$100,"&gt;="&amp;C4438)</f>
        <v/>
      </c>
      <c r="H4438">
        <f>INDEX(CBIC_Late_Fee_Relief_Windows_3B!$I$4438:$I$100,MATCH(G4438,CBIC_Late_Fee_Relief_Windows_3B!$O$4438:$O$100,0))</f>
        <v/>
      </c>
      <c r="I4438">
        <f>MIN(F4438,H4438)</f>
        <v/>
      </c>
    </row>
    <row r="4439">
      <c r="A4439">
        <f>TEST_DATA!A4439</f>
        <v/>
      </c>
      <c r="B4439">
        <f>TEST_DATA!B4439</f>
        <v/>
      </c>
      <c r="C4439">
        <f>TEST_DATA!C4439</f>
        <v/>
      </c>
      <c r="D4439">
        <f>TEST_DATA!D4439</f>
        <v/>
      </c>
      <c r="E4439">
        <f>TEST_DATA!E4439</f>
        <v/>
      </c>
      <c r="F4439">
        <f>MIN(E4439*443900,10000)</f>
        <v/>
      </c>
      <c r="G4439">
        <f>MINIFS(CBIC_Late_Fee_Relief_Windows_3B!$O$4439:$O$100,CBIC_Late_Fee_Relief_Windows_3B!$D$4439:$D$100,"&lt;="&amp;B4439,CBIC_Late_Fee_Relief_Windows_3B!$E$4439:$E$100,"&gt;="&amp;B4439,CBIC_Late_Fee_Relief_Windows_3B!$F$4439:$F$100,"&lt;="&amp;C4439,CBIC_Late_Fee_Relief_Windows_3B!$G$4439:$G$100,"&gt;="&amp;C4439)</f>
        <v/>
      </c>
      <c r="H4439">
        <f>INDEX(CBIC_Late_Fee_Relief_Windows_3B!$I$4439:$I$100,MATCH(G4439,CBIC_Late_Fee_Relief_Windows_3B!$O$4439:$O$100,0))</f>
        <v/>
      </c>
      <c r="I4439">
        <f>MIN(F4439,H4439)</f>
        <v/>
      </c>
    </row>
    <row r="4440">
      <c r="A4440">
        <f>TEST_DATA!A4440</f>
        <v/>
      </c>
      <c r="B4440">
        <f>TEST_DATA!B4440</f>
        <v/>
      </c>
      <c r="C4440">
        <f>TEST_DATA!C4440</f>
        <v/>
      </c>
      <c r="D4440">
        <f>TEST_DATA!D4440</f>
        <v/>
      </c>
      <c r="E4440">
        <f>TEST_DATA!E4440</f>
        <v/>
      </c>
      <c r="F4440">
        <f>MIN(E4440*444000,10000)</f>
        <v/>
      </c>
      <c r="G4440">
        <f>MINIFS(CBIC_Late_Fee_Relief_Windows_3B!$O$4440:$O$100,CBIC_Late_Fee_Relief_Windows_3B!$D$4440:$D$100,"&lt;="&amp;B4440,CBIC_Late_Fee_Relief_Windows_3B!$E$4440:$E$100,"&gt;="&amp;B4440,CBIC_Late_Fee_Relief_Windows_3B!$F$4440:$F$100,"&lt;="&amp;C4440,CBIC_Late_Fee_Relief_Windows_3B!$G$4440:$G$100,"&gt;="&amp;C4440)</f>
        <v/>
      </c>
      <c r="H4440">
        <f>INDEX(CBIC_Late_Fee_Relief_Windows_3B!$I$4440:$I$100,MATCH(G4440,CBIC_Late_Fee_Relief_Windows_3B!$O$4440:$O$100,0))</f>
        <v/>
      </c>
      <c r="I4440">
        <f>MIN(F4440,H4440)</f>
        <v/>
      </c>
    </row>
    <row r="4441">
      <c r="A4441">
        <f>TEST_DATA!A4441</f>
        <v/>
      </c>
      <c r="B4441">
        <f>TEST_DATA!B4441</f>
        <v/>
      </c>
      <c r="C4441">
        <f>TEST_DATA!C4441</f>
        <v/>
      </c>
      <c r="D4441">
        <f>TEST_DATA!D4441</f>
        <v/>
      </c>
      <c r="E4441">
        <f>TEST_DATA!E4441</f>
        <v/>
      </c>
      <c r="F4441">
        <f>MIN(E4441*444100,10000)</f>
        <v/>
      </c>
      <c r="G4441">
        <f>MINIFS(CBIC_Late_Fee_Relief_Windows_3B!$O$4441:$O$100,CBIC_Late_Fee_Relief_Windows_3B!$D$4441:$D$100,"&lt;="&amp;B4441,CBIC_Late_Fee_Relief_Windows_3B!$E$4441:$E$100,"&gt;="&amp;B4441,CBIC_Late_Fee_Relief_Windows_3B!$F$4441:$F$100,"&lt;="&amp;C4441,CBIC_Late_Fee_Relief_Windows_3B!$G$4441:$G$100,"&gt;="&amp;C4441)</f>
        <v/>
      </c>
      <c r="H4441">
        <f>INDEX(CBIC_Late_Fee_Relief_Windows_3B!$I$4441:$I$100,MATCH(G4441,CBIC_Late_Fee_Relief_Windows_3B!$O$4441:$O$100,0))</f>
        <v/>
      </c>
      <c r="I4441">
        <f>MIN(F4441,H4441)</f>
        <v/>
      </c>
    </row>
    <row r="4442">
      <c r="A4442">
        <f>TEST_DATA!A4442</f>
        <v/>
      </c>
      <c r="B4442">
        <f>TEST_DATA!B4442</f>
        <v/>
      </c>
      <c r="C4442">
        <f>TEST_DATA!C4442</f>
        <v/>
      </c>
      <c r="D4442">
        <f>TEST_DATA!D4442</f>
        <v/>
      </c>
      <c r="E4442">
        <f>TEST_DATA!E4442</f>
        <v/>
      </c>
      <c r="F4442">
        <f>MIN(E4442*444200,10000)</f>
        <v/>
      </c>
      <c r="G4442">
        <f>MINIFS(CBIC_Late_Fee_Relief_Windows_3B!$O$4442:$O$100,CBIC_Late_Fee_Relief_Windows_3B!$D$4442:$D$100,"&lt;="&amp;B4442,CBIC_Late_Fee_Relief_Windows_3B!$E$4442:$E$100,"&gt;="&amp;B4442,CBIC_Late_Fee_Relief_Windows_3B!$F$4442:$F$100,"&lt;="&amp;C4442,CBIC_Late_Fee_Relief_Windows_3B!$G$4442:$G$100,"&gt;="&amp;C4442)</f>
        <v/>
      </c>
      <c r="H4442">
        <f>INDEX(CBIC_Late_Fee_Relief_Windows_3B!$I$4442:$I$100,MATCH(G4442,CBIC_Late_Fee_Relief_Windows_3B!$O$4442:$O$100,0))</f>
        <v/>
      </c>
      <c r="I4442">
        <f>MIN(F4442,H4442)</f>
        <v/>
      </c>
    </row>
    <row r="4443">
      <c r="A4443">
        <f>TEST_DATA!A4443</f>
        <v/>
      </c>
      <c r="B4443">
        <f>TEST_DATA!B4443</f>
        <v/>
      </c>
      <c r="C4443">
        <f>TEST_DATA!C4443</f>
        <v/>
      </c>
      <c r="D4443">
        <f>TEST_DATA!D4443</f>
        <v/>
      </c>
      <c r="E4443">
        <f>TEST_DATA!E4443</f>
        <v/>
      </c>
      <c r="F4443">
        <f>MIN(E4443*444300,10000)</f>
        <v/>
      </c>
      <c r="G4443">
        <f>MINIFS(CBIC_Late_Fee_Relief_Windows_3B!$O$4443:$O$100,CBIC_Late_Fee_Relief_Windows_3B!$D$4443:$D$100,"&lt;="&amp;B4443,CBIC_Late_Fee_Relief_Windows_3B!$E$4443:$E$100,"&gt;="&amp;B4443,CBIC_Late_Fee_Relief_Windows_3B!$F$4443:$F$100,"&lt;="&amp;C4443,CBIC_Late_Fee_Relief_Windows_3B!$G$4443:$G$100,"&gt;="&amp;C4443)</f>
        <v/>
      </c>
      <c r="H4443">
        <f>INDEX(CBIC_Late_Fee_Relief_Windows_3B!$I$4443:$I$100,MATCH(G4443,CBIC_Late_Fee_Relief_Windows_3B!$O$4443:$O$100,0))</f>
        <v/>
      </c>
      <c r="I4443">
        <f>MIN(F4443,H4443)</f>
        <v/>
      </c>
    </row>
    <row r="4444">
      <c r="A4444">
        <f>TEST_DATA!A4444</f>
        <v/>
      </c>
      <c r="B4444">
        <f>TEST_DATA!B4444</f>
        <v/>
      </c>
      <c r="C4444">
        <f>TEST_DATA!C4444</f>
        <v/>
      </c>
      <c r="D4444">
        <f>TEST_DATA!D4444</f>
        <v/>
      </c>
      <c r="E4444">
        <f>TEST_DATA!E4444</f>
        <v/>
      </c>
      <c r="F4444">
        <f>MIN(E4444*444400,10000)</f>
        <v/>
      </c>
      <c r="G4444">
        <f>MINIFS(CBIC_Late_Fee_Relief_Windows_3B!$O$4444:$O$100,CBIC_Late_Fee_Relief_Windows_3B!$D$4444:$D$100,"&lt;="&amp;B4444,CBIC_Late_Fee_Relief_Windows_3B!$E$4444:$E$100,"&gt;="&amp;B4444,CBIC_Late_Fee_Relief_Windows_3B!$F$4444:$F$100,"&lt;="&amp;C4444,CBIC_Late_Fee_Relief_Windows_3B!$G$4444:$G$100,"&gt;="&amp;C4444)</f>
        <v/>
      </c>
      <c r="H4444">
        <f>INDEX(CBIC_Late_Fee_Relief_Windows_3B!$I$4444:$I$100,MATCH(G4444,CBIC_Late_Fee_Relief_Windows_3B!$O$4444:$O$100,0))</f>
        <v/>
      </c>
      <c r="I4444">
        <f>MIN(F4444,H4444)</f>
        <v/>
      </c>
    </row>
    <row r="4445">
      <c r="A4445">
        <f>TEST_DATA!A4445</f>
        <v/>
      </c>
      <c r="B4445">
        <f>TEST_DATA!B4445</f>
        <v/>
      </c>
      <c r="C4445">
        <f>TEST_DATA!C4445</f>
        <v/>
      </c>
      <c r="D4445">
        <f>TEST_DATA!D4445</f>
        <v/>
      </c>
      <c r="E4445">
        <f>TEST_DATA!E4445</f>
        <v/>
      </c>
      <c r="F4445">
        <f>MIN(E4445*444500,10000)</f>
        <v/>
      </c>
      <c r="G4445">
        <f>MINIFS(CBIC_Late_Fee_Relief_Windows_3B!$O$4445:$O$100,CBIC_Late_Fee_Relief_Windows_3B!$D$4445:$D$100,"&lt;="&amp;B4445,CBIC_Late_Fee_Relief_Windows_3B!$E$4445:$E$100,"&gt;="&amp;B4445,CBIC_Late_Fee_Relief_Windows_3B!$F$4445:$F$100,"&lt;="&amp;C4445,CBIC_Late_Fee_Relief_Windows_3B!$G$4445:$G$100,"&gt;="&amp;C4445)</f>
        <v/>
      </c>
      <c r="H4445">
        <f>INDEX(CBIC_Late_Fee_Relief_Windows_3B!$I$4445:$I$100,MATCH(G4445,CBIC_Late_Fee_Relief_Windows_3B!$O$4445:$O$100,0))</f>
        <v/>
      </c>
      <c r="I4445">
        <f>MIN(F4445,H4445)</f>
        <v/>
      </c>
    </row>
    <row r="4446">
      <c r="A4446">
        <f>TEST_DATA!A4446</f>
        <v/>
      </c>
      <c r="B4446">
        <f>TEST_DATA!B4446</f>
        <v/>
      </c>
      <c r="C4446">
        <f>TEST_DATA!C4446</f>
        <v/>
      </c>
      <c r="D4446">
        <f>TEST_DATA!D4446</f>
        <v/>
      </c>
      <c r="E4446">
        <f>TEST_DATA!E4446</f>
        <v/>
      </c>
      <c r="F4446">
        <f>MIN(E4446*444600,10000)</f>
        <v/>
      </c>
      <c r="G4446">
        <f>MINIFS(CBIC_Late_Fee_Relief_Windows_3B!$O$4446:$O$100,CBIC_Late_Fee_Relief_Windows_3B!$D$4446:$D$100,"&lt;="&amp;B4446,CBIC_Late_Fee_Relief_Windows_3B!$E$4446:$E$100,"&gt;="&amp;B4446,CBIC_Late_Fee_Relief_Windows_3B!$F$4446:$F$100,"&lt;="&amp;C4446,CBIC_Late_Fee_Relief_Windows_3B!$G$4446:$G$100,"&gt;="&amp;C4446)</f>
        <v/>
      </c>
      <c r="H4446">
        <f>INDEX(CBIC_Late_Fee_Relief_Windows_3B!$I$4446:$I$100,MATCH(G4446,CBIC_Late_Fee_Relief_Windows_3B!$O$4446:$O$100,0))</f>
        <v/>
      </c>
      <c r="I4446">
        <f>MIN(F4446,H4446)</f>
        <v/>
      </c>
    </row>
    <row r="4447">
      <c r="A4447">
        <f>TEST_DATA!A4447</f>
        <v/>
      </c>
      <c r="B4447">
        <f>TEST_DATA!B4447</f>
        <v/>
      </c>
      <c r="C4447">
        <f>TEST_DATA!C4447</f>
        <v/>
      </c>
      <c r="D4447">
        <f>TEST_DATA!D4447</f>
        <v/>
      </c>
      <c r="E4447">
        <f>TEST_DATA!E4447</f>
        <v/>
      </c>
      <c r="F4447">
        <f>MIN(E4447*444700,10000)</f>
        <v/>
      </c>
      <c r="G4447">
        <f>MINIFS(CBIC_Late_Fee_Relief_Windows_3B!$O$4447:$O$100,CBIC_Late_Fee_Relief_Windows_3B!$D$4447:$D$100,"&lt;="&amp;B4447,CBIC_Late_Fee_Relief_Windows_3B!$E$4447:$E$100,"&gt;="&amp;B4447,CBIC_Late_Fee_Relief_Windows_3B!$F$4447:$F$100,"&lt;="&amp;C4447,CBIC_Late_Fee_Relief_Windows_3B!$G$4447:$G$100,"&gt;="&amp;C4447)</f>
        <v/>
      </c>
      <c r="H4447">
        <f>INDEX(CBIC_Late_Fee_Relief_Windows_3B!$I$4447:$I$100,MATCH(G4447,CBIC_Late_Fee_Relief_Windows_3B!$O$4447:$O$100,0))</f>
        <v/>
      </c>
      <c r="I4447">
        <f>MIN(F4447,H4447)</f>
        <v/>
      </c>
    </row>
    <row r="4448">
      <c r="A4448">
        <f>TEST_DATA!A4448</f>
        <v/>
      </c>
      <c r="B4448">
        <f>TEST_DATA!B4448</f>
        <v/>
      </c>
      <c r="C4448">
        <f>TEST_DATA!C4448</f>
        <v/>
      </c>
      <c r="D4448">
        <f>TEST_DATA!D4448</f>
        <v/>
      </c>
      <c r="E4448">
        <f>TEST_DATA!E4448</f>
        <v/>
      </c>
      <c r="F4448">
        <f>MIN(E4448*444800,10000)</f>
        <v/>
      </c>
      <c r="G4448">
        <f>MINIFS(CBIC_Late_Fee_Relief_Windows_3B!$O$4448:$O$100,CBIC_Late_Fee_Relief_Windows_3B!$D$4448:$D$100,"&lt;="&amp;B4448,CBIC_Late_Fee_Relief_Windows_3B!$E$4448:$E$100,"&gt;="&amp;B4448,CBIC_Late_Fee_Relief_Windows_3B!$F$4448:$F$100,"&lt;="&amp;C4448,CBIC_Late_Fee_Relief_Windows_3B!$G$4448:$G$100,"&gt;="&amp;C4448)</f>
        <v/>
      </c>
      <c r="H4448">
        <f>INDEX(CBIC_Late_Fee_Relief_Windows_3B!$I$4448:$I$100,MATCH(G4448,CBIC_Late_Fee_Relief_Windows_3B!$O$4448:$O$100,0))</f>
        <v/>
      </c>
      <c r="I4448">
        <f>MIN(F4448,H4448)</f>
        <v/>
      </c>
    </row>
    <row r="4449">
      <c r="A4449">
        <f>TEST_DATA!A4449</f>
        <v/>
      </c>
      <c r="B4449">
        <f>TEST_DATA!B4449</f>
        <v/>
      </c>
      <c r="C4449">
        <f>TEST_DATA!C4449</f>
        <v/>
      </c>
      <c r="D4449">
        <f>TEST_DATA!D4449</f>
        <v/>
      </c>
      <c r="E4449">
        <f>TEST_DATA!E4449</f>
        <v/>
      </c>
      <c r="F4449">
        <f>MIN(E4449*444900,10000)</f>
        <v/>
      </c>
      <c r="G4449">
        <f>MINIFS(CBIC_Late_Fee_Relief_Windows_3B!$O$4449:$O$100,CBIC_Late_Fee_Relief_Windows_3B!$D$4449:$D$100,"&lt;="&amp;B4449,CBIC_Late_Fee_Relief_Windows_3B!$E$4449:$E$100,"&gt;="&amp;B4449,CBIC_Late_Fee_Relief_Windows_3B!$F$4449:$F$100,"&lt;="&amp;C4449,CBIC_Late_Fee_Relief_Windows_3B!$G$4449:$G$100,"&gt;="&amp;C4449)</f>
        <v/>
      </c>
      <c r="H4449">
        <f>INDEX(CBIC_Late_Fee_Relief_Windows_3B!$I$4449:$I$100,MATCH(G4449,CBIC_Late_Fee_Relief_Windows_3B!$O$4449:$O$100,0))</f>
        <v/>
      </c>
      <c r="I4449">
        <f>MIN(F4449,H4449)</f>
        <v/>
      </c>
    </row>
    <row r="4450">
      <c r="A4450">
        <f>TEST_DATA!A4450</f>
        <v/>
      </c>
      <c r="B4450">
        <f>TEST_DATA!B4450</f>
        <v/>
      </c>
      <c r="C4450">
        <f>TEST_DATA!C4450</f>
        <v/>
      </c>
      <c r="D4450">
        <f>TEST_DATA!D4450</f>
        <v/>
      </c>
      <c r="E4450">
        <f>TEST_DATA!E4450</f>
        <v/>
      </c>
      <c r="F4450">
        <f>MIN(E4450*445000,10000)</f>
        <v/>
      </c>
      <c r="G4450">
        <f>MINIFS(CBIC_Late_Fee_Relief_Windows_3B!$O$4450:$O$100,CBIC_Late_Fee_Relief_Windows_3B!$D$4450:$D$100,"&lt;="&amp;B4450,CBIC_Late_Fee_Relief_Windows_3B!$E$4450:$E$100,"&gt;="&amp;B4450,CBIC_Late_Fee_Relief_Windows_3B!$F$4450:$F$100,"&lt;="&amp;C4450,CBIC_Late_Fee_Relief_Windows_3B!$G$4450:$G$100,"&gt;="&amp;C4450)</f>
        <v/>
      </c>
      <c r="H4450">
        <f>INDEX(CBIC_Late_Fee_Relief_Windows_3B!$I$4450:$I$100,MATCH(G4450,CBIC_Late_Fee_Relief_Windows_3B!$O$4450:$O$100,0))</f>
        <v/>
      </c>
      <c r="I4450">
        <f>MIN(F4450,H4450)</f>
        <v/>
      </c>
    </row>
    <row r="4451">
      <c r="A4451">
        <f>TEST_DATA!A4451</f>
        <v/>
      </c>
      <c r="B4451">
        <f>TEST_DATA!B4451</f>
        <v/>
      </c>
      <c r="C4451">
        <f>TEST_DATA!C4451</f>
        <v/>
      </c>
      <c r="D4451">
        <f>TEST_DATA!D4451</f>
        <v/>
      </c>
      <c r="E4451">
        <f>TEST_DATA!E4451</f>
        <v/>
      </c>
      <c r="F4451">
        <f>MIN(E4451*445100,10000)</f>
        <v/>
      </c>
      <c r="G4451">
        <f>MINIFS(CBIC_Late_Fee_Relief_Windows_3B!$O$4451:$O$100,CBIC_Late_Fee_Relief_Windows_3B!$D$4451:$D$100,"&lt;="&amp;B4451,CBIC_Late_Fee_Relief_Windows_3B!$E$4451:$E$100,"&gt;="&amp;B4451,CBIC_Late_Fee_Relief_Windows_3B!$F$4451:$F$100,"&lt;="&amp;C4451,CBIC_Late_Fee_Relief_Windows_3B!$G$4451:$G$100,"&gt;="&amp;C4451)</f>
        <v/>
      </c>
      <c r="H4451">
        <f>INDEX(CBIC_Late_Fee_Relief_Windows_3B!$I$4451:$I$100,MATCH(G4451,CBIC_Late_Fee_Relief_Windows_3B!$O$4451:$O$100,0))</f>
        <v/>
      </c>
      <c r="I4451">
        <f>MIN(F4451,H4451)</f>
        <v/>
      </c>
    </row>
    <row r="4452">
      <c r="A4452">
        <f>TEST_DATA!A4452</f>
        <v/>
      </c>
      <c r="B4452">
        <f>TEST_DATA!B4452</f>
        <v/>
      </c>
      <c r="C4452">
        <f>TEST_DATA!C4452</f>
        <v/>
      </c>
      <c r="D4452">
        <f>TEST_DATA!D4452</f>
        <v/>
      </c>
      <c r="E4452">
        <f>TEST_DATA!E4452</f>
        <v/>
      </c>
      <c r="F4452">
        <f>MIN(E4452*445200,10000)</f>
        <v/>
      </c>
      <c r="G4452">
        <f>MINIFS(CBIC_Late_Fee_Relief_Windows_3B!$O$4452:$O$100,CBIC_Late_Fee_Relief_Windows_3B!$D$4452:$D$100,"&lt;="&amp;B4452,CBIC_Late_Fee_Relief_Windows_3B!$E$4452:$E$100,"&gt;="&amp;B4452,CBIC_Late_Fee_Relief_Windows_3B!$F$4452:$F$100,"&lt;="&amp;C4452,CBIC_Late_Fee_Relief_Windows_3B!$G$4452:$G$100,"&gt;="&amp;C4452)</f>
        <v/>
      </c>
      <c r="H4452">
        <f>INDEX(CBIC_Late_Fee_Relief_Windows_3B!$I$4452:$I$100,MATCH(G4452,CBIC_Late_Fee_Relief_Windows_3B!$O$4452:$O$100,0))</f>
        <v/>
      </c>
      <c r="I4452">
        <f>MIN(F4452,H4452)</f>
        <v/>
      </c>
    </row>
    <row r="4453">
      <c r="A4453">
        <f>TEST_DATA!A4453</f>
        <v/>
      </c>
      <c r="B4453">
        <f>TEST_DATA!B4453</f>
        <v/>
      </c>
      <c r="C4453">
        <f>TEST_DATA!C4453</f>
        <v/>
      </c>
      <c r="D4453">
        <f>TEST_DATA!D4453</f>
        <v/>
      </c>
      <c r="E4453">
        <f>TEST_DATA!E4453</f>
        <v/>
      </c>
      <c r="F4453">
        <f>MIN(E4453*445300,10000)</f>
        <v/>
      </c>
      <c r="G4453">
        <f>MINIFS(CBIC_Late_Fee_Relief_Windows_3B!$O$4453:$O$100,CBIC_Late_Fee_Relief_Windows_3B!$D$4453:$D$100,"&lt;="&amp;B4453,CBIC_Late_Fee_Relief_Windows_3B!$E$4453:$E$100,"&gt;="&amp;B4453,CBIC_Late_Fee_Relief_Windows_3B!$F$4453:$F$100,"&lt;="&amp;C4453,CBIC_Late_Fee_Relief_Windows_3B!$G$4453:$G$100,"&gt;="&amp;C4453)</f>
        <v/>
      </c>
      <c r="H4453">
        <f>INDEX(CBIC_Late_Fee_Relief_Windows_3B!$I$4453:$I$100,MATCH(G4453,CBIC_Late_Fee_Relief_Windows_3B!$O$4453:$O$100,0))</f>
        <v/>
      </c>
      <c r="I4453">
        <f>MIN(F4453,H4453)</f>
        <v/>
      </c>
    </row>
    <row r="4454">
      <c r="A4454">
        <f>TEST_DATA!A4454</f>
        <v/>
      </c>
      <c r="B4454">
        <f>TEST_DATA!B4454</f>
        <v/>
      </c>
      <c r="C4454">
        <f>TEST_DATA!C4454</f>
        <v/>
      </c>
      <c r="D4454">
        <f>TEST_DATA!D4454</f>
        <v/>
      </c>
      <c r="E4454">
        <f>TEST_DATA!E4454</f>
        <v/>
      </c>
      <c r="F4454">
        <f>MIN(E4454*445400,10000)</f>
        <v/>
      </c>
      <c r="G4454">
        <f>MINIFS(CBIC_Late_Fee_Relief_Windows_3B!$O$4454:$O$100,CBIC_Late_Fee_Relief_Windows_3B!$D$4454:$D$100,"&lt;="&amp;B4454,CBIC_Late_Fee_Relief_Windows_3B!$E$4454:$E$100,"&gt;="&amp;B4454,CBIC_Late_Fee_Relief_Windows_3B!$F$4454:$F$100,"&lt;="&amp;C4454,CBIC_Late_Fee_Relief_Windows_3B!$G$4454:$G$100,"&gt;="&amp;C4454)</f>
        <v/>
      </c>
      <c r="H4454">
        <f>INDEX(CBIC_Late_Fee_Relief_Windows_3B!$I$4454:$I$100,MATCH(G4454,CBIC_Late_Fee_Relief_Windows_3B!$O$4454:$O$100,0))</f>
        <v/>
      </c>
      <c r="I4454">
        <f>MIN(F4454,H4454)</f>
        <v/>
      </c>
    </row>
    <row r="4455">
      <c r="A4455">
        <f>TEST_DATA!A4455</f>
        <v/>
      </c>
      <c r="B4455">
        <f>TEST_DATA!B4455</f>
        <v/>
      </c>
      <c r="C4455">
        <f>TEST_DATA!C4455</f>
        <v/>
      </c>
      <c r="D4455">
        <f>TEST_DATA!D4455</f>
        <v/>
      </c>
      <c r="E4455">
        <f>TEST_DATA!E4455</f>
        <v/>
      </c>
      <c r="F4455">
        <f>MIN(E4455*445500,10000)</f>
        <v/>
      </c>
      <c r="G4455">
        <f>MINIFS(CBIC_Late_Fee_Relief_Windows_3B!$O$4455:$O$100,CBIC_Late_Fee_Relief_Windows_3B!$D$4455:$D$100,"&lt;="&amp;B4455,CBIC_Late_Fee_Relief_Windows_3B!$E$4455:$E$100,"&gt;="&amp;B4455,CBIC_Late_Fee_Relief_Windows_3B!$F$4455:$F$100,"&lt;="&amp;C4455,CBIC_Late_Fee_Relief_Windows_3B!$G$4455:$G$100,"&gt;="&amp;C4455)</f>
        <v/>
      </c>
      <c r="H4455">
        <f>INDEX(CBIC_Late_Fee_Relief_Windows_3B!$I$4455:$I$100,MATCH(G4455,CBIC_Late_Fee_Relief_Windows_3B!$O$4455:$O$100,0))</f>
        <v/>
      </c>
      <c r="I4455">
        <f>MIN(F4455,H4455)</f>
        <v/>
      </c>
    </row>
    <row r="4456">
      <c r="A4456">
        <f>TEST_DATA!A4456</f>
        <v/>
      </c>
      <c r="B4456">
        <f>TEST_DATA!B4456</f>
        <v/>
      </c>
      <c r="C4456">
        <f>TEST_DATA!C4456</f>
        <v/>
      </c>
      <c r="D4456">
        <f>TEST_DATA!D4456</f>
        <v/>
      </c>
      <c r="E4456">
        <f>TEST_DATA!E4456</f>
        <v/>
      </c>
      <c r="F4456">
        <f>MIN(E4456*445600,10000)</f>
        <v/>
      </c>
      <c r="G4456">
        <f>MINIFS(CBIC_Late_Fee_Relief_Windows_3B!$O$4456:$O$100,CBIC_Late_Fee_Relief_Windows_3B!$D$4456:$D$100,"&lt;="&amp;B4456,CBIC_Late_Fee_Relief_Windows_3B!$E$4456:$E$100,"&gt;="&amp;B4456,CBIC_Late_Fee_Relief_Windows_3B!$F$4456:$F$100,"&lt;="&amp;C4456,CBIC_Late_Fee_Relief_Windows_3B!$G$4456:$G$100,"&gt;="&amp;C4456)</f>
        <v/>
      </c>
      <c r="H4456">
        <f>INDEX(CBIC_Late_Fee_Relief_Windows_3B!$I$4456:$I$100,MATCH(G4456,CBIC_Late_Fee_Relief_Windows_3B!$O$4456:$O$100,0))</f>
        <v/>
      </c>
      <c r="I4456">
        <f>MIN(F4456,H4456)</f>
        <v/>
      </c>
    </row>
    <row r="4457">
      <c r="A4457">
        <f>TEST_DATA!A4457</f>
        <v/>
      </c>
      <c r="B4457">
        <f>TEST_DATA!B4457</f>
        <v/>
      </c>
      <c r="C4457">
        <f>TEST_DATA!C4457</f>
        <v/>
      </c>
      <c r="D4457">
        <f>TEST_DATA!D4457</f>
        <v/>
      </c>
      <c r="E4457">
        <f>TEST_DATA!E4457</f>
        <v/>
      </c>
      <c r="F4457">
        <f>MIN(E4457*445700,10000)</f>
        <v/>
      </c>
      <c r="G4457">
        <f>MINIFS(CBIC_Late_Fee_Relief_Windows_3B!$O$4457:$O$100,CBIC_Late_Fee_Relief_Windows_3B!$D$4457:$D$100,"&lt;="&amp;B4457,CBIC_Late_Fee_Relief_Windows_3B!$E$4457:$E$100,"&gt;="&amp;B4457,CBIC_Late_Fee_Relief_Windows_3B!$F$4457:$F$100,"&lt;="&amp;C4457,CBIC_Late_Fee_Relief_Windows_3B!$G$4457:$G$100,"&gt;="&amp;C4457)</f>
        <v/>
      </c>
      <c r="H4457">
        <f>INDEX(CBIC_Late_Fee_Relief_Windows_3B!$I$4457:$I$100,MATCH(G4457,CBIC_Late_Fee_Relief_Windows_3B!$O$4457:$O$100,0))</f>
        <v/>
      </c>
      <c r="I4457">
        <f>MIN(F4457,H4457)</f>
        <v/>
      </c>
    </row>
    <row r="4458">
      <c r="A4458">
        <f>TEST_DATA!A4458</f>
        <v/>
      </c>
      <c r="B4458">
        <f>TEST_DATA!B4458</f>
        <v/>
      </c>
      <c r="C4458">
        <f>TEST_DATA!C4458</f>
        <v/>
      </c>
      <c r="D4458">
        <f>TEST_DATA!D4458</f>
        <v/>
      </c>
      <c r="E4458">
        <f>TEST_DATA!E4458</f>
        <v/>
      </c>
      <c r="F4458">
        <f>MIN(E4458*445800,10000)</f>
        <v/>
      </c>
      <c r="G4458">
        <f>MINIFS(CBIC_Late_Fee_Relief_Windows_3B!$O$4458:$O$100,CBIC_Late_Fee_Relief_Windows_3B!$D$4458:$D$100,"&lt;="&amp;B4458,CBIC_Late_Fee_Relief_Windows_3B!$E$4458:$E$100,"&gt;="&amp;B4458,CBIC_Late_Fee_Relief_Windows_3B!$F$4458:$F$100,"&lt;="&amp;C4458,CBIC_Late_Fee_Relief_Windows_3B!$G$4458:$G$100,"&gt;="&amp;C4458)</f>
        <v/>
      </c>
      <c r="H4458">
        <f>INDEX(CBIC_Late_Fee_Relief_Windows_3B!$I$4458:$I$100,MATCH(G4458,CBIC_Late_Fee_Relief_Windows_3B!$O$4458:$O$100,0))</f>
        <v/>
      </c>
      <c r="I4458">
        <f>MIN(F4458,H4458)</f>
        <v/>
      </c>
    </row>
    <row r="4459">
      <c r="A4459">
        <f>TEST_DATA!A4459</f>
        <v/>
      </c>
      <c r="B4459">
        <f>TEST_DATA!B4459</f>
        <v/>
      </c>
      <c r="C4459">
        <f>TEST_DATA!C4459</f>
        <v/>
      </c>
      <c r="D4459">
        <f>TEST_DATA!D4459</f>
        <v/>
      </c>
      <c r="E4459">
        <f>TEST_DATA!E4459</f>
        <v/>
      </c>
      <c r="F4459">
        <f>MIN(E4459*445900,10000)</f>
        <v/>
      </c>
      <c r="G4459">
        <f>MINIFS(CBIC_Late_Fee_Relief_Windows_3B!$O$4459:$O$100,CBIC_Late_Fee_Relief_Windows_3B!$D$4459:$D$100,"&lt;="&amp;B4459,CBIC_Late_Fee_Relief_Windows_3B!$E$4459:$E$100,"&gt;="&amp;B4459,CBIC_Late_Fee_Relief_Windows_3B!$F$4459:$F$100,"&lt;="&amp;C4459,CBIC_Late_Fee_Relief_Windows_3B!$G$4459:$G$100,"&gt;="&amp;C4459)</f>
        <v/>
      </c>
      <c r="H4459">
        <f>INDEX(CBIC_Late_Fee_Relief_Windows_3B!$I$4459:$I$100,MATCH(G4459,CBIC_Late_Fee_Relief_Windows_3B!$O$4459:$O$100,0))</f>
        <v/>
      </c>
      <c r="I4459">
        <f>MIN(F4459,H4459)</f>
        <v/>
      </c>
    </row>
    <row r="4460">
      <c r="A4460">
        <f>TEST_DATA!A4460</f>
        <v/>
      </c>
      <c r="B4460">
        <f>TEST_DATA!B4460</f>
        <v/>
      </c>
      <c r="C4460">
        <f>TEST_DATA!C4460</f>
        <v/>
      </c>
      <c r="D4460">
        <f>TEST_DATA!D4460</f>
        <v/>
      </c>
      <c r="E4460">
        <f>TEST_DATA!E4460</f>
        <v/>
      </c>
      <c r="F4460">
        <f>MIN(E4460*446000,10000)</f>
        <v/>
      </c>
      <c r="G4460">
        <f>MINIFS(CBIC_Late_Fee_Relief_Windows_3B!$O$4460:$O$100,CBIC_Late_Fee_Relief_Windows_3B!$D$4460:$D$100,"&lt;="&amp;B4460,CBIC_Late_Fee_Relief_Windows_3B!$E$4460:$E$100,"&gt;="&amp;B4460,CBIC_Late_Fee_Relief_Windows_3B!$F$4460:$F$100,"&lt;="&amp;C4460,CBIC_Late_Fee_Relief_Windows_3B!$G$4460:$G$100,"&gt;="&amp;C4460)</f>
        <v/>
      </c>
      <c r="H4460">
        <f>INDEX(CBIC_Late_Fee_Relief_Windows_3B!$I$4460:$I$100,MATCH(G4460,CBIC_Late_Fee_Relief_Windows_3B!$O$4460:$O$100,0))</f>
        <v/>
      </c>
      <c r="I4460">
        <f>MIN(F4460,H4460)</f>
        <v/>
      </c>
    </row>
    <row r="4461">
      <c r="A4461">
        <f>TEST_DATA!A4461</f>
        <v/>
      </c>
      <c r="B4461">
        <f>TEST_DATA!B4461</f>
        <v/>
      </c>
      <c r="C4461">
        <f>TEST_DATA!C4461</f>
        <v/>
      </c>
      <c r="D4461">
        <f>TEST_DATA!D4461</f>
        <v/>
      </c>
      <c r="E4461">
        <f>TEST_DATA!E4461</f>
        <v/>
      </c>
      <c r="F4461">
        <f>MIN(E4461*446100,10000)</f>
        <v/>
      </c>
      <c r="G4461">
        <f>MINIFS(CBIC_Late_Fee_Relief_Windows_3B!$O$4461:$O$100,CBIC_Late_Fee_Relief_Windows_3B!$D$4461:$D$100,"&lt;="&amp;B4461,CBIC_Late_Fee_Relief_Windows_3B!$E$4461:$E$100,"&gt;="&amp;B4461,CBIC_Late_Fee_Relief_Windows_3B!$F$4461:$F$100,"&lt;="&amp;C4461,CBIC_Late_Fee_Relief_Windows_3B!$G$4461:$G$100,"&gt;="&amp;C4461)</f>
        <v/>
      </c>
      <c r="H4461">
        <f>INDEX(CBIC_Late_Fee_Relief_Windows_3B!$I$4461:$I$100,MATCH(G4461,CBIC_Late_Fee_Relief_Windows_3B!$O$4461:$O$100,0))</f>
        <v/>
      </c>
      <c r="I4461">
        <f>MIN(F4461,H4461)</f>
        <v/>
      </c>
    </row>
    <row r="4462">
      <c r="A4462">
        <f>TEST_DATA!A4462</f>
        <v/>
      </c>
      <c r="B4462">
        <f>TEST_DATA!B4462</f>
        <v/>
      </c>
      <c r="C4462">
        <f>TEST_DATA!C4462</f>
        <v/>
      </c>
      <c r="D4462">
        <f>TEST_DATA!D4462</f>
        <v/>
      </c>
      <c r="E4462">
        <f>TEST_DATA!E4462</f>
        <v/>
      </c>
      <c r="F4462">
        <f>MIN(E4462*446200,10000)</f>
        <v/>
      </c>
      <c r="G4462">
        <f>MINIFS(CBIC_Late_Fee_Relief_Windows_3B!$O$4462:$O$100,CBIC_Late_Fee_Relief_Windows_3B!$D$4462:$D$100,"&lt;="&amp;B4462,CBIC_Late_Fee_Relief_Windows_3B!$E$4462:$E$100,"&gt;="&amp;B4462,CBIC_Late_Fee_Relief_Windows_3B!$F$4462:$F$100,"&lt;="&amp;C4462,CBIC_Late_Fee_Relief_Windows_3B!$G$4462:$G$100,"&gt;="&amp;C4462)</f>
        <v/>
      </c>
      <c r="H4462">
        <f>INDEX(CBIC_Late_Fee_Relief_Windows_3B!$I$4462:$I$100,MATCH(G4462,CBIC_Late_Fee_Relief_Windows_3B!$O$4462:$O$100,0))</f>
        <v/>
      </c>
      <c r="I4462">
        <f>MIN(F4462,H4462)</f>
        <v/>
      </c>
    </row>
    <row r="4463">
      <c r="A4463">
        <f>TEST_DATA!A4463</f>
        <v/>
      </c>
      <c r="B4463">
        <f>TEST_DATA!B4463</f>
        <v/>
      </c>
      <c r="C4463">
        <f>TEST_DATA!C4463</f>
        <v/>
      </c>
      <c r="D4463">
        <f>TEST_DATA!D4463</f>
        <v/>
      </c>
      <c r="E4463">
        <f>TEST_DATA!E4463</f>
        <v/>
      </c>
      <c r="F4463">
        <f>MIN(E4463*446300,10000)</f>
        <v/>
      </c>
      <c r="G4463">
        <f>MINIFS(CBIC_Late_Fee_Relief_Windows_3B!$O$4463:$O$100,CBIC_Late_Fee_Relief_Windows_3B!$D$4463:$D$100,"&lt;="&amp;B4463,CBIC_Late_Fee_Relief_Windows_3B!$E$4463:$E$100,"&gt;="&amp;B4463,CBIC_Late_Fee_Relief_Windows_3B!$F$4463:$F$100,"&lt;="&amp;C4463,CBIC_Late_Fee_Relief_Windows_3B!$G$4463:$G$100,"&gt;="&amp;C4463)</f>
        <v/>
      </c>
      <c r="H4463">
        <f>INDEX(CBIC_Late_Fee_Relief_Windows_3B!$I$4463:$I$100,MATCH(G4463,CBIC_Late_Fee_Relief_Windows_3B!$O$4463:$O$100,0))</f>
        <v/>
      </c>
      <c r="I4463">
        <f>MIN(F4463,H4463)</f>
        <v/>
      </c>
    </row>
    <row r="4464">
      <c r="A4464">
        <f>TEST_DATA!A4464</f>
        <v/>
      </c>
      <c r="B4464">
        <f>TEST_DATA!B4464</f>
        <v/>
      </c>
      <c r="C4464">
        <f>TEST_DATA!C4464</f>
        <v/>
      </c>
      <c r="D4464">
        <f>TEST_DATA!D4464</f>
        <v/>
      </c>
      <c r="E4464">
        <f>TEST_DATA!E4464</f>
        <v/>
      </c>
      <c r="F4464">
        <f>MIN(E4464*446400,10000)</f>
        <v/>
      </c>
      <c r="G4464">
        <f>MINIFS(CBIC_Late_Fee_Relief_Windows_3B!$O$4464:$O$100,CBIC_Late_Fee_Relief_Windows_3B!$D$4464:$D$100,"&lt;="&amp;B4464,CBIC_Late_Fee_Relief_Windows_3B!$E$4464:$E$100,"&gt;="&amp;B4464,CBIC_Late_Fee_Relief_Windows_3B!$F$4464:$F$100,"&lt;="&amp;C4464,CBIC_Late_Fee_Relief_Windows_3B!$G$4464:$G$100,"&gt;="&amp;C4464)</f>
        <v/>
      </c>
      <c r="H4464">
        <f>INDEX(CBIC_Late_Fee_Relief_Windows_3B!$I$4464:$I$100,MATCH(G4464,CBIC_Late_Fee_Relief_Windows_3B!$O$4464:$O$100,0))</f>
        <v/>
      </c>
      <c r="I4464">
        <f>MIN(F4464,H4464)</f>
        <v/>
      </c>
    </row>
    <row r="4465">
      <c r="A4465">
        <f>TEST_DATA!A4465</f>
        <v/>
      </c>
      <c r="B4465">
        <f>TEST_DATA!B4465</f>
        <v/>
      </c>
      <c r="C4465">
        <f>TEST_DATA!C4465</f>
        <v/>
      </c>
      <c r="D4465">
        <f>TEST_DATA!D4465</f>
        <v/>
      </c>
      <c r="E4465">
        <f>TEST_DATA!E4465</f>
        <v/>
      </c>
      <c r="F4465">
        <f>MIN(E4465*446500,10000)</f>
        <v/>
      </c>
      <c r="G4465">
        <f>MINIFS(CBIC_Late_Fee_Relief_Windows_3B!$O$4465:$O$100,CBIC_Late_Fee_Relief_Windows_3B!$D$4465:$D$100,"&lt;="&amp;B4465,CBIC_Late_Fee_Relief_Windows_3B!$E$4465:$E$100,"&gt;="&amp;B4465,CBIC_Late_Fee_Relief_Windows_3B!$F$4465:$F$100,"&lt;="&amp;C4465,CBIC_Late_Fee_Relief_Windows_3B!$G$4465:$G$100,"&gt;="&amp;C4465)</f>
        <v/>
      </c>
      <c r="H4465">
        <f>INDEX(CBIC_Late_Fee_Relief_Windows_3B!$I$4465:$I$100,MATCH(G4465,CBIC_Late_Fee_Relief_Windows_3B!$O$4465:$O$100,0))</f>
        <v/>
      </c>
      <c r="I4465">
        <f>MIN(F4465,H4465)</f>
        <v/>
      </c>
    </row>
    <row r="4466">
      <c r="A4466">
        <f>TEST_DATA!A4466</f>
        <v/>
      </c>
      <c r="B4466">
        <f>TEST_DATA!B4466</f>
        <v/>
      </c>
      <c r="C4466">
        <f>TEST_DATA!C4466</f>
        <v/>
      </c>
      <c r="D4466">
        <f>TEST_DATA!D4466</f>
        <v/>
      </c>
      <c r="E4466">
        <f>TEST_DATA!E4466</f>
        <v/>
      </c>
      <c r="F4466">
        <f>MIN(E4466*446600,10000)</f>
        <v/>
      </c>
      <c r="G4466">
        <f>MINIFS(CBIC_Late_Fee_Relief_Windows_3B!$O$4466:$O$100,CBIC_Late_Fee_Relief_Windows_3B!$D$4466:$D$100,"&lt;="&amp;B4466,CBIC_Late_Fee_Relief_Windows_3B!$E$4466:$E$100,"&gt;="&amp;B4466,CBIC_Late_Fee_Relief_Windows_3B!$F$4466:$F$100,"&lt;="&amp;C4466,CBIC_Late_Fee_Relief_Windows_3B!$G$4466:$G$100,"&gt;="&amp;C4466)</f>
        <v/>
      </c>
      <c r="H4466">
        <f>INDEX(CBIC_Late_Fee_Relief_Windows_3B!$I$4466:$I$100,MATCH(G4466,CBIC_Late_Fee_Relief_Windows_3B!$O$4466:$O$100,0))</f>
        <v/>
      </c>
      <c r="I4466">
        <f>MIN(F4466,H4466)</f>
        <v/>
      </c>
    </row>
    <row r="4467">
      <c r="A4467">
        <f>TEST_DATA!A4467</f>
        <v/>
      </c>
      <c r="B4467">
        <f>TEST_DATA!B4467</f>
        <v/>
      </c>
      <c r="C4467">
        <f>TEST_DATA!C4467</f>
        <v/>
      </c>
      <c r="D4467">
        <f>TEST_DATA!D4467</f>
        <v/>
      </c>
      <c r="E4467">
        <f>TEST_DATA!E4467</f>
        <v/>
      </c>
      <c r="F4467">
        <f>MIN(E4467*446700,10000)</f>
        <v/>
      </c>
      <c r="G4467">
        <f>MINIFS(CBIC_Late_Fee_Relief_Windows_3B!$O$4467:$O$100,CBIC_Late_Fee_Relief_Windows_3B!$D$4467:$D$100,"&lt;="&amp;B4467,CBIC_Late_Fee_Relief_Windows_3B!$E$4467:$E$100,"&gt;="&amp;B4467,CBIC_Late_Fee_Relief_Windows_3B!$F$4467:$F$100,"&lt;="&amp;C4467,CBIC_Late_Fee_Relief_Windows_3B!$G$4467:$G$100,"&gt;="&amp;C4467)</f>
        <v/>
      </c>
      <c r="H4467">
        <f>INDEX(CBIC_Late_Fee_Relief_Windows_3B!$I$4467:$I$100,MATCH(G4467,CBIC_Late_Fee_Relief_Windows_3B!$O$4467:$O$100,0))</f>
        <v/>
      </c>
      <c r="I4467">
        <f>MIN(F4467,H4467)</f>
        <v/>
      </c>
    </row>
    <row r="4468">
      <c r="A4468">
        <f>TEST_DATA!A4468</f>
        <v/>
      </c>
      <c r="B4468">
        <f>TEST_DATA!B4468</f>
        <v/>
      </c>
      <c r="C4468">
        <f>TEST_DATA!C4468</f>
        <v/>
      </c>
      <c r="D4468">
        <f>TEST_DATA!D4468</f>
        <v/>
      </c>
      <c r="E4468">
        <f>TEST_DATA!E4468</f>
        <v/>
      </c>
      <c r="F4468">
        <f>MIN(E4468*446800,10000)</f>
        <v/>
      </c>
      <c r="G4468">
        <f>MINIFS(CBIC_Late_Fee_Relief_Windows_3B!$O$4468:$O$100,CBIC_Late_Fee_Relief_Windows_3B!$D$4468:$D$100,"&lt;="&amp;B4468,CBIC_Late_Fee_Relief_Windows_3B!$E$4468:$E$100,"&gt;="&amp;B4468,CBIC_Late_Fee_Relief_Windows_3B!$F$4468:$F$100,"&lt;="&amp;C4468,CBIC_Late_Fee_Relief_Windows_3B!$G$4468:$G$100,"&gt;="&amp;C4468)</f>
        <v/>
      </c>
      <c r="H4468">
        <f>INDEX(CBIC_Late_Fee_Relief_Windows_3B!$I$4468:$I$100,MATCH(G4468,CBIC_Late_Fee_Relief_Windows_3B!$O$4468:$O$100,0))</f>
        <v/>
      </c>
      <c r="I4468">
        <f>MIN(F4468,H4468)</f>
        <v/>
      </c>
    </row>
    <row r="4469">
      <c r="A4469">
        <f>TEST_DATA!A4469</f>
        <v/>
      </c>
      <c r="B4469">
        <f>TEST_DATA!B4469</f>
        <v/>
      </c>
      <c r="C4469">
        <f>TEST_DATA!C4469</f>
        <v/>
      </c>
      <c r="D4469">
        <f>TEST_DATA!D4469</f>
        <v/>
      </c>
      <c r="E4469">
        <f>TEST_DATA!E4469</f>
        <v/>
      </c>
      <c r="F4469">
        <f>MIN(E4469*446900,10000)</f>
        <v/>
      </c>
      <c r="G4469">
        <f>MINIFS(CBIC_Late_Fee_Relief_Windows_3B!$O$4469:$O$100,CBIC_Late_Fee_Relief_Windows_3B!$D$4469:$D$100,"&lt;="&amp;B4469,CBIC_Late_Fee_Relief_Windows_3B!$E$4469:$E$100,"&gt;="&amp;B4469,CBIC_Late_Fee_Relief_Windows_3B!$F$4469:$F$100,"&lt;="&amp;C4469,CBIC_Late_Fee_Relief_Windows_3B!$G$4469:$G$100,"&gt;="&amp;C4469)</f>
        <v/>
      </c>
      <c r="H4469">
        <f>INDEX(CBIC_Late_Fee_Relief_Windows_3B!$I$4469:$I$100,MATCH(G4469,CBIC_Late_Fee_Relief_Windows_3B!$O$4469:$O$100,0))</f>
        <v/>
      </c>
      <c r="I4469">
        <f>MIN(F4469,H4469)</f>
        <v/>
      </c>
    </row>
    <row r="4470">
      <c r="A4470">
        <f>TEST_DATA!A4470</f>
        <v/>
      </c>
      <c r="B4470">
        <f>TEST_DATA!B4470</f>
        <v/>
      </c>
      <c r="C4470">
        <f>TEST_DATA!C4470</f>
        <v/>
      </c>
      <c r="D4470">
        <f>TEST_DATA!D4470</f>
        <v/>
      </c>
      <c r="E4470">
        <f>TEST_DATA!E4470</f>
        <v/>
      </c>
      <c r="F4470">
        <f>MIN(E4470*447000,10000)</f>
        <v/>
      </c>
      <c r="G4470">
        <f>MINIFS(CBIC_Late_Fee_Relief_Windows_3B!$O$4470:$O$100,CBIC_Late_Fee_Relief_Windows_3B!$D$4470:$D$100,"&lt;="&amp;B4470,CBIC_Late_Fee_Relief_Windows_3B!$E$4470:$E$100,"&gt;="&amp;B4470,CBIC_Late_Fee_Relief_Windows_3B!$F$4470:$F$100,"&lt;="&amp;C4470,CBIC_Late_Fee_Relief_Windows_3B!$G$4470:$G$100,"&gt;="&amp;C4470)</f>
        <v/>
      </c>
      <c r="H4470">
        <f>INDEX(CBIC_Late_Fee_Relief_Windows_3B!$I$4470:$I$100,MATCH(G4470,CBIC_Late_Fee_Relief_Windows_3B!$O$4470:$O$100,0))</f>
        <v/>
      </c>
      <c r="I4470">
        <f>MIN(F4470,H4470)</f>
        <v/>
      </c>
    </row>
    <row r="4471">
      <c r="A4471">
        <f>TEST_DATA!A4471</f>
        <v/>
      </c>
      <c r="B4471">
        <f>TEST_DATA!B4471</f>
        <v/>
      </c>
      <c r="C4471">
        <f>TEST_DATA!C4471</f>
        <v/>
      </c>
      <c r="D4471">
        <f>TEST_DATA!D4471</f>
        <v/>
      </c>
      <c r="E4471">
        <f>TEST_DATA!E4471</f>
        <v/>
      </c>
      <c r="F4471">
        <f>MIN(E4471*447100,10000)</f>
        <v/>
      </c>
      <c r="G4471">
        <f>MINIFS(CBIC_Late_Fee_Relief_Windows_3B!$O$4471:$O$100,CBIC_Late_Fee_Relief_Windows_3B!$D$4471:$D$100,"&lt;="&amp;B4471,CBIC_Late_Fee_Relief_Windows_3B!$E$4471:$E$100,"&gt;="&amp;B4471,CBIC_Late_Fee_Relief_Windows_3B!$F$4471:$F$100,"&lt;="&amp;C4471,CBIC_Late_Fee_Relief_Windows_3B!$G$4471:$G$100,"&gt;="&amp;C4471)</f>
        <v/>
      </c>
      <c r="H4471">
        <f>INDEX(CBIC_Late_Fee_Relief_Windows_3B!$I$4471:$I$100,MATCH(G4471,CBIC_Late_Fee_Relief_Windows_3B!$O$4471:$O$100,0))</f>
        <v/>
      </c>
      <c r="I4471">
        <f>MIN(F4471,H4471)</f>
        <v/>
      </c>
    </row>
    <row r="4472">
      <c r="A4472">
        <f>TEST_DATA!A4472</f>
        <v/>
      </c>
      <c r="B4472">
        <f>TEST_DATA!B4472</f>
        <v/>
      </c>
      <c r="C4472">
        <f>TEST_DATA!C4472</f>
        <v/>
      </c>
      <c r="D4472">
        <f>TEST_DATA!D4472</f>
        <v/>
      </c>
      <c r="E4472">
        <f>TEST_DATA!E4472</f>
        <v/>
      </c>
      <c r="F4472">
        <f>MIN(E4472*447200,10000)</f>
        <v/>
      </c>
      <c r="G4472">
        <f>MINIFS(CBIC_Late_Fee_Relief_Windows_3B!$O$4472:$O$100,CBIC_Late_Fee_Relief_Windows_3B!$D$4472:$D$100,"&lt;="&amp;B4472,CBIC_Late_Fee_Relief_Windows_3B!$E$4472:$E$100,"&gt;="&amp;B4472,CBIC_Late_Fee_Relief_Windows_3B!$F$4472:$F$100,"&lt;="&amp;C4472,CBIC_Late_Fee_Relief_Windows_3B!$G$4472:$G$100,"&gt;="&amp;C4472)</f>
        <v/>
      </c>
      <c r="H4472">
        <f>INDEX(CBIC_Late_Fee_Relief_Windows_3B!$I$4472:$I$100,MATCH(G4472,CBIC_Late_Fee_Relief_Windows_3B!$O$4472:$O$100,0))</f>
        <v/>
      </c>
      <c r="I4472">
        <f>MIN(F4472,H4472)</f>
        <v/>
      </c>
    </row>
    <row r="4473">
      <c r="A4473">
        <f>TEST_DATA!A4473</f>
        <v/>
      </c>
      <c r="B4473">
        <f>TEST_DATA!B4473</f>
        <v/>
      </c>
      <c r="C4473">
        <f>TEST_DATA!C4473</f>
        <v/>
      </c>
      <c r="D4473">
        <f>TEST_DATA!D4473</f>
        <v/>
      </c>
      <c r="E4473">
        <f>TEST_DATA!E4473</f>
        <v/>
      </c>
      <c r="F4473">
        <f>MIN(E4473*447300,10000)</f>
        <v/>
      </c>
      <c r="G4473">
        <f>MINIFS(CBIC_Late_Fee_Relief_Windows_3B!$O$4473:$O$100,CBIC_Late_Fee_Relief_Windows_3B!$D$4473:$D$100,"&lt;="&amp;B4473,CBIC_Late_Fee_Relief_Windows_3B!$E$4473:$E$100,"&gt;="&amp;B4473,CBIC_Late_Fee_Relief_Windows_3B!$F$4473:$F$100,"&lt;="&amp;C4473,CBIC_Late_Fee_Relief_Windows_3B!$G$4473:$G$100,"&gt;="&amp;C4473)</f>
        <v/>
      </c>
      <c r="H4473">
        <f>INDEX(CBIC_Late_Fee_Relief_Windows_3B!$I$4473:$I$100,MATCH(G4473,CBIC_Late_Fee_Relief_Windows_3B!$O$4473:$O$100,0))</f>
        <v/>
      </c>
      <c r="I4473">
        <f>MIN(F4473,H4473)</f>
        <v/>
      </c>
    </row>
    <row r="4474">
      <c r="A4474">
        <f>TEST_DATA!A4474</f>
        <v/>
      </c>
      <c r="B4474">
        <f>TEST_DATA!B4474</f>
        <v/>
      </c>
      <c r="C4474">
        <f>TEST_DATA!C4474</f>
        <v/>
      </c>
      <c r="D4474">
        <f>TEST_DATA!D4474</f>
        <v/>
      </c>
      <c r="E4474">
        <f>TEST_DATA!E4474</f>
        <v/>
      </c>
      <c r="F4474">
        <f>MIN(E4474*447400,10000)</f>
        <v/>
      </c>
      <c r="G4474">
        <f>MINIFS(CBIC_Late_Fee_Relief_Windows_3B!$O$4474:$O$100,CBIC_Late_Fee_Relief_Windows_3B!$D$4474:$D$100,"&lt;="&amp;B4474,CBIC_Late_Fee_Relief_Windows_3B!$E$4474:$E$100,"&gt;="&amp;B4474,CBIC_Late_Fee_Relief_Windows_3B!$F$4474:$F$100,"&lt;="&amp;C4474,CBIC_Late_Fee_Relief_Windows_3B!$G$4474:$G$100,"&gt;="&amp;C4474)</f>
        <v/>
      </c>
      <c r="H4474">
        <f>INDEX(CBIC_Late_Fee_Relief_Windows_3B!$I$4474:$I$100,MATCH(G4474,CBIC_Late_Fee_Relief_Windows_3B!$O$4474:$O$100,0))</f>
        <v/>
      </c>
      <c r="I4474">
        <f>MIN(F4474,H4474)</f>
        <v/>
      </c>
    </row>
    <row r="4475">
      <c r="A4475">
        <f>TEST_DATA!A4475</f>
        <v/>
      </c>
      <c r="B4475">
        <f>TEST_DATA!B4475</f>
        <v/>
      </c>
      <c r="C4475">
        <f>TEST_DATA!C4475</f>
        <v/>
      </c>
      <c r="D4475">
        <f>TEST_DATA!D4475</f>
        <v/>
      </c>
      <c r="E4475">
        <f>TEST_DATA!E4475</f>
        <v/>
      </c>
      <c r="F4475">
        <f>MIN(E4475*447500,10000)</f>
        <v/>
      </c>
      <c r="G4475">
        <f>MINIFS(CBIC_Late_Fee_Relief_Windows_3B!$O$4475:$O$100,CBIC_Late_Fee_Relief_Windows_3B!$D$4475:$D$100,"&lt;="&amp;B4475,CBIC_Late_Fee_Relief_Windows_3B!$E$4475:$E$100,"&gt;="&amp;B4475,CBIC_Late_Fee_Relief_Windows_3B!$F$4475:$F$100,"&lt;="&amp;C4475,CBIC_Late_Fee_Relief_Windows_3B!$G$4475:$G$100,"&gt;="&amp;C4475)</f>
        <v/>
      </c>
      <c r="H4475">
        <f>INDEX(CBIC_Late_Fee_Relief_Windows_3B!$I$4475:$I$100,MATCH(G4475,CBIC_Late_Fee_Relief_Windows_3B!$O$4475:$O$100,0))</f>
        <v/>
      </c>
      <c r="I4475">
        <f>MIN(F4475,H4475)</f>
        <v/>
      </c>
    </row>
    <row r="4476">
      <c r="A4476">
        <f>TEST_DATA!A4476</f>
        <v/>
      </c>
      <c r="B4476">
        <f>TEST_DATA!B4476</f>
        <v/>
      </c>
      <c r="C4476">
        <f>TEST_DATA!C4476</f>
        <v/>
      </c>
      <c r="D4476">
        <f>TEST_DATA!D4476</f>
        <v/>
      </c>
      <c r="E4476">
        <f>TEST_DATA!E4476</f>
        <v/>
      </c>
      <c r="F4476">
        <f>MIN(E4476*447600,10000)</f>
        <v/>
      </c>
      <c r="G4476">
        <f>MINIFS(CBIC_Late_Fee_Relief_Windows_3B!$O$4476:$O$100,CBIC_Late_Fee_Relief_Windows_3B!$D$4476:$D$100,"&lt;="&amp;B4476,CBIC_Late_Fee_Relief_Windows_3B!$E$4476:$E$100,"&gt;="&amp;B4476,CBIC_Late_Fee_Relief_Windows_3B!$F$4476:$F$100,"&lt;="&amp;C4476,CBIC_Late_Fee_Relief_Windows_3B!$G$4476:$G$100,"&gt;="&amp;C4476)</f>
        <v/>
      </c>
      <c r="H4476">
        <f>INDEX(CBIC_Late_Fee_Relief_Windows_3B!$I$4476:$I$100,MATCH(G4476,CBIC_Late_Fee_Relief_Windows_3B!$O$4476:$O$100,0))</f>
        <v/>
      </c>
      <c r="I4476">
        <f>MIN(F4476,H4476)</f>
        <v/>
      </c>
    </row>
    <row r="4477">
      <c r="A4477">
        <f>TEST_DATA!A4477</f>
        <v/>
      </c>
      <c r="B4477">
        <f>TEST_DATA!B4477</f>
        <v/>
      </c>
      <c r="C4477">
        <f>TEST_DATA!C4477</f>
        <v/>
      </c>
      <c r="D4477">
        <f>TEST_DATA!D4477</f>
        <v/>
      </c>
      <c r="E4477">
        <f>TEST_DATA!E4477</f>
        <v/>
      </c>
      <c r="F4477">
        <f>MIN(E4477*447700,10000)</f>
        <v/>
      </c>
      <c r="G4477">
        <f>MINIFS(CBIC_Late_Fee_Relief_Windows_3B!$O$4477:$O$100,CBIC_Late_Fee_Relief_Windows_3B!$D$4477:$D$100,"&lt;="&amp;B4477,CBIC_Late_Fee_Relief_Windows_3B!$E$4477:$E$100,"&gt;="&amp;B4477,CBIC_Late_Fee_Relief_Windows_3B!$F$4477:$F$100,"&lt;="&amp;C4477,CBIC_Late_Fee_Relief_Windows_3B!$G$4477:$G$100,"&gt;="&amp;C4477)</f>
        <v/>
      </c>
      <c r="H4477">
        <f>INDEX(CBIC_Late_Fee_Relief_Windows_3B!$I$4477:$I$100,MATCH(G4477,CBIC_Late_Fee_Relief_Windows_3B!$O$4477:$O$100,0))</f>
        <v/>
      </c>
      <c r="I4477">
        <f>MIN(F4477,H4477)</f>
        <v/>
      </c>
    </row>
    <row r="4478">
      <c r="A4478">
        <f>TEST_DATA!A4478</f>
        <v/>
      </c>
      <c r="B4478">
        <f>TEST_DATA!B4478</f>
        <v/>
      </c>
      <c r="C4478">
        <f>TEST_DATA!C4478</f>
        <v/>
      </c>
      <c r="D4478">
        <f>TEST_DATA!D4478</f>
        <v/>
      </c>
      <c r="E4478">
        <f>TEST_DATA!E4478</f>
        <v/>
      </c>
      <c r="F4478">
        <f>MIN(E4478*447800,10000)</f>
        <v/>
      </c>
      <c r="G4478">
        <f>MINIFS(CBIC_Late_Fee_Relief_Windows_3B!$O$4478:$O$100,CBIC_Late_Fee_Relief_Windows_3B!$D$4478:$D$100,"&lt;="&amp;B4478,CBIC_Late_Fee_Relief_Windows_3B!$E$4478:$E$100,"&gt;="&amp;B4478,CBIC_Late_Fee_Relief_Windows_3B!$F$4478:$F$100,"&lt;="&amp;C4478,CBIC_Late_Fee_Relief_Windows_3B!$G$4478:$G$100,"&gt;="&amp;C4478)</f>
        <v/>
      </c>
      <c r="H4478">
        <f>INDEX(CBIC_Late_Fee_Relief_Windows_3B!$I$4478:$I$100,MATCH(G4478,CBIC_Late_Fee_Relief_Windows_3B!$O$4478:$O$100,0))</f>
        <v/>
      </c>
      <c r="I4478">
        <f>MIN(F4478,H4478)</f>
        <v/>
      </c>
    </row>
    <row r="4479">
      <c r="A4479">
        <f>TEST_DATA!A4479</f>
        <v/>
      </c>
      <c r="B4479">
        <f>TEST_DATA!B4479</f>
        <v/>
      </c>
      <c r="C4479">
        <f>TEST_DATA!C4479</f>
        <v/>
      </c>
      <c r="D4479">
        <f>TEST_DATA!D4479</f>
        <v/>
      </c>
      <c r="E4479">
        <f>TEST_DATA!E4479</f>
        <v/>
      </c>
      <c r="F4479">
        <f>MIN(E4479*447900,10000)</f>
        <v/>
      </c>
      <c r="G4479">
        <f>MINIFS(CBIC_Late_Fee_Relief_Windows_3B!$O$4479:$O$100,CBIC_Late_Fee_Relief_Windows_3B!$D$4479:$D$100,"&lt;="&amp;B4479,CBIC_Late_Fee_Relief_Windows_3B!$E$4479:$E$100,"&gt;="&amp;B4479,CBIC_Late_Fee_Relief_Windows_3B!$F$4479:$F$100,"&lt;="&amp;C4479,CBIC_Late_Fee_Relief_Windows_3B!$G$4479:$G$100,"&gt;="&amp;C4479)</f>
        <v/>
      </c>
      <c r="H4479">
        <f>INDEX(CBIC_Late_Fee_Relief_Windows_3B!$I$4479:$I$100,MATCH(G4479,CBIC_Late_Fee_Relief_Windows_3B!$O$4479:$O$100,0))</f>
        <v/>
      </c>
      <c r="I4479">
        <f>MIN(F4479,H4479)</f>
        <v/>
      </c>
    </row>
    <row r="4480">
      <c r="A4480">
        <f>TEST_DATA!A4480</f>
        <v/>
      </c>
      <c r="B4480">
        <f>TEST_DATA!B4480</f>
        <v/>
      </c>
      <c r="C4480">
        <f>TEST_DATA!C4480</f>
        <v/>
      </c>
      <c r="D4480">
        <f>TEST_DATA!D4480</f>
        <v/>
      </c>
      <c r="E4480">
        <f>TEST_DATA!E4480</f>
        <v/>
      </c>
      <c r="F4480">
        <f>MIN(E4480*448000,10000)</f>
        <v/>
      </c>
      <c r="G4480">
        <f>MINIFS(CBIC_Late_Fee_Relief_Windows_3B!$O$4480:$O$100,CBIC_Late_Fee_Relief_Windows_3B!$D$4480:$D$100,"&lt;="&amp;B4480,CBIC_Late_Fee_Relief_Windows_3B!$E$4480:$E$100,"&gt;="&amp;B4480,CBIC_Late_Fee_Relief_Windows_3B!$F$4480:$F$100,"&lt;="&amp;C4480,CBIC_Late_Fee_Relief_Windows_3B!$G$4480:$G$100,"&gt;="&amp;C4480)</f>
        <v/>
      </c>
      <c r="H4480">
        <f>INDEX(CBIC_Late_Fee_Relief_Windows_3B!$I$4480:$I$100,MATCH(G4480,CBIC_Late_Fee_Relief_Windows_3B!$O$4480:$O$100,0))</f>
        <v/>
      </c>
      <c r="I4480">
        <f>MIN(F4480,H4480)</f>
        <v/>
      </c>
    </row>
    <row r="4481">
      <c r="A4481">
        <f>TEST_DATA!A4481</f>
        <v/>
      </c>
      <c r="B4481">
        <f>TEST_DATA!B4481</f>
        <v/>
      </c>
      <c r="C4481">
        <f>TEST_DATA!C4481</f>
        <v/>
      </c>
      <c r="D4481">
        <f>TEST_DATA!D4481</f>
        <v/>
      </c>
      <c r="E4481">
        <f>TEST_DATA!E4481</f>
        <v/>
      </c>
      <c r="F4481">
        <f>MIN(E4481*448100,10000)</f>
        <v/>
      </c>
      <c r="G4481">
        <f>MINIFS(CBIC_Late_Fee_Relief_Windows_3B!$O$4481:$O$100,CBIC_Late_Fee_Relief_Windows_3B!$D$4481:$D$100,"&lt;="&amp;B4481,CBIC_Late_Fee_Relief_Windows_3B!$E$4481:$E$100,"&gt;="&amp;B4481,CBIC_Late_Fee_Relief_Windows_3B!$F$4481:$F$100,"&lt;="&amp;C4481,CBIC_Late_Fee_Relief_Windows_3B!$G$4481:$G$100,"&gt;="&amp;C4481)</f>
        <v/>
      </c>
      <c r="H4481">
        <f>INDEX(CBIC_Late_Fee_Relief_Windows_3B!$I$4481:$I$100,MATCH(G4481,CBIC_Late_Fee_Relief_Windows_3B!$O$4481:$O$100,0))</f>
        <v/>
      </c>
      <c r="I4481">
        <f>MIN(F4481,H4481)</f>
        <v/>
      </c>
    </row>
    <row r="4482">
      <c r="A4482">
        <f>TEST_DATA!A4482</f>
        <v/>
      </c>
      <c r="B4482">
        <f>TEST_DATA!B4482</f>
        <v/>
      </c>
      <c r="C4482">
        <f>TEST_DATA!C4482</f>
        <v/>
      </c>
      <c r="D4482">
        <f>TEST_DATA!D4482</f>
        <v/>
      </c>
      <c r="E4482">
        <f>TEST_DATA!E4482</f>
        <v/>
      </c>
      <c r="F4482">
        <f>MIN(E4482*448200,10000)</f>
        <v/>
      </c>
      <c r="G4482">
        <f>MINIFS(CBIC_Late_Fee_Relief_Windows_3B!$O$4482:$O$100,CBIC_Late_Fee_Relief_Windows_3B!$D$4482:$D$100,"&lt;="&amp;B4482,CBIC_Late_Fee_Relief_Windows_3B!$E$4482:$E$100,"&gt;="&amp;B4482,CBIC_Late_Fee_Relief_Windows_3B!$F$4482:$F$100,"&lt;="&amp;C4482,CBIC_Late_Fee_Relief_Windows_3B!$G$4482:$G$100,"&gt;="&amp;C4482)</f>
        <v/>
      </c>
      <c r="H4482">
        <f>INDEX(CBIC_Late_Fee_Relief_Windows_3B!$I$4482:$I$100,MATCH(G4482,CBIC_Late_Fee_Relief_Windows_3B!$O$4482:$O$100,0))</f>
        <v/>
      </c>
      <c r="I4482">
        <f>MIN(F4482,H4482)</f>
        <v/>
      </c>
    </row>
    <row r="4483">
      <c r="A4483">
        <f>TEST_DATA!A4483</f>
        <v/>
      </c>
      <c r="B4483">
        <f>TEST_DATA!B4483</f>
        <v/>
      </c>
      <c r="C4483">
        <f>TEST_DATA!C4483</f>
        <v/>
      </c>
      <c r="D4483">
        <f>TEST_DATA!D4483</f>
        <v/>
      </c>
      <c r="E4483">
        <f>TEST_DATA!E4483</f>
        <v/>
      </c>
      <c r="F4483">
        <f>MIN(E4483*448300,10000)</f>
        <v/>
      </c>
      <c r="G4483">
        <f>MINIFS(CBIC_Late_Fee_Relief_Windows_3B!$O$4483:$O$100,CBIC_Late_Fee_Relief_Windows_3B!$D$4483:$D$100,"&lt;="&amp;B4483,CBIC_Late_Fee_Relief_Windows_3B!$E$4483:$E$100,"&gt;="&amp;B4483,CBIC_Late_Fee_Relief_Windows_3B!$F$4483:$F$100,"&lt;="&amp;C4483,CBIC_Late_Fee_Relief_Windows_3B!$G$4483:$G$100,"&gt;="&amp;C4483)</f>
        <v/>
      </c>
      <c r="H4483">
        <f>INDEX(CBIC_Late_Fee_Relief_Windows_3B!$I$4483:$I$100,MATCH(G4483,CBIC_Late_Fee_Relief_Windows_3B!$O$4483:$O$100,0))</f>
        <v/>
      </c>
      <c r="I4483">
        <f>MIN(F4483,H4483)</f>
        <v/>
      </c>
    </row>
    <row r="4484">
      <c r="A4484">
        <f>TEST_DATA!A4484</f>
        <v/>
      </c>
      <c r="B4484">
        <f>TEST_DATA!B4484</f>
        <v/>
      </c>
      <c r="C4484">
        <f>TEST_DATA!C4484</f>
        <v/>
      </c>
      <c r="D4484">
        <f>TEST_DATA!D4484</f>
        <v/>
      </c>
      <c r="E4484">
        <f>TEST_DATA!E4484</f>
        <v/>
      </c>
      <c r="F4484">
        <f>MIN(E4484*448400,10000)</f>
        <v/>
      </c>
      <c r="G4484">
        <f>MINIFS(CBIC_Late_Fee_Relief_Windows_3B!$O$4484:$O$100,CBIC_Late_Fee_Relief_Windows_3B!$D$4484:$D$100,"&lt;="&amp;B4484,CBIC_Late_Fee_Relief_Windows_3B!$E$4484:$E$100,"&gt;="&amp;B4484,CBIC_Late_Fee_Relief_Windows_3B!$F$4484:$F$100,"&lt;="&amp;C4484,CBIC_Late_Fee_Relief_Windows_3B!$G$4484:$G$100,"&gt;="&amp;C4484)</f>
        <v/>
      </c>
      <c r="H4484">
        <f>INDEX(CBIC_Late_Fee_Relief_Windows_3B!$I$4484:$I$100,MATCH(G4484,CBIC_Late_Fee_Relief_Windows_3B!$O$4484:$O$100,0))</f>
        <v/>
      </c>
      <c r="I4484">
        <f>MIN(F4484,H4484)</f>
        <v/>
      </c>
    </row>
    <row r="4485">
      <c r="A4485">
        <f>TEST_DATA!A4485</f>
        <v/>
      </c>
      <c r="B4485">
        <f>TEST_DATA!B4485</f>
        <v/>
      </c>
      <c r="C4485">
        <f>TEST_DATA!C4485</f>
        <v/>
      </c>
      <c r="D4485">
        <f>TEST_DATA!D4485</f>
        <v/>
      </c>
      <c r="E4485">
        <f>TEST_DATA!E4485</f>
        <v/>
      </c>
      <c r="F4485">
        <f>MIN(E4485*448500,10000)</f>
        <v/>
      </c>
      <c r="G4485">
        <f>MINIFS(CBIC_Late_Fee_Relief_Windows_3B!$O$4485:$O$100,CBIC_Late_Fee_Relief_Windows_3B!$D$4485:$D$100,"&lt;="&amp;B4485,CBIC_Late_Fee_Relief_Windows_3B!$E$4485:$E$100,"&gt;="&amp;B4485,CBIC_Late_Fee_Relief_Windows_3B!$F$4485:$F$100,"&lt;="&amp;C4485,CBIC_Late_Fee_Relief_Windows_3B!$G$4485:$G$100,"&gt;="&amp;C4485)</f>
        <v/>
      </c>
      <c r="H4485">
        <f>INDEX(CBIC_Late_Fee_Relief_Windows_3B!$I$4485:$I$100,MATCH(G4485,CBIC_Late_Fee_Relief_Windows_3B!$O$4485:$O$100,0))</f>
        <v/>
      </c>
      <c r="I4485">
        <f>MIN(F4485,H4485)</f>
        <v/>
      </c>
    </row>
    <row r="4486">
      <c r="A4486">
        <f>TEST_DATA!A4486</f>
        <v/>
      </c>
      <c r="B4486">
        <f>TEST_DATA!B4486</f>
        <v/>
      </c>
      <c r="C4486">
        <f>TEST_DATA!C4486</f>
        <v/>
      </c>
      <c r="D4486">
        <f>TEST_DATA!D4486</f>
        <v/>
      </c>
      <c r="E4486">
        <f>TEST_DATA!E4486</f>
        <v/>
      </c>
      <c r="F4486">
        <f>MIN(E4486*448600,10000)</f>
        <v/>
      </c>
      <c r="G4486">
        <f>MINIFS(CBIC_Late_Fee_Relief_Windows_3B!$O$4486:$O$100,CBIC_Late_Fee_Relief_Windows_3B!$D$4486:$D$100,"&lt;="&amp;B4486,CBIC_Late_Fee_Relief_Windows_3B!$E$4486:$E$100,"&gt;="&amp;B4486,CBIC_Late_Fee_Relief_Windows_3B!$F$4486:$F$100,"&lt;="&amp;C4486,CBIC_Late_Fee_Relief_Windows_3B!$G$4486:$G$100,"&gt;="&amp;C4486)</f>
        <v/>
      </c>
      <c r="H4486">
        <f>INDEX(CBIC_Late_Fee_Relief_Windows_3B!$I$4486:$I$100,MATCH(G4486,CBIC_Late_Fee_Relief_Windows_3B!$O$4486:$O$100,0))</f>
        <v/>
      </c>
      <c r="I4486">
        <f>MIN(F4486,H4486)</f>
        <v/>
      </c>
    </row>
    <row r="4487">
      <c r="A4487">
        <f>TEST_DATA!A4487</f>
        <v/>
      </c>
      <c r="B4487">
        <f>TEST_DATA!B4487</f>
        <v/>
      </c>
      <c r="C4487">
        <f>TEST_DATA!C4487</f>
        <v/>
      </c>
      <c r="D4487">
        <f>TEST_DATA!D4487</f>
        <v/>
      </c>
      <c r="E4487">
        <f>TEST_DATA!E4487</f>
        <v/>
      </c>
      <c r="F4487">
        <f>MIN(E4487*448700,10000)</f>
        <v/>
      </c>
      <c r="G4487">
        <f>MINIFS(CBIC_Late_Fee_Relief_Windows_3B!$O$4487:$O$100,CBIC_Late_Fee_Relief_Windows_3B!$D$4487:$D$100,"&lt;="&amp;B4487,CBIC_Late_Fee_Relief_Windows_3B!$E$4487:$E$100,"&gt;="&amp;B4487,CBIC_Late_Fee_Relief_Windows_3B!$F$4487:$F$100,"&lt;="&amp;C4487,CBIC_Late_Fee_Relief_Windows_3B!$G$4487:$G$100,"&gt;="&amp;C4487)</f>
        <v/>
      </c>
      <c r="H4487">
        <f>INDEX(CBIC_Late_Fee_Relief_Windows_3B!$I$4487:$I$100,MATCH(G4487,CBIC_Late_Fee_Relief_Windows_3B!$O$4487:$O$100,0))</f>
        <v/>
      </c>
      <c r="I4487">
        <f>MIN(F4487,H4487)</f>
        <v/>
      </c>
    </row>
    <row r="4488">
      <c r="A4488">
        <f>TEST_DATA!A4488</f>
        <v/>
      </c>
      <c r="B4488">
        <f>TEST_DATA!B4488</f>
        <v/>
      </c>
      <c r="C4488">
        <f>TEST_DATA!C4488</f>
        <v/>
      </c>
      <c r="D4488">
        <f>TEST_DATA!D4488</f>
        <v/>
      </c>
      <c r="E4488">
        <f>TEST_DATA!E4488</f>
        <v/>
      </c>
      <c r="F4488">
        <f>MIN(E4488*448800,10000)</f>
        <v/>
      </c>
      <c r="G4488">
        <f>MINIFS(CBIC_Late_Fee_Relief_Windows_3B!$O$4488:$O$100,CBIC_Late_Fee_Relief_Windows_3B!$D$4488:$D$100,"&lt;="&amp;B4488,CBIC_Late_Fee_Relief_Windows_3B!$E$4488:$E$100,"&gt;="&amp;B4488,CBIC_Late_Fee_Relief_Windows_3B!$F$4488:$F$100,"&lt;="&amp;C4488,CBIC_Late_Fee_Relief_Windows_3B!$G$4488:$G$100,"&gt;="&amp;C4488)</f>
        <v/>
      </c>
      <c r="H4488">
        <f>INDEX(CBIC_Late_Fee_Relief_Windows_3B!$I$4488:$I$100,MATCH(G4488,CBIC_Late_Fee_Relief_Windows_3B!$O$4488:$O$100,0))</f>
        <v/>
      </c>
      <c r="I4488">
        <f>MIN(F4488,H4488)</f>
        <v/>
      </c>
    </row>
    <row r="4489">
      <c r="A4489">
        <f>TEST_DATA!A4489</f>
        <v/>
      </c>
      <c r="B4489">
        <f>TEST_DATA!B4489</f>
        <v/>
      </c>
      <c r="C4489">
        <f>TEST_DATA!C4489</f>
        <v/>
      </c>
      <c r="D4489">
        <f>TEST_DATA!D4489</f>
        <v/>
      </c>
      <c r="E4489">
        <f>TEST_DATA!E4489</f>
        <v/>
      </c>
      <c r="F4489">
        <f>MIN(E4489*448900,10000)</f>
        <v/>
      </c>
      <c r="G4489">
        <f>MINIFS(CBIC_Late_Fee_Relief_Windows_3B!$O$4489:$O$100,CBIC_Late_Fee_Relief_Windows_3B!$D$4489:$D$100,"&lt;="&amp;B4489,CBIC_Late_Fee_Relief_Windows_3B!$E$4489:$E$100,"&gt;="&amp;B4489,CBIC_Late_Fee_Relief_Windows_3B!$F$4489:$F$100,"&lt;="&amp;C4489,CBIC_Late_Fee_Relief_Windows_3B!$G$4489:$G$100,"&gt;="&amp;C4489)</f>
        <v/>
      </c>
      <c r="H4489">
        <f>INDEX(CBIC_Late_Fee_Relief_Windows_3B!$I$4489:$I$100,MATCH(G4489,CBIC_Late_Fee_Relief_Windows_3B!$O$4489:$O$100,0))</f>
        <v/>
      </c>
      <c r="I4489">
        <f>MIN(F4489,H4489)</f>
        <v/>
      </c>
    </row>
    <row r="4490">
      <c r="A4490">
        <f>TEST_DATA!A4490</f>
        <v/>
      </c>
      <c r="B4490">
        <f>TEST_DATA!B4490</f>
        <v/>
      </c>
      <c r="C4490">
        <f>TEST_DATA!C4490</f>
        <v/>
      </c>
      <c r="D4490">
        <f>TEST_DATA!D4490</f>
        <v/>
      </c>
      <c r="E4490">
        <f>TEST_DATA!E4490</f>
        <v/>
      </c>
      <c r="F4490">
        <f>MIN(E4490*449000,10000)</f>
        <v/>
      </c>
      <c r="G4490">
        <f>MINIFS(CBIC_Late_Fee_Relief_Windows_3B!$O$4490:$O$100,CBIC_Late_Fee_Relief_Windows_3B!$D$4490:$D$100,"&lt;="&amp;B4490,CBIC_Late_Fee_Relief_Windows_3B!$E$4490:$E$100,"&gt;="&amp;B4490,CBIC_Late_Fee_Relief_Windows_3B!$F$4490:$F$100,"&lt;="&amp;C4490,CBIC_Late_Fee_Relief_Windows_3B!$G$4490:$G$100,"&gt;="&amp;C4490)</f>
        <v/>
      </c>
      <c r="H4490">
        <f>INDEX(CBIC_Late_Fee_Relief_Windows_3B!$I$4490:$I$100,MATCH(G4490,CBIC_Late_Fee_Relief_Windows_3B!$O$4490:$O$100,0))</f>
        <v/>
      </c>
      <c r="I4490">
        <f>MIN(F4490,H4490)</f>
        <v/>
      </c>
    </row>
    <row r="4491">
      <c r="A4491">
        <f>TEST_DATA!A4491</f>
        <v/>
      </c>
      <c r="B4491">
        <f>TEST_DATA!B4491</f>
        <v/>
      </c>
      <c r="C4491">
        <f>TEST_DATA!C4491</f>
        <v/>
      </c>
      <c r="D4491">
        <f>TEST_DATA!D4491</f>
        <v/>
      </c>
      <c r="E4491">
        <f>TEST_DATA!E4491</f>
        <v/>
      </c>
      <c r="F4491">
        <f>MIN(E4491*449100,10000)</f>
        <v/>
      </c>
      <c r="G4491">
        <f>MINIFS(CBIC_Late_Fee_Relief_Windows_3B!$O$4491:$O$100,CBIC_Late_Fee_Relief_Windows_3B!$D$4491:$D$100,"&lt;="&amp;B4491,CBIC_Late_Fee_Relief_Windows_3B!$E$4491:$E$100,"&gt;="&amp;B4491,CBIC_Late_Fee_Relief_Windows_3B!$F$4491:$F$100,"&lt;="&amp;C4491,CBIC_Late_Fee_Relief_Windows_3B!$G$4491:$G$100,"&gt;="&amp;C4491)</f>
        <v/>
      </c>
      <c r="H4491">
        <f>INDEX(CBIC_Late_Fee_Relief_Windows_3B!$I$4491:$I$100,MATCH(G4491,CBIC_Late_Fee_Relief_Windows_3B!$O$4491:$O$100,0))</f>
        <v/>
      </c>
      <c r="I4491">
        <f>MIN(F4491,H4491)</f>
        <v/>
      </c>
    </row>
    <row r="4492">
      <c r="A4492">
        <f>TEST_DATA!A4492</f>
        <v/>
      </c>
      <c r="B4492">
        <f>TEST_DATA!B4492</f>
        <v/>
      </c>
      <c r="C4492">
        <f>TEST_DATA!C4492</f>
        <v/>
      </c>
      <c r="D4492">
        <f>TEST_DATA!D4492</f>
        <v/>
      </c>
      <c r="E4492">
        <f>TEST_DATA!E4492</f>
        <v/>
      </c>
      <c r="F4492">
        <f>MIN(E4492*449200,10000)</f>
        <v/>
      </c>
      <c r="G4492">
        <f>MINIFS(CBIC_Late_Fee_Relief_Windows_3B!$O$4492:$O$100,CBIC_Late_Fee_Relief_Windows_3B!$D$4492:$D$100,"&lt;="&amp;B4492,CBIC_Late_Fee_Relief_Windows_3B!$E$4492:$E$100,"&gt;="&amp;B4492,CBIC_Late_Fee_Relief_Windows_3B!$F$4492:$F$100,"&lt;="&amp;C4492,CBIC_Late_Fee_Relief_Windows_3B!$G$4492:$G$100,"&gt;="&amp;C4492)</f>
        <v/>
      </c>
      <c r="H4492">
        <f>INDEX(CBIC_Late_Fee_Relief_Windows_3B!$I$4492:$I$100,MATCH(G4492,CBIC_Late_Fee_Relief_Windows_3B!$O$4492:$O$100,0))</f>
        <v/>
      </c>
      <c r="I4492">
        <f>MIN(F4492,H4492)</f>
        <v/>
      </c>
    </row>
    <row r="4493">
      <c r="A4493">
        <f>TEST_DATA!A4493</f>
        <v/>
      </c>
      <c r="B4493">
        <f>TEST_DATA!B4493</f>
        <v/>
      </c>
      <c r="C4493">
        <f>TEST_DATA!C4493</f>
        <v/>
      </c>
      <c r="D4493">
        <f>TEST_DATA!D4493</f>
        <v/>
      </c>
      <c r="E4493">
        <f>TEST_DATA!E4493</f>
        <v/>
      </c>
      <c r="F4493">
        <f>MIN(E4493*449300,10000)</f>
        <v/>
      </c>
      <c r="G4493">
        <f>MINIFS(CBIC_Late_Fee_Relief_Windows_3B!$O$4493:$O$100,CBIC_Late_Fee_Relief_Windows_3B!$D$4493:$D$100,"&lt;="&amp;B4493,CBIC_Late_Fee_Relief_Windows_3B!$E$4493:$E$100,"&gt;="&amp;B4493,CBIC_Late_Fee_Relief_Windows_3B!$F$4493:$F$100,"&lt;="&amp;C4493,CBIC_Late_Fee_Relief_Windows_3B!$G$4493:$G$100,"&gt;="&amp;C4493)</f>
        <v/>
      </c>
      <c r="H4493">
        <f>INDEX(CBIC_Late_Fee_Relief_Windows_3B!$I$4493:$I$100,MATCH(G4493,CBIC_Late_Fee_Relief_Windows_3B!$O$4493:$O$100,0))</f>
        <v/>
      </c>
      <c r="I4493">
        <f>MIN(F4493,H4493)</f>
        <v/>
      </c>
    </row>
    <row r="4494">
      <c r="A4494">
        <f>TEST_DATA!A4494</f>
        <v/>
      </c>
      <c r="B4494">
        <f>TEST_DATA!B4494</f>
        <v/>
      </c>
      <c r="C4494">
        <f>TEST_DATA!C4494</f>
        <v/>
      </c>
      <c r="D4494">
        <f>TEST_DATA!D4494</f>
        <v/>
      </c>
      <c r="E4494">
        <f>TEST_DATA!E4494</f>
        <v/>
      </c>
      <c r="F4494">
        <f>MIN(E4494*449400,10000)</f>
        <v/>
      </c>
      <c r="G4494">
        <f>MINIFS(CBIC_Late_Fee_Relief_Windows_3B!$O$4494:$O$100,CBIC_Late_Fee_Relief_Windows_3B!$D$4494:$D$100,"&lt;="&amp;B4494,CBIC_Late_Fee_Relief_Windows_3B!$E$4494:$E$100,"&gt;="&amp;B4494,CBIC_Late_Fee_Relief_Windows_3B!$F$4494:$F$100,"&lt;="&amp;C4494,CBIC_Late_Fee_Relief_Windows_3B!$G$4494:$G$100,"&gt;="&amp;C4494)</f>
        <v/>
      </c>
      <c r="H4494">
        <f>INDEX(CBIC_Late_Fee_Relief_Windows_3B!$I$4494:$I$100,MATCH(G4494,CBIC_Late_Fee_Relief_Windows_3B!$O$4494:$O$100,0))</f>
        <v/>
      </c>
      <c r="I4494">
        <f>MIN(F4494,H4494)</f>
        <v/>
      </c>
    </row>
    <row r="4495">
      <c r="A4495">
        <f>TEST_DATA!A4495</f>
        <v/>
      </c>
      <c r="B4495">
        <f>TEST_DATA!B4495</f>
        <v/>
      </c>
      <c r="C4495">
        <f>TEST_DATA!C4495</f>
        <v/>
      </c>
      <c r="D4495">
        <f>TEST_DATA!D4495</f>
        <v/>
      </c>
      <c r="E4495">
        <f>TEST_DATA!E4495</f>
        <v/>
      </c>
      <c r="F4495">
        <f>MIN(E4495*449500,10000)</f>
        <v/>
      </c>
      <c r="G4495">
        <f>MINIFS(CBIC_Late_Fee_Relief_Windows_3B!$O$4495:$O$100,CBIC_Late_Fee_Relief_Windows_3B!$D$4495:$D$100,"&lt;="&amp;B4495,CBIC_Late_Fee_Relief_Windows_3B!$E$4495:$E$100,"&gt;="&amp;B4495,CBIC_Late_Fee_Relief_Windows_3B!$F$4495:$F$100,"&lt;="&amp;C4495,CBIC_Late_Fee_Relief_Windows_3B!$G$4495:$G$100,"&gt;="&amp;C4495)</f>
        <v/>
      </c>
      <c r="H4495">
        <f>INDEX(CBIC_Late_Fee_Relief_Windows_3B!$I$4495:$I$100,MATCH(G4495,CBIC_Late_Fee_Relief_Windows_3B!$O$4495:$O$100,0))</f>
        <v/>
      </c>
      <c r="I4495">
        <f>MIN(F4495,H4495)</f>
        <v/>
      </c>
    </row>
    <row r="4496">
      <c r="A4496">
        <f>TEST_DATA!A4496</f>
        <v/>
      </c>
      <c r="B4496">
        <f>TEST_DATA!B4496</f>
        <v/>
      </c>
      <c r="C4496">
        <f>TEST_DATA!C4496</f>
        <v/>
      </c>
      <c r="D4496">
        <f>TEST_DATA!D4496</f>
        <v/>
      </c>
      <c r="E4496">
        <f>TEST_DATA!E4496</f>
        <v/>
      </c>
      <c r="F4496">
        <f>MIN(E4496*449600,10000)</f>
        <v/>
      </c>
      <c r="G4496">
        <f>MINIFS(CBIC_Late_Fee_Relief_Windows_3B!$O$4496:$O$100,CBIC_Late_Fee_Relief_Windows_3B!$D$4496:$D$100,"&lt;="&amp;B4496,CBIC_Late_Fee_Relief_Windows_3B!$E$4496:$E$100,"&gt;="&amp;B4496,CBIC_Late_Fee_Relief_Windows_3B!$F$4496:$F$100,"&lt;="&amp;C4496,CBIC_Late_Fee_Relief_Windows_3B!$G$4496:$G$100,"&gt;="&amp;C4496)</f>
        <v/>
      </c>
      <c r="H4496">
        <f>INDEX(CBIC_Late_Fee_Relief_Windows_3B!$I$4496:$I$100,MATCH(G4496,CBIC_Late_Fee_Relief_Windows_3B!$O$4496:$O$100,0))</f>
        <v/>
      </c>
      <c r="I4496">
        <f>MIN(F4496,H4496)</f>
        <v/>
      </c>
    </row>
    <row r="4497">
      <c r="A4497">
        <f>TEST_DATA!A4497</f>
        <v/>
      </c>
      <c r="B4497">
        <f>TEST_DATA!B4497</f>
        <v/>
      </c>
      <c r="C4497">
        <f>TEST_DATA!C4497</f>
        <v/>
      </c>
      <c r="D4497">
        <f>TEST_DATA!D4497</f>
        <v/>
      </c>
      <c r="E4497">
        <f>TEST_DATA!E4497</f>
        <v/>
      </c>
      <c r="F4497">
        <f>MIN(E4497*449700,10000)</f>
        <v/>
      </c>
      <c r="G4497">
        <f>MINIFS(CBIC_Late_Fee_Relief_Windows_3B!$O$4497:$O$100,CBIC_Late_Fee_Relief_Windows_3B!$D$4497:$D$100,"&lt;="&amp;B4497,CBIC_Late_Fee_Relief_Windows_3B!$E$4497:$E$100,"&gt;="&amp;B4497,CBIC_Late_Fee_Relief_Windows_3B!$F$4497:$F$100,"&lt;="&amp;C4497,CBIC_Late_Fee_Relief_Windows_3B!$G$4497:$G$100,"&gt;="&amp;C4497)</f>
        <v/>
      </c>
      <c r="H4497">
        <f>INDEX(CBIC_Late_Fee_Relief_Windows_3B!$I$4497:$I$100,MATCH(G4497,CBIC_Late_Fee_Relief_Windows_3B!$O$4497:$O$100,0))</f>
        <v/>
      </c>
      <c r="I4497">
        <f>MIN(F4497,H4497)</f>
        <v/>
      </c>
    </row>
    <row r="4498">
      <c r="A4498">
        <f>TEST_DATA!A4498</f>
        <v/>
      </c>
      <c r="B4498">
        <f>TEST_DATA!B4498</f>
        <v/>
      </c>
      <c r="C4498">
        <f>TEST_DATA!C4498</f>
        <v/>
      </c>
      <c r="D4498">
        <f>TEST_DATA!D4498</f>
        <v/>
      </c>
      <c r="E4498">
        <f>TEST_DATA!E4498</f>
        <v/>
      </c>
      <c r="F4498">
        <f>MIN(E4498*449800,10000)</f>
        <v/>
      </c>
      <c r="G4498">
        <f>MINIFS(CBIC_Late_Fee_Relief_Windows_3B!$O$4498:$O$100,CBIC_Late_Fee_Relief_Windows_3B!$D$4498:$D$100,"&lt;="&amp;B4498,CBIC_Late_Fee_Relief_Windows_3B!$E$4498:$E$100,"&gt;="&amp;B4498,CBIC_Late_Fee_Relief_Windows_3B!$F$4498:$F$100,"&lt;="&amp;C4498,CBIC_Late_Fee_Relief_Windows_3B!$G$4498:$G$100,"&gt;="&amp;C4498)</f>
        <v/>
      </c>
      <c r="H4498">
        <f>INDEX(CBIC_Late_Fee_Relief_Windows_3B!$I$4498:$I$100,MATCH(G4498,CBIC_Late_Fee_Relief_Windows_3B!$O$4498:$O$100,0))</f>
        <v/>
      </c>
      <c r="I4498">
        <f>MIN(F4498,H4498)</f>
        <v/>
      </c>
    </row>
    <row r="4499">
      <c r="A4499">
        <f>TEST_DATA!A4499</f>
        <v/>
      </c>
      <c r="B4499">
        <f>TEST_DATA!B4499</f>
        <v/>
      </c>
      <c r="C4499">
        <f>TEST_DATA!C4499</f>
        <v/>
      </c>
      <c r="D4499">
        <f>TEST_DATA!D4499</f>
        <v/>
      </c>
      <c r="E4499">
        <f>TEST_DATA!E4499</f>
        <v/>
      </c>
      <c r="F4499">
        <f>MIN(E4499*449900,10000)</f>
        <v/>
      </c>
      <c r="G4499">
        <f>MINIFS(CBIC_Late_Fee_Relief_Windows_3B!$O$4499:$O$100,CBIC_Late_Fee_Relief_Windows_3B!$D$4499:$D$100,"&lt;="&amp;B4499,CBIC_Late_Fee_Relief_Windows_3B!$E$4499:$E$100,"&gt;="&amp;B4499,CBIC_Late_Fee_Relief_Windows_3B!$F$4499:$F$100,"&lt;="&amp;C4499,CBIC_Late_Fee_Relief_Windows_3B!$G$4499:$G$100,"&gt;="&amp;C4499)</f>
        <v/>
      </c>
      <c r="H4499">
        <f>INDEX(CBIC_Late_Fee_Relief_Windows_3B!$I$4499:$I$100,MATCH(G4499,CBIC_Late_Fee_Relief_Windows_3B!$O$4499:$O$100,0))</f>
        <v/>
      </c>
      <c r="I4499">
        <f>MIN(F4499,H4499)</f>
        <v/>
      </c>
    </row>
    <row r="4500">
      <c r="A4500">
        <f>TEST_DATA!A4500</f>
        <v/>
      </c>
      <c r="B4500">
        <f>TEST_DATA!B4500</f>
        <v/>
      </c>
      <c r="C4500">
        <f>TEST_DATA!C4500</f>
        <v/>
      </c>
      <c r="D4500">
        <f>TEST_DATA!D4500</f>
        <v/>
      </c>
      <c r="E4500">
        <f>TEST_DATA!E4500</f>
        <v/>
      </c>
      <c r="F4500">
        <f>MIN(E4500*450000,10000)</f>
        <v/>
      </c>
      <c r="G4500">
        <f>MINIFS(CBIC_Late_Fee_Relief_Windows_3B!$O$4500:$O$100,CBIC_Late_Fee_Relief_Windows_3B!$D$4500:$D$100,"&lt;="&amp;B4500,CBIC_Late_Fee_Relief_Windows_3B!$E$4500:$E$100,"&gt;="&amp;B4500,CBIC_Late_Fee_Relief_Windows_3B!$F$4500:$F$100,"&lt;="&amp;C4500,CBIC_Late_Fee_Relief_Windows_3B!$G$4500:$G$100,"&gt;="&amp;C4500)</f>
        <v/>
      </c>
      <c r="H4500">
        <f>INDEX(CBIC_Late_Fee_Relief_Windows_3B!$I$4500:$I$100,MATCH(G4500,CBIC_Late_Fee_Relief_Windows_3B!$O$4500:$O$100,0))</f>
        <v/>
      </c>
      <c r="I4500">
        <f>MIN(F4500,H4500)</f>
        <v/>
      </c>
    </row>
    <row r="4501">
      <c r="A4501">
        <f>TEST_DATA!A4501</f>
        <v/>
      </c>
      <c r="B4501">
        <f>TEST_DATA!B4501</f>
        <v/>
      </c>
      <c r="C4501">
        <f>TEST_DATA!C4501</f>
        <v/>
      </c>
      <c r="D4501">
        <f>TEST_DATA!D4501</f>
        <v/>
      </c>
      <c r="E4501">
        <f>TEST_DATA!E4501</f>
        <v/>
      </c>
      <c r="F4501">
        <f>MIN(E4501*450100,10000)</f>
        <v/>
      </c>
      <c r="G4501">
        <f>MINIFS(CBIC_Late_Fee_Relief_Windows_3B!$O$4501:$O$100,CBIC_Late_Fee_Relief_Windows_3B!$D$4501:$D$100,"&lt;="&amp;B4501,CBIC_Late_Fee_Relief_Windows_3B!$E$4501:$E$100,"&gt;="&amp;B4501,CBIC_Late_Fee_Relief_Windows_3B!$F$4501:$F$100,"&lt;="&amp;C4501,CBIC_Late_Fee_Relief_Windows_3B!$G$4501:$G$100,"&gt;="&amp;C4501)</f>
        <v/>
      </c>
      <c r="H4501">
        <f>INDEX(CBIC_Late_Fee_Relief_Windows_3B!$I$4501:$I$100,MATCH(G4501,CBIC_Late_Fee_Relief_Windows_3B!$O$4501:$O$100,0))</f>
        <v/>
      </c>
      <c r="I4501">
        <f>MIN(F4501,H4501)</f>
        <v/>
      </c>
    </row>
    <row r="4502">
      <c r="A4502">
        <f>TEST_DATA!A4502</f>
        <v/>
      </c>
      <c r="B4502">
        <f>TEST_DATA!B4502</f>
        <v/>
      </c>
      <c r="C4502">
        <f>TEST_DATA!C4502</f>
        <v/>
      </c>
      <c r="D4502">
        <f>TEST_DATA!D4502</f>
        <v/>
      </c>
      <c r="E4502">
        <f>TEST_DATA!E4502</f>
        <v/>
      </c>
      <c r="F4502">
        <f>MIN(E4502*450200,10000)</f>
        <v/>
      </c>
      <c r="G4502">
        <f>MINIFS(CBIC_Late_Fee_Relief_Windows_3B!$O$4502:$O$100,CBIC_Late_Fee_Relief_Windows_3B!$D$4502:$D$100,"&lt;="&amp;B4502,CBIC_Late_Fee_Relief_Windows_3B!$E$4502:$E$100,"&gt;="&amp;B4502,CBIC_Late_Fee_Relief_Windows_3B!$F$4502:$F$100,"&lt;="&amp;C4502,CBIC_Late_Fee_Relief_Windows_3B!$G$4502:$G$100,"&gt;="&amp;C4502)</f>
        <v/>
      </c>
      <c r="H4502">
        <f>INDEX(CBIC_Late_Fee_Relief_Windows_3B!$I$4502:$I$100,MATCH(G4502,CBIC_Late_Fee_Relief_Windows_3B!$O$4502:$O$100,0))</f>
        <v/>
      </c>
      <c r="I4502">
        <f>MIN(F4502,H4502)</f>
        <v/>
      </c>
    </row>
    <row r="4503">
      <c r="A4503">
        <f>TEST_DATA!A4503</f>
        <v/>
      </c>
      <c r="B4503">
        <f>TEST_DATA!B4503</f>
        <v/>
      </c>
      <c r="C4503">
        <f>TEST_DATA!C4503</f>
        <v/>
      </c>
      <c r="D4503">
        <f>TEST_DATA!D4503</f>
        <v/>
      </c>
      <c r="E4503">
        <f>TEST_DATA!E4503</f>
        <v/>
      </c>
      <c r="F4503">
        <f>MIN(E4503*450300,10000)</f>
        <v/>
      </c>
      <c r="G4503">
        <f>MINIFS(CBIC_Late_Fee_Relief_Windows_3B!$O$4503:$O$100,CBIC_Late_Fee_Relief_Windows_3B!$D$4503:$D$100,"&lt;="&amp;B4503,CBIC_Late_Fee_Relief_Windows_3B!$E$4503:$E$100,"&gt;="&amp;B4503,CBIC_Late_Fee_Relief_Windows_3B!$F$4503:$F$100,"&lt;="&amp;C4503,CBIC_Late_Fee_Relief_Windows_3B!$G$4503:$G$100,"&gt;="&amp;C4503)</f>
        <v/>
      </c>
      <c r="H4503">
        <f>INDEX(CBIC_Late_Fee_Relief_Windows_3B!$I$4503:$I$100,MATCH(G4503,CBIC_Late_Fee_Relief_Windows_3B!$O$4503:$O$100,0))</f>
        <v/>
      </c>
      <c r="I4503">
        <f>MIN(F4503,H4503)</f>
        <v/>
      </c>
    </row>
    <row r="4504">
      <c r="A4504">
        <f>TEST_DATA!A4504</f>
        <v/>
      </c>
      <c r="B4504">
        <f>TEST_DATA!B4504</f>
        <v/>
      </c>
      <c r="C4504">
        <f>TEST_DATA!C4504</f>
        <v/>
      </c>
      <c r="D4504">
        <f>TEST_DATA!D4504</f>
        <v/>
      </c>
      <c r="E4504">
        <f>TEST_DATA!E4504</f>
        <v/>
      </c>
      <c r="F4504">
        <f>MIN(E4504*450400,10000)</f>
        <v/>
      </c>
      <c r="G4504">
        <f>MINIFS(CBIC_Late_Fee_Relief_Windows_3B!$O$4504:$O$100,CBIC_Late_Fee_Relief_Windows_3B!$D$4504:$D$100,"&lt;="&amp;B4504,CBIC_Late_Fee_Relief_Windows_3B!$E$4504:$E$100,"&gt;="&amp;B4504,CBIC_Late_Fee_Relief_Windows_3B!$F$4504:$F$100,"&lt;="&amp;C4504,CBIC_Late_Fee_Relief_Windows_3B!$G$4504:$G$100,"&gt;="&amp;C4504)</f>
        <v/>
      </c>
      <c r="H4504">
        <f>INDEX(CBIC_Late_Fee_Relief_Windows_3B!$I$4504:$I$100,MATCH(G4504,CBIC_Late_Fee_Relief_Windows_3B!$O$4504:$O$100,0))</f>
        <v/>
      </c>
      <c r="I4504">
        <f>MIN(F4504,H4504)</f>
        <v/>
      </c>
    </row>
    <row r="4505">
      <c r="A4505">
        <f>TEST_DATA!A4505</f>
        <v/>
      </c>
      <c r="B4505">
        <f>TEST_DATA!B4505</f>
        <v/>
      </c>
      <c r="C4505">
        <f>TEST_DATA!C4505</f>
        <v/>
      </c>
      <c r="D4505">
        <f>TEST_DATA!D4505</f>
        <v/>
      </c>
      <c r="E4505">
        <f>TEST_DATA!E4505</f>
        <v/>
      </c>
      <c r="F4505">
        <f>MIN(E4505*450500,10000)</f>
        <v/>
      </c>
      <c r="G4505">
        <f>MINIFS(CBIC_Late_Fee_Relief_Windows_3B!$O$4505:$O$100,CBIC_Late_Fee_Relief_Windows_3B!$D$4505:$D$100,"&lt;="&amp;B4505,CBIC_Late_Fee_Relief_Windows_3B!$E$4505:$E$100,"&gt;="&amp;B4505,CBIC_Late_Fee_Relief_Windows_3B!$F$4505:$F$100,"&lt;="&amp;C4505,CBIC_Late_Fee_Relief_Windows_3B!$G$4505:$G$100,"&gt;="&amp;C4505)</f>
        <v/>
      </c>
      <c r="H4505">
        <f>INDEX(CBIC_Late_Fee_Relief_Windows_3B!$I$4505:$I$100,MATCH(G4505,CBIC_Late_Fee_Relief_Windows_3B!$O$4505:$O$100,0))</f>
        <v/>
      </c>
      <c r="I4505">
        <f>MIN(F4505,H4505)</f>
        <v/>
      </c>
    </row>
    <row r="4506">
      <c r="A4506">
        <f>TEST_DATA!A4506</f>
        <v/>
      </c>
      <c r="B4506">
        <f>TEST_DATA!B4506</f>
        <v/>
      </c>
      <c r="C4506">
        <f>TEST_DATA!C4506</f>
        <v/>
      </c>
      <c r="D4506">
        <f>TEST_DATA!D4506</f>
        <v/>
      </c>
      <c r="E4506">
        <f>TEST_DATA!E4506</f>
        <v/>
      </c>
      <c r="F4506">
        <f>MIN(E4506*450600,10000)</f>
        <v/>
      </c>
      <c r="G4506">
        <f>MINIFS(CBIC_Late_Fee_Relief_Windows_3B!$O$4506:$O$100,CBIC_Late_Fee_Relief_Windows_3B!$D$4506:$D$100,"&lt;="&amp;B4506,CBIC_Late_Fee_Relief_Windows_3B!$E$4506:$E$100,"&gt;="&amp;B4506,CBIC_Late_Fee_Relief_Windows_3B!$F$4506:$F$100,"&lt;="&amp;C4506,CBIC_Late_Fee_Relief_Windows_3B!$G$4506:$G$100,"&gt;="&amp;C4506)</f>
        <v/>
      </c>
      <c r="H4506">
        <f>INDEX(CBIC_Late_Fee_Relief_Windows_3B!$I$4506:$I$100,MATCH(G4506,CBIC_Late_Fee_Relief_Windows_3B!$O$4506:$O$100,0))</f>
        <v/>
      </c>
      <c r="I4506">
        <f>MIN(F4506,H4506)</f>
        <v/>
      </c>
    </row>
    <row r="4507">
      <c r="A4507">
        <f>TEST_DATA!A4507</f>
        <v/>
      </c>
      <c r="B4507">
        <f>TEST_DATA!B4507</f>
        <v/>
      </c>
      <c r="C4507">
        <f>TEST_DATA!C4507</f>
        <v/>
      </c>
      <c r="D4507">
        <f>TEST_DATA!D4507</f>
        <v/>
      </c>
      <c r="E4507">
        <f>TEST_DATA!E4507</f>
        <v/>
      </c>
      <c r="F4507">
        <f>MIN(E4507*450700,10000)</f>
        <v/>
      </c>
      <c r="G4507">
        <f>MINIFS(CBIC_Late_Fee_Relief_Windows_3B!$O$4507:$O$100,CBIC_Late_Fee_Relief_Windows_3B!$D$4507:$D$100,"&lt;="&amp;B4507,CBIC_Late_Fee_Relief_Windows_3B!$E$4507:$E$100,"&gt;="&amp;B4507,CBIC_Late_Fee_Relief_Windows_3B!$F$4507:$F$100,"&lt;="&amp;C4507,CBIC_Late_Fee_Relief_Windows_3B!$G$4507:$G$100,"&gt;="&amp;C4507)</f>
        <v/>
      </c>
      <c r="H4507">
        <f>INDEX(CBIC_Late_Fee_Relief_Windows_3B!$I$4507:$I$100,MATCH(G4507,CBIC_Late_Fee_Relief_Windows_3B!$O$4507:$O$100,0))</f>
        <v/>
      </c>
      <c r="I4507">
        <f>MIN(F4507,H4507)</f>
        <v/>
      </c>
    </row>
    <row r="4508">
      <c r="A4508">
        <f>TEST_DATA!A4508</f>
        <v/>
      </c>
      <c r="B4508">
        <f>TEST_DATA!B4508</f>
        <v/>
      </c>
      <c r="C4508">
        <f>TEST_DATA!C4508</f>
        <v/>
      </c>
      <c r="D4508">
        <f>TEST_DATA!D4508</f>
        <v/>
      </c>
      <c r="E4508">
        <f>TEST_DATA!E4508</f>
        <v/>
      </c>
      <c r="F4508">
        <f>MIN(E4508*450800,10000)</f>
        <v/>
      </c>
      <c r="G4508">
        <f>MINIFS(CBIC_Late_Fee_Relief_Windows_3B!$O$4508:$O$100,CBIC_Late_Fee_Relief_Windows_3B!$D$4508:$D$100,"&lt;="&amp;B4508,CBIC_Late_Fee_Relief_Windows_3B!$E$4508:$E$100,"&gt;="&amp;B4508,CBIC_Late_Fee_Relief_Windows_3B!$F$4508:$F$100,"&lt;="&amp;C4508,CBIC_Late_Fee_Relief_Windows_3B!$G$4508:$G$100,"&gt;="&amp;C4508)</f>
        <v/>
      </c>
      <c r="H4508">
        <f>INDEX(CBIC_Late_Fee_Relief_Windows_3B!$I$4508:$I$100,MATCH(G4508,CBIC_Late_Fee_Relief_Windows_3B!$O$4508:$O$100,0))</f>
        <v/>
      </c>
      <c r="I4508">
        <f>MIN(F4508,H4508)</f>
        <v/>
      </c>
    </row>
    <row r="4509">
      <c r="A4509">
        <f>TEST_DATA!A4509</f>
        <v/>
      </c>
      <c r="B4509">
        <f>TEST_DATA!B4509</f>
        <v/>
      </c>
      <c r="C4509">
        <f>TEST_DATA!C4509</f>
        <v/>
      </c>
      <c r="D4509">
        <f>TEST_DATA!D4509</f>
        <v/>
      </c>
      <c r="E4509">
        <f>TEST_DATA!E4509</f>
        <v/>
      </c>
      <c r="F4509">
        <f>MIN(E4509*450900,10000)</f>
        <v/>
      </c>
      <c r="G4509">
        <f>MINIFS(CBIC_Late_Fee_Relief_Windows_3B!$O$4509:$O$100,CBIC_Late_Fee_Relief_Windows_3B!$D$4509:$D$100,"&lt;="&amp;B4509,CBIC_Late_Fee_Relief_Windows_3B!$E$4509:$E$100,"&gt;="&amp;B4509,CBIC_Late_Fee_Relief_Windows_3B!$F$4509:$F$100,"&lt;="&amp;C4509,CBIC_Late_Fee_Relief_Windows_3B!$G$4509:$G$100,"&gt;="&amp;C4509)</f>
        <v/>
      </c>
      <c r="H4509">
        <f>INDEX(CBIC_Late_Fee_Relief_Windows_3B!$I$4509:$I$100,MATCH(G4509,CBIC_Late_Fee_Relief_Windows_3B!$O$4509:$O$100,0))</f>
        <v/>
      </c>
      <c r="I4509">
        <f>MIN(F4509,H4509)</f>
        <v/>
      </c>
    </row>
    <row r="4510">
      <c r="A4510">
        <f>TEST_DATA!A4510</f>
        <v/>
      </c>
      <c r="B4510">
        <f>TEST_DATA!B4510</f>
        <v/>
      </c>
      <c r="C4510">
        <f>TEST_DATA!C4510</f>
        <v/>
      </c>
      <c r="D4510">
        <f>TEST_DATA!D4510</f>
        <v/>
      </c>
      <c r="E4510">
        <f>TEST_DATA!E4510</f>
        <v/>
      </c>
      <c r="F4510">
        <f>MIN(E4510*451000,10000)</f>
        <v/>
      </c>
      <c r="G4510">
        <f>MINIFS(CBIC_Late_Fee_Relief_Windows_3B!$O$4510:$O$100,CBIC_Late_Fee_Relief_Windows_3B!$D$4510:$D$100,"&lt;="&amp;B4510,CBIC_Late_Fee_Relief_Windows_3B!$E$4510:$E$100,"&gt;="&amp;B4510,CBIC_Late_Fee_Relief_Windows_3B!$F$4510:$F$100,"&lt;="&amp;C4510,CBIC_Late_Fee_Relief_Windows_3B!$G$4510:$G$100,"&gt;="&amp;C4510)</f>
        <v/>
      </c>
      <c r="H4510">
        <f>INDEX(CBIC_Late_Fee_Relief_Windows_3B!$I$4510:$I$100,MATCH(G4510,CBIC_Late_Fee_Relief_Windows_3B!$O$4510:$O$100,0))</f>
        <v/>
      </c>
      <c r="I4510">
        <f>MIN(F4510,H4510)</f>
        <v/>
      </c>
    </row>
    <row r="4511">
      <c r="A4511">
        <f>TEST_DATA!A4511</f>
        <v/>
      </c>
      <c r="B4511">
        <f>TEST_DATA!B4511</f>
        <v/>
      </c>
      <c r="C4511">
        <f>TEST_DATA!C4511</f>
        <v/>
      </c>
      <c r="D4511">
        <f>TEST_DATA!D4511</f>
        <v/>
      </c>
      <c r="E4511">
        <f>TEST_DATA!E4511</f>
        <v/>
      </c>
      <c r="F4511">
        <f>MIN(E4511*451100,10000)</f>
        <v/>
      </c>
      <c r="G4511">
        <f>MINIFS(CBIC_Late_Fee_Relief_Windows_3B!$O$4511:$O$100,CBIC_Late_Fee_Relief_Windows_3B!$D$4511:$D$100,"&lt;="&amp;B4511,CBIC_Late_Fee_Relief_Windows_3B!$E$4511:$E$100,"&gt;="&amp;B4511,CBIC_Late_Fee_Relief_Windows_3B!$F$4511:$F$100,"&lt;="&amp;C4511,CBIC_Late_Fee_Relief_Windows_3B!$G$4511:$G$100,"&gt;="&amp;C4511)</f>
        <v/>
      </c>
      <c r="H4511">
        <f>INDEX(CBIC_Late_Fee_Relief_Windows_3B!$I$4511:$I$100,MATCH(G4511,CBIC_Late_Fee_Relief_Windows_3B!$O$4511:$O$100,0))</f>
        <v/>
      </c>
      <c r="I4511">
        <f>MIN(F4511,H4511)</f>
        <v/>
      </c>
    </row>
    <row r="4512">
      <c r="A4512">
        <f>TEST_DATA!A4512</f>
        <v/>
      </c>
      <c r="B4512">
        <f>TEST_DATA!B4512</f>
        <v/>
      </c>
      <c r="C4512">
        <f>TEST_DATA!C4512</f>
        <v/>
      </c>
      <c r="D4512">
        <f>TEST_DATA!D4512</f>
        <v/>
      </c>
      <c r="E4512">
        <f>TEST_DATA!E4512</f>
        <v/>
      </c>
      <c r="F4512">
        <f>MIN(E4512*451200,10000)</f>
        <v/>
      </c>
      <c r="G4512">
        <f>MINIFS(CBIC_Late_Fee_Relief_Windows_3B!$O$4512:$O$100,CBIC_Late_Fee_Relief_Windows_3B!$D$4512:$D$100,"&lt;="&amp;B4512,CBIC_Late_Fee_Relief_Windows_3B!$E$4512:$E$100,"&gt;="&amp;B4512,CBIC_Late_Fee_Relief_Windows_3B!$F$4512:$F$100,"&lt;="&amp;C4512,CBIC_Late_Fee_Relief_Windows_3B!$G$4512:$G$100,"&gt;="&amp;C4512)</f>
        <v/>
      </c>
      <c r="H4512">
        <f>INDEX(CBIC_Late_Fee_Relief_Windows_3B!$I$4512:$I$100,MATCH(G4512,CBIC_Late_Fee_Relief_Windows_3B!$O$4512:$O$100,0))</f>
        <v/>
      </c>
      <c r="I4512">
        <f>MIN(F4512,H4512)</f>
        <v/>
      </c>
    </row>
    <row r="4513">
      <c r="A4513">
        <f>TEST_DATA!A4513</f>
        <v/>
      </c>
      <c r="B4513">
        <f>TEST_DATA!B4513</f>
        <v/>
      </c>
      <c r="C4513">
        <f>TEST_DATA!C4513</f>
        <v/>
      </c>
      <c r="D4513">
        <f>TEST_DATA!D4513</f>
        <v/>
      </c>
      <c r="E4513">
        <f>TEST_DATA!E4513</f>
        <v/>
      </c>
      <c r="F4513">
        <f>MIN(E4513*451300,10000)</f>
        <v/>
      </c>
      <c r="G4513">
        <f>MINIFS(CBIC_Late_Fee_Relief_Windows_3B!$O$4513:$O$100,CBIC_Late_Fee_Relief_Windows_3B!$D$4513:$D$100,"&lt;="&amp;B4513,CBIC_Late_Fee_Relief_Windows_3B!$E$4513:$E$100,"&gt;="&amp;B4513,CBIC_Late_Fee_Relief_Windows_3B!$F$4513:$F$100,"&lt;="&amp;C4513,CBIC_Late_Fee_Relief_Windows_3B!$G$4513:$G$100,"&gt;="&amp;C4513)</f>
        <v/>
      </c>
      <c r="H4513">
        <f>INDEX(CBIC_Late_Fee_Relief_Windows_3B!$I$4513:$I$100,MATCH(G4513,CBIC_Late_Fee_Relief_Windows_3B!$O$4513:$O$100,0))</f>
        <v/>
      </c>
      <c r="I4513">
        <f>MIN(F4513,H4513)</f>
        <v/>
      </c>
    </row>
    <row r="4514">
      <c r="A4514">
        <f>TEST_DATA!A4514</f>
        <v/>
      </c>
      <c r="B4514">
        <f>TEST_DATA!B4514</f>
        <v/>
      </c>
      <c r="C4514">
        <f>TEST_DATA!C4514</f>
        <v/>
      </c>
      <c r="D4514">
        <f>TEST_DATA!D4514</f>
        <v/>
      </c>
      <c r="E4514">
        <f>TEST_DATA!E4514</f>
        <v/>
      </c>
      <c r="F4514">
        <f>MIN(E4514*451400,10000)</f>
        <v/>
      </c>
      <c r="G4514">
        <f>MINIFS(CBIC_Late_Fee_Relief_Windows_3B!$O$4514:$O$100,CBIC_Late_Fee_Relief_Windows_3B!$D$4514:$D$100,"&lt;="&amp;B4514,CBIC_Late_Fee_Relief_Windows_3B!$E$4514:$E$100,"&gt;="&amp;B4514,CBIC_Late_Fee_Relief_Windows_3B!$F$4514:$F$100,"&lt;="&amp;C4514,CBIC_Late_Fee_Relief_Windows_3B!$G$4514:$G$100,"&gt;="&amp;C4514)</f>
        <v/>
      </c>
      <c r="H4514">
        <f>INDEX(CBIC_Late_Fee_Relief_Windows_3B!$I$4514:$I$100,MATCH(G4514,CBIC_Late_Fee_Relief_Windows_3B!$O$4514:$O$100,0))</f>
        <v/>
      </c>
      <c r="I4514">
        <f>MIN(F4514,H4514)</f>
        <v/>
      </c>
    </row>
    <row r="4515">
      <c r="A4515">
        <f>TEST_DATA!A4515</f>
        <v/>
      </c>
      <c r="B4515">
        <f>TEST_DATA!B4515</f>
        <v/>
      </c>
      <c r="C4515">
        <f>TEST_DATA!C4515</f>
        <v/>
      </c>
      <c r="D4515">
        <f>TEST_DATA!D4515</f>
        <v/>
      </c>
      <c r="E4515">
        <f>TEST_DATA!E4515</f>
        <v/>
      </c>
      <c r="F4515">
        <f>MIN(E4515*451500,10000)</f>
        <v/>
      </c>
      <c r="G4515">
        <f>MINIFS(CBIC_Late_Fee_Relief_Windows_3B!$O$4515:$O$100,CBIC_Late_Fee_Relief_Windows_3B!$D$4515:$D$100,"&lt;="&amp;B4515,CBIC_Late_Fee_Relief_Windows_3B!$E$4515:$E$100,"&gt;="&amp;B4515,CBIC_Late_Fee_Relief_Windows_3B!$F$4515:$F$100,"&lt;="&amp;C4515,CBIC_Late_Fee_Relief_Windows_3B!$G$4515:$G$100,"&gt;="&amp;C4515)</f>
        <v/>
      </c>
      <c r="H4515">
        <f>INDEX(CBIC_Late_Fee_Relief_Windows_3B!$I$4515:$I$100,MATCH(G4515,CBIC_Late_Fee_Relief_Windows_3B!$O$4515:$O$100,0))</f>
        <v/>
      </c>
      <c r="I4515">
        <f>MIN(F4515,H4515)</f>
        <v/>
      </c>
    </row>
    <row r="4516">
      <c r="A4516">
        <f>TEST_DATA!A4516</f>
        <v/>
      </c>
      <c r="B4516">
        <f>TEST_DATA!B4516</f>
        <v/>
      </c>
      <c r="C4516">
        <f>TEST_DATA!C4516</f>
        <v/>
      </c>
      <c r="D4516">
        <f>TEST_DATA!D4516</f>
        <v/>
      </c>
      <c r="E4516">
        <f>TEST_DATA!E4516</f>
        <v/>
      </c>
      <c r="F4516">
        <f>MIN(E4516*451600,10000)</f>
        <v/>
      </c>
      <c r="G4516">
        <f>MINIFS(CBIC_Late_Fee_Relief_Windows_3B!$O$4516:$O$100,CBIC_Late_Fee_Relief_Windows_3B!$D$4516:$D$100,"&lt;="&amp;B4516,CBIC_Late_Fee_Relief_Windows_3B!$E$4516:$E$100,"&gt;="&amp;B4516,CBIC_Late_Fee_Relief_Windows_3B!$F$4516:$F$100,"&lt;="&amp;C4516,CBIC_Late_Fee_Relief_Windows_3B!$G$4516:$G$100,"&gt;="&amp;C4516)</f>
        <v/>
      </c>
      <c r="H4516">
        <f>INDEX(CBIC_Late_Fee_Relief_Windows_3B!$I$4516:$I$100,MATCH(G4516,CBIC_Late_Fee_Relief_Windows_3B!$O$4516:$O$100,0))</f>
        <v/>
      </c>
      <c r="I4516">
        <f>MIN(F4516,H4516)</f>
        <v/>
      </c>
    </row>
    <row r="4517">
      <c r="A4517">
        <f>TEST_DATA!A4517</f>
        <v/>
      </c>
      <c r="B4517">
        <f>TEST_DATA!B4517</f>
        <v/>
      </c>
      <c r="C4517">
        <f>TEST_DATA!C4517</f>
        <v/>
      </c>
      <c r="D4517">
        <f>TEST_DATA!D4517</f>
        <v/>
      </c>
      <c r="E4517">
        <f>TEST_DATA!E4517</f>
        <v/>
      </c>
      <c r="F4517">
        <f>MIN(E4517*451700,10000)</f>
        <v/>
      </c>
      <c r="G4517">
        <f>MINIFS(CBIC_Late_Fee_Relief_Windows_3B!$O$4517:$O$100,CBIC_Late_Fee_Relief_Windows_3B!$D$4517:$D$100,"&lt;="&amp;B4517,CBIC_Late_Fee_Relief_Windows_3B!$E$4517:$E$100,"&gt;="&amp;B4517,CBIC_Late_Fee_Relief_Windows_3B!$F$4517:$F$100,"&lt;="&amp;C4517,CBIC_Late_Fee_Relief_Windows_3B!$G$4517:$G$100,"&gt;="&amp;C4517)</f>
        <v/>
      </c>
      <c r="H4517">
        <f>INDEX(CBIC_Late_Fee_Relief_Windows_3B!$I$4517:$I$100,MATCH(G4517,CBIC_Late_Fee_Relief_Windows_3B!$O$4517:$O$100,0))</f>
        <v/>
      </c>
      <c r="I4517">
        <f>MIN(F4517,H4517)</f>
        <v/>
      </c>
    </row>
    <row r="4518">
      <c r="A4518">
        <f>TEST_DATA!A4518</f>
        <v/>
      </c>
      <c r="B4518">
        <f>TEST_DATA!B4518</f>
        <v/>
      </c>
      <c r="C4518">
        <f>TEST_DATA!C4518</f>
        <v/>
      </c>
      <c r="D4518">
        <f>TEST_DATA!D4518</f>
        <v/>
      </c>
      <c r="E4518">
        <f>TEST_DATA!E4518</f>
        <v/>
      </c>
      <c r="F4518">
        <f>MIN(E4518*451800,10000)</f>
        <v/>
      </c>
      <c r="G4518">
        <f>MINIFS(CBIC_Late_Fee_Relief_Windows_3B!$O$4518:$O$100,CBIC_Late_Fee_Relief_Windows_3B!$D$4518:$D$100,"&lt;="&amp;B4518,CBIC_Late_Fee_Relief_Windows_3B!$E$4518:$E$100,"&gt;="&amp;B4518,CBIC_Late_Fee_Relief_Windows_3B!$F$4518:$F$100,"&lt;="&amp;C4518,CBIC_Late_Fee_Relief_Windows_3B!$G$4518:$G$100,"&gt;="&amp;C4518)</f>
        <v/>
      </c>
      <c r="H4518">
        <f>INDEX(CBIC_Late_Fee_Relief_Windows_3B!$I$4518:$I$100,MATCH(G4518,CBIC_Late_Fee_Relief_Windows_3B!$O$4518:$O$100,0))</f>
        <v/>
      </c>
      <c r="I4518">
        <f>MIN(F4518,H4518)</f>
        <v/>
      </c>
    </row>
    <row r="4519">
      <c r="A4519">
        <f>TEST_DATA!A4519</f>
        <v/>
      </c>
      <c r="B4519">
        <f>TEST_DATA!B4519</f>
        <v/>
      </c>
      <c r="C4519">
        <f>TEST_DATA!C4519</f>
        <v/>
      </c>
      <c r="D4519">
        <f>TEST_DATA!D4519</f>
        <v/>
      </c>
      <c r="E4519">
        <f>TEST_DATA!E4519</f>
        <v/>
      </c>
      <c r="F4519">
        <f>MIN(E4519*451900,10000)</f>
        <v/>
      </c>
      <c r="G4519">
        <f>MINIFS(CBIC_Late_Fee_Relief_Windows_3B!$O$4519:$O$100,CBIC_Late_Fee_Relief_Windows_3B!$D$4519:$D$100,"&lt;="&amp;B4519,CBIC_Late_Fee_Relief_Windows_3B!$E$4519:$E$100,"&gt;="&amp;B4519,CBIC_Late_Fee_Relief_Windows_3B!$F$4519:$F$100,"&lt;="&amp;C4519,CBIC_Late_Fee_Relief_Windows_3B!$G$4519:$G$100,"&gt;="&amp;C4519)</f>
        <v/>
      </c>
      <c r="H4519">
        <f>INDEX(CBIC_Late_Fee_Relief_Windows_3B!$I$4519:$I$100,MATCH(G4519,CBIC_Late_Fee_Relief_Windows_3B!$O$4519:$O$100,0))</f>
        <v/>
      </c>
      <c r="I4519">
        <f>MIN(F4519,H4519)</f>
        <v/>
      </c>
    </row>
    <row r="4520">
      <c r="A4520">
        <f>TEST_DATA!A4520</f>
        <v/>
      </c>
      <c r="B4520">
        <f>TEST_DATA!B4520</f>
        <v/>
      </c>
      <c r="C4520">
        <f>TEST_DATA!C4520</f>
        <v/>
      </c>
      <c r="D4520">
        <f>TEST_DATA!D4520</f>
        <v/>
      </c>
      <c r="E4520">
        <f>TEST_DATA!E4520</f>
        <v/>
      </c>
      <c r="F4520">
        <f>MIN(E4520*452000,10000)</f>
        <v/>
      </c>
      <c r="G4520">
        <f>MINIFS(CBIC_Late_Fee_Relief_Windows_3B!$O$4520:$O$100,CBIC_Late_Fee_Relief_Windows_3B!$D$4520:$D$100,"&lt;="&amp;B4520,CBIC_Late_Fee_Relief_Windows_3B!$E$4520:$E$100,"&gt;="&amp;B4520,CBIC_Late_Fee_Relief_Windows_3B!$F$4520:$F$100,"&lt;="&amp;C4520,CBIC_Late_Fee_Relief_Windows_3B!$G$4520:$G$100,"&gt;="&amp;C4520)</f>
        <v/>
      </c>
      <c r="H4520">
        <f>INDEX(CBIC_Late_Fee_Relief_Windows_3B!$I$4520:$I$100,MATCH(G4520,CBIC_Late_Fee_Relief_Windows_3B!$O$4520:$O$100,0))</f>
        <v/>
      </c>
      <c r="I4520">
        <f>MIN(F4520,H4520)</f>
        <v/>
      </c>
    </row>
    <row r="4521">
      <c r="A4521">
        <f>TEST_DATA!A4521</f>
        <v/>
      </c>
      <c r="B4521">
        <f>TEST_DATA!B4521</f>
        <v/>
      </c>
      <c r="C4521">
        <f>TEST_DATA!C4521</f>
        <v/>
      </c>
      <c r="D4521">
        <f>TEST_DATA!D4521</f>
        <v/>
      </c>
      <c r="E4521">
        <f>TEST_DATA!E4521</f>
        <v/>
      </c>
      <c r="F4521">
        <f>MIN(E4521*452100,10000)</f>
        <v/>
      </c>
      <c r="G4521">
        <f>MINIFS(CBIC_Late_Fee_Relief_Windows_3B!$O$4521:$O$100,CBIC_Late_Fee_Relief_Windows_3B!$D$4521:$D$100,"&lt;="&amp;B4521,CBIC_Late_Fee_Relief_Windows_3B!$E$4521:$E$100,"&gt;="&amp;B4521,CBIC_Late_Fee_Relief_Windows_3B!$F$4521:$F$100,"&lt;="&amp;C4521,CBIC_Late_Fee_Relief_Windows_3B!$G$4521:$G$100,"&gt;="&amp;C4521)</f>
        <v/>
      </c>
      <c r="H4521">
        <f>INDEX(CBIC_Late_Fee_Relief_Windows_3B!$I$4521:$I$100,MATCH(G4521,CBIC_Late_Fee_Relief_Windows_3B!$O$4521:$O$100,0))</f>
        <v/>
      </c>
      <c r="I4521">
        <f>MIN(F4521,H4521)</f>
        <v/>
      </c>
    </row>
    <row r="4522">
      <c r="A4522">
        <f>TEST_DATA!A4522</f>
        <v/>
      </c>
      <c r="B4522">
        <f>TEST_DATA!B4522</f>
        <v/>
      </c>
      <c r="C4522">
        <f>TEST_DATA!C4522</f>
        <v/>
      </c>
      <c r="D4522">
        <f>TEST_DATA!D4522</f>
        <v/>
      </c>
      <c r="E4522">
        <f>TEST_DATA!E4522</f>
        <v/>
      </c>
      <c r="F4522">
        <f>MIN(E4522*452200,10000)</f>
        <v/>
      </c>
      <c r="G4522">
        <f>MINIFS(CBIC_Late_Fee_Relief_Windows_3B!$O$4522:$O$100,CBIC_Late_Fee_Relief_Windows_3B!$D$4522:$D$100,"&lt;="&amp;B4522,CBIC_Late_Fee_Relief_Windows_3B!$E$4522:$E$100,"&gt;="&amp;B4522,CBIC_Late_Fee_Relief_Windows_3B!$F$4522:$F$100,"&lt;="&amp;C4522,CBIC_Late_Fee_Relief_Windows_3B!$G$4522:$G$100,"&gt;="&amp;C4522)</f>
        <v/>
      </c>
      <c r="H4522">
        <f>INDEX(CBIC_Late_Fee_Relief_Windows_3B!$I$4522:$I$100,MATCH(G4522,CBIC_Late_Fee_Relief_Windows_3B!$O$4522:$O$100,0))</f>
        <v/>
      </c>
      <c r="I4522">
        <f>MIN(F4522,H4522)</f>
        <v/>
      </c>
    </row>
    <row r="4523">
      <c r="A4523">
        <f>TEST_DATA!A4523</f>
        <v/>
      </c>
      <c r="B4523">
        <f>TEST_DATA!B4523</f>
        <v/>
      </c>
      <c r="C4523">
        <f>TEST_DATA!C4523</f>
        <v/>
      </c>
      <c r="D4523">
        <f>TEST_DATA!D4523</f>
        <v/>
      </c>
      <c r="E4523">
        <f>TEST_DATA!E4523</f>
        <v/>
      </c>
      <c r="F4523">
        <f>MIN(E4523*452300,10000)</f>
        <v/>
      </c>
      <c r="G4523">
        <f>MINIFS(CBIC_Late_Fee_Relief_Windows_3B!$O$4523:$O$100,CBIC_Late_Fee_Relief_Windows_3B!$D$4523:$D$100,"&lt;="&amp;B4523,CBIC_Late_Fee_Relief_Windows_3B!$E$4523:$E$100,"&gt;="&amp;B4523,CBIC_Late_Fee_Relief_Windows_3B!$F$4523:$F$100,"&lt;="&amp;C4523,CBIC_Late_Fee_Relief_Windows_3B!$G$4523:$G$100,"&gt;="&amp;C4523)</f>
        <v/>
      </c>
      <c r="H4523">
        <f>INDEX(CBIC_Late_Fee_Relief_Windows_3B!$I$4523:$I$100,MATCH(G4523,CBIC_Late_Fee_Relief_Windows_3B!$O$4523:$O$100,0))</f>
        <v/>
      </c>
      <c r="I4523">
        <f>MIN(F4523,H4523)</f>
        <v/>
      </c>
    </row>
    <row r="4524">
      <c r="A4524">
        <f>TEST_DATA!A4524</f>
        <v/>
      </c>
      <c r="B4524">
        <f>TEST_DATA!B4524</f>
        <v/>
      </c>
      <c r="C4524">
        <f>TEST_DATA!C4524</f>
        <v/>
      </c>
      <c r="D4524">
        <f>TEST_DATA!D4524</f>
        <v/>
      </c>
      <c r="E4524">
        <f>TEST_DATA!E4524</f>
        <v/>
      </c>
      <c r="F4524">
        <f>MIN(E4524*452400,10000)</f>
        <v/>
      </c>
      <c r="G4524">
        <f>MINIFS(CBIC_Late_Fee_Relief_Windows_3B!$O$4524:$O$100,CBIC_Late_Fee_Relief_Windows_3B!$D$4524:$D$100,"&lt;="&amp;B4524,CBIC_Late_Fee_Relief_Windows_3B!$E$4524:$E$100,"&gt;="&amp;B4524,CBIC_Late_Fee_Relief_Windows_3B!$F$4524:$F$100,"&lt;="&amp;C4524,CBIC_Late_Fee_Relief_Windows_3B!$G$4524:$G$100,"&gt;="&amp;C4524)</f>
        <v/>
      </c>
      <c r="H4524">
        <f>INDEX(CBIC_Late_Fee_Relief_Windows_3B!$I$4524:$I$100,MATCH(G4524,CBIC_Late_Fee_Relief_Windows_3B!$O$4524:$O$100,0))</f>
        <v/>
      </c>
      <c r="I4524">
        <f>MIN(F4524,H4524)</f>
        <v/>
      </c>
    </row>
    <row r="4525">
      <c r="A4525">
        <f>TEST_DATA!A4525</f>
        <v/>
      </c>
      <c r="B4525">
        <f>TEST_DATA!B4525</f>
        <v/>
      </c>
      <c r="C4525">
        <f>TEST_DATA!C4525</f>
        <v/>
      </c>
      <c r="D4525">
        <f>TEST_DATA!D4525</f>
        <v/>
      </c>
      <c r="E4525">
        <f>TEST_DATA!E4525</f>
        <v/>
      </c>
      <c r="F4525">
        <f>MIN(E4525*452500,10000)</f>
        <v/>
      </c>
      <c r="G4525">
        <f>MINIFS(CBIC_Late_Fee_Relief_Windows_3B!$O$4525:$O$100,CBIC_Late_Fee_Relief_Windows_3B!$D$4525:$D$100,"&lt;="&amp;B4525,CBIC_Late_Fee_Relief_Windows_3B!$E$4525:$E$100,"&gt;="&amp;B4525,CBIC_Late_Fee_Relief_Windows_3B!$F$4525:$F$100,"&lt;="&amp;C4525,CBIC_Late_Fee_Relief_Windows_3B!$G$4525:$G$100,"&gt;="&amp;C4525)</f>
        <v/>
      </c>
      <c r="H4525">
        <f>INDEX(CBIC_Late_Fee_Relief_Windows_3B!$I$4525:$I$100,MATCH(G4525,CBIC_Late_Fee_Relief_Windows_3B!$O$4525:$O$100,0))</f>
        <v/>
      </c>
      <c r="I4525">
        <f>MIN(F4525,H4525)</f>
        <v/>
      </c>
    </row>
    <row r="4526">
      <c r="A4526">
        <f>TEST_DATA!A4526</f>
        <v/>
      </c>
      <c r="B4526">
        <f>TEST_DATA!B4526</f>
        <v/>
      </c>
      <c r="C4526">
        <f>TEST_DATA!C4526</f>
        <v/>
      </c>
      <c r="D4526">
        <f>TEST_DATA!D4526</f>
        <v/>
      </c>
      <c r="E4526">
        <f>TEST_DATA!E4526</f>
        <v/>
      </c>
      <c r="F4526">
        <f>MIN(E4526*452600,10000)</f>
        <v/>
      </c>
      <c r="G4526">
        <f>MINIFS(CBIC_Late_Fee_Relief_Windows_3B!$O$4526:$O$100,CBIC_Late_Fee_Relief_Windows_3B!$D$4526:$D$100,"&lt;="&amp;B4526,CBIC_Late_Fee_Relief_Windows_3B!$E$4526:$E$100,"&gt;="&amp;B4526,CBIC_Late_Fee_Relief_Windows_3B!$F$4526:$F$100,"&lt;="&amp;C4526,CBIC_Late_Fee_Relief_Windows_3B!$G$4526:$G$100,"&gt;="&amp;C4526)</f>
        <v/>
      </c>
      <c r="H4526">
        <f>INDEX(CBIC_Late_Fee_Relief_Windows_3B!$I$4526:$I$100,MATCH(G4526,CBIC_Late_Fee_Relief_Windows_3B!$O$4526:$O$100,0))</f>
        <v/>
      </c>
      <c r="I4526">
        <f>MIN(F4526,H4526)</f>
        <v/>
      </c>
    </row>
    <row r="4527">
      <c r="A4527">
        <f>TEST_DATA!A4527</f>
        <v/>
      </c>
      <c r="B4527">
        <f>TEST_DATA!B4527</f>
        <v/>
      </c>
      <c r="C4527">
        <f>TEST_DATA!C4527</f>
        <v/>
      </c>
      <c r="D4527">
        <f>TEST_DATA!D4527</f>
        <v/>
      </c>
      <c r="E4527">
        <f>TEST_DATA!E4527</f>
        <v/>
      </c>
      <c r="F4527">
        <f>MIN(E4527*452700,10000)</f>
        <v/>
      </c>
      <c r="G4527">
        <f>MINIFS(CBIC_Late_Fee_Relief_Windows_3B!$O$4527:$O$100,CBIC_Late_Fee_Relief_Windows_3B!$D$4527:$D$100,"&lt;="&amp;B4527,CBIC_Late_Fee_Relief_Windows_3B!$E$4527:$E$100,"&gt;="&amp;B4527,CBIC_Late_Fee_Relief_Windows_3B!$F$4527:$F$100,"&lt;="&amp;C4527,CBIC_Late_Fee_Relief_Windows_3B!$G$4527:$G$100,"&gt;="&amp;C4527)</f>
        <v/>
      </c>
      <c r="H4527">
        <f>INDEX(CBIC_Late_Fee_Relief_Windows_3B!$I$4527:$I$100,MATCH(G4527,CBIC_Late_Fee_Relief_Windows_3B!$O$4527:$O$100,0))</f>
        <v/>
      </c>
      <c r="I4527">
        <f>MIN(F4527,H4527)</f>
        <v/>
      </c>
    </row>
    <row r="4528">
      <c r="A4528">
        <f>TEST_DATA!A4528</f>
        <v/>
      </c>
      <c r="B4528">
        <f>TEST_DATA!B4528</f>
        <v/>
      </c>
      <c r="C4528">
        <f>TEST_DATA!C4528</f>
        <v/>
      </c>
      <c r="D4528">
        <f>TEST_DATA!D4528</f>
        <v/>
      </c>
      <c r="E4528">
        <f>TEST_DATA!E4528</f>
        <v/>
      </c>
      <c r="F4528">
        <f>MIN(E4528*452800,10000)</f>
        <v/>
      </c>
      <c r="G4528">
        <f>MINIFS(CBIC_Late_Fee_Relief_Windows_3B!$O$4528:$O$100,CBIC_Late_Fee_Relief_Windows_3B!$D$4528:$D$100,"&lt;="&amp;B4528,CBIC_Late_Fee_Relief_Windows_3B!$E$4528:$E$100,"&gt;="&amp;B4528,CBIC_Late_Fee_Relief_Windows_3B!$F$4528:$F$100,"&lt;="&amp;C4528,CBIC_Late_Fee_Relief_Windows_3B!$G$4528:$G$100,"&gt;="&amp;C4528)</f>
        <v/>
      </c>
      <c r="H4528">
        <f>INDEX(CBIC_Late_Fee_Relief_Windows_3B!$I$4528:$I$100,MATCH(G4528,CBIC_Late_Fee_Relief_Windows_3B!$O$4528:$O$100,0))</f>
        <v/>
      </c>
      <c r="I4528">
        <f>MIN(F4528,H4528)</f>
        <v/>
      </c>
    </row>
    <row r="4529">
      <c r="A4529">
        <f>TEST_DATA!A4529</f>
        <v/>
      </c>
      <c r="B4529">
        <f>TEST_DATA!B4529</f>
        <v/>
      </c>
      <c r="C4529">
        <f>TEST_DATA!C4529</f>
        <v/>
      </c>
      <c r="D4529">
        <f>TEST_DATA!D4529</f>
        <v/>
      </c>
      <c r="E4529">
        <f>TEST_DATA!E4529</f>
        <v/>
      </c>
      <c r="F4529">
        <f>MIN(E4529*452900,10000)</f>
        <v/>
      </c>
      <c r="G4529">
        <f>MINIFS(CBIC_Late_Fee_Relief_Windows_3B!$O$4529:$O$100,CBIC_Late_Fee_Relief_Windows_3B!$D$4529:$D$100,"&lt;="&amp;B4529,CBIC_Late_Fee_Relief_Windows_3B!$E$4529:$E$100,"&gt;="&amp;B4529,CBIC_Late_Fee_Relief_Windows_3B!$F$4529:$F$100,"&lt;="&amp;C4529,CBIC_Late_Fee_Relief_Windows_3B!$G$4529:$G$100,"&gt;="&amp;C4529)</f>
        <v/>
      </c>
      <c r="H4529">
        <f>INDEX(CBIC_Late_Fee_Relief_Windows_3B!$I$4529:$I$100,MATCH(G4529,CBIC_Late_Fee_Relief_Windows_3B!$O$4529:$O$100,0))</f>
        <v/>
      </c>
      <c r="I4529">
        <f>MIN(F4529,H4529)</f>
        <v/>
      </c>
    </row>
    <row r="4530">
      <c r="A4530">
        <f>TEST_DATA!A4530</f>
        <v/>
      </c>
      <c r="B4530">
        <f>TEST_DATA!B4530</f>
        <v/>
      </c>
      <c r="C4530">
        <f>TEST_DATA!C4530</f>
        <v/>
      </c>
      <c r="D4530">
        <f>TEST_DATA!D4530</f>
        <v/>
      </c>
      <c r="E4530">
        <f>TEST_DATA!E4530</f>
        <v/>
      </c>
      <c r="F4530">
        <f>MIN(E4530*453000,10000)</f>
        <v/>
      </c>
      <c r="G4530">
        <f>MINIFS(CBIC_Late_Fee_Relief_Windows_3B!$O$4530:$O$100,CBIC_Late_Fee_Relief_Windows_3B!$D$4530:$D$100,"&lt;="&amp;B4530,CBIC_Late_Fee_Relief_Windows_3B!$E$4530:$E$100,"&gt;="&amp;B4530,CBIC_Late_Fee_Relief_Windows_3B!$F$4530:$F$100,"&lt;="&amp;C4530,CBIC_Late_Fee_Relief_Windows_3B!$G$4530:$G$100,"&gt;="&amp;C4530)</f>
        <v/>
      </c>
      <c r="H4530">
        <f>INDEX(CBIC_Late_Fee_Relief_Windows_3B!$I$4530:$I$100,MATCH(G4530,CBIC_Late_Fee_Relief_Windows_3B!$O$4530:$O$100,0))</f>
        <v/>
      </c>
      <c r="I4530">
        <f>MIN(F4530,H4530)</f>
        <v/>
      </c>
    </row>
    <row r="4531">
      <c r="A4531">
        <f>TEST_DATA!A4531</f>
        <v/>
      </c>
      <c r="B4531">
        <f>TEST_DATA!B4531</f>
        <v/>
      </c>
      <c r="C4531">
        <f>TEST_DATA!C4531</f>
        <v/>
      </c>
      <c r="D4531">
        <f>TEST_DATA!D4531</f>
        <v/>
      </c>
      <c r="E4531">
        <f>TEST_DATA!E4531</f>
        <v/>
      </c>
      <c r="F4531">
        <f>MIN(E4531*453100,10000)</f>
        <v/>
      </c>
      <c r="G4531">
        <f>MINIFS(CBIC_Late_Fee_Relief_Windows_3B!$O$4531:$O$100,CBIC_Late_Fee_Relief_Windows_3B!$D$4531:$D$100,"&lt;="&amp;B4531,CBIC_Late_Fee_Relief_Windows_3B!$E$4531:$E$100,"&gt;="&amp;B4531,CBIC_Late_Fee_Relief_Windows_3B!$F$4531:$F$100,"&lt;="&amp;C4531,CBIC_Late_Fee_Relief_Windows_3B!$G$4531:$G$100,"&gt;="&amp;C4531)</f>
        <v/>
      </c>
      <c r="H4531">
        <f>INDEX(CBIC_Late_Fee_Relief_Windows_3B!$I$4531:$I$100,MATCH(G4531,CBIC_Late_Fee_Relief_Windows_3B!$O$4531:$O$100,0))</f>
        <v/>
      </c>
      <c r="I4531">
        <f>MIN(F4531,H4531)</f>
        <v/>
      </c>
    </row>
    <row r="4532">
      <c r="A4532">
        <f>TEST_DATA!A4532</f>
        <v/>
      </c>
      <c r="B4532">
        <f>TEST_DATA!B4532</f>
        <v/>
      </c>
      <c r="C4532">
        <f>TEST_DATA!C4532</f>
        <v/>
      </c>
      <c r="D4532">
        <f>TEST_DATA!D4532</f>
        <v/>
      </c>
      <c r="E4532">
        <f>TEST_DATA!E4532</f>
        <v/>
      </c>
      <c r="F4532">
        <f>MIN(E4532*453200,10000)</f>
        <v/>
      </c>
      <c r="G4532">
        <f>MINIFS(CBIC_Late_Fee_Relief_Windows_3B!$O$4532:$O$100,CBIC_Late_Fee_Relief_Windows_3B!$D$4532:$D$100,"&lt;="&amp;B4532,CBIC_Late_Fee_Relief_Windows_3B!$E$4532:$E$100,"&gt;="&amp;B4532,CBIC_Late_Fee_Relief_Windows_3B!$F$4532:$F$100,"&lt;="&amp;C4532,CBIC_Late_Fee_Relief_Windows_3B!$G$4532:$G$100,"&gt;="&amp;C4532)</f>
        <v/>
      </c>
      <c r="H4532">
        <f>INDEX(CBIC_Late_Fee_Relief_Windows_3B!$I$4532:$I$100,MATCH(G4532,CBIC_Late_Fee_Relief_Windows_3B!$O$4532:$O$100,0))</f>
        <v/>
      </c>
      <c r="I4532">
        <f>MIN(F4532,H4532)</f>
        <v/>
      </c>
    </row>
    <row r="4533">
      <c r="A4533">
        <f>TEST_DATA!A4533</f>
        <v/>
      </c>
      <c r="B4533">
        <f>TEST_DATA!B4533</f>
        <v/>
      </c>
      <c r="C4533">
        <f>TEST_DATA!C4533</f>
        <v/>
      </c>
      <c r="D4533">
        <f>TEST_DATA!D4533</f>
        <v/>
      </c>
      <c r="E4533">
        <f>TEST_DATA!E4533</f>
        <v/>
      </c>
      <c r="F4533">
        <f>MIN(E4533*453300,10000)</f>
        <v/>
      </c>
      <c r="G4533">
        <f>MINIFS(CBIC_Late_Fee_Relief_Windows_3B!$O$4533:$O$100,CBIC_Late_Fee_Relief_Windows_3B!$D$4533:$D$100,"&lt;="&amp;B4533,CBIC_Late_Fee_Relief_Windows_3B!$E$4533:$E$100,"&gt;="&amp;B4533,CBIC_Late_Fee_Relief_Windows_3B!$F$4533:$F$100,"&lt;="&amp;C4533,CBIC_Late_Fee_Relief_Windows_3B!$G$4533:$G$100,"&gt;="&amp;C4533)</f>
        <v/>
      </c>
      <c r="H4533">
        <f>INDEX(CBIC_Late_Fee_Relief_Windows_3B!$I$4533:$I$100,MATCH(G4533,CBIC_Late_Fee_Relief_Windows_3B!$O$4533:$O$100,0))</f>
        <v/>
      </c>
      <c r="I4533">
        <f>MIN(F4533,H4533)</f>
        <v/>
      </c>
    </row>
    <row r="4534">
      <c r="A4534">
        <f>TEST_DATA!A4534</f>
        <v/>
      </c>
      <c r="B4534">
        <f>TEST_DATA!B4534</f>
        <v/>
      </c>
      <c r="C4534">
        <f>TEST_DATA!C4534</f>
        <v/>
      </c>
      <c r="D4534">
        <f>TEST_DATA!D4534</f>
        <v/>
      </c>
      <c r="E4534">
        <f>TEST_DATA!E4534</f>
        <v/>
      </c>
      <c r="F4534">
        <f>MIN(E4534*453400,10000)</f>
        <v/>
      </c>
      <c r="G4534">
        <f>MINIFS(CBIC_Late_Fee_Relief_Windows_3B!$O$4534:$O$100,CBIC_Late_Fee_Relief_Windows_3B!$D$4534:$D$100,"&lt;="&amp;B4534,CBIC_Late_Fee_Relief_Windows_3B!$E$4534:$E$100,"&gt;="&amp;B4534,CBIC_Late_Fee_Relief_Windows_3B!$F$4534:$F$100,"&lt;="&amp;C4534,CBIC_Late_Fee_Relief_Windows_3B!$G$4534:$G$100,"&gt;="&amp;C4534)</f>
        <v/>
      </c>
      <c r="H4534">
        <f>INDEX(CBIC_Late_Fee_Relief_Windows_3B!$I$4534:$I$100,MATCH(G4534,CBIC_Late_Fee_Relief_Windows_3B!$O$4534:$O$100,0))</f>
        <v/>
      </c>
      <c r="I4534">
        <f>MIN(F4534,H4534)</f>
        <v/>
      </c>
    </row>
    <row r="4535">
      <c r="A4535">
        <f>TEST_DATA!A4535</f>
        <v/>
      </c>
      <c r="B4535">
        <f>TEST_DATA!B4535</f>
        <v/>
      </c>
      <c r="C4535">
        <f>TEST_DATA!C4535</f>
        <v/>
      </c>
      <c r="D4535">
        <f>TEST_DATA!D4535</f>
        <v/>
      </c>
      <c r="E4535">
        <f>TEST_DATA!E4535</f>
        <v/>
      </c>
      <c r="F4535">
        <f>MIN(E4535*453500,10000)</f>
        <v/>
      </c>
      <c r="G4535">
        <f>MINIFS(CBIC_Late_Fee_Relief_Windows_3B!$O$4535:$O$100,CBIC_Late_Fee_Relief_Windows_3B!$D$4535:$D$100,"&lt;="&amp;B4535,CBIC_Late_Fee_Relief_Windows_3B!$E$4535:$E$100,"&gt;="&amp;B4535,CBIC_Late_Fee_Relief_Windows_3B!$F$4535:$F$100,"&lt;="&amp;C4535,CBIC_Late_Fee_Relief_Windows_3B!$G$4535:$G$100,"&gt;="&amp;C4535)</f>
        <v/>
      </c>
      <c r="H4535">
        <f>INDEX(CBIC_Late_Fee_Relief_Windows_3B!$I$4535:$I$100,MATCH(G4535,CBIC_Late_Fee_Relief_Windows_3B!$O$4535:$O$100,0))</f>
        <v/>
      </c>
      <c r="I4535">
        <f>MIN(F4535,H4535)</f>
        <v/>
      </c>
    </row>
    <row r="4536">
      <c r="A4536">
        <f>TEST_DATA!A4536</f>
        <v/>
      </c>
      <c r="B4536">
        <f>TEST_DATA!B4536</f>
        <v/>
      </c>
      <c r="C4536">
        <f>TEST_DATA!C4536</f>
        <v/>
      </c>
      <c r="D4536">
        <f>TEST_DATA!D4536</f>
        <v/>
      </c>
      <c r="E4536">
        <f>TEST_DATA!E4536</f>
        <v/>
      </c>
      <c r="F4536">
        <f>MIN(E4536*453600,10000)</f>
        <v/>
      </c>
      <c r="G4536">
        <f>MINIFS(CBIC_Late_Fee_Relief_Windows_3B!$O$4536:$O$100,CBIC_Late_Fee_Relief_Windows_3B!$D$4536:$D$100,"&lt;="&amp;B4536,CBIC_Late_Fee_Relief_Windows_3B!$E$4536:$E$100,"&gt;="&amp;B4536,CBIC_Late_Fee_Relief_Windows_3B!$F$4536:$F$100,"&lt;="&amp;C4536,CBIC_Late_Fee_Relief_Windows_3B!$G$4536:$G$100,"&gt;="&amp;C4536)</f>
        <v/>
      </c>
      <c r="H4536">
        <f>INDEX(CBIC_Late_Fee_Relief_Windows_3B!$I$4536:$I$100,MATCH(G4536,CBIC_Late_Fee_Relief_Windows_3B!$O$4536:$O$100,0))</f>
        <v/>
      </c>
      <c r="I4536">
        <f>MIN(F4536,H4536)</f>
        <v/>
      </c>
    </row>
    <row r="4537">
      <c r="A4537">
        <f>TEST_DATA!A4537</f>
        <v/>
      </c>
      <c r="B4537">
        <f>TEST_DATA!B4537</f>
        <v/>
      </c>
      <c r="C4537">
        <f>TEST_DATA!C4537</f>
        <v/>
      </c>
      <c r="D4537">
        <f>TEST_DATA!D4537</f>
        <v/>
      </c>
      <c r="E4537">
        <f>TEST_DATA!E4537</f>
        <v/>
      </c>
      <c r="F4537">
        <f>MIN(E4537*453700,10000)</f>
        <v/>
      </c>
      <c r="G4537">
        <f>MINIFS(CBIC_Late_Fee_Relief_Windows_3B!$O$4537:$O$100,CBIC_Late_Fee_Relief_Windows_3B!$D$4537:$D$100,"&lt;="&amp;B4537,CBIC_Late_Fee_Relief_Windows_3B!$E$4537:$E$100,"&gt;="&amp;B4537,CBIC_Late_Fee_Relief_Windows_3B!$F$4537:$F$100,"&lt;="&amp;C4537,CBIC_Late_Fee_Relief_Windows_3B!$G$4537:$G$100,"&gt;="&amp;C4537)</f>
        <v/>
      </c>
      <c r="H4537">
        <f>INDEX(CBIC_Late_Fee_Relief_Windows_3B!$I$4537:$I$100,MATCH(G4537,CBIC_Late_Fee_Relief_Windows_3B!$O$4537:$O$100,0))</f>
        <v/>
      </c>
      <c r="I4537">
        <f>MIN(F4537,H4537)</f>
        <v/>
      </c>
    </row>
    <row r="4538">
      <c r="A4538">
        <f>TEST_DATA!A4538</f>
        <v/>
      </c>
      <c r="B4538">
        <f>TEST_DATA!B4538</f>
        <v/>
      </c>
      <c r="C4538">
        <f>TEST_DATA!C4538</f>
        <v/>
      </c>
      <c r="D4538">
        <f>TEST_DATA!D4538</f>
        <v/>
      </c>
      <c r="E4538">
        <f>TEST_DATA!E4538</f>
        <v/>
      </c>
      <c r="F4538">
        <f>MIN(E4538*453800,10000)</f>
        <v/>
      </c>
      <c r="G4538">
        <f>MINIFS(CBIC_Late_Fee_Relief_Windows_3B!$O$4538:$O$100,CBIC_Late_Fee_Relief_Windows_3B!$D$4538:$D$100,"&lt;="&amp;B4538,CBIC_Late_Fee_Relief_Windows_3B!$E$4538:$E$100,"&gt;="&amp;B4538,CBIC_Late_Fee_Relief_Windows_3B!$F$4538:$F$100,"&lt;="&amp;C4538,CBIC_Late_Fee_Relief_Windows_3B!$G$4538:$G$100,"&gt;="&amp;C4538)</f>
        <v/>
      </c>
      <c r="H4538">
        <f>INDEX(CBIC_Late_Fee_Relief_Windows_3B!$I$4538:$I$100,MATCH(G4538,CBIC_Late_Fee_Relief_Windows_3B!$O$4538:$O$100,0))</f>
        <v/>
      </c>
      <c r="I4538">
        <f>MIN(F4538,H4538)</f>
        <v/>
      </c>
    </row>
    <row r="4539">
      <c r="A4539">
        <f>TEST_DATA!A4539</f>
        <v/>
      </c>
      <c r="B4539">
        <f>TEST_DATA!B4539</f>
        <v/>
      </c>
      <c r="C4539">
        <f>TEST_DATA!C4539</f>
        <v/>
      </c>
      <c r="D4539">
        <f>TEST_DATA!D4539</f>
        <v/>
      </c>
      <c r="E4539">
        <f>TEST_DATA!E4539</f>
        <v/>
      </c>
      <c r="F4539">
        <f>MIN(E4539*453900,10000)</f>
        <v/>
      </c>
      <c r="G4539">
        <f>MINIFS(CBIC_Late_Fee_Relief_Windows_3B!$O$4539:$O$100,CBIC_Late_Fee_Relief_Windows_3B!$D$4539:$D$100,"&lt;="&amp;B4539,CBIC_Late_Fee_Relief_Windows_3B!$E$4539:$E$100,"&gt;="&amp;B4539,CBIC_Late_Fee_Relief_Windows_3B!$F$4539:$F$100,"&lt;="&amp;C4539,CBIC_Late_Fee_Relief_Windows_3B!$G$4539:$G$100,"&gt;="&amp;C4539)</f>
        <v/>
      </c>
      <c r="H4539">
        <f>INDEX(CBIC_Late_Fee_Relief_Windows_3B!$I$4539:$I$100,MATCH(G4539,CBIC_Late_Fee_Relief_Windows_3B!$O$4539:$O$100,0))</f>
        <v/>
      </c>
      <c r="I4539">
        <f>MIN(F4539,H4539)</f>
        <v/>
      </c>
    </row>
    <row r="4540">
      <c r="A4540">
        <f>TEST_DATA!A4540</f>
        <v/>
      </c>
      <c r="B4540">
        <f>TEST_DATA!B4540</f>
        <v/>
      </c>
      <c r="C4540">
        <f>TEST_DATA!C4540</f>
        <v/>
      </c>
      <c r="D4540">
        <f>TEST_DATA!D4540</f>
        <v/>
      </c>
      <c r="E4540">
        <f>TEST_DATA!E4540</f>
        <v/>
      </c>
      <c r="F4540">
        <f>MIN(E4540*454000,10000)</f>
        <v/>
      </c>
      <c r="G4540">
        <f>MINIFS(CBIC_Late_Fee_Relief_Windows_3B!$O$4540:$O$100,CBIC_Late_Fee_Relief_Windows_3B!$D$4540:$D$100,"&lt;="&amp;B4540,CBIC_Late_Fee_Relief_Windows_3B!$E$4540:$E$100,"&gt;="&amp;B4540,CBIC_Late_Fee_Relief_Windows_3B!$F$4540:$F$100,"&lt;="&amp;C4540,CBIC_Late_Fee_Relief_Windows_3B!$G$4540:$G$100,"&gt;="&amp;C4540)</f>
        <v/>
      </c>
      <c r="H4540">
        <f>INDEX(CBIC_Late_Fee_Relief_Windows_3B!$I$4540:$I$100,MATCH(G4540,CBIC_Late_Fee_Relief_Windows_3B!$O$4540:$O$100,0))</f>
        <v/>
      </c>
      <c r="I4540">
        <f>MIN(F4540,H4540)</f>
        <v/>
      </c>
    </row>
    <row r="4541">
      <c r="A4541">
        <f>TEST_DATA!A4541</f>
        <v/>
      </c>
      <c r="B4541">
        <f>TEST_DATA!B4541</f>
        <v/>
      </c>
      <c r="C4541">
        <f>TEST_DATA!C4541</f>
        <v/>
      </c>
      <c r="D4541">
        <f>TEST_DATA!D4541</f>
        <v/>
      </c>
      <c r="E4541">
        <f>TEST_DATA!E4541</f>
        <v/>
      </c>
      <c r="F4541">
        <f>MIN(E4541*454100,10000)</f>
        <v/>
      </c>
      <c r="G4541">
        <f>MINIFS(CBIC_Late_Fee_Relief_Windows_3B!$O$4541:$O$100,CBIC_Late_Fee_Relief_Windows_3B!$D$4541:$D$100,"&lt;="&amp;B4541,CBIC_Late_Fee_Relief_Windows_3B!$E$4541:$E$100,"&gt;="&amp;B4541,CBIC_Late_Fee_Relief_Windows_3B!$F$4541:$F$100,"&lt;="&amp;C4541,CBIC_Late_Fee_Relief_Windows_3B!$G$4541:$G$100,"&gt;="&amp;C4541)</f>
        <v/>
      </c>
      <c r="H4541">
        <f>INDEX(CBIC_Late_Fee_Relief_Windows_3B!$I$4541:$I$100,MATCH(G4541,CBIC_Late_Fee_Relief_Windows_3B!$O$4541:$O$100,0))</f>
        <v/>
      </c>
      <c r="I4541">
        <f>MIN(F4541,H4541)</f>
        <v/>
      </c>
    </row>
    <row r="4542">
      <c r="A4542">
        <f>TEST_DATA!A4542</f>
        <v/>
      </c>
      <c r="B4542">
        <f>TEST_DATA!B4542</f>
        <v/>
      </c>
      <c r="C4542">
        <f>TEST_DATA!C4542</f>
        <v/>
      </c>
      <c r="D4542">
        <f>TEST_DATA!D4542</f>
        <v/>
      </c>
      <c r="E4542">
        <f>TEST_DATA!E4542</f>
        <v/>
      </c>
      <c r="F4542">
        <f>MIN(E4542*454200,10000)</f>
        <v/>
      </c>
      <c r="G4542">
        <f>MINIFS(CBIC_Late_Fee_Relief_Windows_3B!$O$4542:$O$100,CBIC_Late_Fee_Relief_Windows_3B!$D$4542:$D$100,"&lt;="&amp;B4542,CBIC_Late_Fee_Relief_Windows_3B!$E$4542:$E$100,"&gt;="&amp;B4542,CBIC_Late_Fee_Relief_Windows_3B!$F$4542:$F$100,"&lt;="&amp;C4542,CBIC_Late_Fee_Relief_Windows_3B!$G$4542:$G$100,"&gt;="&amp;C4542)</f>
        <v/>
      </c>
      <c r="H4542">
        <f>INDEX(CBIC_Late_Fee_Relief_Windows_3B!$I$4542:$I$100,MATCH(G4542,CBIC_Late_Fee_Relief_Windows_3B!$O$4542:$O$100,0))</f>
        <v/>
      </c>
      <c r="I4542">
        <f>MIN(F4542,H4542)</f>
        <v/>
      </c>
    </row>
    <row r="4543">
      <c r="A4543">
        <f>TEST_DATA!A4543</f>
        <v/>
      </c>
      <c r="B4543">
        <f>TEST_DATA!B4543</f>
        <v/>
      </c>
      <c r="C4543">
        <f>TEST_DATA!C4543</f>
        <v/>
      </c>
      <c r="D4543">
        <f>TEST_DATA!D4543</f>
        <v/>
      </c>
      <c r="E4543">
        <f>TEST_DATA!E4543</f>
        <v/>
      </c>
      <c r="F4543">
        <f>MIN(E4543*454300,10000)</f>
        <v/>
      </c>
      <c r="G4543">
        <f>MINIFS(CBIC_Late_Fee_Relief_Windows_3B!$O$4543:$O$100,CBIC_Late_Fee_Relief_Windows_3B!$D$4543:$D$100,"&lt;="&amp;B4543,CBIC_Late_Fee_Relief_Windows_3B!$E$4543:$E$100,"&gt;="&amp;B4543,CBIC_Late_Fee_Relief_Windows_3B!$F$4543:$F$100,"&lt;="&amp;C4543,CBIC_Late_Fee_Relief_Windows_3B!$G$4543:$G$100,"&gt;="&amp;C4543)</f>
        <v/>
      </c>
      <c r="H4543">
        <f>INDEX(CBIC_Late_Fee_Relief_Windows_3B!$I$4543:$I$100,MATCH(G4543,CBIC_Late_Fee_Relief_Windows_3B!$O$4543:$O$100,0))</f>
        <v/>
      </c>
      <c r="I4543">
        <f>MIN(F4543,H4543)</f>
        <v/>
      </c>
    </row>
    <row r="4544">
      <c r="A4544">
        <f>TEST_DATA!A4544</f>
        <v/>
      </c>
      <c r="B4544">
        <f>TEST_DATA!B4544</f>
        <v/>
      </c>
      <c r="C4544">
        <f>TEST_DATA!C4544</f>
        <v/>
      </c>
      <c r="D4544">
        <f>TEST_DATA!D4544</f>
        <v/>
      </c>
      <c r="E4544">
        <f>TEST_DATA!E4544</f>
        <v/>
      </c>
      <c r="F4544">
        <f>MIN(E4544*454400,10000)</f>
        <v/>
      </c>
      <c r="G4544">
        <f>MINIFS(CBIC_Late_Fee_Relief_Windows_3B!$O$4544:$O$100,CBIC_Late_Fee_Relief_Windows_3B!$D$4544:$D$100,"&lt;="&amp;B4544,CBIC_Late_Fee_Relief_Windows_3B!$E$4544:$E$100,"&gt;="&amp;B4544,CBIC_Late_Fee_Relief_Windows_3B!$F$4544:$F$100,"&lt;="&amp;C4544,CBIC_Late_Fee_Relief_Windows_3B!$G$4544:$G$100,"&gt;="&amp;C4544)</f>
        <v/>
      </c>
      <c r="H4544">
        <f>INDEX(CBIC_Late_Fee_Relief_Windows_3B!$I$4544:$I$100,MATCH(G4544,CBIC_Late_Fee_Relief_Windows_3B!$O$4544:$O$100,0))</f>
        <v/>
      </c>
      <c r="I4544">
        <f>MIN(F4544,H4544)</f>
        <v/>
      </c>
    </row>
    <row r="4545">
      <c r="A4545">
        <f>TEST_DATA!A4545</f>
        <v/>
      </c>
      <c r="B4545">
        <f>TEST_DATA!B4545</f>
        <v/>
      </c>
      <c r="C4545">
        <f>TEST_DATA!C4545</f>
        <v/>
      </c>
      <c r="D4545">
        <f>TEST_DATA!D4545</f>
        <v/>
      </c>
      <c r="E4545">
        <f>TEST_DATA!E4545</f>
        <v/>
      </c>
      <c r="F4545">
        <f>MIN(E4545*454500,10000)</f>
        <v/>
      </c>
      <c r="G4545">
        <f>MINIFS(CBIC_Late_Fee_Relief_Windows_3B!$O$4545:$O$100,CBIC_Late_Fee_Relief_Windows_3B!$D$4545:$D$100,"&lt;="&amp;B4545,CBIC_Late_Fee_Relief_Windows_3B!$E$4545:$E$100,"&gt;="&amp;B4545,CBIC_Late_Fee_Relief_Windows_3B!$F$4545:$F$100,"&lt;="&amp;C4545,CBIC_Late_Fee_Relief_Windows_3B!$G$4545:$G$100,"&gt;="&amp;C4545)</f>
        <v/>
      </c>
      <c r="H4545">
        <f>INDEX(CBIC_Late_Fee_Relief_Windows_3B!$I$4545:$I$100,MATCH(G4545,CBIC_Late_Fee_Relief_Windows_3B!$O$4545:$O$100,0))</f>
        <v/>
      </c>
      <c r="I4545">
        <f>MIN(F4545,H4545)</f>
        <v/>
      </c>
    </row>
    <row r="4546">
      <c r="A4546">
        <f>TEST_DATA!A4546</f>
        <v/>
      </c>
      <c r="B4546">
        <f>TEST_DATA!B4546</f>
        <v/>
      </c>
      <c r="C4546">
        <f>TEST_DATA!C4546</f>
        <v/>
      </c>
      <c r="D4546">
        <f>TEST_DATA!D4546</f>
        <v/>
      </c>
      <c r="E4546">
        <f>TEST_DATA!E4546</f>
        <v/>
      </c>
      <c r="F4546">
        <f>MIN(E4546*454600,10000)</f>
        <v/>
      </c>
      <c r="G4546">
        <f>MINIFS(CBIC_Late_Fee_Relief_Windows_3B!$O$4546:$O$100,CBIC_Late_Fee_Relief_Windows_3B!$D$4546:$D$100,"&lt;="&amp;B4546,CBIC_Late_Fee_Relief_Windows_3B!$E$4546:$E$100,"&gt;="&amp;B4546,CBIC_Late_Fee_Relief_Windows_3B!$F$4546:$F$100,"&lt;="&amp;C4546,CBIC_Late_Fee_Relief_Windows_3B!$G$4546:$G$100,"&gt;="&amp;C4546)</f>
        <v/>
      </c>
      <c r="H4546">
        <f>INDEX(CBIC_Late_Fee_Relief_Windows_3B!$I$4546:$I$100,MATCH(G4546,CBIC_Late_Fee_Relief_Windows_3B!$O$4546:$O$100,0))</f>
        <v/>
      </c>
      <c r="I4546">
        <f>MIN(F4546,H4546)</f>
        <v/>
      </c>
    </row>
    <row r="4547">
      <c r="A4547">
        <f>TEST_DATA!A4547</f>
        <v/>
      </c>
      <c r="B4547">
        <f>TEST_DATA!B4547</f>
        <v/>
      </c>
      <c r="C4547">
        <f>TEST_DATA!C4547</f>
        <v/>
      </c>
      <c r="D4547">
        <f>TEST_DATA!D4547</f>
        <v/>
      </c>
      <c r="E4547">
        <f>TEST_DATA!E4547</f>
        <v/>
      </c>
      <c r="F4547">
        <f>MIN(E4547*454700,10000)</f>
        <v/>
      </c>
      <c r="G4547">
        <f>MINIFS(CBIC_Late_Fee_Relief_Windows_3B!$O$4547:$O$100,CBIC_Late_Fee_Relief_Windows_3B!$D$4547:$D$100,"&lt;="&amp;B4547,CBIC_Late_Fee_Relief_Windows_3B!$E$4547:$E$100,"&gt;="&amp;B4547,CBIC_Late_Fee_Relief_Windows_3B!$F$4547:$F$100,"&lt;="&amp;C4547,CBIC_Late_Fee_Relief_Windows_3B!$G$4547:$G$100,"&gt;="&amp;C4547)</f>
        <v/>
      </c>
      <c r="H4547">
        <f>INDEX(CBIC_Late_Fee_Relief_Windows_3B!$I$4547:$I$100,MATCH(G4547,CBIC_Late_Fee_Relief_Windows_3B!$O$4547:$O$100,0))</f>
        <v/>
      </c>
      <c r="I4547">
        <f>MIN(F4547,H4547)</f>
        <v/>
      </c>
    </row>
    <row r="4548">
      <c r="A4548">
        <f>TEST_DATA!A4548</f>
        <v/>
      </c>
      <c r="B4548">
        <f>TEST_DATA!B4548</f>
        <v/>
      </c>
      <c r="C4548">
        <f>TEST_DATA!C4548</f>
        <v/>
      </c>
      <c r="D4548">
        <f>TEST_DATA!D4548</f>
        <v/>
      </c>
      <c r="E4548">
        <f>TEST_DATA!E4548</f>
        <v/>
      </c>
      <c r="F4548">
        <f>MIN(E4548*454800,10000)</f>
        <v/>
      </c>
      <c r="G4548">
        <f>MINIFS(CBIC_Late_Fee_Relief_Windows_3B!$O$4548:$O$100,CBIC_Late_Fee_Relief_Windows_3B!$D$4548:$D$100,"&lt;="&amp;B4548,CBIC_Late_Fee_Relief_Windows_3B!$E$4548:$E$100,"&gt;="&amp;B4548,CBIC_Late_Fee_Relief_Windows_3B!$F$4548:$F$100,"&lt;="&amp;C4548,CBIC_Late_Fee_Relief_Windows_3B!$G$4548:$G$100,"&gt;="&amp;C4548)</f>
        <v/>
      </c>
      <c r="H4548">
        <f>INDEX(CBIC_Late_Fee_Relief_Windows_3B!$I$4548:$I$100,MATCH(G4548,CBIC_Late_Fee_Relief_Windows_3B!$O$4548:$O$100,0))</f>
        <v/>
      </c>
      <c r="I4548">
        <f>MIN(F4548,H4548)</f>
        <v/>
      </c>
    </row>
    <row r="4549">
      <c r="A4549">
        <f>TEST_DATA!A4549</f>
        <v/>
      </c>
      <c r="B4549">
        <f>TEST_DATA!B4549</f>
        <v/>
      </c>
      <c r="C4549">
        <f>TEST_DATA!C4549</f>
        <v/>
      </c>
      <c r="D4549">
        <f>TEST_DATA!D4549</f>
        <v/>
      </c>
      <c r="E4549">
        <f>TEST_DATA!E4549</f>
        <v/>
      </c>
      <c r="F4549">
        <f>MIN(E4549*454900,10000)</f>
        <v/>
      </c>
      <c r="G4549">
        <f>MINIFS(CBIC_Late_Fee_Relief_Windows_3B!$O$4549:$O$100,CBIC_Late_Fee_Relief_Windows_3B!$D$4549:$D$100,"&lt;="&amp;B4549,CBIC_Late_Fee_Relief_Windows_3B!$E$4549:$E$100,"&gt;="&amp;B4549,CBIC_Late_Fee_Relief_Windows_3B!$F$4549:$F$100,"&lt;="&amp;C4549,CBIC_Late_Fee_Relief_Windows_3B!$G$4549:$G$100,"&gt;="&amp;C4549)</f>
        <v/>
      </c>
      <c r="H4549">
        <f>INDEX(CBIC_Late_Fee_Relief_Windows_3B!$I$4549:$I$100,MATCH(G4549,CBIC_Late_Fee_Relief_Windows_3B!$O$4549:$O$100,0))</f>
        <v/>
      </c>
      <c r="I4549">
        <f>MIN(F4549,H4549)</f>
        <v/>
      </c>
    </row>
    <row r="4550">
      <c r="A4550">
        <f>TEST_DATA!A4550</f>
        <v/>
      </c>
      <c r="B4550">
        <f>TEST_DATA!B4550</f>
        <v/>
      </c>
      <c r="C4550">
        <f>TEST_DATA!C4550</f>
        <v/>
      </c>
      <c r="D4550">
        <f>TEST_DATA!D4550</f>
        <v/>
      </c>
      <c r="E4550">
        <f>TEST_DATA!E4550</f>
        <v/>
      </c>
      <c r="F4550">
        <f>MIN(E4550*455000,10000)</f>
        <v/>
      </c>
      <c r="G4550">
        <f>MINIFS(CBIC_Late_Fee_Relief_Windows_3B!$O$4550:$O$100,CBIC_Late_Fee_Relief_Windows_3B!$D$4550:$D$100,"&lt;="&amp;B4550,CBIC_Late_Fee_Relief_Windows_3B!$E$4550:$E$100,"&gt;="&amp;B4550,CBIC_Late_Fee_Relief_Windows_3B!$F$4550:$F$100,"&lt;="&amp;C4550,CBIC_Late_Fee_Relief_Windows_3B!$G$4550:$G$100,"&gt;="&amp;C4550)</f>
        <v/>
      </c>
      <c r="H4550">
        <f>INDEX(CBIC_Late_Fee_Relief_Windows_3B!$I$4550:$I$100,MATCH(G4550,CBIC_Late_Fee_Relief_Windows_3B!$O$4550:$O$100,0))</f>
        <v/>
      </c>
      <c r="I4550">
        <f>MIN(F4550,H4550)</f>
        <v/>
      </c>
    </row>
    <row r="4551">
      <c r="A4551">
        <f>TEST_DATA!A4551</f>
        <v/>
      </c>
      <c r="B4551">
        <f>TEST_DATA!B4551</f>
        <v/>
      </c>
      <c r="C4551">
        <f>TEST_DATA!C4551</f>
        <v/>
      </c>
      <c r="D4551">
        <f>TEST_DATA!D4551</f>
        <v/>
      </c>
      <c r="E4551">
        <f>TEST_DATA!E4551</f>
        <v/>
      </c>
      <c r="F4551">
        <f>MIN(E4551*455100,10000)</f>
        <v/>
      </c>
      <c r="G4551">
        <f>MINIFS(CBIC_Late_Fee_Relief_Windows_3B!$O$4551:$O$100,CBIC_Late_Fee_Relief_Windows_3B!$D$4551:$D$100,"&lt;="&amp;B4551,CBIC_Late_Fee_Relief_Windows_3B!$E$4551:$E$100,"&gt;="&amp;B4551,CBIC_Late_Fee_Relief_Windows_3B!$F$4551:$F$100,"&lt;="&amp;C4551,CBIC_Late_Fee_Relief_Windows_3B!$G$4551:$G$100,"&gt;="&amp;C4551)</f>
        <v/>
      </c>
      <c r="H4551">
        <f>INDEX(CBIC_Late_Fee_Relief_Windows_3B!$I$4551:$I$100,MATCH(G4551,CBIC_Late_Fee_Relief_Windows_3B!$O$4551:$O$100,0))</f>
        <v/>
      </c>
      <c r="I4551">
        <f>MIN(F4551,H4551)</f>
        <v/>
      </c>
    </row>
    <row r="4552">
      <c r="A4552">
        <f>TEST_DATA!A4552</f>
        <v/>
      </c>
      <c r="B4552">
        <f>TEST_DATA!B4552</f>
        <v/>
      </c>
      <c r="C4552">
        <f>TEST_DATA!C4552</f>
        <v/>
      </c>
      <c r="D4552">
        <f>TEST_DATA!D4552</f>
        <v/>
      </c>
      <c r="E4552">
        <f>TEST_DATA!E4552</f>
        <v/>
      </c>
      <c r="F4552">
        <f>MIN(E4552*455200,10000)</f>
        <v/>
      </c>
      <c r="G4552">
        <f>MINIFS(CBIC_Late_Fee_Relief_Windows_3B!$O$4552:$O$100,CBIC_Late_Fee_Relief_Windows_3B!$D$4552:$D$100,"&lt;="&amp;B4552,CBIC_Late_Fee_Relief_Windows_3B!$E$4552:$E$100,"&gt;="&amp;B4552,CBIC_Late_Fee_Relief_Windows_3B!$F$4552:$F$100,"&lt;="&amp;C4552,CBIC_Late_Fee_Relief_Windows_3B!$G$4552:$G$100,"&gt;="&amp;C4552)</f>
        <v/>
      </c>
      <c r="H4552">
        <f>INDEX(CBIC_Late_Fee_Relief_Windows_3B!$I$4552:$I$100,MATCH(G4552,CBIC_Late_Fee_Relief_Windows_3B!$O$4552:$O$100,0))</f>
        <v/>
      </c>
      <c r="I4552">
        <f>MIN(F4552,H4552)</f>
        <v/>
      </c>
    </row>
    <row r="4553">
      <c r="A4553">
        <f>TEST_DATA!A4553</f>
        <v/>
      </c>
      <c r="B4553">
        <f>TEST_DATA!B4553</f>
        <v/>
      </c>
      <c r="C4553">
        <f>TEST_DATA!C4553</f>
        <v/>
      </c>
      <c r="D4553">
        <f>TEST_DATA!D4553</f>
        <v/>
      </c>
      <c r="E4553">
        <f>TEST_DATA!E4553</f>
        <v/>
      </c>
      <c r="F4553">
        <f>MIN(E4553*455300,10000)</f>
        <v/>
      </c>
      <c r="G4553">
        <f>MINIFS(CBIC_Late_Fee_Relief_Windows_3B!$O$4553:$O$100,CBIC_Late_Fee_Relief_Windows_3B!$D$4553:$D$100,"&lt;="&amp;B4553,CBIC_Late_Fee_Relief_Windows_3B!$E$4553:$E$100,"&gt;="&amp;B4553,CBIC_Late_Fee_Relief_Windows_3B!$F$4553:$F$100,"&lt;="&amp;C4553,CBIC_Late_Fee_Relief_Windows_3B!$G$4553:$G$100,"&gt;="&amp;C4553)</f>
        <v/>
      </c>
      <c r="H4553">
        <f>INDEX(CBIC_Late_Fee_Relief_Windows_3B!$I$4553:$I$100,MATCH(G4553,CBIC_Late_Fee_Relief_Windows_3B!$O$4553:$O$100,0))</f>
        <v/>
      </c>
      <c r="I4553">
        <f>MIN(F4553,H4553)</f>
        <v/>
      </c>
    </row>
    <row r="4554">
      <c r="A4554">
        <f>TEST_DATA!A4554</f>
        <v/>
      </c>
      <c r="B4554">
        <f>TEST_DATA!B4554</f>
        <v/>
      </c>
      <c r="C4554">
        <f>TEST_DATA!C4554</f>
        <v/>
      </c>
      <c r="D4554">
        <f>TEST_DATA!D4554</f>
        <v/>
      </c>
      <c r="E4554">
        <f>TEST_DATA!E4554</f>
        <v/>
      </c>
      <c r="F4554">
        <f>MIN(E4554*455400,10000)</f>
        <v/>
      </c>
      <c r="G4554">
        <f>MINIFS(CBIC_Late_Fee_Relief_Windows_3B!$O$4554:$O$100,CBIC_Late_Fee_Relief_Windows_3B!$D$4554:$D$100,"&lt;="&amp;B4554,CBIC_Late_Fee_Relief_Windows_3B!$E$4554:$E$100,"&gt;="&amp;B4554,CBIC_Late_Fee_Relief_Windows_3B!$F$4554:$F$100,"&lt;="&amp;C4554,CBIC_Late_Fee_Relief_Windows_3B!$G$4554:$G$100,"&gt;="&amp;C4554)</f>
        <v/>
      </c>
      <c r="H4554">
        <f>INDEX(CBIC_Late_Fee_Relief_Windows_3B!$I$4554:$I$100,MATCH(G4554,CBIC_Late_Fee_Relief_Windows_3B!$O$4554:$O$100,0))</f>
        <v/>
      </c>
      <c r="I4554">
        <f>MIN(F4554,H4554)</f>
        <v/>
      </c>
    </row>
    <row r="4555">
      <c r="A4555">
        <f>TEST_DATA!A4555</f>
        <v/>
      </c>
      <c r="B4555">
        <f>TEST_DATA!B4555</f>
        <v/>
      </c>
      <c r="C4555">
        <f>TEST_DATA!C4555</f>
        <v/>
      </c>
      <c r="D4555">
        <f>TEST_DATA!D4555</f>
        <v/>
      </c>
      <c r="E4555">
        <f>TEST_DATA!E4555</f>
        <v/>
      </c>
      <c r="F4555">
        <f>MIN(E4555*455500,10000)</f>
        <v/>
      </c>
      <c r="G4555">
        <f>MINIFS(CBIC_Late_Fee_Relief_Windows_3B!$O$4555:$O$100,CBIC_Late_Fee_Relief_Windows_3B!$D$4555:$D$100,"&lt;="&amp;B4555,CBIC_Late_Fee_Relief_Windows_3B!$E$4555:$E$100,"&gt;="&amp;B4555,CBIC_Late_Fee_Relief_Windows_3B!$F$4555:$F$100,"&lt;="&amp;C4555,CBIC_Late_Fee_Relief_Windows_3B!$G$4555:$G$100,"&gt;="&amp;C4555)</f>
        <v/>
      </c>
      <c r="H4555">
        <f>INDEX(CBIC_Late_Fee_Relief_Windows_3B!$I$4555:$I$100,MATCH(G4555,CBIC_Late_Fee_Relief_Windows_3B!$O$4555:$O$100,0))</f>
        <v/>
      </c>
      <c r="I4555">
        <f>MIN(F4555,H4555)</f>
        <v/>
      </c>
    </row>
    <row r="4556">
      <c r="A4556">
        <f>TEST_DATA!A4556</f>
        <v/>
      </c>
      <c r="B4556">
        <f>TEST_DATA!B4556</f>
        <v/>
      </c>
      <c r="C4556">
        <f>TEST_DATA!C4556</f>
        <v/>
      </c>
      <c r="D4556">
        <f>TEST_DATA!D4556</f>
        <v/>
      </c>
      <c r="E4556">
        <f>TEST_DATA!E4556</f>
        <v/>
      </c>
      <c r="F4556">
        <f>MIN(E4556*455600,10000)</f>
        <v/>
      </c>
      <c r="G4556">
        <f>MINIFS(CBIC_Late_Fee_Relief_Windows_3B!$O$4556:$O$100,CBIC_Late_Fee_Relief_Windows_3B!$D$4556:$D$100,"&lt;="&amp;B4556,CBIC_Late_Fee_Relief_Windows_3B!$E$4556:$E$100,"&gt;="&amp;B4556,CBIC_Late_Fee_Relief_Windows_3B!$F$4556:$F$100,"&lt;="&amp;C4556,CBIC_Late_Fee_Relief_Windows_3B!$G$4556:$G$100,"&gt;="&amp;C4556)</f>
        <v/>
      </c>
      <c r="H4556">
        <f>INDEX(CBIC_Late_Fee_Relief_Windows_3B!$I$4556:$I$100,MATCH(G4556,CBIC_Late_Fee_Relief_Windows_3B!$O$4556:$O$100,0))</f>
        <v/>
      </c>
      <c r="I4556">
        <f>MIN(F4556,H4556)</f>
        <v/>
      </c>
    </row>
    <row r="4557">
      <c r="A4557">
        <f>TEST_DATA!A4557</f>
        <v/>
      </c>
      <c r="B4557">
        <f>TEST_DATA!B4557</f>
        <v/>
      </c>
      <c r="C4557">
        <f>TEST_DATA!C4557</f>
        <v/>
      </c>
      <c r="D4557">
        <f>TEST_DATA!D4557</f>
        <v/>
      </c>
      <c r="E4557">
        <f>TEST_DATA!E4557</f>
        <v/>
      </c>
      <c r="F4557">
        <f>MIN(E4557*455700,10000)</f>
        <v/>
      </c>
      <c r="G4557">
        <f>MINIFS(CBIC_Late_Fee_Relief_Windows_3B!$O$4557:$O$100,CBIC_Late_Fee_Relief_Windows_3B!$D$4557:$D$100,"&lt;="&amp;B4557,CBIC_Late_Fee_Relief_Windows_3B!$E$4557:$E$100,"&gt;="&amp;B4557,CBIC_Late_Fee_Relief_Windows_3B!$F$4557:$F$100,"&lt;="&amp;C4557,CBIC_Late_Fee_Relief_Windows_3B!$G$4557:$G$100,"&gt;="&amp;C4557)</f>
        <v/>
      </c>
      <c r="H4557">
        <f>INDEX(CBIC_Late_Fee_Relief_Windows_3B!$I$4557:$I$100,MATCH(G4557,CBIC_Late_Fee_Relief_Windows_3B!$O$4557:$O$100,0))</f>
        <v/>
      </c>
      <c r="I4557">
        <f>MIN(F4557,H4557)</f>
        <v/>
      </c>
    </row>
    <row r="4558">
      <c r="A4558">
        <f>TEST_DATA!A4558</f>
        <v/>
      </c>
      <c r="B4558">
        <f>TEST_DATA!B4558</f>
        <v/>
      </c>
      <c r="C4558">
        <f>TEST_DATA!C4558</f>
        <v/>
      </c>
      <c r="D4558">
        <f>TEST_DATA!D4558</f>
        <v/>
      </c>
      <c r="E4558">
        <f>TEST_DATA!E4558</f>
        <v/>
      </c>
      <c r="F4558">
        <f>MIN(E4558*455800,10000)</f>
        <v/>
      </c>
      <c r="G4558">
        <f>MINIFS(CBIC_Late_Fee_Relief_Windows_3B!$O$4558:$O$100,CBIC_Late_Fee_Relief_Windows_3B!$D$4558:$D$100,"&lt;="&amp;B4558,CBIC_Late_Fee_Relief_Windows_3B!$E$4558:$E$100,"&gt;="&amp;B4558,CBIC_Late_Fee_Relief_Windows_3B!$F$4558:$F$100,"&lt;="&amp;C4558,CBIC_Late_Fee_Relief_Windows_3B!$G$4558:$G$100,"&gt;="&amp;C4558)</f>
        <v/>
      </c>
      <c r="H4558">
        <f>INDEX(CBIC_Late_Fee_Relief_Windows_3B!$I$4558:$I$100,MATCH(G4558,CBIC_Late_Fee_Relief_Windows_3B!$O$4558:$O$100,0))</f>
        <v/>
      </c>
      <c r="I4558">
        <f>MIN(F4558,H4558)</f>
        <v/>
      </c>
    </row>
    <row r="4559">
      <c r="A4559">
        <f>TEST_DATA!A4559</f>
        <v/>
      </c>
      <c r="B4559">
        <f>TEST_DATA!B4559</f>
        <v/>
      </c>
      <c r="C4559">
        <f>TEST_DATA!C4559</f>
        <v/>
      </c>
      <c r="D4559">
        <f>TEST_DATA!D4559</f>
        <v/>
      </c>
      <c r="E4559">
        <f>TEST_DATA!E4559</f>
        <v/>
      </c>
      <c r="F4559">
        <f>MIN(E4559*455900,10000)</f>
        <v/>
      </c>
      <c r="G4559">
        <f>MINIFS(CBIC_Late_Fee_Relief_Windows_3B!$O$4559:$O$100,CBIC_Late_Fee_Relief_Windows_3B!$D$4559:$D$100,"&lt;="&amp;B4559,CBIC_Late_Fee_Relief_Windows_3B!$E$4559:$E$100,"&gt;="&amp;B4559,CBIC_Late_Fee_Relief_Windows_3B!$F$4559:$F$100,"&lt;="&amp;C4559,CBIC_Late_Fee_Relief_Windows_3B!$G$4559:$G$100,"&gt;="&amp;C4559)</f>
        <v/>
      </c>
      <c r="H4559">
        <f>INDEX(CBIC_Late_Fee_Relief_Windows_3B!$I$4559:$I$100,MATCH(G4559,CBIC_Late_Fee_Relief_Windows_3B!$O$4559:$O$100,0))</f>
        <v/>
      </c>
      <c r="I4559">
        <f>MIN(F4559,H4559)</f>
        <v/>
      </c>
    </row>
    <row r="4560">
      <c r="A4560">
        <f>TEST_DATA!A4560</f>
        <v/>
      </c>
      <c r="B4560">
        <f>TEST_DATA!B4560</f>
        <v/>
      </c>
      <c r="C4560">
        <f>TEST_DATA!C4560</f>
        <v/>
      </c>
      <c r="D4560">
        <f>TEST_DATA!D4560</f>
        <v/>
      </c>
      <c r="E4560">
        <f>TEST_DATA!E4560</f>
        <v/>
      </c>
      <c r="F4560">
        <f>MIN(E4560*456000,10000)</f>
        <v/>
      </c>
      <c r="G4560">
        <f>MINIFS(CBIC_Late_Fee_Relief_Windows_3B!$O$4560:$O$100,CBIC_Late_Fee_Relief_Windows_3B!$D$4560:$D$100,"&lt;="&amp;B4560,CBIC_Late_Fee_Relief_Windows_3B!$E$4560:$E$100,"&gt;="&amp;B4560,CBIC_Late_Fee_Relief_Windows_3B!$F$4560:$F$100,"&lt;="&amp;C4560,CBIC_Late_Fee_Relief_Windows_3B!$G$4560:$G$100,"&gt;="&amp;C4560)</f>
        <v/>
      </c>
      <c r="H4560">
        <f>INDEX(CBIC_Late_Fee_Relief_Windows_3B!$I$4560:$I$100,MATCH(G4560,CBIC_Late_Fee_Relief_Windows_3B!$O$4560:$O$100,0))</f>
        <v/>
      </c>
      <c r="I4560">
        <f>MIN(F4560,H4560)</f>
        <v/>
      </c>
    </row>
    <row r="4561">
      <c r="A4561">
        <f>TEST_DATA!A4561</f>
        <v/>
      </c>
      <c r="B4561">
        <f>TEST_DATA!B4561</f>
        <v/>
      </c>
      <c r="C4561">
        <f>TEST_DATA!C4561</f>
        <v/>
      </c>
      <c r="D4561">
        <f>TEST_DATA!D4561</f>
        <v/>
      </c>
      <c r="E4561">
        <f>TEST_DATA!E4561</f>
        <v/>
      </c>
      <c r="F4561">
        <f>MIN(E4561*456100,10000)</f>
        <v/>
      </c>
      <c r="G4561">
        <f>MINIFS(CBIC_Late_Fee_Relief_Windows_3B!$O$4561:$O$100,CBIC_Late_Fee_Relief_Windows_3B!$D$4561:$D$100,"&lt;="&amp;B4561,CBIC_Late_Fee_Relief_Windows_3B!$E$4561:$E$100,"&gt;="&amp;B4561,CBIC_Late_Fee_Relief_Windows_3B!$F$4561:$F$100,"&lt;="&amp;C4561,CBIC_Late_Fee_Relief_Windows_3B!$G$4561:$G$100,"&gt;="&amp;C4561)</f>
        <v/>
      </c>
      <c r="H4561">
        <f>INDEX(CBIC_Late_Fee_Relief_Windows_3B!$I$4561:$I$100,MATCH(G4561,CBIC_Late_Fee_Relief_Windows_3B!$O$4561:$O$100,0))</f>
        <v/>
      </c>
      <c r="I4561">
        <f>MIN(F4561,H4561)</f>
        <v/>
      </c>
    </row>
    <row r="4562">
      <c r="A4562">
        <f>TEST_DATA!A4562</f>
        <v/>
      </c>
      <c r="B4562">
        <f>TEST_DATA!B4562</f>
        <v/>
      </c>
      <c r="C4562">
        <f>TEST_DATA!C4562</f>
        <v/>
      </c>
      <c r="D4562">
        <f>TEST_DATA!D4562</f>
        <v/>
      </c>
      <c r="E4562">
        <f>TEST_DATA!E4562</f>
        <v/>
      </c>
      <c r="F4562">
        <f>MIN(E4562*456200,10000)</f>
        <v/>
      </c>
      <c r="G4562">
        <f>MINIFS(CBIC_Late_Fee_Relief_Windows_3B!$O$4562:$O$100,CBIC_Late_Fee_Relief_Windows_3B!$D$4562:$D$100,"&lt;="&amp;B4562,CBIC_Late_Fee_Relief_Windows_3B!$E$4562:$E$100,"&gt;="&amp;B4562,CBIC_Late_Fee_Relief_Windows_3B!$F$4562:$F$100,"&lt;="&amp;C4562,CBIC_Late_Fee_Relief_Windows_3B!$G$4562:$G$100,"&gt;="&amp;C4562)</f>
        <v/>
      </c>
      <c r="H4562">
        <f>INDEX(CBIC_Late_Fee_Relief_Windows_3B!$I$4562:$I$100,MATCH(G4562,CBIC_Late_Fee_Relief_Windows_3B!$O$4562:$O$100,0))</f>
        <v/>
      </c>
      <c r="I4562">
        <f>MIN(F4562,H4562)</f>
        <v/>
      </c>
    </row>
    <row r="4563">
      <c r="A4563">
        <f>TEST_DATA!A4563</f>
        <v/>
      </c>
      <c r="B4563">
        <f>TEST_DATA!B4563</f>
        <v/>
      </c>
      <c r="C4563">
        <f>TEST_DATA!C4563</f>
        <v/>
      </c>
      <c r="D4563">
        <f>TEST_DATA!D4563</f>
        <v/>
      </c>
      <c r="E4563">
        <f>TEST_DATA!E4563</f>
        <v/>
      </c>
      <c r="F4563">
        <f>MIN(E4563*456300,10000)</f>
        <v/>
      </c>
      <c r="G4563">
        <f>MINIFS(CBIC_Late_Fee_Relief_Windows_3B!$O$4563:$O$100,CBIC_Late_Fee_Relief_Windows_3B!$D$4563:$D$100,"&lt;="&amp;B4563,CBIC_Late_Fee_Relief_Windows_3B!$E$4563:$E$100,"&gt;="&amp;B4563,CBIC_Late_Fee_Relief_Windows_3B!$F$4563:$F$100,"&lt;="&amp;C4563,CBIC_Late_Fee_Relief_Windows_3B!$G$4563:$G$100,"&gt;="&amp;C4563)</f>
        <v/>
      </c>
      <c r="H4563">
        <f>INDEX(CBIC_Late_Fee_Relief_Windows_3B!$I$4563:$I$100,MATCH(G4563,CBIC_Late_Fee_Relief_Windows_3B!$O$4563:$O$100,0))</f>
        <v/>
      </c>
      <c r="I4563">
        <f>MIN(F4563,H4563)</f>
        <v/>
      </c>
    </row>
    <row r="4564">
      <c r="A4564">
        <f>TEST_DATA!A4564</f>
        <v/>
      </c>
      <c r="B4564">
        <f>TEST_DATA!B4564</f>
        <v/>
      </c>
      <c r="C4564">
        <f>TEST_DATA!C4564</f>
        <v/>
      </c>
      <c r="D4564">
        <f>TEST_DATA!D4564</f>
        <v/>
      </c>
      <c r="E4564">
        <f>TEST_DATA!E4564</f>
        <v/>
      </c>
      <c r="F4564">
        <f>MIN(E4564*456400,10000)</f>
        <v/>
      </c>
      <c r="G4564">
        <f>MINIFS(CBIC_Late_Fee_Relief_Windows_3B!$O$4564:$O$100,CBIC_Late_Fee_Relief_Windows_3B!$D$4564:$D$100,"&lt;="&amp;B4564,CBIC_Late_Fee_Relief_Windows_3B!$E$4564:$E$100,"&gt;="&amp;B4564,CBIC_Late_Fee_Relief_Windows_3B!$F$4564:$F$100,"&lt;="&amp;C4564,CBIC_Late_Fee_Relief_Windows_3B!$G$4564:$G$100,"&gt;="&amp;C4564)</f>
        <v/>
      </c>
      <c r="H4564">
        <f>INDEX(CBIC_Late_Fee_Relief_Windows_3B!$I$4564:$I$100,MATCH(G4564,CBIC_Late_Fee_Relief_Windows_3B!$O$4564:$O$100,0))</f>
        <v/>
      </c>
      <c r="I4564">
        <f>MIN(F4564,H4564)</f>
        <v/>
      </c>
    </row>
    <row r="4565">
      <c r="A4565">
        <f>TEST_DATA!A4565</f>
        <v/>
      </c>
      <c r="B4565">
        <f>TEST_DATA!B4565</f>
        <v/>
      </c>
      <c r="C4565">
        <f>TEST_DATA!C4565</f>
        <v/>
      </c>
      <c r="D4565">
        <f>TEST_DATA!D4565</f>
        <v/>
      </c>
      <c r="E4565">
        <f>TEST_DATA!E4565</f>
        <v/>
      </c>
      <c r="F4565">
        <f>MIN(E4565*456500,10000)</f>
        <v/>
      </c>
      <c r="G4565">
        <f>MINIFS(CBIC_Late_Fee_Relief_Windows_3B!$O$4565:$O$100,CBIC_Late_Fee_Relief_Windows_3B!$D$4565:$D$100,"&lt;="&amp;B4565,CBIC_Late_Fee_Relief_Windows_3B!$E$4565:$E$100,"&gt;="&amp;B4565,CBIC_Late_Fee_Relief_Windows_3B!$F$4565:$F$100,"&lt;="&amp;C4565,CBIC_Late_Fee_Relief_Windows_3B!$G$4565:$G$100,"&gt;="&amp;C4565)</f>
        <v/>
      </c>
      <c r="H4565">
        <f>INDEX(CBIC_Late_Fee_Relief_Windows_3B!$I$4565:$I$100,MATCH(G4565,CBIC_Late_Fee_Relief_Windows_3B!$O$4565:$O$100,0))</f>
        <v/>
      </c>
      <c r="I4565">
        <f>MIN(F4565,H4565)</f>
        <v/>
      </c>
    </row>
    <row r="4566">
      <c r="A4566">
        <f>TEST_DATA!A4566</f>
        <v/>
      </c>
      <c r="B4566">
        <f>TEST_DATA!B4566</f>
        <v/>
      </c>
      <c r="C4566">
        <f>TEST_DATA!C4566</f>
        <v/>
      </c>
      <c r="D4566">
        <f>TEST_DATA!D4566</f>
        <v/>
      </c>
      <c r="E4566">
        <f>TEST_DATA!E4566</f>
        <v/>
      </c>
      <c r="F4566">
        <f>MIN(E4566*456600,10000)</f>
        <v/>
      </c>
      <c r="G4566">
        <f>MINIFS(CBIC_Late_Fee_Relief_Windows_3B!$O$4566:$O$100,CBIC_Late_Fee_Relief_Windows_3B!$D$4566:$D$100,"&lt;="&amp;B4566,CBIC_Late_Fee_Relief_Windows_3B!$E$4566:$E$100,"&gt;="&amp;B4566,CBIC_Late_Fee_Relief_Windows_3B!$F$4566:$F$100,"&lt;="&amp;C4566,CBIC_Late_Fee_Relief_Windows_3B!$G$4566:$G$100,"&gt;="&amp;C4566)</f>
        <v/>
      </c>
      <c r="H4566">
        <f>INDEX(CBIC_Late_Fee_Relief_Windows_3B!$I$4566:$I$100,MATCH(G4566,CBIC_Late_Fee_Relief_Windows_3B!$O$4566:$O$100,0))</f>
        <v/>
      </c>
      <c r="I4566">
        <f>MIN(F4566,H4566)</f>
        <v/>
      </c>
    </row>
    <row r="4567">
      <c r="A4567">
        <f>TEST_DATA!A4567</f>
        <v/>
      </c>
      <c r="B4567">
        <f>TEST_DATA!B4567</f>
        <v/>
      </c>
      <c r="C4567">
        <f>TEST_DATA!C4567</f>
        <v/>
      </c>
      <c r="D4567">
        <f>TEST_DATA!D4567</f>
        <v/>
      </c>
      <c r="E4567">
        <f>TEST_DATA!E4567</f>
        <v/>
      </c>
      <c r="F4567">
        <f>MIN(E4567*456700,10000)</f>
        <v/>
      </c>
      <c r="G4567">
        <f>MINIFS(CBIC_Late_Fee_Relief_Windows_3B!$O$4567:$O$100,CBIC_Late_Fee_Relief_Windows_3B!$D$4567:$D$100,"&lt;="&amp;B4567,CBIC_Late_Fee_Relief_Windows_3B!$E$4567:$E$100,"&gt;="&amp;B4567,CBIC_Late_Fee_Relief_Windows_3B!$F$4567:$F$100,"&lt;="&amp;C4567,CBIC_Late_Fee_Relief_Windows_3B!$G$4567:$G$100,"&gt;="&amp;C4567)</f>
        <v/>
      </c>
      <c r="H4567">
        <f>INDEX(CBIC_Late_Fee_Relief_Windows_3B!$I$4567:$I$100,MATCH(G4567,CBIC_Late_Fee_Relief_Windows_3B!$O$4567:$O$100,0))</f>
        <v/>
      </c>
      <c r="I4567">
        <f>MIN(F4567,H4567)</f>
        <v/>
      </c>
    </row>
    <row r="4568">
      <c r="A4568">
        <f>TEST_DATA!A4568</f>
        <v/>
      </c>
      <c r="B4568">
        <f>TEST_DATA!B4568</f>
        <v/>
      </c>
      <c r="C4568">
        <f>TEST_DATA!C4568</f>
        <v/>
      </c>
      <c r="D4568">
        <f>TEST_DATA!D4568</f>
        <v/>
      </c>
      <c r="E4568">
        <f>TEST_DATA!E4568</f>
        <v/>
      </c>
      <c r="F4568">
        <f>MIN(E4568*456800,10000)</f>
        <v/>
      </c>
      <c r="G4568">
        <f>MINIFS(CBIC_Late_Fee_Relief_Windows_3B!$O$4568:$O$100,CBIC_Late_Fee_Relief_Windows_3B!$D$4568:$D$100,"&lt;="&amp;B4568,CBIC_Late_Fee_Relief_Windows_3B!$E$4568:$E$100,"&gt;="&amp;B4568,CBIC_Late_Fee_Relief_Windows_3B!$F$4568:$F$100,"&lt;="&amp;C4568,CBIC_Late_Fee_Relief_Windows_3B!$G$4568:$G$100,"&gt;="&amp;C4568)</f>
        <v/>
      </c>
      <c r="H4568">
        <f>INDEX(CBIC_Late_Fee_Relief_Windows_3B!$I$4568:$I$100,MATCH(G4568,CBIC_Late_Fee_Relief_Windows_3B!$O$4568:$O$100,0))</f>
        <v/>
      </c>
      <c r="I4568">
        <f>MIN(F4568,H4568)</f>
        <v/>
      </c>
    </row>
    <row r="4569">
      <c r="A4569">
        <f>TEST_DATA!A4569</f>
        <v/>
      </c>
      <c r="B4569">
        <f>TEST_DATA!B4569</f>
        <v/>
      </c>
      <c r="C4569">
        <f>TEST_DATA!C4569</f>
        <v/>
      </c>
      <c r="D4569">
        <f>TEST_DATA!D4569</f>
        <v/>
      </c>
      <c r="E4569">
        <f>TEST_DATA!E4569</f>
        <v/>
      </c>
      <c r="F4569">
        <f>MIN(E4569*456900,10000)</f>
        <v/>
      </c>
      <c r="G4569">
        <f>MINIFS(CBIC_Late_Fee_Relief_Windows_3B!$O$4569:$O$100,CBIC_Late_Fee_Relief_Windows_3B!$D$4569:$D$100,"&lt;="&amp;B4569,CBIC_Late_Fee_Relief_Windows_3B!$E$4569:$E$100,"&gt;="&amp;B4569,CBIC_Late_Fee_Relief_Windows_3B!$F$4569:$F$100,"&lt;="&amp;C4569,CBIC_Late_Fee_Relief_Windows_3B!$G$4569:$G$100,"&gt;="&amp;C4569)</f>
        <v/>
      </c>
      <c r="H4569">
        <f>INDEX(CBIC_Late_Fee_Relief_Windows_3B!$I$4569:$I$100,MATCH(G4569,CBIC_Late_Fee_Relief_Windows_3B!$O$4569:$O$100,0))</f>
        <v/>
      </c>
      <c r="I4569">
        <f>MIN(F4569,H4569)</f>
        <v/>
      </c>
    </row>
    <row r="4570">
      <c r="A4570">
        <f>TEST_DATA!A4570</f>
        <v/>
      </c>
      <c r="B4570">
        <f>TEST_DATA!B4570</f>
        <v/>
      </c>
      <c r="C4570">
        <f>TEST_DATA!C4570</f>
        <v/>
      </c>
      <c r="D4570">
        <f>TEST_DATA!D4570</f>
        <v/>
      </c>
      <c r="E4570">
        <f>TEST_DATA!E4570</f>
        <v/>
      </c>
      <c r="F4570">
        <f>MIN(E4570*457000,10000)</f>
        <v/>
      </c>
      <c r="G4570">
        <f>MINIFS(CBIC_Late_Fee_Relief_Windows_3B!$O$4570:$O$100,CBIC_Late_Fee_Relief_Windows_3B!$D$4570:$D$100,"&lt;="&amp;B4570,CBIC_Late_Fee_Relief_Windows_3B!$E$4570:$E$100,"&gt;="&amp;B4570,CBIC_Late_Fee_Relief_Windows_3B!$F$4570:$F$100,"&lt;="&amp;C4570,CBIC_Late_Fee_Relief_Windows_3B!$G$4570:$G$100,"&gt;="&amp;C4570)</f>
        <v/>
      </c>
      <c r="H4570">
        <f>INDEX(CBIC_Late_Fee_Relief_Windows_3B!$I$4570:$I$100,MATCH(G4570,CBIC_Late_Fee_Relief_Windows_3B!$O$4570:$O$100,0))</f>
        <v/>
      </c>
      <c r="I4570">
        <f>MIN(F4570,H4570)</f>
        <v/>
      </c>
    </row>
    <row r="4571">
      <c r="A4571">
        <f>TEST_DATA!A4571</f>
        <v/>
      </c>
      <c r="B4571">
        <f>TEST_DATA!B4571</f>
        <v/>
      </c>
      <c r="C4571">
        <f>TEST_DATA!C4571</f>
        <v/>
      </c>
      <c r="D4571">
        <f>TEST_DATA!D4571</f>
        <v/>
      </c>
      <c r="E4571">
        <f>TEST_DATA!E4571</f>
        <v/>
      </c>
      <c r="F4571">
        <f>MIN(E4571*457100,10000)</f>
        <v/>
      </c>
      <c r="G4571">
        <f>MINIFS(CBIC_Late_Fee_Relief_Windows_3B!$O$4571:$O$100,CBIC_Late_Fee_Relief_Windows_3B!$D$4571:$D$100,"&lt;="&amp;B4571,CBIC_Late_Fee_Relief_Windows_3B!$E$4571:$E$100,"&gt;="&amp;B4571,CBIC_Late_Fee_Relief_Windows_3B!$F$4571:$F$100,"&lt;="&amp;C4571,CBIC_Late_Fee_Relief_Windows_3B!$G$4571:$G$100,"&gt;="&amp;C4571)</f>
        <v/>
      </c>
      <c r="H4571">
        <f>INDEX(CBIC_Late_Fee_Relief_Windows_3B!$I$4571:$I$100,MATCH(G4571,CBIC_Late_Fee_Relief_Windows_3B!$O$4571:$O$100,0))</f>
        <v/>
      </c>
      <c r="I4571">
        <f>MIN(F4571,H4571)</f>
        <v/>
      </c>
    </row>
    <row r="4572">
      <c r="A4572">
        <f>TEST_DATA!A4572</f>
        <v/>
      </c>
      <c r="B4572">
        <f>TEST_DATA!B4572</f>
        <v/>
      </c>
      <c r="C4572">
        <f>TEST_DATA!C4572</f>
        <v/>
      </c>
      <c r="D4572">
        <f>TEST_DATA!D4572</f>
        <v/>
      </c>
      <c r="E4572">
        <f>TEST_DATA!E4572</f>
        <v/>
      </c>
      <c r="F4572">
        <f>MIN(E4572*457200,10000)</f>
        <v/>
      </c>
      <c r="G4572">
        <f>MINIFS(CBIC_Late_Fee_Relief_Windows_3B!$O$4572:$O$100,CBIC_Late_Fee_Relief_Windows_3B!$D$4572:$D$100,"&lt;="&amp;B4572,CBIC_Late_Fee_Relief_Windows_3B!$E$4572:$E$100,"&gt;="&amp;B4572,CBIC_Late_Fee_Relief_Windows_3B!$F$4572:$F$100,"&lt;="&amp;C4572,CBIC_Late_Fee_Relief_Windows_3B!$G$4572:$G$100,"&gt;="&amp;C4572)</f>
        <v/>
      </c>
      <c r="H4572">
        <f>INDEX(CBIC_Late_Fee_Relief_Windows_3B!$I$4572:$I$100,MATCH(G4572,CBIC_Late_Fee_Relief_Windows_3B!$O$4572:$O$100,0))</f>
        <v/>
      </c>
      <c r="I4572">
        <f>MIN(F4572,H4572)</f>
        <v/>
      </c>
    </row>
    <row r="4573">
      <c r="A4573">
        <f>TEST_DATA!A4573</f>
        <v/>
      </c>
      <c r="B4573">
        <f>TEST_DATA!B4573</f>
        <v/>
      </c>
      <c r="C4573">
        <f>TEST_DATA!C4573</f>
        <v/>
      </c>
      <c r="D4573">
        <f>TEST_DATA!D4573</f>
        <v/>
      </c>
      <c r="E4573">
        <f>TEST_DATA!E4573</f>
        <v/>
      </c>
      <c r="F4573">
        <f>MIN(E4573*457300,10000)</f>
        <v/>
      </c>
      <c r="G4573">
        <f>MINIFS(CBIC_Late_Fee_Relief_Windows_3B!$O$4573:$O$100,CBIC_Late_Fee_Relief_Windows_3B!$D$4573:$D$100,"&lt;="&amp;B4573,CBIC_Late_Fee_Relief_Windows_3B!$E$4573:$E$100,"&gt;="&amp;B4573,CBIC_Late_Fee_Relief_Windows_3B!$F$4573:$F$100,"&lt;="&amp;C4573,CBIC_Late_Fee_Relief_Windows_3B!$G$4573:$G$100,"&gt;="&amp;C4573)</f>
        <v/>
      </c>
      <c r="H4573">
        <f>INDEX(CBIC_Late_Fee_Relief_Windows_3B!$I$4573:$I$100,MATCH(G4573,CBIC_Late_Fee_Relief_Windows_3B!$O$4573:$O$100,0))</f>
        <v/>
      </c>
      <c r="I4573">
        <f>MIN(F4573,H4573)</f>
        <v/>
      </c>
    </row>
    <row r="4574">
      <c r="A4574">
        <f>TEST_DATA!A4574</f>
        <v/>
      </c>
      <c r="B4574">
        <f>TEST_DATA!B4574</f>
        <v/>
      </c>
      <c r="C4574">
        <f>TEST_DATA!C4574</f>
        <v/>
      </c>
      <c r="D4574">
        <f>TEST_DATA!D4574</f>
        <v/>
      </c>
      <c r="E4574">
        <f>TEST_DATA!E4574</f>
        <v/>
      </c>
      <c r="F4574">
        <f>MIN(E4574*457400,10000)</f>
        <v/>
      </c>
      <c r="G4574">
        <f>MINIFS(CBIC_Late_Fee_Relief_Windows_3B!$O$4574:$O$100,CBIC_Late_Fee_Relief_Windows_3B!$D$4574:$D$100,"&lt;="&amp;B4574,CBIC_Late_Fee_Relief_Windows_3B!$E$4574:$E$100,"&gt;="&amp;B4574,CBIC_Late_Fee_Relief_Windows_3B!$F$4574:$F$100,"&lt;="&amp;C4574,CBIC_Late_Fee_Relief_Windows_3B!$G$4574:$G$100,"&gt;="&amp;C4574)</f>
        <v/>
      </c>
      <c r="H4574">
        <f>INDEX(CBIC_Late_Fee_Relief_Windows_3B!$I$4574:$I$100,MATCH(G4574,CBIC_Late_Fee_Relief_Windows_3B!$O$4574:$O$100,0))</f>
        <v/>
      </c>
      <c r="I4574">
        <f>MIN(F4574,H4574)</f>
        <v/>
      </c>
    </row>
    <row r="4575">
      <c r="A4575">
        <f>TEST_DATA!A4575</f>
        <v/>
      </c>
      <c r="B4575">
        <f>TEST_DATA!B4575</f>
        <v/>
      </c>
      <c r="C4575">
        <f>TEST_DATA!C4575</f>
        <v/>
      </c>
      <c r="D4575">
        <f>TEST_DATA!D4575</f>
        <v/>
      </c>
      <c r="E4575">
        <f>TEST_DATA!E4575</f>
        <v/>
      </c>
      <c r="F4575">
        <f>MIN(E4575*457500,10000)</f>
        <v/>
      </c>
      <c r="G4575">
        <f>MINIFS(CBIC_Late_Fee_Relief_Windows_3B!$O$4575:$O$100,CBIC_Late_Fee_Relief_Windows_3B!$D$4575:$D$100,"&lt;="&amp;B4575,CBIC_Late_Fee_Relief_Windows_3B!$E$4575:$E$100,"&gt;="&amp;B4575,CBIC_Late_Fee_Relief_Windows_3B!$F$4575:$F$100,"&lt;="&amp;C4575,CBIC_Late_Fee_Relief_Windows_3B!$G$4575:$G$100,"&gt;="&amp;C4575)</f>
        <v/>
      </c>
      <c r="H4575">
        <f>INDEX(CBIC_Late_Fee_Relief_Windows_3B!$I$4575:$I$100,MATCH(G4575,CBIC_Late_Fee_Relief_Windows_3B!$O$4575:$O$100,0))</f>
        <v/>
      </c>
      <c r="I4575">
        <f>MIN(F4575,H4575)</f>
        <v/>
      </c>
    </row>
    <row r="4576">
      <c r="A4576">
        <f>TEST_DATA!A4576</f>
        <v/>
      </c>
      <c r="B4576">
        <f>TEST_DATA!B4576</f>
        <v/>
      </c>
      <c r="C4576">
        <f>TEST_DATA!C4576</f>
        <v/>
      </c>
      <c r="D4576">
        <f>TEST_DATA!D4576</f>
        <v/>
      </c>
      <c r="E4576">
        <f>TEST_DATA!E4576</f>
        <v/>
      </c>
      <c r="F4576">
        <f>MIN(E4576*457600,10000)</f>
        <v/>
      </c>
      <c r="G4576">
        <f>MINIFS(CBIC_Late_Fee_Relief_Windows_3B!$O$4576:$O$100,CBIC_Late_Fee_Relief_Windows_3B!$D$4576:$D$100,"&lt;="&amp;B4576,CBIC_Late_Fee_Relief_Windows_3B!$E$4576:$E$100,"&gt;="&amp;B4576,CBIC_Late_Fee_Relief_Windows_3B!$F$4576:$F$100,"&lt;="&amp;C4576,CBIC_Late_Fee_Relief_Windows_3B!$G$4576:$G$100,"&gt;="&amp;C4576)</f>
        <v/>
      </c>
      <c r="H4576">
        <f>INDEX(CBIC_Late_Fee_Relief_Windows_3B!$I$4576:$I$100,MATCH(G4576,CBIC_Late_Fee_Relief_Windows_3B!$O$4576:$O$100,0))</f>
        <v/>
      </c>
      <c r="I4576">
        <f>MIN(F4576,H4576)</f>
        <v/>
      </c>
    </row>
    <row r="4577">
      <c r="A4577">
        <f>TEST_DATA!A4577</f>
        <v/>
      </c>
      <c r="B4577">
        <f>TEST_DATA!B4577</f>
        <v/>
      </c>
      <c r="C4577">
        <f>TEST_DATA!C4577</f>
        <v/>
      </c>
      <c r="D4577">
        <f>TEST_DATA!D4577</f>
        <v/>
      </c>
      <c r="E4577">
        <f>TEST_DATA!E4577</f>
        <v/>
      </c>
      <c r="F4577">
        <f>MIN(E4577*457700,10000)</f>
        <v/>
      </c>
      <c r="G4577">
        <f>MINIFS(CBIC_Late_Fee_Relief_Windows_3B!$O$4577:$O$100,CBIC_Late_Fee_Relief_Windows_3B!$D$4577:$D$100,"&lt;="&amp;B4577,CBIC_Late_Fee_Relief_Windows_3B!$E$4577:$E$100,"&gt;="&amp;B4577,CBIC_Late_Fee_Relief_Windows_3B!$F$4577:$F$100,"&lt;="&amp;C4577,CBIC_Late_Fee_Relief_Windows_3B!$G$4577:$G$100,"&gt;="&amp;C4577)</f>
        <v/>
      </c>
      <c r="H4577">
        <f>INDEX(CBIC_Late_Fee_Relief_Windows_3B!$I$4577:$I$100,MATCH(G4577,CBIC_Late_Fee_Relief_Windows_3B!$O$4577:$O$100,0))</f>
        <v/>
      </c>
      <c r="I4577">
        <f>MIN(F4577,H4577)</f>
        <v/>
      </c>
    </row>
    <row r="4578">
      <c r="A4578">
        <f>TEST_DATA!A4578</f>
        <v/>
      </c>
      <c r="B4578">
        <f>TEST_DATA!B4578</f>
        <v/>
      </c>
      <c r="C4578">
        <f>TEST_DATA!C4578</f>
        <v/>
      </c>
      <c r="D4578">
        <f>TEST_DATA!D4578</f>
        <v/>
      </c>
      <c r="E4578">
        <f>TEST_DATA!E4578</f>
        <v/>
      </c>
      <c r="F4578">
        <f>MIN(E4578*457800,10000)</f>
        <v/>
      </c>
      <c r="G4578">
        <f>MINIFS(CBIC_Late_Fee_Relief_Windows_3B!$O$4578:$O$100,CBIC_Late_Fee_Relief_Windows_3B!$D$4578:$D$100,"&lt;="&amp;B4578,CBIC_Late_Fee_Relief_Windows_3B!$E$4578:$E$100,"&gt;="&amp;B4578,CBIC_Late_Fee_Relief_Windows_3B!$F$4578:$F$100,"&lt;="&amp;C4578,CBIC_Late_Fee_Relief_Windows_3B!$G$4578:$G$100,"&gt;="&amp;C4578)</f>
        <v/>
      </c>
      <c r="H4578">
        <f>INDEX(CBIC_Late_Fee_Relief_Windows_3B!$I$4578:$I$100,MATCH(G4578,CBIC_Late_Fee_Relief_Windows_3B!$O$4578:$O$100,0))</f>
        <v/>
      </c>
      <c r="I4578">
        <f>MIN(F4578,H4578)</f>
        <v/>
      </c>
    </row>
    <row r="4579">
      <c r="A4579">
        <f>TEST_DATA!A4579</f>
        <v/>
      </c>
      <c r="B4579">
        <f>TEST_DATA!B4579</f>
        <v/>
      </c>
      <c r="C4579">
        <f>TEST_DATA!C4579</f>
        <v/>
      </c>
      <c r="D4579">
        <f>TEST_DATA!D4579</f>
        <v/>
      </c>
      <c r="E4579">
        <f>TEST_DATA!E4579</f>
        <v/>
      </c>
      <c r="F4579">
        <f>MIN(E4579*457900,10000)</f>
        <v/>
      </c>
      <c r="G4579">
        <f>MINIFS(CBIC_Late_Fee_Relief_Windows_3B!$O$4579:$O$100,CBIC_Late_Fee_Relief_Windows_3B!$D$4579:$D$100,"&lt;="&amp;B4579,CBIC_Late_Fee_Relief_Windows_3B!$E$4579:$E$100,"&gt;="&amp;B4579,CBIC_Late_Fee_Relief_Windows_3B!$F$4579:$F$100,"&lt;="&amp;C4579,CBIC_Late_Fee_Relief_Windows_3B!$G$4579:$G$100,"&gt;="&amp;C4579)</f>
        <v/>
      </c>
      <c r="H4579">
        <f>INDEX(CBIC_Late_Fee_Relief_Windows_3B!$I$4579:$I$100,MATCH(G4579,CBIC_Late_Fee_Relief_Windows_3B!$O$4579:$O$100,0))</f>
        <v/>
      </c>
      <c r="I4579">
        <f>MIN(F4579,H4579)</f>
        <v/>
      </c>
    </row>
    <row r="4580">
      <c r="A4580">
        <f>TEST_DATA!A4580</f>
        <v/>
      </c>
      <c r="B4580">
        <f>TEST_DATA!B4580</f>
        <v/>
      </c>
      <c r="C4580">
        <f>TEST_DATA!C4580</f>
        <v/>
      </c>
      <c r="D4580">
        <f>TEST_DATA!D4580</f>
        <v/>
      </c>
      <c r="E4580">
        <f>TEST_DATA!E4580</f>
        <v/>
      </c>
      <c r="F4580">
        <f>MIN(E4580*458000,10000)</f>
        <v/>
      </c>
      <c r="G4580">
        <f>MINIFS(CBIC_Late_Fee_Relief_Windows_3B!$O$4580:$O$100,CBIC_Late_Fee_Relief_Windows_3B!$D$4580:$D$100,"&lt;="&amp;B4580,CBIC_Late_Fee_Relief_Windows_3B!$E$4580:$E$100,"&gt;="&amp;B4580,CBIC_Late_Fee_Relief_Windows_3B!$F$4580:$F$100,"&lt;="&amp;C4580,CBIC_Late_Fee_Relief_Windows_3B!$G$4580:$G$100,"&gt;="&amp;C4580)</f>
        <v/>
      </c>
      <c r="H4580">
        <f>INDEX(CBIC_Late_Fee_Relief_Windows_3B!$I$4580:$I$100,MATCH(G4580,CBIC_Late_Fee_Relief_Windows_3B!$O$4580:$O$100,0))</f>
        <v/>
      </c>
      <c r="I4580">
        <f>MIN(F4580,H4580)</f>
        <v/>
      </c>
    </row>
    <row r="4581">
      <c r="A4581">
        <f>TEST_DATA!A4581</f>
        <v/>
      </c>
      <c r="B4581">
        <f>TEST_DATA!B4581</f>
        <v/>
      </c>
      <c r="C4581">
        <f>TEST_DATA!C4581</f>
        <v/>
      </c>
      <c r="D4581">
        <f>TEST_DATA!D4581</f>
        <v/>
      </c>
      <c r="E4581">
        <f>TEST_DATA!E4581</f>
        <v/>
      </c>
      <c r="F4581">
        <f>MIN(E4581*458100,10000)</f>
        <v/>
      </c>
      <c r="G4581">
        <f>MINIFS(CBIC_Late_Fee_Relief_Windows_3B!$O$4581:$O$100,CBIC_Late_Fee_Relief_Windows_3B!$D$4581:$D$100,"&lt;="&amp;B4581,CBIC_Late_Fee_Relief_Windows_3B!$E$4581:$E$100,"&gt;="&amp;B4581,CBIC_Late_Fee_Relief_Windows_3B!$F$4581:$F$100,"&lt;="&amp;C4581,CBIC_Late_Fee_Relief_Windows_3B!$G$4581:$G$100,"&gt;="&amp;C4581)</f>
        <v/>
      </c>
      <c r="H4581">
        <f>INDEX(CBIC_Late_Fee_Relief_Windows_3B!$I$4581:$I$100,MATCH(G4581,CBIC_Late_Fee_Relief_Windows_3B!$O$4581:$O$100,0))</f>
        <v/>
      </c>
      <c r="I4581">
        <f>MIN(F4581,H4581)</f>
        <v/>
      </c>
    </row>
    <row r="4582">
      <c r="A4582">
        <f>TEST_DATA!A4582</f>
        <v/>
      </c>
      <c r="B4582">
        <f>TEST_DATA!B4582</f>
        <v/>
      </c>
      <c r="C4582">
        <f>TEST_DATA!C4582</f>
        <v/>
      </c>
      <c r="D4582">
        <f>TEST_DATA!D4582</f>
        <v/>
      </c>
      <c r="E4582">
        <f>TEST_DATA!E4582</f>
        <v/>
      </c>
      <c r="F4582">
        <f>MIN(E4582*458200,10000)</f>
        <v/>
      </c>
      <c r="G4582">
        <f>MINIFS(CBIC_Late_Fee_Relief_Windows_3B!$O$4582:$O$100,CBIC_Late_Fee_Relief_Windows_3B!$D$4582:$D$100,"&lt;="&amp;B4582,CBIC_Late_Fee_Relief_Windows_3B!$E$4582:$E$100,"&gt;="&amp;B4582,CBIC_Late_Fee_Relief_Windows_3B!$F$4582:$F$100,"&lt;="&amp;C4582,CBIC_Late_Fee_Relief_Windows_3B!$G$4582:$G$100,"&gt;="&amp;C4582)</f>
        <v/>
      </c>
      <c r="H4582">
        <f>INDEX(CBIC_Late_Fee_Relief_Windows_3B!$I$4582:$I$100,MATCH(G4582,CBIC_Late_Fee_Relief_Windows_3B!$O$4582:$O$100,0))</f>
        <v/>
      </c>
      <c r="I4582">
        <f>MIN(F4582,H4582)</f>
        <v/>
      </c>
    </row>
    <row r="4583">
      <c r="A4583">
        <f>TEST_DATA!A4583</f>
        <v/>
      </c>
      <c r="B4583">
        <f>TEST_DATA!B4583</f>
        <v/>
      </c>
      <c r="C4583">
        <f>TEST_DATA!C4583</f>
        <v/>
      </c>
      <c r="D4583">
        <f>TEST_DATA!D4583</f>
        <v/>
      </c>
      <c r="E4583">
        <f>TEST_DATA!E4583</f>
        <v/>
      </c>
      <c r="F4583">
        <f>MIN(E4583*458300,10000)</f>
        <v/>
      </c>
      <c r="G4583">
        <f>MINIFS(CBIC_Late_Fee_Relief_Windows_3B!$O$4583:$O$100,CBIC_Late_Fee_Relief_Windows_3B!$D$4583:$D$100,"&lt;="&amp;B4583,CBIC_Late_Fee_Relief_Windows_3B!$E$4583:$E$100,"&gt;="&amp;B4583,CBIC_Late_Fee_Relief_Windows_3B!$F$4583:$F$100,"&lt;="&amp;C4583,CBIC_Late_Fee_Relief_Windows_3B!$G$4583:$G$100,"&gt;="&amp;C4583)</f>
        <v/>
      </c>
      <c r="H4583">
        <f>INDEX(CBIC_Late_Fee_Relief_Windows_3B!$I$4583:$I$100,MATCH(G4583,CBIC_Late_Fee_Relief_Windows_3B!$O$4583:$O$100,0))</f>
        <v/>
      </c>
      <c r="I4583">
        <f>MIN(F4583,H4583)</f>
        <v/>
      </c>
    </row>
    <row r="4584">
      <c r="A4584">
        <f>TEST_DATA!A4584</f>
        <v/>
      </c>
      <c r="B4584">
        <f>TEST_DATA!B4584</f>
        <v/>
      </c>
      <c r="C4584">
        <f>TEST_DATA!C4584</f>
        <v/>
      </c>
      <c r="D4584">
        <f>TEST_DATA!D4584</f>
        <v/>
      </c>
      <c r="E4584">
        <f>TEST_DATA!E4584</f>
        <v/>
      </c>
      <c r="F4584">
        <f>MIN(E4584*458400,10000)</f>
        <v/>
      </c>
      <c r="G4584">
        <f>MINIFS(CBIC_Late_Fee_Relief_Windows_3B!$O$4584:$O$100,CBIC_Late_Fee_Relief_Windows_3B!$D$4584:$D$100,"&lt;="&amp;B4584,CBIC_Late_Fee_Relief_Windows_3B!$E$4584:$E$100,"&gt;="&amp;B4584,CBIC_Late_Fee_Relief_Windows_3B!$F$4584:$F$100,"&lt;="&amp;C4584,CBIC_Late_Fee_Relief_Windows_3B!$G$4584:$G$100,"&gt;="&amp;C4584)</f>
        <v/>
      </c>
      <c r="H4584">
        <f>INDEX(CBIC_Late_Fee_Relief_Windows_3B!$I$4584:$I$100,MATCH(G4584,CBIC_Late_Fee_Relief_Windows_3B!$O$4584:$O$100,0))</f>
        <v/>
      </c>
      <c r="I4584">
        <f>MIN(F4584,H4584)</f>
        <v/>
      </c>
    </row>
    <row r="4585">
      <c r="A4585">
        <f>TEST_DATA!A4585</f>
        <v/>
      </c>
      <c r="B4585">
        <f>TEST_DATA!B4585</f>
        <v/>
      </c>
      <c r="C4585">
        <f>TEST_DATA!C4585</f>
        <v/>
      </c>
      <c r="D4585">
        <f>TEST_DATA!D4585</f>
        <v/>
      </c>
      <c r="E4585">
        <f>TEST_DATA!E4585</f>
        <v/>
      </c>
      <c r="F4585">
        <f>MIN(E4585*458500,10000)</f>
        <v/>
      </c>
      <c r="G4585">
        <f>MINIFS(CBIC_Late_Fee_Relief_Windows_3B!$O$4585:$O$100,CBIC_Late_Fee_Relief_Windows_3B!$D$4585:$D$100,"&lt;="&amp;B4585,CBIC_Late_Fee_Relief_Windows_3B!$E$4585:$E$100,"&gt;="&amp;B4585,CBIC_Late_Fee_Relief_Windows_3B!$F$4585:$F$100,"&lt;="&amp;C4585,CBIC_Late_Fee_Relief_Windows_3B!$G$4585:$G$100,"&gt;="&amp;C4585)</f>
        <v/>
      </c>
      <c r="H4585">
        <f>INDEX(CBIC_Late_Fee_Relief_Windows_3B!$I$4585:$I$100,MATCH(G4585,CBIC_Late_Fee_Relief_Windows_3B!$O$4585:$O$100,0))</f>
        <v/>
      </c>
      <c r="I4585">
        <f>MIN(F4585,H4585)</f>
        <v/>
      </c>
    </row>
    <row r="4586">
      <c r="A4586">
        <f>TEST_DATA!A4586</f>
        <v/>
      </c>
      <c r="B4586">
        <f>TEST_DATA!B4586</f>
        <v/>
      </c>
      <c r="C4586">
        <f>TEST_DATA!C4586</f>
        <v/>
      </c>
      <c r="D4586">
        <f>TEST_DATA!D4586</f>
        <v/>
      </c>
      <c r="E4586">
        <f>TEST_DATA!E4586</f>
        <v/>
      </c>
      <c r="F4586">
        <f>MIN(E4586*458600,10000)</f>
        <v/>
      </c>
      <c r="G4586">
        <f>MINIFS(CBIC_Late_Fee_Relief_Windows_3B!$O$4586:$O$100,CBIC_Late_Fee_Relief_Windows_3B!$D$4586:$D$100,"&lt;="&amp;B4586,CBIC_Late_Fee_Relief_Windows_3B!$E$4586:$E$100,"&gt;="&amp;B4586,CBIC_Late_Fee_Relief_Windows_3B!$F$4586:$F$100,"&lt;="&amp;C4586,CBIC_Late_Fee_Relief_Windows_3B!$G$4586:$G$100,"&gt;="&amp;C4586)</f>
        <v/>
      </c>
      <c r="H4586">
        <f>INDEX(CBIC_Late_Fee_Relief_Windows_3B!$I$4586:$I$100,MATCH(G4586,CBIC_Late_Fee_Relief_Windows_3B!$O$4586:$O$100,0))</f>
        <v/>
      </c>
      <c r="I4586">
        <f>MIN(F4586,H4586)</f>
        <v/>
      </c>
    </row>
    <row r="4587">
      <c r="A4587">
        <f>TEST_DATA!A4587</f>
        <v/>
      </c>
      <c r="B4587">
        <f>TEST_DATA!B4587</f>
        <v/>
      </c>
      <c r="C4587">
        <f>TEST_DATA!C4587</f>
        <v/>
      </c>
      <c r="D4587">
        <f>TEST_DATA!D4587</f>
        <v/>
      </c>
      <c r="E4587">
        <f>TEST_DATA!E4587</f>
        <v/>
      </c>
      <c r="F4587">
        <f>MIN(E4587*458700,10000)</f>
        <v/>
      </c>
      <c r="G4587">
        <f>MINIFS(CBIC_Late_Fee_Relief_Windows_3B!$O$4587:$O$100,CBIC_Late_Fee_Relief_Windows_3B!$D$4587:$D$100,"&lt;="&amp;B4587,CBIC_Late_Fee_Relief_Windows_3B!$E$4587:$E$100,"&gt;="&amp;B4587,CBIC_Late_Fee_Relief_Windows_3B!$F$4587:$F$100,"&lt;="&amp;C4587,CBIC_Late_Fee_Relief_Windows_3B!$G$4587:$G$100,"&gt;="&amp;C4587)</f>
        <v/>
      </c>
      <c r="H4587">
        <f>INDEX(CBIC_Late_Fee_Relief_Windows_3B!$I$4587:$I$100,MATCH(G4587,CBIC_Late_Fee_Relief_Windows_3B!$O$4587:$O$100,0))</f>
        <v/>
      </c>
      <c r="I4587">
        <f>MIN(F4587,H4587)</f>
        <v/>
      </c>
    </row>
    <row r="4588">
      <c r="A4588">
        <f>TEST_DATA!A4588</f>
        <v/>
      </c>
      <c r="B4588">
        <f>TEST_DATA!B4588</f>
        <v/>
      </c>
      <c r="C4588">
        <f>TEST_DATA!C4588</f>
        <v/>
      </c>
      <c r="D4588">
        <f>TEST_DATA!D4588</f>
        <v/>
      </c>
      <c r="E4588">
        <f>TEST_DATA!E4588</f>
        <v/>
      </c>
      <c r="F4588">
        <f>MIN(E4588*458800,10000)</f>
        <v/>
      </c>
      <c r="G4588">
        <f>MINIFS(CBIC_Late_Fee_Relief_Windows_3B!$O$4588:$O$100,CBIC_Late_Fee_Relief_Windows_3B!$D$4588:$D$100,"&lt;="&amp;B4588,CBIC_Late_Fee_Relief_Windows_3B!$E$4588:$E$100,"&gt;="&amp;B4588,CBIC_Late_Fee_Relief_Windows_3B!$F$4588:$F$100,"&lt;="&amp;C4588,CBIC_Late_Fee_Relief_Windows_3B!$G$4588:$G$100,"&gt;="&amp;C4588)</f>
        <v/>
      </c>
      <c r="H4588">
        <f>INDEX(CBIC_Late_Fee_Relief_Windows_3B!$I$4588:$I$100,MATCH(G4588,CBIC_Late_Fee_Relief_Windows_3B!$O$4588:$O$100,0))</f>
        <v/>
      </c>
      <c r="I4588">
        <f>MIN(F4588,H4588)</f>
        <v/>
      </c>
    </row>
    <row r="4589">
      <c r="A4589">
        <f>TEST_DATA!A4589</f>
        <v/>
      </c>
      <c r="B4589">
        <f>TEST_DATA!B4589</f>
        <v/>
      </c>
      <c r="C4589">
        <f>TEST_DATA!C4589</f>
        <v/>
      </c>
      <c r="D4589">
        <f>TEST_DATA!D4589</f>
        <v/>
      </c>
      <c r="E4589">
        <f>TEST_DATA!E4589</f>
        <v/>
      </c>
      <c r="F4589">
        <f>MIN(E4589*458900,10000)</f>
        <v/>
      </c>
      <c r="G4589">
        <f>MINIFS(CBIC_Late_Fee_Relief_Windows_3B!$O$4589:$O$100,CBIC_Late_Fee_Relief_Windows_3B!$D$4589:$D$100,"&lt;="&amp;B4589,CBIC_Late_Fee_Relief_Windows_3B!$E$4589:$E$100,"&gt;="&amp;B4589,CBIC_Late_Fee_Relief_Windows_3B!$F$4589:$F$100,"&lt;="&amp;C4589,CBIC_Late_Fee_Relief_Windows_3B!$G$4589:$G$100,"&gt;="&amp;C4589)</f>
        <v/>
      </c>
      <c r="H4589">
        <f>INDEX(CBIC_Late_Fee_Relief_Windows_3B!$I$4589:$I$100,MATCH(G4589,CBIC_Late_Fee_Relief_Windows_3B!$O$4589:$O$100,0))</f>
        <v/>
      </c>
      <c r="I4589">
        <f>MIN(F4589,H4589)</f>
        <v/>
      </c>
    </row>
    <row r="4590">
      <c r="A4590">
        <f>TEST_DATA!A4590</f>
        <v/>
      </c>
      <c r="B4590">
        <f>TEST_DATA!B4590</f>
        <v/>
      </c>
      <c r="C4590">
        <f>TEST_DATA!C4590</f>
        <v/>
      </c>
      <c r="D4590">
        <f>TEST_DATA!D4590</f>
        <v/>
      </c>
      <c r="E4590">
        <f>TEST_DATA!E4590</f>
        <v/>
      </c>
      <c r="F4590">
        <f>MIN(E4590*459000,10000)</f>
        <v/>
      </c>
      <c r="G4590">
        <f>MINIFS(CBIC_Late_Fee_Relief_Windows_3B!$O$4590:$O$100,CBIC_Late_Fee_Relief_Windows_3B!$D$4590:$D$100,"&lt;="&amp;B4590,CBIC_Late_Fee_Relief_Windows_3B!$E$4590:$E$100,"&gt;="&amp;B4590,CBIC_Late_Fee_Relief_Windows_3B!$F$4590:$F$100,"&lt;="&amp;C4590,CBIC_Late_Fee_Relief_Windows_3B!$G$4590:$G$100,"&gt;="&amp;C4590)</f>
        <v/>
      </c>
      <c r="H4590">
        <f>INDEX(CBIC_Late_Fee_Relief_Windows_3B!$I$4590:$I$100,MATCH(G4590,CBIC_Late_Fee_Relief_Windows_3B!$O$4590:$O$100,0))</f>
        <v/>
      </c>
      <c r="I4590">
        <f>MIN(F4590,H4590)</f>
        <v/>
      </c>
    </row>
    <row r="4591">
      <c r="A4591">
        <f>TEST_DATA!A4591</f>
        <v/>
      </c>
      <c r="B4591">
        <f>TEST_DATA!B4591</f>
        <v/>
      </c>
      <c r="C4591">
        <f>TEST_DATA!C4591</f>
        <v/>
      </c>
      <c r="D4591">
        <f>TEST_DATA!D4591</f>
        <v/>
      </c>
      <c r="E4591">
        <f>TEST_DATA!E4591</f>
        <v/>
      </c>
      <c r="F4591">
        <f>MIN(E4591*459100,10000)</f>
        <v/>
      </c>
      <c r="G4591">
        <f>MINIFS(CBIC_Late_Fee_Relief_Windows_3B!$O$4591:$O$100,CBIC_Late_Fee_Relief_Windows_3B!$D$4591:$D$100,"&lt;="&amp;B4591,CBIC_Late_Fee_Relief_Windows_3B!$E$4591:$E$100,"&gt;="&amp;B4591,CBIC_Late_Fee_Relief_Windows_3B!$F$4591:$F$100,"&lt;="&amp;C4591,CBIC_Late_Fee_Relief_Windows_3B!$G$4591:$G$100,"&gt;="&amp;C4591)</f>
        <v/>
      </c>
      <c r="H4591">
        <f>INDEX(CBIC_Late_Fee_Relief_Windows_3B!$I$4591:$I$100,MATCH(G4591,CBIC_Late_Fee_Relief_Windows_3B!$O$4591:$O$100,0))</f>
        <v/>
      </c>
      <c r="I4591">
        <f>MIN(F4591,H4591)</f>
        <v/>
      </c>
    </row>
    <row r="4592">
      <c r="A4592">
        <f>TEST_DATA!A4592</f>
        <v/>
      </c>
      <c r="B4592">
        <f>TEST_DATA!B4592</f>
        <v/>
      </c>
      <c r="C4592">
        <f>TEST_DATA!C4592</f>
        <v/>
      </c>
      <c r="D4592">
        <f>TEST_DATA!D4592</f>
        <v/>
      </c>
      <c r="E4592">
        <f>TEST_DATA!E4592</f>
        <v/>
      </c>
      <c r="F4592">
        <f>MIN(E4592*459200,10000)</f>
        <v/>
      </c>
      <c r="G4592">
        <f>MINIFS(CBIC_Late_Fee_Relief_Windows_3B!$O$4592:$O$100,CBIC_Late_Fee_Relief_Windows_3B!$D$4592:$D$100,"&lt;="&amp;B4592,CBIC_Late_Fee_Relief_Windows_3B!$E$4592:$E$100,"&gt;="&amp;B4592,CBIC_Late_Fee_Relief_Windows_3B!$F$4592:$F$100,"&lt;="&amp;C4592,CBIC_Late_Fee_Relief_Windows_3B!$G$4592:$G$100,"&gt;="&amp;C4592)</f>
        <v/>
      </c>
      <c r="H4592">
        <f>INDEX(CBIC_Late_Fee_Relief_Windows_3B!$I$4592:$I$100,MATCH(G4592,CBIC_Late_Fee_Relief_Windows_3B!$O$4592:$O$100,0))</f>
        <v/>
      </c>
      <c r="I4592">
        <f>MIN(F4592,H4592)</f>
        <v/>
      </c>
    </row>
    <row r="4593">
      <c r="A4593">
        <f>TEST_DATA!A4593</f>
        <v/>
      </c>
      <c r="B4593">
        <f>TEST_DATA!B4593</f>
        <v/>
      </c>
      <c r="C4593">
        <f>TEST_DATA!C4593</f>
        <v/>
      </c>
      <c r="D4593">
        <f>TEST_DATA!D4593</f>
        <v/>
      </c>
      <c r="E4593">
        <f>TEST_DATA!E4593</f>
        <v/>
      </c>
      <c r="F4593">
        <f>MIN(E4593*459300,10000)</f>
        <v/>
      </c>
      <c r="G4593">
        <f>MINIFS(CBIC_Late_Fee_Relief_Windows_3B!$O$4593:$O$100,CBIC_Late_Fee_Relief_Windows_3B!$D$4593:$D$100,"&lt;="&amp;B4593,CBIC_Late_Fee_Relief_Windows_3B!$E$4593:$E$100,"&gt;="&amp;B4593,CBIC_Late_Fee_Relief_Windows_3B!$F$4593:$F$100,"&lt;="&amp;C4593,CBIC_Late_Fee_Relief_Windows_3B!$G$4593:$G$100,"&gt;="&amp;C4593)</f>
        <v/>
      </c>
      <c r="H4593">
        <f>INDEX(CBIC_Late_Fee_Relief_Windows_3B!$I$4593:$I$100,MATCH(G4593,CBIC_Late_Fee_Relief_Windows_3B!$O$4593:$O$100,0))</f>
        <v/>
      </c>
      <c r="I4593">
        <f>MIN(F4593,H4593)</f>
        <v/>
      </c>
    </row>
    <row r="4594">
      <c r="A4594">
        <f>TEST_DATA!A4594</f>
        <v/>
      </c>
      <c r="B4594">
        <f>TEST_DATA!B4594</f>
        <v/>
      </c>
      <c r="C4594">
        <f>TEST_DATA!C4594</f>
        <v/>
      </c>
      <c r="D4594">
        <f>TEST_DATA!D4594</f>
        <v/>
      </c>
      <c r="E4594">
        <f>TEST_DATA!E4594</f>
        <v/>
      </c>
      <c r="F4594">
        <f>MIN(E4594*459400,10000)</f>
        <v/>
      </c>
      <c r="G4594">
        <f>MINIFS(CBIC_Late_Fee_Relief_Windows_3B!$O$4594:$O$100,CBIC_Late_Fee_Relief_Windows_3B!$D$4594:$D$100,"&lt;="&amp;B4594,CBIC_Late_Fee_Relief_Windows_3B!$E$4594:$E$100,"&gt;="&amp;B4594,CBIC_Late_Fee_Relief_Windows_3B!$F$4594:$F$100,"&lt;="&amp;C4594,CBIC_Late_Fee_Relief_Windows_3B!$G$4594:$G$100,"&gt;="&amp;C4594)</f>
        <v/>
      </c>
      <c r="H4594">
        <f>INDEX(CBIC_Late_Fee_Relief_Windows_3B!$I$4594:$I$100,MATCH(G4594,CBIC_Late_Fee_Relief_Windows_3B!$O$4594:$O$100,0))</f>
        <v/>
      </c>
      <c r="I4594">
        <f>MIN(F4594,H4594)</f>
        <v/>
      </c>
    </row>
    <row r="4595">
      <c r="A4595">
        <f>TEST_DATA!A4595</f>
        <v/>
      </c>
      <c r="B4595">
        <f>TEST_DATA!B4595</f>
        <v/>
      </c>
      <c r="C4595">
        <f>TEST_DATA!C4595</f>
        <v/>
      </c>
      <c r="D4595">
        <f>TEST_DATA!D4595</f>
        <v/>
      </c>
      <c r="E4595">
        <f>TEST_DATA!E4595</f>
        <v/>
      </c>
      <c r="F4595">
        <f>MIN(E4595*459500,10000)</f>
        <v/>
      </c>
      <c r="G4595">
        <f>MINIFS(CBIC_Late_Fee_Relief_Windows_3B!$O$4595:$O$100,CBIC_Late_Fee_Relief_Windows_3B!$D$4595:$D$100,"&lt;="&amp;B4595,CBIC_Late_Fee_Relief_Windows_3B!$E$4595:$E$100,"&gt;="&amp;B4595,CBIC_Late_Fee_Relief_Windows_3B!$F$4595:$F$100,"&lt;="&amp;C4595,CBIC_Late_Fee_Relief_Windows_3B!$G$4595:$G$100,"&gt;="&amp;C4595)</f>
        <v/>
      </c>
      <c r="H4595">
        <f>INDEX(CBIC_Late_Fee_Relief_Windows_3B!$I$4595:$I$100,MATCH(G4595,CBIC_Late_Fee_Relief_Windows_3B!$O$4595:$O$100,0))</f>
        <v/>
      </c>
      <c r="I4595">
        <f>MIN(F4595,H4595)</f>
        <v/>
      </c>
    </row>
    <row r="4596">
      <c r="A4596">
        <f>TEST_DATA!A4596</f>
        <v/>
      </c>
      <c r="B4596">
        <f>TEST_DATA!B4596</f>
        <v/>
      </c>
      <c r="C4596">
        <f>TEST_DATA!C4596</f>
        <v/>
      </c>
      <c r="D4596">
        <f>TEST_DATA!D4596</f>
        <v/>
      </c>
      <c r="E4596">
        <f>TEST_DATA!E4596</f>
        <v/>
      </c>
      <c r="F4596">
        <f>MIN(E4596*459600,10000)</f>
        <v/>
      </c>
      <c r="G4596">
        <f>MINIFS(CBIC_Late_Fee_Relief_Windows_3B!$O$4596:$O$100,CBIC_Late_Fee_Relief_Windows_3B!$D$4596:$D$100,"&lt;="&amp;B4596,CBIC_Late_Fee_Relief_Windows_3B!$E$4596:$E$100,"&gt;="&amp;B4596,CBIC_Late_Fee_Relief_Windows_3B!$F$4596:$F$100,"&lt;="&amp;C4596,CBIC_Late_Fee_Relief_Windows_3B!$G$4596:$G$100,"&gt;="&amp;C4596)</f>
        <v/>
      </c>
      <c r="H4596">
        <f>INDEX(CBIC_Late_Fee_Relief_Windows_3B!$I$4596:$I$100,MATCH(G4596,CBIC_Late_Fee_Relief_Windows_3B!$O$4596:$O$100,0))</f>
        <v/>
      </c>
      <c r="I4596">
        <f>MIN(F4596,H4596)</f>
        <v/>
      </c>
    </row>
    <row r="4597">
      <c r="A4597">
        <f>TEST_DATA!A4597</f>
        <v/>
      </c>
      <c r="B4597">
        <f>TEST_DATA!B4597</f>
        <v/>
      </c>
      <c r="C4597">
        <f>TEST_DATA!C4597</f>
        <v/>
      </c>
      <c r="D4597">
        <f>TEST_DATA!D4597</f>
        <v/>
      </c>
      <c r="E4597">
        <f>TEST_DATA!E4597</f>
        <v/>
      </c>
      <c r="F4597">
        <f>MIN(E4597*459700,10000)</f>
        <v/>
      </c>
      <c r="G4597">
        <f>MINIFS(CBIC_Late_Fee_Relief_Windows_3B!$O$4597:$O$100,CBIC_Late_Fee_Relief_Windows_3B!$D$4597:$D$100,"&lt;="&amp;B4597,CBIC_Late_Fee_Relief_Windows_3B!$E$4597:$E$100,"&gt;="&amp;B4597,CBIC_Late_Fee_Relief_Windows_3B!$F$4597:$F$100,"&lt;="&amp;C4597,CBIC_Late_Fee_Relief_Windows_3B!$G$4597:$G$100,"&gt;="&amp;C4597)</f>
        <v/>
      </c>
      <c r="H4597">
        <f>INDEX(CBIC_Late_Fee_Relief_Windows_3B!$I$4597:$I$100,MATCH(G4597,CBIC_Late_Fee_Relief_Windows_3B!$O$4597:$O$100,0))</f>
        <v/>
      </c>
      <c r="I4597">
        <f>MIN(F4597,H4597)</f>
        <v/>
      </c>
    </row>
    <row r="4598">
      <c r="A4598">
        <f>TEST_DATA!A4598</f>
        <v/>
      </c>
      <c r="B4598">
        <f>TEST_DATA!B4598</f>
        <v/>
      </c>
      <c r="C4598">
        <f>TEST_DATA!C4598</f>
        <v/>
      </c>
      <c r="D4598">
        <f>TEST_DATA!D4598</f>
        <v/>
      </c>
      <c r="E4598">
        <f>TEST_DATA!E4598</f>
        <v/>
      </c>
      <c r="F4598">
        <f>MIN(E4598*459800,10000)</f>
        <v/>
      </c>
      <c r="G4598">
        <f>MINIFS(CBIC_Late_Fee_Relief_Windows_3B!$O$4598:$O$100,CBIC_Late_Fee_Relief_Windows_3B!$D$4598:$D$100,"&lt;="&amp;B4598,CBIC_Late_Fee_Relief_Windows_3B!$E$4598:$E$100,"&gt;="&amp;B4598,CBIC_Late_Fee_Relief_Windows_3B!$F$4598:$F$100,"&lt;="&amp;C4598,CBIC_Late_Fee_Relief_Windows_3B!$G$4598:$G$100,"&gt;="&amp;C4598)</f>
        <v/>
      </c>
      <c r="H4598">
        <f>INDEX(CBIC_Late_Fee_Relief_Windows_3B!$I$4598:$I$100,MATCH(G4598,CBIC_Late_Fee_Relief_Windows_3B!$O$4598:$O$100,0))</f>
        <v/>
      </c>
      <c r="I4598">
        <f>MIN(F4598,H4598)</f>
        <v/>
      </c>
    </row>
    <row r="4599">
      <c r="A4599">
        <f>TEST_DATA!A4599</f>
        <v/>
      </c>
      <c r="B4599">
        <f>TEST_DATA!B4599</f>
        <v/>
      </c>
      <c r="C4599">
        <f>TEST_DATA!C4599</f>
        <v/>
      </c>
      <c r="D4599">
        <f>TEST_DATA!D4599</f>
        <v/>
      </c>
      <c r="E4599">
        <f>TEST_DATA!E4599</f>
        <v/>
      </c>
      <c r="F4599">
        <f>MIN(E4599*459900,10000)</f>
        <v/>
      </c>
      <c r="G4599">
        <f>MINIFS(CBIC_Late_Fee_Relief_Windows_3B!$O$4599:$O$100,CBIC_Late_Fee_Relief_Windows_3B!$D$4599:$D$100,"&lt;="&amp;B4599,CBIC_Late_Fee_Relief_Windows_3B!$E$4599:$E$100,"&gt;="&amp;B4599,CBIC_Late_Fee_Relief_Windows_3B!$F$4599:$F$100,"&lt;="&amp;C4599,CBIC_Late_Fee_Relief_Windows_3B!$G$4599:$G$100,"&gt;="&amp;C4599)</f>
        <v/>
      </c>
      <c r="H4599">
        <f>INDEX(CBIC_Late_Fee_Relief_Windows_3B!$I$4599:$I$100,MATCH(G4599,CBIC_Late_Fee_Relief_Windows_3B!$O$4599:$O$100,0))</f>
        <v/>
      </c>
      <c r="I4599">
        <f>MIN(F4599,H4599)</f>
        <v/>
      </c>
    </row>
    <row r="4600">
      <c r="A4600">
        <f>TEST_DATA!A4600</f>
        <v/>
      </c>
      <c r="B4600">
        <f>TEST_DATA!B4600</f>
        <v/>
      </c>
      <c r="C4600">
        <f>TEST_DATA!C4600</f>
        <v/>
      </c>
      <c r="D4600">
        <f>TEST_DATA!D4600</f>
        <v/>
      </c>
      <c r="E4600">
        <f>TEST_DATA!E4600</f>
        <v/>
      </c>
      <c r="F4600">
        <f>MIN(E4600*460000,10000)</f>
        <v/>
      </c>
      <c r="G4600">
        <f>MINIFS(CBIC_Late_Fee_Relief_Windows_3B!$O$4600:$O$100,CBIC_Late_Fee_Relief_Windows_3B!$D$4600:$D$100,"&lt;="&amp;B4600,CBIC_Late_Fee_Relief_Windows_3B!$E$4600:$E$100,"&gt;="&amp;B4600,CBIC_Late_Fee_Relief_Windows_3B!$F$4600:$F$100,"&lt;="&amp;C4600,CBIC_Late_Fee_Relief_Windows_3B!$G$4600:$G$100,"&gt;="&amp;C4600)</f>
        <v/>
      </c>
      <c r="H4600">
        <f>INDEX(CBIC_Late_Fee_Relief_Windows_3B!$I$4600:$I$100,MATCH(G4600,CBIC_Late_Fee_Relief_Windows_3B!$O$4600:$O$100,0))</f>
        <v/>
      </c>
      <c r="I4600">
        <f>MIN(F4600,H4600)</f>
        <v/>
      </c>
    </row>
    <row r="4601">
      <c r="A4601">
        <f>TEST_DATA!A4601</f>
        <v/>
      </c>
      <c r="B4601">
        <f>TEST_DATA!B4601</f>
        <v/>
      </c>
      <c r="C4601">
        <f>TEST_DATA!C4601</f>
        <v/>
      </c>
      <c r="D4601">
        <f>TEST_DATA!D4601</f>
        <v/>
      </c>
      <c r="E4601">
        <f>TEST_DATA!E4601</f>
        <v/>
      </c>
      <c r="F4601">
        <f>MIN(E4601*460100,10000)</f>
        <v/>
      </c>
      <c r="G4601">
        <f>MINIFS(CBIC_Late_Fee_Relief_Windows_3B!$O$4601:$O$100,CBIC_Late_Fee_Relief_Windows_3B!$D$4601:$D$100,"&lt;="&amp;B4601,CBIC_Late_Fee_Relief_Windows_3B!$E$4601:$E$100,"&gt;="&amp;B4601,CBIC_Late_Fee_Relief_Windows_3B!$F$4601:$F$100,"&lt;="&amp;C4601,CBIC_Late_Fee_Relief_Windows_3B!$G$4601:$G$100,"&gt;="&amp;C4601)</f>
        <v/>
      </c>
      <c r="H4601">
        <f>INDEX(CBIC_Late_Fee_Relief_Windows_3B!$I$4601:$I$100,MATCH(G4601,CBIC_Late_Fee_Relief_Windows_3B!$O$4601:$O$100,0))</f>
        <v/>
      </c>
      <c r="I4601">
        <f>MIN(F4601,H4601)</f>
        <v/>
      </c>
    </row>
    <row r="4602">
      <c r="A4602">
        <f>TEST_DATA!A4602</f>
        <v/>
      </c>
      <c r="B4602">
        <f>TEST_DATA!B4602</f>
        <v/>
      </c>
      <c r="C4602">
        <f>TEST_DATA!C4602</f>
        <v/>
      </c>
      <c r="D4602">
        <f>TEST_DATA!D4602</f>
        <v/>
      </c>
      <c r="E4602">
        <f>TEST_DATA!E4602</f>
        <v/>
      </c>
      <c r="F4602">
        <f>MIN(E4602*460200,10000)</f>
        <v/>
      </c>
      <c r="G4602">
        <f>MINIFS(CBIC_Late_Fee_Relief_Windows_3B!$O$4602:$O$100,CBIC_Late_Fee_Relief_Windows_3B!$D$4602:$D$100,"&lt;="&amp;B4602,CBIC_Late_Fee_Relief_Windows_3B!$E$4602:$E$100,"&gt;="&amp;B4602,CBIC_Late_Fee_Relief_Windows_3B!$F$4602:$F$100,"&lt;="&amp;C4602,CBIC_Late_Fee_Relief_Windows_3B!$G$4602:$G$100,"&gt;="&amp;C4602)</f>
        <v/>
      </c>
      <c r="H4602">
        <f>INDEX(CBIC_Late_Fee_Relief_Windows_3B!$I$4602:$I$100,MATCH(G4602,CBIC_Late_Fee_Relief_Windows_3B!$O$4602:$O$100,0))</f>
        <v/>
      </c>
      <c r="I4602">
        <f>MIN(F4602,H4602)</f>
        <v/>
      </c>
    </row>
    <row r="4603">
      <c r="A4603">
        <f>TEST_DATA!A4603</f>
        <v/>
      </c>
      <c r="B4603">
        <f>TEST_DATA!B4603</f>
        <v/>
      </c>
      <c r="C4603">
        <f>TEST_DATA!C4603</f>
        <v/>
      </c>
      <c r="D4603">
        <f>TEST_DATA!D4603</f>
        <v/>
      </c>
      <c r="E4603">
        <f>TEST_DATA!E4603</f>
        <v/>
      </c>
      <c r="F4603">
        <f>MIN(E4603*460300,10000)</f>
        <v/>
      </c>
      <c r="G4603">
        <f>MINIFS(CBIC_Late_Fee_Relief_Windows_3B!$O$4603:$O$100,CBIC_Late_Fee_Relief_Windows_3B!$D$4603:$D$100,"&lt;="&amp;B4603,CBIC_Late_Fee_Relief_Windows_3B!$E$4603:$E$100,"&gt;="&amp;B4603,CBIC_Late_Fee_Relief_Windows_3B!$F$4603:$F$100,"&lt;="&amp;C4603,CBIC_Late_Fee_Relief_Windows_3B!$G$4603:$G$100,"&gt;="&amp;C4603)</f>
        <v/>
      </c>
      <c r="H4603">
        <f>INDEX(CBIC_Late_Fee_Relief_Windows_3B!$I$4603:$I$100,MATCH(G4603,CBIC_Late_Fee_Relief_Windows_3B!$O$4603:$O$100,0))</f>
        <v/>
      </c>
      <c r="I4603">
        <f>MIN(F4603,H4603)</f>
        <v/>
      </c>
    </row>
    <row r="4604">
      <c r="A4604">
        <f>TEST_DATA!A4604</f>
        <v/>
      </c>
      <c r="B4604">
        <f>TEST_DATA!B4604</f>
        <v/>
      </c>
      <c r="C4604">
        <f>TEST_DATA!C4604</f>
        <v/>
      </c>
      <c r="D4604">
        <f>TEST_DATA!D4604</f>
        <v/>
      </c>
      <c r="E4604">
        <f>TEST_DATA!E4604</f>
        <v/>
      </c>
      <c r="F4604">
        <f>MIN(E4604*460400,10000)</f>
        <v/>
      </c>
      <c r="G4604">
        <f>MINIFS(CBIC_Late_Fee_Relief_Windows_3B!$O$4604:$O$100,CBIC_Late_Fee_Relief_Windows_3B!$D$4604:$D$100,"&lt;="&amp;B4604,CBIC_Late_Fee_Relief_Windows_3B!$E$4604:$E$100,"&gt;="&amp;B4604,CBIC_Late_Fee_Relief_Windows_3B!$F$4604:$F$100,"&lt;="&amp;C4604,CBIC_Late_Fee_Relief_Windows_3B!$G$4604:$G$100,"&gt;="&amp;C4604)</f>
        <v/>
      </c>
      <c r="H4604">
        <f>INDEX(CBIC_Late_Fee_Relief_Windows_3B!$I$4604:$I$100,MATCH(G4604,CBIC_Late_Fee_Relief_Windows_3B!$O$4604:$O$100,0))</f>
        <v/>
      </c>
      <c r="I4604">
        <f>MIN(F4604,H4604)</f>
        <v/>
      </c>
    </row>
    <row r="4605">
      <c r="A4605">
        <f>TEST_DATA!A4605</f>
        <v/>
      </c>
      <c r="B4605">
        <f>TEST_DATA!B4605</f>
        <v/>
      </c>
      <c r="C4605">
        <f>TEST_DATA!C4605</f>
        <v/>
      </c>
      <c r="D4605">
        <f>TEST_DATA!D4605</f>
        <v/>
      </c>
      <c r="E4605">
        <f>TEST_DATA!E4605</f>
        <v/>
      </c>
      <c r="F4605">
        <f>MIN(E4605*460500,10000)</f>
        <v/>
      </c>
      <c r="G4605">
        <f>MINIFS(CBIC_Late_Fee_Relief_Windows_3B!$O$4605:$O$100,CBIC_Late_Fee_Relief_Windows_3B!$D$4605:$D$100,"&lt;="&amp;B4605,CBIC_Late_Fee_Relief_Windows_3B!$E$4605:$E$100,"&gt;="&amp;B4605,CBIC_Late_Fee_Relief_Windows_3B!$F$4605:$F$100,"&lt;="&amp;C4605,CBIC_Late_Fee_Relief_Windows_3B!$G$4605:$G$100,"&gt;="&amp;C4605)</f>
        <v/>
      </c>
      <c r="H4605">
        <f>INDEX(CBIC_Late_Fee_Relief_Windows_3B!$I$4605:$I$100,MATCH(G4605,CBIC_Late_Fee_Relief_Windows_3B!$O$4605:$O$100,0))</f>
        <v/>
      </c>
      <c r="I4605">
        <f>MIN(F4605,H4605)</f>
        <v/>
      </c>
    </row>
    <row r="4606">
      <c r="A4606">
        <f>TEST_DATA!A4606</f>
        <v/>
      </c>
      <c r="B4606">
        <f>TEST_DATA!B4606</f>
        <v/>
      </c>
      <c r="C4606">
        <f>TEST_DATA!C4606</f>
        <v/>
      </c>
      <c r="D4606">
        <f>TEST_DATA!D4606</f>
        <v/>
      </c>
      <c r="E4606">
        <f>TEST_DATA!E4606</f>
        <v/>
      </c>
      <c r="F4606">
        <f>MIN(E4606*460600,10000)</f>
        <v/>
      </c>
      <c r="G4606">
        <f>MINIFS(CBIC_Late_Fee_Relief_Windows_3B!$O$4606:$O$100,CBIC_Late_Fee_Relief_Windows_3B!$D$4606:$D$100,"&lt;="&amp;B4606,CBIC_Late_Fee_Relief_Windows_3B!$E$4606:$E$100,"&gt;="&amp;B4606,CBIC_Late_Fee_Relief_Windows_3B!$F$4606:$F$100,"&lt;="&amp;C4606,CBIC_Late_Fee_Relief_Windows_3B!$G$4606:$G$100,"&gt;="&amp;C4606)</f>
        <v/>
      </c>
      <c r="H4606">
        <f>INDEX(CBIC_Late_Fee_Relief_Windows_3B!$I$4606:$I$100,MATCH(G4606,CBIC_Late_Fee_Relief_Windows_3B!$O$4606:$O$100,0))</f>
        <v/>
      </c>
      <c r="I4606">
        <f>MIN(F4606,H4606)</f>
        <v/>
      </c>
    </row>
    <row r="4607">
      <c r="A4607">
        <f>TEST_DATA!A4607</f>
        <v/>
      </c>
      <c r="B4607">
        <f>TEST_DATA!B4607</f>
        <v/>
      </c>
      <c r="C4607">
        <f>TEST_DATA!C4607</f>
        <v/>
      </c>
      <c r="D4607">
        <f>TEST_DATA!D4607</f>
        <v/>
      </c>
      <c r="E4607">
        <f>TEST_DATA!E4607</f>
        <v/>
      </c>
      <c r="F4607">
        <f>MIN(E4607*460700,10000)</f>
        <v/>
      </c>
      <c r="G4607">
        <f>MINIFS(CBIC_Late_Fee_Relief_Windows_3B!$O$4607:$O$100,CBIC_Late_Fee_Relief_Windows_3B!$D$4607:$D$100,"&lt;="&amp;B4607,CBIC_Late_Fee_Relief_Windows_3B!$E$4607:$E$100,"&gt;="&amp;B4607,CBIC_Late_Fee_Relief_Windows_3B!$F$4607:$F$100,"&lt;="&amp;C4607,CBIC_Late_Fee_Relief_Windows_3B!$G$4607:$G$100,"&gt;="&amp;C4607)</f>
        <v/>
      </c>
      <c r="H4607">
        <f>INDEX(CBIC_Late_Fee_Relief_Windows_3B!$I$4607:$I$100,MATCH(G4607,CBIC_Late_Fee_Relief_Windows_3B!$O$4607:$O$100,0))</f>
        <v/>
      </c>
      <c r="I4607">
        <f>MIN(F4607,H4607)</f>
        <v/>
      </c>
    </row>
    <row r="4608">
      <c r="A4608">
        <f>TEST_DATA!A4608</f>
        <v/>
      </c>
      <c r="B4608">
        <f>TEST_DATA!B4608</f>
        <v/>
      </c>
      <c r="C4608">
        <f>TEST_DATA!C4608</f>
        <v/>
      </c>
      <c r="D4608">
        <f>TEST_DATA!D4608</f>
        <v/>
      </c>
      <c r="E4608">
        <f>TEST_DATA!E4608</f>
        <v/>
      </c>
      <c r="F4608">
        <f>MIN(E4608*460800,10000)</f>
        <v/>
      </c>
      <c r="G4608">
        <f>MINIFS(CBIC_Late_Fee_Relief_Windows_3B!$O$4608:$O$100,CBIC_Late_Fee_Relief_Windows_3B!$D$4608:$D$100,"&lt;="&amp;B4608,CBIC_Late_Fee_Relief_Windows_3B!$E$4608:$E$100,"&gt;="&amp;B4608,CBIC_Late_Fee_Relief_Windows_3B!$F$4608:$F$100,"&lt;="&amp;C4608,CBIC_Late_Fee_Relief_Windows_3B!$G$4608:$G$100,"&gt;="&amp;C4608)</f>
        <v/>
      </c>
      <c r="H4608">
        <f>INDEX(CBIC_Late_Fee_Relief_Windows_3B!$I$4608:$I$100,MATCH(G4608,CBIC_Late_Fee_Relief_Windows_3B!$O$4608:$O$100,0))</f>
        <v/>
      </c>
      <c r="I4608">
        <f>MIN(F4608,H4608)</f>
        <v/>
      </c>
    </row>
    <row r="4609">
      <c r="A4609">
        <f>TEST_DATA!A4609</f>
        <v/>
      </c>
      <c r="B4609">
        <f>TEST_DATA!B4609</f>
        <v/>
      </c>
      <c r="C4609">
        <f>TEST_DATA!C4609</f>
        <v/>
      </c>
      <c r="D4609">
        <f>TEST_DATA!D4609</f>
        <v/>
      </c>
      <c r="E4609">
        <f>TEST_DATA!E4609</f>
        <v/>
      </c>
      <c r="F4609">
        <f>MIN(E4609*460900,10000)</f>
        <v/>
      </c>
      <c r="G4609">
        <f>MINIFS(CBIC_Late_Fee_Relief_Windows_3B!$O$4609:$O$100,CBIC_Late_Fee_Relief_Windows_3B!$D$4609:$D$100,"&lt;="&amp;B4609,CBIC_Late_Fee_Relief_Windows_3B!$E$4609:$E$100,"&gt;="&amp;B4609,CBIC_Late_Fee_Relief_Windows_3B!$F$4609:$F$100,"&lt;="&amp;C4609,CBIC_Late_Fee_Relief_Windows_3B!$G$4609:$G$100,"&gt;="&amp;C4609)</f>
        <v/>
      </c>
      <c r="H4609">
        <f>INDEX(CBIC_Late_Fee_Relief_Windows_3B!$I$4609:$I$100,MATCH(G4609,CBIC_Late_Fee_Relief_Windows_3B!$O$4609:$O$100,0))</f>
        <v/>
      </c>
      <c r="I4609">
        <f>MIN(F4609,H4609)</f>
        <v/>
      </c>
    </row>
    <row r="4610">
      <c r="A4610">
        <f>TEST_DATA!A4610</f>
        <v/>
      </c>
      <c r="B4610">
        <f>TEST_DATA!B4610</f>
        <v/>
      </c>
      <c r="C4610">
        <f>TEST_DATA!C4610</f>
        <v/>
      </c>
      <c r="D4610">
        <f>TEST_DATA!D4610</f>
        <v/>
      </c>
      <c r="E4610">
        <f>TEST_DATA!E4610</f>
        <v/>
      </c>
      <c r="F4610">
        <f>MIN(E4610*461000,10000)</f>
        <v/>
      </c>
      <c r="G4610">
        <f>MINIFS(CBIC_Late_Fee_Relief_Windows_3B!$O$4610:$O$100,CBIC_Late_Fee_Relief_Windows_3B!$D$4610:$D$100,"&lt;="&amp;B4610,CBIC_Late_Fee_Relief_Windows_3B!$E$4610:$E$100,"&gt;="&amp;B4610,CBIC_Late_Fee_Relief_Windows_3B!$F$4610:$F$100,"&lt;="&amp;C4610,CBIC_Late_Fee_Relief_Windows_3B!$G$4610:$G$100,"&gt;="&amp;C4610)</f>
        <v/>
      </c>
      <c r="H4610">
        <f>INDEX(CBIC_Late_Fee_Relief_Windows_3B!$I$4610:$I$100,MATCH(G4610,CBIC_Late_Fee_Relief_Windows_3B!$O$4610:$O$100,0))</f>
        <v/>
      </c>
      <c r="I4610">
        <f>MIN(F4610,H4610)</f>
        <v/>
      </c>
    </row>
    <row r="4611">
      <c r="A4611">
        <f>TEST_DATA!A4611</f>
        <v/>
      </c>
      <c r="B4611">
        <f>TEST_DATA!B4611</f>
        <v/>
      </c>
      <c r="C4611">
        <f>TEST_DATA!C4611</f>
        <v/>
      </c>
      <c r="D4611">
        <f>TEST_DATA!D4611</f>
        <v/>
      </c>
      <c r="E4611">
        <f>TEST_DATA!E4611</f>
        <v/>
      </c>
      <c r="F4611">
        <f>MIN(E4611*461100,10000)</f>
        <v/>
      </c>
      <c r="G4611">
        <f>MINIFS(CBIC_Late_Fee_Relief_Windows_3B!$O$4611:$O$100,CBIC_Late_Fee_Relief_Windows_3B!$D$4611:$D$100,"&lt;="&amp;B4611,CBIC_Late_Fee_Relief_Windows_3B!$E$4611:$E$100,"&gt;="&amp;B4611,CBIC_Late_Fee_Relief_Windows_3B!$F$4611:$F$100,"&lt;="&amp;C4611,CBIC_Late_Fee_Relief_Windows_3B!$G$4611:$G$100,"&gt;="&amp;C4611)</f>
        <v/>
      </c>
      <c r="H4611">
        <f>INDEX(CBIC_Late_Fee_Relief_Windows_3B!$I$4611:$I$100,MATCH(G4611,CBIC_Late_Fee_Relief_Windows_3B!$O$4611:$O$100,0))</f>
        <v/>
      </c>
      <c r="I4611">
        <f>MIN(F4611,H4611)</f>
        <v/>
      </c>
    </row>
    <row r="4612">
      <c r="A4612">
        <f>TEST_DATA!A4612</f>
        <v/>
      </c>
      <c r="B4612">
        <f>TEST_DATA!B4612</f>
        <v/>
      </c>
      <c r="C4612">
        <f>TEST_DATA!C4612</f>
        <v/>
      </c>
      <c r="D4612">
        <f>TEST_DATA!D4612</f>
        <v/>
      </c>
      <c r="E4612">
        <f>TEST_DATA!E4612</f>
        <v/>
      </c>
      <c r="F4612">
        <f>MIN(E4612*461200,10000)</f>
        <v/>
      </c>
      <c r="G4612">
        <f>MINIFS(CBIC_Late_Fee_Relief_Windows_3B!$O$4612:$O$100,CBIC_Late_Fee_Relief_Windows_3B!$D$4612:$D$100,"&lt;="&amp;B4612,CBIC_Late_Fee_Relief_Windows_3B!$E$4612:$E$100,"&gt;="&amp;B4612,CBIC_Late_Fee_Relief_Windows_3B!$F$4612:$F$100,"&lt;="&amp;C4612,CBIC_Late_Fee_Relief_Windows_3B!$G$4612:$G$100,"&gt;="&amp;C4612)</f>
        <v/>
      </c>
      <c r="H4612">
        <f>INDEX(CBIC_Late_Fee_Relief_Windows_3B!$I$4612:$I$100,MATCH(G4612,CBIC_Late_Fee_Relief_Windows_3B!$O$4612:$O$100,0))</f>
        <v/>
      </c>
      <c r="I4612">
        <f>MIN(F4612,H4612)</f>
        <v/>
      </c>
    </row>
    <row r="4613">
      <c r="A4613">
        <f>TEST_DATA!A4613</f>
        <v/>
      </c>
      <c r="B4613">
        <f>TEST_DATA!B4613</f>
        <v/>
      </c>
      <c r="C4613">
        <f>TEST_DATA!C4613</f>
        <v/>
      </c>
      <c r="D4613">
        <f>TEST_DATA!D4613</f>
        <v/>
      </c>
      <c r="E4613">
        <f>TEST_DATA!E4613</f>
        <v/>
      </c>
      <c r="F4613">
        <f>MIN(E4613*461300,10000)</f>
        <v/>
      </c>
      <c r="G4613">
        <f>MINIFS(CBIC_Late_Fee_Relief_Windows_3B!$O$4613:$O$100,CBIC_Late_Fee_Relief_Windows_3B!$D$4613:$D$100,"&lt;="&amp;B4613,CBIC_Late_Fee_Relief_Windows_3B!$E$4613:$E$100,"&gt;="&amp;B4613,CBIC_Late_Fee_Relief_Windows_3B!$F$4613:$F$100,"&lt;="&amp;C4613,CBIC_Late_Fee_Relief_Windows_3B!$G$4613:$G$100,"&gt;="&amp;C4613)</f>
        <v/>
      </c>
      <c r="H4613">
        <f>INDEX(CBIC_Late_Fee_Relief_Windows_3B!$I$4613:$I$100,MATCH(G4613,CBIC_Late_Fee_Relief_Windows_3B!$O$4613:$O$100,0))</f>
        <v/>
      </c>
      <c r="I4613">
        <f>MIN(F4613,H4613)</f>
        <v/>
      </c>
    </row>
    <row r="4614">
      <c r="A4614">
        <f>TEST_DATA!A4614</f>
        <v/>
      </c>
      <c r="B4614">
        <f>TEST_DATA!B4614</f>
        <v/>
      </c>
      <c r="C4614">
        <f>TEST_DATA!C4614</f>
        <v/>
      </c>
      <c r="D4614">
        <f>TEST_DATA!D4614</f>
        <v/>
      </c>
      <c r="E4614">
        <f>TEST_DATA!E4614</f>
        <v/>
      </c>
      <c r="F4614">
        <f>MIN(E4614*461400,10000)</f>
        <v/>
      </c>
      <c r="G4614">
        <f>MINIFS(CBIC_Late_Fee_Relief_Windows_3B!$O$4614:$O$100,CBIC_Late_Fee_Relief_Windows_3B!$D$4614:$D$100,"&lt;="&amp;B4614,CBIC_Late_Fee_Relief_Windows_3B!$E$4614:$E$100,"&gt;="&amp;B4614,CBIC_Late_Fee_Relief_Windows_3B!$F$4614:$F$100,"&lt;="&amp;C4614,CBIC_Late_Fee_Relief_Windows_3B!$G$4614:$G$100,"&gt;="&amp;C4614)</f>
        <v/>
      </c>
      <c r="H4614">
        <f>INDEX(CBIC_Late_Fee_Relief_Windows_3B!$I$4614:$I$100,MATCH(G4614,CBIC_Late_Fee_Relief_Windows_3B!$O$4614:$O$100,0))</f>
        <v/>
      </c>
      <c r="I4614">
        <f>MIN(F4614,H4614)</f>
        <v/>
      </c>
    </row>
    <row r="4615">
      <c r="A4615">
        <f>TEST_DATA!A4615</f>
        <v/>
      </c>
      <c r="B4615">
        <f>TEST_DATA!B4615</f>
        <v/>
      </c>
      <c r="C4615">
        <f>TEST_DATA!C4615</f>
        <v/>
      </c>
      <c r="D4615">
        <f>TEST_DATA!D4615</f>
        <v/>
      </c>
      <c r="E4615">
        <f>TEST_DATA!E4615</f>
        <v/>
      </c>
      <c r="F4615">
        <f>MIN(E4615*461500,10000)</f>
        <v/>
      </c>
      <c r="G4615">
        <f>MINIFS(CBIC_Late_Fee_Relief_Windows_3B!$O$4615:$O$100,CBIC_Late_Fee_Relief_Windows_3B!$D$4615:$D$100,"&lt;="&amp;B4615,CBIC_Late_Fee_Relief_Windows_3B!$E$4615:$E$100,"&gt;="&amp;B4615,CBIC_Late_Fee_Relief_Windows_3B!$F$4615:$F$100,"&lt;="&amp;C4615,CBIC_Late_Fee_Relief_Windows_3B!$G$4615:$G$100,"&gt;="&amp;C4615)</f>
        <v/>
      </c>
      <c r="H4615">
        <f>INDEX(CBIC_Late_Fee_Relief_Windows_3B!$I$4615:$I$100,MATCH(G4615,CBIC_Late_Fee_Relief_Windows_3B!$O$4615:$O$100,0))</f>
        <v/>
      </c>
      <c r="I4615">
        <f>MIN(F4615,H4615)</f>
        <v/>
      </c>
    </row>
    <row r="4616">
      <c r="A4616">
        <f>TEST_DATA!A4616</f>
        <v/>
      </c>
      <c r="B4616">
        <f>TEST_DATA!B4616</f>
        <v/>
      </c>
      <c r="C4616">
        <f>TEST_DATA!C4616</f>
        <v/>
      </c>
      <c r="D4616">
        <f>TEST_DATA!D4616</f>
        <v/>
      </c>
      <c r="E4616">
        <f>TEST_DATA!E4616</f>
        <v/>
      </c>
      <c r="F4616">
        <f>MIN(E4616*461600,10000)</f>
        <v/>
      </c>
      <c r="G4616">
        <f>MINIFS(CBIC_Late_Fee_Relief_Windows_3B!$O$4616:$O$100,CBIC_Late_Fee_Relief_Windows_3B!$D$4616:$D$100,"&lt;="&amp;B4616,CBIC_Late_Fee_Relief_Windows_3B!$E$4616:$E$100,"&gt;="&amp;B4616,CBIC_Late_Fee_Relief_Windows_3B!$F$4616:$F$100,"&lt;="&amp;C4616,CBIC_Late_Fee_Relief_Windows_3B!$G$4616:$G$100,"&gt;="&amp;C4616)</f>
        <v/>
      </c>
      <c r="H4616">
        <f>INDEX(CBIC_Late_Fee_Relief_Windows_3B!$I$4616:$I$100,MATCH(G4616,CBIC_Late_Fee_Relief_Windows_3B!$O$4616:$O$100,0))</f>
        <v/>
      </c>
      <c r="I4616">
        <f>MIN(F4616,H4616)</f>
        <v/>
      </c>
    </row>
    <row r="4617">
      <c r="A4617">
        <f>TEST_DATA!A4617</f>
        <v/>
      </c>
      <c r="B4617">
        <f>TEST_DATA!B4617</f>
        <v/>
      </c>
      <c r="C4617">
        <f>TEST_DATA!C4617</f>
        <v/>
      </c>
      <c r="D4617">
        <f>TEST_DATA!D4617</f>
        <v/>
      </c>
      <c r="E4617">
        <f>TEST_DATA!E4617</f>
        <v/>
      </c>
      <c r="F4617">
        <f>MIN(E4617*461700,10000)</f>
        <v/>
      </c>
      <c r="G4617">
        <f>MINIFS(CBIC_Late_Fee_Relief_Windows_3B!$O$4617:$O$100,CBIC_Late_Fee_Relief_Windows_3B!$D$4617:$D$100,"&lt;="&amp;B4617,CBIC_Late_Fee_Relief_Windows_3B!$E$4617:$E$100,"&gt;="&amp;B4617,CBIC_Late_Fee_Relief_Windows_3B!$F$4617:$F$100,"&lt;="&amp;C4617,CBIC_Late_Fee_Relief_Windows_3B!$G$4617:$G$100,"&gt;="&amp;C4617)</f>
        <v/>
      </c>
      <c r="H4617">
        <f>INDEX(CBIC_Late_Fee_Relief_Windows_3B!$I$4617:$I$100,MATCH(G4617,CBIC_Late_Fee_Relief_Windows_3B!$O$4617:$O$100,0))</f>
        <v/>
      </c>
      <c r="I4617">
        <f>MIN(F4617,H4617)</f>
        <v/>
      </c>
    </row>
    <row r="4618">
      <c r="A4618">
        <f>TEST_DATA!A4618</f>
        <v/>
      </c>
      <c r="B4618">
        <f>TEST_DATA!B4618</f>
        <v/>
      </c>
      <c r="C4618">
        <f>TEST_DATA!C4618</f>
        <v/>
      </c>
      <c r="D4618">
        <f>TEST_DATA!D4618</f>
        <v/>
      </c>
      <c r="E4618">
        <f>TEST_DATA!E4618</f>
        <v/>
      </c>
      <c r="F4618">
        <f>MIN(E4618*461800,10000)</f>
        <v/>
      </c>
      <c r="G4618">
        <f>MINIFS(CBIC_Late_Fee_Relief_Windows_3B!$O$4618:$O$100,CBIC_Late_Fee_Relief_Windows_3B!$D$4618:$D$100,"&lt;="&amp;B4618,CBIC_Late_Fee_Relief_Windows_3B!$E$4618:$E$100,"&gt;="&amp;B4618,CBIC_Late_Fee_Relief_Windows_3B!$F$4618:$F$100,"&lt;="&amp;C4618,CBIC_Late_Fee_Relief_Windows_3B!$G$4618:$G$100,"&gt;="&amp;C4618)</f>
        <v/>
      </c>
      <c r="H4618">
        <f>INDEX(CBIC_Late_Fee_Relief_Windows_3B!$I$4618:$I$100,MATCH(G4618,CBIC_Late_Fee_Relief_Windows_3B!$O$4618:$O$100,0))</f>
        <v/>
      </c>
      <c r="I4618">
        <f>MIN(F4618,H4618)</f>
        <v/>
      </c>
    </row>
    <row r="4619">
      <c r="A4619">
        <f>TEST_DATA!A4619</f>
        <v/>
      </c>
      <c r="B4619">
        <f>TEST_DATA!B4619</f>
        <v/>
      </c>
      <c r="C4619">
        <f>TEST_DATA!C4619</f>
        <v/>
      </c>
      <c r="D4619">
        <f>TEST_DATA!D4619</f>
        <v/>
      </c>
      <c r="E4619">
        <f>TEST_DATA!E4619</f>
        <v/>
      </c>
      <c r="F4619">
        <f>MIN(E4619*461900,10000)</f>
        <v/>
      </c>
      <c r="G4619">
        <f>MINIFS(CBIC_Late_Fee_Relief_Windows_3B!$O$4619:$O$100,CBIC_Late_Fee_Relief_Windows_3B!$D$4619:$D$100,"&lt;="&amp;B4619,CBIC_Late_Fee_Relief_Windows_3B!$E$4619:$E$100,"&gt;="&amp;B4619,CBIC_Late_Fee_Relief_Windows_3B!$F$4619:$F$100,"&lt;="&amp;C4619,CBIC_Late_Fee_Relief_Windows_3B!$G$4619:$G$100,"&gt;="&amp;C4619)</f>
        <v/>
      </c>
      <c r="H4619">
        <f>INDEX(CBIC_Late_Fee_Relief_Windows_3B!$I$4619:$I$100,MATCH(G4619,CBIC_Late_Fee_Relief_Windows_3B!$O$4619:$O$100,0))</f>
        <v/>
      </c>
      <c r="I4619">
        <f>MIN(F4619,H4619)</f>
        <v/>
      </c>
    </row>
    <row r="4620">
      <c r="A4620">
        <f>TEST_DATA!A4620</f>
        <v/>
      </c>
      <c r="B4620">
        <f>TEST_DATA!B4620</f>
        <v/>
      </c>
      <c r="C4620">
        <f>TEST_DATA!C4620</f>
        <v/>
      </c>
      <c r="D4620">
        <f>TEST_DATA!D4620</f>
        <v/>
      </c>
      <c r="E4620">
        <f>TEST_DATA!E4620</f>
        <v/>
      </c>
      <c r="F4620">
        <f>MIN(E4620*462000,10000)</f>
        <v/>
      </c>
      <c r="G4620">
        <f>MINIFS(CBIC_Late_Fee_Relief_Windows_3B!$O$4620:$O$100,CBIC_Late_Fee_Relief_Windows_3B!$D$4620:$D$100,"&lt;="&amp;B4620,CBIC_Late_Fee_Relief_Windows_3B!$E$4620:$E$100,"&gt;="&amp;B4620,CBIC_Late_Fee_Relief_Windows_3B!$F$4620:$F$100,"&lt;="&amp;C4620,CBIC_Late_Fee_Relief_Windows_3B!$G$4620:$G$100,"&gt;="&amp;C4620)</f>
        <v/>
      </c>
      <c r="H4620">
        <f>INDEX(CBIC_Late_Fee_Relief_Windows_3B!$I$4620:$I$100,MATCH(G4620,CBIC_Late_Fee_Relief_Windows_3B!$O$4620:$O$100,0))</f>
        <v/>
      </c>
      <c r="I4620">
        <f>MIN(F4620,H4620)</f>
        <v/>
      </c>
    </row>
    <row r="4621">
      <c r="A4621">
        <f>TEST_DATA!A4621</f>
        <v/>
      </c>
      <c r="B4621">
        <f>TEST_DATA!B4621</f>
        <v/>
      </c>
      <c r="C4621">
        <f>TEST_DATA!C4621</f>
        <v/>
      </c>
      <c r="D4621">
        <f>TEST_DATA!D4621</f>
        <v/>
      </c>
      <c r="E4621">
        <f>TEST_DATA!E4621</f>
        <v/>
      </c>
      <c r="F4621">
        <f>MIN(E4621*462100,10000)</f>
        <v/>
      </c>
      <c r="G4621">
        <f>MINIFS(CBIC_Late_Fee_Relief_Windows_3B!$O$4621:$O$100,CBIC_Late_Fee_Relief_Windows_3B!$D$4621:$D$100,"&lt;="&amp;B4621,CBIC_Late_Fee_Relief_Windows_3B!$E$4621:$E$100,"&gt;="&amp;B4621,CBIC_Late_Fee_Relief_Windows_3B!$F$4621:$F$100,"&lt;="&amp;C4621,CBIC_Late_Fee_Relief_Windows_3B!$G$4621:$G$100,"&gt;="&amp;C4621)</f>
        <v/>
      </c>
      <c r="H4621">
        <f>INDEX(CBIC_Late_Fee_Relief_Windows_3B!$I$4621:$I$100,MATCH(G4621,CBIC_Late_Fee_Relief_Windows_3B!$O$4621:$O$100,0))</f>
        <v/>
      </c>
      <c r="I4621">
        <f>MIN(F4621,H4621)</f>
        <v/>
      </c>
    </row>
    <row r="4622">
      <c r="A4622">
        <f>TEST_DATA!A4622</f>
        <v/>
      </c>
      <c r="B4622">
        <f>TEST_DATA!B4622</f>
        <v/>
      </c>
      <c r="C4622">
        <f>TEST_DATA!C4622</f>
        <v/>
      </c>
      <c r="D4622">
        <f>TEST_DATA!D4622</f>
        <v/>
      </c>
      <c r="E4622">
        <f>TEST_DATA!E4622</f>
        <v/>
      </c>
      <c r="F4622">
        <f>MIN(E4622*462200,10000)</f>
        <v/>
      </c>
      <c r="G4622">
        <f>MINIFS(CBIC_Late_Fee_Relief_Windows_3B!$O$4622:$O$100,CBIC_Late_Fee_Relief_Windows_3B!$D$4622:$D$100,"&lt;="&amp;B4622,CBIC_Late_Fee_Relief_Windows_3B!$E$4622:$E$100,"&gt;="&amp;B4622,CBIC_Late_Fee_Relief_Windows_3B!$F$4622:$F$100,"&lt;="&amp;C4622,CBIC_Late_Fee_Relief_Windows_3B!$G$4622:$G$100,"&gt;="&amp;C4622)</f>
        <v/>
      </c>
      <c r="H4622">
        <f>INDEX(CBIC_Late_Fee_Relief_Windows_3B!$I$4622:$I$100,MATCH(G4622,CBIC_Late_Fee_Relief_Windows_3B!$O$4622:$O$100,0))</f>
        <v/>
      </c>
      <c r="I4622">
        <f>MIN(F4622,H4622)</f>
        <v/>
      </c>
    </row>
    <row r="4623">
      <c r="A4623">
        <f>TEST_DATA!A4623</f>
        <v/>
      </c>
      <c r="B4623">
        <f>TEST_DATA!B4623</f>
        <v/>
      </c>
      <c r="C4623">
        <f>TEST_DATA!C4623</f>
        <v/>
      </c>
      <c r="D4623">
        <f>TEST_DATA!D4623</f>
        <v/>
      </c>
      <c r="E4623">
        <f>TEST_DATA!E4623</f>
        <v/>
      </c>
      <c r="F4623">
        <f>MIN(E4623*462300,10000)</f>
        <v/>
      </c>
      <c r="G4623">
        <f>MINIFS(CBIC_Late_Fee_Relief_Windows_3B!$O$4623:$O$100,CBIC_Late_Fee_Relief_Windows_3B!$D$4623:$D$100,"&lt;="&amp;B4623,CBIC_Late_Fee_Relief_Windows_3B!$E$4623:$E$100,"&gt;="&amp;B4623,CBIC_Late_Fee_Relief_Windows_3B!$F$4623:$F$100,"&lt;="&amp;C4623,CBIC_Late_Fee_Relief_Windows_3B!$G$4623:$G$100,"&gt;="&amp;C4623)</f>
        <v/>
      </c>
      <c r="H4623">
        <f>INDEX(CBIC_Late_Fee_Relief_Windows_3B!$I$4623:$I$100,MATCH(G4623,CBIC_Late_Fee_Relief_Windows_3B!$O$4623:$O$100,0))</f>
        <v/>
      </c>
      <c r="I4623">
        <f>MIN(F4623,H4623)</f>
        <v/>
      </c>
    </row>
    <row r="4624">
      <c r="A4624">
        <f>TEST_DATA!A4624</f>
        <v/>
      </c>
      <c r="B4624">
        <f>TEST_DATA!B4624</f>
        <v/>
      </c>
      <c r="C4624">
        <f>TEST_DATA!C4624</f>
        <v/>
      </c>
      <c r="D4624">
        <f>TEST_DATA!D4624</f>
        <v/>
      </c>
      <c r="E4624">
        <f>TEST_DATA!E4624</f>
        <v/>
      </c>
      <c r="F4624">
        <f>MIN(E4624*462400,10000)</f>
        <v/>
      </c>
      <c r="G4624">
        <f>MINIFS(CBIC_Late_Fee_Relief_Windows_3B!$O$4624:$O$100,CBIC_Late_Fee_Relief_Windows_3B!$D$4624:$D$100,"&lt;="&amp;B4624,CBIC_Late_Fee_Relief_Windows_3B!$E$4624:$E$100,"&gt;="&amp;B4624,CBIC_Late_Fee_Relief_Windows_3B!$F$4624:$F$100,"&lt;="&amp;C4624,CBIC_Late_Fee_Relief_Windows_3B!$G$4624:$G$100,"&gt;="&amp;C4624)</f>
        <v/>
      </c>
      <c r="H4624">
        <f>INDEX(CBIC_Late_Fee_Relief_Windows_3B!$I$4624:$I$100,MATCH(G4624,CBIC_Late_Fee_Relief_Windows_3B!$O$4624:$O$100,0))</f>
        <v/>
      </c>
      <c r="I4624">
        <f>MIN(F4624,H4624)</f>
        <v/>
      </c>
    </row>
    <row r="4625">
      <c r="A4625">
        <f>TEST_DATA!A4625</f>
        <v/>
      </c>
      <c r="B4625">
        <f>TEST_DATA!B4625</f>
        <v/>
      </c>
      <c r="C4625">
        <f>TEST_DATA!C4625</f>
        <v/>
      </c>
      <c r="D4625">
        <f>TEST_DATA!D4625</f>
        <v/>
      </c>
      <c r="E4625">
        <f>TEST_DATA!E4625</f>
        <v/>
      </c>
      <c r="F4625">
        <f>MIN(E4625*462500,10000)</f>
        <v/>
      </c>
      <c r="G4625">
        <f>MINIFS(CBIC_Late_Fee_Relief_Windows_3B!$O$4625:$O$100,CBIC_Late_Fee_Relief_Windows_3B!$D$4625:$D$100,"&lt;="&amp;B4625,CBIC_Late_Fee_Relief_Windows_3B!$E$4625:$E$100,"&gt;="&amp;B4625,CBIC_Late_Fee_Relief_Windows_3B!$F$4625:$F$100,"&lt;="&amp;C4625,CBIC_Late_Fee_Relief_Windows_3B!$G$4625:$G$100,"&gt;="&amp;C4625)</f>
        <v/>
      </c>
      <c r="H4625">
        <f>INDEX(CBIC_Late_Fee_Relief_Windows_3B!$I$4625:$I$100,MATCH(G4625,CBIC_Late_Fee_Relief_Windows_3B!$O$4625:$O$100,0))</f>
        <v/>
      </c>
      <c r="I4625">
        <f>MIN(F4625,H4625)</f>
        <v/>
      </c>
    </row>
    <row r="4626">
      <c r="A4626">
        <f>TEST_DATA!A4626</f>
        <v/>
      </c>
      <c r="B4626">
        <f>TEST_DATA!B4626</f>
        <v/>
      </c>
      <c r="C4626">
        <f>TEST_DATA!C4626</f>
        <v/>
      </c>
      <c r="D4626">
        <f>TEST_DATA!D4626</f>
        <v/>
      </c>
      <c r="E4626">
        <f>TEST_DATA!E4626</f>
        <v/>
      </c>
      <c r="F4626">
        <f>MIN(E4626*462600,10000)</f>
        <v/>
      </c>
      <c r="G4626">
        <f>MINIFS(CBIC_Late_Fee_Relief_Windows_3B!$O$4626:$O$100,CBIC_Late_Fee_Relief_Windows_3B!$D$4626:$D$100,"&lt;="&amp;B4626,CBIC_Late_Fee_Relief_Windows_3B!$E$4626:$E$100,"&gt;="&amp;B4626,CBIC_Late_Fee_Relief_Windows_3B!$F$4626:$F$100,"&lt;="&amp;C4626,CBIC_Late_Fee_Relief_Windows_3B!$G$4626:$G$100,"&gt;="&amp;C4626)</f>
        <v/>
      </c>
      <c r="H4626">
        <f>INDEX(CBIC_Late_Fee_Relief_Windows_3B!$I$4626:$I$100,MATCH(G4626,CBIC_Late_Fee_Relief_Windows_3B!$O$4626:$O$100,0))</f>
        <v/>
      </c>
      <c r="I4626">
        <f>MIN(F4626,H4626)</f>
        <v/>
      </c>
    </row>
    <row r="4627">
      <c r="A4627">
        <f>TEST_DATA!A4627</f>
        <v/>
      </c>
      <c r="B4627">
        <f>TEST_DATA!B4627</f>
        <v/>
      </c>
      <c r="C4627">
        <f>TEST_DATA!C4627</f>
        <v/>
      </c>
      <c r="D4627">
        <f>TEST_DATA!D4627</f>
        <v/>
      </c>
      <c r="E4627">
        <f>TEST_DATA!E4627</f>
        <v/>
      </c>
      <c r="F4627">
        <f>MIN(E4627*462700,10000)</f>
        <v/>
      </c>
      <c r="G4627">
        <f>MINIFS(CBIC_Late_Fee_Relief_Windows_3B!$O$4627:$O$100,CBIC_Late_Fee_Relief_Windows_3B!$D$4627:$D$100,"&lt;="&amp;B4627,CBIC_Late_Fee_Relief_Windows_3B!$E$4627:$E$100,"&gt;="&amp;B4627,CBIC_Late_Fee_Relief_Windows_3B!$F$4627:$F$100,"&lt;="&amp;C4627,CBIC_Late_Fee_Relief_Windows_3B!$G$4627:$G$100,"&gt;="&amp;C4627)</f>
        <v/>
      </c>
      <c r="H4627">
        <f>INDEX(CBIC_Late_Fee_Relief_Windows_3B!$I$4627:$I$100,MATCH(G4627,CBIC_Late_Fee_Relief_Windows_3B!$O$4627:$O$100,0))</f>
        <v/>
      </c>
      <c r="I4627">
        <f>MIN(F4627,H4627)</f>
        <v/>
      </c>
    </row>
    <row r="4628">
      <c r="A4628">
        <f>TEST_DATA!A4628</f>
        <v/>
      </c>
      <c r="B4628">
        <f>TEST_DATA!B4628</f>
        <v/>
      </c>
      <c r="C4628">
        <f>TEST_DATA!C4628</f>
        <v/>
      </c>
      <c r="D4628">
        <f>TEST_DATA!D4628</f>
        <v/>
      </c>
      <c r="E4628">
        <f>TEST_DATA!E4628</f>
        <v/>
      </c>
      <c r="F4628">
        <f>MIN(E4628*462800,10000)</f>
        <v/>
      </c>
      <c r="G4628">
        <f>MINIFS(CBIC_Late_Fee_Relief_Windows_3B!$O$4628:$O$100,CBIC_Late_Fee_Relief_Windows_3B!$D$4628:$D$100,"&lt;="&amp;B4628,CBIC_Late_Fee_Relief_Windows_3B!$E$4628:$E$100,"&gt;="&amp;B4628,CBIC_Late_Fee_Relief_Windows_3B!$F$4628:$F$100,"&lt;="&amp;C4628,CBIC_Late_Fee_Relief_Windows_3B!$G$4628:$G$100,"&gt;="&amp;C4628)</f>
        <v/>
      </c>
      <c r="H4628">
        <f>INDEX(CBIC_Late_Fee_Relief_Windows_3B!$I$4628:$I$100,MATCH(G4628,CBIC_Late_Fee_Relief_Windows_3B!$O$4628:$O$100,0))</f>
        <v/>
      </c>
      <c r="I4628">
        <f>MIN(F4628,H4628)</f>
        <v/>
      </c>
    </row>
    <row r="4629">
      <c r="A4629">
        <f>TEST_DATA!A4629</f>
        <v/>
      </c>
      <c r="B4629">
        <f>TEST_DATA!B4629</f>
        <v/>
      </c>
      <c r="C4629">
        <f>TEST_DATA!C4629</f>
        <v/>
      </c>
      <c r="D4629">
        <f>TEST_DATA!D4629</f>
        <v/>
      </c>
      <c r="E4629">
        <f>TEST_DATA!E4629</f>
        <v/>
      </c>
      <c r="F4629">
        <f>MIN(E4629*462900,10000)</f>
        <v/>
      </c>
      <c r="G4629">
        <f>MINIFS(CBIC_Late_Fee_Relief_Windows_3B!$O$4629:$O$100,CBIC_Late_Fee_Relief_Windows_3B!$D$4629:$D$100,"&lt;="&amp;B4629,CBIC_Late_Fee_Relief_Windows_3B!$E$4629:$E$100,"&gt;="&amp;B4629,CBIC_Late_Fee_Relief_Windows_3B!$F$4629:$F$100,"&lt;="&amp;C4629,CBIC_Late_Fee_Relief_Windows_3B!$G$4629:$G$100,"&gt;="&amp;C4629)</f>
        <v/>
      </c>
      <c r="H4629">
        <f>INDEX(CBIC_Late_Fee_Relief_Windows_3B!$I$4629:$I$100,MATCH(G4629,CBIC_Late_Fee_Relief_Windows_3B!$O$4629:$O$100,0))</f>
        <v/>
      </c>
      <c r="I4629">
        <f>MIN(F4629,H4629)</f>
        <v/>
      </c>
    </row>
    <row r="4630">
      <c r="A4630">
        <f>TEST_DATA!A4630</f>
        <v/>
      </c>
      <c r="B4630">
        <f>TEST_DATA!B4630</f>
        <v/>
      </c>
      <c r="C4630">
        <f>TEST_DATA!C4630</f>
        <v/>
      </c>
      <c r="D4630">
        <f>TEST_DATA!D4630</f>
        <v/>
      </c>
      <c r="E4630">
        <f>TEST_DATA!E4630</f>
        <v/>
      </c>
      <c r="F4630">
        <f>MIN(E4630*463000,10000)</f>
        <v/>
      </c>
      <c r="G4630">
        <f>MINIFS(CBIC_Late_Fee_Relief_Windows_3B!$O$4630:$O$100,CBIC_Late_Fee_Relief_Windows_3B!$D$4630:$D$100,"&lt;="&amp;B4630,CBIC_Late_Fee_Relief_Windows_3B!$E$4630:$E$100,"&gt;="&amp;B4630,CBIC_Late_Fee_Relief_Windows_3B!$F$4630:$F$100,"&lt;="&amp;C4630,CBIC_Late_Fee_Relief_Windows_3B!$G$4630:$G$100,"&gt;="&amp;C4630)</f>
        <v/>
      </c>
      <c r="H4630">
        <f>INDEX(CBIC_Late_Fee_Relief_Windows_3B!$I$4630:$I$100,MATCH(G4630,CBIC_Late_Fee_Relief_Windows_3B!$O$4630:$O$100,0))</f>
        <v/>
      </c>
      <c r="I4630">
        <f>MIN(F4630,H4630)</f>
        <v/>
      </c>
    </row>
    <row r="4631">
      <c r="A4631">
        <f>TEST_DATA!A4631</f>
        <v/>
      </c>
      <c r="B4631">
        <f>TEST_DATA!B4631</f>
        <v/>
      </c>
      <c r="C4631">
        <f>TEST_DATA!C4631</f>
        <v/>
      </c>
      <c r="D4631">
        <f>TEST_DATA!D4631</f>
        <v/>
      </c>
      <c r="E4631">
        <f>TEST_DATA!E4631</f>
        <v/>
      </c>
      <c r="F4631">
        <f>MIN(E4631*463100,10000)</f>
        <v/>
      </c>
      <c r="G4631">
        <f>MINIFS(CBIC_Late_Fee_Relief_Windows_3B!$O$4631:$O$100,CBIC_Late_Fee_Relief_Windows_3B!$D$4631:$D$100,"&lt;="&amp;B4631,CBIC_Late_Fee_Relief_Windows_3B!$E$4631:$E$100,"&gt;="&amp;B4631,CBIC_Late_Fee_Relief_Windows_3B!$F$4631:$F$100,"&lt;="&amp;C4631,CBIC_Late_Fee_Relief_Windows_3B!$G$4631:$G$100,"&gt;="&amp;C4631)</f>
        <v/>
      </c>
      <c r="H4631">
        <f>INDEX(CBIC_Late_Fee_Relief_Windows_3B!$I$4631:$I$100,MATCH(G4631,CBIC_Late_Fee_Relief_Windows_3B!$O$4631:$O$100,0))</f>
        <v/>
      </c>
      <c r="I4631">
        <f>MIN(F4631,H4631)</f>
        <v/>
      </c>
    </row>
    <row r="4632">
      <c r="A4632">
        <f>TEST_DATA!A4632</f>
        <v/>
      </c>
      <c r="B4632">
        <f>TEST_DATA!B4632</f>
        <v/>
      </c>
      <c r="C4632">
        <f>TEST_DATA!C4632</f>
        <v/>
      </c>
      <c r="D4632">
        <f>TEST_DATA!D4632</f>
        <v/>
      </c>
      <c r="E4632">
        <f>TEST_DATA!E4632</f>
        <v/>
      </c>
      <c r="F4632">
        <f>MIN(E4632*463200,10000)</f>
        <v/>
      </c>
      <c r="G4632">
        <f>MINIFS(CBIC_Late_Fee_Relief_Windows_3B!$O$4632:$O$100,CBIC_Late_Fee_Relief_Windows_3B!$D$4632:$D$100,"&lt;="&amp;B4632,CBIC_Late_Fee_Relief_Windows_3B!$E$4632:$E$100,"&gt;="&amp;B4632,CBIC_Late_Fee_Relief_Windows_3B!$F$4632:$F$100,"&lt;="&amp;C4632,CBIC_Late_Fee_Relief_Windows_3B!$G$4632:$G$100,"&gt;="&amp;C4632)</f>
        <v/>
      </c>
      <c r="H4632">
        <f>INDEX(CBIC_Late_Fee_Relief_Windows_3B!$I$4632:$I$100,MATCH(G4632,CBIC_Late_Fee_Relief_Windows_3B!$O$4632:$O$100,0))</f>
        <v/>
      </c>
      <c r="I4632">
        <f>MIN(F4632,H4632)</f>
        <v/>
      </c>
    </row>
    <row r="4633">
      <c r="A4633">
        <f>TEST_DATA!A4633</f>
        <v/>
      </c>
      <c r="B4633">
        <f>TEST_DATA!B4633</f>
        <v/>
      </c>
      <c r="C4633">
        <f>TEST_DATA!C4633</f>
        <v/>
      </c>
      <c r="D4633">
        <f>TEST_DATA!D4633</f>
        <v/>
      </c>
      <c r="E4633">
        <f>TEST_DATA!E4633</f>
        <v/>
      </c>
      <c r="F4633">
        <f>MIN(E4633*463300,10000)</f>
        <v/>
      </c>
      <c r="G4633">
        <f>MINIFS(CBIC_Late_Fee_Relief_Windows_3B!$O$4633:$O$100,CBIC_Late_Fee_Relief_Windows_3B!$D$4633:$D$100,"&lt;="&amp;B4633,CBIC_Late_Fee_Relief_Windows_3B!$E$4633:$E$100,"&gt;="&amp;B4633,CBIC_Late_Fee_Relief_Windows_3B!$F$4633:$F$100,"&lt;="&amp;C4633,CBIC_Late_Fee_Relief_Windows_3B!$G$4633:$G$100,"&gt;="&amp;C4633)</f>
        <v/>
      </c>
      <c r="H4633">
        <f>INDEX(CBIC_Late_Fee_Relief_Windows_3B!$I$4633:$I$100,MATCH(G4633,CBIC_Late_Fee_Relief_Windows_3B!$O$4633:$O$100,0))</f>
        <v/>
      </c>
      <c r="I4633">
        <f>MIN(F4633,H4633)</f>
        <v/>
      </c>
    </row>
    <row r="4634">
      <c r="A4634">
        <f>TEST_DATA!A4634</f>
        <v/>
      </c>
      <c r="B4634">
        <f>TEST_DATA!B4634</f>
        <v/>
      </c>
      <c r="C4634">
        <f>TEST_DATA!C4634</f>
        <v/>
      </c>
      <c r="D4634">
        <f>TEST_DATA!D4634</f>
        <v/>
      </c>
      <c r="E4634">
        <f>TEST_DATA!E4634</f>
        <v/>
      </c>
      <c r="F4634">
        <f>MIN(E4634*463400,10000)</f>
        <v/>
      </c>
      <c r="G4634">
        <f>MINIFS(CBIC_Late_Fee_Relief_Windows_3B!$O$4634:$O$100,CBIC_Late_Fee_Relief_Windows_3B!$D$4634:$D$100,"&lt;="&amp;B4634,CBIC_Late_Fee_Relief_Windows_3B!$E$4634:$E$100,"&gt;="&amp;B4634,CBIC_Late_Fee_Relief_Windows_3B!$F$4634:$F$100,"&lt;="&amp;C4634,CBIC_Late_Fee_Relief_Windows_3B!$G$4634:$G$100,"&gt;="&amp;C4634)</f>
        <v/>
      </c>
      <c r="H4634">
        <f>INDEX(CBIC_Late_Fee_Relief_Windows_3B!$I$4634:$I$100,MATCH(G4634,CBIC_Late_Fee_Relief_Windows_3B!$O$4634:$O$100,0))</f>
        <v/>
      </c>
      <c r="I4634">
        <f>MIN(F4634,H4634)</f>
        <v/>
      </c>
    </row>
    <row r="4635">
      <c r="A4635">
        <f>TEST_DATA!A4635</f>
        <v/>
      </c>
      <c r="B4635">
        <f>TEST_DATA!B4635</f>
        <v/>
      </c>
      <c r="C4635">
        <f>TEST_DATA!C4635</f>
        <v/>
      </c>
      <c r="D4635">
        <f>TEST_DATA!D4635</f>
        <v/>
      </c>
      <c r="E4635">
        <f>TEST_DATA!E4635</f>
        <v/>
      </c>
      <c r="F4635">
        <f>MIN(E4635*463500,10000)</f>
        <v/>
      </c>
      <c r="G4635">
        <f>MINIFS(CBIC_Late_Fee_Relief_Windows_3B!$O$4635:$O$100,CBIC_Late_Fee_Relief_Windows_3B!$D$4635:$D$100,"&lt;="&amp;B4635,CBIC_Late_Fee_Relief_Windows_3B!$E$4635:$E$100,"&gt;="&amp;B4635,CBIC_Late_Fee_Relief_Windows_3B!$F$4635:$F$100,"&lt;="&amp;C4635,CBIC_Late_Fee_Relief_Windows_3B!$G$4635:$G$100,"&gt;="&amp;C4635)</f>
        <v/>
      </c>
      <c r="H4635">
        <f>INDEX(CBIC_Late_Fee_Relief_Windows_3B!$I$4635:$I$100,MATCH(G4635,CBIC_Late_Fee_Relief_Windows_3B!$O$4635:$O$100,0))</f>
        <v/>
      </c>
      <c r="I4635">
        <f>MIN(F4635,H4635)</f>
        <v/>
      </c>
    </row>
    <row r="4636">
      <c r="A4636">
        <f>TEST_DATA!A4636</f>
        <v/>
      </c>
      <c r="B4636">
        <f>TEST_DATA!B4636</f>
        <v/>
      </c>
      <c r="C4636">
        <f>TEST_DATA!C4636</f>
        <v/>
      </c>
      <c r="D4636">
        <f>TEST_DATA!D4636</f>
        <v/>
      </c>
      <c r="E4636">
        <f>TEST_DATA!E4636</f>
        <v/>
      </c>
      <c r="F4636">
        <f>MIN(E4636*463600,10000)</f>
        <v/>
      </c>
      <c r="G4636">
        <f>MINIFS(CBIC_Late_Fee_Relief_Windows_3B!$O$4636:$O$100,CBIC_Late_Fee_Relief_Windows_3B!$D$4636:$D$100,"&lt;="&amp;B4636,CBIC_Late_Fee_Relief_Windows_3B!$E$4636:$E$100,"&gt;="&amp;B4636,CBIC_Late_Fee_Relief_Windows_3B!$F$4636:$F$100,"&lt;="&amp;C4636,CBIC_Late_Fee_Relief_Windows_3B!$G$4636:$G$100,"&gt;="&amp;C4636)</f>
        <v/>
      </c>
      <c r="H4636">
        <f>INDEX(CBIC_Late_Fee_Relief_Windows_3B!$I$4636:$I$100,MATCH(G4636,CBIC_Late_Fee_Relief_Windows_3B!$O$4636:$O$100,0))</f>
        <v/>
      </c>
      <c r="I4636">
        <f>MIN(F4636,H4636)</f>
        <v/>
      </c>
    </row>
    <row r="4637">
      <c r="A4637">
        <f>TEST_DATA!A4637</f>
        <v/>
      </c>
      <c r="B4637">
        <f>TEST_DATA!B4637</f>
        <v/>
      </c>
      <c r="C4637">
        <f>TEST_DATA!C4637</f>
        <v/>
      </c>
      <c r="D4637">
        <f>TEST_DATA!D4637</f>
        <v/>
      </c>
      <c r="E4637">
        <f>TEST_DATA!E4637</f>
        <v/>
      </c>
      <c r="F4637">
        <f>MIN(E4637*463700,10000)</f>
        <v/>
      </c>
      <c r="G4637">
        <f>MINIFS(CBIC_Late_Fee_Relief_Windows_3B!$O$4637:$O$100,CBIC_Late_Fee_Relief_Windows_3B!$D$4637:$D$100,"&lt;="&amp;B4637,CBIC_Late_Fee_Relief_Windows_3B!$E$4637:$E$100,"&gt;="&amp;B4637,CBIC_Late_Fee_Relief_Windows_3B!$F$4637:$F$100,"&lt;="&amp;C4637,CBIC_Late_Fee_Relief_Windows_3B!$G$4637:$G$100,"&gt;="&amp;C4637)</f>
        <v/>
      </c>
      <c r="H4637">
        <f>INDEX(CBIC_Late_Fee_Relief_Windows_3B!$I$4637:$I$100,MATCH(G4637,CBIC_Late_Fee_Relief_Windows_3B!$O$4637:$O$100,0))</f>
        <v/>
      </c>
      <c r="I4637">
        <f>MIN(F4637,H4637)</f>
        <v/>
      </c>
    </row>
    <row r="4638">
      <c r="A4638">
        <f>TEST_DATA!A4638</f>
        <v/>
      </c>
      <c r="B4638">
        <f>TEST_DATA!B4638</f>
        <v/>
      </c>
      <c r="C4638">
        <f>TEST_DATA!C4638</f>
        <v/>
      </c>
      <c r="D4638">
        <f>TEST_DATA!D4638</f>
        <v/>
      </c>
      <c r="E4638">
        <f>TEST_DATA!E4638</f>
        <v/>
      </c>
      <c r="F4638">
        <f>MIN(E4638*463800,10000)</f>
        <v/>
      </c>
      <c r="G4638">
        <f>MINIFS(CBIC_Late_Fee_Relief_Windows_3B!$O$4638:$O$100,CBIC_Late_Fee_Relief_Windows_3B!$D$4638:$D$100,"&lt;="&amp;B4638,CBIC_Late_Fee_Relief_Windows_3B!$E$4638:$E$100,"&gt;="&amp;B4638,CBIC_Late_Fee_Relief_Windows_3B!$F$4638:$F$100,"&lt;="&amp;C4638,CBIC_Late_Fee_Relief_Windows_3B!$G$4638:$G$100,"&gt;="&amp;C4638)</f>
        <v/>
      </c>
      <c r="H4638">
        <f>INDEX(CBIC_Late_Fee_Relief_Windows_3B!$I$4638:$I$100,MATCH(G4638,CBIC_Late_Fee_Relief_Windows_3B!$O$4638:$O$100,0))</f>
        <v/>
      </c>
      <c r="I4638">
        <f>MIN(F4638,H4638)</f>
        <v/>
      </c>
    </row>
    <row r="4639">
      <c r="A4639">
        <f>TEST_DATA!A4639</f>
        <v/>
      </c>
      <c r="B4639">
        <f>TEST_DATA!B4639</f>
        <v/>
      </c>
      <c r="C4639">
        <f>TEST_DATA!C4639</f>
        <v/>
      </c>
      <c r="D4639">
        <f>TEST_DATA!D4639</f>
        <v/>
      </c>
      <c r="E4639">
        <f>TEST_DATA!E4639</f>
        <v/>
      </c>
      <c r="F4639">
        <f>MIN(E4639*463900,10000)</f>
        <v/>
      </c>
      <c r="G4639">
        <f>MINIFS(CBIC_Late_Fee_Relief_Windows_3B!$O$4639:$O$100,CBIC_Late_Fee_Relief_Windows_3B!$D$4639:$D$100,"&lt;="&amp;B4639,CBIC_Late_Fee_Relief_Windows_3B!$E$4639:$E$100,"&gt;="&amp;B4639,CBIC_Late_Fee_Relief_Windows_3B!$F$4639:$F$100,"&lt;="&amp;C4639,CBIC_Late_Fee_Relief_Windows_3B!$G$4639:$G$100,"&gt;="&amp;C4639)</f>
        <v/>
      </c>
      <c r="H4639">
        <f>INDEX(CBIC_Late_Fee_Relief_Windows_3B!$I$4639:$I$100,MATCH(G4639,CBIC_Late_Fee_Relief_Windows_3B!$O$4639:$O$100,0))</f>
        <v/>
      </c>
      <c r="I4639">
        <f>MIN(F4639,H4639)</f>
        <v/>
      </c>
    </row>
    <row r="4640">
      <c r="A4640">
        <f>TEST_DATA!A4640</f>
        <v/>
      </c>
      <c r="B4640">
        <f>TEST_DATA!B4640</f>
        <v/>
      </c>
      <c r="C4640">
        <f>TEST_DATA!C4640</f>
        <v/>
      </c>
      <c r="D4640">
        <f>TEST_DATA!D4640</f>
        <v/>
      </c>
      <c r="E4640">
        <f>TEST_DATA!E4640</f>
        <v/>
      </c>
      <c r="F4640">
        <f>MIN(E4640*464000,10000)</f>
        <v/>
      </c>
      <c r="G4640">
        <f>MINIFS(CBIC_Late_Fee_Relief_Windows_3B!$O$4640:$O$100,CBIC_Late_Fee_Relief_Windows_3B!$D$4640:$D$100,"&lt;="&amp;B4640,CBIC_Late_Fee_Relief_Windows_3B!$E$4640:$E$100,"&gt;="&amp;B4640,CBIC_Late_Fee_Relief_Windows_3B!$F$4640:$F$100,"&lt;="&amp;C4640,CBIC_Late_Fee_Relief_Windows_3B!$G$4640:$G$100,"&gt;="&amp;C4640)</f>
        <v/>
      </c>
      <c r="H4640">
        <f>INDEX(CBIC_Late_Fee_Relief_Windows_3B!$I$4640:$I$100,MATCH(G4640,CBIC_Late_Fee_Relief_Windows_3B!$O$4640:$O$100,0))</f>
        <v/>
      </c>
      <c r="I4640">
        <f>MIN(F4640,H4640)</f>
        <v/>
      </c>
    </row>
    <row r="4641">
      <c r="A4641">
        <f>TEST_DATA!A4641</f>
        <v/>
      </c>
      <c r="B4641">
        <f>TEST_DATA!B4641</f>
        <v/>
      </c>
      <c r="C4641">
        <f>TEST_DATA!C4641</f>
        <v/>
      </c>
      <c r="D4641">
        <f>TEST_DATA!D4641</f>
        <v/>
      </c>
      <c r="E4641">
        <f>TEST_DATA!E4641</f>
        <v/>
      </c>
      <c r="F4641">
        <f>MIN(E4641*464100,10000)</f>
        <v/>
      </c>
      <c r="G4641">
        <f>MINIFS(CBIC_Late_Fee_Relief_Windows_3B!$O$4641:$O$100,CBIC_Late_Fee_Relief_Windows_3B!$D$4641:$D$100,"&lt;="&amp;B4641,CBIC_Late_Fee_Relief_Windows_3B!$E$4641:$E$100,"&gt;="&amp;B4641,CBIC_Late_Fee_Relief_Windows_3B!$F$4641:$F$100,"&lt;="&amp;C4641,CBIC_Late_Fee_Relief_Windows_3B!$G$4641:$G$100,"&gt;="&amp;C4641)</f>
        <v/>
      </c>
      <c r="H4641">
        <f>INDEX(CBIC_Late_Fee_Relief_Windows_3B!$I$4641:$I$100,MATCH(G4641,CBIC_Late_Fee_Relief_Windows_3B!$O$4641:$O$100,0))</f>
        <v/>
      </c>
      <c r="I4641">
        <f>MIN(F4641,H4641)</f>
        <v/>
      </c>
    </row>
    <row r="4642">
      <c r="A4642">
        <f>TEST_DATA!A4642</f>
        <v/>
      </c>
      <c r="B4642">
        <f>TEST_DATA!B4642</f>
        <v/>
      </c>
      <c r="C4642">
        <f>TEST_DATA!C4642</f>
        <v/>
      </c>
      <c r="D4642">
        <f>TEST_DATA!D4642</f>
        <v/>
      </c>
      <c r="E4642">
        <f>TEST_DATA!E4642</f>
        <v/>
      </c>
      <c r="F4642">
        <f>MIN(E4642*464200,10000)</f>
        <v/>
      </c>
      <c r="G4642">
        <f>MINIFS(CBIC_Late_Fee_Relief_Windows_3B!$O$4642:$O$100,CBIC_Late_Fee_Relief_Windows_3B!$D$4642:$D$100,"&lt;="&amp;B4642,CBIC_Late_Fee_Relief_Windows_3B!$E$4642:$E$100,"&gt;="&amp;B4642,CBIC_Late_Fee_Relief_Windows_3B!$F$4642:$F$100,"&lt;="&amp;C4642,CBIC_Late_Fee_Relief_Windows_3B!$G$4642:$G$100,"&gt;="&amp;C4642)</f>
        <v/>
      </c>
      <c r="H4642">
        <f>INDEX(CBIC_Late_Fee_Relief_Windows_3B!$I$4642:$I$100,MATCH(G4642,CBIC_Late_Fee_Relief_Windows_3B!$O$4642:$O$100,0))</f>
        <v/>
      </c>
      <c r="I4642">
        <f>MIN(F4642,H4642)</f>
        <v/>
      </c>
    </row>
    <row r="4643">
      <c r="A4643">
        <f>TEST_DATA!A4643</f>
        <v/>
      </c>
      <c r="B4643">
        <f>TEST_DATA!B4643</f>
        <v/>
      </c>
      <c r="C4643">
        <f>TEST_DATA!C4643</f>
        <v/>
      </c>
      <c r="D4643">
        <f>TEST_DATA!D4643</f>
        <v/>
      </c>
      <c r="E4643">
        <f>TEST_DATA!E4643</f>
        <v/>
      </c>
      <c r="F4643">
        <f>MIN(E4643*464300,10000)</f>
        <v/>
      </c>
      <c r="G4643">
        <f>MINIFS(CBIC_Late_Fee_Relief_Windows_3B!$O$4643:$O$100,CBIC_Late_Fee_Relief_Windows_3B!$D$4643:$D$100,"&lt;="&amp;B4643,CBIC_Late_Fee_Relief_Windows_3B!$E$4643:$E$100,"&gt;="&amp;B4643,CBIC_Late_Fee_Relief_Windows_3B!$F$4643:$F$100,"&lt;="&amp;C4643,CBIC_Late_Fee_Relief_Windows_3B!$G$4643:$G$100,"&gt;="&amp;C4643)</f>
        <v/>
      </c>
      <c r="H4643">
        <f>INDEX(CBIC_Late_Fee_Relief_Windows_3B!$I$4643:$I$100,MATCH(G4643,CBIC_Late_Fee_Relief_Windows_3B!$O$4643:$O$100,0))</f>
        <v/>
      </c>
      <c r="I4643">
        <f>MIN(F4643,H4643)</f>
        <v/>
      </c>
    </row>
    <row r="4644">
      <c r="A4644">
        <f>TEST_DATA!A4644</f>
        <v/>
      </c>
      <c r="B4644">
        <f>TEST_DATA!B4644</f>
        <v/>
      </c>
      <c r="C4644">
        <f>TEST_DATA!C4644</f>
        <v/>
      </c>
      <c r="D4644">
        <f>TEST_DATA!D4644</f>
        <v/>
      </c>
      <c r="E4644">
        <f>TEST_DATA!E4644</f>
        <v/>
      </c>
      <c r="F4644">
        <f>MIN(E4644*464400,10000)</f>
        <v/>
      </c>
      <c r="G4644">
        <f>MINIFS(CBIC_Late_Fee_Relief_Windows_3B!$O$4644:$O$100,CBIC_Late_Fee_Relief_Windows_3B!$D$4644:$D$100,"&lt;="&amp;B4644,CBIC_Late_Fee_Relief_Windows_3B!$E$4644:$E$100,"&gt;="&amp;B4644,CBIC_Late_Fee_Relief_Windows_3B!$F$4644:$F$100,"&lt;="&amp;C4644,CBIC_Late_Fee_Relief_Windows_3B!$G$4644:$G$100,"&gt;="&amp;C4644)</f>
        <v/>
      </c>
      <c r="H4644">
        <f>INDEX(CBIC_Late_Fee_Relief_Windows_3B!$I$4644:$I$100,MATCH(G4644,CBIC_Late_Fee_Relief_Windows_3B!$O$4644:$O$100,0))</f>
        <v/>
      </c>
      <c r="I4644">
        <f>MIN(F4644,H4644)</f>
        <v/>
      </c>
    </row>
    <row r="4645">
      <c r="A4645">
        <f>TEST_DATA!A4645</f>
        <v/>
      </c>
      <c r="B4645">
        <f>TEST_DATA!B4645</f>
        <v/>
      </c>
      <c r="C4645">
        <f>TEST_DATA!C4645</f>
        <v/>
      </c>
      <c r="D4645">
        <f>TEST_DATA!D4645</f>
        <v/>
      </c>
      <c r="E4645">
        <f>TEST_DATA!E4645</f>
        <v/>
      </c>
      <c r="F4645">
        <f>MIN(E4645*464500,10000)</f>
        <v/>
      </c>
      <c r="G4645">
        <f>MINIFS(CBIC_Late_Fee_Relief_Windows_3B!$O$4645:$O$100,CBIC_Late_Fee_Relief_Windows_3B!$D$4645:$D$100,"&lt;="&amp;B4645,CBIC_Late_Fee_Relief_Windows_3B!$E$4645:$E$100,"&gt;="&amp;B4645,CBIC_Late_Fee_Relief_Windows_3B!$F$4645:$F$100,"&lt;="&amp;C4645,CBIC_Late_Fee_Relief_Windows_3B!$G$4645:$G$100,"&gt;="&amp;C4645)</f>
        <v/>
      </c>
      <c r="H4645">
        <f>INDEX(CBIC_Late_Fee_Relief_Windows_3B!$I$4645:$I$100,MATCH(G4645,CBIC_Late_Fee_Relief_Windows_3B!$O$4645:$O$100,0))</f>
        <v/>
      </c>
      <c r="I4645">
        <f>MIN(F4645,H4645)</f>
        <v/>
      </c>
    </row>
    <row r="4646">
      <c r="A4646">
        <f>TEST_DATA!A4646</f>
        <v/>
      </c>
      <c r="B4646">
        <f>TEST_DATA!B4646</f>
        <v/>
      </c>
      <c r="C4646">
        <f>TEST_DATA!C4646</f>
        <v/>
      </c>
      <c r="D4646">
        <f>TEST_DATA!D4646</f>
        <v/>
      </c>
      <c r="E4646">
        <f>TEST_DATA!E4646</f>
        <v/>
      </c>
      <c r="F4646">
        <f>MIN(E4646*464600,10000)</f>
        <v/>
      </c>
      <c r="G4646">
        <f>MINIFS(CBIC_Late_Fee_Relief_Windows_3B!$O$4646:$O$100,CBIC_Late_Fee_Relief_Windows_3B!$D$4646:$D$100,"&lt;="&amp;B4646,CBIC_Late_Fee_Relief_Windows_3B!$E$4646:$E$100,"&gt;="&amp;B4646,CBIC_Late_Fee_Relief_Windows_3B!$F$4646:$F$100,"&lt;="&amp;C4646,CBIC_Late_Fee_Relief_Windows_3B!$G$4646:$G$100,"&gt;="&amp;C4646)</f>
        <v/>
      </c>
      <c r="H4646">
        <f>INDEX(CBIC_Late_Fee_Relief_Windows_3B!$I$4646:$I$100,MATCH(G4646,CBIC_Late_Fee_Relief_Windows_3B!$O$4646:$O$100,0))</f>
        <v/>
      </c>
      <c r="I4646">
        <f>MIN(F4646,H4646)</f>
        <v/>
      </c>
    </row>
    <row r="4647">
      <c r="A4647">
        <f>TEST_DATA!A4647</f>
        <v/>
      </c>
      <c r="B4647">
        <f>TEST_DATA!B4647</f>
        <v/>
      </c>
      <c r="C4647">
        <f>TEST_DATA!C4647</f>
        <v/>
      </c>
      <c r="D4647">
        <f>TEST_DATA!D4647</f>
        <v/>
      </c>
      <c r="E4647">
        <f>TEST_DATA!E4647</f>
        <v/>
      </c>
      <c r="F4647">
        <f>MIN(E4647*464700,10000)</f>
        <v/>
      </c>
      <c r="G4647">
        <f>MINIFS(CBIC_Late_Fee_Relief_Windows_3B!$O$4647:$O$100,CBIC_Late_Fee_Relief_Windows_3B!$D$4647:$D$100,"&lt;="&amp;B4647,CBIC_Late_Fee_Relief_Windows_3B!$E$4647:$E$100,"&gt;="&amp;B4647,CBIC_Late_Fee_Relief_Windows_3B!$F$4647:$F$100,"&lt;="&amp;C4647,CBIC_Late_Fee_Relief_Windows_3B!$G$4647:$G$100,"&gt;="&amp;C4647)</f>
        <v/>
      </c>
      <c r="H4647">
        <f>INDEX(CBIC_Late_Fee_Relief_Windows_3B!$I$4647:$I$100,MATCH(G4647,CBIC_Late_Fee_Relief_Windows_3B!$O$4647:$O$100,0))</f>
        <v/>
      </c>
      <c r="I4647">
        <f>MIN(F4647,H4647)</f>
        <v/>
      </c>
    </row>
    <row r="4648">
      <c r="A4648">
        <f>TEST_DATA!A4648</f>
        <v/>
      </c>
      <c r="B4648">
        <f>TEST_DATA!B4648</f>
        <v/>
      </c>
      <c r="C4648">
        <f>TEST_DATA!C4648</f>
        <v/>
      </c>
      <c r="D4648">
        <f>TEST_DATA!D4648</f>
        <v/>
      </c>
      <c r="E4648">
        <f>TEST_DATA!E4648</f>
        <v/>
      </c>
      <c r="F4648">
        <f>MIN(E4648*464800,10000)</f>
        <v/>
      </c>
      <c r="G4648">
        <f>MINIFS(CBIC_Late_Fee_Relief_Windows_3B!$O$4648:$O$100,CBIC_Late_Fee_Relief_Windows_3B!$D$4648:$D$100,"&lt;="&amp;B4648,CBIC_Late_Fee_Relief_Windows_3B!$E$4648:$E$100,"&gt;="&amp;B4648,CBIC_Late_Fee_Relief_Windows_3B!$F$4648:$F$100,"&lt;="&amp;C4648,CBIC_Late_Fee_Relief_Windows_3B!$G$4648:$G$100,"&gt;="&amp;C4648)</f>
        <v/>
      </c>
      <c r="H4648">
        <f>INDEX(CBIC_Late_Fee_Relief_Windows_3B!$I$4648:$I$100,MATCH(G4648,CBIC_Late_Fee_Relief_Windows_3B!$O$4648:$O$100,0))</f>
        <v/>
      </c>
      <c r="I4648">
        <f>MIN(F4648,H4648)</f>
        <v/>
      </c>
    </row>
    <row r="4649">
      <c r="A4649">
        <f>TEST_DATA!A4649</f>
        <v/>
      </c>
      <c r="B4649">
        <f>TEST_DATA!B4649</f>
        <v/>
      </c>
      <c r="C4649">
        <f>TEST_DATA!C4649</f>
        <v/>
      </c>
      <c r="D4649">
        <f>TEST_DATA!D4649</f>
        <v/>
      </c>
      <c r="E4649">
        <f>TEST_DATA!E4649</f>
        <v/>
      </c>
      <c r="F4649">
        <f>MIN(E4649*464900,10000)</f>
        <v/>
      </c>
      <c r="G4649">
        <f>MINIFS(CBIC_Late_Fee_Relief_Windows_3B!$O$4649:$O$100,CBIC_Late_Fee_Relief_Windows_3B!$D$4649:$D$100,"&lt;="&amp;B4649,CBIC_Late_Fee_Relief_Windows_3B!$E$4649:$E$100,"&gt;="&amp;B4649,CBIC_Late_Fee_Relief_Windows_3B!$F$4649:$F$100,"&lt;="&amp;C4649,CBIC_Late_Fee_Relief_Windows_3B!$G$4649:$G$100,"&gt;="&amp;C4649)</f>
        <v/>
      </c>
      <c r="H4649">
        <f>INDEX(CBIC_Late_Fee_Relief_Windows_3B!$I$4649:$I$100,MATCH(G4649,CBIC_Late_Fee_Relief_Windows_3B!$O$4649:$O$100,0))</f>
        <v/>
      </c>
      <c r="I4649">
        <f>MIN(F4649,H4649)</f>
        <v/>
      </c>
    </row>
    <row r="4650">
      <c r="A4650">
        <f>TEST_DATA!A4650</f>
        <v/>
      </c>
      <c r="B4650">
        <f>TEST_DATA!B4650</f>
        <v/>
      </c>
      <c r="C4650">
        <f>TEST_DATA!C4650</f>
        <v/>
      </c>
      <c r="D4650">
        <f>TEST_DATA!D4650</f>
        <v/>
      </c>
      <c r="E4650">
        <f>TEST_DATA!E4650</f>
        <v/>
      </c>
      <c r="F4650">
        <f>MIN(E4650*465000,10000)</f>
        <v/>
      </c>
      <c r="G4650">
        <f>MINIFS(CBIC_Late_Fee_Relief_Windows_3B!$O$4650:$O$100,CBIC_Late_Fee_Relief_Windows_3B!$D$4650:$D$100,"&lt;="&amp;B4650,CBIC_Late_Fee_Relief_Windows_3B!$E$4650:$E$100,"&gt;="&amp;B4650,CBIC_Late_Fee_Relief_Windows_3B!$F$4650:$F$100,"&lt;="&amp;C4650,CBIC_Late_Fee_Relief_Windows_3B!$G$4650:$G$100,"&gt;="&amp;C4650)</f>
        <v/>
      </c>
      <c r="H4650">
        <f>INDEX(CBIC_Late_Fee_Relief_Windows_3B!$I$4650:$I$100,MATCH(G4650,CBIC_Late_Fee_Relief_Windows_3B!$O$4650:$O$100,0))</f>
        <v/>
      </c>
      <c r="I4650">
        <f>MIN(F4650,H4650)</f>
        <v/>
      </c>
    </row>
    <row r="4651">
      <c r="A4651">
        <f>TEST_DATA!A4651</f>
        <v/>
      </c>
      <c r="B4651">
        <f>TEST_DATA!B4651</f>
        <v/>
      </c>
      <c r="C4651">
        <f>TEST_DATA!C4651</f>
        <v/>
      </c>
      <c r="D4651">
        <f>TEST_DATA!D4651</f>
        <v/>
      </c>
      <c r="E4651">
        <f>TEST_DATA!E4651</f>
        <v/>
      </c>
      <c r="F4651">
        <f>MIN(E4651*465100,10000)</f>
        <v/>
      </c>
      <c r="G4651">
        <f>MINIFS(CBIC_Late_Fee_Relief_Windows_3B!$O$4651:$O$100,CBIC_Late_Fee_Relief_Windows_3B!$D$4651:$D$100,"&lt;="&amp;B4651,CBIC_Late_Fee_Relief_Windows_3B!$E$4651:$E$100,"&gt;="&amp;B4651,CBIC_Late_Fee_Relief_Windows_3B!$F$4651:$F$100,"&lt;="&amp;C4651,CBIC_Late_Fee_Relief_Windows_3B!$G$4651:$G$100,"&gt;="&amp;C4651)</f>
        <v/>
      </c>
      <c r="H4651">
        <f>INDEX(CBIC_Late_Fee_Relief_Windows_3B!$I$4651:$I$100,MATCH(G4651,CBIC_Late_Fee_Relief_Windows_3B!$O$4651:$O$100,0))</f>
        <v/>
      </c>
      <c r="I4651">
        <f>MIN(F4651,H4651)</f>
        <v/>
      </c>
    </row>
    <row r="4652">
      <c r="A4652">
        <f>TEST_DATA!A4652</f>
        <v/>
      </c>
      <c r="B4652">
        <f>TEST_DATA!B4652</f>
        <v/>
      </c>
      <c r="C4652">
        <f>TEST_DATA!C4652</f>
        <v/>
      </c>
      <c r="D4652">
        <f>TEST_DATA!D4652</f>
        <v/>
      </c>
      <c r="E4652">
        <f>TEST_DATA!E4652</f>
        <v/>
      </c>
      <c r="F4652">
        <f>MIN(E4652*465200,10000)</f>
        <v/>
      </c>
      <c r="G4652">
        <f>MINIFS(CBIC_Late_Fee_Relief_Windows_3B!$O$4652:$O$100,CBIC_Late_Fee_Relief_Windows_3B!$D$4652:$D$100,"&lt;="&amp;B4652,CBIC_Late_Fee_Relief_Windows_3B!$E$4652:$E$100,"&gt;="&amp;B4652,CBIC_Late_Fee_Relief_Windows_3B!$F$4652:$F$100,"&lt;="&amp;C4652,CBIC_Late_Fee_Relief_Windows_3B!$G$4652:$G$100,"&gt;="&amp;C4652)</f>
        <v/>
      </c>
      <c r="H4652">
        <f>INDEX(CBIC_Late_Fee_Relief_Windows_3B!$I$4652:$I$100,MATCH(G4652,CBIC_Late_Fee_Relief_Windows_3B!$O$4652:$O$100,0))</f>
        <v/>
      </c>
      <c r="I4652">
        <f>MIN(F4652,H4652)</f>
        <v/>
      </c>
    </row>
    <row r="4653">
      <c r="A4653">
        <f>TEST_DATA!A4653</f>
        <v/>
      </c>
      <c r="B4653">
        <f>TEST_DATA!B4653</f>
        <v/>
      </c>
      <c r="C4653">
        <f>TEST_DATA!C4653</f>
        <v/>
      </c>
      <c r="D4653">
        <f>TEST_DATA!D4653</f>
        <v/>
      </c>
      <c r="E4653">
        <f>TEST_DATA!E4653</f>
        <v/>
      </c>
      <c r="F4653">
        <f>MIN(E4653*465300,10000)</f>
        <v/>
      </c>
      <c r="G4653">
        <f>MINIFS(CBIC_Late_Fee_Relief_Windows_3B!$O$4653:$O$100,CBIC_Late_Fee_Relief_Windows_3B!$D$4653:$D$100,"&lt;="&amp;B4653,CBIC_Late_Fee_Relief_Windows_3B!$E$4653:$E$100,"&gt;="&amp;B4653,CBIC_Late_Fee_Relief_Windows_3B!$F$4653:$F$100,"&lt;="&amp;C4653,CBIC_Late_Fee_Relief_Windows_3B!$G$4653:$G$100,"&gt;="&amp;C4653)</f>
        <v/>
      </c>
      <c r="H4653">
        <f>INDEX(CBIC_Late_Fee_Relief_Windows_3B!$I$4653:$I$100,MATCH(G4653,CBIC_Late_Fee_Relief_Windows_3B!$O$4653:$O$100,0))</f>
        <v/>
      </c>
      <c r="I4653">
        <f>MIN(F4653,H4653)</f>
        <v/>
      </c>
    </row>
    <row r="4654">
      <c r="A4654">
        <f>TEST_DATA!A4654</f>
        <v/>
      </c>
      <c r="B4654">
        <f>TEST_DATA!B4654</f>
        <v/>
      </c>
      <c r="C4654">
        <f>TEST_DATA!C4654</f>
        <v/>
      </c>
      <c r="D4654">
        <f>TEST_DATA!D4654</f>
        <v/>
      </c>
      <c r="E4654">
        <f>TEST_DATA!E4654</f>
        <v/>
      </c>
      <c r="F4654">
        <f>MIN(E4654*465400,10000)</f>
        <v/>
      </c>
      <c r="G4654">
        <f>MINIFS(CBIC_Late_Fee_Relief_Windows_3B!$O$4654:$O$100,CBIC_Late_Fee_Relief_Windows_3B!$D$4654:$D$100,"&lt;="&amp;B4654,CBIC_Late_Fee_Relief_Windows_3B!$E$4654:$E$100,"&gt;="&amp;B4654,CBIC_Late_Fee_Relief_Windows_3B!$F$4654:$F$100,"&lt;="&amp;C4654,CBIC_Late_Fee_Relief_Windows_3B!$G$4654:$G$100,"&gt;="&amp;C4654)</f>
        <v/>
      </c>
      <c r="H4654">
        <f>INDEX(CBIC_Late_Fee_Relief_Windows_3B!$I$4654:$I$100,MATCH(G4654,CBIC_Late_Fee_Relief_Windows_3B!$O$4654:$O$100,0))</f>
        <v/>
      </c>
      <c r="I4654">
        <f>MIN(F4654,H4654)</f>
        <v/>
      </c>
    </row>
    <row r="4655">
      <c r="A4655">
        <f>TEST_DATA!A4655</f>
        <v/>
      </c>
      <c r="B4655">
        <f>TEST_DATA!B4655</f>
        <v/>
      </c>
      <c r="C4655">
        <f>TEST_DATA!C4655</f>
        <v/>
      </c>
      <c r="D4655">
        <f>TEST_DATA!D4655</f>
        <v/>
      </c>
      <c r="E4655">
        <f>TEST_DATA!E4655</f>
        <v/>
      </c>
      <c r="F4655">
        <f>MIN(E4655*465500,10000)</f>
        <v/>
      </c>
      <c r="G4655">
        <f>MINIFS(CBIC_Late_Fee_Relief_Windows_3B!$O$4655:$O$100,CBIC_Late_Fee_Relief_Windows_3B!$D$4655:$D$100,"&lt;="&amp;B4655,CBIC_Late_Fee_Relief_Windows_3B!$E$4655:$E$100,"&gt;="&amp;B4655,CBIC_Late_Fee_Relief_Windows_3B!$F$4655:$F$100,"&lt;="&amp;C4655,CBIC_Late_Fee_Relief_Windows_3B!$G$4655:$G$100,"&gt;="&amp;C4655)</f>
        <v/>
      </c>
      <c r="H4655">
        <f>INDEX(CBIC_Late_Fee_Relief_Windows_3B!$I$4655:$I$100,MATCH(G4655,CBIC_Late_Fee_Relief_Windows_3B!$O$4655:$O$100,0))</f>
        <v/>
      </c>
      <c r="I4655">
        <f>MIN(F4655,H4655)</f>
        <v/>
      </c>
    </row>
    <row r="4656">
      <c r="A4656">
        <f>TEST_DATA!A4656</f>
        <v/>
      </c>
      <c r="B4656">
        <f>TEST_DATA!B4656</f>
        <v/>
      </c>
      <c r="C4656">
        <f>TEST_DATA!C4656</f>
        <v/>
      </c>
      <c r="D4656">
        <f>TEST_DATA!D4656</f>
        <v/>
      </c>
      <c r="E4656">
        <f>TEST_DATA!E4656</f>
        <v/>
      </c>
      <c r="F4656">
        <f>MIN(E4656*465600,10000)</f>
        <v/>
      </c>
      <c r="G4656">
        <f>MINIFS(CBIC_Late_Fee_Relief_Windows_3B!$O$4656:$O$100,CBIC_Late_Fee_Relief_Windows_3B!$D$4656:$D$100,"&lt;="&amp;B4656,CBIC_Late_Fee_Relief_Windows_3B!$E$4656:$E$100,"&gt;="&amp;B4656,CBIC_Late_Fee_Relief_Windows_3B!$F$4656:$F$100,"&lt;="&amp;C4656,CBIC_Late_Fee_Relief_Windows_3B!$G$4656:$G$100,"&gt;="&amp;C4656)</f>
        <v/>
      </c>
      <c r="H4656">
        <f>INDEX(CBIC_Late_Fee_Relief_Windows_3B!$I$4656:$I$100,MATCH(G4656,CBIC_Late_Fee_Relief_Windows_3B!$O$4656:$O$100,0))</f>
        <v/>
      </c>
      <c r="I4656">
        <f>MIN(F4656,H4656)</f>
        <v/>
      </c>
    </row>
    <row r="4657">
      <c r="A4657">
        <f>TEST_DATA!A4657</f>
        <v/>
      </c>
      <c r="B4657">
        <f>TEST_DATA!B4657</f>
        <v/>
      </c>
      <c r="C4657">
        <f>TEST_DATA!C4657</f>
        <v/>
      </c>
      <c r="D4657">
        <f>TEST_DATA!D4657</f>
        <v/>
      </c>
      <c r="E4657">
        <f>TEST_DATA!E4657</f>
        <v/>
      </c>
      <c r="F4657">
        <f>MIN(E4657*465700,10000)</f>
        <v/>
      </c>
      <c r="G4657">
        <f>MINIFS(CBIC_Late_Fee_Relief_Windows_3B!$O$4657:$O$100,CBIC_Late_Fee_Relief_Windows_3B!$D$4657:$D$100,"&lt;="&amp;B4657,CBIC_Late_Fee_Relief_Windows_3B!$E$4657:$E$100,"&gt;="&amp;B4657,CBIC_Late_Fee_Relief_Windows_3B!$F$4657:$F$100,"&lt;="&amp;C4657,CBIC_Late_Fee_Relief_Windows_3B!$G$4657:$G$100,"&gt;="&amp;C4657)</f>
        <v/>
      </c>
      <c r="H4657">
        <f>INDEX(CBIC_Late_Fee_Relief_Windows_3B!$I$4657:$I$100,MATCH(G4657,CBIC_Late_Fee_Relief_Windows_3B!$O$4657:$O$100,0))</f>
        <v/>
      </c>
      <c r="I4657">
        <f>MIN(F4657,H4657)</f>
        <v/>
      </c>
    </row>
    <row r="4658">
      <c r="A4658">
        <f>TEST_DATA!A4658</f>
        <v/>
      </c>
      <c r="B4658">
        <f>TEST_DATA!B4658</f>
        <v/>
      </c>
      <c r="C4658">
        <f>TEST_DATA!C4658</f>
        <v/>
      </c>
      <c r="D4658">
        <f>TEST_DATA!D4658</f>
        <v/>
      </c>
      <c r="E4658">
        <f>TEST_DATA!E4658</f>
        <v/>
      </c>
      <c r="F4658">
        <f>MIN(E4658*465800,10000)</f>
        <v/>
      </c>
      <c r="G4658">
        <f>MINIFS(CBIC_Late_Fee_Relief_Windows_3B!$O$4658:$O$100,CBIC_Late_Fee_Relief_Windows_3B!$D$4658:$D$100,"&lt;="&amp;B4658,CBIC_Late_Fee_Relief_Windows_3B!$E$4658:$E$100,"&gt;="&amp;B4658,CBIC_Late_Fee_Relief_Windows_3B!$F$4658:$F$100,"&lt;="&amp;C4658,CBIC_Late_Fee_Relief_Windows_3B!$G$4658:$G$100,"&gt;="&amp;C4658)</f>
        <v/>
      </c>
      <c r="H4658">
        <f>INDEX(CBIC_Late_Fee_Relief_Windows_3B!$I$4658:$I$100,MATCH(G4658,CBIC_Late_Fee_Relief_Windows_3B!$O$4658:$O$100,0))</f>
        <v/>
      </c>
      <c r="I4658">
        <f>MIN(F4658,H4658)</f>
        <v/>
      </c>
    </row>
    <row r="4659">
      <c r="A4659">
        <f>TEST_DATA!A4659</f>
        <v/>
      </c>
      <c r="B4659">
        <f>TEST_DATA!B4659</f>
        <v/>
      </c>
      <c r="C4659">
        <f>TEST_DATA!C4659</f>
        <v/>
      </c>
      <c r="D4659">
        <f>TEST_DATA!D4659</f>
        <v/>
      </c>
      <c r="E4659">
        <f>TEST_DATA!E4659</f>
        <v/>
      </c>
      <c r="F4659">
        <f>MIN(E4659*465900,10000)</f>
        <v/>
      </c>
      <c r="G4659">
        <f>MINIFS(CBIC_Late_Fee_Relief_Windows_3B!$O$4659:$O$100,CBIC_Late_Fee_Relief_Windows_3B!$D$4659:$D$100,"&lt;="&amp;B4659,CBIC_Late_Fee_Relief_Windows_3B!$E$4659:$E$100,"&gt;="&amp;B4659,CBIC_Late_Fee_Relief_Windows_3B!$F$4659:$F$100,"&lt;="&amp;C4659,CBIC_Late_Fee_Relief_Windows_3B!$G$4659:$G$100,"&gt;="&amp;C4659)</f>
        <v/>
      </c>
      <c r="H4659">
        <f>INDEX(CBIC_Late_Fee_Relief_Windows_3B!$I$4659:$I$100,MATCH(G4659,CBIC_Late_Fee_Relief_Windows_3B!$O$4659:$O$100,0))</f>
        <v/>
      </c>
      <c r="I4659">
        <f>MIN(F4659,H4659)</f>
        <v/>
      </c>
    </row>
    <row r="4660">
      <c r="A4660">
        <f>TEST_DATA!A4660</f>
        <v/>
      </c>
      <c r="B4660">
        <f>TEST_DATA!B4660</f>
        <v/>
      </c>
      <c r="C4660">
        <f>TEST_DATA!C4660</f>
        <v/>
      </c>
      <c r="D4660">
        <f>TEST_DATA!D4660</f>
        <v/>
      </c>
      <c r="E4660">
        <f>TEST_DATA!E4660</f>
        <v/>
      </c>
      <c r="F4660">
        <f>MIN(E4660*466000,10000)</f>
        <v/>
      </c>
      <c r="G4660">
        <f>MINIFS(CBIC_Late_Fee_Relief_Windows_3B!$O$4660:$O$100,CBIC_Late_Fee_Relief_Windows_3B!$D$4660:$D$100,"&lt;="&amp;B4660,CBIC_Late_Fee_Relief_Windows_3B!$E$4660:$E$100,"&gt;="&amp;B4660,CBIC_Late_Fee_Relief_Windows_3B!$F$4660:$F$100,"&lt;="&amp;C4660,CBIC_Late_Fee_Relief_Windows_3B!$G$4660:$G$100,"&gt;="&amp;C4660)</f>
        <v/>
      </c>
      <c r="H4660">
        <f>INDEX(CBIC_Late_Fee_Relief_Windows_3B!$I$4660:$I$100,MATCH(G4660,CBIC_Late_Fee_Relief_Windows_3B!$O$4660:$O$100,0))</f>
        <v/>
      </c>
      <c r="I4660">
        <f>MIN(F4660,H4660)</f>
        <v/>
      </c>
    </row>
    <row r="4661">
      <c r="A4661">
        <f>TEST_DATA!A4661</f>
        <v/>
      </c>
      <c r="B4661">
        <f>TEST_DATA!B4661</f>
        <v/>
      </c>
      <c r="C4661">
        <f>TEST_DATA!C4661</f>
        <v/>
      </c>
      <c r="D4661">
        <f>TEST_DATA!D4661</f>
        <v/>
      </c>
      <c r="E4661">
        <f>TEST_DATA!E4661</f>
        <v/>
      </c>
      <c r="F4661">
        <f>MIN(E4661*466100,10000)</f>
        <v/>
      </c>
      <c r="G4661">
        <f>MINIFS(CBIC_Late_Fee_Relief_Windows_3B!$O$4661:$O$100,CBIC_Late_Fee_Relief_Windows_3B!$D$4661:$D$100,"&lt;="&amp;B4661,CBIC_Late_Fee_Relief_Windows_3B!$E$4661:$E$100,"&gt;="&amp;B4661,CBIC_Late_Fee_Relief_Windows_3B!$F$4661:$F$100,"&lt;="&amp;C4661,CBIC_Late_Fee_Relief_Windows_3B!$G$4661:$G$100,"&gt;="&amp;C4661)</f>
        <v/>
      </c>
      <c r="H4661">
        <f>INDEX(CBIC_Late_Fee_Relief_Windows_3B!$I$4661:$I$100,MATCH(G4661,CBIC_Late_Fee_Relief_Windows_3B!$O$4661:$O$100,0))</f>
        <v/>
      </c>
      <c r="I4661">
        <f>MIN(F4661,H4661)</f>
        <v/>
      </c>
    </row>
    <row r="4662">
      <c r="A4662">
        <f>TEST_DATA!A4662</f>
        <v/>
      </c>
      <c r="B4662">
        <f>TEST_DATA!B4662</f>
        <v/>
      </c>
      <c r="C4662">
        <f>TEST_DATA!C4662</f>
        <v/>
      </c>
      <c r="D4662">
        <f>TEST_DATA!D4662</f>
        <v/>
      </c>
      <c r="E4662">
        <f>TEST_DATA!E4662</f>
        <v/>
      </c>
      <c r="F4662">
        <f>MIN(E4662*466200,10000)</f>
        <v/>
      </c>
      <c r="G4662">
        <f>MINIFS(CBIC_Late_Fee_Relief_Windows_3B!$O$4662:$O$100,CBIC_Late_Fee_Relief_Windows_3B!$D$4662:$D$100,"&lt;="&amp;B4662,CBIC_Late_Fee_Relief_Windows_3B!$E$4662:$E$100,"&gt;="&amp;B4662,CBIC_Late_Fee_Relief_Windows_3B!$F$4662:$F$100,"&lt;="&amp;C4662,CBIC_Late_Fee_Relief_Windows_3B!$G$4662:$G$100,"&gt;="&amp;C4662)</f>
        <v/>
      </c>
      <c r="H4662">
        <f>INDEX(CBIC_Late_Fee_Relief_Windows_3B!$I$4662:$I$100,MATCH(G4662,CBIC_Late_Fee_Relief_Windows_3B!$O$4662:$O$100,0))</f>
        <v/>
      </c>
      <c r="I4662">
        <f>MIN(F4662,H4662)</f>
        <v/>
      </c>
    </row>
    <row r="4663">
      <c r="A4663">
        <f>TEST_DATA!A4663</f>
        <v/>
      </c>
      <c r="B4663">
        <f>TEST_DATA!B4663</f>
        <v/>
      </c>
      <c r="C4663">
        <f>TEST_DATA!C4663</f>
        <v/>
      </c>
      <c r="D4663">
        <f>TEST_DATA!D4663</f>
        <v/>
      </c>
      <c r="E4663">
        <f>TEST_DATA!E4663</f>
        <v/>
      </c>
      <c r="F4663">
        <f>MIN(E4663*466300,10000)</f>
        <v/>
      </c>
      <c r="G4663">
        <f>MINIFS(CBIC_Late_Fee_Relief_Windows_3B!$O$4663:$O$100,CBIC_Late_Fee_Relief_Windows_3B!$D$4663:$D$100,"&lt;="&amp;B4663,CBIC_Late_Fee_Relief_Windows_3B!$E$4663:$E$100,"&gt;="&amp;B4663,CBIC_Late_Fee_Relief_Windows_3B!$F$4663:$F$100,"&lt;="&amp;C4663,CBIC_Late_Fee_Relief_Windows_3B!$G$4663:$G$100,"&gt;="&amp;C4663)</f>
        <v/>
      </c>
      <c r="H4663">
        <f>INDEX(CBIC_Late_Fee_Relief_Windows_3B!$I$4663:$I$100,MATCH(G4663,CBIC_Late_Fee_Relief_Windows_3B!$O$4663:$O$100,0))</f>
        <v/>
      </c>
      <c r="I4663">
        <f>MIN(F4663,H4663)</f>
        <v/>
      </c>
    </row>
    <row r="4664">
      <c r="A4664">
        <f>TEST_DATA!A4664</f>
        <v/>
      </c>
      <c r="B4664">
        <f>TEST_DATA!B4664</f>
        <v/>
      </c>
      <c r="C4664">
        <f>TEST_DATA!C4664</f>
        <v/>
      </c>
      <c r="D4664">
        <f>TEST_DATA!D4664</f>
        <v/>
      </c>
      <c r="E4664">
        <f>TEST_DATA!E4664</f>
        <v/>
      </c>
      <c r="F4664">
        <f>MIN(E4664*466400,10000)</f>
        <v/>
      </c>
      <c r="G4664">
        <f>MINIFS(CBIC_Late_Fee_Relief_Windows_3B!$O$4664:$O$100,CBIC_Late_Fee_Relief_Windows_3B!$D$4664:$D$100,"&lt;="&amp;B4664,CBIC_Late_Fee_Relief_Windows_3B!$E$4664:$E$100,"&gt;="&amp;B4664,CBIC_Late_Fee_Relief_Windows_3B!$F$4664:$F$100,"&lt;="&amp;C4664,CBIC_Late_Fee_Relief_Windows_3B!$G$4664:$G$100,"&gt;="&amp;C4664)</f>
        <v/>
      </c>
      <c r="H4664">
        <f>INDEX(CBIC_Late_Fee_Relief_Windows_3B!$I$4664:$I$100,MATCH(G4664,CBIC_Late_Fee_Relief_Windows_3B!$O$4664:$O$100,0))</f>
        <v/>
      </c>
      <c r="I4664">
        <f>MIN(F4664,H4664)</f>
        <v/>
      </c>
    </row>
    <row r="4665">
      <c r="A4665">
        <f>TEST_DATA!A4665</f>
        <v/>
      </c>
      <c r="B4665">
        <f>TEST_DATA!B4665</f>
        <v/>
      </c>
      <c r="C4665">
        <f>TEST_DATA!C4665</f>
        <v/>
      </c>
      <c r="D4665">
        <f>TEST_DATA!D4665</f>
        <v/>
      </c>
      <c r="E4665">
        <f>TEST_DATA!E4665</f>
        <v/>
      </c>
      <c r="F4665">
        <f>MIN(E4665*466500,10000)</f>
        <v/>
      </c>
      <c r="G4665">
        <f>MINIFS(CBIC_Late_Fee_Relief_Windows_3B!$O$4665:$O$100,CBIC_Late_Fee_Relief_Windows_3B!$D$4665:$D$100,"&lt;="&amp;B4665,CBIC_Late_Fee_Relief_Windows_3B!$E$4665:$E$100,"&gt;="&amp;B4665,CBIC_Late_Fee_Relief_Windows_3B!$F$4665:$F$100,"&lt;="&amp;C4665,CBIC_Late_Fee_Relief_Windows_3B!$G$4665:$G$100,"&gt;="&amp;C4665)</f>
        <v/>
      </c>
      <c r="H4665">
        <f>INDEX(CBIC_Late_Fee_Relief_Windows_3B!$I$4665:$I$100,MATCH(G4665,CBIC_Late_Fee_Relief_Windows_3B!$O$4665:$O$100,0))</f>
        <v/>
      </c>
      <c r="I4665">
        <f>MIN(F4665,H4665)</f>
        <v/>
      </c>
    </row>
    <row r="4666">
      <c r="A4666">
        <f>TEST_DATA!A4666</f>
        <v/>
      </c>
      <c r="B4666">
        <f>TEST_DATA!B4666</f>
        <v/>
      </c>
      <c r="C4666">
        <f>TEST_DATA!C4666</f>
        <v/>
      </c>
      <c r="D4666">
        <f>TEST_DATA!D4666</f>
        <v/>
      </c>
      <c r="E4666">
        <f>TEST_DATA!E4666</f>
        <v/>
      </c>
      <c r="F4666">
        <f>MIN(E4666*466600,10000)</f>
        <v/>
      </c>
      <c r="G4666">
        <f>MINIFS(CBIC_Late_Fee_Relief_Windows_3B!$O$4666:$O$100,CBIC_Late_Fee_Relief_Windows_3B!$D$4666:$D$100,"&lt;="&amp;B4666,CBIC_Late_Fee_Relief_Windows_3B!$E$4666:$E$100,"&gt;="&amp;B4666,CBIC_Late_Fee_Relief_Windows_3B!$F$4666:$F$100,"&lt;="&amp;C4666,CBIC_Late_Fee_Relief_Windows_3B!$G$4666:$G$100,"&gt;="&amp;C4666)</f>
        <v/>
      </c>
      <c r="H4666">
        <f>INDEX(CBIC_Late_Fee_Relief_Windows_3B!$I$4666:$I$100,MATCH(G4666,CBIC_Late_Fee_Relief_Windows_3B!$O$4666:$O$100,0))</f>
        <v/>
      </c>
      <c r="I4666">
        <f>MIN(F4666,H4666)</f>
        <v/>
      </c>
    </row>
    <row r="4667">
      <c r="A4667">
        <f>TEST_DATA!A4667</f>
        <v/>
      </c>
      <c r="B4667">
        <f>TEST_DATA!B4667</f>
        <v/>
      </c>
      <c r="C4667">
        <f>TEST_DATA!C4667</f>
        <v/>
      </c>
      <c r="D4667">
        <f>TEST_DATA!D4667</f>
        <v/>
      </c>
      <c r="E4667">
        <f>TEST_DATA!E4667</f>
        <v/>
      </c>
      <c r="F4667">
        <f>MIN(E4667*466700,10000)</f>
        <v/>
      </c>
      <c r="G4667">
        <f>MINIFS(CBIC_Late_Fee_Relief_Windows_3B!$O$4667:$O$100,CBIC_Late_Fee_Relief_Windows_3B!$D$4667:$D$100,"&lt;="&amp;B4667,CBIC_Late_Fee_Relief_Windows_3B!$E$4667:$E$100,"&gt;="&amp;B4667,CBIC_Late_Fee_Relief_Windows_3B!$F$4667:$F$100,"&lt;="&amp;C4667,CBIC_Late_Fee_Relief_Windows_3B!$G$4667:$G$100,"&gt;="&amp;C4667)</f>
        <v/>
      </c>
      <c r="H4667">
        <f>INDEX(CBIC_Late_Fee_Relief_Windows_3B!$I$4667:$I$100,MATCH(G4667,CBIC_Late_Fee_Relief_Windows_3B!$O$4667:$O$100,0))</f>
        <v/>
      </c>
      <c r="I4667">
        <f>MIN(F4667,H4667)</f>
        <v/>
      </c>
    </row>
    <row r="4668">
      <c r="A4668">
        <f>TEST_DATA!A4668</f>
        <v/>
      </c>
      <c r="B4668">
        <f>TEST_DATA!B4668</f>
        <v/>
      </c>
      <c r="C4668">
        <f>TEST_DATA!C4668</f>
        <v/>
      </c>
      <c r="D4668">
        <f>TEST_DATA!D4668</f>
        <v/>
      </c>
      <c r="E4668">
        <f>TEST_DATA!E4668</f>
        <v/>
      </c>
      <c r="F4668">
        <f>MIN(E4668*466800,10000)</f>
        <v/>
      </c>
      <c r="G4668">
        <f>MINIFS(CBIC_Late_Fee_Relief_Windows_3B!$O$4668:$O$100,CBIC_Late_Fee_Relief_Windows_3B!$D$4668:$D$100,"&lt;="&amp;B4668,CBIC_Late_Fee_Relief_Windows_3B!$E$4668:$E$100,"&gt;="&amp;B4668,CBIC_Late_Fee_Relief_Windows_3B!$F$4668:$F$100,"&lt;="&amp;C4668,CBIC_Late_Fee_Relief_Windows_3B!$G$4668:$G$100,"&gt;="&amp;C4668)</f>
        <v/>
      </c>
      <c r="H4668">
        <f>INDEX(CBIC_Late_Fee_Relief_Windows_3B!$I$4668:$I$100,MATCH(G4668,CBIC_Late_Fee_Relief_Windows_3B!$O$4668:$O$100,0))</f>
        <v/>
      </c>
      <c r="I4668">
        <f>MIN(F4668,H4668)</f>
        <v/>
      </c>
    </row>
    <row r="4669">
      <c r="A4669">
        <f>TEST_DATA!A4669</f>
        <v/>
      </c>
      <c r="B4669">
        <f>TEST_DATA!B4669</f>
        <v/>
      </c>
      <c r="C4669">
        <f>TEST_DATA!C4669</f>
        <v/>
      </c>
      <c r="D4669">
        <f>TEST_DATA!D4669</f>
        <v/>
      </c>
      <c r="E4669">
        <f>TEST_DATA!E4669</f>
        <v/>
      </c>
      <c r="F4669">
        <f>MIN(E4669*466900,10000)</f>
        <v/>
      </c>
      <c r="G4669">
        <f>MINIFS(CBIC_Late_Fee_Relief_Windows_3B!$O$4669:$O$100,CBIC_Late_Fee_Relief_Windows_3B!$D$4669:$D$100,"&lt;="&amp;B4669,CBIC_Late_Fee_Relief_Windows_3B!$E$4669:$E$100,"&gt;="&amp;B4669,CBIC_Late_Fee_Relief_Windows_3B!$F$4669:$F$100,"&lt;="&amp;C4669,CBIC_Late_Fee_Relief_Windows_3B!$G$4669:$G$100,"&gt;="&amp;C4669)</f>
        <v/>
      </c>
      <c r="H4669">
        <f>INDEX(CBIC_Late_Fee_Relief_Windows_3B!$I$4669:$I$100,MATCH(G4669,CBIC_Late_Fee_Relief_Windows_3B!$O$4669:$O$100,0))</f>
        <v/>
      </c>
      <c r="I4669">
        <f>MIN(F4669,H4669)</f>
        <v/>
      </c>
    </row>
    <row r="4670">
      <c r="A4670">
        <f>TEST_DATA!A4670</f>
        <v/>
      </c>
      <c r="B4670">
        <f>TEST_DATA!B4670</f>
        <v/>
      </c>
      <c r="C4670">
        <f>TEST_DATA!C4670</f>
        <v/>
      </c>
      <c r="D4670">
        <f>TEST_DATA!D4670</f>
        <v/>
      </c>
      <c r="E4670">
        <f>TEST_DATA!E4670</f>
        <v/>
      </c>
      <c r="F4670">
        <f>MIN(E4670*467000,10000)</f>
        <v/>
      </c>
      <c r="G4670">
        <f>MINIFS(CBIC_Late_Fee_Relief_Windows_3B!$O$4670:$O$100,CBIC_Late_Fee_Relief_Windows_3B!$D$4670:$D$100,"&lt;="&amp;B4670,CBIC_Late_Fee_Relief_Windows_3B!$E$4670:$E$100,"&gt;="&amp;B4670,CBIC_Late_Fee_Relief_Windows_3B!$F$4670:$F$100,"&lt;="&amp;C4670,CBIC_Late_Fee_Relief_Windows_3B!$G$4670:$G$100,"&gt;="&amp;C4670)</f>
        <v/>
      </c>
      <c r="H4670">
        <f>INDEX(CBIC_Late_Fee_Relief_Windows_3B!$I$4670:$I$100,MATCH(G4670,CBIC_Late_Fee_Relief_Windows_3B!$O$4670:$O$100,0))</f>
        <v/>
      </c>
      <c r="I4670">
        <f>MIN(F4670,H4670)</f>
        <v/>
      </c>
    </row>
    <row r="4671">
      <c r="A4671">
        <f>TEST_DATA!A4671</f>
        <v/>
      </c>
      <c r="B4671">
        <f>TEST_DATA!B4671</f>
        <v/>
      </c>
      <c r="C4671">
        <f>TEST_DATA!C4671</f>
        <v/>
      </c>
      <c r="D4671">
        <f>TEST_DATA!D4671</f>
        <v/>
      </c>
      <c r="E4671">
        <f>TEST_DATA!E4671</f>
        <v/>
      </c>
      <c r="F4671">
        <f>MIN(E4671*467100,10000)</f>
        <v/>
      </c>
      <c r="G4671">
        <f>MINIFS(CBIC_Late_Fee_Relief_Windows_3B!$O$4671:$O$100,CBIC_Late_Fee_Relief_Windows_3B!$D$4671:$D$100,"&lt;="&amp;B4671,CBIC_Late_Fee_Relief_Windows_3B!$E$4671:$E$100,"&gt;="&amp;B4671,CBIC_Late_Fee_Relief_Windows_3B!$F$4671:$F$100,"&lt;="&amp;C4671,CBIC_Late_Fee_Relief_Windows_3B!$G$4671:$G$100,"&gt;="&amp;C4671)</f>
        <v/>
      </c>
      <c r="H4671">
        <f>INDEX(CBIC_Late_Fee_Relief_Windows_3B!$I$4671:$I$100,MATCH(G4671,CBIC_Late_Fee_Relief_Windows_3B!$O$4671:$O$100,0))</f>
        <v/>
      </c>
      <c r="I4671">
        <f>MIN(F4671,H4671)</f>
        <v/>
      </c>
    </row>
    <row r="4672">
      <c r="A4672">
        <f>TEST_DATA!A4672</f>
        <v/>
      </c>
      <c r="B4672">
        <f>TEST_DATA!B4672</f>
        <v/>
      </c>
      <c r="C4672">
        <f>TEST_DATA!C4672</f>
        <v/>
      </c>
      <c r="D4672">
        <f>TEST_DATA!D4672</f>
        <v/>
      </c>
      <c r="E4672">
        <f>TEST_DATA!E4672</f>
        <v/>
      </c>
      <c r="F4672">
        <f>MIN(E4672*467200,10000)</f>
        <v/>
      </c>
      <c r="G4672">
        <f>MINIFS(CBIC_Late_Fee_Relief_Windows_3B!$O$4672:$O$100,CBIC_Late_Fee_Relief_Windows_3B!$D$4672:$D$100,"&lt;="&amp;B4672,CBIC_Late_Fee_Relief_Windows_3B!$E$4672:$E$100,"&gt;="&amp;B4672,CBIC_Late_Fee_Relief_Windows_3B!$F$4672:$F$100,"&lt;="&amp;C4672,CBIC_Late_Fee_Relief_Windows_3B!$G$4672:$G$100,"&gt;="&amp;C4672)</f>
        <v/>
      </c>
      <c r="H4672">
        <f>INDEX(CBIC_Late_Fee_Relief_Windows_3B!$I$4672:$I$100,MATCH(G4672,CBIC_Late_Fee_Relief_Windows_3B!$O$4672:$O$100,0))</f>
        <v/>
      </c>
      <c r="I4672">
        <f>MIN(F4672,H4672)</f>
        <v/>
      </c>
    </row>
    <row r="4673">
      <c r="A4673">
        <f>TEST_DATA!A4673</f>
        <v/>
      </c>
      <c r="B4673">
        <f>TEST_DATA!B4673</f>
        <v/>
      </c>
      <c r="C4673">
        <f>TEST_DATA!C4673</f>
        <v/>
      </c>
      <c r="D4673">
        <f>TEST_DATA!D4673</f>
        <v/>
      </c>
      <c r="E4673">
        <f>TEST_DATA!E4673</f>
        <v/>
      </c>
      <c r="F4673">
        <f>MIN(E4673*467300,10000)</f>
        <v/>
      </c>
      <c r="G4673">
        <f>MINIFS(CBIC_Late_Fee_Relief_Windows_3B!$O$4673:$O$100,CBIC_Late_Fee_Relief_Windows_3B!$D$4673:$D$100,"&lt;="&amp;B4673,CBIC_Late_Fee_Relief_Windows_3B!$E$4673:$E$100,"&gt;="&amp;B4673,CBIC_Late_Fee_Relief_Windows_3B!$F$4673:$F$100,"&lt;="&amp;C4673,CBIC_Late_Fee_Relief_Windows_3B!$G$4673:$G$100,"&gt;="&amp;C4673)</f>
        <v/>
      </c>
      <c r="H4673">
        <f>INDEX(CBIC_Late_Fee_Relief_Windows_3B!$I$4673:$I$100,MATCH(G4673,CBIC_Late_Fee_Relief_Windows_3B!$O$4673:$O$100,0))</f>
        <v/>
      </c>
      <c r="I4673">
        <f>MIN(F4673,H4673)</f>
        <v/>
      </c>
    </row>
    <row r="4674">
      <c r="A4674">
        <f>TEST_DATA!A4674</f>
        <v/>
      </c>
      <c r="B4674">
        <f>TEST_DATA!B4674</f>
        <v/>
      </c>
      <c r="C4674">
        <f>TEST_DATA!C4674</f>
        <v/>
      </c>
      <c r="D4674">
        <f>TEST_DATA!D4674</f>
        <v/>
      </c>
      <c r="E4674">
        <f>TEST_DATA!E4674</f>
        <v/>
      </c>
      <c r="F4674">
        <f>MIN(E4674*467400,10000)</f>
        <v/>
      </c>
      <c r="G4674">
        <f>MINIFS(CBIC_Late_Fee_Relief_Windows_3B!$O$4674:$O$100,CBIC_Late_Fee_Relief_Windows_3B!$D$4674:$D$100,"&lt;="&amp;B4674,CBIC_Late_Fee_Relief_Windows_3B!$E$4674:$E$100,"&gt;="&amp;B4674,CBIC_Late_Fee_Relief_Windows_3B!$F$4674:$F$100,"&lt;="&amp;C4674,CBIC_Late_Fee_Relief_Windows_3B!$G$4674:$G$100,"&gt;="&amp;C4674)</f>
        <v/>
      </c>
      <c r="H4674">
        <f>INDEX(CBIC_Late_Fee_Relief_Windows_3B!$I$4674:$I$100,MATCH(G4674,CBIC_Late_Fee_Relief_Windows_3B!$O$4674:$O$100,0))</f>
        <v/>
      </c>
      <c r="I4674">
        <f>MIN(F4674,H4674)</f>
        <v/>
      </c>
    </row>
    <row r="4675">
      <c r="A4675">
        <f>TEST_DATA!A4675</f>
        <v/>
      </c>
      <c r="B4675">
        <f>TEST_DATA!B4675</f>
        <v/>
      </c>
      <c r="C4675">
        <f>TEST_DATA!C4675</f>
        <v/>
      </c>
      <c r="D4675">
        <f>TEST_DATA!D4675</f>
        <v/>
      </c>
      <c r="E4675">
        <f>TEST_DATA!E4675</f>
        <v/>
      </c>
      <c r="F4675">
        <f>MIN(E4675*467500,10000)</f>
        <v/>
      </c>
      <c r="G4675">
        <f>MINIFS(CBIC_Late_Fee_Relief_Windows_3B!$O$4675:$O$100,CBIC_Late_Fee_Relief_Windows_3B!$D$4675:$D$100,"&lt;="&amp;B4675,CBIC_Late_Fee_Relief_Windows_3B!$E$4675:$E$100,"&gt;="&amp;B4675,CBIC_Late_Fee_Relief_Windows_3B!$F$4675:$F$100,"&lt;="&amp;C4675,CBIC_Late_Fee_Relief_Windows_3B!$G$4675:$G$100,"&gt;="&amp;C4675)</f>
        <v/>
      </c>
      <c r="H4675">
        <f>INDEX(CBIC_Late_Fee_Relief_Windows_3B!$I$4675:$I$100,MATCH(G4675,CBIC_Late_Fee_Relief_Windows_3B!$O$4675:$O$100,0))</f>
        <v/>
      </c>
      <c r="I4675">
        <f>MIN(F4675,H4675)</f>
        <v/>
      </c>
    </row>
    <row r="4676">
      <c r="A4676">
        <f>TEST_DATA!A4676</f>
        <v/>
      </c>
      <c r="B4676">
        <f>TEST_DATA!B4676</f>
        <v/>
      </c>
      <c r="C4676">
        <f>TEST_DATA!C4676</f>
        <v/>
      </c>
      <c r="D4676">
        <f>TEST_DATA!D4676</f>
        <v/>
      </c>
      <c r="E4676">
        <f>TEST_DATA!E4676</f>
        <v/>
      </c>
      <c r="F4676">
        <f>MIN(E4676*467600,10000)</f>
        <v/>
      </c>
      <c r="G4676">
        <f>MINIFS(CBIC_Late_Fee_Relief_Windows_3B!$O$4676:$O$100,CBIC_Late_Fee_Relief_Windows_3B!$D$4676:$D$100,"&lt;="&amp;B4676,CBIC_Late_Fee_Relief_Windows_3B!$E$4676:$E$100,"&gt;="&amp;B4676,CBIC_Late_Fee_Relief_Windows_3B!$F$4676:$F$100,"&lt;="&amp;C4676,CBIC_Late_Fee_Relief_Windows_3B!$G$4676:$G$100,"&gt;="&amp;C4676)</f>
        <v/>
      </c>
      <c r="H4676">
        <f>INDEX(CBIC_Late_Fee_Relief_Windows_3B!$I$4676:$I$100,MATCH(G4676,CBIC_Late_Fee_Relief_Windows_3B!$O$4676:$O$100,0))</f>
        <v/>
      </c>
      <c r="I4676">
        <f>MIN(F4676,H4676)</f>
        <v/>
      </c>
    </row>
    <row r="4677">
      <c r="A4677">
        <f>TEST_DATA!A4677</f>
        <v/>
      </c>
      <c r="B4677">
        <f>TEST_DATA!B4677</f>
        <v/>
      </c>
      <c r="C4677">
        <f>TEST_DATA!C4677</f>
        <v/>
      </c>
      <c r="D4677">
        <f>TEST_DATA!D4677</f>
        <v/>
      </c>
      <c r="E4677">
        <f>TEST_DATA!E4677</f>
        <v/>
      </c>
      <c r="F4677">
        <f>MIN(E4677*467700,10000)</f>
        <v/>
      </c>
      <c r="G4677">
        <f>MINIFS(CBIC_Late_Fee_Relief_Windows_3B!$O$4677:$O$100,CBIC_Late_Fee_Relief_Windows_3B!$D$4677:$D$100,"&lt;="&amp;B4677,CBIC_Late_Fee_Relief_Windows_3B!$E$4677:$E$100,"&gt;="&amp;B4677,CBIC_Late_Fee_Relief_Windows_3B!$F$4677:$F$100,"&lt;="&amp;C4677,CBIC_Late_Fee_Relief_Windows_3B!$G$4677:$G$100,"&gt;="&amp;C4677)</f>
        <v/>
      </c>
      <c r="H4677">
        <f>INDEX(CBIC_Late_Fee_Relief_Windows_3B!$I$4677:$I$100,MATCH(G4677,CBIC_Late_Fee_Relief_Windows_3B!$O$4677:$O$100,0))</f>
        <v/>
      </c>
      <c r="I4677">
        <f>MIN(F4677,H4677)</f>
        <v/>
      </c>
    </row>
    <row r="4678">
      <c r="A4678">
        <f>TEST_DATA!A4678</f>
        <v/>
      </c>
      <c r="B4678">
        <f>TEST_DATA!B4678</f>
        <v/>
      </c>
      <c r="C4678">
        <f>TEST_DATA!C4678</f>
        <v/>
      </c>
      <c r="D4678">
        <f>TEST_DATA!D4678</f>
        <v/>
      </c>
      <c r="E4678">
        <f>TEST_DATA!E4678</f>
        <v/>
      </c>
      <c r="F4678">
        <f>MIN(E4678*467800,10000)</f>
        <v/>
      </c>
      <c r="G4678">
        <f>MINIFS(CBIC_Late_Fee_Relief_Windows_3B!$O$4678:$O$100,CBIC_Late_Fee_Relief_Windows_3B!$D$4678:$D$100,"&lt;="&amp;B4678,CBIC_Late_Fee_Relief_Windows_3B!$E$4678:$E$100,"&gt;="&amp;B4678,CBIC_Late_Fee_Relief_Windows_3B!$F$4678:$F$100,"&lt;="&amp;C4678,CBIC_Late_Fee_Relief_Windows_3B!$G$4678:$G$100,"&gt;="&amp;C4678)</f>
        <v/>
      </c>
      <c r="H4678">
        <f>INDEX(CBIC_Late_Fee_Relief_Windows_3B!$I$4678:$I$100,MATCH(G4678,CBIC_Late_Fee_Relief_Windows_3B!$O$4678:$O$100,0))</f>
        <v/>
      </c>
      <c r="I4678">
        <f>MIN(F4678,H4678)</f>
        <v/>
      </c>
    </row>
    <row r="4679">
      <c r="A4679">
        <f>TEST_DATA!A4679</f>
        <v/>
      </c>
      <c r="B4679">
        <f>TEST_DATA!B4679</f>
        <v/>
      </c>
      <c r="C4679">
        <f>TEST_DATA!C4679</f>
        <v/>
      </c>
      <c r="D4679">
        <f>TEST_DATA!D4679</f>
        <v/>
      </c>
      <c r="E4679">
        <f>TEST_DATA!E4679</f>
        <v/>
      </c>
      <c r="F4679">
        <f>MIN(E4679*467900,10000)</f>
        <v/>
      </c>
      <c r="G4679">
        <f>MINIFS(CBIC_Late_Fee_Relief_Windows_3B!$O$4679:$O$100,CBIC_Late_Fee_Relief_Windows_3B!$D$4679:$D$100,"&lt;="&amp;B4679,CBIC_Late_Fee_Relief_Windows_3B!$E$4679:$E$100,"&gt;="&amp;B4679,CBIC_Late_Fee_Relief_Windows_3B!$F$4679:$F$100,"&lt;="&amp;C4679,CBIC_Late_Fee_Relief_Windows_3B!$G$4679:$G$100,"&gt;="&amp;C4679)</f>
        <v/>
      </c>
      <c r="H4679">
        <f>INDEX(CBIC_Late_Fee_Relief_Windows_3B!$I$4679:$I$100,MATCH(G4679,CBIC_Late_Fee_Relief_Windows_3B!$O$4679:$O$100,0))</f>
        <v/>
      </c>
      <c r="I4679">
        <f>MIN(F4679,H4679)</f>
        <v/>
      </c>
    </row>
    <row r="4680">
      <c r="A4680">
        <f>TEST_DATA!A4680</f>
        <v/>
      </c>
      <c r="B4680">
        <f>TEST_DATA!B4680</f>
        <v/>
      </c>
      <c r="C4680">
        <f>TEST_DATA!C4680</f>
        <v/>
      </c>
      <c r="D4680">
        <f>TEST_DATA!D4680</f>
        <v/>
      </c>
      <c r="E4680">
        <f>TEST_DATA!E4680</f>
        <v/>
      </c>
      <c r="F4680">
        <f>MIN(E4680*468000,10000)</f>
        <v/>
      </c>
      <c r="G4680">
        <f>MINIFS(CBIC_Late_Fee_Relief_Windows_3B!$O$4680:$O$100,CBIC_Late_Fee_Relief_Windows_3B!$D$4680:$D$100,"&lt;="&amp;B4680,CBIC_Late_Fee_Relief_Windows_3B!$E$4680:$E$100,"&gt;="&amp;B4680,CBIC_Late_Fee_Relief_Windows_3B!$F$4680:$F$100,"&lt;="&amp;C4680,CBIC_Late_Fee_Relief_Windows_3B!$G$4680:$G$100,"&gt;="&amp;C4680)</f>
        <v/>
      </c>
      <c r="H4680">
        <f>INDEX(CBIC_Late_Fee_Relief_Windows_3B!$I$4680:$I$100,MATCH(G4680,CBIC_Late_Fee_Relief_Windows_3B!$O$4680:$O$100,0))</f>
        <v/>
      </c>
      <c r="I4680">
        <f>MIN(F4680,H4680)</f>
        <v/>
      </c>
    </row>
    <row r="4681">
      <c r="A4681">
        <f>TEST_DATA!A4681</f>
        <v/>
      </c>
      <c r="B4681">
        <f>TEST_DATA!B4681</f>
        <v/>
      </c>
      <c r="C4681">
        <f>TEST_DATA!C4681</f>
        <v/>
      </c>
      <c r="D4681">
        <f>TEST_DATA!D4681</f>
        <v/>
      </c>
      <c r="E4681">
        <f>TEST_DATA!E4681</f>
        <v/>
      </c>
      <c r="F4681">
        <f>MIN(E4681*468100,10000)</f>
        <v/>
      </c>
      <c r="G4681">
        <f>MINIFS(CBIC_Late_Fee_Relief_Windows_3B!$O$4681:$O$100,CBIC_Late_Fee_Relief_Windows_3B!$D$4681:$D$100,"&lt;="&amp;B4681,CBIC_Late_Fee_Relief_Windows_3B!$E$4681:$E$100,"&gt;="&amp;B4681,CBIC_Late_Fee_Relief_Windows_3B!$F$4681:$F$100,"&lt;="&amp;C4681,CBIC_Late_Fee_Relief_Windows_3B!$G$4681:$G$100,"&gt;="&amp;C4681)</f>
        <v/>
      </c>
      <c r="H4681">
        <f>INDEX(CBIC_Late_Fee_Relief_Windows_3B!$I$4681:$I$100,MATCH(G4681,CBIC_Late_Fee_Relief_Windows_3B!$O$4681:$O$100,0))</f>
        <v/>
      </c>
      <c r="I4681">
        <f>MIN(F4681,H4681)</f>
        <v/>
      </c>
    </row>
    <row r="4682">
      <c r="A4682">
        <f>TEST_DATA!A4682</f>
        <v/>
      </c>
      <c r="B4682">
        <f>TEST_DATA!B4682</f>
        <v/>
      </c>
      <c r="C4682">
        <f>TEST_DATA!C4682</f>
        <v/>
      </c>
      <c r="D4682">
        <f>TEST_DATA!D4682</f>
        <v/>
      </c>
      <c r="E4682">
        <f>TEST_DATA!E4682</f>
        <v/>
      </c>
      <c r="F4682">
        <f>MIN(E4682*468200,10000)</f>
        <v/>
      </c>
      <c r="G4682">
        <f>MINIFS(CBIC_Late_Fee_Relief_Windows_3B!$O$4682:$O$100,CBIC_Late_Fee_Relief_Windows_3B!$D$4682:$D$100,"&lt;="&amp;B4682,CBIC_Late_Fee_Relief_Windows_3B!$E$4682:$E$100,"&gt;="&amp;B4682,CBIC_Late_Fee_Relief_Windows_3B!$F$4682:$F$100,"&lt;="&amp;C4682,CBIC_Late_Fee_Relief_Windows_3B!$G$4682:$G$100,"&gt;="&amp;C4682)</f>
        <v/>
      </c>
      <c r="H4682">
        <f>INDEX(CBIC_Late_Fee_Relief_Windows_3B!$I$4682:$I$100,MATCH(G4682,CBIC_Late_Fee_Relief_Windows_3B!$O$4682:$O$100,0))</f>
        <v/>
      </c>
      <c r="I4682">
        <f>MIN(F4682,H4682)</f>
        <v/>
      </c>
    </row>
    <row r="4683">
      <c r="A4683">
        <f>TEST_DATA!A4683</f>
        <v/>
      </c>
      <c r="B4683">
        <f>TEST_DATA!B4683</f>
        <v/>
      </c>
      <c r="C4683">
        <f>TEST_DATA!C4683</f>
        <v/>
      </c>
      <c r="D4683">
        <f>TEST_DATA!D4683</f>
        <v/>
      </c>
      <c r="E4683">
        <f>TEST_DATA!E4683</f>
        <v/>
      </c>
      <c r="F4683">
        <f>MIN(E4683*468300,10000)</f>
        <v/>
      </c>
      <c r="G4683">
        <f>MINIFS(CBIC_Late_Fee_Relief_Windows_3B!$O$4683:$O$100,CBIC_Late_Fee_Relief_Windows_3B!$D$4683:$D$100,"&lt;="&amp;B4683,CBIC_Late_Fee_Relief_Windows_3B!$E$4683:$E$100,"&gt;="&amp;B4683,CBIC_Late_Fee_Relief_Windows_3B!$F$4683:$F$100,"&lt;="&amp;C4683,CBIC_Late_Fee_Relief_Windows_3B!$G$4683:$G$100,"&gt;="&amp;C4683)</f>
        <v/>
      </c>
      <c r="H4683">
        <f>INDEX(CBIC_Late_Fee_Relief_Windows_3B!$I$4683:$I$100,MATCH(G4683,CBIC_Late_Fee_Relief_Windows_3B!$O$4683:$O$100,0))</f>
        <v/>
      </c>
      <c r="I4683">
        <f>MIN(F4683,H4683)</f>
        <v/>
      </c>
    </row>
    <row r="4684">
      <c r="A4684">
        <f>TEST_DATA!A4684</f>
        <v/>
      </c>
      <c r="B4684">
        <f>TEST_DATA!B4684</f>
        <v/>
      </c>
      <c r="C4684">
        <f>TEST_DATA!C4684</f>
        <v/>
      </c>
      <c r="D4684">
        <f>TEST_DATA!D4684</f>
        <v/>
      </c>
      <c r="E4684">
        <f>TEST_DATA!E4684</f>
        <v/>
      </c>
      <c r="F4684">
        <f>MIN(E4684*468400,10000)</f>
        <v/>
      </c>
      <c r="G4684">
        <f>MINIFS(CBIC_Late_Fee_Relief_Windows_3B!$O$4684:$O$100,CBIC_Late_Fee_Relief_Windows_3B!$D$4684:$D$100,"&lt;="&amp;B4684,CBIC_Late_Fee_Relief_Windows_3B!$E$4684:$E$100,"&gt;="&amp;B4684,CBIC_Late_Fee_Relief_Windows_3B!$F$4684:$F$100,"&lt;="&amp;C4684,CBIC_Late_Fee_Relief_Windows_3B!$G$4684:$G$100,"&gt;="&amp;C4684)</f>
        <v/>
      </c>
      <c r="H4684">
        <f>INDEX(CBIC_Late_Fee_Relief_Windows_3B!$I$4684:$I$100,MATCH(G4684,CBIC_Late_Fee_Relief_Windows_3B!$O$4684:$O$100,0))</f>
        <v/>
      </c>
      <c r="I4684">
        <f>MIN(F4684,H4684)</f>
        <v/>
      </c>
    </row>
    <row r="4685">
      <c r="A4685">
        <f>TEST_DATA!A4685</f>
        <v/>
      </c>
      <c r="B4685">
        <f>TEST_DATA!B4685</f>
        <v/>
      </c>
      <c r="C4685">
        <f>TEST_DATA!C4685</f>
        <v/>
      </c>
      <c r="D4685">
        <f>TEST_DATA!D4685</f>
        <v/>
      </c>
      <c r="E4685">
        <f>TEST_DATA!E4685</f>
        <v/>
      </c>
      <c r="F4685">
        <f>MIN(E4685*468500,10000)</f>
        <v/>
      </c>
      <c r="G4685">
        <f>MINIFS(CBIC_Late_Fee_Relief_Windows_3B!$O$4685:$O$100,CBIC_Late_Fee_Relief_Windows_3B!$D$4685:$D$100,"&lt;="&amp;B4685,CBIC_Late_Fee_Relief_Windows_3B!$E$4685:$E$100,"&gt;="&amp;B4685,CBIC_Late_Fee_Relief_Windows_3B!$F$4685:$F$100,"&lt;="&amp;C4685,CBIC_Late_Fee_Relief_Windows_3B!$G$4685:$G$100,"&gt;="&amp;C4685)</f>
        <v/>
      </c>
      <c r="H4685">
        <f>INDEX(CBIC_Late_Fee_Relief_Windows_3B!$I$4685:$I$100,MATCH(G4685,CBIC_Late_Fee_Relief_Windows_3B!$O$4685:$O$100,0))</f>
        <v/>
      </c>
      <c r="I4685">
        <f>MIN(F4685,H4685)</f>
        <v/>
      </c>
    </row>
    <row r="4686">
      <c r="A4686">
        <f>TEST_DATA!A4686</f>
        <v/>
      </c>
      <c r="B4686">
        <f>TEST_DATA!B4686</f>
        <v/>
      </c>
      <c r="C4686">
        <f>TEST_DATA!C4686</f>
        <v/>
      </c>
      <c r="D4686">
        <f>TEST_DATA!D4686</f>
        <v/>
      </c>
      <c r="E4686">
        <f>TEST_DATA!E4686</f>
        <v/>
      </c>
      <c r="F4686">
        <f>MIN(E4686*468600,10000)</f>
        <v/>
      </c>
      <c r="G4686">
        <f>MINIFS(CBIC_Late_Fee_Relief_Windows_3B!$O$4686:$O$100,CBIC_Late_Fee_Relief_Windows_3B!$D$4686:$D$100,"&lt;="&amp;B4686,CBIC_Late_Fee_Relief_Windows_3B!$E$4686:$E$100,"&gt;="&amp;B4686,CBIC_Late_Fee_Relief_Windows_3B!$F$4686:$F$100,"&lt;="&amp;C4686,CBIC_Late_Fee_Relief_Windows_3B!$G$4686:$G$100,"&gt;="&amp;C4686)</f>
        <v/>
      </c>
      <c r="H4686">
        <f>INDEX(CBIC_Late_Fee_Relief_Windows_3B!$I$4686:$I$100,MATCH(G4686,CBIC_Late_Fee_Relief_Windows_3B!$O$4686:$O$100,0))</f>
        <v/>
      </c>
      <c r="I4686">
        <f>MIN(F4686,H4686)</f>
        <v/>
      </c>
    </row>
    <row r="4687">
      <c r="A4687">
        <f>TEST_DATA!A4687</f>
        <v/>
      </c>
      <c r="B4687">
        <f>TEST_DATA!B4687</f>
        <v/>
      </c>
      <c r="C4687">
        <f>TEST_DATA!C4687</f>
        <v/>
      </c>
      <c r="D4687">
        <f>TEST_DATA!D4687</f>
        <v/>
      </c>
      <c r="E4687">
        <f>TEST_DATA!E4687</f>
        <v/>
      </c>
      <c r="F4687">
        <f>MIN(E4687*468700,10000)</f>
        <v/>
      </c>
      <c r="G4687">
        <f>MINIFS(CBIC_Late_Fee_Relief_Windows_3B!$O$4687:$O$100,CBIC_Late_Fee_Relief_Windows_3B!$D$4687:$D$100,"&lt;="&amp;B4687,CBIC_Late_Fee_Relief_Windows_3B!$E$4687:$E$100,"&gt;="&amp;B4687,CBIC_Late_Fee_Relief_Windows_3B!$F$4687:$F$100,"&lt;="&amp;C4687,CBIC_Late_Fee_Relief_Windows_3B!$G$4687:$G$100,"&gt;="&amp;C4687)</f>
        <v/>
      </c>
      <c r="H4687">
        <f>INDEX(CBIC_Late_Fee_Relief_Windows_3B!$I$4687:$I$100,MATCH(G4687,CBIC_Late_Fee_Relief_Windows_3B!$O$4687:$O$100,0))</f>
        <v/>
      </c>
      <c r="I4687">
        <f>MIN(F4687,H4687)</f>
        <v/>
      </c>
    </row>
    <row r="4688">
      <c r="A4688">
        <f>TEST_DATA!A4688</f>
        <v/>
      </c>
      <c r="B4688">
        <f>TEST_DATA!B4688</f>
        <v/>
      </c>
      <c r="C4688">
        <f>TEST_DATA!C4688</f>
        <v/>
      </c>
      <c r="D4688">
        <f>TEST_DATA!D4688</f>
        <v/>
      </c>
      <c r="E4688">
        <f>TEST_DATA!E4688</f>
        <v/>
      </c>
      <c r="F4688">
        <f>MIN(E4688*468800,10000)</f>
        <v/>
      </c>
      <c r="G4688">
        <f>MINIFS(CBIC_Late_Fee_Relief_Windows_3B!$O$4688:$O$100,CBIC_Late_Fee_Relief_Windows_3B!$D$4688:$D$100,"&lt;="&amp;B4688,CBIC_Late_Fee_Relief_Windows_3B!$E$4688:$E$100,"&gt;="&amp;B4688,CBIC_Late_Fee_Relief_Windows_3B!$F$4688:$F$100,"&lt;="&amp;C4688,CBIC_Late_Fee_Relief_Windows_3B!$G$4688:$G$100,"&gt;="&amp;C4688)</f>
        <v/>
      </c>
      <c r="H4688">
        <f>INDEX(CBIC_Late_Fee_Relief_Windows_3B!$I$4688:$I$100,MATCH(G4688,CBIC_Late_Fee_Relief_Windows_3B!$O$4688:$O$100,0))</f>
        <v/>
      </c>
      <c r="I4688">
        <f>MIN(F4688,H4688)</f>
        <v/>
      </c>
    </row>
    <row r="4689">
      <c r="A4689">
        <f>TEST_DATA!A4689</f>
        <v/>
      </c>
      <c r="B4689">
        <f>TEST_DATA!B4689</f>
        <v/>
      </c>
      <c r="C4689">
        <f>TEST_DATA!C4689</f>
        <v/>
      </c>
      <c r="D4689">
        <f>TEST_DATA!D4689</f>
        <v/>
      </c>
      <c r="E4689">
        <f>TEST_DATA!E4689</f>
        <v/>
      </c>
      <c r="F4689">
        <f>MIN(E4689*468900,10000)</f>
        <v/>
      </c>
      <c r="G4689">
        <f>MINIFS(CBIC_Late_Fee_Relief_Windows_3B!$O$4689:$O$100,CBIC_Late_Fee_Relief_Windows_3B!$D$4689:$D$100,"&lt;="&amp;B4689,CBIC_Late_Fee_Relief_Windows_3B!$E$4689:$E$100,"&gt;="&amp;B4689,CBIC_Late_Fee_Relief_Windows_3B!$F$4689:$F$100,"&lt;="&amp;C4689,CBIC_Late_Fee_Relief_Windows_3B!$G$4689:$G$100,"&gt;="&amp;C4689)</f>
        <v/>
      </c>
      <c r="H4689">
        <f>INDEX(CBIC_Late_Fee_Relief_Windows_3B!$I$4689:$I$100,MATCH(G4689,CBIC_Late_Fee_Relief_Windows_3B!$O$4689:$O$100,0))</f>
        <v/>
      </c>
      <c r="I4689">
        <f>MIN(F4689,H4689)</f>
        <v/>
      </c>
    </row>
    <row r="4690">
      <c r="A4690">
        <f>TEST_DATA!A4690</f>
        <v/>
      </c>
      <c r="B4690">
        <f>TEST_DATA!B4690</f>
        <v/>
      </c>
      <c r="C4690">
        <f>TEST_DATA!C4690</f>
        <v/>
      </c>
      <c r="D4690">
        <f>TEST_DATA!D4690</f>
        <v/>
      </c>
      <c r="E4690">
        <f>TEST_DATA!E4690</f>
        <v/>
      </c>
      <c r="F4690">
        <f>MIN(E4690*469000,10000)</f>
        <v/>
      </c>
      <c r="G4690">
        <f>MINIFS(CBIC_Late_Fee_Relief_Windows_3B!$O$4690:$O$100,CBIC_Late_Fee_Relief_Windows_3B!$D$4690:$D$100,"&lt;="&amp;B4690,CBIC_Late_Fee_Relief_Windows_3B!$E$4690:$E$100,"&gt;="&amp;B4690,CBIC_Late_Fee_Relief_Windows_3B!$F$4690:$F$100,"&lt;="&amp;C4690,CBIC_Late_Fee_Relief_Windows_3B!$G$4690:$G$100,"&gt;="&amp;C4690)</f>
        <v/>
      </c>
      <c r="H4690">
        <f>INDEX(CBIC_Late_Fee_Relief_Windows_3B!$I$4690:$I$100,MATCH(G4690,CBIC_Late_Fee_Relief_Windows_3B!$O$4690:$O$100,0))</f>
        <v/>
      </c>
      <c r="I4690">
        <f>MIN(F4690,H4690)</f>
        <v/>
      </c>
    </row>
    <row r="4691">
      <c r="A4691">
        <f>TEST_DATA!A4691</f>
        <v/>
      </c>
      <c r="B4691">
        <f>TEST_DATA!B4691</f>
        <v/>
      </c>
      <c r="C4691">
        <f>TEST_DATA!C4691</f>
        <v/>
      </c>
      <c r="D4691">
        <f>TEST_DATA!D4691</f>
        <v/>
      </c>
      <c r="E4691">
        <f>TEST_DATA!E4691</f>
        <v/>
      </c>
      <c r="F4691">
        <f>MIN(E4691*469100,10000)</f>
        <v/>
      </c>
      <c r="G4691">
        <f>MINIFS(CBIC_Late_Fee_Relief_Windows_3B!$O$4691:$O$100,CBIC_Late_Fee_Relief_Windows_3B!$D$4691:$D$100,"&lt;="&amp;B4691,CBIC_Late_Fee_Relief_Windows_3B!$E$4691:$E$100,"&gt;="&amp;B4691,CBIC_Late_Fee_Relief_Windows_3B!$F$4691:$F$100,"&lt;="&amp;C4691,CBIC_Late_Fee_Relief_Windows_3B!$G$4691:$G$100,"&gt;="&amp;C4691)</f>
        <v/>
      </c>
      <c r="H4691">
        <f>INDEX(CBIC_Late_Fee_Relief_Windows_3B!$I$4691:$I$100,MATCH(G4691,CBIC_Late_Fee_Relief_Windows_3B!$O$4691:$O$100,0))</f>
        <v/>
      </c>
      <c r="I4691">
        <f>MIN(F4691,H4691)</f>
        <v/>
      </c>
    </row>
    <row r="4692">
      <c r="A4692">
        <f>TEST_DATA!A4692</f>
        <v/>
      </c>
      <c r="B4692">
        <f>TEST_DATA!B4692</f>
        <v/>
      </c>
      <c r="C4692">
        <f>TEST_DATA!C4692</f>
        <v/>
      </c>
      <c r="D4692">
        <f>TEST_DATA!D4692</f>
        <v/>
      </c>
      <c r="E4692">
        <f>TEST_DATA!E4692</f>
        <v/>
      </c>
      <c r="F4692">
        <f>MIN(E4692*469200,10000)</f>
        <v/>
      </c>
      <c r="G4692">
        <f>MINIFS(CBIC_Late_Fee_Relief_Windows_3B!$O$4692:$O$100,CBIC_Late_Fee_Relief_Windows_3B!$D$4692:$D$100,"&lt;="&amp;B4692,CBIC_Late_Fee_Relief_Windows_3B!$E$4692:$E$100,"&gt;="&amp;B4692,CBIC_Late_Fee_Relief_Windows_3B!$F$4692:$F$100,"&lt;="&amp;C4692,CBIC_Late_Fee_Relief_Windows_3B!$G$4692:$G$100,"&gt;="&amp;C4692)</f>
        <v/>
      </c>
      <c r="H4692">
        <f>INDEX(CBIC_Late_Fee_Relief_Windows_3B!$I$4692:$I$100,MATCH(G4692,CBIC_Late_Fee_Relief_Windows_3B!$O$4692:$O$100,0))</f>
        <v/>
      </c>
      <c r="I4692">
        <f>MIN(F4692,H4692)</f>
        <v/>
      </c>
    </row>
    <row r="4693">
      <c r="A4693">
        <f>TEST_DATA!A4693</f>
        <v/>
      </c>
      <c r="B4693">
        <f>TEST_DATA!B4693</f>
        <v/>
      </c>
      <c r="C4693">
        <f>TEST_DATA!C4693</f>
        <v/>
      </c>
      <c r="D4693">
        <f>TEST_DATA!D4693</f>
        <v/>
      </c>
      <c r="E4693">
        <f>TEST_DATA!E4693</f>
        <v/>
      </c>
      <c r="F4693">
        <f>MIN(E4693*469300,10000)</f>
        <v/>
      </c>
      <c r="G4693">
        <f>MINIFS(CBIC_Late_Fee_Relief_Windows_3B!$O$4693:$O$100,CBIC_Late_Fee_Relief_Windows_3B!$D$4693:$D$100,"&lt;="&amp;B4693,CBIC_Late_Fee_Relief_Windows_3B!$E$4693:$E$100,"&gt;="&amp;B4693,CBIC_Late_Fee_Relief_Windows_3B!$F$4693:$F$100,"&lt;="&amp;C4693,CBIC_Late_Fee_Relief_Windows_3B!$G$4693:$G$100,"&gt;="&amp;C4693)</f>
        <v/>
      </c>
      <c r="H4693">
        <f>INDEX(CBIC_Late_Fee_Relief_Windows_3B!$I$4693:$I$100,MATCH(G4693,CBIC_Late_Fee_Relief_Windows_3B!$O$4693:$O$100,0))</f>
        <v/>
      </c>
      <c r="I4693">
        <f>MIN(F4693,H4693)</f>
        <v/>
      </c>
    </row>
    <row r="4694">
      <c r="A4694">
        <f>TEST_DATA!A4694</f>
        <v/>
      </c>
      <c r="B4694">
        <f>TEST_DATA!B4694</f>
        <v/>
      </c>
      <c r="C4694">
        <f>TEST_DATA!C4694</f>
        <v/>
      </c>
      <c r="D4694">
        <f>TEST_DATA!D4694</f>
        <v/>
      </c>
      <c r="E4694">
        <f>TEST_DATA!E4694</f>
        <v/>
      </c>
      <c r="F4694">
        <f>MIN(E4694*469400,10000)</f>
        <v/>
      </c>
      <c r="G4694">
        <f>MINIFS(CBIC_Late_Fee_Relief_Windows_3B!$O$4694:$O$100,CBIC_Late_Fee_Relief_Windows_3B!$D$4694:$D$100,"&lt;="&amp;B4694,CBIC_Late_Fee_Relief_Windows_3B!$E$4694:$E$100,"&gt;="&amp;B4694,CBIC_Late_Fee_Relief_Windows_3B!$F$4694:$F$100,"&lt;="&amp;C4694,CBIC_Late_Fee_Relief_Windows_3B!$G$4694:$G$100,"&gt;="&amp;C4694)</f>
        <v/>
      </c>
      <c r="H4694">
        <f>INDEX(CBIC_Late_Fee_Relief_Windows_3B!$I$4694:$I$100,MATCH(G4694,CBIC_Late_Fee_Relief_Windows_3B!$O$4694:$O$100,0))</f>
        <v/>
      </c>
      <c r="I4694">
        <f>MIN(F4694,H4694)</f>
        <v/>
      </c>
    </row>
    <row r="4695">
      <c r="A4695">
        <f>TEST_DATA!A4695</f>
        <v/>
      </c>
      <c r="B4695">
        <f>TEST_DATA!B4695</f>
        <v/>
      </c>
      <c r="C4695">
        <f>TEST_DATA!C4695</f>
        <v/>
      </c>
      <c r="D4695">
        <f>TEST_DATA!D4695</f>
        <v/>
      </c>
      <c r="E4695">
        <f>TEST_DATA!E4695</f>
        <v/>
      </c>
      <c r="F4695">
        <f>MIN(E4695*469500,10000)</f>
        <v/>
      </c>
      <c r="G4695">
        <f>MINIFS(CBIC_Late_Fee_Relief_Windows_3B!$O$4695:$O$100,CBIC_Late_Fee_Relief_Windows_3B!$D$4695:$D$100,"&lt;="&amp;B4695,CBIC_Late_Fee_Relief_Windows_3B!$E$4695:$E$100,"&gt;="&amp;B4695,CBIC_Late_Fee_Relief_Windows_3B!$F$4695:$F$100,"&lt;="&amp;C4695,CBIC_Late_Fee_Relief_Windows_3B!$G$4695:$G$100,"&gt;="&amp;C4695)</f>
        <v/>
      </c>
      <c r="H4695">
        <f>INDEX(CBIC_Late_Fee_Relief_Windows_3B!$I$4695:$I$100,MATCH(G4695,CBIC_Late_Fee_Relief_Windows_3B!$O$4695:$O$100,0))</f>
        <v/>
      </c>
      <c r="I4695">
        <f>MIN(F4695,H4695)</f>
        <v/>
      </c>
    </row>
    <row r="4696">
      <c r="A4696">
        <f>TEST_DATA!A4696</f>
        <v/>
      </c>
      <c r="B4696">
        <f>TEST_DATA!B4696</f>
        <v/>
      </c>
      <c r="C4696">
        <f>TEST_DATA!C4696</f>
        <v/>
      </c>
      <c r="D4696">
        <f>TEST_DATA!D4696</f>
        <v/>
      </c>
      <c r="E4696">
        <f>TEST_DATA!E4696</f>
        <v/>
      </c>
      <c r="F4696">
        <f>MIN(E4696*469600,10000)</f>
        <v/>
      </c>
      <c r="G4696">
        <f>MINIFS(CBIC_Late_Fee_Relief_Windows_3B!$O$4696:$O$100,CBIC_Late_Fee_Relief_Windows_3B!$D$4696:$D$100,"&lt;="&amp;B4696,CBIC_Late_Fee_Relief_Windows_3B!$E$4696:$E$100,"&gt;="&amp;B4696,CBIC_Late_Fee_Relief_Windows_3B!$F$4696:$F$100,"&lt;="&amp;C4696,CBIC_Late_Fee_Relief_Windows_3B!$G$4696:$G$100,"&gt;="&amp;C4696)</f>
        <v/>
      </c>
      <c r="H4696">
        <f>INDEX(CBIC_Late_Fee_Relief_Windows_3B!$I$4696:$I$100,MATCH(G4696,CBIC_Late_Fee_Relief_Windows_3B!$O$4696:$O$100,0))</f>
        <v/>
      </c>
      <c r="I4696">
        <f>MIN(F4696,H4696)</f>
        <v/>
      </c>
    </row>
    <row r="4697">
      <c r="A4697">
        <f>TEST_DATA!A4697</f>
        <v/>
      </c>
      <c r="B4697">
        <f>TEST_DATA!B4697</f>
        <v/>
      </c>
      <c r="C4697">
        <f>TEST_DATA!C4697</f>
        <v/>
      </c>
      <c r="D4697">
        <f>TEST_DATA!D4697</f>
        <v/>
      </c>
      <c r="E4697">
        <f>TEST_DATA!E4697</f>
        <v/>
      </c>
      <c r="F4697">
        <f>MIN(E4697*469700,10000)</f>
        <v/>
      </c>
      <c r="G4697">
        <f>MINIFS(CBIC_Late_Fee_Relief_Windows_3B!$O$4697:$O$100,CBIC_Late_Fee_Relief_Windows_3B!$D$4697:$D$100,"&lt;="&amp;B4697,CBIC_Late_Fee_Relief_Windows_3B!$E$4697:$E$100,"&gt;="&amp;B4697,CBIC_Late_Fee_Relief_Windows_3B!$F$4697:$F$100,"&lt;="&amp;C4697,CBIC_Late_Fee_Relief_Windows_3B!$G$4697:$G$100,"&gt;="&amp;C4697)</f>
        <v/>
      </c>
      <c r="H4697">
        <f>INDEX(CBIC_Late_Fee_Relief_Windows_3B!$I$4697:$I$100,MATCH(G4697,CBIC_Late_Fee_Relief_Windows_3B!$O$4697:$O$100,0))</f>
        <v/>
      </c>
      <c r="I4697">
        <f>MIN(F4697,H4697)</f>
        <v/>
      </c>
    </row>
    <row r="4698">
      <c r="A4698">
        <f>TEST_DATA!A4698</f>
        <v/>
      </c>
      <c r="B4698">
        <f>TEST_DATA!B4698</f>
        <v/>
      </c>
      <c r="C4698">
        <f>TEST_DATA!C4698</f>
        <v/>
      </c>
      <c r="D4698">
        <f>TEST_DATA!D4698</f>
        <v/>
      </c>
      <c r="E4698">
        <f>TEST_DATA!E4698</f>
        <v/>
      </c>
      <c r="F4698">
        <f>MIN(E4698*469800,10000)</f>
        <v/>
      </c>
      <c r="G4698">
        <f>MINIFS(CBIC_Late_Fee_Relief_Windows_3B!$O$4698:$O$100,CBIC_Late_Fee_Relief_Windows_3B!$D$4698:$D$100,"&lt;="&amp;B4698,CBIC_Late_Fee_Relief_Windows_3B!$E$4698:$E$100,"&gt;="&amp;B4698,CBIC_Late_Fee_Relief_Windows_3B!$F$4698:$F$100,"&lt;="&amp;C4698,CBIC_Late_Fee_Relief_Windows_3B!$G$4698:$G$100,"&gt;="&amp;C4698)</f>
        <v/>
      </c>
      <c r="H4698">
        <f>INDEX(CBIC_Late_Fee_Relief_Windows_3B!$I$4698:$I$100,MATCH(G4698,CBIC_Late_Fee_Relief_Windows_3B!$O$4698:$O$100,0))</f>
        <v/>
      </c>
      <c r="I4698">
        <f>MIN(F4698,H4698)</f>
        <v/>
      </c>
    </row>
    <row r="4699">
      <c r="A4699">
        <f>TEST_DATA!A4699</f>
        <v/>
      </c>
      <c r="B4699">
        <f>TEST_DATA!B4699</f>
        <v/>
      </c>
      <c r="C4699">
        <f>TEST_DATA!C4699</f>
        <v/>
      </c>
      <c r="D4699">
        <f>TEST_DATA!D4699</f>
        <v/>
      </c>
      <c r="E4699">
        <f>TEST_DATA!E4699</f>
        <v/>
      </c>
      <c r="F4699">
        <f>MIN(E4699*469900,10000)</f>
        <v/>
      </c>
      <c r="G4699">
        <f>MINIFS(CBIC_Late_Fee_Relief_Windows_3B!$O$4699:$O$100,CBIC_Late_Fee_Relief_Windows_3B!$D$4699:$D$100,"&lt;="&amp;B4699,CBIC_Late_Fee_Relief_Windows_3B!$E$4699:$E$100,"&gt;="&amp;B4699,CBIC_Late_Fee_Relief_Windows_3B!$F$4699:$F$100,"&lt;="&amp;C4699,CBIC_Late_Fee_Relief_Windows_3B!$G$4699:$G$100,"&gt;="&amp;C4699)</f>
        <v/>
      </c>
      <c r="H4699">
        <f>INDEX(CBIC_Late_Fee_Relief_Windows_3B!$I$4699:$I$100,MATCH(G4699,CBIC_Late_Fee_Relief_Windows_3B!$O$4699:$O$100,0))</f>
        <v/>
      </c>
      <c r="I4699">
        <f>MIN(F4699,H4699)</f>
        <v/>
      </c>
    </row>
    <row r="4700">
      <c r="A4700">
        <f>TEST_DATA!A4700</f>
        <v/>
      </c>
      <c r="B4700">
        <f>TEST_DATA!B4700</f>
        <v/>
      </c>
      <c r="C4700">
        <f>TEST_DATA!C4700</f>
        <v/>
      </c>
      <c r="D4700">
        <f>TEST_DATA!D4700</f>
        <v/>
      </c>
      <c r="E4700">
        <f>TEST_DATA!E4700</f>
        <v/>
      </c>
      <c r="F4700">
        <f>MIN(E4700*470000,10000)</f>
        <v/>
      </c>
      <c r="G4700">
        <f>MINIFS(CBIC_Late_Fee_Relief_Windows_3B!$O$4700:$O$100,CBIC_Late_Fee_Relief_Windows_3B!$D$4700:$D$100,"&lt;="&amp;B4700,CBIC_Late_Fee_Relief_Windows_3B!$E$4700:$E$100,"&gt;="&amp;B4700,CBIC_Late_Fee_Relief_Windows_3B!$F$4700:$F$100,"&lt;="&amp;C4700,CBIC_Late_Fee_Relief_Windows_3B!$G$4700:$G$100,"&gt;="&amp;C4700)</f>
        <v/>
      </c>
      <c r="H4700">
        <f>INDEX(CBIC_Late_Fee_Relief_Windows_3B!$I$4700:$I$100,MATCH(G4700,CBIC_Late_Fee_Relief_Windows_3B!$O$4700:$O$100,0))</f>
        <v/>
      </c>
      <c r="I4700">
        <f>MIN(F4700,H4700)</f>
        <v/>
      </c>
    </row>
    <row r="4701">
      <c r="A4701">
        <f>TEST_DATA!A4701</f>
        <v/>
      </c>
      <c r="B4701">
        <f>TEST_DATA!B4701</f>
        <v/>
      </c>
      <c r="C4701">
        <f>TEST_DATA!C4701</f>
        <v/>
      </c>
      <c r="D4701">
        <f>TEST_DATA!D4701</f>
        <v/>
      </c>
      <c r="E4701">
        <f>TEST_DATA!E4701</f>
        <v/>
      </c>
      <c r="F4701">
        <f>MIN(E4701*470100,10000)</f>
        <v/>
      </c>
      <c r="G4701">
        <f>MINIFS(CBIC_Late_Fee_Relief_Windows_3B!$O$4701:$O$100,CBIC_Late_Fee_Relief_Windows_3B!$D$4701:$D$100,"&lt;="&amp;B4701,CBIC_Late_Fee_Relief_Windows_3B!$E$4701:$E$100,"&gt;="&amp;B4701,CBIC_Late_Fee_Relief_Windows_3B!$F$4701:$F$100,"&lt;="&amp;C4701,CBIC_Late_Fee_Relief_Windows_3B!$G$4701:$G$100,"&gt;="&amp;C4701)</f>
        <v/>
      </c>
      <c r="H4701">
        <f>INDEX(CBIC_Late_Fee_Relief_Windows_3B!$I$4701:$I$100,MATCH(G4701,CBIC_Late_Fee_Relief_Windows_3B!$O$4701:$O$100,0))</f>
        <v/>
      </c>
      <c r="I4701">
        <f>MIN(F4701,H4701)</f>
        <v/>
      </c>
    </row>
    <row r="4702">
      <c r="A4702">
        <f>TEST_DATA!A4702</f>
        <v/>
      </c>
      <c r="B4702">
        <f>TEST_DATA!B4702</f>
        <v/>
      </c>
      <c r="C4702">
        <f>TEST_DATA!C4702</f>
        <v/>
      </c>
      <c r="D4702">
        <f>TEST_DATA!D4702</f>
        <v/>
      </c>
      <c r="E4702">
        <f>TEST_DATA!E4702</f>
        <v/>
      </c>
      <c r="F4702">
        <f>MIN(E4702*470200,10000)</f>
        <v/>
      </c>
      <c r="G4702">
        <f>MINIFS(CBIC_Late_Fee_Relief_Windows_3B!$O$4702:$O$100,CBIC_Late_Fee_Relief_Windows_3B!$D$4702:$D$100,"&lt;="&amp;B4702,CBIC_Late_Fee_Relief_Windows_3B!$E$4702:$E$100,"&gt;="&amp;B4702,CBIC_Late_Fee_Relief_Windows_3B!$F$4702:$F$100,"&lt;="&amp;C4702,CBIC_Late_Fee_Relief_Windows_3B!$G$4702:$G$100,"&gt;="&amp;C4702)</f>
        <v/>
      </c>
      <c r="H4702">
        <f>INDEX(CBIC_Late_Fee_Relief_Windows_3B!$I$4702:$I$100,MATCH(G4702,CBIC_Late_Fee_Relief_Windows_3B!$O$4702:$O$100,0))</f>
        <v/>
      </c>
      <c r="I4702">
        <f>MIN(F4702,H4702)</f>
        <v/>
      </c>
    </row>
    <row r="4703">
      <c r="A4703">
        <f>TEST_DATA!A4703</f>
        <v/>
      </c>
      <c r="B4703">
        <f>TEST_DATA!B4703</f>
        <v/>
      </c>
      <c r="C4703">
        <f>TEST_DATA!C4703</f>
        <v/>
      </c>
      <c r="D4703">
        <f>TEST_DATA!D4703</f>
        <v/>
      </c>
      <c r="E4703">
        <f>TEST_DATA!E4703</f>
        <v/>
      </c>
      <c r="F4703">
        <f>MIN(E4703*470300,10000)</f>
        <v/>
      </c>
      <c r="G4703">
        <f>MINIFS(CBIC_Late_Fee_Relief_Windows_3B!$O$4703:$O$100,CBIC_Late_Fee_Relief_Windows_3B!$D$4703:$D$100,"&lt;="&amp;B4703,CBIC_Late_Fee_Relief_Windows_3B!$E$4703:$E$100,"&gt;="&amp;B4703,CBIC_Late_Fee_Relief_Windows_3B!$F$4703:$F$100,"&lt;="&amp;C4703,CBIC_Late_Fee_Relief_Windows_3B!$G$4703:$G$100,"&gt;="&amp;C4703)</f>
        <v/>
      </c>
      <c r="H4703">
        <f>INDEX(CBIC_Late_Fee_Relief_Windows_3B!$I$4703:$I$100,MATCH(G4703,CBIC_Late_Fee_Relief_Windows_3B!$O$4703:$O$100,0))</f>
        <v/>
      </c>
      <c r="I4703">
        <f>MIN(F4703,H4703)</f>
        <v/>
      </c>
    </row>
    <row r="4704">
      <c r="A4704">
        <f>TEST_DATA!A4704</f>
        <v/>
      </c>
      <c r="B4704">
        <f>TEST_DATA!B4704</f>
        <v/>
      </c>
      <c r="C4704">
        <f>TEST_DATA!C4704</f>
        <v/>
      </c>
      <c r="D4704">
        <f>TEST_DATA!D4704</f>
        <v/>
      </c>
      <c r="E4704">
        <f>TEST_DATA!E4704</f>
        <v/>
      </c>
      <c r="F4704">
        <f>MIN(E4704*470400,10000)</f>
        <v/>
      </c>
      <c r="G4704">
        <f>MINIFS(CBIC_Late_Fee_Relief_Windows_3B!$O$4704:$O$100,CBIC_Late_Fee_Relief_Windows_3B!$D$4704:$D$100,"&lt;="&amp;B4704,CBIC_Late_Fee_Relief_Windows_3B!$E$4704:$E$100,"&gt;="&amp;B4704,CBIC_Late_Fee_Relief_Windows_3B!$F$4704:$F$100,"&lt;="&amp;C4704,CBIC_Late_Fee_Relief_Windows_3B!$G$4704:$G$100,"&gt;="&amp;C4704)</f>
        <v/>
      </c>
      <c r="H4704">
        <f>INDEX(CBIC_Late_Fee_Relief_Windows_3B!$I$4704:$I$100,MATCH(G4704,CBIC_Late_Fee_Relief_Windows_3B!$O$4704:$O$100,0))</f>
        <v/>
      </c>
      <c r="I4704">
        <f>MIN(F4704,H4704)</f>
        <v/>
      </c>
    </row>
    <row r="4705">
      <c r="A4705">
        <f>TEST_DATA!A4705</f>
        <v/>
      </c>
      <c r="B4705">
        <f>TEST_DATA!B4705</f>
        <v/>
      </c>
      <c r="C4705">
        <f>TEST_DATA!C4705</f>
        <v/>
      </c>
      <c r="D4705">
        <f>TEST_DATA!D4705</f>
        <v/>
      </c>
      <c r="E4705">
        <f>TEST_DATA!E4705</f>
        <v/>
      </c>
      <c r="F4705">
        <f>MIN(E4705*470500,10000)</f>
        <v/>
      </c>
      <c r="G4705">
        <f>MINIFS(CBIC_Late_Fee_Relief_Windows_3B!$O$4705:$O$100,CBIC_Late_Fee_Relief_Windows_3B!$D$4705:$D$100,"&lt;="&amp;B4705,CBIC_Late_Fee_Relief_Windows_3B!$E$4705:$E$100,"&gt;="&amp;B4705,CBIC_Late_Fee_Relief_Windows_3B!$F$4705:$F$100,"&lt;="&amp;C4705,CBIC_Late_Fee_Relief_Windows_3B!$G$4705:$G$100,"&gt;="&amp;C4705)</f>
        <v/>
      </c>
      <c r="H4705">
        <f>INDEX(CBIC_Late_Fee_Relief_Windows_3B!$I$4705:$I$100,MATCH(G4705,CBIC_Late_Fee_Relief_Windows_3B!$O$4705:$O$100,0))</f>
        <v/>
      </c>
      <c r="I4705">
        <f>MIN(F4705,H4705)</f>
        <v/>
      </c>
    </row>
    <row r="4706">
      <c r="A4706">
        <f>TEST_DATA!A4706</f>
        <v/>
      </c>
      <c r="B4706">
        <f>TEST_DATA!B4706</f>
        <v/>
      </c>
      <c r="C4706">
        <f>TEST_DATA!C4706</f>
        <v/>
      </c>
      <c r="D4706">
        <f>TEST_DATA!D4706</f>
        <v/>
      </c>
      <c r="E4706">
        <f>TEST_DATA!E4706</f>
        <v/>
      </c>
      <c r="F4706">
        <f>MIN(E4706*470600,10000)</f>
        <v/>
      </c>
      <c r="G4706">
        <f>MINIFS(CBIC_Late_Fee_Relief_Windows_3B!$O$4706:$O$100,CBIC_Late_Fee_Relief_Windows_3B!$D$4706:$D$100,"&lt;="&amp;B4706,CBIC_Late_Fee_Relief_Windows_3B!$E$4706:$E$100,"&gt;="&amp;B4706,CBIC_Late_Fee_Relief_Windows_3B!$F$4706:$F$100,"&lt;="&amp;C4706,CBIC_Late_Fee_Relief_Windows_3B!$G$4706:$G$100,"&gt;="&amp;C4706)</f>
        <v/>
      </c>
      <c r="H4706">
        <f>INDEX(CBIC_Late_Fee_Relief_Windows_3B!$I$4706:$I$100,MATCH(G4706,CBIC_Late_Fee_Relief_Windows_3B!$O$4706:$O$100,0))</f>
        <v/>
      </c>
      <c r="I4706">
        <f>MIN(F4706,H4706)</f>
        <v/>
      </c>
    </row>
    <row r="4707">
      <c r="A4707">
        <f>TEST_DATA!A4707</f>
        <v/>
      </c>
      <c r="B4707">
        <f>TEST_DATA!B4707</f>
        <v/>
      </c>
      <c r="C4707">
        <f>TEST_DATA!C4707</f>
        <v/>
      </c>
      <c r="D4707">
        <f>TEST_DATA!D4707</f>
        <v/>
      </c>
      <c r="E4707">
        <f>TEST_DATA!E4707</f>
        <v/>
      </c>
      <c r="F4707">
        <f>MIN(E4707*470700,10000)</f>
        <v/>
      </c>
      <c r="G4707">
        <f>MINIFS(CBIC_Late_Fee_Relief_Windows_3B!$O$4707:$O$100,CBIC_Late_Fee_Relief_Windows_3B!$D$4707:$D$100,"&lt;="&amp;B4707,CBIC_Late_Fee_Relief_Windows_3B!$E$4707:$E$100,"&gt;="&amp;B4707,CBIC_Late_Fee_Relief_Windows_3B!$F$4707:$F$100,"&lt;="&amp;C4707,CBIC_Late_Fee_Relief_Windows_3B!$G$4707:$G$100,"&gt;="&amp;C4707)</f>
        <v/>
      </c>
      <c r="H4707">
        <f>INDEX(CBIC_Late_Fee_Relief_Windows_3B!$I$4707:$I$100,MATCH(G4707,CBIC_Late_Fee_Relief_Windows_3B!$O$4707:$O$100,0))</f>
        <v/>
      </c>
      <c r="I4707">
        <f>MIN(F4707,H4707)</f>
        <v/>
      </c>
    </row>
    <row r="4708">
      <c r="A4708">
        <f>TEST_DATA!A4708</f>
        <v/>
      </c>
      <c r="B4708">
        <f>TEST_DATA!B4708</f>
        <v/>
      </c>
      <c r="C4708">
        <f>TEST_DATA!C4708</f>
        <v/>
      </c>
      <c r="D4708">
        <f>TEST_DATA!D4708</f>
        <v/>
      </c>
      <c r="E4708">
        <f>TEST_DATA!E4708</f>
        <v/>
      </c>
      <c r="F4708">
        <f>MIN(E4708*470800,10000)</f>
        <v/>
      </c>
      <c r="G4708">
        <f>MINIFS(CBIC_Late_Fee_Relief_Windows_3B!$O$4708:$O$100,CBIC_Late_Fee_Relief_Windows_3B!$D$4708:$D$100,"&lt;="&amp;B4708,CBIC_Late_Fee_Relief_Windows_3B!$E$4708:$E$100,"&gt;="&amp;B4708,CBIC_Late_Fee_Relief_Windows_3B!$F$4708:$F$100,"&lt;="&amp;C4708,CBIC_Late_Fee_Relief_Windows_3B!$G$4708:$G$100,"&gt;="&amp;C4708)</f>
        <v/>
      </c>
      <c r="H4708">
        <f>INDEX(CBIC_Late_Fee_Relief_Windows_3B!$I$4708:$I$100,MATCH(G4708,CBIC_Late_Fee_Relief_Windows_3B!$O$4708:$O$100,0))</f>
        <v/>
      </c>
      <c r="I4708">
        <f>MIN(F4708,H4708)</f>
        <v/>
      </c>
    </row>
    <row r="4709">
      <c r="A4709">
        <f>TEST_DATA!A4709</f>
        <v/>
      </c>
      <c r="B4709">
        <f>TEST_DATA!B4709</f>
        <v/>
      </c>
      <c r="C4709">
        <f>TEST_DATA!C4709</f>
        <v/>
      </c>
      <c r="D4709">
        <f>TEST_DATA!D4709</f>
        <v/>
      </c>
      <c r="E4709">
        <f>TEST_DATA!E4709</f>
        <v/>
      </c>
      <c r="F4709">
        <f>MIN(E4709*470900,10000)</f>
        <v/>
      </c>
      <c r="G4709">
        <f>MINIFS(CBIC_Late_Fee_Relief_Windows_3B!$O$4709:$O$100,CBIC_Late_Fee_Relief_Windows_3B!$D$4709:$D$100,"&lt;="&amp;B4709,CBIC_Late_Fee_Relief_Windows_3B!$E$4709:$E$100,"&gt;="&amp;B4709,CBIC_Late_Fee_Relief_Windows_3B!$F$4709:$F$100,"&lt;="&amp;C4709,CBIC_Late_Fee_Relief_Windows_3B!$G$4709:$G$100,"&gt;="&amp;C4709)</f>
        <v/>
      </c>
      <c r="H4709">
        <f>INDEX(CBIC_Late_Fee_Relief_Windows_3B!$I$4709:$I$100,MATCH(G4709,CBIC_Late_Fee_Relief_Windows_3B!$O$4709:$O$100,0))</f>
        <v/>
      </c>
      <c r="I4709">
        <f>MIN(F4709,H4709)</f>
        <v/>
      </c>
    </row>
    <row r="4710">
      <c r="A4710">
        <f>TEST_DATA!A4710</f>
        <v/>
      </c>
      <c r="B4710">
        <f>TEST_DATA!B4710</f>
        <v/>
      </c>
      <c r="C4710">
        <f>TEST_DATA!C4710</f>
        <v/>
      </c>
      <c r="D4710">
        <f>TEST_DATA!D4710</f>
        <v/>
      </c>
      <c r="E4710">
        <f>TEST_DATA!E4710</f>
        <v/>
      </c>
      <c r="F4710">
        <f>MIN(E4710*471000,10000)</f>
        <v/>
      </c>
      <c r="G4710">
        <f>MINIFS(CBIC_Late_Fee_Relief_Windows_3B!$O$4710:$O$100,CBIC_Late_Fee_Relief_Windows_3B!$D$4710:$D$100,"&lt;="&amp;B4710,CBIC_Late_Fee_Relief_Windows_3B!$E$4710:$E$100,"&gt;="&amp;B4710,CBIC_Late_Fee_Relief_Windows_3B!$F$4710:$F$100,"&lt;="&amp;C4710,CBIC_Late_Fee_Relief_Windows_3B!$G$4710:$G$100,"&gt;="&amp;C4710)</f>
        <v/>
      </c>
      <c r="H4710">
        <f>INDEX(CBIC_Late_Fee_Relief_Windows_3B!$I$4710:$I$100,MATCH(G4710,CBIC_Late_Fee_Relief_Windows_3B!$O$4710:$O$100,0))</f>
        <v/>
      </c>
      <c r="I4710">
        <f>MIN(F4710,H4710)</f>
        <v/>
      </c>
    </row>
    <row r="4711">
      <c r="A4711">
        <f>TEST_DATA!A4711</f>
        <v/>
      </c>
      <c r="B4711">
        <f>TEST_DATA!B4711</f>
        <v/>
      </c>
      <c r="C4711">
        <f>TEST_DATA!C4711</f>
        <v/>
      </c>
      <c r="D4711">
        <f>TEST_DATA!D4711</f>
        <v/>
      </c>
      <c r="E4711">
        <f>TEST_DATA!E4711</f>
        <v/>
      </c>
      <c r="F4711">
        <f>MIN(E4711*471100,10000)</f>
        <v/>
      </c>
      <c r="G4711">
        <f>MINIFS(CBIC_Late_Fee_Relief_Windows_3B!$O$4711:$O$100,CBIC_Late_Fee_Relief_Windows_3B!$D$4711:$D$100,"&lt;="&amp;B4711,CBIC_Late_Fee_Relief_Windows_3B!$E$4711:$E$100,"&gt;="&amp;B4711,CBIC_Late_Fee_Relief_Windows_3B!$F$4711:$F$100,"&lt;="&amp;C4711,CBIC_Late_Fee_Relief_Windows_3B!$G$4711:$G$100,"&gt;="&amp;C4711)</f>
        <v/>
      </c>
      <c r="H4711">
        <f>INDEX(CBIC_Late_Fee_Relief_Windows_3B!$I$4711:$I$100,MATCH(G4711,CBIC_Late_Fee_Relief_Windows_3B!$O$4711:$O$100,0))</f>
        <v/>
      </c>
      <c r="I4711">
        <f>MIN(F4711,H4711)</f>
        <v/>
      </c>
    </row>
    <row r="4712">
      <c r="A4712">
        <f>TEST_DATA!A4712</f>
        <v/>
      </c>
      <c r="B4712">
        <f>TEST_DATA!B4712</f>
        <v/>
      </c>
      <c r="C4712">
        <f>TEST_DATA!C4712</f>
        <v/>
      </c>
      <c r="D4712">
        <f>TEST_DATA!D4712</f>
        <v/>
      </c>
      <c r="E4712">
        <f>TEST_DATA!E4712</f>
        <v/>
      </c>
      <c r="F4712">
        <f>MIN(E4712*471200,10000)</f>
        <v/>
      </c>
      <c r="G4712">
        <f>MINIFS(CBIC_Late_Fee_Relief_Windows_3B!$O$4712:$O$100,CBIC_Late_Fee_Relief_Windows_3B!$D$4712:$D$100,"&lt;="&amp;B4712,CBIC_Late_Fee_Relief_Windows_3B!$E$4712:$E$100,"&gt;="&amp;B4712,CBIC_Late_Fee_Relief_Windows_3B!$F$4712:$F$100,"&lt;="&amp;C4712,CBIC_Late_Fee_Relief_Windows_3B!$G$4712:$G$100,"&gt;="&amp;C4712)</f>
        <v/>
      </c>
      <c r="H4712">
        <f>INDEX(CBIC_Late_Fee_Relief_Windows_3B!$I$4712:$I$100,MATCH(G4712,CBIC_Late_Fee_Relief_Windows_3B!$O$4712:$O$100,0))</f>
        <v/>
      </c>
      <c r="I4712">
        <f>MIN(F4712,H4712)</f>
        <v/>
      </c>
    </row>
    <row r="4713">
      <c r="A4713">
        <f>TEST_DATA!A4713</f>
        <v/>
      </c>
      <c r="B4713">
        <f>TEST_DATA!B4713</f>
        <v/>
      </c>
      <c r="C4713">
        <f>TEST_DATA!C4713</f>
        <v/>
      </c>
      <c r="D4713">
        <f>TEST_DATA!D4713</f>
        <v/>
      </c>
      <c r="E4713">
        <f>TEST_DATA!E4713</f>
        <v/>
      </c>
      <c r="F4713">
        <f>MIN(E4713*471300,10000)</f>
        <v/>
      </c>
      <c r="G4713">
        <f>MINIFS(CBIC_Late_Fee_Relief_Windows_3B!$O$4713:$O$100,CBIC_Late_Fee_Relief_Windows_3B!$D$4713:$D$100,"&lt;="&amp;B4713,CBIC_Late_Fee_Relief_Windows_3B!$E$4713:$E$100,"&gt;="&amp;B4713,CBIC_Late_Fee_Relief_Windows_3B!$F$4713:$F$100,"&lt;="&amp;C4713,CBIC_Late_Fee_Relief_Windows_3B!$G$4713:$G$100,"&gt;="&amp;C4713)</f>
        <v/>
      </c>
      <c r="H4713">
        <f>INDEX(CBIC_Late_Fee_Relief_Windows_3B!$I$4713:$I$100,MATCH(G4713,CBIC_Late_Fee_Relief_Windows_3B!$O$4713:$O$100,0))</f>
        <v/>
      </c>
      <c r="I4713">
        <f>MIN(F4713,H4713)</f>
        <v/>
      </c>
    </row>
    <row r="4714">
      <c r="A4714">
        <f>TEST_DATA!A4714</f>
        <v/>
      </c>
      <c r="B4714">
        <f>TEST_DATA!B4714</f>
        <v/>
      </c>
      <c r="C4714">
        <f>TEST_DATA!C4714</f>
        <v/>
      </c>
      <c r="D4714">
        <f>TEST_DATA!D4714</f>
        <v/>
      </c>
      <c r="E4714">
        <f>TEST_DATA!E4714</f>
        <v/>
      </c>
      <c r="F4714">
        <f>MIN(E4714*471400,10000)</f>
        <v/>
      </c>
      <c r="G4714">
        <f>MINIFS(CBIC_Late_Fee_Relief_Windows_3B!$O$4714:$O$100,CBIC_Late_Fee_Relief_Windows_3B!$D$4714:$D$100,"&lt;="&amp;B4714,CBIC_Late_Fee_Relief_Windows_3B!$E$4714:$E$100,"&gt;="&amp;B4714,CBIC_Late_Fee_Relief_Windows_3B!$F$4714:$F$100,"&lt;="&amp;C4714,CBIC_Late_Fee_Relief_Windows_3B!$G$4714:$G$100,"&gt;="&amp;C4714)</f>
        <v/>
      </c>
      <c r="H4714">
        <f>INDEX(CBIC_Late_Fee_Relief_Windows_3B!$I$4714:$I$100,MATCH(G4714,CBIC_Late_Fee_Relief_Windows_3B!$O$4714:$O$100,0))</f>
        <v/>
      </c>
      <c r="I4714">
        <f>MIN(F4714,H4714)</f>
        <v/>
      </c>
    </row>
    <row r="4715">
      <c r="A4715">
        <f>TEST_DATA!A4715</f>
        <v/>
      </c>
      <c r="B4715">
        <f>TEST_DATA!B4715</f>
        <v/>
      </c>
      <c r="C4715">
        <f>TEST_DATA!C4715</f>
        <v/>
      </c>
      <c r="D4715">
        <f>TEST_DATA!D4715</f>
        <v/>
      </c>
      <c r="E4715">
        <f>TEST_DATA!E4715</f>
        <v/>
      </c>
      <c r="F4715">
        <f>MIN(E4715*471500,10000)</f>
        <v/>
      </c>
      <c r="G4715">
        <f>MINIFS(CBIC_Late_Fee_Relief_Windows_3B!$O$4715:$O$100,CBIC_Late_Fee_Relief_Windows_3B!$D$4715:$D$100,"&lt;="&amp;B4715,CBIC_Late_Fee_Relief_Windows_3B!$E$4715:$E$100,"&gt;="&amp;B4715,CBIC_Late_Fee_Relief_Windows_3B!$F$4715:$F$100,"&lt;="&amp;C4715,CBIC_Late_Fee_Relief_Windows_3B!$G$4715:$G$100,"&gt;="&amp;C4715)</f>
        <v/>
      </c>
      <c r="H4715">
        <f>INDEX(CBIC_Late_Fee_Relief_Windows_3B!$I$4715:$I$100,MATCH(G4715,CBIC_Late_Fee_Relief_Windows_3B!$O$4715:$O$100,0))</f>
        <v/>
      </c>
      <c r="I4715">
        <f>MIN(F4715,H4715)</f>
        <v/>
      </c>
    </row>
    <row r="4716">
      <c r="A4716">
        <f>TEST_DATA!A4716</f>
        <v/>
      </c>
      <c r="B4716">
        <f>TEST_DATA!B4716</f>
        <v/>
      </c>
      <c r="C4716">
        <f>TEST_DATA!C4716</f>
        <v/>
      </c>
      <c r="D4716">
        <f>TEST_DATA!D4716</f>
        <v/>
      </c>
      <c r="E4716">
        <f>TEST_DATA!E4716</f>
        <v/>
      </c>
      <c r="F4716">
        <f>MIN(E4716*471600,10000)</f>
        <v/>
      </c>
      <c r="G4716">
        <f>MINIFS(CBIC_Late_Fee_Relief_Windows_3B!$O$4716:$O$100,CBIC_Late_Fee_Relief_Windows_3B!$D$4716:$D$100,"&lt;="&amp;B4716,CBIC_Late_Fee_Relief_Windows_3B!$E$4716:$E$100,"&gt;="&amp;B4716,CBIC_Late_Fee_Relief_Windows_3B!$F$4716:$F$100,"&lt;="&amp;C4716,CBIC_Late_Fee_Relief_Windows_3B!$G$4716:$G$100,"&gt;="&amp;C4716)</f>
        <v/>
      </c>
      <c r="H4716">
        <f>INDEX(CBIC_Late_Fee_Relief_Windows_3B!$I$4716:$I$100,MATCH(G4716,CBIC_Late_Fee_Relief_Windows_3B!$O$4716:$O$100,0))</f>
        <v/>
      </c>
      <c r="I4716">
        <f>MIN(F4716,H4716)</f>
        <v/>
      </c>
    </row>
    <row r="4717">
      <c r="A4717">
        <f>TEST_DATA!A4717</f>
        <v/>
      </c>
      <c r="B4717">
        <f>TEST_DATA!B4717</f>
        <v/>
      </c>
      <c r="C4717">
        <f>TEST_DATA!C4717</f>
        <v/>
      </c>
      <c r="D4717">
        <f>TEST_DATA!D4717</f>
        <v/>
      </c>
      <c r="E4717">
        <f>TEST_DATA!E4717</f>
        <v/>
      </c>
      <c r="F4717">
        <f>MIN(E4717*471700,10000)</f>
        <v/>
      </c>
      <c r="G4717">
        <f>MINIFS(CBIC_Late_Fee_Relief_Windows_3B!$O$4717:$O$100,CBIC_Late_Fee_Relief_Windows_3B!$D$4717:$D$100,"&lt;="&amp;B4717,CBIC_Late_Fee_Relief_Windows_3B!$E$4717:$E$100,"&gt;="&amp;B4717,CBIC_Late_Fee_Relief_Windows_3B!$F$4717:$F$100,"&lt;="&amp;C4717,CBIC_Late_Fee_Relief_Windows_3B!$G$4717:$G$100,"&gt;="&amp;C4717)</f>
        <v/>
      </c>
      <c r="H4717">
        <f>INDEX(CBIC_Late_Fee_Relief_Windows_3B!$I$4717:$I$100,MATCH(G4717,CBIC_Late_Fee_Relief_Windows_3B!$O$4717:$O$100,0))</f>
        <v/>
      </c>
      <c r="I4717">
        <f>MIN(F4717,H4717)</f>
        <v/>
      </c>
    </row>
    <row r="4718">
      <c r="A4718">
        <f>TEST_DATA!A4718</f>
        <v/>
      </c>
      <c r="B4718">
        <f>TEST_DATA!B4718</f>
        <v/>
      </c>
      <c r="C4718">
        <f>TEST_DATA!C4718</f>
        <v/>
      </c>
      <c r="D4718">
        <f>TEST_DATA!D4718</f>
        <v/>
      </c>
      <c r="E4718">
        <f>TEST_DATA!E4718</f>
        <v/>
      </c>
      <c r="F4718">
        <f>MIN(E4718*471800,10000)</f>
        <v/>
      </c>
      <c r="G4718">
        <f>MINIFS(CBIC_Late_Fee_Relief_Windows_3B!$O$4718:$O$100,CBIC_Late_Fee_Relief_Windows_3B!$D$4718:$D$100,"&lt;="&amp;B4718,CBIC_Late_Fee_Relief_Windows_3B!$E$4718:$E$100,"&gt;="&amp;B4718,CBIC_Late_Fee_Relief_Windows_3B!$F$4718:$F$100,"&lt;="&amp;C4718,CBIC_Late_Fee_Relief_Windows_3B!$G$4718:$G$100,"&gt;="&amp;C4718)</f>
        <v/>
      </c>
      <c r="H4718">
        <f>INDEX(CBIC_Late_Fee_Relief_Windows_3B!$I$4718:$I$100,MATCH(G4718,CBIC_Late_Fee_Relief_Windows_3B!$O$4718:$O$100,0))</f>
        <v/>
      </c>
      <c r="I4718">
        <f>MIN(F4718,H4718)</f>
        <v/>
      </c>
    </row>
    <row r="4719">
      <c r="A4719">
        <f>TEST_DATA!A4719</f>
        <v/>
      </c>
      <c r="B4719">
        <f>TEST_DATA!B4719</f>
        <v/>
      </c>
      <c r="C4719">
        <f>TEST_DATA!C4719</f>
        <v/>
      </c>
      <c r="D4719">
        <f>TEST_DATA!D4719</f>
        <v/>
      </c>
      <c r="E4719">
        <f>TEST_DATA!E4719</f>
        <v/>
      </c>
      <c r="F4719">
        <f>MIN(E4719*471900,10000)</f>
        <v/>
      </c>
      <c r="G4719">
        <f>MINIFS(CBIC_Late_Fee_Relief_Windows_3B!$O$4719:$O$100,CBIC_Late_Fee_Relief_Windows_3B!$D$4719:$D$100,"&lt;="&amp;B4719,CBIC_Late_Fee_Relief_Windows_3B!$E$4719:$E$100,"&gt;="&amp;B4719,CBIC_Late_Fee_Relief_Windows_3B!$F$4719:$F$100,"&lt;="&amp;C4719,CBIC_Late_Fee_Relief_Windows_3B!$G$4719:$G$100,"&gt;="&amp;C4719)</f>
        <v/>
      </c>
      <c r="H4719">
        <f>INDEX(CBIC_Late_Fee_Relief_Windows_3B!$I$4719:$I$100,MATCH(G4719,CBIC_Late_Fee_Relief_Windows_3B!$O$4719:$O$100,0))</f>
        <v/>
      </c>
      <c r="I4719">
        <f>MIN(F4719,H4719)</f>
        <v/>
      </c>
    </row>
    <row r="4720">
      <c r="A4720">
        <f>TEST_DATA!A4720</f>
        <v/>
      </c>
      <c r="B4720">
        <f>TEST_DATA!B4720</f>
        <v/>
      </c>
      <c r="C4720">
        <f>TEST_DATA!C4720</f>
        <v/>
      </c>
      <c r="D4720">
        <f>TEST_DATA!D4720</f>
        <v/>
      </c>
      <c r="E4720">
        <f>TEST_DATA!E4720</f>
        <v/>
      </c>
      <c r="F4720">
        <f>MIN(E4720*472000,10000)</f>
        <v/>
      </c>
      <c r="G4720">
        <f>MINIFS(CBIC_Late_Fee_Relief_Windows_3B!$O$4720:$O$100,CBIC_Late_Fee_Relief_Windows_3B!$D$4720:$D$100,"&lt;="&amp;B4720,CBIC_Late_Fee_Relief_Windows_3B!$E$4720:$E$100,"&gt;="&amp;B4720,CBIC_Late_Fee_Relief_Windows_3B!$F$4720:$F$100,"&lt;="&amp;C4720,CBIC_Late_Fee_Relief_Windows_3B!$G$4720:$G$100,"&gt;="&amp;C4720)</f>
        <v/>
      </c>
      <c r="H4720">
        <f>INDEX(CBIC_Late_Fee_Relief_Windows_3B!$I$4720:$I$100,MATCH(G4720,CBIC_Late_Fee_Relief_Windows_3B!$O$4720:$O$100,0))</f>
        <v/>
      </c>
      <c r="I4720">
        <f>MIN(F4720,H4720)</f>
        <v/>
      </c>
    </row>
    <row r="4721">
      <c r="A4721">
        <f>TEST_DATA!A4721</f>
        <v/>
      </c>
      <c r="B4721">
        <f>TEST_DATA!B4721</f>
        <v/>
      </c>
      <c r="C4721">
        <f>TEST_DATA!C4721</f>
        <v/>
      </c>
      <c r="D4721">
        <f>TEST_DATA!D4721</f>
        <v/>
      </c>
      <c r="E4721">
        <f>TEST_DATA!E4721</f>
        <v/>
      </c>
      <c r="F4721">
        <f>MIN(E4721*472100,10000)</f>
        <v/>
      </c>
      <c r="G4721">
        <f>MINIFS(CBIC_Late_Fee_Relief_Windows_3B!$O$4721:$O$100,CBIC_Late_Fee_Relief_Windows_3B!$D$4721:$D$100,"&lt;="&amp;B4721,CBIC_Late_Fee_Relief_Windows_3B!$E$4721:$E$100,"&gt;="&amp;B4721,CBIC_Late_Fee_Relief_Windows_3B!$F$4721:$F$100,"&lt;="&amp;C4721,CBIC_Late_Fee_Relief_Windows_3B!$G$4721:$G$100,"&gt;="&amp;C4721)</f>
        <v/>
      </c>
      <c r="H4721">
        <f>INDEX(CBIC_Late_Fee_Relief_Windows_3B!$I$4721:$I$100,MATCH(G4721,CBIC_Late_Fee_Relief_Windows_3B!$O$4721:$O$100,0))</f>
        <v/>
      </c>
      <c r="I4721">
        <f>MIN(F4721,H4721)</f>
        <v/>
      </c>
    </row>
    <row r="4722">
      <c r="A4722">
        <f>TEST_DATA!A4722</f>
        <v/>
      </c>
      <c r="B4722">
        <f>TEST_DATA!B4722</f>
        <v/>
      </c>
      <c r="C4722">
        <f>TEST_DATA!C4722</f>
        <v/>
      </c>
      <c r="D4722">
        <f>TEST_DATA!D4722</f>
        <v/>
      </c>
      <c r="E4722">
        <f>TEST_DATA!E4722</f>
        <v/>
      </c>
      <c r="F4722">
        <f>MIN(E4722*472200,10000)</f>
        <v/>
      </c>
      <c r="G4722">
        <f>MINIFS(CBIC_Late_Fee_Relief_Windows_3B!$O$4722:$O$100,CBIC_Late_Fee_Relief_Windows_3B!$D$4722:$D$100,"&lt;="&amp;B4722,CBIC_Late_Fee_Relief_Windows_3B!$E$4722:$E$100,"&gt;="&amp;B4722,CBIC_Late_Fee_Relief_Windows_3B!$F$4722:$F$100,"&lt;="&amp;C4722,CBIC_Late_Fee_Relief_Windows_3B!$G$4722:$G$100,"&gt;="&amp;C4722)</f>
        <v/>
      </c>
      <c r="H4722">
        <f>INDEX(CBIC_Late_Fee_Relief_Windows_3B!$I$4722:$I$100,MATCH(G4722,CBIC_Late_Fee_Relief_Windows_3B!$O$4722:$O$100,0))</f>
        <v/>
      </c>
      <c r="I4722">
        <f>MIN(F4722,H4722)</f>
        <v/>
      </c>
    </row>
    <row r="4723">
      <c r="A4723">
        <f>TEST_DATA!A4723</f>
        <v/>
      </c>
      <c r="B4723">
        <f>TEST_DATA!B4723</f>
        <v/>
      </c>
      <c r="C4723">
        <f>TEST_DATA!C4723</f>
        <v/>
      </c>
      <c r="D4723">
        <f>TEST_DATA!D4723</f>
        <v/>
      </c>
      <c r="E4723">
        <f>TEST_DATA!E4723</f>
        <v/>
      </c>
      <c r="F4723">
        <f>MIN(E4723*472300,10000)</f>
        <v/>
      </c>
      <c r="G4723">
        <f>MINIFS(CBIC_Late_Fee_Relief_Windows_3B!$O$4723:$O$100,CBIC_Late_Fee_Relief_Windows_3B!$D$4723:$D$100,"&lt;="&amp;B4723,CBIC_Late_Fee_Relief_Windows_3B!$E$4723:$E$100,"&gt;="&amp;B4723,CBIC_Late_Fee_Relief_Windows_3B!$F$4723:$F$100,"&lt;="&amp;C4723,CBIC_Late_Fee_Relief_Windows_3B!$G$4723:$G$100,"&gt;="&amp;C4723)</f>
        <v/>
      </c>
      <c r="H4723">
        <f>INDEX(CBIC_Late_Fee_Relief_Windows_3B!$I$4723:$I$100,MATCH(G4723,CBIC_Late_Fee_Relief_Windows_3B!$O$4723:$O$100,0))</f>
        <v/>
      </c>
      <c r="I4723">
        <f>MIN(F4723,H4723)</f>
        <v/>
      </c>
    </row>
    <row r="4724">
      <c r="A4724">
        <f>TEST_DATA!A4724</f>
        <v/>
      </c>
      <c r="B4724">
        <f>TEST_DATA!B4724</f>
        <v/>
      </c>
      <c r="C4724">
        <f>TEST_DATA!C4724</f>
        <v/>
      </c>
      <c r="D4724">
        <f>TEST_DATA!D4724</f>
        <v/>
      </c>
      <c r="E4724">
        <f>TEST_DATA!E4724</f>
        <v/>
      </c>
      <c r="F4724">
        <f>MIN(E4724*472400,10000)</f>
        <v/>
      </c>
      <c r="G4724">
        <f>MINIFS(CBIC_Late_Fee_Relief_Windows_3B!$O$4724:$O$100,CBIC_Late_Fee_Relief_Windows_3B!$D$4724:$D$100,"&lt;="&amp;B4724,CBIC_Late_Fee_Relief_Windows_3B!$E$4724:$E$100,"&gt;="&amp;B4724,CBIC_Late_Fee_Relief_Windows_3B!$F$4724:$F$100,"&lt;="&amp;C4724,CBIC_Late_Fee_Relief_Windows_3B!$G$4724:$G$100,"&gt;="&amp;C4724)</f>
        <v/>
      </c>
      <c r="H4724">
        <f>INDEX(CBIC_Late_Fee_Relief_Windows_3B!$I$4724:$I$100,MATCH(G4724,CBIC_Late_Fee_Relief_Windows_3B!$O$4724:$O$100,0))</f>
        <v/>
      </c>
      <c r="I4724">
        <f>MIN(F4724,H4724)</f>
        <v/>
      </c>
    </row>
    <row r="4725">
      <c r="A4725">
        <f>TEST_DATA!A4725</f>
        <v/>
      </c>
      <c r="B4725">
        <f>TEST_DATA!B4725</f>
        <v/>
      </c>
      <c r="C4725">
        <f>TEST_DATA!C4725</f>
        <v/>
      </c>
      <c r="D4725">
        <f>TEST_DATA!D4725</f>
        <v/>
      </c>
      <c r="E4725">
        <f>TEST_DATA!E4725</f>
        <v/>
      </c>
      <c r="F4725">
        <f>MIN(E4725*472500,10000)</f>
        <v/>
      </c>
      <c r="G4725">
        <f>MINIFS(CBIC_Late_Fee_Relief_Windows_3B!$O$4725:$O$100,CBIC_Late_Fee_Relief_Windows_3B!$D$4725:$D$100,"&lt;="&amp;B4725,CBIC_Late_Fee_Relief_Windows_3B!$E$4725:$E$100,"&gt;="&amp;B4725,CBIC_Late_Fee_Relief_Windows_3B!$F$4725:$F$100,"&lt;="&amp;C4725,CBIC_Late_Fee_Relief_Windows_3B!$G$4725:$G$100,"&gt;="&amp;C4725)</f>
        <v/>
      </c>
      <c r="H4725">
        <f>INDEX(CBIC_Late_Fee_Relief_Windows_3B!$I$4725:$I$100,MATCH(G4725,CBIC_Late_Fee_Relief_Windows_3B!$O$4725:$O$100,0))</f>
        <v/>
      </c>
      <c r="I4725">
        <f>MIN(F4725,H4725)</f>
        <v/>
      </c>
    </row>
    <row r="4726">
      <c r="A4726">
        <f>TEST_DATA!A4726</f>
        <v/>
      </c>
      <c r="B4726">
        <f>TEST_DATA!B4726</f>
        <v/>
      </c>
      <c r="C4726">
        <f>TEST_DATA!C4726</f>
        <v/>
      </c>
      <c r="D4726">
        <f>TEST_DATA!D4726</f>
        <v/>
      </c>
      <c r="E4726">
        <f>TEST_DATA!E4726</f>
        <v/>
      </c>
      <c r="F4726">
        <f>MIN(E4726*472600,10000)</f>
        <v/>
      </c>
      <c r="G4726">
        <f>MINIFS(CBIC_Late_Fee_Relief_Windows_3B!$O$4726:$O$100,CBIC_Late_Fee_Relief_Windows_3B!$D$4726:$D$100,"&lt;="&amp;B4726,CBIC_Late_Fee_Relief_Windows_3B!$E$4726:$E$100,"&gt;="&amp;B4726,CBIC_Late_Fee_Relief_Windows_3B!$F$4726:$F$100,"&lt;="&amp;C4726,CBIC_Late_Fee_Relief_Windows_3B!$G$4726:$G$100,"&gt;="&amp;C4726)</f>
        <v/>
      </c>
      <c r="H4726">
        <f>INDEX(CBIC_Late_Fee_Relief_Windows_3B!$I$4726:$I$100,MATCH(G4726,CBIC_Late_Fee_Relief_Windows_3B!$O$4726:$O$100,0))</f>
        <v/>
      </c>
      <c r="I4726">
        <f>MIN(F4726,H4726)</f>
        <v/>
      </c>
    </row>
    <row r="4727">
      <c r="A4727">
        <f>TEST_DATA!A4727</f>
        <v/>
      </c>
      <c r="B4727">
        <f>TEST_DATA!B4727</f>
        <v/>
      </c>
      <c r="C4727">
        <f>TEST_DATA!C4727</f>
        <v/>
      </c>
      <c r="D4727">
        <f>TEST_DATA!D4727</f>
        <v/>
      </c>
      <c r="E4727">
        <f>TEST_DATA!E4727</f>
        <v/>
      </c>
      <c r="F4727">
        <f>MIN(E4727*472700,10000)</f>
        <v/>
      </c>
      <c r="G4727">
        <f>MINIFS(CBIC_Late_Fee_Relief_Windows_3B!$O$4727:$O$100,CBIC_Late_Fee_Relief_Windows_3B!$D$4727:$D$100,"&lt;="&amp;B4727,CBIC_Late_Fee_Relief_Windows_3B!$E$4727:$E$100,"&gt;="&amp;B4727,CBIC_Late_Fee_Relief_Windows_3B!$F$4727:$F$100,"&lt;="&amp;C4727,CBIC_Late_Fee_Relief_Windows_3B!$G$4727:$G$100,"&gt;="&amp;C4727)</f>
        <v/>
      </c>
      <c r="H4727">
        <f>INDEX(CBIC_Late_Fee_Relief_Windows_3B!$I$4727:$I$100,MATCH(G4727,CBIC_Late_Fee_Relief_Windows_3B!$O$4727:$O$100,0))</f>
        <v/>
      </c>
      <c r="I4727">
        <f>MIN(F4727,H4727)</f>
        <v/>
      </c>
    </row>
    <row r="4728">
      <c r="A4728">
        <f>TEST_DATA!A4728</f>
        <v/>
      </c>
      <c r="B4728">
        <f>TEST_DATA!B4728</f>
        <v/>
      </c>
      <c r="C4728">
        <f>TEST_DATA!C4728</f>
        <v/>
      </c>
      <c r="D4728">
        <f>TEST_DATA!D4728</f>
        <v/>
      </c>
      <c r="E4728">
        <f>TEST_DATA!E4728</f>
        <v/>
      </c>
      <c r="F4728">
        <f>MIN(E4728*472800,10000)</f>
        <v/>
      </c>
      <c r="G4728">
        <f>MINIFS(CBIC_Late_Fee_Relief_Windows_3B!$O$4728:$O$100,CBIC_Late_Fee_Relief_Windows_3B!$D$4728:$D$100,"&lt;="&amp;B4728,CBIC_Late_Fee_Relief_Windows_3B!$E$4728:$E$100,"&gt;="&amp;B4728,CBIC_Late_Fee_Relief_Windows_3B!$F$4728:$F$100,"&lt;="&amp;C4728,CBIC_Late_Fee_Relief_Windows_3B!$G$4728:$G$100,"&gt;="&amp;C4728)</f>
        <v/>
      </c>
      <c r="H4728">
        <f>INDEX(CBIC_Late_Fee_Relief_Windows_3B!$I$4728:$I$100,MATCH(G4728,CBIC_Late_Fee_Relief_Windows_3B!$O$4728:$O$100,0))</f>
        <v/>
      </c>
      <c r="I4728">
        <f>MIN(F4728,H4728)</f>
        <v/>
      </c>
    </row>
    <row r="4729">
      <c r="A4729">
        <f>TEST_DATA!A4729</f>
        <v/>
      </c>
      <c r="B4729">
        <f>TEST_DATA!B4729</f>
        <v/>
      </c>
      <c r="C4729">
        <f>TEST_DATA!C4729</f>
        <v/>
      </c>
      <c r="D4729">
        <f>TEST_DATA!D4729</f>
        <v/>
      </c>
      <c r="E4729">
        <f>TEST_DATA!E4729</f>
        <v/>
      </c>
      <c r="F4729">
        <f>MIN(E4729*472900,10000)</f>
        <v/>
      </c>
      <c r="G4729">
        <f>MINIFS(CBIC_Late_Fee_Relief_Windows_3B!$O$4729:$O$100,CBIC_Late_Fee_Relief_Windows_3B!$D$4729:$D$100,"&lt;="&amp;B4729,CBIC_Late_Fee_Relief_Windows_3B!$E$4729:$E$100,"&gt;="&amp;B4729,CBIC_Late_Fee_Relief_Windows_3B!$F$4729:$F$100,"&lt;="&amp;C4729,CBIC_Late_Fee_Relief_Windows_3B!$G$4729:$G$100,"&gt;="&amp;C4729)</f>
        <v/>
      </c>
      <c r="H4729">
        <f>INDEX(CBIC_Late_Fee_Relief_Windows_3B!$I$4729:$I$100,MATCH(G4729,CBIC_Late_Fee_Relief_Windows_3B!$O$4729:$O$100,0))</f>
        <v/>
      </c>
      <c r="I4729">
        <f>MIN(F4729,H4729)</f>
        <v/>
      </c>
    </row>
    <row r="4730">
      <c r="A4730">
        <f>TEST_DATA!A4730</f>
        <v/>
      </c>
      <c r="B4730">
        <f>TEST_DATA!B4730</f>
        <v/>
      </c>
      <c r="C4730">
        <f>TEST_DATA!C4730</f>
        <v/>
      </c>
      <c r="D4730">
        <f>TEST_DATA!D4730</f>
        <v/>
      </c>
      <c r="E4730">
        <f>TEST_DATA!E4730</f>
        <v/>
      </c>
      <c r="F4730">
        <f>MIN(E4730*473000,10000)</f>
        <v/>
      </c>
      <c r="G4730">
        <f>MINIFS(CBIC_Late_Fee_Relief_Windows_3B!$O$4730:$O$100,CBIC_Late_Fee_Relief_Windows_3B!$D$4730:$D$100,"&lt;="&amp;B4730,CBIC_Late_Fee_Relief_Windows_3B!$E$4730:$E$100,"&gt;="&amp;B4730,CBIC_Late_Fee_Relief_Windows_3B!$F$4730:$F$100,"&lt;="&amp;C4730,CBIC_Late_Fee_Relief_Windows_3B!$G$4730:$G$100,"&gt;="&amp;C4730)</f>
        <v/>
      </c>
      <c r="H4730">
        <f>INDEX(CBIC_Late_Fee_Relief_Windows_3B!$I$4730:$I$100,MATCH(G4730,CBIC_Late_Fee_Relief_Windows_3B!$O$4730:$O$100,0))</f>
        <v/>
      </c>
      <c r="I4730">
        <f>MIN(F4730,H4730)</f>
        <v/>
      </c>
    </row>
    <row r="4731">
      <c r="A4731">
        <f>TEST_DATA!A4731</f>
        <v/>
      </c>
      <c r="B4731">
        <f>TEST_DATA!B4731</f>
        <v/>
      </c>
      <c r="C4731">
        <f>TEST_DATA!C4731</f>
        <v/>
      </c>
      <c r="D4731">
        <f>TEST_DATA!D4731</f>
        <v/>
      </c>
      <c r="E4731">
        <f>TEST_DATA!E4731</f>
        <v/>
      </c>
      <c r="F4731">
        <f>MIN(E4731*473100,10000)</f>
        <v/>
      </c>
      <c r="G4731">
        <f>MINIFS(CBIC_Late_Fee_Relief_Windows_3B!$O$4731:$O$100,CBIC_Late_Fee_Relief_Windows_3B!$D$4731:$D$100,"&lt;="&amp;B4731,CBIC_Late_Fee_Relief_Windows_3B!$E$4731:$E$100,"&gt;="&amp;B4731,CBIC_Late_Fee_Relief_Windows_3B!$F$4731:$F$100,"&lt;="&amp;C4731,CBIC_Late_Fee_Relief_Windows_3B!$G$4731:$G$100,"&gt;="&amp;C4731)</f>
        <v/>
      </c>
      <c r="H4731">
        <f>INDEX(CBIC_Late_Fee_Relief_Windows_3B!$I$4731:$I$100,MATCH(G4731,CBIC_Late_Fee_Relief_Windows_3B!$O$4731:$O$100,0))</f>
        <v/>
      </c>
      <c r="I4731">
        <f>MIN(F4731,H4731)</f>
        <v/>
      </c>
    </row>
    <row r="4732">
      <c r="A4732">
        <f>TEST_DATA!A4732</f>
        <v/>
      </c>
      <c r="B4732">
        <f>TEST_DATA!B4732</f>
        <v/>
      </c>
      <c r="C4732">
        <f>TEST_DATA!C4732</f>
        <v/>
      </c>
      <c r="D4732">
        <f>TEST_DATA!D4732</f>
        <v/>
      </c>
      <c r="E4732">
        <f>TEST_DATA!E4732</f>
        <v/>
      </c>
      <c r="F4732">
        <f>MIN(E4732*473200,10000)</f>
        <v/>
      </c>
      <c r="G4732">
        <f>MINIFS(CBIC_Late_Fee_Relief_Windows_3B!$O$4732:$O$100,CBIC_Late_Fee_Relief_Windows_3B!$D$4732:$D$100,"&lt;="&amp;B4732,CBIC_Late_Fee_Relief_Windows_3B!$E$4732:$E$100,"&gt;="&amp;B4732,CBIC_Late_Fee_Relief_Windows_3B!$F$4732:$F$100,"&lt;="&amp;C4732,CBIC_Late_Fee_Relief_Windows_3B!$G$4732:$G$100,"&gt;="&amp;C4732)</f>
        <v/>
      </c>
      <c r="H4732">
        <f>INDEX(CBIC_Late_Fee_Relief_Windows_3B!$I$4732:$I$100,MATCH(G4732,CBIC_Late_Fee_Relief_Windows_3B!$O$4732:$O$100,0))</f>
        <v/>
      </c>
      <c r="I4732">
        <f>MIN(F4732,H4732)</f>
        <v/>
      </c>
    </row>
    <row r="4733">
      <c r="A4733">
        <f>TEST_DATA!A4733</f>
        <v/>
      </c>
      <c r="B4733">
        <f>TEST_DATA!B4733</f>
        <v/>
      </c>
      <c r="C4733">
        <f>TEST_DATA!C4733</f>
        <v/>
      </c>
      <c r="D4733">
        <f>TEST_DATA!D4733</f>
        <v/>
      </c>
      <c r="E4733">
        <f>TEST_DATA!E4733</f>
        <v/>
      </c>
      <c r="F4733">
        <f>MIN(E4733*473300,10000)</f>
        <v/>
      </c>
      <c r="G4733">
        <f>MINIFS(CBIC_Late_Fee_Relief_Windows_3B!$O$4733:$O$100,CBIC_Late_Fee_Relief_Windows_3B!$D$4733:$D$100,"&lt;="&amp;B4733,CBIC_Late_Fee_Relief_Windows_3B!$E$4733:$E$100,"&gt;="&amp;B4733,CBIC_Late_Fee_Relief_Windows_3B!$F$4733:$F$100,"&lt;="&amp;C4733,CBIC_Late_Fee_Relief_Windows_3B!$G$4733:$G$100,"&gt;="&amp;C4733)</f>
        <v/>
      </c>
      <c r="H4733">
        <f>INDEX(CBIC_Late_Fee_Relief_Windows_3B!$I$4733:$I$100,MATCH(G4733,CBIC_Late_Fee_Relief_Windows_3B!$O$4733:$O$100,0))</f>
        <v/>
      </c>
      <c r="I4733">
        <f>MIN(F4733,H4733)</f>
        <v/>
      </c>
    </row>
    <row r="4734">
      <c r="A4734">
        <f>TEST_DATA!A4734</f>
        <v/>
      </c>
      <c r="B4734">
        <f>TEST_DATA!B4734</f>
        <v/>
      </c>
      <c r="C4734">
        <f>TEST_DATA!C4734</f>
        <v/>
      </c>
      <c r="D4734">
        <f>TEST_DATA!D4734</f>
        <v/>
      </c>
      <c r="E4734">
        <f>TEST_DATA!E4734</f>
        <v/>
      </c>
      <c r="F4734">
        <f>MIN(E4734*473400,10000)</f>
        <v/>
      </c>
      <c r="G4734">
        <f>MINIFS(CBIC_Late_Fee_Relief_Windows_3B!$O$4734:$O$100,CBIC_Late_Fee_Relief_Windows_3B!$D$4734:$D$100,"&lt;="&amp;B4734,CBIC_Late_Fee_Relief_Windows_3B!$E$4734:$E$100,"&gt;="&amp;B4734,CBIC_Late_Fee_Relief_Windows_3B!$F$4734:$F$100,"&lt;="&amp;C4734,CBIC_Late_Fee_Relief_Windows_3B!$G$4734:$G$100,"&gt;="&amp;C4734)</f>
        <v/>
      </c>
      <c r="H4734">
        <f>INDEX(CBIC_Late_Fee_Relief_Windows_3B!$I$4734:$I$100,MATCH(G4734,CBIC_Late_Fee_Relief_Windows_3B!$O$4734:$O$100,0))</f>
        <v/>
      </c>
      <c r="I4734">
        <f>MIN(F4734,H4734)</f>
        <v/>
      </c>
    </row>
    <row r="4735">
      <c r="A4735">
        <f>TEST_DATA!A4735</f>
        <v/>
      </c>
      <c r="B4735">
        <f>TEST_DATA!B4735</f>
        <v/>
      </c>
      <c r="C4735">
        <f>TEST_DATA!C4735</f>
        <v/>
      </c>
      <c r="D4735">
        <f>TEST_DATA!D4735</f>
        <v/>
      </c>
      <c r="E4735">
        <f>TEST_DATA!E4735</f>
        <v/>
      </c>
      <c r="F4735">
        <f>MIN(E4735*473500,10000)</f>
        <v/>
      </c>
      <c r="G4735">
        <f>MINIFS(CBIC_Late_Fee_Relief_Windows_3B!$O$4735:$O$100,CBIC_Late_Fee_Relief_Windows_3B!$D$4735:$D$100,"&lt;="&amp;B4735,CBIC_Late_Fee_Relief_Windows_3B!$E$4735:$E$100,"&gt;="&amp;B4735,CBIC_Late_Fee_Relief_Windows_3B!$F$4735:$F$100,"&lt;="&amp;C4735,CBIC_Late_Fee_Relief_Windows_3B!$G$4735:$G$100,"&gt;="&amp;C4735)</f>
        <v/>
      </c>
      <c r="H4735">
        <f>INDEX(CBIC_Late_Fee_Relief_Windows_3B!$I$4735:$I$100,MATCH(G4735,CBIC_Late_Fee_Relief_Windows_3B!$O$4735:$O$100,0))</f>
        <v/>
      </c>
      <c r="I4735">
        <f>MIN(F4735,H4735)</f>
        <v/>
      </c>
    </row>
    <row r="4736">
      <c r="A4736">
        <f>TEST_DATA!A4736</f>
        <v/>
      </c>
      <c r="B4736">
        <f>TEST_DATA!B4736</f>
        <v/>
      </c>
      <c r="C4736">
        <f>TEST_DATA!C4736</f>
        <v/>
      </c>
      <c r="D4736">
        <f>TEST_DATA!D4736</f>
        <v/>
      </c>
      <c r="E4736">
        <f>TEST_DATA!E4736</f>
        <v/>
      </c>
      <c r="F4736">
        <f>MIN(E4736*473600,10000)</f>
        <v/>
      </c>
      <c r="G4736">
        <f>MINIFS(CBIC_Late_Fee_Relief_Windows_3B!$O$4736:$O$100,CBIC_Late_Fee_Relief_Windows_3B!$D$4736:$D$100,"&lt;="&amp;B4736,CBIC_Late_Fee_Relief_Windows_3B!$E$4736:$E$100,"&gt;="&amp;B4736,CBIC_Late_Fee_Relief_Windows_3B!$F$4736:$F$100,"&lt;="&amp;C4736,CBIC_Late_Fee_Relief_Windows_3B!$G$4736:$G$100,"&gt;="&amp;C4736)</f>
        <v/>
      </c>
      <c r="H4736">
        <f>INDEX(CBIC_Late_Fee_Relief_Windows_3B!$I$4736:$I$100,MATCH(G4736,CBIC_Late_Fee_Relief_Windows_3B!$O$4736:$O$100,0))</f>
        <v/>
      </c>
      <c r="I4736">
        <f>MIN(F4736,H4736)</f>
        <v/>
      </c>
    </row>
    <row r="4737">
      <c r="A4737">
        <f>TEST_DATA!A4737</f>
        <v/>
      </c>
      <c r="B4737">
        <f>TEST_DATA!B4737</f>
        <v/>
      </c>
      <c r="C4737">
        <f>TEST_DATA!C4737</f>
        <v/>
      </c>
      <c r="D4737">
        <f>TEST_DATA!D4737</f>
        <v/>
      </c>
      <c r="E4737">
        <f>TEST_DATA!E4737</f>
        <v/>
      </c>
      <c r="F4737">
        <f>MIN(E4737*473700,10000)</f>
        <v/>
      </c>
      <c r="G4737">
        <f>MINIFS(CBIC_Late_Fee_Relief_Windows_3B!$O$4737:$O$100,CBIC_Late_Fee_Relief_Windows_3B!$D$4737:$D$100,"&lt;="&amp;B4737,CBIC_Late_Fee_Relief_Windows_3B!$E$4737:$E$100,"&gt;="&amp;B4737,CBIC_Late_Fee_Relief_Windows_3B!$F$4737:$F$100,"&lt;="&amp;C4737,CBIC_Late_Fee_Relief_Windows_3B!$G$4737:$G$100,"&gt;="&amp;C4737)</f>
        <v/>
      </c>
      <c r="H4737">
        <f>INDEX(CBIC_Late_Fee_Relief_Windows_3B!$I$4737:$I$100,MATCH(G4737,CBIC_Late_Fee_Relief_Windows_3B!$O$4737:$O$100,0))</f>
        <v/>
      </c>
      <c r="I4737">
        <f>MIN(F4737,H4737)</f>
        <v/>
      </c>
    </row>
    <row r="4738">
      <c r="A4738">
        <f>TEST_DATA!A4738</f>
        <v/>
      </c>
      <c r="B4738">
        <f>TEST_DATA!B4738</f>
        <v/>
      </c>
      <c r="C4738">
        <f>TEST_DATA!C4738</f>
        <v/>
      </c>
      <c r="D4738">
        <f>TEST_DATA!D4738</f>
        <v/>
      </c>
      <c r="E4738">
        <f>TEST_DATA!E4738</f>
        <v/>
      </c>
      <c r="F4738">
        <f>MIN(E4738*473800,10000)</f>
        <v/>
      </c>
      <c r="G4738">
        <f>MINIFS(CBIC_Late_Fee_Relief_Windows_3B!$O$4738:$O$100,CBIC_Late_Fee_Relief_Windows_3B!$D$4738:$D$100,"&lt;="&amp;B4738,CBIC_Late_Fee_Relief_Windows_3B!$E$4738:$E$100,"&gt;="&amp;B4738,CBIC_Late_Fee_Relief_Windows_3B!$F$4738:$F$100,"&lt;="&amp;C4738,CBIC_Late_Fee_Relief_Windows_3B!$G$4738:$G$100,"&gt;="&amp;C4738)</f>
        <v/>
      </c>
      <c r="H4738">
        <f>INDEX(CBIC_Late_Fee_Relief_Windows_3B!$I$4738:$I$100,MATCH(G4738,CBIC_Late_Fee_Relief_Windows_3B!$O$4738:$O$100,0))</f>
        <v/>
      </c>
      <c r="I4738">
        <f>MIN(F4738,H4738)</f>
        <v/>
      </c>
    </row>
    <row r="4739">
      <c r="A4739">
        <f>TEST_DATA!A4739</f>
        <v/>
      </c>
      <c r="B4739">
        <f>TEST_DATA!B4739</f>
        <v/>
      </c>
      <c r="C4739">
        <f>TEST_DATA!C4739</f>
        <v/>
      </c>
      <c r="D4739">
        <f>TEST_DATA!D4739</f>
        <v/>
      </c>
      <c r="E4739">
        <f>TEST_DATA!E4739</f>
        <v/>
      </c>
      <c r="F4739">
        <f>MIN(E4739*473900,10000)</f>
        <v/>
      </c>
      <c r="G4739">
        <f>MINIFS(CBIC_Late_Fee_Relief_Windows_3B!$O$4739:$O$100,CBIC_Late_Fee_Relief_Windows_3B!$D$4739:$D$100,"&lt;="&amp;B4739,CBIC_Late_Fee_Relief_Windows_3B!$E$4739:$E$100,"&gt;="&amp;B4739,CBIC_Late_Fee_Relief_Windows_3B!$F$4739:$F$100,"&lt;="&amp;C4739,CBIC_Late_Fee_Relief_Windows_3B!$G$4739:$G$100,"&gt;="&amp;C4739)</f>
        <v/>
      </c>
      <c r="H4739">
        <f>INDEX(CBIC_Late_Fee_Relief_Windows_3B!$I$4739:$I$100,MATCH(G4739,CBIC_Late_Fee_Relief_Windows_3B!$O$4739:$O$100,0))</f>
        <v/>
      </c>
      <c r="I4739">
        <f>MIN(F4739,H4739)</f>
        <v/>
      </c>
    </row>
    <row r="4740">
      <c r="A4740">
        <f>TEST_DATA!A4740</f>
        <v/>
      </c>
      <c r="B4740">
        <f>TEST_DATA!B4740</f>
        <v/>
      </c>
      <c r="C4740">
        <f>TEST_DATA!C4740</f>
        <v/>
      </c>
      <c r="D4740">
        <f>TEST_DATA!D4740</f>
        <v/>
      </c>
      <c r="E4740">
        <f>TEST_DATA!E4740</f>
        <v/>
      </c>
      <c r="F4740">
        <f>MIN(E4740*474000,10000)</f>
        <v/>
      </c>
      <c r="G4740">
        <f>MINIFS(CBIC_Late_Fee_Relief_Windows_3B!$O$4740:$O$100,CBIC_Late_Fee_Relief_Windows_3B!$D$4740:$D$100,"&lt;="&amp;B4740,CBIC_Late_Fee_Relief_Windows_3B!$E$4740:$E$100,"&gt;="&amp;B4740,CBIC_Late_Fee_Relief_Windows_3B!$F$4740:$F$100,"&lt;="&amp;C4740,CBIC_Late_Fee_Relief_Windows_3B!$G$4740:$G$100,"&gt;="&amp;C4740)</f>
        <v/>
      </c>
      <c r="H4740">
        <f>INDEX(CBIC_Late_Fee_Relief_Windows_3B!$I$4740:$I$100,MATCH(G4740,CBIC_Late_Fee_Relief_Windows_3B!$O$4740:$O$100,0))</f>
        <v/>
      </c>
      <c r="I4740">
        <f>MIN(F4740,H4740)</f>
        <v/>
      </c>
    </row>
    <row r="4741">
      <c r="A4741">
        <f>TEST_DATA!A4741</f>
        <v/>
      </c>
      <c r="B4741">
        <f>TEST_DATA!B4741</f>
        <v/>
      </c>
      <c r="C4741">
        <f>TEST_DATA!C4741</f>
        <v/>
      </c>
      <c r="D4741">
        <f>TEST_DATA!D4741</f>
        <v/>
      </c>
      <c r="E4741">
        <f>TEST_DATA!E4741</f>
        <v/>
      </c>
      <c r="F4741">
        <f>MIN(E4741*474100,10000)</f>
        <v/>
      </c>
      <c r="G4741">
        <f>MINIFS(CBIC_Late_Fee_Relief_Windows_3B!$O$4741:$O$100,CBIC_Late_Fee_Relief_Windows_3B!$D$4741:$D$100,"&lt;="&amp;B4741,CBIC_Late_Fee_Relief_Windows_3B!$E$4741:$E$100,"&gt;="&amp;B4741,CBIC_Late_Fee_Relief_Windows_3B!$F$4741:$F$100,"&lt;="&amp;C4741,CBIC_Late_Fee_Relief_Windows_3B!$G$4741:$G$100,"&gt;="&amp;C4741)</f>
        <v/>
      </c>
      <c r="H4741">
        <f>INDEX(CBIC_Late_Fee_Relief_Windows_3B!$I$4741:$I$100,MATCH(G4741,CBIC_Late_Fee_Relief_Windows_3B!$O$4741:$O$100,0))</f>
        <v/>
      </c>
      <c r="I4741">
        <f>MIN(F4741,H4741)</f>
        <v/>
      </c>
    </row>
    <row r="4742">
      <c r="A4742">
        <f>TEST_DATA!A4742</f>
        <v/>
      </c>
      <c r="B4742">
        <f>TEST_DATA!B4742</f>
        <v/>
      </c>
      <c r="C4742">
        <f>TEST_DATA!C4742</f>
        <v/>
      </c>
      <c r="D4742">
        <f>TEST_DATA!D4742</f>
        <v/>
      </c>
      <c r="E4742">
        <f>TEST_DATA!E4742</f>
        <v/>
      </c>
      <c r="F4742">
        <f>MIN(E4742*474200,10000)</f>
        <v/>
      </c>
      <c r="G4742">
        <f>MINIFS(CBIC_Late_Fee_Relief_Windows_3B!$O$4742:$O$100,CBIC_Late_Fee_Relief_Windows_3B!$D$4742:$D$100,"&lt;="&amp;B4742,CBIC_Late_Fee_Relief_Windows_3B!$E$4742:$E$100,"&gt;="&amp;B4742,CBIC_Late_Fee_Relief_Windows_3B!$F$4742:$F$100,"&lt;="&amp;C4742,CBIC_Late_Fee_Relief_Windows_3B!$G$4742:$G$100,"&gt;="&amp;C4742)</f>
        <v/>
      </c>
      <c r="H4742">
        <f>INDEX(CBIC_Late_Fee_Relief_Windows_3B!$I$4742:$I$100,MATCH(G4742,CBIC_Late_Fee_Relief_Windows_3B!$O$4742:$O$100,0))</f>
        <v/>
      </c>
      <c r="I4742">
        <f>MIN(F4742,H4742)</f>
        <v/>
      </c>
    </row>
    <row r="4743">
      <c r="A4743">
        <f>TEST_DATA!A4743</f>
        <v/>
      </c>
      <c r="B4743">
        <f>TEST_DATA!B4743</f>
        <v/>
      </c>
      <c r="C4743">
        <f>TEST_DATA!C4743</f>
        <v/>
      </c>
      <c r="D4743">
        <f>TEST_DATA!D4743</f>
        <v/>
      </c>
      <c r="E4743">
        <f>TEST_DATA!E4743</f>
        <v/>
      </c>
      <c r="F4743">
        <f>MIN(E4743*474300,10000)</f>
        <v/>
      </c>
      <c r="G4743">
        <f>MINIFS(CBIC_Late_Fee_Relief_Windows_3B!$O$4743:$O$100,CBIC_Late_Fee_Relief_Windows_3B!$D$4743:$D$100,"&lt;="&amp;B4743,CBIC_Late_Fee_Relief_Windows_3B!$E$4743:$E$100,"&gt;="&amp;B4743,CBIC_Late_Fee_Relief_Windows_3B!$F$4743:$F$100,"&lt;="&amp;C4743,CBIC_Late_Fee_Relief_Windows_3B!$G$4743:$G$100,"&gt;="&amp;C4743)</f>
        <v/>
      </c>
      <c r="H4743">
        <f>INDEX(CBIC_Late_Fee_Relief_Windows_3B!$I$4743:$I$100,MATCH(G4743,CBIC_Late_Fee_Relief_Windows_3B!$O$4743:$O$100,0))</f>
        <v/>
      </c>
      <c r="I4743">
        <f>MIN(F4743,H4743)</f>
        <v/>
      </c>
    </row>
    <row r="4744">
      <c r="A4744">
        <f>TEST_DATA!A4744</f>
        <v/>
      </c>
      <c r="B4744">
        <f>TEST_DATA!B4744</f>
        <v/>
      </c>
      <c r="C4744">
        <f>TEST_DATA!C4744</f>
        <v/>
      </c>
      <c r="D4744">
        <f>TEST_DATA!D4744</f>
        <v/>
      </c>
      <c r="E4744">
        <f>TEST_DATA!E4744</f>
        <v/>
      </c>
      <c r="F4744">
        <f>MIN(E4744*474400,10000)</f>
        <v/>
      </c>
      <c r="G4744">
        <f>MINIFS(CBIC_Late_Fee_Relief_Windows_3B!$O$4744:$O$100,CBIC_Late_Fee_Relief_Windows_3B!$D$4744:$D$100,"&lt;="&amp;B4744,CBIC_Late_Fee_Relief_Windows_3B!$E$4744:$E$100,"&gt;="&amp;B4744,CBIC_Late_Fee_Relief_Windows_3B!$F$4744:$F$100,"&lt;="&amp;C4744,CBIC_Late_Fee_Relief_Windows_3B!$G$4744:$G$100,"&gt;="&amp;C4744)</f>
        <v/>
      </c>
      <c r="H4744">
        <f>INDEX(CBIC_Late_Fee_Relief_Windows_3B!$I$4744:$I$100,MATCH(G4744,CBIC_Late_Fee_Relief_Windows_3B!$O$4744:$O$100,0))</f>
        <v/>
      </c>
      <c r="I4744">
        <f>MIN(F4744,H4744)</f>
        <v/>
      </c>
    </row>
    <row r="4745">
      <c r="A4745">
        <f>TEST_DATA!A4745</f>
        <v/>
      </c>
      <c r="B4745">
        <f>TEST_DATA!B4745</f>
        <v/>
      </c>
      <c r="C4745">
        <f>TEST_DATA!C4745</f>
        <v/>
      </c>
      <c r="D4745">
        <f>TEST_DATA!D4745</f>
        <v/>
      </c>
      <c r="E4745">
        <f>TEST_DATA!E4745</f>
        <v/>
      </c>
      <c r="F4745">
        <f>MIN(E4745*474500,10000)</f>
        <v/>
      </c>
      <c r="G4745">
        <f>MINIFS(CBIC_Late_Fee_Relief_Windows_3B!$O$4745:$O$100,CBIC_Late_Fee_Relief_Windows_3B!$D$4745:$D$100,"&lt;="&amp;B4745,CBIC_Late_Fee_Relief_Windows_3B!$E$4745:$E$100,"&gt;="&amp;B4745,CBIC_Late_Fee_Relief_Windows_3B!$F$4745:$F$100,"&lt;="&amp;C4745,CBIC_Late_Fee_Relief_Windows_3B!$G$4745:$G$100,"&gt;="&amp;C4745)</f>
        <v/>
      </c>
      <c r="H4745">
        <f>INDEX(CBIC_Late_Fee_Relief_Windows_3B!$I$4745:$I$100,MATCH(G4745,CBIC_Late_Fee_Relief_Windows_3B!$O$4745:$O$100,0))</f>
        <v/>
      </c>
      <c r="I4745">
        <f>MIN(F4745,H4745)</f>
        <v/>
      </c>
    </row>
    <row r="4746">
      <c r="A4746">
        <f>TEST_DATA!A4746</f>
        <v/>
      </c>
      <c r="B4746">
        <f>TEST_DATA!B4746</f>
        <v/>
      </c>
      <c r="C4746">
        <f>TEST_DATA!C4746</f>
        <v/>
      </c>
      <c r="D4746">
        <f>TEST_DATA!D4746</f>
        <v/>
      </c>
      <c r="E4746">
        <f>TEST_DATA!E4746</f>
        <v/>
      </c>
      <c r="F4746">
        <f>MIN(E4746*474600,10000)</f>
        <v/>
      </c>
      <c r="G4746">
        <f>MINIFS(CBIC_Late_Fee_Relief_Windows_3B!$O$4746:$O$100,CBIC_Late_Fee_Relief_Windows_3B!$D$4746:$D$100,"&lt;="&amp;B4746,CBIC_Late_Fee_Relief_Windows_3B!$E$4746:$E$100,"&gt;="&amp;B4746,CBIC_Late_Fee_Relief_Windows_3B!$F$4746:$F$100,"&lt;="&amp;C4746,CBIC_Late_Fee_Relief_Windows_3B!$G$4746:$G$100,"&gt;="&amp;C4746)</f>
        <v/>
      </c>
      <c r="H4746">
        <f>INDEX(CBIC_Late_Fee_Relief_Windows_3B!$I$4746:$I$100,MATCH(G4746,CBIC_Late_Fee_Relief_Windows_3B!$O$4746:$O$100,0))</f>
        <v/>
      </c>
      <c r="I4746">
        <f>MIN(F4746,H4746)</f>
        <v/>
      </c>
    </row>
    <row r="4747">
      <c r="A4747">
        <f>TEST_DATA!A4747</f>
        <v/>
      </c>
      <c r="B4747">
        <f>TEST_DATA!B4747</f>
        <v/>
      </c>
      <c r="C4747">
        <f>TEST_DATA!C4747</f>
        <v/>
      </c>
      <c r="D4747">
        <f>TEST_DATA!D4747</f>
        <v/>
      </c>
      <c r="E4747">
        <f>TEST_DATA!E4747</f>
        <v/>
      </c>
      <c r="F4747">
        <f>MIN(E4747*474700,10000)</f>
        <v/>
      </c>
      <c r="G4747">
        <f>MINIFS(CBIC_Late_Fee_Relief_Windows_3B!$O$4747:$O$100,CBIC_Late_Fee_Relief_Windows_3B!$D$4747:$D$100,"&lt;="&amp;B4747,CBIC_Late_Fee_Relief_Windows_3B!$E$4747:$E$100,"&gt;="&amp;B4747,CBIC_Late_Fee_Relief_Windows_3B!$F$4747:$F$100,"&lt;="&amp;C4747,CBIC_Late_Fee_Relief_Windows_3B!$G$4747:$G$100,"&gt;="&amp;C4747)</f>
        <v/>
      </c>
      <c r="H4747">
        <f>INDEX(CBIC_Late_Fee_Relief_Windows_3B!$I$4747:$I$100,MATCH(G4747,CBIC_Late_Fee_Relief_Windows_3B!$O$4747:$O$100,0))</f>
        <v/>
      </c>
      <c r="I4747">
        <f>MIN(F4747,H4747)</f>
        <v/>
      </c>
    </row>
    <row r="4748">
      <c r="A4748">
        <f>TEST_DATA!A4748</f>
        <v/>
      </c>
      <c r="B4748">
        <f>TEST_DATA!B4748</f>
        <v/>
      </c>
      <c r="C4748">
        <f>TEST_DATA!C4748</f>
        <v/>
      </c>
      <c r="D4748">
        <f>TEST_DATA!D4748</f>
        <v/>
      </c>
      <c r="E4748">
        <f>TEST_DATA!E4748</f>
        <v/>
      </c>
      <c r="F4748">
        <f>MIN(E4748*474800,10000)</f>
        <v/>
      </c>
      <c r="G4748">
        <f>MINIFS(CBIC_Late_Fee_Relief_Windows_3B!$O$4748:$O$100,CBIC_Late_Fee_Relief_Windows_3B!$D$4748:$D$100,"&lt;="&amp;B4748,CBIC_Late_Fee_Relief_Windows_3B!$E$4748:$E$100,"&gt;="&amp;B4748,CBIC_Late_Fee_Relief_Windows_3B!$F$4748:$F$100,"&lt;="&amp;C4748,CBIC_Late_Fee_Relief_Windows_3B!$G$4748:$G$100,"&gt;="&amp;C4748)</f>
        <v/>
      </c>
      <c r="H4748">
        <f>INDEX(CBIC_Late_Fee_Relief_Windows_3B!$I$4748:$I$100,MATCH(G4748,CBIC_Late_Fee_Relief_Windows_3B!$O$4748:$O$100,0))</f>
        <v/>
      </c>
      <c r="I4748">
        <f>MIN(F4748,H4748)</f>
        <v/>
      </c>
    </row>
    <row r="4749">
      <c r="A4749">
        <f>TEST_DATA!A4749</f>
        <v/>
      </c>
      <c r="B4749">
        <f>TEST_DATA!B4749</f>
        <v/>
      </c>
      <c r="C4749">
        <f>TEST_DATA!C4749</f>
        <v/>
      </c>
      <c r="D4749">
        <f>TEST_DATA!D4749</f>
        <v/>
      </c>
      <c r="E4749">
        <f>TEST_DATA!E4749</f>
        <v/>
      </c>
      <c r="F4749">
        <f>MIN(E4749*474900,10000)</f>
        <v/>
      </c>
      <c r="G4749">
        <f>MINIFS(CBIC_Late_Fee_Relief_Windows_3B!$O$4749:$O$100,CBIC_Late_Fee_Relief_Windows_3B!$D$4749:$D$100,"&lt;="&amp;B4749,CBIC_Late_Fee_Relief_Windows_3B!$E$4749:$E$100,"&gt;="&amp;B4749,CBIC_Late_Fee_Relief_Windows_3B!$F$4749:$F$100,"&lt;="&amp;C4749,CBIC_Late_Fee_Relief_Windows_3B!$G$4749:$G$100,"&gt;="&amp;C4749)</f>
        <v/>
      </c>
      <c r="H4749">
        <f>INDEX(CBIC_Late_Fee_Relief_Windows_3B!$I$4749:$I$100,MATCH(G4749,CBIC_Late_Fee_Relief_Windows_3B!$O$4749:$O$100,0))</f>
        <v/>
      </c>
      <c r="I4749">
        <f>MIN(F4749,H4749)</f>
        <v/>
      </c>
    </row>
    <row r="4750">
      <c r="A4750">
        <f>TEST_DATA!A4750</f>
        <v/>
      </c>
      <c r="B4750">
        <f>TEST_DATA!B4750</f>
        <v/>
      </c>
      <c r="C4750">
        <f>TEST_DATA!C4750</f>
        <v/>
      </c>
      <c r="D4750">
        <f>TEST_DATA!D4750</f>
        <v/>
      </c>
      <c r="E4750">
        <f>TEST_DATA!E4750</f>
        <v/>
      </c>
      <c r="F4750">
        <f>MIN(E4750*475000,10000)</f>
        <v/>
      </c>
      <c r="G4750">
        <f>MINIFS(CBIC_Late_Fee_Relief_Windows_3B!$O$4750:$O$100,CBIC_Late_Fee_Relief_Windows_3B!$D$4750:$D$100,"&lt;="&amp;B4750,CBIC_Late_Fee_Relief_Windows_3B!$E$4750:$E$100,"&gt;="&amp;B4750,CBIC_Late_Fee_Relief_Windows_3B!$F$4750:$F$100,"&lt;="&amp;C4750,CBIC_Late_Fee_Relief_Windows_3B!$G$4750:$G$100,"&gt;="&amp;C4750)</f>
        <v/>
      </c>
      <c r="H4750">
        <f>INDEX(CBIC_Late_Fee_Relief_Windows_3B!$I$4750:$I$100,MATCH(G4750,CBIC_Late_Fee_Relief_Windows_3B!$O$4750:$O$100,0))</f>
        <v/>
      </c>
      <c r="I4750">
        <f>MIN(F4750,H4750)</f>
        <v/>
      </c>
    </row>
    <row r="4751">
      <c r="A4751">
        <f>TEST_DATA!A4751</f>
        <v/>
      </c>
      <c r="B4751">
        <f>TEST_DATA!B4751</f>
        <v/>
      </c>
      <c r="C4751">
        <f>TEST_DATA!C4751</f>
        <v/>
      </c>
      <c r="D4751">
        <f>TEST_DATA!D4751</f>
        <v/>
      </c>
      <c r="E4751">
        <f>TEST_DATA!E4751</f>
        <v/>
      </c>
      <c r="F4751">
        <f>MIN(E4751*475100,10000)</f>
        <v/>
      </c>
      <c r="G4751">
        <f>MINIFS(CBIC_Late_Fee_Relief_Windows_3B!$O$4751:$O$100,CBIC_Late_Fee_Relief_Windows_3B!$D$4751:$D$100,"&lt;="&amp;B4751,CBIC_Late_Fee_Relief_Windows_3B!$E$4751:$E$100,"&gt;="&amp;B4751,CBIC_Late_Fee_Relief_Windows_3B!$F$4751:$F$100,"&lt;="&amp;C4751,CBIC_Late_Fee_Relief_Windows_3B!$G$4751:$G$100,"&gt;="&amp;C4751)</f>
        <v/>
      </c>
      <c r="H4751">
        <f>INDEX(CBIC_Late_Fee_Relief_Windows_3B!$I$4751:$I$100,MATCH(G4751,CBIC_Late_Fee_Relief_Windows_3B!$O$4751:$O$100,0))</f>
        <v/>
      </c>
      <c r="I4751">
        <f>MIN(F4751,H4751)</f>
        <v/>
      </c>
    </row>
    <row r="4752">
      <c r="A4752">
        <f>TEST_DATA!A4752</f>
        <v/>
      </c>
      <c r="B4752">
        <f>TEST_DATA!B4752</f>
        <v/>
      </c>
      <c r="C4752">
        <f>TEST_DATA!C4752</f>
        <v/>
      </c>
      <c r="D4752">
        <f>TEST_DATA!D4752</f>
        <v/>
      </c>
      <c r="E4752">
        <f>TEST_DATA!E4752</f>
        <v/>
      </c>
      <c r="F4752">
        <f>MIN(E4752*475200,10000)</f>
        <v/>
      </c>
      <c r="G4752">
        <f>MINIFS(CBIC_Late_Fee_Relief_Windows_3B!$O$4752:$O$100,CBIC_Late_Fee_Relief_Windows_3B!$D$4752:$D$100,"&lt;="&amp;B4752,CBIC_Late_Fee_Relief_Windows_3B!$E$4752:$E$100,"&gt;="&amp;B4752,CBIC_Late_Fee_Relief_Windows_3B!$F$4752:$F$100,"&lt;="&amp;C4752,CBIC_Late_Fee_Relief_Windows_3B!$G$4752:$G$100,"&gt;="&amp;C4752)</f>
        <v/>
      </c>
      <c r="H4752">
        <f>INDEX(CBIC_Late_Fee_Relief_Windows_3B!$I$4752:$I$100,MATCH(G4752,CBIC_Late_Fee_Relief_Windows_3B!$O$4752:$O$100,0))</f>
        <v/>
      </c>
      <c r="I4752">
        <f>MIN(F4752,H4752)</f>
        <v/>
      </c>
    </row>
    <row r="4753">
      <c r="A4753">
        <f>TEST_DATA!A4753</f>
        <v/>
      </c>
      <c r="B4753">
        <f>TEST_DATA!B4753</f>
        <v/>
      </c>
      <c r="C4753">
        <f>TEST_DATA!C4753</f>
        <v/>
      </c>
      <c r="D4753">
        <f>TEST_DATA!D4753</f>
        <v/>
      </c>
      <c r="E4753">
        <f>TEST_DATA!E4753</f>
        <v/>
      </c>
      <c r="F4753">
        <f>MIN(E4753*475300,10000)</f>
        <v/>
      </c>
      <c r="G4753">
        <f>MINIFS(CBIC_Late_Fee_Relief_Windows_3B!$O$4753:$O$100,CBIC_Late_Fee_Relief_Windows_3B!$D$4753:$D$100,"&lt;="&amp;B4753,CBIC_Late_Fee_Relief_Windows_3B!$E$4753:$E$100,"&gt;="&amp;B4753,CBIC_Late_Fee_Relief_Windows_3B!$F$4753:$F$100,"&lt;="&amp;C4753,CBIC_Late_Fee_Relief_Windows_3B!$G$4753:$G$100,"&gt;="&amp;C4753)</f>
        <v/>
      </c>
      <c r="H4753">
        <f>INDEX(CBIC_Late_Fee_Relief_Windows_3B!$I$4753:$I$100,MATCH(G4753,CBIC_Late_Fee_Relief_Windows_3B!$O$4753:$O$100,0))</f>
        <v/>
      </c>
      <c r="I4753">
        <f>MIN(F4753,H4753)</f>
        <v/>
      </c>
    </row>
    <row r="4754">
      <c r="A4754">
        <f>TEST_DATA!A4754</f>
        <v/>
      </c>
      <c r="B4754">
        <f>TEST_DATA!B4754</f>
        <v/>
      </c>
      <c r="C4754">
        <f>TEST_DATA!C4754</f>
        <v/>
      </c>
      <c r="D4754">
        <f>TEST_DATA!D4754</f>
        <v/>
      </c>
      <c r="E4754">
        <f>TEST_DATA!E4754</f>
        <v/>
      </c>
      <c r="F4754">
        <f>MIN(E4754*475400,10000)</f>
        <v/>
      </c>
      <c r="G4754">
        <f>MINIFS(CBIC_Late_Fee_Relief_Windows_3B!$O$4754:$O$100,CBIC_Late_Fee_Relief_Windows_3B!$D$4754:$D$100,"&lt;="&amp;B4754,CBIC_Late_Fee_Relief_Windows_3B!$E$4754:$E$100,"&gt;="&amp;B4754,CBIC_Late_Fee_Relief_Windows_3B!$F$4754:$F$100,"&lt;="&amp;C4754,CBIC_Late_Fee_Relief_Windows_3B!$G$4754:$G$100,"&gt;="&amp;C4754)</f>
        <v/>
      </c>
      <c r="H4754">
        <f>INDEX(CBIC_Late_Fee_Relief_Windows_3B!$I$4754:$I$100,MATCH(G4754,CBIC_Late_Fee_Relief_Windows_3B!$O$4754:$O$100,0))</f>
        <v/>
      </c>
      <c r="I4754">
        <f>MIN(F4754,H4754)</f>
        <v/>
      </c>
    </row>
    <row r="4755">
      <c r="A4755">
        <f>TEST_DATA!A4755</f>
        <v/>
      </c>
      <c r="B4755">
        <f>TEST_DATA!B4755</f>
        <v/>
      </c>
      <c r="C4755">
        <f>TEST_DATA!C4755</f>
        <v/>
      </c>
      <c r="D4755">
        <f>TEST_DATA!D4755</f>
        <v/>
      </c>
      <c r="E4755">
        <f>TEST_DATA!E4755</f>
        <v/>
      </c>
      <c r="F4755">
        <f>MIN(E4755*475500,10000)</f>
        <v/>
      </c>
      <c r="G4755">
        <f>MINIFS(CBIC_Late_Fee_Relief_Windows_3B!$O$4755:$O$100,CBIC_Late_Fee_Relief_Windows_3B!$D$4755:$D$100,"&lt;="&amp;B4755,CBIC_Late_Fee_Relief_Windows_3B!$E$4755:$E$100,"&gt;="&amp;B4755,CBIC_Late_Fee_Relief_Windows_3B!$F$4755:$F$100,"&lt;="&amp;C4755,CBIC_Late_Fee_Relief_Windows_3B!$G$4755:$G$100,"&gt;="&amp;C4755)</f>
        <v/>
      </c>
      <c r="H4755">
        <f>INDEX(CBIC_Late_Fee_Relief_Windows_3B!$I$4755:$I$100,MATCH(G4755,CBIC_Late_Fee_Relief_Windows_3B!$O$4755:$O$100,0))</f>
        <v/>
      </c>
      <c r="I4755">
        <f>MIN(F4755,H4755)</f>
        <v/>
      </c>
    </row>
    <row r="4756">
      <c r="A4756">
        <f>TEST_DATA!A4756</f>
        <v/>
      </c>
      <c r="B4756">
        <f>TEST_DATA!B4756</f>
        <v/>
      </c>
      <c r="C4756">
        <f>TEST_DATA!C4756</f>
        <v/>
      </c>
      <c r="D4756">
        <f>TEST_DATA!D4756</f>
        <v/>
      </c>
      <c r="E4756">
        <f>TEST_DATA!E4756</f>
        <v/>
      </c>
      <c r="F4756">
        <f>MIN(E4756*475600,10000)</f>
        <v/>
      </c>
      <c r="G4756">
        <f>MINIFS(CBIC_Late_Fee_Relief_Windows_3B!$O$4756:$O$100,CBIC_Late_Fee_Relief_Windows_3B!$D$4756:$D$100,"&lt;="&amp;B4756,CBIC_Late_Fee_Relief_Windows_3B!$E$4756:$E$100,"&gt;="&amp;B4756,CBIC_Late_Fee_Relief_Windows_3B!$F$4756:$F$100,"&lt;="&amp;C4756,CBIC_Late_Fee_Relief_Windows_3B!$G$4756:$G$100,"&gt;="&amp;C4756)</f>
        <v/>
      </c>
      <c r="H4756">
        <f>INDEX(CBIC_Late_Fee_Relief_Windows_3B!$I$4756:$I$100,MATCH(G4756,CBIC_Late_Fee_Relief_Windows_3B!$O$4756:$O$100,0))</f>
        <v/>
      </c>
      <c r="I4756">
        <f>MIN(F4756,H4756)</f>
        <v/>
      </c>
    </row>
    <row r="4757">
      <c r="A4757">
        <f>TEST_DATA!A4757</f>
        <v/>
      </c>
      <c r="B4757">
        <f>TEST_DATA!B4757</f>
        <v/>
      </c>
      <c r="C4757">
        <f>TEST_DATA!C4757</f>
        <v/>
      </c>
      <c r="D4757">
        <f>TEST_DATA!D4757</f>
        <v/>
      </c>
      <c r="E4757">
        <f>TEST_DATA!E4757</f>
        <v/>
      </c>
      <c r="F4757">
        <f>MIN(E4757*475700,10000)</f>
        <v/>
      </c>
      <c r="G4757">
        <f>MINIFS(CBIC_Late_Fee_Relief_Windows_3B!$O$4757:$O$100,CBIC_Late_Fee_Relief_Windows_3B!$D$4757:$D$100,"&lt;="&amp;B4757,CBIC_Late_Fee_Relief_Windows_3B!$E$4757:$E$100,"&gt;="&amp;B4757,CBIC_Late_Fee_Relief_Windows_3B!$F$4757:$F$100,"&lt;="&amp;C4757,CBIC_Late_Fee_Relief_Windows_3B!$G$4757:$G$100,"&gt;="&amp;C4757)</f>
        <v/>
      </c>
      <c r="H4757">
        <f>INDEX(CBIC_Late_Fee_Relief_Windows_3B!$I$4757:$I$100,MATCH(G4757,CBIC_Late_Fee_Relief_Windows_3B!$O$4757:$O$100,0))</f>
        <v/>
      </c>
      <c r="I4757">
        <f>MIN(F4757,H4757)</f>
        <v/>
      </c>
    </row>
    <row r="4758">
      <c r="A4758">
        <f>TEST_DATA!A4758</f>
        <v/>
      </c>
      <c r="B4758">
        <f>TEST_DATA!B4758</f>
        <v/>
      </c>
      <c r="C4758">
        <f>TEST_DATA!C4758</f>
        <v/>
      </c>
      <c r="D4758">
        <f>TEST_DATA!D4758</f>
        <v/>
      </c>
      <c r="E4758">
        <f>TEST_DATA!E4758</f>
        <v/>
      </c>
      <c r="F4758">
        <f>MIN(E4758*475800,10000)</f>
        <v/>
      </c>
      <c r="G4758">
        <f>MINIFS(CBIC_Late_Fee_Relief_Windows_3B!$O$4758:$O$100,CBIC_Late_Fee_Relief_Windows_3B!$D$4758:$D$100,"&lt;="&amp;B4758,CBIC_Late_Fee_Relief_Windows_3B!$E$4758:$E$100,"&gt;="&amp;B4758,CBIC_Late_Fee_Relief_Windows_3B!$F$4758:$F$100,"&lt;="&amp;C4758,CBIC_Late_Fee_Relief_Windows_3B!$G$4758:$G$100,"&gt;="&amp;C4758)</f>
        <v/>
      </c>
      <c r="H4758">
        <f>INDEX(CBIC_Late_Fee_Relief_Windows_3B!$I$4758:$I$100,MATCH(G4758,CBIC_Late_Fee_Relief_Windows_3B!$O$4758:$O$100,0))</f>
        <v/>
      </c>
      <c r="I4758">
        <f>MIN(F4758,H4758)</f>
        <v/>
      </c>
    </row>
    <row r="4759">
      <c r="A4759">
        <f>TEST_DATA!A4759</f>
        <v/>
      </c>
      <c r="B4759">
        <f>TEST_DATA!B4759</f>
        <v/>
      </c>
      <c r="C4759">
        <f>TEST_DATA!C4759</f>
        <v/>
      </c>
      <c r="D4759">
        <f>TEST_DATA!D4759</f>
        <v/>
      </c>
      <c r="E4759">
        <f>TEST_DATA!E4759</f>
        <v/>
      </c>
      <c r="F4759">
        <f>MIN(E4759*475900,10000)</f>
        <v/>
      </c>
      <c r="G4759">
        <f>MINIFS(CBIC_Late_Fee_Relief_Windows_3B!$O$4759:$O$100,CBIC_Late_Fee_Relief_Windows_3B!$D$4759:$D$100,"&lt;="&amp;B4759,CBIC_Late_Fee_Relief_Windows_3B!$E$4759:$E$100,"&gt;="&amp;B4759,CBIC_Late_Fee_Relief_Windows_3B!$F$4759:$F$100,"&lt;="&amp;C4759,CBIC_Late_Fee_Relief_Windows_3B!$G$4759:$G$100,"&gt;="&amp;C4759)</f>
        <v/>
      </c>
      <c r="H4759">
        <f>INDEX(CBIC_Late_Fee_Relief_Windows_3B!$I$4759:$I$100,MATCH(G4759,CBIC_Late_Fee_Relief_Windows_3B!$O$4759:$O$100,0))</f>
        <v/>
      </c>
      <c r="I4759">
        <f>MIN(F4759,H4759)</f>
        <v/>
      </c>
    </row>
    <row r="4760">
      <c r="A4760">
        <f>TEST_DATA!A4760</f>
        <v/>
      </c>
      <c r="B4760">
        <f>TEST_DATA!B4760</f>
        <v/>
      </c>
      <c r="C4760">
        <f>TEST_DATA!C4760</f>
        <v/>
      </c>
      <c r="D4760">
        <f>TEST_DATA!D4760</f>
        <v/>
      </c>
      <c r="E4760">
        <f>TEST_DATA!E4760</f>
        <v/>
      </c>
      <c r="F4760">
        <f>MIN(E4760*476000,10000)</f>
        <v/>
      </c>
      <c r="G4760">
        <f>MINIFS(CBIC_Late_Fee_Relief_Windows_3B!$O$4760:$O$100,CBIC_Late_Fee_Relief_Windows_3B!$D$4760:$D$100,"&lt;="&amp;B4760,CBIC_Late_Fee_Relief_Windows_3B!$E$4760:$E$100,"&gt;="&amp;B4760,CBIC_Late_Fee_Relief_Windows_3B!$F$4760:$F$100,"&lt;="&amp;C4760,CBIC_Late_Fee_Relief_Windows_3B!$G$4760:$G$100,"&gt;="&amp;C4760)</f>
        <v/>
      </c>
      <c r="H4760">
        <f>INDEX(CBIC_Late_Fee_Relief_Windows_3B!$I$4760:$I$100,MATCH(G4760,CBIC_Late_Fee_Relief_Windows_3B!$O$4760:$O$100,0))</f>
        <v/>
      </c>
      <c r="I4760">
        <f>MIN(F4760,H4760)</f>
        <v/>
      </c>
    </row>
    <row r="4761">
      <c r="A4761">
        <f>TEST_DATA!A4761</f>
        <v/>
      </c>
      <c r="B4761">
        <f>TEST_DATA!B4761</f>
        <v/>
      </c>
      <c r="C4761">
        <f>TEST_DATA!C4761</f>
        <v/>
      </c>
      <c r="D4761">
        <f>TEST_DATA!D4761</f>
        <v/>
      </c>
      <c r="E4761">
        <f>TEST_DATA!E4761</f>
        <v/>
      </c>
      <c r="F4761">
        <f>MIN(E4761*476100,10000)</f>
        <v/>
      </c>
      <c r="G4761">
        <f>MINIFS(CBIC_Late_Fee_Relief_Windows_3B!$O$4761:$O$100,CBIC_Late_Fee_Relief_Windows_3B!$D$4761:$D$100,"&lt;="&amp;B4761,CBIC_Late_Fee_Relief_Windows_3B!$E$4761:$E$100,"&gt;="&amp;B4761,CBIC_Late_Fee_Relief_Windows_3B!$F$4761:$F$100,"&lt;="&amp;C4761,CBIC_Late_Fee_Relief_Windows_3B!$G$4761:$G$100,"&gt;="&amp;C4761)</f>
        <v/>
      </c>
      <c r="H4761">
        <f>INDEX(CBIC_Late_Fee_Relief_Windows_3B!$I$4761:$I$100,MATCH(G4761,CBIC_Late_Fee_Relief_Windows_3B!$O$4761:$O$100,0))</f>
        <v/>
      </c>
      <c r="I4761">
        <f>MIN(F4761,H4761)</f>
        <v/>
      </c>
    </row>
    <row r="4762">
      <c r="A4762">
        <f>TEST_DATA!A4762</f>
        <v/>
      </c>
      <c r="B4762">
        <f>TEST_DATA!B4762</f>
        <v/>
      </c>
      <c r="C4762">
        <f>TEST_DATA!C4762</f>
        <v/>
      </c>
      <c r="D4762">
        <f>TEST_DATA!D4762</f>
        <v/>
      </c>
      <c r="E4762">
        <f>TEST_DATA!E4762</f>
        <v/>
      </c>
      <c r="F4762">
        <f>MIN(E4762*476200,10000)</f>
        <v/>
      </c>
      <c r="G4762">
        <f>MINIFS(CBIC_Late_Fee_Relief_Windows_3B!$O$4762:$O$100,CBIC_Late_Fee_Relief_Windows_3B!$D$4762:$D$100,"&lt;="&amp;B4762,CBIC_Late_Fee_Relief_Windows_3B!$E$4762:$E$100,"&gt;="&amp;B4762,CBIC_Late_Fee_Relief_Windows_3B!$F$4762:$F$100,"&lt;="&amp;C4762,CBIC_Late_Fee_Relief_Windows_3B!$G$4762:$G$100,"&gt;="&amp;C4762)</f>
        <v/>
      </c>
      <c r="H4762">
        <f>INDEX(CBIC_Late_Fee_Relief_Windows_3B!$I$4762:$I$100,MATCH(G4762,CBIC_Late_Fee_Relief_Windows_3B!$O$4762:$O$100,0))</f>
        <v/>
      </c>
      <c r="I4762">
        <f>MIN(F4762,H4762)</f>
        <v/>
      </c>
    </row>
    <row r="4763">
      <c r="A4763">
        <f>TEST_DATA!A4763</f>
        <v/>
      </c>
      <c r="B4763">
        <f>TEST_DATA!B4763</f>
        <v/>
      </c>
      <c r="C4763">
        <f>TEST_DATA!C4763</f>
        <v/>
      </c>
      <c r="D4763">
        <f>TEST_DATA!D4763</f>
        <v/>
      </c>
      <c r="E4763">
        <f>TEST_DATA!E4763</f>
        <v/>
      </c>
      <c r="F4763">
        <f>MIN(E4763*476300,10000)</f>
        <v/>
      </c>
      <c r="G4763">
        <f>MINIFS(CBIC_Late_Fee_Relief_Windows_3B!$O$4763:$O$100,CBIC_Late_Fee_Relief_Windows_3B!$D$4763:$D$100,"&lt;="&amp;B4763,CBIC_Late_Fee_Relief_Windows_3B!$E$4763:$E$100,"&gt;="&amp;B4763,CBIC_Late_Fee_Relief_Windows_3B!$F$4763:$F$100,"&lt;="&amp;C4763,CBIC_Late_Fee_Relief_Windows_3B!$G$4763:$G$100,"&gt;="&amp;C4763)</f>
        <v/>
      </c>
      <c r="H4763">
        <f>INDEX(CBIC_Late_Fee_Relief_Windows_3B!$I$4763:$I$100,MATCH(G4763,CBIC_Late_Fee_Relief_Windows_3B!$O$4763:$O$100,0))</f>
        <v/>
      </c>
      <c r="I4763">
        <f>MIN(F4763,H4763)</f>
        <v/>
      </c>
    </row>
    <row r="4764">
      <c r="A4764">
        <f>TEST_DATA!A4764</f>
        <v/>
      </c>
      <c r="B4764">
        <f>TEST_DATA!B4764</f>
        <v/>
      </c>
      <c r="C4764">
        <f>TEST_DATA!C4764</f>
        <v/>
      </c>
      <c r="D4764">
        <f>TEST_DATA!D4764</f>
        <v/>
      </c>
      <c r="E4764">
        <f>TEST_DATA!E4764</f>
        <v/>
      </c>
      <c r="F4764">
        <f>MIN(E4764*476400,10000)</f>
        <v/>
      </c>
      <c r="G4764">
        <f>MINIFS(CBIC_Late_Fee_Relief_Windows_3B!$O$4764:$O$100,CBIC_Late_Fee_Relief_Windows_3B!$D$4764:$D$100,"&lt;="&amp;B4764,CBIC_Late_Fee_Relief_Windows_3B!$E$4764:$E$100,"&gt;="&amp;B4764,CBIC_Late_Fee_Relief_Windows_3B!$F$4764:$F$100,"&lt;="&amp;C4764,CBIC_Late_Fee_Relief_Windows_3B!$G$4764:$G$100,"&gt;="&amp;C4764)</f>
        <v/>
      </c>
      <c r="H4764">
        <f>INDEX(CBIC_Late_Fee_Relief_Windows_3B!$I$4764:$I$100,MATCH(G4764,CBIC_Late_Fee_Relief_Windows_3B!$O$4764:$O$100,0))</f>
        <v/>
      </c>
      <c r="I4764">
        <f>MIN(F4764,H4764)</f>
        <v/>
      </c>
    </row>
    <row r="4765">
      <c r="A4765">
        <f>TEST_DATA!A4765</f>
        <v/>
      </c>
      <c r="B4765">
        <f>TEST_DATA!B4765</f>
        <v/>
      </c>
      <c r="C4765">
        <f>TEST_DATA!C4765</f>
        <v/>
      </c>
      <c r="D4765">
        <f>TEST_DATA!D4765</f>
        <v/>
      </c>
      <c r="E4765">
        <f>TEST_DATA!E4765</f>
        <v/>
      </c>
      <c r="F4765">
        <f>MIN(E4765*476500,10000)</f>
        <v/>
      </c>
      <c r="G4765">
        <f>MINIFS(CBIC_Late_Fee_Relief_Windows_3B!$O$4765:$O$100,CBIC_Late_Fee_Relief_Windows_3B!$D$4765:$D$100,"&lt;="&amp;B4765,CBIC_Late_Fee_Relief_Windows_3B!$E$4765:$E$100,"&gt;="&amp;B4765,CBIC_Late_Fee_Relief_Windows_3B!$F$4765:$F$100,"&lt;="&amp;C4765,CBIC_Late_Fee_Relief_Windows_3B!$G$4765:$G$100,"&gt;="&amp;C4765)</f>
        <v/>
      </c>
      <c r="H4765">
        <f>INDEX(CBIC_Late_Fee_Relief_Windows_3B!$I$4765:$I$100,MATCH(G4765,CBIC_Late_Fee_Relief_Windows_3B!$O$4765:$O$100,0))</f>
        <v/>
      </c>
      <c r="I4765">
        <f>MIN(F4765,H4765)</f>
        <v/>
      </c>
    </row>
    <row r="4766">
      <c r="A4766">
        <f>TEST_DATA!A4766</f>
        <v/>
      </c>
      <c r="B4766">
        <f>TEST_DATA!B4766</f>
        <v/>
      </c>
      <c r="C4766">
        <f>TEST_DATA!C4766</f>
        <v/>
      </c>
      <c r="D4766">
        <f>TEST_DATA!D4766</f>
        <v/>
      </c>
      <c r="E4766">
        <f>TEST_DATA!E4766</f>
        <v/>
      </c>
      <c r="F4766">
        <f>MIN(E4766*476600,10000)</f>
        <v/>
      </c>
      <c r="G4766">
        <f>MINIFS(CBIC_Late_Fee_Relief_Windows_3B!$O$4766:$O$100,CBIC_Late_Fee_Relief_Windows_3B!$D$4766:$D$100,"&lt;="&amp;B4766,CBIC_Late_Fee_Relief_Windows_3B!$E$4766:$E$100,"&gt;="&amp;B4766,CBIC_Late_Fee_Relief_Windows_3B!$F$4766:$F$100,"&lt;="&amp;C4766,CBIC_Late_Fee_Relief_Windows_3B!$G$4766:$G$100,"&gt;="&amp;C4766)</f>
        <v/>
      </c>
      <c r="H4766">
        <f>INDEX(CBIC_Late_Fee_Relief_Windows_3B!$I$4766:$I$100,MATCH(G4766,CBIC_Late_Fee_Relief_Windows_3B!$O$4766:$O$100,0))</f>
        <v/>
      </c>
      <c r="I4766">
        <f>MIN(F4766,H4766)</f>
        <v/>
      </c>
    </row>
    <row r="4767">
      <c r="A4767">
        <f>TEST_DATA!A4767</f>
        <v/>
      </c>
      <c r="B4767">
        <f>TEST_DATA!B4767</f>
        <v/>
      </c>
      <c r="C4767">
        <f>TEST_DATA!C4767</f>
        <v/>
      </c>
      <c r="D4767">
        <f>TEST_DATA!D4767</f>
        <v/>
      </c>
      <c r="E4767">
        <f>TEST_DATA!E4767</f>
        <v/>
      </c>
      <c r="F4767">
        <f>MIN(E4767*476700,10000)</f>
        <v/>
      </c>
      <c r="G4767">
        <f>MINIFS(CBIC_Late_Fee_Relief_Windows_3B!$O$4767:$O$100,CBIC_Late_Fee_Relief_Windows_3B!$D$4767:$D$100,"&lt;="&amp;B4767,CBIC_Late_Fee_Relief_Windows_3B!$E$4767:$E$100,"&gt;="&amp;B4767,CBIC_Late_Fee_Relief_Windows_3B!$F$4767:$F$100,"&lt;="&amp;C4767,CBIC_Late_Fee_Relief_Windows_3B!$G$4767:$G$100,"&gt;="&amp;C4767)</f>
        <v/>
      </c>
      <c r="H4767">
        <f>INDEX(CBIC_Late_Fee_Relief_Windows_3B!$I$4767:$I$100,MATCH(G4767,CBIC_Late_Fee_Relief_Windows_3B!$O$4767:$O$100,0))</f>
        <v/>
      </c>
      <c r="I4767">
        <f>MIN(F4767,H4767)</f>
        <v/>
      </c>
    </row>
    <row r="4768">
      <c r="A4768">
        <f>TEST_DATA!A4768</f>
        <v/>
      </c>
      <c r="B4768">
        <f>TEST_DATA!B4768</f>
        <v/>
      </c>
      <c r="C4768">
        <f>TEST_DATA!C4768</f>
        <v/>
      </c>
      <c r="D4768">
        <f>TEST_DATA!D4768</f>
        <v/>
      </c>
      <c r="E4768">
        <f>TEST_DATA!E4768</f>
        <v/>
      </c>
      <c r="F4768">
        <f>MIN(E4768*476800,10000)</f>
        <v/>
      </c>
      <c r="G4768">
        <f>MINIFS(CBIC_Late_Fee_Relief_Windows_3B!$O$4768:$O$100,CBIC_Late_Fee_Relief_Windows_3B!$D$4768:$D$100,"&lt;="&amp;B4768,CBIC_Late_Fee_Relief_Windows_3B!$E$4768:$E$100,"&gt;="&amp;B4768,CBIC_Late_Fee_Relief_Windows_3B!$F$4768:$F$100,"&lt;="&amp;C4768,CBIC_Late_Fee_Relief_Windows_3B!$G$4768:$G$100,"&gt;="&amp;C4768)</f>
        <v/>
      </c>
      <c r="H4768">
        <f>INDEX(CBIC_Late_Fee_Relief_Windows_3B!$I$4768:$I$100,MATCH(G4768,CBIC_Late_Fee_Relief_Windows_3B!$O$4768:$O$100,0))</f>
        <v/>
      </c>
      <c r="I4768">
        <f>MIN(F4768,H4768)</f>
        <v/>
      </c>
    </row>
    <row r="4769">
      <c r="A4769">
        <f>TEST_DATA!A4769</f>
        <v/>
      </c>
      <c r="B4769">
        <f>TEST_DATA!B4769</f>
        <v/>
      </c>
      <c r="C4769">
        <f>TEST_DATA!C4769</f>
        <v/>
      </c>
      <c r="D4769">
        <f>TEST_DATA!D4769</f>
        <v/>
      </c>
      <c r="E4769">
        <f>TEST_DATA!E4769</f>
        <v/>
      </c>
      <c r="F4769">
        <f>MIN(E4769*476900,10000)</f>
        <v/>
      </c>
      <c r="G4769">
        <f>MINIFS(CBIC_Late_Fee_Relief_Windows_3B!$O$4769:$O$100,CBIC_Late_Fee_Relief_Windows_3B!$D$4769:$D$100,"&lt;="&amp;B4769,CBIC_Late_Fee_Relief_Windows_3B!$E$4769:$E$100,"&gt;="&amp;B4769,CBIC_Late_Fee_Relief_Windows_3B!$F$4769:$F$100,"&lt;="&amp;C4769,CBIC_Late_Fee_Relief_Windows_3B!$G$4769:$G$100,"&gt;="&amp;C4769)</f>
        <v/>
      </c>
      <c r="H4769">
        <f>INDEX(CBIC_Late_Fee_Relief_Windows_3B!$I$4769:$I$100,MATCH(G4769,CBIC_Late_Fee_Relief_Windows_3B!$O$4769:$O$100,0))</f>
        <v/>
      </c>
      <c r="I4769">
        <f>MIN(F4769,H4769)</f>
        <v/>
      </c>
    </row>
    <row r="4770">
      <c r="A4770">
        <f>TEST_DATA!A4770</f>
        <v/>
      </c>
      <c r="B4770">
        <f>TEST_DATA!B4770</f>
        <v/>
      </c>
      <c r="C4770">
        <f>TEST_DATA!C4770</f>
        <v/>
      </c>
      <c r="D4770">
        <f>TEST_DATA!D4770</f>
        <v/>
      </c>
      <c r="E4770">
        <f>TEST_DATA!E4770</f>
        <v/>
      </c>
      <c r="F4770">
        <f>MIN(E4770*477000,10000)</f>
        <v/>
      </c>
      <c r="G4770">
        <f>MINIFS(CBIC_Late_Fee_Relief_Windows_3B!$O$4770:$O$100,CBIC_Late_Fee_Relief_Windows_3B!$D$4770:$D$100,"&lt;="&amp;B4770,CBIC_Late_Fee_Relief_Windows_3B!$E$4770:$E$100,"&gt;="&amp;B4770,CBIC_Late_Fee_Relief_Windows_3B!$F$4770:$F$100,"&lt;="&amp;C4770,CBIC_Late_Fee_Relief_Windows_3B!$G$4770:$G$100,"&gt;="&amp;C4770)</f>
        <v/>
      </c>
      <c r="H4770">
        <f>INDEX(CBIC_Late_Fee_Relief_Windows_3B!$I$4770:$I$100,MATCH(G4770,CBIC_Late_Fee_Relief_Windows_3B!$O$4770:$O$100,0))</f>
        <v/>
      </c>
      <c r="I4770">
        <f>MIN(F4770,H4770)</f>
        <v/>
      </c>
    </row>
    <row r="4771">
      <c r="A4771">
        <f>TEST_DATA!A4771</f>
        <v/>
      </c>
      <c r="B4771">
        <f>TEST_DATA!B4771</f>
        <v/>
      </c>
      <c r="C4771">
        <f>TEST_DATA!C4771</f>
        <v/>
      </c>
      <c r="D4771">
        <f>TEST_DATA!D4771</f>
        <v/>
      </c>
      <c r="E4771">
        <f>TEST_DATA!E4771</f>
        <v/>
      </c>
      <c r="F4771">
        <f>MIN(E4771*477100,10000)</f>
        <v/>
      </c>
      <c r="G4771">
        <f>MINIFS(CBIC_Late_Fee_Relief_Windows_3B!$O$4771:$O$100,CBIC_Late_Fee_Relief_Windows_3B!$D$4771:$D$100,"&lt;="&amp;B4771,CBIC_Late_Fee_Relief_Windows_3B!$E$4771:$E$100,"&gt;="&amp;B4771,CBIC_Late_Fee_Relief_Windows_3B!$F$4771:$F$100,"&lt;="&amp;C4771,CBIC_Late_Fee_Relief_Windows_3B!$G$4771:$G$100,"&gt;="&amp;C4771)</f>
        <v/>
      </c>
      <c r="H4771">
        <f>INDEX(CBIC_Late_Fee_Relief_Windows_3B!$I$4771:$I$100,MATCH(G4771,CBIC_Late_Fee_Relief_Windows_3B!$O$4771:$O$100,0))</f>
        <v/>
      </c>
      <c r="I4771">
        <f>MIN(F4771,H4771)</f>
        <v/>
      </c>
    </row>
    <row r="4772">
      <c r="A4772">
        <f>TEST_DATA!A4772</f>
        <v/>
      </c>
      <c r="B4772">
        <f>TEST_DATA!B4772</f>
        <v/>
      </c>
      <c r="C4772">
        <f>TEST_DATA!C4772</f>
        <v/>
      </c>
      <c r="D4772">
        <f>TEST_DATA!D4772</f>
        <v/>
      </c>
      <c r="E4772">
        <f>TEST_DATA!E4772</f>
        <v/>
      </c>
      <c r="F4772">
        <f>MIN(E4772*477200,10000)</f>
        <v/>
      </c>
      <c r="G4772">
        <f>MINIFS(CBIC_Late_Fee_Relief_Windows_3B!$O$4772:$O$100,CBIC_Late_Fee_Relief_Windows_3B!$D$4772:$D$100,"&lt;="&amp;B4772,CBIC_Late_Fee_Relief_Windows_3B!$E$4772:$E$100,"&gt;="&amp;B4772,CBIC_Late_Fee_Relief_Windows_3B!$F$4772:$F$100,"&lt;="&amp;C4772,CBIC_Late_Fee_Relief_Windows_3B!$G$4772:$G$100,"&gt;="&amp;C4772)</f>
        <v/>
      </c>
      <c r="H4772">
        <f>INDEX(CBIC_Late_Fee_Relief_Windows_3B!$I$4772:$I$100,MATCH(G4772,CBIC_Late_Fee_Relief_Windows_3B!$O$4772:$O$100,0))</f>
        <v/>
      </c>
      <c r="I4772">
        <f>MIN(F4772,H4772)</f>
        <v/>
      </c>
    </row>
    <row r="4773">
      <c r="A4773">
        <f>TEST_DATA!A4773</f>
        <v/>
      </c>
      <c r="B4773">
        <f>TEST_DATA!B4773</f>
        <v/>
      </c>
      <c r="C4773">
        <f>TEST_DATA!C4773</f>
        <v/>
      </c>
      <c r="D4773">
        <f>TEST_DATA!D4773</f>
        <v/>
      </c>
      <c r="E4773">
        <f>TEST_DATA!E4773</f>
        <v/>
      </c>
      <c r="F4773">
        <f>MIN(E4773*477300,10000)</f>
        <v/>
      </c>
      <c r="G4773">
        <f>MINIFS(CBIC_Late_Fee_Relief_Windows_3B!$O$4773:$O$100,CBIC_Late_Fee_Relief_Windows_3B!$D$4773:$D$100,"&lt;="&amp;B4773,CBIC_Late_Fee_Relief_Windows_3B!$E$4773:$E$100,"&gt;="&amp;B4773,CBIC_Late_Fee_Relief_Windows_3B!$F$4773:$F$100,"&lt;="&amp;C4773,CBIC_Late_Fee_Relief_Windows_3B!$G$4773:$G$100,"&gt;="&amp;C4773)</f>
        <v/>
      </c>
      <c r="H4773">
        <f>INDEX(CBIC_Late_Fee_Relief_Windows_3B!$I$4773:$I$100,MATCH(G4773,CBIC_Late_Fee_Relief_Windows_3B!$O$4773:$O$100,0))</f>
        <v/>
      </c>
      <c r="I4773">
        <f>MIN(F4773,H4773)</f>
        <v/>
      </c>
    </row>
    <row r="4774">
      <c r="A4774">
        <f>TEST_DATA!A4774</f>
        <v/>
      </c>
      <c r="B4774">
        <f>TEST_DATA!B4774</f>
        <v/>
      </c>
      <c r="C4774">
        <f>TEST_DATA!C4774</f>
        <v/>
      </c>
      <c r="D4774">
        <f>TEST_DATA!D4774</f>
        <v/>
      </c>
      <c r="E4774">
        <f>TEST_DATA!E4774</f>
        <v/>
      </c>
      <c r="F4774">
        <f>MIN(E4774*477400,10000)</f>
        <v/>
      </c>
      <c r="G4774">
        <f>MINIFS(CBIC_Late_Fee_Relief_Windows_3B!$O$4774:$O$100,CBIC_Late_Fee_Relief_Windows_3B!$D$4774:$D$100,"&lt;="&amp;B4774,CBIC_Late_Fee_Relief_Windows_3B!$E$4774:$E$100,"&gt;="&amp;B4774,CBIC_Late_Fee_Relief_Windows_3B!$F$4774:$F$100,"&lt;="&amp;C4774,CBIC_Late_Fee_Relief_Windows_3B!$G$4774:$G$100,"&gt;="&amp;C4774)</f>
        <v/>
      </c>
      <c r="H4774">
        <f>INDEX(CBIC_Late_Fee_Relief_Windows_3B!$I$4774:$I$100,MATCH(G4774,CBIC_Late_Fee_Relief_Windows_3B!$O$4774:$O$100,0))</f>
        <v/>
      </c>
      <c r="I4774">
        <f>MIN(F4774,H4774)</f>
        <v/>
      </c>
    </row>
    <row r="4775">
      <c r="A4775">
        <f>TEST_DATA!A4775</f>
        <v/>
      </c>
      <c r="B4775">
        <f>TEST_DATA!B4775</f>
        <v/>
      </c>
      <c r="C4775">
        <f>TEST_DATA!C4775</f>
        <v/>
      </c>
      <c r="D4775">
        <f>TEST_DATA!D4775</f>
        <v/>
      </c>
      <c r="E4775">
        <f>TEST_DATA!E4775</f>
        <v/>
      </c>
      <c r="F4775">
        <f>MIN(E4775*477500,10000)</f>
        <v/>
      </c>
      <c r="G4775">
        <f>MINIFS(CBIC_Late_Fee_Relief_Windows_3B!$O$4775:$O$100,CBIC_Late_Fee_Relief_Windows_3B!$D$4775:$D$100,"&lt;="&amp;B4775,CBIC_Late_Fee_Relief_Windows_3B!$E$4775:$E$100,"&gt;="&amp;B4775,CBIC_Late_Fee_Relief_Windows_3B!$F$4775:$F$100,"&lt;="&amp;C4775,CBIC_Late_Fee_Relief_Windows_3B!$G$4775:$G$100,"&gt;="&amp;C4775)</f>
        <v/>
      </c>
      <c r="H4775">
        <f>INDEX(CBIC_Late_Fee_Relief_Windows_3B!$I$4775:$I$100,MATCH(G4775,CBIC_Late_Fee_Relief_Windows_3B!$O$4775:$O$100,0))</f>
        <v/>
      </c>
      <c r="I4775">
        <f>MIN(F4775,H4775)</f>
        <v/>
      </c>
    </row>
    <row r="4776">
      <c r="A4776">
        <f>TEST_DATA!A4776</f>
        <v/>
      </c>
      <c r="B4776">
        <f>TEST_DATA!B4776</f>
        <v/>
      </c>
      <c r="C4776">
        <f>TEST_DATA!C4776</f>
        <v/>
      </c>
      <c r="D4776">
        <f>TEST_DATA!D4776</f>
        <v/>
      </c>
      <c r="E4776">
        <f>TEST_DATA!E4776</f>
        <v/>
      </c>
      <c r="F4776">
        <f>MIN(E4776*477600,10000)</f>
        <v/>
      </c>
      <c r="G4776">
        <f>MINIFS(CBIC_Late_Fee_Relief_Windows_3B!$O$4776:$O$100,CBIC_Late_Fee_Relief_Windows_3B!$D$4776:$D$100,"&lt;="&amp;B4776,CBIC_Late_Fee_Relief_Windows_3B!$E$4776:$E$100,"&gt;="&amp;B4776,CBIC_Late_Fee_Relief_Windows_3B!$F$4776:$F$100,"&lt;="&amp;C4776,CBIC_Late_Fee_Relief_Windows_3B!$G$4776:$G$100,"&gt;="&amp;C4776)</f>
        <v/>
      </c>
      <c r="H4776">
        <f>INDEX(CBIC_Late_Fee_Relief_Windows_3B!$I$4776:$I$100,MATCH(G4776,CBIC_Late_Fee_Relief_Windows_3B!$O$4776:$O$100,0))</f>
        <v/>
      </c>
      <c r="I4776">
        <f>MIN(F4776,H4776)</f>
        <v/>
      </c>
    </row>
    <row r="4777">
      <c r="A4777">
        <f>TEST_DATA!A4777</f>
        <v/>
      </c>
      <c r="B4777">
        <f>TEST_DATA!B4777</f>
        <v/>
      </c>
      <c r="C4777">
        <f>TEST_DATA!C4777</f>
        <v/>
      </c>
      <c r="D4777">
        <f>TEST_DATA!D4777</f>
        <v/>
      </c>
      <c r="E4777">
        <f>TEST_DATA!E4777</f>
        <v/>
      </c>
      <c r="F4777">
        <f>MIN(E4777*477700,10000)</f>
        <v/>
      </c>
      <c r="G4777">
        <f>MINIFS(CBIC_Late_Fee_Relief_Windows_3B!$O$4777:$O$100,CBIC_Late_Fee_Relief_Windows_3B!$D$4777:$D$100,"&lt;="&amp;B4777,CBIC_Late_Fee_Relief_Windows_3B!$E$4777:$E$100,"&gt;="&amp;B4777,CBIC_Late_Fee_Relief_Windows_3B!$F$4777:$F$100,"&lt;="&amp;C4777,CBIC_Late_Fee_Relief_Windows_3B!$G$4777:$G$100,"&gt;="&amp;C4777)</f>
        <v/>
      </c>
      <c r="H4777">
        <f>INDEX(CBIC_Late_Fee_Relief_Windows_3B!$I$4777:$I$100,MATCH(G4777,CBIC_Late_Fee_Relief_Windows_3B!$O$4777:$O$100,0))</f>
        <v/>
      </c>
      <c r="I4777">
        <f>MIN(F4777,H4777)</f>
        <v/>
      </c>
    </row>
    <row r="4778">
      <c r="A4778">
        <f>TEST_DATA!A4778</f>
        <v/>
      </c>
      <c r="B4778">
        <f>TEST_DATA!B4778</f>
        <v/>
      </c>
      <c r="C4778">
        <f>TEST_DATA!C4778</f>
        <v/>
      </c>
      <c r="D4778">
        <f>TEST_DATA!D4778</f>
        <v/>
      </c>
      <c r="E4778">
        <f>TEST_DATA!E4778</f>
        <v/>
      </c>
      <c r="F4778">
        <f>MIN(E4778*477800,10000)</f>
        <v/>
      </c>
      <c r="G4778">
        <f>MINIFS(CBIC_Late_Fee_Relief_Windows_3B!$O$4778:$O$100,CBIC_Late_Fee_Relief_Windows_3B!$D$4778:$D$100,"&lt;="&amp;B4778,CBIC_Late_Fee_Relief_Windows_3B!$E$4778:$E$100,"&gt;="&amp;B4778,CBIC_Late_Fee_Relief_Windows_3B!$F$4778:$F$100,"&lt;="&amp;C4778,CBIC_Late_Fee_Relief_Windows_3B!$G$4778:$G$100,"&gt;="&amp;C4778)</f>
        <v/>
      </c>
      <c r="H4778">
        <f>INDEX(CBIC_Late_Fee_Relief_Windows_3B!$I$4778:$I$100,MATCH(G4778,CBIC_Late_Fee_Relief_Windows_3B!$O$4778:$O$100,0))</f>
        <v/>
      </c>
      <c r="I4778">
        <f>MIN(F4778,H4778)</f>
        <v/>
      </c>
    </row>
    <row r="4779">
      <c r="A4779">
        <f>TEST_DATA!A4779</f>
        <v/>
      </c>
      <c r="B4779">
        <f>TEST_DATA!B4779</f>
        <v/>
      </c>
      <c r="C4779">
        <f>TEST_DATA!C4779</f>
        <v/>
      </c>
      <c r="D4779">
        <f>TEST_DATA!D4779</f>
        <v/>
      </c>
      <c r="E4779">
        <f>TEST_DATA!E4779</f>
        <v/>
      </c>
      <c r="F4779">
        <f>MIN(E4779*477900,10000)</f>
        <v/>
      </c>
      <c r="G4779">
        <f>MINIFS(CBIC_Late_Fee_Relief_Windows_3B!$O$4779:$O$100,CBIC_Late_Fee_Relief_Windows_3B!$D$4779:$D$100,"&lt;="&amp;B4779,CBIC_Late_Fee_Relief_Windows_3B!$E$4779:$E$100,"&gt;="&amp;B4779,CBIC_Late_Fee_Relief_Windows_3B!$F$4779:$F$100,"&lt;="&amp;C4779,CBIC_Late_Fee_Relief_Windows_3B!$G$4779:$G$100,"&gt;="&amp;C4779)</f>
        <v/>
      </c>
      <c r="H4779">
        <f>INDEX(CBIC_Late_Fee_Relief_Windows_3B!$I$4779:$I$100,MATCH(G4779,CBIC_Late_Fee_Relief_Windows_3B!$O$4779:$O$100,0))</f>
        <v/>
      </c>
      <c r="I4779">
        <f>MIN(F4779,H4779)</f>
        <v/>
      </c>
    </row>
    <row r="4780">
      <c r="A4780">
        <f>TEST_DATA!A4780</f>
        <v/>
      </c>
      <c r="B4780">
        <f>TEST_DATA!B4780</f>
        <v/>
      </c>
      <c r="C4780">
        <f>TEST_DATA!C4780</f>
        <v/>
      </c>
      <c r="D4780">
        <f>TEST_DATA!D4780</f>
        <v/>
      </c>
      <c r="E4780">
        <f>TEST_DATA!E4780</f>
        <v/>
      </c>
      <c r="F4780">
        <f>MIN(E4780*478000,10000)</f>
        <v/>
      </c>
      <c r="G4780">
        <f>MINIFS(CBIC_Late_Fee_Relief_Windows_3B!$O$4780:$O$100,CBIC_Late_Fee_Relief_Windows_3B!$D$4780:$D$100,"&lt;="&amp;B4780,CBIC_Late_Fee_Relief_Windows_3B!$E$4780:$E$100,"&gt;="&amp;B4780,CBIC_Late_Fee_Relief_Windows_3B!$F$4780:$F$100,"&lt;="&amp;C4780,CBIC_Late_Fee_Relief_Windows_3B!$G$4780:$G$100,"&gt;="&amp;C4780)</f>
        <v/>
      </c>
      <c r="H4780">
        <f>INDEX(CBIC_Late_Fee_Relief_Windows_3B!$I$4780:$I$100,MATCH(G4780,CBIC_Late_Fee_Relief_Windows_3B!$O$4780:$O$100,0))</f>
        <v/>
      </c>
      <c r="I4780">
        <f>MIN(F4780,H4780)</f>
        <v/>
      </c>
    </row>
    <row r="4781">
      <c r="A4781">
        <f>TEST_DATA!A4781</f>
        <v/>
      </c>
      <c r="B4781">
        <f>TEST_DATA!B4781</f>
        <v/>
      </c>
      <c r="C4781">
        <f>TEST_DATA!C4781</f>
        <v/>
      </c>
      <c r="D4781">
        <f>TEST_DATA!D4781</f>
        <v/>
      </c>
      <c r="E4781">
        <f>TEST_DATA!E4781</f>
        <v/>
      </c>
      <c r="F4781">
        <f>MIN(E4781*478100,10000)</f>
        <v/>
      </c>
      <c r="G4781">
        <f>MINIFS(CBIC_Late_Fee_Relief_Windows_3B!$O$4781:$O$100,CBIC_Late_Fee_Relief_Windows_3B!$D$4781:$D$100,"&lt;="&amp;B4781,CBIC_Late_Fee_Relief_Windows_3B!$E$4781:$E$100,"&gt;="&amp;B4781,CBIC_Late_Fee_Relief_Windows_3B!$F$4781:$F$100,"&lt;="&amp;C4781,CBIC_Late_Fee_Relief_Windows_3B!$G$4781:$G$100,"&gt;="&amp;C4781)</f>
        <v/>
      </c>
      <c r="H4781">
        <f>INDEX(CBIC_Late_Fee_Relief_Windows_3B!$I$4781:$I$100,MATCH(G4781,CBIC_Late_Fee_Relief_Windows_3B!$O$4781:$O$100,0))</f>
        <v/>
      </c>
      <c r="I4781">
        <f>MIN(F4781,H4781)</f>
        <v/>
      </c>
    </row>
    <row r="4782">
      <c r="A4782">
        <f>TEST_DATA!A4782</f>
        <v/>
      </c>
      <c r="B4782">
        <f>TEST_DATA!B4782</f>
        <v/>
      </c>
      <c r="C4782">
        <f>TEST_DATA!C4782</f>
        <v/>
      </c>
      <c r="D4782">
        <f>TEST_DATA!D4782</f>
        <v/>
      </c>
      <c r="E4782">
        <f>TEST_DATA!E4782</f>
        <v/>
      </c>
      <c r="F4782">
        <f>MIN(E4782*478200,10000)</f>
        <v/>
      </c>
      <c r="G4782">
        <f>MINIFS(CBIC_Late_Fee_Relief_Windows_3B!$O$4782:$O$100,CBIC_Late_Fee_Relief_Windows_3B!$D$4782:$D$100,"&lt;="&amp;B4782,CBIC_Late_Fee_Relief_Windows_3B!$E$4782:$E$100,"&gt;="&amp;B4782,CBIC_Late_Fee_Relief_Windows_3B!$F$4782:$F$100,"&lt;="&amp;C4782,CBIC_Late_Fee_Relief_Windows_3B!$G$4782:$G$100,"&gt;="&amp;C4782)</f>
        <v/>
      </c>
      <c r="H4782">
        <f>INDEX(CBIC_Late_Fee_Relief_Windows_3B!$I$4782:$I$100,MATCH(G4782,CBIC_Late_Fee_Relief_Windows_3B!$O$4782:$O$100,0))</f>
        <v/>
      </c>
      <c r="I4782">
        <f>MIN(F4782,H4782)</f>
        <v/>
      </c>
    </row>
    <row r="4783">
      <c r="A4783">
        <f>TEST_DATA!A4783</f>
        <v/>
      </c>
      <c r="B4783">
        <f>TEST_DATA!B4783</f>
        <v/>
      </c>
      <c r="C4783">
        <f>TEST_DATA!C4783</f>
        <v/>
      </c>
      <c r="D4783">
        <f>TEST_DATA!D4783</f>
        <v/>
      </c>
      <c r="E4783">
        <f>TEST_DATA!E4783</f>
        <v/>
      </c>
      <c r="F4783">
        <f>MIN(E4783*478300,10000)</f>
        <v/>
      </c>
      <c r="G4783">
        <f>MINIFS(CBIC_Late_Fee_Relief_Windows_3B!$O$4783:$O$100,CBIC_Late_Fee_Relief_Windows_3B!$D$4783:$D$100,"&lt;="&amp;B4783,CBIC_Late_Fee_Relief_Windows_3B!$E$4783:$E$100,"&gt;="&amp;B4783,CBIC_Late_Fee_Relief_Windows_3B!$F$4783:$F$100,"&lt;="&amp;C4783,CBIC_Late_Fee_Relief_Windows_3B!$G$4783:$G$100,"&gt;="&amp;C4783)</f>
        <v/>
      </c>
      <c r="H4783">
        <f>INDEX(CBIC_Late_Fee_Relief_Windows_3B!$I$4783:$I$100,MATCH(G4783,CBIC_Late_Fee_Relief_Windows_3B!$O$4783:$O$100,0))</f>
        <v/>
      </c>
      <c r="I4783">
        <f>MIN(F4783,H4783)</f>
        <v/>
      </c>
    </row>
    <row r="4784">
      <c r="A4784">
        <f>TEST_DATA!A4784</f>
        <v/>
      </c>
      <c r="B4784">
        <f>TEST_DATA!B4784</f>
        <v/>
      </c>
      <c r="C4784">
        <f>TEST_DATA!C4784</f>
        <v/>
      </c>
      <c r="D4784">
        <f>TEST_DATA!D4784</f>
        <v/>
      </c>
      <c r="E4784">
        <f>TEST_DATA!E4784</f>
        <v/>
      </c>
      <c r="F4784">
        <f>MIN(E4784*478400,10000)</f>
        <v/>
      </c>
      <c r="G4784">
        <f>MINIFS(CBIC_Late_Fee_Relief_Windows_3B!$O$4784:$O$100,CBIC_Late_Fee_Relief_Windows_3B!$D$4784:$D$100,"&lt;="&amp;B4784,CBIC_Late_Fee_Relief_Windows_3B!$E$4784:$E$100,"&gt;="&amp;B4784,CBIC_Late_Fee_Relief_Windows_3B!$F$4784:$F$100,"&lt;="&amp;C4784,CBIC_Late_Fee_Relief_Windows_3B!$G$4784:$G$100,"&gt;="&amp;C4784)</f>
        <v/>
      </c>
      <c r="H4784">
        <f>INDEX(CBIC_Late_Fee_Relief_Windows_3B!$I$4784:$I$100,MATCH(G4784,CBIC_Late_Fee_Relief_Windows_3B!$O$4784:$O$100,0))</f>
        <v/>
      </c>
      <c r="I4784">
        <f>MIN(F4784,H4784)</f>
        <v/>
      </c>
    </row>
    <row r="4785">
      <c r="A4785">
        <f>TEST_DATA!A4785</f>
        <v/>
      </c>
      <c r="B4785">
        <f>TEST_DATA!B4785</f>
        <v/>
      </c>
      <c r="C4785">
        <f>TEST_DATA!C4785</f>
        <v/>
      </c>
      <c r="D4785">
        <f>TEST_DATA!D4785</f>
        <v/>
      </c>
      <c r="E4785">
        <f>TEST_DATA!E4785</f>
        <v/>
      </c>
      <c r="F4785">
        <f>MIN(E4785*478500,10000)</f>
        <v/>
      </c>
      <c r="G4785">
        <f>MINIFS(CBIC_Late_Fee_Relief_Windows_3B!$O$4785:$O$100,CBIC_Late_Fee_Relief_Windows_3B!$D$4785:$D$100,"&lt;="&amp;B4785,CBIC_Late_Fee_Relief_Windows_3B!$E$4785:$E$100,"&gt;="&amp;B4785,CBIC_Late_Fee_Relief_Windows_3B!$F$4785:$F$100,"&lt;="&amp;C4785,CBIC_Late_Fee_Relief_Windows_3B!$G$4785:$G$100,"&gt;="&amp;C4785)</f>
        <v/>
      </c>
      <c r="H4785">
        <f>INDEX(CBIC_Late_Fee_Relief_Windows_3B!$I$4785:$I$100,MATCH(G4785,CBIC_Late_Fee_Relief_Windows_3B!$O$4785:$O$100,0))</f>
        <v/>
      </c>
      <c r="I4785">
        <f>MIN(F4785,H4785)</f>
        <v/>
      </c>
    </row>
    <row r="4786">
      <c r="A4786">
        <f>TEST_DATA!A4786</f>
        <v/>
      </c>
      <c r="B4786">
        <f>TEST_DATA!B4786</f>
        <v/>
      </c>
      <c r="C4786">
        <f>TEST_DATA!C4786</f>
        <v/>
      </c>
      <c r="D4786">
        <f>TEST_DATA!D4786</f>
        <v/>
      </c>
      <c r="E4786">
        <f>TEST_DATA!E4786</f>
        <v/>
      </c>
      <c r="F4786">
        <f>MIN(E4786*478600,10000)</f>
        <v/>
      </c>
      <c r="G4786">
        <f>MINIFS(CBIC_Late_Fee_Relief_Windows_3B!$O$4786:$O$100,CBIC_Late_Fee_Relief_Windows_3B!$D$4786:$D$100,"&lt;="&amp;B4786,CBIC_Late_Fee_Relief_Windows_3B!$E$4786:$E$100,"&gt;="&amp;B4786,CBIC_Late_Fee_Relief_Windows_3B!$F$4786:$F$100,"&lt;="&amp;C4786,CBIC_Late_Fee_Relief_Windows_3B!$G$4786:$G$100,"&gt;="&amp;C4786)</f>
        <v/>
      </c>
      <c r="H4786">
        <f>INDEX(CBIC_Late_Fee_Relief_Windows_3B!$I$4786:$I$100,MATCH(G4786,CBIC_Late_Fee_Relief_Windows_3B!$O$4786:$O$100,0))</f>
        <v/>
      </c>
      <c r="I4786">
        <f>MIN(F4786,H4786)</f>
        <v/>
      </c>
    </row>
    <row r="4787">
      <c r="A4787">
        <f>TEST_DATA!A4787</f>
        <v/>
      </c>
      <c r="B4787">
        <f>TEST_DATA!B4787</f>
        <v/>
      </c>
      <c r="C4787">
        <f>TEST_DATA!C4787</f>
        <v/>
      </c>
      <c r="D4787">
        <f>TEST_DATA!D4787</f>
        <v/>
      </c>
      <c r="E4787">
        <f>TEST_DATA!E4787</f>
        <v/>
      </c>
      <c r="F4787">
        <f>MIN(E4787*478700,10000)</f>
        <v/>
      </c>
      <c r="G4787">
        <f>MINIFS(CBIC_Late_Fee_Relief_Windows_3B!$O$4787:$O$100,CBIC_Late_Fee_Relief_Windows_3B!$D$4787:$D$100,"&lt;="&amp;B4787,CBIC_Late_Fee_Relief_Windows_3B!$E$4787:$E$100,"&gt;="&amp;B4787,CBIC_Late_Fee_Relief_Windows_3B!$F$4787:$F$100,"&lt;="&amp;C4787,CBIC_Late_Fee_Relief_Windows_3B!$G$4787:$G$100,"&gt;="&amp;C4787)</f>
        <v/>
      </c>
      <c r="H4787">
        <f>INDEX(CBIC_Late_Fee_Relief_Windows_3B!$I$4787:$I$100,MATCH(G4787,CBIC_Late_Fee_Relief_Windows_3B!$O$4787:$O$100,0))</f>
        <v/>
      </c>
      <c r="I4787">
        <f>MIN(F4787,H4787)</f>
        <v/>
      </c>
    </row>
    <row r="4788">
      <c r="A4788">
        <f>TEST_DATA!A4788</f>
        <v/>
      </c>
      <c r="B4788">
        <f>TEST_DATA!B4788</f>
        <v/>
      </c>
      <c r="C4788">
        <f>TEST_DATA!C4788</f>
        <v/>
      </c>
      <c r="D4788">
        <f>TEST_DATA!D4788</f>
        <v/>
      </c>
      <c r="E4788">
        <f>TEST_DATA!E4788</f>
        <v/>
      </c>
      <c r="F4788">
        <f>MIN(E4788*478800,10000)</f>
        <v/>
      </c>
      <c r="G4788">
        <f>MINIFS(CBIC_Late_Fee_Relief_Windows_3B!$O$4788:$O$100,CBIC_Late_Fee_Relief_Windows_3B!$D$4788:$D$100,"&lt;="&amp;B4788,CBIC_Late_Fee_Relief_Windows_3B!$E$4788:$E$100,"&gt;="&amp;B4788,CBIC_Late_Fee_Relief_Windows_3B!$F$4788:$F$100,"&lt;="&amp;C4788,CBIC_Late_Fee_Relief_Windows_3B!$G$4788:$G$100,"&gt;="&amp;C4788)</f>
        <v/>
      </c>
      <c r="H4788">
        <f>INDEX(CBIC_Late_Fee_Relief_Windows_3B!$I$4788:$I$100,MATCH(G4788,CBIC_Late_Fee_Relief_Windows_3B!$O$4788:$O$100,0))</f>
        <v/>
      </c>
      <c r="I4788">
        <f>MIN(F4788,H4788)</f>
        <v/>
      </c>
    </row>
    <row r="4789">
      <c r="A4789">
        <f>TEST_DATA!A4789</f>
        <v/>
      </c>
      <c r="B4789">
        <f>TEST_DATA!B4789</f>
        <v/>
      </c>
      <c r="C4789">
        <f>TEST_DATA!C4789</f>
        <v/>
      </c>
      <c r="D4789">
        <f>TEST_DATA!D4789</f>
        <v/>
      </c>
      <c r="E4789">
        <f>TEST_DATA!E4789</f>
        <v/>
      </c>
      <c r="F4789">
        <f>MIN(E4789*478900,10000)</f>
        <v/>
      </c>
      <c r="G4789">
        <f>MINIFS(CBIC_Late_Fee_Relief_Windows_3B!$O$4789:$O$100,CBIC_Late_Fee_Relief_Windows_3B!$D$4789:$D$100,"&lt;="&amp;B4789,CBIC_Late_Fee_Relief_Windows_3B!$E$4789:$E$100,"&gt;="&amp;B4789,CBIC_Late_Fee_Relief_Windows_3B!$F$4789:$F$100,"&lt;="&amp;C4789,CBIC_Late_Fee_Relief_Windows_3B!$G$4789:$G$100,"&gt;="&amp;C4789)</f>
        <v/>
      </c>
      <c r="H4789">
        <f>INDEX(CBIC_Late_Fee_Relief_Windows_3B!$I$4789:$I$100,MATCH(G4789,CBIC_Late_Fee_Relief_Windows_3B!$O$4789:$O$100,0))</f>
        <v/>
      </c>
      <c r="I4789">
        <f>MIN(F4789,H4789)</f>
        <v/>
      </c>
    </row>
    <row r="4790">
      <c r="A4790">
        <f>TEST_DATA!A4790</f>
        <v/>
      </c>
      <c r="B4790">
        <f>TEST_DATA!B4790</f>
        <v/>
      </c>
      <c r="C4790">
        <f>TEST_DATA!C4790</f>
        <v/>
      </c>
      <c r="D4790">
        <f>TEST_DATA!D4790</f>
        <v/>
      </c>
      <c r="E4790">
        <f>TEST_DATA!E4790</f>
        <v/>
      </c>
      <c r="F4790">
        <f>MIN(E4790*479000,10000)</f>
        <v/>
      </c>
      <c r="G4790">
        <f>MINIFS(CBIC_Late_Fee_Relief_Windows_3B!$O$4790:$O$100,CBIC_Late_Fee_Relief_Windows_3B!$D$4790:$D$100,"&lt;="&amp;B4790,CBIC_Late_Fee_Relief_Windows_3B!$E$4790:$E$100,"&gt;="&amp;B4790,CBIC_Late_Fee_Relief_Windows_3B!$F$4790:$F$100,"&lt;="&amp;C4790,CBIC_Late_Fee_Relief_Windows_3B!$G$4790:$G$100,"&gt;="&amp;C4790)</f>
        <v/>
      </c>
      <c r="H4790">
        <f>INDEX(CBIC_Late_Fee_Relief_Windows_3B!$I$4790:$I$100,MATCH(G4790,CBIC_Late_Fee_Relief_Windows_3B!$O$4790:$O$100,0))</f>
        <v/>
      </c>
      <c r="I4790">
        <f>MIN(F4790,H4790)</f>
        <v/>
      </c>
    </row>
    <row r="4791">
      <c r="A4791">
        <f>TEST_DATA!A4791</f>
        <v/>
      </c>
      <c r="B4791">
        <f>TEST_DATA!B4791</f>
        <v/>
      </c>
      <c r="C4791">
        <f>TEST_DATA!C4791</f>
        <v/>
      </c>
      <c r="D4791">
        <f>TEST_DATA!D4791</f>
        <v/>
      </c>
      <c r="E4791">
        <f>TEST_DATA!E4791</f>
        <v/>
      </c>
      <c r="F4791">
        <f>MIN(E4791*479100,10000)</f>
        <v/>
      </c>
      <c r="G4791">
        <f>MINIFS(CBIC_Late_Fee_Relief_Windows_3B!$O$4791:$O$100,CBIC_Late_Fee_Relief_Windows_3B!$D$4791:$D$100,"&lt;="&amp;B4791,CBIC_Late_Fee_Relief_Windows_3B!$E$4791:$E$100,"&gt;="&amp;B4791,CBIC_Late_Fee_Relief_Windows_3B!$F$4791:$F$100,"&lt;="&amp;C4791,CBIC_Late_Fee_Relief_Windows_3B!$G$4791:$G$100,"&gt;="&amp;C4791)</f>
        <v/>
      </c>
      <c r="H4791">
        <f>INDEX(CBIC_Late_Fee_Relief_Windows_3B!$I$4791:$I$100,MATCH(G4791,CBIC_Late_Fee_Relief_Windows_3B!$O$4791:$O$100,0))</f>
        <v/>
      </c>
      <c r="I4791">
        <f>MIN(F4791,H4791)</f>
        <v/>
      </c>
    </row>
    <row r="4792">
      <c r="A4792">
        <f>TEST_DATA!A4792</f>
        <v/>
      </c>
      <c r="B4792">
        <f>TEST_DATA!B4792</f>
        <v/>
      </c>
      <c r="C4792">
        <f>TEST_DATA!C4792</f>
        <v/>
      </c>
      <c r="D4792">
        <f>TEST_DATA!D4792</f>
        <v/>
      </c>
      <c r="E4792">
        <f>TEST_DATA!E4792</f>
        <v/>
      </c>
      <c r="F4792">
        <f>MIN(E4792*479200,10000)</f>
        <v/>
      </c>
      <c r="G4792">
        <f>MINIFS(CBIC_Late_Fee_Relief_Windows_3B!$O$4792:$O$100,CBIC_Late_Fee_Relief_Windows_3B!$D$4792:$D$100,"&lt;="&amp;B4792,CBIC_Late_Fee_Relief_Windows_3B!$E$4792:$E$100,"&gt;="&amp;B4792,CBIC_Late_Fee_Relief_Windows_3B!$F$4792:$F$100,"&lt;="&amp;C4792,CBIC_Late_Fee_Relief_Windows_3B!$G$4792:$G$100,"&gt;="&amp;C4792)</f>
        <v/>
      </c>
      <c r="H4792">
        <f>INDEX(CBIC_Late_Fee_Relief_Windows_3B!$I$4792:$I$100,MATCH(G4792,CBIC_Late_Fee_Relief_Windows_3B!$O$4792:$O$100,0))</f>
        <v/>
      </c>
      <c r="I4792">
        <f>MIN(F4792,H4792)</f>
        <v/>
      </c>
    </row>
    <row r="4793">
      <c r="A4793">
        <f>TEST_DATA!A4793</f>
        <v/>
      </c>
      <c r="B4793">
        <f>TEST_DATA!B4793</f>
        <v/>
      </c>
      <c r="C4793">
        <f>TEST_DATA!C4793</f>
        <v/>
      </c>
      <c r="D4793">
        <f>TEST_DATA!D4793</f>
        <v/>
      </c>
      <c r="E4793">
        <f>TEST_DATA!E4793</f>
        <v/>
      </c>
      <c r="F4793">
        <f>MIN(E4793*479300,10000)</f>
        <v/>
      </c>
      <c r="G4793">
        <f>MINIFS(CBIC_Late_Fee_Relief_Windows_3B!$O$4793:$O$100,CBIC_Late_Fee_Relief_Windows_3B!$D$4793:$D$100,"&lt;="&amp;B4793,CBIC_Late_Fee_Relief_Windows_3B!$E$4793:$E$100,"&gt;="&amp;B4793,CBIC_Late_Fee_Relief_Windows_3B!$F$4793:$F$100,"&lt;="&amp;C4793,CBIC_Late_Fee_Relief_Windows_3B!$G$4793:$G$100,"&gt;="&amp;C4793)</f>
        <v/>
      </c>
      <c r="H4793">
        <f>INDEX(CBIC_Late_Fee_Relief_Windows_3B!$I$4793:$I$100,MATCH(G4793,CBIC_Late_Fee_Relief_Windows_3B!$O$4793:$O$100,0))</f>
        <v/>
      </c>
      <c r="I4793">
        <f>MIN(F4793,H4793)</f>
        <v/>
      </c>
    </row>
    <row r="4794">
      <c r="A4794">
        <f>TEST_DATA!A4794</f>
        <v/>
      </c>
      <c r="B4794">
        <f>TEST_DATA!B4794</f>
        <v/>
      </c>
      <c r="C4794">
        <f>TEST_DATA!C4794</f>
        <v/>
      </c>
      <c r="D4794">
        <f>TEST_DATA!D4794</f>
        <v/>
      </c>
      <c r="E4794">
        <f>TEST_DATA!E4794</f>
        <v/>
      </c>
      <c r="F4794">
        <f>MIN(E4794*479400,10000)</f>
        <v/>
      </c>
      <c r="G4794">
        <f>MINIFS(CBIC_Late_Fee_Relief_Windows_3B!$O$4794:$O$100,CBIC_Late_Fee_Relief_Windows_3B!$D$4794:$D$100,"&lt;="&amp;B4794,CBIC_Late_Fee_Relief_Windows_3B!$E$4794:$E$100,"&gt;="&amp;B4794,CBIC_Late_Fee_Relief_Windows_3B!$F$4794:$F$100,"&lt;="&amp;C4794,CBIC_Late_Fee_Relief_Windows_3B!$G$4794:$G$100,"&gt;="&amp;C4794)</f>
        <v/>
      </c>
      <c r="H4794">
        <f>INDEX(CBIC_Late_Fee_Relief_Windows_3B!$I$4794:$I$100,MATCH(G4794,CBIC_Late_Fee_Relief_Windows_3B!$O$4794:$O$100,0))</f>
        <v/>
      </c>
      <c r="I4794">
        <f>MIN(F4794,H4794)</f>
        <v/>
      </c>
    </row>
    <row r="4795">
      <c r="A4795">
        <f>TEST_DATA!A4795</f>
        <v/>
      </c>
      <c r="B4795">
        <f>TEST_DATA!B4795</f>
        <v/>
      </c>
      <c r="C4795">
        <f>TEST_DATA!C4795</f>
        <v/>
      </c>
      <c r="D4795">
        <f>TEST_DATA!D4795</f>
        <v/>
      </c>
      <c r="E4795">
        <f>TEST_DATA!E4795</f>
        <v/>
      </c>
      <c r="F4795">
        <f>MIN(E4795*479500,10000)</f>
        <v/>
      </c>
      <c r="G4795">
        <f>MINIFS(CBIC_Late_Fee_Relief_Windows_3B!$O$4795:$O$100,CBIC_Late_Fee_Relief_Windows_3B!$D$4795:$D$100,"&lt;="&amp;B4795,CBIC_Late_Fee_Relief_Windows_3B!$E$4795:$E$100,"&gt;="&amp;B4795,CBIC_Late_Fee_Relief_Windows_3B!$F$4795:$F$100,"&lt;="&amp;C4795,CBIC_Late_Fee_Relief_Windows_3B!$G$4795:$G$100,"&gt;="&amp;C4795)</f>
        <v/>
      </c>
      <c r="H4795">
        <f>INDEX(CBIC_Late_Fee_Relief_Windows_3B!$I$4795:$I$100,MATCH(G4795,CBIC_Late_Fee_Relief_Windows_3B!$O$4795:$O$100,0))</f>
        <v/>
      </c>
      <c r="I4795">
        <f>MIN(F4795,H4795)</f>
        <v/>
      </c>
    </row>
    <row r="4796">
      <c r="A4796">
        <f>TEST_DATA!A4796</f>
        <v/>
      </c>
      <c r="B4796">
        <f>TEST_DATA!B4796</f>
        <v/>
      </c>
      <c r="C4796">
        <f>TEST_DATA!C4796</f>
        <v/>
      </c>
      <c r="D4796">
        <f>TEST_DATA!D4796</f>
        <v/>
      </c>
      <c r="E4796">
        <f>TEST_DATA!E4796</f>
        <v/>
      </c>
      <c r="F4796">
        <f>MIN(E4796*479600,10000)</f>
        <v/>
      </c>
      <c r="G4796">
        <f>MINIFS(CBIC_Late_Fee_Relief_Windows_3B!$O$4796:$O$100,CBIC_Late_Fee_Relief_Windows_3B!$D$4796:$D$100,"&lt;="&amp;B4796,CBIC_Late_Fee_Relief_Windows_3B!$E$4796:$E$100,"&gt;="&amp;B4796,CBIC_Late_Fee_Relief_Windows_3B!$F$4796:$F$100,"&lt;="&amp;C4796,CBIC_Late_Fee_Relief_Windows_3B!$G$4796:$G$100,"&gt;="&amp;C4796)</f>
        <v/>
      </c>
      <c r="H4796">
        <f>INDEX(CBIC_Late_Fee_Relief_Windows_3B!$I$4796:$I$100,MATCH(G4796,CBIC_Late_Fee_Relief_Windows_3B!$O$4796:$O$100,0))</f>
        <v/>
      </c>
      <c r="I4796">
        <f>MIN(F4796,H4796)</f>
        <v/>
      </c>
    </row>
    <row r="4797">
      <c r="A4797">
        <f>TEST_DATA!A4797</f>
        <v/>
      </c>
      <c r="B4797">
        <f>TEST_DATA!B4797</f>
        <v/>
      </c>
      <c r="C4797">
        <f>TEST_DATA!C4797</f>
        <v/>
      </c>
      <c r="D4797">
        <f>TEST_DATA!D4797</f>
        <v/>
      </c>
      <c r="E4797">
        <f>TEST_DATA!E4797</f>
        <v/>
      </c>
      <c r="F4797">
        <f>MIN(E4797*479700,10000)</f>
        <v/>
      </c>
      <c r="G4797">
        <f>MINIFS(CBIC_Late_Fee_Relief_Windows_3B!$O$4797:$O$100,CBIC_Late_Fee_Relief_Windows_3B!$D$4797:$D$100,"&lt;="&amp;B4797,CBIC_Late_Fee_Relief_Windows_3B!$E$4797:$E$100,"&gt;="&amp;B4797,CBIC_Late_Fee_Relief_Windows_3B!$F$4797:$F$100,"&lt;="&amp;C4797,CBIC_Late_Fee_Relief_Windows_3B!$G$4797:$G$100,"&gt;="&amp;C4797)</f>
        <v/>
      </c>
      <c r="H4797">
        <f>INDEX(CBIC_Late_Fee_Relief_Windows_3B!$I$4797:$I$100,MATCH(G4797,CBIC_Late_Fee_Relief_Windows_3B!$O$4797:$O$100,0))</f>
        <v/>
      </c>
      <c r="I4797">
        <f>MIN(F4797,H4797)</f>
        <v/>
      </c>
    </row>
    <row r="4798">
      <c r="A4798">
        <f>TEST_DATA!A4798</f>
        <v/>
      </c>
      <c r="B4798">
        <f>TEST_DATA!B4798</f>
        <v/>
      </c>
      <c r="C4798">
        <f>TEST_DATA!C4798</f>
        <v/>
      </c>
      <c r="D4798">
        <f>TEST_DATA!D4798</f>
        <v/>
      </c>
      <c r="E4798">
        <f>TEST_DATA!E4798</f>
        <v/>
      </c>
      <c r="F4798">
        <f>MIN(E4798*479800,10000)</f>
        <v/>
      </c>
      <c r="G4798">
        <f>MINIFS(CBIC_Late_Fee_Relief_Windows_3B!$O$4798:$O$100,CBIC_Late_Fee_Relief_Windows_3B!$D$4798:$D$100,"&lt;="&amp;B4798,CBIC_Late_Fee_Relief_Windows_3B!$E$4798:$E$100,"&gt;="&amp;B4798,CBIC_Late_Fee_Relief_Windows_3B!$F$4798:$F$100,"&lt;="&amp;C4798,CBIC_Late_Fee_Relief_Windows_3B!$G$4798:$G$100,"&gt;="&amp;C4798)</f>
        <v/>
      </c>
      <c r="H4798">
        <f>INDEX(CBIC_Late_Fee_Relief_Windows_3B!$I$4798:$I$100,MATCH(G4798,CBIC_Late_Fee_Relief_Windows_3B!$O$4798:$O$100,0))</f>
        <v/>
      </c>
      <c r="I4798">
        <f>MIN(F4798,H4798)</f>
        <v/>
      </c>
    </row>
    <row r="4799">
      <c r="A4799">
        <f>TEST_DATA!A4799</f>
        <v/>
      </c>
      <c r="B4799">
        <f>TEST_DATA!B4799</f>
        <v/>
      </c>
      <c r="C4799">
        <f>TEST_DATA!C4799</f>
        <v/>
      </c>
      <c r="D4799">
        <f>TEST_DATA!D4799</f>
        <v/>
      </c>
      <c r="E4799">
        <f>TEST_DATA!E4799</f>
        <v/>
      </c>
      <c r="F4799">
        <f>MIN(E4799*479900,10000)</f>
        <v/>
      </c>
      <c r="G4799">
        <f>MINIFS(CBIC_Late_Fee_Relief_Windows_3B!$O$4799:$O$100,CBIC_Late_Fee_Relief_Windows_3B!$D$4799:$D$100,"&lt;="&amp;B4799,CBIC_Late_Fee_Relief_Windows_3B!$E$4799:$E$100,"&gt;="&amp;B4799,CBIC_Late_Fee_Relief_Windows_3B!$F$4799:$F$100,"&lt;="&amp;C4799,CBIC_Late_Fee_Relief_Windows_3B!$G$4799:$G$100,"&gt;="&amp;C4799)</f>
        <v/>
      </c>
      <c r="H4799">
        <f>INDEX(CBIC_Late_Fee_Relief_Windows_3B!$I$4799:$I$100,MATCH(G4799,CBIC_Late_Fee_Relief_Windows_3B!$O$4799:$O$100,0))</f>
        <v/>
      </c>
      <c r="I4799">
        <f>MIN(F4799,H4799)</f>
        <v/>
      </c>
    </row>
    <row r="4800">
      <c r="A4800">
        <f>TEST_DATA!A4800</f>
        <v/>
      </c>
      <c r="B4800">
        <f>TEST_DATA!B4800</f>
        <v/>
      </c>
      <c r="C4800">
        <f>TEST_DATA!C4800</f>
        <v/>
      </c>
      <c r="D4800">
        <f>TEST_DATA!D4800</f>
        <v/>
      </c>
      <c r="E4800">
        <f>TEST_DATA!E4800</f>
        <v/>
      </c>
      <c r="F4800">
        <f>MIN(E4800*480000,10000)</f>
        <v/>
      </c>
      <c r="G4800">
        <f>MINIFS(CBIC_Late_Fee_Relief_Windows_3B!$O$4800:$O$100,CBIC_Late_Fee_Relief_Windows_3B!$D$4800:$D$100,"&lt;="&amp;B4800,CBIC_Late_Fee_Relief_Windows_3B!$E$4800:$E$100,"&gt;="&amp;B4800,CBIC_Late_Fee_Relief_Windows_3B!$F$4800:$F$100,"&lt;="&amp;C4800,CBIC_Late_Fee_Relief_Windows_3B!$G$4800:$G$100,"&gt;="&amp;C4800)</f>
        <v/>
      </c>
      <c r="H4800">
        <f>INDEX(CBIC_Late_Fee_Relief_Windows_3B!$I$4800:$I$100,MATCH(G4800,CBIC_Late_Fee_Relief_Windows_3B!$O$4800:$O$100,0))</f>
        <v/>
      </c>
      <c r="I4800">
        <f>MIN(F4800,H4800)</f>
        <v/>
      </c>
    </row>
    <row r="4801">
      <c r="A4801">
        <f>TEST_DATA!A4801</f>
        <v/>
      </c>
      <c r="B4801">
        <f>TEST_DATA!B4801</f>
        <v/>
      </c>
      <c r="C4801">
        <f>TEST_DATA!C4801</f>
        <v/>
      </c>
      <c r="D4801">
        <f>TEST_DATA!D4801</f>
        <v/>
      </c>
      <c r="E4801">
        <f>TEST_DATA!E4801</f>
        <v/>
      </c>
      <c r="F4801">
        <f>MIN(E4801*480100,10000)</f>
        <v/>
      </c>
      <c r="G4801">
        <f>MINIFS(CBIC_Late_Fee_Relief_Windows_3B!$O$4801:$O$100,CBIC_Late_Fee_Relief_Windows_3B!$D$4801:$D$100,"&lt;="&amp;B4801,CBIC_Late_Fee_Relief_Windows_3B!$E$4801:$E$100,"&gt;="&amp;B4801,CBIC_Late_Fee_Relief_Windows_3B!$F$4801:$F$100,"&lt;="&amp;C4801,CBIC_Late_Fee_Relief_Windows_3B!$G$4801:$G$100,"&gt;="&amp;C4801)</f>
        <v/>
      </c>
      <c r="H4801">
        <f>INDEX(CBIC_Late_Fee_Relief_Windows_3B!$I$4801:$I$100,MATCH(G4801,CBIC_Late_Fee_Relief_Windows_3B!$O$4801:$O$100,0))</f>
        <v/>
      </c>
      <c r="I4801">
        <f>MIN(F4801,H4801)</f>
        <v/>
      </c>
    </row>
    <row r="4802">
      <c r="A4802">
        <f>TEST_DATA!A4802</f>
        <v/>
      </c>
      <c r="B4802">
        <f>TEST_DATA!B4802</f>
        <v/>
      </c>
      <c r="C4802">
        <f>TEST_DATA!C4802</f>
        <v/>
      </c>
      <c r="D4802">
        <f>TEST_DATA!D4802</f>
        <v/>
      </c>
      <c r="E4802">
        <f>TEST_DATA!E4802</f>
        <v/>
      </c>
      <c r="F4802">
        <f>MIN(E4802*480200,10000)</f>
        <v/>
      </c>
      <c r="G4802">
        <f>MINIFS(CBIC_Late_Fee_Relief_Windows_3B!$O$4802:$O$100,CBIC_Late_Fee_Relief_Windows_3B!$D$4802:$D$100,"&lt;="&amp;B4802,CBIC_Late_Fee_Relief_Windows_3B!$E$4802:$E$100,"&gt;="&amp;B4802,CBIC_Late_Fee_Relief_Windows_3B!$F$4802:$F$100,"&lt;="&amp;C4802,CBIC_Late_Fee_Relief_Windows_3B!$G$4802:$G$100,"&gt;="&amp;C4802)</f>
        <v/>
      </c>
      <c r="H4802">
        <f>INDEX(CBIC_Late_Fee_Relief_Windows_3B!$I$4802:$I$100,MATCH(G4802,CBIC_Late_Fee_Relief_Windows_3B!$O$4802:$O$100,0))</f>
        <v/>
      </c>
      <c r="I4802">
        <f>MIN(F4802,H4802)</f>
        <v/>
      </c>
    </row>
    <row r="4803">
      <c r="A4803">
        <f>TEST_DATA!A4803</f>
        <v/>
      </c>
      <c r="B4803">
        <f>TEST_DATA!B4803</f>
        <v/>
      </c>
      <c r="C4803">
        <f>TEST_DATA!C4803</f>
        <v/>
      </c>
      <c r="D4803">
        <f>TEST_DATA!D4803</f>
        <v/>
      </c>
      <c r="E4803">
        <f>TEST_DATA!E4803</f>
        <v/>
      </c>
      <c r="F4803">
        <f>MIN(E4803*480300,10000)</f>
        <v/>
      </c>
      <c r="G4803">
        <f>MINIFS(CBIC_Late_Fee_Relief_Windows_3B!$O$4803:$O$100,CBIC_Late_Fee_Relief_Windows_3B!$D$4803:$D$100,"&lt;="&amp;B4803,CBIC_Late_Fee_Relief_Windows_3B!$E$4803:$E$100,"&gt;="&amp;B4803,CBIC_Late_Fee_Relief_Windows_3B!$F$4803:$F$100,"&lt;="&amp;C4803,CBIC_Late_Fee_Relief_Windows_3B!$G$4803:$G$100,"&gt;="&amp;C4803)</f>
        <v/>
      </c>
      <c r="H4803">
        <f>INDEX(CBIC_Late_Fee_Relief_Windows_3B!$I$4803:$I$100,MATCH(G4803,CBIC_Late_Fee_Relief_Windows_3B!$O$4803:$O$100,0))</f>
        <v/>
      </c>
      <c r="I4803">
        <f>MIN(F4803,H4803)</f>
        <v/>
      </c>
    </row>
    <row r="4804">
      <c r="A4804">
        <f>TEST_DATA!A4804</f>
        <v/>
      </c>
      <c r="B4804">
        <f>TEST_DATA!B4804</f>
        <v/>
      </c>
      <c r="C4804">
        <f>TEST_DATA!C4804</f>
        <v/>
      </c>
      <c r="D4804">
        <f>TEST_DATA!D4804</f>
        <v/>
      </c>
      <c r="E4804">
        <f>TEST_DATA!E4804</f>
        <v/>
      </c>
      <c r="F4804">
        <f>MIN(E4804*480400,10000)</f>
        <v/>
      </c>
      <c r="G4804">
        <f>MINIFS(CBIC_Late_Fee_Relief_Windows_3B!$O$4804:$O$100,CBIC_Late_Fee_Relief_Windows_3B!$D$4804:$D$100,"&lt;="&amp;B4804,CBIC_Late_Fee_Relief_Windows_3B!$E$4804:$E$100,"&gt;="&amp;B4804,CBIC_Late_Fee_Relief_Windows_3B!$F$4804:$F$100,"&lt;="&amp;C4804,CBIC_Late_Fee_Relief_Windows_3B!$G$4804:$G$100,"&gt;="&amp;C4804)</f>
        <v/>
      </c>
      <c r="H4804">
        <f>INDEX(CBIC_Late_Fee_Relief_Windows_3B!$I$4804:$I$100,MATCH(G4804,CBIC_Late_Fee_Relief_Windows_3B!$O$4804:$O$100,0))</f>
        <v/>
      </c>
      <c r="I4804">
        <f>MIN(F4804,H4804)</f>
        <v/>
      </c>
    </row>
    <row r="4805">
      <c r="A4805">
        <f>TEST_DATA!A4805</f>
        <v/>
      </c>
      <c r="B4805">
        <f>TEST_DATA!B4805</f>
        <v/>
      </c>
      <c r="C4805">
        <f>TEST_DATA!C4805</f>
        <v/>
      </c>
      <c r="D4805">
        <f>TEST_DATA!D4805</f>
        <v/>
      </c>
      <c r="E4805">
        <f>TEST_DATA!E4805</f>
        <v/>
      </c>
      <c r="F4805">
        <f>MIN(E4805*480500,10000)</f>
        <v/>
      </c>
      <c r="G4805">
        <f>MINIFS(CBIC_Late_Fee_Relief_Windows_3B!$O$4805:$O$100,CBIC_Late_Fee_Relief_Windows_3B!$D$4805:$D$100,"&lt;="&amp;B4805,CBIC_Late_Fee_Relief_Windows_3B!$E$4805:$E$100,"&gt;="&amp;B4805,CBIC_Late_Fee_Relief_Windows_3B!$F$4805:$F$100,"&lt;="&amp;C4805,CBIC_Late_Fee_Relief_Windows_3B!$G$4805:$G$100,"&gt;="&amp;C4805)</f>
        <v/>
      </c>
      <c r="H4805">
        <f>INDEX(CBIC_Late_Fee_Relief_Windows_3B!$I$4805:$I$100,MATCH(G4805,CBIC_Late_Fee_Relief_Windows_3B!$O$4805:$O$100,0))</f>
        <v/>
      </c>
      <c r="I4805">
        <f>MIN(F4805,H4805)</f>
        <v/>
      </c>
    </row>
    <row r="4806">
      <c r="A4806">
        <f>TEST_DATA!A4806</f>
        <v/>
      </c>
      <c r="B4806">
        <f>TEST_DATA!B4806</f>
        <v/>
      </c>
      <c r="C4806">
        <f>TEST_DATA!C4806</f>
        <v/>
      </c>
      <c r="D4806">
        <f>TEST_DATA!D4806</f>
        <v/>
      </c>
      <c r="E4806">
        <f>TEST_DATA!E4806</f>
        <v/>
      </c>
      <c r="F4806">
        <f>MIN(E4806*480600,10000)</f>
        <v/>
      </c>
      <c r="G4806">
        <f>MINIFS(CBIC_Late_Fee_Relief_Windows_3B!$O$4806:$O$100,CBIC_Late_Fee_Relief_Windows_3B!$D$4806:$D$100,"&lt;="&amp;B4806,CBIC_Late_Fee_Relief_Windows_3B!$E$4806:$E$100,"&gt;="&amp;B4806,CBIC_Late_Fee_Relief_Windows_3B!$F$4806:$F$100,"&lt;="&amp;C4806,CBIC_Late_Fee_Relief_Windows_3B!$G$4806:$G$100,"&gt;="&amp;C4806)</f>
        <v/>
      </c>
      <c r="H4806">
        <f>INDEX(CBIC_Late_Fee_Relief_Windows_3B!$I$4806:$I$100,MATCH(G4806,CBIC_Late_Fee_Relief_Windows_3B!$O$4806:$O$100,0))</f>
        <v/>
      </c>
      <c r="I4806">
        <f>MIN(F4806,H4806)</f>
        <v/>
      </c>
    </row>
    <row r="4807">
      <c r="A4807">
        <f>TEST_DATA!A4807</f>
        <v/>
      </c>
      <c r="B4807">
        <f>TEST_DATA!B4807</f>
        <v/>
      </c>
      <c r="C4807">
        <f>TEST_DATA!C4807</f>
        <v/>
      </c>
      <c r="D4807">
        <f>TEST_DATA!D4807</f>
        <v/>
      </c>
      <c r="E4807">
        <f>TEST_DATA!E4807</f>
        <v/>
      </c>
      <c r="F4807">
        <f>MIN(E4807*480700,10000)</f>
        <v/>
      </c>
      <c r="G4807">
        <f>MINIFS(CBIC_Late_Fee_Relief_Windows_3B!$O$4807:$O$100,CBIC_Late_Fee_Relief_Windows_3B!$D$4807:$D$100,"&lt;="&amp;B4807,CBIC_Late_Fee_Relief_Windows_3B!$E$4807:$E$100,"&gt;="&amp;B4807,CBIC_Late_Fee_Relief_Windows_3B!$F$4807:$F$100,"&lt;="&amp;C4807,CBIC_Late_Fee_Relief_Windows_3B!$G$4807:$G$100,"&gt;="&amp;C4807)</f>
        <v/>
      </c>
      <c r="H4807">
        <f>INDEX(CBIC_Late_Fee_Relief_Windows_3B!$I$4807:$I$100,MATCH(G4807,CBIC_Late_Fee_Relief_Windows_3B!$O$4807:$O$100,0))</f>
        <v/>
      </c>
      <c r="I4807">
        <f>MIN(F4807,H4807)</f>
        <v/>
      </c>
    </row>
    <row r="4808">
      <c r="A4808">
        <f>TEST_DATA!A4808</f>
        <v/>
      </c>
      <c r="B4808">
        <f>TEST_DATA!B4808</f>
        <v/>
      </c>
      <c r="C4808">
        <f>TEST_DATA!C4808</f>
        <v/>
      </c>
      <c r="D4808">
        <f>TEST_DATA!D4808</f>
        <v/>
      </c>
      <c r="E4808">
        <f>TEST_DATA!E4808</f>
        <v/>
      </c>
      <c r="F4808">
        <f>MIN(E4808*480800,10000)</f>
        <v/>
      </c>
      <c r="G4808">
        <f>MINIFS(CBIC_Late_Fee_Relief_Windows_3B!$O$4808:$O$100,CBIC_Late_Fee_Relief_Windows_3B!$D$4808:$D$100,"&lt;="&amp;B4808,CBIC_Late_Fee_Relief_Windows_3B!$E$4808:$E$100,"&gt;="&amp;B4808,CBIC_Late_Fee_Relief_Windows_3B!$F$4808:$F$100,"&lt;="&amp;C4808,CBIC_Late_Fee_Relief_Windows_3B!$G$4808:$G$100,"&gt;="&amp;C4808)</f>
        <v/>
      </c>
      <c r="H4808">
        <f>INDEX(CBIC_Late_Fee_Relief_Windows_3B!$I$4808:$I$100,MATCH(G4808,CBIC_Late_Fee_Relief_Windows_3B!$O$4808:$O$100,0))</f>
        <v/>
      </c>
      <c r="I4808">
        <f>MIN(F4808,H4808)</f>
        <v/>
      </c>
    </row>
    <row r="4809">
      <c r="A4809">
        <f>TEST_DATA!A4809</f>
        <v/>
      </c>
      <c r="B4809">
        <f>TEST_DATA!B4809</f>
        <v/>
      </c>
      <c r="C4809">
        <f>TEST_DATA!C4809</f>
        <v/>
      </c>
      <c r="D4809">
        <f>TEST_DATA!D4809</f>
        <v/>
      </c>
      <c r="E4809">
        <f>TEST_DATA!E4809</f>
        <v/>
      </c>
      <c r="F4809">
        <f>MIN(E4809*480900,10000)</f>
        <v/>
      </c>
      <c r="G4809">
        <f>MINIFS(CBIC_Late_Fee_Relief_Windows_3B!$O$4809:$O$100,CBIC_Late_Fee_Relief_Windows_3B!$D$4809:$D$100,"&lt;="&amp;B4809,CBIC_Late_Fee_Relief_Windows_3B!$E$4809:$E$100,"&gt;="&amp;B4809,CBIC_Late_Fee_Relief_Windows_3B!$F$4809:$F$100,"&lt;="&amp;C4809,CBIC_Late_Fee_Relief_Windows_3B!$G$4809:$G$100,"&gt;="&amp;C4809)</f>
        <v/>
      </c>
      <c r="H4809">
        <f>INDEX(CBIC_Late_Fee_Relief_Windows_3B!$I$4809:$I$100,MATCH(G4809,CBIC_Late_Fee_Relief_Windows_3B!$O$4809:$O$100,0))</f>
        <v/>
      </c>
      <c r="I4809">
        <f>MIN(F4809,H4809)</f>
        <v/>
      </c>
    </row>
    <row r="4810">
      <c r="A4810">
        <f>TEST_DATA!A4810</f>
        <v/>
      </c>
      <c r="B4810">
        <f>TEST_DATA!B4810</f>
        <v/>
      </c>
      <c r="C4810">
        <f>TEST_DATA!C4810</f>
        <v/>
      </c>
      <c r="D4810">
        <f>TEST_DATA!D4810</f>
        <v/>
      </c>
      <c r="E4810">
        <f>TEST_DATA!E4810</f>
        <v/>
      </c>
      <c r="F4810">
        <f>MIN(E4810*481000,10000)</f>
        <v/>
      </c>
      <c r="G4810">
        <f>MINIFS(CBIC_Late_Fee_Relief_Windows_3B!$O$4810:$O$100,CBIC_Late_Fee_Relief_Windows_3B!$D$4810:$D$100,"&lt;="&amp;B4810,CBIC_Late_Fee_Relief_Windows_3B!$E$4810:$E$100,"&gt;="&amp;B4810,CBIC_Late_Fee_Relief_Windows_3B!$F$4810:$F$100,"&lt;="&amp;C4810,CBIC_Late_Fee_Relief_Windows_3B!$G$4810:$G$100,"&gt;="&amp;C4810)</f>
        <v/>
      </c>
      <c r="H4810">
        <f>INDEX(CBIC_Late_Fee_Relief_Windows_3B!$I$4810:$I$100,MATCH(G4810,CBIC_Late_Fee_Relief_Windows_3B!$O$4810:$O$100,0))</f>
        <v/>
      </c>
      <c r="I4810">
        <f>MIN(F4810,H4810)</f>
        <v/>
      </c>
    </row>
    <row r="4811">
      <c r="A4811">
        <f>TEST_DATA!A4811</f>
        <v/>
      </c>
      <c r="B4811">
        <f>TEST_DATA!B4811</f>
        <v/>
      </c>
      <c r="C4811">
        <f>TEST_DATA!C4811</f>
        <v/>
      </c>
      <c r="D4811">
        <f>TEST_DATA!D4811</f>
        <v/>
      </c>
      <c r="E4811">
        <f>TEST_DATA!E4811</f>
        <v/>
      </c>
      <c r="F4811">
        <f>MIN(E4811*481100,10000)</f>
        <v/>
      </c>
      <c r="G4811">
        <f>MINIFS(CBIC_Late_Fee_Relief_Windows_3B!$O$4811:$O$100,CBIC_Late_Fee_Relief_Windows_3B!$D$4811:$D$100,"&lt;="&amp;B4811,CBIC_Late_Fee_Relief_Windows_3B!$E$4811:$E$100,"&gt;="&amp;B4811,CBIC_Late_Fee_Relief_Windows_3B!$F$4811:$F$100,"&lt;="&amp;C4811,CBIC_Late_Fee_Relief_Windows_3B!$G$4811:$G$100,"&gt;="&amp;C4811)</f>
        <v/>
      </c>
      <c r="H4811">
        <f>INDEX(CBIC_Late_Fee_Relief_Windows_3B!$I$4811:$I$100,MATCH(G4811,CBIC_Late_Fee_Relief_Windows_3B!$O$4811:$O$100,0))</f>
        <v/>
      </c>
      <c r="I4811">
        <f>MIN(F4811,H4811)</f>
        <v/>
      </c>
    </row>
    <row r="4812">
      <c r="A4812">
        <f>TEST_DATA!A4812</f>
        <v/>
      </c>
      <c r="B4812">
        <f>TEST_DATA!B4812</f>
        <v/>
      </c>
      <c r="C4812">
        <f>TEST_DATA!C4812</f>
        <v/>
      </c>
      <c r="D4812">
        <f>TEST_DATA!D4812</f>
        <v/>
      </c>
      <c r="E4812">
        <f>TEST_DATA!E4812</f>
        <v/>
      </c>
      <c r="F4812">
        <f>MIN(E4812*481200,10000)</f>
        <v/>
      </c>
      <c r="G4812">
        <f>MINIFS(CBIC_Late_Fee_Relief_Windows_3B!$O$4812:$O$100,CBIC_Late_Fee_Relief_Windows_3B!$D$4812:$D$100,"&lt;="&amp;B4812,CBIC_Late_Fee_Relief_Windows_3B!$E$4812:$E$100,"&gt;="&amp;B4812,CBIC_Late_Fee_Relief_Windows_3B!$F$4812:$F$100,"&lt;="&amp;C4812,CBIC_Late_Fee_Relief_Windows_3B!$G$4812:$G$100,"&gt;="&amp;C4812)</f>
        <v/>
      </c>
      <c r="H4812">
        <f>INDEX(CBIC_Late_Fee_Relief_Windows_3B!$I$4812:$I$100,MATCH(G4812,CBIC_Late_Fee_Relief_Windows_3B!$O$4812:$O$100,0))</f>
        <v/>
      </c>
      <c r="I4812">
        <f>MIN(F4812,H4812)</f>
        <v/>
      </c>
    </row>
    <row r="4813">
      <c r="A4813">
        <f>TEST_DATA!A4813</f>
        <v/>
      </c>
      <c r="B4813">
        <f>TEST_DATA!B4813</f>
        <v/>
      </c>
      <c r="C4813">
        <f>TEST_DATA!C4813</f>
        <v/>
      </c>
      <c r="D4813">
        <f>TEST_DATA!D4813</f>
        <v/>
      </c>
      <c r="E4813">
        <f>TEST_DATA!E4813</f>
        <v/>
      </c>
      <c r="F4813">
        <f>MIN(E4813*481300,10000)</f>
        <v/>
      </c>
      <c r="G4813">
        <f>MINIFS(CBIC_Late_Fee_Relief_Windows_3B!$O$4813:$O$100,CBIC_Late_Fee_Relief_Windows_3B!$D$4813:$D$100,"&lt;="&amp;B4813,CBIC_Late_Fee_Relief_Windows_3B!$E$4813:$E$100,"&gt;="&amp;B4813,CBIC_Late_Fee_Relief_Windows_3B!$F$4813:$F$100,"&lt;="&amp;C4813,CBIC_Late_Fee_Relief_Windows_3B!$G$4813:$G$100,"&gt;="&amp;C4813)</f>
        <v/>
      </c>
      <c r="H4813">
        <f>INDEX(CBIC_Late_Fee_Relief_Windows_3B!$I$4813:$I$100,MATCH(G4813,CBIC_Late_Fee_Relief_Windows_3B!$O$4813:$O$100,0))</f>
        <v/>
      </c>
      <c r="I4813">
        <f>MIN(F4813,H4813)</f>
        <v/>
      </c>
    </row>
    <row r="4814">
      <c r="A4814">
        <f>TEST_DATA!A4814</f>
        <v/>
      </c>
      <c r="B4814">
        <f>TEST_DATA!B4814</f>
        <v/>
      </c>
      <c r="C4814">
        <f>TEST_DATA!C4814</f>
        <v/>
      </c>
      <c r="D4814">
        <f>TEST_DATA!D4814</f>
        <v/>
      </c>
      <c r="E4814">
        <f>TEST_DATA!E4814</f>
        <v/>
      </c>
      <c r="F4814">
        <f>MIN(E4814*481400,10000)</f>
        <v/>
      </c>
      <c r="G4814">
        <f>MINIFS(CBIC_Late_Fee_Relief_Windows_3B!$O$4814:$O$100,CBIC_Late_Fee_Relief_Windows_3B!$D$4814:$D$100,"&lt;="&amp;B4814,CBIC_Late_Fee_Relief_Windows_3B!$E$4814:$E$100,"&gt;="&amp;B4814,CBIC_Late_Fee_Relief_Windows_3B!$F$4814:$F$100,"&lt;="&amp;C4814,CBIC_Late_Fee_Relief_Windows_3B!$G$4814:$G$100,"&gt;="&amp;C4814)</f>
        <v/>
      </c>
      <c r="H4814">
        <f>INDEX(CBIC_Late_Fee_Relief_Windows_3B!$I$4814:$I$100,MATCH(G4814,CBIC_Late_Fee_Relief_Windows_3B!$O$4814:$O$100,0))</f>
        <v/>
      </c>
      <c r="I4814">
        <f>MIN(F4814,H4814)</f>
        <v/>
      </c>
    </row>
    <row r="4815">
      <c r="A4815">
        <f>TEST_DATA!A4815</f>
        <v/>
      </c>
      <c r="B4815">
        <f>TEST_DATA!B4815</f>
        <v/>
      </c>
      <c r="C4815">
        <f>TEST_DATA!C4815</f>
        <v/>
      </c>
      <c r="D4815">
        <f>TEST_DATA!D4815</f>
        <v/>
      </c>
      <c r="E4815">
        <f>TEST_DATA!E4815</f>
        <v/>
      </c>
      <c r="F4815">
        <f>MIN(E4815*481500,10000)</f>
        <v/>
      </c>
      <c r="G4815">
        <f>MINIFS(CBIC_Late_Fee_Relief_Windows_3B!$O$4815:$O$100,CBIC_Late_Fee_Relief_Windows_3B!$D$4815:$D$100,"&lt;="&amp;B4815,CBIC_Late_Fee_Relief_Windows_3B!$E$4815:$E$100,"&gt;="&amp;B4815,CBIC_Late_Fee_Relief_Windows_3B!$F$4815:$F$100,"&lt;="&amp;C4815,CBIC_Late_Fee_Relief_Windows_3B!$G$4815:$G$100,"&gt;="&amp;C4815)</f>
        <v/>
      </c>
      <c r="H4815">
        <f>INDEX(CBIC_Late_Fee_Relief_Windows_3B!$I$4815:$I$100,MATCH(G4815,CBIC_Late_Fee_Relief_Windows_3B!$O$4815:$O$100,0))</f>
        <v/>
      </c>
      <c r="I4815">
        <f>MIN(F4815,H4815)</f>
        <v/>
      </c>
    </row>
    <row r="4816">
      <c r="A4816">
        <f>TEST_DATA!A4816</f>
        <v/>
      </c>
      <c r="B4816">
        <f>TEST_DATA!B4816</f>
        <v/>
      </c>
      <c r="C4816">
        <f>TEST_DATA!C4816</f>
        <v/>
      </c>
      <c r="D4816">
        <f>TEST_DATA!D4816</f>
        <v/>
      </c>
      <c r="E4816">
        <f>TEST_DATA!E4816</f>
        <v/>
      </c>
      <c r="F4816">
        <f>MIN(E4816*481600,10000)</f>
        <v/>
      </c>
      <c r="G4816">
        <f>MINIFS(CBIC_Late_Fee_Relief_Windows_3B!$O$4816:$O$100,CBIC_Late_Fee_Relief_Windows_3B!$D$4816:$D$100,"&lt;="&amp;B4816,CBIC_Late_Fee_Relief_Windows_3B!$E$4816:$E$100,"&gt;="&amp;B4816,CBIC_Late_Fee_Relief_Windows_3B!$F$4816:$F$100,"&lt;="&amp;C4816,CBIC_Late_Fee_Relief_Windows_3B!$G$4816:$G$100,"&gt;="&amp;C4816)</f>
        <v/>
      </c>
      <c r="H4816">
        <f>INDEX(CBIC_Late_Fee_Relief_Windows_3B!$I$4816:$I$100,MATCH(G4816,CBIC_Late_Fee_Relief_Windows_3B!$O$4816:$O$100,0))</f>
        <v/>
      </c>
      <c r="I4816">
        <f>MIN(F4816,H4816)</f>
        <v/>
      </c>
    </row>
    <row r="4817">
      <c r="A4817">
        <f>TEST_DATA!A4817</f>
        <v/>
      </c>
      <c r="B4817">
        <f>TEST_DATA!B4817</f>
        <v/>
      </c>
      <c r="C4817">
        <f>TEST_DATA!C4817</f>
        <v/>
      </c>
      <c r="D4817">
        <f>TEST_DATA!D4817</f>
        <v/>
      </c>
      <c r="E4817">
        <f>TEST_DATA!E4817</f>
        <v/>
      </c>
      <c r="F4817">
        <f>MIN(E4817*481700,10000)</f>
        <v/>
      </c>
      <c r="G4817">
        <f>MINIFS(CBIC_Late_Fee_Relief_Windows_3B!$O$4817:$O$100,CBIC_Late_Fee_Relief_Windows_3B!$D$4817:$D$100,"&lt;="&amp;B4817,CBIC_Late_Fee_Relief_Windows_3B!$E$4817:$E$100,"&gt;="&amp;B4817,CBIC_Late_Fee_Relief_Windows_3B!$F$4817:$F$100,"&lt;="&amp;C4817,CBIC_Late_Fee_Relief_Windows_3B!$G$4817:$G$100,"&gt;="&amp;C4817)</f>
        <v/>
      </c>
      <c r="H4817">
        <f>INDEX(CBIC_Late_Fee_Relief_Windows_3B!$I$4817:$I$100,MATCH(G4817,CBIC_Late_Fee_Relief_Windows_3B!$O$4817:$O$100,0))</f>
        <v/>
      </c>
      <c r="I4817">
        <f>MIN(F4817,H4817)</f>
        <v/>
      </c>
    </row>
    <row r="4818">
      <c r="A4818">
        <f>TEST_DATA!A4818</f>
        <v/>
      </c>
      <c r="B4818">
        <f>TEST_DATA!B4818</f>
        <v/>
      </c>
      <c r="C4818">
        <f>TEST_DATA!C4818</f>
        <v/>
      </c>
      <c r="D4818">
        <f>TEST_DATA!D4818</f>
        <v/>
      </c>
      <c r="E4818">
        <f>TEST_DATA!E4818</f>
        <v/>
      </c>
      <c r="F4818">
        <f>MIN(E4818*481800,10000)</f>
        <v/>
      </c>
      <c r="G4818">
        <f>MINIFS(CBIC_Late_Fee_Relief_Windows_3B!$O$4818:$O$100,CBIC_Late_Fee_Relief_Windows_3B!$D$4818:$D$100,"&lt;="&amp;B4818,CBIC_Late_Fee_Relief_Windows_3B!$E$4818:$E$100,"&gt;="&amp;B4818,CBIC_Late_Fee_Relief_Windows_3B!$F$4818:$F$100,"&lt;="&amp;C4818,CBIC_Late_Fee_Relief_Windows_3B!$G$4818:$G$100,"&gt;="&amp;C4818)</f>
        <v/>
      </c>
      <c r="H4818">
        <f>INDEX(CBIC_Late_Fee_Relief_Windows_3B!$I$4818:$I$100,MATCH(G4818,CBIC_Late_Fee_Relief_Windows_3B!$O$4818:$O$100,0))</f>
        <v/>
      </c>
      <c r="I4818">
        <f>MIN(F4818,H4818)</f>
        <v/>
      </c>
    </row>
    <row r="4819">
      <c r="A4819">
        <f>TEST_DATA!A4819</f>
        <v/>
      </c>
      <c r="B4819">
        <f>TEST_DATA!B4819</f>
        <v/>
      </c>
      <c r="C4819">
        <f>TEST_DATA!C4819</f>
        <v/>
      </c>
      <c r="D4819">
        <f>TEST_DATA!D4819</f>
        <v/>
      </c>
      <c r="E4819">
        <f>TEST_DATA!E4819</f>
        <v/>
      </c>
      <c r="F4819">
        <f>MIN(E4819*481900,10000)</f>
        <v/>
      </c>
      <c r="G4819">
        <f>MINIFS(CBIC_Late_Fee_Relief_Windows_3B!$O$4819:$O$100,CBIC_Late_Fee_Relief_Windows_3B!$D$4819:$D$100,"&lt;="&amp;B4819,CBIC_Late_Fee_Relief_Windows_3B!$E$4819:$E$100,"&gt;="&amp;B4819,CBIC_Late_Fee_Relief_Windows_3B!$F$4819:$F$100,"&lt;="&amp;C4819,CBIC_Late_Fee_Relief_Windows_3B!$G$4819:$G$100,"&gt;="&amp;C4819)</f>
        <v/>
      </c>
      <c r="H4819">
        <f>INDEX(CBIC_Late_Fee_Relief_Windows_3B!$I$4819:$I$100,MATCH(G4819,CBIC_Late_Fee_Relief_Windows_3B!$O$4819:$O$100,0))</f>
        <v/>
      </c>
      <c r="I4819">
        <f>MIN(F4819,H4819)</f>
        <v/>
      </c>
    </row>
    <row r="4820">
      <c r="A4820">
        <f>TEST_DATA!A4820</f>
        <v/>
      </c>
      <c r="B4820">
        <f>TEST_DATA!B4820</f>
        <v/>
      </c>
      <c r="C4820">
        <f>TEST_DATA!C4820</f>
        <v/>
      </c>
      <c r="D4820">
        <f>TEST_DATA!D4820</f>
        <v/>
      </c>
      <c r="E4820">
        <f>TEST_DATA!E4820</f>
        <v/>
      </c>
      <c r="F4820">
        <f>MIN(E4820*482000,10000)</f>
        <v/>
      </c>
      <c r="G4820">
        <f>MINIFS(CBIC_Late_Fee_Relief_Windows_3B!$O$4820:$O$100,CBIC_Late_Fee_Relief_Windows_3B!$D$4820:$D$100,"&lt;="&amp;B4820,CBIC_Late_Fee_Relief_Windows_3B!$E$4820:$E$100,"&gt;="&amp;B4820,CBIC_Late_Fee_Relief_Windows_3B!$F$4820:$F$100,"&lt;="&amp;C4820,CBIC_Late_Fee_Relief_Windows_3B!$G$4820:$G$100,"&gt;="&amp;C4820)</f>
        <v/>
      </c>
      <c r="H4820">
        <f>INDEX(CBIC_Late_Fee_Relief_Windows_3B!$I$4820:$I$100,MATCH(G4820,CBIC_Late_Fee_Relief_Windows_3B!$O$4820:$O$100,0))</f>
        <v/>
      </c>
      <c r="I4820">
        <f>MIN(F4820,H4820)</f>
        <v/>
      </c>
    </row>
    <row r="4821">
      <c r="A4821">
        <f>TEST_DATA!A4821</f>
        <v/>
      </c>
      <c r="B4821">
        <f>TEST_DATA!B4821</f>
        <v/>
      </c>
      <c r="C4821">
        <f>TEST_DATA!C4821</f>
        <v/>
      </c>
      <c r="D4821">
        <f>TEST_DATA!D4821</f>
        <v/>
      </c>
      <c r="E4821">
        <f>TEST_DATA!E4821</f>
        <v/>
      </c>
      <c r="F4821">
        <f>MIN(E4821*482100,10000)</f>
        <v/>
      </c>
      <c r="G4821">
        <f>MINIFS(CBIC_Late_Fee_Relief_Windows_3B!$O$4821:$O$100,CBIC_Late_Fee_Relief_Windows_3B!$D$4821:$D$100,"&lt;="&amp;B4821,CBIC_Late_Fee_Relief_Windows_3B!$E$4821:$E$100,"&gt;="&amp;B4821,CBIC_Late_Fee_Relief_Windows_3B!$F$4821:$F$100,"&lt;="&amp;C4821,CBIC_Late_Fee_Relief_Windows_3B!$G$4821:$G$100,"&gt;="&amp;C4821)</f>
        <v/>
      </c>
      <c r="H4821">
        <f>INDEX(CBIC_Late_Fee_Relief_Windows_3B!$I$4821:$I$100,MATCH(G4821,CBIC_Late_Fee_Relief_Windows_3B!$O$4821:$O$100,0))</f>
        <v/>
      </c>
      <c r="I4821">
        <f>MIN(F4821,H4821)</f>
        <v/>
      </c>
    </row>
    <row r="4822">
      <c r="A4822">
        <f>TEST_DATA!A4822</f>
        <v/>
      </c>
      <c r="B4822">
        <f>TEST_DATA!B4822</f>
        <v/>
      </c>
      <c r="C4822">
        <f>TEST_DATA!C4822</f>
        <v/>
      </c>
      <c r="D4822">
        <f>TEST_DATA!D4822</f>
        <v/>
      </c>
      <c r="E4822">
        <f>TEST_DATA!E4822</f>
        <v/>
      </c>
      <c r="F4822">
        <f>MIN(E4822*482200,10000)</f>
        <v/>
      </c>
      <c r="G4822">
        <f>MINIFS(CBIC_Late_Fee_Relief_Windows_3B!$O$4822:$O$100,CBIC_Late_Fee_Relief_Windows_3B!$D$4822:$D$100,"&lt;="&amp;B4822,CBIC_Late_Fee_Relief_Windows_3B!$E$4822:$E$100,"&gt;="&amp;B4822,CBIC_Late_Fee_Relief_Windows_3B!$F$4822:$F$100,"&lt;="&amp;C4822,CBIC_Late_Fee_Relief_Windows_3B!$G$4822:$G$100,"&gt;="&amp;C4822)</f>
        <v/>
      </c>
      <c r="H4822">
        <f>INDEX(CBIC_Late_Fee_Relief_Windows_3B!$I$4822:$I$100,MATCH(G4822,CBIC_Late_Fee_Relief_Windows_3B!$O$4822:$O$100,0))</f>
        <v/>
      </c>
      <c r="I4822">
        <f>MIN(F4822,H4822)</f>
        <v/>
      </c>
    </row>
    <row r="4823">
      <c r="A4823">
        <f>TEST_DATA!A4823</f>
        <v/>
      </c>
      <c r="B4823">
        <f>TEST_DATA!B4823</f>
        <v/>
      </c>
      <c r="C4823">
        <f>TEST_DATA!C4823</f>
        <v/>
      </c>
      <c r="D4823">
        <f>TEST_DATA!D4823</f>
        <v/>
      </c>
      <c r="E4823">
        <f>TEST_DATA!E4823</f>
        <v/>
      </c>
      <c r="F4823">
        <f>MIN(E4823*482300,10000)</f>
        <v/>
      </c>
      <c r="G4823">
        <f>MINIFS(CBIC_Late_Fee_Relief_Windows_3B!$O$4823:$O$100,CBIC_Late_Fee_Relief_Windows_3B!$D$4823:$D$100,"&lt;="&amp;B4823,CBIC_Late_Fee_Relief_Windows_3B!$E$4823:$E$100,"&gt;="&amp;B4823,CBIC_Late_Fee_Relief_Windows_3B!$F$4823:$F$100,"&lt;="&amp;C4823,CBIC_Late_Fee_Relief_Windows_3B!$G$4823:$G$100,"&gt;="&amp;C4823)</f>
        <v/>
      </c>
      <c r="H4823">
        <f>INDEX(CBIC_Late_Fee_Relief_Windows_3B!$I$4823:$I$100,MATCH(G4823,CBIC_Late_Fee_Relief_Windows_3B!$O$4823:$O$100,0))</f>
        <v/>
      </c>
      <c r="I4823">
        <f>MIN(F4823,H4823)</f>
        <v/>
      </c>
    </row>
    <row r="4824">
      <c r="A4824">
        <f>TEST_DATA!A4824</f>
        <v/>
      </c>
      <c r="B4824">
        <f>TEST_DATA!B4824</f>
        <v/>
      </c>
      <c r="C4824">
        <f>TEST_DATA!C4824</f>
        <v/>
      </c>
      <c r="D4824">
        <f>TEST_DATA!D4824</f>
        <v/>
      </c>
      <c r="E4824">
        <f>TEST_DATA!E4824</f>
        <v/>
      </c>
      <c r="F4824">
        <f>MIN(E4824*482400,10000)</f>
        <v/>
      </c>
      <c r="G4824">
        <f>MINIFS(CBIC_Late_Fee_Relief_Windows_3B!$O$4824:$O$100,CBIC_Late_Fee_Relief_Windows_3B!$D$4824:$D$100,"&lt;="&amp;B4824,CBIC_Late_Fee_Relief_Windows_3B!$E$4824:$E$100,"&gt;="&amp;B4824,CBIC_Late_Fee_Relief_Windows_3B!$F$4824:$F$100,"&lt;="&amp;C4824,CBIC_Late_Fee_Relief_Windows_3B!$G$4824:$G$100,"&gt;="&amp;C4824)</f>
        <v/>
      </c>
      <c r="H4824">
        <f>INDEX(CBIC_Late_Fee_Relief_Windows_3B!$I$4824:$I$100,MATCH(G4824,CBIC_Late_Fee_Relief_Windows_3B!$O$4824:$O$100,0))</f>
        <v/>
      </c>
      <c r="I4824">
        <f>MIN(F4824,H4824)</f>
        <v/>
      </c>
    </row>
    <row r="4825">
      <c r="A4825">
        <f>TEST_DATA!A4825</f>
        <v/>
      </c>
      <c r="B4825">
        <f>TEST_DATA!B4825</f>
        <v/>
      </c>
      <c r="C4825">
        <f>TEST_DATA!C4825</f>
        <v/>
      </c>
      <c r="D4825">
        <f>TEST_DATA!D4825</f>
        <v/>
      </c>
      <c r="E4825">
        <f>TEST_DATA!E4825</f>
        <v/>
      </c>
      <c r="F4825">
        <f>MIN(E4825*482500,10000)</f>
        <v/>
      </c>
      <c r="G4825">
        <f>MINIFS(CBIC_Late_Fee_Relief_Windows_3B!$O$4825:$O$100,CBIC_Late_Fee_Relief_Windows_3B!$D$4825:$D$100,"&lt;="&amp;B4825,CBIC_Late_Fee_Relief_Windows_3B!$E$4825:$E$100,"&gt;="&amp;B4825,CBIC_Late_Fee_Relief_Windows_3B!$F$4825:$F$100,"&lt;="&amp;C4825,CBIC_Late_Fee_Relief_Windows_3B!$G$4825:$G$100,"&gt;="&amp;C4825)</f>
        <v/>
      </c>
      <c r="H4825">
        <f>INDEX(CBIC_Late_Fee_Relief_Windows_3B!$I$4825:$I$100,MATCH(G4825,CBIC_Late_Fee_Relief_Windows_3B!$O$4825:$O$100,0))</f>
        <v/>
      </c>
      <c r="I4825">
        <f>MIN(F4825,H4825)</f>
        <v/>
      </c>
    </row>
    <row r="4826">
      <c r="A4826">
        <f>TEST_DATA!A4826</f>
        <v/>
      </c>
      <c r="B4826">
        <f>TEST_DATA!B4826</f>
        <v/>
      </c>
      <c r="C4826">
        <f>TEST_DATA!C4826</f>
        <v/>
      </c>
      <c r="D4826">
        <f>TEST_DATA!D4826</f>
        <v/>
      </c>
      <c r="E4826">
        <f>TEST_DATA!E4826</f>
        <v/>
      </c>
      <c r="F4826">
        <f>MIN(E4826*482600,10000)</f>
        <v/>
      </c>
      <c r="G4826">
        <f>MINIFS(CBIC_Late_Fee_Relief_Windows_3B!$O$4826:$O$100,CBIC_Late_Fee_Relief_Windows_3B!$D$4826:$D$100,"&lt;="&amp;B4826,CBIC_Late_Fee_Relief_Windows_3B!$E$4826:$E$100,"&gt;="&amp;B4826,CBIC_Late_Fee_Relief_Windows_3B!$F$4826:$F$100,"&lt;="&amp;C4826,CBIC_Late_Fee_Relief_Windows_3B!$G$4826:$G$100,"&gt;="&amp;C4826)</f>
        <v/>
      </c>
      <c r="H4826">
        <f>INDEX(CBIC_Late_Fee_Relief_Windows_3B!$I$4826:$I$100,MATCH(G4826,CBIC_Late_Fee_Relief_Windows_3B!$O$4826:$O$100,0))</f>
        <v/>
      </c>
      <c r="I4826">
        <f>MIN(F4826,H4826)</f>
        <v/>
      </c>
    </row>
    <row r="4827">
      <c r="A4827">
        <f>TEST_DATA!A4827</f>
        <v/>
      </c>
      <c r="B4827">
        <f>TEST_DATA!B4827</f>
        <v/>
      </c>
      <c r="C4827">
        <f>TEST_DATA!C4827</f>
        <v/>
      </c>
      <c r="D4827">
        <f>TEST_DATA!D4827</f>
        <v/>
      </c>
      <c r="E4827">
        <f>TEST_DATA!E4827</f>
        <v/>
      </c>
      <c r="F4827">
        <f>MIN(E4827*482700,10000)</f>
        <v/>
      </c>
      <c r="G4827">
        <f>MINIFS(CBIC_Late_Fee_Relief_Windows_3B!$O$4827:$O$100,CBIC_Late_Fee_Relief_Windows_3B!$D$4827:$D$100,"&lt;="&amp;B4827,CBIC_Late_Fee_Relief_Windows_3B!$E$4827:$E$100,"&gt;="&amp;B4827,CBIC_Late_Fee_Relief_Windows_3B!$F$4827:$F$100,"&lt;="&amp;C4827,CBIC_Late_Fee_Relief_Windows_3B!$G$4827:$G$100,"&gt;="&amp;C4827)</f>
        <v/>
      </c>
      <c r="H4827">
        <f>INDEX(CBIC_Late_Fee_Relief_Windows_3B!$I$4827:$I$100,MATCH(G4827,CBIC_Late_Fee_Relief_Windows_3B!$O$4827:$O$100,0))</f>
        <v/>
      </c>
      <c r="I4827">
        <f>MIN(F4827,H4827)</f>
        <v/>
      </c>
    </row>
    <row r="4828">
      <c r="A4828">
        <f>TEST_DATA!A4828</f>
        <v/>
      </c>
      <c r="B4828">
        <f>TEST_DATA!B4828</f>
        <v/>
      </c>
      <c r="C4828">
        <f>TEST_DATA!C4828</f>
        <v/>
      </c>
      <c r="D4828">
        <f>TEST_DATA!D4828</f>
        <v/>
      </c>
      <c r="E4828">
        <f>TEST_DATA!E4828</f>
        <v/>
      </c>
      <c r="F4828">
        <f>MIN(E4828*482800,10000)</f>
        <v/>
      </c>
      <c r="G4828">
        <f>MINIFS(CBIC_Late_Fee_Relief_Windows_3B!$O$4828:$O$100,CBIC_Late_Fee_Relief_Windows_3B!$D$4828:$D$100,"&lt;="&amp;B4828,CBIC_Late_Fee_Relief_Windows_3B!$E$4828:$E$100,"&gt;="&amp;B4828,CBIC_Late_Fee_Relief_Windows_3B!$F$4828:$F$100,"&lt;="&amp;C4828,CBIC_Late_Fee_Relief_Windows_3B!$G$4828:$G$100,"&gt;="&amp;C4828)</f>
        <v/>
      </c>
      <c r="H4828">
        <f>INDEX(CBIC_Late_Fee_Relief_Windows_3B!$I$4828:$I$100,MATCH(G4828,CBIC_Late_Fee_Relief_Windows_3B!$O$4828:$O$100,0))</f>
        <v/>
      </c>
      <c r="I4828">
        <f>MIN(F4828,H4828)</f>
        <v/>
      </c>
    </row>
    <row r="4829">
      <c r="A4829">
        <f>TEST_DATA!A4829</f>
        <v/>
      </c>
      <c r="B4829">
        <f>TEST_DATA!B4829</f>
        <v/>
      </c>
      <c r="C4829">
        <f>TEST_DATA!C4829</f>
        <v/>
      </c>
      <c r="D4829">
        <f>TEST_DATA!D4829</f>
        <v/>
      </c>
      <c r="E4829">
        <f>TEST_DATA!E4829</f>
        <v/>
      </c>
      <c r="F4829">
        <f>MIN(E4829*482900,10000)</f>
        <v/>
      </c>
      <c r="G4829">
        <f>MINIFS(CBIC_Late_Fee_Relief_Windows_3B!$O$4829:$O$100,CBIC_Late_Fee_Relief_Windows_3B!$D$4829:$D$100,"&lt;="&amp;B4829,CBIC_Late_Fee_Relief_Windows_3B!$E$4829:$E$100,"&gt;="&amp;B4829,CBIC_Late_Fee_Relief_Windows_3B!$F$4829:$F$100,"&lt;="&amp;C4829,CBIC_Late_Fee_Relief_Windows_3B!$G$4829:$G$100,"&gt;="&amp;C4829)</f>
        <v/>
      </c>
      <c r="H4829">
        <f>INDEX(CBIC_Late_Fee_Relief_Windows_3B!$I$4829:$I$100,MATCH(G4829,CBIC_Late_Fee_Relief_Windows_3B!$O$4829:$O$100,0))</f>
        <v/>
      </c>
      <c r="I4829">
        <f>MIN(F4829,H4829)</f>
        <v/>
      </c>
    </row>
    <row r="4830">
      <c r="A4830">
        <f>TEST_DATA!A4830</f>
        <v/>
      </c>
      <c r="B4830">
        <f>TEST_DATA!B4830</f>
        <v/>
      </c>
      <c r="C4830">
        <f>TEST_DATA!C4830</f>
        <v/>
      </c>
      <c r="D4830">
        <f>TEST_DATA!D4830</f>
        <v/>
      </c>
      <c r="E4830">
        <f>TEST_DATA!E4830</f>
        <v/>
      </c>
      <c r="F4830">
        <f>MIN(E4830*483000,10000)</f>
        <v/>
      </c>
      <c r="G4830">
        <f>MINIFS(CBIC_Late_Fee_Relief_Windows_3B!$O$4830:$O$100,CBIC_Late_Fee_Relief_Windows_3B!$D$4830:$D$100,"&lt;="&amp;B4830,CBIC_Late_Fee_Relief_Windows_3B!$E$4830:$E$100,"&gt;="&amp;B4830,CBIC_Late_Fee_Relief_Windows_3B!$F$4830:$F$100,"&lt;="&amp;C4830,CBIC_Late_Fee_Relief_Windows_3B!$G$4830:$G$100,"&gt;="&amp;C4830)</f>
        <v/>
      </c>
      <c r="H4830">
        <f>INDEX(CBIC_Late_Fee_Relief_Windows_3B!$I$4830:$I$100,MATCH(G4830,CBIC_Late_Fee_Relief_Windows_3B!$O$4830:$O$100,0))</f>
        <v/>
      </c>
      <c r="I4830">
        <f>MIN(F4830,H4830)</f>
        <v/>
      </c>
    </row>
    <row r="4831">
      <c r="A4831">
        <f>TEST_DATA!A4831</f>
        <v/>
      </c>
      <c r="B4831">
        <f>TEST_DATA!B4831</f>
        <v/>
      </c>
      <c r="C4831">
        <f>TEST_DATA!C4831</f>
        <v/>
      </c>
      <c r="D4831">
        <f>TEST_DATA!D4831</f>
        <v/>
      </c>
      <c r="E4831">
        <f>TEST_DATA!E4831</f>
        <v/>
      </c>
      <c r="F4831">
        <f>MIN(E4831*483100,10000)</f>
        <v/>
      </c>
      <c r="G4831">
        <f>MINIFS(CBIC_Late_Fee_Relief_Windows_3B!$O$4831:$O$100,CBIC_Late_Fee_Relief_Windows_3B!$D$4831:$D$100,"&lt;="&amp;B4831,CBIC_Late_Fee_Relief_Windows_3B!$E$4831:$E$100,"&gt;="&amp;B4831,CBIC_Late_Fee_Relief_Windows_3B!$F$4831:$F$100,"&lt;="&amp;C4831,CBIC_Late_Fee_Relief_Windows_3B!$G$4831:$G$100,"&gt;="&amp;C4831)</f>
        <v/>
      </c>
      <c r="H4831">
        <f>INDEX(CBIC_Late_Fee_Relief_Windows_3B!$I$4831:$I$100,MATCH(G4831,CBIC_Late_Fee_Relief_Windows_3B!$O$4831:$O$100,0))</f>
        <v/>
      </c>
      <c r="I4831">
        <f>MIN(F4831,H4831)</f>
        <v/>
      </c>
    </row>
    <row r="4832">
      <c r="A4832">
        <f>TEST_DATA!A4832</f>
        <v/>
      </c>
      <c r="B4832">
        <f>TEST_DATA!B4832</f>
        <v/>
      </c>
      <c r="C4832">
        <f>TEST_DATA!C4832</f>
        <v/>
      </c>
      <c r="D4832">
        <f>TEST_DATA!D4832</f>
        <v/>
      </c>
      <c r="E4832">
        <f>TEST_DATA!E4832</f>
        <v/>
      </c>
      <c r="F4832">
        <f>MIN(E4832*483200,10000)</f>
        <v/>
      </c>
      <c r="G4832">
        <f>MINIFS(CBIC_Late_Fee_Relief_Windows_3B!$O$4832:$O$100,CBIC_Late_Fee_Relief_Windows_3B!$D$4832:$D$100,"&lt;="&amp;B4832,CBIC_Late_Fee_Relief_Windows_3B!$E$4832:$E$100,"&gt;="&amp;B4832,CBIC_Late_Fee_Relief_Windows_3B!$F$4832:$F$100,"&lt;="&amp;C4832,CBIC_Late_Fee_Relief_Windows_3B!$G$4832:$G$100,"&gt;="&amp;C4832)</f>
        <v/>
      </c>
      <c r="H4832">
        <f>INDEX(CBIC_Late_Fee_Relief_Windows_3B!$I$4832:$I$100,MATCH(G4832,CBIC_Late_Fee_Relief_Windows_3B!$O$4832:$O$100,0))</f>
        <v/>
      </c>
      <c r="I4832">
        <f>MIN(F4832,H4832)</f>
        <v/>
      </c>
    </row>
    <row r="4833">
      <c r="A4833">
        <f>TEST_DATA!A4833</f>
        <v/>
      </c>
      <c r="B4833">
        <f>TEST_DATA!B4833</f>
        <v/>
      </c>
      <c r="C4833">
        <f>TEST_DATA!C4833</f>
        <v/>
      </c>
      <c r="D4833">
        <f>TEST_DATA!D4833</f>
        <v/>
      </c>
      <c r="E4833">
        <f>TEST_DATA!E4833</f>
        <v/>
      </c>
      <c r="F4833">
        <f>MIN(E4833*483300,10000)</f>
        <v/>
      </c>
      <c r="G4833">
        <f>MINIFS(CBIC_Late_Fee_Relief_Windows_3B!$O$4833:$O$100,CBIC_Late_Fee_Relief_Windows_3B!$D$4833:$D$100,"&lt;="&amp;B4833,CBIC_Late_Fee_Relief_Windows_3B!$E$4833:$E$100,"&gt;="&amp;B4833,CBIC_Late_Fee_Relief_Windows_3B!$F$4833:$F$100,"&lt;="&amp;C4833,CBIC_Late_Fee_Relief_Windows_3B!$G$4833:$G$100,"&gt;="&amp;C4833)</f>
        <v/>
      </c>
      <c r="H4833">
        <f>INDEX(CBIC_Late_Fee_Relief_Windows_3B!$I$4833:$I$100,MATCH(G4833,CBIC_Late_Fee_Relief_Windows_3B!$O$4833:$O$100,0))</f>
        <v/>
      </c>
      <c r="I4833">
        <f>MIN(F4833,H4833)</f>
        <v/>
      </c>
    </row>
    <row r="4834">
      <c r="A4834">
        <f>TEST_DATA!A4834</f>
        <v/>
      </c>
      <c r="B4834">
        <f>TEST_DATA!B4834</f>
        <v/>
      </c>
      <c r="C4834">
        <f>TEST_DATA!C4834</f>
        <v/>
      </c>
      <c r="D4834">
        <f>TEST_DATA!D4834</f>
        <v/>
      </c>
      <c r="E4834">
        <f>TEST_DATA!E4834</f>
        <v/>
      </c>
      <c r="F4834">
        <f>MIN(E4834*483400,10000)</f>
        <v/>
      </c>
      <c r="G4834">
        <f>MINIFS(CBIC_Late_Fee_Relief_Windows_3B!$O$4834:$O$100,CBIC_Late_Fee_Relief_Windows_3B!$D$4834:$D$100,"&lt;="&amp;B4834,CBIC_Late_Fee_Relief_Windows_3B!$E$4834:$E$100,"&gt;="&amp;B4834,CBIC_Late_Fee_Relief_Windows_3B!$F$4834:$F$100,"&lt;="&amp;C4834,CBIC_Late_Fee_Relief_Windows_3B!$G$4834:$G$100,"&gt;="&amp;C4834)</f>
        <v/>
      </c>
      <c r="H4834">
        <f>INDEX(CBIC_Late_Fee_Relief_Windows_3B!$I$4834:$I$100,MATCH(G4834,CBIC_Late_Fee_Relief_Windows_3B!$O$4834:$O$100,0))</f>
        <v/>
      </c>
      <c r="I4834">
        <f>MIN(F4834,H4834)</f>
        <v/>
      </c>
    </row>
    <row r="4835">
      <c r="A4835">
        <f>TEST_DATA!A4835</f>
        <v/>
      </c>
      <c r="B4835">
        <f>TEST_DATA!B4835</f>
        <v/>
      </c>
      <c r="C4835">
        <f>TEST_DATA!C4835</f>
        <v/>
      </c>
      <c r="D4835">
        <f>TEST_DATA!D4835</f>
        <v/>
      </c>
      <c r="E4835">
        <f>TEST_DATA!E4835</f>
        <v/>
      </c>
      <c r="F4835">
        <f>MIN(E4835*483500,10000)</f>
        <v/>
      </c>
      <c r="G4835">
        <f>MINIFS(CBIC_Late_Fee_Relief_Windows_3B!$O$4835:$O$100,CBIC_Late_Fee_Relief_Windows_3B!$D$4835:$D$100,"&lt;="&amp;B4835,CBIC_Late_Fee_Relief_Windows_3B!$E$4835:$E$100,"&gt;="&amp;B4835,CBIC_Late_Fee_Relief_Windows_3B!$F$4835:$F$100,"&lt;="&amp;C4835,CBIC_Late_Fee_Relief_Windows_3B!$G$4835:$G$100,"&gt;="&amp;C4835)</f>
        <v/>
      </c>
      <c r="H4835">
        <f>INDEX(CBIC_Late_Fee_Relief_Windows_3B!$I$4835:$I$100,MATCH(G4835,CBIC_Late_Fee_Relief_Windows_3B!$O$4835:$O$100,0))</f>
        <v/>
      </c>
      <c r="I4835">
        <f>MIN(F4835,H4835)</f>
        <v/>
      </c>
    </row>
    <row r="4836">
      <c r="A4836">
        <f>TEST_DATA!A4836</f>
        <v/>
      </c>
      <c r="B4836">
        <f>TEST_DATA!B4836</f>
        <v/>
      </c>
      <c r="C4836">
        <f>TEST_DATA!C4836</f>
        <v/>
      </c>
      <c r="D4836">
        <f>TEST_DATA!D4836</f>
        <v/>
      </c>
      <c r="E4836">
        <f>TEST_DATA!E4836</f>
        <v/>
      </c>
      <c r="F4836">
        <f>MIN(E4836*483600,10000)</f>
        <v/>
      </c>
      <c r="G4836">
        <f>MINIFS(CBIC_Late_Fee_Relief_Windows_3B!$O$4836:$O$100,CBIC_Late_Fee_Relief_Windows_3B!$D$4836:$D$100,"&lt;="&amp;B4836,CBIC_Late_Fee_Relief_Windows_3B!$E$4836:$E$100,"&gt;="&amp;B4836,CBIC_Late_Fee_Relief_Windows_3B!$F$4836:$F$100,"&lt;="&amp;C4836,CBIC_Late_Fee_Relief_Windows_3B!$G$4836:$G$100,"&gt;="&amp;C4836)</f>
        <v/>
      </c>
      <c r="H4836">
        <f>INDEX(CBIC_Late_Fee_Relief_Windows_3B!$I$4836:$I$100,MATCH(G4836,CBIC_Late_Fee_Relief_Windows_3B!$O$4836:$O$100,0))</f>
        <v/>
      </c>
      <c r="I4836">
        <f>MIN(F4836,H4836)</f>
        <v/>
      </c>
    </row>
    <row r="4837">
      <c r="A4837">
        <f>TEST_DATA!A4837</f>
        <v/>
      </c>
      <c r="B4837">
        <f>TEST_DATA!B4837</f>
        <v/>
      </c>
      <c r="C4837">
        <f>TEST_DATA!C4837</f>
        <v/>
      </c>
      <c r="D4837">
        <f>TEST_DATA!D4837</f>
        <v/>
      </c>
      <c r="E4837">
        <f>TEST_DATA!E4837</f>
        <v/>
      </c>
      <c r="F4837">
        <f>MIN(E4837*483700,10000)</f>
        <v/>
      </c>
      <c r="G4837">
        <f>MINIFS(CBIC_Late_Fee_Relief_Windows_3B!$O$4837:$O$100,CBIC_Late_Fee_Relief_Windows_3B!$D$4837:$D$100,"&lt;="&amp;B4837,CBIC_Late_Fee_Relief_Windows_3B!$E$4837:$E$100,"&gt;="&amp;B4837,CBIC_Late_Fee_Relief_Windows_3B!$F$4837:$F$100,"&lt;="&amp;C4837,CBIC_Late_Fee_Relief_Windows_3B!$G$4837:$G$100,"&gt;="&amp;C4837)</f>
        <v/>
      </c>
      <c r="H4837">
        <f>INDEX(CBIC_Late_Fee_Relief_Windows_3B!$I$4837:$I$100,MATCH(G4837,CBIC_Late_Fee_Relief_Windows_3B!$O$4837:$O$100,0))</f>
        <v/>
      </c>
      <c r="I4837">
        <f>MIN(F4837,H4837)</f>
        <v/>
      </c>
    </row>
    <row r="4838">
      <c r="A4838">
        <f>TEST_DATA!A4838</f>
        <v/>
      </c>
      <c r="B4838">
        <f>TEST_DATA!B4838</f>
        <v/>
      </c>
      <c r="C4838">
        <f>TEST_DATA!C4838</f>
        <v/>
      </c>
      <c r="D4838">
        <f>TEST_DATA!D4838</f>
        <v/>
      </c>
      <c r="E4838">
        <f>TEST_DATA!E4838</f>
        <v/>
      </c>
      <c r="F4838">
        <f>MIN(E4838*483800,10000)</f>
        <v/>
      </c>
      <c r="G4838">
        <f>MINIFS(CBIC_Late_Fee_Relief_Windows_3B!$O$4838:$O$100,CBIC_Late_Fee_Relief_Windows_3B!$D$4838:$D$100,"&lt;="&amp;B4838,CBIC_Late_Fee_Relief_Windows_3B!$E$4838:$E$100,"&gt;="&amp;B4838,CBIC_Late_Fee_Relief_Windows_3B!$F$4838:$F$100,"&lt;="&amp;C4838,CBIC_Late_Fee_Relief_Windows_3B!$G$4838:$G$100,"&gt;="&amp;C4838)</f>
        <v/>
      </c>
      <c r="H4838">
        <f>INDEX(CBIC_Late_Fee_Relief_Windows_3B!$I$4838:$I$100,MATCH(G4838,CBIC_Late_Fee_Relief_Windows_3B!$O$4838:$O$100,0))</f>
        <v/>
      </c>
      <c r="I4838">
        <f>MIN(F4838,H4838)</f>
        <v/>
      </c>
    </row>
    <row r="4839">
      <c r="A4839">
        <f>TEST_DATA!A4839</f>
        <v/>
      </c>
      <c r="B4839">
        <f>TEST_DATA!B4839</f>
        <v/>
      </c>
      <c r="C4839">
        <f>TEST_DATA!C4839</f>
        <v/>
      </c>
      <c r="D4839">
        <f>TEST_DATA!D4839</f>
        <v/>
      </c>
      <c r="E4839">
        <f>TEST_DATA!E4839</f>
        <v/>
      </c>
      <c r="F4839">
        <f>MIN(E4839*483900,10000)</f>
        <v/>
      </c>
      <c r="G4839">
        <f>MINIFS(CBIC_Late_Fee_Relief_Windows_3B!$O$4839:$O$100,CBIC_Late_Fee_Relief_Windows_3B!$D$4839:$D$100,"&lt;="&amp;B4839,CBIC_Late_Fee_Relief_Windows_3B!$E$4839:$E$100,"&gt;="&amp;B4839,CBIC_Late_Fee_Relief_Windows_3B!$F$4839:$F$100,"&lt;="&amp;C4839,CBIC_Late_Fee_Relief_Windows_3B!$G$4839:$G$100,"&gt;="&amp;C4839)</f>
        <v/>
      </c>
      <c r="H4839">
        <f>INDEX(CBIC_Late_Fee_Relief_Windows_3B!$I$4839:$I$100,MATCH(G4839,CBIC_Late_Fee_Relief_Windows_3B!$O$4839:$O$100,0))</f>
        <v/>
      </c>
      <c r="I4839">
        <f>MIN(F4839,H4839)</f>
        <v/>
      </c>
    </row>
    <row r="4840">
      <c r="A4840">
        <f>TEST_DATA!A4840</f>
        <v/>
      </c>
      <c r="B4840">
        <f>TEST_DATA!B4840</f>
        <v/>
      </c>
      <c r="C4840">
        <f>TEST_DATA!C4840</f>
        <v/>
      </c>
      <c r="D4840">
        <f>TEST_DATA!D4840</f>
        <v/>
      </c>
      <c r="E4840">
        <f>TEST_DATA!E4840</f>
        <v/>
      </c>
      <c r="F4840">
        <f>MIN(E4840*484000,10000)</f>
        <v/>
      </c>
      <c r="G4840">
        <f>MINIFS(CBIC_Late_Fee_Relief_Windows_3B!$O$4840:$O$100,CBIC_Late_Fee_Relief_Windows_3B!$D$4840:$D$100,"&lt;="&amp;B4840,CBIC_Late_Fee_Relief_Windows_3B!$E$4840:$E$100,"&gt;="&amp;B4840,CBIC_Late_Fee_Relief_Windows_3B!$F$4840:$F$100,"&lt;="&amp;C4840,CBIC_Late_Fee_Relief_Windows_3B!$G$4840:$G$100,"&gt;="&amp;C4840)</f>
        <v/>
      </c>
      <c r="H4840">
        <f>INDEX(CBIC_Late_Fee_Relief_Windows_3B!$I$4840:$I$100,MATCH(G4840,CBIC_Late_Fee_Relief_Windows_3B!$O$4840:$O$100,0))</f>
        <v/>
      </c>
      <c r="I4840">
        <f>MIN(F4840,H4840)</f>
        <v/>
      </c>
    </row>
    <row r="4841">
      <c r="A4841">
        <f>TEST_DATA!A4841</f>
        <v/>
      </c>
      <c r="B4841">
        <f>TEST_DATA!B4841</f>
        <v/>
      </c>
      <c r="C4841">
        <f>TEST_DATA!C4841</f>
        <v/>
      </c>
      <c r="D4841">
        <f>TEST_DATA!D4841</f>
        <v/>
      </c>
      <c r="E4841">
        <f>TEST_DATA!E4841</f>
        <v/>
      </c>
      <c r="F4841">
        <f>MIN(E4841*484100,10000)</f>
        <v/>
      </c>
      <c r="G4841">
        <f>MINIFS(CBIC_Late_Fee_Relief_Windows_3B!$O$4841:$O$100,CBIC_Late_Fee_Relief_Windows_3B!$D$4841:$D$100,"&lt;="&amp;B4841,CBIC_Late_Fee_Relief_Windows_3B!$E$4841:$E$100,"&gt;="&amp;B4841,CBIC_Late_Fee_Relief_Windows_3B!$F$4841:$F$100,"&lt;="&amp;C4841,CBIC_Late_Fee_Relief_Windows_3B!$G$4841:$G$100,"&gt;="&amp;C4841)</f>
        <v/>
      </c>
      <c r="H4841">
        <f>INDEX(CBIC_Late_Fee_Relief_Windows_3B!$I$4841:$I$100,MATCH(G4841,CBIC_Late_Fee_Relief_Windows_3B!$O$4841:$O$100,0))</f>
        <v/>
      </c>
      <c r="I4841">
        <f>MIN(F4841,H4841)</f>
        <v/>
      </c>
    </row>
    <row r="4842">
      <c r="A4842">
        <f>TEST_DATA!A4842</f>
        <v/>
      </c>
      <c r="B4842">
        <f>TEST_DATA!B4842</f>
        <v/>
      </c>
      <c r="C4842">
        <f>TEST_DATA!C4842</f>
        <v/>
      </c>
      <c r="D4842">
        <f>TEST_DATA!D4842</f>
        <v/>
      </c>
      <c r="E4842">
        <f>TEST_DATA!E4842</f>
        <v/>
      </c>
      <c r="F4842">
        <f>MIN(E4842*484200,10000)</f>
        <v/>
      </c>
      <c r="G4842">
        <f>MINIFS(CBIC_Late_Fee_Relief_Windows_3B!$O$4842:$O$100,CBIC_Late_Fee_Relief_Windows_3B!$D$4842:$D$100,"&lt;="&amp;B4842,CBIC_Late_Fee_Relief_Windows_3B!$E$4842:$E$100,"&gt;="&amp;B4842,CBIC_Late_Fee_Relief_Windows_3B!$F$4842:$F$100,"&lt;="&amp;C4842,CBIC_Late_Fee_Relief_Windows_3B!$G$4842:$G$100,"&gt;="&amp;C4842)</f>
        <v/>
      </c>
      <c r="H4842">
        <f>INDEX(CBIC_Late_Fee_Relief_Windows_3B!$I$4842:$I$100,MATCH(G4842,CBIC_Late_Fee_Relief_Windows_3B!$O$4842:$O$100,0))</f>
        <v/>
      </c>
      <c r="I4842">
        <f>MIN(F4842,H4842)</f>
        <v/>
      </c>
    </row>
    <row r="4843">
      <c r="A4843">
        <f>TEST_DATA!A4843</f>
        <v/>
      </c>
      <c r="B4843">
        <f>TEST_DATA!B4843</f>
        <v/>
      </c>
      <c r="C4843">
        <f>TEST_DATA!C4843</f>
        <v/>
      </c>
      <c r="D4843">
        <f>TEST_DATA!D4843</f>
        <v/>
      </c>
      <c r="E4843">
        <f>TEST_DATA!E4843</f>
        <v/>
      </c>
      <c r="F4843">
        <f>MIN(E4843*484300,10000)</f>
        <v/>
      </c>
      <c r="G4843">
        <f>MINIFS(CBIC_Late_Fee_Relief_Windows_3B!$O$4843:$O$100,CBIC_Late_Fee_Relief_Windows_3B!$D$4843:$D$100,"&lt;="&amp;B4843,CBIC_Late_Fee_Relief_Windows_3B!$E$4843:$E$100,"&gt;="&amp;B4843,CBIC_Late_Fee_Relief_Windows_3B!$F$4843:$F$100,"&lt;="&amp;C4843,CBIC_Late_Fee_Relief_Windows_3B!$G$4843:$G$100,"&gt;="&amp;C4843)</f>
        <v/>
      </c>
      <c r="H4843">
        <f>INDEX(CBIC_Late_Fee_Relief_Windows_3B!$I$4843:$I$100,MATCH(G4843,CBIC_Late_Fee_Relief_Windows_3B!$O$4843:$O$100,0))</f>
        <v/>
      </c>
      <c r="I4843">
        <f>MIN(F4843,H4843)</f>
        <v/>
      </c>
    </row>
    <row r="4844">
      <c r="A4844">
        <f>TEST_DATA!A4844</f>
        <v/>
      </c>
      <c r="B4844">
        <f>TEST_DATA!B4844</f>
        <v/>
      </c>
      <c r="C4844">
        <f>TEST_DATA!C4844</f>
        <v/>
      </c>
      <c r="D4844">
        <f>TEST_DATA!D4844</f>
        <v/>
      </c>
      <c r="E4844">
        <f>TEST_DATA!E4844</f>
        <v/>
      </c>
      <c r="F4844">
        <f>MIN(E4844*484400,10000)</f>
        <v/>
      </c>
      <c r="G4844">
        <f>MINIFS(CBIC_Late_Fee_Relief_Windows_3B!$O$4844:$O$100,CBIC_Late_Fee_Relief_Windows_3B!$D$4844:$D$100,"&lt;="&amp;B4844,CBIC_Late_Fee_Relief_Windows_3B!$E$4844:$E$100,"&gt;="&amp;B4844,CBIC_Late_Fee_Relief_Windows_3B!$F$4844:$F$100,"&lt;="&amp;C4844,CBIC_Late_Fee_Relief_Windows_3B!$G$4844:$G$100,"&gt;="&amp;C4844)</f>
        <v/>
      </c>
      <c r="H4844">
        <f>INDEX(CBIC_Late_Fee_Relief_Windows_3B!$I$4844:$I$100,MATCH(G4844,CBIC_Late_Fee_Relief_Windows_3B!$O$4844:$O$100,0))</f>
        <v/>
      </c>
      <c r="I4844">
        <f>MIN(F4844,H4844)</f>
        <v/>
      </c>
    </row>
    <row r="4845">
      <c r="A4845">
        <f>TEST_DATA!A4845</f>
        <v/>
      </c>
      <c r="B4845">
        <f>TEST_DATA!B4845</f>
        <v/>
      </c>
      <c r="C4845">
        <f>TEST_DATA!C4845</f>
        <v/>
      </c>
      <c r="D4845">
        <f>TEST_DATA!D4845</f>
        <v/>
      </c>
      <c r="E4845">
        <f>TEST_DATA!E4845</f>
        <v/>
      </c>
      <c r="F4845">
        <f>MIN(E4845*484500,10000)</f>
        <v/>
      </c>
      <c r="G4845">
        <f>MINIFS(CBIC_Late_Fee_Relief_Windows_3B!$O$4845:$O$100,CBIC_Late_Fee_Relief_Windows_3B!$D$4845:$D$100,"&lt;="&amp;B4845,CBIC_Late_Fee_Relief_Windows_3B!$E$4845:$E$100,"&gt;="&amp;B4845,CBIC_Late_Fee_Relief_Windows_3B!$F$4845:$F$100,"&lt;="&amp;C4845,CBIC_Late_Fee_Relief_Windows_3B!$G$4845:$G$100,"&gt;="&amp;C4845)</f>
        <v/>
      </c>
      <c r="H4845">
        <f>INDEX(CBIC_Late_Fee_Relief_Windows_3B!$I$4845:$I$100,MATCH(G4845,CBIC_Late_Fee_Relief_Windows_3B!$O$4845:$O$100,0))</f>
        <v/>
      </c>
      <c r="I4845">
        <f>MIN(F4845,H4845)</f>
        <v/>
      </c>
    </row>
    <row r="4846">
      <c r="A4846">
        <f>TEST_DATA!A4846</f>
        <v/>
      </c>
      <c r="B4846">
        <f>TEST_DATA!B4846</f>
        <v/>
      </c>
      <c r="C4846">
        <f>TEST_DATA!C4846</f>
        <v/>
      </c>
      <c r="D4846">
        <f>TEST_DATA!D4846</f>
        <v/>
      </c>
      <c r="E4846">
        <f>TEST_DATA!E4846</f>
        <v/>
      </c>
      <c r="F4846">
        <f>MIN(E4846*484600,10000)</f>
        <v/>
      </c>
      <c r="G4846">
        <f>MINIFS(CBIC_Late_Fee_Relief_Windows_3B!$O$4846:$O$100,CBIC_Late_Fee_Relief_Windows_3B!$D$4846:$D$100,"&lt;="&amp;B4846,CBIC_Late_Fee_Relief_Windows_3B!$E$4846:$E$100,"&gt;="&amp;B4846,CBIC_Late_Fee_Relief_Windows_3B!$F$4846:$F$100,"&lt;="&amp;C4846,CBIC_Late_Fee_Relief_Windows_3B!$G$4846:$G$100,"&gt;="&amp;C4846)</f>
        <v/>
      </c>
      <c r="H4846">
        <f>INDEX(CBIC_Late_Fee_Relief_Windows_3B!$I$4846:$I$100,MATCH(G4846,CBIC_Late_Fee_Relief_Windows_3B!$O$4846:$O$100,0))</f>
        <v/>
      </c>
      <c r="I4846">
        <f>MIN(F4846,H4846)</f>
        <v/>
      </c>
    </row>
    <row r="4847">
      <c r="A4847">
        <f>TEST_DATA!A4847</f>
        <v/>
      </c>
      <c r="B4847">
        <f>TEST_DATA!B4847</f>
        <v/>
      </c>
      <c r="C4847">
        <f>TEST_DATA!C4847</f>
        <v/>
      </c>
      <c r="D4847">
        <f>TEST_DATA!D4847</f>
        <v/>
      </c>
      <c r="E4847">
        <f>TEST_DATA!E4847</f>
        <v/>
      </c>
      <c r="F4847">
        <f>MIN(E4847*484700,10000)</f>
        <v/>
      </c>
      <c r="G4847">
        <f>MINIFS(CBIC_Late_Fee_Relief_Windows_3B!$O$4847:$O$100,CBIC_Late_Fee_Relief_Windows_3B!$D$4847:$D$100,"&lt;="&amp;B4847,CBIC_Late_Fee_Relief_Windows_3B!$E$4847:$E$100,"&gt;="&amp;B4847,CBIC_Late_Fee_Relief_Windows_3B!$F$4847:$F$100,"&lt;="&amp;C4847,CBIC_Late_Fee_Relief_Windows_3B!$G$4847:$G$100,"&gt;="&amp;C4847)</f>
        <v/>
      </c>
      <c r="H4847">
        <f>INDEX(CBIC_Late_Fee_Relief_Windows_3B!$I$4847:$I$100,MATCH(G4847,CBIC_Late_Fee_Relief_Windows_3B!$O$4847:$O$100,0))</f>
        <v/>
      </c>
      <c r="I4847">
        <f>MIN(F4847,H4847)</f>
        <v/>
      </c>
    </row>
    <row r="4848">
      <c r="A4848">
        <f>TEST_DATA!A4848</f>
        <v/>
      </c>
      <c r="B4848">
        <f>TEST_DATA!B4848</f>
        <v/>
      </c>
      <c r="C4848">
        <f>TEST_DATA!C4848</f>
        <v/>
      </c>
      <c r="D4848">
        <f>TEST_DATA!D4848</f>
        <v/>
      </c>
      <c r="E4848">
        <f>TEST_DATA!E4848</f>
        <v/>
      </c>
      <c r="F4848">
        <f>MIN(E4848*484800,10000)</f>
        <v/>
      </c>
      <c r="G4848">
        <f>MINIFS(CBIC_Late_Fee_Relief_Windows_3B!$O$4848:$O$100,CBIC_Late_Fee_Relief_Windows_3B!$D$4848:$D$100,"&lt;="&amp;B4848,CBIC_Late_Fee_Relief_Windows_3B!$E$4848:$E$100,"&gt;="&amp;B4848,CBIC_Late_Fee_Relief_Windows_3B!$F$4848:$F$100,"&lt;="&amp;C4848,CBIC_Late_Fee_Relief_Windows_3B!$G$4848:$G$100,"&gt;="&amp;C4848)</f>
        <v/>
      </c>
      <c r="H4848">
        <f>INDEX(CBIC_Late_Fee_Relief_Windows_3B!$I$4848:$I$100,MATCH(G4848,CBIC_Late_Fee_Relief_Windows_3B!$O$4848:$O$100,0))</f>
        <v/>
      </c>
      <c r="I4848">
        <f>MIN(F4848,H4848)</f>
        <v/>
      </c>
    </row>
    <row r="4849">
      <c r="A4849">
        <f>TEST_DATA!A4849</f>
        <v/>
      </c>
      <c r="B4849">
        <f>TEST_DATA!B4849</f>
        <v/>
      </c>
      <c r="C4849">
        <f>TEST_DATA!C4849</f>
        <v/>
      </c>
      <c r="D4849">
        <f>TEST_DATA!D4849</f>
        <v/>
      </c>
      <c r="E4849">
        <f>TEST_DATA!E4849</f>
        <v/>
      </c>
      <c r="F4849">
        <f>MIN(E4849*484900,10000)</f>
        <v/>
      </c>
      <c r="G4849">
        <f>MINIFS(CBIC_Late_Fee_Relief_Windows_3B!$O$4849:$O$100,CBIC_Late_Fee_Relief_Windows_3B!$D$4849:$D$100,"&lt;="&amp;B4849,CBIC_Late_Fee_Relief_Windows_3B!$E$4849:$E$100,"&gt;="&amp;B4849,CBIC_Late_Fee_Relief_Windows_3B!$F$4849:$F$100,"&lt;="&amp;C4849,CBIC_Late_Fee_Relief_Windows_3B!$G$4849:$G$100,"&gt;="&amp;C4849)</f>
        <v/>
      </c>
      <c r="H4849">
        <f>INDEX(CBIC_Late_Fee_Relief_Windows_3B!$I$4849:$I$100,MATCH(G4849,CBIC_Late_Fee_Relief_Windows_3B!$O$4849:$O$100,0))</f>
        <v/>
      </c>
      <c r="I4849">
        <f>MIN(F4849,H4849)</f>
        <v/>
      </c>
    </row>
    <row r="4850">
      <c r="A4850">
        <f>TEST_DATA!A4850</f>
        <v/>
      </c>
      <c r="B4850">
        <f>TEST_DATA!B4850</f>
        <v/>
      </c>
      <c r="C4850">
        <f>TEST_DATA!C4850</f>
        <v/>
      </c>
      <c r="D4850">
        <f>TEST_DATA!D4850</f>
        <v/>
      </c>
      <c r="E4850">
        <f>TEST_DATA!E4850</f>
        <v/>
      </c>
      <c r="F4850">
        <f>MIN(E4850*485000,10000)</f>
        <v/>
      </c>
      <c r="G4850">
        <f>MINIFS(CBIC_Late_Fee_Relief_Windows_3B!$O$4850:$O$100,CBIC_Late_Fee_Relief_Windows_3B!$D$4850:$D$100,"&lt;="&amp;B4850,CBIC_Late_Fee_Relief_Windows_3B!$E$4850:$E$100,"&gt;="&amp;B4850,CBIC_Late_Fee_Relief_Windows_3B!$F$4850:$F$100,"&lt;="&amp;C4850,CBIC_Late_Fee_Relief_Windows_3B!$G$4850:$G$100,"&gt;="&amp;C4850)</f>
        <v/>
      </c>
      <c r="H4850">
        <f>INDEX(CBIC_Late_Fee_Relief_Windows_3B!$I$4850:$I$100,MATCH(G4850,CBIC_Late_Fee_Relief_Windows_3B!$O$4850:$O$100,0))</f>
        <v/>
      </c>
      <c r="I4850">
        <f>MIN(F4850,H4850)</f>
        <v/>
      </c>
    </row>
    <row r="4851">
      <c r="A4851">
        <f>TEST_DATA!A4851</f>
        <v/>
      </c>
      <c r="B4851">
        <f>TEST_DATA!B4851</f>
        <v/>
      </c>
      <c r="C4851">
        <f>TEST_DATA!C4851</f>
        <v/>
      </c>
      <c r="D4851">
        <f>TEST_DATA!D4851</f>
        <v/>
      </c>
      <c r="E4851">
        <f>TEST_DATA!E4851</f>
        <v/>
      </c>
      <c r="F4851">
        <f>MIN(E4851*485100,10000)</f>
        <v/>
      </c>
      <c r="G4851">
        <f>MINIFS(CBIC_Late_Fee_Relief_Windows_3B!$O$4851:$O$100,CBIC_Late_Fee_Relief_Windows_3B!$D$4851:$D$100,"&lt;="&amp;B4851,CBIC_Late_Fee_Relief_Windows_3B!$E$4851:$E$100,"&gt;="&amp;B4851,CBIC_Late_Fee_Relief_Windows_3B!$F$4851:$F$100,"&lt;="&amp;C4851,CBIC_Late_Fee_Relief_Windows_3B!$G$4851:$G$100,"&gt;="&amp;C4851)</f>
        <v/>
      </c>
      <c r="H4851">
        <f>INDEX(CBIC_Late_Fee_Relief_Windows_3B!$I$4851:$I$100,MATCH(G4851,CBIC_Late_Fee_Relief_Windows_3B!$O$4851:$O$100,0))</f>
        <v/>
      </c>
      <c r="I4851">
        <f>MIN(F4851,H4851)</f>
        <v/>
      </c>
    </row>
    <row r="4852">
      <c r="A4852">
        <f>TEST_DATA!A4852</f>
        <v/>
      </c>
      <c r="B4852">
        <f>TEST_DATA!B4852</f>
        <v/>
      </c>
      <c r="C4852">
        <f>TEST_DATA!C4852</f>
        <v/>
      </c>
      <c r="D4852">
        <f>TEST_DATA!D4852</f>
        <v/>
      </c>
      <c r="E4852">
        <f>TEST_DATA!E4852</f>
        <v/>
      </c>
      <c r="F4852">
        <f>MIN(E4852*485200,10000)</f>
        <v/>
      </c>
      <c r="G4852">
        <f>MINIFS(CBIC_Late_Fee_Relief_Windows_3B!$O$4852:$O$100,CBIC_Late_Fee_Relief_Windows_3B!$D$4852:$D$100,"&lt;="&amp;B4852,CBIC_Late_Fee_Relief_Windows_3B!$E$4852:$E$100,"&gt;="&amp;B4852,CBIC_Late_Fee_Relief_Windows_3B!$F$4852:$F$100,"&lt;="&amp;C4852,CBIC_Late_Fee_Relief_Windows_3B!$G$4852:$G$100,"&gt;="&amp;C4852)</f>
        <v/>
      </c>
      <c r="H4852">
        <f>INDEX(CBIC_Late_Fee_Relief_Windows_3B!$I$4852:$I$100,MATCH(G4852,CBIC_Late_Fee_Relief_Windows_3B!$O$4852:$O$100,0))</f>
        <v/>
      </c>
      <c r="I4852">
        <f>MIN(F4852,H4852)</f>
        <v/>
      </c>
    </row>
    <row r="4853">
      <c r="A4853">
        <f>TEST_DATA!A4853</f>
        <v/>
      </c>
      <c r="B4853">
        <f>TEST_DATA!B4853</f>
        <v/>
      </c>
      <c r="C4853">
        <f>TEST_DATA!C4853</f>
        <v/>
      </c>
      <c r="D4853">
        <f>TEST_DATA!D4853</f>
        <v/>
      </c>
      <c r="E4853">
        <f>TEST_DATA!E4853</f>
        <v/>
      </c>
      <c r="F4853">
        <f>MIN(E4853*485300,10000)</f>
        <v/>
      </c>
      <c r="G4853">
        <f>MINIFS(CBIC_Late_Fee_Relief_Windows_3B!$O$4853:$O$100,CBIC_Late_Fee_Relief_Windows_3B!$D$4853:$D$100,"&lt;="&amp;B4853,CBIC_Late_Fee_Relief_Windows_3B!$E$4853:$E$100,"&gt;="&amp;B4853,CBIC_Late_Fee_Relief_Windows_3B!$F$4853:$F$100,"&lt;="&amp;C4853,CBIC_Late_Fee_Relief_Windows_3B!$G$4853:$G$100,"&gt;="&amp;C4853)</f>
        <v/>
      </c>
      <c r="H4853">
        <f>INDEX(CBIC_Late_Fee_Relief_Windows_3B!$I$4853:$I$100,MATCH(G4853,CBIC_Late_Fee_Relief_Windows_3B!$O$4853:$O$100,0))</f>
        <v/>
      </c>
      <c r="I4853">
        <f>MIN(F4853,H4853)</f>
        <v/>
      </c>
    </row>
    <row r="4854">
      <c r="A4854">
        <f>TEST_DATA!A4854</f>
        <v/>
      </c>
      <c r="B4854">
        <f>TEST_DATA!B4854</f>
        <v/>
      </c>
      <c r="C4854">
        <f>TEST_DATA!C4854</f>
        <v/>
      </c>
      <c r="D4854">
        <f>TEST_DATA!D4854</f>
        <v/>
      </c>
      <c r="E4854">
        <f>TEST_DATA!E4854</f>
        <v/>
      </c>
      <c r="F4854">
        <f>MIN(E4854*485400,10000)</f>
        <v/>
      </c>
      <c r="G4854">
        <f>MINIFS(CBIC_Late_Fee_Relief_Windows_3B!$O$4854:$O$100,CBIC_Late_Fee_Relief_Windows_3B!$D$4854:$D$100,"&lt;="&amp;B4854,CBIC_Late_Fee_Relief_Windows_3B!$E$4854:$E$100,"&gt;="&amp;B4854,CBIC_Late_Fee_Relief_Windows_3B!$F$4854:$F$100,"&lt;="&amp;C4854,CBIC_Late_Fee_Relief_Windows_3B!$G$4854:$G$100,"&gt;="&amp;C4854)</f>
        <v/>
      </c>
      <c r="H4854">
        <f>INDEX(CBIC_Late_Fee_Relief_Windows_3B!$I$4854:$I$100,MATCH(G4854,CBIC_Late_Fee_Relief_Windows_3B!$O$4854:$O$100,0))</f>
        <v/>
      </c>
      <c r="I4854">
        <f>MIN(F4854,H4854)</f>
        <v/>
      </c>
    </row>
    <row r="4855">
      <c r="A4855">
        <f>TEST_DATA!A4855</f>
        <v/>
      </c>
      <c r="B4855">
        <f>TEST_DATA!B4855</f>
        <v/>
      </c>
      <c r="C4855">
        <f>TEST_DATA!C4855</f>
        <v/>
      </c>
      <c r="D4855">
        <f>TEST_DATA!D4855</f>
        <v/>
      </c>
      <c r="E4855">
        <f>TEST_DATA!E4855</f>
        <v/>
      </c>
      <c r="F4855">
        <f>MIN(E4855*485500,10000)</f>
        <v/>
      </c>
      <c r="G4855">
        <f>MINIFS(CBIC_Late_Fee_Relief_Windows_3B!$O$4855:$O$100,CBIC_Late_Fee_Relief_Windows_3B!$D$4855:$D$100,"&lt;="&amp;B4855,CBIC_Late_Fee_Relief_Windows_3B!$E$4855:$E$100,"&gt;="&amp;B4855,CBIC_Late_Fee_Relief_Windows_3B!$F$4855:$F$100,"&lt;="&amp;C4855,CBIC_Late_Fee_Relief_Windows_3B!$G$4855:$G$100,"&gt;="&amp;C4855)</f>
        <v/>
      </c>
      <c r="H4855">
        <f>INDEX(CBIC_Late_Fee_Relief_Windows_3B!$I$4855:$I$100,MATCH(G4855,CBIC_Late_Fee_Relief_Windows_3B!$O$4855:$O$100,0))</f>
        <v/>
      </c>
      <c r="I4855">
        <f>MIN(F4855,H4855)</f>
        <v/>
      </c>
    </row>
    <row r="4856">
      <c r="A4856">
        <f>TEST_DATA!A4856</f>
        <v/>
      </c>
      <c r="B4856">
        <f>TEST_DATA!B4856</f>
        <v/>
      </c>
      <c r="C4856">
        <f>TEST_DATA!C4856</f>
        <v/>
      </c>
      <c r="D4856">
        <f>TEST_DATA!D4856</f>
        <v/>
      </c>
      <c r="E4856">
        <f>TEST_DATA!E4856</f>
        <v/>
      </c>
      <c r="F4856">
        <f>MIN(E4856*485600,10000)</f>
        <v/>
      </c>
      <c r="G4856">
        <f>MINIFS(CBIC_Late_Fee_Relief_Windows_3B!$O$4856:$O$100,CBIC_Late_Fee_Relief_Windows_3B!$D$4856:$D$100,"&lt;="&amp;B4856,CBIC_Late_Fee_Relief_Windows_3B!$E$4856:$E$100,"&gt;="&amp;B4856,CBIC_Late_Fee_Relief_Windows_3B!$F$4856:$F$100,"&lt;="&amp;C4856,CBIC_Late_Fee_Relief_Windows_3B!$G$4856:$G$100,"&gt;="&amp;C4856)</f>
        <v/>
      </c>
      <c r="H4856">
        <f>INDEX(CBIC_Late_Fee_Relief_Windows_3B!$I$4856:$I$100,MATCH(G4856,CBIC_Late_Fee_Relief_Windows_3B!$O$4856:$O$100,0))</f>
        <v/>
      </c>
      <c r="I4856">
        <f>MIN(F4856,H4856)</f>
        <v/>
      </c>
    </row>
    <row r="4857">
      <c r="A4857">
        <f>TEST_DATA!A4857</f>
        <v/>
      </c>
      <c r="B4857">
        <f>TEST_DATA!B4857</f>
        <v/>
      </c>
      <c r="C4857">
        <f>TEST_DATA!C4857</f>
        <v/>
      </c>
      <c r="D4857">
        <f>TEST_DATA!D4857</f>
        <v/>
      </c>
      <c r="E4857">
        <f>TEST_DATA!E4857</f>
        <v/>
      </c>
      <c r="F4857">
        <f>MIN(E4857*485700,10000)</f>
        <v/>
      </c>
      <c r="G4857">
        <f>MINIFS(CBIC_Late_Fee_Relief_Windows_3B!$O$4857:$O$100,CBIC_Late_Fee_Relief_Windows_3B!$D$4857:$D$100,"&lt;="&amp;B4857,CBIC_Late_Fee_Relief_Windows_3B!$E$4857:$E$100,"&gt;="&amp;B4857,CBIC_Late_Fee_Relief_Windows_3B!$F$4857:$F$100,"&lt;="&amp;C4857,CBIC_Late_Fee_Relief_Windows_3B!$G$4857:$G$100,"&gt;="&amp;C4857)</f>
        <v/>
      </c>
      <c r="H4857">
        <f>INDEX(CBIC_Late_Fee_Relief_Windows_3B!$I$4857:$I$100,MATCH(G4857,CBIC_Late_Fee_Relief_Windows_3B!$O$4857:$O$100,0))</f>
        <v/>
      </c>
      <c r="I4857">
        <f>MIN(F4857,H4857)</f>
        <v/>
      </c>
    </row>
    <row r="4858">
      <c r="A4858">
        <f>TEST_DATA!A4858</f>
        <v/>
      </c>
      <c r="B4858">
        <f>TEST_DATA!B4858</f>
        <v/>
      </c>
      <c r="C4858">
        <f>TEST_DATA!C4858</f>
        <v/>
      </c>
      <c r="D4858">
        <f>TEST_DATA!D4858</f>
        <v/>
      </c>
      <c r="E4858">
        <f>TEST_DATA!E4858</f>
        <v/>
      </c>
      <c r="F4858">
        <f>MIN(E4858*485800,10000)</f>
        <v/>
      </c>
      <c r="G4858">
        <f>MINIFS(CBIC_Late_Fee_Relief_Windows_3B!$O$4858:$O$100,CBIC_Late_Fee_Relief_Windows_3B!$D$4858:$D$100,"&lt;="&amp;B4858,CBIC_Late_Fee_Relief_Windows_3B!$E$4858:$E$100,"&gt;="&amp;B4858,CBIC_Late_Fee_Relief_Windows_3B!$F$4858:$F$100,"&lt;="&amp;C4858,CBIC_Late_Fee_Relief_Windows_3B!$G$4858:$G$100,"&gt;="&amp;C4858)</f>
        <v/>
      </c>
      <c r="H4858">
        <f>INDEX(CBIC_Late_Fee_Relief_Windows_3B!$I$4858:$I$100,MATCH(G4858,CBIC_Late_Fee_Relief_Windows_3B!$O$4858:$O$100,0))</f>
        <v/>
      </c>
      <c r="I4858">
        <f>MIN(F4858,H4858)</f>
        <v/>
      </c>
    </row>
    <row r="4859">
      <c r="A4859">
        <f>TEST_DATA!A4859</f>
        <v/>
      </c>
      <c r="B4859">
        <f>TEST_DATA!B4859</f>
        <v/>
      </c>
      <c r="C4859">
        <f>TEST_DATA!C4859</f>
        <v/>
      </c>
      <c r="D4859">
        <f>TEST_DATA!D4859</f>
        <v/>
      </c>
      <c r="E4859">
        <f>TEST_DATA!E4859</f>
        <v/>
      </c>
      <c r="F4859">
        <f>MIN(E4859*485900,10000)</f>
        <v/>
      </c>
      <c r="G4859">
        <f>MINIFS(CBIC_Late_Fee_Relief_Windows_3B!$O$4859:$O$100,CBIC_Late_Fee_Relief_Windows_3B!$D$4859:$D$100,"&lt;="&amp;B4859,CBIC_Late_Fee_Relief_Windows_3B!$E$4859:$E$100,"&gt;="&amp;B4859,CBIC_Late_Fee_Relief_Windows_3B!$F$4859:$F$100,"&lt;="&amp;C4859,CBIC_Late_Fee_Relief_Windows_3B!$G$4859:$G$100,"&gt;="&amp;C4859)</f>
        <v/>
      </c>
      <c r="H4859">
        <f>INDEX(CBIC_Late_Fee_Relief_Windows_3B!$I$4859:$I$100,MATCH(G4859,CBIC_Late_Fee_Relief_Windows_3B!$O$4859:$O$100,0))</f>
        <v/>
      </c>
      <c r="I4859">
        <f>MIN(F4859,H4859)</f>
        <v/>
      </c>
    </row>
    <row r="4860">
      <c r="A4860">
        <f>TEST_DATA!A4860</f>
        <v/>
      </c>
      <c r="B4860">
        <f>TEST_DATA!B4860</f>
        <v/>
      </c>
      <c r="C4860">
        <f>TEST_DATA!C4860</f>
        <v/>
      </c>
      <c r="D4860">
        <f>TEST_DATA!D4860</f>
        <v/>
      </c>
      <c r="E4860">
        <f>TEST_DATA!E4860</f>
        <v/>
      </c>
      <c r="F4860">
        <f>MIN(E4860*486000,10000)</f>
        <v/>
      </c>
      <c r="G4860">
        <f>MINIFS(CBIC_Late_Fee_Relief_Windows_3B!$O$4860:$O$100,CBIC_Late_Fee_Relief_Windows_3B!$D$4860:$D$100,"&lt;="&amp;B4860,CBIC_Late_Fee_Relief_Windows_3B!$E$4860:$E$100,"&gt;="&amp;B4860,CBIC_Late_Fee_Relief_Windows_3B!$F$4860:$F$100,"&lt;="&amp;C4860,CBIC_Late_Fee_Relief_Windows_3B!$G$4860:$G$100,"&gt;="&amp;C4860)</f>
        <v/>
      </c>
      <c r="H4860">
        <f>INDEX(CBIC_Late_Fee_Relief_Windows_3B!$I$4860:$I$100,MATCH(G4860,CBIC_Late_Fee_Relief_Windows_3B!$O$4860:$O$100,0))</f>
        <v/>
      </c>
      <c r="I4860">
        <f>MIN(F4860,H4860)</f>
        <v/>
      </c>
    </row>
    <row r="4861">
      <c r="A4861">
        <f>TEST_DATA!A4861</f>
        <v/>
      </c>
      <c r="B4861">
        <f>TEST_DATA!B4861</f>
        <v/>
      </c>
      <c r="C4861">
        <f>TEST_DATA!C4861</f>
        <v/>
      </c>
      <c r="D4861">
        <f>TEST_DATA!D4861</f>
        <v/>
      </c>
      <c r="E4861">
        <f>TEST_DATA!E4861</f>
        <v/>
      </c>
      <c r="F4861">
        <f>MIN(E4861*486100,10000)</f>
        <v/>
      </c>
      <c r="G4861">
        <f>MINIFS(CBIC_Late_Fee_Relief_Windows_3B!$O$4861:$O$100,CBIC_Late_Fee_Relief_Windows_3B!$D$4861:$D$100,"&lt;="&amp;B4861,CBIC_Late_Fee_Relief_Windows_3B!$E$4861:$E$100,"&gt;="&amp;B4861,CBIC_Late_Fee_Relief_Windows_3B!$F$4861:$F$100,"&lt;="&amp;C4861,CBIC_Late_Fee_Relief_Windows_3B!$G$4861:$G$100,"&gt;="&amp;C4861)</f>
        <v/>
      </c>
      <c r="H4861">
        <f>INDEX(CBIC_Late_Fee_Relief_Windows_3B!$I$4861:$I$100,MATCH(G4861,CBIC_Late_Fee_Relief_Windows_3B!$O$4861:$O$100,0))</f>
        <v/>
      </c>
      <c r="I4861">
        <f>MIN(F4861,H4861)</f>
        <v/>
      </c>
    </row>
    <row r="4862">
      <c r="A4862">
        <f>TEST_DATA!A4862</f>
        <v/>
      </c>
      <c r="B4862">
        <f>TEST_DATA!B4862</f>
        <v/>
      </c>
      <c r="C4862">
        <f>TEST_DATA!C4862</f>
        <v/>
      </c>
      <c r="D4862">
        <f>TEST_DATA!D4862</f>
        <v/>
      </c>
      <c r="E4862">
        <f>TEST_DATA!E4862</f>
        <v/>
      </c>
      <c r="F4862">
        <f>MIN(E4862*486200,10000)</f>
        <v/>
      </c>
      <c r="G4862">
        <f>MINIFS(CBIC_Late_Fee_Relief_Windows_3B!$O$4862:$O$100,CBIC_Late_Fee_Relief_Windows_3B!$D$4862:$D$100,"&lt;="&amp;B4862,CBIC_Late_Fee_Relief_Windows_3B!$E$4862:$E$100,"&gt;="&amp;B4862,CBIC_Late_Fee_Relief_Windows_3B!$F$4862:$F$100,"&lt;="&amp;C4862,CBIC_Late_Fee_Relief_Windows_3B!$G$4862:$G$100,"&gt;="&amp;C4862)</f>
        <v/>
      </c>
      <c r="H4862">
        <f>INDEX(CBIC_Late_Fee_Relief_Windows_3B!$I$4862:$I$100,MATCH(G4862,CBIC_Late_Fee_Relief_Windows_3B!$O$4862:$O$100,0))</f>
        <v/>
      </c>
      <c r="I4862">
        <f>MIN(F4862,H4862)</f>
        <v/>
      </c>
    </row>
    <row r="4863">
      <c r="A4863">
        <f>TEST_DATA!A4863</f>
        <v/>
      </c>
      <c r="B4863">
        <f>TEST_DATA!B4863</f>
        <v/>
      </c>
      <c r="C4863">
        <f>TEST_DATA!C4863</f>
        <v/>
      </c>
      <c r="D4863">
        <f>TEST_DATA!D4863</f>
        <v/>
      </c>
      <c r="E4863">
        <f>TEST_DATA!E4863</f>
        <v/>
      </c>
      <c r="F4863">
        <f>MIN(E4863*486300,10000)</f>
        <v/>
      </c>
      <c r="G4863">
        <f>MINIFS(CBIC_Late_Fee_Relief_Windows_3B!$O$4863:$O$100,CBIC_Late_Fee_Relief_Windows_3B!$D$4863:$D$100,"&lt;="&amp;B4863,CBIC_Late_Fee_Relief_Windows_3B!$E$4863:$E$100,"&gt;="&amp;B4863,CBIC_Late_Fee_Relief_Windows_3B!$F$4863:$F$100,"&lt;="&amp;C4863,CBIC_Late_Fee_Relief_Windows_3B!$G$4863:$G$100,"&gt;="&amp;C4863)</f>
        <v/>
      </c>
      <c r="H4863">
        <f>INDEX(CBIC_Late_Fee_Relief_Windows_3B!$I$4863:$I$100,MATCH(G4863,CBIC_Late_Fee_Relief_Windows_3B!$O$4863:$O$100,0))</f>
        <v/>
      </c>
      <c r="I4863">
        <f>MIN(F4863,H4863)</f>
        <v/>
      </c>
    </row>
    <row r="4864">
      <c r="A4864">
        <f>TEST_DATA!A4864</f>
        <v/>
      </c>
      <c r="B4864">
        <f>TEST_DATA!B4864</f>
        <v/>
      </c>
      <c r="C4864">
        <f>TEST_DATA!C4864</f>
        <v/>
      </c>
      <c r="D4864">
        <f>TEST_DATA!D4864</f>
        <v/>
      </c>
      <c r="E4864">
        <f>TEST_DATA!E4864</f>
        <v/>
      </c>
      <c r="F4864">
        <f>MIN(E4864*486400,10000)</f>
        <v/>
      </c>
      <c r="G4864">
        <f>MINIFS(CBIC_Late_Fee_Relief_Windows_3B!$O$4864:$O$100,CBIC_Late_Fee_Relief_Windows_3B!$D$4864:$D$100,"&lt;="&amp;B4864,CBIC_Late_Fee_Relief_Windows_3B!$E$4864:$E$100,"&gt;="&amp;B4864,CBIC_Late_Fee_Relief_Windows_3B!$F$4864:$F$100,"&lt;="&amp;C4864,CBIC_Late_Fee_Relief_Windows_3B!$G$4864:$G$100,"&gt;="&amp;C4864)</f>
        <v/>
      </c>
      <c r="H4864">
        <f>INDEX(CBIC_Late_Fee_Relief_Windows_3B!$I$4864:$I$100,MATCH(G4864,CBIC_Late_Fee_Relief_Windows_3B!$O$4864:$O$100,0))</f>
        <v/>
      </c>
      <c r="I4864">
        <f>MIN(F4864,H4864)</f>
        <v/>
      </c>
    </row>
    <row r="4865">
      <c r="A4865">
        <f>TEST_DATA!A4865</f>
        <v/>
      </c>
      <c r="B4865">
        <f>TEST_DATA!B4865</f>
        <v/>
      </c>
      <c r="C4865">
        <f>TEST_DATA!C4865</f>
        <v/>
      </c>
      <c r="D4865">
        <f>TEST_DATA!D4865</f>
        <v/>
      </c>
      <c r="E4865">
        <f>TEST_DATA!E4865</f>
        <v/>
      </c>
      <c r="F4865">
        <f>MIN(E4865*486500,10000)</f>
        <v/>
      </c>
      <c r="G4865">
        <f>MINIFS(CBIC_Late_Fee_Relief_Windows_3B!$O$4865:$O$100,CBIC_Late_Fee_Relief_Windows_3B!$D$4865:$D$100,"&lt;="&amp;B4865,CBIC_Late_Fee_Relief_Windows_3B!$E$4865:$E$100,"&gt;="&amp;B4865,CBIC_Late_Fee_Relief_Windows_3B!$F$4865:$F$100,"&lt;="&amp;C4865,CBIC_Late_Fee_Relief_Windows_3B!$G$4865:$G$100,"&gt;="&amp;C4865)</f>
        <v/>
      </c>
      <c r="H4865">
        <f>INDEX(CBIC_Late_Fee_Relief_Windows_3B!$I$4865:$I$100,MATCH(G4865,CBIC_Late_Fee_Relief_Windows_3B!$O$4865:$O$100,0))</f>
        <v/>
      </c>
      <c r="I4865">
        <f>MIN(F4865,H4865)</f>
        <v/>
      </c>
    </row>
    <row r="4866">
      <c r="A4866">
        <f>TEST_DATA!A4866</f>
        <v/>
      </c>
      <c r="B4866">
        <f>TEST_DATA!B4866</f>
        <v/>
      </c>
      <c r="C4866">
        <f>TEST_DATA!C4866</f>
        <v/>
      </c>
      <c r="D4866">
        <f>TEST_DATA!D4866</f>
        <v/>
      </c>
      <c r="E4866">
        <f>TEST_DATA!E4866</f>
        <v/>
      </c>
      <c r="F4866">
        <f>MIN(E4866*486600,10000)</f>
        <v/>
      </c>
      <c r="G4866">
        <f>MINIFS(CBIC_Late_Fee_Relief_Windows_3B!$O$4866:$O$100,CBIC_Late_Fee_Relief_Windows_3B!$D$4866:$D$100,"&lt;="&amp;B4866,CBIC_Late_Fee_Relief_Windows_3B!$E$4866:$E$100,"&gt;="&amp;B4866,CBIC_Late_Fee_Relief_Windows_3B!$F$4866:$F$100,"&lt;="&amp;C4866,CBIC_Late_Fee_Relief_Windows_3B!$G$4866:$G$100,"&gt;="&amp;C4866)</f>
        <v/>
      </c>
      <c r="H4866">
        <f>INDEX(CBIC_Late_Fee_Relief_Windows_3B!$I$4866:$I$100,MATCH(G4866,CBIC_Late_Fee_Relief_Windows_3B!$O$4866:$O$100,0))</f>
        <v/>
      </c>
      <c r="I4866">
        <f>MIN(F4866,H4866)</f>
        <v/>
      </c>
    </row>
    <row r="4867">
      <c r="A4867">
        <f>TEST_DATA!A4867</f>
        <v/>
      </c>
      <c r="B4867">
        <f>TEST_DATA!B4867</f>
        <v/>
      </c>
      <c r="C4867">
        <f>TEST_DATA!C4867</f>
        <v/>
      </c>
      <c r="D4867">
        <f>TEST_DATA!D4867</f>
        <v/>
      </c>
      <c r="E4867">
        <f>TEST_DATA!E4867</f>
        <v/>
      </c>
      <c r="F4867">
        <f>MIN(E4867*486700,10000)</f>
        <v/>
      </c>
      <c r="G4867">
        <f>MINIFS(CBIC_Late_Fee_Relief_Windows_3B!$O$4867:$O$100,CBIC_Late_Fee_Relief_Windows_3B!$D$4867:$D$100,"&lt;="&amp;B4867,CBIC_Late_Fee_Relief_Windows_3B!$E$4867:$E$100,"&gt;="&amp;B4867,CBIC_Late_Fee_Relief_Windows_3B!$F$4867:$F$100,"&lt;="&amp;C4867,CBIC_Late_Fee_Relief_Windows_3B!$G$4867:$G$100,"&gt;="&amp;C4867)</f>
        <v/>
      </c>
      <c r="H4867">
        <f>INDEX(CBIC_Late_Fee_Relief_Windows_3B!$I$4867:$I$100,MATCH(G4867,CBIC_Late_Fee_Relief_Windows_3B!$O$4867:$O$100,0))</f>
        <v/>
      </c>
      <c r="I4867">
        <f>MIN(F4867,H4867)</f>
        <v/>
      </c>
    </row>
    <row r="4868">
      <c r="A4868">
        <f>TEST_DATA!A4868</f>
        <v/>
      </c>
      <c r="B4868">
        <f>TEST_DATA!B4868</f>
        <v/>
      </c>
      <c r="C4868">
        <f>TEST_DATA!C4868</f>
        <v/>
      </c>
      <c r="D4868">
        <f>TEST_DATA!D4868</f>
        <v/>
      </c>
      <c r="E4868">
        <f>TEST_DATA!E4868</f>
        <v/>
      </c>
      <c r="F4868">
        <f>MIN(E4868*486800,10000)</f>
        <v/>
      </c>
      <c r="G4868">
        <f>MINIFS(CBIC_Late_Fee_Relief_Windows_3B!$O$4868:$O$100,CBIC_Late_Fee_Relief_Windows_3B!$D$4868:$D$100,"&lt;="&amp;B4868,CBIC_Late_Fee_Relief_Windows_3B!$E$4868:$E$100,"&gt;="&amp;B4868,CBIC_Late_Fee_Relief_Windows_3B!$F$4868:$F$100,"&lt;="&amp;C4868,CBIC_Late_Fee_Relief_Windows_3B!$G$4868:$G$100,"&gt;="&amp;C4868)</f>
        <v/>
      </c>
      <c r="H4868">
        <f>INDEX(CBIC_Late_Fee_Relief_Windows_3B!$I$4868:$I$100,MATCH(G4868,CBIC_Late_Fee_Relief_Windows_3B!$O$4868:$O$100,0))</f>
        <v/>
      </c>
      <c r="I4868">
        <f>MIN(F4868,H4868)</f>
        <v/>
      </c>
    </row>
    <row r="4869">
      <c r="A4869">
        <f>TEST_DATA!A4869</f>
        <v/>
      </c>
      <c r="B4869">
        <f>TEST_DATA!B4869</f>
        <v/>
      </c>
      <c r="C4869">
        <f>TEST_DATA!C4869</f>
        <v/>
      </c>
      <c r="D4869">
        <f>TEST_DATA!D4869</f>
        <v/>
      </c>
      <c r="E4869">
        <f>TEST_DATA!E4869</f>
        <v/>
      </c>
      <c r="F4869">
        <f>MIN(E4869*486900,10000)</f>
        <v/>
      </c>
      <c r="G4869">
        <f>MINIFS(CBIC_Late_Fee_Relief_Windows_3B!$O$4869:$O$100,CBIC_Late_Fee_Relief_Windows_3B!$D$4869:$D$100,"&lt;="&amp;B4869,CBIC_Late_Fee_Relief_Windows_3B!$E$4869:$E$100,"&gt;="&amp;B4869,CBIC_Late_Fee_Relief_Windows_3B!$F$4869:$F$100,"&lt;="&amp;C4869,CBIC_Late_Fee_Relief_Windows_3B!$G$4869:$G$100,"&gt;="&amp;C4869)</f>
        <v/>
      </c>
      <c r="H4869">
        <f>INDEX(CBIC_Late_Fee_Relief_Windows_3B!$I$4869:$I$100,MATCH(G4869,CBIC_Late_Fee_Relief_Windows_3B!$O$4869:$O$100,0))</f>
        <v/>
      </c>
      <c r="I4869">
        <f>MIN(F4869,H4869)</f>
        <v/>
      </c>
    </row>
    <row r="4870">
      <c r="A4870">
        <f>TEST_DATA!A4870</f>
        <v/>
      </c>
      <c r="B4870">
        <f>TEST_DATA!B4870</f>
        <v/>
      </c>
      <c r="C4870">
        <f>TEST_DATA!C4870</f>
        <v/>
      </c>
      <c r="D4870">
        <f>TEST_DATA!D4870</f>
        <v/>
      </c>
      <c r="E4870">
        <f>TEST_DATA!E4870</f>
        <v/>
      </c>
      <c r="F4870">
        <f>MIN(E4870*487000,10000)</f>
        <v/>
      </c>
      <c r="G4870">
        <f>MINIFS(CBIC_Late_Fee_Relief_Windows_3B!$O$4870:$O$100,CBIC_Late_Fee_Relief_Windows_3B!$D$4870:$D$100,"&lt;="&amp;B4870,CBIC_Late_Fee_Relief_Windows_3B!$E$4870:$E$100,"&gt;="&amp;B4870,CBIC_Late_Fee_Relief_Windows_3B!$F$4870:$F$100,"&lt;="&amp;C4870,CBIC_Late_Fee_Relief_Windows_3B!$G$4870:$G$100,"&gt;="&amp;C4870)</f>
        <v/>
      </c>
      <c r="H4870">
        <f>INDEX(CBIC_Late_Fee_Relief_Windows_3B!$I$4870:$I$100,MATCH(G4870,CBIC_Late_Fee_Relief_Windows_3B!$O$4870:$O$100,0))</f>
        <v/>
      </c>
      <c r="I4870">
        <f>MIN(F4870,H4870)</f>
        <v/>
      </c>
    </row>
    <row r="4871">
      <c r="A4871">
        <f>TEST_DATA!A4871</f>
        <v/>
      </c>
      <c r="B4871">
        <f>TEST_DATA!B4871</f>
        <v/>
      </c>
      <c r="C4871">
        <f>TEST_DATA!C4871</f>
        <v/>
      </c>
      <c r="D4871">
        <f>TEST_DATA!D4871</f>
        <v/>
      </c>
      <c r="E4871">
        <f>TEST_DATA!E4871</f>
        <v/>
      </c>
      <c r="F4871">
        <f>MIN(E4871*487100,10000)</f>
        <v/>
      </c>
      <c r="G4871">
        <f>MINIFS(CBIC_Late_Fee_Relief_Windows_3B!$O$4871:$O$100,CBIC_Late_Fee_Relief_Windows_3B!$D$4871:$D$100,"&lt;="&amp;B4871,CBIC_Late_Fee_Relief_Windows_3B!$E$4871:$E$100,"&gt;="&amp;B4871,CBIC_Late_Fee_Relief_Windows_3B!$F$4871:$F$100,"&lt;="&amp;C4871,CBIC_Late_Fee_Relief_Windows_3B!$G$4871:$G$100,"&gt;="&amp;C4871)</f>
        <v/>
      </c>
      <c r="H4871">
        <f>INDEX(CBIC_Late_Fee_Relief_Windows_3B!$I$4871:$I$100,MATCH(G4871,CBIC_Late_Fee_Relief_Windows_3B!$O$4871:$O$100,0))</f>
        <v/>
      </c>
      <c r="I4871">
        <f>MIN(F4871,H4871)</f>
        <v/>
      </c>
    </row>
    <row r="4872">
      <c r="A4872">
        <f>TEST_DATA!A4872</f>
        <v/>
      </c>
      <c r="B4872">
        <f>TEST_DATA!B4872</f>
        <v/>
      </c>
      <c r="C4872">
        <f>TEST_DATA!C4872</f>
        <v/>
      </c>
      <c r="D4872">
        <f>TEST_DATA!D4872</f>
        <v/>
      </c>
      <c r="E4872">
        <f>TEST_DATA!E4872</f>
        <v/>
      </c>
      <c r="F4872">
        <f>MIN(E4872*487200,10000)</f>
        <v/>
      </c>
      <c r="G4872">
        <f>MINIFS(CBIC_Late_Fee_Relief_Windows_3B!$O$4872:$O$100,CBIC_Late_Fee_Relief_Windows_3B!$D$4872:$D$100,"&lt;="&amp;B4872,CBIC_Late_Fee_Relief_Windows_3B!$E$4872:$E$100,"&gt;="&amp;B4872,CBIC_Late_Fee_Relief_Windows_3B!$F$4872:$F$100,"&lt;="&amp;C4872,CBIC_Late_Fee_Relief_Windows_3B!$G$4872:$G$100,"&gt;="&amp;C4872)</f>
        <v/>
      </c>
      <c r="H4872">
        <f>INDEX(CBIC_Late_Fee_Relief_Windows_3B!$I$4872:$I$100,MATCH(G4872,CBIC_Late_Fee_Relief_Windows_3B!$O$4872:$O$100,0))</f>
        <v/>
      </c>
      <c r="I4872">
        <f>MIN(F4872,H4872)</f>
        <v/>
      </c>
    </row>
    <row r="4873">
      <c r="A4873">
        <f>TEST_DATA!A4873</f>
        <v/>
      </c>
      <c r="B4873">
        <f>TEST_DATA!B4873</f>
        <v/>
      </c>
      <c r="C4873">
        <f>TEST_DATA!C4873</f>
        <v/>
      </c>
      <c r="D4873">
        <f>TEST_DATA!D4873</f>
        <v/>
      </c>
      <c r="E4873">
        <f>TEST_DATA!E4873</f>
        <v/>
      </c>
      <c r="F4873">
        <f>MIN(E4873*487300,10000)</f>
        <v/>
      </c>
      <c r="G4873">
        <f>MINIFS(CBIC_Late_Fee_Relief_Windows_3B!$O$4873:$O$100,CBIC_Late_Fee_Relief_Windows_3B!$D$4873:$D$100,"&lt;="&amp;B4873,CBIC_Late_Fee_Relief_Windows_3B!$E$4873:$E$100,"&gt;="&amp;B4873,CBIC_Late_Fee_Relief_Windows_3B!$F$4873:$F$100,"&lt;="&amp;C4873,CBIC_Late_Fee_Relief_Windows_3B!$G$4873:$G$100,"&gt;="&amp;C4873)</f>
        <v/>
      </c>
      <c r="H4873">
        <f>INDEX(CBIC_Late_Fee_Relief_Windows_3B!$I$4873:$I$100,MATCH(G4873,CBIC_Late_Fee_Relief_Windows_3B!$O$4873:$O$100,0))</f>
        <v/>
      </c>
      <c r="I4873">
        <f>MIN(F4873,H4873)</f>
        <v/>
      </c>
    </row>
    <row r="4874">
      <c r="A4874">
        <f>TEST_DATA!A4874</f>
        <v/>
      </c>
      <c r="B4874">
        <f>TEST_DATA!B4874</f>
        <v/>
      </c>
      <c r="C4874">
        <f>TEST_DATA!C4874</f>
        <v/>
      </c>
      <c r="D4874">
        <f>TEST_DATA!D4874</f>
        <v/>
      </c>
      <c r="E4874">
        <f>TEST_DATA!E4874</f>
        <v/>
      </c>
      <c r="F4874">
        <f>MIN(E4874*487400,10000)</f>
        <v/>
      </c>
      <c r="G4874">
        <f>MINIFS(CBIC_Late_Fee_Relief_Windows_3B!$O$4874:$O$100,CBIC_Late_Fee_Relief_Windows_3B!$D$4874:$D$100,"&lt;="&amp;B4874,CBIC_Late_Fee_Relief_Windows_3B!$E$4874:$E$100,"&gt;="&amp;B4874,CBIC_Late_Fee_Relief_Windows_3B!$F$4874:$F$100,"&lt;="&amp;C4874,CBIC_Late_Fee_Relief_Windows_3B!$G$4874:$G$100,"&gt;="&amp;C4874)</f>
        <v/>
      </c>
      <c r="H4874">
        <f>INDEX(CBIC_Late_Fee_Relief_Windows_3B!$I$4874:$I$100,MATCH(G4874,CBIC_Late_Fee_Relief_Windows_3B!$O$4874:$O$100,0))</f>
        <v/>
      </c>
      <c r="I4874">
        <f>MIN(F4874,H4874)</f>
        <v/>
      </c>
    </row>
    <row r="4875">
      <c r="A4875">
        <f>TEST_DATA!A4875</f>
        <v/>
      </c>
      <c r="B4875">
        <f>TEST_DATA!B4875</f>
        <v/>
      </c>
      <c r="C4875">
        <f>TEST_DATA!C4875</f>
        <v/>
      </c>
      <c r="D4875">
        <f>TEST_DATA!D4875</f>
        <v/>
      </c>
      <c r="E4875">
        <f>TEST_DATA!E4875</f>
        <v/>
      </c>
      <c r="F4875">
        <f>MIN(E4875*487500,10000)</f>
        <v/>
      </c>
      <c r="G4875">
        <f>MINIFS(CBIC_Late_Fee_Relief_Windows_3B!$O$4875:$O$100,CBIC_Late_Fee_Relief_Windows_3B!$D$4875:$D$100,"&lt;="&amp;B4875,CBIC_Late_Fee_Relief_Windows_3B!$E$4875:$E$100,"&gt;="&amp;B4875,CBIC_Late_Fee_Relief_Windows_3B!$F$4875:$F$100,"&lt;="&amp;C4875,CBIC_Late_Fee_Relief_Windows_3B!$G$4875:$G$100,"&gt;="&amp;C4875)</f>
        <v/>
      </c>
      <c r="H4875">
        <f>INDEX(CBIC_Late_Fee_Relief_Windows_3B!$I$4875:$I$100,MATCH(G4875,CBIC_Late_Fee_Relief_Windows_3B!$O$4875:$O$100,0))</f>
        <v/>
      </c>
      <c r="I4875">
        <f>MIN(F4875,H4875)</f>
        <v/>
      </c>
    </row>
    <row r="4876">
      <c r="A4876">
        <f>TEST_DATA!A4876</f>
        <v/>
      </c>
      <c r="B4876">
        <f>TEST_DATA!B4876</f>
        <v/>
      </c>
      <c r="C4876">
        <f>TEST_DATA!C4876</f>
        <v/>
      </c>
      <c r="D4876">
        <f>TEST_DATA!D4876</f>
        <v/>
      </c>
      <c r="E4876">
        <f>TEST_DATA!E4876</f>
        <v/>
      </c>
      <c r="F4876">
        <f>MIN(E4876*487600,10000)</f>
        <v/>
      </c>
      <c r="G4876">
        <f>MINIFS(CBIC_Late_Fee_Relief_Windows_3B!$O$4876:$O$100,CBIC_Late_Fee_Relief_Windows_3B!$D$4876:$D$100,"&lt;="&amp;B4876,CBIC_Late_Fee_Relief_Windows_3B!$E$4876:$E$100,"&gt;="&amp;B4876,CBIC_Late_Fee_Relief_Windows_3B!$F$4876:$F$100,"&lt;="&amp;C4876,CBIC_Late_Fee_Relief_Windows_3B!$G$4876:$G$100,"&gt;="&amp;C4876)</f>
        <v/>
      </c>
      <c r="H4876">
        <f>INDEX(CBIC_Late_Fee_Relief_Windows_3B!$I$4876:$I$100,MATCH(G4876,CBIC_Late_Fee_Relief_Windows_3B!$O$4876:$O$100,0))</f>
        <v/>
      </c>
      <c r="I4876">
        <f>MIN(F4876,H4876)</f>
        <v/>
      </c>
    </row>
    <row r="4877">
      <c r="A4877">
        <f>TEST_DATA!A4877</f>
        <v/>
      </c>
      <c r="B4877">
        <f>TEST_DATA!B4877</f>
        <v/>
      </c>
      <c r="C4877">
        <f>TEST_DATA!C4877</f>
        <v/>
      </c>
      <c r="D4877">
        <f>TEST_DATA!D4877</f>
        <v/>
      </c>
      <c r="E4877">
        <f>TEST_DATA!E4877</f>
        <v/>
      </c>
      <c r="F4877">
        <f>MIN(E4877*487700,10000)</f>
        <v/>
      </c>
      <c r="G4877">
        <f>MINIFS(CBIC_Late_Fee_Relief_Windows_3B!$O$4877:$O$100,CBIC_Late_Fee_Relief_Windows_3B!$D$4877:$D$100,"&lt;="&amp;B4877,CBIC_Late_Fee_Relief_Windows_3B!$E$4877:$E$100,"&gt;="&amp;B4877,CBIC_Late_Fee_Relief_Windows_3B!$F$4877:$F$100,"&lt;="&amp;C4877,CBIC_Late_Fee_Relief_Windows_3B!$G$4877:$G$100,"&gt;="&amp;C4877)</f>
        <v/>
      </c>
      <c r="H4877">
        <f>INDEX(CBIC_Late_Fee_Relief_Windows_3B!$I$4877:$I$100,MATCH(G4877,CBIC_Late_Fee_Relief_Windows_3B!$O$4877:$O$100,0))</f>
        <v/>
      </c>
      <c r="I4877">
        <f>MIN(F4877,H4877)</f>
        <v/>
      </c>
    </row>
    <row r="4878">
      <c r="A4878">
        <f>TEST_DATA!A4878</f>
        <v/>
      </c>
      <c r="B4878">
        <f>TEST_DATA!B4878</f>
        <v/>
      </c>
      <c r="C4878">
        <f>TEST_DATA!C4878</f>
        <v/>
      </c>
      <c r="D4878">
        <f>TEST_DATA!D4878</f>
        <v/>
      </c>
      <c r="E4878">
        <f>TEST_DATA!E4878</f>
        <v/>
      </c>
      <c r="F4878">
        <f>MIN(E4878*487800,10000)</f>
        <v/>
      </c>
      <c r="G4878">
        <f>MINIFS(CBIC_Late_Fee_Relief_Windows_3B!$O$4878:$O$100,CBIC_Late_Fee_Relief_Windows_3B!$D$4878:$D$100,"&lt;="&amp;B4878,CBIC_Late_Fee_Relief_Windows_3B!$E$4878:$E$100,"&gt;="&amp;B4878,CBIC_Late_Fee_Relief_Windows_3B!$F$4878:$F$100,"&lt;="&amp;C4878,CBIC_Late_Fee_Relief_Windows_3B!$G$4878:$G$100,"&gt;="&amp;C4878)</f>
        <v/>
      </c>
      <c r="H4878">
        <f>INDEX(CBIC_Late_Fee_Relief_Windows_3B!$I$4878:$I$100,MATCH(G4878,CBIC_Late_Fee_Relief_Windows_3B!$O$4878:$O$100,0))</f>
        <v/>
      </c>
      <c r="I4878">
        <f>MIN(F4878,H4878)</f>
        <v/>
      </c>
    </row>
    <row r="4879">
      <c r="A4879">
        <f>TEST_DATA!A4879</f>
        <v/>
      </c>
      <c r="B4879">
        <f>TEST_DATA!B4879</f>
        <v/>
      </c>
      <c r="C4879">
        <f>TEST_DATA!C4879</f>
        <v/>
      </c>
      <c r="D4879">
        <f>TEST_DATA!D4879</f>
        <v/>
      </c>
      <c r="E4879">
        <f>TEST_DATA!E4879</f>
        <v/>
      </c>
      <c r="F4879">
        <f>MIN(E4879*487900,10000)</f>
        <v/>
      </c>
      <c r="G4879">
        <f>MINIFS(CBIC_Late_Fee_Relief_Windows_3B!$O$4879:$O$100,CBIC_Late_Fee_Relief_Windows_3B!$D$4879:$D$100,"&lt;="&amp;B4879,CBIC_Late_Fee_Relief_Windows_3B!$E$4879:$E$100,"&gt;="&amp;B4879,CBIC_Late_Fee_Relief_Windows_3B!$F$4879:$F$100,"&lt;="&amp;C4879,CBIC_Late_Fee_Relief_Windows_3B!$G$4879:$G$100,"&gt;="&amp;C4879)</f>
        <v/>
      </c>
      <c r="H4879">
        <f>INDEX(CBIC_Late_Fee_Relief_Windows_3B!$I$4879:$I$100,MATCH(G4879,CBIC_Late_Fee_Relief_Windows_3B!$O$4879:$O$100,0))</f>
        <v/>
      </c>
      <c r="I4879">
        <f>MIN(F4879,H4879)</f>
        <v/>
      </c>
    </row>
    <row r="4880">
      <c r="A4880">
        <f>TEST_DATA!A4880</f>
        <v/>
      </c>
      <c r="B4880">
        <f>TEST_DATA!B4880</f>
        <v/>
      </c>
      <c r="C4880">
        <f>TEST_DATA!C4880</f>
        <v/>
      </c>
      <c r="D4880">
        <f>TEST_DATA!D4880</f>
        <v/>
      </c>
      <c r="E4880">
        <f>TEST_DATA!E4880</f>
        <v/>
      </c>
      <c r="F4880">
        <f>MIN(E4880*488000,10000)</f>
        <v/>
      </c>
      <c r="G4880">
        <f>MINIFS(CBIC_Late_Fee_Relief_Windows_3B!$O$4880:$O$100,CBIC_Late_Fee_Relief_Windows_3B!$D$4880:$D$100,"&lt;="&amp;B4880,CBIC_Late_Fee_Relief_Windows_3B!$E$4880:$E$100,"&gt;="&amp;B4880,CBIC_Late_Fee_Relief_Windows_3B!$F$4880:$F$100,"&lt;="&amp;C4880,CBIC_Late_Fee_Relief_Windows_3B!$G$4880:$G$100,"&gt;="&amp;C4880)</f>
        <v/>
      </c>
      <c r="H4880">
        <f>INDEX(CBIC_Late_Fee_Relief_Windows_3B!$I$4880:$I$100,MATCH(G4880,CBIC_Late_Fee_Relief_Windows_3B!$O$4880:$O$100,0))</f>
        <v/>
      </c>
      <c r="I4880">
        <f>MIN(F4880,H4880)</f>
        <v/>
      </c>
    </row>
    <row r="4881">
      <c r="A4881">
        <f>TEST_DATA!A4881</f>
        <v/>
      </c>
      <c r="B4881">
        <f>TEST_DATA!B4881</f>
        <v/>
      </c>
      <c r="C4881">
        <f>TEST_DATA!C4881</f>
        <v/>
      </c>
      <c r="D4881">
        <f>TEST_DATA!D4881</f>
        <v/>
      </c>
      <c r="E4881">
        <f>TEST_DATA!E4881</f>
        <v/>
      </c>
      <c r="F4881">
        <f>MIN(E4881*488100,10000)</f>
        <v/>
      </c>
      <c r="G4881">
        <f>MINIFS(CBIC_Late_Fee_Relief_Windows_3B!$O$4881:$O$100,CBIC_Late_Fee_Relief_Windows_3B!$D$4881:$D$100,"&lt;="&amp;B4881,CBIC_Late_Fee_Relief_Windows_3B!$E$4881:$E$100,"&gt;="&amp;B4881,CBIC_Late_Fee_Relief_Windows_3B!$F$4881:$F$100,"&lt;="&amp;C4881,CBIC_Late_Fee_Relief_Windows_3B!$G$4881:$G$100,"&gt;="&amp;C4881)</f>
        <v/>
      </c>
      <c r="H4881">
        <f>INDEX(CBIC_Late_Fee_Relief_Windows_3B!$I$4881:$I$100,MATCH(G4881,CBIC_Late_Fee_Relief_Windows_3B!$O$4881:$O$100,0))</f>
        <v/>
      </c>
      <c r="I4881">
        <f>MIN(F4881,H4881)</f>
        <v/>
      </c>
    </row>
    <row r="4882">
      <c r="A4882">
        <f>TEST_DATA!A4882</f>
        <v/>
      </c>
      <c r="B4882">
        <f>TEST_DATA!B4882</f>
        <v/>
      </c>
      <c r="C4882">
        <f>TEST_DATA!C4882</f>
        <v/>
      </c>
      <c r="D4882">
        <f>TEST_DATA!D4882</f>
        <v/>
      </c>
      <c r="E4882">
        <f>TEST_DATA!E4882</f>
        <v/>
      </c>
      <c r="F4882">
        <f>MIN(E4882*488200,10000)</f>
        <v/>
      </c>
      <c r="G4882">
        <f>MINIFS(CBIC_Late_Fee_Relief_Windows_3B!$O$4882:$O$100,CBIC_Late_Fee_Relief_Windows_3B!$D$4882:$D$100,"&lt;="&amp;B4882,CBIC_Late_Fee_Relief_Windows_3B!$E$4882:$E$100,"&gt;="&amp;B4882,CBIC_Late_Fee_Relief_Windows_3B!$F$4882:$F$100,"&lt;="&amp;C4882,CBIC_Late_Fee_Relief_Windows_3B!$G$4882:$G$100,"&gt;="&amp;C4882)</f>
        <v/>
      </c>
      <c r="H4882">
        <f>INDEX(CBIC_Late_Fee_Relief_Windows_3B!$I$4882:$I$100,MATCH(G4882,CBIC_Late_Fee_Relief_Windows_3B!$O$4882:$O$100,0))</f>
        <v/>
      </c>
      <c r="I4882">
        <f>MIN(F4882,H4882)</f>
        <v/>
      </c>
    </row>
    <row r="4883">
      <c r="A4883">
        <f>TEST_DATA!A4883</f>
        <v/>
      </c>
      <c r="B4883">
        <f>TEST_DATA!B4883</f>
        <v/>
      </c>
      <c r="C4883">
        <f>TEST_DATA!C4883</f>
        <v/>
      </c>
      <c r="D4883">
        <f>TEST_DATA!D4883</f>
        <v/>
      </c>
      <c r="E4883">
        <f>TEST_DATA!E4883</f>
        <v/>
      </c>
      <c r="F4883">
        <f>MIN(E4883*488300,10000)</f>
        <v/>
      </c>
      <c r="G4883">
        <f>MINIFS(CBIC_Late_Fee_Relief_Windows_3B!$O$4883:$O$100,CBIC_Late_Fee_Relief_Windows_3B!$D$4883:$D$100,"&lt;="&amp;B4883,CBIC_Late_Fee_Relief_Windows_3B!$E$4883:$E$100,"&gt;="&amp;B4883,CBIC_Late_Fee_Relief_Windows_3B!$F$4883:$F$100,"&lt;="&amp;C4883,CBIC_Late_Fee_Relief_Windows_3B!$G$4883:$G$100,"&gt;="&amp;C4883)</f>
        <v/>
      </c>
      <c r="H4883">
        <f>INDEX(CBIC_Late_Fee_Relief_Windows_3B!$I$4883:$I$100,MATCH(G4883,CBIC_Late_Fee_Relief_Windows_3B!$O$4883:$O$100,0))</f>
        <v/>
      </c>
      <c r="I4883">
        <f>MIN(F4883,H4883)</f>
        <v/>
      </c>
    </row>
    <row r="4884">
      <c r="A4884">
        <f>TEST_DATA!A4884</f>
        <v/>
      </c>
      <c r="B4884">
        <f>TEST_DATA!B4884</f>
        <v/>
      </c>
      <c r="C4884">
        <f>TEST_DATA!C4884</f>
        <v/>
      </c>
      <c r="D4884">
        <f>TEST_DATA!D4884</f>
        <v/>
      </c>
      <c r="E4884">
        <f>TEST_DATA!E4884</f>
        <v/>
      </c>
      <c r="F4884">
        <f>MIN(E4884*488400,10000)</f>
        <v/>
      </c>
      <c r="G4884">
        <f>MINIFS(CBIC_Late_Fee_Relief_Windows_3B!$O$4884:$O$100,CBIC_Late_Fee_Relief_Windows_3B!$D$4884:$D$100,"&lt;="&amp;B4884,CBIC_Late_Fee_Relief_Windows_3B!$E$4884:$E$100,"&gt;="&amp;B4884,CBIC_Late_Fee_Relief_Windows_3B!$F$4884:$F$100,"&lt;="&amp;C4884,CBIC_Late_Fee_Relief_Windows_3B!$G$4884:$G$100,"&gt;="&amp;C4884)</f>
        <v/>
      </c>
      <c r="H4884">
        <f>INDEX(CBIC_Late_Fee_Relief_Windows_3B!$I$4884:$I$100,MATCH(G4884,CBIC_Late_Fee_Relief_Windows_3B!$O$4884:$O$100,0))</f>
        <v/>
      </c>
      <c r="I4884">
        <f>MIN(F4884,H4884)</f>
        <v/>
      </c>
    </row>
    <row r="4885">
      <c r="A4885">
        <f>TEST_DATA!A4885</f>
        <v/>
      </c>
      <c r="B4885">
        <f>TEST_DATA!B4885</f>
        <v/>
      </c>
      <c r="C4885">
        <f>TEST_DATA!C4885</f>
        <v/>
      </c>
      <c r="D4885">
        <f>TEST_DATA!D4885</f>
        <v/>
      </c>
      <c r="E4885">
        <f>TEST_DATA!E4885</f>
        <v/>
      </c>
      <c r="F4885">
        <f>MIN(E4885*488500,10000)</f>
        <v/>
      </c>
      <c r="G4885">
        <f>MINIFS(CBIC_Late_Fee_Relief_Windows_3B!$O$4885:$O$100,CBIC_Late_Fee_Relief_Windows_3B!$D$4885:$D$100,"&lt;="&amp;B4885,CBIC_Late_Fee_Relief_Windows_3B!$E$4885:$E$100,"&gt;="&amp;B4885,CBIC_Late_Fee_Relief_Windows_3B!$F$4885:$F$100,"&lt;="&amp;C4885,CBIC_Late_Fee_Relief_Windows_3B!$G$4885:$G$100,"&gt;="&amp;C4885)</f>
        <v/>
      </c>
      <c r="H4885">
        <f>INDEX(CBIC_Late_Fee_Relief_Windows_3B!$I$4885:$I$100,MATCH(G4885,CBIC_Late_Fee_Relief_Windows_3B!$O$4885:$O$100,0))</f>
        <v/>
      </c>
      <c r="I4885">
        <f>MIN(F4885,H4885)</f>
        <v/>
      </c>
    </row>
    <row r="4886">
      <c r="A4886">
        <f>TEST_DATA!A4886</f>
        <v/>
      </c>
      <c r="B4886">
        <f>TEST_DATA!B4886</f>
        <v/>
      </c>
      <c r="C4886">
        <f>TEST_DATA!C4886</f>
        <v/>
      </c>
      <c r="D4886">
        <f>TEST_DATA!D4886</f>
        <v/>
      </c>
      <c r="E4886">
        <f>TEST_DATA!E4886</f>
        <v/>
      </c>
      <c r="F4886">
        <f>MIN(E4886*488600,10000)</f>
        <v/>
      </c>
      <c r="G4886">
        <f>MINIFS(CBIC_Late_Fee_Relief_Windows_3B!$O$4886:$O$100,CBIC_Late_Fee_Relief_Windows_3B!$D$4886:$D$100,"&lt;="&amp;B4886,CBIC_Late_Fee_Relief_Windows_3B!$E$4886:$E$100,"&gt;="&amp;B4886,CBIC_Late_Fee_Relief_Windows_3B!$F$4886:$F$100,"&lt;="&amp;C4886,CBIC_Late_Fee_Relief_Windows_3B!$G$4886:$G$100,"&gt;="&amp;C4886)</f>
        <v/>
      </c>
      <c r="H4886">
        <f>INDEX(CBIC_Late_Fee_Relief_Windows_3B!$I$4886:$I$100,MATCH(G4886,CBIC_Late_Fee_Relief_Windows_3B!$O$4886:$O$100,0))</f>
        <v/>
      </c>
      <c r="I4886">
        <f>MIN(F4886,H4886)</f>
        <v/>
      </c>
    </row>
    <row r="4887">
      <c r="A4887">
        <f>TEST_DATA!A4887</f>
        <v/>
      </c>
      <c r="B4887">
        <f>TEST_DATA!B4887</f>
        <v/>
      </c>
      <c r="C4887">
        <f>TEST_DATA!C4887</f>
        <v/>
      </c>
      <c r="D4887">
        <f>TEST_DATA!D4887</f>
        <v/>
      </c>
      <c r="E4887">
        <f>TEST_DATA!E4887</f>
        <v/>
      </c>
      <c r="F4887">
        <f>MIN(E4887*488700,10000)</f>
        <v/>
      </c>
      <c r="G4887">
        <f>MINIFS(CBIC_Late_Fee_Relief_Windows_3B!$O$4887:$O$100,CBIC_Late_Fee_Relief_Windows_3B!$D$4887:$D$100,"&lt;="&amp;B4887,CBIC_Late_Fee_Relief_Windows_3B!$E$4887:$E$100,"&gt;="&amp;B4887,CBIC_Late_Fee_Relief_Windows_3B!$F$4887:$F$100,"&lt;="&amp;C4887,CBIC_Late_Fee_Relief_Windows_3B!$G$4887:$G$100,"&gt;="&amp;C4887)</f>
        <v/>
      </c>
      <c r="H4887">
        <f>INDEX(CBIC_Late_Fee_Relief_Windows_3B!$I$4887:$I$100,MATCH(G4887,CBIC_Late_Fee_Relief_Windows_3B!$O$4887:$O$100,0))</f>
        <v/>
      </c>
      <c r="I4887">
        <f>MIN(F4887,H4887)</f>
        <v/>
      </c>
    </row>
    <row r="4888">
      <c r="A4888">
        <f>TEST_DATA!A4888</f>
        <v/>
      </c>
      <c r="B4888">
        <f>TEST_DATA!B4888</f>
        <v/>
      </c>
      <c r="C4888">
        <f>TEST_DATA!C4888</f>
        <v/>
      </c>
      <c r="D4888">
        <f>TEST_DATA!D4888</f>
        <v/>
      </c>
      <c r="E4888">
        <f>TEST_DATA!E4888</f>
        <v/>
      </c>
      <c r="F4888">
        <f>MIN(E4888*488800,10000)</f>
        <v/>
      </c>
      <c r="G4888">
        <f>MINIFS(CBIC_Late_Fee_Relief_Windows_3B!$O$4888:$O$100,CBIC_Late_Fee_Relief_Windows_3B!$D$4888:$D$100,"&lt;="&amp;B4888,CBIC_Late_Fee_Relief_Windows_3B!$E$4888:$E$100,"&gt;="&amp;B4888,CBIC_Late_Fee_Relief_Windows_3B!$F$4888:$F$100,"&lt;="&amp;C4888,CBIC_Late_Fee_Relief_Windows_3B!$G$4888:$G$100,"&gt;="&amp;C4888)</f>
        <v/>
      </c>
      <c r="H4888">
        <f>INDEX(CBIC_Late_Fee_Relief_Windows_3B!$I$4888:$I$100,MATCH(G4888,CBIC_Late_Fee_Relief_Windows_3B!$O$4888:$O$100,0))</f>
        <v/>
      </c>
      <c r="I4888">
        <f>MIN(F4888,H4888)</f>
        <v/>
      </c>
    </row>
    <row r="4889">
      <c r="A4889">
        <f>TEST_DATA!A4889</f>
        <v/>
      </c>
      <c r="B4889">
        <f>TEST_DATA!B4889</f>
        <v/>
      </c>
      <c r="C4889">
        <f>TEST_DATA!C4889</f>
        <v/>
      </c>
      <c r="D4889">
        <f>TEST_DATA!D4889</f>
        <v/>
      </c>
      <c r="E4889">
        <f>TEST_DATA!E4889</f>
        <v/>
      </c>
      <c r="F4889">
        <f>MIN(E4889*488900,10000)</f>
        <v/>
      </c>
      <c r="G4889">
        <f>MINIFS(CBIC_Late_Fee_Relief_Windows_3B!$O$4889:$O$100,CBIC_Late_Fee_Relief_Windows_3B!$D$4889:$D$100,"&lt;="&amp;B4889,CBIC_Late_Fee_Relief_Windows_3B!$E$4889:$E$100,"&gt;="&amp;B4889,CBIC_Late_Fee_Relief_Windows_3B!$F$4889:$F$100,"&lt;="&amp;C4889,CBIC_Late_Fee_Relief_Windows_3B!$G$4889:$G$100,"&gt;="&amp;C4889)</f>
        <v/>
      </c>
      <c r="H4889">
        <f>INDEX(CBIC_Late_Fee_Relief_Windows_3B!$I$4889:$I$100,MATCH(G4889,CBIC_Late_Fee_Relief_Windows_3B!$O$4889:$O$100,0))</f>
        <v/>
      </c>
      <c r="I4889">
        <f>MIN(F4889,H4889)</f>
        <v/>
      </c>
    </row>
    <row r="4890">
      <c r="A4890">
        <f>TEST_DATA!A4890</f>
        <v/>
      </c>
      <c r="B4890">
        <f>TEST_DATA!B4890</f>
        <v/>
      </c>
      <c r="C4890">
        <f>TEST_DATA!C4890</f>
        <v/>
      </c>
      <c r="D4890">
        <f>TEST_DATA!D4890</f>
        <v/>
      </c>
      <c r="E4890">
        <f>TEST_DATA!E4890</f>
        <v/>
      </c>
      <c r="F4890">
        <f>MIN(E4890*489000,10000)</f>
        <v/>
      </c>
      <c r="G4890">
        <f>MINIFS(CBIC_Late_Fee_Relief_Windows_3B!$O$4890:$O$100,CBIC_Late_Fee_Relief_Windows_3B!$D$4890:$D$100,"&lt;="&amp;B4890,CBIC_Late_Fee_Relief_Windows_3B!$E$4890:$E$100,"&gt;="&amp;B4890,CBIC_Late_Fee_Relief_Windows_3B!$F$4890:$F$100,"&lt;="&amp;C4890,CBIC_Late_Fee_Relief_Windows_3B!$G$4890:$G$100,"&gt;="&amp;C4890)</f>
        <v/>
      </c>
      <c r="H4890">
        <f>INDEX(CBIC_Late_Fee_Relief_Windows_3B!$I$4890:$I$100,MATCH(G4890,CBIC_Late_Fee_Relief_Windows_3B!$O$4890:$O$100,0))</f>
        <v/>
      </c>
      <c r="I4890">
        <f>MIN(F4890,H4890)</f>
        <v/>
      </c>
    </row>
    <row r="4891">
      <c r="A4891">
        <f>TEST_DATA!A4891</f>
        <v/>
      </c>
      <c r="B4891">
        <f>TEST_DATA!B4891</f>
        <v/>
      </c>
      <c r="C4891">
        <f>TEST_DATA!C4891</f>
        <v/>
      </c>
      <c r="D4891">
        <f>TEST_DATA!D4891</f>
        <v/>
      </c>
      <c r="E4891">
        <f>TEST_DATA!E4891</f>
        <v/>
      </c>
      <c r="F4891">
        <f>MIN(E4891*489100,10000)</f>
        <v/>
      </c>
      <c r="G4891">
        <f>MINIFS(CBIC_Late_Fee_Relief_Windows_3B!$O$4891:$O$100,CBIC_Late_Fee_Relief_Windows_3B!$D$4891:$D$100,"&lt;="&amp;B4891,CBIC_Late_Fee_Relief_Windows_3B!$E$4891:$E$100,"&gt;="&amp;B4891,CBIC_Late_Fee_Relief_Windows_3B!$F$4891:$F$100,"&lt;="&amp;C4891,CBIC_Late_Fee_Relief_Windows_3B!$G$4891:$G$100,"&gt;="&amp;C4891)</f>
        <v/>
      </c>
      <c r="H4891">
        <f>INDEX(CBIC_Late_Fee_Relief_Windows_3B!$I$4891:$I$100,MATCH(G4891,CBIC_Late_Fee_Relief_Windows_3B!$O$4891:$O$100,0))</f>
        <v/>
      </c>
      <c r="I4891">
        <f>MIN(F4891,H4891)</f>
        <v/>
      </c>
    </row>
    <row r="4892">
      <c r="A4892">
        <f>TEST_DATA!A4892</f>
        <v/>
      </c>
      <c r="B4892">
        <f>TEST_DATA!B4892</f>
        <v/>
      </c>
      <c r="C4892">
        <f>TEST_DATA!C4892</f>
        <v/>
      </c>
      <c r="D4892">
        <f>TEST_DATA!D4892</f>
        <v/>
      </c>
      <c r="E4892">
        <f>TEST_DATA!E4892</f>
        <v/>
      </c>
      <c r="F4892">
        <f>MIN(E4892*489200,10000)</f>
        <v/>
      </c>
      <c r="G4892">
        <f>MINIFS(CBIC_Late_Fee_Relief_Windows_3B!$O$4892:$O$100,CBIC_Late_Fee_Relief_Windows_3B!$D$4892:$D$100,"&lt;="&amp;B4892,CBIC_Late_Fee_Relief_Windows_3B!$E$4892:$E$100,"&gt;="&amp;B4892,CBIC_Late_Fee_Relief_Windows_3B!$F$4892:$F$100,"&lt;="&amp;C4892,CBIC_Late_Fee_Relief_Windows_3B!$G$4892:$G$100,"&gt;="&amp;C4892)</f>
        <v/>
      </c>
      <c r="H4892">
        <f>INDEX(CBIC_Late_Fee_Relief_Windows_3B!$I$4892:$I$100,MATCH(G4892,CBIC_Late_Fee_Relief_Windows_3B!$O$4892:$O$100,0))</f>
        <v/>
      </c>
      <c r="I4892">
        <f>MIN(F4892,H4892)</f>
        <v/>
      </c>
    </row>
    <row r="4893">
      <c r="A4893">
        <f>TEST_DATA!A4893</f>
        <v/>
      </c>
      <c r="B4893">
        <f>TEST_DATA!B4893</f>
        <v/>
      </c>
      <c r="C4893">
        <f>TEST_DATA!C4893</f>
        <v/>
      </c>
      <c r="D4893">
        <f>TEST_DATA!D4893</f>
        <v/>
      </c>
      <c r="E4893">
        <f>TEST_DATA!E4893</f>
        <v/>
      </c>
      <c r="F4893">
        <f>MIN(E4893*489300,10000)</f>
        <v/>
      </c>
      <c r="G4893">
        <f>MINIFS(CBIC_Late_Fee_Relief_Windows_3B!$O$4893:$O$100,CBIC_Late_Fee_Relief_Windows_3B!$D$4893:$D$100,"&lt;="&amp;B4893,CBIC_Late_Fee_Relief_Windows_3B!$E$4893:$E$100,"&gt;="&amp;B4893,CBIC_Late_Fee_Relief_Windows_3B!$F$4893:$F$100,"&lt;="&amp;C4893,CBIC_Late_Fee_Relief_Windows_3B!$G$4893:$G$100,"&gt;="&amp;C4893)</f>
        <v/>
      </c>
      <c r="H4893">
        <f>INDEX(CBIC_Late_Fee_Relief_Windows_3B!$I$4893:$I$100,MATCH(G4893,CBIC_Late_Fee_Relief_Windows_3B!$O$4893:$O$100,0))</f>
        <v/>
      </c>
      <c r="I4893">
        <f>MIN(F4893,H4893)</f>
        <v/>
      </c>
    </row>
    <row r="4894">
      <c r="A4894">
        <f>TEST_DATA!A4894</f>
        <v/>
      </c>
      <c r="B4894">
        <f>TEST_DATA!B4894</f>
        <v/>
      </c>
      <c r="C4894">
        <f>TEST_DATA!C4894</f>
        <v/>
      </c>
      <c r="D4894">
        <f>TEST_DATA!D4894</f>
        <v/>
      </c>
      <c r="E4894">
        <f>TEST_DATA!E4894</f>
        <v/>
      </c>
      <c r="F4894">
        <f>MIN(E4894*489400,10000)</f>
        <v/>
      </c>
      <c r="G4894">
        <f>MINIFS(CBIC_Late_Fee_Relief_Windows_3B!$O$4894:$O$100,CBIC_Late_Fee_Relief_Windows_3B!$D$4894:$D$100,"&lt;="&amp;B4894,CBIC_Late_Fee_Relief_Windows_3B!$E$4894:$E$100,"&gt;="&amp;B4894,CBIC_Late_Fee_Relief_Windows_3B!$F$4894:$F$100,"&lt;="&amp;C4894,CBIC_Late_Fee_Relief_Windows_3B!$G$4894:$G$100,"&gt;="&amp;C4894)</f>
        <v/>
      </c>
      <c r="H4894">
        <f>INDEX(CBIC_Late_Fee_Relief_Windows_3B!$I$4894:$I$100,MATCH(G4894,CBIC_Late_Fee_Relief_Windows_3B!$O$4894:$O$100,0))</f>
        <v/>
      </c>
      <c r="I4894">
        <f>MIN(F4894,H4894)</f>
        <v/>
      </c>
    </row>
    <row r="4895">
      <c r="A4895">
        <f>TEST_DATA!A4895</f>
        <v/>
      </c>
      <c r="B4895">
        <f>TEST_DATA!B4895</f>
        <v/>
      </c>
      <c r="C4895">
        <f>TEST_DATA!C4895</f>
        <v/>
      </c>
      <c r="D4895">
        <f>TEST_DATA!D4895</f>
        <v/>
      </c>
      <c r="E4895">
        <f>TEST_DATA!E4895</f>
        <v/>
      </c>
      <c r="F4895">
        <f>MIN(E4895*489500,10000)</f>
        <v/>
      </c>
      <c r="G4895">
        <f>MINIFS(CBIC_Late_Fee_Relief_Windows_3B!$O$4895:$O$100,CBIC_Late_Fee_Relief_Windows_3B!$D$4895:$D$100,"&lt;="&amp;B4895,CBIC_Late_Fee_Relief_Windows_3B!$E$4895:$E$100,"&gt;="&amp;B4895,CBIC_Late_Fee_Relief_Windows_3B!$F$4895:$F$100,"&lt;="&amp;C4895,CBIC_Late_Fee_Relief_Windows_3B!$G$4895:$G$100,"&gt;="&amp;C4895)</f>
        <v/>
      </c>
      <c r="H4895">
        <f>INDEX(CBIC_Late_Fee_Relief_Windows_3B!$I$4895:$I$100,MATCH(G4895,CBIC_Late_Fee_Relief_Windows_3B!$O$4895:$O$100,0))</f>
        <v/>
      </c>
      <c r="I4895">
        <f>MIN(F4895,H4895)</f>
        <v/>
      </c>
    </row>
    <row r="4896">
      <c r="A4896">
        <f>TEST_DATA!A4896</f>
        <v/>
      </c>
      <c r="B4896">
        <f>TEST_DATA!B4896</f>
        <v/>
      </c>
      <c r="C4896">
        <f>TEST_DATA!C4896</f>
        <v/>
      </c>
      <c r="D4896">
        <f>TEST_DATA!D4896</f>
        <v/>
      </c>
      <c r="E4896">
        <f>TEST_DATA!E4896</f>
        <v/>
      </c>
      <c r="F4896">
        <f>MIN(E4896*489600,10000)</f>
        <v/>
      </c>
      <c r="G4896">
        <f>MINIFS(CBIC_Late_Fee_Relief_Windows_3B!$O$4896:$O$100,CBIC_Late_Fee_Relief_Windows_3B!$D$4896:$D$100,"&lt;="&amp;B4896,CBIC_Late_Fee_Relief_Windows_3B!$E$4896:$E$100,"&gt;="&amp;B4896,CBIC_Late_Fee_Relief_Windows_3B!$F$4896:$F$100,"&lt;="&amp;C4896,CBIC_Late_Fee_Relief_Windows_3B!$G$4896:$G$100,"&gt;="&amp;C4896)</f>
        <v/>
      </c>
      <c r="H4896">
        <f>INDEX(CBIC_Late_Fee_Relief_Windows_3B!$I$4896:$I$100,MATCH(G4896,CBIC_Late_Fee_Relief_Windows_3B!$O$4896:$O$100,0))</f>
        <v/>
      </c>
      <c r="I4896">
        <f>MIN(F4896,H4896)</f>
        <v/>
      </c>
    </row>
    <row r="4897">
      <c r="A4897">
        <f>TEST_DATA!A4897</f>
        <v/>
      </c>
      <c r="B4897">
        <f>TEST_DATA!B4897</f>
        <v/>
      </c>
      <c r="C4897">
        <f>TEST_DATA!C4897</f>
        <v/>
      </c>
      <c r="D4897">
        <f>TEST_DATA!D4897</f>
        <v/>
      </c>
      <c r="E4897">
        <f>TEST_DATA!E4897</f>
        <v/>
      </c>
      <c r="F4897">
        <f>MIN(E4897*489700,10000)</f>
        <v/>
      </c>
      <c r="G4897">
        <f>MINIFS(CBIC_Late_Fee_Relief_Windows_3B!$O$4897:$O$100,CBIC_Late_Fee_Relief_Windows_3B!$D$4897:$D$100,"&lt;="&amp;B4897,CBIC_Late_Fee_Relief_Windows_3B!$E$4897:$E$100,"&gt;="&amp;B4897,CBIC_Late_Fee_Relief_Windows_3B!$F$4897:$F$100,"&lt;="&amp;C4897,CBIC_Late_Fee_Relief_Windows_3B!$G$4897:$G$100,"&gt;="&amp;C4897)</f>
        <v/>
      </c>
      <c r="H4897">
        <f>INDEX(CBIC_Late_Fee_Relief_Windows_3B!$I$4897:$I$100,MATCH(G4897,CBIC_Late_Fee_Relief_Windows_3B!$O$4897:$O$100,0))</f>
        <v/>
      </c>
      <c r="I4897">
        <f>MIN(F4897,H4897)</f>
        <v/>
      </c>
    </row>
    <row r="4898">
      <c r="A4898">
        <f>TEST_DATA!A4898</f>
        <v/>
      </c>
      <c r="B4898">
        <f>TEST_DATA!B4898</f>
        <v/>
      </c>
      <c r="C4898">
        <f>TEST_DATA!C4898</f>
        <v/>
      </c>
      <c r="D4898">
        <f>TEST_DATA!D4898</f>
        <v/>
      </c>
      <c r="E4898">
        <f>TEST_DATA!E4898</f>
        <v/>
      </c>
      <c r="F4898">
        <f>MIN(E4898*489800,10000)</f>
        <v/>
      </c>
      <c r="G4898">
        <f>MINIFS(CBIC_Late_Fee_Relief_Windows_3B!$O$4898:$O$100,CBIC_Late_Fee_Relief_Windows_3B!$D$4898:$D$100,"&lt;="&amp;B4898,CBIC_Late_Fee_Relief_Windows_3B!$E$4898:$E$100,"&gt;="&amp;B4898,CBIC_Late_Fee_Relief_Windows_3B!$F$4898:$F$100,"&lt;="&amp;C4898,CBIC_Late_Fee_Relief_Windows_3B!$G$4898:$G$100,"&gt;="&amp;C4898)</f>
        <v/>
      </c>
      <c r="H4898">
        <f>INDEX(CBIC_Late_Fee_Relief_Windows_3B!$I$4898:$I$100,MATCH(G4898,CBIC_Late_Fee_Relief_Windows_3B!$O$4898:$O$100,0))</f>
        <v/>
      </c>
      <c r="I4898">
        <f>MIN(F4898,H4898)</f>
        <v/>
      </c>
    </row>
    <row r="4899">
      <c r="A4899">
        <f>TEST_DATA!A4899</f>
        <v/>
      </c>
      <c r="B4899">
        <f>TEST_DATA!B4899</f>
        <v/>
      </c>
      <c r="C4899">
        <f>TEST_DATA!C4899</f>
        <v/>
      </c>
      <c r="D4899">
        <f>TEST_DATA!D4899</f>
        <v/>
      </c>
      <c r="E4899">
        <f>TEST_DATA!E4899</f>
        <v/>
      </c>
      <c r="F4899">
        <f>MIN(E4899*489900,10000)</f>
        <v/>
      </c>
      <c r="G4899">
        <f>MINIFS(CBIC_Late_Fee_Relief_Windows_3B!$O$4899:$O$100,CBIC_Late_Fee_Relief_Windows_3B!$D$4899:$D$100,"&lt;="&amp;B4899,CBIC_Late_Fee_Relief_Windows_3B!$E$4899:$E$100,"&gt;="&amp;B4899,CBIC_Late_Fee_Relief_Windows_3B!$F$4899:$F$100,"&lt;="&amp;C4899,CBIC_Late_Fee_Relief_Windows_3B!$G$4899:$G$100,"&gt;="&amp;C4899)</f>
        <v/>
      </c>
      <c r="H4899">
        <f>INDEX(CBIC_Late_Fee_Relief_Windows_3B!$I$4899:$I$100,MATCH(G4899,CBIC_Late_Fee_Relief_Windows_3B!$O$4899:$O$100,0))</f>
        <v/>
      </c>
      <c r="I4899">
        <f>MIN(F4899,H4899)</f>
        <v/>
      </c>
    </row>
    <row r="4900">
      <c r="A4900">
        <f>TEST_DATA!A4900</f>
        <v/>
      </c>
      <c r="B4900">
        <f>TEST_DATA!B4900</f>
        <v/>
      </c>
      <c r="C4900">
        <f>TEST_DATA!C4900</f>
        <v/>
      </c>
      <c r="D4900">
        <f>TEST_DATA!D4900</f>
        <v/>
      </c>
      <c r="E4900">
        <f>TEST_DATA!E4900</f>
        <v/>
      </c>
      <c r="F4900">
        <f>MIN(E4900*490000,10000)</f>
        <v/>
      </c>
      <c r="G4900">
        <f>MINIFS(CBIC_Late_Fee_Relief_Windows_3B!$O$4900:$O$100,CBIC_Late_Fee_Relief_Windows_3B!$D$4900:$D$100,"&lt;="&amp;B4900,CBIC_Late_Fee_Relief_Windows_3B!$E$4900:$E$100,"&gt;="&amp;B4900,CBIC_Late_Fee_Relief_Windows_3B!$F$4900:$F$100,"&lt;="&amp;C4900,CBIC_Late_Fee_Relief_Windows_3B!$G$4900:$G$100,"&gt;="&amp;C4900)</f>
        <v/>
      </c>
      <c r="H4900">
        <f>INDEX(CBIC_Late_Fee_Relief_Windows_3B!$I$4900:$I$100,MATCH(G4900,CBIC_Late_Fee_Relief_Windows_3B!$O$4900:$O$100,0))</f>
        <v/>
      </c>
      <c r="I4900">
        <f>MIN(F4900,H4900)</f>
        <v/>
      </c>
    </row>
    <row r="4901">
      <c r="A4901">
        <f>TEST_DATA!A4901</f>
        <v/>
      </c>
      <c r="B4901">
        <f>TEST_DATA!B4901</f>
        <v/>
      </c>
      <c r="C4901">
        <f>TEST_DATA!C4901</f>
        <v/>
      </c>
      <c r="D4901">
        <f>TEST_DATA!D4901</f>
        <v/>
      </c>
      <c r="E4901">
        <f>TEST_DATA!E4901</f>
        <v/>
      </c>
      <c r="F4901">
        <f>MIN(E4901*490100,10000)</f>
        <v/>
      </c>
      <c r="G4901">
        <f>MINIFS(CBIC_Late_Fee_Relief_Windows_3B!$O$4901:$O$100,CBIC_Late_Fee_Relief_Windows_3B!$D$4901:$D$100,"&lt;="&amp;B4901,CBIC_Late_Fee_Relief_Windows_3B!$E$4901:$E$100,"&gt;="&amp;B4901,CBIC_Late_Fee_Relief_Windows_3B!$F$4901:$F$100,"&lt;="&amp;C4901,CBIC_Late_Fee_Relief_Windows_3B!$G$4901:$G$100,"&gt;="&amp;C4901)</f>
        <v/>
      </c>
      <c r="H4901">
        <f>INDEX(CBIC_Late_Fee_Relief_Windows_3B!$I$4901:$I$100,MATCH(G4901,CBIC_Late_Fee_Relief_Windows_3B!$O$4901:$O$100,0))</f>
        <v/>
      </c>
      <c r="I4901">
        <f>MIN(F4901,H4901)</f>
        <v/>
      </c>
    </row>
    <row r="4902">
      <c r="A4902">
        <f>TEST_DATA!A4902</f>
        <v/>
      </c>
      <c r="B4902">
        <f>TEST_DATA!B4902</f>
        <v/>
      </c>
      <c r="C4902">
        <f>TEST_DATA!C4902</f>
        <v/>
      </c>
      <c r="D4902">
        <f>TEST_DATA!D4902</f>
        <v/>
      </c>
      <c r="E4902">
        <f>TEST_DATA!E4902</f>
        <v/>
      </c>
      <c r="F4902">
        <f>MIN(E4902*490200,10000)</f>
        <v/>
      </c>
      <c r="G4902">
        <f>MINIFS(CBIC_Late_Fee_Relief_Windows_3B!$O$4902:$O$100,CBIC_Late_Fee_Relief_Windows_3B!$D$4902:$D$100,"&lt;="&amp;B4902,CBIC_Late_Fee_Relief_Windows_3B!$E$4902:$E$100,"&gt;="&amp;B4902,CBIC_Late_Fee_Relief_Windows_3B!$F$4902:$F$100,"&lt;="&amp;C4902,CBIC_Late_Fee_Relief_Windows_3B!$G$4902:$G$100,"&gt;="&amp;C4902)</f>
        <v/>
      </c>
      <c r="H4902">
        <f>INDEX(CBIC_Late_Fee_Relief_Windows_3B!$I$4902:$I$100,MATCH(G4902,CBIC_Late_Fee_Relief_Windows_3B!$O$4902:$O$100,0))</f>
        <v/>
      </c>
      <c r="I4902">
        <f>MIN(F4902,H4902)</f>
        <v/>
      </c>
    </row>
    <row r="4903">
      <c r="A4903">
        <f>TEST_DATA!A4903</f>
        <v/>
      </c>
      <c r="B4903">
        <f>TEST_DATA!B4903</f>
        <v/>
      </c>
      <c r="C4903">
        <f>TEST_DATA!C4903</f>
        <v/>
      </c>
      <c r="D4903">
        <f>TEST_DATA!D4903</f>
        <v/>
      </c>
      <c r="E4903">
        <f>TEST_DATA!E4903</f>
        <v/>
      </c>
      <c r="F4903">
        <f>MIN(E4903*490300,10000)</f>
        <v/>
      </c>
      <c r="G4903">
        <f>MINIFS(CBIC_Late_Fee_Relief_Windows_3B!$O$4903:$O$100,CBIC_Late_Fee_Relief_Windows_3B!$D$4903:$D$100,"&lt;="&amp;B4903,CBIC_Late_Fee_Relief_Windows_3B!$E$4903:$E$100,"&gt;="&amp;B4903,CBIC_Late_Fee_Relief_Windows_3B!$F$4903:$F$100,"&lt;="&amp;C4903,CBIC_Late_Fee_Relief_Windows_3B!$G$4903:$G$100,"&gt;="&amp;C4903)</f>
        <v/>
      </c>
      <c r="H4903">
        <f>INDEX(CBIC_Late_Fee_Relief_Windows_3B!$I$4903:$I$100,MATCH(G4903,CBIC_Late_Fee_Relief_Windows_3B!$O$4903:$O$100,0))</f>
        <v/>
      </c>
      <c r="I4903">
        <f>MIN(F4903,H4903)</f>
        <v/>
      </c>
    </row>
    <row r="4904">
      <c r="A4904">
        <f>TEST_DATA!A4904</f>
        <v/>
      </c>
      <c r="B4904">
        <f>TEST_DATA!B4904</f>
        <v/>
      </c>
      <c r="C4904">
        <f>TEST_DATA!C4904</f>
        <v/>
      </c>
      <c r="D4904">
        <f>TEST_DATA!D4904</f>
        <v/>
      </c>
      <c r="E4904">
        <f>TEST_DATA!E4904</f>
        <v/>
      </c>
      <c r="F4904">
        <f>MIN(E4904*490400,10000)</f>
        <v/>
      </c>
      <c r="G4904">
        <f>MINIFS(CBIC_Late_Fee_Relief_Windows_3B!$O$4904:$O$100,CBIC_Late_Fee_Relief_Windows_3B!$D$4904:$D$100,"&lt;="&amp;B4904,CBIC_Late_Fee_Relief_Windows_3B!$E$4904:$E$100,"&gt;="&amp;B4904,CBIC_Late_Fee_Relief_Windows_3B!$F$4904:$F$100,"&lt;="&amp;C4904,CBIC_Late_Fee_Relief_Windows_3B!$G$4904:$G$100,"&gt;="&amp;C4904)</f>
        <v/>
      </c>
      <c r="H4904">
        <f>INDEX(CBIC_Late_Fee_Relief_Windows_3B!$I$4904:$I$100,MATCH(G4904,CBIC_Late_Fee_Relief_Windows_3B!$O$4904:$O$100,0))</f>
        <v/>
      </c>
      <c r="I4904">
        <f>MIN(F4904,H4904)</f>
        <v/>
      </c>
    </row>
    <row r="4905">
      <c r="A4905">
        <f>TEST_DATA!A4905</f>
        <v/>
      </c>
      <c r="B4905">
        <f>TEST_DATA!B4905</f>
        <v/>
      </c>
      <c r="C4905">
        <f>TEST_DATA!C4905</f>
        <v/>
      </c>
      <c r="D4905">
        <f>TEST_DATA!D4905</f>
        <v/>
      </c>
      <c r="E4905">
        <f>TEST_DATA!E4905</f>
        <v/>
      </c>
      <c r="F4905">
        <f>MIN(E4905*490500,10000)</f>
        <v/>
      </c>
      <c r="G4905">
        <f>MINIFS(CBIC_Late_Fee_Relief_Windows_3B!$O$4905:$O$100,CBIC_Late_Fee_Relief_Windows_3B!$D$4905:$D$100,"&lt;="&amp;B4905,CBIC_Late_Fee_Relief_Windows_3B!$E$4905:$E$100,"&gt;="&amp;B4905,CBIC_Late_Fee_Relief_Windows_3B!$F$4905:$F$100,"&lt;="&amp;C4905,CBIC_Late_Fee_Relief_Windows_3B!$G$4905:$G$100,"&gt;="&amp;C4905)</f>
        <v/>
      </c>
      <c r="H4905">
        <f>INDEX(CBIC_Late_Fee_Relief_Windows_3B!$I$4905:$I$100,MATCH(G4905,CBIC_Late_Fee_Relief_Windows_3B!$O$4905:$O$100,0))</f>
        <v/>
      </c>
      <c r="I4905">
        <f>MIN(F4905,H4905)</f>
        <v/>
      </c>
    </row>
    <row r="4906">
      <c r="A4906">
        <f>TEST_DATA!A4906</f>
        <v/>
      </c>
      <c r="B4906">
        <f>TEST_DATA!B4906</f>
        <v/>
      </c>
      <c r="C4906">
        <f>TEST_DATA!C4906</f>
        <v/>
      </c>
      <c r="D4906">
        <f>TEST_DATA!D4906</f>
        <v/>
      </c>
      <c r="E4906">
        <f>TEST_DATA!E4906</f>
        <v/>
      </c>
      <c r="F4906">
        <f>MIN(E4906*490600,10000)</f>
        <v/>
      </c>
      <c r="G4906">
        <f>MINIFS(CBIC_Late_Fee_Relief_Windows_3B!$O$4906:$O$100,CBIC_Late_Fee_Relief_Windows_3B!$D$4906:$D$100,"&lt;="&amp;B4906,CBIC_Late_Fee_Relief_Windows_3B!$E$4906:$E$100,"&gt;="&amp;B4906,CBIC_Late_Fee_Relief_Windows_3B!$F$4906:$F$100,"&lt;="&amp;C4906,CBIC_Late_Fee_Relief_Windows_3B!$G$4906:$G$100,"&gt;="&amp;C4906)</f>
        <v/>
      </c>
      <c r="H4906">
        <f>INDEX(CBIC_Late_Fee_Relief_Windows_3B!$I$4906:$I$100,MATCH(G4906,CBIC_Late_Fee_Relief_Windows_3B!$O$4906:$O$100,0))</f>
        <v/>
      </c>
      <c r="I4906">
        <f>MIN(F4906,H4906)</f>
        <v/>
      </c>
    </row>
    <row r="4907">
      <c r="A4907">
        <f>TEST_DATA!A4907</f>
        <v/>
      </c>
      <c r="B4907">
        <f>TEST_DATA!B4907</f>
        <v/>
      </c>
      <c r="C4907">
        <f>TEST_DATA!C4907</f>
        <v/>
      </c>
      <c r="D4907">
        <f>TEST_DATA!D4907</f>
        <v/>
      </c>
      <c r="E4907">
        <f>TEST_DATA!E4907</f>
        <v/>
      </c>
      <c r="F4907">
        <f>MIN(E4907*490700,10000)</f>
        <v/>
      </c>
      <c r="G4907">
        <f>MINIFS(CBIC_Late_Fee_Relief_Windows_3B!$O$4907:$O$100,CBIC_Late_Fee_Relief_Windows_3B!$D$4907:$D$100,"&lt;="&amp;B4907,CBIC_Late_Fee_Relief_Windows_3B!$E$4907:$E$100,"&gt;="&amp;B4907,CBIC_Late_Fee_Relief_Windows_3B!$F$4907:$F$100,"&lt;="&amp;C4907,CBIC_Late_Fee_Relief_Windows_3B!$G$4907:$G$100,"&gt;="&amp;C4907)</f>
        <v/>
      </c>
      <c r="H4907">
        <f>INDEX(CBIC_Late_Fee_Relief_Windows_3B!$I$4907:$I$100,MATCH(G4907,CBIC_Late_Fee_Relief_Windows_3B!$O$4907:$O$100,0))</f>
        <v/>
      </c>
      <c r="I4907">
        <f>MIN(F4907,H4907)</f>
        <v/>
      </c>
    </row>
    <row r="4908">
      <c r="A4908">
        <f>TEST_DATA!A4908</f>
        <v/>
      </c>
      <c r="B4908">
        <f>TEST_DATA!B4908</f>
        <v/>
      </c>
      <c r="C4908">
        <f>TEST_DATA!C4908</f>
        <v/>
      </c>
      <c r="D4908">
        <f>TEST_DATA!D4908</f>
        <v/>
      </c>
      <c r="E4908">
        <f>TEST_DATA!E4908</f>
        <v/>
      </c>
      <c r="F4908">
        <f>MIN(E4908*490800,10000)</f>
        <v/>
      </c>
      <c r="G4908">
        <f>MINIFS(CBIC_Late_Fee_Relief_Windows_3B!$O$4908:$O$100,CBIC_Late_Fee_Relief_Windows_3B!$D$4908:$D$100,"&lt;="&amp;B4908,CBIC_Late_Fee_Relief_Windows_3B!$E$4908:$E$100,"&gt;="&amp;B4908,CBIC_Late_Fee_Relief_Windows_3B!$F$4908:$F$100,"&lt;="&amp;C4908,CBIC_Late_Fee_Relief_Windows_3B!$G$4908:$G$100,"&gt;="&amp;C4908)</f>
        <v/>
      </c>
      <c r="H4908">
        <f>INDEX(CBIC_Late_Fee_Relief_Windows_3B!$I$4908:$I$100,MATCH(G4908,CBIC_Late_Fee_Relief_Windows_3B!$O$4908:$O$100,0))</f>
        <v/>
      </c>
      <c r="I4908">
        <f>MIN(F4908,H4908)</f>
        <v/>
      </c>
    </row>
    <row r="4909">
      <c r="A4909">
        <f>TEST_DATA!A4909</f>
        <v/>
      </c>
      <c r="B4909">
        <f>TEST_DATA!B4909</f>
        <v/>
      </c>
      <c r="C4909">
        <f>TEST_DATA!C4909</f>
        <v/>
      </c>
      <c r="D4909">
        <f>TEST_DATA!D4909</f>
        <v/>
      </c>
      <c r="E4909">
        <f>TEST_DATA!E4909</f>
        <v/>
      </c>
      <c r="F4909">
        <f>MIN(E4909*490900,10000)</f>
        <v/>
      </c>
      <c r="G4909">
        <f>MINIFS(CBIC_Late_Fee_Relief_Windows_3B!$O$4909:$O$100,CBIC_Late_Fee_Relief_Windows_3B!$D$4909:$D$100,"&lt;="&amp;B4909,CBIC_Late_Fee_Relief_Windows_3B!$E$4909:$E$100,"&gt;="&amp;B4909,CBIC_Late_Fee_Relief_Windows_3B!$F$4909:$F$100,"&lt;="&amp;C4909,CBIC_Late_Fee_Relief_Windows_3B!$G$4909:$G$100,"&gt;="&amp;C4909)</f>
        <v/>
      </c>
      <c r="H4909">
        <f>INDEX(CBIC_Late_Fee_Relief_Windows_3B!$I$4909:$I$100,MATCH(G4909,CBIC_Late_Fee_Relief_Windows_3B!$O$4909:$O$100,0))</f>
        <v/>
      </c>
      <c r="I4909">
        <f>MIN(F4909,H4909)</f>
        <v/>
      </c>
    </row>
    <row r="4910">
      <c r="A4910">
        <f>TEST_DATA!A4910</f>
        <v/>
      </c>
      <c r="B4910">
        <f>TEST_DATA!B4910</f>
        <v/>
      </c>
      <c r="C4910">
        <f>TEST_DATA!C4910</f>
        <v/>
      </c>
      <c r="D4910">
        <f>TEST_DATA!D4910</f>
        <v/>
      </c>
      <c r="E4910">
        <f>TEST_DATA!E4910</f>
        <v/>
      </c>
      <c r="F4910">
        <f>MIN(E4910*491000,10000)</f>
        <v/>
      </c>
      <c r="G4910">
        <f>MINIFS(CBIC_Late_Fee_Relief_Windows_3B!$O$4910:$O$100,CBIC_Late_Fee_Relief_Windows_3B!$D$4910:$D$100,"&lt;="&amp;B4910,CBIC_Late_Fee_Relief_Windows_3B!$E$4910:$E$100,"&gt;="&amp;B4910,CBIC_Late_Fee_Relief_Windows_3B!$F$4910:$F$100,"&lt;="&amp;C4910,CBIC_Late_Fee_Relief_Windows_3B!$G$4910:$G$100,"&gt;="&amp;C4910)</f>
        <v/>
      </c>
      <c r="H4910">
        <f>INDEX(CBIC_Late_Fee_Relief_Windows_3B!$I$4910:$I$100,MATCH(G4910,CBIC_Late_Fee_Relief_Windows_3B!$O$4910:$O$100,0))</f>
        <v/>
      </c>
      <c r="I4910">
        <f>MIN(F4910,H4910)</f>
        <v/>
      </c>
    </row>
    <row r="4911">
      <c r="A4911">
        <f>TEST_DATA!A4911</f>
        <v/>
      </c>
      <c r="B4911">
        <f>TEST_DATA!B4911</f>
        <v/>
      </c>
      <c r="C4911">
        <f>TEST_DATA!C4911</f>
        <v/>
      </c>
      <c r="D4911">
        <f>TEST_DATA!D4911</f>
        <v/>
      </c>
      <c r="E4911">
        <f>TEST_DATA!E4911</f>
        <v/>
      </c>
      <c r="F4911">
        <f>MIN(E4911*491100,10000)</f>
        <v/>
      </c>
      <c r="G4911">
        <f>MINIFS(CBIC_Late_Fee_Relief_Windows_3B!$O$4911:$O$100,CBIC_Late_Fee_Relief_Windows_3B!$D$4911:$D$100,"&lt;="&amp;B4911,CBIC_Late_Fee_Relief_Windows_3B!$E$4911:$E$100,"&gt;="&amp;B4911,CBIC_Late_Fee_Relief_Windows_3B!$F$4911:$F$100,"&lt;="&amp;C4911,CBIC_Late_Fee_Relief_Windows_3B!$G$4911:$G$100,"&gt;="&amp;C4911)</f>
        <v/>
      </c>
      <c r="H4911">
        <f>INDEX(CBIC_Late_Fee_Relief_Windows_3B!$I$4911:$I$100,MATCH(G4911,CBIC_Late_Fee_Relief_Windows_3B!$O$4911:$O$100,0))</f>
        <v/>
      </c>
      <c r="I4911">
        <f>MIN(F4911,H4911)</f>
        <v/>
      </c>
    </row>
    <row r="4912">
      <c r="A4912">
        <f>TEST_DATA!A4912</f>
        <v/>
      </c>
      <c r="B4912">
        <f>TEST_DATA!B4912</f>
        <v/>
      </c>
      <c r="C4912">
        <f>TEST_DATA!C4912</f>
        <v/>
      </c>
      <c r="D4912">
        <f>TEST_DATA!D4912</f>
        <v/>
      </c>
      <c r="E4912">
        <f>TEST_DATA!E4912</f>
        <v/>
      </c>
      <c r="F4912">
        <f>MIN(E4912*491200,10000)</f>
        <v/>
      </c>
      <c r="G4912">
        <f>MINIFS(CBIC_Late_Fee_Relief_Windows_3B!$O$4912:$O$100,CBIC_Late_Fee_Relief_Windows_3B!$D$4912:$D$100,"&lt;="&amp;B4912,CBIC_Late_Fee_Relief_Windows_3B!$E$4912:$E$100,"&gt;="&amp;B4912,CBIC_Late_Fee_Relief_Windows_3B!$F$4912:$F$100,"&lt;="&amp;C4912,CBIC_Late_Fee_Relief_Windows_3B!$G$4912:$G$100,"&gt;="&amp;C4912)</f>
        <v/>
      </c>
      <c r="H4912">
        <f>INDEX(CBIC_Late_Fee_Relief_Windows_3B!$I$4912:$I$100,MATCH(G4912,CBIC_Late_Fee_Relief_Windows_3B!$O$4912:$O$100,0))</f>
        <v/>
      </c>
      <c r="I4912">
        <f>MIN(F4912,H4912)</f>
        <v/>
      </c>
    </row>
    <row r="4913">
      <c r="A4913">
        <f>TEST_DATA!A4913</f>
        <v/>
      </c>
      <c r="B4913">
        <f>TEST_DATA!B4913</f>
        <v/>
      </c>
      <c r="C4913">
        <f>TEST_DATA!C4913</f>
        <v/>
      </c>
      <c r="D4913">
        <f>TEST_DATA!D4913</f>
        <v/>
      </c>
      <c r="E4913">
        <f>TEST_DATA!E4913</f>
        <v/>
      </c>
      <c r="F4913">
        <f>MIN(E4913*491300,10000)</f>
        <v/>
      </c>
      <c r="G4913">
        <f>MINIFS(CBIC_Late_Fee_Relief_Windows_3B!$O$4913:$O$100,CBIC_Late_Fee_Relief_Windows_3B!$D$4913:$D$100,"&lt;="&amp;B4913,CBIC_Late_Fee_Relief_Windows_3B!$E$4913:$E$100,"&gt;="&amp;B4913,CBIC_Late_Fee_Relief_Windows_3B!$F$4913:$F$100,"&lt;="&amp;C4913,CBIC_Late_Fee_Relief_Windows_3B!$G$4913:$G$100,"&gt;="&amp;C4913)</f>
        <v/>
      </c>
      <c r="H4913">
        <f>INDEX(CBIC_Late_Fee_Relief_Windows_3B!$I$4913:$I$100,MATCH(G4913,CBIC_Late_Fee_Relief_Windows_3B!$O$4913:$O$100,0))</f>
        <v/>
      </c>
      <c r="I4913">
        <f>MIN(F4913,H4913)</f>
        <v/>
      </c>
    </row>
    <row r="4914">
      <c r="A4914">
        <f>TEST_DATA!A4914</f>
        <v/>
      </c>
      <c r="B4914">
        <f>TEST_DATA!B4914</f>
        <v/>
      </c>
      <c r="C4914">
        <f>TEST_DATA!C4914</f>
        <v/>
      </c>
      <c r="D4914">
        <f>TEST_DATA!D4914</f>
        <v/>
      </c>
      <c r="E4914">
        <f>TEST_DATA!E4914</f>
        <v/>
      </c>
      <c r="F4914">
        <f>MIN(E4914*491400,10000)</f>
        <v/>
      </c>
      <c r="G4914">
        <f>MINIFS(CBIC_Late_Fee_Relief_Windows_3B!$O$4914:$O$100,CBIC_Late_Fee_Relief_Windows_3B!$D$4914:$D$100,"&lt;="&amp;B4914,CBIC_Late_Fee_Relief_Windows_3B!$E$4914:$E$100,"&gt;="&amp;B4914,CBIC_Late_Fee_Relief_Windows_3B!$F$4914:$F$100,"&lt;="&amp;C4914,CBIC_Late_Fee_Relief_Windows_3B!$G$4914:$G$100,"&gt;="&amp;C4914)</f>
        <v/>
      </c>
      <c r="H4914">
        <f>INDEX(CBIC_Late_Fee_Relief_Windows_3B!$I$4914:$I$100,MATCH(G4914,CBIC_Late_Fee_Relief_Windows_3B!$O$4914:$O$100,0))</f>
        <v/>
      </c>
      <c r="I4914">
        <f>MIN(F4914,H4914)</f>
        <v/>
      </c>
    </row>
    <row r="4915">
      <c r="A4915">
        <f>TEST_DATA!A4915</f>
        <v/>
      </c>
      <c r="B4915">
        <f>TEST_DATA!B4915</f>
        <v/>
      </c>
      <c r="C4915">
        <f>TEST_DATA!C4915</f>
        <v/>
      </c>
      <c r="D4915">
        <f>TEST_DATA!D4915</f>
        <v/>
      </c>
      <c r="E4915">
        <f>TEST_DATA!E4915</f>
        <v/>
      </c>
      <c r="F4915">
        <f>MIN(E4915*491500,10000)</f>
        <v/>
      </c>
      <c r="G4915">
        <f>MINIFS(CBIC_Late_Fee_Relief_Windows_3B!$O$4915:$O$100,CBIC_Late_Fee_Relief_Windows_3B!$D$4915:$D$100,"&lt;="&amp;B4915,CBIC_Late_Fee_Relief_Windows_3B!$E$4915:$E$100,"&gt;="&amp;B4915,CBIC_Late_Fee_Relief_Windows_3B!$F$4915:$F$100,"&lt;="&amp;C4915,CBIC_Late_Fee_Relief_Windows_3B!$G$4915:$G$100,"&gt;="&amp;C4915)</f>
        <v/>
      </c>
      <c r="H4915">
        <f>INDEX(CBIC_Late_Fee_Relief_Windows_3B!$I$4915:$I$100,MATCH(G4915,CBIC_Late_Fee_Relief_Windows_3B!$O$4915:$O$100,0))</f>
        <v/>
      </c>
      <c r="I4915">
        <f>MIN(F4915,H4915)</f>
        <v/>
      </c>
    </row>
    <row r="4916">
      <c r="A4916">
        <f>TEST_DATA!A4916</f>
        <v/>
      </c>
      <c r="B4916">
        <f>TEST_DATA!B4916</f>
        <v/>
      </c>
      <c r="C4916">
        <f>TEST_DATA!C4916</f>
        <v/>
      </c>
      <c r="D4916">
        <f>TEST_DATA!D4916</f>
        <v/>
      </c>
      <c r="E4916">
        <f>TEST_DATA!E4916</f>
        <v/>
      </c>
      <c r="F4916">
        <f>MIN(E4916*491600,10000)</f>
        <v/>
      </c>
      <c r="G4916">
        <f>MINIFS(CBIC_Late_Fee_Relief_Windows_3B!$O$4916:$O$100,CBIC_Late_Fee_Relief_Windows_3B!$D$4916:$D$100,"&lt;="&amp;B4916,CBIC_Late_Fee_Relief_Windows_3B!$E$4916:$E$100,"&gt;="&amp;B4916,CBIC_Late_Fee_Relief_Windows_3B!$F$4916:$F$100,"&lt;="&amp;C4916,CBIC_Late_Fee_Relief_Windows_3B!$G$4916:$G$100,"&gt;="&amp;C4916)</f>
        <v/>
      </c>
      <c r="H4916">
        <f>INDEX(CBIC_Late_Fee_Relief_Windows_3B!$I$4916:$I$100,MATCH(G4916,CBIC_Late_Fee_Relief_Windows_3B!$O$4916:$O$100,0))</f>
        <v/>
      </c>
      <c r="I4916">
        <f>MIN(F4916,H4916)</f>
        <v/>
      </c>
    </row>
    <row r="4917">
      <c r="A4917">
        <f>TEST_DATA!A4917</f>
        <v/>
      </c>
      <c r="B4917">
        <f>TEST_DATA!B4917</f>
        <v/>
      </c>
      <c r="C4917">
        <f>TEST_DATA!C4917</f>
        <v/>
      </c>
      <c r="D4917">
        <f>TEST_DATA!D4917</f>
        <v/>
      </c>
      <c r="E4917">
        <f>TEST_DATA!E4917</f>
        <v/>
      </c>
      <c r="F4917">
        <f>MIN(E4917*491700,10000)</f>
        <v/>
      </c>
      <c r="G4917">
        <f>MINIFS(CBIC_Late_Fee_Relief_Windows_3B!$O$4917:$O$100,CBIC_Late_Fee_Relief_Windows_3B!$D$4917:$D$100,"&lt;="&amp;B4917,CBIC_Late_Fee_Relief_Windows_3B!$E$4917:$E$100,"&gt;="&amp;B4917,CBIC_Late_Fee_Relief_Windows_3B!$F$4917:$F$100,"&lt;="&amp;C4917,CBIC_Late_Fee_Relief_Windows_3B!$G$4917:$G$100,"&gt;="&amp;C4917)</f>
        <v/>
      </c>
      <c r="H4917">
        <f>INDEX(CBIC_Late_Fee_Relief_Windows_3B!$I$4917:$I$100,MATCH(G4917,CBIC_Late_Fee_Relief_Windows_3B!$O$4917:$O$100,0))</f>
        <v/>
      </c>
      <c r="I4917">
        <f>MIN(F4917,H4917)</f>
        <v/>
      </c>
    </row>
    <row r="4918">
      <c r="A4918">
        <f>TEST_DATA!A4918</f>
        <v/>
      </c>
      <c r="B4918">
        <f>TEST_DATA!B4918</f>
        <v/>
      </c>
      <c r="C4918">
        <f>TEST_DATA!C4918</f>
        <v/>
      </c>
      <c r="D4918">
        <f>TEST_DATA!D4918</f>
        <v/>
      </c>
      <c r="E4918">
        <f>TEST_DATA!E4918</f>
        <v/>
      </c>
      <c r="F4918">
        <f>MIN(E4918*491800,10000)</f>
        <v/>
      </c>
      <c r="G4918">
        <f>MINIFS(CBIC_Late_Fee_Relief_Windows_3B!$O$4918:$O$100,CBIC_Late_Fee_Relief_Windows_3B!$D$4918:$D$100,"&lt;="&amp;B4918,CBIC_Late_Fee_Relief_Windows_3B!$E$4918:$E$100,"&gt;="&amp;B4918,CBIC_Late_Fee_Relief_Windows_3B!$F$4918:$F$100,"&lt;="&amp;C4918,CBIC_Late_Fee_Relief_Windows_3B!$G$4918:$G$100,"&gt;="&amp;C4918)</f>
        <v/>
      </c>
      <c r="H4918">
        <f>INDEX(CBIC_Late_Fee_Relief_Windows_3B!$I$4918:$I$100,MATCH(G4918,CBIC_Late_Fee_Relief_Windows_3B!$O$4918:$O$100,0))</f>
        <v/>
      </c>
      <c r="I4918">
        <f>MIN(F4918,H4918)</f>
        <v/>
      </c>
    </row>
    <row r="4919">
      <c r="A4919">
        <f>TEST_DATA!A4919</f>
        <v/>
      </c>
      <c r="B4919">
        <f>TEST_DATA!B4919</f>
        <v/>
      </c>
      <c r="C4919">
        <f>TEST_DATA!C4919</f>
        <v/>
      </c>
      <c r="D4919">
        <f>TEST_DATA!D4919</f>
        <v/>
      </c>
      <c r="E4919">
        <f>TEST_DATA!E4919</f>
        <v/>
      </c>
      <c r="F4919">
        <f>MIN(E4919*491900,10000)</f>
        <v/>
      </c>
      <c r="G4919">
        <f>MINIFS(CBIC_Late_Fee_Relief_Windows_3B!$O$4919:$O$100,CBIC_Late_Fee_Relief_Windows_3B!$D$4919:$D$100,"&lt;="&amp;B4919,CBIC_Late_Fee_Relief_Windows_3B!$E$4919:$E$100,"&gt;="&amp;B4919,CBIC_Late_Fee_Relief_Windows_3B!$F$4919:$F$100,"&lt;="&amp;C4919,CBIC_Late_Fee_Relief_Windows_3B!$G$4919:$G$100,"&gt;="&amp;C4919)</f>
        <v/>
      </c>
      <c r="H4919">
        <f>INDEX(CBIC_Late_Fee_Relief_Windows_3B!$I$4919:$I$100,MATCH(G4919,CBIC_Late_Fee_Relief_Windows_3B!$O$4919:$O$100,0))</f>
        <v/>
      </c>
      <c r="I4919">
        <f>MIN(F4919,H4919)</f>
        <v/>
      </c>
    </row>
    <row r="4920">
      <c r="A4920">
        <f>TEST_DATA!A4920</f>
        <v/>
      </c>
      <c r="B4920">
        <f>TEST_DATA!B4920</f>
        <v/>
      </c>
      <c r="C4920">
        <f>TEST_DATA!C4920</f>
        <v/>
      </c>
      <c r="D4920">
        <f>TEST_DATA!D4920</f>
        <v/>
      </c>
      <c r="E4920">
        <f>TEST_DATA!E4920</f>
        <v/>
      </c>
      <c r="F4920">
        <f>MIN(E4920*492000,10000)</f>
        <v/>
      </c>
      <c r="G4920">
        <f>MINIFS(CBIC_Late_Fee_Relief_Windows_3B!$O$4920:$O$100,CBIC_Late_Fee_Relief_Windows_3B!$D$4920:$D$100,"&lt;="&amp;B4920,CBIC_Late_Fee_Relief_Windows_3B!$E$4920:$E$100,"&gt;="&amp;B4920,CBIC_Late_Fee_Relief_Windows_3B!$F$4920:$F$100,"&lt;="&amp;C4920,CBIC_Late_Fee_Relief_Windows_3B!$G$4920:$G$100,"&gt;="&amp;C4920)</f>
        <v/>
      </c>
      <c r="H4920">
        <f>INDEX(CBIC_Late_Fee_Relief_Windows_3B!$I$4920:$I$100,MATCH(G4920,CBIC_Late_Fee_Relief_Windows_3B!$O$4920:$O$100,0))</f>
        <v/>
      </c>
      <c r="I4920">
        <f>MIN(F4920,H4920)</f>
        <v/>
      </c>
    </row>
    <row r="4921">
      <c r="A4921">
        <f>TEST_DATA!A4921</f>
        <v/>
      </c>
      <c r="B4921">
        <f>TEST_DATA!B4921</f>
        <v/>
      </c>
      <c r="C4921">
        <f>TEST_DATA!C4921</f>
        <v/>
      </c>
      <c r="D4921">
        <f>TEST_DATA!D4921</f>
        <v/>
      </c>
      <c r="E4921">
        <f>TEST_DATA!E4921</f>
        <v/>
      </c>
      <c r="F4921">
        <f>MIN(E4921*492100,10000)</f>
        <v/>
      </c>
      <c r="G4921">
        <f>MINIFS(CBIC_Late_Fee_Relief_Windows_3B!$O$4921:$O$100,CBIC_Late_Fee_Relief_Windows_3B!$D$4921:$D$100,"&lt;="&amp;B4921,CBIC_Late_Fee_Relief_Windows_3B!$E$4921:$E$100,"&gt;="&amp;B4921,CBIC_Late_Fee_Relief_Windows_3B!$F$4921:$F$100,"&lt;="&amp;C4921,CBIC_Late_Fee_Relief_Windows_3B!$G$4921:$G$100,"&gt;="&amp;C4921)</f>
        <v/>
      </c>
      <c r="H4921">
        <f>INDEX(CBIC_Late_Fee_Relief_Windows_3B!$I$4921:$I$100,MATCH(G4921,CBIC_Late_Fee_Relief_Windows_3B!$O$4921:$O$100,0))</f>
        <v/>
      </c>
      <c r="I4921">
        <f>MIN(F4921,H4921)</f>
        <v/>
      </c>
    </row>
    <row r="4922">
      <c r="A4922">
        <f>TEST_DATA!A4922</f>
        <v/>
      </c>
      <c r="B4922">
        <f>TEST_DATA!B4922</f>
        <v/>
      </c>
      <c r="C4922">
        <f>TEST_DATA!C4922</f>
        <v/>
      </c>
      <c r="D4922">
        <f>TEST_DATA!D4922</f>
        <v/>
      </c>
      <c r="E4922">
        <f>TEST_DATA!E4922</f>
        <v/>
      </c>
      <c r="F4922">
        <f>MIN(E4922*492200,10000)</f>
        <v/>
      </c>
      <c r="G4922">
        <f>MINIFS(CBIC_Late_Fee_Relief_Windows_3B!$O$4922:$O$100,CBIC_Late_Fee_Relief_Windows_3B!$D$4922:$D$100,"&lt;="&amp;B4922,CBIC_Late_Fee_Relief_Windows_3B!$E$4922:$E$100,"&gt;="&amp;B4922,CBIC_Late_Fee_Relief_Windows_3B!$F$4922:$F$100,"&lt;="&amp;C4922,CBIC_Late_Fee_Relief_Windows_3B!$G$4922:$G$100,"&gt;="&amp;C4922)</f>
        <v/>
      </c>
      <c r="H4922">
        <f>INDEX(CBIC_Late_Fee_Relief_Windows_3B!$I$4922:$I$100,MATCH(G4922,CBIC_Late_Fee_Relief_Windows_3B!$O$4922:$O$100,0))</f>
        <v/>
      </c>
      <c r="I4922">
        <f>MIN(F4922,H4922)</f>
        <v/>
      </c>
    </row>
    <row r="4923">
      <c r="A4923">
        <f>TEST_DATA!A4923</f>
        <v/>
      </c>
      <c r="B4923">
        <f>TEST_DATA!B4923</f>
        <v/>
      </c>
      <c r="C4923">
        <f>TEST_DATA!C4923</f>
        <v/>
      </c>
      <c r="D4923">
        <f>TEST_DATA!D4923</f>
        <v/>
      </c>
      <c r="E4923">
        <f>TEST_DATA!E4923</f>
        <v/>
      </c>
      <c r="F4923">
        <f>MIN(E4923*492300,10000)</f>
        <v/>
      </c>
      <c r="G4923">
        <f>MINIFS(CBIC_Late_Fee_Relief_Windows_3B!$O$4923:$O$100,CBIC_Late_Fee_Relief_Windows_3B!$D$4923:$D$100,"&lt;="&amp;B4923,CBIC_Late_Fee_Relief_Windows_3B!$E$4923:$E$100,"&gt;="&amp;B4923,CBIC_Late_Fee_Relief_Windows_3B!$F$4923:$F$100,"&lt;="&amp;C4923,CBIC_Late_Fee_Relief_Windows_3B!$G$4923:$G$100,"&gt;="&amp;C4923)</f>
        <v/>
      </c>
      <c r="H4923">
        <f>INDEX(CBIC_Late_Fee_Relief_Windows_3B!$I$4923:$I$100,MATCH(G4923,CBIC_Late_Fee_Relief_Windows_3B!$O$4923:$O$100,0))</f>
        <v/>
      </c>
      <c r="I4923">
        <f>MIN(F4923,H4923)</f>
        <v/>
      </c>
    </row>
    <row r="4924">
      <c r="A4924">
        <f>TEST_DATA!A4924</f>
        <v/>
      </c>
      <c r="B4924">
        <f>TEST_DATA!B4924</f>
        <v/>
      </c>
      <c r="C4924">
        <f>TEST_DATA!C4924</f>
        <v/>
      </c>
      <c r="D4924">
        <f>TEST_DATA!D4924</f>
        <v/>
      </c>
      <c r="E4924">
        <f>TEST_DATA!E4924</f>
        <v/>
      </c>
      <c r="F4924">
        <f>MIN(E4924*492400,10000)</f>
        <v/>
      </c>
      <c r="G4924">
        <f>MINIFS(CBIC_Late_Fee_Relief_Windows_3B!$O$4924:$O$100,CBIC_Late_Fee_Relief_Windows_3B!$D$4924:$D$100,"&lt;="&amp;B4924,CBIC_Late_Fee_Relief_Windows_3B!$E$4924:$E$100,"&gt;="&amp;B4924,CBIC_Late_Fee_Relief_Windows_3B!$F$4924:$F$100,"&lt;="&amp;C4924,CBIC_Late_Fee_Relief_Windows_3B!$G$4924:$G$100,"&gt;="&amp;C4924)</f>
        <v/>
      </c>
      <c r="H4924">
        <f>INDEX(CBIC_Late_Fee_Relief_Windows_3B!$I$4924:$I$100,MATCH(G4924,CBIC_Late_Fee_Relief_Windows_3B!$O$4924:$O$100,0))</f>
        <v/>
      </c>
      <c r="I4924">
        <f>MIN(F4924,H4924)</f>
        <v/>
      </c>
    </row>
    <row r="4925">
      <c r="A4925">
        <f>TEST_DATA!A4925</f>
        <v/>
      </c>
      <c r="B4925">
        <f>TEST_DATA!B4925</f>
        <v/>
      </c>
      <c r="C4925">
        <f>TEST_DATA!C4925</f>
        <v/>
      </c>
      <c r="D4925">
        <f>TEST_DATA!D4925</f>
        <v/>
      </c>
      <c r="E4925">
        <f>TEST_DATA!E4925</f>
        <v/>
      </c>
      <c r="F4925">
        <f>MIN(E4925*492500,10000)</f>
        <v/>
      </c>
      <c r="G4925">
        <f>MINIFS(CBIC_Late_Fee_Relief_Windows_3B!$O$4925:$O$100,CBIC_Late_Fee_Relief_Windows_3B!$D$4925:$D$100,"&lt;="&amp;B4925,CBIC_Late_Fee_Relief_Windows_3B!$E$4925:$E$100,"&gt;="&amp;B4925,CBIC_Late_Fee_Relief_Windows_3B!$F$4925:$F$100,"&lt;="&amp;C4925,CBIC_Late_Fee_Relief_Windows_3B!$G$4925:$G$100,"&gt;="&amp;C4925)</f>
        <v/>
      </c>
      <c r="H4925">
        <f>INDEX(CBIC_Late_Fee_Relief_Windows_3B!$I$4925:$I$100,MATCH(G4925,CBIC_Late_Fee_Relief_Windows_3B!$O$4925:$O$100,0))</f>
        <v/>
      </c>
      <c r="I4925">
        <f>MIN(F4925,H4925)</f>
        <v/>
      </c>
    </row>
    <row r="4926">
      <c r="A4926">
        <f>TEST_DATA!A4926</f>
        <v/>
      </c>
      <c r="B4926">
        <f>TEST_DATA!B4926</f>
        <v/>
      </c>
      <c r="C4926">
        <f>TEST_DATA!C4926</f>
        <v/>
      </c>
      <c r="D4926">
        <f>TEST_DATA!D4926</f>
        <v/>
      </c>
      <c r="E4926">
        <f>TEST_DATA!E4926</f>
        <v/>
      </c>
      <c r="F4926">
        <f>MIN(E4926*492600,10000)</f>
        <v/>
      </c>
      <c r="G4926">
        <f>MINIFS(CBIC_Late_Fee_Relief_Windows_3B!$O$4926:$O$100,CBIC_Late_Fee_Relief_Windows_3B!$D$4926:$D$100,"&lt;="&amp;B4926,CBIC_Late_Fee_Relief_Windows_3B!$E$4926:$E$100,"&gt;="&amp;B4926,CBIC_Late_Fee_Relief_Windows_3B!$F$4926:$F$100,"&lt;="&amp;C4926,CBIC_Late_Fee_Relief_Windows_3B!$G$4926:$G$100,"&gt;="&amp;C4926)</f>
        <v/>
      </c>
      <c r="H4926">
        <f>INDEX(CBIC_Late_Fee_Relief_Windows_3B!$I$4926:$I$100,MATCH(G4926,CBIC_Late_Fee_Relief_Windows_3B!$O$4926:$O$100,0))</f>
        <v/>
      </c>
      <c r="I4926">
        <f>MIN(F4926,H4926)</f>
        <v/>
      </c>
    </row>
    <row r="4927">
      <c r="A4927">
        <f>TEST_DATA!A4927</f>
        <v/>
      </c>
      <c r="B4927">
        <f>TEST_DATA!B4927</f>
        <v/>
      </c>
      <c r="C4927">
        <f>TEST_DATA!C4927</f>
        <v/>
      </c>
      <c r="D4927">
        <f>TEST_DATA!D4927</f>
        <v/>
      </c>
      <c r="E4927">
        <f>TEST_DATA!E4927</f>
        <v/>
      </c>
      <c r="F4927">
        <f>MIN(E4927*492700,10000)</f>
        <v/>
      </c>
      <c r="G4927">
        <f>MINIFS(CBIC_Late_Fee_Relief_Windows_3B!$O$4927:$O$100,CBIC_Late_Fee_Relief_Windows_3B!$D$4927:$D$100,"&lt;="&amp;B4927,CBIC_Late_Fee_Relief_Windows_3B!$E$4927:$E$100,"&gt;="&amp;B4927,CBIC_Late_Fee_Relief_Windows_3B!$F$4927:$F$100,"&lt;="&amp;C4927,CBIC_Late_Fee_Relief_Windows_3B!$G$4927:$G$100,"&gt;="&amp;C4927)</f>
        <v/>
      </c>
      <c r="H4927">
        <f>INDEX(CBIC_Late_Fee_Relief_Windows_3B!$I$4927:$I$100,MATCH(G4927,CBIC_Late_Fee_Relief_Windows_3B!$O$4927:$O$100,0))</f>
        <v/>
      </c>
      <c r="I4927">
        <f>MIN(F4927,H4927)</f>
        <v/>
      </c>
    </row>
    <row r="4928">
      <c r="A4928">
        <f>TEST_DATA!A4928</f>
        <v/>
      </c>
      <c r="B4928">
        <f>TEST_DATA!B4928</f>
        <v/>
      </c>
      <c r="C4928">
        <f>TEST_DATA!C4928</f>
        <v/>
      </c>
      <c r="D4928">
        <f>TEST_DATA!D4928</f>
        <v/>
      </c>
      <c r="E4928">
        <f>TEST_DATA!E4928</f>
        <v/>
      </c>
      <c r="F4928">
        <f>MIN(E4928*492800,10000)</f>
        <v/>
      </c>
      <c r="G4928">
        <f>MINIFS(CBIC_Late_Fee_Relief_Windows_3B!$O$4928:$O$100,CBIC_Late_Fee_Relief_Windows_3B!$D$4928:$D$100,"&lt;="&amp;B4928,CBIC_Late_Fee_Relief_Windows_3B!$E$4928:$E$100,"&gt;="&amp;B4928,CBIC_Late_Fee_Relief_Windows_3B!$F$4928:$F$100,"&lt;="&amp;C4928,CBIC_Late_Fee_Relief_Windows_3B!$G$4928:$G$100,"&gt;="&amp;C4928)</f>
        <v/>
      </c>
      <c r="H4928">
        <f>INDEX(CBIC_Late_Fee_Relief_Windows_3B!$I$4928:$I$100,MATCH(G4928,CBIC_Late_Fee_Relief_Windows_3B!$O$4928:$O$100,0))</f>
        <v/>
      </c>
      <c r="I4928">
        <f>MIN(F4928,H4928)</f>
        <v/>
      </c>
    </row>
    <row r="4929">
      <c r="A4929">
        <f>TEST_DATA!A4929</f>
        <v/>
      </c>
      <c r="B4929">
        <f>TEST_DATA!B4929</f>
        <v/>
      </c>
      <c r="C4929">
        <f>TEST_DATA!C4929</f>
        <v/>
      </c>
      <c r="D4929">
        <f>TEST_DATA!D4929</f>
        <v/>
      </c>
      <c r="E4929">
        <f>TEST_DATA!E4929</f>
        <v/>
      </c>
      <c r="F4929">
        <f>MIN(E4929*492900,10000)</f>
        <v/>
      </c>
      <c r="G4929">
        <f>MINIFS(CBIC_Late_Fee_Relief_Windows_3B!$O$4929:$O$100,CBIC_Late_Fee_Relief_Windows_3B!$D$4929:$D$100,"&lt;="&amp;B4929,CBIC_Late_Fee_Relief_Windows_3B!$E$4929:$E$100,"&gt;="&amp;B4929,CBIC_Late_Fee_Relief_Windows_3B!$F$4929:$F$100,"&lt;="&amp;C4929,CBIC_Late_Fee_Relief_Windows_3B!$G$4929:$G$100,"&gt;="&amp;C4929)</f>
        <v/>
      </c>
      <c r="H4929">
        <f>INDEX(CBIC_Late_Fee_Relief_Windows_3B!$I$4929:$I$100,MATCH(G4929,CBIC_Late_Fee_Relief_Windows_3B!$O$4929:$O$100,0))</f>
        <v/>
      </c>
      <c r="I4929">
        <f>MIN(F4929,H4929)</f>
        <v/>
      </c>
    </row>
    <row r="4930">
      <c r="A4930">
        <f>TEST_DATA!A4930</f>
        <v/>
      </c>
      <c r="B4930">
        <f>TEST_DATA!B4930</f>
        <v/>
      </c>
      <c r="C4930">
        <f>TEST_DATA!C4930</f>
        <v/>
      </c>
      <c r="D4930">
        <f>TEST_DATA!D4930</f>
        <v/>
      </c>
      <c r="E4930">
        <f>TEST_DATA!E4930</f>
        <v/>
      </c>
      <c r="F4930">
        <f>MIN(E4930*493000,10000)</f>
        <v/>
      </c>
      <c r="G4930">
        <f>MINIFS(CBIC_Late_Fee_Relief_Windows_3B!$O$4930:$O$100,CBIC_Late_Fee_Relief_Windows_3B!$D$4930:$D$100,"&lt;="&amp;B4930,CBIC_Late_Fee_Relief_Windows_3B!$E$4930:$E$100,"&gt;="&amp;B4930,CBIC_Late_Fee_Relief_Windows_3B!$F$4930:$F$100,"&lt;="&amp;C4930,CBIC_Late_Fee_Relief_Windows_3B!$G$4930:$G$100,"&gt;="&amp;C4930)</f>
        <v/>
      </c>
      <c r="H4930">
        <f>INDEX(CBIC_Late_Fee_Relief_Windows_3B!$I$4930:$I$100,MATCH(G4930,CBIC_Late_Fee_Relief_Windows_3B!$O$4930:$O$100,0))</f>
        <v/>
      </c>
      <c r="I4930">
        <f>MIN(F4930,H4930)</f>
        <v/>
      </c>
    </row>
    <row r="4931">
      <c r="A4931">
        <f>TEST_DATA!A4931</f>
        <v/>
      </c>
      <c r="B4931">
        <f>TEST_DATA!B4931</f>
        <v/>
      </c>
      <c r="C4931">
        <f>TEST_DATA!C4931</f>
        <v/>
      </c>
      <c r="D4931">
        <f>TEST_DATA!D4931</f>
        <v/>
      </c>
      <c r="E4931">
        <f>TEST_DATA!E4931</f>
        <v/>
      </c>
      <c r="F4931">
        <f>MIN(E4931*493100,10000)</f>
        <v/>
      </c>
      <c r="G4931">
        <f>MINIFS(CBIC_Late_Fee_Relief_Windows_3B!$O$4931:$O$100,CBIC_Late_Fee_Relief_Windows_3B!$D$4931:$D$100,"&lt;="&amp;B4931,CBIC_Late_Fee_Relief_Windows_3B!$E$4931:$E$100,"&gt;="&amp;B4931,CBIC_Late_Fee_Relief_Windows_3B!$F$4931:$F$100,"&lt;="&amp;C4931,CBIC_Late_Fee_Relief_Windows_3B!$G$4931:$G$100,"&gt;="&amp;C4931)</f>
        <v/>
      </c>
      <c r="H4931">
        <f>INDEX(CBIC_Late_Fee_Relief_Windows_3B!$I$4931:$I$100,MATCH(G4931,CBIC_Late_Fee_Relief_Windows_3B!$O$4931:$O$100,0))</f>
        <v/>
      </c>
      <c r="I4931">
        <f>MIN(F4931,H4931)</f>
        <v/>
      </c>
    </row>
    <row r="4932">
      <c r="A4932">
        <f>TEST_DATA!A4932</f>
        <v/>
      </c>
      <c r="B4932">
        <f>TEST_DATA!B4932</f>
        <v/>
      </c>
      <c r="C4932">
        <f>TEST_DATA!C4932</f>
        <v/>
      </c>
      <c r="D4932">
        <f>TEST_DATA!D4932</f>
        <v/>
      </c>
      <c r="E4932">
        <f>TEST_DATA!E4932</f>
        <v/>
      </c>
      <c r="F4932">
        <f>MIN(E4932*493200,10000)</f>
        <v/>
      </c>
      <c r="G4932">
        <f>MINIFS(CBIC_Late_Fee_Relief_Windows_3B!$O$4932:$O$100,CBIC_Late_Fee_Relief_Windows_3B!$D$4932:$D$100,"&lt;="&amp;B4932,CBIC_Late_Fee_Relief_Windows_3B!$E$4932:$E$100,"&gt;="&amp;B4932,CBIC_Late_Fee_Relief_Windows_3B!$F$4932:$F$100,"&lt;="&amp;C4932,CBIC_Late_Fee_Relief_Windows_3B!$G$4932:$G$100,"&gt;="&amp;C4932)</f>
        <v/>
      </c>
      <c r="H4932">
        <f>INDEX(CBIC_Late_Fee_Relief_Windows_3B!$I$4932:$I$100,MATCH(G4932,CBIC_Late_Fee_Relief_Windows_3B!$O$4932:$O$100,0))</f>
        <v/>
      </c>
      <c r="I4932">
        <f>MIN(F4932,H4932)</f>
        <v/>
      </c>
    </row>
    <row r="4933">
      <c r="A4933">
        <f>TEST_DATA!A4933</f>
        <v/>
      </c>
      <c r="B4933">
        <f>TEST_DATA!B4933</f>
        <v/>
      </c>
      <c r="C4933">
        <f>TEST_DATA!C4933</f>
        <v/>
      </c>
      <c r="D4933">
        <f>TEST_DATA!D4933</f>
        <v/>
      </c>
      <c r="E4933">
        <f>TEST_DATA!E4933</f>
        <v/>
      </c>
      <c r="F4933">
        <f>MIN(E4933*493300,10000)</f>
        <v/>
      </c>
      <c r="G4933">
        <f>MINIFS(CBIC_Late_Fee_Relief_Windows_3B!$O$4933:$O$100,CBIC_Late_Fee_Relief_Windows_3B!$D$4933:$D$100,"&lt;="&amp;B4933,CBIC_Late_Fee_Relief_Windows_3B!$E$4933:$E$100,"&gt;="&amp;B4933,CBIC_Late_Fee_Relief_Windows_3B!$F$4933:$F$100,"&lt;="&amp;C4933,CBIC_Late_Fee_Relief_Windows_3B!$G$4933:$G$100,"&gt;="&amp;C4933)</f>
        <v/>
      </c>
      <c r="H4933">
        <f>INDEX(CBIC_Late_Fee_Relief_Windows_3B!$I$4933:$I$100,MATCH(G4933,CBIC_Late_Fee_Relief_Windows_3B!$O$4933:$O$100,0))</f>
        <v/>
      </c>
      <c r="I4933">
        <f>MIN(F4933,H4933)</f>
        <v/>
      </c>
    </row>
    <row r="4934">
      <c r="A4934">
        <f>TEST_DATA!A4934</f>
        <v/>
      </c>
      <c r="B4934">
        <f>TEST_DATA!B4934</f>
        <v/>
      </c>
      <c r="C4934">
        <f>TEST_DATA!C4934</f>
        <v/>
      </c>
      <c r="D4934">
        <f>TEST_DATA!D4934</f>
        <v/>
      </c>
      <c r="E4934">
        <f>TEST_DATA!E4934</f>
        <v/>
      </c>
      <c r="F4934">
        <f>MIN(E4934*493400,10000)</f>
        <v/>
      </c>
      <c r="G4934">
        <f>MINIFS(CBIC_Late_Fee_Relief_Windows_3B!$O$4934:$O$100,CBIC_Late_Fee_Relief_Windows_3B!$D$4934:$D$100,"&lt;="&amp;B4934,CBIC_Late_Fee_Relief_Windows_3B!$E$4934:$E$100,"&gt;="&amp;B4934,CBIC_Late_Fee_Relief_Windows_3B!$F$4934:$F$100,"&lt;="&amp;C4934,CBIC_Late_Fee_Relief_Windows_3B!$G$4934:$G$100,"&gt;="&amp;C4934)</f>
        <v/>
      </c>
      <c r="H4934">
        <f>INDEX(CBIC_Late_Fee_Relief_Windows_3B!$I$4934:$I$100,MATCH(G4934,CBIC_Late_Fee_Relief_Windows_3B!$O$4934:$O$100,0))</f>
        <v/>
      </c>
      <c r="I4934">
        <f>MIN(F4934,H4934)</f>
        <v/>
      </c>
    </row>
    <row r="4935">
      <c r="A4935">
        <f>TEST_DATA!A4935</f>
        <v/>
      </c>
      <c r="B4935">
        <f>TEST_DATA!B4935</f>
        <v/>
      </c>
      <c r="C4935">
        <f>TEST_DATA!C4935</f>
        <v/>
      </c>
      <c r="D4935">
        <f>TEST_DATA!D4935</f>
        <v/>
      </c>
      <c r="E4935">
        <f>TEST_DATA!E4935</f>
        <v/>
      </c>
      <c r="F4935">
        <f>MIN(E4935*493500,10000)</f>
        <v/>
      </c>
      <c r="G4935">
        <f>MINIFS(CBIC_Late_Fee_Relief_Windows_3B!$O$4935:$O$100,CBIC_Late_Fee_Relief_Windows_3B!$D$4935:$D$100,"&lt;="&amp;B4935,CBIC_Late_Fee_Relief_Windows_3B!$E$4935:$E$100,"&gt;="&amp;B4935,CBIC_Late_Fee_Relief_Windows_3B!$F$4935:$F$100,"&lt;="&amp;C4935,CBIC_Late_Fee_Relief_Windows_3B!$G$4935:$G$100,"&gt;="&amp;C4935)</f>
        <v/>
      </c>
      <c r="H4935">
        <f>INDEX(CBIC_Late_Fee_Relief_Windows_3B!$I$4935:$I$100,MATCH(G4935,CBIC_Late_Fee_Relief_Windows_3B!$O$4935:$O$100,0))</f>
        <v/>
      </c>
      <c r="I4935">
        <f>MIN(F4935,H4935)</f>
        <v/>
      </c>
    </row>
    <row r="4936">
      <c r="A4936">
        <f>TEST_DATA!A4936</f>
        <v/>
      </c>
      <c r="B4936">
        <f>TEST_DATA!B4936</f>
        <v/>
      </c>
      <c r="C4936">
        <f>TEST_DATA!C4936</f>
        <v/>
      </c>
      <c r="D4936">
        <f>TEST_DATA!D4936</f>
        <v/>
      </c>
      <c r="E4936">
        <f>TEST_DATA!E4936</f>
        <v/>
      </c>
      <c r="F4936">
        <f>MIN(E4936*493600,10000)</f>
        <v/>
      </c>
      <c r="G4936">
        <f>MINIFS(CBIC_Late_Fee_Relief_Windows_3B!$O$4936:$O$100,CBIC_Late_Fee_Relief_Windows_3B!$D$4936:$D$100,"&lt;="&amp;B4936,CBIC_Late_Fee_Relief_Windows_3B!$E$4936:$E$100,"&gt;="&amp;B4936,CBIC_Late_Fee_Relief_Windows_3B!$F$4936:$F$100,"&lt;="&amp;C4936,CBIC_Late_Fee_Relief_Windows_3B!$G$4936:$G$100,"&gt;="&amp;C4936)</f>
        <v/>
      </c>
      <c r="H4936">
        <f>INDEX(CBIC_Late_Fee_Relief_Windows_3B!$I$4936:$I$100,MATCH(G4936,CBIC_Late_Fee_Relief_Windows_3B!$O$4936:$O$100,0))</f>
        <v/>
      </c>
      <c r="I4936">
        <f>MIN(F4936,H4936)</f>
        <v/>
      </c>
    </row>
    <row r="4937">
      <c r="A4937">
        <f>TEST_DATA!A4937</f>
        <v/>
      </c>
      <c r="B4937">
        <f>TEST_DATA!B4937</f>
        <v/>
      </c>
      <c r="C4937">
        <f>TEST_DATA!C4937</f>
        <v/>
      </c>
      <c r="D4937">
        <f>TEST_DATA!D4937</f>
        <v/>
      </c>
      <c r="E4937">
        <f>TEST_DATA!E4937</f>
        <v/>
      </c>
      <c r="F4937">
        <f>MIN(E4937*493700,10000)</f>
        <v/>
      </c>
      <c r="G4937">
        <f>MINIFS(CBIC_Late_Fee_Relief_Windows_3B!$O$4937:$O$100,CBIC_Late_Fee_Relief_Windows_3B!$D$4937:$D$100,"&lt;="&amp;B4937,CBIC_Late_Fee_Relief_Windows_3B!$E$4937:$E$100,"&gt;="&amp;B4937,CBIC_Late_Fee_Relief_Windows_3B!$F$4937:$F$100,"&lt;="&amp;C4937,CBIC_Late_Fee_Relief_Windows_3B!$G$4937:$G$100,"&gt;="&amp;C4937)</f>
        <v/>
      </c>
      <c r="H4937">
        <f>INDEX(CBIC_Late_Fee_Relief_Windows_3B!$I$4937:$I$100,MATCH(G4937,CBIC_Late_Fee_Relief_Windows_3B!$O$4937:$O$100,0))</f>
        <v/>
      </c>
      <c r="I4937">
        <f>MIN(F4937,H4937)</f>
        <v/>
      </c>
    </row>
    <row r="4938">
      <c r="A4938">
        <f>TEST_DATA!A4938</f>
        <v/>
      </c>
      <c r="B4938">
        <f>TEST_DATA!B4938</f>
        <v/>
      </c>
      <c r="C4938">
        <f>TEST_DATA!C4938</f>
        <v/>
      </c>
      <c r="D4938">
        <f>TEST_DATA!D4938</f>
        <v/>
      </c>
      <c r="E4938">
        <f>TEST_DATA!E4938</f>
        <v/>
      </c>
      <c r="F4938">
        <f>MIN(E4938*493800,10000)</f>
        <v/>
      </c>
      <c r="G4938">
        <f>MINIFS(CBIC_Late_Fee_Relief_Windows_3B!$O$4938:$O$100,CBIC_Late_Fee_Relief_Windows_3B!$D$4938:$D$100,"&lt;="&amp;B4938,CBIC_Late_Fee_Relief_Windows_3B!$E$4938:$E$100,"&gt;="&amp;B4938,CBIC_Late_Fee_Relief_Windows_3B!$F$4938:$F$100,"&lt;="&amp;C4938,CBIC_Late_Fee_Relief_Windows_3B!$G$4938:$G$100,"&gt;="&amp;C4938)</f>
        <v/>
      </c>
      <c r="H4938">
        <f>INDEX(CBIC_Late_Fee_Relief_Windows_3B!$I$4938:$I$100,MATCH(G4938,CBIC_Late_Fee_Relief_Windows_3B!$O$4938:$O$100,0))</f>
        <v/>
      </c>
      <c r="I4938">
        <f>MIN(F4938,H4938)</f>
        <v/>
      </c>
    </row>
    <row r="4939">
      <c r="A4939">
        <f>TEST_DATA!A4939</f>
        <v/>
      </c>
      <c r="B4939">
        <f>TEST_DATA!B4939</f>
        <v/>
      </c>
      <c r="C4939">
        <f>TEST_DATA!C4939</f>
        <v/>
      </c>
      <c r="D4939">
        <f>TEST_DATA!D4939</f>
        <v/>
      </c>
      <c r="E4939">
        <f>TEST_DATA!E4939</f>
        <v/>
      </c>
      <c r="F4939">
        <f>MIN(E4939*493900,10000)</f>
        <v/>
      </c>
      <c r="G4939">
        <f>MINIFS(CBIC_Late_Fee_Relief_Windows_3B!$O$4939:$O$100,CBIC_Late_Fee_Relief_Windows_3B!$D$4939:$D$100,"&lt;="&amp;B4939,CBIC_Late_Fee_Relief_Windows_3B!$E$4939:$E$100,"&gt;="&amp;B4939,CBIC_Late_Fee_Relief_Windows_3B!$F$4939:$F$100,"&lt;="&amp;C4939,CBIC_Late_Fee_Relief_Windows_3B!$G$4939:$G$100,"&gt;="&amp;C4939)</f>
        <v/>
      </c>
      <c r="H4939">
        <f>INDEX(CBIC_Late_Fee_Relief_Windows_3B!$I$4939:$I$100,MATCH(G4939,CBIC_Late_Fee_Relief_Windows_3B!$O$4939:$O$100,0))</f>
        <v/>
      </c>
      <c r="I4939">
        <f>MIN(F4939,H4939)</f>
        <v/>
      </c>
    </row>
    <row r="4940">
      <c r="A4940">
        <f>TEST_DATA!A4940</f>
        <v/>
      </c>
      <c r="B4940">
        <f>TEST_DATA!B4940</f>
        <v/>
      </c>
      <c r="C4940">
        <f>TEST_DATA!C4940</f>
        <v/>
      </c>
      <c r="D4940">
        <f>TEST_DATA!D4940</f>
        <v/>
      </c>
      <c r="E4940">
        <f>TEST_DATA!E4940</f>
        <v/>
      </c>
      <c r="F4940">
        <f>MIN(E4940*494000,10000)</f>
        <v/>
      </c>
      <c r="G4940">
        <f>MINIFS(CBIC_Late_Fee_Relief_Windows_3B!$O$4940:$O$100,CBIC_Late_Fee_Relief_Windows_3B!$D$4940:$D$100,"&lt;="&amp;B4940,CBIC_Late_Fee_Relief_Windows_3B!$E$4940:$E$100,"&gt;="&amp;B4940,CBIC_Late_Fee_Relief_Windows_3B!$F$4940:$F$100,"&lt;="&amp;C4940,CBIC_Late_Fee_Relief_Windows_3B!$G$4940:$G$100,"&gt;="&amp;C4940)</f>
        <v/>
      </c>
      <c r="H4940">
        <f>INDEX(CBIC_Late_Fee_Relief_Windows_3B!$I$4940:$I$100,MATCH(G4940,CBIC_Late_Fee_Relief_Windows_3B!$O$4940:$O$100,0))</f>
        <v/>
      </c>
      <c r="I4940">
        <f>MIN(F4940,H4940)</f>
        <v/>
      </c>
    </row>
    <row r="4941">
      <c r="A4941">
        <f>TEST_DATA!A4941</f>
        <v/>
      </c>
      <c r="B4941">
        <f>TEST_DATA!B4941</f>
        <v/>
      </c>
      <c r="C4941">
        <f>TEST_DATA!C4941</f>
        <v/>
      </c>
      <c r="D4941">
        <f>TEST_DATA!D4941</f>
        <v/>
      </c>
      <c r="E4941">
        <f>TEST_DATA!E4941</f>
        <v/>
      </c>
      <c r="F4941">
        <f>MIN(E4941*494100,10000)</f>
        <v/>
      </c>
      <c r="G4941">
        <f>MINIFS(CBIC_Late_Fee_Relief_Windows_3B!$O$4941:$O$100,CBIC_Late_Fee_Relief_Windows_3B!$D$4941:$D$100,"&lt;="&amp;B4941,CBIC_Late_Fee_Relief_Windows_3B!$E$4941:$E$100,"&gt;="&amp;B4941,CBIC_Late_Fee_Relief_Windows_3B!$F$4941:$F$100,"&lt;="&amp;C4941,CBIC_Late_Fee_Relief_Windows_3B!$G$4941:$G$100,"&gt;="&amp;C4941)</f>
        <v/>
      </c>
      <c r="H4941">
        <f>INDEX(CBIC_Late_Fee_Relief_Windows_3B!$I$4941:$I$100,MATCH(G4941,CBIC_Late_Fee_Relief_Windows_3B!$O$4941:$O$100,0))</f>
        <v/>
      </c>
      <c r="I4941">
        <f>MIN(F4941,H4941)</f>
        <v/>
      </c>
    </row>
    <row r="4942">
      <c r="A4942">
        <f>TEST_DATA!A4942</f>
        <v/>
      </c>
      <c r="B4942">
        <f>TEST_DATA!B4942</f>
        <v/>
      </c>
      <c r="C4942">
        <f>TEST_DATA!C4942</f>
        <v/>
      </c>
      <c r="D4942">
        <f>TEST_DATA!D4942</f>
        <v/>
      </c>
      <c r="E4942">
        <f>TEST_DATA!E4942</f>
        <v/>
      </c>
      <c r="F4942">
        <f>MIN(E4942*494200,10000)</f>
        <v/>
      </c>
      <c r="G4942">
        <f>MINIFS(CBIC_Late_Fee_Relief_Windows_3B!$O$4942:$O$100,CBIC_Late_Fee_Relief_Windows_3B!$D$4942:$D$100,"&lt;="&amp;B4942,CBIC_Late_Fee_Relief_Windows_3B!$E$4942:$E$100,"&gt;="&amp;B4942,CBIC_Late_Fee_Relief_Windows_3B!$F$4942:$F$100,"&lt;="&amp;C4942,CBIC_Late_Fee_Relief_Windows_3B!$G$4942:$G$100,"&gt;="&amp;C4942)</f>
        <v/>
      </c>
      <c r="H4942">
        <f>INDEX(CBIC_Late_Fee_Relief_Windows_3B!$I$4942:$I$100,MATCH(G4942,CBIC_Late_Fee_Relief_Windows_3B!$O$4942:$O$100,0))</f>
        <v/>
      </c>
      <c r="I4942">
        <f>MIN(F4942,H4942)</f>
        <v/>
      </c>
    </row>
    <row r="4943">
      <c r="A4943">
        <f>TEST_DATA!A4943</f>
        <v/>
      </c>
      <c r="B4943">
        <f>TEST_DATA!B4943</f>
        <v/>
      </c>
      <c r="C4943">
        <f>TEST_DATA!C4943</f>
        <v/>
      </c>
      <c r="D4943">
        <f>TEST_DATA!D4943</f>
        <v/>
      </c>
      <c r="E4943">
        <f>TEST_DATA!E4943</f>
        <v/>
      </c>
      <c r="F4943">
        <f>MIN(E4943*494300,10000)</f>
        <v/>
      </c>
      <c r="G4943">
        <f>MINIFS(CBIC_Late_Fee_Relief_Windows_3B!$O$4943:$O$100,CBIC_Late_Fee_Relief_Windows_3B!$D$4943:$D$100,"&lt;="&amp;B4943,CBIC_Late_Fee_Relief_Windows_3B!$E$4943:$E$100,"&gt;="&amp;B4943,CBIC_Late_Fee_Relief_Windows_3B!$F$4943:$F$100,"&lt;="&amp;C4943,CBIC_Late_Fee_Relief_Windows_3B!$G$4943:$G$100,"&gt;="&amp;C4943)</f>
        <v/>
      </c>
      <c r="H4943">
        <f>INDEX(CBIC_Late_Fee_Relief_Windows_3B!$I$4943:$I$100,MATCH(G4943,CBIC_Late_Fee_Relief_Windows_3B!$O$4943:$O$100,0))</f>
        <v/>
      </c>
      <c r="I4943">
        <f>MIN(F4943,H4943)</f>
        <v/>
      </c>
    </row>
    <row r="4944">
      <c r="A4944">
        <f>TEST_DATA!A4944</f>
        <v/>
      </c>
      <c r="B4944">
        <f>TEST_DATA!B4944</f>
        <v/>
      </c>
      <c r="C4944">
        <f>TEST_DATA!C4944</f>
        <v/>
      </c>
      <c r="D4944">
        <f>TEST_DATA!D4944</f>
        <v/>
      </c>
      <c r="E4944">
        <f>TEST_DATA!E4944</f>
        <v/>
      </c>
      <c r="F4944">
        <f>MIN(E4944*494400,10000)</f>
        <v/>
      </c>
      <c r="G4944">
        <f>MINIFS(CBIC_Late_Fee_Relief_Windows_3B!$O$4944:$O$100,CBIC_Late_Fee_Relief_Windows_3B!$D$4944:$D$100,"&lt;="&amp;B4944,CBIC_Late_Fee_Relief_Windows_3B!$E$4944:$E$100,"&gt;="&amp;B4944,CBIC_Late_Fee_Relief_Windows_3B!$F$4944:$F$100,"&lt;="&amp;C4944,CBIC_Late_Fee_Relief_Windows_3B!$G$4944:$G$100,"&gt;="&amp;C4944)</f>
        <v/>
      </c>
      <c r="H4944">
        <f>INDEX(CBIC_Late_Fee_Relief_Windows_3B!$I$4944:$I$100,MATCH(G4944,CBIC_Late_Fee_Relief_Windows_3B!$O$4944:$O$100,0))</f>
        <v/>
      </c>
      <c r="I4944">
        <f>MIN(F4944,H4944)</f>
        <v/>
      </c>
    </row>
    <row r="4945">
      <c r="A4945">
        <f>TEST_DATA!A4945</f>
        <v/>
      </c>
      <c r="B4945">
        <f>TEST_DATA!B4945</f>
        <v/>
      </c>
      <c r="C4945">
        <f>TEST_DATA!C4945</f>
        <v/>
      </c>
      <c r="D4945">
        <f>TEST_DATA!D4945</f>
        <v/>
      </c>
      <c r="E4945">
        <f>TEST_DATA!E4945</f>
        <v/>
      </c>
      <c r="F4945">
        <f>MIN(E4945*494500,10000)</f>
        <v/>
      </c>
      <c r="G4945">
        <f>MINIFS(CBIC_Late_Fee_Relief_Windows_3B!$O$4945:$O$100,CBIC_Late_Fee_Relief_Windows_3B!$D$4945:$D$100,"&lt;="&amp;B4945,CBIC_Late_Fee_Relief_Windows_3B!$E$4945:$E$100,"&gt;="&amp;B4945,CBIC_Late_Fee_Relief_Windows_3B!$F$4945:$F$100,"&lt;="&amp;C4945,CBIC_Late_Fee_Relief_Windows_3B!$G$4945:$G$100,"&gt;="&amp;C4945)</f>
        <v/>
      </c>
      <c r="H4945">
        <f>INDEX(CBIC_Late_Fee_Relief_Windows_3B!$I$4945:$I$100,MATCH(G4945,CBIC_Late_Fee_Relief_Windows_3B!$O$4945:$O$100,0))</f>
        <v/>
      </c>
      <c r="I4945">
        <f>MIN(F4945,H4945)</f>
        <v/>
      </c>
    </row>
    <row r="4946">
      <c r="A4946">
        <f>TEST_DATA!A4946</f>
        <v/>
      </c>
      <c r="B4946">
        <f>TEST_DATA!B4946</f>
        <v/>
      </c>
      <c r="C4946">
        <f>TEST_DATA!C4946</f>
        <v/>
      </c>
      <c r="D4946">
        <f>TEST_DATA!D4946</f>
        <v/>
      </c>
      <c r="E4946">
        <f>TEST_DATA!E4946</f>
        <v/>
      </c>
      <c r="F4946">
        <f>MIN(E4946*494600,10000)</f>
        <v/>
      </c>
      <c r="G4946">
        <f>MINIFS(CBIC_Late_Fee_Relief_Windows_3B!$O$4946:$O$100,CBIC_Late_Fee_Relief_Windows_3B!$D$4946:$D$100,"&lt;="&amp;B4946,CBIC_Late_Fee_Relief_Windows_3B!$E$4946:$E$100,"&gt;="&amp;B4946,CBIC_Late_Fee_Relief_Windows_3B!$F$4946:$F$100,"&lt;="&amp;C4946,CBIC_Late_Fee_Relief_Windows_3B!$G$4946:$G$100,"&gt;="&amp;C4946)</f>
        <v/>
      </c>
      <c r="H4946">
        <f>INDEX(CBIC_Late_Fee_Relief_Windows_3B!$I$4946:$I$100,MATCH(G4946,CBIC_Late_Fee_Relief_Windows_3B!$O$4946:$O$100,0))</f>
        <v/>
      </c>
      <c r="I4946">
        <f>MIN(F4946,H4946)</f>
        <v/>
      </c>
    </row>
    <row r="4947">
      <c r="A4947">
        <f>TEST_DATA!A4947</f>
        <v/>
      </c>
      <c r="B4947">
        <f>TEST_DATA!B4947</f>
        <v/>
      </c>
      <c r="C4947">
        <f>TEST_DATA!C4947</f>
        <v/>
      </c>
      <c r="D4947">
        <f>TEST_DATA!D4947</f>
        <v/>
      </c>
      <c r="E4947">
        <f>TEST_DATA!E4947</f>
        <v/>
      </c>
      <c r="F4947">
        <f>MIN(E4947*494700,10000)</f>
        <v/>
      </c>
      <c r="G4947">
        <f>MINIFS(CBIC_Late_Fee_Relief_Windows_3B!$O$4947:$O$100,CBIC_Late_Fee_Relief_Windows_3B!$D$4947:$D$100,"&lt;="&amp;B4947,CBIC_Late_Fee_Relief_Windows_3B!$E$4947:$E$100,"&gt;="&amp;B4947,CBIC_Late_Fee_Relief_Windows_3B!$F$4947:$F$100,"&lt;="&amp;C4947,CBIC_Late_Fee_Relief_Windows_3B!$G$4947:$G$100,"&gt;="&amp;C4947)</f>
        <v/>
      </c>
      <c r="H4947">
        <f>INDEX(CBIC_Late_Fee_Relief_Windows_3B!$I$4947:$I$100,MATCH(G4947,CBIC_Late_Fee_Relief_Windows_3B!$O$4947:$O$100,0))</f>
        <v/>
      </c>
      <c r="I4947">
        <f>MIN(F4947,H4947)</f>
        <v/>
      </c>
    </row>
    <row r="4948">
      <c r="A4948">
        <f>TEST_DATA!A4948</f>
        <v/>
      </c>
      <c r="B4948">
        <f>TEST_DATA!B4948</f>
        <v/>
      </c>
      <c r="C4948">
        <f>TEST_DATA!C4948</f>
        <v/>
      </c>
      <c r="D4948">
        <f>TEST_DATA!D4948</f>
        <v/>
      </c>
      <c r="E4948">
        <f>TEST_DATA!E4948</f>
        <v/>
      </c>
      <c r="F4948">
        <f>MIN(E4948*494800,10000)</f>
        <v/>
      </c>
      <c r="G4948">
        <f>MINIFS(CBIC_Late_Fee_Relief_Windows_3B!$O$4948:$O$100,CBIC_Late_Fee_Relief_Windows_3B!$D$4948:$D$100,"&lt;="&amp;B4948,CBIC_Late_Fee_Relief_Windows_3B!$E$4948:$E$100,"&gt;="&amp;B4948,CBIC_Late_Fee_Relief_Windows_3B!$F$4948:$F$100,"&lt;="&amp;C4948,CBIC_Late_Fee_Relief_Windows_3B!$G$4948:$G$100,"&gt;="&amp;C4948)</f>
        <v/>
      </c>
      <c r="H4948">
        <f>INDEX(CBIC_Late_Fee_Relief_Windows_3B!$I$4948:$I$100,MATCH(G4948,CBIC_Late_Fee_Relief_Windows_3B!$O$4948:$O$100,0))</f>
        <v/>
      </c>
      <c r="I4948">
        <f>MIN(F4948,H4948)</f>
        <v/>
      </c>
    </row>
    <row r="4949">
      <c r="A4949">
        <f>TEST_DATA!A4949</f>
        <v/>
      </c>
      <c r="B4949">
        <f>TEST_DATA!B4949</f>
        <v/>
      </c>
      <c r="C4949">
        <f>TEST_DATA!C4949</f>
        <v/>
      </c>
      <c r="D4949">
        <f>TEST_DATA!D4949</f>
        <v/>
      </c>
      <c r="E4949">
        <f>TEST_DATA!E4949</f>
        <v/>
      </c>
      <c r="F4949">
        <f>MIN(E4949*494900,10000)</f>
        <v/>
      </c>
      <c r="G4949">
        <f>MINIFS(CBIC_Late_Fee_Relief_Windows_3B!$O$4949:$O$100,CBIC_Late_Fee_Relief_Windows_3B!$D$4949:$D$100,"&lt;="&amp;B4949,CBIC_Late_Fee_Relief_Windows_3B!$E$4949:$E$100,"&gt;="&amp;B4949,CBIC_Late_Fee_Relief_Windows_3B!$F$4949:$F$100,"&lt;="&amp;C4949,CBIC_Late_Fee_Relief_Windows_3B!$G$4949:$G$100,"&gt;="&amp;C4949)</f>
        <v/>
      </c>
      <c r="H4949">
        <f>INDEX(CBIC_Late_Fee_Relief_Windows_3B!$I$4949:$I$100,MATCH(G4949,CBIC_Late_Fee_Relief_Windows_3B!$O$4949:$O$100,0))</f>
        <v/>
      </c>
      <c r="I4949">
        <f>MIN(F4949,H4949)</f>
        <v/>
      </c>
    </row>
    <row r="4950">
      <c r="A4950">
        <f>TEST_DATA!A4950</f>
        <v/>
      </c>
      <c r="B4950">
        <f>TEST_DATA!B4950</f>
        <v/>
      </c>
      <c r="C4950">
        <f>TEST_DATA!C4950</f>
        <v/>
      </c>
      <c r="D4950">
        <f>TEST_DATA!D4950</f>
        <v/>
      </c>
      <c r="E4950">
        <f>TEST_DATA!E4950</f>
        <v/>
      </c>
      <c r="F4950">
        <f>MIN(E4950*495000,10000)</f>
        <v/>
      </c>
      <c r="G4950">
        <f>MINIFS(CBIC_Late_Fee_Relief_Windows_3B!$O$4950:$O$100,CBIC_Late_Fee_Relief_Windows_3B!$D$4950:$D$100,"&lt;="&amp;B4950,CBIC_Late_Fee_Relief_Windows_3B!$E$4950:$E$100,"&gt;="&amp;B4950,CBIC_Late_Fee_Relief_Windows_3B!$F$4950:$F$100,"&lt;="&amp;C4950,CBIC_Late_Fee_Relief_Windows_3B!$G$4950:$G$100,"&gt;="&amp;C4950)</f>
        <v/>
      </c>
      <c r="H4950">
        <f>INDEX(CBIC_Late_Fee_Relief_Windows_3B!$I$4950:$I$100,MATCH(G4950,CBIC_Late_Fee_Relief_Windows_3B!$O$4950:$O$100,0))</f>
        <v/>
      </c>
      <c r="I4950">
        <f>MIN(F4950,H4950)</f>
        <v/>
      </c>
    </row>
    <row r="4951">
      <c r="A4951">
        <f>TEST_DATA!A4951</f>
        <v/>
      </c>
      <c r="B4951">
        <f>TEST_DATA!B4951</f>
        <v/>
      </c>
      <c r="C4951">
        <f>TEST_DATA!C4951</f>
        <v/>
      </c>
      <c r="D4951">
        <f>TEST_DATA!D4951</f>
        <v/>
      </c>
      <c r="E4951">
        <f>TEST_DATA!E4951</f>
        <v/>
      </c>
      <c r="F4951">
        <f>MIN(E4951*495100,10000)</f>
        <v/>
      </c>
      <c r="G4951">
        <f>MINIFS(CBIC_Late_Fee_Relief_Windows_3B!$O$4951:$O$100,CBIC_Late_Fee_Relief_Windows_3B!$D$4951:$D$100,"&lt;="&amp;B4951,CBIC_Late_Fee_Relief_Windows_3B!$E$4951:$E$100,"&gt;="&amp;B4951,CBIC_Late_Fee_Relief_Windows_3B!$F$4951:$F$100,"&lt;="&amp;C4951,CBIC_Late_Fee_Relief_Windows_3B!$G$4951:$G$100,"&gt;="&amp;C4951)</f>
        <v/>
      </c>
      <c r="H4951">
        <f>INDEX(CBIC_Late_Fee_Relief_Windows_3B!$I$4951:$I$100,MATCH(G4951,CBIC_Late_Fee_Relief_Windows_3B!$O$4951:$O$100,0))</f>
        <v/>
      </c>
      <c r="I4951">
        <f>MIN(F4951,H4951)</f>
        <v/>
      </c>
    </row>
    <row r="4952">
      <c r="A4952">
        <f>TEST_DATA!A4952</f>
        <v/>
      </c>
      <c r="B4952">
        <f>TEST_DATA!B4952</f>
        <v/>
      </c>
      <c r="C4952">
        <f>TEST_DATA!C4952</f>
        <v/>
      </c>
      <c r="D4952">
        <f>TEST_DATA!D4952</f>
        <v/>
      </c>
      <c r="E4952">
        <f>TEST_DATA!E4952</f>
        <v/>
      </c>
      <c r="F4952">
        <f>MIN(E4952*495200,10000)</f>
        <v/>
      </c>
      <c r="G4952">
        <f>MINIFS(CBIC_Late_Fee_Relief_Windows_3B!$O$4952:$O$100,CBIC_Late_Fee_Relief_Windows_3B!$D$4952:$D$100,"&lt;="&amp;B4952,CBIC_Late_Fee_Relief_Windows_3B!$E$4952:$E$100,"&gt;="&amp;B4952,CBIC_Late_Fee_Relief_Windows_3B!$F$4952:$F$100,"&lt;="&amp;C4952,CBIC_Late_Fee_Relief_Windows_3B!$G$4952:$G$100,"&gt;="&amp;C4952)</f>
        <v/>
      </c>
      <c r="H4952">
        <f>INDEX(CBIC_Late_Fee_Relief_Windows_3B!$I$4952:$I$100,MATCH(G4952,CBIC_Late_Fee_Relief_Windows_3B!$O$4952:$O$100,0))</f>
        <v/>
      </c>
      <c r="I4952">
        <f>MIN(F4952,H4952)</f>
        <v/>
      </c>
    </row>
    <row r="4953">
      <c r="A4953">
        <f>TEST_DATA!A4953</f>
        <v/>
      </c>
      <c r="B4953">
        <f>TEST_DATA!B4953</f>
        <v/>
      </c>
      <c r="C4953">
        <f>TEST_DATA!C4953</f>
        <v/>
      </c>
      <c r="D4953">
        <f>TEST_DATA!D4953</f>
        <v/>
      </c>
      <c r="E4953">
        <f>TEST_DATA!E4953</f>
        <v/>
      </c>
      <c r="F4953">
        <f>MIN(E4953*495300,10000)</f>
        <v/>
      </c>
      <c r="G4953">
        <f>MINIFS(CBIC_Late_Fee_Relief_Windows_3B!$O$4953:$O$100,CBIC_Late_Fee_Relief_Windows_3B!$D$4953:$D$100,"&lt;="&amp;B4953,CBIC_Late_Fee_Relief_Windows_3B!$E$4953:$E$100,"&gt;="&amp;B4953,CBIC_Late_Fee_Relief_Windows_3B!$F$4953:$F$100,"&lt;="&amp;C4953,CBIC_Late_Fee_Relief_Windows_3B!$G$4953:$G$100,"&gt;="&amp;C4953)</f>
        <v/>
      </c>
      <c r="H4953">
        <f>INDEX(CBIC_Late_Fee_Relief_Windows_3B!$I$4953:$I$100,MATCH(G4953,CBIC_Late_Fee_Relief_Windows_3B!$O$4953:$O$100,0))</f>
        <v/>
      </c>
      <c r="I4953">
        <f>MIN(F4953,H4953)</f>
        <v/>
      </c>
    </row>
    <row r="4954">
      <c r="A4954">
        <f>TEST_DATA!A4954</f>
        <v/>
      </c>
      <c r="B4954">
        <f>TEST_DATA!B4954</f>
        <v/>
      </c>
      <c r="C4954">
        <f>TEST_DATA!C4954</f>
        <v/>
      </c>
      <c r="D4954">
        <f>TEST_DATA!D4954</f>
        <v/>
      </c>
      <c r="E4954">
        <f>TEST_DATA!E4954</f>
        <v/>
      </c>
      <c r="F4954">
        <f>MIN(E4954*495400,10000)</f>
        <v/>
      </c>
      <c r="G4954">
        <f>MINIFS(CBIC_Late_Fee_Relief_Windows_3B!$O$4954:$O$100,CBIC_Late_Fee_Relief_Windows_3B!$D$4954:$D$100,"&lt;="&amp;B4954,CBIC_Late_Fee_Relief_Windows_3B!$E$4954:$E$100,"&gt;="&amp;B4954,CBIC_Late_Fee_Relief_Windows_3B!$F$4954:$F$100,"&lt;="&amp;C4954,CBIC_Late_Fee_Relief_Windows_3B!$G$4954:$G$100,"&gt;="&amp;C4954)</f>
        <v/>
      </c>
      <c r="H4954">
        <f>INDEX(CBIC_Late_Fee_Relief_Windows_3B!$I$4954:$I$100,MATCH(G4954,CBIC_Late_Fee_Relief_Windows_3B!$O$4954:$O$100,0))</f>
        <v/>
      </c>
      <c r="I4954">
        <f>MIN(F4954,H4954)</f>
        <v/>
      </c>
    </row>
    <row r="4955">
      <c r="A4955">
        <f>TEST_DATA!A4955</f>
        <v/>
      </c>
      <c r="B4955">
        <f>TEST_DATA!B4955</f>
        <v/>
      </c>
      <c r="C4955">
        <f>TEST_DATA!C4955</f>
        <v/>
      </c>
      <c r="D4955">
        <f>TEST_DATA!D4955</f>
        <v/>
      </c>
      <c r="E4955">
        <f>TEST_DATA!E4955</f>
        <v/>
      </c>
      <c r="F4955">
        <f>MIN(E4955*495500,10000)</f>
        <v/>
      </c>
      <c r="G4955">
        <f>MINIFS(CBIC_Late_Fee_Relief_Windows_3B!$O$4955:$O$100,CBIC_Late_Fee_Relief_Windows_3B!$D$4955:$D$100,"&lt;="&amp;B4955,CBIC_Late_Fee_Relief_Windows_3B!$E$4955:$E$100,"&gt;="&amp;B4955,CBIC_Late_Fee_Relief_Windows_3B!$F$4955:$F$100,"&lt;="&amp;C4955,CBIC_Late_Fee_Relief_Windows_3B!$G$4955:$G$100,"&gt;="&amp;C4955)</f>
        <v/>
      </c>
      <c r="H4955">
        <f>INDEX(CBIC_Late_Fee_Relief_Windows_3B!$I$4955:$I$100,MATCH(G4955,CBIC_Late_Fee_Relief_Windows_3B!$O$4955:$O$100,0))</f>
        <v/>
      </c>
      <c r="I4955">
        <f>MIN(F4955,H4955)</f>
        <v/>
      </c>
    </row>
    <row r="4956">
      <c r="A4956">
        <f>TEST_DATA!A4956</f>
        <v/>
      </c>
      <c r="B4956">
        <f>TEST_DATA!B4956</f>
        <v/>
      </c>
      <c r="C4956">
        <f>TEST_DATA!C4956</f>
        <v/>
      </c>
      <c r="D4956">
        <f>TEST_DATA!D4956</f>
        <v/>
      </c>
      <c r="E4956">
        <f>TEST_DATA!E4956</f>
        <v/>
      </c>
      <c r="F4956">
        <f>MIN(E4956*495600,10000)</f>
        <v/>
      </c>
      <c r="G4956">
        <f>MINIFS(CBIC_Late_Fee_Relief_Windows_3B!$O$4956:$O$100,CBIC_Late_Fee_Relief_Windows_3B!$D$4956:$D$100,"&lt;="&amp;B4956,CBIC_Late_Fee_Relief_Windows_3B!$E$4956:$E$100,"&gt;="&amp;B4956,CBIC_Late_Fee_Relief_Windows_3B!$F$4956:$F$100,"&lt;="&amp;C4956,CBIC_Late_Fee_Relief_Windows_3B!$G$4956:$G$100,"&gt;="&amp;C4956)</f>
        <v/>
      </c>
      <c r="H4956">
        <f>INDEX(CBIC_Late_Fee_Relief_Windows_3B!$I$4956:$I$100,MATCH(G4956,CBIC_Late_Fee_Relief_Windows_3B!$O$4956:$O$100,0))</f>
        <v/>
      </c>
      <c r="I4956">
        <f>MIN(F4956,H4956)</f>
        <v/>
      </c>
    </row>
    <row r="4957">
      <c r="A4957">
        <f>TEST_DATA!A4957</f>
        <v/>
      </c>
      <c r="B4957">
        <f>TEST_DATA!B4957</f>
        <v/>
      </c>
      <c r="C4957">
        <f>TEST_DATA!C4957</f>
        <v/>
      </c>
      <c r="D4957">
        <f>TEST_DATA!D4957</f>
        <v/>
      </c>
      <c r="E4957">
        <f>TEST_DATA!E4957</f>
        <v/>
      </c>
      <c r="F4957">
        <f>MIN(E4957*495700,10000)</f>
        <v/>
      </c>
      <c r="G4957">
        <f>MINIFS(CBIC_Late_Fee_Relief_Windows_3B!$O$4957:$O$100,CBIC_Late_Fee_Relief_Windows_3B!$D$4957:$D$100,"&lt;="&amp;B4957,CBIC_Late_Fee_Relief_Windows_3B!$E$4957:$E$100,"&gt;="&amp;B4957,CBIC_Late_Fee_Relief_Windows_3B!$F$4957:$F$100,"&lt;="&amp;C4957,CBIC_Late_Fee_Relief_Windows_3B!$G$4957:$G$100,"&gt;="&amp;C4957)</f>
        <v/>
      </c>
      <c r="H4957">
        <f>INDEX(CBIC_Late_Fee_Relief_Windows_3B!$I$4957:$I$100,MATCH(G4957,CBIC_Late_Fee_Relief_Windows_3B!$O$4957:$O$100,0))</f>
        <v/>
      </c>
      <c r="I4957">
        <f>MIN(F4957,H4957)</f>
        <v/>
      </c>
    </row>
    <row r="4958">
      <c r="A4958">
        <f>TEST_DATA!A4958</f>
        <v/>
      </c>
      <c r="B4958">
        <f>TEST_DATA!B4958</f>
        <v/>
      </c>
      <c r="C4958">
        <f>TEST_DATA!C4958</f>
        <v/>
      </c>
      <c r="D4958">
        <f>TEST_DATA!D4958</f>
        <v/>
      </c>
      <c r="E4958">
        <f>TEST_DATA!E4958</f>
        <v/>
      </c>
      <c r="F4958">
        <f>MIN(E4958*495800,10000)</f>
        <v/>
      </c>
      <c r="G4958">
        <f>MINIFS(CBIC_Late_Fee_Relief_Windows_3B!$O$4958:$O$100,CBIC_Late_Fee_Relief_Windows_3B!$D$4958:$D$100,"&lt;="&amp;B4958,CBIC_Late_Fee_Relief_Windows_3B!$E$4958:$E$100,"&gt;="&amp;B4958,CBIC_Late_Fee_Relief_Windows_3B!$F$4958:$F$100,"&lt;="&amp;C4958,CBIC_Late_Fee_Relief_Windows_3B!$G$4958:$G$100,"&gt;="&amp;C4958)</f>
        <v/>
      </c>
      <c r="H4958">
        <f>INDEX(CBIC_Late_Fee_Relief_Windows_3B!$I$4958:$I$100,MATCH(G4958,CBIC_Late_Fee_Relief_Windows_3B!$O$4958:$O$100,0))</f>
        <v/>
      </c>
      <c r="I4958">
        <f>MIN(F4958,H4958)</f>
        <v/>
      </c>
    </row>
    <row r="4959">
      <c r="A4959">
        <f>TEST_DATA!A4959</f>
        <v/>
      </c>
      <c r="B4959">
        <f>TEST_DATA!B4959</f>
        <v/>
      </c>
      <c r="C4959">
        <f>TEST_DATA!C4959</f>
        <v/>
      </c>
      <c r="D4959">
        <f>TEST_DATA!D4959</f>
        <v/>
      </c>
      <c r="E4959">
        <f>TEST_DATA!E4959</f>
        <v/>
      </c>
      <c r="F4959">
        <f>MIN(E4959*495900,10000)</f>
        <v/>
      </c>
      <c r="G4959">
        <f>MINIFS(CBIC_Late_Fee_Relief_Windows_3B!$O$4959:$O$100,CBIC_Late_Fee_Relief_Windows_3B!$D$4959:$D$100,"&lt;="&amp;B4959,CBIC_Late_Fee_Relief_Windows_3B!$E$4959:$E$100,"&gt;="&amp;B4959,CBIC_Late_Fee_Relief_Windows_3B!$F$4959:$F$100,"&lt;="&amp;C4959,CBIC_Late_Fee_Relief_Windows_3B!$G$4959:$G$100,"&gt;="&amp;C4959)</f>
        <v/>
      </c>
      <c r="H4959">
        <f>INDEX(CBIC_Late_Fee_Relief_Windows_3B!$I$4959:$I$100,MATCH(G4959,CBIC_Late_Fee_Relief_Windows_3B!$O$4959:$O$100,0))</f>
        <v/>
      </c>
      <c r="I4959">
        <f>MIN(F4959,H4959)</f>
        <v/>
      </c>
    </row>
    <row r="4960">
      <c r="A4960">
        <f>TEST_DATA!A4960</f>
        <v/>
      </c>
      <c r="B4960">
        <f>TEST_DATA!B4960</f>
        <v/>
      </c>
      <c r="C4960">
        <f>TEST_DATA!C4960</f>
        <v/>
      </c>
      <c r="D4960">
        <f>TEST_DATA!D4960</f>
        <v/>
      </c>
      <c r="E4960">
        <f>TEST_DATA!E4960</f>
        <v/>
      </c>
      <c r="F4960">
        <f>MIN(E4960*496000,10000)</f>
        <v/>
      </c>
      <c r="G4960">
        <f>MINIFS(CBIC_Late_Fee_Relief_Windows_3B!$O$4960:$O$100,CBIC_Late_Fee_Relief_Windows_3B!$D$4960:$D$100,"&lt;="&amp;B4960,CBIC_Late_Fee_Relief_Windows_3B!$E$4960:$E$100,"&gt;="&amp;B4960,CBIC_Late_Fee_Relief_Windows_3B!$F$4960:$F$100,"&lt;="&amp;C4960,CBIC_Late_Fee_Relief_Windows_3B!$G$4960:$G$100,"&gt;="&amp;C4960)</f>
        <v/>
      </c>
      <c r="H4960">
        <f>INDEX(CBIC_Late_Fee_Relief_Windows_3B!$I$4960:$I$100,MATCH(G4960,CBIC_Late_Fee_Relief_Windows_3B!$O$4960:$O$100,0))</f>
        <v/>
      </c>
      <c r="I4960">
        <f>MIN(F4960,H4960)</f>
        <v/>
      </c>
    </row>
    <row r="4961">
      <c r="A4961">
        <f>TEST_DATA!A4961</f>
        <v/>
      </c>
      <c r="B4961">
        <f>TEST_DATA!B4961</f>
        <v/>
      </c>
      <c r="C4961">
        <f>TEST_DATA!C4961</f>
        <v/>
      </c>
      <c r="D4961">
        <f>TEST_DATA!D4961</f>
        <v/>
      </c>
      <c r="E4961">
        <f>TEST_DATA!E4961</f>
        <v/>
      </c>
      <c r="F4961">
        <f>MIN(E4961*496100,10000)</f>
        <v/>
      </c>
      <c r="G4961">
        <f>MINIFS(CBIC_Late_Fee_Relief_Windows_3B!$O$4961:$O$100,CBIC_Late_Fee_Relief_Windows_3B!$D$4961:$D$100,"&lt;="&amp;B4961,CBIC_Late_Fee_Relief_Windows_3B!$E$4961:$E$100,"&gt;="&amp;B4961,CBIC_Late_Fee_Relief_Windows_3B!$F$4961:$F$100,"&lt;="&amp;C4961,CBIC_Late_Fee_Relief_Windows_3B!$G$4961:$G$100,"&gt;="&amp;C4961)</f>
        <v/>
      </c>
      <c r="H4961">
        <f>INDEX(CBIC_Late_Fee_Relief_Windows_3B!$I$4961:$I$100,MATCH(G4961,CBIC_Late_Fee_Relief_Windows_3B!$O$4961:$O$100,0))</f>
        <v/>
      </c>
      <c r="I4961">
        <f>MIN(F4961,H4961)</f>
        <v/>
      </c>
    </row>
    <row r="4962">
      <c r="A4962">
        <f>TEST_DATA!A4962</f>
        <v/>
      </c>
      <c r="B4962">
        <f>TEST_DATA!B4962</f>
        <v/>
      </c>
      <c r="C4962">
        <f>TEST_DATA!C4962</f>
        <v/>
      </c>
      <c r="D4962">
        <f>TEST_DATA!D4962</f>
        <v/>
      </c>
      <c r="E4962">
        <f>TEST_DATA!E4962</f>
        <v/>
      </c>
      <c r="F4962">
        <f>MIN(E4962*496200,10000)</f>
        <v/>
      </c>
      <c r="G4962">
        <f>MINIFS(CBIC_Late_Fee_Relief_Windows_3B!$O$4962:$O$100,CBIC_Late_Fee_Relief_Windows_3B!$D$4962:$D$100,"&lt;="&amp;B4962,CBIC_Late_Fee_Relief_Windows_3B!$E$4962:$E$100,"&gt;="&amp;B4962,CBIC_Late_Fee_Relief_Windows_3B!$F$4962:$F$100,"&lt;="&amp;C4962,CBIC_Late_Fee_Relief_Windows_3B!$G$4962:$G$100,"&gt;="&amp;C4962)</f>
        <v/>
      </c>
      <c r="H4962">
        <f>INDEX(CBIC_Late_Fee_Relief_Windows_3B!$I$4962:$I$100,MATCH(G4962,CBIC_Late_Fee_Relief_Windows_3B!$O$4962:$O$100,0))</f>
        <v/>
      </c>
      <c r="I4962">
        <f>MIN(F4962,H4962)</f>
        <v/>
      </c>
    </row>
    <row r="4963">
      <c r="A4963">
        <f>TEST_DATA!A4963</f>
        <v/>
      </c>
      <c r="B4963">
        <f>TEST_DATA!B4963</f>
        <v/>
      </c>
      <c r="C4963">
        <f>TEST_DATA!C4963</f>
        <v/>
      </c>
      <c r="D4963">
        <f>TEST_DATA!D4963</f>
        <v/>
      </c>
      <c r="E4963">
        <f>TEST_DATA!E4963</f>
        <v/>
      </c>
      <c r="F4963">
        <f>MIN(E4963*496300,10000)</f>
        <v/>
      </c>
      <c r="G4963">
        <f>MINIFS(CBIC_Late_Fee_Relief_Windows_3B!$O$4963:$O$100,CBIC_Late_Fee_Relief_Windows_3B!$D$4963:$D$100,"&lt;="&amp;B4963,CBIC_Late_Fee_Relief_Windows_3B!$E$4963:$E$100,"&gt;="&amp;B4963,CBIC_Late_Fee_Relief_Windows_3B!$F$4963:$F$100,"&lt;="&amp;C4963,CBIC_Late_Fee_Relief_Windows_3B!$G$4963:$G$100,"&gt;="&amp;C4963)</f>
        <v/>
      </c>
      <c r="H4963">
        <f>INDEX(CBIC_Late_Fee_Relief_Windows_3B!$I$4963:$I$100,MATCH(G4963,CBIC_Late_Fee_Relief_Windows_3B!$O$4963:$O$100,0))</f>
        <v/>
      </c>
      <c r="I4963">
        <f>MIN(F4963,H4963)</f>
        <v/>
      </c>
    </row>
    <row r="4964">
      <c r="A4964">
        <f>TEST_DATA!A4964</f>
        <v/>
      </c>
      <c r="B4964">
        <f>TEST_DATA!B4964</f>
        <v/>
      </c>
      <c r="C4964">
        <f>TEST_DATA!C4964</f>
        <v/>
      </c>
      <c r="D4964">
        <f>TEST_DATA!D4964</f>
        <v/>
      </c>
      <c r="E4964">
        <f>TEST_DATA!E4964</f>
        <v/>
      </c>
      <c r="F4964">
        <f>MIN(E4964*496400,10000)</f>
        <v/>
      </c>
      <c r="G4964">
        <f>MINIFS(CBIC_Late_Fee_Relief_Windows_3B!$O$4964:$O$100,CBIC_Late_Fee_Relief_Windows_3B!$D$4964:$D$100,"&lt;="&amp;B4964,CBIC_Late_Fee_Relief_Windows_3B!$E$4964:$E$100,"&gt;="&amp;B4964,CBIC_Late_Fee_Relief_Windows_3B!$F$4964:$F$100,"&lt;="&amp;C4964,CBIC_Late_Fee_Relief_Windows_3B!$G$4964:$G$100,"&gt;="&amp;C4964)</f>
        <v/>
      </c>
      <c r="H4964">
        <f>INDEX(CBIC_Late_Fee_Relief_Windows_3B!$I$4964:$I$100,MATCH(G4964,CBIC_Late_Fee_Relief_Windows_3B!$O$4964:$O$100,0))</f>
        <v/>
      </c>
      <c r="I4964">
        <f>MIN(F4964,H4964)</f>
        <v/>
      </c>
    </row>
    <row r="4965">
      <c r="A4965">
        <f>TEST_DATA!A4965</f>
        <v/>
      </c>
      <c r="B4965">
        <f>TEST_DATA!B4965</f>
        <v/>
      </c>
      <c r="C4965">
        <f>TEST_DATA!C4965</f>
        <v/>
      </c>
      <c r="D4965">
        <f>TEST_DATA!D4965</f>
        <v/>
      </c>
      <c r="E4965">
        <f>TEST_DATA!E4965</f>
        <v/>
      </c>
      <c r="F4965">
        <f>MIN(E4965*496500,10000)</f>
        <v/>
      </c>
      <c r="G4965">
        <f>MINIFS(CBIC_Late_Fee_Relief_Windows_3B!$O$4965:$O$100,CBIC_Late_Fee_Relief_Windows_3B!$D$4965:$D$100,"&lt;="&amp;B4965,CBIC_Late_Fee_Relief_Windows_3B!$E$4965:$E$100,"&gt;="&amp;B4965,CBIC_Late_Fee_Relief_Windows_3B!$F$4965:$F$100,"&lt;="&amp;C4965,CBIC_Late_Fee_Relief_Windows_3B!$G$4965:$G$100,"&gt;="&amp;C4965)</f>
        <v/>
      </c>
      <c r="H4965">
        <f>INDEX(CBIC_Late_Fee_Relief_Windows_3B!$I$4965:$I$100,MATCH(G4965,CBIC_Late_Fee_Relief_Windows_3B!$O$4965:$O$100,0))</f>
        <v/>
      </c>
      <c r="I4965">
        <f>MIN(F4965,H4965)</f>
        <v/>
      </c>
    </row>
    <row r="4966">
      <c r="A4966">
        <f>TEST_DATA!A4966</f>
        <v/>
      </c>
      <c r="B4966">
        <f>TEST_DATA!B4966</f>
        <v/>
      </c>
      <c r="C4966">
        <f>TEST_DATA!C4966</f>
        <v/>
      </c>
      <c r="D4966">
        <f>TEST_DATA!D4966</f>
        <v/>
      </c>
      <c r="E4966">
        <f>TEST_DATA!E4966</f>
        <v/>
      </c>
      <c r="F4966">
        <f>MIN(E4966*496600,10000)</f>
        <v/>
      </c>
      <c r="G4966">
        <f>MINIFS(CBIC_Late_Fee_Relief_Windows_3B!$O$4966:$O$100,CBIC_Late_Fee_Relief_Windows_3B!$D$4966:$D$100,"&lt;="&amp;B4966,CBIC_Late_Fee_Relief_Windows_3B!$E$4966:$E$100,"&gt;="&amp;B4966,CBIC_Late_Fee_Relief_Windows_3B!$F$4966:$F$100,"&lt;="&amp;C4966,CBIC_Late_Fee_Relief_Windows_3B!$G$4966:$G$100,"&gt;="&amp;C4966)</f>
        <v/>
      </c>
      <c r="H4966">
        <f>INDEX(CBIC_Late_Fee_Relief_Windows_3B!$I$4966:$I$100,MATCH(G4966,CBIC_Late_Fee_Relief_Windows_3B!$O$4966:$O$100,0))</f>
        <v/>
      </c>
      <c r="I4966">
        <f>MIN(F4966,H4966)</f>
        <v/>
      </c>
    </row>
    <row r="4967">
      <c r="A4967">
        <f>TEST_DATA!A4967</f>
        <v/>
      </c>
      <c r="B4967">
        <f>TEST_DATA!B4967</f>
        <v/>
      </c>
      <c r="C4967">
        <f>TEST_DATA!C4967</f>
        <v/>
      </c>
      <c r="D4967">
        <f>TEST_DATA!D4967</f>
        <v/>
      </c>
      <c r="E4967">
        <f>TEST_DATA!E4967</f>
        <v/>
      </c>
      <c r="F4967">
        <f>MIN(E4967*496700,10000)</f>
        <v/>
      </c>
      <c r="G4967">
        <f>MINIFS(CBIC_Late_Fee_Relief_Windows_3B!$O$4967:$O$100,CBIC_Late_Fee_Relief_Windows_3B!$D$4967:$D$100,"&lt;="&amp;B4967,CBIC_Late_Fee_Relief_Windows_3B!$E$4967:$E$100,"&gt;="&amp;B4967,CBIC_Late_Fee_Relief_Windows_3B!$F$4967:$F$100,"&lt;="&amp;C4967,CBIC_Late_Fee_Relief_Windows_3B!$G$4967:$G$100,"&gt;="&amp;C4967)</f>
        <v/>
      </c>
      <c r="H4967">
        <f>INDEX(CBIC_Late_Fee_Relief_Windows_3B!$I$4967:$I$100,MATCH(G4967,CBIC_Late_Fee_Relief_Windows_3B!$O$4967:$O$100,0))</f>
        <v/>
      </c>
      <c r="I4967">
        <f>MIN(F4967,H4967)</f>
        <v/>
      </c>
    </row>
    <row r="4968">
      <c r="A4968">
        <f>TEST_DATA!A4968</f>
        <v/>
      </c>
      <c r="B4968">
        <f>TEST_DATA!B4968</f>
        <v/>
      </c>
      <c r="C4968">
        <f>TEST_DATA!C4968</f>
        <v/>
      </c>
      <c r="D4968">
        <f>TEST_DATA!D4968</f>
        <v/>
      </c>
      <c r="E4968">
        <f>TEST_DATA!E4968</f>
        <v/>
      </c>
      <c r="F4968">
        <f>MIN(E4968*496800,10000)</f>
        <v/>
      </c>
      <c r="G4968">
        <f>MINIFS(CBIC_Late_Fee_Relief_Windows_3B!$O$4968:$O$100,CBIC_Late_Fee_Relief_Windows_3B!$D$4968:$D$100,"&lt;="&amp;B4968,CBIC_Late_Fee_Relief_Windows_3B!$E$4968:$E$100,"&gt;="&amp;B4968,CBIC_Late_Fee_Relief_Windows_3B!$F$4968:$F$100,"&lt;="&amp;C4968,CBIC_Late_Fee_Relief_Windows_3B!$G$4968:$G$100,"&gt;="&amp;C4968)</f>
        <v/>
      </c>
      <c r="H4968">
        <f>INDEX(CBIC_Late_Fee_Relief_Windows_3B!$I$4968:$I$100,MATCH(G4968,CBIC_Late_Fee_Relief_Windows_3B!$O$4968:$O$100,0))</f>
        <v/>
      </c>
      <c r="I4968">
        <f>MIN(F4968,H4968)</f>
        <v/>
      </c>
    </row>
    <row r="4969">
      <c r="A4969">
        <f>TEST_DATA!A4969</f>
        <v/>
      </c>
      <c r="B4969">
        <f>TEST_DATA!B4969</f>
        <v/>
      </c>
      <c r="C4969">
        <f>TEST_DATA!C4969</f>
        <v/>
      </c>
      <c r="D4969">
        <f>TEST_DATA!D4969</f>
        <v/>
      </c>
      <c r="E4969">
        <f>TEST_DATA!E4969</f>
        <v/>
      </c>
      <c r="F4969">
        <f>MIN(E4969*496900,10000)</f>
        <v/>
      </c>
      <c r="G4969">
        <f>MINIFS(CBIC_Late_Fee_Relief_Windows_3B!$O$4969:$O$100,CBIC_Late_Fee_Relief_Windows_3B!$D$4969:$D$100,"&lt;="&amp;B4969,CBIC_Late_Fee_Relief_Windows_3B!$E$4969:$E$100,"&gt;="&amp;B4969,CBIC_Late_Fee_Relief_Windows_3B!$F$4969:$F$100,"&lt;="&amp;C4969,CBIC_Late_Fee_Relief_Windows_3B!$G$4969:$G$100,"&gt;="&amp;C4969)</f>
        <v/>
      </c>
      <c r="H4969">
        <f>INDEX(CBIC_Late_Fee_Relief_Windows_3B!$I$4969:$I$100,MATCH(G4969,CBIC_Late_Fee_Relief_Windows_3B!$O$4969:$O$100,0))</f>
        <v/>
      </c>
      <c r="I4969">
        <f>MIN(F4969,H4969)</f>
        <v/>
      </c>
    </row>
    <row r="4970">
      <c r="A4970">
        <f>TEST_DATA!A4970</f>
        <v/>
      </c>
      <c r="B4970">
        <f>TEST_DATA!B4970</f>
        <v/>
      </c>
      <c r="C4970">
        <f>TEST_DATA!C4970</f>
        <v/>
      </c>
      <c r="D4970">
        <f>TEST_DATA!D4970</f>
        <v/>
      </c>
      <c r="E4970">
        <f>TEST_DATA!E4970</f>
        <v/>
      </c>
      <c r="F4970">
        <f>MIN(E4970*497000,10000)</f>
        <v/>
      </c>
      <c r="G4970">
        <f>MINIFS(CBIC_Late_Fee_Relief_Windows_3B!$O$4970:$O$100,CBIC_Late_Fee_Relief_Windows_3B!$D$4970:$D$100,"&lt;="&amp;B4970,CBIC_Late_Fee_Relief_Windows_3B!$E$4970:$E$100,"&gt;="&amp;B4970,CBIC_Late_Fee_Relief_Windows_3B!$F$4970:$F$100,"&lt;="&amp;C4970,CBIC_Late_Fee_Relief_Windows_3B!$G$4970:$G$100,"&gt;="&amp;C4970)</f>
        <v/>
      </c>
      <c r="H4970">
        <f>INDEX(CBIC_Late_Fee_Relief_Windows_3B!$I$4970:$I$100,MATCH(G4970,CBIC_Late_Fee_Relief_Windows_3B!$O$4970:$O$100,0))</f>
        <v/>
      </c>
      <c r="I4970">
        <f>MIN(F4970,H4970)</f>
        <v/>
      </c>
    </row>
    <row r="4971">
      <c r="A4971">
        <f>TEST_DATA!A4971</f>
        <v/>
      </c>
      <c r="B4971">
        <f>TEST_DATA!B4971</f>
        <v/>
      </c>
      <c r="C4971">
        <f>TEST_DATA!C4971</f>
        <v/>
      </c>
      <c r="D4971">
        <f>TEST_DATA!D4971</f>
        <v/>
      </c>
      <c r="E4971">
        <f>TEST_DATA!E4971</f>
        <v/>
      </c>
      <c r="F4971">
        <f>MIN(E4971*497100,10000)</f>
        <v/>
      </c>
      <c r="G4971">
        <f>MINIFS(CBIC_Late_Fee_Relief_Windows_3B!$O$4971:$O$100,CBIC_Late_Fee_Relief_Windows_3B!$D$4971:$D$100,"&lt;="&amp;B4971,CBIC_Late_Fee_Relief_Windows_3B!$E$4971:$E$100,"&gt;="&amp;B4971,CBIC_Late_Fee_Relief_Windows_3B!$F$4971:$F$100,"&lt;="&amp;C4971,CBIC_Late_Fee_Relief_Windows_3B!$G$4971:$G$100,"&gt;="&amp;C4971)</f>
        <v/>
      </c>
      <c r="H4971">
        <f>INDEX(CBIC_Late_Fee_Relief_Windows_3B!$I$4971:$I$100,MATCH(G4971,CBIC_Late_Fee_Relief_Windows_3B!$O$4971:$O$100,0))</f>
        <v/>
      </c>
      <c r="I4971">
        <f>MIN(F4971,H4971)</f>
        <v/>
      </c>
    </row>
    <row r="4972">
      <c r="A4972">
        <f>TEST_DATA!A4972</f>
        <v/>
      </c>
      <c r="B4972">
        <f>TEST_DATA!B4972</f>
        <v/>
      </c>
      <c r="C4972">
        <f>TEST_DATA!C4972</f>
        <v/>
      </c>
      <c r="D4972">
        <f>TEST_DATA!D4972</f>
        <v/>
      </c>
      <c r="E4972">
        <f>TEST_DATA!E4972</f>
        <v/>
      </c>
      <c r="F4972">
        <f>MIN(E4972*497200,10000)</f>
        <v/>
      </c>
      <c r="G4972">
        <f>MINIFS(CBIC_Late_Fee_Relief_Windows_3B!$O$4972:$O$100,CBIC_Late_Fee_Relief_Windows_3B!$D$4972:$D$100,"&lt;="&amp;B4972,CBIC_Late_Fee_Relief_Windows_3B!$E$4972:$E$100,"&gt;="&amp;B4972,CBIC_Late_Fee_Relief_Windows_3B!$F$4972:$F$100,"&lt;="&amp;C4972,CBIC_Late_Fee_Relief_Windows_3B!$G$4972:$G$100,"&gt;="&amp;C4972)</f>
        <v/>
      </c>
      <c r="H4972">
        <f>INDEX(CBIC_Late_Fee_Relief_Windows_3B!$I$4972:$I$100,MATCH(G4972,CBIC_Late_Fee_Relief_Windows_3B!$O$4972:$O$100,0))</f>
        <v/>
      </c>
      <c r="I4972">
        <f>MIN(F4972,H4972)</f>
        <v/>
      </c>
    </row>
    <row r="4973">
      <c r="A4973">
        <f>TEST_DATA!A4973</f>
        <v/>
      </c>
      <c r="B4973">
        <f>TEST_DATA!B4973</f>
        <v/>
      </c>
      <c r="C4973">
        <f>TEST_DATA!C4973</f>
        <v/>
      </c>
      <c r="D4973">
        <f>TEST_DATA!D4973</f>
        <v/>
      </c>
      <c r="E4973">
        <f>TEST_DATA!E4973</f>
        <v/>
      </c>
      <c r="F4973">
        <f>MIN(E4973*497300,10000)</f>
        <v/>
      </c>
      <c r="G4973">
        <f>MINIFS(CBIC_Late_Fee_Relief_Windows_3B!$O$4973:$O$100,CBIC_Late_Fee_Relief_Windows_3B!$D$4973:$D$100,"&lt;="&amp;B4973,CBIC_Late_Fee_Relief_Windows_3B!$E$4973:$E$100,"&gt;="&amp;B4973,CBIC_Late_Fee_Relief_Windows_3B!$F$4973:$F$100,"&lt;="&amp;C4973,CBIC_Late_Fee_Relief_Windows_3B!$G$4973:$G$100,"&gt;="&amp;C4973)</f>
        <v/>
      </c>
      <c r="H4973">
        <f>INDEX(CBIC_Late_Fee_Relief_Windows_3B!$I$4973:$I$100,MATCH(G4973,CBIC_Late_Fee_Relief_Windows_3B!$O$4973:$O$100,0))</f>
        <v/>
      </c>
      <c r="I4973">
        <f>MIN(F4973,H4973)</f>
        <v/>
      </c>
    </row>
    <row r="4974">
      <c r="A4974">
        <f>TEST_DATA!A4974</f>
        <v/>
      </c>
      <c r="B4974">
        <f>TEST_DATA!B4974</f>
        <v/>
      </c>
      <c r="C4974">
        <f>TEST_DATA!C4974</f>
        <v/>
      </c>
      <c r="D4974">
        <f>TEST_DATA!D4974</f>
        <v/>
      </c>
      <c r="E4974">
        <f>TEST_DATA!E4974</f>
        <v/>
      </c>
      <c r="F4974">
        <f>MIN(E4974*497400,10000)</f>
        <v/>
      </c>
      <c r="G4974">
        <f>MINIFS(CBIC_Late_Fee_Relief_Windows_3B!$O$4974:$O$100,CBIC_Late_Fee_Relief_Windows_3B!$D$4974:$D$100,"&lt;="&amp;B4974,CBIC_Late_Fee_Relief_Windows_3B!$E$4974:$E$100,"&gt;="&amp;B4974,CBIC_Late_Fee_Relief_Windows_3B!$F$4974:$F$100,"&lt;="&amp;C4974,CBIC_Late_Fee_Relief_Windows_3B!$G$4974:$G$100,"&gt;="&amp;C4974)</f>
        <v/>
      </c>
      <c r="H4974">
        <f>INDEX(CBIC_Late_Fee_Relief_Windows_3B!$I$4974:$I$100,MATCH(G4974,CBIC_Late_Fee_Relief_Windows_3B!$O$4974:$O$100,0))</f>
        <v/>
      </c>
      <c r="I4974">
        <f>MIN(F4974,H4974)</f>
        <v/>
      </c>
    </row>
    <row r="4975">
      <c r="A4975">
        <f>TEST_DATA!A4975</f>
        <v/>
      </c>
      <c r="B4975">
        <f>TEST_DATA!B4975</f>
        <v/>
      </c>
      <c r="C4975">
        <f>TEST_DATA!C4975</f>
        <v/>
      </c>
      <c r="D4975">
        <f>TEST_DATA!D4975</f>
        <v/>
      </c>
      <c r="E4975">
        <f>TEST_DATA!E4975</f>
        <v/>
      </c>
      <c r="F4975">
        <f>MIN(E4975*497500,10000)</f>
        <v/>
      </c>
      <c r="G4975">
        <f>MINIFS(CBIC_Late_Fee_Relief_Windows_3B!$O$4975:$O$100,CBIC_Late_Fee_Relief_Windows_3B!$D$4975:$D$100,"&lt;="&amp;B4975,CBIC_Late_Fee_Relief_Windows_3B!$E$4975:$E$100,"&gt;="&amp;B4975,CBIC_Late_Fee_Relief_Windows_3B!$F$4975:$F$100,"&lt;="&amp;C4975,CBIC_Late_Fee_Relief_Windows_3B!$G$4975:$G$100,"&gt;="&amp;C4975)</f>
        <v/>
      </c>
      <c r="H4975">
        <f>INDEX(CBIC_Late_Fee_Relief_Windows_3B!$I$4975:$I$100,MATCH(G4975,CBIC_Late_Fee_Relief_Windows_3B!$O$4975:$O$100,0))</f>
        <v/>
      </c>
      <c r="I4975">
        <f>MIN(F4975,H4975)</f>
        <v/>
      </c>
    </row>
    <row r="4976">
      <c r="A4976">
        <f>TEST_DATA!A4976</f>
        <v/>
      </c>
      <c r="B4976">
        <f>TEST_DATA!B4976</f>
        <v/>
      </c>
      <c r="C4976">
        <f>TEST_DATA!C4976</f>
        <v/>
      </c>
      <c r="D4976">
        <f>TEST_DATA!D4976</f>
        <v/>
      </c>
      <c r="E4976">
        <f>TEST_DATA!E4976</f>
        <v/>
      </c>
      <c r="F4976">
        <f>MIN(E4976*497600,10000)</f>
        <v/>
      </c>
      <c r="G4976">
        <f>MINIFS(CBIC_Late_Fee_Relief_Windows_3B!$O$4976:$O$100,CBIC_Late_Fee_Relief_Windows_3B!$D$4976:$D$100,"&lt;="&amp;B4976,CBIC_Late_Fee_Relief_Windows_3B!$E$4976:$E$100,"&gt;="&amp;B4976,CBIC_Late_Fee_Relief_Windows_3B!$F$4976:$F$100,"&lt;="&amp;C4976,CBIC_Late_Fee_Relief_Windows_3B!$G$4976:$G$100,"&gt;="&amp;C4976)</f>
        <v/>
      </c>
      <c r="H4976">
        <f>INDEX(CBIC_Late_Fee_Relief_Windows_3B!$I$4976:$I$100,MATCH(G4976,CBIC_Late_Fee_Relief_Windows_3B!$O$4976:$O$100,0))</f>
        <v/>
      </c>
      <c r="I4976">
        <f>MIN(F4976,H4976)</f>
        <v/>
      </c>
    </row>
    <row r="4977">
      <c r="A4977">
        <f>TEST_DATA!A4977</f>
        <v/>
      </c>
      <c r="B4977">
        <f>TEST_DATA!B4977</f>
        <v/>
      </c>
      <c r="C4977">
        <f>TEST_DATA!C4977</f>
        <v/>
      </c>
      <c r="D4977">
        <f>TEST_DATA!D4977</f>
        <v/>
      </c>
      <c r="E4977">
        <f>TEST_DATA!E4977</f>
        <v/>
      </c>
      <c r="F4977">
        <f>MIN(E4977*497700,10000)</f>
        <v/>
      </c>
      <c r="G4977">
        <f>MINIFS(CBIC_Late_Fee_Relief_Windows_3B!$O$4977:$O$100,CBIC_Late_Fee_Relief_Windows_3B!$D$4977:$D$100,"&lt;="&amp;B4977,CBIC_Late_Fee_Relief_Windows_3B!$E$4977:$E$100,"&gt;="&amp;B4977,CBIC_Late_Fee_Relief_Windows_3B!$F$4977:$F$100,"&lt;="&amp;C4977,CBIC_Late_Fee_Relief_Windows_3B!$G$4977:$G$100,"&gt;="&amp;C4977)</f>
        <v/>
      </c>
      <c r="H4977">
        <f>INDEX(CBIC_Late_Fee_Relief_Windows_3B!$I$4977:$I$100,MATCH(G4977,CBIC_Late_Fee_Relief_Windows_3B!$O$4977:$O$100,0))</f>
        <v/>
      </c>
      <c r="I4977">
        <f>MIN(F4977,H4977)</f>
        <v/>
      </c>
    </row>
    <row r="4978">
      <c r="A4978">
        <f>TEST_DATA!A4978</f>
        <v/>
      </c>
      <c r="B4978">
        <f>TEST_DATA!B4978</f>
        <v/>
      </c>
      <c r="C4978">
        <f>TEST_DATA!C4978</f>
        <v/>
      </c>
      <c r="D4978">
        <f>TEST_DATA!D4978</f>
        <v/>
      </c>
      <c r="E4978">
        <f>TEST_DATA!E4978</f>
        <v/>
      </c>
      <c r="F4978">
        <f>MIN(E4978*497800,10000)</f>
        <v/>
      </c>
      <c r="G4978">
        <f>MINIFS(CBIC_Late_Fee_Relief_Windows_3B!$O$4978:$O$100,CBIC_Late_Fee_Relief_Windows_3B!$D$4978:$D$100,"&lt;="&amp;B4978,CBIC_Late_Fee_Relief_Windows_3B!$E$4978:$E$100,"&gt;="&amp;B4978,CBIC_Late_Fee_Relief_Windows_3B!$F$4978:$F$100,"&lt;="&amp;C4978,CBIC_Late_Fee_Relief_Windows_3B!$G$4978:$G$100,"&gt;="&amp;C4978)</f>
        <v/>
      </c>
      <c r="H4978">
        <f>INDEX(CBIC_Late_Fee_Relief_Windows_3B!$I$4978:$I$100,MATCH(G4978,CBIC_Late_Fee_Relief_Windows_3B!$O$4978:$O$100,0))</f>
        <v/>
      </c>
      <c r="I4978">
        <f>MIN(F4978,H4978)</f>
        <v/>
      </c>
    </row>
    <row r="4979">
      <c r="A4979">
        <f>TEST_DATA!A4979</f>
        <v/>
      </c>
      <c r="B4979">
        <f>TEST_DATA!B4979</f>
        <v/>
      </c>
      <c r="C4979">
        <f>TEST_DATA!C4979</f>
        <v/>
      </c>
      <c r="D4979">
        <f>TEST_DATA!D4979</f>
        <v/>
      </c>
      <c r="E4979">
        <f>TEST_DATA!E4979</f>
        <v/>
      </c>
      <c r="F4979">
        <f>MIN(E4979*497900,10000)</f>
        <v/>
      </c>
      <c r="G4979">
        <f>MINIFS(CBIC_Late_Fee_Relief_Windows_3B!$O$4979:$O$100,CBIC_Late_Fee_Relief_Windows_3B!$D$4979:$D$100,"&lt;="&amp;B4979,CBIC_Late_Fee_Relief_Windows_3B!$E$4979:$E$100,"&gt;="&amp;B4979,CBIC_Late_Fee_Relief_Windows_3B!$F$4979:$F$100,"&lt;="&amp;C4979,CBIC_Late_Fee_Relief_Windows_3B!$G$4979:$G$100,"&gt;="&amp;C4979)</f>
        <v/>
      </c>
      <c r="H4979">
        <f>INDEX(CBIC_Late_Fee_Relief_Windows_3B!$I$4979:$I$100,MATCH(G4979,CBIC_Late_Fee_Relief_Windows_3B!$O$4979:$O$100,0))</f>
        <v/>
      </c>
      <c r="I4979">
        <f>MIN(F4979,H4979)</f>
        <v/>
      </c>
    </row>
    <row r="4980">
      <c r="A4980">
        <f>TEST_DATA!A4980</f>
        <v/>
      </c>
      <c r="B4980">
        <f>TEST_DATA!B4980</f>
        <v/>
      </c>
      <c r="C4980">
        <f>TEST_DATA!C4980</f>
        <v/>
      </c>
      <c r="D4980">
        <f>TEST_DATA!D4980</f>
        <v/>
      </c>
      <c r="E4980">
        <f>TEST_DATA!E4980</f>
        <v/>
      </c>
      <c r="F4980">
        <f>MIN(E4980*498000,10000)</f>
        <v/>
      </c>
      <c r="G4980">
        <f>MINIFS(CBIC_Late_Fee_Relief_Windows_3B!$O$4980:$O$100,CBIC_Late_Fee_Relief_Windows_3B!$D$4980:$D$100,"&lt;="&amp;B4980,CBIC_Late_Fee_Relief_Windows_3B!$E$4980:$E$100,"&gt;="&amp;B4980,CBIC_Late_Fee_Relief_Windows_3B!$F$4980:$F$100,"&lt;="&amp;C4980,CBIC_Late_Fee_Relief_Windows_3B!$G$4980:$G$100,"&gt;="&amp;C4980)</f>
        <v/>
      </c>
      <c r="H4980">
        <f>INDEX(CBIC_Late_Fee_Relief_Windows_3B!$I$4980:$I$100,MATCH(G4980,CBIC_Late_Fee_Relief_Windows_3B!$O$4980:$O$100,0))</f>
        <v/>
      </c>
      <c r="I4980">
        <f>MIN(F4980,H4980)</f>
        <v/>
      </c>
    </row>
    <row r="4981">
      <c r="A4981">
        <f>TEST_DATA!A4981</f>
        <v/>
      </c>
      <c r="B4981">
        <f>TEST_DATA!B4981</f>
        <v/>
      </c>
      <c r="C4981">
        <f>TEST_DATA!C4981</f>
        <v/>
      </c>
      <c r="D4981">
        <f>TEST_DATA!D4981</f>
        <v/>
      </c>
      <c r="E4981">
        <f>TEST_DATA!E4981</f>
        <v/>
      </c>
      <c r="F4981">
        <f>MIN(E4981*498100,10000)</f>
        <v/>
      </c>
      <c r="G4981">
        <f>MINIFS(CBIC_Late_Fee_Relief_Windows_3B!$O$4981:$O$100,CBIC_Late_Fee_Relief_Windows_3B!$D$4981:$D$100,"&lt;="&amp;B4981,CBIC_Late_Fee_Relief_Windows_3B!$E$4981:$E$100,"&gt;="&amp;B4981,CBIC_Late_Fee_Relief_Windows_3B!$F$4981:$F$100,"&lt;="&amp;C4981,CBIC_Late_Fee_Relief_Windows_3B!$G$4981:$G$100,"&gt;="&amp;C4981)</f>
        <v/>
      </c>
      <c r="H4981">
        <f>INDEX(CBIC_Late_Fee_Relief_Windows_3B!$I$4981:$I$100,MATCH(G4981,CBIC_Late_Fee_Relief_Windows_3B!$O$4981:$O$100,0))</f>
        <v/>
      </c>
      <c r="I4981">
        <f>MIN(F4981,H4981)</f>
        <v/>
      </c>
    </row>
    <row r="4982">
      <c r="A4982">
        <f>TEST_DATA!A4982</f>
        <v/>
      </c>
      <c r="B4982">
        <f>TEST_DATA!B4982</f>
        <v/>
      </c>
      <c r="C4982">
        <f>TEST_DATA!C4982</f>
        <v/>
      </c>
      <c r="D4982">
        <f>TEST_DATA!D4982</f>
        <v/>
      </c>
      <c r="E4982">
        <f>TEST_DATA!E4982</f>
        <v/>
      </c>
      <c r="F4982">
        <f>MIN(E4982*498200,10000)</f>
        <v/>
      </c>
      <c r="G4982">
        <f>MINIFS(CBIC_Late_Fee_Relief_Windows_3B!$O$4982:$O$100,CBIC_Late_Fee_Relief_Windows_3B!$D$4982:$D$100,"&lt;="&amp;B4982,CBIC_Late_Fee_Relief_Windows_3B!$E$4982:$E$100,"&gt;="&amp;B4982,CBIC_Late_Fee_Relief_Windows_3B!$F$4982:$F$100,"&lt;="&amp;C4982,CBIC_Late_Fee_Relief_Windows_3B!$G$4982:$G$100,"&gt;="&amp;C4982)</f>
        <v/>
      </c>
      <c r="H4982">
        <f>INDEX(CBIC_Late_Fee_Relief_Windows_3B!$I$4982:$I$100,MATCH(G4982,CBIC_Late_Fee_Relief_Windows_3B!$O$4982:$O$100,0))</f>
        <v/>
      </c>
      <c r="I4982">
        <f>MIN(F4982,H4982)</f>
        <v/>
      </c>
    </row>
    <row r="4983">
      <c r="A4983">
        <f>TEST_DATA!A4983</f>
        <v/>
      </c>
      <c r="B4983">
        <f>TEST_DATA!B4983</f>
        <v/>
      </c>
      <c r="C4983">
        <f>TEST_DATA!C4983</f>
        <v/>
      </c>
      <c r="D4983">
        <f>TEST_DATA!D4983</f>
        <v/>
      </c>
      <c r="E4983">
        <f>TEST_DATA!E4983</f>
        <v/>
      </c>
      <c r="F4983">
        <f>MIN(E4983*498300,10000)</f>
        <v/>
      </c>
      <c r="G4983">
        <f>MINIFS(CBIC_Late_Fee_Relief_Windows_3B!$O$4983:$O$100,CBIC_Late_Fee_Relief_Windows_3B!$D$4983:$D$100,"&lt;="&amp;B4983,CBIC_Late_Fee_Relief_Windows_3B!$E$4983:$E$100,"&gt;="&amp;B4983,CBIC_Late_Fee_Relief_Windows_3B!$F$4983:$F$100,"&lt;="&amp;C4983,CBIC_Late_Fee_Relief_Windows_3B!$G$4983:$G$100,"&gt;="&amp;C4983)</f>
        <v/>
      </c>
      <c r="H4983">
        <f>INDEX(CBIC_Late_Fee_Relief_Windows_3B!$I$4983:$I$100,MATCH(G4983,CBIC_Late_Fee_Relief_Windows_3B!$O$4983:$O$100,0))</f>
        <v/>
      </c>
      <c r="I4983">
        <f>MIN(F4983,H4983)</f>
        <v/>
      </c>
    </row>
    <row r="4984">
      <c r="A4984">
        <f>TEST_DATA!A4984</f>
        <v/>
      </c>
      <c r="B4984">
        <f>TEST_DATA!B4984</f>
        <v/>
      </c>
      <c r="C4984">
        <f>TEST_DATA!C4984</f>
        <v/>
      </c>
      <c r="D4984">
        <f>TEST_DATA!D4984</f>
        <v/>
      </c>
      <c r="E4984">
        <f>TEST_DATA!E4984</f>
        <v/>
      </c>
      <c r="F4984">
        <f>MIN(E4984*498400,10000)</f>
        <v/>
      </c>
      <c r="G4984">
        <f>MINIFS(CBIC_Late_Fee_Relief_Windows_3B!$O$4984:$O$100,CBIC_Late_Fee_Relief_Windows_3B!$D$4984:$D$100,"&lt;="&amp;B4984,CBIC_Late_Fee_Relief_Windows_3B!$E$4984:$E$100,"&gt;="&amp;B4984,CBIC_Late_Fee_Relief_Windows_3B!$F$4984:$F$100,"&lt;="&amp;C4984,CBIC_Late_Fee_Relief_Windows_3B!$G$4984:$G$100,"&gt;="&amp;C4984)</f>
        <v/>
      </c>
      <c r="H4984">
        <f>INDEX(CBIC_Late_Fee_Relief_Windows_3B!$I$4984:$I$100,MATCH(G4984,CBIC_Late_Fee_Relief_Windows_3B!$O$4984:$O$100,0))</f>
        <v/>
      </c>
      <c r="I4984">
        <f>MIN(F4984,H4984)</f>
        <v/>
      </c>
    </row>
    <row r="4985">
      <c r="A4985">
        <f>TEST_DATA!A4985</f>
        <v/>
      </c>
      <c r="B4985">
        <f>TEST_DATA!B4985</f>
        <v/>
      </c>
      <c r="C4985">
        <f>TEST_DATA!C4985</f>
        <v/>
      </c>
      <c r="D4985">
        <f>TEST_DATA!D4985</f>
        <v/>
      </c>
      <c r="E4985">
        <f>TEST_DATA!E4985</f>
        <v/>
      </c>
      <c r="F4985">
        <f>MIN(E4985*498500,10000)</f>
        <v/>
      </c>
      <c r="G4985">
        <f>MINIFS(CBIC_Late_Fee_Relief_Windows_3B!$O$4985:$O$100,CBIC_Late_Fee_Relief_Windows_3B!$D$4985:$D$100,"&lt;="&amp;B4985,CBIC_Late_Fee_Relief_Windows_3B!$E$4985:$E$100,"&gt;="&amp;B4985,CBIC_Late_Fee_Relief_Windows_3B!$F$4985:$F$100,"&lt;="&amp;C4985,CBIC_Late_Fee_Relief_Windows_3B!$G$4985:$G$100,"&gt;="&amp;C4985)</f>
        <v/>
      </c>
      <c r="H4985">
        <f>INDEX(CBIC_Late_Fee_Relief_Windows_3B!$I$4985:$I$100,MATCH(G4985,CBIC_Late_Fee_Relief_Windows_3B!$O$4985:$O$100,0))</f>
        <v/>
      </c>
      <c r="I4985">
        <f>MIN(F4985,H4985)</f>
        <v/>
      </c>
    </row>
    <row r="4986">
      <c r="A4986">
        <f>TEST_DATA!A4986</f>
        <v/>
      </c>
      <c r="B4986">
        <f>TEST_DATA!B4986</f>
        <v/>
      </c>
      <c r="C4986">
        <f>TEST_DATA!C4986</f>
        <v/>
      </c>
      <c r="D4986">
        <f>TEST_DATA!D4986</f>
        <v/>
      </c>
      <c r="E4986">
        <f>TEST_DATA!E4986</f>
        <v/>
      </c>
      <c r="F4986">
        <f>MIN(E4986*498600,10000)</f>
        <v/>
      </c>
      <c r="G4986">
        <f>MINIFS(CBIC_Late_Fee_Relief_Windows_3B!$O$4986:$O$100,CBIC_Late_Fee_Relief_Windows_3B!$D$4986:$D$100,"&lt;="&amp;B4986,CBIC_Late_Fee_Relief_Windows_3B!$E$4986:$E$100,"&gt;="&amp;B4986,CBIC_Late_Fee_Relief_Windows_3B!$F$4986:$F$100,"&lt;="&amp;C4986,CBIC_Late_Fee_Relief_Windows_3B!$G$4986:$G$100,"&gt;="&amp;C4986)</f>
        <v/>
      </c>
      <c r="H4986">
        <f>INDEX(CBIC_Late_Fee_Relief_Windows_3B!$I$4986:$I$100,MATCH(G4986,CBIC_Late_Fee_Relief_Windows_3B!$O$4986:$O$100,0))</f>
        <v/>
      </c>
      <c r="I4986">
        <f>MIN(F4986,H4986)</f>
        <v/>
      </c>
    </row>
    <row r="4987">
      <c r="A4987">
        <f>TEST_DATA!A4987</f>
        <v/>
      </c>
      <c r="B4987">
        <f>TEST_DATA!B4987</f>
        <v/>
      </c>
      <c r="C4987">
        <f>TEST_DATA!C4987</f>
        <v/>
      </c>
      <c r="D4987">
        <f>TEST_DATA!D4987</f>
        <v/>
      </c>
      <c r="E4987">
        <f>TEST_DATA!E4987</f>
        <v/>
      </c>
      <c r="F4987">
        <f>MIN(E4987*498700,10000)</f>
        <v/>
      </c>
      <c r="G4987">
        <f>MINIFS(CBIC_Late_Fee_Relief_Windows_3B!$O$4987:$O$100,CBIC_Late_Fee_Relief_Windows_3B!$D$4987:$D$100,"&lt;="&amp;B4987,CBIC_Late_Fee_Relief_Windows_3B!$E$4987:$E$100,"&gt;="&amp;B4987,CBIC_Late_Fee_Relief_Windows_3B!$F$4987:$F$100,"&lt;="&amp;C4987,CBIC_Late_Fee_Relief_Windows_3B!$G$4987:$G$100,"&gt;="&amp;C4987)</f>
        <v/>
      </c>
      <c r="H4987">
        <f>INDEX(CBIC_Late_Fee_Relief_Windows_3B!$I$4987:$I$100,MATCH(G4987,CBIC_Late_Fee_Relief_Windows_3B!$O$4987:$O$100,0))</f>
        <v/>
      </c>
      <c r="I4987">
        <f>MIN(F4987,H4987)</f>
        <v/>
      </c>
    </row>
    <row r="4988">
      <c r="A4988">
        <f>TEST_DATA!A4988</f>
        <v/>
      </c>
      <c r="B4988">
        <f>TEST_DATA!B4988</f>
        <v/>
      </c>
      <c r="C4988">
        <f>TEST_DATA!C4988</f>
        <v/>
      </c>
      <c r="D4988">
        <f>TEST_DATA!D4988</f>
        <v/>
      </c>
      <c r="E4988">
        <f>TEST_DATA!E4988</f>
        <v/>
      </c>
      <c r="F4988">
        <f>MIN(E4988*498800,10000)</f>
        <v/>
      </c>
      <c r="G4988">
        <f>MINIFS(CBIC_Late_Fee_Relief_Windows_3B!$O$4988:$O$100,CBIC_Late_Fee_Relief_Windows_3B!$D$4988:$D$100,"&lt;="&amp;B4988,CBIC_Late_Fee_Relief_Windows_3B!$E$4988:$E$100,"&gt;="&amp;B4988,CBIC_Late_Fee_Relief_Windows_3B!$F$4988:$F$100,"&lt;="&amp;C4988,CBIC_Late_Fee_Relief_Windows_3B!$G$4988:$G$100,"&gt;="&amp;C4988)</f>
        <v/>
      </c>
      <c r="H4988">
        <f>INDEX(CBIC_Late_Fee_Relief_Windows_3B!$I$4988:$I$100,MATCH(G4988,CBIC_Late_Fee_Relief_Windows_3B!$O$4988:$O$100,0))</f>
        <v/>
      </c>
      <c r="I4988">
        <f>MIN(F4988,H4988)</f>
        <v/>
      </c>
    </row>
    <row r="4989">
      <c r="A4989">
        <f>TEST_DATA!A4989</f>
        <v/>
      </c>
      <c r="B4989">
        <f>TEST_DATA!B4989</f>
        <v/>
      </c>
      <c r="C4989">
        <f>TEST_DATA!C4989</f>
        <v/>
      </c>
      <c r="D4989">
        <f>TEST_DATA!D4989</f>
        <v/>
      </c>
      <c r="E4989">
        <f>TEST_DATA!E4989</f>
        <v/>
      </c>
      <c r="F4989">
        <f>MIN(E4989*498900,10000)</f>
        <v/>
      </c>
      <c r="G4989">
        <f>MINIFS(CBIC_Late_Fee_Relief_Windows_3B!$O$4989:$O$100,CBIC_Late_Fee_Relief_Windows_3B!$D$4989:$D$100,"&lt;="&amp;B4989,CBIC_Late_Fee_Relief_Windows_3B!$E$4989:$E$100,"&gt;="&amp;B4989,CBIC_Late_Fee_Relief_Windows_3B!$F$4989:$F$100,"&lt;="&amp;C4989,CBIC_Late_Fee_Relief_Windows_3B!$G$4989:$G$100,"&gt;="&amp;C4989)</f>
        <v/>
      </c>
      <c r="H4989">
        <f>INDEX(CBIC_Late_Fee_Relief_Windows_3B!$I$4989:$I$100,MATCH(G4989,CBIC_Late_Fee_Relief_Windows_3B!$O$4989:$O$100,0))</f>
        <v/>
      </c>
      <c r="I4989">
        <f>MIN(F4989,H4989)</f>
        <v/>
      </c>
    </row>
    <row r="4990">
      <c r="A4990">
        <f>TEST_DATA!A4990</f>
        <v/>
      </c>
      <c r="B4990">
        <f>TEST_DATA!B4990</f>
        <v/>
      </c>
      <c r="C4990">
        <f>TEST_DATA!C4990</f>
        <v/>
      </c>
      <c r="D4990">
        <f>TEST_DATA!D4990</f>
        <v/>
      </c>
      <c r="E4990">
        <f>TEST_DATA!E4990</f>
        <v/>
      </c>
      <c r="F4990">
        <f>MIN(E4990*499000,10000)</f>
        <v/>
      </c>
      <c r="G4990">
        <f>MINIFS(CBIC_Late_Fee_Relief_Windows_3B!$O$4990:$O$100,CBIC_Late_Fee_Relief_Windows_3B!$D$4990:$D$100,"&lt;="&amp;B4990,CBIC_Late_Fee_Relief_Windows_3B!$E$4990:$E$100,"&gt;="&amp;B4990,CBIC_Late_Fee_Relief_Windows_3B!$F$4990:$F$100,"&lt;="&amp;C4990,CBIC_Late_Fee_Relief_Windows_3B!$G$4990:$G$100,"&gt;="&amp;C4990)</f>
        <v/>
      </c>
      <c r="H4990">
        <f>INDEX(CBIC_Late_Fee_Relief_Windows_3B!$I$4990:$I$100,MATCH(G4990,CBIC_Late_Fee_Relief_Windows_3B!$O$4990:$O$100,0))</f>
        <v/>
      </c>
      <c r="I4990">
        <f>MIN(F4990,H4990)</f>
        <v/>
      </c>
    </row>
    <row r="4991">
      <c r="A4991">
        <f>TEST_DATA!A4991</f>
        <v/>
      </c>
      <c r="B4991">
        <f>TEST_DATA!B4991</f>
        <v/>
      </c>
      <c r="C4991">
        <f>TEST_DATA!C4991</f>
        <v/>
      </c>
      <c r="D4991">
        <f>TEST_DATA!D4991</f>
        <v/>
      </c>
      <c r="E4991">
        <f>TEST_DATA!E4991</f>
        <v/>
      </c>
      <c r="F4991">
        <f>MIN(E4991*499100,10000)</f>
        <v/>
      </c>
      <c r="G4991">
        <f>MINIFS(CBIC_Late_Fee_Relief_Windows_3B!$O$4991:$O$100,CBIC_Late_Fee_Relief_Windows_3B!$D$4991:$D$100,"&lt;="&amp;B4991,CBIC_Late_Fee_Relief_Windows_3B!$E$4991:$E$100,"&gt;="&amp;B4991,CBIC_Late_Fee_Relief_Windows_3B!$F$4991:$F$100,"&lt;="&amp;C4991,CBIC_Late_Fee_Relief_Windows_3B!$G$4991:$G$100,"&gt;="&amp;C4991)</f>
        <v/>
      </c>
      <c r="H4991">
        <f>INDEX(CBIC_Late_Fee_Relief_Windows_3B!$I$4991:$I$100,MATCH(G4991,CBIC_Late_Fee_Relief_Windows_3B!$O$4991:$O$100,0))</f>
        <v/>
      </c>
      <c r="I4991">
        <f>MIN(F4991,H4991)</f>
        <v/>
      </c>
    </row>
    <row r="4992">
      <c r="A4992">
        <f>TEST_DATA!A4992</f>
        <v/>
      </c>
      <c r="B4992">
        <f>TEST_DATA!B4992</f>
        <v/>
      </c>
      <c r="C4992">
        <f>TEST_DATA!C4992</f>
        <v/>
      </c>
      <c r="D4992">
        <f>TEST_DATA!D4992</f>
        <v/>
      </c>
      <c r="E4992">
        <f>TEST_DATA!E4992</f>
        <v/>
      </c>
      <c r="F4992">
        <f>MIN(E4992*499200,10000)</f>
        <v/>
      </c>
      <c r="G4992">
        <f>MINIFS(CBIC_Late_Fee_Relief_Windows_3B!$O$4992:$O$100,CBIC_Late_Fee_Relief_Windows_3B!$D$4992:$D$100,"&lt;="&amp;B4992,CBIC_Late_Fee_Relief_Windows_3B!$E$4992:$E$100,"&gt;="&amp;B4992,CBIC_Late_Fee_Relief_Windows_3B!$F$4992:$F$100,"&lt;="&amp;C4992,CBIC_Late_Fee_Relief_Windows_3B!$G$4992:$G$100,"&gt;="&amp;C4992)</f>
        <v/>
      </c>
      <c r="H4992">
        <f>INDEX(CBIC_Late_Fee_Relief_Windows_3B!$I$4992:$I$100,MATCH(G4992,CBIC_Late_Fee_Relief_Windows_3B!$O$4992:$O$100,0))</f>
        <v/>
      </c>
      <c r="I4992">
        <f>MIN(F4992,H4992)</f>
        <v/>
      </c>
    </row>
    <row r="4993">
      <c r="A4993">
        <f>TEST_DATA!A4993</f>
        <v/>
      </c>
      <c r="B4993">
        <f>TEST_DATA!B4993</f>
        <v/>
      </c>
      <c r="C4993">
        <f>TEST_DATA!C4993</f>
        <v/>
      </c>
      <c r="D4993">
        <f>TEST_DATA!D4993</f>
        <v/>
      </c>
      <c r="E4993">
        <f>TEST_DATA!E4993</f>
        <v/>
      </c>
      <c r="F4993">
        <f>MIN(E4993*499300,10000)</f>
        <v/>
      </c>
      <c r="G4993">
        <f>MINIFS(CBIC_Late_Fee_Relief_Windows_3B!$O$4993:$O$100,CBIC_Late_Fee_Relief_Windows_3B!$D$4993:$D$100,"&lt;="&amp;B4993,CBIC_Late_Fee_Relief_Windows_3B!$E$4993:$E$100,"&gt;="&amp;B4993,CBIC_Late_Fee_Relief_Windows_3B!$F$4993:$F$100,"&lt;="&amp;C4993,CBIC_Late_Fee_Relief_Windows_3B!$G$4993:$G$100,"&gt;="&amp;C4993)</f>
        <v/>
      </c>
      <c r="H4993">
        <f>INDEX(CBIC_Late_Fee_Relief_Windows_3B!$I$4993:$I$100,MATCH(G4993,CBIC_Late_Fee_Relief_Windows_3B!$O$4993:$O$100,0))</f>
        <v/>
      </c>
      <c r="I4993">
        <f>MIN(F4993,H4993)</f>
        <v/>
      </c>
    </row>
    <row r="4994">
      <c r="A4994">
        <f>TEST_DATA!A4994</f>
        <v/>
      </c>
      <c r="B4994">
        <f>TEST_DATA!B4994</f>
        <v/>
      </c>
      <c r="C4994">
        <f>TEST_DATA!C4994</f>
        <v/>
      </c>
      <c r="D4994">
        <f>TEST_DATA!D4994</f>
        <v/>
      </c>
      <c r="E4994">
        <f>TEST_DATA!E4994</f>
        <v/>
      </c>
      <c r="F4994">
        <f>MIN(E4994*499400,10000)</f>
        <v/>
      </c>
      <c r="G4994">
        <f>MINIFS(CBIC_Late_Fee_Relief_Windows_3B!$O$4994:$O$100,CBIC_Late_Fee_Relief_Windows_3B!$D$4994:$D$100,"&lt;="&amp;B4994,CBIC_Late_Fee_Relief_Windows_3B!$E$4994:$E$100,"&gt;="&amp;B4994,CBIC_Late_Fee_Relief_Windows_3B!$F$4994:$F$100,"&lt;="&amp;C4994,CBIC_Late_Fee_Relief_Windows_3B!$G$4994:$G$100,"&gt;="&amp;C4994)</f>
        <v/>
      </c>
      <c r="H4994">
        <f>INDEX(CBIC_Late_Fee_Relief_Windows_3B!$I$4994:$I$100,MATCH(G4994,CBIC_Late_Fee_Relief_Windows_3B!$O$4994:$O$100,0))</f>
        <v/>
      </c>
      <c r="I4994">
        <f>MIN(F4994,H4994)</f>
        <v/>
      </c>
    </row>
    <row r="4995">
      <c r="A4995">
        <f>TEST_DATA!A4995</f>
        <v/>
      </c>
      <c r="B4995">
        <f>TEST_DATA!B4995</f>
        <v/>
      </c>
      <c r="C4995">
        <f>TEST_DATA!C4995</f>
        <v/>
      </c>
      <c r="D4995">
        <f>TEST_DATA!D4995</f>
        <v/>
      </c>
      <c r="E4995">
        <f>TEST_DATA!E4995</f>
        <v/>
      </c>
      <c r="F4995">
        <f>MIN(E4995*499500,10000)</f>
        <v/>
      </c>
      <c r="G4995">
        <f>MINIFS(CBIC_Late_Fee_Relief_Windows_3B!$O$4995:$O$100,CBIC_Late_Fee_Relief_Windows_3B!$D$4995:$D$100,"&lt;="&amp;B4995,CBIC_Late_Fee_Relief_Windows_3B!$E$4995:$E$100,"&gt;="&amp;B4995,CBIC_Late_Fee_Relief_Windows_3B!$F$4995:$F$100,"&lt;="&amp;C4995,CBIC_Late_Fee_Relief_Windows_3B!$G$4995:$G$100,"&gt;="&amp;C4995)</f>
        <v/>
      </c>
      <c r="H4995">
        <f>INDEX(CBIC_Late_Fee_Relief_Windows_3B!$I$4995:$I$100,MATCH(G4995,CBIC_Late_Fee_Relief_Windows_3B!$O$4995:$O$100,0))</f>
        <v/>
      </c>
      <c r="I4995">
        <f>MIN(F4995,H4995)</f>
        <v/>
      </c>
    </row>
    <row r="4996">
      <c r="A4996">
        <f>TEST_DATA!A4996</f>
        <v/>
      </c>
      <c r="B4996">
        <f>TEST_DATA!B4996</f>
        <v/>
      </c>
      <c r="C4996">
        <f>TEST_DATA!C4996</f>
        <v/>
      </c>
      <c r="D4996">
        <f>TEST_DATA!D4996</f>
        <v/>
      </c>
      <c r="E4996">
        <f>TEST_DATA!E4996</f>
        <v/>
      </c>
      <c r="F4996">
        <f>MIN(E4996*499600,10000)</f>
        <v/>
      </c>
      <c r="G4996">
        <f>MINIFS(CBIC_Late_Fee_Relief_Windows_3B!$O$4996:$O$100,CBIC_Late_Fee_Relief_Windows_3B!$D$4996:$D$100,"&lt;="&amp;B4996,CBIC_Late_Fee_Relief_Windows_3B!$E$4996:$E$100,"&gt;="&amp;B4996,CBIC_Late_Fee_Relief_Windows_3B!$F$4996:$F$100,"&lt;="&amp;C4996,CBIC_Late_Fee_Relief_Windows_3B!$G$4996:$G$100,"&gt;="&amp;C4996)</f>
        <v/>
      </c>
      <c r="H4996">
        <f>INDEX(CBIC_Late_Fee_Relief_Windows_3B!$I$4996:$I$100,MATCH(G4996,CBIC_Late_Fee_Relief_Windows_3B!$O$4996:$O$100,0))</f>
        <v/>
      </c>
      <c r="I4996">
        <f>MIN(F4996,H4996)</f>
        <v/>
      </c>
    </row>
    <row r="4997">
      <c r="A4997">
        <f>TEST_DATA!A4997</f>
        <v/>
      </c>
      <c r="B4997">
        <f>TEST_DATA!B4997</f>
        <v/>
      </c>
      <c r="C4997">
        <f>TEST_DATA!C4997</f>
        <v/>
      </c>
      <c r="D4997">
        <f>TEST_DATA!D4997</f>
        <v/>
      </c>
      <c r="E4997">
        <f>TEST_DATA!E4997</f>
        <v/>
      </c>
      <c r="F4997">
        <f>MIN(E4997*499700,10000)</f>
        <v/>
      </c>
      <c r="G4997">
        <f>MINIFS(CBIC_Late_Fee_Relief_Windows_3B!$O$4997:$O$100,CBIC_Late_Fee_Relief_Windows_3B!$D$4997:$D$100,"&lt;="&amp;B4997,CBIC_Late_Fee_Relief_Windows_3B!$E$4997:$E$100,"&gt;="&amp;B4997,CBIC_Late_Fee_Relief_Windows_3B!$F$4997:$F$100,"&lt;="&amp;C4997,CBIC_Late_Fee_Relief_Windows_3B!$G$4997:$G$100,"&gt;="&amp;C4997)</f>
        <v/>
      </c>
      <c r="H4997">
        <f>INDEX(CBIC_Late_Fee_Relief_Windows_3B!$I$4997:$I$100,MATCH(G4997,CBIC_Late_Fee_Relief_Windows_3B!$O$4997:$O$100,0))</f>
        <v/>
      </c>
      <c r="I4997">
        <f>MIN(F4997,H4997)</f>
        <v/>
      </c>
    </row>
    <row r="4998">
      <c r="A4998">
        <f>TEST_DATA!A4998</f>
        <v/>
      </c>
      <c r="B4998">
        <f>TEST_DATA!B4998</f>
        <v/>
      </c>
      <c r="C4998">
        <f>TEST_DATA!C4998</f>
        <v/>
      </c>
      <c r="D4998">
        <f>TEST_DATA!D4998</f>
        <v/>
      </c>
      <c r="E4998">
        <f>TEST_DATA!E4998</f>
        <v/>
      </c>
      <c r="F4998">
        <f>MIN(E4998*499800,10000)</f>
        <v/>
      </c>
      <c r="G4998">
        <f>MINIFS(CBIC_Late_Fee_Relief_Windows_3B!$O$4998:$O$100,CBIC_Late_Fee_Relief_Windows_3B!$D$4998:$D$100,"&lt;="&amp;B4998,CBIC_Late_Fee_Relief_Windows_3B!$E$4998:$E$100,"&gt;="&amp;B4998,CBIC_Late_Fee_Relief_Windows_3B!$F$4998:$F$100,"&lt;="&amp;C4998,CBIC_Late_Fee_Relief_Windows_3B!$G$4998:$G$100,"&gt;="&amp;C4998)</f>
        <v/>
      </c>
      <c r="H4998">
        <f>INDEX(CBIC_Late_Fee_Relief_Windows_3B!$I$4998:$I$100,MATCH(G4998,CBIC_Late_Fee_Relief_Windows_3B!$O$4998:$O$100,0))</f>
        <v/>
      </c>
      <c r="I4998">
        <f>MIN(F4998,H4998)</f>
        <v/>
      </c>
    </row>
    <row r="4999">
      <c r="A4999">
        <f>TEST_DATA!A4999</f>
        <v/>
      </c>
      <c r="B4999">
        <f>TEST_DATA!B4999</f>
        <v/>
      </c>
      <c r="C4999">
        <f>TEST_DATA!C4999</f>
        <v/>
      </c>
      <c r="D4999">
        <f>TEST_DATA!D4999</f>
        <v/>
      </c>
      <c r="E4999">
        <f>TEST_DATA!E4999</f>
        <v/>
      </c>
      <c r="F4999">
        <f>MIN(E4999*499900,10000)</f>
        <v/>
      </c>
      <c r="G4999">
        <f>MINIFS(CBIC_Late_Fee_Relief_Windows_3B!$O$4999:$O$100,CBIC_Late_Fee_Relief_Windows_3B!$D$4999:$D$100,"&lt;="&amp;B4999,CBIC_Late_Fee_Relief_Windows_3B!$E$4999:$E$100,"&gt;="&amp;B4999,CBIC_Late_Fee_Relief_Windows_3B!$F$4999:$F$100,"&lt;="&amp;C4999,CBIC_Late_Fee_Relief_Windows_3B!$G$4999:$G$100,"&gt;="&amp;C4999)</f>
        <v/>
      </c>
      <c r="H4999">
        <f>INDEX(CBIC_Late_Fee_Relief_Windows_3B!$I$4999:$I$100,MATCH(G4999,CBIC_Late_Fee_Relief_Windows_3B!$O$4999:$O$100,0))</f>
        <v/>
      </c>
      <c r="I4999">
        <f>MIN(F4999,H4999)</f>
        <v/>
      </c>
    </row>
    <row r="5000">
      <c r="A5000">
        <f>TEST_DATA!A5000</f>
        <v/>
      </c>
      <c r="B5000">
        <f>TEST_DATA!B5000</f>
        <v/>
      </c>
      <c r="C5000">
        <f>TEST_DATA!C5000</f>
        <v/>
      </c>
      <c r="D5000">
        <f>TEST_DATA!D5000</f>
        <v/>
      </c>
      <c r="E5000">
        <f>TEST_DATA!E5000</f>
        <v/>
      </c>
    </row>
    <row r="5001">
      <c r="A5001">
        <f>TEST_DATA!A5001</f>
        <v/>
      </c>
      <c r="B5001">
        <f>TEST_DATA!B5001</f>
        <v/>
      </c>
      <c r="C5001">
        <f>TEST_DATA!C5001</f>
        <v/>
      </c>
      <c r="D5001">
        <f>TEST_DATA!D5001</f>
        <v/>
      </c>
      <c r="E5001">
        <f>TEST_DATA!E5001</f>
        <v/>
      </c>
    </row>
    <row r="5002">
      <c r="A5002">
        <f>TEST_DATA!A5002</f>
        <v/>
      </c>
      <c r="B5002">
        <f>TEST_DATA!B5002</f>
        <v/>
      </c>
      <c r="C5002">
        <f>TEST_DATA!C5002</f>
        <v/>
      </c>
      <c r="D5002">
        <f>TEST_DATA!D5002</f>
        <v/>
      </c>
      <c r="E5002">
        <f>TEST_DATA!E5002</f>
        <v/>
      </c>
    </row>
    <row r="5003">
      <c r="A5003">
        <f>TEST_DATA!A5003</f>
        <v/>
      </c>
      <c r="B5003">
        <f>TEST_DATA!B5003</f>
        <v/>
      </c>
      <c r="C5003">
        <f>TEST_DATA!C5003</f>
        <v/>
      </c>
      <c r="D5003">
        <f>TEST_DATA!D5003</f>
        <v/>
      </c>
      <c r="E5003">
        <f>TEST_DATA!E5003</f>
        <v/>
      </c>
    </row>
    <row r="5004">
      <c r="A5004">
        <f>TEST_DATA!A5004</f>
        <v/>
      </c>
      <c r="B5004">
        <f>TEST_DATA!B5004</f>
        <v/>
      </c>
      <c r="C5004">
        <f>TEST_DATA!C5004</f>
        <v/>
      </c>
      <c r="D5004">
        <f>TEST_DATA!D5004</f>
        <v/>
      </c>
      <c r="E5004">
        <f>TEST_DATA!E5004</f>
        <v/>
      </c>
    </row>
    <row r="5005">
      <c r="A5005">
        <f>TEST_DATA!A5005</f>
        <v/>
      </c>
      <c r="B5005">
        <f>TEST_DATA!B5005</f>
        <v/>
      </c>
      <c r="C5005">
        <f>TEST_DATA!C5005</f>
        <v/>
      </c>
      <c r="D5005">
        <f>TEST_DATA!D5005</f>
        <v/>
      </c>
      <c r="E5005">
        <f>TEST_DATA!E5005</f>
        <v/>
      </c>
    </row>
    <row r="5006">
      <c r="A5006">
        <f>TEST_DATA!A5006</f>
        <v/>
      </c>
      <c r="B5006">
        <f>TEST_DATA!B5006</f>
        <v/>
      </c>
      <c r="C5006">
        <f>TEST_DATA!C5006</f>
        <v/>
      </c>
      <c r="D5006">
        <f>TEST_DATA!D5006</f>
        <v/>
      </c>
      <c r="E5006">
        <f>TEST_DATA!E5006</f>
        <v/>
      </c>
    </row>
    <row r="5007">
      <c r="A5007">
        <f>TEST_DATA!A5007</f>
        <v/>
      </c>
      <c r="B5007">
        <f>TEST_DATA!B5007</f>
        <v/>
      </c>
      <c r="C5007">
        <f>TEST_DATA!C5007</f>
        <v/>
      </c>
      <c r="D5007">
        <f>TEST_DATA!D5007</f>
        <v/>
      </c>
      <c r="E5007">
        <f>TEST_DATA!E5007</f>
        <v/>
      </c>
    </row>
    <row r="5008">
      <c r="A5008">
        <f>TEST_DATA!A5008</f>
        <v/>
      </c>
      <c r="B5008">
        <f>TEST_DATA!B5008</f>
        <v/>
      </c>
      <c r="C5008">
        <f>TEST_DATA!C5008</f>
        <v/>
      </c>
      <c r="D5008">
        <f>TEST_DATA!D5008</f>
        <v/>
      </c>
      <c r="E5008">
        <f>TEST_DATA!E5008</f>
        <v/>
      </c>
    </row>
    <row r="5009">
      <c r="A5009">
        <f>TEST_DATA!A5009</f>
        <v/>
      </c>
      <c r="B5009">
        <f>TEST_DATA!B5009</f>
        <v/>
      </c>
      <c r="C5009">
        <f>TEST_DATA!C5009</f>
        <v/>
      </c>
      <c r="D5009">
        <f>TEST_DATA!D5009</f>
        <v/>
      </c>
      <c r="E5009">
        <f>TEST_DATA!E5009</f>
        <v/>
      </c>
    </row>
    <row r="5010">
      <c r="A5010">
        <f>TEST_DATA!A5010</f>
        <v/>
      </c>
      <c r="B5010">
        <f>TEST_DATA!B5010</f>
        <v/>
      </c>
      <c r="C5010">
        <f>TEST_DATA!C5010</f>
        <v/>
      </c>
      <c r="D5010">
        <f>TEST_DATA!D5010</f>
        <v/>
      </c>
      <c r="E5010">
        <f>TEST_DATA!E5010</f>
        <v/>
      </c>
    </row>
    <row r="5011">
      <c r="A5011">
        <f>TEST_DATA!A5011</f>
        <v/>
      </c>
      <c r="B5011">
        <f>TEST_DATA!B5011</f>
        <v/>
      </c>
      <c r="C5011">
        <f>TEST_DATA!C5011</f>
        <v/>
      </c>
      <c r="D5011">
        <f>TEST_DATA!D5011</f>
        <v/>
      </c>
      <c r="E5011">
        <f>TEST_DATA!E5011</f>
        <v/>
      </c>
    </row>
    <row r="5012">
      <c r="A5012">
        <f>TEST_DATA!A5012</f>
        <v/>
      </c>
      <c r="B5012">
        <f>TEST_DATA!B5012</f>
        <v/>
      </c>
      <c r="C5012">
        <f>TEST_DATA!C5012</f>
        <v/>
      </c>
      <c r="D5012">
        <f>TEST_DATA!D5012</f>
        <v/>
      </c>
      <c r="E5012">
        <f>TEST_DATA!E5012</f>
        <v/>
      </c>
    </row>
    <row r="5013">
      <c r="A5013">
        <f>TEST_DATA!A5013</f>
        <v/>
      </c>
      <c r="B5013">
        <f>TEST_DATA!B5013</f>
        <v/>
      </c>
      <c r="C5013">
        <f>TEST_DATA!C5013</f>
        <v/>
      </c>
      <c r="D5013">
        <f>TEST_DATA!D5013</f>
        <v/>
      </c>
      <c r="E5013">
        <f>TEST_DATA!E5013</f>
        <v/>
      </c>
    </row>
    <row r="5014">
      <c r="A5014">
        <f>TEST_DATA!A5014</f>
        <v/>
      </c>
      <c r="B5014">
        <f>TEST_DATA!B5014</f>
        <v/>
      </c>
      <c r="C5014">
        <f>TEST_DATA!C5014</f>
        <v/>
      </c>
      <c r="D5014">
        <f>TEST_DATA!D5014</f>
        <v/>
      </c>
      <c r="E5014">
        <f>TEST_DATA!E5014</f>
        <v/>
      </c>
    </row>
    <row r="5015">
      <c r="A5015">
        <f>TEST_DATA!A5015</f>
        <v/>
      </c>
      <c r="B5015">
        <f>TEST_DATA!B5015</f>
        <v/>
      </c>
      <c r="C5015">
        <f>TEST_DATA!C5015</f>
        <v/>
      </c>
      <c r="D5015">
        <f>TEST_DATA!D5015</f>
        <v/>
      </c>
      <c r="E5015">
        <f>TEST_DATA!E5015</f>
        <v/>
      </c>
    </row>
    <row r="5016">
      <c r="A5016">
        <f>TEST_DATA!A5016</f>
        <v/>
      </c>
      <c r="B5016">
        <f>TEST_DATA!B5016</f>
        <v/>
      </c>
      <c r="C5016">
        <f>TEST_DATA!C5016</f>
        <v/>
      </c>
      <c r="D5016">
        <f>TEST_DATA!D5016</f>
        <v/>
      </c>
      <c r="E5016">
        <f>TEST_DATA!E5016</f>
        <v/>
      </c>
    </row>
    <row r="5017">
      <c r="A5017">
        <f>TEST_DATA!A5017</f>
        <v/>
      </c>
      <c r="B5017">
        <f>TEST_DATA!B5017</f>
        <v/>
      </c>
      <c r="C5017">
        <f>TEST_DATA!C5017</f>
        <v/>
      </c>
      <c r="D5017">
        <f>TEST_DATA!D5017</f>
        <v/>
      </c>
      <c r="E5017">
        <f>TEST_DATA!E5017</f>
        <v/>
      </c>
    </row>
    <row r="5018">
      <c r="A5018">
        <f>TEST_DATA!A5018</f>
        <v/>
      </c>
      <c r="B5018">
        <f>TEST_DATA!B5018</f>
        <v/>
      </c>
      <c r="C5018">
        <f>TEST_DATA!C5018</f>
        <v/>
      </c>
      <c r="D5018">
        <f>TEST_DATA!D5018</f>
        <v/>
      </c>
      <c r="E5018">
        <f>TEST_DATA!E5018</f>
        <v/>
      </c>
    </row>
    <row r="5019">
      <c r="A5019">
        <f>TEST_DATA!A5019</f>
        <v/>
      </c>
      <c r="B5019">
        <f>TEST_DATA!B5019</f>
        <v/>
      </c>
      <c r="C5019">
        <f>TEST_DATA!C5019</f>
        <v/>
      </c>
      <c r="D5019">
        <f>TEST_DATA!D5019</f>
        <v/>
      </c>
      <c r="E5019">
        <f>TEST_DATA!E5019</f>
        <v/>
      </c>
    </row>
    <row r="5020">
      <c r="A5020">
        <f>TEST_DATA!A5020</f>
        <v/>
      </c>
      <c r="B5020">
        <f>TEST_DATA!B5020</f>
        <v/>
      </c>
      <c r="C5020">
        <f>TEST_DATA!C5020</f>
        <v/>
      </c>
      <c r="D5020">
        <f>TEST_DATA!D5020</f>
        <v/>
      </c>
      <c r="E5020">
        <f>TEST_DATA!E5020</f>
        <v/>
      </c>
    </row>
    <row r="5021">
      <c r="A5021">
        <f>TEST_DATA!A5021</f>
        <v/>
      </c>
      <c r="B5021">
        <f>TEST_DATA!B5021</f>
        <v/>
      </c>
      <c r="C5021">
        <f>TEST_DATA!C5021</f>
        <v/>
      </c>
      <c r="D5021">
        <f>TEST_DATA!D5021</f>
        <v/>
      </c>
      <c r="E5021">
        <f>TEST_DATA!E5021</f>
        <v/>
      </c>
    </row>
    <row r="5022">
      <c r="A5022">
        <f>TEST_DATA!A5022</f>
        <v/>
      </c>
      <c r="B5022">
        <f>TEST_DATA!B5022</f>
        <v/>
      </c>
      <c r="C5022">
        <f>TEST_DATA!C5022</f>
        <v/>
      </c>
      <c r="D5022">
        <f>TEST_DATA!D5022</f>
        <v/>
      </c>
      <c r="E5022">
        <f>TEST_DATA!E5022</f>
        <v/>
      </c>
    </row>
    <row r="5023">
      <c r="A5023">
        <f>TEST_DATA!A5023</f>
        <v/>
      </c>
      <c r="B5023">
        <f>TEST_DATA!B5023</f>
        <v/>
      </c>
      <c r="C5023">
        <f>TEST_DATA!C5023</f>
        <v/>
      </c>
      <c r="D5023">
        <f>TEST_DATA!D5023</f>
        <v/>
      </c>
      <c r="E5023">
        <f>TEST_DATA!E5023</f>
        <v/>
      </c>
    </row>
    <row r="5024">
      <c r="A5024">
        <f>TEST_DATA!A5024</f>
        <v/>
      </c>
      <c r="B5024">
        <f>TEST_DATA!B5024</f>
        <v/>
      </c>
      <c r="C5024">
        <f>TEST_DATA!C5024</f>
        <v/>
      </c>
      <c r="D5024">
        <f>TEST_DATA!D5024</f>
        <v/>
      </c>
      <c r="E5024">
        <f>TEST_DATA!E5024</f>
        <v/>
      </c>
    </row>
    <row r="5025">
      <c r="A5025">
        <f>TEST_DATA!A5025</f>
        <v/>
      </c>
      <c r="B5025">
        <f>TEST_DATA!B5025</f>
        <v/>
      </c>
      <c r="C5025">
        <f>TEST_DATA!C5025</f>
        <v/>
      </c>
      <c r="D5025">
        <f>TEST_DATA!D5025</f>
        <v/>
      </c>
      <c r="E5025">
        <f>TEST_DATA!E5025</f>
        <v/>
      </c>
    </row>
    <row r="5026">
      <c r="A5026">
        <f>TEST_DATA!A5026</f>
        <v/>
      </c>
      <c r="B5026">
        <f>TEST_DATA!B5026</f>
        <v/>
      </c>
      <c r="C5026">
        <f>TEST_DATA!C5026</f>
        <v/>
      </c>
      <c r="D5026">
        <f>TEST_DATA!D5026</f>
        <v/>
      </c>
      <c r="E5026">
        <f>TEST_DATA!E5026</f>
        <v/>
      </c>
    </row>
    <row r="5027">
      <c r="A5027">
        <f>TEST_DATA!A5027</f>
        <v/>
      </c>
      <c r="B5027">
        <f>TEST_DATA!B5027</f>
        <v/>
      </c>
      <c r="C5027">
        <f>TEST_DATA!C5027</f>
        <v/>
      </c>
      <c r="D5027">
        <f>TEST_DATA!D5027</f>
        <v/>
      </c>
      <c r="E5027">
        <f>TEST_DATA!E5027</f>
        <v/>
      </c>
    </row>
    <row r="5028">
      <c r="A5028">
        <f>TEST_DATA!A5028</f>
        <v/>
      </c>
      <c r="B5028">
        <f>TEST_DATA!B5028</f>
        <v/>
      </c>
      <c r="C5028">
        <f>TEST_DATA!C5028</f>
        <v/>
      </c>
      <c r="D5028">
        <f>TEST_DATA!D5028</f>
        <v/>
      </c>
      <c r="E5028">
        <f>TEST_DATA!E5028</f>
        <v/>
      </c>
    </row>
    <row r="5029">
      <c r="A5029">
        <f>TEST_DATA!A5029</f>
        <v/>
      </c>
      <c r="B5029">
        <f>TEST_DATA!B5029</f>
        <v/>
      </c>
      <c r="C5029">
        <f>TEST_DATA!C5029</f>
        <v/>
      </c>
      <c r="D5029">
        <f>TEST_DATA!D5029</f>
        <v/>
      </c>
      <c r="E5029">
        <f>TEST_DATA!E5029</f>
        <v/>
      </c>
    </row>
    <row r="5030">
      <c r="A5030">
        <f>TEST_DATA!A5030</f>
        <v/>
      </c>
      <c r="B5030">
        <f>TEST_DATA!B5030</f>
        <v/>
      </c>
      <c r="C5030">
        <f>TEST_DATA!C5030</f>
        <v/>
      </c>
      <c r="D5030">
        <f>TEST_DATA!D5030</f>
        <v/>
      </c>
      <c r="E5030">
        <f>TEST_DATA!E5030</f>
        <v/>
      </c>
    </row>
    <row r="5031">
      <c r="A5031">
        <f>TEST_DATA!A5031</f>
        <v/>
      </c>
      <c r="B5031">
        <f>TEST_DATA!B5031</f>
        <v/>
      </c>
      <c r="C5031">
        <f>TEST_DATA!C5031</f>
        <v/>
      </c>
      <c r="D5031">
        <f>TEST_DATA!D5031</f>
        <v/>
      </c>
      <c r="E5031">
        <f>TEST_DATA!E5031</f>
        <v/>
      </c>
    </row>
    <row r="5032">
      <c r="A5032">
        <f>TEST_DATA!A5032</f>
        <v/>
      </c>
      <c r="B5032">
        <f>TEST_DATA!B5032</f>
        <v/>
      </c>
      <c r="C5032">
        <f>TEST_DATA!C5032</f>
        <v/>
      </c>
      <c r="D5032">
        <f>TEST_DATA!D5032</f>
        <v/>
      </c>
      <c r="E5032">
        <f>TEST_DATA!E5032</f>
        <v/>
      </c>
    </row>
    <row r="5033">
      <c r="A5033">
        <f>TEST_DATA!A5033</f>
        <v/>
      </c>
      <c r="B5033">
        <f>TEST_DATA!B5033</f>
        <v/>
      </c>
      <c r="C5033">
        <f>TEST_DATA!C5033</f>
        <v/>
      </c>
      <c r="D5033">
        <f>TEST_DATA!D5033</f>
        <v/>
      </c>
      <c r="E5033">
        <f>TEST_DATA!E5033</f>
        <v/>
      </c>
    </row>
    <row r="5034">
      <c r="A5034">
        <f>TEST_DATA!A5034</f>
        <v/>
      </c>
      <c r="B5034">
        <f>TEST_DATA!B5034</f>
        <v/>
      </c>
      <c r="C5034">
        <f>TEST_DATA!C5034</f>
        <v/>
      </c>
      <c r="D5034">
        <f>TEST_DATA!D5034</f>
        <v/>
      </c>
      <c r="E5034">
        <f>TEST_DATA!E5034</f>
        <v/>
      </c>
    </row>
    <row r="5035">
      <c r="A5035">
        <f>TEST_DATA!A5035</f>
        <v/>
      </c>
      <c r="B5035">
        <f>TEST_DATA!B5035</f>
        <v/>
      </c>
      <c r="C5035">
        <f>TEST_DATA!C5035</f>
        <v/>
      </c>
      <c r="D5035">
        <f>TEST_DATA!D5035</f>
        <v/>
      </c>
      <c r="E5035">
        <f>TEST_DATA!E5035</f>
        <v/>
      </c>
    </row>
    <row r="5036">
      <c r="A5036">
        <f>TEST_DATA!A5036</f>
        <v/>
      </c>
      <c r="B5036">
        <f>TEST_DATA!B5036</f>
        <v/>
      </c>
      <c r="C5036">
        <f>TEST_DATA!C5036</f>
        <v/>
      </c>
      <c r="D5036">
        <f>TEST_DATA!D5036</f>
        <v/>
      </c>
      <c r="E5036">
        <f>TEST_DATA!E5036</f>
        <v/>
      </c>
    </row>
    <row r="5037">
      <c r="A5037">
        <f>TEST_DATA!A5037</f>
        <v/>
      </c>
      <c r="B5037">
        <f>TEST_DATA!B5037</f>
        <v/>
      </c>
      <c r="C5037">
        <f>TEST_DATA!C5037</f>
        <v/>
      </c>
      <c r="D5037">
        <f>TEST_DATA!D5037</f>
        <v/>
      </c>
      <c r="E5037">
        <f>TEST_DATA!E5037</f>
        <v/>
      </c>
    </row>
    <row r="5038">
      <c r="A5038">
        <f>TEST_DATA!A5038</f>
        <v/>
      </c>
      <c r="B5038">
        <f>TEST_DATA!B5038</f>
        <v/>
      </c>
      <c r="C5038">
        <f>TEST_DATA!C5038</f>
        <v/>
      </c>
      <c r="D5038">
        <f>TEST_DATA!D5038</f>
        <v/>
      </c>
      <c r="E5038">
        <f>TEST_DATA!E5038</f>
        <v/>
      </c>
    </row>
    <row r="5039">
      <c r="A5039">
        <f>TEST_DATA!A5039</f>
        <v/>
      </c>
      <c r="B5039">
        <f>TEST_DATA!B5039</f>
        <v/>
      </c>
      <c r="C5039">
        <f>TEST_DATA!C5039</f>
        <v/>
      </c>
      <c r="D5039">
        <f>TEST_DATA!D5039</f>
        <v/>
      </c>
      <c r="E5039">
        <f>TEST_DATA!E5039</f>
        <v/>
      </c>
    </row>
    <row r="5040">
      <c r="A5040">
        <f>TEST_DATA!A5040</f>
        <v/>
      </c>
      <c r="B5040">
        <f>TEST_DATA!B5040</f>
        <v/>
      </c>
      <c r="C5040">
        <f>TEST_DATA!C5040</f>
        <v/>
      </c>
      <c r="D5040">
        <f>TEST_DATA!D5040</f>
        <v/>
      </c>
      <c r="E5040">
        <f>TEST_DATA!E5040</f>
        <v/>
      </c>
    </row>
    <row r="5041">
      <c r="A5041">
        <f>TEST_DATA!A5041</f>
        <v/>
      </c>
      <c r="B5041">
        <f>TEST_DATA!B5041</f>
        <v/>
      </c>
      <c r="C5041">
        <f>TEST_DATA!C5041</f>
        <v/>
      </c>
      <c r="D5041">
        <f>TEST_DATA!D5041</f>
        <v/>
      </c>
      <c r="E5041">
        <f>TEST_DATA!E5041</f>
        <v/>
      </c>
    </row>
    <row r="5042">
      <c r="A5042">
        <f>TEST_DATA!A5042</f>
        <v/>
      </c>
      <c r="B5042">
        <f>TEST_DATA!B5042</f>
        <v/>
      </c>
      <c r="C5042">
        <f>TEST_DATA!C5042</f>
        <v/>
      </c>
      <c r="D5042">
        <f>TEST_DATA!D5042</f>
        <v/>
      </c>
      <c r="E5042">
        <f>TEST_DATA!E5042</f>
        <v/>
      </c>
    </row>
    <row r="5043">
      <c r="A5043">
        <f>TEST_DATA!A5043</f>
        <v/>
      </c>
      <c r="B5043">
        <f>TEST_DATA!B5043</f>
        <v/>
      </c>
      <c r="C5043">
        <f>TEST_DATA!C5043</f>
        <v/>
      </c>
      <c r="D5043">
        <f>TEST_DATA!D5043</f>
        <v/>
      </c>
      <c r="E5043">
        <f>TEST_DATA!E5043</f>
        <v/>
      </c>
    </row>
    <row r="5044">
      <c r="A5044">
        <f>TEST_DATA!A5044</f>
        <v/>
      </c>
      <c r="B5044">
        <f>TEST_DATA!B5044</f>
        <v/>
      </c>
      <c r="C5044">
        <f>TEST_DATA!C5044</f>
        <v/>
      </c>
      <c r="D5044">
        <f>TEST_DATA!D5044</f>
        <v/>
      </c>
      <c r="E5044">
        <f>TEST_DATA!E5044</f>
        <v/>
      </c>
    </row>
    <row r="5045">
      <c r="A5045">
        <f>TEST_DATA!A5045</f>
        <v/>
      </c>
      <c r="B5045">
        <f>TEST_DATA!B5045</f>
        <v/>
      </c>
      <c r="C5045">
        <f>TEST_DATA!C5045</f>
        <v/>
      </c>
      <c r="D5045">
        <f>TEST_DATA!D5045</f>
        <v/>
      </c>
      <c r="E5045">
        <f>TEST_DATA!E5045</f>
        <v/>
      </c>
    </row>
    <row r="5046">
      <c r="A5046">
        <f>TEST_DATA!A5046</f>
        <v/>
      </c>
      <c r="B5046">
        <f>TEST_DATA!B5046</f>
        <v/>
      </c>
      <c r="C5046">
        <f>TEST_DATA!C5046</f>
        <v/>
      </c>
      <c r="D5046">
        <f>TEST_DATA!D5046</f>
        <v/>
      </c>
      <c r="E5046">
        <f>TEST_DATA!E5046</f>
        <v/>
      </c>
    </row>
    <row r="5047">
      <c r="A5047">
        <f>TEST_DATA!A5047</f>
        <v/>
      </c>
      <c r="B5047">
        <f>TEST_DATA!B5047</f>
        <v/>
      </c>
      <c r="C5047">
        <f>TEST_DATA!C5047</f>
        <v/>
      </c>
      <c r="D5047">
        <f>TEST_DATA!D5047</f>
        <v/>
      </c>
      <c r="E5047">
        <f>TEST_DATA!E5047</f>
        <v/>
      </c>
    </row>
    <row r="5048">
      <c r="A5048">
        <f>TEST_DATA!A5048</f>
        <v/>
      </c>
      <c r="B5048">
        <f>TEST_DATA!B5048</f>
        <v/>
      </c>
      <c r="C5048">
        <f>TEST_DATA!C5048</f>
        <v/>
      </c>
      <c r="D5048">
        <f>TEST_DATA!D5048</f>
        <v/>
      </c>
      <c r="E5048">
        <f>TEST_DATA!E5048</f>
        <v/>
      </c>
    </row>
    <row r="5049">
      <c r="A5049">
        <f>TEST_DATA!A5049</f>
        <v/>
      </c>
      <c r="B5049">
        <f>TEST_DATA!B5049</f>
        <v/>
      </c>
      <c r="C5049">
        <f>TEST_DATA!C5049</f>
        <v/>
      </c>
      <c r="D5049">
        <f>TEST_DATA!D5049</f>
        <v/>
      </c>
      <c r="E5049">
        <f>TEST_DATA!E5049</f>
        <v/>
      </c>
    </row>
    <row r="5050">
      <c r="A5050">
        <f>TEST_DATA!A5050</f>
        <v/>
      </c>
      <c r="B5050">
        <f>TEST_DATA!B5050</f>
        <v/>
      </c>
      <c r="C5050">
        <f>TEST_DATA!C5050</f>
        <v/>
      </c>
      <c r="D5050">
        <f>TEST_DATA!D5050</f>
        <v/>
      </c>
      <c r="E5050">
        <f>TEST_DATA!E5050</f>
        <v/>
      </c>
    </row>
    <row r="5051">
      <c r="A5051">
        <f>TEST_DATA!A5051</f>
        <v/>
      </c>
      <c r="B5051">
        <f>TEST_DATA!B5051</f>
        <v/>
      </c>
      <c r="C5051">
        <f>TEST_DATA!C5051</f>
        <v/>
      </c>
      <c r="D5051">
        <f>TEST_DATA!D5051</f>
        <v/>
      </c>
      <c r="E5051">
        <f>TEST_DATA!E5051</f>
        <v/>
      </c>
    </row>
    <row r="5052">
      <c r="A5052">
        <f>TEST_DATA!A5052</f>
        <v/>
      </c>
      <c r="B5052">
        <f>TEST_DATA!B5052</f>
        <v/>
      </c>
      <c r="C5052">
        <f>TEST_DATA!C5052</f>
        <v/>
      </c>
      <c r="D5052">
        <f>TEST_DATA!D5052</f>
        <v/>
      </c>
      <c r="E5052">
        <f>TEST_DATA!E5052</f>
        <v/>
      </c>
    </row>
    <row r="5053">
      <c r="A5053">
        <f>TEST_DATA!A5053</f>
        <v/>
      </c>
      <c r="B5053">
        <f>TEST_DATA!B5053</f>
        <v/>
      </c>
      <c r="C5053">
        <f>TEST_DATA!C5053</f>
        <v/>
      </c>
      <c r="D5053">
        <f>TEST_DATA!D5053</f>
        <v/>
      </c>
      <c r="E5053">
        <f>TEST_DATA!E5053</f>
        <v/>
      </c>
    </row>
    <row r="5054">
      <c r="A5054">
        <f>TEST_DATA!A5054</f>
        <v/>
      </c>
      <c r="B5054">
        <f>TEST_DATA!B5054</f>
        <v/>
      </c>
      <c r="C5054">
        <f>TEST_DATA!C5054</f>
        <v/>
      </c>
      <c r="D5054">
        <f>TEST_DATA!D5054</f>
        <v/>
      </c>
      <c r="E5054">
        <f>TEST_DATA!E5054</f>
        <v/>
      </c>
    </row>
    <row r="5055">
      <c r="A5055">
        <f>TEST_DATA!A5055</f>
        <v/>
      </c>
      <c r="B5055">
        <f>TEST_DATA!B5055</f>
        <v/>
      </c>
      <c r="C5055">
        <f>TEST_DATA!C5055</f>
        <v/>
      </c>
      <c r="D5055">
        <f>TEST_DATA!D5055</f>
        <v/>
      </c>
      <c r="E5055">
        <f>TEST_DATA!E5055</f>
        <v/>
      </c>
    </row>
    <row r="5056">
      <c r="A5056">
        <f>TEST_DATA!A5056</f>
        <v/>
      </c>
      <c r="B5056">
        <f>TEST_DATA!B5056</f>
        <v/>
      </c>
      <c r="C5056">
        <f>TEST_DATA!C5056</f>
        <v/>
      </c>
      <c r="D5056">
        <f>TEST_DATA!D5056</f>
        <v/>
      </c>
      <c r="E5056">
        <f>TEST_DATA!E5056</f>
        <v/>
      </c>
    </row>
    <row r="5057">
      <c r="A5057">
        <f>TEST_DATA!A5057</f>
        <v/>
      </c>
      <c r="B5057">
        <f>TEST_DATA!B5057</f>
        <v/>
      </c>
      <c r="C5057">
        <f>TEST_DATA!C5057</f>
        <v/>
      </c>
      <c r="D5057">
        <f>TEST_DATA!D5057</f>
        <v/>
      </c>
      <c r="E5057">
        <f>TEST_DATA!E5057</f>
        <v/>
      </c>
    </row>
    <row r="5058">
      <c r="A5058">
        <f>TEST_DATA!A5058</f>
        <v/>
      </c>
      <c r="B5058">
        <f>TEST_DATA!B5058</f>
        <v/>
      </c>
      <c r="C5058">
        <f>TEST_DATA!C5058</f>
        <v/>
      </c>
      <c r="D5058">
        <f>TEST_DATA!D5058</f>
        <v/>
      </c>
      <c r="E5058">
        <f>TEST_DATA!E5058</f>
        <v/>
      </c>
    </row>
    <row r="5059">
      <c r="A5059">
        <f>TEST_DATA!A5059</f>
        <v/>
      </c>
      <c r="B5059">
        <f>TEST_DATA!B5059</f>
        <v/>
      </c>
      <c r="C5059">
        <f>TEST_DATA!C5059</f>
        <v/>
      </c>
      <c r="D5059">
        <f>TEST_DATA!D5059</f>
        <v/>
      </c>
      <c r="E5059">
        <f>TEST_DATA!E5059</f>
        <v/>
      </c>
    </row>
    <row r="5060">
      <c r="A5060">
        <f>TEST_DATA!A5060</f>
        <v/>
      </c>
      <c r="B5060">
        <f>TEST_DATA!B5060</f>
        <v/>
      </c>
      <c r="C5060">
        <f>TEST_DATA!C5060</f>
        <v/>
      </c>
      <c r="D5060">
        <f>TEST_DATA!D5060</f>
        <v/>
      </c>
      <c r="E5060">
        <f>TEST_DATA!E5060</f>
        <v/>
      </c>
    </row>
    <row r="5061">
      <c r="A5061">
        <f>TEST_DATA!A5061</f>
        <v/>
      </c>
      <c r="B5061">
        <f>TEST_DATA!B5061</f>
        <v/>
      </c>
      <c r="C5061">
        <f>TEST_DATA!C5061</f>
        <v/>
      </c>
      <c r="D5061">
        <f>TEST_DATA!D5061</f>
        <v/>
      </c>
      <c r="E5061">
        <f>TEST_DATA!E5061</f>
        <v/>
      </c>
    </row>
    <row r="5062">
      <c r="A5062">
        <f>TEST_DATA!A5062</f>
        <v/>
      </c>
      <c r="B5062">
        <f>TEST_DATA!B5062</f>
        <v/>
      </c>
      <c r="C5062">
        <f>TEST_DATA!C5062</f>
        <v/>
      </c>
      <c r="D5062">
        <f>TEST_DATA!D5062</f>
        <v/>
      </c>
      <c r="E5062">
        <f>TEST_DATA!E5062</f>
        <v/>
      </c>
    </row>
    <row r="5063">
      <c r="A5063">
        <f>TEST_DATA!A5063</f>
        <v/>
      </c>
      <c r="B5063">
        <f>TEST_DATA!B5063</f>
        <v/>
      </c>
      <c r="C5063">
        <f>TEST_DATA!C5063</f>
        <v/>
      </c>
      <c r="D5063">
        <f>TEST_DATA!D5063</f>
        <v/>
      </c>
      <c r="E5063">
        <f>TEST_DATA!E5063</f>
        <v/>
      </c>
    </row>
    <row r="5064">
      <c r="A5064">
        <f>TEST_DATA!A5064</f>
        <v/>
      </c>
      <c r="B5064">
        <f>TEST_DATA!B5064</f>
        <v/>
      </c>
      <c r="C5064">
        <f>TEST_DATA!C5064</f>
        <v/>
      </c>
      <c r="D5064">
        <f>TEST_DATA!D5064</f>
        <v/>
      </c>
      <c r="E5064">
        <f>TEST_DATA!E5064</f>
        <v/>
      </c>
    </row>
    <row r="5065">
      <c r="A5065">
        <f>TEST_DATA!A5065</f>
        <v/>
      </c>
      <c r="B5065">
        <f>TEST_DATA!B5065</f>
        <v/>
      </c>
      <c r="C5065">
        <f>TEST_DATA!C5065</f>
        <v/>
      </c>
      <c r="D5065">
        <f>TEST_DATA!D5065</f>
        <v/>
      </c>
      <c r="E5065">
        <f>TEST_DATA!E5065</f>
        <v/>
      </c>
    </row>
    <row r="5066">
      <c r="A5066">
        <f>TEST_DATA!A5066</f>
        <v/>
      </c>
      <c r="B5066">
        <f>TEST_DATA!B5066</f>
        <v/>
      </c>
      <c r="C5066">
        <f>TEST_DATA!C5066</f>
        <v/>
      </c>
      <c r="D5066">
        <f>TEST_DATA!D5066</f>
        <v/>
      </c>
      <c r="E5066">
        <f>TEST_DATA!E5066</f>
        <v/>
      </c>
    </row>
    <row r="5067">
      <c r="A5067">
        <f>TEST_DATA!A5067</f>
        <v/>
      </c>
      <c r="B5067">
        <f>TEST_DATA!B5067</f>
        <v/>
      </c>
      <c r="C5067">
        <f>TEST_DATA!C5067</f>
        <v/>
      </c>
      <c r="D5067">
        <f>TEST_DATA!D5067</f>
        <v/>
      </c>
      <c r="E5067">
        <f>TEST_DATA!E5067</f>
        <v/>
      </c>
    </row>
    <row r="5068">
      <c r="A5068">
        <f>TEST_DATA!A5068</f>
        <v/>
      </c>
      <c r="B5068">
        <f>TEST_DATA!B5068</f>
        <v/>
      </c>
      <c r="C5068">
        <f>TEST_DATA!C5068</f>
        <v/>
      </c>
      <c r="D5068">
        <f>TEST_DATA!D5068</f>
        <v/>
      </c>
      <c r="E5068">
        <f>TEST_DATA!E5068</f>
        <v/>
      </c>
    </row>
    <row r="5069">
      <c r="A5069">
        <f>TEST_DATA!A5069</f>
        <v/>
      </c>
      <c r="B5069">
        <f>TEST_DATA!B5069</f>
        <v/>
      </c>
      <c r="C5069">
        <f>TEST_DATA!C5069</f>
        <v/>
      </c>
      <c r="D5069">
        <f>TEST_DATA!D5069</f>
        <v/>
      </c>
      <c r="E5069">
        <f>TEST_DATA!E5069</f>
        <v/>
      </c>
    </row>
    <row r="5070">
      <c r="A5070">
        <f>TEST_DATA!A5070</f>
        <v/>
      </c>
      <c r="B5070">
        <f>TEST_DATA!B5070</f>
        <v/>
      </c>
      <c r="C5070">
        <f>TEST_DATA!C5070</f>
        <v/>
      </c>
      <c r="D5070">
        <f>TEST_DATA!D5070</f>
        <v/>
      </c>
      <c r="E5070">
        <f>TEST_DATA!E5070</f>
        <v/>
      </c>
    </row>
    <row r="5071">
      <c r="A5071">
        <f>TEST_DATA!A5071</f>
        <v/>
      </c>
      <c r="B5071">
        <f>TEST_DATA!B5071</f>
        <v/>
      </c>
      <c r="C5071">
        <f>TEST_DATA!C5071</f>
        <v/>
      </c>
      <c r="D5071">
        <f>TEST_DATA!D5071</f>
        <v/>
      </c>
      <c r="E5071">
        <f>TEST_DATA!E5071</f>
        <v/>
      </c>
    </row>
    <row r="5072">
      <c r="A5072">
        <f>TEST_DATA!A5072</f>
        <v/>
      </c>
      <c r="B5072">
        <f>TEST_DATA!B5072</f>
        <v/>
      </c>
      <c r="C5072">
        <f>TEST_DATA!C5072</f>
        <v/>
      </c>
      <c r="D5072">
        <f>TEST_DATA!D5072</f>
        <v/>
      </c>
      <c r="E5072">
        <f>TEST_DATA!E5072</f>
        <v/>
      </c>
    </row>
    <row r="5073">
      <c r="A5073">
        <f>TEST_DATA!A5073</f>
        <v/>
      </c>
      <c r="B5073">
        <f>TEST_DATA!B5073</f>
        <v/>
      </c>
      <c r="C5073">
        <f>TEST_DATA!C5073</f>
        <v/>
      </c>
      <c r="D5073">
        <f>TEST_DATA!D5073</f>
        <v/>
      </c>
      <c r="E5073">
        <f>TEST_DATA!E5073</f>
        <v/>
      </c>
    </row>
    <row r="5074">
      <c r="A5074">
        <f>TEST_DATA!A5074</f>
        <v/>
      </c>
      <c r="B5074">
        <f>TEST_DATA!B5074</f>
        <v/>
      </c>
      <c r="C5074">
        <f>TEST_DATA!C5074</f>
        <v/>
      </c>
      <c r="D5074">
        <f>TEST_DATA!D5074</f>
        <v/>
      </c>
      <c r="E5074">
        <f>TEST_DATA!E5074</f>
        <v/>
      </c>
    </row>
    <row r="5075">
      <c r="A5075">
        <f>TEST_DATA!A5075</f>
        <v/>
      </c>
      <c r="B5075">
        <f>TEST_DATA!B5075</f>
        <v/>
      </c>
      <c r="C5075">
        <f>TEST_DATA!C5075</f>
        <v/>
      </c>
      <c r="D5075">
        <f>TEST_DATA!D5075</f>
        <v/>
      </c>
      <c r="E5075">
        <f>TEST_DATA!E5075</f>
        <v/>
      </c>
    </row>
    <row r="5076">
      <c r="A5076">
        <f>TEST_DATA!A5076</f>
        <v/>
      </c>
      <c r="B5076">
        <f>TEST_DATA!B5076</f>
        <v/>
      </c>
      <c r="C5076">
        <f>TEST_DATA!C5076</f>
        <v/>
      </c>
      <c r="D5076">
        <f>TEST_DATA!D5076</f>
        <v/>
      </c>
      <c r="E5076">
        <f>TEST_DATA!E5076</f>
        <v/>
      </c>
    </row>
    <row r="5077">
      <c r="A5077">
        <f>TEST_DATA!A5077</f>
        <v/>
      </c>
      <c r="B5077">
        <f>TEST_DATA!B5077</f>
        <v/>
      </c>
      <c r="C5077">
        <f>TEST_DATA!C5077</f>
        <v/>
      </c>
      <c r="D5077">
        <f>TEST_DATA!D5077</f>
        <v/>
      </c>
      <c r="E5077">
        <f>TEST_DATA!E5077</f>
        <v/>
      </c>
    </row>
    <row r="5078">
      <c r="A5078">
        <f>TEST_DATA!A5078</f>
        <v/>
      </c>
      <c r="B5078">
        <f>TEST_DATA!B5078</f>
        <v/>
      </c>
      <c r="C5078">
        <f>TEST_DATA!C5078</f>
        <v/>
      </c>
      <c r="D5078">
        <f>TEST_DATA!D5078</f>
        <v/>
      </c>
      <c r="E5078">
        <f>TEST_DATA!E5078</f>
        <v/>
      </c>
    </row>
    <row r="5079">
      <c r="A5079">
        <f>TEST_DATA!A5079</f>
        <v/>
      </c>
      <c r="B5079">
        <f>TEST_DATA!B5079</f>
        <v/>
      </c>
      <c r="C5079">
        <f>TEST_DATA!C5079</f>
        <v/>
      </c>
      <c r="D5079">
        <f>TEST_DATA!D5079</f>
        <v/>
      </c>
      <c r="E5079">
        <f>TEST_DATA!E5079</f>
        <v/>
      </c>
    </row>
    <row r="5080">
      <c r="A5080">
        <f>TEST_DATA!A5080</f>
        <v/>
      </c>
      <c r="B5080">
        <f>TEST_DATA!B5080</f>
        <v/>
      </c>
      <c r="C5080">
        <f>TEST_DATA!C5080</f>
        <v/>
      </c>
      <c r="D5080">
        <f>TEST_DATA!D5080</f>
        <v/>
      </c>
      <c r="E5080">
        <f>TEST_DATA!E5080</f>
        <v/>
      </c>
    </row>
    <row r="5081">
      <c r="A5081">
        <f>TEST_DATA!A5081</f>
        <v/>
      </c>
      <c r="B5081">
        <f>TEST_DATA!B5081</f>
        <v/>
      </c>
      <c r="C5081">
        <f>TEST_DATA!C5081</f>
        <v/>
      </c>
      <c r="D5081">
        <f>TEST_DATA!D5081</f>
        <v/>
      </c>
      <c r="E5081">
        <f>TEST_DATA!E5081</f>
        <v/>
      </c>
    </row>
    <row r="5082">
      <c r="A5082">
        <f>TEST_DATA!A5082</f>
        <v/>
      </c>
      <c r="B5082">
        <f>TEST_DATA!B5082</f>
        <v/>
      </c>
      <c r="C5082">
        <f>TEST_DATA!C5082</f>
        <v/>
      </c>
      <c r="D5082">
        <f>TEST_DATA!D5082</f>
        <v/>
      </c>
      <c r="E5082">
        <f>TEST_DATA!E5082</f>
        <v/>
      </c>
    </row>
    <row r="5083">
      <c r="A5083">
        <f>TEST_DATA!A5083</f>
        <v/>
      </c>
      <c r="B5083">
        <f>TEST_DATA!B5083</f>
        <v/>
      </c>
      <c r="C5083">
        <f>TEST_DATA!C5083</f>
        <v/>
      </c>
      <c r="D5083">
        <f>TEST_DATA!D5083</f>
        <v/>
      </c>
      <c r="E5083">
        <f>TEST_DATA!E5083</f>
        <v/>
      </c>
    </row>
    <row r="5084">
      <c r="A5084">
        <f>TEST_DATA!A5084</f>
        <v/>
      </c>
      <c r="B5084">
        <f>TEST_DATA!B5084</f>
        <v/>
      </c>
      <c r="C5084">
        <f>TEST_DATA!C5084</f>
        <v/>
      </c>
      <c r="D5084">
        <f>TEST_DATA!D5084</f>
        <v/>
      </c>
      <c r="E5084">
        <f>TEST_DATA!E5084</f>
        <v/>
      </c>
    </row>
    <row r="5085">
      <c r="A5085">
        <f>TEST_DATA!A5085</f>
        <v/>
      </c>
      <c r="B5085">
        <f>TEST_DATA!B5085</f>
        <v/>
      </c>
      <c r="C5085">
        <f>TEST_DATA!C5085</f>
        <v/>
      </c>
      <c r="D5085">
        <f>TEST_DATA!D5085</f>
        <v/>
      </c>
      <c r="E5085">
        <f>TEST_DATA!E5085</f>
        <v/>
      </c>
    </row>
    <row r="5086">
      <c r="A5086">
        <f>TEST_DATA!A5086</f>
        <v/>
      </c>
      <c r="B5086">
        <f>TEST_DATA!B5086</f>
        <v/>
      </c>
      <c r="C5086">
        <f>TEST_DATA!C5086</f>
        <v/>
      </c>
      <c r="D5086">
        <f>TEST_DATA!D5086</f>
        <v/>
      </c>
      <c r="E5086">
        <f>TEST_DATA!E5086</f>
        <v/>
      </c>
    </row>
    <row r="5087">
      <c r="A5087">
        <f>TEST_DATA!A5087</f>
        <v/>
      </c>
      <c r="B5087">
        <f>TEST_DATA!B5087</f>
        <v/>
      </c>
      <c r="C5087">
        <f>TEST_DATA!C5087</f>
        <v/>
      </c>
      <c r="D5087">
        <f>TEST_DATA!D5087</f>
        <v/>
      </c>
      <c r="E5087">
        <f>TEST_DATA!E5087</f>
        <v/>
      </c>
    </row>
    <row r="5088">
      <c r="A5088">
        <f>TEST_DATA!A5088</f>
        <v/>
      </c>
      <c r="B5088">
        <f>TEST_DATA!B5088</f>
        <v/>
      </c>
      <c r="C5088">
        <f>TEST_DATA!C5088</f>
        <v/>
      </c>
      <c r="D5088">
        <f>TEST_DATA!D5088</f>
        <v/>
      </c>
      <c r="E5088">
        <f>TEST_DATA!E5088</f>
        <v/>
      </c>
    </row>
    <row r="5089">
      <c r="A5089">
        <f>TEST_DATA!A5089</f>
        <v/>
      </c>
      <c r="B5089">
        <f>TEST_DATA!B5089</f>
        <v/>
      </c>
      <c r="C5089">
        <f>TEST_DATA!C5089</f>
        <v/>
      </c>
      <c r="D5089">
        <f>TEST_DATA!D5089</f>
        <v/>
      </c>
      <c r="E5089">
        <f>TEST_DATA!E5089</f>
        <v/>
      </c>
    </row>
    <row r="5090">
      <c r="A5090">
        <f>TEST_DATA!A5090</f>
        <v/>
      </c>
      <c r="B5090">
        <f>TEST_DATA!B5090</f>
        <v/>
      </c>
      <c r="C5090">
        <f>TEST_DATA!C5090</f>
        <v/>
      </c>
      <c r="D5090">
        <f>TEST_DATA!D5090</f>
        <v/>
      </c>
      <c r="E5090">
        <f>TEST_DATA!E5090</f>
        <v/>
      </c>
    </row>
    <row r="5091">
      <c r="A5091">
        <f>TEST_DATA!A5091</f>
        <v/>
      </c>
      <c r="B5091">
        <f>TEST_DATA!B5091</f>
        <v/>
      </c>
      <c r="C5091">
        <f>TEST_DATA!C5091</f>
        <v/>
      </c>
      <c r="D5091">
        <f>TEST_DATA!D5091</f>
        <v/>
      </c>
      <c r="E5091">
        <f>TEST_DATA!E5091</f>
        <v/>
      </c>
    </row>
    <row r="5092">
      <c r="A5092">
        <f>TEST_DATA!A5092</f>
        <v/>
      </c>
      <c r="B5092">
        <f>TEST_DATA!B5092</f>
        <v/>
      </c>
      <c r="C5092">
        <f>TEST_DATA!C5092</f>
        <v/>
      </c>
      <c r="D5092">
        <f>TEST_DATA!D5092</f>
        <v/>
      </c>
      <c r="E5092">
        <f>TEST_DATA!E5092</f>
        <v/>
      </c>
    </row>
    <row r="5093">
      <c r="A5093">
        <f>TEST_DATA!A5093</f>
        <v/>
      </c>
      <c r="B5093">
        <f>TEST_DATA!B5093</f>
        <v/>
      </c>
      <c r="C5093">
        <f>TEST_DATA!C5093</f>
        <v/>
      </c>
      <c r="D5093">
        <f>TEST_DATA!D5093</f>
        <v/>
      </c>
      <c r="E5093">
        <f>TEST_DATA!E5093</f>
        <v/>
      </c>
    </row>
    <row r="5094">
      <c r="A5094">
        <f>TEST_DATA!A5094</f>
        <v/>
      </c>
      <c r="B5094">
        <f>TEST_DATA!B5094</f>
        <v/>
      </c>
      <c r="C5094">
        <f>TEST_DATA!C5094</f>
        <v/>
      </c>
      <c r="D5094">
        <f>TEST_DATA!D5094</f>
        <v/>
      </c>
      <c r="E5094">
        <f>TEST_DATA!E5094</f>
        <v/>
      </c>
    </row>
    <row r="5095">
      <c r="A5095">
        <f>TEST_DATA!A5095</f>
        <v/>
      </c>
      <c r="B5095">
        <f>TEST_DATA!B5095</f>
        <v/>
      </c>
      <c r="C5095">
        <f>TEST_DATA!C5095</f>
        <v/>
      </c>
      <c r="D5095">
        <f>TEST_DATA!D5095</f>
        <v/>
      </c>
      <c r="E5095">
        <f>TEST_DATA!E5095</f>
        <v/>
      </c>
    </row>
    <row r="5096">
      <c r="A5096">
        <f>TEST_DATA!A5096</f>
        <v/>
      </c>
      <c r="B5096">
        <f>TEST_DATA!B5096</f>
        <v/>
      </c>
      <c r="C5096">
        <f>TEST_DATA!C5096</f>
        <v/>
      </c>
      <c r="D5096">
        <f>TEST_DATA!D5096</f>
        <v/>
      </c>
      <c r="E5096">
        <f>TEST_DATA!E5096</f>
        <v/>
      </c>
    </row>
    <row r="5097">
      <c r="A5097">
        <f>TEST_DATA!A5097</f>
        <v/>
      </c>
      <c r="B5097">
        <f>TEST_DATA!B5097</f>
        <v/>
      </c>
      <c r="C5097">
        <f>TEST_DATA!C5097</f>
        <v/>
      </c>
      <c r="D5097">
        <f>TEST_DATA!D5097</f>
        <v/>
      </c>
      <c r="E5097">
        <f>TEST_DATA!E5097</f>
        <v/>
      </c>
    </row>
    <row r="5098">
      <c r="A5098">
        <f>TEST_DATA!A5098</f>
        <v/>
      </c>
      <c r="B5098">
        <f>TEST_DATA!B5098</f>
        <v/>
      </c>
      <c r="C5098">
        <f>TEST_DATA!C5098</f>
        <v/>
      </c>
      <c r="D5098">
        <f>TEST_DATA!D5098</f>
        <v/>
      </c>
      <c r="E5098">
        <f>TEST_DATA!E5098</f>
        <v/>
      </c>
    </row>
    <row r="5099">
      <c r="A5099">
        <f>TEST_DATA!A5099</f>
        <v/>
      </c>
      <c r="B5099">
        <f>TEST_DATA!B5099</f>
        <v/>
      </c>
      <c r="C5099">
        <f>TEST_DATA!C5099</f>
        <v/>
      </c>
      <c r="D5099">
        <f>TEST_DATA!D5099</f>
        <v/>
      </c>
      <c r="E5099">
        <f>TEST_DATA!E5099</f>
        <v/>
      </c>
    </row>
    <row r="5100">
      <c r="A5100">
        <f>TEST_DATA!A5100</f>
        <v/>
      </c>
      <c r="B5100">
        <f>TEST_DATA!B5100</f>
        <v/>
      </c>
      <c r="C5100">
        <f>TEST_DATA!C5100</f>
        <v/>
      </c>
      <c r="D5100">
        <f>TEST_DATA!D5100</f>
        <v/>
      </c>
      <c r="E5100">
        <f>TEST_DATA!E5100</f>
        <v/>
      </c>
    </row>
    <row r="5101">
      <c r="A5101">
        <f>TEST_DATA!A5101</f>
        <v/>
      </c>
      <c r="B5101">
        <f>TEST_DATA!B5101</f>
        <v/>
      </c>
      <c r="C5101">
        <f>TEST_DATA!C5101</f>
        <v/>
      </c>
      <c r="D5101">
        <f>TEST_DATA!D5101</f>
        <v/>
      </c>
      <c r="E5101">
        <f>TEST_DATA!E5101</f>
        <v/>
      </c>
    </row>
    <row r="5102">
      <c r="A5102">
        <f>TEST_DATA!A5102</f>
        <v/>
      </c>
      <c r="B5102">
        <f>TEST_DATA!B5102</f>
        <v/>
      </c>
      <c r="C5102">
        <f>TEST_DATA!C5102</f>
        <v/>
      </c>
      <c r="D5102">
        <f>TEST_DATA!D5102</f>
        <v/>
      </c>
      <c r="E5102">
        <f>TEST_DATA!E5102</f>
        <v/>
      </c>
    </row>
    <row r="5103">
      <c r="A5103">
        <f>TEST_DATA!A5103</f>
        <v/>
      </c>
      <c r="B5103">
        <f>TEST_DATA!B5103</f>
        <v/>
      </c>
      <c r="C5103">
        <f>TEST_DATA!C5103</f>
        <v/>
      </c>
      <c r="D5103">
        <f>TEST_DATA!D5103</f>
        <v/>
      </c>
      <c r="E5103">
        <f>TEST_DATA!E5103</f>
        <v/>
      </c>
    </row>
    <row r="5104">
      <c r="A5104">
        <f>TEST_DATA!A5104</f>
        <v/>
      </c>
      <c r="B5104">
        <f>TEST_DATA!B5104</f>
        <v/>
      </c>
      <c r="C5104">
        <f>TEST_DATA!C5104</f>
        <v/>
      </c>
      <c r="D5104">
        <f>TEST_DATA!D5104</f>
        <v/>
      </c>
      <c r="E5104">
        <f>TEST_DATA!E5104</f>
        <v/>
      </c>
    </row>
    <row r="5105">
      <c r="A5105">
        <f>TEST_DATA!A5105</f>
        <v/>
      </c>
      <c r="B5105">
        <f>TEST_DATA!B5105</f>
        <v/>
      </c>
      <c r="C5105">
        <f>TEST_DATA!C5105</f>
        <v/>
      </c>
      <c r="D5105">
        <f>TEST_DATA!D5105</f>
        <v/>
      </c>
      <c r="E5105">
        <f>TEST_DATA!E5105</f>
        <v/>
      </c>
    </row>
    <row r="5106">
      <c r="A5106">
        <f>TEST_DATA!A5106</f>
        <v/>
      </c>
      <c r="B5106">
        <f>TEST_DATA!B5106</f>
        <v/>
      </c>
      <c r="C5106">
        <f>TEST_DATA!C5106</f>
        <v/>
      </c>
      <c r="D5106">
        <f>TEST_DATA!D5106</f>
        <v/>
      </c>
      <c r="E5106">
        <f>TEST_DATA!E5106</f>
        <v/>
      </c>
    </row>
    <row r="5107">
      <c r="A5107">
        <f>TEST_DATA!A5107</f>
        <v/>
      </c>
      <c r="B5107">
        <f>TEST_DATA!B5107</f>
        <v/>
      </c>
      <c r="C5107">
        <f>TEST_DATA!C5107</f>
        <v/>
      </c>
      <c r="D5107">
        <f>TEST_DATA!D5107</f>
        <v/>
      </c>
      <c r="E5107">
        <f>TEST_DATA!E5107</f>
        <v/>
      </c>
    </row>
    <row r="5108">
      <c r="A5108">
        <f>TEST_DATA!A5108</f>
        <v/>
      </c>
      <c r="B5108">
        <f>TEST_DATA!B5108</f>
        <v/>
      </c>
      <c r="C5108">
        <f>TEST_DATA!C5108</f>
        <v/>
      </c>
      <c r="D5108">
        <f>TEST_DATA!D5108</f>
        <v/>
      </c>
      <c r="E5108">
        <f>TEST_DATA!E5108</f>
        <v/>
      </c>
    </row>
    <row r="5109">
      <c r="A5109">
        <f>TEST_DATA!A5109</f>
        <v/>
      </c>
      <c r="B5109">
        <f>TEST_DATA!B5109</f>
        <v/>
      </c>
      <c r="C5109">
        <f>TEST_DATA!C5109</f>
        <v/>
      </c>
      <c r="D5109">
        <f>TEST_DATA!D5109</f>
        <v/>
      </c>
      <c r="E5109">
        <f>TEST_DATA!E5109</f>
        <v/>
      </c>
    </row>
    <row r="5110">
      <c r="A5110">
        <f>TEST_DATA!A5110</f>
        <v/>
      </c>
      <c r="B5110">
        <f>TEST_DATA!B5110</f>
        <v/>
      </c>
      <c r="C5110">
        <f>TEST_DATA!C5110</f>
        <v/>
      </c>
      <c r="D5110">
        <f>TEST_DATA!D5110</f>
        <v/>
      </c>
      <c r="E5110">
        <f>TEST_DATA!E5110</f>
        <v/>
      </c>
    </row>
    <row r="5111">
      <c r="A5111">
        <f>TEST_DATA!A5111</f>
        <v/>
      </c>
      <c r="B5111">
        <f>TEST_DATA!B5111</f>
        <v/>
      </c>
      <c r="C5111">
        <f>TEST_DATA!C5111</f>
        <v/>
      </c>
      <c r="D5111">
        <f>TEST_DATA!D5111</f>
        <v/>
      </c>
      <c r="E5111">
        <f>TEST_DATA!E5111</f>
        <v/>
      </c>
    </row>
    <row r="5112">
      <c r="A5112">
        <f>TEST_DATA!A5112</f>
        <v/>
      </c>
      <c r="B5112">
        <f>TEST_DATA!B5112</f>
        <v/>
      </c>
      <c r="C5112">
        <f>TEST_DATA!C5112</f>
        <v/>
      </c>
      <c r="D5112">
        <f>TEST_DATA!D5112</f>
        <v/>
      </c>
      <c r="E5112">
        <f>TEST_DATA!E5112</f>
        <v/>
      </c>
    </row>
    <row r="5113">
      <c r="A5113">
        <f>TEST_DATA!A5113</f>
        <v/>
      </c>
      <c r="B5113">
        <f>TEST_DATA!B5113</f>
        <v/>
      </c>
      <c r="C5113">
        <f>TEST_DATA!C5113</f>
        <v/>
      </c>
      <c r="D5113">
        <f>TEST_DATA!D5113</f>
        <v/>
      </c>
      <c r="E5113">
        <f>TEST_DATA!E5113</f>
        <v/>
      </c>
    </row>
    <row r="5114">
      <c r="A5114">
        <f>TEST_DATA!A5114</f>
        <v/>
      </c>
      <c r="B5114">
        <f>TEST_DATA!B5114</f>
        <v/>
      </c>
      <c r="C5114">
        <f>TEST_DATA!C5114</f>
        <v/>
      </c>
      <c r="D5114">
        <f>TEST_DATA!D5114</f>
        <v/>
      </c>
      <c r="E5114">
        <f>TEST_DATA!E5114</f>
        <v/>
      </c>
    </row>
    <row r="5115">
      <c r="A5115">
        <f>TEST_DATA!A5115</f>
        <v/>
      </c>
      <c r="B5115">
        <f>TEST_DATA!B5115</f>
        <v/>
      </c>
      <c r="C5115">
        <f>TEST_DATA!C5115</f>
        <v/>
      </c>
      <c r="D5115">
        <f>TEST_DATA!D5115</f>
        <v/>
      </c>
      <c r="E5115">
        <f>TEST_DATA!E5115</f>
        <v/>
      </c>
    </row>
    <row r="5116">
      <c r="A5116">
        <f>TEST_DATA!A5116</f>
        <v/>
      </c>
      <c r="B5116">
        <f>TEST_DATA!B5116</f>
        <v/>
      </c>
      <c r="C5116">
        <f>TEST_DATA!C5116</f>
        <v/>
      </c>
      <c r="D5116">
        <f>TEST_DATA!D5116</f>
        <v/>
      </c>
      <c r="E5116">
        <f>TEST_DATA!E5116</f>
        <v/>
      </c>
    </row>
    <row r="5117">
      <c r="A5117">
        <f>TEST_DATA!A5117</f>
        <v/>
      </c>
      <c r="B5117">
        <f>TEST_DATA!B5117</f>
        <v/>
      </c>
      <c r="C5117">
        <f>TEST_DATA!C5117</f>
        <v/>
      </c>
      <c r="D5117">
        <f>TEST_DATA!D5117</f>
        <v/>
      </c>
      <c r="E5117">
        <f>TEST_DATA!E5117</f>
        <v/>
      </c>
    </row>
    <row r="5118">
      <c r="A5118">
        <f>TEST_DATA!A5118</f>
        <v/>
      </c>
      <c r="B5118">
        <f>TEST_DATA!B5118</f>
        <v/>
      </c>
      <c r="C5118">
        <f>TEST_DATA!C5118</f>
        <v/>
      </c>
      <c r="D5118">
        <f>TEST_DATA!D5118</f>
        <v/>
      </c>
      <c r="E5118">
        <f>TEST_DATA!E5118</f>
        <v/>
      </c>
    </row>
    <row r="5119">
      <c r="A5119">
        <f>TEST_DATA!A5119</f>
        <v/>
      </c>
      <c r="B5119">
        <f>TEST_DATA!B5119</f>
        <v/>
      </c>
      <c r="C5119">
        <f>TEST_DATA!C5119</f>
        <v/>
      </c>
      <c r="D5119">
        <f>TEST_DATA!D5119</f>
        <v/>
      </c>
      <c r="E5119">
        <f>TEST_DATA!E5119</f>
        <v/>
      </c>
    </row>
    <row r="5120">
      <c r="A5120">
        <f>TEST_DATA!A5120</f>
        <v/>
      </c>
      <c r="B5120">
        <f>TEST_DATA!B5120</f>
        <v/>
      </c>
      <c r="C5120">
        <f>TEST_DATA!C5120</f>
        <v/>
      </c>
      <c r="D5120">
        <f>TEST_DATA!D5120</f>
        <v/>
      </c>
      <c r="E5120">
        <f>TEST_DATA!E5120</f>
        <v/>
      </c>
    </row>
    <row r="5121">
      <c r="A5121">
        <f>TEST_DATA!A5121</f>
        <v/>
      </c>
      <c r="B5121">
        <f>TEST_DATA!B5121</f>
        <v/>
      </c>
      <c r="C5121">
        <f>TEST_DATA!C5121</f>
        <v/>
      </c>
      <c r="D5121">
        <f>TEST_DATA!D5121</f>
        <v/>
      </c>
      <c r="E5121">
        <f>TEST_DATA!E5121</f>
        <v/>
      </c>
    </row>
    <row r="5122">
      <c r="A5122">
        <f>TEST_DATA!A5122</f>
        <v/>
      </c>
      <c r="B5122">
        <f>TEST_DATA!B5122</f>
        <v/>
      </c>
      <c r="C5122">
        <f>TEST_DATA!C5122</f>
        <v/>
      </c>
      <c r="D5122">
        <f>TEST_DATA!D5122</f>
        <v/>
      </c>
      <c r="E5122">
        <f>TEST_DATA!E5122</f>
        <v/>
      </c>
    </row>
    <row r="5123">
      <c r="A5123">
        <f>TEST_DATA!A5123</f>
        <v/>
      </c>
      <c r="B5123">
        <f>TEST_DATA!B5123</f>
        <v/>
      </c>
      <c r="C5123">
        <f>TEST_DATA!C5123</f>
        <v/>
      </c>
      <c r="D5123">
        <f>TEST_DATA!D5123</f>
        <v/>
      </c>
      <c r="E5123">
        <f>TEST_DATA!E5123</f>
        <v/>
      </c>
    </row>
    <row r="5124">
      <c r="A5124">
        <f>TEST_DATA!A5124</f>
        <v/>
      </c>
      <c r="B5124">
        <f>TEST_DATA!B5124</f>
        <v/>
      </c>
      <c r="C5124">
        <f>TEST_DATA!C5124</f>
        <v/>
      </c>
      <c r="D5124">
        <f>TEST_DATA!D5124</f>
        <v/>
      </c>
      <c r="E5124">
        <f>TEST_DATA!E5124</f>
        <v/>
      </c>
    </row>
    <row r="5125">
      <c r="A5125">
        <f>TEST_DATA!A5125</f>
        <v/>
      </c>
      <c r="B5125">
        <f>TEST_DATA!B5125</f>
        <v/>
      </c>
      <c r="C5125">
        <f>TEST_DATA!C5125</f>
        <v/>
      </c>
      <c r="D5125">
        <f>TEST_DATA!D5125</f>
        <v/>
      </c>
      <c r="E5125">
        <f>TEST_DATA!E5125</f>
        <v/>
      </c>
    </row>
    <row r="5126">
      <c r="A5126">
        <f>TEST_DATA!A5126</f>
        <v/>
      </c>
      <c r="B5126">
        <f>TEST_DATA!B5126</f>
        <v/>
      </c>
      <c r="C5126">
        <f>TEST_DATA!C5126</f>
        <v/>
      </c>
      <c r="D5126">
        <f>TEST_DATA!D5126</f>
        <v/>
      </c>
      <c r="E5126">
        <f>TEST_DATA!E5126</f>
        <v/>
      </c>
    </row>
    <row r="5127">
      <c r="A5127">
        <f>TEST_DATA!A5127</f>
        <v/>
      </c>
      <c r="B5127">
        <f>TEST_DATA!B5127</f>
        <v/>
      </c>
      <c r="C5127">
        <f>TEST_DATA!C5127</f>
        <v/>
      </c>
      <c r="D5127">
        <f>TEST_DATA!D5127</f>
        <v/>
      </c>
      <c r="E5127">
        <f>TEST_DATA!E5127</f>
        <v/>
      </c>
    </row>
    <row r="5128">
      <c r="A5128">
        <f>TEST_DATA!A5128</f>
        <v/>
      </c>
      <c r="B5128">
        <f>TEST_DATA!B5128</f>
        <v/>
      </c>
      <c r="C5128">
        <f>TEST_DATA!C5128</f>
        <v/>
      </c>
      <c r="D5128">
        <f>TEST_DATA!D5128</f>
        <v/>
      </c>
      <c r="E5128">
        <f>TEST_DATA!E5128</f>
        <v/>
      </c>
    </row>
    <row r="5129">
      <c r="A5129">
        <f>TEST_DATA!A5129</f>
        <v/>
      </c>
      <c r="B5129">
        <f>TEST_DATA!B5129</f>
        <v/>
      </c>
      <c r="C5129">
        <f>TEST_DATA!C5129</f>
        <v/>
      </c>
      <c r="D5129">
        <f>TEST_DATA!D5129</f>
        <v/>
      </c>
      <c r="E5129">
        <f>TEST_DATA!E5129</f>
        <v/>
      </c>
    </row>
    <row r="5130">
      <c r="A5130">
        <f>TEST_DATA!A5130</f>
        <v/>
      </c>
      <c r="B5130">
        <f>TEST_DATA!B5130</f>
        <v/>
      </c>
      <c r="C5130">
        <f>TEST_DATA!C5130</f>
        <v/>
      </c>
      <c r="D5130">
        <f>TEST_DATA!D5130</f>
        <v/>
      </c>
      <c r="E5130">
        <f>TEST_DATA!E5130</f>
        <v/>
      </c>
    </row>
    <row r="5131">
      <c r="A5131">
        <f>TEST_DATA!A5131</f>
        <v/>
      </c>
      <c r="B5131">
        <f>TEST_DATA!B5131</f>
        <v/>
      </c>
      <c r="C5131">
        <f>TEST_DATA!C5131</f>
        <v/>
      </c>
      <c r="D5131">
        <f>TEST_DATA!D5131</f>
        <v/>
      </c>
      <c r="E5131">
        <f>TEST_DATA!E5131</f>
        <v/>
      </c>
    </row>
    <row r="5132">
      <c r="A5132">
        <f>TEST_DATA!A5132</f>
        <v/>
      </c>
      <c r="B5132">
        <f>TEST_DATA!B5132</f>
        <v/>
      </c>
      <c r="C5132">
        <f>TEST_DATA!C5132</f>
        <v/>
      </c>
      <c r="D5132">
        <f>TEST_DATA!D5132</f>
        <v/>
      </c>
      <c r="E5132">
        <f>TEST_DATA!E5132</f>
        <v/>
      </c>
    </row>
    <row r="5133">
      <c r="A5133">
        <f>TEST_DATA!A5133</f>
        <v/>
      </c>
      <c r="B5133">
        <f>TEST_DATA!B5133</f>
        <v/>
      </c>
      <c r="C5133">
        <f>TEST_DATA!C5133</f>
        <v/>
      </c>
      <c r="D5133">
        <f>TEST_DATA!D5133</f>
        <v/>
      </c>
      <c r="E5133">
        <f>TEST_DATA!E5133</f>
        <v/>
      </c>
    </row>
    <row r="5134">
      <c r="A5134">
        <f>TEST_DATA!A5134</f>
        <v/>
      </c>
      <c r="B5134">
        <f>TEST_DATA!B5134</f>
        <v/>
      </c>
      <c r="C5134">
        <f>TEST_DATA!C5134</f>
        <v/>
      </c>
      <c r="D5134">
        <f>TEST_DATA!D5134</f>
        <v/>
      </c>
      <c r="E5134">
        <f>TEST_DATA!E5134</f>
        <v/>
      </c>
    </row>
    <row r="5135">
      <c r="A5135">
        <f>TEST_DATA!A5135</f>
        <v/>
      </c>
      <c r="B5135">
        <f>TEST_DATA!B5135</f>
        <v/>
      </c>
      <c r="C5135">
        <f>TEST_DATA!C5135</f>
        <v/>
      </c>
      <c r="D5135">
        <f>TEST_DATA!D5135</f>
        <v/>
      </c>
      <c r="E5135">
        <f>TEST_DATA!E5135</f>
        <v/>
      </c>
    </row>
    <row r="5136">
      <c r="A5136">
        <f>TEST_DATA!A5136</f>
        <v/>
      </c>
      <c r="B5136">
        <f>TEST_DATA!B5136</f>
        <v/>
      </c>
      <c r="C5136">
        <f>TEST_DATA!C5136</f>
        <v/>
      </c>
      <c r="D5136">
        <f>TEST_DATA!D5136</f>
        <v/>
      </c>
      <c r="E5136">
        <f>TEST_DATA!E5136</f>
        <v/>
      </c>
    </row>
    <row r="5137">
      <c r="A5137">
        <f>TEST_DATA!A5137</f>
        <v/>
      </c>
      <c r="B5137">
        <f>TEST_DATA!B5137</f>
        <v/>
      </c>
      <c r="C5137">
        <f>TEST_DATA!C5137</f>
        <v/>
      </c>
      <c r="D5137">
        <f>TEST_DATA!D5137</f>
        <v/>
      </c>
      <c r="E5137">
        <f>TEST_DATA!E5137</f>
        <v/>
      </c>
    </row>
    <row r="5138">
      <c r="A5138">
        <f>TEST_DATA!A5138</f>
        <v/>
      </c>
      <c r="B5138">
        <f>TEST_DATA!B5138</f>
        <v/>
      </c>
      <c r="C5138">
        <f>TEST_DATA!C5138</f>
        <v/>
      </c>
      <c r="D5138">
        <f>TEST_DATA!D5138</f>
        <v/>
      </c>
      <c r="E5138">
        <f>TEST_DATA!E5138</f>
        <v/>
      </c>
    </row>
    <row r="5139">
      <c r="A5139">
        <f>TEST_DATA!A5139</f>
        <v/>
      </c>
      <c r="B5139">
        <f>TEST_DATA!B5139</f>
        <v/>
      </c>
      <c r="C5139">
        <f>TEST_DATA!C5139</f>
        <v/>
      </c>
      <c r="D5139">
        <f>TEST_DATA!D5139</f>
        <v/>
      </c>
      <c r="E5139">
        <f>TEST_DATA!E5139</f>
        <v/>
      </c>
    </row>
    <row r="5140">
      <c r="A5140">
        <f>TEST_DATA!A5140</f>
        <v/>
      </c>
      <c r="B5140">
        <f>TEST_DATA!B5140</f>
        <v/>
      </c>
      <c r="C5140">
        <f>TEST_DATA!C5140</f>
        <v/>
      </c>
      <c r="D5140">
        <f>TEST_DATA!D5140</f>
        <v/>
      </c>
      <c r="E5140">
        <f>TEST_DATA!E5140</f>
        <v/>
      </c>
    </row>
    <row r="5141">
      <c r="A5141">
        <f>TEST_DATA!A5141</f>
        <v/>
      </c>
      <c r="B5141">
        <f>TEST_DATA!B5141</f>
        <v/>
      </c>
      <c r="C5141">
        <f>TEST_DATA!C5141</f>
        <v/>
      </c>
      <c r="D5141">
        <f>TEST_DATA!D5141</f>
        <v/>
      </c>
      <c r="E5141">
        <f>TEST_DATA!E5141</f>
        <v/>
      </c>
    </row>
    <row r="5142">
      <c r="A5142">
        <f>TEST_DATA!A5142</f>
        <v/>
      </c>
      <c r="B5142">
        <f>TEST_DATA!B5142</f>
        <v/>
      </c>
      <c r="C5142">
        <f>TEST_DATA!C5142</f>
        <v/>
      </c>
      <c r="D5142">
        <f>TEST_DATA!D5142</f>
        <v/>
      </c>
      <c r="E5142">
        <f>TEST_DATA!E5142</f>
        <v/>
      </c>
    </row>
    <row r="5143">
      <c r="A5143">
        <f>TEST_DATA!A5143</f>
        <v/>
      </c>
      <c r="B5143">
        <f>TEST_DATA!B5143</f>
        <v/>
      </c>
      <c r="C5143">
        <f>TEST_DATA!C5143</f>
        <v/>
      </c>
      <c r="D5143">
        <f>TEST_DATA!D5143</f>
        <v/>
      </c>
      <c r="E5143">
        <f>TEST_DATA!E5143</f>
        <v/>
      </c>
    </row>
    <row r="5144">
      <c r="A5144">
        <f>TEST_DATA!A5144</f>
        <v/>
      </c>
      <c r="B5144">
        <f>TEST_DATA!B5144</f>
        <v/>
      </c>
      <c r="C5144">
        <f>TEST_DATA!C5144</f>
        <v/>
      </c>
      <c r="D5144">
        <f>TEST_DATA!D5144</f>
        <v/>
      </c>
      <c r="E5144">
        <f>TEST_DATA!E5144</f>
        <v/>
      </c>
    </row>
    <row r="5145">
      <c r="A5145">
        <f>TEST_DATA!A5145</f>
        <v/>
      </c>
      <c r="B5145">
        <f>TEST_DATA!B5145</f>
        <v/>
      </c>
      <c r="C5145">
        <f>TEST_DATA!C5145</f>
        <v/>
      </c>
      <c r="D5145">
        <f>TEST_DATA!D5145</f>
        <v/>
      </c>
      <c r="E5145">
        <f>TEST_DATA!E5145</f>
        <v/>
      </c>
    </row>
    <row r="5146">
      <c r="A5146">
        <f>TEST_DATA!A5146</f>
        <v/>
      </c>
      <c r="B5146">
        <f>TEST_DATA!B5146</f>
        <v/>
      </c>
      <c r="C5146">
        <f>TEST_DATA!C5146</f>
        <v/>
      </c>
      <c r="D5146">
        <f>TEST_DATA!D5146</f>
        <v/>
      </c>
      <c r="E5146">
        <f>TEST_DATA!E5146</f>
        <v/>
      </c>
    </row>
    <row r="5147">
      <c r="A5147">
        <f>TEST_DATA!A5147</f>
        <v/>
      </c>
      <c r="B5147">
        <f>TEST_DATA!B5147</f>
        <v/>
      </c>
      <c r="C5147">
        <f>TEST_DATA!C5147</f>
        <v/>
      </c>
      <c r="D5147">
        <f>TEST_DATA!D5147</f>
        <v/>
      </c>
      <c r="E5147">
        <f>TEST_DATA!E5147</f>
        <v/>
      </c>
    </row>
    <row r="5148">
      <c r="A5148">
        <f>TEST_DATA!A5148</f>
        <v/>
      </c>
      <c r="B5148">
        <f>TEST_DATA!B5148</f>
        <v/>
      </c>
      <c r="C5148">
        <f>TEST_DATA!C5148</f>
        <v/>
      </c>
      <c r="D5148">
        <f>TEST_DATA!D5148</f>
        <v/>
      </c>
      <c r="E5148">
        <f>TEST_DATA!E5148</f>
        <v/>
      </c>
    </row>
    <row r="5149">
      <c r="A5149">
        <f>TEST_DATA!A5149</f>
        <v/>
      </c>
      <c r="B5149">
        <f>TEST_DATA!B5149</f>
        <v/>
      </c>
      <c r="C5149">
        <f>TEST_DATA!C5149</f>
        <v/>
      </c>
      <c r="D5149">
        <f>TEST_DATA!D5149</f>
        <v/>
      </c>
      <c r="E5149">
        <f>TEST_DATA!E5149</f>
        <v/>
      </c>
    </row>
    <row r="5150">
      <c r="A5150">
        <f>TEST_DATA!A5150</f>
        <v/>
      </c>
      <c r="B5150">
        <f>TEST_DATA!B5150</f>
        <v/>
      </c>
      <c r="C5150">
        <f>TEST_DATA!C5150</f>
        <v/>
      </c>
      <c r="D5150">
        <f>TEST_DATA!D5150</f>
        <v/>
      </c>
      <c r="E5150">
        <f>TEST_DATA!E5150</f>
        <v/>
      </c>
    </row>
    <row r="5151">
      <c r="A5151">
        <f>TEST_DATA!A5151</f>
        <v/>
      </c>
      <c r="B5151">
        <f>TEST_DATA!B5151</f>
        <v/>
      </c>
      <c r="C5151">
        <f>TEST_DATA!C5151</f>
        <v/>
      </c>
      <c r="D5151">
        <f>TEST_DATA!D5151</f>
        <v/>
      </c>
      <c r="E5151">
        <f>TEST_DATA!E5151</f>
        <v/>
      </c>
    </row>
    <row r="5152">
      <c r="A5152">
        <f>TEST_DATA!A5152</f>
        <v/>
      </c>
      <c r="B5152">
        <f>TEST_DATA!B5152</f>
        <v/>
      </c>
      <c r="C5152">
        <f>TEST_DATA!C5152</f>
        <v/>
      </c>
      <c r="D5152">
        <f>TEST_DATA!D5152</f>
        <v/>
      </c>
      <c r="E5152">
        <f>TEST_DATA!E5152</f>
        <v/>
      </c>
    </row>
    <row r="5153">
      <c r="A5153">
        <f>TEST_DATA!A5153</f>
        <v/>
      </c>
      <c r="B5153">
        <f>TEST_DATA!B5153</f>
        <v/>
      </c>
      <c r="C5153">
        <f>TEST_DATA!C5153</f>
        <v/>
      </c>
      <c r="D5153">
        <f>TEST_DATA!D5153</f>
        <v/>
      </c>
      <c r="E5153">
        <f>TEST_DATA!E5153</f>
        <v/>
      </c>
    </row>
    <row r="5154">
      <c r="A5154">
        <f>TEST_DATA!A5154</f>
        <v/>
      </c>
      <c r="B5154">
        <f>TEST_DATA!B5154</f>
        <v/>
      </c>
      <c r="C5154">
        <f>TEST_DATA!C5154</f>
        <v/>
      </c>
      <c r="D5154">
        <f>TEST_DATA!D5154</f>
        <v/>
      </c>
      <c r="E5154">
        <f>TEST_DATA!E5154</f>
        <v/>
      </c>
    </row>
    <row r="5155">
      <c r="A5155">
        <f>TEST_DATA!A5155</f>
        <v/>
      </c>
      <c r="B5155">
        <f>TEST_DATA!B5155</f>
        <v/>
      </c>
      <c r="C5155">
        <f>TEST_DATA!C5155</f>
        <v/>
      </c>
      <c r="D5155">
        <f>TEST_DATA!D5155</f>
        <v/>
      </c>
      <c r="E5155">
        <f>TEST_DATA!E5155</f>
        <v/>
      </c>
    </row>
    <row r="5156">
      <c r="A5156">
        <f>TEST_DATA!A5156</f>
        <v/>
      </c>
      <c r="B5156">
        <f>TEST_DATA!B5156</f>
        <v/>
      </c>
      <c r="C5156">
        <f>TEST_DATA!C5156</f>
        <v/>
      </c>
      <c r="D5156">
        <f>TEST_DATA!D5156</f>
        <v/>
      </c>
      <c r="E5156">
        <f>TEST_DATA!E5156</f>
        <v/>
      </c>
    </row>
    <row r="5157">
      <c r="A5157">
        <f>TEST_DATA!A5157</f>
        <v/>
      </c>
      <c r="B5157">
        <f>TEST_DATA!B5157</f>
        <v/>
      </c>
      <c r="C5157">
        <f>TEST_DATA!C5157</f>
        <v/>
      </c>
      <c r="D5157">
        <f>TEST_DATA!D5157</f>
        <v/>
      </c>
      <c r="E5157">
        <f>TEST_DATA!E5157</f>
        <v/>
      </c>
    </row>
    <row r="5158">
      <c r="A5158">
        <f>TEST_DATA!A5158</f>
        <v/>
      </c>
      <c r="B5158">
        <f>TEST_DATA!B5158</f>
        <v/>
      </c>
      <c r="C5158">
        <f>TEST_DATA!C5158</f>
        <v/>
      </c>
      <c r="D5158">
        <f>TEST_DATA!D5158</f>
        <v/>
      </c>
      <c r="E5158">
        <f>TEST_DATA!E5158</f>
        <v/>
      </c>
    </row>
    <row r="5159">
      <c r="A5159">
        <f>TEST_DATA!A5159</f>
        <v/>
      </c>
      <c r="B5159">
        <f>TEST_DATA!B5159</f>
        <v/>
      </c>
      <c r="C5159">
        <f>TEST_DATA!C5159</f>
        <v/>
      </c>
      <c r="D5159">
        <f>TEST_DATA!D5159</f>
        <v/>
      </c>
      <c r="E5159">
        <f>TEST_DATA!E5159</f>
        <v/>
      </c>
    </row>
    <row r="5160">
      <c r="A5160">
        <f>TEST_DATA!A5160</f>
        <v/>
      </c>
      <c r="B5160">
        <f>TEST_DATA!B5160</f>
        <v/>
      </c>
      <c r="C5160">
        <f>TEST_DATA!C5160</f>
        <v/>
      </c>
      <c r="D5160">
        <f>TEST_DATA!D5160</f>
        <v/>
      </c>
      <c r="E5160">
        <f>TEST_DATA!E5160</f>
        <v/>
      </c>
    </row>
    <row r="5161">
      <c r="A5161">
        <f>TEST_DATA!A5161</f>
        <v/>
      </c>
      <c r="B5161">
        <f>TEST_DATA!B5161</f>
        <v/>
      </c>
      <c r="C5161">
        <f>TEST_DATA!C5161</f>
        <v/>
      </c>
      <c r="D5161">
        <f>TEST_DATA!D5161</f>
        <v/>
      </c>
      <c r="E5161">
        <f>TEST_DATA!E5161</f>
        <v/>
      </c>
    </row>
    <row r="5162">
      <c r="A5162">
        <f>TEST_DATA!A5162</f>
        <v/>
      </c>
      <c r="B5162">
        <f>TEST_DATA!B5162</f>
        <v/>
      </c>
      <c r="C5162">
        <f>TEST_DATA!C5162</f>
        <v/>
      </c>
      <c r="D5162">
        <f>TEST_DATA!D5162</f>
        <v/>
      </c>
      <c r="E5162">
        <f>TEST_DATA!E5162</f>
        <v/>
      </c>
    </row>
    <row r="5163">
      <c r="A5163">
        <f>TEST_DATA!A5163</f>
        <v/>
      </c>
      <c r="B5163">
        <f>TEST_DATA!B5163</f>
        <v/>
      </c>
      <c r="C5163">
        <f>TEST_DATA!C5163</f>
        <v/>
      </c>
      <c r="D5163">
        <f>TEST_DATA!D5163</f>
        <v/>
      </c>
      <c r="E5163">
        <f>TEST_DATA!E5163</f>
        <v/>
      </c>
    </row>
    <row r="5164">
      <c r="A5164">
        <f>TEST_DATA!A5164</f>
        <v/>
      </c>
      <c r="B5164">
        <f>TEST_DATA!B5164</f>
        <v/>
      </c>
      <c r="C5164">
        <f>TEST_DATA!C5164</f>
        <v/>
      </c>
      <c r="D5164">
        <f>TEST_DATA!D5164</f>
        <v/>
      </c>
      <c r="E5164">
        <f>TEST_DATA!E5164</f>
        <v/>
      </c>
    </row>
    <row r="5165">
      <c r="A5165">
        <f>TEST_DATA!A5165</f>
        <v/>
      </c>
      <c r="B5165">
        <f>TEST_DATA!B5165</f>
        <v/>
      </c>
      <c r="C5165">
        <f>TEST_DATA!C5165</f>
        <v/>
      </c>
      <c r="D5165">
        <f>TEST_DATA!D5165</f>
        <v/>
      </c>
      <c r="E5165">
        <f>TEST_DATA!E5165</f>
        <v/>
      </c>
    </row>
    <row r="5166">
      <c r="A5166">
        <f>TEST_DATA!A5166</f>
        <v/>
      </c>
      <c r="B5166">
        <f>TEST_DATA!B5166</f>
        <v/>
      </c>
      <c r="C5166">
        <f>TEST_DATA!C5166</f>
        <v/>
      </c>
      <c r="D5166">
        <f>TEST_DATA!D5166</f>
        <v/>
      </c>
      <c r="E5166">
        <f>TEST_DATA!E5166</f>
        <v/>
      </c>
    </row>
    <row r="5167">
      <c r="A5167">
        <f>TEST_DATA!A5167</f>
        <v/>
      </c>
      <c r="B5167">
        <f>TEST_DATA!B5167</f>
        <v/>
      </c>
      <c r="C5167">
        <f>TEST_DATA!C5167</f>
        <v/>
      </c>
      <c r="D5167">
        <f>TEST_DATA!D5167</f>
        <v/>
      </c>
      <c r="E5167">
        <f>TEST_DATA!E5167</f>
        <v/>
      </c>
    </row>
    <row r="5168">
      <c r="A5168">
        <f>TEST_DATA!A5168</f>
        <v/>
      </c>
      <c r="B5168">
        <f>TEST_DATA!B5168</f>
        <v/>
      </c>
      <c r="C5168">
        <f>TEST_DATA!C5168</f>
        <v/>
      </c>
      <c r="D5168">
        <f>TEST_DATA!D5168</f>
        <v/>
      </c>
      <c r="E5168">
        <f>TEST_DATA!E5168</f>
        <v/>
      </c>
    </row>
    <row r="5169">
      <c r="A5169">
        <f>TEST_DATA!A5169</f>
        <v/>
      </c>
      <c r="B5169">
        <f>TEST_DATA!B5169</f>
        <v/>
      </c>
      <c r="C5169">
        <f>TEST_DATA!C5169</f>
        <v/>
      </c>
      <c r="D5169">
        <f>TEST_DATA!D5169</f>
        <v/>
      </c>
      <c r="E5169">
        <f>TEST_DATA!E5169</f>
        <v/>
      </c>
    </row>
    <row r="5170">
      <c r="A5170">
        <f>TEST_DATA!A5170</f>
        <v/>
      </c>
      <c r="B5170">
        <f>TEST_DATA!B5170</f>
        <v/>
      </c>
      <c r="C5170">
        <f>TEST_DATA!C5170</f>
        <v/>
      </c>
      <c r="D5170">
        <f>TEST_DATA!D5170</f>
        <v/>
      </c>
      <c r="E5170">
        <f>TEST_DATA!E5170</f>
        <v/>
      </c>
    </row>
    <row r="5171">
      <c r="A5171">
        <f>TEST_DATA!A5171</f>
        <v/>
      </c>
      <c r="B5171">
        <f>TEST_DATA!B5171</f>
        <v/>
      </c>
      <c r="C5171">
        <f>TEST_DATA!C5171</f>
        <v/>
      </c>
      <c r="D5171">
        <f>TEST_DATA!D5171</f>
        <v/>
      </c>
      <c r="E5171">
        <f>TEST_DATA!E5171</f>
        <v/>
      </c>
    </row>
    <row r="5172">
      <c r="A5172">
        <f>TEST_DATA!A5172</f>
        <v/>
      </c>
      <c r="B5172">
        <f>TEST_DATA!B5172</f>
        <v/>
      </c>
      <c r="C5172">
        <f>TEST_DATA!C5172</f>
        <v/>
      </c>
      <c r="D5172">
        <f>TEST_DATA!D5172</f>
        <v/>
      </c>
      <c r="E5172">
        <f>TEST_DATA!E5172</f>
        <v/>
      </c>
    </row>
    <row r="5173">
      <c r="A5173">
        <f>TEST_DATA!A5173</f>
        <v/>
      </c>
      <c r="B5173">
        <f>TEST_DATA!B5173</f>
        <v/>
      </c>
      <c r="C5173">
        <f>TEST_DATA!C5173</f>
        <v/>
      </c>
      <c r="D5173">
        <f>TEST_DATA!D5173</f>
        <v/>
      </c>
      <c r="E5173">
        <f>TEST_DATA!E5173</f>
        <v/>
      </c>
    </row>
    <row r="5174">
      <c r="A5174">
        <f>TEST_DATA!A5174</f>
        <v/>
      </c>
      <c r="B5174">
        <f>TEST_DATA!B5174</f>
        <v/>
      </c>
      <c r="C5174">
        <f>TEST_DATA!C5174</f>
        <v/>
      </c>
      <c r="D5174">
        <f>TEST_DATA!D5174</f>
        <v/>
      </c>
      <c r="E5174">
        <f>TEST_DATA!E5174</f>
        <v/>
      </c>
    </row>
    <row r="5175">
      <c r="A5175">
        <f>TEST_DATA!A5175</f>
        <v/>
      </c>
      <c r="B5175">
        <f>TEST_DATA!B5175</f>
        <v/>
      </c>
      <c r="C5175">
        <f>TEST_DATA!C5175</f>
        <v/>
      </c>
      <c r="D5175">
        <f>TEST_DATA!D5175</f>
        <v/>
      </c>
      <c r="E5175">
        <f>TEST_DATA!E5175</f>
        <v/>
      </c>
    </row>
    <row r="5176">
      <c r="A5176">
        <f>TEST_DATA!A5176</f>
        <v/>
      </c>
      <c r="B5176">
        <f>TEST_DATA!B5176</f>
        <v/>
      </c>
      <c r="C5176">
        <f>TEST_DATA!C5176</f>
        <v/>
      </c>
      <c r="D5176">
        <f>TEST_DATA!D5176</f>
        <v/>
      </c>
      <c r="E5176">
        <f>TEST_DATA!E5176</f>
        <v/>
      </c>
    </row>
    <row r="5177">
      <c r="A5177">
        <f>TEST_DATA!A5177</f>
        <v/>
      </c>
      <c r="B5177">
        <f>TEST_DATA!B5177</f>
        <v/>
      </c>
      <c r="C5177">
        <f>TEST_DATA!C5177</f>
        <v/>
      </c>
      <c r="D5177">
        <f>TEST_DATA!D5177</f>
        <v/>
      </c>
      <c r="E5177">
        <f>TEST_DATA!E5177</f>
        <v/>
      </c>
    </row>
    <row r="5178">
      <c r="A5178">
        <f>TEST_DATA!A5178</f>
        <v/>
      </c>
      <c r="B5178">
        <f>TEST_DATA!B5178</f>
        <v/>
      </c>
      <c r="C5178">
        <f>TEST_DATA!C5178</f>
        <v/>
      </c>
      <c r="D5178">
        <f>TEST_DATA!D5178</f>
        <v/>
      </c>
      <c r="E5178">
        <f>TEST_DATA!E5178</f>
        <v/>
      </c>
    </row>
    <row r="5179">
      <c r="A5179">
        <f>TEST_DATA!A5179</f>
        <v/>
      </c>
      <c r="B5179">
        <f>TEST_DATA!B5179</f>
        <v/>
      </c>
      <c r="C5179">
        <f>TEST_DATA!C5179</f>
        <v/>
      </c>
      <c r="D5179">
        <f>TEST_DATA!D5179</f>
        <v/>
      </c>
      <c r="E5179">
        <f>TEST_DATA!E5179</f>
        <v/>
      </c>
    </row>
    <row r="5180">
      <c r="A5180">
        <f>TEST_DATA!A5180</f>
        <v/>
      </c>
      <c r="B5180">
        <f>TEST_DATA!B5180</f>
        <v/>
      </c>
      <c r="C5180">
        <f>TEST_DATA!C5180</f>
        <v/>
      </c>
      <c r="D5180">
        <f>TEST_DATA!D5180</f>
        <v/>
      </c>
      <c r="E5180">
        <f>TEST_DATA!E5180</f>
        <v/>
      </c>
    </row>
    <row r="5181">
      <c r="A5181">
        <f>TEST_DATA!A5181</f>
        <v/>
      </c>
      <c r="B5181">
        <f>TEST_DATA!B5181</f>
        <v/>
      </c>
      <c r="C5181">
        <f>TEST_DATA!C5181</f>
        <v/>
      </c>
      <c r="D5181">
        <f>TEST_DATA!D5181</f>
        <v/>
      </c>
      <c r="E5181">
        <f>TEST_DATA!E5181</f>
        <v/>
      </c>
    </row>
    <row r="5182">
      <c r="A5182">
        <f>TEST_DATA!A5182</f>
        <v/>
      </c>
      <c r="B5182">
        <f>TEST_DATA!B5182</f>
        <v/>
      </c>
      <c r="C5182">
        <f>TEST_DATA!C5182</f>
        <v/>
      </c>
      <c r="D5182">
        <f>TEST_DATA!D5182</f>
        <v/>
      </c>
      <c r="E5182">
        <f>TEST_DATA!E5182</f>
        <v/>
      </c>
    </row>
    <row r="5183">
      <c r="A5183">
        <f>TEST_DATA!A5183</f>
        <v/>
      </c>
      <c r="B5183">
        <f>TEST_DATA!B5183</f>
        <v/>
      </c>
      <c r="C5183">
        <f>TEST_DATA!C5183</f>
        <v/>
      </c>
      <c r="D5183">
        <f>TEST_DATA!D5183</f>
        <v/>
      </c>
      <c r="E5183">
        <f>TEST_DATA!E5183</f>
        <v/>
      </c>
    </row>
    <row r="5184">
      <c r="A5184">
        <f>TEST_DATA!A5184</f>
        <v/>
      </c>
      <c r="B5184">
        <f>TEST_DATA!B5184</f>
        <v/>
      </c>
      <c r="C5184">
        <f>TEST_DATA!C5184</f>
        <v/>
      </c>
      <c r="D5184">
        <f>TEST_DATA!D5184</f>
        <v/>
      </c>
      <c r="E5184">
        <f>TEST_DATA!E5184</f>
        <v/>
      </c>
    </row>
    <row r="5185">
      <c r="A5185">
        <f>TEST_DATA!A5185</f>
        <v/>
      </c>
      <c r="B5185">
        <f>TEST_DATA!B5185</f>
        <v/>
      </c>
      <c r="C5185">
        <f>TEST_DATA!C5185</f>
        <v/>
      </c>
      <c r="D5185">
        <f>TEST_DATA!D5185</f>
        <v/>
      </c>
      <c r="E5185">
        <f>TEST_DATA!E5185</f>
        <v/>
      </c>
    </row>
    <row r="5186">
      <c r="A5186">
        <f>TEST_DATA!A5186</f>
        <v/>
      </c>
      <c r="B5186">
        <f>TEST_DATA!B5186</f>
        <v/>
      </c>
      <c r="C5186">
        <f>TEST_DATA!C5186</f>
        <v/>
      </c>
      <c r="D5186">
        <f>TEST_DATA!D5186</f>
        <v/>
      </c>
      <c r="E5186">
        <f>TEST_DATA!E5186</f>
        <v/>
      </c>
    </row>
    <row r="5187">
      <c r="A5187">
        <f>TEST_DATA!A5187</f>
        <v/>
      </c>
      <c r="B5187">
        <f>TEST_DATA!B5187</f>
        <v/>
      </c>
      <c r="C5187">
        <f>TEST_DATA!C5187</f>
        <v/>
      </c>
      <c r="D5187">
        <f>TEST_DATA!D5187</f>
        <v/>
      </c>
      <c r="E5187">
        <f>TEST_DATA!E5187</f>
        <v/>
      </c>
    </row>
    <row r="5188">
      <c r="A5188">
        <f>TEST_DATA!A5188</f>
        <v/>
      </c>
      <c r="B5188">
        <f>TEST_DATA!B5188</f>
        <v/>
      </c>
      <c r="C5188">
        <f>TEST_DATA!C5188</f>
        <v/>
      </c>
      <c r="D5188">
        <f>TEST_DATA!D5188</f>
        <v/>
      </c>
      <c r="E5188">
        <f>TEST_DATA!E5188</f>
        <v/>
      </c>
    </row>
    <row r="5189">
      <c r="A5189">
        <f>TEST_DATA!A5189</f>
        <v/>
      </c>
      <c r="B5189">
        <f>TEST_DATA!B5189</f>
        <v/>
      </c>
      <c r="C5189">
        <f>TEST_DATA!C5189</f>
        <v/>
      </c>
      <c r="D5189">
        <f>TEST_DATA!D5189</f>
        <v/>
      </c>
      <c r="E5189">
        <f>TEST_DATA!E5189</f>
        <v/>
      </c>
    </row>
    <row r="5190">
      <c r="A5190">
        <f>TEST_DATA!A5190</f>
        <v/>
      </c>
      <c r="B5190">
        <f>TEST_DATA!B5190</f>
        <v/>
      </c>
      <c r="C5190">
        <f>TEST_DATA!C5190</f>
        <v/>
      </c>
      <c r="D5190">
        <f>TEST_DATA!D5190</f>
        <v/>
      </c>
      <c r="E5190">
        <f>TEST_DATA!E5190</f>
        <v/>
      </c>
    </row>
    <row r="5191">
      <c r="A5191">
        <f>TEST_DATA!A5191</f>
        <v/>
      </c>
      <c r="B5191">
        <f>TEST_DATA!B5191</f>
        <v/>
      </c>
      <c r="C5191">
        <f>TEST_DATA!C5191</f>
        <v/>
      </c>
      <c r="D5191">
        <f>TEST_DATA!D5191</f>
        <v/>
      </c>
      <c r="E5191">
        <f>TEST_DATA!E5191</f>
        <v/>
      </c>
    </row>
    <row r="5192">
      <c r="A5192">
        <f>TEST_DATA!A5192</f>
        <v/>
      </c>
      <c r="B5192">
        <f>TEST_DATA!B5192</f>
        <v/>
      </c>
      <c r="C5192">
        <f>TEST_DATA!C5192</f>
        <v/>
      </c>
      <c r="D5192">
        <f>TEST_DATA!D5192</f>
        <v/>
      </c>
      <c r="E5192">
        <f>TEST_DATA!E5192</f>
        <v/>
      </c>
    </row>
    <row r="5193">
      <c r="A5193">
        <f>TEST_DATA!A5193</f>
        <v/>
      </c>
      <c r="B5193">
        <f>TEST_DATA!B5193</f>
        <v/>
      </c>
      <c r="C5193">
        <f>TEST_DATA!C5193</f>
        <v/>
      </c>
      <c r="D5193">
        <f>TEST_DATA!D5193</f>
        <v/>
      </c>
      <c r="E5193">
        <f>TEST_DATA!E5193</f>
        <v/>
      </c>
    </row>
    <row r="5194">
      <c r="A5194">
        <f>TEST_DATA!A5194</f>
        <v/>
      </c>
      <c r="B5194">
        <f>TEST_DATA!B5194</f>
        <v/>
      </c>
      <c r="C5194">
        <f>TEST_DATA!C5194</f>
        <v/>
      </c>
      <c r="D5194">
        <f>TEST_DATA!D5194</f>
        <v/>
      </c>
      <c r="E5194">
        <f>TEST_DATA!E5194</f>
        <v/>
      </c>
    </row>
    <row r="5195">
      <c r="A5195">
        <f>TEST_DATA!A5195</f>
        <v/>
      </c>
      <c r="B5195">
        <f>TEST_DATA!B5195</f>
        <v/>
      </c>
      <c r="C5195">
        <f>TEST_DATA!C5195</f>
        <v/>
      </c>
      <c r="D5195">
        <f>TEST_DATA!D5195</f>
        <v/>
      </c>
      <c r="E5195">
        <f>TEST_DATA!E5195</f>
        <v/>
      </c>
    </row>
    <row r="5196">
      <c r="A5196">
        <f>TEST_DATA!A5196</f>
        <v/>
      </c>
      <c r="B5196">
        <f>TEST_DATA!B5196</f>
        <v/>
      </c>
      <c r="C5196">
        <f>TEST_DATA!C5196</f>
        <v/>
      </c>
      <c r="D5196">
        <f>TEST_DATA!D5196</f>
        <v/>
      </c>
      <c r="E5196">
        <f>TEST_DATA!E5196</f>
        <v/>
      </c>
    </row>
    <row r="5197">
      <c r="A5197">
        <f>TEST_DATA!A5197</f>
        <v/>
      </c>
      <c r="B5197">
        <f>TEST_DATA!B5197</f>
        <v/>
      </c>
      <c r="C5197">
        <f>TEST_DATA!C5197</f>
        <v/>
      </c>
      <c r="D5197">
        <f>TEST_DATA!D5197</f>
        <v/>
      </c>
      <c r="E5197">
        <f>TEST_DATA!E5197</f>
        <v/>
      </c>
    </row>
    <row r="5198">
      <c r="A5198">
        <f>TEST_DATA!A5198</f>
        <v/>
      </c>
      <c r="B5198">
        <f>TEST_DATA!B5198</f>
        <v/>
      </c>
      <c r="C5198">
        <f>TEST_DATA!C5198</f>
        <v/>
      </c>
      <c r="D5198">
        <f>TEST_DATA!D5198</f>
        <v/>
      </c>
      <c r="E5198">
        <f>TEST_DATA!E5198</f>
        <v/>
      </c>
    </row>
    <row r="5199">
      <c r="A5199">
        <f>TEST_DATA!A5199</f>
        <v/>
      </c>
      <c r="B5199">
        <f>TEST_DATA!B5199</f>
        <v/>
      </c>
      <c r="C5199">
        <f>TEST_DATA!C5199</f>
        <v/>
      </c>
      <c r="D5199">
        <f>TEST_DATA!D5199</f>
        <v/>
      </c>
      <c r="E5199">
        <f>TEST_DATA!E5199</f>
        <v/>
      </c>
    </row>
    <row r="5200">
      <c r="A5200">
        <f>TEST_DATA!A5200</f>
        <v/>
      </c>
      <c r="B5200">
        <f>TEST_DATA!B5200</f>
        <v/>
      </c>
      <c r="C5200">
        <f>TEST_DATA!C5200</f>
        <v/>
      </c>
      <c r="D5200">
        <f>TEST_DATA!D5200</f>
        <v/>
      </c>
      <c r="E5200">
        <f>TEST_DATA!E5200</f>
        <v/>
      </c>
    </row>
    <row r="5201">
      <c r="A5201">
        <f>TEST_DATA!A5201</f>
        <v/>
      </c>
      <c r="B5201">
        <f>TEST_DATA!B5201</f>
        <v/>
      </c>
      <c r="C5201">
        <f>TEST_DATA!C5201</f>
        <v/>
      </c>
      <c r="D5201">
        <f>TEST_DATA!D5201</f>
        <v/>
      </c>
      <c r="E5201">
        <f>TEST_DATA!E5201</f>
        <v/>
      </c>
    </row>
    <row r="5202">
      <c r="A5202">
        <f>TEST_DATA!A5202</f>
        <v/>
      </c>
      <c r="B5202">
        <f>TEST_DATA!B5202</f>
        <v/>
      </c>
      <c r="C5202">
        <f>TEST_DATA!C5202</f>
        <v/>
      </c>
      <c r="D5202">
        <f>TEST_DATA!D5202</f>
        <v/>
      </c>
      <c r="E5202">
        <f>TEST_DATA!E5202</f>
        <v/>
      </c>
    </row>
    <row r="5203">
      <c r="A5203">
        <f>TEST_DATA!A5203</f>
        <v/>
      </c>
      <c r="B5203">
        <f>TEST_DATA!B5203</f>
        <v/>
      </c>
      <c r="C5203">
        <f>TEST_DATA!C5203</f>
        <v/>
      </c>
      <c r="D5203">
        <f>TEST_DATA!D5203</f>
        <v/>
      </c>
      <c r="E5203">
        <f>TEST_DATA!E5203</f>
        <v/>
      </c>
    </row>
    <row r="5204">
      <c r="A5204">
        <f>TEST_DATA!A5204</f>
        <v/>
      </c>
      <c r="B5204">
        <f>TEST_DATA!B5204</f>
        <v/>
      </c>
      <c r="C5204">
        <f>TEST_DATA!C5204</f>
        <v/>
      </c>
      <c r="D5204">
        <f>TEST_DATA!D5204</f>
        <v/>
      </c>
      <c r="E5204">
        <f>TEST_DATA!E5204</f>
        <v/>
      </c>
    </row>
    <row r="5205">
      <c r="A5205">
        <f>TEST_DATA!A5205</f>
        <v/>
      </c>
      <c r="B5205">
        <f>TEST_DATA!B5205</f>
        <v/>
      </c>
      <c r="C5205">
        <f>TEST_DATA!C5205</f>
        <v/>
      </c>
      <c r="D5205">
        <f>TEST_DATA!D5205</f>
        <v/>
      </c>
      <c r="E5205">
        <f>TEST_DATA!E5205</f>
        <v/>
      </c>
    </row>
    <row r="5206">
      <c r="A5206">
        <f>TEST_DATA!A5206</f>
        <v/>
      </c>
      <c r="B5206">
        <f>TEST_DATA!B5206</f>
        <v/>
      </c>
      <c r="C5206">
        <f>TEST_DATA!C5206</f>
        <v/>
      </c>
      <c r="D5206">
        <f>TEST_DATA!D5206</f>
        <v/>
      </c>
      <c r="E5206">
        <f>TEST_DATA!E5206</f>
        <v/>
      </c>
    </row>
    <row r="5207">
      <c r="A5207">
        <f>TEST_DATA!A5207</f>
        <v/>
      </c>
      <c r="B5207">
        <f>TEST_DATA!B5207</f>
        <v/>
      </c>
      <c r="C5207">
        <f>TEST_DATA!C5207</f>
        <v/>
      </c>
      <c r="D5207">
        <f>TEST_DATA!D5207</f>
        <v/>
      </c>
      <c r="E5207">
        <f>TEST_DATA!E5207</f>
        <v/>
      </c>
    </row>
    <row r="5208">
      <c r="A5208">
        <f>TEST_DATA!A5208</f>
        <v/>
      </c>
      <c r="B5208">
        <f>TEST_DATA!B5208</f>
        <v/>
      </c>
      <c r="C5208">
        <f>TEST_DATA!C5208</f>
        <v/>
      </c>
      <c r="D5208">
        <f>TEST_DATA!D5208</f>
        <v/>
      </c>
      <c r="E5208">
        <f>TEST_DATA!E5208</f>
        <v/>
      </c>
    </row>
    <row r="5209">
      <c r="A5209">
        <f>TEST_DATA!A5209</f>
        <v/>
      </c>
      <c r="B5209">
        <f>TEST_DATA!B5209</f>
        <v/>
      </c>
      <c r="C5209">
        <f>TEST_DATA!C5209</f>
        <v/>
      </c>
      <c r="D5209">
        <f>TEST_DATA!D5209</f>
        <v/>
      </c>
      <c r="E5209">
        <f>TEST_DATA!E5209</f>
        <v/>
      </c>
    </row>
    <row r="5210">
      <c r="A5210">
        <f>TEST_DATA!A5210</f>
        <v/>
      </c>
      <c r="B5210">
        <f>TEST_DATA!B5210</f>
        <v/>
      </c>
      <c r="C5210">
        <f>TEST_DATA!C5210</f>
        <v/>
      </c>
      <c r="D5210">
        <f>TEST_DATA!D5210</f>
        <v/>
      </c>
      <c r="E5210">
        <f>TEST_DATA!E5210</f>
        <v/>
      </c>
    </row>
    <row r="5211">
      <c r="A5211">
        <f>TEST_DATA!A5211</f>
        <v/>
      </c>
      <c r="B5211">
        <f>TEST_DATA!B5211</f>
        <v/>
      </c>
      <c r="C5211">
        <f>TEST_DATA!C5211</f>
        <v/>
      </c>
      <c r="D5211">
        <f>TEST_DATA!D5211</f>
        <v/>
      </c>
      <c r="E5211">
        <f>TEST_DATA!E5211</f>
        <v/>
      </c>
    </row>
    <row r="5212">
      <c r="A5212">
        <f>TEST_DATA!A5212</f>
        <v/>
      </c>
      <c r="B5212">
        <f>TEST_DATA!B5212</f>
        <v/>
      </c>
      <c r="C5212">
        <f>TEST_DATA!C5212</f>
        <v/>
      </c>
      <c r="D5212">
        <f>TEST_DATA!D5212</f>
        <v/>
      </c>
      <c r="E5212">
        <f>TEST_DATA!E5212</f>
        <v/>
      </c>
    </row>
    <row r="5213">
      <c r="A5213">
        <f>TEST_DATA!A5213</f>
        <v/>
      </c>
      <c r="B5213">
        <f>TEST_DATA!B5213</f>
        <v/>
      </c>
      <c r="C5213">
        <f>TEST_DATA!C5213</f>
        <v/>
      </c>
      <c r="D5213">
        <f>TEST_DATA!D5213</f>
        <v/>
      </c>
      <c r="E5213">
        <f>TEST_DATA!E5213</f>
        <v/>
      </c>
    </row>
    <row r="5214">
      <c r="A5214">
        <f>TEST_DATA!A5214</f>
        <v/>
      </c>
      <c r="B5214">
        <f>TEST_DATA!B5214</f>
        <v/>
      </c>
      <c r="C5214">
        <f>TEST_DATA!C5214</f>
        <v/>
      </c>
      <c r="D5214">
        <f>TEST_DATA!D5214</f>
        <v/>
      </c>
      <c r="E5214">
        <f>TEST_DATA!E5214</f>
        <v/>
      </c>
    </row>
    <row r="5215">
      <c r="A5215">
        <f>TEST_DATA!A5215</f>
        <v/>
      </c>
      <c r="B5215">
        <f>TEST_DATA!B5215</f>
        <v/>
      </c>
      <c r="C5215">
        <f>TEST_DATA!C5215</f>
        <v/>
      </c>
      <c r="D5215">
        <f>TEST_DATA!D5215</f>
        <v/>
      </c>
      <c r="E5215">
        <f>TEST_DATA!E5215</f>
        <v/>
      </c>
    </row>
    <row r="5216">
      <c r="A5216">
        <f>TEST_DATA!A5216</f>
        <v/>
      </c>
      <c r="B5216">
        <f>TEST_DATA!B5216</f>
        <v/>
      </c>
      <c r="C5216">
        <f>TEST_DATA!C5216</f>
        <v/>
      </c>
      <c r="D5216">
        <f>TEST_DATA!D5216</f>
        <v/>
      </c>
      <c r="E5216">
        <f>TEST_DATA!E5216</f>
        <v/>
      </c>
    </row>
    <row r="5217">
      <c r="A5217">
        <f>TEST_DATA!A5217</f>
        <v/>
      </c>
      <c r="B5217">
        <f>TEST_DATA!B5217</f>
        <v/>
      </c>
      <c r="C5217">
        <f>TEST_DATA!C5217</f>
        <v/>
      </c>
      <c r="D5217">
        <f>TEST_DATA!D5217</f>
        <v/>
      </c>
      <c r="E5217">
        <f>TEST_DATA!E5217</f>
        <v/>
      </c>
    </row>
    <row r="5218">
      <c r="A5218">
        <f>TEST_DATA!A5218</f>
        <v/>
      </c>
      <c r="B5218">
        <f>TEST_DATA!B5218</f>
        <v/>
      </c>
      <c r="C5218">
        <f>TEST_DATA!C5218</f>
        <v/>
      </c>
      <c r="D5218">
        <f>TEST_DATA!D5218</f>
        <v/>
      </c>
      <c r="E5218">
        <f>TEST_DATA!E5218</f>
        <v/>
      </c>
    </row>
    <row r="5219">
      <c r="A5219">
        <f>TEST_DATA!A5219</f>
        <v/>
      </c>
      <c r="B5219">
        <f>TEST_DATA!B5219</f>
        <v/>
      </c>
      <c r="C5219">
        <f>TEST_DATA!C5219</f>
        <v/>
      </c>
      <c r="D5219">
        <f>TEST_DATA!D5219</f>
        <v/>
      </c>
      <c r="E5219">
        <f>TEST_DATA!E5219</f>
        <v/>
      </c>
    </row>
    <row r="5220">
      <c r="A5220">
        <f>TEST_DATA!A5220</f>
        <v/>
      </c>
      <c r="B5220">
        <f>TEST_DATA!B5220</f>
        <v/>
      </c>
      <c r="C5220">
        <f>TEST_DATA!C5220</f>
        <v/>
      </c>
      <c r="D5220">
        <f>TEST_DATA!D5220</f>
        <v/>
      </c>
      <c r="E5220">
        <f>TEST_DATA!E5220</f>
        <v/>
      </c>
    </row>
    <row r="5221">
      <c r="A5221">
        <f>TEST_DATA!A5221</f>
        <v/>
      </c>
      <c r="B5221">
        <f>TEST_DATA!B5221</f>
        <v/>
      </c>
      <c r="C5221">
        <f>TEST_DATA!C5221</f>
        <v/>
      </c>
      <c r="D5221">
        <f>TEST_DATA!D5221</f>
        <v/>
      </c>
      <c r="E5221">
        <f>TEST_DATA!E5221</f>
        <v/>
      </c>
    </row>
    <row r="5222">
      <c r="A5222">
        <f>TEST_DATA!A5222</f>
        <v/>
      </c>
      <c r="B5222">
        <f>TEST_DATA!B5222</f>
        <v/>
      </c>
      <c r="C5222">
        <f>TEST_DATA!C5222</f>
        <v/>
      </c>
      <c r="D5222">
        <f>TEST_DATA!D5222</f>
        <v/>
      </c>
      <c r="E5222">
        <f>TEST_DATA!E5222</f>
        <v/>
      </c>
    </row>
    <row r="5223">
      <c r="A5223">
        <f>TEST_DATA!A5223</f>
        <v/>
      </c>
      <c r="B5223">
        <f>TEST_DATA!B5223</f>
        <v/>
      </c>
      <c r="C5223">
        <f>TEST_DATA!C5223</f>
        <v/>
      </c>
      <c r="D5223">
        <f>TEST_DATA!D5223</f>
        <v/>
      </c>
      <c r="E5223">
        <f>TEST_DATA!E5223</f>
        <v/>
      </c>
    </row>
    <row r="5224">
      <c r="A5224">
        <f>TEST_DATA!A5224</f>
        <v/>
      </c>
      <c r="B5224">
        <f>TEST_DATA!B5224</f>
        <v/>
      </c>
      <c r="C5224">
        <f>TEST_DATA!C5224</f>
        <v/>
      </c>
      <c r="D5224">
        <f>TEST_DATA!D5224</f>
        <v/>
      </c>
      <c r="E5224">
        <f>TEST_DATA!E5224</f>
        <v/>
      </c>
    </row>
    <row r="5225">
      <c r="A5225">
        <f>TEST_DATA!A5225</f>
        <v/>
      </c>
      <c r="B5225">
        <f>TEST_DATA!B5225</f>
        <v/>
      </c>
      <c r="C5225">
        <f>TEST_DATA!C5225</f>
        <v/>
      </c>
      <c r="D5225">
        <f>TEST_DATA!D5225</f>
        <v/>
      </c>
      <c r="E5225">
        <f>TEST_DATA!E5225</f>
        <v/>
      </c>
    </row>
    <row r="5226">
      <c r="A5226">
        <f>TEST_DATA!A5226</f>
        <v/>
      </c>
      <c r="B5226">
        <f>TEST_DATA!B5226</f>
        <v/>
      </c>
      <c r="C5226">
        <f>TEST_DATA!C5226</f>
        <v/>
      </c>
      <c r="D5226">
        <f>TEST_DATA!D5226</f>
        <v/>
      </c>
      <c r="E5226">
        <f>TEST_DATA!E5226</f>
        <v/>
      </c>
    </row>
    <row r="5227">
      <c r="A5227">
        <f>TEST_DATA!A5227</f>
        <v/>
      </c>
      <c r="B5227">
        <f>TEST_DATA!B5227</f>
        <v/>
      </c>
      <c r="C5227">
        <f>TEST_DATA!C5227</f>
        <v/>
      </c>
      <c r="D5227">
        <f>TEST_DATA!D5227</f>
        <v/>
      </c>
      <c r="E5227">
        <f>TEST_DATA!E5227</f>
        <v/>
      </c>
    </row>
    <row r="5228">
      <c r="A5228">
        <f>TEST_DATA!A5228</f>
        <v/>
      </c>
      <c r="B5228">
        <f>TEST_DATA!B5228</f>
        <v/>
      </c>
      <c r="C5228">
        <f>TEST_DATA!C5228</f>
        <v/>
      </c>
      <c r="D5228">
        <f>TEST_DATA!D5228</f>
        <v/>
      </c>
      <c r="E5228">
        <f>TEST_DATA!E5228</f>
        <v/>
      </c>
    </row>
    <row r="5229">
      <c r="A5229">
        <f>TEST_DATA!A5229</f>
        <v/>
      </c>
      <c r="B5229">
        <f>TEST_DATA!B5229</f>
        <v/>
      </c>
      <c r="C5229">
        <f>TEST_DATA!C5229</f>
        <v/>
      </c>
      <c r="D5229">
        <f>TEST_DATA!D5229</f>
        <v/>
      </c>
      <c r="E5229">
        <f>TEST_DATA!E5229</f>
        <v/>
      </c>
    </row>
    <row r="5230">
      <c r="A5230">
        <f>TEST_DATA!A5230</f>
        <v/>
      </c>
      <c r="B5230">
        <f>TEST_DATA!B5230</f>
        <v/>
      </c>
      <c r="C5230">
        <f>TEST_DATA!C5230</f>
        <v/>
      </c>
      <c r="D5230">
        <f>TEST_DATA!D5230</f>
        <v/>
      </c>
      <c r="E5230">
        <f>TEST_DATA!E5230</f>
        <v/>
      </c>
    </row>
    <row r="5231">
      <c r="A5231">
        <f>TEST_DATA!A5231</f>
        <v/>
      </c>
      <c r="B5231">
        <f>TEST_DATA!B5231</f>
        <v/>
      </c>
      <c r="C5231">
        <f>TEST_DATA!C5231</f>
        <v/>
      </c>
      <c r="D5231">
        <f>TEST_DATA!D5231</f>
        <v/>
      </c>
      <c r="E5231">
        <f>TEST_DATA!E5231</f>
        <v/>
      </c>
    </row>
    <row r="5232">
      <c r="A5232">
        <f>TEST_DATA!A5232</f>
        <v/>
      </c>
      <c r="B5232">
        <f>TEST_DATA!B5232</f>
        <v/>
      </c>
      <c r="C5232">
        <f>TEST_DATA!C5232</f>
        <v/>
      </c>
      <c r="D5232">
        <f>TEST_DATA!D5232</f>
        <v/>
      </c>
      <c r="E5232">
        <f>TEST_DATA!E5232</f>
        <v/>
      </c>
    </row>
    <row r="5233">
      <c r="A5233">
        <f>TEST_DATA!A5233</f>
        <v/>
      </c>
      <c r="B5233">
        <f>TEST_DATA!B5233</f>
        <v/>
      </c>
      <c r="C5233">
        <f>TEST_DATA!C5233</f>
        <v/>
      </c>
      <c r="D5233">
        <f>TEST_DATA!D5233</f>
        <v/>
      </c>
      <c r="E5233">
        <f>TEST_DATA!E5233</f>
        <v/>
      </c>
    </row>
    <row r="5234">
      <c r="A5234">
        <f>TEST_DATA!A5234</f>
        <v/>
      </c>
      <c r="B5234">
        <f>TEST_DATA!B5234</f>
        <v/>
      </c>
      <c r="C5234">
        <f>TEST_DATA!C5234</f>
        <v/>
      </c>
      <c r="D5234">
        <f>TEST_DATA!D5234</f>
        <v/>
      </c>
      <c r="E5234">
        <f>TEST_DATA!E5234</f>
        <v/>
      </c>
    </row>
    <row r="5235">
      <c r="A5235">
        <f>TEST_DATA!A5235</f>
        <v/>
      </c>
      <c r="B5235">
        <f>TEST_DATA!B5235</f>
        <v/>
      </c>
      <c r="C5235">
        <f>TEST_DATA!C5235</f>
        <v/>
      </c>
      <c r="D5235">
        <f>TEST_DATA!D5235</f>
        <v/>
      </c>
      <c r="E5235">
        <f>TEST_DATA!E5235</f>
        <v/>
      </c>
    </row>
    <row r="5236">
      <c r="A5236">
        <f>TEST_DATA!A5236</f>
        <v/>
      </c>
      <c r="B5236">
        <f>TEST_DATA!B5236</f>
        <v/>
      </c>
      <c r="C5236">
        <f>TEST_DATA!C5236</f>
        <v/>
      </c>
      <c r="D5236">
        <f>TEST_DATA!D5236</f>
        <v/>
      </c>
      <c r="E5236">
        <f>TEST_DATA!E5236</f>
        <v/>
      </c>
    </row>
    <row r="5237">
      <c r="A5237">
        <f>TEST_DATA!A5237</f>
        <v/>
      </c>
      <c r="B5237">
        <f>TEST_DATA!B5237</f>
        <v/>
      </c>
      <c r="C5237">
        <f>TEST_DATA!C5237</f>
        <v/>
      </c>
      <c r="D5237">
        <f>TEST_DATA!D5237</f>
        <v/>
      </c>
      <c r="E5237">
        <f>TEST_DATA!E5237</f>
        <v/>
      </c>
    </row>
    <row r="5238">
      <c r="A5238">
        <f>TEST_DATA!A5238</f>
        <v/>
      </c>
      <c r="B5238">
        <f>TEST_DATA!B5238</f>
        <v/>
      </c>
      <c r="C5238">
        <f>TEST_DATA!C5238</f>
        <v/>
      </c>
      <c r="D5238">
        <f>TEST_DATA!D5238</f>
        <v/>
      </c>
      <c r="E5238">
        <f>TEST_DATA!E5238</f>
        <v/>
      </c>
    </row>
    <row r="5239">
      <c r="A5239">
        <f>TEST_DATA!A5239</f>
        <v/>
      </c>
      <c r="B5239">
        <f>TEST_DATA!B5239</f>
        <v/>
      </c>
      <c r="C5239">
        <f>TEST_DATA!C5239</f>
        <v/>
      </c>
      <c r="D5239">
        <f>TEST_DATA!D5239</f>
        <v/>
      </c>
      <c r="E5239">
        <f>TEST_DATA!E5239</f>
        <v/>
      </c>
    </row>
    <row r="5240">
      <c r="A5240">
        <f>TEST_DATA!A5240</f>
        <v/>
      </c>
      <c r="B5240">
        <f>TEST_DATA!B5240</f>
        <v/>
      </c>
      <c r="C5240">
        <f>TEST_DATA!C5240</f>
        <v/>
      </c>
      <c r="D5240">
        <f>TEST_DATA!D5240</f>
        <v/>
      </c>
      <c r="E5240">
        <f>TEST_DATA!E5240</f>
        <v/>
      </c>
    </row>
    <row r="5241">
      <c r="A5241">
        <f>TEST_DATA!A5241</f>
        <v/>
      </c>
      <c r="B5241">
        <f>TEST_DATA!B5241</f>
        <v/>
      </c>
      <c r="C5241">
        <f>TEST_DATA!C5241</f>
        <v/>
      </c>
      <c r="D5241">
        <f>TEST_DATA!D5241</f>
        <v/>
      </c>
      <c r="E5241">
        <f>TEST_DATA!E5241</f>
        <v/>
      </c>
    </row>
    <row r="5242">
      <c r="A5242">
        <f>TEST_DATA!A5242</f>
        <v/>
      </c>
      <c r="B5242">
        <f>TEST_DATA!B5242</f>
        <v/>
      </c>
      <c r="C5242">
        <f>TEST_DATA!C5242</f>
        <v/>
      </c>
      <c r="D5242">
        <f>TEST_DATA!D5242</f>
        <v/>
      </c>
      <c r="E5242">
        <f>TEST_DATA!E5242</f>
        <v/>
      </c>
    </row>
    <row r="5243">
      <c r="A5243">
        <f>TEST_DATA!A5243</f>
        <v/>
      </c>
      <c r="B5243">
        <f>TEST_DATA!B5243</f>
        <v/>
      </c>
      <c r="C5243">
        <f>TEST_DATA!C5243</f>
        <v/>
      </c>
      <c r="D5243">
        <f>TEST_DATA!D5243</f>
        <v/>
      </c>
      <c r="E5243">
        <f>TEST_DATA!E5243</f>
        <v/>
      </c>
    </row>
    <row r="5244">
      <c r="A5244">
        <f>TEST_DATA!A5244</f>
        <v/>
      </c>
      <c r="B5244">
        <f>TEST_DATA!B5244</f>
        <v/>
      </c>
      <c r="C5244">
        <f>TEST_DATA!C5244</f>
        <v/>
      </c>
      <c r="D5244">
        <f>TEST_DATA!D5244</f>
        <v/>
      </c>
      <c r="E5244">
        <f>TEST_DATA!E5244</f>
        <v/>
      </c>
    </row>
    <row r="5245">
      <c r="A5245">
        <f>TEST_DATA!A5245</f>
        <v/>
      </c>
      <c r="B5245">
        <f>TEST_DATA!B5245</f>
        <v/>
      </c>
      <c r="C5245">
        <f>TEST_DATA!C5245</f>
        <v/>
      </c>
      <c r="D5245">
        <f>TEST_DATA!D5245</f>
        <v/>
      </c>
      <c r="E5245">
        <f>TEST_DATA!E5245</f>
        <v/>
      </c>
    </row>
    <row r="5246">
      <c r="A5246">
        <f>TEST_DATA!A5246</f>
        <v/>
      </c>
      <c r="B5246">
        <f>TEST_DATA!B5246</f>
        <v/>
      </c>
      <c r="C5246">
        <f>TEST_DATA!C5246</f>
        <v/>
      </c>
      <c r="D5246">
        <f>TEST_DATA!D5246</f>
        <v/>
      </c>
      <c r="E5246">
        <f>TEST_DATA!E5246</f>
        <v/>
      </c>
    </row>
    <row r="5247">
      <c r="A5247">
        <f>TEST_DATA!A5247</f>
        <v/>
      </c>
      <c r="B5247">
        <f>TEST_DATA!B5247</f>
        <v/>
      </c>
      <c r="C5247">
        <f>TEST_DATA!C5247</f>
        <v/>
      </c>
      <c r="D5247">
        <f>TEST_DATA!D5247</f>
        <v/>
      </c>
      <c r="E5247">
        <f>TEST_DATA!E5247</f>
        <v/>
      </c>
    </row>
    <row r="5248">
      <c r="A5248">
        <f>TEST_DATA!A5248</f>
        <v/>
      </c>
      <c r="B5248">
        <f>TEST_DATA!B5248</f>
        <v/>
      </c>
      <c r="C5248">
        <f>TEST_DATA!C5248</f>
        <v/>
      </c>
      <c r="D5248">
        <f>TEST_DATA!D5248</f>
        <v/>
      </c>
      <c r="E5248">
        <f>TEST_DATA!E5248</f>
        <v/>
      </c>
    </row>
    <row r="5249">
      <c r="A5249">
        <f>TEST_DATA!A5249</f>
        <v/>
      </c>
      <c r="B5249">
        <f>TEST_DATA!B5249</f>
        <v/>
      </c>
      <c r="C5249">
        <f>TEST_DATA!C5249</f>
        <v/>
      </c>
      <c r="D5249">
        <f>TEST_DATA!D5249</f>
        <v/>
      </c>
      <c r="E5249">
        <f>TEST_DATA!E5249</f>
        <v/>
      </c>
    </row>
    <row r="5250">
      <c r="A5250">
        <f>TEST_DATA!A5250</f>
        <v/>
      </c>
      <c r="B5250">
        <f>TEST_DATA!B5250</f>
        <v/>
      </c>
      <c r="C5250">
        <f>TEST_DATA!C5250</f>
        <v/>
      </c>
      <c r="D5250">
        <f>TEST_DATA!D5250</f>
        <v/>
      </c>
      <c r="E5250">
        <f>TEST_DATA!E5250</f>
        <v/>
      </c>
    </row>
    <row r="5251">
      <c r="A5251">
        <f>TEST_DATA!A5251</f>
        <v/>
      </c>
      <c r="B5251">
        <f>TEST_DATA!B5251</f>
        <v/>
      </c>
      <c r="C5251">
        <f>TEST_DATA!C5251</f>
        <v/>
      </c>
      <c r="D5251">
        <f>TEST_DATA!D5251</f>
        <v/>
      </c>
      <c r="E5251">
        <f>TEST_DATA!E5251</f>
        <v/>
      </c>
    </row>
    <row r="5252">
      <c r="A5252">
        <f>TEST_DATA!A5252</f>
        <v/>
      </c>
      <c r="B5252">
        <f>TEST_DATA!B5252</f>
        <v/>
      </c>
      <c r="C5252">
        <f>TEST_DATA!C5252</f>
        <v/>
      </c>
      <c r="D5252">
        <f>TEST_DATA!D5252</f>
        <v/>
      </c>
      <c r="E5252">
        <f>TEST_DATA!E5252</f>
        <v/>
      </c>
    </row>
    <row r="5253">
      <c r="A5253">
        <f>TEST_DATA!A5253</f>
        <v/>
      </c>
      <c r="B5253">
        <f>TEST_DATA!B5253</f>
        <v/>
      </c>
      <c r="C5253">
        <f>TEST_DATA!C5253</f>
        <v/>
      </c>
      <c r="D5253">
        <f>TEST_DATA!D5253</f>
        <v/>
      </c>
      <c r="E5253">
        <f>TEST_DATA!E5253</f>
        <v/>
      </c>
    </row>
    <row r="5254">
      <c r="A5254">
        <f>TEST_DATA!A5254</f>
        <v/>
      </c>
      <c r="B5254">
        <f>TEST_DATA!B5254</f>
        <v/>
      </c>
      <c r="C5254">
        <f>TEST_DATA!C5254</f>
        <v/>
      </c>
      <c r="D5254">
        <f>TEST_DATA!D5254</f>
        <v/>
      </c>
      <c r="E5254">
        <f>TEST_DATA!E5254</f>
        <v/>
      </c>
    </row>
    <row r="5255">
      <c r="A5255">
        <f>TEST_DATA!A5255</f>
        <v/>
      </c>
      <c r="B5255">
        <f>TEST_DATA!B5255</f>
        <v/>
      </c>
      <c r="C5255">
        <f>TEST_DATA!C5255</f>
        <v/>
      </c>
      <c r="D5255">
        <f>TEST_DATA!D5255</f>
        <v/>
      </c>
      <c r="E5255">
        <f>TEST_DATA!E5255</f>
        <v/>
      </c>
    </row>
    <row r="5256">
      <c r="A5256">
        <f>TEST_DATA!A5256</f>
        <v/>
      </c>
      <c r="B5256">
        <f>TEST_DATA!B5256</f>
        <v/>
      </c>
      <c r="C5256">
        <f>TEST_DATA!C5256</f>
        <v/>
      </c>
      <c r="D5256">
        <f>TEST_DATA!D5256</f>
        <v/>
      </c>
      <c r="E5256">
        <f>TEST_DATA!E5256</f>
        <v/>
      </c>
    </row>
    <row r="5257">
      <c r="A5257">
        <f>TEST_DATA!A5257</f>
        <v/>
      </c>
      <c r="B5257">
        <f>TEST_DATA!B5257</f>
        <v/>
      </c>
      <c r="C5257">
        <f>TEST_DATA!C5257</f>
        <v/>
      </c>
      <c r="D5257">
        <f>TEST_DATA!D5257</f>
        <v/>
      </c>
      <c r="E5257">
        <f>TEST_DATA!E5257</f>
        <v/>
      </c>
    </row>
    <row r="5258">
      <c r="A5258">
        <f>TEST_DATA!A5258</f>
        <v/>
      </c>
      <c r="B5258">
        <f>TEST_DATA!B5258</f>
        <v/>
      </c>
      <c r="C5258">
        <f>TEST_DATA!C5258</f>
        <v/>
      </c>
      <c r="D5258">
        <f>TEST_DATA!D5258</f>
        <v/>
      </c>
      <c r="E5258">
        <f>TEST_DATA!E5258</f>
        <v/>
      </c>
    </row>
    <row r="5259">
      <c r="A5259">
        <f>TEST_DATA!A5259</f>
        <v/>
      </c>
      <c r="B5259">
        <f>TEST_DATA!B5259</f>
        <v/>
      </c>
      <c r="C5259">
        <f>TEST_DATA!C5259</f>
        <v/>
      </c>
      <c r="D5259">
        <f>TEST_DATA!D5259</f>
        <v/>
      </c>
      <c r="E5259">
        <f>TEST_DATA!E5259</f>
        <v/>
      </c>
    </row>
    <row r="5260">
      <c r="A5260">
        <f>TEST_DATA!A5260</f>
        <v/>
      </c>
      <c r="B5260">
        <f>TEST_DATA!B5260</f>
        <v/>
      </c>
      <c r="C5260">
        <f>TEST_DATA!C5260</f>
        <v/>
      </c>
      <c r="D5260">
        <f>TEST_DATA!D5260</f>
        <v/>
      </c>
      <c r="E5260">
        <f>TEST_DATA!E5260</f>
        <v/>
      </c>
    </row>
    <row r="5261">
      <c r="A5261">
        <f>TEST_DATA!A5261</f>
        <v/>
      </c>
      <c r="B5261">
        <f>TEST_DATA!B5261</f>
        <v/>
      </c>
      <c r="C5261">
        <f>TEST_DATA!C5261</f>
        <v/>
      </c>
      <c r="D5261">
        <f>TEST_DATA!D5261</f>
        <v/>
      </c>
      <c r="E5261">
        <f>TEST_DATA!E5261</f>
        <v/>
      </c>
    </row>
    <row r="5262">
      <c r="A5262">
        <f>TEST_DATA!A5262</f>
        <v/>
      </c>
      <c r="B5262">
        <f>TEST_DATA!B5262</f>
        <v/>
      </c>
      <c r="C5262">
        <f>TEST_DATA!C5262</f>
        <v/>
      </c>
      <c r="D5262">
        <f>TEST_DATA!D5262</f>
        <v/>
      </c>
      <c r="E5262">
        <f>TEST_DATA!E5262</f>
        <v/>
      </c>
    </row>
    <row r="5263">
      <c r="A5263">
        <f>TEST_DATA!A5263</f>
        <v/>
      </c>
      <c r="B5263">
        <f>TEST_DATA!B5263</f>
        <v/>
      </c>
      <c r="C5263">
        <f>TEST_DATA!C5263</f>
        <v/>
      </c>
      <c r="D5263">
        <f>TEST_DATA!D5263</f>
        <v/>
      </c>
      <c r="E5263">
        <f>TEST_DATA!E5263</f>
        <v/>
      </c>
    </row>
    <row r="5264">
      <c r="A5264">
        <f>TEST_DATA!A5264</f>
        <v/>
      </c>
      <c r="B5264">
        <f>TEST_DATA!B5264</f>
        <v/>
      </c>
      <c r="C5264">
        <f>TEST_DATA!C5264</f>
        <v/>
      </c>
      <c r="D5264">
        <f>TEST_DATA!D5264</f>
        <v/>
      </c>
      <c r="E5264">
        <f>TEST_DATA!E5264</f>
        <v/>
      </c>
    </row>
    <row r="5265">
      <c r="A5265">
        <f>TEST_DATA!A5265</f>
        <v/>
      </c>
      <c r="B5265">
        <f>TEST_DATA!B5265</f>
        <v/>
      </c>
      <c r="C5265">
        <f>TEST_DATA!C5265</f>
        <v/>
      </c>
      <c r="D5265">
        <f>TEST_DATA!D5265</f>
        <v/>
      </c>
      <c r="E5265">
        <f>TEST_DATA!E5265</f>
        <v/>
      </c>
    </row>
    <row r="5266">
      <c r="A5266">
        <f>TEST_DATA!A5266</f>
        <v/>
      </c>
      <c r="B5266">
        <f>TEST_DATA!B5266</f>
        <v/>
      </c>
      <c r="C5266">
        <f>TEST_DATA!C5266</f>
        <v/>
      </c>
      <c r="D5266">
        <f>TEST_DATA!D5266</f>
        <v/>
      </c>
      <c r="E5266">
        <f>TEST_DATA!E5266</f>
        <v/>
      </c>
    </row>
    <row r="5267">
      <c r="A5267">
        <f>TEST_DATA!A5267</f>
        <v/>
      </c>
      <c r="B5267">
        <f>TEST_DATA!B5267</f>
        <v/>
      </c>
      <c r="C5267">
        <f>TEST_DATA!C5267</f>
        <v/>
      </c>
      <c r="D5267">
        <f>TEST_DATA!D5267</f>
        <v/>
      </c>
      <c r="E5267">
        <f>TEST_DATA!E5267</f>
        <v/>
      </c>
    </row>
    <row r="5268">
      <c r="A5268">
        <f>TEST_DATA!A5268</f>
        <v/>
      </c>
      <c r="B5268">
        <f>TEST_DATA!B5268</f>
        <v/>
      </c>
      <c r="C5268">
        <f>TEST_DATA!C5268</f>
        <v/>
      </c>
      <c r="D5268">
        <f>TEST_DATA!D5268</f>
        <v/>
      </c>
      <c r="E5268">
        <f>TEST_DATA!E5268</f>
        <v/>
      </c>
    </row>
    <row r="5269">
      <c r="A5269">
        <f>TEST_DATA!A5269</f>
        <v/>
      </c>
      <c r="B5269">
        <f>TEST_DATA!B5269</f>
        <v/>
      </c>
      <c r="C5269">
        <f>TEST_DATA!C5269</f>
        <v/>
      </c>
      <c r="D5269">
        <f>TEST_DATA!D5269</f>
        <v/>
      </c>
      <c r="E5269">
        <f>TEST_DATA!E5269</f>
        <v/>
      </c>
    </row>
    <row r="5270">
      <c r="A5270">
        <f>TEST_DATA!A5270</f>
        <v/>
      </c>
      <c r="B5270">
        <f>TEST_DATA!B5270</f>
        <v/>
      </c>
      <c r="C5270">
        <f>TEST_DATA!C5270</f>
        <v/>
      </c>
      <c r="D5270">
        <f>TEST_DATA!D5270</f>
        <v/>
      </c>
      <c r="E5270">
        <f>TEST_DATA!E5270</f>
        <v/>
      </c>
    </row>
    <row r="5271">
      <c r="A5271">
        <f>TEST_DATA!A5271</f>
        <v/>
      </c>
      <c r="B5271">
        <f>TEST_DATA!B5271</f>
        <v/>
      </c>
      <c r="C5271">
        <f>TEST_DATA!C5271</f>
        <v/>
      </c>
      <c r="D5271">
        <f>TEST_DATA!D5271</f>
        <v/>
      </c>
      <c r="E5271">
        <f>TEST_DATA!E5271</f>
        <v/>
      </c>
    </row>
    <row r="5272">
      <c r="A5272">
        <f>TEST_DATA!A5272</f>
        <v/>
      </c>
      <c r="B5272">
        <f>TEST_DATA!B5272</f>
        <v/>
      </c>
      <c r="C5272">
        <f>TEST_DATA!C5272</f>
        <v/>
      </c>
      <c r="D5272">
        <f>TEST_DATA!D5272</f>
        <v/>
      </c>
      <c r="E5272">
        <f>TEST_DATA!E5272</f>
        <v/>
      </c>
    </row>
    <row r="5273">
      <c r="A5273">
        <f>TEST_DATA!A5273</f>
        <v/>
      </c>
      <c r="B5273">
        <f>TEST_DATA!B5273</f>
        <v/>
      </c>
      <c r="C5273">
        <f>TEST_DATA!C5273</f>
        <v/>
      </c>
      <c r="D5273">
        <f>TEST_DATA!D5273</f>
        <v/>
      </c>
      <c r="E5273">
        <f>TEST_DATA!E5273</f>
        <v/>
      </c>
    </row>
    <row r="5274">
      <c r="A5274">
        <f>TEST_DATA!A5274</f>
        <v/>
      </c>
      <c r="B5274">
        <f>TEST_DATA!B5274</f>
        <v/>
      </c>
      <c r="C5274">
        <f>TEST_DATA!C5274</f>
        <v/>
      </c>
      <c r="D5274">
        <f>TEST_DATA!D5274</f>
        <v/>
      </c>
      <c r="E5274">
        <f>TEST_DATA!E5274</f>
        <v/>
      </c>
    </row>
    <row r="5275">
      <c r="A5275">
        <f>TEST_DATA!A5275</f>
        <v/>
      </c>
      <c r="B5275">
        <f>TEST_DATA!B5275</f>
        <v/>
      </c>
      <c r="C5275">
        <f>TEST_DATA!C5275</f>
        <v/>
      </c>
      <c r="D5275">
        <f>TEST_DATA!D5275</f>
        <v/>
      </c>
      <c r="E5275">
        <f>TEST_DATA!E5275</f>
        <v/>
      </c>
    </row>
    <row r="5276">
      <c r="A5276">
        <f>TEST_DATA!A5276</f>
        <v/>
      </c>
      <c r="B5276">
        <f>TEST_DATA!B5276</f>
        <v/>
      </c>
      <c r="C5276">
        <f>TEST_DATA!C5276</f>
        <v/>
      </c>
      <c r="D5276">
        <f>TEST_DATA!D5276</f>
        <v/>
      </c>
      <c r="E5276">
        <f>TEST_DATA!E5276</f>
        <v/>
      </c>
    </row>
    <row r="5277">
      <c r="A5277">
        <f>TEST_DATA!A5277</f>
        <v/>
      </c>
      <c r="B5277">
        <f>TEST_DATA!B5277</f>
        <v/>
      </c>
      <c r="C5277">
        <f>TEST_DATA!C5277</f>
        <v/>
      </c>
      <c r="D5277">
        <f>TEST_DATA!D5277</f>
        <v/>
      </c>
      <c r="E5277">
        <f>TEST_DATA!E5277</f>
        <v/>
      </c>
    </row>
    <row r="5278">
      <c r="A5278">
        <f>TEST_DATA!A5278</f>
        <v/>
      </c>
      <c r="B5278">
        <f>TEST_DATA!B5278</f>
        <v/>
      </c>
      <c r="C5278">
        <f>TEST_DATA!C5278</f>
        <v/>
      </c>
      <c r="D5278">
        <f>TEST_DATA!D5278</f>
        <v/>
      </c>
      <c r="E5278">
        <f>TEST_DATA!E5278</f>
        <v/>
      </c>
    </row>
    <row r="5279">
      <c r="A5279">
        <f>TEST_DATA!A5279</f>
        <v/>
      </c>
      <c r="B5279">
        <f>TEST_DATA!B5279</f>
        <v/>
      </c>
      <c r="C5279">
        <f>TEST_DATA!C5279</f>
        <v/>
      </c>
      <c r="D5279">
        <f>TEST_DATA!D5279</f>
        <v/>
      </c>
      <c r="E5279">
        <f>TEST_DATA!E5279</f>
        <v/>
      </c>
    </row>
    <row r="5280">
      <c r="A5280">
        <f>TEST_DATA!A5280</f>
        <v/>
      </c>
      <c r="B5280">
        <f>TEST_DATA!B5280</f>
        <v/>
      </c>
      <c r="C5280">
        <f>TEST_DATA!C5280</f>
        <v/>
      </c>
      <c r="D5280">
        <f>TEST_DATA!D5280</f>
        <v/>
      </c>
      <c r="E5280">
        <f>TEST_DATA!E5280</f>
        <v/>
      </c>
    </row>
    <row r="5281">
      <c r="A5281">
        <f>TEST_DATA!A5281</f>
        <v/>
      </c>
      <c r="B5281">
        <f>TEST_DATA!B5281</f>
        <v/>
      </c>
      <c r="C5281">
        <f>TEST_DATA!C5281</f>
        <v/>
      </c>
      <c r="D5281">
        <f>TEST_DATA!D5281</f>
        <v/>
      </c>
      <c r="E5281">
        <f>TEST_DATA!E5281</f>
        <v/>
      </c>
    </row>
    <row r="5282">
      <c r="A5282">
        <f>TEST_DATA!A5282</f>
        <v/>
      </c>
      <c r="B5282">
        <f>TEST_DATA!B5282</f>
        <v/>
      </c>
      <c r="C5282">
        <f>TEST_DATA!C5282</f>
        <v/>
      </c>
      <c r="D5282">
        <f>TEST_DATA!D5282</f>
        <v/>
      </c>
      <c r="E5282">
        <f>TEST_DATA!E5282</f>
        <v/>
      </c>
    </row>
    <row r="5283">
      <c r="A5283">
        <f>TEST_DATA!A5283</f>
        <v/>
      </c>
      <c r="B5283">
        <f>TEST_DATA!B5283</f>
        <v/>
      </c>
      <c r="C5283">
        <f>TEST_DATA!C5283</f>
        <v/>
      </c>
      <c r="D5283">
        <f>TEST_DATA!D5283</f>
        <v/>
      </c>
      <c r="E5283">
        <f>TEST_DATA!E5283</f>
        <v/>
      </c>
    </row>
    <row r="5284">
      <c r="A5284">
        <f>TEST_DATA!A5284</f>
        <v/>
      </c>
      <c r="B5284">
        <f>TEST_DATA!B5284</f>
        <v/>
      </c>
      <c r="C5284">
        <f>TEST_DATA!C5284</f>
        <v/>
      </c>
      <c r="D5284">
        <f>TEST_DATA!D5284</f>
        <v/>
      </c>
      <c r="E5284">
        <f>TEST_DATA!E5284</f>
        <v/>
      </c>
    </row>
    <row r="5285">
      <c r="A5285">
        <f>TEST_DATA!A5285</f>
        <v/>
      </c>
      <c r="B5285">
        <f>TEST_DATA!B5285</f>
        <v/>
      </c>
      <c r="C5285">
        <f>TEST_DATA!C5285</f>
        <v/>
      </c>
      <c r="D5285">
        <f>TEST_DATA!D5285</f>
        <v/>
      </c>
      <c r="E5285">
        <f>TEST_DATA!E5285</f>
        <v/>
      </c>
    </row>
    <row r="5286">
      <c r="A5286">
        <f>TEST_DATA!A5286</f>
        <v/>
      </c>
      <c r="B5286">
        <f>TEST_DATA!B5286</f>
        <v/>
      </c>
      <c r="C5286">
        <f>TEST_DATA!C5286</f>
        <v/>
      </c>
      <c r="D5286">
        <f>TEST_DATA!D5286</f>
        <v/>
      </c>
      <c r="E5286">
        <f>TEST_DATA!E5286</f>
        <v/>
      </c>
    </row>
    <row r="5287">
      <c r="A5287">
        <f>TEST_DATA!A5287</f>
        <v/>
      </c>
      <c r="B5287">
        <f>TEST_DATA!B5287</f>
        <v/>
      </c>
      <c r="C5287">
        <f>TEST_DATA!C5287</f>
        <v/>
      </c>
      <c r="D5287">
        <f>TEST_DATA!D5287</f>
        <v/>
      </c>
      <c r="E5287">
        <f>TEST_DATA!E5287</f>
        <v/>
      </c>
    </row>
    <row r="5288">
      <c r="A5288">
        <f>TEST_DATA!A5288</f>
        <v/>
      </c>
      <c r="B5288">
        <f>TEST_DATA!B5288</f>
        <v/>
      </c>
      <c r="C5288">
        <f>TEST_DATA!C5288</f>
        <v/>
      </c>
      <c r="D5288">
        <f>TEST_DATA!D5288</f>
        <v/>
      </c>
      <c r="E5288">
        <f>TEST_DATA!E5288</f>
        <v/>
      </c>
    </row>
    <row r="5289">
      <c r="A5289">
        <f>TEST_DATA!A5289</f>
        <v/>
      </c>
      <c r="B5289">
        <f>TEST_DATA!B5289</f>
        <v/>
      </c>
      <c r="C5289">
        <f>TEST_DATA!C5289</f>
        <v/>
      </c>
      <c r="D5289">
        <f>TEST_DATA!D5289</f>
        <v/>
      </c>
      <c r="E5289">
        <f>TEST_DATA!E5289</f>
        <v/>
      </c>
    </row>
    <row r="5290">
      <c r="A5290">
        <f>TEST_DATA!A5290</f>
        <v/>
      </c>
      <c r="B5290">
        <f>TEST_DATA!B5290</f>
        <v/>
      </c>
      <c r="C5290">
        <f>TEST_DATA!C5290</f>
        <v/>
      </c>
      <c r="D5290">
        <f>TEST_DATA!D5290</f>
        <v/>
      </c>
      <c r="E5290">
        <f>TEST_DATA!E5290</f>
        <v/>
      </c>
    </row>
    <row r="5291">
      <c r="A5291">
        <f>TEST_DATA!A5291</f>
        <v/>
      </c>
      <c r="B5291">
        <f>TEST_DATA!B5291</f>
        <v/>
      </c>
      <c r="C5291">
        <f>TEST_DATA!C5291</f>
        <v/>
      </c>
      <c r="D5291">
        <f>TEST_DATA!D5291</f>
        <v/>
      </c>
      <c r="E5291">
        <f>TEST_DATA!E5291</f>
        <v/>
      </c>
    </row>
    <row r="5292">
      <c r="A5292">
        <f>TEST_DATA!A5292</f>
        <v/>
      </c>
      <c r="B5292">
        <f>TEST_DATA!B5292</f>
        <v/>
      </c>
      <c r="C5292">
        <f>TEST_DATA!C5292</f>
        <v/>
      </c>
      <c r="D5292">
        <f>TEST_DATA!D5292</f>
        <v/>
      </c>
      <c r="E5292">
        <f>TEST_DATA!E5292</f>
        <v/>
      </c>
    </row>
    <row r="5293">
      <c r="A5293">
        <f>TEST_DATA!A5293</f>
        <v/>
      </c>
      <c r="B5293">
        <f>TEST_DATA!B5293</f>
        <v/>
      </c>
      <c r="C5293">
        <f>TEST_DATA!C5293</f>
        <v/>
      </c>
      <c r="D5293">
        <f>TEST_DATA!D5293</f>
        <v/>
      </c>
      <c r="E5293">
        <f>TEST_DATA!E5293</f>
        <v/>
      </c>
    </row>
    <row r="5294">
      <c r="A5294">
        <f>TEST_DATA!A5294</f>
        <v/>
      </c>
      <c r="B5294">
        <f>TEST_DATA!B5294</f>
        <v/>
      </c>
      <c r="C5294">
        <f>TEST_DATA!C5294</f>
        <v/>
      </c>
      <c r="D5294">
        <f>TEST_DATA!D5294</f>
        <v/>
      </c>
      <c r="E5294">
        <f>TEST_DATA!E5294</f>
        <v/>
      </c>
    </row>
    <row r="5295">
      <c r="A5295">
        <f>TEST_DATA!A5295</f>
        <v/>
      </c>
      <c r="B5295">
        <f>TEST_DATA!B5295</f>
        <v/>
      </c>
      <c r="C5295">
        <f>TEST_DATA!C5295</f>
        <v/>
      </c>
      <c r="D5295">
        <f>TEST_DATA!D5295</f>
        <v/>
      </c>
      <c r="E5295">
        <f>TEST_DATA!E5295</f>
        <v/>
      </c>
    </row>
    <row r="5296">
      <c r="A5296">
        <f>TEST_DATA!A5296</f>
        <v/>
      </c>
      <c r="B5296">
        <f>TEST_DATA!B5296</f>
        <v/>
      </c>
      <c r="C5296">
        <f>TEST_DATA!C5296</f>
        <v/>
      </c>
      <c r="D5296">
        <f>TEST_DATA!D5296</f>
        <v/>
      </c>
      <c r="E5296">
        <f>TEST_DATA!E5296</f>
        <v/>
      </c>
    </row>
    <row r="5297">
      <c r="A5297">
        <f>TEST_DATA!A5297</f>
        <v/>
      </c>
      <c r="B5297">
        <f>TEST_DATA!B5297</f>
        <v/>
      </c>
      <c r="C5297">
        <f>TEST_DATA!C5297</f>
        <v/>
      </c>
      <c r="D5297">
        <f>TEST_DATA!D5297</f>
        <v/>
      </c>
      <c r="E5297">
        <f>TEST_DATA!E5297</f>
        <v/>
      </c>
    </row>
    <row r="5298">
      <c r="A5298">
        <f>TEST_DATA!A5298</f>
        <v/>
      </c>
      <c r="B5298">
        <f>TEST_DATA!B5298</f>
        <v/>
      </c>
      <c r="C5298">
        <f>TEST_DATA!C5298</f>
        <v/>
      </c>
      <c r="D5298">
        <f>TEST_DATA!D5298</f>
        <v/>
      </c>
      <c r="E5298">
        <f>TEST_DATA!E5298</f>
        <v/>
      </c>
    </row>
    <row r="5299">
      <c r="A5299">
        <f>TEST_DATA!A5299</f>
        <v/>
      </c>
      <c r="B5299">
        <f>TEST_DATA!B5299</f>
        <v/>
      </c>
      <c r="C5299">
        <f>TEST_DATA!C5299</f>
        <v/>
      </c>
      <c r="D5299">
        <f>TEST_DATA!D5299</f>
        <v/>
      </c>
      <c r="E5299">
        <f>TEST_DATA!E5299</f>
        <v/>
      </c>
    </row>
    <row r="5300">
      <c r="A5300">
        <f>TEST_DATA!A5300</f>
        <v/>
      </c>
      <c r="B5300">
        <f>TEST_DATA!B5300</f>
        <v/>
      </c>
      <c r="C5300">
        <f>TEST_DATA!C5300</f>
        <v/>
      </c>
      <c r="D5300">
        <f>TEST_DATA!D5300</f>
        <v/>
      </c>
      <c r="E5300">
        <f>TEST_DATA!E5300</f>
        <v/>
      </c>
    </row>
    <row r="5301">
      <c r="A5301">
        <f>TEST_DATA!A5301</f>
        <v/>
      </c>
      <c r="B5301">
        <f>TEST_DATA!B5301</f>
        <v/>
      </c>
      <c r="C5301">
        <f>TEST_DATA!C5301</f>
        <v/>
      </c>
      <c r="D5301">
        <f>TEST_DATA!D5301</f>
        <v/>
      </c>
      <c r="E5301">
        <f>TEST_DATA!E5301</f>
        <v/>
      </c>
    </row>
    <row r="5302">
      <c r="A5302">
        <f>TEST_DATA!A5302</f>
        <v/>
      </c>
      <c r="B5302">
        <f>TEST_DATA!B5302</f>
        <v/>
      </c>
      <c r="C5302">
        <f>TEST_DATA!C5302</f>
        <v/>
      </c>
      <c r="D5302">
        <f>TEST_DATA!D5302</f>
        <v/>
      </c>
      <c r="E5302">
        <f>TEST_DATA!E5302</f>
        <v/>
      </c>
    </row>
    <row r="5303">
      <c r="A5303">
        <f>TEST_DATA!A5303</f>
        <v/>
      </c>
      <c r="B5303">
        <f>TEST_DATA!B5303</f>
        <v/>
      </c>
      <c r="C5303">
        <f>TEST_DATA!C5303</f>
        <v/>
      </c>
      <c r="D5303">
        <f>TEST_DATA!D5303</f>
        <v/>
      </c>
      <c r="E5303">
        <f>TEST_DATA!E5303</f>
        <v/>
      </c>
    </row>
    <row r="5304">
      <c r="A5304">
        <f>TEST_DATA!A5304</f>
        <v/>
      </c>
      <c r="B5304">
        <f>TEST_DATA!B5304</f>
        <v/>
      </c>
      <c r="C5304">
        <f>TEST_DATA!C5304</f>
        <v/>
      </c>
      <c r="D5304">
        <f>TEST_DATA!D5304</f>
        <v/>
      </c>
      <c r="E5304">
        <f>TEST_DATA!E5304</f>
        <v/>
      </c>
    </row>
    <row r="5305">
      <c r="A5305">
        <f>TEST_DATA!A5305</f>
        <v/>
      </c>
      <c r="B5305">
        <f>TEST_DATA!B5305</f>
        <v/>
      </c>
      <c r="C5305">
        <f>TEST_DATA!C5305</f>
        <v/>
      </c>
      <c r="D5305">
        <f>TEST_DATA!D5305</f>
        <v/>
      </c>
      <c r="E5305">
        <f>TEST_DATA!E5305</f>
        <v/>
      </c>
    </row>
    <row r="5306">
      <c r="A5306">
        <f>TEST_DATA!A5306</f>
        <v/>
      </c>
      <c r="B5306">
        <f>TEST_DATA!B5306</f>
        <v/>
      </c>
      <c r="C5306">
        <f>TEST_DATA!C5306</f>
        <v/>
      </c>
      <c r="D5306">
        <f>TEST_DATA!D5306</f>
        <v/>
      </c>
      <c r="E5306">
        <f>TEST_DATA!E5306</f>
        <v/>
      </c>
    </row>
    <row r="5307">
      <c r="A5307">
        <f>TEST_DATA!A5307</f>
        <v/>
      </c>
      <c r="B5307">
        <f>TEST_DATA!B5307</f>
        <v/>
      </c>
      <c r="C5307">
        <f>TEST_DATA!C5307</f>
        <v/>
      </c>
      <c r="D5307">
        <f>TEST_DATA!D5307</f>
        <v/>
      </c>
      <c r="E5307">
        <f>TEST_DATA!E5307</f>
        <v/>
      </c>
    </row>
    <row r="5308">
      <c r="A5308">
        <f>TEST_DATA!A5308</f>
        <v/>
      </c>
      <c r="B5308">
        <f>TEST_DATA!B5308</f>
        <v/>
      </c>
      <c r="C5308">
        <f>TEST_DATA!C5308</f>
        <v/>
      </c>
      <c r="D5308">
        <f>TEST_DATA!D5308</f>
        <v/>
      </c>
      <c r="E5308">
        <f>TEST_DATA!E5308</f>
        <v/>
      </c>
    </row>
    <row r="5309">
      <c r="A5309">
        <f>TEST_DATA!A5309</f>
        <v/>
      </c>
      <c r="B5309">
        <f>TEST_DATA!B5309</f>
        <v/>
      </c>
      <c r="C5309">
        <f>TEST_DATA!C5309</f>
        <v/>
      </c>
      <c r="D5309">
        <f>TEST_DATA!D5309</f>
        <v/>
      </c>
      <c r="E5309">
        <f>TEST_DATA!E5309</f>
        <v/>
      </c>
    </row>
    <row r="5310">
      <c r="A5310">
        <f>TEST_DATA!A5310</f>
        <v/>
      </c>
      <c r="B5310">
        <f>TEST_DATA!B5310</f>
        <v/>
      </c>
      <c r="C5310">
        <f>TEST_DATA!C5310</f>
        <v/>
      </c>
      <c r="D5310">
        <f>TEST_DATA!D5310</f>
        <v/>
      </c>
      <c r="E5310">
        <f>TEST_DATA!E5310</f>
        <v/>
      </c>
    </row>
    <row r="5311">
      <c r="A5311">
        <f>TEST_DATA!A5311</f>
        <v/>
      </c>
      <c r="B5311">
        <f>TEST_DATA!B5311</f>
        <v/>
      </c>
      <c r="C5311">
        <f>TEST_DATA!C5311</f>
        <v/>
      </c>
      <c r="D5311">
        <f>TEST_DATA!D5311</f>
        <v/>
      </c>
      <c r="E5311">
        <f>TEST_DATA!E5311</f>
        <v/>
      </c>
    </row>
    <row r="5312">
      <c r="A5312">
        <f>TEST_DATA!A5312</f>
        <v/>
      </c>
      <c r="B5312">
        <f>TEST_DATA!B5312</f>
        <v/>
      </c>
      <c r="C5312">
        <f>TEST_DATA!C5312</f>
        <v/>
      </c>
      <c r="D5312">
        <f>TEST_DATA!D5312</f>
        <v/>
      </c>
      <c r="E5312">
        <f>TEST_DATA!E5312</f>
        <v/>
      </c>
    </row>
    <row r="5313">
      <c r="A5313">
        <f>TEST_DATA!A5313</f>
        <v/>
      </c>
      <c r="B5313">
        <f>TEST_DATA!B5313</f>
        <v/>
      </c>
      <c r="C5313">
        <f>TEST_DATA!C5313</f>
        <v/>
      </c>
      <c r="D5313">
        <f>TEST_DATA!D5313</f>
        <v/>
      </c>
      <c r="E5313">
        <f>TEST_DATA!E5313</f>
        <v/>
      </c>
    </row>
    <row r="5314">
      <c r="A5314">
        <f>TEST_DATA!A5314</f>
        <v/>
      </c>
      <c r="B5314">
        <f>TEST_DATA!B5314</f>
        <v/>
      </c>
      <c r="C5314">
        <f>TEST_DATA!C5314</f>
        <v/>
      </c>
      <c r="D5314">
        <f>TEST_DATA!D5314</f>
        <v/>
      </c>
      <c r="E5314">
        <f>TEST_DATA!E5314</f>
        <v/>
      </c>
    </row>
    <row r="5315">
      <c r="A5315">
        <f>TEST_DATA!A5315</f>
        <v/>
      </c>
      <c r="B5315">
        <f>TEST_DATA!B5315</f>
        <v/>
      </c>
      <c r="C5315">
        <f>TEST_DATA!C5315</f>
        <v/>
      </c>
      <c r="D5315">
        <f>TEST_DATA!D5315</f>
        <v/>
      </c>
      <c r="E5315">
        <f>TEST_DATA!E5315</f>
        <v/>
      </c>
    </row>
    <row r="5316">
      <c r="A5316">
        <f>TEST_DATA!A5316</f>
        <v/>
      </c>
      <c r="B5316">
        <f>TEST_DATA!B5316</f>
        <v/>
      </c>
      <c r="C5316">
        <f>TEST_DATA!C5316</f>
        <v/>
      </c>
      <c r="D5316">
        <f>TEST_DATA!D5316</f>
        <v/>
      </c>
      <c r="E5316">
        <f>TEST_DATA!E5316</f>
        <v/>
      </c>
    </row>
    <row r="5317">
      <c r="A5317">
        <f>TEST_DATA!A5317</f>
        <v/>
      </c>
      <c r="B5317">
        <f>TEST_DATA!B5317</f>
        <v/>
      </c>
      <c r="C5317">
        <f>TEST_DATA!C5317</f>
        <v/>
      </c>
      <c r="D5317">
        <f>TEST_DATA!D5317</f>
        <v/>
      </c>
      <c r="E5317">
        <f>TEST_DATA!E5317</f>
        <v/>
      </c>
    </row>
    <row r="5318">
      <c r="A5318">
        <f>TEST_DATA!A5318</f>
        <v/>
      </c>
      <c r="B5318">
        <f>TEST_DATA!B5318</f>
        <v/>
      </c>
      <c r="C5318">
        <f>TEST_DATA!C5318</f>
        <v/>
      </c>
      <c r="D5318">
        <f>TEST_DATA!D5318</f>
        <v/>
      </c>
      <c r="E5318">
        <f>TEST_DATA!E5318</f>
        <v/>
      </c>
    </row>
    <row r="5319">
      <c r="A5319">
        <f>TEST_DATA!A5319</f>
        <v/>
      </c>
      <c r="B5319">
        <f>TEST_DATA!B5319</f>
        <v/>
      </c>
      <c r="C5319">
        <f>TEST_DATA!C5319</f>
        <v/>
      </c>
      <c r="D5319">
        <f>TEST_DATA!D5319</f>
        <v/>
      </c>
      <c r="E5319">
        <f>TEST_DATA!E5319</f>
        <v/>
      </c>
    </row>
    <row r="5320">
      <c r="A5320">
        <f>TEST_DATA!A5320</f>
        <v/>
      </c>
      <c r="B5320">
        <f>TEST_DATA!B5320</f>
        <v/>
      </c>
      <c r="C5320">
        <f>TEST_DATA!C5320</f>
        <v/>
      </c>
      <c r="D5320">
        <f>TEST_DATA!D5320</f>
        <v/>
      </c>
      <c r="E5320">
        <f>TEST_DATA!E5320</f>
        <v/>
      </c>
    </row>
    <row r="5321">
      <c r="A5321">
        <f>TEST_DATA!A5321</f>
        <v/>
      </c>
      <c r="B5321">
        <f>TEST_DATA!B5321</f>
        <v/>
      </c>
      <c r="C5321">
        <f>TEST_DATA!C5321</f>
        <v/>
      </c>
      <c r="D5321">
        <f>TEST_DATA!D5321</f>
        <v/>
      </c>
      <c r="E5321">
        <f>TEST_DATA!E5321</f>
        <v/>
      </c>
    </row>
    <row r="5322">
      <c r="A5322">
        <f>TEST_DATA!A5322</f>
        <v/>
      </c>
      <c r="B5322">
        <f>TEST_DATA!B5322</f>
        <v/>
      </c>
      <c r="C5322">
        <f>TEST_DATA!C5322</f>
        <v/>
      </c>
      <c r="D5322">
        <f>TEST_DATA!D5322</f>
        <v/>
      </c>
      <c r="E5322">
        <f>TEST_DATA!E5322</f>
        <v/>
      </c>
    </row>
    <row r="5323">
      <c r="A5323">
        <f>TEST_DATA!A5323</f>
        <v/>
      </c>
      <c r="B5323">
        <f>TEST_DATA!B5323</f>
        <v/>
      </c>
      <c r="C5323">
        <f>TEST_DATA!C5323</f>
        <v/>
      </c>
      <c r="D5323">
        <f>TEST_DATA!D5323</f>
        <v/>
      </c>
      <c r="E5323">
        <f>TEST_DATA!E5323</f>
        <v/>
      </c>
    </row>
    <row r="5324">
      <c r="A5324">
        <f>TEST_DATA!A5324</f>
        <v/>
      </c>
      <c r="B5324">
        <f>TEST_DATA!B5324</f>
        <v/>
      </c>
      <c r="C5324">
        <f>TEST_DATA!C5324</f>
        <v/>
      </c>
      <c r="D5324">
        <f>TEST_DATA!D5324</f>
        <v/>
      </c>
      <c r="E5324">
        <f>TEST_DATA!E5324</f>
        <v/>
      </c>
    </row>
    <row r="5325">
      <c r="A5325">
        <f>TEST_DATA!A5325</f>
        <v/>
      </c>
      <c r="B5325">
        <f>TEST_DATA!B5325</f>
        <v/>
      </c>
      <c r="C5325">
        <f>TEST_DATA!C5325</f>
        <v/>
      </c>
      <c r="D5325">
        <f>TEST_DATA!D5325</f>
        <v/>
      </c>
      <c r="E5325">
        <f>TEST_DATA!E5325</f>
        <v/>
      </c>
    </row>
    <row r="5326">
      <c r="A5326">
        <f>TEST_DATA!A5326</f>
        <v/>
      </c>
      <c r="B5326">
        <f>TEST_DATA!B5326</f>
        <v/>
      </c>
      <c r="C5326">
        <f>TEST_DATA!C5326</f>
        <v/>
      </c>
      <c r="D5326">
        <f>TEST_DATA!D5326</f>
        <v/>
      </c>
      <c r="E5326">
        <f>TEST_DATA!E5326</f>
        <v/>
      </c>
    </row>
    <row r="5327">
      <c r="A5327">
        <f>TEST_DATA!A5327</f>
        <v/>
      </c>
      <c r="B5327">
        <f>TEST_DATA!B5327</f>
        <v/>
      </c>
      <c r="C5327">
        <f>TEST_DATA!C5327</f>
        <v/>
      </c>
      <c r="D5327">
        <f>TEST_DATA!D5327</f>
        <v/>
      </c>
      <c r="E5327">
        <f>TEST_DATA!E5327</f>
        <v/>
      </c>
    </row>
    <row r="5328">
      <c r="A5328">
        <f>TEST_DATA!A5328</f>
        <v/>
      </c>
      <c r="B5328">
        <f>TEST_DATA!B5328</f>
        <v/>
      </c>
      <c r="C5328">
        <f>TEST_DATA!C5328</f>
        <v/>
      </c>
      <c r="D5328">
        <f>TEST_DATA!D5328</f>
        <v/>
      </c>
      <c r="E5328">
        <f>TEST_DATA!E5328</f>
        <v/>
      </c>
    </row>
    <row r="5329">
      <c r="A5329">
        <f>TEST_DATA!A5329</f>
        <v/>
      </c>
      <c r="B5329">
        <f>TEST_DATA!B5329</f>
        <v/>
      </c>
      <c r="C5329">
        <f>TEST_DATA!C5329</f>
        <v/>
      </c>
      <c r="D5329">
        <f>TEST_DATA!D5329</f>
        <v/>
      </c>
      <c r="E5329">
        <f>TEST_DATA!E5329</f>
        <v/>
      </c>
    </row>
    <row r="5330">
      <c r="A5330">
        <f>TEST_DATA!A5330</f>
        <v/>
      </c>
      <c r="B5330">
        <f>TEST_DATA!B5330</f>
        <v/>
      </c>
      <c r="C5330">
        <f>TEST_DATA!C5330</f>
        <v/>
      </c>
      <c r="D5330">
        <f>TEST_DATA!D5330</f>
        <v/>
      </c>
      <c r="E5330">
        <f>TEST_DATA!E5330</f>
        <v/>
      </c>
    </row>
    <row r="5331">
      <c r="A5331">
        <f>TEST_DATA!A5331</f>
        <v/>
      </c>
      <c r="B5331">
        <f>TEST_DATA!B5331</f>
        <v/>
      </c>
      <c r="C5331">
        <f>TEST_DATA!C5331</f>
        <v/>
      </c>
      <c r="D5331">
        <f>TEST_DATA!D5331</f>
        <v/>
      </c>
      <c r="E5331">
        <f>TEST_DATA!E5331</f>
        <v/>
      </c>
    </row>
    <row r="5332">
      <c r="A5332">
        <f>TEST_DATA!A5332</f>
        <v/>
      </c>
      <c r="B5332">
        <f>TEST_DATA!B5332</f>
        <v/>
      </c>
      <c r="C5332">
        <f>TEST_DATA!C5332</f>
        <v/>
      </c>
      <c r="D5332">
        <f>TEST_DATA!D5332</f>
        <v/>
      </c>
      <c r="E5332">
        <f>TEST_DATA!E5332</f>
        <v/>
      </c>
    </row>
    <row r="5333">
      <c r="A5333">
        <f>TEST_DATA!A5333</f>
        <v/>
      </c>
      <c r="B5333">
        <f>TEST_DATA!B5333</f>
        <v/>
      </c>
      <c r="C5333">
        <f>TEST_DATA!C5333</f>
        <v/>
      </c>
      <c r="D5333">
        <f>TEST_DATA!D5333</f>
        <v/>
      </c>
      <c r="E5333">
        <f>TEST_DATA!E5333</f>
        <v/>
      </c>
    </row>
    <row r="5334">
      <c r="A5334">
        <f>TEST_DATA!A5334</f>
        <v/>
      </c>
      <c r="B5334">
        <f>TEST_DATA!B5334</f>
        <v/>
      </c>
      <c r="C5334">
        <f>TEST_DATA!C5334</f>
        <v/>
      </c>
      <c r="D5334">
        <f>TEST_DATA!D5334</f>
        <v/>
      </c>
      <c r="E5334">
        <f>TEST_DATA!E5334</f>
        <v/>
      </c>
    </row>
    <row r="5335">
      <c r="A5335">
        <f>TEST_DATA!A5335</f>
        <v/>
      </c>
      <c r="B5335">
        <f>TEST_DATA!B5335</f>
        <v/>
      </c>
      <c r="C5335">
        <f>TEST_DATA!C5335</f>
        <v/>
      </c>
      <c r="D5335">
        <f>TEST_DATA!D5335</f>
        <v/>
      </c>
      <c r="E5335">
        <f>TEST_DATA!E5335</f>
        <v/>
      </c>
    </row>
    <row r="5336">
      <c r="A5336">
        <f>TEST_DATA!A5336</f>
        <v/>
      </c>
      <c r="B5336">
        <f>TEST_DATA!B5336</f>
        <v/>
      </c>
      <c r="C5336">
        <f>TEST_DATA!C5336</f>
        <v/>
      </c>
      <c r="D5336">
        <f>TEST_DATA!D5336</f>
        <v/>
      </c>
      <c r="E5336">
        <f>TEST_DATA!E5336</f>
        <v/>
      </c>
    </row>
    <row r="5337">
      <c r="A5337">
        <f>TEST_DATA!A5337</f>
        <v/>
      </c>
      <c r="B5337">
        <f>TEST_DATA!B5337</f>
        <v/>
      </c>
      <c r="C5337">
        <f>TEST_DATA!C5337</f>
        <v/>
      </c>
      <c r="D5337">
        <f>TEST_DATA!D5337</f>
        <v/>
      </c>
      <c r="E5337">
        <f>TEST_DATA!E5337</f>
        <v/>
      </c>
    </row>
    <row r="5338">
      <c r="A5338">
        <f>TEST_DATA!A5338</f>
        <v/>
      </c>
      <c r="B5338">
        <f>TEST_DATA!B5338</f>
        <v/>
      </c>
      <c r="C5338">
        <f>TEST_DATA!C5338</f>
        <v/>
      </c>
      <c r="D5338">
        <f>TEST_DATA!D5338</f>
        <v/>
      </c>
      <c r="E5338">
        <f>TEST_DATA!E5338</f>
        <v/>
      </c>
    </row>
    <row r="5339">
      <c r="A5339">
        <f>TEST_DATA!A5339</f>
        <v/>
      </c>
      <c r="B5339">
        <f>TEST_DATA!B5339</f>
        <v/>
      </c>
      <c r="C5339">
        <f>TEST_DATA!C5339</f>
        <v/>
      </c>
      <c r="D5339">
        <f>TEST_DATA!D5339</f>
        <v/>
      </c>
      <c r="E5339">
        <f>TEST_DATA!E5339</f>
        <v/>
      </c>
    </row>
    <row r="5340">
      <c r="A5340">
        <f>TEST_DATA!A5340</f>
        <v/>
      </c>
      <c r="B5340">
        <f>TEST_DATA!B5340</f>
        <v/>
      </c>
      <c r="C5340">
        <f>TEST_DATA!C5340</f>
        <v/>
      </c>
      <c r="D5340">
        <f>TEST_DATA!D5340</f>
        <v/>
      </c>
      <c r="E5340">
        <f>TEST_DATA!E5340</f>
        <v/>
      </c>
    </row>
    <row r="5341">
      <c r="A5341">
        <f>TEST_DATA!A5341</f>
        <v/>
      </c>
      <c r="B5341">
        <f>TEST_DATA!B5341</f>
        <v/>
      </c>
      <c r="C5341">
        <f>TEST_DATA!C5341</f>
        <v/>
      </c>
      <c r="D5341">
        <f>TEST_DATA!D5341</f>
        <v/>
      </c>
      <c r="E5341">
        <f>TEST_DATA!E5341</f>
        <v/>
      </c>
    </row>
    <row r="5342">
      <c r="A5342">
        <f>TEST_DATA!A5342</f>
        <v/>
      </c>
      <c r="B5342">
        <f>TEST_DATA!B5342</f>
        <v/>
      </c>
      <c r="C5342">
        <f>TEST_DATA!C5342</f>
        <v/>
      </c>
      <c r="D5342">
        <f>TEST_DATA!D5342</f>
        <v/>
      </c>
      <c r="E5342">
        <f>TEST_DATA!E5342</f>
        <v/>
      </c>
    </row>
    <row r="5343">
      <c r="A5343">
        <f>TEST_DATA!A5343</f>
        <v/>
      </c>
      <c r="B5343">
        <f>TEST_DATA!B5343</f>
        <v/>
      </c>
      <c r="C5343">
        <f>TEST_DATA!C5343</f>
        <v/>
      </c>
      <c r="D5343">
        <f>TEST_DATA!D5343</f>
        <v/>
      </c>
      <c r="E5343">
        <f>TEST_DATA!E5343</f>
        <v/>
      </c>
    </row>
    <row r="5344">
      <c r="A5344">
        <f>TEST_DATA!A5344</f>
        <v/>
      </c>
      <c r="B5344">
        <f>TEST_DATA!B5344</f>
        <v/>
      </c>
      <c r="C5344">
        <f>TEST_DATA!C5344</f>
        <v/>
      </c>
      <c r="D5344">
        <f>TEST_DATA!D5344</f>
        <v/>
      </c>
      <c r="E5344">
        <f>TEST_DATA!E5344</f>
        <v/>
      </c>
    </row>
    <row r="5345">
      <c r="A5345">
        <f>TEST_DATA!A5345</f>
        <v/>
      </c>
      <c r="B5345">
        <f>TEST_DATA!B5345</f>
        <v/>
      </c>
      <c r="C5345">
        <f>TEST_DATA!C5345</f>
        <v/>
      </c>
      <c r="D5345">
        <f>TEST_DATA!D5345</f>
        <v/>
      </c>
      <c r="E5345">
        <f>TEST_DATA!E5345</f>
        <v/>
      </c>
    </row>
    <row r="5346">
      <c r="A5346">
        <f>TEST_DATA!A5346</f>
        <v/>
      </c>
      <c r="B5346">
        <f>TEST_DATA!B5346</f>
        <v/>
      </c>
      <c r="C5346">
        <f>TEST_DATA!C5346</f>
        <v/>
      </c>
      <c r="D5346">
        <f>TEST_DATA!D5346</f>
        <v/>
      </c>
      <c r="E5346">
        <f>TEST_DATA!E5346</f>
        <v/>
      </c>
    </row>
    <row r="5347">
      <c r="A5347">
        <f>TEST_DATA!A5347</f>
        <v/>
      </c>
      <c r="B5347">
        <f>TEST_DATA!B5347</f>
        <v/>
      </c>
      <c r="C5347">
        <f>TEST_DATA!C5347</f>
        <v/>
      </c>
      <c r="D5347">
        <f>TEST_DATA!D5347</f>
        <v/>
      </c>
      <c r="E5347">
        <f>TEST_DATA!E5347</f>
        <v/>
      </c>
    </row>
    <row r="5348">
      <c r="A5348">
        <f>TEST_DATA!A5348</f>
        <v/>
      </c>
      <c r="B5348">
        <f>TEST_DATA!B5348</f>
        <v/>
      </c>
      <c r="C5348">
        <f>TEST_DATA!C5348</f>
        <v/>
      </c>
      <c r="D5348">
        <f>TEST_DATA!D5348</f>
        <v/>
      </c>
      <c r="E5348">
        <f>TEST_DATA!E5348</f>
        <v/>
      </c>
    </row>
    <row r="5349">
      <c r="A5349">
        <f>TEST_DATA!A5349</f>
        <v/>
      </c>
      <c r="B5349">
        <f>TEST_DATA!B5349</f>
        <v/>
      </c>
      <c r="C5349">
        <f>TEST_DATA!C5349</f>
        <v/>
      </c>
      <c r="D5349">
        <f>TEST_DATA!D5349</f>
        <v/>
      </c>
      <c r="E5349">
        <f>TEST_DATA!E5349</f>
        <v/>
      </c>
    </row>
    <row r="5350">
      <c r="A5350">
        <f>TEST_DATA!A5350</f>
        <v/>
      </c>
      <c r="B5350">
        <f>TEST_DATA!B5350</f>
        <v/>
      </c>
      <c r="C5350">
        <f>TEST_DATA!C5350</f>
        <v/>
      </c>
      <c r="D5350">
        <f>TEST_DATA!D5350</f>
        <v/>
      </c>
      <c r="E5350">
        <f>TEST_DATA!E5350</f>
        <v/>
      </c>
    </row>
    <row r="5351">
      <c r="A5351">
        <f>TEST_DATA!A5351</f>
        <v/>
      </c>
      <c r="B5351">
        <f>TEST_DATA!B5351</f>
        <v/>
      </c>
      <c r="C5351">
        <f>TEST_DATA!C5351</f>
        <v/>
      </c>
      <c r="D5351">
        <f>TEST_DATA!D5351</f>
        <v/>
      </c>
      <c r="E5351">
        <f>TEST_DATA!E5351</f>
        <v/>
      </c>
    </row>
    <row r="5352">
      <c r="A5352">
        <f>TEST_DATA!A5352</f>
        <v/>
      </c>
      <c r="B5352">
        <f>TEST_DATA!B5352</f>
        <v/>
      </c>
      <c r="C5352">
        <f>TEST_DATA!C5352</f>
        <v/>
      </c>
      <c r="D5352">
        <f>TEST_DATA!D5352</f>
        <v/>
      </c>
      <c r="E5352">
        <f>TEST_DATA!E5352</f>
        <v/>
      </c>
    </row>
    <row r="5353">
      <c r="A5353">
        <f>TEST_DATA!A5353</f>
        <v/>
      </c>
      <c r="B5353">
        <f>TEST_DATA!B5353</f>
        <v/>
      </c>
      <c r="C5353">
        <f>TEST_DATA!C5353</f>
        <v/>
      </c>
      <c r="D5353">
        <f>TEST_DATA!D5353</f>
        <v/>
      </c>
      <c r="E5353">
        <f>TEST_DATA!E5353</f>
        <v/>
      </c>
    </row>
    <row r="5354">
      <c r="A5354">
        <f>TEST_DATA!A5354</f>
        <v/>
      </c>
      <c r="B5354">
        <f>TEST_DATA!B5354</f>
        <v/>
      </c>
      <c r="C5354">
        <f>TEST_DATA!C5354</f>
        <v/>
      </c>
      <c r="D5354">
        <f>TEST_DATA!D5354</f>
        <v/>
      </c>
      <c r="E5354">
        <f>TEST_DATA!E5354</f>
        <v/>
      </c>
    </row>
    <row r="5355">
      <c r="A5355">
        <f>TEST_DATA!A5355</f>
        <v/>
      </c>
      <c r="B5355">
        <f>TEST_DATA!B5355</f>
        <v/>
      </c>
      <c r="C5355">
        <f>TEST_DATA!C5355</f>
        <v/>
      </c>
      <c r="D5355">
        <f>TEST_DATA!D5355</f>
        <v/>
      </c>
      <c r="E5355">
        <f>TEST_DATA!E5355</f>
        <v/>
      </c>
    </row>
    <row r="5356">
      <c r="A5356">
        <f>TEST_DATA!A5356</f>
        <v/>
      </c>
      <c r="B5356">
        <f>TEST_DATA!B5356</f>
        <v/>
      </c>
      <c r="C5356">
        <f>TEST_DATA!C5356</f>
        <v/>
      </c>
      <c r="D5356">
        <f>TEST_DATA!D5356</f>
        <v/>
      </c>
      <c r="E5356">
        <f>TEST_DATA!E5356</f>
        <v/>
      </c>
    </row>
    <row r="5357">
      <c r="A5357">
        <f>TEST_DATA!A5357</f>
        <v/>
      </c>
      <c r="B5357">
        <f>TEST_DATA!B5357</f>
        <v/>
      </c>
      <c r="C5357">
        <f>TEST_DATA!C5357</f>
        <v/>
      </c>
      <c r="D5357">
        <f>TEST_DATA!D5357</f>
        <v/>
      </c>
      <c r="E5357">
        <f>TEST_DATA!E5357</f>
        <v/>
      </c>
    </row>
    <row r="5358">
      <c r="A5358">
        <f>TEST_DATA!A5358</f>
        <v/>
      </c>
      <c r="B5358">
        <f>TEST_DATA!B5358</f>
        <v/>
      </c>
      <c r="C5358">
        <f>TEST_DATA!C5358</f>
        <v/>
      </c>
      <c r="D5358">
        <f>TEST_DATA!D5358</f>
        <v/>
      </c>
      <c r="E5358">
        <f>TEST_DATA!E5358</f>
        <v/>
      </c>
    </row>
    <row r="5359">
      <c r="A5359">
        <f>TEST_DATA!A5359</f>
        <v/>
      </c>
      <c r="B5359">
        <f>TEST_DATA!B5359</f>
        <v/>
      </c>
      <c r="C5359">
        <f>TEST_DATA!C5359</f>
        <v/>
      </c>
      <c r="D5359">
        <f>TEST_DATA!D5359</f>
        <v/>
      </c>
      <c r="E5359">
        <f>TEST_DATA!E5359</f>
        <v/>
      </c>
    </row>
    <row r="5360">
      <c r="A5360">
        <f>TEST_DATA!A5360</f>
        <v/>
      </c>
      <c r="B5360">
        <f>TEST_DATA!B5360</f>
        <v/>
      </c>
      <c r="C5360">
        <f>TEST_DATA!C5360</f>
        <v/>
      </c>
      <c r="D5360">
        <f>TEST_DATA!D5360</f>
        <v/>
      </c>
      <c r="E5360">
        <f>TEST_DATA!E5360</f>
        <v/>
      </c>
    </row>
    <row r="5361">
      <c r="A5361">
        <f>TEST_DATA!A5361</f>
        <v/>
      </c>
      <c r="B5361">
        <f>TEST_DATA!B5361</f>
        <v/>
      </c>
      <c r="C5361">
        <f>TEST_DATA!C5361</f>
        <v/>
      </c>
      <c r="D5361">
        <f>TEST_DATA!D5361</f>
        <v/>
      </c>
      <c r="E5361">
        <f>TEST_DATA!E5361</f>
        <v/>
      </c>
    </row>
    <row r="5362">
      <c r="A5362">
        <f>TEST_DATA!A5362</f>
        <v/>
      </c>
      <c r="B5362">
        <f>TEST_DATA!B5362</f>
        <v/>
      </c>
      <c r="C5362">
        <f>TEST_DATA!C5362</f>
        <v/>
      </c>
      <c r="D5362">
        <f>TEST_DATA!D5362</f>
        <v/>
      </c>
      <c r="E5362">
        <f>TEST_DATA!E5362</f>
        <v/>
      </c>
    </row>
    <row r="5363">
      <c r="A5363">
        <f>TEST_DATA!A5363</f>
        <v/>
      </c>
      <c r="B5363">
        <f>TEST_DATA!B5363</f>
        <v/>
      </c>
      <c r="C5363">
        <f>TEST_DATA!C5363</f>
        <v/>
      </c>
      <c r="D5363">
        <f>TEST_DATA!D5363</f>
        <v/>
      </c>
      <c r="E5363">
        <f>TEST_DATA!E5363</f>
        <v/>
      </c>
    </row>
    <row r="5364">
      <c r="A5364">
        <f>TEST_DATA!A5364</f>
        <v/>
      </c>
      <c r="B5364">
        <f>TEST_DATA!B5364</f>
        <v/>
      </c>
      <c r="C5364">
        <f>TEST_DATA!C5364</f>
        <v/>
      </c>
      <c r="D5364">
        <f>TEST_DATA!D5364</f>
        <v/>
      </c>
      <c r="E5364">
        <f>TEST_DATA!E5364</f>
        <v/>
      </c>
    </row>
    <row r="5365">
      <c r="A5365">
        <f>TEST_DATA!A5365</f>
        <v/>
      </c>
      <c r="B5365">
        <f>TEST_DATA!B5365</f>
        <v/>
      </c>
      <c r="C5365">
        <f>TEST_DATA!C5365</f>
        <v/>
      </c>
      <c r="D5365">
        <f>TEST_DATA!D5365</f>
        <v/>
      </c>
      <c r="E5365">
        <f>TEST_DATA!E5365</f>
        <v/>
      </c>
    </row>
    <row r="5366">
      <c r="A5366">
        <f>TEST_DATA!A5366</f>
        <v/>
      </c>
      <c r="B5366">
        <f>TEST_DATA!B5366</f>
        <v/>
      </c>
      <c r="C5366">
        <f>TEST_DATA!C5366</f>
        <v/>
      </c>
      <c r="D5366">
        <f>TEST_DATA!D5366</f>
        <v/>
      </c>
      <c r="E5366">
        <f>TEST_DATA!E5366</f>
        <v/>
      </c>
    </row>
    <row r="5367">
      <c r="A5367">
        <f>TEST_DATA!A5367</f>
        <v/>
      </c>
      <c r="B5367">
        <f>TEST_DATA!B5367</f>
        <v/>
      </c>
      <c r="C5367">
        <f>TEST_DATA!C5367</f>
        <v/>
      </c>
      <c r="D5367">
        <f>TEST_DATA!D5367</f>
        <v/>
      </c>
      <c r="E5367">
        <f>TEST_DATA!E5367</f>
        <v/>
      </c>
    </row>
    <row r="5368">
      <c r="A5368">
        <f>TEST_DATA!A5368</f>
        <v/>
      </c>
      <c r="B5368">
        <f>TEST_DATA!B5368</f>
        <v/>
      </c>
      <c r="C5368">
        <f>TEST_DATA!C5368</f>
        <v/>
      </c>
      <c r="D5368">
        <f>TEST_DATA!D5368</f>
        <v/>
      </c>
      <c r="E5368">
        <f>TEST_DATA!E5368</f>
        <v/>
      </c>
    </row>
    <row r="5369">
      <c r="A5369">
        <f>TEST_DATA!A5369</f>
        <v/>
      </c>
      <c r="B5369">
        <f>TEST_DATA!B5369</f>
        <v/>
      </c>
      <c r="C5369">
        <f>TEST_DATA!C5369</f>
        <v/>
      </c>
      <c r="D5369">
        <f>TEST_DATA!D5369</f>
        <v/>
      </c>
      <c r="E5369">
        <f>TEST_DATA!E5369</f>
        <v/>
      </c>
    </row>
    <row r="5370">
      <c r="A5370">
        <f>TEST_DATA!A5370</f>
        <v/>
      </c>
      <c r="B5370">
        <f>TEST_DATA!B5370</f>
        <v/>
      </c>
      <c r="C5370">
        <f>TEST_DATA!C5370</f>
        <v/>
      </c>
      <c r="D5370">
        <f>TEST_DATA!D5370</f>
        <v/>
      </c>
      <c r="E5370">
        <f>TEST_DATA!E5370</f>
        <v/>
      </c>
    </row>
    <row r="5371">
      <c r="A5371">
        <f>TEST_DATA!A5371</f>
        <v/>
      </c>
      <c r="B5371">
        <f>TEST_DATA!B5371</f>
        <v/>
      </c>
      <c r="C5371">
        <f>TEST_DATA!C5371</f>
        <v/>
      </c>
      <c r="D5371">
        <f>TEST_DATA!D5371</f>
        <v/>
      </c>
      <c r="E5371">
        <f>TEST_DATA!E5371</f>
        <v/>
      </c>
    </row>
    <row r="5372">
      <c r="A5372">
        <f>TEST_DATA!A5372</f>
        <v/>
      </c>
      <c r="B5372">
        <f>TEST_DATA!B5372</f>
        <v/>
      </c>
      <c r="C5372">
        <f>TEST_DATA!C5372</f>
        <v/>
      </c>
      <c r="D5372">
        <f>TEST_DATA!D5372</f>
        <v/>
      </c>
      <c r="E5372">
        <f>TEST_DATA!E5372</f>
        <v/>
      </c>
    </row>
    <row r="5373">
      <c r="A5373">
        <f>TEST_DATA!A5373</f>
        <v/>
      </c>
      <c r="B5373">
        <f>TEST_DATA!B5373</f>
        <v/>
      </c>
      <c r="C5373">
        <f>TEST_DATA!C5373</f>
        <v/>
      </c>
      <c r="D5373">
        <f>TEST_DATA!D5373</f>
        <v/>
      </c>
      <c r="E5373">
        <f>TEST_DATA!E5373</f>
        <v/>
      </c>
    </row>
    <row r="5374">
      <c r="A5374">
        <f>TEST_DATA!A5374</f>
        <v/>
      </c>
      <c r="B5374">
        <f>TEST_DATA!B5374</f>
        <v/>
      </c>
      <c r="C5374">
        <f>TEST_DATA!C5374</f>
        <v/>
      </c>
      <c r="D5374">
        <f>TEST_DATA!D5374</f>
        <v/>
      </c>
      <c r="E5374">
        <f>TEST_DATA!E5374</f>
        <v/>
      </c>
    </row>
    <row r="5375">
      <c r="A5375">
        <f>TEST_DATA!A5375</f>
        <v/>
      </c>
      <c r="B5375">
        <f>TEST_DATA!B5375</f>
        <v/>
      </c>
      <c r="C5375">
        <f>TEST_DATA!C5375</f>
        <v/>
      </c>
      <c r="D5375">
        <f>TEST_DATA!D5375</f>
        <v/>
      </c>
      <c r="E5375">
        <f>TEST_DATA!E5375</f>
        <v/>
      </c>
    </row>
    <row r="5376">
      <c r="A5376">
        <f>TEST_DATA!A5376</f>
        <v/>
      </c>
      <c r="B5376">
        <f>TEST_DATA!B5376</f>
        <v/>
      </c>
      <c r="C5376">
        <f>TEST_DATA!C5376</f>
        <v/>
      </c>
      <c r="D5376">
        <f>TEST_DATA!D5376</f>
        <v/>
      </c>
      <c r="E5376">
        <f>TEST_DATA!E5376</f>
        <v/>
      </c>
    </row>
    <row r="5377">
      <c r="A5377">
        <f>TEST_DATA!A5377</f>
        <v/>
      </c>
      <c r="B5377">
        <f>TEST_DATA!B5377</f>
        <v/>
      </c>
      <c r="C5377">
        <f>TEST_DATA!C5377</f>
        <v/>
      </c>
      <c r="D5377">
        <f>TEST_DATA!D5377</f>
        <v/>
      </c>
      <c r="E5377">
        <f>TEST_DATA!E5377</f>
        <v/>
      </c>
    </row>
    <row r="5378">
      <c r="A5378">
        <f>TEST_DATA!A5378</f>
        <v/>
      </c>
      <c r="B5378">
        <f>TEST_DATA!B5378</f>
        <v/>
      </c>
      <c r="C5378">
        <f>TEST_DATA!C5378</f>
        <v/>
      </c>
      <c r="D5378">
        <f>TEST_DATA!D5378</f>
        <v/>
      </c>
      <c r="E5378">
        <f>TEST_DATA!E5378</f>
        <v/>
      </c>
    </row>
    <row r="5379">
      <c r="A5379">
        <f>TEST_DATA!A5379</f>
        <v/>
      </c>
      <c r="B5379">
        <f>TEST_DATA!B5379</f>
        <v/>
      </c>
      <c r="C5379">
        <f>TEST_DATA!C5379</f>
        <v/>
      </c>
      <c r="D5379">
        <f>TEST_DATA!D5379</f>
        <v/>
      </c>
      <c r="E5379">
        <f>TEST_DATA!E5379</f>
        <v/>
      </c>
    </row>
    <row r="5380">
      <c r="A5380">
        <f>TEST_DATA!A5380</f>
        <v/>
      </c>
      <c r="B5380">
        <f>TEST_DATA!B5380</f>
        <v/>
      </c>
      <c r="C5380">
        <f>TEST_DATA!C5380</f>
        <v/>
      </c>
      <c r="D5380">
        <f>TEST_DATA!D5380</f>
        <v/>
      </c>
      <c r="E5380">
        <f>TEST_DATA!E5380</f>
        <v/>
      </c>
    </row>
    <row r="5381">
      <c r="A5381">
        <f>TEST_DATA!A5381</f>
        <v/>
      </c>
      <c r="B5381">
        <f>TEST_DATA!B5381</f>
        <v/>
      </c>
      <c r="C5381">
        <f>TEST_DATA!C5381</f>
        <v/>
      </c>
      <c r="D5381">
        <f>TEST_DATA!D5381</f>
        <v/>
      </c>
      <c r="E5381">
        <f>TEST_DATA!E5381</f>
        <v/>
      </c>
    </row>
    <row r="5382">
      <c r="A5382">
        <f>TEST_DATA!A5382</f>
        <v/>
      </c>
      <c r="B5382">
        <f>TEST_DATA!B5382</f>
        <v/>
      </c>
      <c r="C5382">
        <f>TEST_DATA!C5382</f>
        <v/>
      </c>
      <c r="D5382">
        <f>TEST_DATA!D5382</f>
        <v/>
      </c>
      <c r="E5382">
        <f>TEST_DATA!E5382</f>
        <v/>
      </c>
    </row>
    <row r="5383">
      <c r="A5383">
        <f>TEST_DATA!A5383</f>
        <v/>
      </c>
      <c r="B5383">
        <f>TEST_DATA!B5383</f>
        <v/>
      </c>
      <c r="C5383">
        <f>TEST_DATA!C5383</f>
        <v/>
      </c>
      <c r="D5383">
        <f>TEST_DATA!D5383</f>
        <v/>
      </c>
      <c r="E5383">
        <f>TEST_DATA!E5383</f>
        <v/>
      </c>
    </row>
    <row r="5384">
      <c r="A5384">
        <f>TEST_DATA!A5384</f>
        <v/>
      </c>
      <c r="B5384">
        <f>TEST_DATA!B5384</f>
        <v/>
      </c>
      <c r="C5384">
        <f>TEST_DATA!C5384</f>
        <v/>
      </c>
      <c r="D5384">
        <f>TEST_DATA!D5384</f>
        <v/>
      </c>
      <c r="E5384">
        <f>TEST_DATA!E5384</f>
        <v/>
      </c>
    </row>
    <row r="5385">
      <c r="A5385">
        <f>TEST_DATA!A5385</f>
        <v/>
      </c>
      <c r="B5385">
        <f>TEST_DATA!B5385</f>
        <v/>
      </c>
      <c r="C5385">
        <f>TEST_DATA!C5385</f>
        <v/>
      </c>
      <c r="D5385">
        <f>TEST_DATA!D5385</f>
        <v/>
      </c>
      <c r="E5385">
        <f>TEST_DATA!E5385</f>
        <v/>
      </c>
    </row>
    <row r="5386">
      <c r="A5386">
        <f>TEST_DATA!A5386</f>
        <v/>
      </c>
      <c r="B5386">
        <f>TEST_DATA!B5386</f>
        <v/>
      </c>
      <c r="C5386">
        <f>TEST_DATA!C5386</f>
        <v/>
      </c>
      <c r="D5386">
        <f>TEST_DATA!D5386</f>
        <v/>
      </c>
      <c r="E5386">
        <f>TEST_DATA!E5386</f>
        <v/>
      </c>
    </row>
    <row r="5387">
      <c r="A5387">
        <f>TEST_DATA!A5387</f>
        <v/>
      </c>
      <c r="B5387">
        <f>TEST_DATA!B5387</f>
        <v/>
      </c>
      <c r="C5387">
        <f>TEST_DATA!C5387</f>
        <v/>
      </c>
      <c r="D5387">
        <f>TEST_DATA!D5387</f>
        <v/>
      </c>
      <c r="E5387">
        <f>TEST_DATA!E5387</f>
        <v/>
      </c>
    </row>
    <row r="5388">
      <c r="A5388">
        <f>TEST_DATA!A5388</f>
        <v/>
      </c>
      <c r="B5388">
        <f>TEST_DATA!B5388</f>
        <v/>
      </c>
      <c r="C5388">
        <f>TEST_DATA!C5388</f>
        <v/>
      </c>
      <c r="D5388">
        <f>TEST_DATA!D5388</f>
        <v/>
      </c>
      <c r="E5388">
        <f>TEST_DATA!E5388</f>
        <v/>
      </c>
    </row>
    <row r="5389">
      <c r="A5389">
        <f>TEST_DATA!A5389</f>
        <v/>
      </c>
      <c r="B5389">
        <f>TEST_DATA!B5389</f>
        <v/>
      </c>
      <c r="C5389">
        <f>TEST_DATA!C5389</f>
        <v/>
      </c>
      <c r="D5389">
        <f>TEST_DATA!D5389</f>
        <v/>
      </c>
      <c r="E5389">
        <f>TEST_DATA!E5389</f>
        <v/>
      </c>
    </row>
    <row r="5390">
      <c r="A5390">
        <f>TEST_DATA!A5390</f>
        <v/>
      </c>
      <c r="B5390">
        <f>TEST_DATA!B5390</f>
        <v/>
      </c>
      <c r="C5390">
        <f>TEST_DATA!C5390</f>
        <v/>
      </c>
      <c r="D5390">
        <f>TEST_DATA!D5390</f>
        <v/>
      </c>
      <c r="E5390">
        <f>TEST_DATA!E5390</f>
        <v/>
      </c>
    </row>
    <row r="5391">
      <c r="A5391">
        <f>TEST_DATA!A5391</f>
        <v/>
      </c>
      <c r="B5391">
        <f>TEST_DATA!B5391</f>
        <v/>
      </c>
      <c r="C5391">
        <f>TEST_DATA!C5391</f>
        <v/>
      </c>
      <c r="D5391">
        <f>TEST_DATA!D5391</f>
        <v/>
      </c>
      <c r="E5391">
        <f>TEST_DATA!E5391</f>
        <v/>
      </c>
    </row>
    <row r="5392">
      <c r="A5392">
        <f>TEST_DATA!A5392</f>
        <v/>
      </c>
      <c r="B5392">
        <f>TEST_DATA!B5392</f>
        <v/>
      </c>
      <c r="C5392">
        <f>TEST_DATA!C5392</f>
        <v/>
      </c>
      <c r="D5392">
        <f>TEST_DATA!D5392</f>
        <v/>
      </c>
      <c r="E5392">
        <f>TEST_DATA!E5392</f>
        <v/>
      </c>
    </row>
    <row r="5393">
      <c r="A5393">
        <f>TEST_DATA!A5393</f>
        <v/>
      </c>
      <c r="B5393">
        <f>TEST_DATA!B5393</f>
        <v/>
      </c>
      <c r="C5393">
        <f>TEST_DATA!C5393</f>
        <v/>
      </c>
      <c r="D5393">
        <f>TEST_DATA!D5393</f>
        <v/>
      </c>
      <c r="E5393">
        <f>TEST_DATA!E5393</f>
        <v/>
      </c>
    </row>
    <row r="5394">
      <c r="A5394">
        <f>TEST_DATA!A5394</f>
        <v/>
      </c>
      <c r="B5394">
        <f>TEST_DATA!B5394</f>
        <v/>
      </c>
      <c r="C5394">
        <f>TEST_DATA!C5394</f>
        <v/>
      </c>
      <c r="D5394">
        <f>TEST_DATA!D5394</f>
        <v/>
      </c>
      <c r="E5394">
        <f>TEST_DATA!E5394</f>
        <v/>
      </c>
    </row>
    <row r="5395">
      <c r="A5395">
        <f>TEST_DATA!A5395</f>
        <v/>
      </c>
      <c r="B5395">
        <f>TEST_DATA!B5395</f>
        <v/>
      </c>
      <c r="C5395">
        <f>TEST_DATA!C5395</f>
        <v/>
      </c>
      <c r="D5395">
        <f>TEST_DATA!D5395</f>
        <v/>
      </c>
      <c r="E5395">
        <f>TEST_DATA!E5395</f>
        <v/>
      </c>
    </row>
    <row r="5396">
      <c r="A5396">
        <f>TEST_DATA!A5396</f>
        <v/>
      </c>
      <c r="B5396">
        <f>TEST_DATA!B5396</f>
        <v/>
      </c>
      <c r="C5396">
        <f>TEST_DATA!C5396</f>
        <v/>
      </c>
      <c r="D5396">
        <f>TEST_DATA!D5396</f>
        <v/>
      </c>
      <c r="E5396">
        <f>TEST_DATA!E5396</f>
        <v/>
      </c>
    </row>
    <row r="5397">
      <c r="A5397">
        <f>TEST_DATA!A5397</f>
        <v/>
      </c>
      <c r="B5397">
        <f>TEST_DATA!B5397</f>
        <v/>
      </c>
      <c r="C5397">
        <f>TEST_DATA!C5397</f>
        <v/>
      </c>
      <c r="D5397">
        <f>TEST_DATA!D5397</f>
        <v/>
      </c>
      <c r="E5397">
        <f>TEST_DATA!E5397</f>
        <v/>
      </c>
    </row>
    <row r="5398">
      <c r="A5398">
        <f>TEST_DATA!A5398</f>
        <v/>
      </c>
      <c r="B5398">
        <f>TEST_DATA!B5398</f>
        <v/>
      </c>
      <c r="C5398">
        <f>TEST_DATA!C5398</f>
        <v/>
      </c>
      <c r="D5398">
        <f>TEST_DATA!D5398</f>
        <v/>
      </c>
      <c r="E5398">
        <f>TEST_DATA!E5398</f>
        <v/>
      </c>
    </row>
    <row r="5399">
      <c r="A5399">
        <f>TEST_DATA!A5399</f>
        <v/>
      </c>
      <c r="B5399">
        <f>TEST_DATA!B5399</f>
        <v/>
      </c>
      <c r="C5399">
        <f>TEST_DATA!C5399</f>
        <v/>
      </c>
      <c r="D5399">
        <f>TEST_DATA!D5399</f>
        <v/>
      </c>
      <c r="E5399">
        <f>TEST_DATA!E5399</f>
        <v/>
      </c>
    </row>
    <row r="5400">
      <c r="A5400">
        <f>TEST_DATA!A5400</f>
        <v/>
      </c>
      <c r="B5400">
        <f>TEST_DATA!B5400</f>
        <v/>
      </c>
      <c r="C5400">
        <f>TEST_DATA!C5400</f>
        <v/>
      </c>
      <c r="D5400">
        <f>TEST_DATA!D5400</f>
        <v/>
      </c>
      <c r="E5400">
        <f>TEST_DATA!E5400</f>
        <v/>
      </c>
    </row>
    <row r="5401">
      <c r="A5401">
        <f>TEST_DATA!A5401</f>
        <v/>
      </c>
      <c r="B5401">
        <f>TEST_DATA!B5401</f>
        <v/>
      </c>
      <c r="C5401">
        <f>TEST_DATA!C5401</f>
        <v/>
      </c>
      <c r="D5401">
        <f>TEST_DATA!D5401</f>
        <v/>
      </c>
      <c r="E5401">
        <f>TEST_DATA!E5401</f>
        <v/>
      </c>
    </row>
    <row r="5402">
      <c r="A5402">
        <f>TEST_DATA!A5402</f>
        <v/>
      </c>
      <c r="B5402">
        <f>TEST_DATA!B5402</f>
        <v/>
      </c>
      <c r="C5402">
        <f>TEST_DATA!C5402</f>
        <v/>
      </c>
      <c r="D5402">
        <f>TEST_DATA!D5402</f>
        <v/>
      </c>
      <c r="E5402">
        <f>TEST_DATA!E5402</f>
        <v/>
      </c>
    </row>
    <row r="5403">
      <c r="A5403">
        <f>TEST_DATA!A5403</f>
        <v/>
      </c>
      <c r="B5403">
        <f>TEST_DATA!B5403</f>
        <v/>
      </c>
      <c r="C5403">
        <f>TEST_DATA!C5403</f>
        <v/>
      </c>
      <c r="D5403">
        <f>TEST_DATA!D5403</f>
        <v/>
      </c>
      <c r="E5403">
        <f>TEST_DATA!E5403</f>
        <v/>
      </c>
    </row>
    <row r="5404">
      <c r="A5404">
        <f>TEST_DATA!A5404</f>
        <v/>
      </c>
      <c r="B5404">
        <f>TEST_DATA!B5404</f>
        <v/>
      </c>
      <c r="C5404">
        <f>TEST_DATA!C5404</f>
        <v/>
      </c>
      <c r="D5404">
        <f>TEST_DATA!D5404</f>
        <v/>
      </c>
      <c r="E5404">
        <f>TEST_DATA!E5404</f>
        <v/>
      </c>
    </row>
    <row r="5405">
      <c r="A5405">
        <f>TEST_DATA!A5405</f>
        <v/>
      </c>
      <c r="B5405">
        <f>TEST_DATA!B5405</f>
        <v/>
      </c>
      <c r="C5405">
        <f>TEST_DATA!C5405</f>
        <v/>
      </c>
      <c r="D5405">
        <f>TEST_DATA!D5405</f>
        <v/>
      </c>
      <c r="E5405">
        <f>TEST_DATA!E5405</f>
        <v/>
      </c>
    </row>
    <row r="5406">
      <c r="A5406">
        <f>TEST_DATA!A5406</f>
        <v/>
      </c>
      <c r="B5406">
        <f>TEST_DATA!B5406</f>
        <v/>
      </c>
      <c r="C5406">
        <f>TEST_DATA!C5406</f>
        <v/>
      </c>
      <c r="D5406">
        <f>TEST_DATA!D5406</f>
        <v/>
      </c>
      <c r="E5406">
        <f>TEST_DATA!E5406</f>
        <v/>
      </c>
    </row>
    <row r="5407">
      <c r="A5407">
        <f>TEST_DATA!A5407</f>
        <v/>
      </c>
      <c r="B5407">
        <f>TEST_DATA!B5407</f>
        <v/>
      </c>
      <c r="C5407">
        <f>TEST_DATA!C5407</f>
        <v/>
      </c>
      <c r="D5407">
        <f>TEST_DATA!D5407</f>
        <v/>
      </c>
      <c r="E5407">
        <f>TEST_DATA!E5407</f>
        <v/>
      </c>
    </row>
    <row r="5408">
      <c r="A5408">
        <f>TEST_DATA!A5408</f>
        <v/>
      </c>
      <c r="B5408">
        <f>TEST_DATA!B5408</f>
        <v/>
      </c>
      <c r="C5408">
        <f>TEST_DATA!C5408</f>
        <v/>
      </c>
      <c r="D5408">
        <f>TEST_DATA!D5408</f>
        <v/>
      </c>
      <c r="E5408">
        <f>TEST_DATA!E5408</f>
        <v/>
      </c>
    </row>
    <row r="5409">
      <c r="A5409">
        <f>TEST_DATA!A5409</f>
        <v/>
      </c>
      <c r="B5409">
        <f>TEST_DATA!B5409</f>
        <v/>
      </c>
      <c r="C5409">
        <f>TEST_DATA!C5409</f>
        <v/>
      </c>
      <c r="D5409">
        <f>TEST_DATA!D5409</f>
        <v/>
      </c>
      <c r="E5409">
        <f>TEST_DATA!E5409</f>
        <v/>
      </c>
    </row>
    <row r="5410">
      <c r="A5410">
        <f>TEST_DATA!A5410</f>
        <v/>
      </c>
      <c r="B5410">
        <f>TEST_DATA!B5410</f>
        <v/>
      </c>
      <c r="C5410">
        <f>TEST_DATA!C5410</f>
        <v/>
      </c>
      <c r="D5410">
        <f>TEST_DATA!D5410</f>
        <v/>
      </c>
      <c r="E5410">
        <f>TEST_DATA!E5410</f>
        <v/>
      </c>
    </row>
    <row r="5411">
      <c r="A5411">
        <f>TEST_DATA!A5411</f>
        <v/>
      </c>
      <c r="B5411">
        <f>TEST_DATA!B5411</f>
        <v/>
      </c>
      <c r="C5411">
        <f>TEST_DATA!C5411</f>
        <v/>
      </c>
      <c r="D5411">
        <f>TEST_DATA!D5411</f>
        <v/>
      </c>
      <c r="E5411">
        <f>TEST_DATA!E5411</f>
        <v/>
      </c>
    </row>
    <row r="5412">
      <c r="A5412">
        <f>TEST_DATA!A5412</f>
        <v/>
      </c>
      <c r="B5412">
        <f>TEST_DATA!B5412</f>
        <v/>
      </c>
      <c r="C5412">
        <f>TEST_DATA!C5412</f>
        <v/>
      </c>
      <c r="D5412">
        <f>TEST_DATA!D5412</f>
        <v/>
      </c>
      <c r="E5412">
        <f>TEST_DATA!E5412</f>
        <v/>
      </c>
    </row>
    <row r="5413">
      <c r="A5413">
        <f>TEST_DATA!A5413</f>
        <v/>
      </c>
      <c r="B5413">
        <f>TEST_DATA!B5413</f>
        <v/>
      </c>
      <c r="C5413">
        <f>TEST_DATA!C5413</f>
        <v/>
      </c>
      <c r="D5413">
        <f>TEST_DATA!D5413</f>
        <v/>
      </c>
      <c r="E5413">
        <f>TEST_DATA!E5413</f>
        <v/>
      </c>
    </row>
    <row r="5414">
      <c r="A5414">
        <f>TEST_DATA!A5414</f>
        <v/>
      </c>
      <c r="B5414">
        <f>TEST_DATA!B5414</f>
        <v/>
      </c>
      <c r="C5414">
        <f>TEST_DATA!C5414</f>
        <v/>
      </c>
      <c r="D5414">
        <f>TEST_DATA!D5414</f>
        <v/>
      </c>
      <c r="E5414">
        <f>TEST_DATA!E5414</f>
        <v/>
      </c>
    </row>
    <row r="5415">
      <c r="A5415">
        <f>TEST_DATA!A5415</f>
        <v/>
      </c>
      <c r="B5415">
        <f>TEST_DATA!B5415</f>
        <v/>
      </c>
      <c r="C5415">
        <f>TEST_DATA!C5415</f>
        <v/>
      </c>
      <c r="D5415">
        <f>TEST_DATA!D5415</f>
        <v/>
      </c>
      <c r="E5415">
        <f>TEST_DATA!E5415</f>
        <v/>
      </c>
    </row>
    <row r="5416">
      <c r="A5416">
        <f>TEST_DATA!A5416</f>
        <v/>
      </c>
      <c r="B5416">
        <f>TEST_DATA!B5416</f>
        <v/>
      </c>
      <c r="C5416">
        <f>TEST_DATA!C5416</f>
        <v/>
      </c>
      <c r="D5416">
        <f>TEST_DATA!D5416</f>
        <v/>
      </c>
      <c r="E5416">
        <f>TEST_DATA!E5416</f>
        <v/>
      </c>
    </row>
    <row r="5417">
      <c r="A5417">
        <f>TEST_DATA!A5417</f>
        <v/>
      </c>
      <c r="B5417">
        <f>TEST_DATA!B5417</f>
        <v/>
      </c>
      <c r="C5417">
        <f>TEST_DATA!C5417</f>
        <v/>
      </c>
      <c r="D5417">
        <f>TEST_DATA!D5417</f>
        <v/>
      </c>
      <c r="E5417">
        <f>TEST_DATA!E5417</f>
        <v/>
      </c>
    </row>
    <row r="5418">
      <c r="A5418">
        <f>TEST_DATA!A5418</f>
        <v/>
      </c>
      <c r="B5418">
        <f>TEST_DATA!B5418</f>
        <v/>
      </c>
      <c r="C5418">
        <f>TEST_DATA!C5418</f>
        <v/>
      </c>
      <c r="D5418">
        <f>TEST_DATA!D5418</f>
        <v/>
      </c>
      <c r="E5418">
        <f>TEST_DATA!E5418</f>
        <v/>
      </c>
    </row>
    <row r="5419">
      <c r="A5419">
        <f>TEST_DATA!A5419</f>
        <v/>
      </c>
      <c r="B5419">
        <f>TEST_DATA!B5419</f>
        <v/>
      </c>
      <c r="C5419">
        <f>TEST_DATA!C5419</f>
        <v/>
      </c>
      <c r="D5419">
        <f>TEST_DATA!D5419</f>
        <v/>
      </c>
      <c r="E5419">
        <f>TEST_DATA!E5419</f>
        <v/>
      </c>
    </row>
    <row r="5420">
      <c r="A5420">
        <f>TEST_DATA!A5420</f>
        <v/>
      </c>
      <c r="B5420">
        <f>TEST_DATA!B5420</f>
        <v/>
      </c>
      <c r="C5420">
        <f>TEST_DATA!C5420</f>
        <v/>
      </c>
      <c r="D5420">
        <f>TEST_DATA!D5420</f>
        <v/>
      </c>
      <c r="E5420">
        <f>TEST_DATA!E5420</f>
        <v/>
      </c>
    </row>
    <row r="5421">
      <c r="A5421">
        <f>TEST_DATA!A5421</f>
        <v/>
      </c>
      <c r="B5421">
        <f>TEST_DATA!B5421</f>
        <v/>
      </c>
      <c r="C5421">
        <f>TEST_DATA!C5421</f>
        <v/>
      </c>
      <c r="D5421">
        <f>TEST_DATA!D5421</f>
        <v/>
      </c>
      <c r="E5421">
        <f>TEST_DATA!E5421</f>
        <v/>
      </c>
    </row>
    <row r="5422">
      <c r="A5422">
        <f>TEST_DATA!A5422</f>
        <v/>
      </c>
      <c r="B5422">
        <f>TEST_DATA!B5422</f>
        <v/>
      </c>
      <c r="C5422">
        <f>TEST_DATA!C5422</f>
        <v/>
      </c>
      <c r="D5422">
        <f>TEST_DATA!D5422</f>
        <v/>
      </c>
      <c r="E5422">
        <f>TEST_DATA!E5422</f>
        <v/>
      </c>
    </row>
    <row r="5423">
      <c r="A5423">
        <f>TEST_DATA!A5423</f>
        <v/>
      </c>
      <c r="B5423">
        <f>TEST_DATA!B5423</f>
        <v/>
      </c>
      <c r="C5423">
        <f>TEST_DATA!C5423</f>
        <v/>
      </c>
      <c r="D5423">
        <f>TEST_DATA!D5423</f>
        <v/>
      </c>
      <c r="E5423">
        <f>TEST_DATA!E5423</f>
        <v/>
      </c>
    </row>
    <row r="5424">
      <c r="A5424">
        <f>TEST_DATA!A5424</f>
        <v/>
      </c>
      <c r="B5424">
        <f>TEST_DATA!B5424</f>
        <v/>
      </c>
      <c r="C5424">
        <f>TEST_DATA!C5424</f>
        <v/>
      </c>
      <c r="D5424">
        <f>TEST_DATA!D5424</f>
        <v/>
      </c>
      <c r="E5424">
        <f>TEST_DATA!E5424</f>
        <v/>
      </c>
    </row>
    <row r="5425">
      <c r="A5425">
        <f>TEST_DATA!A5425</f>
        <v/>
      </c>
      <c r="B5425">
        <f>TEST_DATA!B5425</f>
        <v/>
      </c>
      <c r="C5425">
        <f>TEST_DATA!C5425</f>
        <v/>
      </c>
      <c r="D5425">
        <f>TEST_DATA!D5425</f>
        <v/>
      </c>
      <c r="E5425">
        <f>TEST_DATA!E5425</f>
        <v/>
      </c>
    </row>
    <row r="5426">
      <c r="A5426">
        <f>TEST_DATA!A5426</f>
        <v/>
      </c>
      <c r="B5426">
        <f>TEST_DATA!B5426</f>
        <v/>
      </c>
      <c r="C5426">
        <f>TEST_DATA!C5426</f>
        <v/>
      </c>
      <c r="D5426">
        <f>TEST_DATA!D5426</f>
        <v/>
      </c>
      <c r="E5426">
        <f>TEST_DATA!E5426</f>
        <v/>
      </c>
    </row>
    <row r="5427">
      <c r="A5427">
        <f>TEST_DATA!A5427</f>
        <v/>
      </c>
      <c r="B5427">
        <f>TEST_DATA!B5427</f>
        <v/>
      </c>
      <c r="C5427">
        <f>TEST_DATA!C5427</f>
        <v/>
      </c>
      <c r="D5427">
        <f>TEST_DATA!D5427</f>
        <v/>
      </c>
      <c r="E5427">
        <f>TEST_DATA!E5427</f>
        <v/>
      </c>
    </row>
    <row r="5428">
      <c r="A5428">
        <f>TEST_DATA!A5428</f>
        <v/>
      </c>
      <c r="B5428">
        <f>TEST_DATA!B5428</f>
        <v/>
      </c>
      <c r="C5428">
        <f>TEST_DATA!C5428</f>
        <v/>
      </c>
      <c r="D5428">
        <f>TEST_DATA!D5428</f>
        <v/>
      </c>
      <c r="E5428">
        <f>TEST_DATA!E5428</f>
        <v/>
      </c>
    </row>
    <row r="5429">
      <c r="A5429">
        <f>TEST_DATA!A5429</f>
        <v/>
      </c>
      <c r="B5429">
        <f>TEST_DATA!B5429</f>
        <v/>
      </c>
      <c r="C5429">
        <f>TEST_DATA!C5429</f>
        <v/>
      </c>
      <c r="D5429">
        <f>TEST_DATA!D5429</f>
        <v/>
      </c>
      <c r="E5429">
        <f>TEST_DATA!E5429</f>
        <v/>
      </c>
    </row>
    <row r="5430">
      <c r="A5430">
        <f>TEST_DATA!A5430</f>
        <v/>
      </c>
      <c r="B5430">
        <f>TEST_DATA!B5430</f>
        <v/>
      </c>
      <c r="C5430">
        <f>TEST_DATA!C5430</f>
        <v/>
      </c>
      <c r="D5430">
        <f>TEST_DATA!D5430</f>
        <v/>
      </c>
      <c r="E5430">
        <f>TEST_DATA!E5430</f>
        <v/>
      </c>
    </row>
    <row r="5431">
      <c r="A5431">
        <f>TEST_DATA!A5431</f>
        <v/>
      </c>
      <c r="B5431">
        <f>TEST_DATA!B5431</f>
        <v/>
      </c>
      <c r="C5431">
        <f>TEST_DATA!C5431</f>
        <v/>
      </c>
      <c r="D5431">
        <f>TEST_DATA!D5431</f>
        <v/>
      </c>
      <c r="E5431">
        <f>TEST_DATA!E5431</f>
        <v/>
      </c>
    </row>
    <row r="5432">
      <c r="A5432">
        <f>TEST_DATA!A5432</f>
        <v/>
      </c>
      <c r="B5432">
        <f>TEST_DATA!B5432</f>
        <v/>
      </c>
      <c r="C5432">
        <f>TEST_DATA!C5432</f>
        <v/>
      </c>
      <c r="D5432">
        <f>TEST_DATA!D5432</f>
        <v/>
      </c>
      <c r="E5432">
        <f>TEST_DATA!E5432</f>
        <v/>
      </c>
    </row>
    <row r="5433">
      <c r="A5433">
        <f>TEST_DATA!A5433</f>
        <v/>
      </c>
      <c r="B5433">
        <f>TEST_DATA!B5433</f>
        <v/>
      </c>
      <c r="C5433">
        <f>TEST_DATA!C5433</f>
        <v/>
      </c>
      <c r="D5433">
        <f>TEST_DATA!D5433</f>
        <v/>
      </c>
      <c r="E5433">
        <f>TEST_DATA!E5433</f>
        <v/>
      </c>
    </row>
    <row r="5434">
      <c r="A5434">
        <f>TEST_DATA!A5434</f>
        <v/>
      </c>
      <c r="B5434">
        <f>TEST_DATA!B5434</f>
        <v/>
      </c>
      <c r="C5434">
        <f>TEST_DATA!C5434</f>
        <v/>
      </c>
      <c r="D5434">
        <f>TEST_DATA!D5434</f>
        <v/>
      </c>
      <c r="E5434">
        <f>TEST_DATA!E5434</f>
        <v/>
      </c>
    </row>
    <row r="5435">
      <c r="A5435">
        <f>TEST_DATA!A5435</f>
        <v/>
      </c>
      <c r="B5435">
        <f>TEST_DATA!B5435</f>
        <v/>
      </c>
      <c r="C5435">
        <f>TEST_DATA!C5435</f>
        <v/>
      </c>
      <c r="D5435">
        <f>TEST_DATA!D5435</f>
        <v/>
      </c>
      <c r="E5435">
        <f>TEST_DATA!E5435</f>
        <v/>
      </c>
    </row>
    <row r="5436">
      <c r="A5436">
        <f>TEST_DATA!A5436</f>
        <v/>
      </c>
      <c r="B5436">
        <f>TEST_DATA!B5436</f>
        <v/>
      </c>
      <c r="C5436">
        <f>TEST_DATA!C5436</f>
        <v/>
      </c>
      <c r="D5436">
        <f>TEST_DATA!D5436</f>
        <v/>
      </c>
      <c r="E5436">
        <f>TEST_DATA!E5436</f>
        <v/>
      </c>
    </row>
    <row r="5437">
      <c r="A5437">
        <f>TEST_DATA!A5437</f>
        <v/>
      </c>
      <c r="B5437">
        <f>TEST_DATA!B5437</f>
        <v/>
      </c>
      <c r="C5437">
        <f>TEST_DATA!C5437</f>
        <v/>
      </c>
      <c r="D5437">
        <f>TEST_DATA!D5437</f>
        <v/>
      </c>
      <c r="E5437">
        <f>TEST_DATA!E5437</f>
        <v/>
      </c>
    </row>
    <row r="5438">
      <c r="A5438">
        <f>TEST_DATA!A5438</f>
        <v/>
      </c>
      <c r="B5438">
        <f>TEST_DATA!B5438</f>
        <v/>
      </c>
      <c r="C5438">
        <f>TEST_DATA!C5438</f>
        <v/>
      </c>
      <c r="D5438">
        <f>TEST_DATA!D5438</f>
        <v/>
      </c>
      <c r="E5438">
        <f>TEST_DATA!E5438</f>
        <v/>
      </c>
    </row>
    <row r="5439">
      <c r="A5439">
        <f>TEST_DATA!A5439</f>
        <v/>
      </c>
      <c r="B5439">
        <f>TEST_DATA!B5439</f>
        <v/>
      </c>
      <c r="C5439">
        <f>TEST_DATA!C5439</f>
        <v/>
      </c>
      <c r="D5439">
        <f>TEST_DATA!D5439</f>
        <v/>
      </c>
      <c r="E5439">
        <f>TEST_DATA!E5439</f>
        <v/>
      </c>
    </row>
    <row r="5440">
      <c r="A5440">
        <f>TEST_DATA!A5440</f>
        <v/>
      </c>
      <c r="B5440">
        <f>TEST_DATA!B5440</f>
        <v/>
      </c>
      <c r="C5440">
        <f>TEST_DATA!C5440</f>
        <v/>
      </c>
      <c r="D5440">
        <f>TEST_DATA!D5440</f>
        <v/>
      </c>
      <c r="E5440">
        <f>TEST_DATA!E5440</f>
        <v/>
      </c>
    </row>
    <row r="5441">
      <c r="A5441">
        <f>TEST_DATA!A5441</f>
        <v/>
      </c>
      <c r="B5441">
        <f>TEST_DATA!B5441</f>
        <v/>
      </c>
      <c r="C5441">
        <f>TEST_DATA!C5441</f>
        <v/>
      </c>
      <c r="D5441">
        <f>TEST_DATA!D5441</f>
        <v/>
      </c>
      <c r="E5441">
        <f>TEST_DATA!E5441</f>
        <v/>
      </c>
    </row>
    <row r="5442">
      <c r="A5442">
        <f>TEST_DATA!A5442</f>
        <v/>
      </c>
      <c r="B5442">
        <f>TEST_DATA!B5442</f>
        <v/>
      </c>
      <c r="C5442">
        <f>TEST_DATA!C5442</f>
        <v/>
      </c>
      <c r="D5442">
        <f>TEST_DATA!D5442</f>
        <v/>
      </c>
      <c r="E5442">
        <f>TEST_DATA!E5442</f>
        <v/>
      </c>
    </row>
    <row r="5443">
      <c r="A5443">
        <f>TEST_DATA!A5443</f>
        <v/>
      </c>
      <c r="B5443">
        <f>TEST_DATA!B5443</f>
        <v/>
      </c>
      <c r="C5443">
        <f>TEST_DATA!C5443</f>
        <v/>
      </c>
      <c r="D5443">
        <f>TEST_DATA!D5443</f>
        <v/>
      </c>
      <c r="E5443">
        <f>TEST_DATA!E5443</f>
        <v/>
      </c>
    </row>
    <row r="5444">
      <c r="A5444">
        <f>TEST_DATA!A5444</f>
        <v/>
      </c>
      <c r="B5444">
        <f>TEST_DATA!B5444</f>
        <v/>
      </c>
      <c r="C5444">
        <f>TEST_DATA!C5444</f>
        <v/>
      </c>
      <c r="D5444">
        <f>TEST_DATA!D5444</f>
        <v/>
      </c>
      <c r="E5444">
        <f>TEST_DATA!E5444</f>
        <v/>
      </c>
    </row>
    <row r="5445">
      <c r="A5445">
        <f>TEST_DATA!A5445</f>
        <v/>
      </c>
      <c r="B5445">
        <f>TEST_DATA!B5445</f>
        <v/>
      </c>
      <c r="C5445">
        <f>TEST_DATA!C5445</f>
        <v/>
      </c>
      <c r="D5445">
        <f>TEST_DATA!D5445</f>
        <v/>
      </c>
      <c r="E5445">
        <f>TEST_DATA!E5445</f>
        <v/>
      </c>
    </row>
    <row r="5446">
      <c r="A5446">
        <f>TEST_DATA!A5446</f>
        <v/>
      </c>
      <c r="B5446">
        <f>TEST_DATA!B5446</f>
        <v/>
      </c>
      <c r="C5446">
        <f>TEST_DATA!C5446</f>
        <v/>
      </c>
      <c r="D5446">
        <f>TEST_DATA!D5446</f>
        <v/>
      </c>
      <c r="E5446">
        <f>TEST_DATA!E5446</f>
        <v/>
      </c>
    </row>
    <row r="5447">
      <c r="A5447">
        <f>TEST_DATA!A5447</f>
        <v/>
      </c>
      <c r="B5447">
        <f>TEST_DATA!B5447</f>
        <v/>
      </c>
      <c r="C5447">
        <f>TEST_DATA!C5447</f>
        <v/>
      </c>
      <c r="D5447">
        <f>TEST_DATA!D5447</f>
        <v/>
      </c>
      <c r="E5447">
        <f>TEST_DATA!E5447</f>
        <v/>
      </c>
    </row>
    <row r="5448">
      <c r="A5448">
        <f>TEST_DATA!A5448</f>
        <v/>
      </c>
      <c r="B5448">
        <f>TEST_DATA!B5448</f>
        <v/>
      </c>
      <c r="C5448">
        <f>TEST_DATA!C5448</f>
        <v/>
      </c>
      <c r="D5448">
        <f>TEST_DATA!D5448</f>
        <v/>
      </c>
      <c r="E5448">
        <f>TEST_DATA!E5448</f>
        <v/>
      </c>
    </row>
    <row r="5449">
      <c r="A5449">
        <f>TEST_DATA!A5449</f>
        <v/>
      </c>
      <c r="B5449">
        <f>TEST_DATA!B5449</f>
        <v/>
      </c>
      <c r="C5449">
        <f>TEST_DATA!C5449</f>
        <v/>
      </c>
      <c r="D5449">
        <f>TEST_DATA!D5449</f>
        <v/>
      </c>
      <c r="E5449">
        <f>TEST_DATA!E5449</f>
        <v/>
      </c>
    </row>
    <row r="5450">
      <c r="A5450">
        <f>TEST_DATA!A5450</f>
        <v/>
      </c>
      <c r="B5450">
        <f>TEST_DATA!B5450</f>
        <v/>
      </c>
      <c r="C5450">
        <f>TEST_DATA!C5450</f>
        <v/>
      </c>
      <c r="D5450">
        <f>TEST_DATA!D5450</f>
        <v/>
      </c>
      <c r="E5450">
        <f>TEST_DATA!E5450</f>
        <v/>
      </c>
    </row>
    <row r="5451">
      <c r="A5451">
        <f>TEST_DATA!A5451</f>
        <v/>
      </c>
      <c r="B5451">
        <f>TEST_DATA!B5451</f>
        <v/>
      </c>
      <c r="C5451">
        <f>TEST_DATA!C5451</f>
        <v/>
      </c>
      <c r="D5451">
        <f>TEST_DATA!D5451</f>
        <v/>
      </c>
      <c r="E5451">
        <f>TEST_DATA!E5451</f>
        <v/>
      </c>
    </row>
    <row r="5452">
      <c r="A5452">
        <f>TEST_DATA!A5452</f>
        <v/>
      </c>
      <c r="B5452">
        <f>TEST_DATA!B5452</f>
        <v/>
      </c>
      <c r="C5452">
        <f>TEST_DATA!C5452</f>
        <v/>
      </c>
      <c r="D5452">
        <f>TEST_DATA!D5452</f>
        <v/>
      </c>
      <c r="E5452">
        <f>TEST_DATA!E5452</f>
        <v/>
      </c>
    </row>
    <row r="5453">
      <c r="A5453">
        <f>TEST_DATA!A5453</f>
        <v/>
      </c>
      <c r="B5453">
        <f>TEST_DATA!B5453</f>
        <v/>
      </c>
      <c r="C5453">
        <f>TEST_DATA!C5453</f>
        <v/>
      </c>
      <c r="D5453">
        <f>TEST_DATA!D5453</f>
        <v/>
      </c>
      <c r="E5453">
        <f>TEST_DATA!E5453</f>
        <v/>
      </c>
    </row>
    <row r="5454">
      <c r="A5454">
        <f>TEST_DATA!A5454</f>
        <v/>
      </c>
      <c r="B5454">
        <f>TEST_DATA!B5454</f>
        <v/>
      </c>
      <c r="C5454">
        <f>TEST_DATA!C5454</f>
        <v/>
      </c>
      <c r="D5454">
        <f>TEST_DATA!D5454</f>
        <v/>
      </c>
      <c r="E5454">
        <f>TEST_DATA!E5454</f>
        <v/>
      </c>
    </row>
    <row r="5455">
      <c r="A5455">
        <f>TEST_DATA!A5455</f>
        <v/>
      </c>
      <c r="B5455">
        <f>TEST_DATA!B5455</f>
        <v/>
      </c>
      <c r="C5455">
        <f>TEST_DATA!C5455</f>
        <v/>
      </c>
      <c r="D5455">
        <f>TEST_DATA!D5455</f>
        <v/>
      </c>
      <c r="E5455">
        <f>TEST_DATA!E5455</f>
        <v/>
      </c>
    </row>
    <row r="5456">
      <c r="A5456">
        <f>TEST_DATA!A5456</f>
        <v/>
      </c>
      <c r="B5456">
        <f>TEST_DATA!B5456</f>
        <v/>
      </c>
      <c r="C5456">
        <f>TEST_DATA!C5456</f>
        <v/>
      </c>
      <c r="D5456">
        <f>TEST_DATA!D5456</f>
        <v/>
      </c>
      <c r="E5456">
        <f>TEST_DATA!E5456</f>
        <v/>
      </c>
    </row>
    <row r="5457">
      <c r="A5457">
        <f>TEST_DATA!A5457</f>
        <v/>
      </c>
      <c r="B5457">
        <f>TEST_DATA!B5457</f>
        <v/>
      </c>
      <c r="C5457">
        <f>TEST_DATA!C5457</f>
        <v/>
      </c>
      <c r="D5457">
        <f>TEST_DATA!D5457</f>
        <v/>
      </c>
      <c r="E5457">
        <f>TEST_DATA!E5457</f>
        <v/>
      </c>
    </row>
    <row r="5458">
      <c r="A5458">
        <f>TEST_DATA!A5458</f>
        <v/>
      </c>
      <c r="B5458">
        <f>TEST_DATA!B5458</f>
        <v/>
      </c>
      <c r="C5458">
        <f>TEST_DATA!C5458</f>
        <v/>
      </c>
      <c r="D5458">
        <f>TEST_DATA!D5458</f>
        <v/>
      </c>
      <c r="E5458">
        <f>TEST_DATA!E5458</f>
        <v/>
      </c>
    </row>
    <row r="5459">
      <c r="A5459">
        <f>TEST_DATA!A5459</f>
        <v/>
      </c>
      <c r="B5459">
        <f>TEST_DATA!B5459</f>
        <v/>
      </c>
      <c r="C5459">
        <f>TEST_DATA!C5459</f>
        <v/>
      </c>
      <c r="D5459">
        <f>TEST_DATA!D5459</f>
        <v/>
      </c>
      <c r="E5459">
        <f>TEST_DATA!E5459</f>
        <v/>
      </c>
    </row>
    <row r="5460">
      <c r="A5460">
        <f>TEST_DATA!A5460</f>
        <v/>
      </c>
      <c r="B5460">
        <f>TEST_DATA!B5460</f>
        <v/>
      </c>
      <c r="C5460">
        <f>TEST_DATA!C5460</f>
        <v/>
      </c>
      <c r="D5460">
        <f>TEST_DATA!D5460</f>
        <v/>
      </c>
      <c r="E5460">
        <f>TEST_DATA!E5460</f>
        <v/>
      </c>
    </row>
    <row r="5461">
      <c r="A5461">
        <f>TEST_DATA!A5461</f>
        <v/>
      </c>
      <c r="B5461">
        <f>TEST_DATA!B5461</f>
        <v/>
      </c>
      <c r="C5461">
        <f>TEST_DATA!C5461</f>
        <v/>
      </c>
      <c r="D5461">
        <f>TEST_DATA!D5461</f>
        <v/>
      </c>
      <c r="E5461">
        <f>TEST_DATA!E5461</f>
        <v/>
      </c>
    </row>
    <row r="5462">
      <c r="A5462">
        <f>TEST_DATA!A5462</f>
        <v/>
      </c>
      <c r="B5462">
        <f>TEST_DATA!B5462</f>
        <v/>
      </c>
      <c r="C5462">
        <f>TEST_DATA!C5462</f>
        <v/>
      </c>
      <c r="D5462">
        <f>TEST_DATA!D5462</f>
        <v/>
      </c>
      <c r="E5462">
        <f>TEST_DATA!E5462</f>
        <v/>
      </c>
    </row>
    <row r="5463">
      <c r="A5463">
        <f>TEST_DATA!A5463</f>
        <v/>
      </c>
      <c r="B5463">
        <f>TEST_DATA!B5463</f>
        <v/>
      </c>
      <c r="C5463">
        <f>TEST_DATA!C5463</f>
        <v/>
      </c>
      <c r="D5463">
        <f>TEST_DATA!D5463</f>
        <v/>
      </c>
      <c r="E5463">
        <f>TEST_DATA!E5463</f>
        <v/>
      </c>
    </row>
    <row r="5464">
      <c r="A5464">
        <f>TEST_DATA!A5464</f>
        <v/>
      </c>
      <c r="B5464">
        <f>TEST_DATA!B5464</f>
        <v/>
      </c>
      <c r="C5464">
        <f>TEST_DATA!C5464</f>
        <v/>
      </c>
      <c r="D5464">
        <f>TEST_DATA!D5464</f>
        <v/>
      </c>
      <c r="E5464">
        <f>TEST_DATA!E5464</f>
        <v/>
      </c>
    </row>
    <row r="5465">
      <c r="A5465">
        <f>TEST_DATA!A5465</f>
        <v/>
      </c>
      <c r="B5465">
        <f>TEST_DATA!B5465</f>
        <v/>
      </c>
      <c r="C5465">
        <f>TEST_DATA!C5465</f>
        <v/>
      </c>
      <c r="D5465">
        <f>TEST_DATA!D5465</f>
        <v/>
      </c>
      <c r="E5465">
        <f>TEST_DATA!E5465</f>
        <v/>
      </c>
    </row>
    <row r="5466">
      <c r="A5466">
        <f>TEST_DATA!A5466</f>
        <v/>
      </c>
      <c r="B5466">
        <f>TEST_DATA!B5466</f>
        <v/>
      </c>
      <c r="C5466">
        <f>TEST_DATA!C5466</f>
        <v/>
      </c>
      <c r="D5466">
        <f>TEST_DATA!D5466</f>
        <v/>
      </c>
      <c r="E5466">
        <f>TEST_DATA!E5466</f>
        <v/>
      </c>
    </row>
    <row r="5467">
      <c r="A5467">
        <f>TEST_DATA!A5467</f>
        <v/>
      </c>
      <c r="B5467">
        <f>TEST_DATA!B5467</f>
        <v/>
      </c>
      <c r="C5467">
        <f>TEST_DATA!C5467</f>
        <v/>
      </c>
      <c r="D5467">
        <f>TEST_DATA!D5467</f>
        <v/>
      </c>
      <c r="E5467">
        <f>TEST_DATA!E5467</f>
        <v/>
      </c>
    </row>
    <row r="5468">
      <c r="A5468">
        <f>TEST_DATA!A5468</f>
        <v/>
      </c>
      <c r="B5468">
        <f>TEST_DATA!B5468</f>
        <v/>
      </c>
      <c r="C5468">
        <f>TEST_DATA!C5468</f>
        <v/>
      </c>
      <c r="D5468">
        <f>TEST_DATA!D5468</f>
        <v/>
      </c>
      <c r="E5468">
        <f>TEST_DATA!E5468</f>
        <v/>
      </c>
    </row>
    <row r="5469">
      <c r="A5469">
        <f>TEST_DATA!A5469</f>
        <v/>
      </c>
      <c r="B5469">
        <f>TEST_DATA!B5469</f>
        <v/>
      </c>
      <c r="C5469">
        <f>TEST_DATA!C5469</f>
        <v/>
      </c>
      <c r="D5469">
        <f>TEST_DATA!D5469</f>
        <v/>
      </c>
      <c r="E5469">
        <f>TEST_DATA!E5469</f>
        <v/>
      </c>
    </row>
    <row r="5470">
      <c r="A5470">
        <f>TEST_DATA!A5470</f>
        <v/>
      </c>
      <c r="B5470">
        <f>TEST_DATA!B5470</f>
        <v/>
      </c>
      <c r="C5470">
        <f>TEST_DATA!C5470</f>
        <v/>
      </c>
      <c r="D5470">
        <f>TEST_DATA!D5470</f>
        <v/>
      </c>
      <c r="E5470">
        <f>TEST_DATA!E5470</f>
        <v/>
      </c>
    </row>
    <row r="5471">
      <c r="A5471">
        <f>TEST_DATA!A5471</f>
        <v/>
      </c>
      <c r="B5471">
        <f>TEST_DATA!B5471</f>
        <v/>
      </c>
      <c r="C5471">
        <f>TEST_DATA!C5471</f>
        <v/>
      </c>
      <c r="D5471">
        <f>TEST_DATA!D5471</f>
        <v/>
      </c>
      <c r="E5471">
        <f>TEST_DATA!E5471</f>
        <v/>
      </c>
    </row>
    <row r="5472">
      <c r="A5472">
        <f>TEST_DATA!A5472</f>
        <v/>
      </c>
      <c r="B5472">
        <f>TEST_DATA!B5472</f>
        <v/>
      </c>
      <c r="C5472">
        <f>TEST_DATA!C5472</f>
        <v/>
      </c>
      <c r="D5472">
        <f>TEST_DATA!D5472</f>
        <v/>
      </c>
      <c r="E5472">
        <f>TEST_DATA!E5472</f>
        <v/>
      </c>
    </row>
    <row r="5473">
      <c r="A5473">
        <f>TEST_DATA!A5473</f>
        <v/>
      </c>
      <c r="B5473">
        <f>TEST_DATA!B5473</f>
        <v/>
      </c>
      <c r="C5473">
        <f>TEST_DATA!C5473</f>
        <v/>
      </c>
      <c r="D5473">
        <f>TEST_DATA!D5473</f>
        <v/>
      </c>
      <c r="E5473">
        <f>TEST_DATA!E5473</f>
        <v/>
      </c>
    </row>
    <row r="5474">
      <c r="A5474">
        <f>TEST_DATA!A5474</f>
        <v/>
      </c>
      <c r="B5474">
        <f>TEST_DATA!B5474</f>
        <v/>
      </c>
      <c r="C5474">
        <f>TEST_DATA!C5474</f>
        <v/>
      </c>
      <c r="D5474">
        <f>TEST_DATA!D5474</f>
        <v/>
      </c>
      <c r="E5474">
        <f>TEST_DATA!E5474</f>
        <v/>
      </c>
    </row>
    <row r="5475">
      <c r="A5475">
        <f>TEST_DATA!A5475</f>
        <v/>
      </c>
      <c r="B5475">
        <f>TEST_DATA!B5475</f>
        <v/>
      </c>
      <c r="C5475">
        <f>TEST_DATA!C5475</f>
        <v/>
      </c>
      <c r="D5475">
        <f>TEST_DATA!D5475</f>
        <v/>
      </c>
      <c r="E5475">
        <f>TEST_DATA!E5475</f>
        <v/>
      </c>
    </row>
    <row r="5476">
      <c r="A5476">
        <f>TEST_DATA!A5476</f>
        <v/>
      </c>
      <c r="B5476">
        <f>TEST_DATA!B5476</f>
        <v/>
      </c>
      <c r="C5476">
        <f>TEST_DATA!C5476</f>
        <v/>
      </c>
      <c r="D5476">
        <f>TEST_DATA!D5476</f>
        <v/>
      </c>
      <c r="E5476">
        <f>TEST_DATA!E5476</f>
        <v/>
      </c>
    </row>
    <row r="5477">
      <c r="A5477">
        <f>TEST_DATA!A5477</f>
        <v/>
      </c>
      <c r="B5477">
        <f>TEST_DATA!B5477</f>
        <v/>
      </c>
      <c r="C5477">
        <f>TEST_DATA!C5477</f>
        <v/>
      </c>
      <c r="D5477">
        <f>TEST_DATA!D5477</f>
        <v/>
      </c>
      <c r="E5477">
        <f>TEST_DATA!E5477</f>
        <v/>
      </c>
    </row>
    <row r="5478">
      <c r="A5478">
        <f>TEST_DATA!A5478</f>
        <v/>
      </c>
      <c r="B5478">
        <f>TEST_DATA!B5478</f>
        <v/>
      </c>
      <c r="C5478">
        <f>TEST_DATA!C5478</f>
        <v/>
      </c>
      <c r="D5478">
        <f>TEST_DATA!D5478</f>
        <v/>
      </c>
      <c r="E5478">
        <f>TEST_DATA!E5478</f>
        <v/>
      </c>
    </row>
    <row r="5479">
      <c r="A5479">
        <f>TEST_DATA!A5479</f>
        <v/>
      </c>
      <c r="B5479">
        <f>TEST_DATA!B5479</f>
        <v/>
      </c>
      <c r="C5479">
        <f>TEST_DATA!C5479</f>
        <v/>
      </c>
      <c r="D5479">
        <f>TEST_DATA!D5479</f>
        <v/>
      </c>
      <c r="E5479">
        <f>TEST_DATA!E5479</f>
        <v/>
      </c>
    </row>
    <row r="5480">
      <c r="A5480">
        <f>TEST_DATA!A5480</f>
        <v/>
      </c>
      <c r="B5480">
        <f>TEST_DATA!B5480</f>
        <v/>
      </c>
      <c r="C5480">
        <f>TEST_DATA!C5480</f>
        <v/>
      </c>
      <c r="D5480">
        <f>TEST_DATA!D5480</f>
        <v/>
      </c>
      <c r="E5480">
        <f>TEST_DATA!E5480</f>
        <v/>
      </c>
    </row>
    <row r="5481">
      <c r="A5481">
        <f>TEST_DATA!A5481</f>
        <v/>
      </c>
      <c r="B5481">
        <f>TEST_DATA!B5481</f>
        <v/>
      </c>
      <c r="C5481">
        <f>TEST_DATA!C5481</f>
        <v/>
      </c>
      <c r="D5481">
        <f>TEST_DATA!D5481</f>
        <v/>
      </c>
      <c r="E5481">
        <f>TEST_DATA!E5481</f>
        <v/>
      </c>
    </row>
    <row r="5482">
      <c r="A5482">
        <f>TEST_DATA!A5482</f>
        <v/>
      </c>
      <c r="B5482">
        <f>TEST_DATA!B5482</f>
        <v/>
      </c>
      <c r="C5482">
        <f>TEST_DATA!C5482</f>
        <v/>
      </c>
      <c r="D5482">
        <f>TEST_DATA!D5482</f>
        <v/>
      </c>
      <c r="E5482">
        <f>TEST_DATA!E5482</f>
        <v/>
      </c>
    </row>
    <row r="5483">
      <c r="A5483">
        <f>TEST_DATA!A5483</f>
        <v/>
      </c>
      <c r="B5483">
        <f>TEST_DATA!B5483</f>
        <v/>
      </c>
      <c r="C5483">
        <f>TEST_DATA!C5483</f>
        <v/>
      </c>
      <c r="D5483">
        <f>TEST_DATA!D5483</f>
        <v/>
      </c>
      <c r="E5483">
        <f>TEST_DATA!E5483</f>
        <v/>
      </c>
    </row>
    <row r="5484">
      <c r="A5484">
        <f>TEST_DATA!A5484</f>
        <v/>
      </c>
      <c r="B5484">
        <f>TEST_DATA!B5484</f>
        <v/>
      </c>
      <c r="C5484">
        <f>TEST_DATA!C5484</f>
        <v/>
      </c>
      <c r="D5484">
        <f>TEST_DATA!D5484</f>
        <v/>
      </c>
      <c r="E5484">
        <f>TEST_DATA!E5484</f>
        <v/>
      </c>
    </row>
    <row r="5485">
      <c r="A5485">
        <f>TEST_DATA!A5485</f>
        <v/>
      </c>
      <c r="B5485">
        <f>TEST_DATA!B5485</f>
        <v/>
      </c>
      <c r="C5485">
        <f>TEST_DATA!C5485</f>
        <v/>
      </c>
      <c r="D5485">
        <f>TEST_DATA!D5485</f>
        <v/>
      </c>
      <c r="E5485">
        <f>TEST_DATA!E5485</f>
        <v/>
      </c>
    </row>
    <row r="5486">
      <c r="A5486">
        <f>TEST_DATA!A5486</f>
        <v/>
      </c>
      <c r="B5486">
        <f>TEST_DATA!B5486</f>
        <v/>
      </c>
      <c r="C5486">
        <f>TEST_DATA!C5486</f>
        <v/>
      </c>
      <c r="D5486">
        <f>TEST_DATA!D5486</f>
        <v/>
      </c>
      <c r="E5486">
        <f>TEST_DATA!E5486</f>
        <v/>
      </c>
    </row>
    <row r="5487">
      <c r="A5487">
        <f>TEST_DATA!A5487</f>
        <v/>
      </c>
      <c r="B5487">
        <f>TEST_DATA!B5487</f>
        <v/>
      </c>
      <c r="C5487">
        <f>TEST_DATA!C5487</f>
        <v/>
      </c>
      <c r="D5487">
        <f>TEST_DATA!D5487</f>
        <v/>
      </c>
      <c r="E5487">
        <f>TEST_DATA!E5487</f>
        <v/>
      </c>
    </row>
    <row r="5488">
      <c r="A5488">
        <f>TEST_DATA!A5488</f>
        <v/>
      </c>
      <c r="B5488">
        <f>TEST_DATA!B5488</f>
        <v/>
      </c>
      <c r="C5488">
        <f>TEST_DATA!C5488</f>
        <v/>
      </c>
      <c r="D5488">
        <f>TEST_DATA!D5488</f>
        <v/>
      </c>
      <c r="E5488">
        <f>TEST_DATA!E5488</f>
        <v/>
      </c>
    </row>
    <row r="5489">
      <c r="A5489">
        <f>TEST_DATA!A5489</f>
        <v/>
      </c>
      <c r="B5489">
        <f>TEST_DATA!B5489</f>
        <v/>
      </c>
      <c r="C5489">
        <f>TEST_DATA!C5489</f>
        <v/>
      </c>
      <c r="D5489">
        <f>TEST_DATA!D5489</f>
        <v/>
      </c>
      <c r="E5489">
        <f>TEST_DATA!E5489</f>
        <v/>
      </c>
    </row>
    <row r="5490">
      <c r="A5490">
        <f>TEST_DATA!A5490</f>
        <v/>
      </c>
      <c r="B5490">
        <f>TEST_DATA!B5490</f>
        <v/>
      </c>
      <c r="C5490">
        <f>TEST_DATA!C5490</f>
        <v/>
      </c>
      <c r="D5490">
        <f>TEST_DATA!D5490</f>
        <v/>
      </c>
      <c r="E5490">
        <f>TEST_DATA!E5490</f>
        <v/>
      </c>
    </row>
    <row r="5491">
      <c r="A5491">
        <f>TEST_DATA!A5491</f>
        <v/>
      </c>
      <c r="B5491">
        <f>TEST_DATA!B5491</f>
        <v/>
      </c>
      <c r="C5491">
        <f>TEST_DATA!C5491</f>
        <v/>
      </c>
      <c r="D5491">
        <f>TEST_DATA!D5491</f>
        <v/>
      </c>
      <c r="E5491">
        <f>TEST_DATA!E5491</f>
        <v/>
      </c>
    </row>
    <row r="5492">
      <c r="A5492">
        <f>TEST_DATA!A5492</f>
        <v/>
      </c>
      <c r="B5492">
        <f>TEST_DATA!B5492</f>
        <v/>
      </c>
      <c r="C5492">
        <f>TEST_DATA!C5492</f>
        <v/>
      </c>
      <c r="D5492">
        <f>TEST_DATA!D5492</f>
        <v/>
      </c>
      <c r="E5492">
        <f>TEST_DATA!E5492</f>
        <v/>
      </c>
    </row>
    <row r="5493">
      <c r="A5493">
        <f>TEST_DATA!A5493</f>
        <v/>
      </c>
      <c r="B5493">
        <f>TEST_DATA!B5493</f>
        <v/>
      </c>
      <c r="C5493">
        <f>TEST_DATA!C5493</f>
        <v/>
      </c>
      <c r="D5493">
        <f>TEST_DATA!D5493</f>
        <v/>
      </c>
      <c r="E5493">
        <f>TEST_DATA!E5493</f>
        <v/>
      </c>
    </row>
    <row r="5494">
      <c r="A5494">
        <f>TEST_DATA!A5494</f>
        <v/>
      </c>
      <c r="B5494">
        <f>TEST_DATA!B5494</f>
        <v/>
      </c>
      <c r="C5494">
        <f>TEST_DATA!C5494</f>
        <v/>
      </c>
      <c r="D5494">
        <f>TEST_DATA!D5494</f>
        <v/>
      </c>
      <c r="E5494">
        <f>TEST_DATA!E5494</f>
        <v/>
      </c>
    </row>
    <row r="5495">
      <c r="A5495">
        <f>TEST_DATA!A5495</f>
        <v/>
      </c>
      <c r="B5495">
        <f>TEST_DATA!B5495</f>
        <v/>
      </c>
      <c r="C5495">
        <f>TEST_DATA!C5495</f>
        <v/>
      </c>
      <c r="D5495">
        <f>TEST_DATA!D5495</f>
        <v/>
      </c>
      <c r="E5495">
        <f>TEST_DATA!E5495</f>
        <v/>
      </c>
    </row>
    <row r="5496">
      <c r="A5496">
        <f>TEST_DATA!A5496</f>
        <v/>
      </c>
      <c r="B5496">
        <f>TEST_DATA!B5496</f>
        <v/>
      </c>
      <c r="C5496">
        <f>TEST_DATA!C5496</f>
        <v/>
      </c>
      <c r="D5496">
        <f>TEST_DATA!D5496</f>
        <v/>
      </c>
      <c r="E5496">
        <f>TEST_DATA!E5496</f>
        <v/>
      </c>
    </row>
    <row r="5497">
      <c r="A5497">
        <f>TEST_DATA!A5497</f>
        <v/>
      </c>
      <c r="B5497">
        <f>TEST_DATA!B5497</f>
        <v/>
      </c>
      <c r="C5497">
        <f>TEST_DATA!C5497</f>
        <v/>
      </c>
      <c r="D5497">
        <f>TEST_DATA!D5497</f>
        <v/>
      </c>
      <c r="E5497">
        <f>TEST_DATA!E5497</f>
        <v/>
      </c>
    </row>
    <row r="5498">
      <c r="A5498">
        <f>TEST_DATA!A5498</f>
        <v/>
      </c>
      <c r="B5498">
        <f>TEST_DATA!B5498</f>
        <v/>
      </c>
      <c r="C5498">
        <f>TEST_DATA!C5498</f>
        <v/>
      </c>
      <c r="D5498">
        <f>TEST_DATA!D5498</f>
        <v/>
      </c>
      <c r="E5498">
        <f>TEST_DATA!E5498</f>
        <v/>
      </c>
    </row>
    <row r="5499">
      <c r="A5499">
        <f>TEST_DATA!A5499</f>
        <v/>
      </c>
      <c r="B5499">
        <f>TEST_DATA!B5499</f>
        <v/>
      </c>
      <c r="C5499">
        <f>TEST_DATA!C5499</f>
        <v/>
      </c>
      <c r="D5499">
        <f>TEST_DATA!D5499</f>
        <v/>
      </c>
      <c r="E5499">
        <f>TEST_DATA!E5499</f>
        <v/>
      </c>
    </row>
    <row r="5500">
      <c r="A5500">
        <f>TEST_DATA!A5500</f>
        <v/>
      </c>
      <c r="B5500">
        <f>TEST_DATA!B5500</f>
        <v/>
      </c>
      <c r="C5500">
        <f>TEST_DATA!C5500</f>
        <v/>
      </c>
      <c r="D5500">
        <f>TEST_DATA!D5500</f>
        <v/>
      </c>
      <c r="E5500">
        <f>TEST_DATA!E5500</f>
        <v/>
      </c>
    </row>
    <row r="5501">
      <c r="A5501">
        <f>TEST_DATA!A5501</f>
        <v/>
      </c>
      <c r="B5501">
        <f>TEST_DATA!B5501</f>
        <v/>
      </c>
      <c r="C5501">
        <f>TEST_DATA!C5501</f>
        <v/>
      </c>
      <c r="D5501">
        <f>TEST_DATA!D5501</f>
        <v/>
      </c>
      <c r="E5501">
        <f>TEST_DATA!E5501</f>
        <v/>
      </c>
    </row>
    <row r="5502">
      <c r="A5502">
        <f>TEST_DATA!A5502</f>
        <v/>
      </c>
      <c r="B5502">
        <f>TEST_DATA!B5502</f>
        <v/>
      </c>
      <c r="C5502">
        <f>TEST_DATA!C5502</f>
        <v/>
      </c>
      <c r="D5502">
        <f>TEST_DATA!D5502</f>
        <v/>
      </c>
      <c r="E5502">
        <f>TEST_DATA!E5502</f>
        <v/>
      </c>
    </row>
    <row r="5503">
      <c r="A5503">
        <f>TEST_DATA!A5503</f>
        <v/>
      </c>
      <c r="B5503">
        <f>TEST_DATA!B5503</f>
        <v/>
      </c>
      <c r="C5503">
        <f>TEST_DATA!C5503</f>
        <v/>
      </c>
      <c r="D5503">
        <f>TEST_DATA!D5503</f>
        <v/>
      </c>
      <c r="E5503">
        <f>TEST_DATA!E5503</f>
        <v/>
      </c>
    </row>
    <row r="5504">
      <c r="A5504">
        <f>TEST_DATA!A5504</f>
        <v/>
      </c>
      <c r="B5504">
        <f>TEST_DATA!B5504</f>
        <v/>
      </c>
      <c r="C5504">
        <f>TEST_DATA!C5504</f>
        <v/>
      </c>
      <c r="D5504">
        <f>TEST_DATA!D5504</f>
        <v/>
      </c>
      <c r="E5504">
        <f>TEST_DATA!E5504</f>
        <v/>
      </c>
    </row>
    <row r="5505">
      <c r="A5505">
        <f>TEST_DATA!A5505</f>
        <v/>
      </c>
      <c r="B5505">
        <f>TEST_DATA!B5505</f>
        <v/>
      </c>
      <c r="C5505">
        <f>TEST_DATA!C5505</f>
        <v/>
      </c>
      <c r="D5505">
        <f>TEST_DATA!D5505</f>
        <v/>
      </c>
      <c r="E5505">
        <f>TEST_DATA!E5505</f>
        <v/>
      </c>
    </row>
    <row r="5506">
      <c r="A5506">
        <f>TEST_DATA!A5506</f>
        <v/>
      </c>
      <c r="B5506">
        <f>TEST_DATA!B5506</f>
        <v/>
      </c>
      <c r="C5506">
        <f>TEST_DATA!C5506</f>
        <v/>
      </c>
      <c r="D5506">
        <f>TEST_DATA!D5506</f>
        <v/>
      </c>
      <c r="E5506">
        <f>TEST_DATA!E5506</f>
        <v/>
      </c>
    </row>
    <row r="5507">
      <c r="A5507">
        <f>TEST_DATA!A5507</f>
        <v/>
      </c>
      <c r="B5507">
        <f>TEST_DATA!B5507</f>
        <v/>
      </c>
      <c r="C5507">
        <f>TEST_DATA!C5507</f>
        <v/>
      </c>
      <c r="D5507">
        <f>TEST_DATA!D5507</f>
        <v/>
      </c>
      <c r="E5507">
        <f>TEST_DATA!E5507</f>
        <v/>
      </c>
    </row>
    <row r="5508">
      <c r="A5508">
        <f>TEST_DATA!A5508</f>
        <v/>
      </c>
      <c r="B5508">
        <f>TEST_DATA!B5508</f>
        <v/>
      </c>
      <c r="C5508">
        <f>TEST_DATA!C5508</f>
        <v/>
      </c>
      <c r="D5508">
        <f>TEST_DATA!D5508</f>
        <v/>
      </c>
      <c r="E5508">
        <f>TEST_DATA!E5508</f>
        <v/>
      </c>
    </row>
    <row r="5509">
      <c r="A5509">
        <f>TEST_DATA!A5509</f>
        <v/>
      </c>
      <c r="B5509">
        <f>TEST_DATA!B5509</f>
        <v/>
      </c>
      <c r="C5509">
        <f>TEST_DATA!C5509</f>
        <v/>
      </c>
      <c r="D5509">
        <f>TEST_DATA!D5509</f>
        <v/>
      </c>
      <c r="E5509">
        <f>TEST_DATA!E5509</f>
        <v/>
      </c>
    </row>
    <row r="5510">
      <c r="A5510">
        <f>TEST_DATA!A5510</f>
        <v/>
      </c>
      <c r="B5510">
        <f>TEST_DATA!B5510</f>
        <v/>
      </c>
      <c r="C5510">
        <f>TEST_DATA!C5510</f>
        <v/>
      </c>
      <c r="D5510">
        <f>TEST_DATA!D5510</f>
        <v/>
      </c>
      <c r="E5510">
        <f>TEST_DATA!E5510</f>
        <v/>
      </c>
    </row>
    <row r="5511">
      <c r="A5511">
        <f>TEST_DATA!A5511</f>
        <v/>
      </c>
      <c r="B5511">
        <f>TEST_DATA!B5511</f>
        <v/>
      </c>
      <c r="C5511">
        <f>TEST_DATA!C5511</f>
        <v/>
      </c>
      <c r="D5511">
        <f>TEST_DATA!D5511</f>
        <v/>
      </c>
      <c r="E5511">
        <f>TEST_DATA!E5511</f>
        <v/>
      </c>
    </row>
    <row r="5512">
      <c r="A5512">
        <f>TEST_DATA!A5512</f>
        <v/>
      </c>
      <c r="B5512">
        <f>TEST_DATA!B5512</f>
        <v/>
      </c>
      <c r="C5512">
        <f>TEST_DATA!C5512</f>
        <v/>
      </c>
      <c r="D5512">
        <f>TEST_DATA!D5512</f>
        <v/>
      </c>
      <c r="E5512">
        <f>TEST_DATA!E5512</f>
        <v/>
      </c>
    </row>
    <row r="5513">
      <c r="A5513">
        <f>TEST_DATA!A5513</f>
        <v/>
      </c>
      <c r="B5513">
        <f>TEST_DATA!B5513</f>
        <v/>
      </c>
      <c r="C5513">
        <f>TEST_DATA!C5513</f>
        <v/>
      </c>
      <c r="D5513">
        <f>TEST_DATA!D5513</f>
        <v/>
      </c>
      <c r="E5513">
        <f>TEST_DATA!E5513</f>
        <v/>
      </c>
    </row>
    <row r="5514">
      <c r="A5514">
        <f>TEST_DATA!A5514</f>
        <v/>
      </c>
      <c r="B5514">
        <f>TEST_DATA!B5514</f>
        <v/>
      </c>
      <c r="C5514">
        <f>TEST_DATA!C5514</f>
        <v/>
      </c>
      <c r="D5514">
        <f>TEST_DATA!D5514</f>
        <v/>
      </c>
      <c r="E5514">
        <f>TEST_DATA!E5514</f>
        <v/>
      </c>
    </row>
    <row r="5515">
      <c r="A5515">
        <f>TEST_DATA!A5515</f>
        <v/>
      </c>
      <c r="B5515">
        <f>TEST_DATA!B5515</f>
        <v/>
      </c>
      <c r="C5515">
        <f>TEST_DATA!C5515</f>
        <v/>
      </c>
      <c r="D5515">
        <f>TEST_DATA!D5515</f>
        <v/>
      </c>
      <c r="E5515">
        <f>TEST_DATA!E5515</f>
        <v/>
      </c>
    </row>
    <row r="5516">
      <c r="A5516">
        <f>TEST_DATA!A5516</f>
        <v/>
      </c>
      <c r="B5516">
        <f>TEST_DATA!B5516</f>
        <v/>
      </c>
      <c r="C5516">
        <f>TEST_DATA!C5516</f>
        <v/>
      </c>
      <c r="D5516">
        <f>TEST_DATA!D5516</f>
        <v/>
      </c>
      <c r="E5516">
        <f>TEST_DATA!E5516</f>
        <v/>
      </c>
    </row>
    <row r="5517">
      <c r="A5517">
        <f>TEST_DATA!A5517</f>
        <v/>
      </c>
      <c r="B5517">
        <f>TEST_DATA!B5517</f>
        <v/>
      </c>
      <c r="C5517">
        <f>TEST_DATA!C5517</f>
        <v/>
      </c>
      <c r="D5517">
        <f>TEST_DATA!D5517</f>
        <v/>
      </c>
      <c r="E5517">
        <f>TEST_DATA!E5517</f>
        <v/>
      </c>
    </row>
    <row r="5518">
      <c r="A5518">
        <f>TEST_DATA!A5518</f>
        <v/>
      </c>
      <c r="B5518">
        <f>TEST_DATA!B5518</f>
        <v/>
      </c>
      <c r="C5518">
        <f>TEST_DATA!C5518</f>
        <v/>
      </c>
      <c r="D5518">
        <f>TEST_DATA!D5518</f>
        <v/>
      </c>
      <c r="E5518">
        <f>TEST_DATA!E5518</f>
        <v/>
      </c>
    </row>
    <row r="5519">
      <c r="A5519">
        <f>TEST_DATA!A5519</f>
        <v/>
      </c>
      <c r="B5519">
        <f>TEST_DATA!B5519</f>
        <v/>
      </c>
      <c r="C5519">
        <f>TEST_DATA!C5519</f>
        <v/>
      </c>
      <c r="D5519">
        <f>TEST_DATA!D5519</f>
        <v/>
      </c>
      <c r="E5519">
        <f>TEST_DATA!E5519</f>
        <v/>
      </c>
    </row>
    <row r="5520">
      <c r="A5520">
        <f>TEST_DATA!A5520</f>
        <v/>
      </c>
      <c r="B5520">
        <f>TEST_DATA!B5520</f>
        <v/>
      </c>
      <c r="C5520">
        <f>TEST_DATA!C5520</f>
        <v/>
      </c>
      <c r="D5520">
        <f>TEST_DATA!D5520</f>
        <v/>
      </c>
      <c r="E5520">
        <f>TEST_DATA!E5520</f>
        <v/>
      </c>
    </row>
    <row r="5521">
      <c r="A5521">
        <f>TEST_DATA!A5521</f>
        <v/>
      </c>
      <c r="B5521">
        <f>TEST_DATA!B5521</f>
        <v/>
      </c>
      <c r="C5521">
        <f>TEST_DATA!C5521</f>
        <v/>
      </c>
      <c r="D5521">
        <f>TEST_DATA!D5521</f>
        <v/>
      </c>
      <c r="E5521">
        <f>TEST_DATA!E5521</f>
        <v/>
      </c>
    </row>
    <row r="5522">
      <c r="A5522">
        <f>TEST_DATA!A5522</f>
        <v/>
      </c>
      <c r="B5522">
        <f>TEST_DATA!B5522</f>
        <v/>
      </c>
      <c r="C5522">
        <f>TEST_DATA!C5522</f>
        <v/>
      </c>
      <c r="D5522">
        <f>TEST_DATA!D5522</f>
        <v/>
      </c>
      <c r="E5522">
        <f>TEST_DATA!E5522</f>
        <v/>
      </c>
    </row>
    <row r="5523">
      <c r="A5523">
        <f>TEST_DATA!A5523</f>
        <v/>
      </c>
      <c r="B5523">
        <f>TEST_DATA!B5523</f>
        <v/>
      </c>
      <c r="C5523">
        <f>TEST_DATA!C5523</f>
        <v/>
      </c>
      <c r="D5523">
        <f>TEST_DATA!D5523</f>
        <v/>
      </c>
      <c r="E5523">
        <f>TEST_DATA!E5523</f>
        <v/>
      </c>
    </row>
    <row r="5524">
      <c r="A5524">
        <f>TEST_DATA!A5524</f>
        <v/>
      </c>
      <c r="B5524">
        <f>TEST_DATA!B5524</f>
        <v/>
      </c>
      <c r="C5524">
        <f>TEST_DATA!C5524</f>
        <v/>
      </c>
      <c r="D5524">
        <f>TEST_DATA!D5524</f>
        <v/>
      </c>
      <c r="E5524">
        <f>TEST_DATA!E5524</f>
        <v/>
      </c>
    </row>
    <row r="5525">
      <c r="A5525">
        <f>TEST_DATA!A5525</f>
        <v/>
      </c>
      <c r="B5525">
        <f>TEST_DATA!B5525</f>
        <v/>
      </c>
      <c r="C5525">
        <f>TEST_DATA!C5525</f>
        <v/>
      </c>
      <c r="D5525">
        <f>TEST_DATA!D5525</f>
        <v/>
      </c>
      <c r="E5525">
        <f>TEST_DATA!E5525</f>
        <v/>
      </c>
    </row>
    <row r="5526">
      <c r="A5526">
        <f>TEST_DATA!A5526</f>
        <v/>
      </c>
      <c r="B5526">
        <f>TEST_DATA!B5526</f>
        <v/>
      </c>
      <c r="C5526">
        <f>TEST_DATA!C5526</f>
        <v/>
      </c>
      <c r="D5526">
        <f>TEST_DATA!D5526</f>
        <v/>
      </c>
      <c r="E5526">
        <f>TEST_DATA!E5526</f>
        <v/>
      </c>
    </row>
    <row r="5527">
      <c r="A5527">
        <f>TEST_DATA!A5527</f>
        <v/>
      </c>
      <c r="B5527">
        <f>TEST_DATA!B5527</f>
        <v/>
      </c>
      <c r="C5527">
        <f>TEST_DATA!C5527</f>
        <v/>
      </c>
      <c r="D5527">
        <f>TEST_DATA!D5527</f>
        <v/>
      </c>
      <c r="E5527">
        <f>TEST_DATA!E5527</f>
        <v/>
      </c>
    </row>
    <row r="5528">
      <c r="A5528">
        <f>TEST_DATA!A5528</f>
        <v/>
      </c>
      <c r="B5528">
        <f>TEST_DATA!B5528</f>
        <v/>
      </c>
      <c r="C5528">
        <f>TEST_DATA!C5528</f>
        <v/>
      </c>
      <c r="D5528">
        <f>TEST_DATA!D5528</f>
        <v/>
      </c>
      <c r="E5528">
        <f>TEST_DATA!E5528</f>
        <v/>
      </c>
    </row>
    <row r="5529">
      <c r="A5529">
        <f>TEST_DATA!A5529</f>
        <v/>
      </c>
      <c r="B5529">
        <f>TEST_DATA!B5529</f>
        <v/>
      </c>
      <c r="C5529">
        <f>TEST_DATA!C5529</f>
        <v/>
      </c>
      <c r="D5529">
        <f>TEST_DATA!D5529</f>
        <v/>
      </c>
      <c r="E5529">
        <f>TEST_DATA!E5529</f>
        <v/>
      </c>
    </row>
    <row r="5530">
      <c r="A5530">
        <f>TEST_DATA!A5530</f>
        <v/>
      </c>
      <c r="B5530">
        <f>TEST_DATA!B5530</f>
        <v/>
      </c>
      <c r="C5530">
        <f>TEST_DATA!C5530</f>
        <v/>
      </c>
      <c r="D5530">
        <f>TEST_DATA!D5530</f>
        <v/>
      </c>
      <c r="E5530">
        <f>TEST_DATA!E5530</f>
        <v/>
      </c>
    </row>
    <row r="5531">
      <c r="A5531">
        <f>TEST_DATA!A5531</f>
        <v/>
      </c>
      <c r="B5531">
        <f>TEST_DATA!B5531</f>
        <v/>
      </c>
      <c r="C5531">
        <f>TEST_DATA!C5531</f>
        <v/>
      </c>
      <c r="D5531">
        <f>TEST_DATA!D5531</f>
        <v/>
      </c>
      <c r="E5531">
        <f>TEST_DATA!E5531</f>
        <v/>
      </c>
    </row>
    <row r="5532">
      <c r="A5532">
        <f>TEST_DATA!A5532</f>
        <v/>
      </c>
      <c r="B5532">
        <f>TEST_DATA!B5532</f>
        <v/>
      </c>
      <c r="C5532">
        <f>TEST_DATA!C5532</f>
        <v/>
      </c>
      <c r="D5532">
        <f>TEST_DATA!D5532</f>
        <v/>
      </c>
      <c r="E5532">
        <f>TEST_DATA!E5532</f>
        <v/>
      </c>
    </row>
    <row r="5533">
      <c r="A5533">
        <f>TEST_DATA!A5533</f>
        <v/>
      </c>
      <c r="B5533">
        <f>TEST_DATA!B5533</f>
        <v/>
      </c>
      <c r="C5533">
        <f>TEST_DATA!C5533</f>
        <v/>
      </c>
      <c r="D5533">
        <f>TEST_DATA!D5533</f>
        <v/>
      </c>
      <c r="E5533">
        <f>TEST_DATA!E5533</f>
        <v/>
      </c>
    </row>
    <row r="5534">
      <c r="A5534">
        <f>TEST_DATA!A5534</f>
        <v/>
      </c>
      <c r="B5534">
        <f>TEST_DATA!B5534</f>
        <v/>
      </c>
      <c r="C5534">
        <f>TEST_DATA!C5534</f>
        <v/>
      </c>
      <c r="D5534">
        <f>TEST_DATA!D5534</f>
        <v/>
      </c>
      <c r="E5534">
        <f>TEST_DATA!E5534</f>
        <v/>
      </c>
    </row>
    <row r="5535">
      <c r="A5535">
        <f>TEST_DATA!A5535</f>
        <v/>
      </c>
      <c r="B5535">
        <f>TEST_DATA!B5535</f>
        <v/>
      </c>
      <c r="C5535">
        <f>TEST_DATA!C5535</f>
        <v/>
      </c>
      <c r="D5535">
        <f>TEST_DATA!D5535</f>
        <v/>
      </c>
      <c r="E5535">
        <f>TEST_DATA!E5535</f>
        <v/>
      </c>
    </row>
    <row r="5536">
      <c r="A5536">
        <f>TEST_DATA!A5536</f>
        <v/>
      </c>
      <c r="B5536">
        <f>TEST_DATA!B5536</f>
        <v/>
      </c>
      <c r="C5536">
        <f>TEST_DATA!C5536</f>
        <v/>
      </c>
      <c r="D5536">
        <f>TEST_DATA!D5536</f>
        <v/>
      </c>
      <c r="E5536">
        <f>TEST_DATA!E5536</f>
        <v/>
      </c>
    </row>
    <row r="5537">
      <c r="A5537">
        <f>TEST_DATA!A5537</f>
        <v/>
      </c>
      <c r="B5537">
        <f>TEST_DATA!B5537</f>
        <v/>
      </c>
      <c r="C5537">
        <f>TEST_DATA!C5537</f>
        <v/>
      </c>
      <c r="D5537">
        <f>TEST_DATA!D5537</f>
        <v/>
      </c>
      <c r="E5537">
        <f>TEST_DATA!E5537</f>
        <v/>
      </c>
    </row>
    <row r="5538">
      <c r="A5538">
        <f>TEST_DATA!A5538</f>
        <v/>
      </c>
      <c r="B5538">
        <f>TEST_DATA!B5538</f>
        <v/>
      </c>
      <c r="C5538">
        <f>TEST_DATA!C5538</f>
        <v/>
      </c>
      <c r="D5538">
        <f>TEST_DATA!D5538</f>
        <v/>
      </c>
      <c r="E5538">
        <f>TEST_DATA!E5538</f>
        <v/>
      </c>
    </row>
    <row r="5539">
      <c r="A5539">
        <f>TEST_DATA!A5539</f>
        <v/>
      </c>
      <c r="B5539">
        <f>TEST_DATA!B5539</f>
        <v/>
      </c>
      <c r="C5539">
        <f>TEST_DATA!C5539</f>
        <v/>
      </c>
      <c r="D5539">
        <f>TEST_DATA!D5539</f>
        <v/>
      </c>
      <c r="E5539">
        <f>TEST_DATA!E5539</f>
        <v/>
      </c>
    </row>
    <row r="5540">
      <c r="A5540">
        <f>TEST_DATA!A5540</f>
        <v/>
      </c>
      <c r="B5540">
        <f>TEST_DATA!B5540</f>
        <v/>
      </c>
      <c r="C5540">
        <f>TEST_DATA!C5540</f>
        <v/>
      </c>
      <c r="D5540">
        <f>TEST_DATA!D5540</f>
        <v/>
      </c>
      <c r="E5540">
        <f>TEST_DATA!E5540</f>
        <v/>
      </c>
    </row>
    <row r="5541">
      <c r="A5541">
        <f>TEST_DATA!A5541</f>
        <v/>
      </c>
      <c r="B5541">
        <f>TEST_DATA!B5541</f>
        <v/>
      </c>
      <c r="C5541">
        <f>TEST_DATA!C5541</f>
        <v/>
      </c>
      <c r="D5541">
        <f>TEST_DATA!D5541</f>
        <v/>
      </c>
      <c r="E5541">
        <f>TEST_DATA!E5541</f>
        <v/>
      </c>
    </row>
    <row r="5542">
      <c r="A5542">
        <f>TEST_DATA!A5542</f>
        <v/>
      </c>
      <c r="B5542">
        <f>TEST_DATA!B5542</f>
        <v/>
      </c>
      <c r="C5542">
        <f>TEST_DATA!C5542</f>
        <v/>
      </c>
      <c r="D5542">
        <f>TEST_DATA!D5542</f>
        <v/>
      </c>
      <c r="E5542">
        <f>TEST_DATA!E5542</f>
        <v/>
      </c>
    </row>
    <row r="5543">
      <c r="A5543">
        <f>TEST_DATA!A5543</f>
        <v/>
      </c>
      <c r="B5543">
        <f>TEST_DATA!B5543</f>
        <v/>
      </c>
      <c r="C5543">
        <f>TEST_DATA!C5543</f>
        <v/>
      </c>
      <c r="D5543">
        <f>TEST_DATA!D5543</f>
        <v/>
      </c>
      <c r="E5543">
        <f>TEST_DATA!E5543</f>
        <v/>
      </c>
    </row>
    <row r="5544">
      <c r="A5544">
        <f>TEST_DATA!A5544</f>
        <v/>
      </c>
      <c r="B5544">
        <f>TEST_DATA!B5544</f>
        <v/>
      </c>
      <c r="C5544">
        <f>TEST_DATA!C5544</f>
        <v/>
      </c>
      <c r="D5544">
        <f>TEST_DATA!D5544</f>
        <v/>
      </c>
      <c r="E5544">
        <f>TEST_DATA!E5544</f>
        <v/>
      </c>
    </row>
    <row r="5545">
      <c r="A5545">
        <f>TEST_DATA!A5545</f>
        <v/>
      </c>
      <c r="B5545">
        <f>TEST_DATA!B5545</f>
        <v/>
      </c>
      <c r="C5545">
        <f>TEST_DATA!C5545</f>
        <v/>
      </c>
      <c r="D5545">
        <f>TEST_DATA!D5545</f>
        <v/>
      </c>
      <c r="E5545">
        <f>TEST_DATA!E5545</f>
        <v/>
      </c>
    </row>
    <row r="5546">
      <c r="A5546">
        <f>TEST_DATA!A5546</f>
        <v/>
      </c>
      <c r="B5546">
        <f>TEST_DATA!B5546</f>
        <v/>
      </c>
      <c r="C5546">
        <f>TEST_DATA!C5546</f>
        <v/>
      </c>
      <c r="D5546">
        <f>TEST_DATA!D5546</f>
        <v/>
      </c>
      <c r="E5546">
        <f>TEST_DATA!E5546</f>
        <v/>
      </c>
    </row>
    <row r="5547">
      <c r="A5547">
        <f>TEST_DATA!A5547</f>
        <v/>
      </c>
      <c r="B5547">
        <f>TEST_DATA!B5547</f>
        <v/>
      </c>
      <c r="C5547">
        <f>TEST_DATA!C5547</f>
        <v/>
      </c>
      <c r="D5547">
        <f>TEST_DATA!D5547</f>
        <v/>
      </c>
      <c r="E5547">
        <f>TEST_DATA!E5547</f>
        <v/>
      </c>
    </row>
    <row r="5548">
      <c r="A5548">
        <f>TEST_DATA!A5548</f>
        <v/>
      </c>
      <c r="B5548">
        <f>TEST_DATA!B5548</f>
        <v/>
      </c>
      <c r="C5548">
        <f>TEST_DATA!C5548</f>
        <v/>
      </c>
      <c r="D5548">
        <f>TEST_DATA!D5548</f>
        <v/>
      </c>
      <c r="E5548">
        <f>TEST_DATA!E5548</f>
        <v/>
      </c>
    </row>
    <row r="5549">
      <c r="A5549">
        <f>TEST_DATA!A5549</f>
        <v/>
      </c>
      <c r="B5549">
        <f>TEST_DATA!B5549</f>
        <v/>
      </c>
      <c r="C5549">
        <f>TEST_DATA!C5549</f>
        <v/>
      </c>
      <c r="D5549">
        <f>TEST_DATA!D5549</f>
        <v/>
      </c>
      <c r="E5549">
        <f>TEST_DATA!E5549</f>
        <v/>
      </c>
    </row>
    <row r="5550">
      <c r="A5550">
        <f>TEST_DATA!A5550</f>
        <v/>
      </c>
      <c r="B5550">
        <f>TEST_DATA!B5550</f>
        <v/>
      </c>
      <c r="C5550">
        <f>TEST_DATA!C5550</f>
        <v/>
      </c>
      <c r="D5550">
        <f>TEST_DATA!D5550</f>
        <v/>
      </c>
      <c r="E5550">
        <f>TEST_DATA!E5550</f>
        <v/>
      </c>
    </row>
    <row r="5551">
      <c r="A5551">
        <f>TEST_DATA!A5551</f>
        <v/>
      </c>
      <c r="B5551">
        <f>TEST_DATA!B5551</f>
        <v/>
      </c>
      <c r="C5551">
        <f>TEST_DATA!C5551</f>
        <v/>
      </c>
      <c r="D5551">
        <f>TEST_DATA!D5551</f>
        <v/>
      </c>
      <c r="E5551">
        <f>TEST_DATA!E5551</f>
        <v/>
      </c>
    </row>
    <row r="5552">
      <c r="A5552">
        <f>TEST_DATA!A5552</f>
        <v/>
      </c>
      <c r="B5552">
        <f>TEST_DATA!B5552</f>
        <v/>
      </c>
      <c r="C5552">
        <f>TEST_DATA!C5552</f>
        <v/>
      </c>
      <c r="D5552">
        <f>TEST_DATA!D5552</f>
        <v/>
      </c>
      <c r="E5552">
        <f>TEST_DATA!E5552</f>
        <v/>
      </c>
    </row>
    <row r="5553">
      <c r="A5553">
        <f>TEST_DATA!A5553</f>
        <v/>
      </c>
      <c r="B5553">
        <f>TEST_DATA!B5553</f>
        <v/>
      </c>
      <c r="C5553">
        <f>TEST_DATA!C5553</f>
        <v/>
      </c>
      <c r="D5553">
        <f>TEST_DATA!D5553</f>
        <v/>
      </c>
      <c r="E5553">
        <f>TEST_DATA!E5553</f>
        <v/>
      </c>
    </row>
    <row r="5554">
      <c r="A5554">
        <f>TEST_DATA!A5554</f>
        <v/>
      </c>
      <c r="B5554">
        <f>TEST_DATA!B5554</f>
        <v/>
      </c>
      <c r="C5554">
        <f>TEST_DATA!C5554</f>
        <v/>
      </c>
      <c r="D5554">
        <f>TEST_DATA!D5554</f>
        <v/>
      </c>
      <c r="E5554">
        <f>TEST_DATA!E5554</f>
        <v/>
      </c>
    </row>
    <row r="5555">
      <c r="A5555">
        <f>TEST_DATA!A5555</f>
        <v/>
      </c>
      <c r="B5555">
        <f>TEST_DATA!B5555</f>
        <v/>
      </c>
      <c r="C5555">
        <f>TEST_DATA!C5555</f>
        <v/>
      </c>
      <c r="D5555">
        <f>TEST_DATA!D5555</f>
        <v/>
      </c>
      <c r="E5555">
        <f>TEST_DATA!E5555</f>
        <v/>
      </c>
    </row>
    <row r="5556">
      <c r="A5556">
        <f>TEST_DATA!A5556</f>
        <v/>
      </c>
      <c r="B5556">
        <f>TEST_DATA!B5556</f>
        <v/>
      </c>
      <c r="C5556">
        <f>TEST_DATA!C5556</f>
        <v/>
      </c>
      <c r="D5556">
        <f>TEST_DATA!D5556</f>
        <v/>
      </c>
      <c r="E5556">
        <f>TEST_DATA!E5556</f>
        <v/>
      </c>
    </row>
    <row r="5557">
      <c r="A5557">
        <f>TEST_DATA!A5557</f>
        <v/>
      </c>
      <c r="B5557">
        <f>TEST_DATA!B5557</f>
        <v/>
      </c>
      <c r="C5557">
        <f>TEST_DATA!C5557</f>
        <v/>
      </c>
      <c r="D5557">
        <f>TEST_DATA!D5557</f>
        <v/>
      </c>
      <c r="E5557">
        <f>TEST_DATA!E5557</f>
        <v/>
      </c>
    </row>
    <row r="5558">
      <c r="A5558">
        <f>TEST_DATA!A5558</f>
        <v/>
      </c>
      <c r="B5558">
        <f>TEST_DATA!B5558</f>
        <v/>
      </c>
      <c r="C5558">
        <f>TEST_DATA!C5558</f>
        <v/>
      </c>
      <c r="D5558">
        <f>TEST_DATA!D5558</f>
        <v/>
      </c>
      <c r="E5558">
        <f>TEST_DATA!E5558</f>
        <v/>
      </c>
    </row>
    <row r="5559">
      <c r="A5559">
        <f>TEST_DATA!A5559</f>
        <v/>
      </c>
      <c r="B5559">
        <f>TEST_DATA!B5559</f>
        <v/>
      </c>
      <c r="C5559">
        <f>TEST_DATA!C5559</f>
        <v/>
      </c>
      <c r="D5559">
        <f>TEST_DATA!D5559</f>
        <v/>
      </c>
      <c r="E5559">
        <f>TEST_DATA!E5559</f>
        <v/>
      </c>
    </row>
    <row r="5560">
      <c r="A5560">
        <f>TEST_DATA!A5560</f>
        <v/>
      </c>
      <c r="B5560">
        <f>TEST_DATA!B5560</f>
        <v/>
      </c>
      <c r="C5560">
        <f>TEST_DATA!C5560</f>
        <v/>
      </c>
      <c r="D5560">
        <f>TEST_DATA!D5560</f>
        <v/>
      </c>
      <c r="E5560">
        <f>TEST_DATA!E5560</f>
        <v/>
      </c>
    </row>
    <row r="5561">
      <c r="A5561">
        <f>TEST_DATA!A5561</f>
        <v/>
      </c>
      <c r="B5561">
        <f>TEST_DATA!B5561</f>
        <v/>
      </c>
      <c r="C5561">
        <f>TEST_DATA!C5561</f>
        <v/>
      </c>
      <c r="D5561">
        <f>TEST_DATA!D5561</f>
        <v/>
      </c>
      <c r="E5561">
        <f>TEST_DATA!E5561</f>
        <v/>
      </c>
    </row>
    <row r="5562">
      <c r="A5562">
        <f>TEST_DATA!A5562</f>
        <v/>
      </c>
      <c r="B5562">
        <f>TEST_DATA!B5562</f>
        <v/>
      </c>
      <c r="C5562">
        <f>TEST_DATA!C5562</f>
        <v/>
      </c>
      <c r="D5562">
        <f>TEST_DATA!D5562</f>
        <v/>
      </c>
      <c r="E5562">
        <f>TEST_DATA!E5562</f>
        <v/>
      </c>
    </row>
    <row r="5563">
      <c r="A5563">
        <f>TEST_DATA!A5563</f>
        <v/>
      </c>
      <c r="B5563">
        <f>TEST_DATA!B5563</f>
        <v/>
      </c>
      <c r="C5563">
        <f>TEST_DATA!C5563</f>
        <v/>
      </c>
      <c r="D5563">
        <f>TEST_DATA!D5563</f>
        <v/>
      </c>
      <c r="E5563">
        <f>TEST_DATA!E5563</f>
        <v/>
      </c>
    </row>
    <row r="5564">
      <c r="A5564">
        <f>TEST_DATA!A5564</f>
        <v/>
      </c>
      <c r="B5564">
        <f>TEST_DATA!B5564</f>
        <v/>
      </c>
      <c r="C5564">
        <f>TEST_DATA!C5564</f>
        <v/>
      </c>
      <c r="D5564">
        <f>TEST_DATA!D5564</f>
        <v/>
      </c>
      <c r="E5564">
        <f>TEST_DATA!E5564</f>
        <v/>
      </c>
    </row>
    <row r="5565">
      <c r="A5565">
        <f>TEST_DATA!A5565</f>
        <v/>
      </c>
      <c r="B5565">
        <f>TEST_DATA!B5565</f>
        <v/>
      </c>
      <c r="C5565">
        <f>TEST_DATA!C5565</f>
        <v/>
      </c>
      <c r="D5565">
        <f>TEST_DATA!D5565</f>
        <v/>
      </c>
      <c r="E5565">
        <f>TEST_DATA!E5565</f>
        <v/>
      </c>
    </row>
    <row r="5566">
      <c r="A5566">
        <f>TEST_DATA!A5566</f>
        <v/>
      </c>
      <c r="B5566">
        <f>TEST_DATA!B5566</f>
        <v/>
      </c>
      <c r="C5566">
        <f>TEST_DATA!C5566</f>
        <v/>
      </c>
      <c r="D5566">
        <f>TEST_DATA!D5566</f>
        <v/>
      </c>
      <c r="E5566">
        <f>TEST_DATA!E5566</f>
        <v/>
      </c>
    </row>
    <row r="5567">
      <c r="A5567">
        <f>TEST_DATA!A5567</f>
        <v/>
      </c>
      <c r="B5567">
        <f>TEST_DATA!B5567</f>
        <v/>
      </c>
      <c r="C5567">
        <f>TEST_DATA!C5567</f>
        <v/>
      </c>
      <c r="D5567">
        <f>TEST_DATA!D5567</f>
        <v/>
      </c>
      <c r="E5567">
        <f>TEST_DATA!E5567</f>
        <v/>
      </c>
    </row>
    <row r="5568">
      <c r="A5568">
        <f>TEST_DATA!A5568</f>
        <v/>
      </c>
      <c r="B5568">
        <f>TEST_DATA!B5568</f>
        <v/>
      </c>
      <c r="C5568">
        <f>TEST_DATA!C5568</f>
        <v/>
      </c>
      <c r="D5568">
        <f>TEST_DATA!D5568</f>
        <v/>
      </c>
      <c r="E5568">
        <f>TEST_DATA!E5568</f>
        <v/>
      </c>
    </row>
    <row r="5569">
      <c r="A5569">
        <f>TEST_DATA!A5569</f>
        <v/>
      </c>
      <c r="B5569">
        <f>TEST_DATA!B5569</f>
        <v/>
      </c>
      <c r="C5569">
        <f>TEST_DATA!C5569</f>
        <v/>
      </c>
      <c r="D5569">
        <f>TEST_DATA!D5569</f>
        <v/>
      </c>
      <c r="E5569">
        <f>TEST_DATA!E5569</f>
        <v/>
      </c>
    </row>
    <row r="5570">
      <c r="A5570">
        <f>TEST_DATA!A5570</f>
        <v/>
      </c>
      <c r="B5570">
        <f>TEST_DATA!B5570</f>
        <v/>
      </c>
      <c r="C5570">
        <f>TEST_DATA!C5570</f>
        <v/>
      </c>
      <c r="D5570">
        <f>TEST_DATA!D5570</f>
        <v/>
      </c>
      <c r="E5570">
        <f>TEST_DATA!E5570</f>
        <v/>
      </c>
    </row>
    <row r="5571">
      <c r="A5571">
        <f>TEST_DATA!A5571</f>
        <v/>
      </c>
      <c r="B5571">
        <f>TEST_DATA!B5571</f>
        <v/>
      </c>
      <c r="C5571">
        <f>TEST_DATA!C5571</f>
        <v/>
      </c>
      <c r="D5571">
        <f>TEST_DATA!D5571</f>
        <v/>
      </c>
      <c r="E5571">
        <f>TEST_DATA!E5571</f>
        <v/>
      </c>
    </row>
    <row r="5572">
      <c r="A5572">
        <f>TEST_DATA!A5572</f>
        <v/>
      </c>
      <c r="B5572">
        <f>TEST_DATA!B5572</f>
        <v/>
      </c>
      <c r="C5572">
        <f>TEST_DATA!C5572</f>
        <v/>
      </c>
      <c r="D5572">
        <f>TEST_DATA!D5572</f>
        <v/>
      </c>
      <c r="E5572">
        <f>TEST_DATA!E5572</f>
        <v/>
      </c>
    </row>
    <row r="5573">
      <c r="A5573">
        <f>TEST_DATA!A5573</f>
        <v/>
      </c>
      <c r="B5573">
        <f>TEST_DATA!B5573</f>
        <v/>
      </c>
      <c r="C5573">
        <f>TEST_DATA!C5573</f>
        <v/>
      </c>
      <c r="D5573">
        <f>TEST_DATA!D5573</f>
        <v/>
      </c>
      <c r="E5573">
        <f>TEST_DATA!E5573</f>
        <v/>
      </c>
    </row>
    <row r="5574">
      <c r="A5574">
        <f>TEST_DATA!A5574</f>
        <v/>
      </c>
      <c r="B5574">
        <f>TEST_DATA!B5574</f>
        <v/>
      </c>
      <c r="C5574">
        <f>TEST_DATA!C5574</f>
        <v/>
      </c>
      <c r="D5574">
        <f>TEST_DATA!D5574</f>
        <v/>
      </c>
      <c r="E5574">
        <f>TEST_DATA!E5574</f>
        <v/>
      </c>
    </row>
    <row r="5575">
      <c r="A5575">
        <f>TEST_DATA!A5575</f>
        <v/>
      </c>
      <c r="B5575">
        <f>TEST_DATA!B5575</f>
        <v/>
      </c>
      <c r="C5575">
        <f>TEST_DATA!C5575</f>
        <v/>
      </c>
      <c r="D5575">
        <f>TEST_DATA!D5575</f>
        <v/>
      </c>
      <c r="E5575">
        <f>TEST_DATA!E5575</f>
        <v/>
      </c>
    </row>
    <row r="5576">
      <c r="A5576">
        <f>TEST_DATA!A5576</f>
        <v/>
      </c>
      <c r="B5576">
        <f>TEST_DATA!B5576</f>
        <v/>
      </c>
      <c r="C5576">
        <f>TEST_DATA!C5576</f>
        <v/>
      </c>
      <c r="D5576">
        <f>TEST_DATA!D5576</f>
        <v/>
      </c>
      <c r="E5576">
        <f>TEST_DATA!E5576</f>
        <v/>
      </c>
    </row>
    <row r="5577">
      <c r="A5577">
        <f>TEST_DATA!A5577</f>
        <v/>
      </c>
      <c r="B5577">
        <f>TEST_DATA!B5577</f>
        <v/>
      </c>
      <c r="C5577">
        <f>TEST_DATA!C5577</f>
        <v/>
      </c>
      <c r="D5577">
        <f>TEST_DATA!D5577</f>
        <v/>
      </c>
      <c r="E5577">
        <f>TEST_DATA!E5577</f>
        <v/>
      </c>
    </row>
    <row r="5578">
      <c r="A5578">
        <f>TEST_DATA!A5578</f>
        <v/>
      </c>
      <c r="B5578">
        <f>TEST_DATA!B5578</f>
        <v/>
      </c>
      <c r="C5578">
        <f>TEST_DATA!C5578</f>
        <v/>
      </c>
      <c r="D5578">
        <f>TEST_DATA!D5578</f>
        <v/>
      </c>
      <c r="E5578">
        <f>TEST_DATA!E5578</f>
        <v/>
      </c>
    </row>
    <row r="5579">
      <c r="A5579">
        <f>TEST_DATA!A5579</f>
        <v/>
      </c>
      <c r="B5579">
        <f>TEST_DATA!B5579</f>
        <v/>
      </c>
      <c r="C5579">
        <f>TEST_DATA!C5579</f>
        <v/>
      </c>
      <c r="D5579">
        <f>TEST_DATA!D5579</f>
        <v/>
      </c>
      <c r="E5579">
        <f>TEST_DATA!E5579</f>
        <v/>
      </c>
    </row>
    <row r="5580">
      <c r="A5580">
        <f>TEST_DATA!A5580</f>
        <v/>
      </c>
      <c r="B5580">
        <f>TEST_DATA!B5580</f>
        <v/>
      </c>
      <c r="C5580">
        <f>TEST_DATA!C5580</f>
        <v/>
      </c>
      <c r="D5580">
        <f>TEST_DATA!D5580</f>
        <v/>
      </c>
      <c r="E5580">
        <f>TEST_DATA!E5580</f>
        <v/>
      </c>
    </row>
    <row r="5581">
      <c r="A5581">
        <f>TEST_DATA!A5581</f>
        <v/>
      </c>
      <c r="B5581">
        <f>TEST_DATA!B5581</f>
        <v/>
      </c>
      <c r="C5581">
        <f>TEST_DATA!C5581</f>
        <v/>
      </c>
      <c r="D5581">
        <f>TEST_DATA!D5581</f>
        <v/>
      </c>
      <c r="E5581">
        <f>TEST_DATA!E5581</f>
        <v/>
      </c>
    </row>
    <row r="5582">
      <c r="A5582">
        <f>TEST_DATA!A5582</f>
        <v/>
      </c>
      <c r="B5582">
        <f>TEST_DATA!B5582</f>
        <v/>
      </c>
      <c r="C5582">
        <f>TEST_DATA!C5582</f>
        <v/>
      </c>
      <c r="D5582">
        <f>TEST_DATA!D5582</f>
        <v/>
      </c>
      <c r="E5582">
        <f>TEST_DATA!E5582</f>
        <v/>
      </c>
    </row>
    <row r="5583">
      <c r="A5583">
        <f>TEST_DATA!A5583</f>
        <v/>
      </c>
      <c r="B5583">
        <f>TEST_DATA!B5583</f>
        <v/>
      </c>
      <c r="C5583">
        <f>TEST_DATA!C5583</f>
        <v/>
      </c>
      <c r="D5583">
        <f>TEST_DATA!D5583</f>
        <v/>
      </c>
      <c r="E5583">
        <f>TEST_DATA!E5583</f>
        <v/>
      </c>
    </row>
    <row r="5584">
      <c r="A5584">
        <f>TEST_DATA!A5584</f>
        <v/>
      </c>
      <c r="B5584">
        <f>TEST_DATA!B5584</f>
        <v/>
      </c>
      <c r="C5584">
        <f>TEST_DATA!C5584</f>
        <v/>
      </c>
      <c r="D5584">
        <f>TEST_DATA!D5584</f>
        <v/>
      </c>
      <c r="E5584">
        <f>TEST_DATA!E5584</f>
        <v/>
      </c>
    </row>
    <row r="5585">
      <c r="A5585">
        <f>TEST_DATA!A5585</f>
        <v/>
      </c>
      <c r="B5585">
        <f>TEST_DATA!B5585</f>
        <v/>
      </c>
      <c r="C5585">
        <f>TEST_DATA!C5585</f>
        <v/>
      </c>
      <c r="D5585">
        <f>TEST_DATA!D5585</f>
        <v/>
      </c>
      <c r="E5585">
        <f>TEST_DATA!E5585</f>
        <v/>
      </c>
    </row>
    <row r="5586">
      <c r="A5586">
        <f>TEST_DATA!A5586</f>
        <v/>
      </c>
      <c r="B5586">
        <f>TEST_DATA!B5586</f>
        <v/>
      </c>
      <c r="C5586">
        <f>TEST_DATA!C5586</f>
        <v/>
      </c>
      <c r="D5586">
        <f>TEST_DATA!D5586</f>
        <v/>
      </c>
      <c r="E5586">
        <f>TEST_DATA!E5586</f>
        <v/>
      </c>
    </row>
    <row r="5587">
      <c r="A5587">
        <f>TEST_DATA!A5587</f>
        <v/>
      </c>
      <c r="B5587">
        <f>TEST_DATA!B5587</f>
        <v/>
      </c>
      <c r="C5587">
        <f>TEST_DATA!C5587</f>
        <v/>
      </c>
      <c r="D5587">
        <f>TEST_DATA!D5587</f>
        <v/>
      </c>
      <c r="E5587">
        <f>TEST_DATA!E5587</f>
        <v/>
      </c>
    </row>
    <row r="5588">
      <c r="A5588">
        <f>TEST_DATA!A5588</f>
        <v/>
      </c>
      <c r="B5588">
        <f>TEST_DATA!B5588</f>
        <v/>
      </c>
      <c r="C5588">
        <f>TEST_DATA!C5588</f>
        <v/>
      </c>
      <c r="D5588">
        <f>TEST_DATA!D5588</f>
        <v/>
      </c>
      <c r="E5588">
        <f>TEST_DATA!E5588</f>
        <v/>
      </c>
    </row>
    <row r="5589">
      <c r="A5589">
        <f>TEST_DATA!A5589</f>
        <v/>
      </c>
      <c r="B5589">
        <f>TEST_DATA!B5589</f>
        <v/>
      </c>
      <c r="C5589">
        <f>TEST_DATA!C5589</f>
        <v/>
      </c>
      <c r="D5589">
        <f>TEST_DATA!D5589</f>
        <v/>
      </c>
      <c r="E5589">
        <f>TEST_DATA!E5589</f>
        <v/>
      </c>
    </row>
    <row r="5590">
      <c r="A5590">
        <f>TEST_DATA!A5590</f>
        <v/>
      </c>
      <c r="B5590">
        <f>TEST_DATA!B5590</f>
        <v/>
      </c>
      <c r="C5590">
        <f>TEST_DATA!C5590</f>
        <v/>
      </c>
      <c r="D5590">
        <f>TEST_DATA!D5590</f>
        <v/>
      </c>
      <c r="E5590">
        <f>TEST_DATA!E5590</f>
        <v/>
      </c>
    </row>
    <row r="5591">
      <c r="A5591">
        <f>TEST_DATA!A5591</f>
        <v/>
      </c>
      <c r="B5591">
        <f>TEST_DATA!B5591</f>
        <v/>
      </c>
      <c r="C5591">
        <f>TEST_DATA!C5591</f>
        <v/>
      </c>
      <c r="D5591">
        <f>TEST_DATA!D5591</f>
        <v/>
      </c>
      <c r="E5591">
        <f>TEST_DATA!E5591</f>
        <v/>
      </c>
    </row>
    <row r="5592">
      <c r="A5592">
        <f>TEST_DATA!A5592</f>
        <v/>
      </c>
      <c r="B5592">
        <f>TEST_DATA!B5592</f>
        <v/>
      </c>
      <c r="C5592">
        <f>TEST_DATA!C5592</f>
        <v/>
      </c>
      <c r="D5592">
        <f>TEST_DATA!D5592</f>
        <v/>
      </c>
      <c r="E5592">
        <f>TEST_DATA!E5592</f>
        <v/>
      </c>
    </row>
    <row r="5593">
      <c r="A5593">
        <f>TEST_DATA!A5593</f>
        <v/>
      </c>
      <c r="B5593">
        <f>TEST_DATA!B5593</f>
        <v/>
      </c>
      <c r="C5593">
        <f>TEST_DATA!C5593</f>
        <v/>
      </c>
      <c r="D5593">
        <f>TEST_DATA!D5593</f>
        <v/>
      </c>
      <c r="E5593">
        <f>TEST_DATA!E5593</f>
        <v/>
      </c>
    </row>
    <row r="5594">
      <c r="A5594">
        <f>TEST_DATA!A5594</f>
        <v/>
      </c>
      <c r="B5594">
        <f>TEST_DATA!B5594</f>
        <v/>
      </c>
      <c r="C5594">
        <f>TEST_DATA!C5594</f>
        <v/>
      </c>
      <c r="D5594">
        <f>TEST_DATA!D5594</f>
        <v/>
      </c>
      <c r="E5594">
        <f>TEST_DATA!E5594</f>
        <v/>
      </c>
    </row>
    <row r="5595">
      <c r="A5595">
        <f>TEST_DATA!A5595</f>
        <v/>
      </c>
      <c r="B5595">
        <f>TEST_DATA!B5595</f>
        <v/>
      </c>
      <c r="C5595">
        <f>TEST_DATA!C5595</f>
        <v/>
      </c>
      <c r="D5595">
        <f>TEST_DATA!D5595</f>
        <v/>
      </c>
      <c r="E5595">
        <f>TEST_DATA!E5595</f>
        <v/>
      </c>
    </row>
    <row r="5596">
      <c r="A5596">
        <f>TEST_DATA!A5596</f>
        <v/>
      </c>
      <c r="B5596">
        <f>TEST_DATA!B5596</f>
        <v/>
      </c>
      <c r="C5596">
        <f>TEST_DATA!C5596</f>
        <v/>
      </c>
      <c r="D5596">
        <f>TEST_DATA!D5596</f>
        <v/>
      </c>
      <c r="E5596">
        <f>TEST_DATA!E5596</f>
        <v/>
      </c>
    </row>
    <row r="5597">
      <c r="A5597">
        <f>TEST_DATA!A5597</f>
        <v/>
      </c>
      <c r="B5597">
        <f>TEST_DATA!B5597</f>
        <v/>
      </c>
      <c r="C5597">
        <f>TEST_DATA!C5597</f>
        <v/>
      </c>
      <c r="D5597">
        <f>TEST_DATA!D5597</f>
        <v/>
      </c>
      <c r="E5597">
        <f>TEST_DATA!E5597</f>
        <v/>
      </c>
    </row>
    <row r="5598">
      <c r="A5598">
        <f>TEST_DATA!A5598</f>
        <v/>
      </c>
      <c r="B5598">
        <f>TEST_DATA!B5598</f>
        <v/>
      </c>
      <c r="C5598">
        <f>TEST_DATA!C5598</f>
        <v/>
      </c>
      <c r="D5598">
        <f>TEST_DATA!D5598</f>
        <v/>
      </c>
      <c r="E5598">
        <f>TEST_DATA!E5598</f>
        <v/>
      </c>
    </row>
    <row r="5599">
      <c r="A5599">
        <f>TEST_DATA!A5599</f>
        <v/>
      </c>
      <c r="B5599">
        <f>TEST_DATA!B5599</f>
        <v/>
      </c>
      <c r="C5599">
        <f>TEST_DATA!C5599</f>
        <v/>
      </c>
      <c r="D5599">
        <f>TEST_DATA!D5599</f>
        <v/>
      </c>
      <c r="E5599">
        <f>TEST_DATA!E5599</f>
        <v/>
      </c>
    </row>
    <row r="5600">
      <c r="A5600">
        <f>TEST_DATA!A5600</f>
        <v/>
      </c>
      <c r="B5600">
        <f>TEST_DATA!B5600</f>
        <v/>
      </c>
      <c r="C5600">
        <f>TEST_DATA!C5600</f>
        <v/>
      </c>
      <c r="D5600">
        <f>TEST_DATA!D5600</f>
        <v/>
      </c>
      <c r="E5600">
        <f>TEST_DATA!E5600</f>
        <v/>
      </c>
    </row>
    <row r="5601">
      <c r="A5601">
        <f>TEST_DATA!A5601</f>
        <v/>
      </c>
      <c r="B5601">
        <f>TEST_DATA!B5601</f>
        <v/>
      </c>
      <c r="C5601">
        <f>TEST_DATA!C5601</f>
        <v/>
      </c>
      <c r="D5601">
        <f>TEST_DATA!D5601</f>
        <v/>
      </c>
      <c r="E5601">
        <f>TEST_DATA!E5601</f>
        <v/>
      </c>
    </row>
    <row r="5602">
      <c r="A5602">
        <f>TEST_DATA!A5602</f>
        <v/>
      </c>
      <c r="B5602">
        <f>TEST_DATA!B5602</f>
        <v/>
      </c>
      <c r="C5602">
        <f>TEST_DATA!C5602</f>
        <v/>
      </c>
      <c r="D5602">
        <f>TEST_DATA!D5602</f>
        <v/>
      </c>
      <c r="E5602">
        <f>TEST_DATA!E5602</f>
        <v/>
      </c>
    </row>
    <row r="5603">
      <c r="A5603">
        <f>TEST_DATA!A5603</f>
        <v/>
      </c>
      <c r="B5603">
        <f>TEST_DATA!B5603</f>
        <v/>
      </c>
      <c r="C5603">
        <f>TEST_DATA!C5603</f>
        <v/>
      </c>
      <c r="D5603">
        <f>TEST_DATA!D5603</f>
        <v/>
      </c>
      <c r="E5603">
        <f>TEST_DATA!E5603</f>
        <v/>
      </c>
    </row>
    <row r="5604">
      <c r="A5604">
        <f>TEST_DATA!A5604</f>
        <v/>
      </c>
      <c r="B5604">
        <f>TEST_DATA!B5604</f>
        <v/>
      </c>
      <c r="C5604">
        <f>TEST_DATA!C5604</f>
        <v/>
      </c>
      <c r="D5604">
        <f>TEST_DATA!D5604</f>
        <v/>
      </c>
      <c r="E5604">
        <f>TEST_DATA!E5604</f>
        <v/>
      </c>
    </row>
    <row r="5605">
      <c r="A5605">
        <f>TEST_DATA!A5605</f>
        <v/>
      </c>
      <c r="B5605">
        <f>TEST_DATA!B5605</f>
        <v/>
      </c>
      <c r="C5605">
        <f>TEST_DATA!C5605</f>
        <v/>
      </c>
      <c r="D5605">
        <f>TEST_DATA!D5605</f>
        <v/>
      </c>
      <c r="E5605">
        <f>TEST_DATA!E5605</f>
        <v/>
      </c>
    </row>
    <row r="5606">
      <c r="A5606">
        <f>TEST_DATA!A5606</f>
        <v/>
      </c>
      <c r="B5606">
        <f>TEST_DATA!B5606</f>
        <v/>
      </c>
      <c r="C5606">
        <f>TEST_DATA!C5606</f>
        <v/>
      </c>
      <c r="D5606">
        <f>TEST_DATA!D5606</f>
        <v/>
      </c>
      <c r="E5606">
        <f>TEST_DATA!E5606</f>
        <v/>
      </c>
    </row>
    <row r="5607">
      <c r="A5607">
        <f>TEST_DATA!A5607</f>
        <v/>
      </c>
      <c r="B5607">
        <f>TEST_DATA!B5607</f>
        <v/>
      </c>
      <c r="C5607">
        <f>TEST_DATA!C5607</f>
        <v/>
      </c>
      <c r="D5607">
        <f>TEST_DATA!D5607</f>
        <v/>
      </c>
      <c r="E5607">
        <f>TEST_DATA!E5607</f>
        <v/>
      </c>
    </row>
    <row r="5608">
      <c r="A5608">
        <f>TEST_DATA!A5608</f>
        <v/>
      </c>
      <c r="B5608">
        <f>TEST_DATA!B5608</f>
        <v/>
      </c>
      <c r="C5608">
        <f>TEST_DATA!C5608</f>
        <v/>
      </c>
      <c r="D5608">
        <f>TEST_DATA!D5608</f>
        <v/>
      </c>
      <c r="E5608">
        <f>TEST_DATA!E5608</f>
        <v/>
      </c>
    </row>
    <row r="5609">
      <c r="A5609">
        <f>TEST_DATA!A5609</f>
        <v/>
      </c>
      <c r="B5609">
        <f>TEST_DATA!B5609</f>
        <v/>
      </c>
      <c r="C5609">
        <f>TEST_DATA!C5609</f>
        <v/>
      </c>
      <c r="D5609">
        <f>TEST_DATA!D5609</f>
        <v/>
      </c>
      <c r="E5609">
        <f>TEST_DATA!E5609</f>
        <v/>
      </c>
    </row>
    <row r="5610">
      <c r="A5610">
        <f>TEST_DATA!A5610</f>
        <v/>
      </c>
      <c r="B5610">
        <f>TEST_DATA!B5610</f>
        <v/>
      </c>
      <c r="C5610">
        <f>TEST_DATA!C5610</f>
        <v/>
      </c>
      <c r="D5610">
        <f>TEST_DATA!D5610</f>
        <v/>
      </c>
      <c r="E5610">
        <f>TEST_DATA!E5610</f>
        <v/>
      </c>
    </row>
    <row r="5611">
      <c r="A5611">
        <f>TEST_DATA!A5611</f>
        <v/>
      </c>
      <c r="B5611">
        <f>TEST_DATA!B5611</f>
        <v/>
      </c>
      <c r="C5611">
        <f>TEST_DATA!C5611</f>
        <v/>
      </c>
      <c r="D5611">
        <f>TEST_DATA!D5611</f>
        <v/>
      </c>
      <c r="E5611">
        <f>TEST_DATA!E5611</f>
        <v/>
      </c>
    </row>
    <row r="5612">
      <c r="A5612">
        <f>TEST_DATA!A5612</f>
        <v/>
      </c>
      <c r="B5612">
        <f>TEST_DATA!B5612</f>
        <v/>
      </c>
      <c r="C5612">
        <f>TEST_DATA!C5612</f>
        <v/>
      </c>
      <c r="D5612">
        <f>TEST_DATA!D5612</f>
        <v/>
      </c>
      <c r="E5612">
        <f>TEST_DATA!E5612</f>
        <v/>
      </c>
    </row>
    <row r="5613">
      <c r="A5613">
        <f>TEST_DATA!A5613</f>
        <v/>
      </c>
      <c r="B5613">
        <f>TEST_DATA!B5613</f>
        <v/>
      </c>
      <c r="C5613">
        <f>TEST_DATA!C5613</f>
        <v/>
      </c>
      <c r="D5613">
        <f>TEST_DATA!D5613</f>
        <v/>
      </c>
      <c r="E5613">
        <f>TEST_DATA!E5613</f>
        <v/>
      </c>
    </row>
    <row r="5614">
      <c r="A5614">
        <f>TEST_DATA!A5614</f>
        <v/>
      </c>
      <c r="B5614">
        <f>TEST_DATA!B5614</f>
        <v/>
      </c>
      <c r="C5614">
        <f>TEST_DATA!C5614</f>
        <v/>
      </c>
      <c r="D5614">
        <f>TEST_DATA!D5614</f>
        <v/>
      </c>
      <c r="E5614">
        <f>TEST_DATA!E5614</f>
        <v/>
      </c>
    </row>
    <row r="5615">
      <c r="A5615">
        <f>TEST_DATA!A5615</f>
        <v/>
      </c>
      <c r="B5615">
        <f>TEST_DATA!B5615</f>
        <v/>
      </c>
      <c r="C5615">
        <f>TEST_DATA!C5615</f>
        <v/>
      </c>
      <c r="D5615">
        <f>TEST_DATA!D5615</f>
        <v/>
      </c>
      <c r="E5615">
        <f>TEST_DATA!E5615</f>
        <v/>
      </c>
    </row>
    <row r="5616">
      <c r="A5616">
        <f>TEST_DATA!A5616</f>
        <v/>
      </c>
      <c r="B5616">
        <f>TEST_DATA!B5616</f>
        <v/>
      </c>
      <c r="C5616">
        <f>TEST_DATA!C5616</f>
        <v/>
      </c>
      <c r="D5616">
        <f>TEST_DATA!D5616</f>
        <v/>
      </c>
      <c r="E5616">
        <f>TEST_DATA!E5616</f>
        <v/>
      </c>
    </row>
    <row r="5617">
      <c r="A5617">
        <f>TEST_DATA!A5617</f>
        <v/>
      </c>
      <c r="B5617">
        <f>TEST_DATA!B5617</f>
        <v/>
      </c>
      <c r="C5617">
        <f>TEST_DATA!C5617</f>
        <v/>
      </c>
      <c r="D5617">
        <f>TEST_DATA!D5617</f>
        <v/>
      </c>
      <c r="E5617">
        <f>TEST_DATA!E5617</f>
        <v/>
      </c>
    </row>
    <row r="5618">
      <c r="A5618">
        <f>TEST_DATA!A5618</f>
        <v/>
      </c>
      <c r="B5618">
        <f>TEST_DATA!B5618</f>
        <v/>
      </c>
      <c r="C5618">
        <f>TEST_DATA!C5618</f>
        <v/>
      </c>
      <c r="D5618">
        <f>TEST_DATA!D5618</f>
        <v/>
      </c>
      <c r="E5618">
        <f>TEST_DATA!E5618</f>
        <v/>
      </c>
    </row>
    <row r="5619">
      <c r="A5619">
        <f>TEST_DATA!A5619</f>
        <v/>
      </c>
      <c r="B5619">
        <f>TEST_DATA!B5619</f>
        <v/>
      </c>
      <c r="C5619">
        <f>TEST_DATA!C5619</f>
        <v/>
      </c>
      <c r="D5619">
        <f>TEST_DATA!D5619</f>
        <v/>
      </c>
      <c r="E5619">
        <f>TEST_DATA!E5619</f>
        <v/>
      </c>
    </row>
    <row r="5620">
      <c r="A5620">
        <f>TEST_DATA!A5620</f>
        <v/>
      </c>
      <c r="B5620">
        <f>TEST_DATA!B5620</f>
        <v/>
      </c>
      <c r="C5620">
        <f>TEST_DATA!C5620</f>
        <v/>
      </c>
      <c r="D5620">
        <f>TEST_DATA!D5620</f>
        <v/>
      </c>
      <c r="E5620">
        <f>TEST_DATA!E5620</f>
        <v/>
      </c>
    </row>
    <row r="5621">
      <c r="A5621">
        <f>TEST_DATA!A5621</f>
        <v/>
      </c>
      <c r="B5621">
        <f>TEST_DATA!B5621</f>
        <v/>
      </c>
      <c r="C5621">
        <f>TEST_DATA!C5621</f>
        <v/>
      </c>
      <c r="D5621">
        <f>TEST_DATA!D5621</f>
        <v/>
      </c>
      <c r="E5621">
        <f>TEST_DATA!E5621</f>
        <v/>
      </c>
    </row>
    <row r="5622">
      <c r="A5622">
        <f>TEST_DATA!A5622</f>
        <v/>
      </c>
      <c r="B5622">
        <f>TEST_DATA!B5622</f>
        <v/>
      </c>
      <c r="C5622">
        <f>TEST_DATA!C5622</f>
        <v/>
      </c>
      <c r="D5622">
        <f>TEST_DATA!D5622</f>
        <v/>
      </c>
      <c r="E5622">
        <f>TEST_DATA!E5622</f>
        <v/>
      </c>
    </row>
    <row r="5623">
      <c r="A5623">
        <f>TEST_DATA!A5623</f>
        <v/>
      </c>
      <c r="B5623">
        <f>TEST_DATA!B5623</f>
        <v/>
      </c>
      <c r="C5623">
        <f>TEST_DATA!C5623</f>
        <v/>
      </c>
      <c r="D5623">
        <f>TEST_DATA!D5623</f>
        <v/>
      </c>
      <c r="E5623">
        <f>TEST_DATA!E5623</f>
        <v/>
      </c>
    </row>
    <row r="5624">
      <c r="A5624">
        <f>TEST_DATA!A5624</f>
        <v/>
      </c>
      <c r="B5624">
        <f>TEST_DATA!B5624</f>
        <v/>
      </c>
      <c r="C5624">
        <f>TEST_DATA!C5624</f>
        <v/>
      </c>
      <c r="D5624">
        <f>TEST_DATA!D5624</f>
        <v/>
      </c>
      <c r="E5624">
        <f>TEST_DATA!E5624</f>
        <v/>
      </c>
    </row>
    <row r="5625">
      <c r="A5625">
        <f>TEST_DATA!A5625</f>
        <v/>
      </c>
      <c r="B5625">
        <f>TEST_DATA!B5625</f>
        <v/>
      </c>
      <c r="C5625">
        <f>TEST_DATA!C5625</f>
        <v/>
      </c>
      <c r="D5625">
        <f>TEST_DATA!D5625</f>
        <v/>
      </c>
      <c r="E5625">
        <f>TEST_DATA!E5625</f>
        <v/>
      </c>
    </row>
    <row r="5626">
      <c r="A5626">
        <f>TEST_DATA!A5626</f>
        <v/>
      </c>
      <c r="B5626">
        <f>TEST_DATA!B5626</f>
        <v/>
      </c>
      <c r="C5626">
        <f>TEST_DATA!C5626</f>
        <v/>
      </c>
      <c r="D5626">
        <f>TEST_DATA!D5626</f>
        <v/>
      </c>
      <c r="E5626">
        <f>TEST_DATA!E5626</f>
        <v/>
      </c>
    </row>
    <row r="5627">
      <c r="A5627">
        <f>TEST_DATA!A5627</f>
        <v/>
      </c>
      <c r="B5627">
        <f>TEST_DATA!B5627</f>
        <v/>
      </c>
      <c r="C5627">
        <f>TEST_DATA!C5627</f>
        <v/>
      </c>
      <c r="D5627">
        <f>TEST_DATA!D5627</f>
        <v/>
      </c>
      <c r="E5627">
        <f>TEST_DATA!E5627</f>
        <v/>
      </c>
    </row>
    <row r="5628">
      <c r="A5628">
        <f>TEST_DATA!A5628</f>
        <v/>
      </c>
      <c r="B5628">
        <f>TEST_DATA!B5628</f>
        <v/>
      </c>
      <c r="C5628">
        <f>TEST_DATA!C5628</f>
        <v/>
      </c>
      <c r="D5628">
        <f>TEST_DATA!D5628</f>
        <v/>
      </c>
      <c r="E5628">
        <f>TEST_DATA!E5628</f>
        <v/>
      </c>
    </row>
    <row r="5629">
      <c r="A5629">
        <f>TEST_DATA!A5629</f>
        <v/>
      </c>
      <c r="B5629">
        <f>TEST_DATA!B5629</f>
        <v/>
      </c>
      <c r="C5629">
        <f>TEST_DATA!C5629</f>
        <v/>
      </c>
      <c r="D5629">
        <f>TEST_DATA!D5629</f>
        <v/>
      </c>
      <c r="E5629">
        <f>TEST_DATA!E5629</f>
        <v/>
      </c>
    </row>
    <row r="5630">
      <c r="A5630">
        <f>TEST_DATA!A5630</f>
        <v/>
      </c>
      <c r="B5630">
        <f>TEST_DATA!B5630</f>
        <v/>
      </c>
      <c r="C5630">
        <f>TEST_DATA!C5630</f>
        <v/>
      </c>
      <c r="D5630">
        <f>TEST_DATA!D5630</f>
        <v/>
      </c>
      <c r="E5630">
        <f>TEST_DATA!E5630</f>
        <v/>
      </c>
    </row>
    <row r="5631">
      <c r="A5631">
        <f>TEST_DATA!A5631</f>
        <v/>
      </c>
      <c r="B5631">
        <f>TEST_DATA!B5631</f>
        <v/>
      </c>
      <c r="C5631">
        <f>TEST_DATA!C5631</f>
        <v/>
      </c>
      <c r="D5631">
        <f>TEST_DATA!D5631</f>
        <v/>
      </c>
      <c r="E5631">
        <f>TEST_DATA!E5631</f>
        <v/>
      </c>
    </row>
    <row r="5632">
      <c r="A5632">
        <f>TEST_DATA!A5632</f>
        <v/>
      </c>
      <c r="B5632">
        <f>TEST_DATA!B5632</f>
        <v/>
      </c>
      <c r="C5632">
        <f>TEST_DATA!C5632</f>
        <v/>
      </c>
      <c r="D5632">
        <f>TEST_DATA!D5632</f>
        <v/>
      </c>
      <c r="E5632">
        <f>TEST_DATA!E5632</f>
        <v/>
      </c>
    </row>
    <row r="5633">
      <c r="A5633">
        <f>TEST_DATA!A5633</f>
        <v/>
      </c>
      <c r="B5633">
        <f>TEST_DATA!B5633</f>
        <v/>
      </c>
      <c r="C5633">
        <f>TEST_DATA!C5633</f>
        <v/>
      </c>
      <c r="D5633">
        <f>TEST_DATA!D5633</f>
        <v/>
      </c>
      <c r="E5633">
        <f>TEST_DATA!E5633</f>
        <v/>
      </c>
    </row>
    <row r="5634">
      <c r="A5634">
        <f>TEST_DATA!A5634</f>
        <v/>
      </c>
      <c r="B5634">
        <f>TEST_DATA!B5634</f>
        <v/>
      </c>
      <c r="C5634">
        <f>TEST_DATA!C5634</f>
        <v/>
      </c>
      <c r="D5634">
        <f>TEST_DATA!D5634</f>
        <v/>
      </c>
      <c r="E5634">
        <f>TEST_DATA!E5634</f>
        <v/>
      </c>
    </row>
    <row r="5635">
      <c r="A5635">
        <f>TEST_DATA!A5635</f>
        <v/>
      </c>
      <c r="B5635">
        <f>TEST_DATA!B5635</f>
        <v/>
      </c>
      <c r="C5635">
        <f>TEST_DATA!C5635</f>
        <v/>
      </c>
      <c r="D5635">
        <f>TEST_DATA!D5635</f>
        <v/>
      </c>
      <c r="E5635">
        <f>TEST_DATA!E5635</f>
        <v/>
      </c>
    </row>
    <row r="5636">
      <c r="A5636">
        <f>TEST_DATA!A5636</f>
        <v/>
      </c>
      <c r="B5636">
        <f>TEST_DATA!B5636</f>
        <v/>
      </c>
      <c r="C5636">
        <f>TEST_DATA!C5636</f>
        <v/>
      </c>
      <c r="D5636">
        <f>TEST_DATA!D5636</f>
        <v/>
      </c>
      <c r="E5636">
        <f>TEST_DATA!E5636</f>
        <v/>
      </c>
    </row>
    <row r="5637">
      <c r="A5637">
        <f>TEST_DATA!A5637</f>
        <v/>
      </c>
      <c r="B5637">
        <f>TEST_DATA!B5637</f>
        <v/>
      </c>
      <c r="C5637">
        <f>TEST_DATA!C5637</f>
        <v/>
      </c>
      <c r="D5637">
        <f>TEST_DATA!D5637</f>
        <v/>
      </c>
      <c r="E5637">
        <f>TEST_DATA!E5637</f>
        <v/>
      </c>
    </row>
    <row r="5638">
      <c r="A5638">
        <f>TEST_DATA!A5638</f>
        <v/>
      </c>
      <c r="B5638">
        <f>TEST_DATA!B5638</f>
        <v/>
      </c>
      <c r="C5638">
        <f>TEST_DATA!C5638</f>
        <v/>
      </c>
      <c r="D5638">
        <f>TEST_DATA!D5638</f>
        <v/>
      </c>
      <c r="E5638">
        <f>TEST_DATA!E5638</f>
        <v/>
      </c>
    </row>
    <row r="5639">
      <c r="A5639">
        <f>TEST_DATA!A5639</f>
        <v/>
      </c>
      <c r="B5639">
        <f>TEST_DATA!B5639</f>
        <v/>
      </c>
      <c r="C5639">
        <f>TEST_DATA!C5639</f>
        <v/>
      </c>
      <c r="D5639">
        <f>TEST_DATA!D5639</f>
        <v/>
      </c>
      <c r="E5639">
        <f>TEST_DATA!E5639</f>
        <v/>
      </c>
    </row>
    <row r="5640">
      <c r="A5640">
        <f>TEST_DATA!A5640</f>
        <v/>
      </c>
      <c r="B5640">
        <f>TEST_DATA!B5640</f>
        <v/>
      </c>
      <c r="C5640">
        <f>TEST_DATA!C5640</f>
        <v/>
      </c>
      <c r="D5640">
        <f>TEST_DATA!D5640</f>
        <v/>
      </c>
      <c r="E5640">
        <f>TEST_DATA!E5640</f>
        <v/>
      </c>
    </row>
    <row r="5641">
      <c r="A5641">
        <f>TEST_DATA!A5641</f>
        <v/>
      </c>
      <c r="B5641">
        <f>TEST_DATA!B5641</f>
        <v/>
      </c>
      <c r="C5641">
        <f>TEST_DATA!C5641</f>
        <v/>
      </c>
      <c r="D5641">
        <f>TEST_DATA!D5641</f>
        <v/>
      </c>
      <c r="E5641">
        <f>TEST_DATA!E5641</f>
        <v/>
      </c>
    </row>
    <row r="5642">
      <c r="A5642">
        <f>TEST_DATA!A5642</f>
        <v/>
      </c>
      <c r="B5642">
        <f>TEST_DATA!B5642</f>
        <v/>
      </c>
      <c r="C5642">
        <f>TEST_DATA!C5642</f>
        <v/>
      </c>
      <c r="D5642">
        <f>TEST_DATA!D5642</f>
        <v/>
      </c>
      <c r="E5642">
        <f>TEST_DATA!E5642</f>
        <v/>
      </c>
    </row>
    <row r="5643">
      <c r="A5643">
        <f>TEST_DATA!A5643</f>
        <v/>
      </c>
      <c r="B5643">
        <f>TEST_DATA!B5643</f>
        <v/>
      </c>
      <c r="C5643">
        <f>TEST_DATA!C5643</f>
        <v/>
      </c>
      <c r="D5643">
        <f>TEST_DATA!D5643</f>
        <v/>
      </c>
      <c r="E5643">
        <f>TEST_DATA!E5643</f>
        <v/>
      </c>
    </row>
    <row r="5644">
      <c r="A5644">
        <f>TEST_DATA!A5644</f>
        <v/>
      </c>
      <c r="B5644">
        <f>TEST_DATA!B5644</f>
        <v/>
      </c>
      <c r="C5644">
        <f>TEST_DATA!C5644</f>
        <v/>
      </c>
      <c r="D5644">
        <f>TEST_DATA!D5644</f>
        <v/>
      </c>
      <c r="E5644">
        <f>TEST_DATA!E5644</f>
        <v/>
      </c>
    </row>
    <row r="5645">
      <c r="A5645">
        <f>TEST_DATA!A5645</f>
        <v/>
      </c>
      <c r="B5645">
        <f>TEST_DATA!B5645</f>
        <v/>
      </c>
      <c r="C5645">
        <f>TEST_DATA!C5645</f>
        <v/>
      </c>
      <c r="D5645">
        <f>TEST_DATA!D5645</f>
        <v/>
      </c>
      <c r="E5645">
        <f>TEST_DATA!E5645</f>
        <v/>
      </c>
    </row>
    <row r="5646">
      <c r="A5646">
        <f>TEST_DATA!A5646</f>
        <v/>
      </c>
      <c r="B5646">
        <f>TEST_DATA!B5646</f>
        <v/>
      </c>
      <c r="C5646">
        <f>TEST_DATA!C5646</f>
        <v/>
      </c>
      <c r="D5646">
        <f>TEST_DATA!D5646</f>
        <v/>
      </c>
      <c r="E5646">
        <f>TEST_DATA!E5646</f>
        <v/>
      </c>
    </row>
    <row r="5647">
      <c r="A5647">
        <f>TEST_DATA!A5647</f>
        <v/>
      </c>
      <c r="B5647">
        <f>TEST_DATA!B5647</f>
        <v/>
      </c>
      <c r="C5647">
        <f>TEST_DATA!C5647</f>
        <v/>
      </c>
      <c r="D5647">
        <f>TEST_DATA!D5647</f>
        <v/>
      </c>
      <c r="E5647">
        <f>TEST_DATA!E5647</f>
        <v/>
      </c>
    </row>
    <row r="5648">
      <c r="A5648">
        <f>TEST_DATA!A5648</f>
        <v/>
      </c>
      <c r="B5648">
        <f>TEST_DATA!B5648</f>
        <v/>
      </c>
      <c r="C5648">
        <f>TEST_DATA!C5648</f>
        <v/>
      </c>
      <c r="D5648">
        <f>TEST_DATA!D5648</f>
        <v/>
      </c>
      <c r="E5648">
        <f>TEST_DATA!E5648</f>
        <v/>
      </c>
    </row>
    <row r="5649">
      <c r="A5649">
        <f>TEST_DATA!A5649</f>
        <v/>
      </c>
      <c r="B5649">
        <f>TEST_DATA!B5649</f>
        <v/>
      </c>
      <c r="C5649">
        <f>TEST_DATA!C5649</f>
        <v/>
      </c>
      <c r="D5649">
        <f>TEST_DATA!D5649</f>
        <v/>
      </c>
      <c r="E5649">
        <f>TEST_DATA!E5649</f>
        <v/>
      </c>
    </row>
    <row r="5650">
      <c r="A5650">
        <f>TEST_DATA!A5650</f>
        <v/>
      </c>
      <c r="B5650">
        <f>TEST_DATA!B5650</f>
        <v/>
      </c>
      <c r="C5650">
        <f>TEST_DATA!C5650</f>
        <v/>
      </c>
      <c r="D5650">
        <f>TEST_DATA!D5650</f>
        <v/>
      </c>
      <c r="E5650">
        <f>TEST_DATA!E5650</f>
        <v/>
      </c>
    </row>
    <row r="5651">
      <c r="A5651">
        <f>TEST_DATA!A5651</f>
        <v/>
      </c>
      <c r="B5651">
        <f>TEST_DATA!B5651</f>
        <v/>
      </c>
      <c r="C5651">
        <f>TEST_DATA!C5651</f>
        <v/>
      </c>
      <c r="D5651">
        <f>TEST_DATA!D5651</f>
        <v/>
      </c>
      <c r="E5651">
        <f>TEST_DATA!E5651</f>
        <v/>
      </c>
    </row>
    <row r="5652">
      <c r="A5652">
        <f>TEST_DATA!A5652</f>
        <v/>
      </c>
      <c r="B5652">
        <f>TEST_DATA!B5652</f>
        <v/>
      </c>
      <c r="C5652">
        <f>TEST_DATA!C5652</f>
        <v/>
      </c>
      <c r="D5652">
        <f>TEST_DATA!D5652</f>
        <v/>
      </c>
      <c r="E5652">
        <f>TEST_DATA!E5652</f>
        <v/>
      </c>
    </row>
    <row r="5653">
      <c r="A5653">
        <f>TEST_DATA!A5653</f>
        <v/>
      </c>
      <c r="B5653">
        <f>TEST_DATA!B5653</f>
        <v/>
      </c>
      <c r="C5653">
        <f>TEST_DATA!C5653</f>
        <v/>
      </c>
      <c r="D5653">
        <f>TEST_DATA!D5653</f>
        <v/>
      </c>
      <c r="E5653">
        <f>TEST_DATA!E5653</f>
        <v/>
      </c>
    </row>
    <row r="5654">
      <c r="A5654">
        <f>TEST_DATA!A5654</f>
        <v/>
      </c>
      <c r="B5654">
        <f>TEST_DATA!B5654</f>
        <v/>
      </c>
      <c r="C5654">
        <f>TEST_DATA!C5654</f>
        <v/>
      </c>
      <c r="D5654">
        <f>TEST_DATA!D5654</f>
        <v/>
      </c>
      <c r="E5654">
        <f>TEST_DATA!E5654</f>
        <v/>
      </c>
    </row>
    <row r="5655">
      <c r="A5655">
        <f>TEST_DATA!A5655</f>
        <v/>
      </c>
      <c r="B5655">
        <f>TEST_DATA!B5655</f>
        <v/>
      </c>
      <c r="C5655">
        <f>TEST_DATA!C5655</f>
        <v/>
      </c>
      <c r="D5655">
        <f>TEST_DATA!D5655</f>
        <v/>
      </c>
      <c r="E5655">
        <f>TEST_DATA!E5655</f>
        <v/>
      </c>
    </row>
    <row r="5656">
      <c r="A5656">
        <f>TEST_DATA!A5656</f>
        <v/>
      </c>
      <c r="B5656">
        <f>TEST_DATA!B5656</f>
        <v/>
      </c>
      <c r="C5656">
        <f>TEST_DATA!C5656</f>
        <v/>
      </c>
      <c r="D5656">
        <f>TEST_DATA!D5656</f>
        <v/>
      </c>
      <c r="E5656">
        <f>TEST_DATA!E5656</f>
        <v/>
      </c>
    </row>
    <row r="5657">
      <c r="A5657">
        <f>TEST_DATA!A5657</f>
        <v/>
      </c>
      <c r="B5657">
        <f>TEST_DATA!B5657</f>
        <v/>
      </c>
      <c r="C5657">
        <f>TEST_DATA!C5657</f>
        <v/>
      </c>
      <c r="D5657">
        <f>TEST_DATA!D5657</f>
        <v/>
      </c>
      <c r="E5657">
        <f>TEST_DATA!E5657</f>
        <v/>
      </c>
    </row>
    <row r="5658">
      <c r="A5658">
        <f>TEST_DATA!A5658</f>
        <v/>
      </c>
      <c r="B5658">
        <f>TEST_DATA!B5658</f>
        <v/>
      </c>
      <c r="C5658">
        <f>TEST_DATA!C5658</f>
        <v/>
      </c>
      <c r="D5658">
        <f>TEST_DATA!D5658</f>
        <v/>
      </c>
      <c r="E5658">
        <f>TEST_DATA!E5658</f>
        <v/>
      </c>
    </row>
    <row r="5659">
      <c r="A5659">
        <f>TEST_DATA!A5659</f>
        <v/>
      </c>
      <c r="B5659">
        <f>TEST_DATA!B5659</f>
        <v/>
      </c>
      <c r="C5659">
        <f>TEST_DATA!C5659</f>
        <v/>
      </c>
      <c r="D5659">
        <f>TEST_DATA!D5659</f>
        <v/>
      </c>
      <c r="E5659">
        <f>TEST_DATA!E5659</f>
        <v/>
      </c>
    </row>
    <row r="5660">
      <c r="A5660">
        <f>TEST_DATA!A5660</f>
        <v/>
      </c>
      <c r="B5660">
        <f>TEST_DATA!B5660</f>
        <v/>
      </c>
      <c r="C5660">
        <f>TEST_DATA!C5660</f>
        <v/>
      </c>
      <c r="D5660">
        <f>TEST_DATA!D5660</f>
        <v/>
      </c>
      <c r="E5660">
        <f>TEST_DATA!E5660</f>
        <v/>
      </c>
    </row>
    <row r="5661">
      <c r="A5661">
        <f>TEST_DATA!A5661</f>
        <v/>
      </c>
      <c r="B5661">
        <f>TEST_DATA!B5661</f>
        <v/>
      </c>
      <c r="C5661">
        <f>TEST_DATA!C5661</f>
        <v/>
      </c>
      <c r="D5661">
        <f>TEST_DATA!D5661</f>
        <v/>
      </c>
      <c r="E5661">
        <f>TEST_DATA!E5661</f>
        <v/>
      </c>
    </row>
    <row r="5662">
      <c r="A5662">
        <f>TEST_DATA!A5662</f>
        <v/>
      </c>
      <c r="B5662">
        <f>TEST_DATA!B5662</f>
        <v/>
      </c>
      <c r="C5662">
        <f>TEST_DATA!C5662</f>
        <v/>
      </c>
      <c r="D5662">
        <f>TEST_DATA!D5662</f>
        <v/>
      </c>
      <c r="E5662">
        <f>TEST_DATA!E5662</f>
        <v/>
      </c>
    </row>
    <row r="5663">
      <c r="A5663">
        <f>TEST_DATA!A5663</f>
        <v/>
      </c>
      <c r="B5663">
        <f>TEST_DATA!B5663</f>
        <v/>
      </c>
      <c r="C5663">
        <f>TEST_DATA!C5663</f>
        <v/>
      </c>
      <c r="D5663">
        <f>TEST_DATA!D5663</f>
        <v/>
      </c>
      <c r="E5663">
        <f>TEST_DATA!E5663</f>
        <v/>
      </c>
    </row>
    <row r="5664">
      <c r="A5664">
        <f>TEST_DATA!A5664</f>
        <v/>
      </c>
      <c r="B5664">
        <f>TEST_DATA!B5664</f>
        <v/>
      </c>
      <c r="C5664">
        <f>TEST_DATA!C5664</f>
        <v/>
      </c>
      <c r="D5664">
        <f>TEST_DATA!D5664</f>
        <v/>
      </c>
      <c r="E5664">
        <f>TEST_DATA!E5664</f>
        <v/>
      </c>
    </row>
    <row r="5665">
      <c r="A5665">
        <f>TEST_DATA!A5665</f>
        <v/>
      </c>
      <c r="B5665">
        <f>TEST_DATA!B5665</f>
        <v/>
      </c>
      <c r="C5665">
        <f>TEST_DATA!C5665</f>
        <v/>
      </c>
      <c r="D5665">
        <f>TEST_DATA!D5665</f>
        <v/>
      </c>
      <c r="E5665">
        <f>TEST_DATA!E5665</f>
        <v/>
      </c>
    </row>
    <row r="5666">
      <c r="A5666">
        <f>TEST_DATA!A5666</f>
        <v/>
      </c>
      <c r="B5666">
        <f>TEST_DATA!B5666</f>
        <v/>
      </c>
      <c r="C5666">
        <f>TEST_DATA!C5666</f>
        <v/>
      </c>
      <c r="D5666">
        <f>TEST_DATA!D5666</f>
        <v/>
      </c>
      <c r="E5666">
        <f>TEST_DATA!E5666</f>
        <v/>
      </c>
    </row>
    <row r="5667">
      <c r="A5667">
        <f>TEST_DATA!A5667</f>
        <v/>
      </c>
      <c r="B5667">
        <f>TEST_DATA!B5667</f>
        <v/>
      </c>
      <c r="C5667">
        <f>TEST_DATA!C5667</f>
        <v/>
      </c>
      <c r="D5667">
        <f>TEST_DATA!D5667</f>
        <v/>
      </c>
      <c r="E5667">
        <f>TEST_DATA!E5667</f>
        <v/>
      </c>
    </row>
    <row r="5668">
      <c r="A5668">
        <f>TEST_DATA!A5668</f>
        <v/>
      </c>
      <c r="B5668">
        <f>TEST_DATA!B5668</f>
        <v/>
      </c>
      <c r="C5668">
        <f>TEST_DATA!C5668</f>
        <v/>
      </c>
      <c r="D5668">
        <f>TEST_DATA!D5668</f>
        <v/>
      </c>
      <c r="E5668">
        <f>TEST_DATA!E5668</f>
        <v/>
      </c>
    </row>
    <row r="5669">
      <c r="A5669">
        <f>TEST_DATA!A5669</f>
        <v/>
      </c>
      <c r="B5669">
        <f>TEST_DATA!B5669</f>
        <v/>
      </c>
      <c r="C5669">
        <f>TEST_DATA!C5669</f>
        <v/>
      </c>
      <c r="D5669">
        <f>TEST_DATA!D5669</f>
        <v/>
      </c>
      <c r="E5669">
        <f>TEST_DATA!E5669</f>
        <v/>
      </c>
    </row>
    <row r="5670">
      <c r="A5670">
        <f>TEST_DATA!A5670</f>
        <v/>
      </c>
      <c r="B5670">
        <f>TEST_DATA!B5670</f>
        <v/>
      </c>
      <c r="C5670">
        <f>TEST_DATA!C5670</f>
        <v/>
      </c>
      <c r="D5670">
        <f>TEST_DATA!D5670</f>
        <v/>
      </c>
      <c r="E5670">
        <f>TEST_DATA!E5670</f>
        <v/>
      </c>
    </row>
    <row r="5671">
      <c r="A5671">
        <f>TEST_DATA!A5671</f>
        <v/>
      </c>
      <c r="B5671">
        <f>TEST_DATA!B5671</f>
        <v/>
      </c>
      <c r="C5671">
        <f>TEST_DATA!C5671</f>
        <v/>
      </c>
      <c r="D5671">
        <f>TEST_DATA!D5671</f>
        <v/>
      </c>
      <c r="E5671">
        <f>TEST_DATA!E5671</f>
        <v/>
      </c>
    </row>
    <row r="5672">
      <c r="A5672">
        <f>TEST_DATA!A5672</f>
        <v/>
      </c>
      <c r="B5672">
        <f>TEST_DATA!B5672</f>
        <v/>
      </c>
      <c r="C5672">
        <f>TEST_DATA!C5672</f>
        <v/>
      </c>
      <c r="D5672">
        <f>TEST_DATA!D5672</f>
        <v/>
      </c>
      <c r="E5672">
        <f>TEST_DATA!E5672</f>
        <v/>
      </c>
    </row>
    <row r="5673">
      <c r="A5673">
        <f>TEST_DATA!A5673</f>
        <v/>
      </c>
      <c r="B5673">
        <f>TEST_DATA!B5673</f>
        <v/>
      </c>
      <c r="C5673">
        <f>TEST_DATA!C5673</f>
        <v/>
      </c>
      <c r="D5673">
        <f>TEST_DATA!D5673</f>
        <v/>
      </c>
      <c r="E5673">
        <f>TEST_DATA!E5673</f>
        <v/>
      </c>
    </row>
    <row r="5674">
      <c r="A5674">
        <f>TEST_DATA!A5674</f>
        <v/>
      </c>
      <c r="B5674">
        <f>TEST_DATA!B5674</f>
        <v/>
      </c>
      <c r="C5674">
        <f>TEST_DATA!C5674</f>
        <v/>
      </c>
      <c r="D5674">
        <f>TEST_DATA!D5674</f>
        <v/>
      </c>
      <c r="E5674">
        <f>TEST_DATA!E5674</f>
        <v/>
      </c>
    </row>
    <row r="5675">
      <c r="A5675">
        <f>TEST_DATA!A5675</f>
        <v/>
      </c>
      <c r="B5675">
        <f>TEST_DATA!B5675</f>
        <v/>
      </c>
      <c r="C5675">
        <f>TEST_DATA!C5675</f>
        <v/>
      </c>
      <c r="D5675">
        <f>TEST_DATA!D5675</f>
        <v/>
      </c>
      <c r="E5675">
        <f>TEST_DATA!E5675</f>
        <v/>
      </c>
    </row>
    <row r="5676">
      <c r="A5676">
        <f>TEST_DATA!A5676</f>
        <v/>
      </c>
      <c r="B5676">
        <f>TEST_DATA!B5676</f>
        <v/>
      </c>
      <c r="C5676">
        <f>TEST_DATA!C5676</f>
        <v/>
      </c>
      <c r="D5676">
        <f>TEST_DATA!D5676</f>
        <v/>
      </c>
      <c r="E5676">
        <f>TEST_DATA!E5676</f>
        <v/>
      </c>
    </row>
    <row r="5677">
      <c r="A5677">
        <f>TEST_DATA!A5677</f>
        <v/>
      </c>
      <c r="B5677">
        <f>TEST_DATA!B5677</f>
        <v/>
      </c>
      <c r="C5677">
        <f>TEST_DATA!C5677</f>
        <v/>
      </c>
      <c r="D5677">
        <f>TEST_DATA!D5677</f>
        <v/>
      </c>
      <c r="E5677">
        <f>TEST_DATA!E5677</f>
        <v/>
      </c>
    </row>
    <row r="5678">
      <c r="A5678">
        <f>TEST_DATA!A5678</f>
        <v/>
      </c>
      <c r="B5678">
        <f>TEST_DATA!B5678</f>
        <v/>
      </c>
      <c r="C5678">
        <f>TEST_DATA!C5678</f>
        <v/>
      </c>
      <c r="D5678">
        <f>TEST_DATA!D5678</f>
        <v/>
      </c>
      <c r="E5678">
        <f>TEST_DATA!E5678</f>
        <v/>
      </c>
    </row>
    <row r="5679">
      <c r="A5679">
        <f>TEST_DATA!A5679</f>
        <v/>
      </c>
      <c r="B5679">
        <f>TEST_DATA!B5679</f>
        <v/>
      </c>
      <c r="C5679">
        <f>TEST_DATA!C5679</f>
        <v/>
      </c>
      <c r="D5679">
        <f>TEST_DATA!D5679</f>
        <v/>
      </c>
      <c r="E5679">
        <f>TEST_DATA!E5679</f>
        <v/>
      </c>
    </row>
    <row r="5680">
      <c r="A5680">
        <f>TEST_DATA!A5680</f>
        <v/>
      </c>
      <c r="B5680">
        <f>TEST_DATA!B5680</f>
        <v/>
      </c>
      <c r="C5680">
        <f>TEST_DATA!C5680</f>
        <v/>
      </c>
      <c r="D5680">
        <f>TEST_DATA!D5680</f>
        <v/>
      </c>
      <c r="E5680">
        <f>TEST_DATA!E5680</f>
        <v/>
      </c>
    </row>
    <row r="5681">
      <c r="A5681">
        <f>TEST_DATA!A5681</f>
        <v/>
      </c>
      <c r="B5681">
        <f>TEST_DATA!B5681</f>
        <v/>
      </c>
      <c r="C5681">
        <f>TEST_DATA!C5681</f>
        <v/>
      </c>
      <c r="D5681">
        <f>TEST_DATA!D5681</f>
        <v/>
      </c>
      <c r="E5681">
        <f>TEST_DATA!E5681</f>
        <v/>
      </c>
    </row>
    <row r="5682">
      <c r="A5682">
        <f>TEST_DATA!A5682</f>
        <v/>
      </c>
      <c r="B5682">
        <f>TEST_DATA!B5682</f>
        <v/>
      </c>
      <c r="C5682">
        <f>TEST_DATA!C5682</f>
        <v/>
      </c>
      <c r="D5682">
        <f>TEST_DATA!D5682</f>
        <v/>
      </c>
      <c r="E5682">
        <f>TEST_DATA!E5682</f>
        <v/>
      </c>
    </row>
    <row r="5683">
      <c r="A5683">
        <f>TEST_DATA!A5683</f>
        <v/>
      </c>
      <c r="B5683">
        <f>TEST_DATA!B5683</f>
        <v/>
      </c>
      <c r="C5683">
        <f>TEST_DATA!C5683</f>
        <v/>
      </c>
      <c r="D5683">
        <f>TEST_DATA!D5683</f>
        <v/>
      </c>
      <c r="E5683">
        <f>TEST_DATA!E5683</f>
        <v/>
      </c>
    </row>
    <row r="5684">
      <c r="A5684">
        <f>TEST_DATA!A5684</f>
        <v/>
      </c>
      <c r="B5684">
        <f>TEST_DATA!B5684</f>
        <v/>
      </c>
      <c r="C5684">
        <f>TEST_DATA!C5684</f>
        <v/>
      </c>
      <c r="D5684">
        <f>TEST_DATA!D5684</f>
        <v/>
      </c>
      <c r="E5684">
        <f>TEST_DATA!E5684</f>
        <v/>
      </c>
    </row>
    <row r="5685">
      <c r="A5685">
        <f>TEST_DATA!A5685</f>
        <v/>
      </c>
      <c r="B5685">
        <f>TEST_DATA!B5685</f>
        <v/>
      </c>
      <c r="C5685">
        <f>TEST_DATA!C5685</f>
        <v/>
      </c>
      <c r="D5685">
        <f>TEST_DATA!D5685</f>
        <v/>
      </c>
      <c r="E5685">
        <f>TEST_DATA!E5685</f>
        <v/>
      </c>
    </row>
    <row r="5686">
      <c r="A5686">
        <f>TEST_DATA!A5686</f>
        <v/>
      </c>
      <c r="B5686">
        <f>TEST_DATA!B5686</f>
        <v/>
      </c>
      <c r="C5686">
        <f>TEST_DATA!C5686</f>
        <v/>
      </c>
      <c r="D5686">
        <f>TEST_DATA!D5686</f>
        <v/>
      </c>
      <c r="E5686">
        <f>TEST_DATA!E5686</f>
        <v/>
      </c>
    </row>
    <row r="5687">
      <c r="A5687">
        <f>TEST_DATA!A5687</f>
        <v/>
      </c>
      <c r="B5687">
        <f>TEST_DATA!B5687</f>
        <v/>
      </c>
      <c r="C5687">
        <f>TEST_DATA!C5687</f>
        <v/>
      </c>
      <c r="D5687">
        <f>TEST_DATA!D5687</f>
        <v/>
      </c>
      <c r="E5687">
        <f>TEST_DATA!E5687</f>
        <v/>
      </c>
    </row>
    <row r="5688">
      <c r="A5688">
        <f>TEST_DATA!A5688</f>
        <v/>
      </c>
      <c r="B5688">
        <f>TEST_DATA!B5688</f>
        <v/>
      </c>
      <c r="C5688">
        <f>TEST_DATA!C5688</f>
        <v/>
      </c>
      <c r="D5688">
        <f>TEST_DATA!D5688</f>
        <v/>
      </c>
      <c r="E5688">
        <f>TEST_DATA!E5688</f>
        <v/>
      </c>
    </row>
    <row r="5689">
      <c r="A5689">
        <f>TEST_DATA!A5689</f>
        <v/>
      </c>
      <c r="B5689">
        <f>TEST_DATA!B5689</f>
        <v/>
      </c>
      <c r="C5689">
        <f>TEST_DATA!C5689</f>
        <v/>
      </c>
      <c r="D5689">
        <f>TEST_DATA!D5689</f>
        <v/>
      </c>
      <c r="E5689">
        <f>TEST_DATA!E5689</f>
        <v/>
      </c>
    </row>
    <row r="5690">
      <c r="A5690">
        <f>TEST_DATA!A5690</f>
        <v/>
      </c>
      <c r="B5690">
        <f>TEST_DATA!B5690</f>
        <v/>
      </c>
      <c r="C5690">
        <f>TEST_DATA!C5690</f>
        <v/>
      </c>
      <c r="D5690">
        <f>TEST_DATA!D5690</f>
        <v/>
      </c>
      <c r="E5690">
        <f>TEST_DATA!E5690</f>
        <v/>
      </c>
    </row>
    <row r="5691">
      <c r="A5691">
        <f>TEST_DATA!A5691</f>
        <v/>
      </c>
      <c r="B5691">
        <f>TEST_DATA!B5691</f>
        <v/>
      </c>
      <c r="C5691">
        <f>TEST_DATA!C5691</f>
        <v/>
      </c>
      <c r="D5691">
        <f>TEST_DATA!D5691</f>
        <v/>
      </c>
      <c r="E5691">
        <f>TEST_DATA!E5691</f>
        <v/>
      </c>
    </row>
    <row r="5692">
      <c r="A5692">
        <f>TEST_DATA!A5692</f>
        <v/>
      </c>
      <c r="B5692">
        <f>TEST_DATA!B5692</f>
        <v/>
      </c>
      <c r="C5692">
        <f>TEST_DATA!C5692</f>
        <v/>
      </c>
      <c r="D5692">
        <f>TEST_DATA!D5692</f>
        <v/>
      </c>
      <c r="E5692">
        <f>TEST_DATA!E5692</f>
        <v/>
      </c>
    </row>
    <row r="5693">
      <c r="A5693">
        <f>TEST_DATA!A5693</f>
        <v/>
      </c>
      <c r="B5693">
        <f>TEST_DATA!B5693</f>
        <v/>
      </c>
      <c r="C5693">
        <f>TEST_DATA!C5693</f>
        <v/>
      </c>
      <c r="D5693">
        <f>TEST_DATA!D5693</f>
        <v/>
      </c>
      <c r="E5693">
        <f>TEST_DATA!E5693</f>
        <v/>
      </c>
    </row>
    <row r="5694">
      <c r="A5694">
        <f>TEST_DATA!A5694</f>
        <v/>
      </c>
      <c r="B5694">
        <f>TEST_DATA!B5694</f>
        <v/>
      </c>
      <c r="C5694">
        <f>TEST_DATA!C5694</f>
        <v/>
      </c>
      <c r="D5694">
        <f>TEST_DATA!D5694</f>
        <v/>
      </c>
      <c r="E5694">
        <f>TEST_DATA!E5694</f>
        <v/>
      </c>
    </row>
    <row r="5695">
      <c r="A5695">
        <f>TEST_DATA!A5695</f>
        <v/>
      </c>
      <c r="B5695">
        <f>TEST_DATA!B5695</f>
        <v/>
      </c>
      <c r="C5695">
        <f>TEST_DATA!C5695</f>
        <v/>
      </c>
      <c r="D5695">
        <f>TEST_DATA!D5695</f>
        <v/>
      </c>
      <c r="E5695">
        <f>TEST_DATA!E5695</f>
        <v/>
      </c>
    </row>
    <row r="5696">
      <c r="A5696">
        <f>TEST_DATA!A5696</f>
        <v/>
      </c>
      <c r="B5696">
        <f>TEST_DATA!B5696</f>
        <v/>
      </c>
      <c r="C5696">
        <f>TEST_DATA!C5696</f>
        <v/>
      </c>
      <c r="D5696">
        <f>TEST_DATA!D5696</f>
        <v/>
      </c>
      <c r="E5696">
        <f>TEST_DATA!E5696</f>
        <v/>
      </c>
    </row>
    <row r="5697">
      <c r="A5697">
        <f>TEST_DATA!A5697</f>
        <v/>
      </c>
      <c r="B5697">
        <f>TEST_DATA!B5697</f>
        <v/>
      </c>
      <c r="C5697">
        <f>TEST_DATA!C5697</f>
        <v/>
      </c>
      <c r="D5697">
        <f>TEST_DATA!D5697</f>
        <v/>
      </c>
      <c r="E5697">
        <f>TEST_DATA!E5697</f>
        <v/>
      </c>
    </row>
    <row r="5698">
      <c r="A5698">
        <f>TEST_DATA!A5698</f>
        <v/>
      </c>
      <c r="B5698">
        <f>TEST_DATA!B5698</f>
        <v/>
      </c>
      <c r="C5698">
        <f>TEST_DATA!C5698</f>
        <v/>
      </c>
      <c r="D5698">
        <f>TEST_DATA!D5698</f>
        <v/>
      </c>
      <c r="E5698">
        <f>TEST_DATA!E5698</f>
        <v/>
      </c>
    </row>
    <row r="5699">
      <c r="A5699">
        <f>TEST_DATA!A5699</f>
        <v/>
      </c>
      <c r="B5699">
        <f>TEST_DATA!B5699</f>
        <v/>
      </c>
      <c r="C5699">
        <f>TEST_DATA!C5699</f>
        <v/>
      </c>
      <c r="D5699">
        <f>TEST_DATA!D5699</f>
        <v/>
      </c>
      <c r="E5699">
        <f>TEST_DATA!E5699</f>
        <v/>
      </c>
    </row>
    <row r="5700">
      <c r="A5700">
        <f>TEST_DATA!A5700</f>
        <v/>
      </c>
      <c r="B5700">
        <f>TEST_DATA!B5700</f>
        <v/>
      </c>
      <c r="C5700">
        <f>TEST_DATA!C5700</f>
        <v/>
      </c>
      <c r="D5700">
        <f>TEST_DATA!D5700</f>
        <v/>
      </c>
      <c r="E5700">
        <f>TEST_DATA!E5700</f>
        <v/>
      </c>
    </row>
    <row r="5701">
      <c r="A5701">
        <f>TEST_DATA!A5701</f>
        <v/>
      </c>
      <c r="B5701">
        <f>TEST_DATA!B5701</f>
        <v/>
      </c>
      <c r="C5701">
        <f>TEST_DATA!C5701</f>
        <v/>
      </c>
      <c r="D5701">
        <f>TEST_DATA!D5701</f>
        <v/>
      </c>
      <c r="E5701">
        <f>TEST_DATA!E5701</f>
        <v/>
      </c>
    </row>
    <row r="5702">
      <c r="A5702">
        <f>TEST_DATA!A5702</f>
        <v/>
      </c>
      <c r="B5702">
        <f>TEST_DATA!B5702</f>
        <v/>
      </c>
      <c r="C5702">
        <f>TEST_DATA!C5702</f>
        <v/>
      </c>
      <c r="D5702">
        <f>TEST_DATA!D5702</f>
        <v/>
      </c>
      <c r="E5702">
        <f>TEST_DATA!E5702</f>
        <v/>
      </c>
    </row>
    <row r="5703">
      <c r="A5703">
        <f>TEST_DATA!A5703</f>
        <v/>
      </c>
      <c r="B5703">
        <f>TEST_DATA!B5703</f>
        <v/>
      </c>
      <c r="C5703">
        <f>TEST_DATA!C5703</f>
        <v/>
      </c>
      <c r="D5703">
        <f>TEST_DATA!D5703</f>
        <v/>
      </c>
      <c r="E5703">
        <f>TEST_DATA!E5703</f>
        <v/>
      </c>
    </row>
    <row r="5704">
      <c r="A5704">
        <f>TEST_DATA!A5704</f>
        <v/>
      </c>
      <c r="B5704">
        <f>TEST_DATA!B5704</f>
        <v/>
      </c>
      <c r="C5704">
        <f>TEST_DATA!C5704</f>
        <v/>
      </c>
      <c r="D5704">
        <f>TEST_DATA!D5704</f>
        <v/>
      </c>
      <c r="E5704">
        <f>TEST_DATA!E5704</f>
        <v/>
      </c>
    </row>
    <row r="5705">
      <c r="A5705">
        <f>TEST_DATA!A5705</f>
        <v/>
      </c>
      <c r="B5705">
        <f>TEST_DATA!B5705</f>
        <v/>
      </c>
      <c r="C5705">
        <f>TEST_DATA!C5705</f>
        <v/>
      </c>
      <c r="D5705">
        <f>TEST_DATA!D5705</f>
        <v/>
      </c>
      <c r="E5705">
        <f>TEST_DATA!E5705</f>
        <v/>
      </c>
    </row>
    <row r="5706">
      <c r="A5706">
        <f>TEST_DATA!A5706</f>
        <v/>
      </c>
      <c r="B5706">
        <f>TEST_DATA!B5706</f>
        <v/>
      </c>
      <c r="C5706">
        <f>TEST_DATA!C5706</f>
        <v/>
      </c>
      <c r="D5706">
        <f>TEST_DATA!D5706</f>
        <v/>
      </c>
      <c r="E5706">
        <f>TEST_DATA!E5706</f>
        <v/>
      </c>
    </row>
    <row r="5707">
      <c r="A5707">
        <f>TEST_DATA!A5707</f>
        <v/>
      </c>
      <c r="B5707">
        <f>TEST_DATA!B5707</f>
        <v/>
      </c>
      <c r="C5707">
        <f>TEST_DATA!C5707</f>
        <v/>
      </c>
      <c r="D5707">
        <f>TEST_DATA!D5707</f>
        <v/>
      </c>
      <c r="E5707">
        <f>TEST_DATA!E5707</f>
        <v/>
      </c>
    </row>
    <row r="5708">
      <c r="A5708">
        <f>TEST_DATA!A5708</f>
        <v/>
      </c>
      <c r="B5708">
        <f>TEST_DATA!B5708</f>
        <v/>
      </c>
      <c r="C5708">
        <f>TEST_DATA!C5708</f>
        <v/>
      </c>
      <c r="D5708">
        <f>TEST_DATA!D5708</f>
        <v/>
      </c>
      <c r="E5708">
        <f>TEST_DATA!E5708</f>
        <v/>
      </c>
    </row>
    <row r="5709">
      <c r="A5709">
        <f>TEST_DATA!A5709</f>
        <v/>
      </c>
      <c r="B5709">
        <f>TEST_DATA!B5709</f>
        <v/>
      </c>
      <c r="C5709">
        <f>TEST_DATA!C5709</f>
        <v/>
      </c>
      <c r="D5709">
        <f>TEST_DATA!D5709</f>
        <v/>
      </c>
      <c r="E5709">
        <f>TEST_DATA!E5709</f>
        <v/>
      </c>
    </row>
    <row r="5710">
      <c r="A5710">
        <f>TEST_DATA!A5710</f>
        <v/>
      </c>
      <c r="B5710">
        <f>TEST_DATA!B5710</f>
        <v/>
      </c>
      <c r="C5710">
        <f>TEST_DATA!C5710</f>
        <v/>
      </c>
      <c r="D5710">
        <f>TEST_DATA!D5710</f>
        <v/>
      </c>
      <c r="E5710">
        <f>TEST_DATA!E5710</f>
        <v/>
      </c>
    </row>
    <row r="5711">
      <c r="A5711">
        <f>TEST_DATA!A5711</f>
        <v/>
      </c>
      <c r="B5711">
        <f>TEST_DATA!B5711</f>
        <v/>
      </c>
      <c r="C5711">
        <f>TEST_DATA!C5711</f>
        <v/>
      </c>
      <c r="D5711">
        <f>TEST_DATA!D5711</f>
        <v/>
      </c>
      <c r="E5711">
        <f>TEST_DATA!E5711</f>
        <v/>
      </c>
    </row>
    <row r="5712">
      <c r="A5712">
        <f>TEST_DATA!A5712</f>
        <v/>
      </c>
      <c r="B5712">
        <f>TEST_DATA!B5712</f>
        <v/>
      </c>
      <c r="C5712">
        <f>TEST_DATA!C5712</f>
        <v/>
      </c>
      <c r="D5712">
        <f>TEST_DATA!D5712</f>
        <v/>
      </c>
      <c r="E5712">
        <f>TEST_DATA!E5712</f>
        <v/>
      </c>
    </row>
    <row r="5713">
      <c r="A5713">
        <f>TEST_DATA!A5713</f>
        <v/>
      </c>
      <c r="B5713">
        <f>TEST_DATA!B5713</f>
        <v/>
      </c>
      <c r="C5713">
        <f>TEST_DATA!C5713</f>
        <v/>
      </c>
      <c r="D5713">
        <f>TEST_DATA!D5713</f>
        <v/>
      </c>
      <c r="E5713">
        <f>TEST_DATA!E5713</f>
        <v/>
      </c>
    </row>
    <row r="5714">
      <c r="A5714">
        <f>TEST_DATA!A5714</f>
        <v/>
      </c>
      <c r="B5714">
        <f>TEST_DATA!B5714</f>
        <v/>
      </c>
      <c r="C5714">
        <f>TEST_DATA!C5714</f>
        <v/>
      </c>
      <c r="D5714">
        <f>TEST_DATA!D5714</f>
        <v/>
      </c>
      <c r="E5714">
        <f>TEST_DATA!E5714</f>
        <v/>
      </c>
    </row>
    <row r="5715">
      <c r="A5715">
        <f>TEST_DATA!A5715</f>
        <v/>
      </c>
      <c r="B5715">
        <f>TEST_DATA!B5715</f>
        <v/>
      </c>
      <c r="C5715">
        <f>TEST_DATA!C5715</f>
        <v/>
      </c>
      <c r="D5715">
        <f>TEST_DATA!D5715</f>
        <v/>
      </c>
      <c r="E5715">
        <f>TEST_DATA!E5715</f>
        <v/>
      </c>
    </row>
    <row r="5716">
      <c r="A5716">
        <f>TEST_DATA!A5716</f>
        <v/>
      </c>
      <c r="B5716">
        <f>TEST_DATA!B5716</f>
        <v/>
      </c>
      <c r="C5716">
        <f>TEST_DATA!C5716</f>
        <v/>
      </c>
      <c r="D5716">
        <f>TEST_DATA!D5716</f>
        <v/>
      </c>
      <c r="E5716">
        <f>TEST_DATA!E5716</f>
        <v/>
      </c>
    </row>
    <row r="5717">
      <c r="A5717">
        <f>TEST_DATA!A5717</f>
        <v/>
      </c>
      <c r="B5717">
        <f>TEST_DATA!B5717</f>
        <v/>
      </c>
      <c r="C5717">
        <f>TEST_DATA!C5717</f>
        <v/>
      </c>
      <c r="D5717">
        <f>TEST_DATA!D5717</f>
        <v/>
      </c>
      <c r="E5717">
        <f>TEST_DATA!E5717</f>
        <v/>
      </c>
    </row>
    <row r="5718">
      <c r="A5718">
        <f>TEST_DATA!A5718</f>
        <v/>
      </c>
      <c r="B5718">
        <f>TEST_DATA!B5718</f>
        <v/>
      </c>
      <c r="C5718">
        <f>TEST_DATA!C5718</f>
        <v/>
      </c>
      <c r="D5718">
        <f>TEST_DATA!D5718</f>
        <v/>
      </c>
      <c r="E5718">
        <f>TEST_DATA!E5718</f>
        <v/>
      </c>
    </row>
    <row r="5719">
      <c r="A5719">
        <f>TEST_DATA!A5719</f>
        <v/>
      </c>
      <c r="B5719">
        <f>TEST_DATA!B5719</f>
        <v/>
      </c>
      <c r="C5719">
        <f>TEST_DATA!C5719</f>
        <v/>
      </c>
      <c r="D5719">
        <f>TEST_DATA!D5719</f>
        <v/>
      </c>
      <c r="E5719">
        <f>TEST_DATA!E5719</f>
        <v/>
      </c>
    </row>
    <row r="5720">
      <c r="A5720">
        <f>TEST_DATA!A5720</f>
        <v/>
      </c>
      <c r="B5720">
        <f>TEST_DATA!B5720</f>
        <v/>
      </c>
      <c r="C5720">
        <f>TEST_DATA!C5720</f>
        <v/>
      </c>
      <c r="D5720">
        <f>TEST_DATA!D5720</f>
        <v/>
      </c>
      <c r="E5720">
        <f>TEST_DATA!E5720</f>
        <v/>
      </c>
    </row>
    <row r="5721">
      <c r="A5721">
        <f>TEST_DATA!A5721</f>
        <v/>
      </c>
      <c r="B5721">
        <f>TEST_DATA!B5721</f>
        <v/>
      </c>
      <c r="C5721">
        <f>TEST_DATA!C5721</f>
        <v/>
      </c>
      <c r="D5721">
        <f>TEST_DATA!D5721</f>
        <v/>
      </c>
      <c r="E5721">
        <f>TEST_DATA!E5721</f>
        <v/>
      </c>
    </row>
    <row r="5722">
      <c r="A5722">
        <f>TEST_DATA!A5722</f>
        <v/>
      </c>
      <c r="B5722">
        <f>TEST_DATA!B5722</f>
        <v/>
      </c>
      <c r="C5722">
        <f>TEST_DATA!C5722</f>
        <v/>
      </c>
      <c r="D5722">
        <f>TEST_DATA!D5722</f>
        <v/>
      </c>
      <c r="E5722">
        <f>TEST_DATA!E5722</f>
        <v/>
      </c>
    </row>
    <row r="5723">
      <c r="A5723">
        <f>TEST_DATA!A5723</f>
        <v/>
      </c>
      <c r="B5723">
        <f>TEST_DATA!B5723</f>
        <v/>
      </c>
      <c r="C5723">
        <f>TEST_DATA!C5723</f>
        <v/>
      </c>
      <c r="D5723">
        <f>TEST_DATA!D5723</f>
        <v/>
      </c>
      <c r="E5723">
        <f>TEST_DATA!E5723</f>
        <v/>
      </c>
    </row>
    <row r="5724">
      <c r="A5724">
        <f>TEST_DATA!A5724</f>
        <v/>
      </c>
      <c r="B5724">
        <f>TEST_DATA!B5724</f>
        <v/>
      </c>
      <c r="C5724">
        <f>TEST_DATA!C5724</f>
        <v/>
      </c>
      <c r="D5724">
        <f>TEST_DATA!D5724</f>
        <v/>
      </c>
      <c r="E5724">
        <f>TEST_DATA!E5724</f>
        <v/>
      </c>
    </row>
    <row r="5725">
      <c r="A5725">
        <f>TEST_DATA!A5725</f>
        <v/>
      </c>
      <c r="B5725">
        <f>TEST_DATA!B5725</f>
        <v/>
      </c>
      <c r="C5725">
        <f>TEST_DATA!C5725</f>
        <v/>
      </c>
      <c r="D5725">
        <f>TEST_DATA!D5725</f>
        <v/>
      </c>
      <c r="E5725">
        <f>TEST_DATA!E5725</f>
        <v/>
      </c>
    </row>
    <row r="5726">
      <c r="A5726">
        <f>TEST_DATA!A5726</f>
        <v/>
      </c>
      <c r="B5726">
        <f>TEST_DATA!B5726</f>
        <v/>
      </c>
      <c r="C5726">
        <f>TEST_DATA!C5726</f>
        <v/>
      </c>
      <c r="D5726">
        <f>TEST_DATA!D5726</f>
        <v/>
      </c>
      <c r="E5726">
        <f>TEST_DATA!E5726</f>
        <v/>
      </c>
    </row>
    <row r="5727">
      <c r="A5727">
        <f>TEST_DATA!A5727</f>
        <v/>
      </c>
      <c r="B5727">
        <f>TEST_DATA!B5727</f>
        <v/>
      </c>
      <c r="C5727">
        <f>TEST_DATA!C5727</f>
        <v/>
      </c>
      <c r="D5727">
        <f>TEST_DATA!D5727</f>
        <v/>
      </c>
      <c r="E5727">
        <f>TEST_DATA!E5727</f>
        <v/>
      </c>
    </row>
    <row r="5728">
      <c r="A5728">
        <f>TEST_DATA!A5728</f>
        <v/>
      </c>
      <c r="B5728">
        <f>TEST_DATA!B5728</f>
        <v/>
      </c>
      <c r="C5728">
        <f>TEST_DATA!C5728</f>
        <v/>
      </c>
      <c r="D5728">
        <f>TEST_DATA!D5728</f>
        <v/>
      </c>
      <c r="E5728">
        <f>TEST_DATA!E5728</f>
        <v/>
      </c>
    </row>
    <row r="5729">
      <c r="A5729">
        <f>TEST_DATA!A5729</f>
        <v/>
      </c>
      <c r="B5729">
        <f>TEST_DATA!B5729</f>
        <v/>
      </c>
      <c r="C5729">
        <f>TEST_DATA!C5729</f>
        <v/>
      </c>
      <c r="D5729">
        <f>TEST_DATA!D5729</f>
        <v/>
      </c>
      <c r="E5729">
        <f>TEST_DATA!E5729</f>
        <v/>
      </c>
    </row>
    <row r="5730">
      <c r="A5730">
        <f>TEST_DATA!A5730</f>
        <v/>
      </c>
      <c r="B5730">
        <f>TEST_DATA!B5730</f>
        <v/>
      </c>
      <c r="C5730">
        <f>TEST_DATA!C5730</f>
        <v/>
      </c>
      <c r="D5730">
        <f>TEST_DATA!D5730</f>
        <v/>
      </c>
      <c r="E5730">
        <f>TEST_DATA!E5730</f>
        <v/>
      </c>
    </row>
    <row r="5731">
      <c r="A5731">
        <f>TEST_DATA!A5731</f>
        <v/>
      </c>
      <c r="B5731">
        <f>TEST_DATA!B5731</f>
        <v/>
      </c>
      <c r="C5731">
        <f>TEST_DATA!C5731</f>
        <v/>
      </c>
      <c r="D5731">
        <f>TEST_DATA!D5731</f>
        <v/>
      </c>
      <c r="E5731">
        <f>TEST_DATA!E5731</f>
        <v/>
      </c>
    </row>
    <row r="5732">
      <c r="A5732">
        <f>TEST_DATA!A5732</f>
        <v/>
      </c>
      <c r="B5732">
        <f>TEST_DATA!B5732</f>
        <v/>
      </c>
      <c r="C5732">
        <f>TEST_DATA!C5732</f>
        <v/>
      </c>
      <c r="D5732">
        <f>TEST_DATA!D5732</f>
        <v/>
      </c>
      <c r="E5732">
        <f>TEST_DATA!E5732</f>
        <v/>
      </c>
    </row>
    <row r="5733">
      <c r="A5733">
        <f>TEST_DATA!A5733</f>
        <v/>
      </c>
      <c r="B5733">
        <f>TEST_DATA!B5733</f>
        <v/>
      </c>
      <c r="C5733">
        <f>TEST_DATA!C5733</f>
        <v/>
      </c>
      <c r="D5733">
        <f>TEST_DATA!D5733</f>
        <v/>
      </c>
      <c r="E5733">
        <f>TEST_DATA!E5733</f>
        <v/>
      </c>
    </row>
    <row r="5734">
      <c r="A5734">
        <f>TEST_DATA!A5734</f>
        <v/>
      </c>
      <c r="B5734">
        <f>TEST_DATA!B5734</f>
        <v/>
      </c>
      <c r="C5734">
        <f>TEST_DATA!C5734</f>
        <v/>
      </c>
      <c r="D5734">
        <f>TEST_DATA!D5734</f>
        <v/>
      </c>
      <c r="E5734">
        <f>TEST_DATA!E5734</f>
        <v/>
      </c>
    </row>
    <row r="5735">
      <c r="A5735">
        <f>TEST_DATA!A5735</f>
        <v/>
      </c>
      <c r="B5735">
        <f>TEST_DATA!B5735</f>
        <v/>
      </c>
      <c r="C5735">
        <f>TEST_DATA!C5735</f>
        <v/>
      </c>
      <c r="D5735">
        <f>TEST_DATA!D5735</f>
        <v/>
      </c>
      <c r="E5735">
        <f>TEST_DATA!E5735</f>
        <v/>
      </c>
    </row>
    <row r="5736">
      <c r="A5736">
        <f>TEST_DATA!A5736</f>
        <v/>
      </c>
      <c r="B5736">
        <f>TEST_DATA!B5736</f>
        <v/>
      </c>
      <c r="C5736">
        <f>TEST_DATA!C5736</f>
        <v/>
      </c>
      <c r="D5736">
        <f>TEST_DATA!D5736</f>
        <v/>
      </c>
      <c r="E5736">
        <f>TEST_DATA!E5736</f>
        <v/>
      </c>
    </row>
    <row r="5737">
      <c r="A5737">
        <f>TEST_DATA!A5737</f>
        <v/>
      </c>
      <c r="B5737">
        <f>TEST_DATA!B5737</f>
        <v/>
      </c>
      <c r="C5737">
        <f>TEST_DATA!C5737</f>
        <v/>
      </c>
      <c r="D5737">
        <f>TEST_DATA!D5737</f>
        <v/>
      </c>
      <c r="E5737">
        <f>TEST_DATA!E5737</f>
        <v/>
      </c>
    </row>
    <row r="5738">
      <c r="A5738">
        <f>TEST_DATA!A5738</f>
        <v/>
      </c>
      <c r="B5738">
        <f>TEST_DATA!B5738</f>
        <v/>
      </c>
      <c r="C5738">
        <f>TEST_DATA!C5738</f>
        <v/>
      </c>
      <c r="D5738">
        <f>TEST_DATA!D5738</f>
        <v/>
      </c>
      <c r="E5738">
        <f>TEST_DATA!E5738</f>
        <v/>
      </c>
    </row>
    <row r="5739">
      <c r="A5739">
        <f>TEST_DATA!A5739</f>
        <v/>
      </c>
      <c r="B5739">
        <f>TEST_DATA!B5739</f>
        <v/>
      </c>
      <c r="C5739">
        <f>TEST_DATA!C5739</f>
        <v/>
      </c>
      <c r="D5739">
        <f>TEST_DATA!D5739</f>
        <v/>
      </c>
      <c r="E5739">
        <f>TEST_DATA!E5739</f>
        <v/>
      </c>
    </row>
    <row r="5740">
      <c r="A5740">
        <f>TEST_DATA!A5740</f>
        <v/>
      </c>
      <c r="B5740">
        <f>TEST_DATA!B5740</f>
        <v/>
      </c>
      <c r="C5740">
        <f>TEST_DATA!C5740</f>
        <v/>
      </c>
      <c r="D5740">
        <f>TEST_DATA!D5740</f>
        <v/>
      </c>
      <c r="E5740">
        <f>TEST_DATA!E5740</f>
        <v/>
      </c>
    </row>
    <row r="5741">
      <c r="A5741">
        <f>TEST_DATA!A5741</f>
        <v/>
      </c>
      <c r="B5741">
        <f>TEST_DATA!B5741</f>
        <v/>
      </c>
      <c r="C5741">
        <f>TEST_DATA!C5741</f>
        <v/>
      </c>
      <c r="D5741">
        <f>TEST_DATA!D5741</f>
        <v/>
      </c>
      <c r="E5741">
        <f>TEST_DATA!E5741</f>
        <v/>
      </c>
    </row>
    <row r="5742">
      <c r="A5742">
        <f>TEST_DATA!A5742</f>
        <v/>
      </c>
      <c r="B5742">
        <f>TEST_DATA!B5742</f>
        <v/>
      </c>
      <c r="C5742">
        <f>TEST_DATA!C5742</f>
        <v/>
      </c>
      <c r="D5742">
        <f>TEST_DATA!D5742</f>
        <v/>
      </c>
      <c r="E5742">
        <f>TEST_DATA!E5742</f>
        <v/>
      </c>
    </row>
    <row r="5743">
      <c r="A5743">
        <f>TEST_DATA!A5743</f>
        <v/>
      </c>
      <c r="B5743">
        <f>TEST_DATA!B5743</f>
        <v/>
      </c>
      <c r="C5743">
        <f>TEST_DATA!C5743</f>
        <v/>
      </c>
      <c r="D5743">
        <f>TEST_DATA!D5743</f>
        <v/>
      </c>
      <c r="E5743">
        <f>TEST_DATA!E5743</f>
        <v/>
      </c>
    </row>
    <row r="5744">
      <c r="A5744">
        <f>TEST_DATA!A5744</f>
        <v/>
      </c>
      <c r="B5744">
        <f>TEST_DATA!B5744</f>
        <v/>
      </c>
      <c r="C5744">
        <f>TEST_DATA!C5744</f>
        <v/>
      </c>
      <c r="D5744">
        <f>TEST_DATA!D5744</f>
        <v/>
      </c>
      <c r="E5744">
        <f>TEST_DATA!E5744</f>
        <v/>
      </c>
    </row>
    <row r="5745">
      <c r="A5745">
        <f>TEST_DATA!A5745</f>
        <v/>
      </c>
      <c r="B5745">
        <f>TEST_DATA!B5745</f>
        <v/>
      </c>
      <c r="C5745">
        <f>TEST_DATA!C5745</f>
        <v/>
      </c>
      <c r="D5745">
        <f>TEST_DATA!D5745</f>
        <v/>
      </c>
      <c r="E5745">
        <f>TEST_DATA!E5745</f>
        <v/>
      </c>
    </row>
    <row r="5746">
      <c r="A5746">
        <f>TEST_DATA!A5746</f>
        <v/>
      </c>
      <c r="B5746">
        <f>TEST_DATA!B5746</f>
        <v/>
      </c>
      <c r="C5746">
        <f>TEST_DATA!C5746</f>
        <v/>
      </c>
      <c r="D5746">
        <f>TEST_DATA!D5746</f>
        <v/>
      </c>
      <c r="E5746">
        <f>TEST_DATA!E5746</f>
        <v/>
      </c>
    </row>
    <row r="5747">
      <c r="A5747">
        <f>TEST_DATA!A5747</f>
        <v/>
      </c>
      <c r="B5747">
        <f>TEST_DATA!B5747</f>
        <v/>
      </c>
      <c r="C5747">
        <f>TEST_DATA!C5747</f>
        <v/>
      </c>
      <c r="D5747">
        <f>TEST_DATA!D5747</f>
        <v/>
      </c>
      <c r="E5747">
        <f>TEST_DATA!E5747</f>
        <v/>
      </c>
    </row>
    <row r="5748">
      <c r="A5748">
        <f>TEST_DATA!A5748</f>
        <v/>
      </c>
      <c r="B5748">
        <f>TEST_DATA!B5748</f>
        <v/>
      </c>
      <c r="C5748">
        <f>TEST_DATA!C5748</f>
        <v/>
      </c>
      <c r="D5748">
        <f>TEST_DATA!D5748</f>
        <v/>
      </c>
      <c r="E5748">
        <f>TEST_DATA!E5748</f>
        <v/>
      </c>
    </row>
    <row r="5749">
      <c r="A5749">
        <f>TEST_DATA!A5749</f>
        <v/>
      </c>
      <c r="B5749">
        <f>TEST_DATA!B5749</f>
        <v/>
      </c>
      <c r="C5749">
        <f>TEST_DATA!C5749</f>
        <v/>
      </c>
      <c r="D5749">
        <f>TEST_DATA!D5749</f>
        <v/>
      </c>
      <c r="E5749">
        <f>TEST_DATA!E5749</f>
        <v/>
      </c>
    </row>
    <row r="5750">
      <c r="A5750">
        <f>TEST_DATA!A5750</f>
        <v/>
      </c>
      <c r="B5750">
        <f>TEST_DATA!B5750</f>
        <v/>
      </c>
      <c r="C5750">
        <f>TEST_DATA!C5750</f>
        <v/>
      </c>
      <c r="D5750">
        <f>TEST_DATA!D5750</f>
        <v/>
      </c>
      <c r="E5750">
        <f>TEST_DATA!E5750</f>
        <v/>
      </c>
    </row>
    <row r="5751">
      <c r="A5751">
        <f>TEST_DATA!A5751</f>
        <v/>
      </c>
      <c r="B5751">
        <f>TEST_DATA!B5751</f>
        <v/>
      </c>
      <c r="C5751">
        <f>TEST_DATA!C5751</f>
        <v/>
      </c>
      <c r="D5751">
        <f>TEST_DATA!D5751</f>
        <v/>
      </c>
      <c r="E5751">
        <f>TEST_DATA!E5751</f>
        <v/>
      </c>
    </row>
    <row r="5752">
      <c r="A5752">
        <f>TEST_DATA!A5752</f>
        <v/>
      </c>
      <c r="B5752">
        <f>TEST_DATA!B5752</f>
        <v/>
      </c>
      <c r="C5752">
        <f>TEST_DATA!C5752</f>
        <v/>
      </c>
      <c r="D5752">
        <f>TEST_DATA!D5752</f>
        <v/>
      </c>
      <c r="E5752">
        <f>TEST_DATA!E5752</f>
        <v/>
      </c>
    </row>
    <row r="5753">
      <c r="A5753">
        <f>TEST_DATA!A5753</f>
        <v/>
      </c>
      <c r="B5753">
        <f>TEST_DATA!B5753</f>
        <v/>
      </c>
      <c r="C5753">
        <f>TEST_DATA!C5753</f>
        <v/>
      </c>
      <c r="D5753">
        <f>TEST_DATA!D5753</f>
        <v/>
      </c>
      <c r="E5753">
        <f>TEST_DATA!E5753</f>
        <v/>
      </c>
    </row>
    <row r="5754">
      <c r="A5754">
        <f>TEST_DATA!A5754</f>
        <v/>
      </c>
      <c r="B5754">
        <f>TEST_DATA!B5754</f>
        <v/>
      </c>
      <c r="C5754">
        <f>TEST_DATA!C5754</f>
        <v/>
      </c>
      <c r="D5754">
        <f>TEST_DATA!D5754</f>
        <v/>
      </c>
      <c r="E5754">
        <f>TEST_DATA!E5754</f>
        <v/>
      </c>
    </row>
    <row r="5755">
      <c r="A5755">
        <f>TEST_DATA!A5755</f>
        <v/>
      </c>
      <c r="B5755">
        <f>TEST_DATA!B5755</f>
        <v/>
      </c>
      <c r="C5755">
        <f>TEST_DATA!C5755</f>
        <v/>
      </c>
      <c r="D5755">
        <f>TEST_DATA!D5755</f>
        <v/>
      </c>
      <c r="E5755">
        <f>TEST_DATA!E5755</f>
        <v/>
      </c>
    </row>
    <row r="5756">
      <c r="A5756">
        <f>TEST_DATA!A5756</f>
        <v/>
      </c>
      <c r="B5756">
        <f>TEST_DATA!B5756</f>
        <v/>
      </c>
      <c r="C5756">
        <f>TEST_DATA!C5756</f>
        <v/>
      </c>
      <c r="D5756">
        <f>TEST_DATA!D5756</f>
        <v/>
      </c>
      <c r="E5756">
        <f>TEST_DATA!E5756</f>
        <v/>
      </c>
    </row>
    <row r="5757">
      <c r="A5757">
        <f>TEST_DATA!A5757</f>
        <v/>
      </c>
      <c r="B5757">
        <f>TEST_DATA!B5757</f>
        <v/>
      </c>
      <c r="C5757">
        <f>TEST_DATA!C5757</f>
        <v/>
      </c>
      <c r="D5757">
        <f>TEST_DATA!D5757</f>
        <v/>
      </c>
      <c r="E5757">
        <f>TEST_DATA!E5757</f>
        <v/>
      </c>
    </row>
    <row r="5758">
      <c r="A5758">
        <f>TEST_DATA!A5758</f>
        <v/>
      </c>
      <c r="B5758">
        <f>TEST_DATA!B5758</f>
        <v/>
      </c>
      <c r="C5758">
        <f>TEST_DATA!C5758</f>
        <v/>
      </c>
      <c r="D5758">
        <f>TEST_DATA!D5758</f>
        <v/>
      </c>
      <c r="E5758">
        <f>TEST_DATA!E5758</f>
        <v/>
      </c>
    </row>
    <row r="5759">
      <c r="A5759">
        <f>TEST_DATA!A5759</f>
        <v/>
      </c>
      <c r="B5759">
        <f>TEST_DATA!B5759</f>
        <v/>
      </c>
      <c r="C5759">
        <f>TEST_DATA!C5759</f>
        <v/>
      </c>
      <c r="D5759">
        <f>TEST_DATA!D5759</f>
        <v/>
      </c>
      <c r="E5759">
        <f>TEST_DATA!E5759</f>
        <v/>
      </c>
    </row>
    <row r="5760">
      <c r="A5760">
        <f>TEST_DATA!A5760</f>
        <v/>
      </c>
      <c r="B5760">
        <f>TEST_DATA!B5760</f>
        <v/>
      </c>
      <c r="C5760">
        <f>TEST_DATA!C5760</f>
        <v/>
      </c>
      <c r="D5760">
        <f>TEST_DATA!D5760</f>
        <v/>
      </c>
      <c r="E5760">
        <f>TEST_DATA!E5760</f>
        <v/>
      </c>
    </row>
    <row r="5761">
      <c r="A5761">
        <f>TEST_DATA!A5761</f>
        <v/>
      </c>
      <c r="B5761">
        <f>TEST_DATA!B5761</f>
        <v/>
      </c>
      <c r="C5761">
        <f>TEST_DATA!C5761</f>
        <v/>
      </c>
      <c r="D5761">
        <f>TEST_DATA!D5761</f>
        <v/>
      </c>
      <c r="E5761">
        <f>TEST_DATA!E5761</f>
        <v/>
      </c>
    </row>
    <row r="5762">
      <c r="A5762">
        <f>TEST_DATA!A5762</f>
        <v/>
      </c>
      <c r="B5762">
        <f>TEST_DATA!B5762</f>
        <v/>
      </c>
      <c r="C5762">
        <f>TEST_DATA!C5762</f>
        <v/>
      </c>
      <c r="D5762">
        <f>TEST_DATA!D5762</f>
        <v/>
      </c>
      <c r="E5762">
        <f>TEST_DATA!E5762</f>
        <v/>
      </c>
    </row>
    <row r="5763">
      <c r="A5763">
        <f>TEST_DATA!A5763</f>
        <v/>
      </c>
      <c r="B5763">
        <f>TEST_DATA!B5763</f>
        <v/>
      </c>
      <c r="C5763">
        <f>TEST_DATA!C5763</f>
        <v/>
      </c>
      <c r="D5763">
        <f>TEST_DATA!D5763</f>
        <v/>
      </c>
      <c r="E5763">
        <f>TEST_DATA!E5763</f>
        <v/>
      </c>
    </row>
    <row r="5764">
      <c r="A5764">
        <f>TEST_DATA!A5764</f>
        <v/>
      </c>
      <c r="B5764">
        <f>TEST_DATA!B5764</f>
        <v/>
      </c>
      <c r="C5764">
        <f>TEST_DATA!C5764</f>
        <v/>
      </c>
      <c r="D5764">
        <f>TEST_DATA!D5764</f>
        <v/>
      </c>
      <c r="E5764">
        <f>TEST_DATA!E5764</f>
        <v/>
      </c>
    </row>
    <row r="5765">
      <c r="A5765">
        <f>TEST_DATA!A5765</f>
        <v/>
      </c>
      <c r="B5765">
        <f>TEST_DATA!B5765</f>
        <v/>
      </c>
      <c r="C5765">
        <f>TEST_DATA!C5765</f>
        <v/>
      </c>
      <c r="D5765">
        <f>TEST_DATA!D5765</f>
        <v/>
      </c>
      <c r="E5765">
        <f>TEST_DATA!E5765</f>
        <v/>
      </c>
    </row>
    <row r="5766">
      <c r="A5766">
        <f>TEST_DATA!A5766</f>
        <v/>
      </c>
      <c r="B5766">
        <f>TEST_DATA!B5766</f>
        <v/>
      </c>
      <c r="C5766">
        <f>TEST_DATA!C5766</f>
        <v/>
      </c>
      <c r="D5766">
        <f>TEST_DATA!D5766</f>
        <v/>
      </c>
      <c r="E5766">
        <f>TEST_DATA!E5766</f>
        <v/>
      </c>
    </row>
    <row r="5767">
      <c r="A5767">
        <f>TEST_DATA!A5767</f>
        <v/>
      </c>
      <c r="B5767">
        <f>TEST_DATA!B5767</f>
        <v/>
      </c>
      <c r="C5767">
        <f>TEST_DATA!C5767</f>
        <v/>
      </c>
      <c r="D5767">
        <f>TEST_DATA!D5767</f>
        <v/>
      </c>
      <c r="E5767">
        <f>TEST_DATA!E5767</f>
        <v/>
      </c>
    </row>
    <row r="5768">
      <c r="A5768">
        <f>TEST_DATA!A5768</f>
        <v/>
      </c>
      <c r="B5768">
        <f>TEST_DATA!B5768</f>
        <v/>
      </c>
      <c r="C5768">
        <f>TEST_DATA!C5768</f>
        <v/>
      </c>
      <c r="D5768">
        <f>TEST_DATA!D5768</f>
        <v/>
      </c>
      <c r="E5768">
        <f>TEST_DATA!E5768</f>
        <v/>
      </c>
    </row>
    <row r="5769">
      <c r="A5769">
        <f>TEST_DATA!A5769</f>
        <v/>
      </c>
      <c r="B5769">
        <f>TEST_DATA!B5769</f>
        <v/>
      </c>
      <c r="C5769">
        <f>TEST_DATA!C5769</f>
        <v/>
      </c>
      <c r="D5769">
        <f>TEST_DATA!D5769</f>
        <v/>
      </c>
      <c r="E5769">
        <f>TEST_DATA!E5769</f>
        <v/>
      </c>
    </row>
    <row r="5770">
      <c r="A5770">
        <f>TEST_DATA!A5770</f>
        <v/>
      </c>
      <c r="B5770">
        <f>TEST_DATA!B5770</f>
        <v/>
      </c>
      <c r="C5770">
        <f>TEST_DATA!C5770</f>
        <v/>
      </c>
      <c r="D5770">
        <f>TEST_DATA!D5770</f>
        <v/>
      </c>
      <c r="E5770">
        <f>TEST_DATA!E5770</f>
        <v/>
      </c>
    </row>
    <row r="5771">
      <c r="A5771">
        <f>TEST_DATA!A5771</f>
        <v/>
      </c>
      <c r="B5771">
        <f>TEST_DATA!B5771</f>
        <v/>
      </c>
      <c r="C5771">
        <f>TEST_DATA!C5771</f>
        <v/>
      </c>
      <c r="D5771">
        <f>TEST_DATA!D5771</f>
        <v/>
      </c>
      <c r="E5771">
        <f>TEST_DATA!E5771</f>
        <v/>
      </c>
    </row>
    <row r="5772">
      <c r="A5772">
        <f>TEST_DATA!A5772</f>
        <v/>
      </c>
      <c r="B5772">
        <f>TEST_DATA!B5772</f>
        <v/>
      </c>
      <c r="C5772">
        <f>TEST_DATA!C5772</f>
        <v/>
      </c>
      <c r="D5772">
        <f>TEST_DATA!D5772</f>
        <v/>
      </c>
      <c r="E5772">
        <f>TEST_DATA!E5772</f>
        <v/>
      </c>
    </row>
    <row r="5773">
      <c r="A5773">
        <f>TEST_DATA!A5773</f>
        <v/>
      </c>
      <c r="B5773">
        <f>TEST_DATA!B5773</f>
        <v/>
      </c>
      <c r="C5773">
        <f>TEST_DATA!C5773</f>
        <v/>
      </c>
      <c r="D5773">
        <f>TEST_DATA!D5773</f>
        <v/>
      </c>
      <c r="E5773">
        <f>TEST_DATA!E5773</f>
        <v/>
      </c>
    </row>
    <row r="5774">
      <c r="A5774">
        <f>TEST_DATA!A5774</f>
        <v/>
      </c>
      <c r="B5774">
        <f>TEST_DATA!B5774</f>
        <v/>
      </c>
      <c r="C5774">
        <f>TEST_DATA!C5774</f>
        <v/>
      </c>
      <c r="D5774">
        <f>TEST_DATA!D5774</f>
        <v/>
      </c>
      <c r="E5774">
        <f>TEST_DATA!E5774</f>
        <v/>
      </c>
    </row>
    <row r="5775">
      <c r="A5775">
        <f>TEST_DATA!A5775</f>
        <v/>
      </c>
      <c r="B5775">
        <f>TEST_DATA!B5775</f>
        <v/>
      </c>
      <c r="C5775">
        <f>TEST_DATA!C5775</f>
        <v/>
      </c>
      <c r="D5775">
        <f>TEST_DATA!D5775</f>
        <v/>
      </c>
      <c r="E5775">
        <f>TEST_DATA!E5775</f>
        <v/>
      </c>
    </row>
    <row r="5776">
      <c r="A5776">
        <f>TEST_DATA!A5776</f>
        <v/>
      </c>
      <c r="B5776">
        <f>TEST_DATA!B5776</f>
        <v/>
      </c>
      <c r="C5776">
        <f>TEST_DATA!C5776</f>
        <v/>
      </c>
      <c r="D5776">
        <f>TEST_DATA!D5776</f>
        <v/>
      </c>
      <c r="E5776">
        <f>TEST_DATA!E5776</f>
        <v/>
      </c>
    </row>
    <row r="5777">
      <c r="A5777">
        <f>TEST_DATA!A5777</f>
        <v/>
      </c>
      <c r="B5777">
        <f>TEST_DATA!B5777</f>
        <v/>
      </c>
      <c r="C5777">
        <f>TEST_DATA!C5777</f>
        <v/>
      </c>
      <c r="D5777">
        <f>TEST_DATA!D5777</f>
        <v/>
      </c>
      <c r="E5777">
        <f>TEST_DATA!E5777</f>
        <v/>
      </c>
    </row>
    <row r="5778">
      <c r="A5778">
        <f>TEST_DATA!A5778</f>
        <v/>
      </c>
      <c r="B5778">
        <f>TEST_DATA!B5778</f>
        <v/>
      </c>
      <c r="C5778">
        <f>TEST_DATA!C5778</f>
        <v/>
      </c>
      <c r="D5778">
        <f>TEST_DATA!D5778</f>
        <v/>
      </c>
      <c r="E5778">
        <f>TEST_DATA!E5778</f>
        <v/>
      </c>
    </row>
    <row r="5779">
      <c r="A5779">
        <f>TEST_DATA!A5779</f>
        <v/>
      </c>
      <c r="B5779">
        <f>TEST_DATA!B5779</f>
        <v/>
      </c>
      <c r="C5779">
        <f>TEST_DATA!C5779</f>
        <v/>
      </c>
      <c r="D5779">
        <f>TEST_DATA!D5779</f>
        <v/>
      </c>
      <c r="E5779">
        <f>TEST_DATA!E5779</f>
        <v/>
      </c>
    </row>
    <row r="5780">
      <c r="A5780">
        <f>TEST_DATA!A5780</f>
        <v/>
      </c>
      <c r="B5780">
        <f>TEST_DATA!B5780</f>
        <v/>
      </c>
      <c r="C5780">
        <f>TEST_DATA!C5780</f>
        <v/>
      </c>
      <c r="D5780">
        <f>TEST_DATA!D5780</f>
        <v/>
      </c>
      <c r="E5780">
        <f>TEST_DATA!E5780</f>
        <v/>
      </c>
    </row>
    <row r="5781">
      <c r="A5781">
        <f>TEST_DATA!A5781</f>
        <v/>
      </c>
      <c r="B5781">
        <f>TEST_DATA!B5781</f>
        <v/>
      </c>
      <c r="C5781">
        <f>TEST_DATA!C5781</f>
        <v/>
      </c>
      <c r="D5781">
        <f>TEST_DATA!D5781</f>
        <v/>
      </c>
      <c r="E5781">
        <f>TEST_DATA!E5781</f>
        <v/>
      </c>
    </row>
    <row r="5782">
      <c r="A5782">
        <f>TEST_DATA!A5782</f>
        <v/>
      </c>
      <c r="B5782">
        <f>TEST_DATA!B5782</f>
        <v/>
      </c>
      <c r="C5782">
        <f>TEST_DATA!C5782</f>
        <v/>
      </c>
      <c r="D5782">
        <f>TEST_DATA!D5782</f>
        <v/>
      </c>
      <c r="E5782">
        <f>TEST_DATA!E5782</f>
        <v/>
      </c>
    </row>
    <row r="5783">
      <c r="A5783">
        <f>TEST_DATA!A5783</f>
        <v/>
      </c>
      <c r="B5783">
        <f>TEST_DATA!B5783</f>
        <v/>
      </c>
      <c r="C5783">
        <f>TEST_DATA!C5783</f>
        <v/>
      </c>
      <c r="D5783">
        <f>TEST_DATA!D5783</f>
        <v/>
      </c>
      <c r="E5783">
        <f>TEST_DATA!E5783</f>
        <v/>
      </c>
    </row>
    <row r="5784">
      <c r="A5784">
        <f>TEST_DATA!A5784</f>
        <v/>
      </c>
      <c r="B5784">
        <f>TEST_DATA!B5784</f>
        <v/>
      </c>
      <c r="C5784">
        <f>TEST_DATA!C5784</f>
        <v/>
      </c>
      <c r="D5784">
        <f>TEST_DATA!D5784</f>
        <v/>
      </c>
      <c r="E5784">
        <f>TEST_DATA!E5784</f>
        <v/>
      </c>
    </row>
    <row r="5785">
      <c r="A5785">
        <f>TEST_DATA!A5785</f>
        <v/>
      </c>
      <c r="B5785">
        <f>TEST_DATA!B5785</f>
        <v/>
      </c>
      <c r="C5785">
        <f>TEST_DATA!C5785</f>
        <v/>
      </c>
      <c r="D5785">
        <f>TEST_DATA!D5785</f>
        <v/>
      </c>
      <c r="E5785">
        <f>TEST_DATA!E5785</f>
        <v/>
      </c>
    </row>
    <row r="5786">
      <c r="A5786">
        <f>TEST_DATA!A5786</f>
        <v/>
      </c>
      <c r="B5786">
        <f>TEST_DATA!B5786</f>
        <v/>
      </c>
      <c r="C5786">
        <f>TEST_DATA!C5786</f>
        <v/>
      </c>
      <c r="D5786">
        <f>TEST_DATA!D5786</f>
        <v/>
      </c>
      <c r="E5786">
        <f>TEST_DATA!E5786</f>
        <v/>
      </c>
    </row>
    <row r="5787">
      <c r="A5787">
        <f>TEST_DATA!A5787</f>
        <v/>
      </c>
      <c r="B5787">
        <f>TEST_DATA!B5787</f>
        <v/>
      </c>
      <c r="C5787">
        <f>TEST_DATA!C5787</f>
        <v/>
      </c>
      <c r="D5787">
        <f>TEST_DATA!D5787</f>
        <v/>
      </c>
      <c r="E5787">
        <f>TEST_DATA!E5787</f>
        <v/>
      </c>
    </row>
    <row r="5788">
      <c r="A5788">
        <f>TEST_DATA!A5788</f>
        <v/>
      </c>
      <c r="B5788">
        <f>TEST_DATA!B5788</f>
        <v/>
      </c>
      <c r="C5788">
        <f>TEST_DATA!C5788</f>
        <v/>
      </c>
      <c r="D5788">
        <f>TEST_DATA!D5788</f>
        <v/>
      </c>
      <c r="E5788">
        <f>TEST_DATA!E5788</f>
        <v/>
      </c>
    </row>
    <row r="5789">
      <c r="A5789">
        <f>TEST_DATA!A5789</f>
        <v/>
      </c>
      <c r="B5789">
        <f>TEST_DATA!B5789</f>
        <v/>
      </c>
      <c r="C5789">
        <f>TEST_DATA!C5789</f>
        <v/>
      </c>
      <c r="D5789">
        <f>TEST_DATA!D5789</f>
        <v/>
      </c>
      <c r="E5789">
        <f>TEST_DATA!E5789</f>
        <v/>
      </c>
    </row>
    <row r="5790">
      <c r="A5790">
        <f>TEST_DATA!A5790</f>
        <v/>
      </c>
      <c r="B5790">
        <f>TEST_DATA!B5790</f>
        <v/>
      </c>
      <c r="C5790">
        <f>TEST_DATA!C5790</f>
        <v/>
      </c>
      <c r="D5790">
        <f>TEST_DATA!D5790</f>
        <v/>
      </c>
      <c r="E5790">
        <f>TEST_DATA!E5790</f>
        <v/>
      </c>
    </row>
    <row r="5791">
      <c r="A5791">
        <f>TEST_DATA!A5791</f>
        <v/>
      </c>
      <c r="B5791">
        <f>TEST_DATA!B5791</f>
        <v/>
      </c>
      <c r="C5791">
        <f>TEST_DATA!C5791</f>
        <v/>
      </c>
      <c r="D5791">
        <f>TEST_DATA!D5791</f>
        <v/>
      </c>
      <c r="E5791">
        <f>TEST_DATA!E5791</f>
        <v/>
      </c>
    </row>
    <row r="5792">
      <c r="A5792">
        <f>TEST_DATA!A5792</f>
        <v/>
      </c>
      <c r="B5792">
        <f>TEST_DATA!B5792</f>
        <v/>
      </c>
      <c r="C5792">
        <f>TEST_DATA!C5792</f>
        <v/>
      </c>
      <c r="D5792">
        <f>TEST_DATA!D5792</f>
        <v/>
      </c>
      <c r="E5792">
        <f>TEST_DATA!E5792</f>
        <v/>
      </c>
    </row>
    <row r="5793">
      <c r="A5793">
        <f>TEST_DATA!A5793</f>
        <v/>
      </c>
      <c r="B5793">
        <f>TEST_DATA!B5793</f>
        <v/>
      </c>
      <c r="C5793">
        <f>TEST_DATA!C5793</f>
        <v/>
      </c>
      <c r="D5793">
        <f>TEST_DATA!D5793</f>
        <v/>
      </c>
      <c r="E5793">
        <f>TEST_DATA!E5793</f>
        <v/>
      </c>
    </row>
    <row r="5794">
      <c r="A5794">
        <f>TEST_DATA!A5794</f>
        <v/>
      </c>
      <c r="B5794">
        <f>TEST_DATA!B5794</f>
        <v/>
      </c>
      <c r="C5794">
        <f>TEST_DATA!C5794</f>
        <v/>
      </c>
      <c r="D5794">
        <f>TEST_DATA!D5794</f>
        <v/>
      </c>
      <c r="E5794">
        <f>TEST_DATA!E5794</f>
        <v/>
      </c>
    </row>
    <row r="5795">
      <c r="A5795">
        <f>TEST_DATA!A5795</f>
        <v/>
      </c>
      <c r="B5795">
        <f>TEST_DATA!B5795</f>
        <v/>
      </c>
      <c r="C5795">
        <f>TEST_DATA!C5795</f>
        <v/>
      </c>
      <c r="D5795">
        <f>TEST_DATA!D5795</f>
        <v/>
      </c>
      <c r="E5795">
        <f>TEST_DATA!E5795</f>
        <v/>
      </c>
    </row>
    <row r="5796">
      <c r="A5796">
        <f>TEST_DATA!A5796</f>
        <v/>
      </c>
      <c r="B5796">
        <f>TEST_DATA!B5796</f>
        <v/>
      </c>
      <c r="C5796">
        <f>TEST_DATA!C5796</f>
        <v/>
      </c>
      <c r="D5796">
        <f>TEST_DATA!D5796</f>
        <v/>
      </c>
      <c r="E5796">
        <f>TEST_DATA!E5796</f>
        <v/>
      </c>
    </row>
    <row r="5797">
      <c r="A5797">
        <f>TEST_DATA!A5797</f>
        <v/>
      </c>
      <c r="B5797">
        <f>TEST_DATA!B5797</f>
        <v/>
      </c>
      <c r="C5797">
        <f>TEST_DATA!C5797</f>
        <v/>
      </c>
      <c r="D5797">
        <f>TEST_DATA!D5797</f>
        <v/>
      </c>
      <c r="E5797">
        <f>TEST_DATA!E5797</f>
        <v/>
      </c>
    </row>
    <row r="5798">
      <c r="A5798">
        <f>TEST_DATA!A5798</f>
        <v/>
      </c>
      <c r="B5798">
        <f>TEST_DATA!B5798</f>
        <v/>
      </c>
      <c r="C5798">
        <f>TEST_DATA!C5798</f>
        <v/>
      </c>
      <c r="D5798">
        <f>TEST_DATA!D5798</f>
        <v/>
      </c>
      <c r="E5798">
        <f>TEST_DATA!E5798</f>
        <v/>
      </c>
    </row>
    <row r="5799">
      <c r="A5799">
        <f>TEST_DATA!A5799</f>
        <v/>
      </c>
      <c r="B5799">
        <f>TEST_DATA!B5799</f>
        <v/>
      </c>
      <c r="C5799">
        <f>TEST_DATA!C5799</f>
        <v/>
      </c>
      <c r="D5799">
        <f>TEST_DATA!D5799</f>
        <v/>
      </c>
      <c r="E5799">
        <f>TEST_DATA!E5799</f>
        <v/>
      </c>
    </row>
    <row r="5800">
      <c r="A5800">
        <f>TEST_DATA!A5800</f>
        <v/>
      </c>
      <c r="B5800">
        <f>TEST_DATA!B5800</f>
        <v/>
      </c>
      <c r="C5800">
        <f>TEST_DATA!C5800</f>
        <v/>
      </c>
      <c r="D5800">
        <f>TEST_DATA!D5800</f>
        <v/>
      </c>
      <c r="E5800">
        <f>TEST_DATA!E5800</f>
        <v/>
      </c>
    </row>
    <row r="5801">
      <c r="A5801">
        <f>TEST_DATA!A5801</f>
        <v/>
      </c>
      <c r="B5801">
        <f>TEST_DATA!B5801</f>
        <v/>
      </c>
      <c r="C5801">
        <f>TEST_DATA!C5801</f>
        <v/>
      </c>
      <c r="D5801">
        <f>TEST_DATA!D5801</f>
        <v/>
      </c>
      <c r="E5801">
        <f>TEST_DATA!E5801</f>
        <v/>
      </c>
    </row>
    <row r="5802">
      <c r="A5802">
        <f>TEST_DATA!A5802</f>
        <v/>
      </c>
      <c r="B5802">
        <f>TEST_DATA!B5802</f>
        <v/>
      </c>
      <c r="C5802">
        <f>TEST_DATA!C5802</f>
        <v/>
      </c>
      <c r="D5802">
        <f>TEST_DATA!D5802</f>
        <v/>
      </c>
      <c r="E5802">
        <f>TEST_DATA!E5802</f>
        <v/>
      </c>
    </row>
    <row r="5803">
      <c r="A5803">
        <f>TEST_DATA!A5803</f>
        <v/>
      </c>
      <c r="B5803">
        <f>TEST_DATA!B5803</f>
        <v/>
      </c>
      <c r="C5803">
        <f>TEST_DATA!C5803</f>
        <v/>
      </c>
      <c r="D5803">
        <f>TEST_DATA!D5803</f>
        <v/>
      </c>
      <c r="E5803">
        <f>TEST_DATA!E5803</f>
        <v/>
      </c>
    </row>
    <row r="5804">
      <c r="A5804">
        <f>TEST_DATA!A5804</f>
        <v/>
      </c>
      <c r="B5804">
        <f>TEST_DATA!B5804</f>
        <v/>
      </c>
      <c r="C5804">
        <f>TEST_DATA!C5804</f>
        <v/>
      </c>
      <c r="D5804">
        <f>TEST_DATA!D5804</f>
        <v/>
      </c>
      <c r="E5804">
        <f>TEST_DATA!E5804</f>
        <v/>
      </c>
    </row>
    <row r="5805">
      <c r="A5805">
        <f>TEST_DATA!A5805</f>
        <v/>
      </c>
      <c r="B5805">
        <f>TEST_DATA!B5805</f>
        <v/>
      </c>
      <c r="C5805">
        <f>TEST_DATA!C5805</f>
        <v/>
      </c>
      <c r="D5805">
        <f>TEST_DATA!D5805</f>
        <v/>
      </c>
      <c r="E5805">
        <f>TEST_DATA!E5805</f>
        <v/>
      </c>
    </row>
    <row r="5806">
      <c r="A5806">
        <f>TEST_DATA!A5806</f>
        <v/>
      </c>
      <c r="B5806">
        <f>TEST_DATA!B5806</f>
        <v/>
      </c>
      <c r="C5806">
        <f>TEST_DATA!C5806</f>
        <v/>
      </c>
      <c r="D5806">
        <f>TEST_DATA!D5806</f>
        <v/>
      </c>
      <c r="E5806">
        <f>TEST_DATA!E5806</f>
        <v/>
      </c>
    </row>
    <row r="5807">
      <c r="A5807">
        <f>TEST_DATA!A5807</f>
        <v/>
      </c>
      <c r="B5807">
        <f>TEST_DATA!B5807</f>
        <v/>
      </c>
      <c r="C5807">
        <f>TEST_DATA!C5807</f>
        <v/>
      </c>
      <c r="D5807">
        <f>TEST_DATA!D5807</f>
        <v/>
      </c>
      <c r="E5807">
        <f>TEST_DATA!E5807</f>
        <v/>
      </c>
    </row>
    <row r="5808">
      <c r="A5808">
        <f>TEST_DATA!A5808</f>
        <v/>
      </c>
      <c r="B5808">
        <f>TEST_DATA!B5808</f>
        <v/>
      </c>
      <c r="C5808">
        <f>TEST_DATA!C5808</f>
        <v/>
      </c>
      <c r="D5808">
        <f>TEST_DATA!D5808</f>
        <v/>
      </c>
      <c r="E5808">
        <f>TEST_DATA!E5808</f>
        <v/>
      </c>
    </row>
    <row r="5809">
      <c r="A5809">
        <f>TEST_DATA!A5809</f>
        <v/>
      </c>
      <c r="B5809">
        <f>TEST_DATA!B5809</f>
        <v/>
      </c>
      <c r="C5809">
        <f>TEST_DATA!C5809</f>
        <v/>
      </c>
      <c r="D5809">
        <f>TEST_DATA!D5809</f>
        <v/>
      </c>
      <c r="E5809">
        <f>TEST_DATA!E5809</f>
        <v/>
      </c>
    </row>
    <row r="5810">
      <c r="A5810">
        <f>TEST_DATA!A5810</f>
        <v/>
      </c>
      <c r="B5810">
        <f>TEST_DATA!B5810</f>
        <v/>
      </c>
      <c r="C5810">
        <f>TEST_DATA!C5810</f>
        <v/>
      </c>
      <c r="D5810">
        <f>TEST_DATA!D5810</f>
        <v/>
      </c>
      <c r="E5810">
        <f>TEST_DATA!E5810</f>
        <v/>
      </c>
    </row>
    <row r="5811">
      <c r="A5811">
        <f>TEST_DATA!A5811</f>
        <v/>
      </c>
      <c r="B5811">
        <f>TEST_DATA!B5811</f>
        <v/>
      </c>
      <c r="C5811">
        <f>TEST_DATA!C5811</f>
        <v/>
      </c>
      <c r="D5811">
        <f>TEST_DATA!D5811</f>
        <v/>
      </c>
      <c r="E5811">
        <f>TEST_DATA!E5811</f>
        <v/>
      </c>
    </row>
    <row r="5812">
      <c r="A5812">
        <f>TEST_DATA!A5812</f>
        <v/>
      </c>
      <c r="B5812">
        <f>TEST_DATA!B5812</f>
        <v/>
      </c>
      <c r="C5812">
        <f>TEST_DATA!C5812</f>
        <v/>
      </c>
      <c r="D5812">
        <f>TEST_DATA!D5812</f>
        <v/>
      </c>
      <c r="E5812">
        <f>TEST_DATA!E5812</f>
        <v/>
      </c>
    </row>
    <row r="5813">
      <c r="A5813">
        <f>TEST_DATA!A5813</f>
        <v/>
      </c>
      <c r="B5813">
        <f>TEST_DATA!B5813</f>
        <v/>
      </c>
      <c r="C5813">
        <f>TEST_DATA!C5813</f>
        <v/>
      </c>
      <c r="D5813">
        <f>TEST_DATA!D5813</f>
        <v/>
      </c>
      <c r="E5813">
        <f>TEST_DATA!E5813</f>
        <v/>
      </c>
    </row>
    <row r="5814">
      <c r="A5814">
        <f>TEST_DATA!A5814</f>
        <v/>
      </c>
      <c r="B5814">
        <f>TEST_DATA!B5814</f>
        <v/>
      </c>
      <c r="C5814">
        <f>TEST_DATA!C5814</f>
        <v/>
      </c>
      <c r="D5814">
        <f>TEST_DATA!D5814</f>
        <v/>
      </c>
      <c r="E5814">
        <f>TEST_DATA!E5814</f>
        <v/>
      </c>
    </row>
    <row r="5815">
      <c r="A5815">
        <f>TEST_DATA!A5815</f>
        <v/>
      </c>
      <c r="B5815">
        <f>TEST_DATA!B5815</f>
        <v/>
      </c>
      <c r="C5815">
        <f>TEST_DATA!C5815</f>
        <v/>
      </c>
      <c r="D5815">
        <f>TEST_DATA!D5815</f>
        <v/>
      </c>
      <c r="E5815">
        <f>TEST_DATA!E5815</f>
        <v/>
      </c>
    </row>
    <row r="5816">
      <c r="A5816">
        <f>TEST_DATA!A5816</f>
        <v/>
      </c>
      <c r="B5816">
        <f>TEST_DATA!B5816</f>
        <v/>
      </c>
      <c r="C5816">
        <f>TEST_DATA!C5816</f>
        <v/>
      </c>
      <c r="D5816">
        <f>TEST_DATA!D5816</f>
        <v/>
      </c>
      <c r="E5816">
        <f>TEST_DATA!E5816</f>
        <v/>
      </c>
    </row>
    <row r="5817">
      <c r="A5817">
        <f>TEST_DATA!A5817</f>
        <v/>
      </c>
      <c r="B5817">
        <f>TEST_DATA!B5817</f>
        <v/>
      </c>
      <c r="C5817">
        <f>TEST_DATA!C5817</f>
        <v/>
      </c>
      <c r="D5817">
        <f>TEST_DATA!D5817</f>
        <v/>
      </c>
      <c r="E5817">
        <f>TEST_DATA!E5817</f>
        <v/>
      </c>
    </row>
    <row r="5818">
      <c r="A5818">
        <f>TEST_DATA!A5818</f>
        <v/>
      </c>
      <c r="B5818">
        <f>TEST_DATA!B5818</f>
        <v/>
      </c>
      <c r="C5818">
        <f>TEST_DATA!C5818</f>
        <v/>
      </c>
      <c r="D5818">
        <f>TEST_DATA!D5818</f>
        <v/>
      </c>
      <c r="E5818">
        <f>TEST_DATA!E5818</f>
        <v/>
      </c>
    </row>
    <row r="5819">
      <c r="A5819">
        <f>TEST_DATA!A5819</f>
        <v/>
      </c>
      <c r="B5819">
        <f>TEST_DATA!B5819</f>
        <v/>
      </c>
      <c r="C5819">
        <f>TEST_DATA!C5819</f>
        <v/>
      </c>
      <c r="D5819">
        <f>TEST_DATA!D5819</f>
        <v/>
      </c>
      <c r="E5819">
        <f>TEST_DATA!E5819</f>
        <v/>
      </c>
    </row>
    <row r="5820">
      <c r="A5820">
        <f>TEST_DATA!A5820</f>
        <v/>
      </c>
      <c r="B5820">
        <f>TEST_DATA!B5820</f>
        <v/>
      </c>
      <c r="C5820">
        <f>TEST_DATA!C5820</f>
        <v/>
      </c>
      <c r="D5820">
        <f>TEST_DATA!D5820</f>
        <v/>
      </c>
      <c r="E5820">
        <f>TEST_DATA!E5820</f>
        <v/>
      </c>
    </row>
    <row r="5821">
      <c r="A5821">
        <f>TEST_DATA!A5821</f>
        <v/>
      </c>
      <c r="B5821">
        <f>TEST_DATA!B5821</f>
        <v/>
      </c>
      <c r="C5821">
        <f>TEST_DATA!C5821</f>
        <v/>
      </c>
      <c r="D5821">
        <f>TEST_DATA!D5821</f>
        <v/>
      </c>
      <c r="E5821">
        <f>TEST_DATA!E5821</f>
        <v/>
      </c>
    </row>
    <row r="5822">
      <c r="A5822">
        <f>TEST_DATA!A5822</f>
        <v/>
      </c>
      <c r="B5822">
        <f>TEST_DATA!B5822</f>
        <v/>
      </c>
      <c r="C5822">
        <f>TEST_DATA!C5822</f>
        <v/>
      </c>
      <c r="D5822">
        <f>TEST_DATA!D5822</f>
        <v/>
      </c>
      <c r="E5822">
        <f>TEST_DATA!E5822</f>
        <v/>
      </c>
    </row>
    <row r="5823">
      <c r="A5823">
        <f>TEST_DATA!A5823</f>
        <v/>
      </c>
      <c r="B5823">
        <f>TEST_DATA!B5823</f>
        <v/>
      </c>
      <c r="C5823">
        <f>TEST_DATA!C5823</f>
        <v/>
      </c>
      <c r="D5823">
        <f>TEST_DATA!D5823</f>
        <v/>
      </c>
      <c r="E5823">
        <f>TEST_DATA!E5823</f>
        <v/>
      </c>
    </row>
    <row r="5824">
      <c r="A5824">
        <f>TEST_DATA!A5824</f>
        <v/>
      </c>
      <c r="B5824">
        <f>TEST_DATA!B5824</f>
        <v/>
      </c>
      <c r="C5824">
        <f>TEST_DATA!C5824</f>
        <v/>
      </c>
      <c r="D5824">
        <f>TEST_DATA!D5824</f>
        <v/>
      </c>
      <c r="E5824">
        <f>TEST_DATA!E5824</f>
        <v/>
      </c>
    </row>
    <row r="5825">
      <c r="A5825">
        <f>TEST_DATA!A5825</f>
        <v/>
      </c>
      <c r="B5825">
        <f>TEST_DATA!B5825</f>
        <v/>
      </c>
      <c r="C5825">
        <f>TEST_DATA!C5825</f>
        <v/>
      </c>
      <c r="D5825">
        <f>TEST_DATA!D5825</f>
        <v/>
      </c>
      <c r="E5825">
        <f>TEST_DATA!E5825</f>
        <v/>
      </c>
    </row>
    <row r="5826">
      <c r="A5826">
        <f>TEST_DATA!A5826</f>
        <v/>
      </c>
      <c r="B5826">
        <f>TEST_DATA!B5826</f>
        <v/>
      </c>
      <c r="C5826">
        <f>TEST_DATA!C5826</f>
        <v/>
      </c>
      <c r="D5826">
        <f>TEST_DATA!D5826</f>
        <v/>
      </c>
      <c r="E5826">
        <f>TEST_DATA!E5826</f>
        <v/>
      </c>
    </row>
    <row r="5827">
      <c r="A5827">
        <f>TEST_DATA!A5827</f>
        <v/>
      </c>
      <c r="B5827">
        <f>TEST_DATA!B5827</f>
        <v/>
      </c>
      <c r="C5827">
        <f>TEST_DATA!C5827</f>
        <v/>
      </c>
      <c r="D5827">
        <f>TEST_DATA!D5827</f>
        <v/>
      </c>
      <c r="E5827">
        <f>TEST_DATA!E5827</f>
        <v/>
      </c>
    </row>
    <row r="5828">
      <c r="A5828">
        <f>TEST_DATA!A5828</f>
        <v/>
      </c>
      <c r="B5828">
        <f>TEST_DATA!B5828</f>
        <v/>
      </c>
      <c r="C5828">
        <f>TEST_DATA!C5828</f>
        <v/>
      </c>
      <c r="D5828">
        <f>TEST_DATA!D5828</f>
        <v/>
      </c>
      <c r="E5828">
        <f>TEST_DATA!E5828</f>
        <v/>
      </c>
    </row>
    <row r="5829">
      <c r="A5829">
        <f>TEST_DATA!A5829</f>
        <v/>
      </c>
      <c r="B5829">
        <f>TEST_DATA!B5829</f>
        <v/>
      </c>
      <c r="C5829">
        <f>TEST_DATA!C5829</f>
        <v/>
      </c>
      <c r="D5829">
        <f>TEST_DATA!D5829</f>
        <v/>
      </c>
      <c r="E5829">
        <f>TEST_DATA!E5829</f>
        <v/>
      </c>
    </row>
    <row r="5830">
      <c r="A5830">
        <f>TEST_DATA!A5830</f>
        <v/>
      </c>
      <c r="B5830">
        <f>TEST_DATA!B5830</f>
        <v/>
      </c>
      <c r="C5830">
        <f>TEST_DATA!C5830</f>
        <v/>
      </c>
      <c r="D5830">
        <f>TEST_DATA!D5830</f>
        <v/>
      </c>
      <c r="E5830">
        <f>TEST_DATA!E5830</f>
        <v/>
      </c>
    </row>
    <row r="5831">
      <c r="A5831">
        <f>TEST_DATA!A5831</f>
        <v/>
      </c>
      <c r="B5831">
        <f>TEST_DATA!B5831</f>
        <v/>
      </c>
      <c r="C5831">
        <f>TEST_DATA!C5831</f>
        <v/>
      </c>
      <c r="D5831">
        <f>TEST_DATA!D5831</f>
        <v/>
      </c>
      <c r="E5831">
        <f>TEST_DATA!E5831</f>
        <v/>
      </c>
    </row>
    <row r="5832">
      <c r="A5832">
        <f>TEST_DATA!A5832</f>
        <v/>
      </c>
      <c r="B5832">
        <f>TEST_DATA!B5832</f>
        <v/>
      </c>
      <c r="C5832">
        <f>TEST_DATA!C5832</f>
        <v/>
      </c>
      <c r="D5832">
        <f>TEST_DATA!D5832</f>
        <v/>
      </c>
      <c r="E5832">
        <f>TEST_DATA!E5832</f>
        <v/>
      </c>
    </row>
    <row r="5833">
      <c r="A5833">
        <f>TEST_DATA!A5833</f>
        <v/>
      </c>
      <c r="B5833">
        <f>TEST_DATA!B5833</f>
        <v/>
      </c>
      <c r="C5833">
        <f>TEST_DATA!C5833</f>
        <v/>
      </c>
      <c r="D5833">
        <f>TEST_DATA!D5833</f>
        <v/>
      </c>
      <c r="E5833">
        <f>TEST_DATA!E5833</f>
        <v/>
      </c>
    </row>
    <row r="5834">
      <c r="A5834">
        <f>TEST_DATA!A5834</f>
        <v/>
      </c>
      <c r="B5834">
        <f>TEST_DATA!B5834</f>
        <v/>
      </c>
      <c r="C5834">
        <f>TEST_DATA!C5834</f>
        <v/>
      </c>
      <c r="D5834">
        <f>TEST_DATA!D5834</f>
        <v/>
      </c>
      <c r="E5834">
        <f>TEST_DATA!E5834</f>
        <v/>
      </c>
    </row>
    <row r="5835">
      <c r="A5835">
        <f>TEST_DATA!A5835</f>
        <v/>
      </c>
      <c r="B5835">
        <f>TEST_DATA!B5835</f>
        <v/>
      </c>
      <c r="C5835">
        <f>TEST_DATA!C5835</f>
        <v/>
      </c>
      <c r="D5835">
        <f>TEST_DATA!D5835</f>
        <v/>
      </c>
      <c r="E5835">
        <f>TEST_DATA!E5835</f>
        <v/>
      </c>
    </row>
    <row r="5836">
      <c r="A5836">
        <f>TEST_DATA!A5836</f>
        <v/>
      </c>
      <c r="B5836">
        <f>TEST_DATA!B5836</f>
        <v/>
      </c>
      <c r="C5836">
        <f>TEST_DATA!C5836</f>
        <v/>
      </c>
      <c r="D5836">
        <f>TEST_DATA!D5836</f>
        <v/>
      </c>
      <c r="E5836">
        <f>TEST_DATA!E5836</f>
        <v/>
      </c>
    </row>
    <row r="5837">
      <c r="A5837">
        <f>TEST_DATA!A5837</f>
        <v/>
      </c>
      <c r="B5837">
        <f>TEST_DATA!B5837</f>
        <v/>
      </c>
      <c r="C5837">
        <f>TEST_DATA!C5837</f>
        <v/>
      </c>
      <c r="D5837">
        <f>TEST_DATA!D5837</f>
        <v/>
      </c>
      <c r="E5837">
        <f>TEST_DATA!E5837</f>
        <v/>
      </c>
    </row>
    <row r="5838">
      <c r="A5838">
        <f>TEST_DATA!A5838</f>
        <v/>
      </c>
      <c r="B5838">
        <f>TEST_DATA!B5838</f>
        <v/>
      </c>
      <c r="C5838">
        <f>TEST_DATA!C5838</f>
        <v/>
      </c>
      <c r="D5838">
        <f>TEST_DATA!D5838</f>
        <v/>
      </c>
      <c r="E5838">
        <f>TEST_DATA!E5838</f>
        <v/>
      </c>
    </row>
    <row r="5839">
      <c r="A5839">
        <f>TEST_DATA!A5839</f>
        <v/>
      </c>
      <c r="B5839">
        <f>TEST_DATA!B5839</f>
        <v/>
      </c>
      <c r="C5839">
        <f>TEST_DATA!C5839</f>
        <v/>
      </c>
      <c r="D5839">
        <f>TEST_DATA!D5839</f>
        <v/>
      </c>
      <c r="E5839">
        <f>TEST_DATA!E5839</f>
        <v/>
      </c>
    </row>
    <row r="5840">
      <c r="A5840">
        <f>TEST_DATA!A5840</f>
        <v/>
      </c>
      <c r="B5840">
        <f>TEST_DATA!B5840</f>
        <v/>
      </c>
      <c r="C5840">
        <f>TEST_DATA!C5840</f>
        <v/>
      </c>
      <c r="D5840">
        <f>TEST_DATA!D5840</f>
        <v/>
      </c>
      <c r="E5840">
        <f>TEST_DATA!E5840</f>
        <v/>
      </c>
    </row>
    <row r="5841">
      <c r="A5841">
        <f>TEST_DATA!A5841</f>
        <v/>
      </c>
      <c r="B5841">
        <f>TEST_DATA!B5841</f>
        <v/>
      </c>
      <c r="C5841">
        <f>TEST_DATA!C5841</f>
        <v/>
      </c>
      <c r="D5841">
        <f>TEST_DATA!D5841</f>
        <v/>
      </c>
      <c r="E5841">
        <f>TEST_DATA!E5841</f>
        <v/>
      </c>
    </row>
    <row r="5842">
      <c r="A5842">
        <f>TEST_DATA!A5842</f>
        <v/>
      </c>
      <c r="B5842">
        <f>TEST_DATA!B5842</f>
        <v/>
      </c>
      <c r="C5842">
        <f>TEST_DATA!C5842</f>
        <v/>
      </c>
      <c r="D5842">
        <f>TEST_DATA!D5842</f>
        <v/>
      </c>
      <c r="E5842">
        <f>TEST_DATA!E5842</f>
        <v/>
      </c>
    </row>
    <row r="5843">
      <c r="A5843">
        <f>TEST_DATA!A5843</f>
        <v/>
      </c>
      <c r="B5843">
        <f>TEST_DATA!B5843</f>
        <v/>
      </c>
      <c r="C5843">
        <f>TEST_DATA!C5843</f>
        <v/>
      </c>
      <c r="D5843">
        <f>TEST_DATA!D5843</f>
        <v/>
      </c>
      <c r="E5843">
        <f>TEST_DATA!E5843</f>
        <v/>
      </c>
    </row>
    <row r="5844">
      <c r="A5844">
        <f>TEST_DATA!A5844</f>
        <v/>
      </c>
      <c r="B5844">
        <f>TEST_DATA!B5844</f>
        <v/>
      </c>
      <c r="C5844">
        <f>TEST_DATA!C5844</f>
        <v/>
      </c>
      <c r="D5844">
        <f>TEST_DATA!D5844</f>
        <v/>
      </c>
      <c r="E5844">
        <f>TEST_DATA!E5844</f>
        <v/>
      </c>
    </row>
    <row r="5845">
      <c r="A5845">
        <f>TEST_DATA!A5845</f>
        <v/>
      </c>
      <c r="B5845">
        <f>TEST_DATA!B5845</f>
        <v/>
      </c>
      <c r="C5845">
        <f>TEST_DATA!C5845</f>
        <v/>
      </c>
      <c r="D5845">
        <f>TEST_DATA!D5845</f>
        <v/>
      </c>
      <c r="E5845">
        <f>TEST_DATA!E5845</f>
        <v/>
      </c>
    </row>
    <row r="5846">
      <c r="A5846">
        <f>TEST_DATA!A5846</f>
        <v/>
      </c>
      <c r="B5846">
        <f>TEST_DATA!B5846</f>
        <v/>
      </c>
      <c r="C5846">
        <f>TEST_DATA!C5846</f>
        <v/>
      </c>
      <c r="D5846">
        <f>TEST_DATA!D5846</f>
        <v/>
      </c>
      <c r="E5846">
        <f>TEST_DATA!E5846</f>
        <v/>
      </c>
    </row>
    <row r="5847">
      <c r="A5847">
        <f>TEST_DATA!A5847</f>
        <v/>
      </c>
      <c r="B5847">
        <f>TEST_DATA!B5847</f>
        <v/>
      </c>
      <c r="C5847">
        <f>TEST_DATA!C5847</f>
        <v/>
      </c>
      <c r="D5847">
        <f>TEST_DATA!D5847</f>
        <v/>
      </c>
      <c r="E5847">
        <f>TEST_DATA!E5847</f>
        <v/>
      </c>
    </row>
    <row r="5848">
      <c r="A5848">
        <f>TEST_DATA!A5848</f>
        <v/>
      </c>
      <c r="B5848">
        <f>TEST_DATA!B5848</f>
        <v/>
      </c>
      <c r="C5848">
        <f>TEST_DATA!C5848</f>
        <v/>
      </c>
      <c r="D5848">
        <f>TEST_DATA!D5848</f>
        <v/>
      </c>
      <c r="E5848">
        <f>TEST_DATA!E5848</f>
        <v/>
      </c>
    </row>
    <row r="5849">
      <c r="A5849">
        <f>TEST_DATA!A5849</f>
        <v/>
      </c>
      <c r="B5849">
        <f>TEST_DATA!B5849</f>
        <v/>
      </c>
      <c r="C5849">
        <f>TEST_DATA!C5849</f>
        <v/>
      </c>
      <c r="D5849">
        <f>TEST_DATA!D5849</f>
        <v/>
      </c>
      <c r="E5849">
        <f>TEST_DATA!E5849</f>
        <v/>
      </c>
    </row>
    <row r="5850">
      <c r="A5850">
        <f>TEST_DATA!A5850</f>
        <v/>
      </c>
      <c r="B5850">
        <f>TEST_DATA!B5850</f>
        <v/>
      </c>
      <c r="C5850">
        <f>TEST_DATA!C5850</f>
        <v/>
      </c>
      <c r="D5850">
        <f>TEST_DATA!D5850</f>
        <v/>
      </c>
      <c r="E5850">
        <f>TEST_DATA!E5850</f>
        <v/>
      </c>
    </row>
    <row r="5851">
      <c r="A5851">
        <f>TEST_DATA!A5851</f>
        <v/>
      </c>
      <c r="B5851">
        <f>TEST_DATA!B5851</f>
        <v/>
      </c>
      <c r="C5851">
        <f>TEST_DATA!C5851</f>
        <v/>
      </c>
      <c r="D5851">
        <f>TEST_DATA!D5851</f>
        <v/>
      </c>
      <c r="E5851">
        <f>TEST_DATA!E5851</f>
        <v/>
      </c>
    </row>
    <row r="5852">
      <c r="A5852">
        <f>TEST_DATA!A5852</f>
        <v/>
      </c>
      <c r="B5852">
        <f>TEST_DATA!B5852</f>
        <v/>
      </c>
      <c r="C5852">
        <f>TEST_DATA!C5852</f>
        <v/>
      </c>
      <c r="D5852">
        <f>TEST_DATA!D5852</f>
        <v/>
      </c>
      <c r="E5852">
        <f>TEST_DATA!E5852</f>
        <v/>
      </c>
    </row>
    <row r="5853">
      <c r="A5853">
        <f>TEST_DATA!A5853</f>
        <v/>
      </c>
      <c r="B5853">
        <f>TEST_DATA!B5853</f>
        <v/>
      </c>
      <c r="C5853">
        <f>TEST_DATA!C5853</f>
        <v/>
      </c>
      <c r="D5853">
        <f>TEST_DATA!D5853</f>
        <v/>
      </c>
      <c r="E5853">
        <f>TEST_DATA!E5853</f>
        <v/>
      </c>
    </row>
    <row r="5854">
      <c r="A5854">
        <f>TEST_DATA!A5854</f>
        <v/>
      </c>
      <c r="B5854">
        <f>TEST_DATA!B5854</f>
        <v/>
      </c>
      <c r="C5854">
        <f>TEST_DATA!C5854</f>
        <v/>
      </c>
      <c r="D5854">
        <f>TEST_DATA!D5854</f>
        <v/>
      </c>
      <c r="E5854">
        <f>TEST_DATA!E5854</f>
        <v/>
      </c>
    </row>
    <row r="5855">
      <c r="A5855">
        <f>TEST_DATA!A5855</f>
        <v/>
      </c>
      <c r="B5855">
        <f>TEST_DATA!B5855</f>
        <v/>
      </c>
      <c r="C5855">
        <f>TEST_DATA!C5855</f>
        <v/>
      </c>
      <c r="D5855">
        <f>TEST_DATA!D5855</f>
        <v/>
      </c>
      <c r="E5855">
        <f>TEST_DATA!E5855</f>
        <v/>
      </c>
    </row>
    <row r="5856">
      <c r="A5856">
        <f>TEST_DATA!A5856</f>
        <v/>
      </c>
      <c r="B5856">
        <f>TEST_DATA!B5856</f>
        <v/>
      </c>
      <c r="C5856">
        <f>TEST_DATA!C5856</f>
        <v/>
      </c>
      <c r="D5856">
        <f>TEST_DATA!D5856</f>
        <v/>
      </c>
      <c r="E5856">
        <f>TEST_DATA!E5856</f>
        <v/>
      </c>
    </row>
    <row r="5857">
      <c r="A5857">
        <f>TEST_DATA!A5857</f>
        <v/>
      </c>
      <c r="B5857">
        <f>TEST_DATA!B5857</f>
        <v/>
      </c>
      <c r="C5857">
        <f>TEST_DATA!C5857</f>
        <v/>
      </c>
      <c r="D5857">
        <f>TEST_DATA!D5857</f>
        <v/>
      </c>
      <c r="E5857">
        <f>TEST_DATA!E5857</f>
        <v/>
      </c>
    </row>
    <row r="5858">
      <c r="A5858">
        <f>TEST_DATA!A5858</f>
        <v/>
      </c>
      <c r="B5858">
        <f>TEST_DATA!B5858</f>
        <v/>
      </c>
      <c r="C5858">
        <f>TEST_DATA!C5858</f>
        <v/>
      </c>
      <c r="D5858">
        <f>TEST_DATA!D5858</f>
        <v/>
      </c>
      <c r="E5858">
        <f>TEST_DATA!E5858</f>
        <v/>
      </c>
    </row>
    <row r="5859">
      <c r="A5859">
        <f>TEST_DATA!A5859</f>
        <v/>
      </c>
      <c r="B5859">
        <f>TEST_DATA!B5859</f>
        <v/>
      </c>
      <c r="C5859">
        <f>TEST_DATA!C5859</f>
        <v/>
      </c>
      <c r="D5859">
        <f>TEST_DATA!D5859</f>
        <v/>
      </c>
      <c r="E5859">
        <f>TEST_DATA!E5859</f>
        <v/>
      </c>
    </row>
    <row r="5860">
      <c r="A5860">
        <f>TEST_DATA!A5860</f>
        <v/>
      </c>
      <c r="B5860">
        <f>TEST_DATA!B5860</f>
        <v/>
      </c>
      <c r="C5860">
        <f>TEST_DATA!C5860</f>
        <v/>
      </c>
      <c r="D5860">
        <f>TEST_DATA!D5860</f>
        <v/>
      </c>
      <c r="E5860">
        <f>TEST_DATA!E5860</f>
        <v/>
      </c>
    </row>
    <row r="5861">
      <c r="A5861">
        <f>TEST_DATA!A5861</f>
        <v/>
      </c>
      <c r="B5861">
        <f>TEST_DATA!B5861</f>
        <v/>
      </c>
      <c r="C5861">
        <f>TEST_DATA!C5861</f>
        <v/>
      </c>
      <c r="D5861">
        <f>TEST_DATA!D5861</f>
        <v/>
      </c>
      <c r="E5861">
        <f>TEST_DATA!E5861</f>
        <v/>
      </c>
    </row>
    <row r="5862">
      <c r="A5862">
        <f>TEST_DATA!A5862</f>
        <v/>
      </c>
      <c r="B5862">
        <f>TEST_DATA!B5862</f>
        <v/>
      </c>
      <c r="C5862">
        <f>TEST_DATA!C5862</f>
        <v/>
      </c>
      <c r="D5862">
        <f>TEST_DATA!D5862</f>
        <v/>
      </c>
      <c r="E5862">
        <f>TEST_DATA!E5862</f>
        <v/>
      </c>
    </row>
    <row r="5863">
      <c r="A5863">
        <f>TEST_DATA!A5863</f>
        <v/>
      </c>
      <c r="B5863">
        <f>TEST_DATA!B5863</f>
        <v/>
      </c>
      <c r="C5863">
        <f>TEST_DATA!C5863</f>
        <v/>
      </c>
      <c r="D5863">
        <f>TEST_DATA!D5863</f>
        <v/>
      </c>
      <c r="E5863">
        <f>TEST_DATA!E5863</f>
        <v/>
      </c>
    </row>
    <row r="5864">
      <c r="A5864">
        <f>TEST_DATA!A5864</f>
        <v/>
      </c>
      <c r="B5864">
        <f>TEST_DATA!B5864</f>
        <v/>
      </c>
      <c r="C5864">
        <f>TEST_DATA!C5864</f>
        <v/>
      </c>
      <c r="D5864">
        <f>TEST_DATA!D5864</f>
        <v/>
      </c>
      <c r="E5864">
        <f>TEST_DATA!E5864</f>
        <v/>
      </c>
    </row>
    <row r="5865">
      <c r="A5865">
        <f>TEST_DATA!A5865</f>
        <v/>
      </c>
      <c r="B5865">
        <f>TEST_DATA!B5865</f>
        <v/>
      </c>
      <c r="C5865">
        <f>TEST_DATA!C5865</f>
        <v/>
      </c>
      <c r="D5865">
        <f>TEST_DATA!D5865</f>
        <v/>
      </c>
      <c r="E5865">
        <f>TEST_DATA!E5865</f>
        <v/>
      </c>
    </row>
    <row r="5866">
      <c r="A5866">
        <f>TEST_DATA!A5866</f>
        <v/>
      </c>
      <c r="B5866">
        <f>TEST_DATA!B5866</f>
        <v/>
      </c>
      <c r="C5866">
        <f>TEST_DATA!C5866</f>
        <v/>
      </c>
      <c r="D5866">
        <f>TEST_DATA!D5866</f>
        <v/>
      </c>
      <c r="E5866">
        <f>TEST_DATA!E5866</f>
        <v/>
      </c>
    </row>
    <row r="5867">
      <c r="A5867">
        <f>TEST_DATA!A5867</f>
        <v/>
      </c>
      <c r="B5867">
        <f>TEST_DATA!B5867</f>
        <v/>
      </c>
      <c r="C5867">
        <f>TEST_DATA!C5867</f>
        <v/>
      </c>
      <c r="D5867">
        <f>TEST_DATA!D5867</f>
        <v/>
      </c>
      <c r="E5867">
        <f>TEST_DATA!E5867</f>
        <v/>
      </c>
    </row>
    <row r="5868">
      <c r="A5868">
        <f>TEST_DATA!A5868</f>
        <v/>
      </c>
      <c r="B5868">
        <f>TEST_DATA!B5868</f>
        <v/>
      </c>
      <c r="C5868">
        <f>TEST_DATA!C5868</f>
        <v/>
      </c>
      <c r="D5868">
        <f>TEST_DATA!D5868</f>
        <v/>
      </c>
      <c r="E5868">
        <f>TEST_DATA!E5868</f>
        <v/>
      </c>
    </row>
    <row r="5869">
      <c r="A5869">
        <f>TEST_DATA!A5869</f>
        <v/>
      </c>
      <c r="B5869">
        <f>TEST_DATA!B5869</f>
        <v/>
      </c>
      <c r="C5869">
        <f>TEST_DATA!C5869</f>
        <v/>
      </c>
      <c r="D5869">
        <f>TEST_DATA!D5869</f>
        <v/>
      </c>
      <c r="E5869">
        <f>TEST_DATA!E5869</f>
        <v/>
      </c>
    </row>
    <row r="5870">
      <c r="A5870">
        <f>TEST_DATA!A5870</f>
        <v/>
      </c>
      <c r="B5870">
        <f>TEST_DATA!B5870</f>
        <v/>
      </c>
      <c r="C5870">
        <f>TEST_DATA!C5870</f>
        <v/>
      </c>
      <c r="D5870">
        <f>TEST_DATA!D5870</f>
        <v/>
      </c>
      <c r="E5870">
        <f>TEST_DATA!E5870</f>
        <v/>
      </c>
    </row>
    <row r="5871">
      <c r="A5871">
        <f>TEST_DATA!A5871</f>
        <v/>
      </c>
      <c r="B5871">
        <f>TEST_DATA!B5871</f>
        <v/>
      </c>
      <c r="C5871">
        <f>TEST_DATA!C5871</f>
        <v/>
      </c>
      <c r="D5871">
        <f>TEST_DATA!D5871</f>
        <v/>
      </c>
      <c r="E5871">
        <f>TEST_DATA!E5871</f>
        <v/>
      </c>
    </row>
    <row r="5872">
      <c r="A5872">
        <f>TEST_DATA!A5872</f>
        <v/>
      </c>
      <c r="B5872">
        <f>TEST_DATA!B5872</f>
        <v/>
      </c>
      <c r="C5872">
        <f>TEST_DATA!C5872</f>
        <v/>
      </c>
      <c r="D5872">
        <f>TEST_DATA!D5872</f>
        <v/>
      </c>
      <c r="E5872">
        <f>TEST_DATA!E5872</f>
        <v/>
      </c>
    </row>
    <row r="5873">
      <c r="A5873">
        <f>TEST_DATA!A5873</f>
        <v/>
      </c>
      <c r="B5873">
        <f>TEST_DATA!B5873</f>
        <v/>
      </c>
      <c r="C5873">
        <f>TEST_DATA!C5873</f>
        <v/>
      </c>
      <c r="D5873">
        <f>TEST_DATA!D5873</f>
        <v/>
      </c>
      <c r="E5873">
        <f>TEST_DATA!E5873</f>
        <v/>
      </c>
    </row>
    <row r="5874">
      <c r="A5874">
        <f>TEST_DATA!A5874</f>
        <v/>
      </c>
      <c r="B5874">
        <f>TEST_DATA!B5874</f>
        <v/>
      </c>
      <c r="C5874">
        <f>TEST_DATA!C5874</f>
        <v/>
      </c>
      <c r="D5874">
        <f>TEST_DATA!D5874</f>
        <v/>
      </c>
      <c r="E5874">
        <f>TEST_DATA!E5874</f>
        <v/>
      </c>
    </row>
    <row r="5875">
      <c r="A5875">
        <f>TEST_DATA!A5875</f>
        <v/>
      </c>
      <c r="B5875">
        <f>TEST_DATA!B5875</f>
        <v/>
      </c>
      <c r="C5875">
        <f>TEST_DATA!C5875</f>
        <v/>
      </c>
      <c r="D5875">
        <f>TEST_DATA!D5875</f>
        <v/>
      </c>
      <c r="E5875">
        <f>TEST_DATA!E5875</f>
        <v/>
      </c>
    </row>
    <row r="5876">
      <c r="A5876">
        <f>TEST_DATA!A5876</f>
        <v/>
      </c>
      <c r="B5876">
        <f>TEST_DATA!B5876</f>
        <v/>
      </c>
      <c r="C5876">
        <f>TEST_DATA!C5876</f>
        <v/>
      </c>
      <c r="D5876">
        <f>TEST_DATA!D5876</f>
        <v/>
      </c>
      <c r="E5876">
        <f>TEST_DATA!E5876</f>
        <v/>
      </c>
    </row>
    <row r="5877">
      <c r="A5877">
        <f>TEST_DATA!A5877</f>
        <v/>
      </c>
      <c r="B5877">
        <f>TEST_DATA!B5877</f>
        <v/>
      </c>
      <c r="C5877">
        <f>TEST_DATA!C5877</f>
        <v/>
      </c>
      <c r="D5877">
        <f>TEST_DATA!D5877</f>
        <v/>
      </c>
      <c r="E5877">
        <f>TEST_DATA!E5877</f>
        <v/>
      </c>
    </row>
    <row r="5878">
      <c r="A5878">
        <f>TEST_DATA!A5878</f>
        <v/>
      </c>
      <c r="B5878">
        <f>TEST_DATA!B5878</f>
        <v/>
      </c>
      <c r="C5878">
        <f>TEST_DATA!C5878</f>
        <v/>
      </c>
      <c r="D5878">
        <f>TEST_DATA!D5878</f>
        <v/>
      </c>
      <c r="E5878">
        <f>TEST_DATA!E5878</f>
        <v/>
      </c>
    </row>
    <row r="5879">
      <c r="A5879">
        <f>TEST_DATA!A5879</f>
        <v/>
      </c>
      <c r="B5879">
        <f>TEST_DATA!B5879</f>
        <v/>
      </c>
      <c r="C5879">
        <f>TEST_DATA!C5879</f>
        <v/>
      </c>
      <c r="D5879">
        <f>TEST_DATA!D5879</f>
        <v/>
      </c>
      <c r="E5879">
        <f>TEST_DATA!E5879</f>
        <v/>
      </c>
    </row>
    <row r="5880">
      <c r="A5880">
        <f>TEST_DATA!A5880</f>
        <v/>
      </c>
      <c r="B5880">
        <f>TEST_DATA!B5880</f>
        <v/>
      </c>
      <c r="C5880">
        <f>TEST_DATA!C5880</f>
        <v/>
      </c>
      <c r="D5880">
        <f>TEST_DATA!D5880</f>
        <v/>
      </c>
      <c r="E5880">
        <f>TEST_DATA!E5880</f>
        <v/>
      </c>
    </row>
    <row r="5881">
      <c r="A5881">
        <f>TEST_DATA!A5881</f>
        <v/>
      </c>
      <c r="B5881">
        <f>TEST_DATA!B5881</f>
        <v/>
      </c>
      <c r="C5881">
        <f>TEST_DATA!C5881</f>
        <v/>
      </c>
      <c r="D5881">
        <f>TEST_DATA!D5881</f>
        <v/>
      </c>
      <c r="E5881">
        <f>TEST_DATA!E5881</f>
        <v/>
      </c>
    </row>
    <row r="5882">
      <c r="A5882">
        <f>TEST_DATA!A5882</f>
        <v/>
      </c>
      <c r="B5882">
        <f>TEST_DATA!B5882</f>
        <v/>
      </c>
      <c r="C5882">
        <f>TEST_DATA!C5882</f>
        <v/>
      </c>
      <c r="D5882">
        <f>TEST_DATA!D5882</f>
        <v/>
      </c>
      <c r="E5882">
        <f>TEST_DATA!E5882</f>
        <v/>
      </c>
    </row>
    <row r="5883">
      <c r="A5883">
        <f>TEST_DATA!A5883</f>
        <v/>
      </c>
      <c r="B5883">
        <f>TEST_DATA!B5883</f>
        <v/>
      </c>
      <c r="C5883">
        <f>TEST_DATA!C5883</f>
        <v/>
      </c>
      <c r="D5883">
        <f>TEST_DATA!D5883</f>
        <v/>
      </c>
      <c r="E5883">
        <f>TEST_DATA!E5883</f>
        <v/>
      </c>
    </row>
    <row r="5884">
      <c r="A5884">
        <f>TEST_DATA!A5884</f>
        <v/>
      </c>
      <c r="B5884">
        <f>TEST_DATA!B5884</f>
        <v/>
      </c>
      <c r="C5884">
        <f>TEST_DATA!C5884</f>
        <v/>
      </c>
      <c r="D5884">
        <f>TEST_DATA!D5884</f>
        <v/>
      </c>
      <c r="E5884">
        <f>TEST_DATA!E5884</f>
        <v/>
      </c>
    </row>
    <row r="5885">
      <c r="A5885">
        <f>TEST_DATA!A5885</f>
        <v/>
      </c>
      <c r="B5885">
        <f>TEST_DATA!B5885</f>
        <v/>
      </c>
      <c r="C5885">
        <f>TEST_DATA!C5885</f>
        <v/>
      </c>
      <c r="D5885">
        <f>TEST_DATA!D5885</f>
        <v/>
      </c>
      <c r="E5885">
        <f>TEST_DATA!E5885</f>
        <v/>
      </c>
    </row>
    <row r="5886">
      <c r="A5886">
        <f>TEST_DATA!A5886</f>
        <v/>
      </c>
      <c r="B5886">
        <f>TEST_DATA!B5886</f>
        <v/>
      </c>
      <c r="C5886">
        <f>TEST_DATA!C5886</f>
        <v/>
      </c>
      <c r="D5886">
        <f>TEST_DATA!D5886</f>
        <v/>
      </c>
      <c r="E5886">
        <f>TEST_DATA!E5886</f>
        <v/>
      </c>
    </row>
    <row r="5887">
      <c r="A5887">
        <f>TEST_DATA!A5887</f>
        <v/>
      </c>
      <c r="B5887">
        <f>TEST_DATA!B5887</f>
        <v/>
      </c>
      <c r="C5887">
        <f>TEST_DATA!C5887</f>
        <v/>
      </c>
      <c r="D5887">
        <f>TEST_DATA!D5887</f>
        <v/>
      </c>
      <c r="E5887">
        <f>TEST_DATA!E5887</f>
        <v/>
      </c>
    </row>
    <row r="5888">
      <c r="A5888">
        <f>TEST_DATA!A5888</f>
        <v/>
      </c>
      <c r="B5888">
        <f>TEST_DATA!B5888</f>
        <v/>
      </c>
      <c r="C5888">
        <f>TEST_DATA!C5888</f>
        <v/>
      </c>
      <c r="D5888">
        <f>TEST_DATA!D5888</f>
        <v/>
      </c>
      <c r="E5888">
        <f>TEST_DATA!E5888</f>
        <v/>
      </c>
    </row>
    <row r="5889">
      <c r="A5889">
        <f>TEST_DATA!A5889</f>
        <v/>
      </c>
      <c r="B5889">
        <f>TEST_DATA!B5889</f>
        <v/>
      </c>
      <c r="C5889">
        <f>TEST_DATA!C5889</f>
        <v/>
      </c>
      <c r="D5889">
        <f>TEST_DATA!D5889</f>
        <v/>
      </c>
      <c r="E5889">
        <f>TEST_DATA!E5889</f>
        <v/>
      </c>
    </row>
    <row r="5890">
      <c r="A5890">
        <f>TEST_DATA!A5890</f>
        <v/>
      </c>
      <c r="B5890">
        <f>TEST_DATA!B5890</f>
        <v/>
      </c>
      <c r="C5890">
        <f>TEST_DATA!C5890</f>
        <v/>
      </c>
      <c r="D5890">
        <f>TEST_DATA!D5890</f>
        <v/>
      </c>
      <c r="E5890">
        <f>TEST_DATA!E5890</f>
        <v/>
      </c>
    </row>
    <row r="5891">
      <c r="A5891">
        <f>TEST_DATA!A5891</f>
        <v/>
      </c>
      <c r="B5891">
        <f>TEST_DATA!B5891</f>
        <v/>
      </c>
      <c r="C5891">
        <f>TEST_DATA!C5891</f>
        <v/>
      </c>
      <c r="D5891">
        <f>TEST_DATA!D5891</f>
        <v/>
      </c>
      <c r="E5891">
        <f>TEST_DATA!E5891</f>
        <v/>
      </c>
    </row>
    <row r="5892">
      <c r="A5892">
        <f>TEST_DATA!A5892</f>
        <v/>
      </c>
      <c r="B5892">
        <f>TEST_DATA!B5892</f>
        <v/>
      </c>
      <c r="C5892">
        <f>TEST_DATA!C5892</f>
        <v/>
      </c>
      <c r="D5892">
        <f>TEST_DATA!D5892</f>
        <v/>
      </c>
      <c r="E5892">
        <f>TEST_DATA!E5892</f>
        <v/>
      </c>
    </row>
    <row r="5893">
      <c r="A5893">
        <f>TEST_DATA!A5893</f>
        <v/>
      </c>
      <c r="B5893">
        <f>TEST_DATA!B5893</f>
        <v/>
      </c>
      <c r="C5893">
        <f>TEST_DATA!C5893</f>
        <v/>
      </c>
      <c r="D5893">
        <f>TEST_DATA!D5893</f>
        <v/>
      </c>
      <c r="E5893">
        <f>TEST_DATA!E5893</f>
        <v/>
      </c>
    </row>
    <row r="5894">
      <c r="A5894">
        <f>TEST_DATA!A5894</f>
        <v/>
      </c>
      <c r="B5894">
        <f>TEST_DATA!B5894</f>
        <v/>
      </c>
      <c r="C5894">
        <f>TEST_DATA!C5894</f>
        <v/>
      </c>
      <c r="D5894">
        <f>TEST_DATA!D5894</f>
        <v/>
      </c>
      <c r="E5894">
        <f>TEST_DATA!E5894</f>
        <v/>
      </c>
    </row>
    <row r="5895">
      <c r="A5895">
        <f>TEST_DATA!A5895</f>
        <v/>
      </c>
      <c r="B5895">
        <f>TEST_DATA!B5895</f>
        <v/>
      </c>
      <c r="C5895">
        <f>TEST_DATA!C5895</f>
        <v/>
      </c>
      <c r="D5895">
        <f>TEST_DATA!D5895</f>
        <v/>
      </c>
      <c r="E5895">
        <f>TEST_DATA!E5895</f>
        <v/>
      </c>
    </row>
    <row r="5896">
      <c r="A5896">
        <f>TEST_DATA!A5896</f>
        <v/>
      </c>
      <c r="B5896">
        <f>TEST_DATA!B5896</f>
        <v/>
      </c>
      <c r="C5896">
        <f>TEST_DATA!C5896</f>
        <v/>
      </c>
      <c r="D5896">
        <f>TEST_DATA!D5896</f>
        <v/>
      </c>
      <c r="E5896">
        <f>TEST_DATA!E5896</f>
        <v/>
      </c>
    </row>
    <row r="5897">
      <c r="A5897">
        <f>TEST_DATA!A5897</f>
        <v/>
      </c>
      <c r="B5897">
        <f>TEST_DATA!B5897</f>
        <v/>
      </c>
      <c r="C5897">
        <f>TEST_DATA!C5897</f>
        <v/>
      </c>
      <c r="D5897">
        <f>TEST_DATA!D5897</f>
        <v/>
      </c>
      <c r="E5897">
        <f>TEST_DATA!E5897</f>
        <v/>
      </c>
    </row>
    <row r="5898">
      <c r="A5898">
        <f>TEST_DATA!A5898</f>
        <v/>
      </c>
      <c r="B5898">
        <f>TEST_DATA!B5898</f>
        <v/>
      </c>
      <c r="C5898">
        <f>TEST_DATA!C5898</f>
        <v/>
      </c>
      <c r="D5898">
        <f>TEST_DATA!D5898</f>
        <v/>
      </c>
      <c r="E5898">
        <f>TEST_DATA!E5898</f>
        <v/>
      </c>
    </row>
    <row r="5899">
      <c r="A5899">
        <f>TEST_DATA!A5899</f>
        <v/>
      </c>
      <c r="B5899">
        <f>TEST_DATA!B5899</f>
        <v/>
      </c>
      <c r="C5899">
        <f>TEST_DATA!C5899</f>
        <v/>
      </c>
      <c r="D5899">
        <f>TEST_DATA!D5899</f>
        <v/>
      </c>
      <c r="E5899">
        <f>TEST_DATA!E5899</f>
        <v/>
      </c>
    </row>
    <row r="5900">
      <c r="A5900">
        <f>TEST_DATA!A5900</f>
        <v/>
      </c>
      <c r="B5900">
        <f>TEST_DATA!B5900</f>
        <v/>
      </c>
      <c r="C5900">
        <f>TEST_DATA!C5900</f>
        <v/>
      </c>
      <c r="D5900">
        <f>TEST_DATA!D5900</f>
        <v/>
      </c>
      <c r="E5900">
        <f>TEST_DATA!E5900</f>
        <v/>
      </c>
    </row>
    <row r="5901">
      <c r="A5901">
        <f>TEST_DATA!A5901</f>
        <v/>
      </c>
      <c r="B5901">
        <f>TEST_DATA!B5901</f>
        <v/>
      </c>
      <c r="C5901">
        <f>TEST_DATA!C5901</f>
        <v/>
      </c>
      <c r="D5901">
        <f>TEST_DATA!D5901</f>
        <v/>
      </c>
      <c r="E5901">
        <f>TEST_DATA!E5901</f>
        <v/>
      </c>
    </row>
    <row r="5902">
      <c r="A5902">
        <f>TEST_DATA!A5902</f>
        <v/>
      </c>
      <c r="B5902">
        <f>TEST_DATA!B5902</f>
        <v/>
      </c>
      <c r="C5902">
        <f>TEST_DATA!C5902</f>
        <v/>
      </c>
      <c r="D5902">
        <f>TEST_DATA!D5902</f>
        <v/>
      </c>
      <c r="E5902">
        <f>TEST_DATA!E5902</f>
        <v/>
      </c>
    </row>
    <row r="5903">
      <c r="A5903">
        <f>TEST_DATA!A5903</f>
        <v/>
      </c>
      <c r="B5903">
        <f>TEST_DATA!B5903</f>
        <v/>
      </c>
      <c r="C5903">
        <f>TEST_DATA!C5903</f>
        <v/>
      </c>
      <c r="D5903">
        <f>TEST_DATA!D5903</f>
        <v/>
      </c>
      <c r="E5903">
        <f>TEST_DATA!E5903</f>
        <v/>
      </c>
    </row>
    <row r="5904">
      <c r="A5904">
        <f>TEST_DATA!A5904</f>
        <v/>
      </c>
      <c r="B5904">
        <f>TEST_DATA!B5904</f>
        <v/>
      </c>
      <c r="C5904">
        <f>TEST_DATA!C5904</f>
        <v/>
      </c>
      <c r="D5904">
        <f>TEST_DATA!D5904</f>
        <v/>
      </c>
      <c r="E5904">
        <f>TEST_DATA!E5904</f>
        <v/>
      </c>
    </row>
    <row r="5905">
      <c r="A5905">
        <f>TEST_DATA!A5905</f>
        <v/>
      </c>
      <c r="B5905">
        <f>TEST_DATA!B5905</f>
        <v/>
      </c>
      <c r="C5905">
        <f>TEST_DATA!C5905</f>
        <v/>
      </c>
      <c r="D5905">
        <f>TEST_DATA!D5905</f>
        <v/>
      </c>
      <c r="E5905">
        <f>TEST_DATA!E5905</f>
        <v/>
      </c>
    </row>
    <row r="5906">
      <c r="A5906">
        <f>TEST_DATA!A5906</f>
        <v/>
      </c>
      <c r="B5906">
        <f>TEST_DATA!B5906</f>
        <v/>
      </c>
      <c r="C5906">
        <f>TEST_DATA!C5906</f>
        <v/>
      </c>
      <c r="D5906">
        <f>TEST_DATA!D5906</f>
        <v/>
      </c>
      <c r="E5906">
        <f>TEST_DATA!E5906</f>
        <v/>
      </c>
    </row>
    <row r="5907">
      <c r="A5907">
        <f>TEST_DATA!A5907</f>
        <v/>
      </c>
      <c r="B5907">
        <f>TEST_DATA!B5907</f>
        <v/>
      </c>
      <c r="C5907">
        <f>TEST_DATA!C5907</f>
        <v/>
      </c>
      <c r="D5907">
        <f>TEST_DATA!D5907</f>
        <v/>
      </c>
      <c r="E5907">
        <f>TEST_DATA!E5907</f>
        <v/>
      </c>
    </row>
    <row r="5908">
      <c r="A5908">
        <f>TEST_DATA!A5908</f>
        <v/>
      </c>
      <c r="B5908">
        <f>TEST_DATA!B5908</f>
        <v/>
      </c>
      <c r="C5908">
        <f>TEST_DATA!C5908</f>
        <v/>
      </c>
      <c r="D5908">
        <f>TEST_DATA!D5908</f>
        <v/>
      </c>
      <c r="E5908">
        <f>TEST_DATA!E5908</f>
        <v/>
      </c>
    </row>
    <row r="5909">
      <c r="A5909">
        <f>TEST_DATA!A5909</f>
        <v/>
      </c>
      <c r="B5909">
        <f>TEST_DATA!B5909</f>
        <v/>
      </c>
      <c r="C5909">
        <f>TEST_DATA!C5909</f>
        <v/>
      </c>
      <c r="D5909">
        <f>TEST_DATA!D5909</f>
        <v/>
      </c>
      <c r="E5909">
        <f>TEST_DATA!E5909</f>
        <v/>
      </c>
    </row>
    <row r="5910">
      <c r="A5910">
        <f>TEST_DATA!A5910</f>
        <v/>
      </c>
      <c r="B5910">
        <f>TEST_DATA!B5910</f>
        <v/>
      </c>
      <c r="C5910">
        <f>TEST_DATA!C5910</f>
        <v/>
      </c>
      <c r="D5910">
        <f>TEST_DATA!D5910</f>
        <v/>
      </c>
      <c r="E5910">
        <f>TEST_DATA!E5910</f>
        <v/>
      </c>
    </row>
    <row r="5911">
      <c r="A5911">
        <f>TEST_DATA!A5911</f>
        <v/>
      </c>
      <c r="B5911">
        <f>TEST_DATA!B5911</f>
        <v/>
      </c>
      <c r="C5911">
        <f>TEST_DATA!C5911</f>
        <v/>
      </c>
      <c r="D5911">
        <f>TEST_DATA!D5911</f>
        <v/>
      </c>
      <c r="E5911">
        <f>TEST_DATA!E5911</f>
        <v/>
      </c>
    </row>
    <row r="5912">
      <c r="A5912">
        <f>TEST_DATA!A5912</f>
        <v/>
      </c>
      <c r="B5912">
        <f>TEST_DATA!B5912</f>
        <v/>
      </c>
      <c r="C5912">
        <f>TEST_DATA!C5912</f>
        <v/>
      </c>
      <c r="D5912">
        <f>TEST_DATA!D5912</f>
        <v/>
      </c>
      <c r="E5912">
        <f>TEST_DATA!E5912</f>
        <v/>
      </c>
    </row>
    <row r="5913">
      <c r="A5913">
        <f>TEST_DATA!A5913</f>
        <v/>
      </c>
      <c r="B5913">
        <f>TEST_DATA!B5913</f>
        <v/>
      </c>
      <c r="C5913">
        <f>TEST_DATA!C5913</f>
        <v/>
      </c>
      <c r="D5913">
        <f>TEST_DATA!D5913</f>
        <v/>
      </c>
      <c r="E5913">
        <f>TEST_DATA!E5913</f>
        <v/>
      </c>
    </row>
    <row r="5914">
      <c r="A5914">
        <f>TEST_DATA!A5914</f>
        <v/>
      </c>
      <c r="B5914">
        <f>TEST_DATA!B5914</f>
        <v/>
      </c>
      <c r="C5914">
        <f>TEST_DATA!C5914</f>
        <v/>
      </c>
      <c r="D5914">
        <f>TEST_DATA!D5914</f>
        <v/>
      </c>
      <c r="E5914">
        <f>TEST_DATA!E5914</f>
        <v/>
      </c>
    </row>
    <row r="5915">
      <c r="A5915">
        <f>TEST_DATA!A5915</f>
        <v/>
      </c>
      <c r="B5915">
        <f>TEST_DATA!B5915</f>
        <v/>
      </c>
      <c r="C5915">
        <f>TEST_DATA!C5915</f>
        <v/>
      </c>
      <c r="D5915">
        <f>TEST_DATA!D5915</f>
        <v/>
      </c>
      <c r="E5915">
        <f>TEST_DATA!E5915</f>
        <v/>
      </c>
    </row>
    <row r="5916">
      <c r="A5916">
        <f>TEST_DATA!A5916</f>
        <v/>
      </c>
      <c r="B5916">
        <f>TEST_DATA!B5916</f>
        <v/>
      </c>
      <c r="C5916">
        <f>TEST_DATA!C5916</f>
        <v/>
      </c>
      <c r="D5916">
        <f>TEST_DATA!D5916</f>
        <v/>
      </c>
      <c r="E5916">
        <f>TEST_DATA!E5916</f>
        <v/>
      </c>
    </row>
    <row r="5917">
      <c r="A5917">
        <f>TEST_DATA!A5917</f>
        <v/>
      </c>
      <c r="B5917">
        <f>TEST_DATA!B5917</f>
        <v/>
      </c>
      <c r="C5917">
        <f>TEST_DATA!C5917</f>
        <v/>
      </c>
      <c r="D5917">
        <f>TEST_DATA!D5917</f>
        <v/>
      </c>
      <c r="E5917">
        <f>TEST_DATA!E5917</f>
        <v/>
      </c>
    </row>
    <row r="5918">
      <c r="A5918">
        <f>TEST_DATA!A5918</f>
        <v/>
      </c>
      <c r="B5918">
        <f>TEST_DATA!B5918</f>
        <v/>
      </c>
      <c r="C5918">
        <f>TEST_DATA!C5918</f>
        <v/>
      </c>
      <c r="D5918">
        <f>TEST_DATA!D5918</f>
        <v/>
      </c>
      <c r="E5918">
        <f>TEST_DATA!E5918</f>
        <v/>
      </c>
    </row>
    <row r="5919">
      <c r="A5919">
        <f>TEST_DATA!A5919</f>
        <v/>
      </c>
      <c r="B5919">
        <f>TEST_DATA!B5919</f>
        <v/>
      </c>
      <c r="C5919">
        <f>TEST_DATA!C5919</f>
        <v/>
      </c>
      <c r="D5919">
        <f>TEST_DATA!D5919</f>
        <v/>
      </c>
      <c r="E5919">
        <f>TEST_DATA!E5919</f>
        <v/>
      </c>
    </row>
    <row r="5920">
      <c r="A5920">
        <f>TEST_DATA!A5920</f>
        <v/>
      </c>
      <c r="B5920">
        <f>TEST_DATA!B5920</f>
        <v/>
      </c>
      <c r="C5920">
        <f>TEST_DATA!C5920</f>
        <v/>
      </c>
      <c r="D5920">
        <f>TEST_DATA!D5920</f>
        <v/>
      </c>
      <c r="E5920">
        <f>TEST_DATA!E5920</f>
        <v/>
      </c>
    </row>
    <row r="5921">
      <c r="A5921">
        <f>TEST_DATA!A5921</f>
        <v/>
      </c>
      <c r="B5921">
        <f>TEST_DATA!B5921</f>
        <v/>
      </c>
      <c r="C5921">
        <f>TEST_DATA!C5921</f>
        <v/>
      </c>
      <c r="D5921">
        <f>TEST_DATA!D5921</f>
        <v/>
      </c>
      <c r="E5921">
        <f>TEST_DATA!E5921</f>
        <v/>
      </c>
    </row>
    <row r="5922">
      <c r="A5922">
        <f>TEST_DATA!A5922</f>
        <v/>
      </c>
      <c r="B5922">
        <f>TEST_DATA!B5922</f>
        <v/>
      </c>
      <c r="C5922">
        <f>TEST_DATA!C5922</f>
        <v/>
      </c>
      <c r="D5922">
        <f>TEST_DATA!D5922</f>
        <v/>
      </c>
      <c r="E5922">
        <f>TEST_DATA!E5922</f>
        <v/>
      </c>
    </row>
    <row r="5923">
      <c r="A5923">
        <f>TEST_DATA!A5923</f>
        <v/>
      </c>
      <c r="B5923">
        <f>TEST_DATA!B5923</f>
        <v/>
      </c>
      <c r="C5923">
        <f>TEST_DATA!C5923</f>
        <v/>
      </c>
      <c r="D5923">
        <f>TEST_DATA!D5923</f>
        <v/>
      </c>
      <c r="E5923">
        <f>TEST_DATA!E5923</f>
        <v/>
      </c>
    </row>
    <row r="5924">
      <c r="A5924">
        <f>TEST_DATA!A5924</f>
        <v/>
      </c>
      <c r="B5924">
        <f>TEST_DATA!B5924</f>
        <v/>
      </c>
      <c r="C5924">
        <f>TEST_DATA!C5924</f>
        <v/>
      </c>
      <c r="D5924">
        <f>TEST_DATA!D5924</f>
        <v/>
      </c>
      <c r="E5924">
        <f>TEST_DATA!E5924</f>
        <v/>
      </c>
    </row>
    <row r="5925">
      <c r="A5925">
        <f>TEST_DATA!A5925</f>
        <v/>
      </c>
      <c r="B5925">
        <f>TEST_DATA!B5925</f>
        <v/>
      </c>
      <c r="C5925">
        <f>TEST_DATA!C5925</f>
        <v/>
      </c>
      <c r="D5925">
        <f>TEST_DATA!D5925</f>
        <v/>
      </c>
      <c r="E5925">
        <f>TEST_DATA!E5925</f>
        <v/>
      </c>
    </row>
    <row r="5926">
      <c r="A5926">
        <f>TEST_DATA!A5926</f>
        <v/>
      </c>
      <c r="B5926">
        <f>TEST_DATA!B5926</f>
        <v/>
      </c>
      <c r="C5926">
        <f>TEST_DATA!C5926</f>
        <v/>
      </c>
      <c r="D5926">
        <f>TEST_DATA!D5926</f>
        <v/>
      </c>
      <c r="E5926">
        <f>TEST_DATA!E5926</f>
        <v/>
      </c>
    </row>
    <row r="5927">
      <c r="A5927">
        <f>TEST_DATA!A5927</f>
        <v/>
      </c>
      <c r="B5927">
        <f>TEST_DATA!B5927</f>
        <v/>
      </c>
      <c r="C5927">
        <f>TEST_DATA!C5927</f>
        <v/>
      </c>
      <c r="D5927">
        <f>TEST_DATA!D5927</f>
        <v/>
      </c>
      <c r="E5927">
        <f>TEST_DATA!E5927</f>
        <v/>
      </c>
    </row>
    <row r="5928">
      <c r="A5928">
        <f>TEST_DATA!A5928</f>
        <v/>
      </c>
      <c r="B5928">
        <f>TEST_DATA!B5928</f>
        <v/>
      </c>
      <c r="C5928">
        <f>TEST_DATA!C5928</f>
        <v/>
      </c>
      <c r="D5928">
        <f>TEST_DATA!D5928</f>
        <v/>
      </c>
      <c r="E5928">
        <f>TEST_DATA!E5928</f>
        <v/>
      </c>
    </row>
    <row r="5929">
      <c r="A5929">
        <f>TEST_DATA!A5929</f>
        <v/>
      </c>
      <c r="B5929">
        <f>TEST_DATA!B5929</f>
        <v/>
      </c>
      <c r="C5929">
        <f>TEST_DATA!C5929</f>
        <v/>
      </c>
      <c r="D5929">
        <f>TEST_DATA!D5929</f>
        <v/>
      </c>
      <c r="E5929">
        <f>TEST_DATA!E5929</f>
        <v/>
      </c>
    </row>
    <row r="5930">
      <c r="A5930">
        <f>TEST_DATA!A5930</f>
        <v/>
      </c>
      <c r="B5930">
        <f>TEST_DATA!B5930</f>
        <v/>
      </c>
      <c r="C5930">
        <f>TEST_DATA!C5930</f>
        <v/>
      </c>
      <c r="D5930">
        <f>TEST_DATA!D5930</f>
        <v/>
      </c>
      <c r="E5930">
        <f>TEST_DATA!E5930</f>
        <v/>
      </c>
    </row>
    <row r="5931">
      <c r="A5931">
        <f>TEST_DATA!A5931</f>
        <v/>
      </c>
      <c r="B5931">
        <f>TEST_DATA!B5931</f>
        <v/>
      </c>
      <c r="C5931">
        <f>TEST_DATA!C5931</f>
        <v/>
      </c>
      <c r="D5931">
        <f>TEST_DATA!D5931</f>
        <v/>
      </c>
      <c r="E5931">
        <f>TEST_DATA!E5931</f>
        <v/>
      </c>
    </row>
    <row r="5932">
      <c r="A5932">
        <f>TEST_DATA!A5932</f>
        <v/>
      </c>
      <c r="B5932">
        <f>TEST_DATA!B5932</f>
        <v/>
      </c>
      <c r="C5932">
        <f>TEST_DATA!C5932</f>
        <v/>
      </c>
      <c r="D5932">
        <f>TEST_DATA!D5932</f>
        <v/>
      </c>
      <c r="E5932">
        <f>TEST_DATA!E5932</f>
        <v/>
      </c>
    </row>
    <row r="5933">
      <c r="A5933">
        <f>TEST_DATA!A5933</f>
        <v/>
      </c>
      <c r="B5933">
        <f>TEST_DATA!B5933</f>
        <v/>
      </c>
      <c r="C5933">
        <f>TEST_DATA!C5933</f>
        <v/>
      </c>
      <c r="D5933">
        <f>TEST_DATA!D5933</f>
        <v/>
      </c>
      <c r="E5933">
        <f>TEST_DATA!E5933</f>
        <v/>
      </c>
    </row>
    <row r="5934">
      <c r="A5934">
        <f>TEST_DATA!A5934</f>
        <v/>
      </c>
      <c r="B5934">
        <f>TEST_DATA!B5934</f>
        <v/>
      </c>
      <c r="C5934">
        <f>TEST_DATA!C5934</f>
        <v/>
      </c>
      <c r="D5934">
        <f>TEST_DATA!D5934</f>
        <v/>
      </c>
      <c r="E5934">
        <f>TEST_DATA!E5934</f>
        <v/>
      </c>
    </row>
    <row r="5935">
      <c r="A5935">
        <f>TEST_DATA!A5935</f>
        <v/>
      </c>
      <c r="B5935">
        <f>TEST_DATA!B5935</f>
        <v/>
      </c>
      <c r="C5935">
        <f>TEST_DATA!C5935</f>
        <v/>
      </c>
      <c r="D5935">
        <f>TEST_DATA!D5935</f>
        <v/>
      </c>
      <c r="E5935">
        <f>TEST_DATA!E5935</f>
        <v/>
      </c>
    </row>
    <row r="5936">
      <c r="A5936">
        <f>TEST_DATA!A5936</f>
        <v/>
      </c>
      <c r="B5936">
        <f>TEST_DATA!B5936</f>
        <v/>
      </c>
      <c r="C5936">
        <f>TEST_DATA!C5936</f>
        <v/>
      </c>
      <c r="D5936">
        <f>TEST_DATA!D5936</f>
        <v/>
      </c>
      <c r="E5936">
        <f>TEST_DATA!E5936</f>
        <v/>
      </c>
    </row>
    <row r="5937">
      <c r="A5937">
        <f>TEST_DATA!A5937</f>
        <v/>
      </c>
      <c r="B5937">
        <f>TEST_DATA!B5937</f>
        <v/>
      </c>
      <c r="C5937">
        <f>TEST_DATA!C5937</f>
        <v/>
      </c>
      <c r="D5937">
        <f>TEST_DATA!D5937</f>
        <v/>
      </c>
      <c r="E5937">
        <f>TEST_DATA!E5937</f>
        <v/>
      </c>
    </row>
    <row r="5938">
      <c r="A5938">
        <f>TEST_DATA!A5938</f>
        <v/>
      </c>
      <c r="B5938">
        <f>TEST_DATA!B5938</f>
        <v/>
      </c>
      <c r="C5938">
        <f>TEST_DATA!C5938</f>
        <v/>
      </c>
      <c r="D5938">
        <f>TEST_DATA!D5938</f>
        <v/>
      </c>
      <c r="E5938">
        <f>TEST_DATA!E5938</f>
        <v/>
      </c>
    </row>
    <row r="5939">
      <c r="A5939">
        <f>TEST_DATA!A5939</f>
        <v/>
      </c>
      <c r="B5939">
        <f>TEST_DATA!B5939</f>
        <v/>
      </c>
      <c r="C5939">
        <f>TEST_DATA!C5939</f>
        <v/>
      </c>
      <c r="D5939">
        <f>TEST_DATA!D5939</f>
        <v/>
      </c>
      <c r="E5939">
        <f>TEST_DATA!E5939</f>
        <v/>
      </c>
    </row>
    <row r="5940">
      <c r="A5940">
        <f>TEST_DATA!A5940</f>
        <v/>
      </c>
      <c r="B5940">
        <f>TEST_DATA!B5940</f>
        <v/>
      </c>
      <c r="C5940">
        <f>TEST_DATA!C5940</f>
        <v/>
      </c>
      <c r="D5940">
        <f>TEST_DATA!D5940</f>
        <v/>
      </c>
      <c r="E5940">
        <f>TEST_DATA!E5940</f>
        <v/>
      </c>
    </row>
    <row r="5941">
      <c r="A5941">
        <f>TEST_DATA!A5941</f>
        <v/>
      </c>
      <c r="B5941">
        <f>TEST_DATA!B5941</f>
        <v/>
      </c>
      <c r="C5941">
        <f>TEST_DATA!C5941</f>
        <v/>
      </c>
      <c r="D5941">
        <f>TEST_DATA!D5941</f>
        <v/>
      </c>
      <c r="E5941">
        <f>TEST_DATA!E5941</f>
        <v/>
      </c>
    </row>
    <row r="5942">
      <c r="A5942">
        <f>TEST_DATA!A5942</f>
        <v/>
      </c>
      <c r="B5942">
        <f>TEST_DATA!B5942</f>
        <v/>
      </c>
      <c r="C5942">
        <f>TEST_DATA!C5942</f>
        <v/>
      </c>
      <c r="D5942">
        <f>TEST_DATA!D5942</f>
        <v/>
      </c>
      <c r="E5942">
        <f>TEST_DATA!E5942</f>
        <v/>
      </c>
    </row>
    <row r="5943">
      <c r="A5943">
        <f>TEST_DATA!A5943</f>
        <v/>
      </c>
      <c r="B5943">
        <f>TEST_DATA!B5943</f>
        <v/>
      </c>
      <c r="C5943">
        <f>TEST_DATA!C5943</f>
        <v/>
      </c>
      <c r="D5943">
        <f>TEST_DATA!D5943</f>
        <v/>
      </c>
      <c r="E5943">
        <f>TEST_DATA!E5943</f>
        <v/>
      </c>
    </row>
    <row r="5944">
      <c r="A5944">
        <f>TEST_DATA!A5944</f>
        <v/>
      </c>
      <c r="B5944">
        <f>TEST_DATA!B5944</f>
        <v/>
      </c>
      <c r="C5944">
        <f>TEST_DATA!C5944</f>
        <v/>
      </c>
      <c r="D5944">
        <f>TEST_DATA!D5944</f>
        <v/>
      </c>
      <c r="E5944">
        <f>TEST_DATA!E5944</f>
        <v/>
      </c>
    </row>
    <row r="5945">
      <c r="A5945">
        <f>TEST_DATA!A5945</f>
        <v/>
      </c>
      <c r="B5945">
        <f>TEST_DATA!B5945</f>
        <v/>
      </c>
      <c r="C5945">
        <f>TEST_DATA!C5945</f>
        <v/>
      </c>
      <c r="D5945">
        <f>TEST_DATA!D5945</f>
        <v/>
      </c>
      <c r="E5945">
        <f>TEST_DATA!E5945</f>
        <v/>
      </c>
    </row>
    <row r="5946">
      <c r="A5946">
        <f>TEST_DATA!A5946</f>
        <v/>
      </c>
      <c r="B5946">
        <f>TEST_DATA!B5946</f>
        <v/>
      </c>
      <c r="C5946">
        <f>TEST_DATA!C5946</f>
        <v/>
      </c>
      <c r="D5946">
        <f>TEST_DATA!D5946</f>
        <v/>
      </c>
      <c r="E5946">
        <f>TEST_DATA!E5946</f>
        <v/>
      </c>
    </row>
    <row r="5947">
      <c r="A5947">
        <f>TEST_DATA!A5947</f>
        <v/>
      </c>
      <c r="B5947">
        <f>TEST_DATA!B5947</f>
        <v/>
      </c>
      <c r="C5947">
        <f>TEST_DATA!C5947</f>
        <v/>
      </c>
      <c r="D5947">
        <f>TEST_DATA!D5947</f>
        <v/>
      </c>
      <c r="E5947">
        <f>TEST_DATA!E5947</f>
        <v/>
      </c>
    </row>
    <row r="5948">
      <c r="A5948">
        <f>TEST_DATA!A5948</f>
        <v/>
      </c>
      <c r="B5948">
        <f>TEST_DATA!B5948</f>
        <v/>
      </c>
      <c r="C5948">
        <f>TEST_DATA!C5948</f>
        <v/>
      </c>
      <c r="D5948">
        <f>TEST_DATA!D5948</f>
        <v/>
      </c>
      <c r="E5948">
        <f>TEST_DATA!E5948</f>
        <v/>
      </c>
    </row>
    <row r="5949">
      <c r="A5949">
        <f>TEST_DATA!A5949</f>
        <v/>
      </c>
      <c r="B5949">
        <f>TEST_DATA!B5949</f>
        <v/>
      </c>
      <c r="C5949">
        <f>TEST_DATA!C5949</f>
        <v/>
      </c>
      <c r="D5949">
        <f>TEST_DATA!D5949</f>
        <v/>
      </c>
      <c r="E5949">
        <f>TEST_DATA!E5949</f>
        <v/>
      </c>
    </row>
    <row r="5950">
      <c r="A5950">
        <f>TEST_DATA!A5950</f>
        <v/>
      </c>
      <c r="B5950">
        <f>TEST_DATA!B5950</f>
        <v/>
      </c>
      <c r="C5950">
        <f>TEST_DATA!C5950</f>
        <v/>
      </c>
      <c r="D5950">
        <f>TEST_DATA!D5950</f>
        <v/>
      </c>
      <c r="E5950">
        <f>TEST_DATA!E5950</f>
        <v/>
      </c>
    </row>
    <row r="5951">
      <c r="A5951">
        <f>TEST_DATA!A5951</f>
        <v/>
      </c>
      <c r="B5951">
        <f>TEST_DATA!B5951</f>
        <v/>
      </c>
      <c r="C5951">
        <f>TEST_DATA!C5951</f>
        <v/>
      </c>
      <c r="D5951">
        <f>TEST_DATA!D5951</f>
        <v/>
      </c>
      <c r="E5951">
        <f>TEST_DATA!E5951</f>
        <v/>
      </c>
    </row>
    <row r="5952">
      <c r="A5952">
        <f>TEST_DATA!A5952</f>
        <v/>
      </c>
      <c r="B5952">
        <f>TEST_DATA!B5952</f>
        <v/>
      </c>
      <c r="C5952">
        <f>TEST_DATA!C5952</f>
        <v/>
      </c>
      <c r="D5952">
        <f>TEST_DATA!D5952</f>
        <v/>
      </c>
      <c r="E5952">
        <f>TEST_DATA!E5952</f>
        <v/>
      </c>
    </row>
    <row r="5953">
      <c r="A5953">
        <f>TEST_DATA!A5953</f>
        <v/>
      </c>
      <c r="B5953">
        <f>TEST_DATA!B5953</f>
        <v/>
      </c>
      <c r="C5953">
        <f>TEST_DATA!C5953</f>
        <v/>
      </c>
      <c r="D5953">
        <f>TEST_DATA!D5953</f>
        <v/>
      </c>
      <c r="E5953">
        <f>TEST_DATA!E5953</f>
        <v/>
      </c>
    </row>
    <row r="5954">
      <c r="A5954">
        <f>TEST_DATA!A5954</f>
        <v/>
      </c>
      <c r="B5954">
        <f>TEST_DATA!B5954</f>
        <v/>
      </c>
      <c r="C5954">
        <f>TEST_DATA!C5954</f>
        <v/>
      </c>
      <c r="D5954">
        <f>TEST_DATA!D5954</f>
        <v/>
      </c>
      <c r="E5954">
        <f>TEST_DATA!E5954</f>
        <v/>
      </c>
    </row>
    <row r="5955">
      <c r="A5955">
        <f>TEST_DATA!A5955</f>
        <v/>
      </c>
      <c r="B5955">
        <f>TEST_DATA!B5955</f>
        <v/>
      </c>
      <c r="C5955">
        <f>TEST_DATA!C5955</f>
        <v/>
      </c>
      <c r="D5955">
        <f>TEST_DATA!D5955</f>
        <v/>
      </c>
      <c r="E5955">
        <f>TEST_DATA!E5955</f>
        <v/>
      </c>
    </row>
    <row r="5956">
      <c r="A5956">
        <f>TEST_DATA!A5956</f>
        <v/>
      </c>
      <c r="B5956">
        <f>TEST_DATA!B5956</f>
        <v/>
      </c>
      <c r="C5956">
        <f>TEST_DATA!C5956</f>
        <v/>
      </c>
      <c r="D5956">
        <f>TEST_DATA!D5956</f>
        <v/>
      </c>
      <c r="E5956">
        <f>TEST_DATA!E5956</f>
        <v/>
      </c>
    </row>
    <row r="5957">
      <c r="A5957">
        <f>TEST_DATA!A5957</f>
        <v/>
      </c>
      <c r="B5957">
        <f>TEST_DATA!B5957</f>
        <v/>
      </c>
      <c r="C5957">
        <f>TEST_DATA!C5957</f>
        <v/>
      </c>
      <c r="D5957">
        <f>TEST_DATA!D5957</f>
        <v/>
      </c>
      <c r="E5957">
        <f>TEST_DATA!E5957</f>
        <v/>
      </c>
    </row>
    <row r="5958">
      <c r="A5958">
        <f>TEST_DATA!A5958</f>
        <v/>
      </c>
      <c r="B5958">
        <f>TEST_DATA!B5958</f>
        <v/>
      </c>
      <c r="C5958">
        <f>TEST_DATA!C5958</f>
        <v/>
      </c>
      <c r="D5958">
        <f>TEST_DATA!D5958</f>
        <v/>
      </c>
      <c r="E5958">
        <f>TEST_DATA!E5958</f>
        <v/>
      </c>
    </row>
    <row r="5959">
      <c r="A5959">
        <f>TEST_DATA!A5959</f>
        <v/>
      </c>
      <c r="B5959">
        <f>TEST_DATA!B5959</f>
        <v/>
      </c>
      <c r="C5959">
        <f>TEST_DATA!C5959</f>
        <v/>
      </c>
      <c r="D5959">
        <f>TEST_DATA!D5959</f>
        <v/>
      </c>
      <c r="E5959">
        <f>TEST_DATA!E5959</f>
        <v/>
      </c>
    </row>
    <row r="5960">
      <c r="A5960">
        <f>TEST_DATA!A5960</f>
        <v/>
      </c>
      <c r="B5960">
        <f>TEST_DATA!B5960</f>
        <v/>
      </c>
      <c r="C5960">
        <f>TEST_DATA!C5960</f>
        <v/>
      </c>
      <c r="D5960">
        <f>TEST_DATA!D5960</f>
        <v/>
      </c>
      <c r="E5960">
        <f>TEST_DATA!E5960</f>
        <v/>
      </c>
    </row>
    <row r="5961">
      <c r="A5961">
        <f>TEST_DATA!A5961</f>
        <v/>
      </c>
      <c r="B5961">
        <f>TEST_DATA!B5961</f>
        <v/>
      </c>
      <c r="C5961">
        <f>TEST_DATA!C5961</f>
        <v/>
      </c>
      <c r="D5961">
        <f>TEST_DATA!D5961</f>
        <v/>
      </c>
      <c r="E5961">
        <f>TEST_DATA!E5961</f>
        <v/>
      </c>
    </row>
    <row r="5962">
      <c r="A5962">
        <f>TEST_DATA!A5962</f>
        <v/>
      </c>
      <c r="B5962">
        <f>TEST_DATA!B5962</f>
        <v/>
      </c>
      <c r="C5962">
        <f>TEST_DATA!C5962</f>
        <v/>
      </c>
      <c r="D5962">
        <f>TEST_DATA!D5962</f>
        <v/>
      </c>
      <c r="E5962">
        <f>TEST_DATA!E5962</f>
        <v/>
      </c>
    </row>
    <row r="5963">
      <c r="A5963">
        <f>TEST_DATA!A5963</f>
        <v/>
      </c>
      <c r="B5963">
        <f>TEST_DATA!B5963</f>
        <v/>
      </c>
      <c r="C5963">
        <f>TEST_DATA!C5963</f>
        <v/>
      </c>
      <c r="D5963">
        <f>TEST_DATA!D5963</f>
        <v/>
      </c>
      <c r="E5963">
        <f>TEST_DATA!E5963</f>
        <v/>
      </c>
    </row>
    <row r="5964">
      <c r="A5964">
        <f>TEST_DATA!A5964</f>
        <v/>
      </c>
      <c r="B5964">
        <f>TEST_DATA!B5964</f>
        <v/>
      </c>
      <c r="C5964">
        <f>TEST_DATA!C5964</f>
        <v/>
      </c>
      <c r="D5964">
        <f>TEST_DATA!D5964</f>
        <v/>
      </c>
      <c r="E5964">
        <f>TEST_DATA!E5964</f>
        <v/>
      </c>
    </row>
    <row r="5965">
      <c r="A5965">
        <f>TEST_DATA!A5965</f>
        <v/>
      </c>
      <c r="B5965">
        <f>TEST_DATA!B5965</f>
        <v/>
      </c>
      <c r="C5965">
        <f>TEST_DATA!C5965</f>
        <v/>
      </c>
      <c r="D5965">
        <f>TEST_DATA!D5965</f>
        <v/>
      </c>
      <c r="E5965">
        <f>TEST_DATA!E5965</f>
        <v/>
      </c>
    </row>
    <row r="5966">
      <c r="A5966">
        <f>TEST_DATA!A5966</f>
        <v/>
      </c>
      <c r="B5966">
        <f>TEST_DATA!B5966</f>
        <v/>
      </c>
      <c r="C5966">
        <f>TEST_DATA!C5966</f>
        <v/>
      </c>
      <c r="D5966">
        <f>TEST_DATA!D5966</f>
        <v/>
      </c>
      <c r="E5966">
        <f>TEST_DATA!E5966</f>
        <v/>
      </c>
    </row>
    <row r="5967">
      <c r="A5967">
        <f>TEST_DATA!A5967</f>
        <v/>
      </c>
      <c r="B5967">
        <f>TEST_DATA!B5967</f>
        <v/>
      </c>
      <c r="C5967">
        <f>TEST_DATA!C5967</f>
        <v/>
      </c>
      <c r="D5967">
        <f>TEST_DATA!D5967</f>
        <v/>
      </c>
      <c r="E5967">
        <f>TEST_DATA!E5967</f>
        <v/>
      </c>
    </row>
    <row r="5968">
      <c r="A5968">
        <f>TEST_DATA!A5968</f>
        <v/>
      </c>
      <c r="B5968">
        <f>TEST_DATA!B5968</f>
        <v/>
      </c>
      <c r="C5968">
        <f>TEST_DATA!C5968</f>
        <v/>
      </c>
      <c r="D5968">
        <f>TEST_DATA!D5968</f>
        <v/>
      </c>
      <c r="E5968">
        <f>TEST_DATA!E5968</f>
        <v/>
      </c>
    </row>
    <row r="5969">
      <c r="A5969">
        <f>TEST_DATA!A5969</f>
        <v/>
      </c>
      <c r="B5969">
        <f>TEST_DATA!B5969</f>
        <v/>
      </c>
      <c r="C5969">
        <f>TEST_DATA!C5969</f>
        <v/>
      </c>
      <c r="D5969">
        <f>TEST_DATA!D5969</f>
        <v/>
      </c>
      <c r="E5969">
        <f>TEST_DATA!E5969</f>
        <v/>
      </c>
    </row>
    <row r="5970">
      <c r="A5970">
        <f>TEST_DATA!A5970</f>
        <v/>
      </c>
      <c r="B5970">
        <f>TEST_DATA!B5970</f>
        <v/>
      </c>
      <c r="C5970">
        <f>TEST_DATA!C5970</f>
        <v/>
      </c>
      <c r="D5970">
        <f>TEST_DATA!D5970</f>
        <v/>
      </c>
      <c r="E5970">
        <f>TEST_DATA!E5970</f>
        <v/>
      </c>
    </row>
    <row r="5971">
      <c r="A5971">
        <f>TEST_DATA!A5971</f>
        <v/>
      </c>
      <c r="B5971">
        <f>TEST_DATA!B5971</f>
        <v/>
      </c>
      <c r="C5971">
        <f>TEST_DATA!C5971</f>
        <v/>
      </c>
      <c r="D5971">
        <f>TEST_DATA!D5971</f>
        <v/>
      </c>
      <c r="E5971">
        <f>TEST_DATA!E5971</f>
        <v/>
      </c>
    </row>
    <row r="5972">
      <c r="A5972">
        <f>TEST_DATA!A5972</f>
        <v/>
      </c>
      <c r="B5972">
        <f>TEST_DATA!B5972</f>
        <v/>
      </c>
      <c r="C5972">
        <f>TEST_DATA!C5972</f>
        <v/>
      </c>
      <c r="D5972">
        <f>TEST_DATA!D5972</f>
        <v/>
      </c>
      <c r="E5972">
        <f>TEST_DATA!E5972</f>
        <v/>
      </c>
    </row>
    <row r="5973">
      <c r="A5973">
        <f>TEST_DATA!A5973</f>
        <v/>
      </c>
      <c r="B5973">
        <f>TEST_DATA!B5973</f>
        <v/>
      </c>
      <c r="C5973">
        <f>TEST_DATA!C5973</f>
        <v/>
      </c>
      <c r="D5973">
        <f>TEST_DATA!D5973</f>
        <v/>
      </c>
      <c r="E5973">
        <f>TEST_DATA!E5973</f>
        <v/>
      </c>
    </row>
    <row r="5974">
      <c r="A5974">
        <f>TEST_DATA!A5974</f>
        <v/>
      </c>
      <c r="B5974">
        <f>TEST_DATA!B5974</f>
        <v/>
      </c>
      <c r="C5974">
        <f>TEST_DATA!C5974</f>
        <v/>
      </c>
      <c r="D5974">
        <f>TEST_DATA!D5974</f>
        <v/>
      </c>
      <c r="E5974">
        <f>TEST_DATA!E5974</f>
        <v/>
      </c>
    </row>
    <row r="5975">
      <c r="A5975">
        <f>TEST_DATA!A5975</f>
        <v/>
      </c>
      <c r="B5975">
        <f>TEST_DATA!B5975</f>
        <v/>
      </c>
      <c r="C5975">
        <f>TEST_DATA!C5975</f>
        <v/>
      </c>
      <c r="D5975">
        <f>TEST_DATA!D5975</f>
        <v/>
      </c>
      <c r="E5975">
        <f>TEST_DATA!E5975</f>
        <v/>
      </c>
    </row>
    <row r="5976">
      <c r="A5976">
        <f>TEST_DATA!A5976</f>
        <v/>
      </c>
      <c r="B5976">
        <f>TEST_DATA!B5976</f>
        <v/>
      </c>
      <c r="C5976">
        <f>TEST_DATA!C5976</f>
        <v/>
      </c>
      <c r="D5976">
        <f>TEST_DATA!D5976</f>
        <v/>
      </c>
      <c r="E5976">
        <f>TEST_DATA!E5976</f>
        <v/>
      </c>
    </row>
    <row r="5977">
      <c r="A5977">
        <f>TEST_DATA!A5977</f>
        <v/>
      </c>
      <c r="B5977">
        <f>TEST_DATA!B5977</f>
        <v/>
      </c>
      <c r="C5977">
        <f>TEST_DATA!C5977</f>
        <v/>
      </c>
      <c r="D5977">
        <f>TEST_DATA!D5977</f>
        <v/>
      </c>
      <c r="E5977">
        <f>TEST_DATA!E5977</f>
        <v/>
      </c>
    </row>
    <row r="5978">
      <c r="A5978">
        <f>TEST_DATA!A5978</f>
        <v/>
      </c>
      <c r="B5978">
        <f>TEST_DATA!B5978</f>
        <v/>
      </c>
      <c r="C5978">
        <f>TEST_DATA!C5978</f>
        <v/>
      </c>
      <c r="D5978">
        <f>TEST_DATA!D5978</f>
        <v/>
      </c>
      <c r="E5978">
        <f>TEST_DATA!E5978</f>
        <v/>
      </c>
    </row>
    <row r="5979">
      <c r="A5979">
        <f>TEST_DATA!A5979</f>
        <v/>
      </c>
      <c r="B5979">
        <f>TEST_DATA!B5979</f>
        <v/>
      </c>
      <c r="C5979">
        <f>TEST_DATA!C5979</f>
        <v/>
      </c>
      <c r="D5979">
        <f>TEST_DATA!D5979</f>
        <v/>
      </c>
      <c r="E5979">
        <f>TEST_DATA!E5979</f>
        <v/>
      </c>
    </row>
    <row r="5980">
      <c r="A5980">
        <f>TEST_DATA!A5980</f>
        <v/>
      </c>
      <c r="B5980">
        <f>TEST_DATA!B5980</f>
        <v/>
      </c>
      <c r="C5980">
        <f>TEST_DATA!C5980</f>
        <v/>
      </c>
      <c r="D5980">
        <f>TEST_DATA!D5980</f>
        <v/>
      </c>
      <c r="E5980">
        <f>TEST_DATA!E5980</f>
        <v/>
      </c>
    </row>
    <row r="5981">
      <c r="A5981">
        <f>TEST_DATA!A5981</f>
        <v/>
      </c>
      <c r="B5981">
        <f>TEST_DATA!B5981</f>
        <v/>
      </c>
      <c r="C5981">
        <f>TEST_DATA!C5981</f>
        <v/>
      </c>
      <c r="D5981">
        <f>TEST_DATA!D5981</f>
        <v/>
      </c>
      <c r="E5981">
        <f>TEST_DATA!E5981</f>
        <v/>
      </c>
    </row>
    <row r="5982">
      <c r="A5982">
        <f>TEST_DATA!A5982</f>
        <v/>
      </c>
      <c r="B5982">
        <f>TEST_DATA!B5982</f>
        <v/>
      </c>
      <c r="C5982">
        <f>TEST_DATA!C5982</f>
        <v/>
      </c>
      <c r="D5982">
        <f>TEST_DATA!D5982</f>
        <v/>
      </c>
      <c r="E5982">
        <f>TEST_DATA!E5982</f>
        <v/>
      </c>
    </row>
    <row r="5983">
      <c r="A5983">
        <f>TEST_DATA!A5983</f>
        <v/>
      </c>
      <c r="B5983">
        <f>TEST_DATA!B5983</f>
        <v/>
      </c>
      <c r="C5983">
        <f>TEST_DATA!C5983</f>
        <v/>
      </c>
      <c r="D5983">
        <f>TEST_DATA!D5983</f>
        <v/>
      </c>
      <c r="E5983">
        <f>TEST_DATA!E5983</f>
        <v/>
      </c>
    </row>
    <row r="5984">
      <c r="A5984">
        <f>TEST_DATA!A5984</f>
        <v/>
      </c>
      <c r="B5984">
        <f>TEST_DATA!B5984</f>
        <v/>
      </c>
      <c r="C5984">
        <f>TEST_DATA!C5984</f>
        <v/>
      </c>
      <c r="D5984">
        <f>TEST_DATA!D5984</f>
        <v/>
      </c>
      <c r="E5984">
        <f>TEST_DATA!E5984</f>
        <v/>
      </c>
    </row>
    <row r="5985">
      <c r="A5985">
        <f>TEST_DATA!A5985</f>
        <v/>
      </c>
      <c r="B5985">
        <f>TEST_DATA!B5985</f>
        <v/>
      </c>
      <c r="C5985">
        <f>TEST_DATA!C5985</f>
        <v/>
      </c>
      <c r="D5985">
        <f>TEST_DATA!D5985</f>
        <v/>
      </c>
      <c r="E5985">
        <f>TEST_DATA!E5985</f>
        <v/>
      </c>
    </row>
    <row r="5986">
      <c r="A5986">
        <f>TEST_DATA!A5986</f>
        <v/>
      </c>
      <c r="B5986">
        <f>TEST_DATA!B5986</f>
        <v/>
      </c>
      <c r="C5986">
        <f>TEST_DATA!C5986</f>
        <v/>
      </c>
      <c r="D5986">
        <f>TEST_DATA!D5986</f>
        <v/>
      </c>
      <c r="E5986">
        <f>TEST_DATA!E5986</f>
        <v/>
      </c>
    </row>
    <row r="5987">
      <c r="A5987">
        <f>TEST_DATA!A5987</f>
        <v/>
      </c>
      <c r="B5987">
        <f>TEST_DATA!B5987</f>
        <v/>
      </c>
      <c r="C5987">
        <f>TEST_DATA!C5987</f>
        <v/>
      </c>
      <c r="D5987">
        <f>TEST_DATA!D5987</f>
        <v/>
      </c>
      <c r="E5987">
        <f>TEST_DATA!E5987</f>
        <v/>
      </c>
    </row>
    <row r="5988">
      <c r="A5988">
        <f>TEST_DATA!A5988</f>
        <v/>
      </c>
      <c r="B5988">
        <f>TEST_DATA!B5988</f>
        <v/>
      </c>
      <c r="C5988">
        <f>TEST_DATA!C5988</f>
        <v/>
      </c>
      <c r="D5988">
        <f>TEST_DATA!D5988</f>
        <v/>
      </c>
      <c r="E5988">
        <f>TEST_DATA!E5988</f>
        <v/>
      </c>
    </row>
    <row r="5989">
      <c r="A5989">
        <f>TEST_DATA!A5989</f>
        <v/>
      </c>
      <c r="B5989">
        <f>TEST_DATA!B5989</f>
        <v/>
      </c>
      <c r="C5989">
        <f>TEST_DATA!C5989</f>
        <v/>
      </c>
      <c r="D5989">
        <f>TEST_DATA!D5989</f>
        <v/>
      </c>
      <c r="E5989">
        <f>TEST_DATA!E5989</f>
        <v/>
      </c>
    </row>
    <row r="5990">
      <c r="A5990">
        <f>TEST_DATA!A5990</f>
        <v/>
      </c>
      <c r="B5990">
        <f>TEST_DATA!B5990</f>
        <v/>
      </c>
      <c r="C5990">
        <f>TEST_DATA!C5990</f>
        <v/>
      </c>
      <c r="D5990">
        <f>TEST_DATA!D5990</f>
        <v/>
      </c>
      <c r="E5990">
        <f>TEST_DATA!E5990</f>
        <v/>
      </c>
    </row>
    <row r="5991">
      <c r="A5991">
        <f>TEST_DATA!A5991</f>
        <v/>
      </c>
      <c r="B5991">
        <f>TEST_DATA!B5991</f>
        <v/>
      </c>
      <c r="C5991">
        <f>TEST_DATA!C5991</f>
        <v/>
      </c>
      <c r="D5991">
        <f>TEST_DATA!D5991</f>
        <v/>
      </c>
      <c r="E5991">
        <f>TEST_DATA!E5991</f>
        <v/>
      </c>
    </row>
    <row r="5992">
      <c r="A5992">
        <f>TEST_DATA!A5992</f>
        <v/>
      </c>
      <c r="B5992">
        <f>TEST_DATA!B5992</f>
        <v/>
      </c>
      <c r="C5992">
        <f>TEST_DATA!C5992</f>
        <v/>
      </c>
      <c r="D5992">
        <f>TEST_DATA!D5992</f>
        <v/>
      </c>
      <c r="E5992">
        <f>TEST_DATA!E5992</f>
        <v/>
      </c>
    </row>
    <row r="5993">
      <c r="A5993">
        <f>TEST_DATA!A5993</f>
        <v/>
      </c>
      <c r="B5993">
        <f>TEST_DATA!B5993</f>
        <v/>
      </c>
      <c r="C5993">
        <f>TEST_DATA!C5993</f>
        <v/>
      </c>
      <c r="D5993">
        <f>TEST_DATA!D5993</f>
        <v/>
      </c>
      <c r="E5993">
        <f>TEST_DATA!E5993</f>
        <v/>
      </c>
    </row>
    <row r="5994">
      <c r="A5994">
        <f>TEST_DATA!A5994</f>
        <v/>
      </c>
      <c r="B5994">
        <f>TEST_DATA!B5994</f>
        <v/>
      </c>
      <c r="C5994">
        <f>TEST_DATA!C5994</f>
        <v/>
      </c>
      <c r="D5994">
        <f>TEST_DATA!D5994</f>
        <v/>
      </c>
      <c r="E5994">
        <f>TEST_DATA!E5994</f>
        <v/>
      </c>
    </row>
    <row r="5995">
      <c r="A5995">
        <f>TEST_DATA!A5995</f>
        <v/>
      </c>
      <c r="B5995">
        <f>TEST_DATA!B5995</f>
        <v/>
      </c>
      <c r="C5995">
        <f>TEST_DATA!C5995</f>
        <v/>
      </c>
      <c r="D5995">
        <f>TEST_DATA!D5995</f>
        <v/>
      </c>
      <c r="E5995">
        <f>TEST_DATA!E5995</f>
        <v/>
      </c>
    </row>
    <row r="5996">
      <c r="A5996">
        <f>TEST_DATA!A5996</f>
        <v/>
      </c>
      <c r="B5996">
        <f>TEST_DATA!B5996</f>
        <v/>
      </c>
      <c r="C5996">
        <f>TEST_DATA!C5996</f>
        <v/>
      </c>
      <c r="D5996">
        <f>TEST_DATA!D5996</f>
        <v/>
      </c>
      <c r="E5996">
        <f>TEST_DATA!E5996</f>
        <v/>
      </c>
    </row>
    <row r="5997">
      <c r="A5997">
        <f>TEST_DATA!A5997</f>
        <v/>
      </c>
      <c r="B5997">
        <f>TEST_DATA!B5997</f>
        <v/>
      </c>
      <c r="C5997">
        <f>TEST_DATA!C5997</f>
        <v/>
      </c>
      <c r="D5997">
        <f>TEST_DATA!D5997</f>
        <v/>
      </c>
      <c r="E5997">
        <f>TEST_DATA!E5997</f>
        <v/>
      </c>
    </row>
    <row r="5998">
      <c r="A5998">
        <f>TEST_DATA!A5998</f>
        <v/>
      </c>
      <c r="B5998">
        <f>TEST_DATA!B5998</f>
        <v/>
      </c>
      <c r="C5998">
        <f>TEST_DATA!C5998</f>
        <v/>
      </c>
      <c r="D5998">
        <f>TEST_DATA!D5998</f>
        <v/>
      </c>
      <c r="E5998">
        <f>TEST_DATA!E5998</f>
        <v/>
      </c>
    </row>
    <row r="5999">
      <c r="A5999">
        <f>TEST_DATA!A5999</f>
        <v/>
      </c>
      <c r="B5999">
        <f>TEST_DATA!B5999</f>
        <v/>
      </c>
      <c r="C5999">
        <f>TEST_DATA!C5999</f>
        <v/>
      </c>
      <c r="D5999">
        <f>TEST_DATA!D5999</f>
        <v/>
      </c>
      <c r="E5999">
        <f>TEST_DATA!E5999</f>
        <v/>
      </c>
    </row>
    <row r="6000">
      <c r="A6000">
        <f>TEST_DATA!A6000</f>
        <v/>
      </c>
      <c r="B6000">
        <f>TEST_DATA!B6000</f>
        <v/>
      </c>
      <c r="C6000">
        <f>TEST_DATA!C6000</f>
        <v/>
      </c>
      <c r="D6000">
        <f>TEST_DATA!D6000</f>
        <v/>
      </c>
      <c r="E6000">
        <f>TEST_DATA!E6000</f>
        <v/>
      </c>
    </row>
    <row r="6001">
      <c r="A6001">
        <f>TEST_DATA!A6001</f>
        <v/>
      </c>
      <c r="B6001">
        <f>TEST_DATA!B6001</f>
        <v/>
      </c>
      <c r="C6001">
        <f>TEST_DATA!C6001</f>
        <v/>
      </c>
      <c r="D6001">
        <f>TEST_DATA!D6001</f>
        <v/>
      </c>
      <c r="E6001">
        <f>TEST_DATA!E6001</f>
        <v/>
      </c>
    </row>
    <row r="6002">
      <c r="A6002">
        <f>TEST_DATA!A6002</f>
        <v/>
      </c>
      <c r="B6002">
        <f>TEST_DATA!B6002</f>
        <v/>
      </c>
      <c r="C6002">
        <f>TEST_DATA!C6002</f>
        <v/>
      </c>
      <c r="D6002">
        <f>TEST_DATA!D6002</f>
        <v/>
      </c>
      <c r="E6002">
        <f>TEST_DATA!E6002</f>
        <v/>
      </c>
    </row>
    <row r="6003">
      <c r="A6003">
        <f>TEST_DATA!A6003</f>
        <v/>
      </c>
      <c r="B6003">
        <f>TEST_DATA!B6003</f>
        <v/>
      </c>
      <c r="C6003">
        <f>TEST_DATA!C6003</f>
        <v/>
      </c>
      <c r="D6003">
        <f>TEST_DATA!D6003</f>
        <v/>
      </c>
      <c r="E6003">
        <f>TEST_DATA!E6003</f>
        <v/>
      </c>
    </row>
    <row r="6004">
      <c r="A6004">
        <f>TEST_DATA!A6004</f>
        <v/>
      </c>
      <c r="B6004">
        <f>TEST_DATA!B6004</f>
        <v/>
      </c>
      <c r="C6004">
        <f>TEST_DATA!C6004</f>
        <v/>
      </c>
      <c r="D6004">
        <f>TEST_DATA!D6004</f>
        <v/>
      </c>
      <c r="E6004">
        <f>TEST_DATA!E6004</f>
        <v/>
      </c>
    </row>
    <row r="6005">
      <c r="A6005">
        <f>TEST_DATA!A6005</f>
        <v/>
      </c>
      <c r="B6005">
        <f>TEST_DATA!B6005</f>
        <v/>
      </c>
      <c r="C6005">
        <f>TEST_DATA!C6005</f>
        <v/>
      </c>
      <c r="D6005">
        <f>TEST_DATA!D6005</f>
        <v/>
      </c>
      <c r="E6005">
        <f>TEST_DATA!E6005</f>
        <v/>
      </c>
    </row>
    <row r="6006">
      <c r="A6006">
        <f>TEST_DATA!A6006</f>
        <v/>
      </c>
      <c r="B6006">
        <f>TEST_DATA!B6006</f>
        <v/>
      </c>
      <c r="C6006">
        <f>TEST_DATA!C6006</f>
        <v/>
      </c>
      <c r="D6006">
        <f>TEST_DATA!D6006</f>
        <v/>
      </c>
      <c r="E6006">
        <f>TEST_DATA!E6006</f>
        <v/>
      </c>
    </row>
    <row r="6007">
      <c r="A6007">
        <f>TEST_DATA!A6007</f>
        <v/>
      </c>
      <c r="B6007">
        <f>TEST_DATA!B6007</f>
        <v/>
      </c>
      <c r="C6007">
        <f>TEST_DATA!C6007</f>
        <v/>
      </c>
      <c r="D6007">
        <f>TEST_DATA!D6007</f>
        <v/>
      </c>
      <c r="E6007">
        <f>TEST_DATA!E6007</f>
        <v/>
      </c>
    </row>
    <row r="6008">
      <c r="A6008">
        <f>TEST_DATA!A6008</f>
        <v/>
      </c>
      <c r="B6008">
        <f>TEST_DATA!B6008</f>
        <v/>
      </c>
      <c r="C6008">
        <f>TEST_DATA!C6008</f>
        <v/>
      </c>
      <c r="D6008">
        <f>TEST_DATA!D6008</f>
        <v/>
      </c>
      <c r="E6008">
        <f>TEST_DATA!E6008</f>
        <v/>
      </c>
    </row>
    <row r="6009">
      <c r="A6009">
        <f>TEST_DATA!A6009</f>
        <v/>
      </c>
      <c r="B6009">
        <f>TEST_DATA!B6009</f>
        <v/>
      </c>
      <c r="C6009">
        <f>TEST_DATA!C6009</f>
        <v/>
      </c>
      <c r="D6009">
        <f>TEST_DATA!D6009</f>
        <v/>
      </c>
      <c r="E6009">
        <f>TEST_DATA!E6009</f>
        <v/>
      </c>
    </row>
    <row r="6010">
      <c r="A6010">
        <f>TEST_DATA!A6010</f>
        <v/>
      </c>
      <c r="B6010">
        <f>TEST_DATA!B6010</f>
        <v/>
      </c>
      <c r="C6010">
        <f>TEST_DATA!C6010</f>
        <v/>
      </c>
      <c r="D6010">
        <f>TEST_DATA!D6010</f>
        <v/>
      </c>
      <c r="E6010">
        <f>TEST_DATA!E6010</f>
        <v/>
      </c>
    </row>
    <row r="6011">
      <c r="A6011">
        <f>TEST_DATA!A6011</f>
        <v/>
      </c>
      <c r="B6011">
        <f>TEST_DATA!B6011</f>
        <v/>
      </c>
      <c r="C6011">
        <f>TEST_DATA!C6011</f>
        <v/>
      </c>
      <c r="D6011">
        <f>TEST_DATA!D6011</f>
        <v/>
      </c>
      <c r="E6011">
        <f>TEST_DATA!E6011</f>
        <v/>
      </c>
    </row>
    <row r="6012">
      <c r="A6012">
        <f>TEST_DATA!A6012</f>
        <v/>
      </c>
      <c r="B6012">
        <f>TEST_DATA!B6012</f>
        <v/>
      </c>
      <c r="C6012">
        <f>TEST_DATA!C6012</f>
        <v/>
      </c>
      <c r="D6012">
        <f>TEST_DATA!D6012</f>
        <v/>
      </c>
      <c r="E6012">
        <f>TEST_DATA!E6012</f>
        <v/>
      </c>
    </row>
    <row r="6013">
      <c r="A6013">
        <f>TEST_DATA!A6013</f>
        <v/>
      </c>
      <c r="B6013">
        <f>TEST_DATA!B6013</f>
        <v/>
      </c>
      <c r="C6013">
        <f>TEST_DATA!C6013</f>
        <v/>
      </c>
      <c r="D6013">
        <f>TEST_DATA!D6013</f>
        <v/>
      </c>
      <c r="E6013">
        <f>TEST_DATA!E6013</f>
        <v/>
      </c>
    </row>
    <row r="6014">
      <c r="A6014">
        <f>TEST_DATA!A6014</f>
        <v/>
      </c>
      <c r="B6014">
        <f>TEST_DATA!B6014</f>
        <v/>
      </c>
      <c r="C6014">
        <f>TEST_DATA!C6014</f>
        <v/>
      </c>
      <c r="D6014">
        <f>TEST_DATA!D6014</f>
        <v/>
      </c>
      <c r="E6014">
        <f>TEST_DATA!E6014</f>
        <v/>
      </c>
    </row>
    <row r="6015">
      <c r="A6015">
        <f>TEST_DATA!A6015</f>
        <v/>
      </c>
      <c r="B6015">
        <f>TEST_DATA!B6015</f>
        <v/>
      </c>
      <c r="C6015">
        <f>TEST_DATA!C6015</f>
        <v/>
      </c>
      <c r="D6015">
        <f>TEST_DATA!D6015</f>
        <v/>
      </c>
      <c r="E6015">
        <f>TEST_DATA!E6015</f>
        <v/>
      </c>
    </row>
    <row r="6016">
      <c r="A6016">
        <f>TEST_DATA!A6016</f>
        <v/>
      </c>
      <c r="B6016">
        <f>TEST_DATA!B6016</f>
        <v/>
      </c>
      <c r="C6016">
        <f>TEST_DATA!C6016</f>
        <v/>
      </c>
      <c r="D6016">
        <f>TEST_DATA!D6016</f>
        <v/>
      </c>
      <c r="E6016">
        <f>TEST_DATA!E6016</f>
        <v/>
      </c>
    </row>
    <row r="6017">
      <c r="A6017">
        <f>TEST_DATA!A6017</f>
        <v/>
      </c>
      <c r="B6017">
        <f>TEST_DATA!B6017</f>
        <v/>
      </c>
      <c r="C6017">
        <f>TEST_DATA!C6017</f>
        <v/>
      </c>
      <c r="D6017">
        <f>TEST_DATA!D6017</f>
        <v/>
      </c>
      <c r="E6017">
        <f>TEST_DATA!E6017</f>
        <v/>
      </c>
    </row>
    <row r="6018">
      <c r="A6018">
        <f>TEST_DATA!A6018</f>
        <v/>
      </c>
      <c r="B6018">
        <f>TEST_DATA!B6018</f>
        <v/>
      </c>
      <c r="C6018">
        <f>TEST_DATA!C6018</f>
        <v/>
      </c>
      <c r="D6018">
        <f>TEST_DATA!D6018</f>
        <v/>
      </c>
      <c r="E6018">
        <f>TEST_DATA!E6018</f>
        <v/>
      </c>
    </row>
    <row r="6019">
      <c r="A6019">
        <f>TEST_DATA!A6019</f>
        <v/>
      </c>
      <c r="B6019">
        <f>TEST_DATA!B6019</f>
        <v/>
      </c>
      <c r="C6019">
        <f>TEST_DATA!C6019</f>
        <v/>
      </c>
      <c r="D6019">
        <f>TEST_DATA!D6019</f>
        <v/>
      </c>
      <c r="E6019">
        <f>TEST_DATA!E6019</f>
        <v/>
      </c>
    </row>
    <row r="6020">
      <c r="A6020">
        <f>TEST_DATA!A6020</f>
        <v/>
      </c>
      <c r="B6020">
        <f>TEST_DATA!B6020</f>
        <v/>
      </c>
      <c r="C6020">
        <f>TEST_DATA!C6020</f>
        <v/>
      </c>
      <c r="D6020">
        <f>TEST_DATA!D6020</f>
        <v/>
      </c>
      <c r="E6020">
        <f>TEST_DATA!E6020</f>
        <v/>
      </c>
    </row>
    <row r="6021">
      <c r="A6021">
        <f>TEST_DATA!A6021</f>
        <v/>
      </c>
      <c r="B6021">
        <f>TEST_DATA!B6021</f>
        <v/>
      </c>
      <c r="C6021">
        <f>TEST_DATA!C6021</f>
        <v/>
      </c>
      <c r="D6021">
        <f>TEST_DATA!D6021</f>
        <v/>
      </c>
      <c r="E6021">
        <f>TEST_DATA!E6021</f>
        <v/>
      </c>
    </row>
    <row r="6022">
      <c r="A6022">
        <f>TEST_DATA!A6022</f>
        <v/>
      </c>
      <c r="B6022">
        <f>TEST_DATA!B6022</f>
        <v/>
      </c>
      <c r="C6022">
        <f>TEST_DATA!C6022</f>
        <v/>
      </c>
      <c r="D6022">
        <f>TEST_DATA!D6022</f>
        <v/>
      </c>
      <c r="E6022">
        <f>TEST_DATA!E6022</f>
        <v/>
      </c>
    </row>
    <row r="6023">
      <c r="A6023">
        <f>TEST_DATA!A6023</f>
        <v/>
      </c>
      <c r="B6023">
        <f>TEST_DATA!B6023</f>
        <v/>
      </c>
      <c r="C6023">
        <f>TEST_DATA!C6023</f>
        <v/>
      </c>
      <c r="D6023">
        <f>TEST_DATA!D6023</f>
        <v/>
      </c>
      <c r="E6023">
        <f>TEST_DATA!E6023</f>
        <v/>
      </c>
    </row>
    <row r="6024">
      <c r="A6024">
        <f>TEST_DATA!A6024</f>
        <v/>
      </c>
      <c r="B6024">
        <f>TEST_DATA!B6024</f>
        <v/>
      </c>
      <c r="C6024">
        <f>TEST_DATA!C6024</f>
        <v/>
      </c>
      <c r="D6024">
        <f>TEST_DATA!D6024</f>
        <v/>
      </c>
      <c r="E6024">
        <f>TEST_DATA!E6024</f>
        <v/>
      </c>
    </row>
    <row r="6025">
      <c r="A6025">
        <f>TEST_DATA!A6025</f>
        <v/>
      </c>
      <c r="B6025">
        <f>TEST_DATA!B6025</f>
        <v/>
      </c>
      <c r="C6025">
        <f>TEST_DATA!C6025</f>
        <v/>
      </c>
      <c r="D6025">
        <f>TEST_DATA!D6025</f>
        <v/>
      </c>
      <c r="E6025">
        <f>TEST_DATA!E6025</f>
        <v/>
      </c>
    </row>
    <row r="6026">
      <c r="A6026">
        <f>TEST_DATA!A6026</f>
        <v/>
      </c>
      <c r="B6026">
        <f>TEST_DATA!B6026</f>
        <v/>
      </c>
      <c r="C6026">
        <f>TEST_DATA!C6026</f>
        <v/>
      </c>
      <c r="D6026">
        <f>TEST_DATA!D6026</f>
        <v/>
      </c>
      <c r="E6026">
        <f>TEST_DATA!E6026</f>
        <v/>
      </c>
    </row>
    <row r="6027">
      <c r="A6027">
        <f>TEST_DATA!A6027</f>
        <v/>
      </c>
      <c r="B6027">
        <f>TEST_DATA!B6027</f>
        <v/>
      </c>
      <c r="C6027">
        <f>TEST_DATA!C6027</f>
        <v/>
      </c>
      <c r="D6027">
        <f>TEST_DATA!D6027</f>
        <v/>
      </c>
      <c r="E6027">
        <f>TEST_DATA!E6027</f>
        <v/>
      </c>
    </row>
    <row r="6028">
      <c r="A6028">
        <f>TEST_DATA!A6028</f>
        <v/>
      </c>
      <c r="B6028">
        <f>TEST_DATA!B6028</f>
        <v/>
      </c>
      <c r="C6028">
        <f>TEST_DATA!C6028</f>
        <v/>
      </c>
      <c r="D6028">
        <f>TEST_DATA!D6028</f>
        <v/>
      </c>
      <c r="E6028">
        <f>TEST_DATA!E6028</f>
        <v/>
      </c>
    </row>
    <row r="6029">
      <c r="A6029">
        <f>TEST_DATA!A6029</f>
        <v/>
      </c>
      <c r="B6029">
        <f>TEST_DATA!B6029</f>
        <v/>
      </c>
      <c r="C6029">
        <f>TEST_DATA!C6029</f>
        <v/>
      </c>
      <c r="D6029">
        <f>TEST_DATA!D6029</f>
        <v/>
      </c>
      <c r="E6029">
        <f>TEST_DATA!E6029</f>
        <v/>
      </c>
    </row>
    <row r="6030">
      <c r="A6030">
        <f>TEST_DATA!A6030</f>
        <v/>
      </c>
      <c r="B6030">
        <f>TEST_DATA!B6030</f>
        <v/>
      </c>
      <c r="C6030">
        <f>TEST_DATA!C6030</f>
        <v/>
      </c>
      <c r="D6030">
        <f>TEST_DATA!D6030</f>
        <v/>
      </c>
      <c r="E6030">
        <f>TEST_DATA!E6030</f>
        <v/>
      </c>
    </row>
    <row r="6031">
      <c r="A6031">
        <f>TEST_DATA!A6031</f>
        <v/>
      </c>
      <c r="B6031">
        <f>TEST_DATA!B6031</f>
        <v/>
      </c>
      <c r="C6031">
        <f>TEST_DATA!C6031</f>
        <v/>
      </c>
      <c r="D6031">
        <f>TEST_DATA!D6031</f>
        <v/>
      </c>
      <c r="E6031">
        <f>TEST_DATA!E6031</f>
        <v/>
      </c>
    </row>
    <row r="6032">
      <c r="A6032">
        <f>TEST_DATA!A6032</f>
        <v/>
      </c>
      <c r="B6032">
        <f>TEST_DATA!B6032</f>
        <v/>
      </c>
      <c r="C6032">
        <f>TEST_DATA!C6032</f>
        <v/>
      </c>
      <c r="D6032">
        <f>TEST_DATA!D6032</f>
        <v/>
      </c>
      <c r="E6032">
        <f>TEST_DATA!E6032</f>
        <v/>
      </c>
    </row>
    <row r="6033">
      <c r="A6033">
        <f>TEST_DATA!A6033</f>
        <v/>
      </c>
      <c r="B6033">
        <f>TEST_DATA!B6033</f>
        <v/>
      </c>
      <c r="C6033">
        <f>TEST_DATA!C6033</f>
        <v/>
      </c>
      <c r="D6033">
        <f>TEST_DATA!D6033</f>
        <v/>
      </c>
      <c r="E6033">
        <f>TEST_DATA!E6033</f>
        <v/>
      </c>
    </row>
    <row r="6034">
      <c r="A6034">
        <f>TEST_DATA!A6034</f>
        <v/>
      </c>
      <c r="B6034">
        <f>TEST_DATA!B6034</f>
        <v/>
      </c>
      <c r="C6034">
        <f>TEST_DATA!C6034</f>
        <v/>
      </c>
      <c r="D6034">
        <f>TEST_DATA!D6034</f>
        <v/>
      </c>
      <c r="E6034">
        <f>TEST_DATA!E6034</f>
        <v/>
      </c>
    </row>
    <row r="6035">
      <c r="A6035">
        <f>TEST_DATA!A6035</f>
        <v/>
      </c>
      <c r="B6035">
        <f>TEST_DATA!B6035</f>
        <v/>
      </c>
      <c r="C6035">
        <f>TEST_DATA!C6035</f>
        <v/>
      </c>
      <c r="D6035">
        <f>TEST_DATA!D6035</f>
        <v/>
      </c>
      <c r="E6035">
        <f>TEST_DATA!E6035</f>
        <v/>
      </c>
    </row>
    <row r="6036">
      <c r="A6036">
        <f>TEST_DATA!A6036</f>
        <v/>
      </c>
      <c r="B6036">
        <f>TEST_DATA!B6036</f>
        <v/>
      </c>
      <c r="C6036">
        <f>TEST_DATA!C6036</f>
        <v/>
      </c>
      <c r="D6036">
        <f>TEST_DATA!D6036</f>
        <v/>
      </c>
      <c r="E6036">
        <f>TEST_DATA!E6036</f>
        <v/>
      </c>
    </row>
    <row r="6037">
      <c r="A6037">
        <f>TEST_DATA!A6037</f>
        <v/>
      </c>
      <c r="B6037">
        <f>TEST_DATA!B6037</f>
        <v/>
      </c>
      <c r="C6037">
        <f>TEST_DATA!C6037</f>
        <v/>
      </c>
      <c r="D6037">
        <f>TEST_DATA!D6037</f>
        <v/>
      </c>
      <c r="E6037">
        <f>TEST_DATA!E6037</f>
        <v/>
      </c>
    </row>
    <row r="6038">
      <c r="A6038">
        <f>TEST_DATA!A6038</f>
        <v/>
      </c>
      <c r="B6038">
        <f>TEST_DATA!B6038</f>
        <v/>
      </c>
      <c r="C6038">
        <f>TEST_DATA!C6038</f>
        <v/>
      </c>
      <c r="D6038">
        <f>TEST_DATA!D6038</f>
        <v/>
      </c>
      <c r="E6038">
        <f>TEST_DATA!E6038</f>
        <v/>
      </c>
    </row>
    <row r="6039">
      <c r="A6039">
        <f>TEST_DATA!A6039</f>
        <v/>
      </c>
      <c r="B6039">
        <f>TEST_DATA!B6039</f>
        <v/>
      </c>
      <c r="C6039">
        <f>TEST_DATA!C6039</f>
        <v/>
      </c>
      <c r="D6039">
        <f>TEST_DATA!D6039</f>
        <v/>
      </c>
      <c r="E6039">
        <f>TEST_DATA!E6039</f>
        <v/>
      </c>
    </row>
    <row r="6040">
      <c r="A6040">
        <f>TEST_DATA!A6040</f>
        <v/>
      </c>
      <c r="B6040">
        <f>TEST_DATA!B6040</f>
        <v/>
      </c>
      <c r="C6040">
        <f>TEST_DATA!C6040</f>
        <v/>
      </c>
      <c r="D6040">
        <f>TEST_DATA!D6040</f>
        <v/>
      </c>
      <c r="E6040">
        <f>TEST_DATA!E6040</f>
        <v/>
      </c>
    </row>
    <row r="6041">
      <c r="A6041">
        <f>TEST_DATA!A6041</f>
        <v/>
      </c>
      <c r="B6041">
        <f>TEST_DATA!B6041</f>
        <v/>
      </c>
      <c r="C6041">
        <f>TEST_DATA!C6041</f>
        <v/>
      </c>
      <c r="D6041">
        <f>TEST_DATA!D6041</f>
        <v/>
      </c>
      <c r="E6041">
        <f>TEST_DATA!E6041</f>
        <v/>
      </c>
    </row>
    <row r="6042">
      <c r="A6042">
        <f>TEST_DATA!A6042</f>
        <v/>
      </c>
      <c r="B6042">
        <f>TEST_DATA!B6042</f>
        <v/>
      </c>
      <c r="C6042">
        <f>TEST_DATA!C6042</f>
        <v/>
      </c>
      <c r="D6042">
        <f>TEST_DATA!D6042</f>
        <v/>
      </c>
      <c r="E6042">
        <f>TEST_DATA!E6042</f>
        <v/>
      </c>
    </row>
    <row r="6043">
      <c r="A6043">
        <f>TEST_DATA!A6043</f>
        <v/>
      </c>
      <c r="B6043">
        <f>TEST_DATA!B6043</f>
        <v/>
      </c>
      <c r="C6043">
        <f>TEST_DATA!C6043</f>
        <v/>
      </c>
      <c r="D6043">
        <f>TEST_DATA!D6043</f>
        <v/>
      </c>
      <c r="E6043">
        <f>TEST_DATA!E6043</f>
        <v/>
      </c>
    </row>
    <row r="6044">
      <c r="A6044">
        <f>TEST_DATA!A6044</f>
        <v/>
      </c>
      <c r="B6044">
        <f>TEST_DATA!B6044</f>
        <v/>
      </c>
      <c r="C6044">
        <f>TEST_DATA!C6044</f>
        <v/>
      </c>
      <c r="D6044">
        <f>TEST_DATA!D6044</f>
        <v/>
      </c>
      <c r="E6044">
        <f>TEST_DATA!E6044</f>
        <v/>
      </c>
    </row>
    <row r="6045">
      <c r="A6045">
        <f>TEST_DATA!A6045</f>
        <v/>
      </c>
      <c r="B6045">
        <f>TEST_DATA!B6045</f>
        <v/>
      </c>
      <c r="C6045">
        <f>TEST_DATA!C6045</f>
        <v/>
      </c>
      <c r="D6045">
        <f>TEST_DATA!D6045</f>
        <v/>
      </c>
      <c r="E6045">
        <f>TEST_DATA!E6045</f>
        <v/>
      </c>
    </row>
    <row r="6046">
      <c r="A6046">
        <f>TEST_DATA!A6046</f>
        <v/>
      </c>
      <c r="B6046">
        <f>TEST_DATA!B6046</f>
        <v/>
      </c>
      <c r="C6046">
        <f>TEST_DATA!C6046</f>
        <v/>
      </c>
      <c r="D6046">
        <f>TEST_DATA!D6046</f>
        <v/>
      </c>
      <c r="E6046">
        <f>TEST_DATA!E6046</f>
        <v/>
      </c>
    </row>
    <row r="6047">
      <c r="A6047">
        <f>TEST_DATA!A6047</f>
        <v/>
      </c>
      <c r="B6047">
        <f>TEST_DATA!B6047</f>
        <v/>
      </c>
      <c r="C6047">
        <f>TEST_DATA!C6047</f>
        <v/>
      </c>
      <c r="D6047">
        <f>TEST_DATA!D6047</f>
        <v/>
      </c>
      <c r="E6047">
        <f>TEST_DATA!E6047</f>
        <v/>
      </c>
    </row>
    <row r="6048">
      <c r="A6048">
        <f>TEST_DATA!A6048</f>
        <v/>
      </c>
      <c r="B6048">
        <f>TEST_DATA!B6048</f>
        <v/>
      </c>
      <c r="C6048">
        <f>TEST_DATA!C6048</f>
        <v/>
      </c>
      <c r="D6048">
        <f>TEST_DATA!D6048</f>
        <v/>
      </c>
      <c r="E6048">
        <f>TEST_DATA!E6048</f>
        <v/>
      </c>
    </row>
    <row r="6049">
      <c r="A6049">
        <f>TEST_DATA!A6049</f>
        <v/>
      </c>
      <c r="B6049">
        <f>TEST_DATA!B6049</f>
        <v/>
      </c>
      <c r="C6049">
        <f>TEST_DATA!C6049</f>
        <v/>
      </c>
      <c r="D6049">
        <f>TEST_DATA!D6049</f>
        <v/>
      </c>
      <c r="E6049">
        <f>TEST_DATA!E6049</f>
        <v/>
      </c>
    </row>
    <row r="6050">
      <c r="A6050">
        <f>TEST_DATA!A6050</f>
        <v/>
      </c>
      <c r="B6050">
        <f>TEST_DATA!B6050</f>
        <v/>
      </c>
      <c r="C6050">
        <f>TEST_DATA!C6050</f>
        <v/>
      </c>
      <c r="D6050">
        <f>TEST_DATA!D6050</f>
        <v/>
      </c>
      <c r="E6050">
        <f>TEST_DATA!E6050</f>
        <v/>
      </c>
    </row>
    <row r="6051">
      <c r="A6051">
        <f>TEST_DATA!A6051</f>
        <v/>
      </c>
      <c r="B6051">
        <f>TEST_DATA!B6051</f>
        <v/>
      </c>
      <c r="C6051">
        <f>TEST_DATA!C6051</f>
        <v/>
      </c>
      <c r="D6051">
        <f>TEST_DATA!D6051</f>
        <v/>
      </c>
      <c r="E6051">
        <f>TEST_DATA!E6051</f>
        <v/>
      </c>
    </row>
    <row r="6052">
      <c r="A6052">
        <f>TEST_DATA!A6052</f>
        <v/>
      </c>
      <c r="B6052">
        <f>TEST_DATA!B6052</f>
        <v/>
      </c>
      <c r="C6052">
        <f>TEST_DATA!C6052</f>
        <v/>
      </c>
      <c r="D6052">
        <f>TEST_DATA!D6052</f>
        <v/>
      </c>
      <c r="E6052">
        <f>TEST_DATA!E6052</f>
        <v/>
      </c>
    </row>
    <row r="6053">
      <c r="A6053">
        <f>TEST_DATA!A6053</f>
        <v/>
      </c>
      <c r="B6053">
        <f>TEST_DATA!B6053</f>
        <v/>
      </c>
      <c r="C6053">
        <f>TEST_DATA!C6053</f>
        <v/>
      </c>
      <c r="D6053">
        <f>TEST_DATA!D6053</f>
        <v/>
      </c>
      <c r="E6053">
        <f>TEST_DATA!E6053</f>
        <v/>
      </c>
    </row>
    <row r="6054">
      <c r="A6054">
        <f>TEST_DATA!A6054</f>
        <v/>
      </c>
      <c r="B6054">
        <f>TEST_DATA!B6054</f>
        <v/>
      </c>
      <c r="C6054">
        <f>TEST_DATA!C6054</f>
        <v/>
      </c>
      <c r="D6054">
        <f>TEST_DATA!D6054</f>
        <v/>
      </c>
      <c r="E6054">
        <f>TEST_DATA!E6054</f>
        <v/>
      </c>
    </row>
    <row r="6055">
      <c r="A6055">
        <f>TEST_DATA!A6055</f>
        <v/>
      </c>
      <c r="B6055">
        <f>TEST_DATA!B6055</f>
        <v/>
      </c>
      <c r="C6055">
        <f>TEST_DATA!C6055</f>
        <v/>
      </c>
      <c r="D6055">
        <f>TEST_DATA!D6055</f>
        <v/>
      </c>
      <c r="E6055">
        <f>TEST_DATA!E6055</f>
        <v/>
      </c>
    </row>
    <row r="6056">
      <c r="A6056">
        <f>TEST_DATA!A6056</f>
        <v/>
      </c>
      <c r="B6056">
        <f>TEST_DATA!B6056</f>
        <v/>
      </c>
      <c r="C6056">
        <f>TEST_DATA!C6056</f>
        <v/>
      </c>
      <c r="D6056">
        <f>TEST_DATA!D6056</f>
        <v/>
      </c>
      <c r="E6056">
        <f>TEST_DATA!E6056</f>
        <v/>
      </c>
    </row>
    <row r="6057">
      <c r="A6057">
        <f>TEST_DATA!A6057</f>
        <v/>
      </c>
      <c r="B6057">
        <f>TEST_DATA!B6057</f>
        <v/>
      </c>
      <c r="C6057">
        <f>TEST_DATA!C6057</f>
        <v/>
      </c>
      <c r="D6057">
        <f>TEST_DATA!D6057</f>
        <v/>
      </c>
      <c r="E6057">
        <f>TEST_DATA!E6057</f>
        <v/>
      </c>
    </row>
    <row r="6058">
      <c r="A6058">
        <f>TEST_DATA!A6058</f>
        <v/>
      </c>
      <c r="B6058">
        <f>TEST_DATA!B6058</f>
        <v/>
      </c>
      <c r="C6058">
        <f>TEST_DATA!C6058</f>
        <v/>
      </c>
      <c r="D6058">
        <f>TEST_DATA!D6058</f>
        <v/>
      </c>
      <c r="E6058">
        <f>TEST_DATA!E6058</f>
        <v/>
      </c>
    </row>
    <row r="6059">
      <c r="A6059">
        <f>TEST_DATA!A6059</f>
        <v/>
      </c>
      <c r="B6059">
        <f>TEST_DATA!B6059</f>
        <v/>
      </c>
      <c r="C6059">
        <f>TEST_DATA!C6059</f>
        <v/>
      </c>
      <c r="D6059">
        <f>TEST_DATA!D6059</f>
        <v/>
      </c>
      <c r="E6059">
        <f>TEST_DATA!E6059</f>
        <v/>
      </c>
    </row>
    <row r="6060">
      <c r="A6060">
        <f>TEST_DATA!A6060</f>
        <v/>
      </c>
      <c r="B6060">
        <f>TEST_DATA!B6060</f>
        <v/>
      </c>
      <c r="C6060">
        <f>TEST_DATA!C6060</f>
        <v/>
      </c>
      <c r="D6060">
        <f>TEST_DATA!D6060</f>
        <v/>
      </c>
      <c r="E6060">
        <f>TEST_DATA!E6060</f>
        <v/>
      </c>
    </row>
    <row r="6061">
      <c r="A6061">
        <f>TEST_DATA!A6061</f>
        <v/>
      </c>
      <c r="B6061">
        <f>TEST_DATA!B6061</f>
        <v/>
      </c>
      <c r="C6061">
        <f>TEST_DATA!C6061</f>
        <v/>
      </c>
      <c r="D6061">
        <f>TEST_DATA!D6061</f>
        <v/>
      </c>
      <c r="E6061">
        <f>TEST_DATA!E6061</f>
        <v/>
      </c>
    </row>
    <row r="6062">
      <c r="A6062">
        <f>TEST_DATA!A6062</f>
        <v/>
      </c>
      <c r="B6062">
        <f>TEST_DATA!B6062</f>
        <v/>
      </c>
      <c r="C6062">
        <f>TEST_DATA!C6062</f>
        <v/>
      </c>
      <c r="D6062">
        <f>TEST_DATA!D6062</f>
        <v/>
      </c>
      <c r="E6062">
        <f>TEST_DATA!E6062</f>
        <v/>
      </c>
    </row>
    <row r="6063">
      <c r="A6063">
        <f>TEST_DATA!A6063</f>
        <v/>
      </c>
      <c r="B6063">
        <f>TEST_DATA!B6063</f>
        <v/>
      </c>
      <c r="C6063">
        <f>TEST_DATA!C6063</f>
        <v/>
      </c>
      <c r="D6063">
        <f>TEST_DATA!D6063</f>
        <v/>
      </c>
      <c r="E6063">
        <f>TEST_DATA!E6063</f>
        <v/>
      </c>
    </row>
    <row r="6064">
      <c r="A6064">
        <f>TEST_DATA!A6064</f>
        <v/>
      </c>
      <c r="B6064">
        <f>TEST_DATA!B6064</f>
        <v/>
      </c>
      <c r="C6064">
        <f>TEST_DATA!C6064</f>
        <v/>
      </c>
      <c r="D6064">
        <f>TEST_DATA!D6064</f>
        <v/>
      </c>
      <c r="E6064">
        <f>TEST_DATA!E6064</f>
        <v/>
      </c>
    </row>
    <row r="6065">
      <c r="A6065">
        <f>TEST_DATA!A6065</f>
        <v/>
      </c>
      <c r="B6065">
        <f>TEST_DATA!B6065</f>
        <v/>
      </c>
      <c r="C6065">
        <f>TEST_DATA!C6065</f>
        <v/>
      </c>
      <c r="D6065">
        <f>TEST_DATA!D6065</f>
        <v/>
      </c>
      <c r="E6065">
        <f>TEST_DATA!E6065</f>
        <v/>
      </c>
    </row>
    <row r="6066">
      <c r="A6066">
        <f>TEST_DATA!A6066</f>
        <v/>
      </c>
      <c r="B6066">
        <f>TEST_DATA!B6066</f>
        <v/>
      </c>
      <c r="C6066">
        <f>TEST_DATA!C6066</f>
        <v/>
      </c>
      <c r="D6066">
        <f>TEST_DATA!D6066</f>
        <v/>
      </c>
      <c r="E6066">
        <f>TEST_DATA!E6066</f>
        <v/>
      </c>
    </row>
    <row r="6067">
      <c r="A6067">
        <f>TEST_DATA!A6067</f>
        <v/>
      </c>
      <c r="B6067">
        <f>TEST_DATA!B6067</f>
        <v/>
      </c>
      <c r="C6067">
        <f>TEST_DATA!C6067</f>
        <v/>
      </c>
      <c r="D6067">
        <f>TEST_DATA!D6067</f>
        <v/>
      </c>
      <c r="E6067">
        <f>TEST_DATA!E6067</f>
        <v/>
      </c>
    </row>
    <row r="6068">
      <c r="A6068">
        <f>TEST_DATA!A6068</f>
        <v/>
      </c>
      <c r="B6068">
        <f>TEST_DATA!B6068</f>
        <v/>
      </c>
      <c r="C6068">
        <f>TEST_DATA!C6068</f>
        <v/>
      </c>
      <c r="D6068">
        <f>TEST_DATA!D6068</f>
        <v/>
      </c>
      <c r="E6068">
        <f>TEST_DATA!E6068</f>
        <v/>
      </c>
    </row>
    <row r="6069">
      <c r="A6069">
        <f>TEST_DATA!A6069</f>
        <v/>
      </c>
      <c r="B6069">
        <f>TEST_DATA!B6069</f>
        <v/>
      </c>
      <c r="C6069">
        <f>TEST_DATA!C6069</f>
        <v/>
      </c>
      <c r="D6069">
        <f>TEST_DATA!D6069</f>
        <v/>
      </c>
      <c r="E6069">
        <f>TEST_DATA!E6069</f>
        <v/>
      </c>
    </row>
    <row r="6070">
      <c r="A6070">
        <f>TEST_DATA!A6070</f>
        <v/>
      </c>
      <c r="B6070">
        <f>TEST_DATA!B6070</f>
        <v/>
      </c>
      <c r="C6070">
        <f>TEST_DATA!C6070</f>
        <v/>
      </c>
      <c r="D6070">
        <f>TEST_DATA!D6070</f>
        <v/>
      </c>
      <c r="E6070">
        <f>TEST_DATA!E6070</f>
        <v/>
      </c>
    </row>
    <row r="6071">
      <c r="A6071">
        <f>TEST_DATA!A6071</f>
        <v/>
      </c>
      <c r="B6071">
        <f>TEST_DATA!B6071</f>
        <v/>
      </c>
      <c r="C6071">
        <f>TEST_DATA!C6071</f>
        <v/>
      </c>
      <c r="D6071">
        <f>TEST_DATA!D6071</f>
        <v/>
      </c>
      <c r="E6071">
        <f>TEST_DATA!E6071</f>
        <v/>
      </c>
    </row>
    <row r="6072">
      <c r="A6072">
        <f>TEST_DATA!A6072</f>
        <v/>
      </c>
      <c r="B6072">
        <f>TEST_DATA!B6072</f>
        <v/>
      </c>
      <c r="C6072">
        <f>TEST_DATA!C6072</f>
        <v/>
      </c>
      <c r="D6072">
        <f>TEST_DATA!D6072</f>
        <v/>
      </c>
      <c r="E6072">
        <f>TEST_DATA!E6072</f>
        <v/>
      </c>
    </row>
    <row r="6073">
      <c r="A6073">
        <f>TEST_DATA!A6073</f>
        <v/>
      </c>
      <c r="B6073">
        <f>TEST_DATA!B6073</f>
        <v/>
      </c>
      <c r="C6073">
        <f>TEST_DATA!C6073</f>
        <v/>
      </c>
      <c r="D6073">
        <f>TEST_DATA!D6073</f>
        <v/>
      </c>
      <c r="E6073">
        <f>TEST_DATA!E6073</f>
        <v/>
      </c>
    </row>
    <row r="6074">
      <c r="A6074">
        <f>TEST_DATA!A6074</f>
        <v/>
      </c>
      <c r="B6074">
        <f>TEST_DATA!B6074</f>
        <v/>
      </c>
      <c r="C6074">
        <f>TEST_DATA!C6074</f>
        <v/>
      </c>
      <c r="D6074">
        <f>TEST_DATA!D6074</f>
        <v/>
      </c>
      <c r="E6074">
        <f>TEST_DATA!E6074</f>
        <v/>
      </c>
    </row>
    <row r="6075">
      <c r="A6075">
        <f>TEST_DATA!A6075</f>
        <v/>
      </c>
      <c r="B6075">
        <f>TEST_DATA!B6075</f>
        <v/>
      </c>
      <c r="C6075">
        <f>TEST_DATA!C6075</f>
        <v/>
      </c>
      <c r="D6075">
        <f>TEST_DATA!D6075</f>
        <v/>
      </c>
      <c r="E6075">
        <f>TEST_DATA!E6075</f>
        <v/>
      </c>
    </row>
    <row r="6076">
      <c r="A6076">
        <f>TEST_DATA!A6076</f>
        <v/>
      </c>
      <c r="B6076">
        <f>TEST_DATA!B6076</f>
        <v/>
      </c>
      <c r="C6076">
        <f>TEST_DATA!C6076</f>
        <v/>
      </c>
      <c r="D6076">
        <f>TEST_DATA!D6076</f>
        <v/>
      </c>
      <c r="E6076">
        <f>TEST_DATA!E6076</f>
        <v/>
      </c>
    </row>
    <row r="6077">
      <c r="A6077">
        <f>TEST_DATA!A6077</f>
        <v/>
      </c>
      <c r="B6077">
        <f>TEST_DATA!B6077</f>
        <v/>
      </c>
      <c r="C6077">
        <f>TEST_DATA!C6077</f>
        <v/>
      </c>
      <c r="D6077">
        <f>TEST_DATA!D6077</f>
        <v/>
      </c>
      <c r="E6077">
        <f>TEST_DATA!E6077</f>
        <v/>
      </c>
    </row>
    <row r="6078">
      <c r="A6078">
        <f>TEST_DATA!A6078</f>
        <v/>
      </c>
      <c r="B6078">
        <f>TEST_DATA!B6078</f>
        <v/>
      </c>
      <c r="C6078">
        <f>TEST_DATA!C6078</f>
        <v/>
      </c>
      <c r="D6078">
        <f>TEST_DATA!D6078</f>
        <v/>
      </c>
      <c r="E6078">
        <f>TEST_DATA!E6078</f>
        <v/>
      </c>
    </row>
    <row r="6079">
      <c r="A6079">
        <f>TEST_DATA!A6079</f>
        <v/>
      </c>
      <c r="B6079">
        <f>TEST_DATA!B6079</f>
        <v/>
      </c>
      <c r="C6079">
        <f>TEST_DATA!C6079</f>
        <v/>
      </c>
      <c r="D6079">
        <f>TEST_DATA!D6079</f>
        <v/>
      </c>
      <c r="E6079">
        <f>TEST_DATA!E6079</f>
        <v/>
      </c>
    </row>
    <row r="6080">
      <c r="A6080">
        <f>TEST_DATA!A6080</f>
        <v/>
      </c>
      <c r="B6080">
        <f>TEST_DATA!B6080</f>
        <v/>
      </c>
      <c r="C6080">
        <f>TEST_DATA!C6080</f>
        <v/>
      </c>
      <c r="D6080">
        <f>TEST_DATA!D6080</f>
        <v/>
      </c>
      <c r="E6080">
        <f>TEST_DATA!E6080</f>
        <v/>
      </c>
    </row>
    <row r="6081">
      <c r="A6081">
        <f>TEST_DATA!A6081</f>
        <v/>
      </c>
      <c r="B6081">
        <f>TEST_DATA!B6081</f>
        <v/>
      </c>
      <c r="C6081">
        <f>TEST_DATA!C6081</f>
        <v/>
      </c>
      <c r="D6081">
        <f>TEST_DATA!D6081</f>
        <v/>
      </c>
      <c r="E6081">
        <f>TEST_DATA!E6081</f>
        <v/>
      </c>
    </row>
    <row r="6082">
      <c r="A6082">
        <f>TEST_DATA!A6082</f>
        <v/>
      </c>
      <c r="B6082">
        <f>TEST_DATA!B6082</f>
        <v/>
      </c>
      <c r="C6082">
        <f>TEST_DATA!C6082</f>
        <v/>
      </c>
      <c r="D6082">
        <f>TEST_DATA!D6082</f>
        <v/>
      </c>
      <c r="E6082">
        <f>TEST_DATA!E6082</f>
        <v/>
      </c>
    </row>
    <row r="6083">
      <c r="A6083">
        <f>TEST_DATA!A6083</f>
        <v/>
      </c>
      <c r="B6083">
        <f>TEST_DATA!B6083</f>
        <v/>
      </c>
      <c r="C6083">
        <f>TEST_DATA!C6083</f>
        <v/>
      </c>
      <c r="D6083">
        <f>TEST_DATA!D6083</f>
        <v/>
      </c>
      <c r="E6083">
        <f>TEST_DATA!E6083</f>
        <v/>
      </c>
    </row>
    <row r="6084">
      <c r="A6084">
        <f>TEST_DATA!A6084</f>
        <v/>
      </c>
      <c r="B6084">
        <f>TEST_DATA!B6084</f>
        <v/>
      </c>
      <c r="C6084">
        <f>TEST_DATA!C6084</f>
        <v/>
      </c>
      <c r="D6084">
        <f>TEST_DATA!D6084</f>
        <v/>
      </c>
      <c r="E6084">
        <f>TEST_DATA!E6084</f>
        <v/>
      </c>
    </row>
    <row r="6085">
      <c r="A6085">
        <f>TEST_DATA!A6085</f>
        <v/>
      </c>
      <c r="B6085">
        <f>TEST_DATA!B6085</f>
        <v/>
      </c>
      <c r="C6085">
        <f>TEST_DATA!C6085</f>
        <v/>
      </c>
      <c r="D6085">
        <f>TEST_DATA!D6085</f>
        <v/>
      </c>
      <c r="E6085">
        <f>TEST_DATA!E6085</f>
        <v/>
      </c>
    </row>
    <row r="6086">
      <c r="A6086">
        <f>TEST_DATA!A6086</f>
        <v/>
      </c>
      <c r="B6086">
        <f>TEST_DATA!B6086</f>
        <v/>
      </c>
      <c r="C6086">
        <f>TEST_DATA!C6086</f>
        <v/>
      </c>
      <c r="D6086">
        <f>TEST_DATA!D6086</f>
        <v/>
      </c>
      <c r="E6086">
        <f>TEST_DATA!E6086</f>
        <v/>
      </c>
    </row>
    <row r="6087">
      <c r="A6087">
        <f>TEST_DATA!A6087</f>
        <v/>
      </c>
      <c r="B6087">
        <f>TEST_DATA!B6087</f>
        <v/>
      </c>
      <c r="C6087">
        <f>TEST_DATA!C6087</f>
        <v/>
      </c>
      <c r="D6087">
        <f>TEST_DATA!D6087</f>
        <v/>
      </c>
      <c r="E6087">
        <f>TEST_DATA!E6087</f>
        <v/>
      </c>
    </row>
    <row r="6088">
      <c r="A6088">
        <f>TEST_DATA!A6088</f>
        <v/>
      </c>
      <c r="B6088">
        <f>TEST_DATA!B6088</f>
        <v/>
      </c>
      <c r="C6088">
        <f>TEST_DATA!C6088</f>
        <v/>
      </c>
      <c r="D6088">
        <f>TEST_DATA!D6088</f>
        <v/>
      </c>
      <c r="E6088">
        <f>TEST_DATA!E6088</f>
        <v/>
      </c>
    </row>
    <row r="6089">
      <c r="A6089">
        <f>TEST_DATA!A6089</f>
        <v/>
      </c>
      <c r="B6089">
        <f>TEST_DATA!B6089</f>
        <v/>
      </c>
      <c r="C6089">
        <f>TEST_DATA!C6089</f>
        <v/>
      </c>
      <c r="D6089">
        <f>TEST_DATA!D6089</f>
        <v/>
      </c>
      <c r="E6089">
        <f>TEST_DATA!E6089</f>
        <v/>
      </c>
    </row>
    <row r="6090">
      <c r="A6090">
        <f>TEST_DATA!A6090</f>
        <v/>
      </c>
      <c r="B6090">
        <f>TEST_DATA!B6090</f>
        <v/>
      </c>
      <c r="C6090">
        <f>TEST_DATA!C6090</f>
        <v/>
      </c>
      <c r="D6090">
        <f>TEST_DATA!D6090</f>
        <v/>
      </c>
      <c r="E6090">
        <f>TEST_DATA!E6090</f>
        <v/>
      </c>
    </row>
    <row r="6091">
      <c r="A6091">
        <f>TEST_DATA!A6091</f>
        <v/>
      </c>
      <c r="B6091">
        <f>TEST_DATA!B6091</f>
        <v/>
      </c>
      <c r="C6091">
        <f>TEST_DATA!C6091</f>
        <v/>
      </c>
      <c r="D6091">
        <f>TEST_DATA!D6091</f>
        <v/>
      </c>
      <c r="E6091">
        <f>TEST_DATA!E6091</f>
        <v/>
      </c>
    </row>
    <row r="6092">
      <c r="A6092">
        <f>TEST_DATA!A6092</f>
        <v/>
      </c>
      <c r="B6092">
        <f>TEST_DATA!B6092</f>
        <v/>
      </c>
      <c r="C6092">
        <f>TEST_DATA!C6092</f>
        <v/>
      </c>
      <c r="D6092">
        <f>TEST_DATA!D6092</f>
        <v/>
      </c>
      <c r="E6092">
        <f>TEST_DATA!E6092</f>
        <v/>
      </c>
    </row>
    <row r="6093">
      <c r="A6093">
        <f>TEST_DATA!A6093</f>
        <v/>
      </c>
      <c r="B6093">
        <f>TEST_DATA!B6093</f>
        <v/>
      </c>
      <c r="C6093">
        <f>TEST_DATA!C6093</f>
        <v/>
      </c>
      <c r="D6093">
        <f>TEST_DATA!D6093</f>
        <v/>
      </c>
      <c r="E6093">
        <f>TEST_DATA!E6093</f>
        <v/>
      </c>
    </row>
    <row r="6094">
      <c r="A6094">
        <f>TEST_DATA!A6094</f>
        <v/>
      </c>
      <c r="B6094">
        <f>TEST_DATA!B6094</f>
        <v/>
      </c>
      <c r="C6094">
        <f>TEST_DATA!C6094</f>
        <v/>
      </c>
      <c r="D6094">
        <f>TEST_DATA!D6094</f>
        <v/>
      </c>
      <c r="E6094">
        <f>TEST_DATA!E6094</f>
        <v/>
      </c>
    </row>
    <row r="6095">
      <c r="A6095">
        <f>TEST_DATA!A6095</f>
        <v/>
      </c>
      <c r="B6095">
        <f>TEST_DATA!B6095</f>
        <v/>
      </c>
      <c r="C6095">
        <f>TEST_DATA!C6095</f>
        <v/>
      </c>
      <c r="D6095">
        <f>TEST_DATA!D6095</f>
        <v/>
      </c>
      <c r="E6095">
        <f>TEST_DATA!E6095</f>
        <v/>
      </c>
    </row>
    <row r="6096">
      <c r="A6096">
        <f>TEST_DATA!A6096</f>
        <v/>
      </c>
      <c r="B6096">
        <f>TEST_DATA!B6096</f>
        <v/>
      </c>
      <c r="C6096">
        <f>TEST_DATA!C6096</f>
        <v/>
      </c>
      <c r="D6096">
        <f>TEST_DATA!D6096</f>
        <v/>
      </c>
      <c r="E6096">
        <f>TEST_DATA!E6096</f>
        <v/>
      </c>
    </row>
    <row r="6097">
      <c r="A6097">
        <f>TEST_DATA!A6097</f>
        <v/>
      </c>
      <c r="B6097">
        <f>TEST_DATA!B6097</f>
        <v/>
      </c>
      <c r="C6097">
        <f>TEST_DATA!C6097</f>
        <v/>
      </c>
      <c r="D6097">
        <f>TEST_DATA!D6097</f>
        <v/>
      </c>
      <c r="E6097">
        <f>TEST_DATA!E6097</f>
        <v/>
      </c>
    </row>
    <row r="6098">
      <c r="A6098">
        <f>TEST_DATA!A6098</f>
        <v/>
      </c>
      <c r="B6098">
        <f>TEST_DATA!B6098</f>
        <v/>
      </c>
      <c r="C6098">
        <f>TEST_DATA!C6098</f>
        <v/>
      </c>
      <c r="D6098">
        <f>TEST_DATA!D6098</f>
        <v/>
      </c>
      <c r="E6098">
        <f>TEST_DATA!E6098</f>
        <v/>
      </c>
    </row>
    <row r="6099">
      <c r="A6099">
        <f>TEST_DATA!A6099</f>
        <v/>
      </c>
      <c r="B6099">
        <f>TEST_DATA!B6099</f>
        <v/>
      </c>
      <c r="C6099">
        <f>TEST_DATA!C6099</f>
        <v/>
      </c>
      <c r="D6099">
        <f>TEST_DATA!D6099</f>
        <v/>
      </c>
      <c r="E6099">
        <f>TEST_DATA!E6099</f>
        <v/>
      </c>
    </row>
    <row r="6100">
      <c r="A6100">
        <f>TEST_DATA!A6100</f>
        <v/>
      </c>
      <c r="B6100">
        <f>TEST_DATA!B6100</f>
        <v/>
      </c>
      <c r="C6100">
        <f>TEST_DATA!C6100</f>
        <v/>
      </c>
      <c r="D6100">
        <f>TEST_DATA!D6100</f>
        <v/>
      </c>
      <c r="E6100">
        <f>TEST_DATA!E6100</f>
        <v/>
      </c>
    </row>
    <row r="6101">
      <c r="A6101">
        <f>TEST_DATA!A6101</f>
        <v/>
      </c>
      <c r="B6101">
        <f>TEST_DATA!B6101</f>
        <v/>
      </c>
      <c r="C6101">
        <f>TEST_DATA!C6101</f>
        <v/>
      </c>
      <c r="D6101">
        <f>TEST_DATA!D6101</f>
        <v/>
      </c>
      <c r="E6101">
        <f>TEST_DATA!E6101</f>
        <v/>
      </c>
    </row>
    <row r="6102">
      <c r="A6102">
        <f>TEST_DATA!A6102</f>
        <v/>
      </c>
      <c r="B6102">
        <f>TEST_DATA!B6102</f>
        <v/>
      </c>
      <c r="C6102">
        <f>TEST_DATA!C6102</f>
        <v/>
      </c>
      <c r="D6102">
        <f>TEST_DATA!D6102</f>
        <v/>
      </c>
      <c r="E6102">
        <f>TEST_DATA!E6102</f>
        <v/>
      </c>
    </row>
    <row r="6103">
      <c r="A6103">
        <f>TEST_DATA!A6103</f>
        <v/>
      </c>
      <c r="B6103">
        <f>TEST_DATA!B6103</f>
        <v/>
      </c>
      <c r="C6103">
        <f>TEST_DATA!C6103</f>
        <v/>
      </c>
      <c r="D6103">
        <f>TEST_DATA!D6103</f>
        <v/>
      </c>
      <c r="E6103">
        <f>TEST_DATA!E6103</f>
        <v/>
      </c>
    </row>
    <row r="6104">
      <c r="A6104">
        <f>TEST_DATA!A6104</f>
        <v/>
      </c>
      <c r="B6104">
        <f>TEST_DATA!B6104</f>
        <v/>
      </c>
      <c r="C6104">
        <f>TEST_DATA!C6104</f>
        <v/>
      </c>
      <c r="D6104">
        <f>TEST_DATA!D6104</f>
        <v/>
      </c>
      <c r="E6104">
        <f>TEST_DATA!E6104</f>
        <v/>
      </c>
    </row>
    <row r="6105">
      <c r="A6105">
        <f>TEST_DATA!A6105</f>
        <v/>
      </c>
      <c r="B6105">
        <f>TEST_DATA!B6105</f>
        <v/>
      </c>
      <c r="C6105">
        <f>TEST_DATA!C6105</f>
        <v/>
      </c>
      <c r="D6105">
        <f>TEST_DATA!D6105</f>
        <v/>
      </c>
      <c r="E6105">
        <f>TEST_DATA!E6105</f>
        <v/>
      </c>
    </row>
    <row r="6106">
      <c r="A6106">
        <f>TEST_DATA!A6106</f>
        <v/>
      </c>
      <c r="B6106">
        <f>TEST_DATA!B6106</f>
        <v/>
      </c>
      <c r="C6106">
        <f>TEST_DATA!C6106</f>
        <v/>
      </c>
      <c r="D6106">
        <f>TEST_DATA!D6106</f>
        <v/>
      </c>
      <c r="E6106">
        <f>TEST_DATA!E6106</f>
        <v/>
      </c>
    </row>
    <row r="6107">
      <c r="A6107">
        <f>TEST_DATA!A6107</f>
        <v/>
      </c>
      <c r="B6107">
        <f>TEST_DATA!B6107</f>
        <v/>
      </c>
      <c r="C6107">
        <f>TEST_DATA!C6107</f>
        <v/>
      </c>
      <c r="D6107">
        <f>TEST_DATA!D6107</f>
        <v/>
      </c>
      <c r="E6107">
        <f>TEST_DATA!E6107</f>
        <v/>
      </c>
    </row>
    <row r="6108">
      <c r="A6108">
        <f>TEST_DATA!A6108</f>
        <v/>
      </c>
      <c r="B6108">
        <f>TEST_DATA!B6108</f>
        <v/>
      </c>
      <c r="C6108">
        <f>TEST_DATA!C6108</f>
        <v/>
      </c>
      <c r="D6108">
        <f>TEST_DATA!D6108</f>
        <v/>
      </c>
      <c r="E6108">
        <f>TEST_DATA!E6108</f>
        <v/>
      </c>
    </row>
    <row r="6109">
      <c r="A6109">
        <f>TEST_DATA!A6109</f>
        <v/>
      </c>
      <c r="B6109">
        <f>TEST_DATA!B6109</f>
        <v/>
      </c>
      <c r="C6109">
        <f>TEST_DATA!C6109</f>
        <v/>
      </c>
      <c r="D6109">
        <f>TEST_DATA!D6109</f>
        <v/>
      </c>
      <c r="E6109">
        <f>TEST_DATA!E6109</f>
        <v/>
      </c>
    </row>
    <row r="6110">
      <c r="A6110">
        <f>TEST_DATA!A6110</f>
        <v/>
      </c>
      <c r="B6110">
        <f>TEST_DATA!B6110</f>
        <v/>
      </c>
      <c r="C6110">
        <f>TEST_DATA!C6110</f>
        <v/>
      </c>
      <c r="D6110">
        <f>TEST_DATA!D6110</f>
        <v/>
      </c>
      <c r="E6110">
        <f>TEST_DATA!E6110</f>
        <v/>
      </c>
    </row>
    <row r="6111">
      <c r="A6111">
        <f>TEST_DATA!A6111</f>
        <v/>
      </c>
      <c r="B6111">
        <f>TEST_DATA!B6111</f>
        <v/>
      </c>
      <c r="C6111">
        <f>TEST_DATA!C6111</f>
        <v/>
      </c>
      <c r="D6111">
        <f>TEST_DATA!D6111</f>
        <v/>
      </c>
      <c r="E6111">
        <f>TEST_DATA!E6111</f>
        <v/>
      </c>
    </row>
    <row r="6112">
      <c r="A6112">
        <f>TEST_DATA!A6112</f>
        <v/>
      </c>
      <c r="B6112">
        <f>TEST_DATA!B6112</f>
        <v/>
      </c>
      <c r="C6112">
        <f>TEST_DATA!C6112</f>
        <v/>
      </c>
      <c r="D6112">
        <f>TEST_DATA!D6112</f>
        <v/>
      </c>
      <c r="E6112">
        <f>TEST_DATA!E6112</f>
        <v/>
      </c>
    </row>
    <row r="6113">
      <c r="A6113">
        <f>TEST_DATA!A6113</f>
        <v/>
      </c>
      <c r="B6113">
        <f>TEST_DATA!B6113</f>
        <v/>
      </c>
      <c r="C6113">
        <f>TEST_DATA!C6113</f>
        <v/>
      </c>
      <c r="D6113">
        <f>TEST_DATA!D6113</f>
        <v/>
      </c>
      <c r="E6113">
        <f>TEST_DATA!E6113</f>
        <v/>
      </c>
    </row>
    <row r="6114">
      <c r="A6114">
        <f>TEST_DATA!A6114</f>
        <v/>
      </c>
      <c r="B6114">
        <f>TEST_DATA!B6114</f>
        <v/>
      </c>
      <c r="C6114">
        <f>TEST_DATA!C6114</f>
        <v/>
      </c>
      <c r="D6114">
        <f>TEST_DATA!D6114</f>
        <v/>
      </c>
      <c r="E6114">
        <f>TEST_DATA!E6114</f>
        <v/>
      </c>
    </row>
    <row r="6115">
      <c r="A6115">
        <f>TEST_DATA!A6115</f>
        <v/>
      </c>
      <c r="B6115">
        <f>TEST_DATA!B6115</f>
        <v/>
      </c>
      <c r="C6115">
        <f>TEST_DATA!C6115</f>
        <v/>
      </c>
      <c r="D6115">
        <f>TEST_DATA!D6115</f>
        <v/>
      </c>
      <c r="E6115">
        <f>TEST_DATA!E6115</f>
        <v/>
      </c>
    </row>
    <row r="6116">
      <c r="A6116">
        <f>TEST_DATA!A6116</f>
        <v/>
      </c>
      <c r="B6116">
        <f>TEST_DATA!B6116</f>
        <v/>
      </c>
      <c r="C6116">
        <f>TEST_DATA!C6116</f>
        <v/>
      </c>
      <c r="D6116">
        <f>TEST_DATA!D6116</f>
        <v/>
      </c>
      <c r="E6116">
        <f>TEST_DATA!E6116</f>
        <v/>
      </c>
    </row>
    <row r="6117">
      <c r="A6117">
        <f>TEST_DATA!A6117</f>
        <v/>
      </c>
      <c r="B6117">
        <f>TEST_DATA!B6117</f>
        <v/>
      </c>
      <c r="C6117">
        <f>TEST_DATA!C6117</f>
        <v/>
      </c>
      <c r="D6117">
        <f>TEST_DATA!D6117</f>
        <v/>
      </c>
      <c r="E6117">
        <f>TEST_DATA!E6117</f>
        <v/>
      </c>
    </row>
    <row r="6118">
      <c r="A6118">
        <f>TEST_DATA!A6118</f>
        <v/>
      </c>
      <c r="B6118">
        <f>TEST_DATA!B6118</f>
        <v/>
      </c>
      <c r="C6118">
        <f>TEST_DATA!C6118</f>
        <v/>
      </c>
      <c r="D6118">
        <f>TEST_DATA!D6118</f>
        <v/>
      </c>
      <c r="E6118">
        <f>TEST_DATA!E6118</f>
        <v/>
      </c>
    </row>
    <row r="6119">
      <c r="A6119">
        <f>TEST_DATA!A6119</f>
        <v/>
      </c>
      <c r="B6119">
        <f>TEST_DATA!B6119</f>
        <v/>
      </c>
      <c r="C6119">
        <f>TEST_DATA!C6119</f>
        <v/>
      </c>
      <c r="D6119">
        <f>TEST_DATA!D6119</f>
        <v/>
      </c>
      <c r="E6119">
        <f>TEST_DATA!E6119</f>
        <v/>
      </c>
    </row>
    <row r="6120">
      <c r="A6120">
        <f>TEST_DATA!A6120</f>
        <v/>
      </c>
      <c r="B6120">
        <f>TEST_DATA!B6120</f>
        <v/>
      </c>
      <c r="C6120">
        <f>TEST_DATA!C6120</f>
        <v/>
      </c>
      <c r="D6120">
        <f>TEST_DATA!D6120</f>
        <v/>
      </c>
      <c r="E6120">
        <f>TEST_DATA!E6120</f>
        <v/>
      </c>
    </row>
    <row r="6121">
      <c r="A6121">
        <f>TEST_DATA!A6121</f>
        <v/>
      </c>
      <c r="B6121">
        <f>TEST_DATA!B6121</f>
        <v/>
      </c>
      <c r="C6121">
        <f>TEST_DATA!C6121</f>
        <v/>
      </c>
      <c r="D6121">
        <f>TEST_DATA!D6121</f>
        <v/>
      </c>
      <c r="E6121">
        <f>TEST_DATA!E6121</f>
        <v/>
      </c>
    </row>
    <row r="6122">
      <c r="A6122">
        <f>TEST_DATA!A6122</f>
        <v/>
      </c>
      <c r="B6122">
        <f>TEST_DATA!B6122</f>
        <v/>
      </c>
      <c r="C6122">
        <f>TEST_DATA!C6122</f>
        <v/>
      </c>
      <c r="D6122">
        <f>TEST_DATA!D6122</f>
        <v/>
      </c>
      <c r="E6122">
        <f>TEST_DATA!E6122</f>
        <v/>
      </c>
    </row>
    <row r="6123">
      <c r="A6123">
        <f>TEST_DATA!A6123</f>
        <v/>
      </c>
      <c r="B6123">
        <f>TEST_DATA!B6123</f>
        <v/>
      </c>
      <c r="C6123">
        <f>TEST_DATA!C6123</f>
        <v/>
      </c>
      <c r="D6123">
        <f>TEST_DATA!D6123</f>
        <v/>
      </c>
      <c r="E6123">
        <f>TEST_DATA!E6123</f>
        <v/>
      </c>
    </row>
    <row r="6124">
      <c r="A6124">
        <f>TEST_DATA!A6124</f>
        <v/>
      </c>
      <c r="B6124">
        <f>TEST_DATA!B6124</f>
        <v/>
      </c>
      <c r="C6124">
        <f>TEST_DATA!C6124</f>
        <v/>
      </c>
      <c r="D6124">
        <f>TEST_DATA!D6124</f>
        <v/>
      </c>
      <c r="E6124">
        <f>TEST_DATA!E6124</f>
        <v/>
      </c>
    </row>
    <row r="6125">
      <c r="A6125">
        <f>TEST_DATA!A6125</f>
        <v/>
      </c>
      <c r="B6125">
        <f>TEST_DATA!B6125</f>
        <v/>
      </c>
      <c r="C6125">
        <f>TEST_DATA!C6125</f>
        <v/>
      </c>
      <c r="D6125">
        <f>TEST_DATA!D6125</f>
        <v/>
      </c>
      <c r="E6125">
        <f>TEST_DATA!E6125</f>
        <v/>
      </c>
    </row>
    <row r="6126">
      <c r="A6126">
        <f>TEST_DATA!A6126</f>
        <v/>
      </c>
      <c r="B6126">
        <f>TEST_DATA!B6126</f>
        <v/>
      </c>
      <c r="C6126">
        <f>TEST_DATA!C6126</f>
        <v/>
      </c>
      <c r="D6126">
        <f>TEST_DATA!D6126</f>
        <v/>
      </c>
      <c r="E6126">
        <f>TEST_DATA!E6126</f>
        <v/>
      </c>
    </row>
    <row r="6127">
      <c r="A6127">
        <f>TEST_DATA!A6127</f>
        <v/>
      </c>
      <c r="B6127">
        <f>TEST_DATA!B6127</f>
        <v/>
      </c>
      <c r="C6127">
        <f>TEST_DATA!C6127</f>
        <v/>
      </c>
      <c r="D6127">
        <f>TEST_DATA!D6127</f>
        <v/>
      </c>
      <c r="E6127">
        <f>TEST_DATA!E6127</f>
        <v/>
      </c>
    </row>
    <row r="6128">
      <c r="A6128">
        <f>TEST_DATA!A6128</f>
        <v/>
      </c>
      <c r="B6128">
        <f>TEST_DATA!B6128</f>
        <v/>
      </c>
      <c r="C6128">
        <f>TEST_DATA!C6128</f>
        <v/>
      </c>
      <c r="D6128">
        <f>TEST_DATA!D6128</f>
        <v/>
      </c>
      <c r="E6128">
        <f>TEST_DATA!E6128</f>
        <v/>
      </c>
    </row>
    <row r="6129">
      <c r="A6129">
        <f>TEST_DATA!A6129</f>
        <v/>
      </c>
      <c r="B6129">
        <f>TEST_DATA!B6129</f>
        <v/>
      </c>
      <c r="C6129">
        <f>TEST_DATA!C6129</f>
        <v/>
      </c>
      <c r="D6129">
        <f>TEST_DATA!D6129</f>
        <v/>
      </c>
      <c r="E6129">
        <f>TEST_DATA!E6129</f>
        <v/>
      </c>
    </row>
    <row r="6130">
      <c r="A6130">
        <f>TEST_DATA!A6130</f>
        <v/>
      </c>
      <c r="B6130">
        <f>TEST_DATA!B6130</f>
        <v/>
      </c>
      <c r="C6130">
        <f>TEST_DATA!C6130</f>
        <v/>
      </c>
      <c r="D6130">
        <f>TEST_DATA!D6130</f>
        <v/>
      </c>
      <c r="E6130">
        <f>TEST_DATA!E6130</f>
        <v/>
      </c>
    </row>
    <row r="6131">
      <c r="A6131">
        <f>TEST_DATA!A6131</f>
        <v/>
      </c>
      <c r="B6131">
        <f>TEST_DATA!B6131</f>
        <v/>
      </c>
      <c r="C6131">
        <f>TEST_DATA!C6131</f>
        <v/>
      </c>
      <c r="D6131">
        <f>TEST_DATA!D6131</f>
        <v/>
      </c>
      <c r="E6131">
        <f>TEST_DATA!E6131</f>
        <v/>
      </c>
    </row>
    <row r="6132">
      <c r="A6132">
        <f>TEST_DATA!A6132</f>
        <v/>
      </c>
      <c r="B6132">
        <f>TEST_DATA!B6132</f>
        <v/>
      </c>
      <c r="C6132">
        <f>TEST_DATA!C6132</f>
        <v/>
      </c>
      <c r="D6132">
        <f>TEST_DATA!D6132</f>
        <v/>
      </c>
      <c r="E6132">
        <f>TEST_DATA!E6132</f>
        <v/>
      </c>
    </row>
    <row r="6133">
      <c r="A6133">
        <f>TEST_DATA!A6133</f>
        <v/>
      </c>
      <c r="B6133">
        <f>TEST_DATA!B6133</f>
        <v/>
      </c>
      <c r="C6133">
        <f>TEST_DATA!C6133</f>
        <v/>
      </c>
      <c r="D6133">
        <f>TEST_DATA!D6133</f>
        <v/>
      </c>
      <c r="E6133">
        <f>TEST_DATA!E6133</f>
        <v/>
      </c>
    </row>
    <row r="6134">
      <c r="A6134">
        <f>TEST_DATA!A6134</f>
        <v/>
      </c>
      <c r="B6134">
        <f>TEST_DATA!B6134</f>
        <v/>
      </c>
      <c r="C6134">
        <f>TEST_DATA!C6134</f>
        <v/>
      </c>
      <c r="D6134">
        <f>TEST_DATA!D6134</f>
        <v/>
      </c>
      <c r="E6134">
        <f>TEST_DATA!E6134</f>
        <v/>
      </c>
    </row>
    <row r="6135">
      <c r="A6135">
        <f>TEST_DATA!A6135</f>
        <v/>
      </c>
      <c r="B6135">
        <f>TEST_DATA!B6135</f>
        <v/>
      </c>
      <c r="C6135">
        <f>TEST_DATA!C6135</f>
        <v/>
      </c>
      <c r="D6135">
        <f>TEST_DATA!D6135</f>
        <v/>
      </c>
      <c r="E6135">
        <f>TEST_DATA!E6135</f>
        <v/>
      </c>
    </row>
    <row r="6136">
      <c r="A6136">
        <f>TEST_DATA!A6136</f>
        <v/>
      </c>
      <c r="B6136">
        <f>TEST_DATA!B6136</f>
        <v/>
      </c>
      <c r="C6136">
        <f>TEST_DATA!C6136</f>
        <v/>
      </c>
      <c r="D6136">
        <f>TEST_DATA!D6136</f>
        <v/>
      </c>
      <c r="E6136">
        <f>TEST_DATA!E6136</f>
        <v/>
      </c>
    </row>
    <row r="6137">
      <c r="A6137">
        <f>TEST_DATA!A6137</f>
        <v/>
      </c>
      <c r="B6137">
        <f>TEST_DATA!B6137</f>
        <v/>
      </c>
      <c r="C6137">
        <f>TEST_DATA!C6137</f>
        <v/>
      </c>
      <c r="D6137">
        <f>TEST_DATA!D6137</f>
        <v/>
      </c>
      <c r="E6137">
        <f>TEST_DATA!E6137</f>
        <v/>
      </c>
    </row>
    <row r="6138">
      <c r="A6138">
        <f>TEST_DATA!A6138</f>
        <v/>
      </c>
      <c r="B6138">
        <f>TEST_DATA!B6138</f>
        <v/>
      </c>
      <c r="C6138">
        <f>TEST_DATA!C6138</f>
        <v/>
      </c>
      <c r="D6138">
        <f>TEST_DATA!D6138</f>
        <v/>
      </c>
      <c r="E6138">
        <f>TEST_DATA!E6138</f>
        <v/>
      </c>
    </row>
    <row r="6139">
      <c r="A6139">
        <f>TEST_DATA!A6139</f>
        <v/>
      </c>
      <c r="B6139">
        <f>TEST_DATA!B6139</f>
        <v/>
      </c>
      <c r="C6139">
        <f>TEST_DATA!C6139</f>
        <v/>
      </c>
      <c r="D6139">
        <f>TEST_DATA!D6139</f>
        <v/>
      </c>
      <c r="E6139">
        <f>TEST_DATA!E6139</f>
        <v/>
      </c>
    </row>
    <row r="6140">
      <c r="A6140">
        <f>TEST_DATA!A6140</f>
        <v/>
      </c>
      <c r="B6140">
        <f>TEST_DATA!B6140</f>
        <v/>
      </c>
      <c r="C6140">
        <f>TEST_DATA!C6140</f>
        <v/>
      </c>
      <c r="D6140">
        <f>TEST_DATA!D6140</f>
        <v/>
      </c>
      <c r="E6140">
        <f>TEST_DATA!E6140</f>
        <v/>
      </c>
    </row>
    <row r="6141">
      <c r="A6141">
        <f>TEST_DATA!A6141</f>
        <v/>
      </c>
      <c r="B6141">
        <f>TEST_DATA!B6141</f>
        <v/>
      </c>
      <c r="C6141">
        <f>TEST_DATA!C6141</f>
        <v/>
      </c>
      <c r="D6141">
        <f>TEST_DATA!D6141</f>
        <v/>
      </c>
      <c r="E6141">
        <f>TEST_DATA!E6141</f>
        <v/>
      </c>
    </row>
    <row r="6142">
      <c r="A6142">
        <f>TEST_DATA!A6142</f>
        <v/>
      </c>
      <c r="B6142">
        <f>TEST_DATA!B6142</f>
        <v/>
      </c>
      <c r="C6142">
        <f>TEST_DATA!C6142</f>
        <v/>
      </c>
      <c r="D6142">
        <f>TEST_DATA!D6142</f>
        <v/>
      </c>
      <c r="E6142">
        <f>TEST_DATA!E6142</f>
        <v/>
      </c>
    </row>
    <row r="6143">
      <c r="A6143">
        <f>TEST_DATA!A6143</f>
        <v/>
      </c>
      <c r="B6143">
        <f>TEST_DATA!B6143</f>
        <v/>
      </c>
      <c r="C6143">
        <f>TEST_DATA!C6143</f>
        <v/>
      </c>
      <c r="D6143">
        <f>TEST_DATA!D6143</f>
        <v/>
      </c>
      <c r="E6143">
        <f>TEST_DATA!E6143</f>
        <v/>
      </c>
    </row>
    <row r="6144">
      <c r="A6144">
        <f>TEST_DATA!A6144</f>
        <v/>
      </c>
      <c r="B6144">
        <f>TEST_DATA!B6144</f>
        <v/>
      </c>
      <c r="C6144">
        <f>TEST_DATA!C6144</f>
        <v/>
      </c>
      <c r="D6144">
        <f>TEST_DATA!D6144</f>
        <v/>
      </c>
      <c r="E6144">
        <f>TEST_DATA!E6144</f>
        <v/>
      </c>
    </row>
    <row r="6145">
      <c r="A6145">
        <f>TEST_DATA!A6145</f>
        <v/>
      </c>
      <c r="B6145">
        <f>TEST_DATA!B6145</f>
        <v/>
      </c>
      <c r="C6145">
        <f>TEST_DATA!C6145</f>
        <v/>
      </c>
      <c r="D6145">
        <f>TEST_DATA!D6145</f>
        <v/>
      </c>
      <c r="E6145">
        <f>TEST_DATA!E6145</f>
        <v/>
      </c>
    </row>
    <row r="6146">
      <c r="A6146">
        <f>TEST_DATA!A6146</f>
        <v/>
      </c>
      <c r="B6146">
        <f>TEST_DATA!B6146</f>
        <v/>
      </c>
      <c r="C6146">
        <f>TEST_DATA!C6146</f>
        <v/>
      </c>
      <c r="D6146">
        <f>TEST_DATA!D6146</f>
        <v/>
      </c>
      <c r="E6146">
        <f>TEST_DATA!E6146</f>
        <v/>
      </c>
    </row>
    <row r="6147">
      <c r="A6147">
        <f>TEST_DATA!A6147</f>
        <v/>
      </c>
      <c r="B6147">
        <f>TEST_DATA!B6147</f>
        <v/>
      </c>
      <c r="C6147">
        <f>TEST_DATA!C6147</f>
        <v/>
      </c>
      <c r="D6147">
        <f>TEST_DATA!D6147</f>
        <v/>
      </c>
      <c r="E6147">
        <f>TEST_DATA!E6147</f>
        <v/>
      </c>
    </row>
    <row r="6148">
      <c r="A6148">
        <f>TEST_DATA!A6148</f>
        <v/>
      </c>
      <c r="B6148">
        <f>TEST_DATA!B6148</f>
        <v/>
      </c>
      <c r="C6148">
        <f>TEST_DATA!C6148</f>
        <v/>
      </c>
      <c r="D6148">
        <f>TEST_DATA!D6148</f>
        <v/>
      </c>
      <c r="E6148">
        <f>TEST_DATA!E6148</f>
        <v/>
      </c>
    </row>
    <row r="6149">
      <c r="A6149">
        <f>TEST_DATA!A6149</f>
        <v/>
      </c>
      <c r="B6149">
        <f>TEST_DATA!B6149</f>
        <v/>
      </c>
      <c r="C6149">
        <f>TEST_DATA!C6149</f>
        <v/>
      </c>
      <c r="D6149">
        <f>TEST_DATA!D6149</f>
        <v/>
      </c>
      <c r="E6149">
        <f>TEST_DATA!E6149</f>
        <v/>
      </c>
    </row>
    <row r="6150">
      <c r="A6150">
        <f>TEST_DATA!A6150</f>
        <v/>
      </c>
      <c r="B6150">
        <f>TEST_DATA!B6150</f>
        <v/>
      </c>
      <c r="C6150">
        <f>TEST_DATA!C6150</f>
        <v/>
      </c>
      <c r="D6150">
        <f>TEST_DATA!D6150</f>
        <v/>
      </c>
      <c r="E6150">
        <f>TEST_DATA!E6150</f>
        <v/>
      </c>
    </row>
    <row r="6151">
      <c r="A6151">
        <f>TEST_DATA!A6151</f>
        <v/>
      </c>
      <c r="B6151">
        <f>TEST_DATA!B6151</f>
        <v/>
      </c>
      <c r="C6151">
        <f>TEST_DATA!C6151</f>
        <v/>
      </c>
      <c r="D6151">
        <f>TEST_DATA!D6151</f>
        <v/>
      </c>
      <c r="E6151">
        <f>TEST_DATA!E6151</f>
        <v/>
      </c>
    </row>
    <row r="6152">
      <c r="A6152">
        <f>TEST_DATA!A6152</f>
        <v/>
      </c>
      <c r="B6152">
        <f>TEST_DATA!B6152</f>
        <v/>
      </c>
      <c r="C6152">
        <f>TEST_DATA!C6152</f>
        <v/>
      </c>
      <c r="D6152">
        <f>TEST_DATA!D6152</f>
        <v/>
      </c>
      <c r="E6152">
        <f>TEST_DATA!E6152</f>
        <v/>
      </c>
    </row>
    <row r="6153">
      <c r="A6153">
        <f>TEST_DATA!A6153</f>
        <v/>
      </c>
      <c r="B6153">
        <f>TEST_DATA!B6153</f>
        <v/>
      </c>
      <c r="C6153">
        <f>TEST_DATA!C6153</f>
        <v/>
      </c>
      <c r="D6153">
        <f>TEST_DATA!D6153</f>
        <v/>
      </c>
      <c r="E6153">
        <f>TEST_DATA!E6153</f>
        <v/>
      </c>
    </row>
    <row r="6154">
      <c r="A6154">
        <f>TEST_DATA!A6154</f>
        <v/>
      </c>
      <c r="B6154">
        <f>TEST_DATA!B6154</f>
        <v/>
      </c>
      <c r="C6154">
        <f>TEST_DATA!C6154</f>
        <v/>
      </c>
      <c r="D6154">
        <f>TEST_DATA!D6154</f>
        <v/>
      </c>
      <c r="E6154">
        <f>TEST_DATA!E6154</f>
        <v/>
      </c>
    </row>
    <row r="6155">
      <c r="A6155">
        <f>TEST_DATA!A6155</f>
        <v/>
      </c>
      <c r="B6155">
        <f>TEST_DATA!B6155</f>
        <v/>
      </c>
      <c r="C6155">
        <f>TEST_DATA!C6155</f>
        <v/>
      </c>
      <c r="D6155">
        <f>TEST_DATA!D6155</f>
        <v/>
      </c>
      <c r="E6155">
        <f>TEST_DATA!E6155</f>
        <v/>
      </c>
    </row>
    <row r="6156">
      <c r="A6156">
        <f>TEST_DATA!A6156</f>
        <v/>
      </c>
      <c r="B6156">
        <f>TEST_DATA!B6156</f>
        <v/>
      </c>
      <c r="C6156">
        <f>TEST_DATA!C6156</f>
        <v/>
      </c>
      <c r="D6156">
        <f>TEST_DATA!D6156</f>
        <v/>
      </c>
      <c r="E6156">
        <f>TEST_DATA!E6156</f>
        <v/>
      </c>
    </row>
    <row r="6157">
      <c r="A6157">
        <f>TEST_DATA!A6157</f>
        <v/>
      </c>
      <c r="B6157">
        <f>TEST_DATA!B6157</f>
        <v/>
      </c>
      <c r="C6157">
        <f>TEST_DATA!C6157</f>
        <v/>
      </c>
      <c r="D6157">
        <f>TEST_DATA!D6157</f>
        <v/>
      </c>
      <c r="E6157">
        <f>TEST_DATA!E6157</f>
        <v/>
      </c>
    </row>
    <row r="6158">
      <c r="A6158">
        <f>TEST_DATA!A6158</f>
        <v/>
      </c>
      <c r="B6158">
        <f>TEST_DATA!B6158</f>
        <v/>
      </c>
      <c r="C6158">
        <f>TEST_DATA!C6158</f>
        <v/>
      </c>
      <c r="D6158">
        <f>TEST_DATA!D6158</f>
        <v/>
      </c>
      <c r="E6158">
        <f>TEST_DATA!E6158</f>
        <v/>
      </c>
    </row>
    <row r="6159">
      <c r="A6159">
        <f>TEST_DATA!A6159</f>
        <v/>
      </c>
      <c r="B6159">
        <f>TEST_DATA!B6159</f>
        <v/>
      </c>
      <c r="C6159">
        <f>TEST_DATA!C6159</f>
        <v/>
      </c>
      <c r="D6159">
        <f>TEST_DATA!D6159</f>
        <v/>
      </c>
      <c r="E6159">
        <f>TEST_DATA!E6159</f>
        <v/>
      </c>
    </row>
    <row r="6160">
      <c r="A6160">
        <f>TEST_DATA!A6160</f>
        <v/>
      </c>
      <c r="B6160">
        <f>TEST_DATA!B6160</f>
        <v/>
      </c>
      <c r="C6160">
        <f>TEST_DATA!C6160</f>
        <v/>
      </c>
      <c r="D6160">
        <f>TEST_DATA!D6160</f>
        <v/>
      </c>
      <c r="E6160">
        <f>TEST_DATA!E6160</f>
        <v/>
      </c>
    </row>
    <row r="6161">
      <c r="A6161">
        <f>TEST_DATA!A6161</f>
        <v/>
      </c>
      <c r="B6161">
        <f>TEST_DATA!B6161</f>
        <v/>
      </c>
      <c r="C6161">
        <f>TEST_DATA!C6161</f>
        <v/>
      </c>
      <c r="D6161">
        <f>TEST_DATA!D6161</f>
        <v/>
      </c>
      <c r="E6161">
        <f>TEST_DATA!E6161</f>
        <v/>
      </c>
    </row>
    <row r="6162">
      <c r="A6162">
        <f>TEST_DATA!A6162</f>
        <v/>
      </c>
      <c r="B6162">
        <f>TEST_DATA!B6162</f>
        <v/>
      </c>
      <c r="C6162">
        <f>TEST_DATA!C6162</f>
        <v/>
      </c>
      <c r="D6162">
        <f>TEST_DATA!D6162</f>
        <v/>
      </c>
      <c r="E6162">
        <f>TEST_DATA!E6162</f>
        <v/>
      </c>
    </row>
    <row r="6163">
      <c r="A6163">
        <f>TEST_DATA!A6163</f>
        <v/>
      </c>
      <c r="B6163">
        <f>TEST_DATA!B6163</f>
        <v/>
      </c>
      <c r="C6163">
        <f>TEST_DATA!C6163</f>
        <v/>
      </c>
      <c r="D6163">
        <f>TEST_DATA!D6163</f>
        <v/>
      </c>
      <c r="E6163">
        <f>TEST_DATA!E6163</f>
        <v/>
      </c>
    </row>
    <row r="6164">
      <c r="A6164">
        <f>TEST_DATA!A6164</f>
        <v/>
      </c>
      <c r="B6164">
        <f>TEST_DATA!B6164</f>
        <v/>
      </c>
      <c r="C6164">
        <f>TEST_DATA!C6164</f>
        <v/>
      </c>
      <c r="D6164">
        <f>TEST_DATA!D6164</f>
        <v/>
      </c>
      <c r="E6164">
        <f>TEST_DATA!E6164</f>
        <v/>
      </c>
    </row>
    <row r="6165">
      <c r="A6165">
        <f>TEST_DATA!A6165</f>
        <v/>
      </c>
      <c r="B6165">
        <f>TEST_DATA!B6165</f>
        <v/>
      </c>
      <c r="C6165">
        <f>TEST_DATA!C6165</f>
        <v/>
      </c>
      <c r="D6165">
        <f>TEST_DATA!D6165</f>
        <v/>
      </c>
      <c r="E6165">
        <f>TEST_DATA!E6165</f>
        <v/>
      </c>
    </row>
    <row r="6166">
      <c r="A6166">
        <f>TEST_DATA!A6166</f>
        <v/>
      </c>
      <c r="B6166">
        <f>TEST_DATA!B6166</f>
        <v/>
      </c>
      <c r="C6166">
        <f>TEST_DATA!C6166</f>
        <v/>
      </c>
      <c r="D6166">
        <f>TEST_DATA!D6166</f>
        <v/>
      </c>
      <c r="E6166">
        <f>TEST_DATA!E6166</f>
        <v/>
      </c>
    </row>
    <row r="6167">
      <c r="A6167">
        <f>TEST_DATA!A6167</f>
        <v/>
      </c>
      <c r="B6167">
        <f>TEST_DATA!B6167</f>
        <v/>
      </c>
      <c r="C6167">
        <f>TEST_DATA!C6167</f>
        <v/>
      </c>
      <c r="D6167">
        <f>TEST_DATA!D6167</f>
        <v/>
      </c>
      <c r="E6167">
        <f>TEST_DATA!E6167</f>
        <v/>
      </c>
    </row>
    <row r="6168">
      <c r="A6168">
        <f>TEST_DATA!A6168</f>
        <v/>
      </c>
      <c r="B6168">
        <f>TEST_DATA!B6168</f>
        <v/>
      </c>
      <c r="C6168">
        <f>TEST_DATA!C6168</f>
        <v/>
      </c>
      <c r="D6168">
        <f>TEST_DATA!D6168</f>
        <v/>
      </c>
      <c r="E6168">
        <f>TEST_DATA!E6168</f>
        <v/>
      </c>
    </row>
    <row r="6169">
      <c r="A6169">
        <f>TEST_DATA!A6169</f>
        <v/>
      </c>
      <c r="B6169">
        <f>TEST_DATA!B6169</f>
        <v/>
      </c>
      <c r="C6169">
        <f>TEST_DATA!C6169</f>
        <v/>
      </c>
      <c r="D6169">
        <f>TEST_DATA!D6169</f>
        <v/>
      </c>
      <c r="E6169">
        <f>TEST_DATA!E6169</f>
        <v/>
      </c>
    </row>
    <row r="6170">
      <c r="A6170">
        <f>TEST_DATA!A6170</f>
        <v/>
      </c>
      <c r="B6170">
        <f>TEST_DATA!B6170</f>
        <v/>
      </c>
      <c r="C6170">
        <f>TEST_DATA!C6170</f>
        <v/>
      </c>
      <c r="D6170">
        <f>TEST_DATA!D6170</f>
        <v/>
      </c>
      <c r="E6170">
        <f>TEST_DATA!E6170</f>
        <v/>
      </c>
    </row>
    <row r="6171">
      <c r="A6171">
        <f>TEST_DATA!A6171</f>
        <v/>
      </c>
      <c r="B6171">
        <f>TEST_DATA!B6171</f>
        <v/>
      </c>
      <c r="C6171">
        <f>TEST_DATA!C6171</f>
        <v/>
      </c>
      <c r="D6171">
        <f>TEST_DATA!D6171</f>
        <v/>
      </c>
      <c r="E6171">
        <f>TEST_DATA!E6171</f>
        <v/>
      </c>
    </row>
    <row r="6172">
      <c r="A6172">
        <f>TEST_DATA!A6172</f>
        <v/>
      </c>
      <c r="B6172">
        <f>TEST_DATA!B6172</f>
        <v/>
      </c>
      <c r="C6172">
        <f>TEST_DATA!C6172</f>
        <v/>
      </c>
      <c r="D6172">
        <f>TEST_DATA!D6172</f>
        <v/>
      </c>
      <c r="E6172">
        <f>TEST_DATA!E6172</f>
        <v/>
      </c>
    </row>
    <row r="6173">
      <c r="A6173">
        <f>TEST_DATA!A6173</f>
        <v/>
      </c>
      <c r="B6173">
        <f>TEST_DATA!B6173</f>
        <v/>
      </c>
      <c r="C6173">
        <f>TEST_DATA!C6173</f>
        <v/>
      </c>
      <c r="D6173">
        <f>TEST_DATA!D6173</f>
        <v/>
      </c>
      <c r="E6173">
        <f>TEST_DATA!E6173</f>
        <v/>
      </c>
    </row>
    <row r="6174">
      <c r="A6174">
        <f>TEST_DATA!A6174</f>
        <v/>
      </c>
      <c r="B6174">
        <f>TEST_DATA!B6174</f>
        <v/>
      </c>
      <c r="C6174">
        <f>TEST_DATA!C6174</f>
        <v/>
      </c>
      <c r="D6174">
        <f>TEST_DATA!D6174</f>
        <v/>
      </c>
      <c r="E6174">
        <f>TEST_DATA!E6174</f>
        <v/>
      </c>
    </row>
    <row r="6175">
      <c r="A6175">
        <f>TEST_DATA!A6175</f>
        <v/>
      </c>
      <c r="B6175">
        <f>TEST_DATA!B6175</f>
        <v/>
      </c>
      <c r="C6175">
        <f>TEST_DATA!C6175</f>
        <v/>
      </c>
      <c r="D6175">
        <f>TEST_DATA!D6175</f>
        <v/>
      </c>
      <c r="E6175">
        <f>TEST_DATA!E6175</f>
        <v/>
      </c>
    </row>
    <row r="6176">
      <c r="A6176">
        <f>TEST_DATA!A6176</f>
        <v/>
      </c>
      <c r="B6176">
        <f>TEST_DATA!B6176</f>
        <v/>
      </c>
      <c r="C6176">
        <f>TEST_DATA!C6176</f>
        <v/>
      </c>
      <c r="D6176">
        <f>TEST_DATA!D6176</f>
        <v/>
      </c>
      <c r="E6176">
        <f>TEST_DATA!E6176</f>
        <v/>
      </c>
    </row>
    <row r="6177">
      <c r="A6177">
        <f>TEST_DATA!A6177</f>
        <v/>
      </c>
      <c r="B6177">
        <f>TEST_DATA!B6177</f>
        <v/>
      </c>
      <c r="C6177">
        <f>TEST_DATA!C6177</f>
        <v/>
      </c>
      <c r="D6177">
        <f>TEST_DATA!D6177</f>
        <v/>
      </c>
      <c r="E6177">
        <f>TEST_DATA!E6177</f>
        <v/>
      </c>
    </row>
    <row r="6178">
      <c r="A6178">
        <f>TEST_DATA!A6178</f>
        <v/>
      </c>
      <c r="B6178">
        <f>TEST_DATA!B6178</f>
        <v/>
      </c>
      <c r="C6178">
        <f>TEST_DATA!C6178</f>
        <v/>
      </c>
      <c r="D6178">
        <f>TEST_DATA!D6178</f>
        <v/>
      </c>
      <c r="E6178">
        <f>TEST_DATA!E6178</f>
        <v/>
      </c>
    </row>
    <row r="6179">
      <c r="A6179">
        <f>TEST_DATA!A6179</f>
        <v/>
      </c>
      <c r="B6179">
        <f>TEST_DATA!B6179</f>
        <v/>
      </c>
      <c r="C6179">
        <f>TEST_DATA!C6179</f>
        <v/>
      </c>
      <c r="D6179">
        <f>TEST_DATA!D6179</f>
        <v/>
      </c>
      <c r="E6179">
        <f>TEST_DATA!E6179</f>
        <v/>
      </c>
    </row>
    <row r="6180">
      <c r="A6180">
        <f>TEST_DATA!A6180</f>
        <v/>
      </c>
      <c r="B6180">
        <f>TEST_DATA!B6180</f>
        <v/>
      </c>
      <c r="C6180">
        <f>TEST_DATA!C6180</f>
        <v/>
      </c>
      <c r="D6180">
        <f>TEST_DATA!D6180</f>
        <v/>
      </c>
      <c r="E6180">
        <f>TEST_DATA!E6180</f>
        <v/>
      </c>
    </row>
    <row r="6181">
      <c r="A6181">
        <f>TEST_DATA!A6181</f>
        <v/>
      </c>
      <c r="B6181">
        <f>TEST_DATA!B6181</f>
        <v/>
      </c>
      <c r="C6181">
        <f>TEST_DATA!C6181</f>
        <v/>
      </c>
      <c r="D6181">
        <f>TEST_DATA!D6181</f>
        <v/>
      </c>
      <c r="E6181">
        <f>TEST_DATA!E6181</f>
        <v/>
      </c>
    </row>
    <row r="6182">
      <c r="A6182">
        <f>TEST_DATA!A6182</f>
        <v/>
      </c>
      <c r="B6182">
        <f>TEST_DATA!B6182</f>
        <v/>
      </c>
      <c r="C6182">
        <f>TEST_DATA!C6182</f>
        <v/>
      </c>
      <c r="D6182">
        <f>TEST_DATA!D6182</f>
        <v/>
      </c>
      <c r="E6182">
        <f>TEST_DATA!E6182</f>
        <v/>
      </c>
    </row>
    <row r="6183">
      <c r="A6183">
        <f>TEST_DATA!A6183</f>
        <v/>
      </c>
      <c r="B6183">
        <f>TEST_DATA!B6183</f>
        <v/>
      </c>
      <c r="C6183">
        <f>TEST_DATA!C6183</f>
        <v/>
      </c>
      <c r="D6183">
        <f>TEST_DATA!D6183</f>
        <v/>
      </c>
      <c r="E6183">
        <f>TEST_DATA!E6183</f>
        <v/>
      </c>
    </row>
    <row r="6184">
      <c r="A6184">
        <f>TEST_DATA!A6184</f>
        <v/>
      </c>
      <c r="B6184">
        <f>TEST_DATA!B6184</f>
        <v/>
      </c>
      <c r="C6184">
        <f>TEST_DATA!C6184</f>
        <v/>
      </c>
      <c r="D6184">
        <f>TEST_DATA!D6184</f>
        <v/>
      </c>
      <c r="E6184">
        <f>TEST_DATA!E6184</f>
        <v/>
      </c>
    </row>
    <row r="6185">
      <c r="A6185">
        <f>TEST_DATA!A6185</f>
        <v/>
      </c>
      <c r="B6185">
        <f>TEST_DATA!B6185</f>
        <v/>
      </c>
      <c r="C6185">
        <f>TEST_DATA!C6185</f>
        <v/>
      </c>
      <c r="D6185">
        <f>TEST_DATA!D6185</f>
        <v/>
      </c>
      <c r="E6185">
        <f>TEST_DATA!E6185</f>
        <v/>
      </c>
    </row>
    <row r="6186">
      <c r="A6186">
        <f>TEST_DATA!A6186</f>
        <v/>
      </c>
      <c r="B6186">
        <f>TEST_DATA!B6186</f>
        <v/>
      </c>
      <c r="C6186">
        <f>TEST_DATA!C6186</f>
        <v/>
      </c>
      <c r="D6186">
        <f>TEST_DATA!D6186</f>
        <v/>
      </c>
      <c r="E6186">
        <f>TEST_DATA!E6186</f>
        <v/>
      </c>
    </row>
    <row r="6187">
      <c r="A6187">
        <f>TEST_DATA!A6187</f>
        <v/>
      </c>
      <c r="B6187">
        <f>TEST_DATA!B6187</f>
        <v/>
      </c>
      <c r="C6187">
        <f>TEST_DATA!C6187</f>
        <v/>
      </c>
      <c r="D6187">
        <f>TEST_DATA!D6187</f>
        <v/>
      </c>
      <c r="E6187">
        <f>TEST_DATA!E6187</f>
        <v/>
      </c>
    </row>
    <row r="6188">
      <c r="A6188">
        <f>TEST_DATA!A6188</f>
        <v/>
      </c>
      <c r="B6188">
        <f>TEST_DATA!B6188</f>
        <v/>
      </c>
      <c r="C6188">
        <f>TEST_DATA!C6188</f>
        <v/>
      </c>
      <c r="D6188">
        <f>TEST_DATA!D6188</f>
        <v/>
      </c>
      <c r="E6188">
        <f>TEST_DATA!E6188</f>
        <v/>
      </c>
    </row>
    <row r="6189">
      <c r="A6189">
        <f>TEST_DATA!A6189</f>
        <v/>
      </c>
      <c r="B6189">
        <f>TEST_DATA!B6189</f>
        <v/>
      </c>
      <c r="C6189">
        <f>TEST_DATA!C6189</f>
        <v/>
      </c>
      <c r="D6189">
        <f>TEST_DATA!D6189</f>
        <v/>
      </c>
      <c r="E6189">
        <f>TEST_DATA!E6189</f>
        <v/>
      </c>
    </row>
    <row r="6190">
      <c r="A6190">
        <f>TEST_DATA!A6190</f>
        <v/>
      </c>
      <c r="B6190">
        <f>TEST_DATA!B6190</f>
        <v/>
      </c>
      <c r="C6190">
        <f>TEST_DATA!C6190</f>
        <v/>
      </c>
      <c r="D6190">
        <f>TEST_DATA!D6190</f>
        <v/>
      </c>
      <c r="E6190">
        <f>TEST_DATA!E6190</f>
        <v/>
      </c>
    </row>
    <row r="6191">
      <c r="A6191">
        <f>TEST_DATA!A6191</f>
        <v/>
      </c>
      <c r="B6191">
        <f>TEST_DATA!B6191</f>
        <v/>
      </c>
      <c r="C6191">
        <f>TEST_DATA!C6191</f>
        <v/>
      </c>
      <c r="D6191">
        <f>TEST_DATA!D6191</f>
        <v/>
      </c>
      <c r="E6191">
        <f>TEST_DATA!E6191</f>
        <v/>
      </c>
    </row>
    <row r="6192">
      <c r="A6192">
        <f>TEST_DATA!A6192</f>
        <v/>
      </c>
      <c r="B6192">
        <f>TEST_DATA!B6192</f>
        <v/>
      </c>
      <c r="C6192">
        <f>TEST_DATA!C6192</f>
        <v/>
      </c>
      <c r="D6192">
        <f>TEST_DATA!D6192</f>
        <v/>
      </c>
      <c r="E6192">
        <f>TEST_DATA!E6192</f>
        <v/>
      </c>
    </row>
    <row r="6193">
      <c r="A6193">
        <f>TEST_DATA!A6193</f>
        <v/>
      </c>
      <c r="B6193">
        <f>TEST_DATA!B6193</f>
        <v/>
      </c>
      <c r="C6193">
        <f>TEST_DATA!C6193</f>
        <v/>
      </c>
      <c r="D6193">
        <f>TEST_DATA!D6193</f>
        <v/>
      </c>
      <c r="E6193">
        <f>TEST_DATA!E6193</f>
        <v/>
      </c>
    </row>
    <row r="6194">
      <c r="A6194">
        <f>TEST_DATA!A6194</f>
        <v/>
      </c>
      <c r="B6194">
        <f>TEST_DATA!B6194</f>
        <v/>
      </c>
      <c r="C6194">
        <f>TEST_DATA!C6194</f>
        <v/>
      </c>
      <c r="D6194">
        <f>TEST_DATA!D6194</f>
        <v/>
      </c>
      <c r="E6194">
        <f>TEST_DATA!E6194</f>
        <v/>
      </c>
    </row>
    <row r="6195">
      <c r="A6195">
        <f>TEST_DATA!A6195</f>
        <v/>
      </c>
      <c r="B6195">
        <f>TEST_DATA!B6195</f>
        <v/>
      </c>
      <c r="C6195">
        <f>TEST_DATA!C6195</f>
        <v/>
      </c>
      <c r="D6195">
        <f>TEST_DATA!D6195</f>
        <v/>
      </c>
      <c r="E6195">
        <f>TEST_DATA!E6195</f>
        <v/>
      </c>
    </row>
    <row r="6196">
      <c r="A6196">
        <f>TEST_DATA!A6196</f>
        <v/>
      </c>
      <c r="B6196">
        <f>TEST_DATA!B6196</f>
        <v/>
      </c>
      <c r="C6196">
        <f>TEST_DATA!C6196</f>
        <v/>
      </c>
      <c r="D6196">
        <f>TEST_DATA!D6196</f>
        <v/>
      </c>
      <c r="E6196">
        <f>TEST_DATA!E6196</f>
        <v/>
      </c>
    </row>
    <row r="6197">
      <c r="A6197">
        <f>TEST_DATA!A6197</f>
        <v/>
      </c>
      <c r="B6197">
        <f>TEST_DATA!B6197</f>
        <v/>
      </c>
      <c r="C6197">
        <f>TEST_DATA!C6197</f>
        <v/>
      </c>
      <c r="D6197">
        <f>TEST_DATA!D6197</f>
        <v/>
      </c>
      <c r="E6197">
        <f>TEST_DATA!E6197</f>
        <v/>
      </c>
    </row>
    <row r="6198">
      <c r="A6198">
        <f>TEST_DATA!A6198</f>
        <v/>
      </c>
      <c r="B6198">
        <f>TEST_DATA!B6198</f>
        <v/>
      </c>
      <c r="C6198">
        <f>TEST_DATA!C6198</f>
        <v/>
      </c>
      <c r="D6198">
        <f>TEST_DATA!D6198</f>
        <v/>
      </c>
      <c r="E6198">
        <f>TEST_DATA!E6198</f>
        <v/>
      </c>
    </row>
    <row r="6199">
      <c r="A6199">
        <f>TEST_DATA!A6199</f>
        <v/>
      </c>
      <c r="B6199">
        <f>TEST_DATA!B6199</f>
        <v/>
      </c>
      <c r="C6199">
        <f>TEST_DATA!C6199</f>
        <v/>
      </c>
      <c r="D6199">
        <f>TEST_DATA!D6199</f>
        <v/>
      </c>
      <c r="E6199">
        <f>TEST_DATA!E6199</f>
        <v/>
      </c>
    </row>
    <row r="6200">
      <c r="A6200">
        <f>TEST_DATA!A6200</f>
        <v/>
      </c>
      <c r="B6200">
        <f>TEST_DATA!B6200</f>
        <v/>
      </c>
      <c r="C6200">
        <f>TEST_DATA!C6200</f>
        <v/>
      </c>
      <c r="D6200">
        <f>TEST_DATA!D6200</f>
        <v/>
      </c>
      <c r="E6200">
        <f>TEST_DATA!E6200</f>
        <v/>
      </c>
    </row>
    <row r="6201">
      <c r="A6201">
        <f>TEST_DATA!A6201</f>
        <v/>
      </c>
      <c r="B6201">
        <f>TEST_DATA!B6201</f>
        <v/>
      </c>
      <c r="C6201">
        <f>TEST_DATA!C6201</f>
        <v/>
      </c>
      <c r="D6201">
        <f>TEST_DATA!D6201</f>
        <v/>
      </c>
      <c r="E6201">
        <f>TEST_DATA!E6201</f>
        <v/>
      </c>
    </row>
    <row r="6202">
      <c r="A6202">
        <f>TEST_DATA!A6202</f>
        <v/>
      </c>
      <c r="B6202">
        <f>TEST_DATA!B6202</f>
        <v/>
      </c>
      <c r="C6202">
        <f>TEST_DATA!C6202</f>
        <v/>
      </c>
      <c r="D6202">
        <f>TEST_DATA!D6202</f>
        <v/>
      </c>
      <c r="E6202">
        <f>TEST_DATA!E6202</f>
        <v/>
      </c>
    </row>
    <row r="6203">
      <c r="A6203">
        <f>TEST_DATA!A6203</f>
        <v/>
      </c>
      <c r="B6203">
        <f>TEST_DATA!B6203</f>
        <v/>
      </c>
      <c r="C6203">
        <f>TEST_DATA!C6203</f>
        <v/>
      </c>
      <c r="D6203">
        <f>TEST_DATA!D6203</f>
        <v/>
      </c>
      <c r="E6203">
        <f>TEST_DATA!E6203</f>
        <v/>
      </c>
    </row>
    <row r="6204">
      <c r="A6204">
        <f>TEST_DATA!A6204</f>
        <v/>
      </c>
      <c r="B6204">
        <f>TEST_DATA!B6204</f>
        <v/>
      </c>
      <c r="C6204">
        <f>TEST_DATA!C6204</f>
        <v/>
      </c>
      <c r="D6204">
        <f>TEST_DATA!D6204</f>
        <v/>
      </c>
      <c r="E6204">
        <f>TEST_DATA!E6204</f>
        <v/>
      </c>
    </row>
    <row r="6205">
      <c r="A6205">
        <f>TEST_DATA!A6205</f>
        <v/>
      </c>
      <c r="B6205">
        <f>TEST_DATA!B6205</f>
        <v/>
      </c>
      <c r="C6205">
        <f>TEST_DATA!C6205</f>
        <v/>
      </c>
      <c r="D6205">
        <f>TEST_DATA!D6205</f>
        <v/>
      </c>
      <c r="E6205">
        <f>TEST_DATA!E6205</f>
        <v/>
      </c>
    </row>
    <row r="6206">
      <c r="A6206">
        <f>TEST_DATA!A6206</f>
        <v/>
      </c>
      <c r="B6206">
        <f>TEST_DATA!B6206</f>
        <v/>
      </c>
      <c r="C6206">
        <f>TEST_DATA!C6206</f>
        <v/>
      </c>
      <c r="D6206">
        <f>TEST_DATA!D6206</f>
        <v/>
      </c>
      <c r="E6206">
        <f>TEST_DATA!E6206</f>
        <v/>
      </c>
    </row>
    <row r="6207">
      <c r="A6207">
        <f>TEST_DATA!A6207</f>
        <v/>
      </c>
      <c r="B6207">
        <f>TEST_DATA!B6207</f>
        <v/>
      </c>
      <c r="C6207">
        <f>TEST_DATA!C6207</f>
        <v/>
      </c>
      <c r="D6207">
        <f>TEST_DATA!D6207</f>
        <v/>
      </c>
      <c r="E6207">
        <f>TEST_DATA!E6207</f>
        <v/>
      </c>
    </row>
    <row r="6208">
      <c r="A6208">
        <f>TEST_DATA!A6208</f>
        <v/>
      </c>
      <c r="B6208">
        <f>TEST_DATA!B6208</f>
        <v/>
      </c>
      <c r="C6208">
        <f>TEST_DATA!C6208</f>
        <v/>
      </c>
      <c r="D6208">
        <f>TEST_DATA!D6208</f>
        <v/>
      </c>
      <c r="E6208">
        <f>TEST_DATA!E6208</f>
        <v/>
      </c>
    </row>
    <row r="6209">
      <c r="A6209">
        <f>TEST_DATA!A6209</f>
        <v/>
      </c>
      <c r="B6209">
        <f>TEST_DATA!B6209</f>
        <v/>
      </c>
      <c r="C6209">
        <f>TEST_DATA!C6209</f>
        <v/>
      </c>
      <c r="D6209">
        <f>TEST_DATA!D6209</f>
        <v/>
      </c>
      <c r="E6209">
        <f>TEST_DATA!E6209</f>
        <v/>
      </c>
    </row>
    <row r="6210">
      <c r="A6210">
        <f>TEST_DATA!A6210</f>
        <v/>
      </c>
      <c r="B6210">
        <f>TEST_DATA!B6210</f>
        <v/>
      </c>
      <c r="C6210">
        <f>TEST_DATA!C6210</f>
        <v/>
      </c>
      <c r="D6210">
        <f>TEST_DATA!D6210</f>
        <v/>
      </c>
      <c r="E6210">
        <f>TEST_DATA!E6210</f>
        <v/>
      </c>
    </row>
    <row r="6211">
      <c r="A6211">
        <f>TEST_DATA!A6211</f>
        <v/>
      </c>
      <c r="B6211">
        <f>TEST_DATA!B6211</f>
        <v/>
      </c>
      <c r="C6211">
        <f>TEST_DATA!C6211</f>
        <v/>
      </c>
      <c r="D6211">
        <f>TEST_DATA!D6211</f>
        <v/>
      </c>
      <c r="E6211">
        <f>TEST_DATA!E6211</f>
        <v/>
      </c>
    </row>
    <row r="6212">
      <c r="A6212">
        <f>TEST_DATA!A6212</f>
        <v/>
      </c>
      <c r="B6212">
        <f>TEST_DATA!B6212</f>
        <v/>
      </c>
      <c r="C6212">
        <f>TEST_DATA!C6212</f>
        <v/>
      </c>
      <c r="D6212">
        <f>TEST_DATA!D6212</f>
        <v/>
      </c>
      <c r="E6212">
        <f>TEST_DATA!E6212</f>
        <v/>
      </c>
    </row>
    <row r="6213">
      <c r="A6213">
        <f>TEST_DATA!A6213</f>
        <v/>
      </c>
      <c r="B6213">
        <f>TEST_DATA!B6213</f>
        <v/>
      </c>
      <c r="C6213">
        <f>TEST_DATA!C6213</f>
        <v/>
      </c>
      <c r="D6213">
        <f>TEST_DATA!D6213</f>
        <v/>
      </c>
      <c r="E6213">
        <f>TEST_DATA!E6213</f>
        <v/>
      </c>
    </row>
    <row r="6214">
      <c r="A6214">
        <f>TEST_DATA!A6214</f>
        <v/>
      </c>
      <c r="B6214">
        <f>TEST_DATA!B6214</f>
        <v/>
      </c>
      <c r="C6214">
        <f>TEST_DATA!C6214</f>
        <v/>
      </c>
      <c r="D6214">
        <f>TEST_DATA!D6214</f>
        <v/>
      </c>
      <c r="E6214">
        <f>TEST_DATA!E6214</f>
        <v/>
      </c>
    </row>
    <row r="6215">
      <c r="A6215">
        <f>TEST_DATA!A6215</f>
        <v/>
      </c>
      <c r="B6215">
        <f>TEST_DATA!B6215</f>
        <v/>
      </c>
      <c r="C6215">
        <f>TEST_DATA!C6215</f>
        <v/>
      </c>
      <c r="D6215">
        <f>TEST_DATA!D6215</f>
        <v/>
      </c>
      <c r="E6215">
        <f>TEST_DATA!E6215</f>
        <v/>
      </c>
    </row>
    <row r="6216">
      <c r="A6216">
        <f>TEST_DATA!A6216</f>
        <v/>
      </c>
      <c r="B6216">
        <f>TEST_DATA!B6216</f>
        <v/>
      </c>
      <c r="C6216">
        <f>TEST_DATA!C6216</f>
        <v/>
      </c>
      <c r="D6216">
        <f>TEST_DATA!D6216</f>
        <v/>
      </c>
      <c r="E6216">
        <f>TEST_DATA!E6216</f>
        <v/>
      </c>
    </row>
    <row r="6217">
      <c r="A6217">
        <f>TEST_DATA!A6217</f>
        <v/>
      </c>
      <c r="B6217">
        <f>TEST_DATA!B6217</f>
        <v/>
      </c>
      <c r="C6217">
        <f>TEST_DATA!C6217</f>
        <v/>
      </c>
      <c r="D6217">
        <f>TEST_DATA!D6217</f>
        <v/>
      </c>
      <c r="E6217">
        <f>TEST_DATA!E6217</f>
        <v/>
      </c>
    </row>
    <row r="6218">
      <c r="A6218">
        <f>TEST_DATA!A6218</f>
        <v/>
      </c>
      <c r="B6218">
        <f>TEST_DATA!B6218</f>
        <v/>
      </c>
      <c r="C6218">
        <f>TEST_DATA!C6218</f>
        <v/>
      </c>
      <c r="D6218">
        <f>TEST_DATA!D6218</f>
        <v/>
      </c>
      <c r="E6218">
        <f>TEST_DATA!E6218</f>
        <v/>
      </c>
    </row>
    <row r="6219">
      <c r="A6219">
        <f>TEST_DATA!A6219</f>
        <v/>
      </c>
      <c r="B6219">
        <f>TEST_DATA!B6219</f>
        <v/>
      </c>
      <c r="C6219">
        <f>TEST_DATA!C6219</f>
        <v/>
      </c>
      <c r="D6219">
        <f>TEST_DATA!D6219</f>
        <v/>
      </c>
      <c r="E6219">
        <f>TEST_DATA!E6219</f>
        <v/>
      </c>
    </row>
    <row r="6220">
      <c r="A6220">
        <f>TEST_DATA!A6220</f>
        <v/>
      </c>
      <c r="B6220">
        <f>TEST_DATA!B6220</f>
        <v/>
      </c>
      <c r="C6220">
        <f>TEST_DATA!C6220</f>
        <v/>
      </c>
      <c r="D6220">
        <f>TEST_DATA!D6220</f>
        <v/>
      </c>
      <c r="E6220">
        <f>TEST_DATA!E6220</f>
        <v/>
      </c>
    </row>
    <row r="6221">
      <c r="A6221">
        <f>TEST_DATA!A6221</f>
        <v/>
      </c>
      <c r="B6221">
        <f>TEST_DATA!B6221</f>
        <v/>
      </c>
      <c r="C6221">
        <f>TEST_DATA!C6221</f>
        <v/>
      </c>
      <c r="D6221">
        <f>TEST_DATA!D6221</f>
        <v/>
      </c>
      <c r="E6221">
        <f>TEST_DATA!E6221</f>
        <v/>
      </c>
    </row>
    <row r="6222">
      <c r="A6222">
        <f>TEST_DATA!A6222</f>
        <v/>
      </c>
      <c r="B6222">
        <f>TEST_DATA!B6222</f>
        <v/>
      </c>
      <c r="C6222">
        <f>TEST_DATA!C6222</f>
        <v/>
      </c>
      <c r="D6222">
        <f>TEST_DATA!D6222</f>
        <v/>
      </c>
      <c r="E6222">
        <f>TEST_DATA!E6222</f>
        <v/>
      </c>
    </row>
    <row r="6223">
      <c r="A6223">
        <f>TEST_DATA!A6223</f>
        <v/>
      </c>
      <c r="B6223">
        <f>TEST_DATA!B6223</f>
        <v/>
      </c>
      <c r="C6223">
        <f>TEST_DATA!C6223</f>
        <v/>
      </c>
      <c r="D6223">
        <f>TEST_DATA!D6223</f>
        <v/>
      </c>
      <c r="E6223">
        <f>TEST_DATA!E6223</f>
        <v/>
      </c>
    </row>
    <row r="6224">
      <c r="A6224">
        <f>TEST_DATA!A6224</f>
        <v/>
      </c>
      <c r="B6224">
        <f>TEST_DATA!B6224</f>
        <v/>
      </c>
      <c r="C6224">
        <f>TEST_DATA!C6224</f>
        <v/>
      </c>
      <c r="D6224">
        <f>TEST_DATA!D6224</f>
        <v/>
      </c>
      <c r="E6224">
        <f>TEST_DATA!E6224</f>
        <v/>
      </c>
    </row>
    <row r="6225">
      <c r="A6225">
        <f>TEST_DATA!A6225</f>
        <v/>
      </c>
      <c r="B6225">
        <f>TEST_DATA!B6225</f>
        <v/>
      </c>
      <c r="C6225">
        <f>TEST_DATA!C6225</f>
        <v/>
      </c>
      <c r="D6225">
        <f>TEST_DATA!D6225</f>
        <v/>
      </c>
      <c r="E6225">
        <f>TEST_DATA!E6225</f>
        <v/>
      </c>
    </row>
    <row r="6226">
      <c r="A6226">
        <f>TEST_DATA!A6226</f>
        <v/>
      </c>
      <c r="B6226">
        <f>TEST_DATA!B6226</f>
        <v/>
      </c>
      <c r="C6226">
        <f>TEST_DATA!C6226</f>
        <v/>
      </c>
      <c r="D6226">
        <f>TEST_DATA!D6226</f>
        <v/>
      </c>
      <c r="E6226">
        <f>TEST_DATA!E6226</f>
        <v/>
      </c>
    </row>
    <row r="6227">
      <c r="A6227">
        <f>TEST_DATA!A6227</f>
        <v/>
      </c>
      <c r="B6227">
        <f>TEST_DATA!B6227</f>
        <v/>
      </c>
      <c r="C6227">
        <f>TEST_DATA!C6227</f>
        <v/>
      </c>
      <c r="D6227">
        <f>TEST_DATA!D6227</f>
        <v/>
      </c>
      <c r="E6227">
        <f>TEST_DATA!E6227</f>
        <v/>
      </c>
    </row>
    <row r="6228">
      <c r="A6228">
        <f>TEST_DATA!A6228</f>
        <v/>
      </c>
      <c r="B6228">
        <f>TEST_DATA!B6228</f>
        <v/>
      </c>
      <c r="C6228">
        <f>TEST_DATA!C6228</f>
        <v/>
      </c>
      <c r="D6228">
        <f>TEST_DATA!D6228</f>
        <v/>
      </c>
      <c r="E6228">
        <f>TEST_DATA!E6228</f>
        <v/>
      </c>
    </row>
    <row r="6229">
      <c r="A6229">
        <f>TEST_DATA!A6229</f>
        <v/>
      </c>
      <c r="B6229">
        <f>TEST_DATA!B6229</f>
        <v/>
      </c>
      <c r="C6229">
        <f>TEST_DATA!C6229</f>
        <v/>
      </c>
      <c r="D6229">
        <f>TEST_DATA!D6229</f>
        <v/>
      </c>
      <c r="E6229">
        <f>TEST_DATA!E6229</f>
        <v/>
      </c>
    </row>
    <row r="6230">
      <c r="A6230">
        <f>TEST_DATA!A6230</f>
        <v/>
      </c>
      <c r="B6230">
        <f>TEST_DATA!B6230</f>
        <v/>
      </c>
      <c r="C6230">
        <f>TEST_DATA!C6230</f>
        <v/>
      </c>
      <c r="D6230">
        <f>TEST_DATA!D6230</f>
        <v/>
      </c>
      <c r="E6230">
        <f>TEST_DATA!E6230</f>
        <v/>
      </c>
    </row>
    <row r="6231">
      <c r="A6231">
        <f>TEST_DATA!A6231</f>
        <v/>
      </c>
      <c r="B6231">
        <f>TEST_DATA!B6231</f>
        <v/>
      </c>
      <c r="C6231">
        <f>TEST_DATA!C6231</f>
        <v/>
      </c>
      <c r="D6231">
        <f>TEST_DATA!D6231</f>
        <v/>
      </c>
      <c r="E6231">
        <f>TEST_DATA!E6231</f>
        <v/>
      </c>
    </row>
    <row r="6232">
      <c r="A6232">
        <f>TEST_DATA!A6232</f>
        <v/>
      </c>
      <c r="B6232">
        <f>TEST_DATA!B6232</f>
        <v/>
      </c>
      <c r="C6232">
        <f>TEST_DATA!C6232</f>
        <v/>
      </c>
      <c r="D6232">
        <f>TEST_DATA!D6232</f>
        <v/>
      </c>
      <c r="E6232">
        <f>TEST_DATA!E6232</f>
        <v/>
      </c>
    </row>
    <row r="6233">
      <c r="A6233">
        <f>TEST_DATA!A6233</f>
        <v/>
      </c>
      <c r="B6233">
        <f>TEST_DATA!B6233</f>
        <v/>
      </c>
      <c r="C6233">
        <f>TEST_DATA!C6233</f>
        <v/>
      </c>
      <c r="D6233">
        <f>TEST_DATA!D6233</f>
        <v/>
      </c>
      <c r="E6233">
        <f>TEST_DATA!E6233</f>
        <v/>
      </c>
    </row>
    <row r="6234">
      <c r="A6234">
        <f>TEST_DATA!A6234</f>
        <v/>
      </c>
      <c r="B6234">
        <f>TEST_DATA!B6234</f>
        <v/>
      </c>
      <c r="C6234">
        <f>TEST_DATA!C6234</f>
        <v/>
      </c>
      <c r="D6234">
        <f>TEST_DATA!D6234</f>
        <v/>
      </c>
      <c r="E6234">
        <f>TEST_DATA!E6234</f>
        <v/>
      </c>
    </row>
    <row r="6235">
      <c r="A6235">
        <f>TEST_DATA!A6235</f>
        <v/>
      </c>
      <c r="B6235">
        <f>TEST_DATA!B6235</f>
        <v/>
      </c>
      <c r="C6235">
        <f>TEST_DATA!C6235</f>
        <v/>
      </c>
      <c r="D6235">
        <f>TEST_DATA!D6235</f>
        <v/>
      </c>
      <c r="E6235">
        <f>TEST_DATA!E6235</f>
        <v/>
      </c>
    </row>
    <row r="6236">
      <c r="A6236">
        <f>TEST_DATA!A6236</f>
        <v/>
      </c>
      <c r="B6236">
        <f>TEST_DATA!B6236</f>
        <v/>
      </c>
      <c r="C6236">
        <f>TEST_DATA!C6236</f>
        <v/>
      </c>
      <c r="D6236">
        <f>TEST_DATA!D6236</f>
        <v/>
      </c>
      <c r="E6236">
        <f>TEST_DATA!E6236</f>
        <v/>
      </c>
    </row>
    <row r="6237">
      <c r="A6237">
        <f>TEST_DATA!A6237</f>
        <v/>
      </c>
      <c r="B6237">
        <f>TEST_DATA!B6237</f>
        <v/>
      </c>
      <c r="C6237">
        <f>TEST_DATA!C6237</f>
        <v/>
      </c>
      <c r="D6237">
        <f>TEST_DATA!D6237</f>
        <v/>
      </c>
      <c r="E6237">
        <f>TEST_DATA!E6237</f>
        <v/>
      </c>
    </row>
    <row r="6238">
      <c r="A6238">
        <f>TEST_DATA!A6238</f>
        <v/>
      </c>
      <c r="B6238">
        <f>TEST_DATA!B6238</f>
        <v/>
      </c>
      <c r="C6238">
        <f>TEST_DATA!C6238</f>
        <v/>
      </c>
      <c r="D6238">
        <f>TEST_DATA!D6238</f>
        <v/>
      </c>
      <c r="E6238">
        <f>TEST_DATA!E6238</f>
        <v/>
      </c>
    </row>
    <row r="6239">
      <c r="A6239">
        <f>TEST_DATA!A6239</f>
        <v/>
      </c>
      <c r="B6239">
        <f>TEST_DATA!B6239</f>
        <v/>
      </c>
      <c r="C6239">
        <f>TEST_DATA!C6239</f>
        <v/>
      </c>
      <c r="D6239">
        <f>TEST_DATA!D6239</f>
        <v/>
      </c>
      <c r="E6239">
        <f>TEST_DATA!E6239</f>
        <v/>
      </c>
    </row>
    <row r="6240">
      <c r="A6240">
        <f>TEST_DATA!A6240</f>
        <v/>
      </c>
      <c r="B6240">
        <f>TEST_DATA!B6240</f>
        <v/>
      </c>
      <c r="C6240">
        <f>TEST_DATA!C6240</f>
        <v/>
      </c>
      <c r="D6240">
        <f>TEST_DATA!D6240</f>
        <v/>
      </c>
      <c r="E6240">
        <f>TEST_DATA!E6240</f>
        <v/>
      </c>
    </row>
    <row r="6241">
      <c r="A6241">
        <f>TEST_DATA!A6241</f>
        <v/>
      </c>
      <c r="B6241">
        <f>TEST_DATA!B6241</f>
        <v/>
      </c>
      <c r="C6241">
        <f>TEST_DATA!C6241</f>
        <v/>
      </c>
      <c r="D6241">
        <f>TEST_DATA!D6241</f>
        <v/>
      </c>
      <c r="E6241">
        <f>TEST_DATA!E6241</f>
        <v/>
      </c>
    </row>
    <row r="6242">
      <c r="A6242">
        <f>TEST_DATA!A6242</f>
        <v/>
      </c>
      <c r="B6242">
        <f>TEST_DATA!B6242</f>
        <v/>
      </c>
      <c r="C6242">
        <f>TEST_DATA!C6242</f>
        <v/>
      </c>
      <c r="D6242">
        <f>TEST_DATA!D6242</f>
        <v/>
      </c>
      <c r="E6242">
        <f>TEST_DATA!E6242</f>
        <v/>
      </c>
    </row>
    <row r="6243">
      <c r="A6243">
        <f>TEST_DATA!A6243</f>
        <v/>
      </c>
      <c r="B6243">
        <f>TEST_DATA!B6243</f>
        <v/>
      </c>
      <c r="C6243">
        <f>TEST_DATA!C6243</f>
        <v/>
      </c>
      <c r="D6243">
        <f>TEST_DATA!D6243</f>
        <v/>
      </c>
      <c r="E6243">
        <f>TEST_DATA!E6243</f>
        <v/>
      </c>
    </row>
    <row r="6244">
      <c r="A6244">
        <f>TEST_DATA!A6244</f>
        <v/>
      </c>
      <c r="B6244">
        <f>TEST_DATA!B6244</f>
        <v/>
      </c>
      <c r="C6244">
        <f>TEST_DATA!C6244</f>
        <v/>
      </c>
      <c r="D6244">
        <f>TEST_DATA!D6244</f>
        <v/>
      </c>
      <c r="E6244">
        <f>TEST_DATA!E6244</f>
        <v/>
      </c>
    </row>
    <row r="6245">
      <c r="A6245">
        <f>TEST_DATA!A6245</f>
        <v/>
      </c>
      <c r="B6245">
        <f>TEST_DATA!B6245</f>
        <v/>
      </c>
      <c r="C6245">
        <f>TEST_DATA!C6245</f>
        <v/>
      </c>
      <c r="D6245">
        <f>TEST_DATA!D6245</f>
        <v/>
      </c>
      <c r="E6245">
        <f>TEST_DATA!E6245</f>
        <v/>
      </c>
    </row>
    <row r="6246">
      <c r="A6246">
        <f>TEST_DATA!A6246</f>
        <v/>
      </c>
      <c r="B6246">
        <f>TEST_DATA!B6246</f>
        <v/>
      </c>
      <c r="C6246">
        <f>TEST_DATA!C6246</f>
        <v/>
      </c>
      <c r="D6246">
        <f>TEST_DATA!D6246</f>
        <v/>
      </c>
      <c r="E6246">
        <f>TEST_DATA!E6246</f>
        <v/>
      </c>
    </row>
    <row r="6247">
      <c r="A6247">
        <f>TEST_DATA!A6247</f>
        <v/>
      </c>
      <c r="B6247">
        <f>TEST_DATA!B6247</f>
        <v/>
      </c>
      <c r="C6247">
        <f>TEST_DATA!C6247</f>
        <v/>
      </c>
      <c r="D6247">
        <f>TEST_DATA!D6247</f>
        <v/>
      </c>
      <c r="E6247">
        <f>TEST_DATA!E6247</f>
        <v/>
      </c>
    </row>
    <row r="6248">
      <c r="A6248">
        <f>TEST_DATA!A6248</f>
        <v/>
      </c>
      <c r="B6248">
        <f>TEST_DATA!B6248</f>
        <v/>
      </c>
      <c r="C6248">
        <f>TEST_DATA!C6248</f>
        <v/>
      </c>
      <c r="D6248">
        <f>TEST_DATA!D6248</f>
        <v/>
      </c>
      <c r="E6248">
        <f>TEST_DATA!E6248</f>
        <v/>
      </c>
    </row>
    <row r="6249">
      <c r="A6249">
        <f>TEST_DATA!A6249</f>
        <v/>
      </c>
      <c r="B6249">
        <f>TEST_DATA!B6249</f>
        <v/>
      </c>
      <c r="C6249">
        <f>TEST_DATA!C6249</f>
        <v/>
      </c>
      <c r="D6249">
        <f>TEST_DATA!D6249</f>
        <v/>
      </c>
      <c r="E6249">
        <f>TEST_DATA!E6249</f>
        <v/>
      </c>
    </row>
    <row r="6250">
      <c r="A6250">
        <f>TEST_DATA!A6250</f>
        <v/>
      </c>
      <c r="B6250">
        <f>TEST_DATA!B6250</f>
        <v/>
      </c>
      <c r="C6250">
        <f>TEST_DATA!C6250</f>
        <v/>
      </c>
      <c r="D6250">
        <f>TEST_DATA!D6250</f>
        <v/>
      </c>
      <c r="E6250">
        <f>TEST_DATA!E6250</f>
        <v/>
      </c>
    </row>
    <row r="6251">
      <c r="A6251">
        <f>TEST_DATA!A6251</f>
        <v/>
      </c>
      <c r="B6251">
        <f>TEST_DATA!B6251</f>
        <v/>
      </c>
      <c r="C6251">
        <f>TEST_DATA!C6251</f>
        <v/>
      </c>
      <c r="D6251">
        <f>TEST_DATA!D6251</f>
        <v/>
      </c>
      <c r="E6251">
        <f>TEST_DATA!E6251</f>
        <v/>
      </c>
    </row>
    <row r="6252">
      <c r="A6252">
        <f>TEST_DATA!A6252</f>
        <v/>
      </c>
      <c r="B6252">
        <f>TEST_DATA!B6252</f>
        <v/>
      </c>
      <c r="C6252">
        <f>TEST_DATA!C6252</f>
        <v/>
      </c>
      <c r="D6252">
        <f>TEST_DATA!D6252</f>
        <v/>
      </c>
      <c r="E6252">
        <f>TEST_DATA!E6252</f>
        <v/>
      </c>
    </row>
    <row r="6253">
      <c r="A6253">
        <f>TEST_DATA!A6253</f>
        <v/>
      </c>
      <c r="B6253">
        <f>TEST_DATA!B6253</f>
        <v/>
      </c>
      <c r="C6253">
        <f>TEST_DATA!C6253</f>
        <v/>
      </c>
      <c r="D6253">
        <f>TEST_DATA!D6253</f>
        <v/>
      </c>
      <c r="E6253">
        <f>TEST_DATA!E6253</f>
        <v/>
      </c>
    </row>
    <row r="6254">
      <c r="A6254">
        <f>TEST_DATA!A6254</f>
        <v/>
      </c>
      <c r="B6254">
        <f>TEST_DATA!B6254</f>
        <v/>
      </c>
      <c r="C6254">
        <f>TEST_DATA!C6254</f>
        <v/>
      </c>
      <c r="D6254">
        <f>TEST_DATA!D6254</f>
        <v/>
      </c>
      <c r="E6254">
        <f>TEST_DATA!E6254</f>
        <v/>
      </c>
    </row>
    <row r="6255">
      <c r="A6255">
        <f>TEST_DATA!A6255</f>
        <v/>
      </c>
      <c r="B6255">
        <f>TEST_DATA!B6255</f>
        <v/>
      </c>
      <c r="C6255">
        <f>TEST_DATA!C6255</f>
        <v/>
      </c>
      <c r="D6255">
        <f>TEST_DATA!D6255</f>
        <v/>
      </c>
      <c r="E6255">
        <f>TEST_DATA!E6255</f>
        <v/>
      </c>
    </row>
    <row r="6256">
      <c r="A6256">
        <f>TEST_DATA!A6256</f>
        <v/>
      </c>
      <c r="B6256">
        <f>TEST_DATA!B6256</f>
        <v/>
      </c>
      <c r="C6256">
        <f>TEST_DATA!C6256</f>
        <v/>
      </c>
      <c r="D6256">
        <f>TEST_DATA!D6256</f>
        <v/>
      </c>
      <c r="E6256">
        <f>TEST_DATA!E6256</f>
        <v/>
      </c>
    </row>
    <row r="6257">
      <c r="A6257">
        <f>TEST_DATA!A6257</f>
        <v/>
      </c>
      <c r="B6257">
        <f>TEST_DATA!B6257</f>
        <v/>
      </c>
      <c r="C6257">
        <f>TEST_DATA!C6257</f>
        <v/>
      </c>
      <c r="D6257">
        <f>TEST_DATA!D6257</f>
        <v/>
      </c>
      <c r="E6257">
        <f>TEST_DATA!E6257</f>
        <v/>
      </c>
    </row>
    <row r="6258">
      <c r="A6258">
        <f>TEST_DATA!A6258</f>
        <v/>
      </c>
      <c r="B6258">
        <f>TEST_DATA!B6258</f>
        <v/>
      </c>
      <c r="C6258">
        <f>TEST_DATA!C6258</f>
        <v/>
      </c>
      <c r="D6258">
        <f>TEST_DATA!D6258</f>
        <v/>
      </c>
      <c r="E6258">
        <f>TEST_DATA!E6258</f>
        <v/>
      </c>
    </row>
    <row r="6259">
      <c r="A6259">
        <f>TEST_DATA!A6259</f>
        <v/>
      </c>
      <c r="B6259">
        <f>TEST_DATA!B6259</f>
        <v/>
      </c>
      <c r="C6259">
        <f>TEST_DATA!C6259</f>
        <v/>
      </c>
      <c r="D6259">
        <f>TEST_DATA!D6259</f>
        <v/>
      </c>
      <c r="E6259">
        <f>TEST_DATA!E6259</f>
        <v/>
      </c>
    </row>
    <row r="6260">
      <c r="A6260">
        <f>TEST_DATA!A6260</f>
        <v/>
      </c>
      <c r="B6260">
        <f>TEST_DATA!B6260</f>
        <v/>
      </c>
      <c r="C6260">
        <f>TEST_DATA!C6260</f>
        <v/>
      </c>
      <c r="D6260">
        <f>TEST_DATA!D6260</f>
        <v/>
      </c>
      <c r="E6260">
        <f>TEST_DATA!E6260</f>
        <v/>
      </c>
    </row>
    <row r="6261">
      <c r="A6261">
        <f>TEST_DATA!A6261</f>
        <v/>
      </c>
      <c r="B6261">
        <f>TEST_DATA!B6261</f>
        <v/>
      </c>
      <c r="C6261">
        <f>TEST_DATA!C6261</f>
        <v/>
      </c>
      <c r="D6261">
        <f>TEST_DATA!D6261</f>
        <v/>
      </c>
      <c r="E6261">
        <f>TEST_DATA!E6261</f>
        <v/>
      </c>
    </row>
    <row r="6262">
      <c r="A6262">
        <f>TEST_DATA!A6262</f>
        <v/>
      </c>
      <c r="B6262">
        <f>TEST_DATA!B6262</f>
        <v/>
      </c>
      <c r="C6262">
        <f>TEST_DATA!C6262</f>
        <v/>
      </c>
      <c r="D6262">
        <f>TEST_DATA!D6262</f>
        <v/>
      </c>
      <c r="E6262">
        <f>TEST_DATA!E6262</f>
        <v/>
      </c>
    </row>
    <row r="6263">
      <c r="A6263">
        <f>TEST_DATA!A6263</f>
        <v/>
      </c>
      <c r="B6263">
        <f>TEST_DATA!B6263</f>
        <v/>
      </c>
      <c r="C6263">
        <f>TEST_DATA!C6263</f>
        <v/>
      </c>
      <c r="D6263">
        <f>TEST_DATA!D6263</f>
        <v/>
      </c>
      <c r="E6263">
        <f>TEST_DATA!E6263</f>
        <v/>
      </c>
    </row>
    <row r="6264">
      <c r="A6264">
        <f>TEST_DATA!A6264</f>
        <v/>
      </c>
      <c r="B6264">
        <f>TEST_DATA!B6264</f>
        <v/>
      </c>
      <c r="C6264">
        <f>TEST_DATA!C6264</f>
        <v/>
      </c>
      <c r="D6264">
        <f>TEST_DATA!D6264</f>
        <v/>
      </c>
      <c r="E6264">
        <f>TEST_DATA!E6264</f>
        <v/>
      </c>
    </row>
    <row r="6265">
      <c r="A6265">
        <f>TEST_DATA!A6265</f>
        <v/>
      </c>
      <c r="B6265">
        <f>TEST_DATA!B6265</f>
        <v/>
      </c>
      <c r="C6265">
        <f>TEST_DATA!C6265</f>
        <v/>
      </c>
      <c r="D6265">
        <f>TEST_DATA!D6265</f>
        <v/>
      </c>
      <c r="E6265">
        <f>TEST_DATA!E6265</f>
        <v/>
      </c>
    </row>
    <row r="6266">
      <c r="A6266">
        <f>TEST_DATA!A6266</f>
        <v/>
      </c>
      <c r="B6266">
        <f>TEST_DATA!B6266</f>
        <v/>
      </c>
      <c r="C6266">
        <f>TEST_DATA!C6266</f>
        <v/>
      </c>
      <c r="D6266">
        <f>TEST_DATA!D6266</f>
        <v/>
      </c>
      <c r="E6266">
        <f>TEST_DATA!E6266</f>
        <v/>
      </c>
    </row>
    <row r="6267">
      <c r="A6267">
        <f>TEST_DATA!A6267</f>
        <v/>
      </c>
      <c r="B6267">
        <f>TEST_DATA!B6267</f>
        <v/>
      </c>
      <c r="C6267">
        <f>TEST_DATA!C6267</f>
        <v/>
      </c>
      <c r="D6267">
        <f>TEST_DATA!D6267</f>
        <v/>
      </c>
      <c r="E6267">
        <f>TEST_DATA!E6267</f>
        <v/>
      </c>
    </row>
    <row r="6268">
      <c r="A6268">
        <f>TEST_DATA!A6268</f>
        <v/>
      </c>
      <c r="B6268">
        <f>TEST_DATA!B6268</f>
        <v/>
      </c>
      <c r="C6268">
        <f>TEST_DATA!C6268</f>
        <v/>
      </c>
      <c r="D6268">
        <f>TEST_DATA!D6268</f>
        <v/>
      </c>
      <c r="E6268">
        <f>TEST_DATA!E6268</f>
        <v/>
      </c>
    </row>
    <row r="6269">
      <c r="A6269">
        <f>TEST_DATA!A6269</f>
        <v/>
      </c>
      <c r="B6269">
        <f>TEST_DATA!B6269</f>
        <v/>
      </c>
      <c r="C6269">
        <f>TEST_DATA!C6269</f>
        <v/>
      </c>
      <c r="D6269">
        <f>TEST_DATA!D6269</f>
        <v/>
      </c>
      <c r="E6269">
        <f>TEST_DATA!E6269</f>
        <v/>
      </c>
    </row>
    <row r="6270">
      <c r="A6270">
        <f>TEST_DATA!A6270</f>
        <v/>
      </c>
      <c r="B6270">
        <f>TEST_DATA!B6270</f>
        <v/>
      </c>
      <c r="C6270">
        <f>TEST_DATA!C6270</f>
        <v/>
      </c>
      <c r="D6270">
        <f>TEST_DATA!D6270</f>
        <v/>
      </c>
      <c r="E6270">
        <f>TEST_DATA!E6270</f>
        <v/>
      </c>
    </row>
    <row r="6271">
      <c r="A6271">
        <f>TEST_DATA!A6271</f>
        <v/>
      </c>
      <c r="B6271">
        <f>TEST_DATA!B6271</f>
        <v/>
      </c>
      <c r="C6271">
        <f>TEST_DATA!C6271</f>
        <v/>
      </c>
      <c r="D6271">
        <f>TEST_DATA!D6271</f>
        <v/>
      </c>
      <c r="E6271">
        <f>TEST_DATA!E6271</f>
        <v/>
      </c>
    </row>
    <row r="6272">
      <c r="A6272">
        <f>TEST_DATA!A6272</f>
        <v/>
      </c>
      <c r="B6272">
        <f>TEST_DATA!B6272</f>
        <v/>
      </c>
      <c r="C6272">
        <f>TEST_DATA!C6272</f>
        <v/>
      </c>
      <c r="D6272">
        <f>TEST_DATA!D6272</f>
        <v/>
      </c>
      <c r="E6272">
        <f>TEST_DATA!E6272</f>
        <v/>
      </c>
    </row>
    <row r="6273">
      <c r="A6273">
        <f>TEST_DATA!A6273</f>
        <v/>
      </c>
      <c r="B6273">
        <f>TEST_DATA!B6273</f>
        <v/>
      </c>
      <c r="C6273">
        <f>TEST_DATA!C6273</f>
        <v/>
      </c>
      <c r="D6273">
        <f>TEST_DATA!D6273</f>
        <v/>
      </c>
      <c r="E6273">
        <f>TEST_DATA!E6273</f>
        <v/>
      </c>
    </row>
    <row r="6274">
      <c r="A6274">
        <f>TEST_DATA!A6274</f>
        <v/>
      </c>
      <c r="B6274">
        <f>TEST_DATA!B6274</f>
        <v/>
      </c>
      <c r="C6274">
        <f>TEST_DATA!C6274</f>
        <v/>
      </c>
      <c r="D6274">
        <f>TEST_DATA!D6274</f>
        <v/>
      </c>
      <c r="E6274">
        <f>TEST_DATA!E6274</f>
        <v/>
      </c>
    </row>
    <row r="6275">
      <c r="A6275">
        <f>TEST_DATA!A6275</f>
        <v/>
      </c>
      <c r="B6275">
        <f>TEST_DATA!B6275</f>
        <v/>
      </c>
      <c r="C6275">
        <f>TEST_DATA!C6275</f>
        <v/>
      </c>
      <c r="D6275">
        <f>TEST_DATA!D6275</f>
        <v/>
      </c>
      <c r="E6275">
        <f>TEST_DATA!E6275</f>
        <v/>
      </c>
    </row>
    <row r="6276">
      <c r="A6276">
        <f>TEST_DATA!A6276</f>
        <v/>
      </c>
      <c r="B6276">
        <f>TEST_DATA!B6276</f>
        <v/>
      </c>
      <c r="C6276">
        <f>TEST_DATA!C6276</f>
        <v/>
      </c>
      <c r="D6276">
        <f>TEST_DATA!D6276</f>
        <v/>
      </c>
      <c r="E6276">
        <f>TEST_DATA!E6276</f>
        <v/>
      </c>
    </row>
    <row r="6277">
      <c r="A6277">
        <f>TEST_DATA!A6277</f>
        <v/>
      </c>
      <c r="B6277">
        <f>TEST_DATA!B6277</f>
        <v/>
      </c>
      <c r="C6277">
        <f>TEST_DATA!C6277</f>
        <v/>
      </c>
      <c r="D6277">
        <f>TEST_DATA!D6277</f>
        <v/>
      </c>
      <c r="E6277">
        <f>TEST_DATA!E6277</f>
        <v/>
      </c>
    </row>
    <row r="6278">
      <c r="A6278">
        <f>TEST_DATA!A6278</f>
        <v/>
      </c>
      <c r="B6278">
        <f>TEST_DATA!B6278</f>
        <v/>
      </c>
      <c r="C6278">
        <f>TEST_DATA!C6278</f>
        <v/>
      </c>
      <c r="D6278">
        <f>TEST_DATA!D6278</f>
        <v/>
      </c>
      <c r="E6278">
        <f>TEST_DATA!E6278</f>
        <v/>
      </c>
    </row>
    <row r="6279">
      <c r="A6279">
        <f>TEST_DATA!A6279</f>
        <v/>
      </c>
      <c r="B6279">
        <f>TEST_DATA!B6279</f>
        <v/>
      </c>
      <c r="C6279">
        <f>TEST_DATA!C6279</f>
        <v/>
      </c>
      <c r="D6279">
        <f>TEST_DATA!D6279</f>
        <v/>
      </c>
      <c r="E6279">
        <f>TEST_DATA!E6279</f>
        <v/>
      </c>
    </row>
    <row r="6280">
      <c r="A6280">
        <f>TEST_DATA!A6280</f>
        <v/>
      </c>
      <c r="B6280">
        <f>TEST_DATA!B6280</f>
        <v/>
      </c>
      <c r="C6280">
        <f>TEST_DATA!C6280</f>
        <v/>
      </c>
      <c r="D6280">
        <f>TEST_DATA!D6280</f>
        <v/>
      </c>
      <c r="E6280">
        <f>TEST_DATA!E6280</f>
        <v/>
      </c>
    </row>
    <row r="6281">
      <c r="A6281">
        <f>TEST_DATA!A6281</f>
        <v/>
      </c>
      <c r="B6281">
        <f>TEST_DATA!B6281</f>
        <v/>
      </c>
      <c r="C6281">
        <f>TEST_DATA!C6281</f>
        <v/>
      </c>
      <c r="D6281">
        <f>TEST_DATA!D6281</f>
        <v/>
      </c>
      <c r="E6281">
        <f>TEST_DATA!E6281</f>
        <v/>
      </c>
    </row>
    <row r="6282">
      <c r="A6282">
        <f>TEST_DATA!A6282</f>
        <v/>
      </c>
      <c r="B6282">
        <f>TEST_DATA!B6282</f>
        <v/>
      </c>
      <c r="C6282">
        <f>TEST_DATA!C6282</f>
        <v/>
      </c>
      <c r="D6282">
        <f>TEST_DATA!D6282</f>
        <v/>
      </c>
      <c r="E6282">
        <f>TEST_DATA!E6282</f>
        <v/>
      </c>
    </row>
    <row r="6283">
      <c r="A6283">
        <f>TEST_DATA!A6283</f>
        <v/>
      </c>
      <c r="B6283">
        <f>TEST_DATA!B6283</f>
        <v/>
      </c>
      <c r="C6283">
        <f>TEST_DATA!C6283</f>
        <v/>
      </c>
      <c r="D6283">
        <f>TEST_DATA!D6283</f>
        <v/>
      </c>
      <c r="E6283">
        <f>TEST_DATA!E6283</f>
        <v/>
      </c>
    </row>
    <row r="6284">
      <c r="A6284">
        <f>TEST_DATA!A6284</f>
        <v/>
      </c>
      <c r="B6284">
        <f>TEST_DATA!B6284</f>
        <v/>
      </c>
      <c r="C6284">
        <f>TEST_DATA!C6284</f>
        <v/>
      </c>
      <c r="D6284">
        <f>TEST_DATA!D6284</f>
        <v/>
      </c>
      <c r="E6284">
        <f>TEST_DATA!E6284</f>
        <v/>
      </c>
    </row>
    <row r="6285">
      <c r="A6285">
        <f>TEST_DATA!A6285</f>
        <v/>
      </c>
      <c r="B6285">
        <f>TEST_DATA!B6285</f>
        <v/>
      </c>
      <c r="C6285">
        <f>TEST_DATA!C6285</f>
        <v/>
      </c>
      <c r="D6285">
        <f>TEST_DATA!D6285</f>
        <v/>
      </c>
      <c r="E6285">
        <f>TEST_DATA!E6285</f>
        <v/>
      </c>
    </row>
    <row r="6286">
      <c r="A6286">
        <f>TEST_DATA!A6286</f>
        <v/>
      </c>
      <c r="B6286">
        <f>TEST_DATA!B6286</f>
        <v/>
      </c>
      <c r="C6286">
        <f>TEST_DATA!C6286</f>
        <v/>
      </c>
      <c r="D6286">
        <f>TEST_DATA!D6286</f>
        <v/>
      </c>
      <c r="E6286">
        <f>TEST_DATA!E6286</f>
        <v/>
      </c>
    </row>
    <row r="6287">
      <c r="A6287">
        <f>TEST_DATA!A6287</f>
        <v/>
      </c>
      <c r="B6287">
        <f>TEST_DATA!B6287</f>
        <v/>
      </c>
      <c r="C6287">
        <f>TEST_DATA!C6287</f>
        <v/>
      </c>
      <c r="D6287">
        <f>TEST_DATA!D6287</f>
        <v/>
      </c>
      <c r="E6287">
        <f>TEST_DATA!E6287</f>
        <v/>
      </c>
    </row>
    <row r="6288">
      <c r="A6288">
        <f>TEST_DATA!A6288</f>
        <v/>
      </c>
      <c r="B6288">
        <f>TEST_DATA!B6288</f>
        <v/>
      </c>
      <c r="C6288">
        <f>TEST_DATA!C6288</f>
        <v/>
      </c>
      <c r="D6288">
        <f>TEST_DATA!D6288</f>
        <v/>
      </c>
      <c r="E6288">
        <f>TEST_DATA!E6288</f>
        <v/>
      </c>
    </row>
    <row r="6289">
      <c r="A6289">
        <f>TEST_DATA!A6289</f>
        <v/>
      </c>
      <c r="B6289">
        <f>TEST_DATA!B6289</f>
        <v/>
      </c>
      <c r="C6289">
        <f>TEST_DATA!C6289</f>
        <v/>
      </c>
      <c r="D6289">
        <f>TEST_DATA!D6289</f>
        <v/>
      </c>
      <c r="E6289">
        <f>TEST_DATA!E6289</f>
        <v/>
      </c>
    </row>
    <row r="6290">
      <c r="A6290">
        <f>TEST_DATA!A6290</f>
        <v/>
      </c>
      <c r="B6290">
        <f>TEST_DATA!B6290</f>
        <v/>
      </c>
      <c r="C6290">
        <f>TEST_DATA!C6290</f>
        <v/>
      </c>
      <c r="D6290">
        <f>TEST_DATA!D6290</f>
        <v/>
      </c>
      <c r="E6290">
        <f>TEST_DATA!E6290</f>
        <v/>
      </c>
    </row>
    <row r="6291">
      <c r="A6291">
        <f>TEST_DATA!A6291</f>
        <v/>
      </c>
      <c r="B6291">
        <f>TEST_DATA!B6291</f>
        <v/>
      </c>
      <c r="C6291">
        <f>TEST_DATA!C6291</f>
        <v/>
      </c>
      <c r="D6291">
        <f>TEST_DATA!D6291</f>
        <v/>
      </c>
      <c r="E6291">
        <f>TEST_DATA!E6291</f>
        <v/>
      </c>
    </row>
    <row r="6292">
      <c r="A6292">
        <f>TEST_DATA!A6292</f>
        <v/>
      </c>
      <c r="B6292">
        <f>TEST_DATA!B6292</f>
        <v/>
      </c>
      <c r="C6292">
        <f>TEST_DATA!C6292</f>
        <v/>
      </c>
      <c r="D6292">
        <f>TEST_DATA!D6292</f>
        <v/>
      </c>
      <c r="E6292">
        <f>TEST_DATA!E6292</f>
        <v/>
      </c>
    </row>
    <row r="6293">
      <c r="A6293">
        <f>TEST_DATA!A6293</f>
        <v/>
      </c>
      <c r="B6293">
        <f>TEST_DATA!B6293</f>
        <v/>
      </c>
      <c r="C6293">
        <f>TEST_DATA!C6293</f>
        <v/>
      </c>
      <c r="D6293">
        <f>TEST_DATA!D6293</f>
        <v/>
      </c>
      <c r="E6293">
        <f>TEST_DATA!E6293</f>
        <v/>
      </c>
    </row>
    <row r="6294">
      <c r="A6294">
        <f>TEST_DATA!A6294</f>
        <v/>
      </c>
      <c r="B6294">
        <f>TEST_DATA!B6294</f>
        <v/>
      </c>
      <c r="C6294">
        <f>TEST_DATA!C6294</f>
        <v/>
      </c>
      <c r="D6294">
        <f>TEST_DATA!D6294</f>
        <v/>
      </c>
      <c r="E6294">
        <f>TEST_DATA!E6294</f>
        <v/>
      </c>
    </row>
    <row r="6295">
      <c r="A6295">
        <f>TEST_DATA!A6295</f>
        <v/>
      </c>
      <c r="B6295">
        <f>TEST_DATA!B6295</f>
        <v/>
      </c>
      <c r="C6295">
        <f>TEST_DATA!C6295</f>
        <v/>
      </c>
      <c r="D6295">
        <f>TEST_DATA!D6295</f>
        <v/>
      </c>
      <c r="E6295">
        <f>TEST_DATA!E6295</f>
        <v/>
      </c>
    </row>
    <row r="6296">
      <c r="A6296">
        <f>TEST_DATA!A6296</f>
        <v/>
      </c>
      <c r="B6296">
        <f>TEST_DATA!B6296</f>
        <v/>
      </c>
      <c r="C6296">
        <f>TEST_DATA!C6296</f>
        <v/>
      </c>
      <c r="D6296">
        <f>TEST_DATA!D6296</f>
        <v/>
      </c>
      <c r="E6296">
        <f>TEST_DATA!E6296</f>
        <v/>
      </c>
    </row>
    <row r="6297">
      <c r="A6297">
        <f>TEST_DATA!A6297</f>
        <v/>
      </c>
      <c r="B6297">
        <f>TEST_DATA!B6297</f>
        <v/>
      </c>
      <c r="C6297">
        <f>TEST_DATA!C6297</f>
        <v/>
      </c>
      <c r="D6297">
        <f>TEST_DATA!D6297</f>
        <v/>
      </c>
      <c r="E6297">
        <f>TEST_DATA!E6297</f>
        <v/>
      </c>
    </row>
    <row r="6298">
      <c r="A6298">
        <f>TEST_DATA!A6298</f>
        <v/>
      </c>
      <c r="B6298">
        <f>TEST_DATA!B6298</f>
        <v/>
      </c>
      <c r="C6298">
        <f>TEST_DATA!C6298</f>
        <v/>
      </c>
      <c r="D6298">
        <f>TEST_DATA!D6298</f>
        <v/>
      </c>
      <c r="E6298">
        <f>TEST_DATA!E6298</f>
        <v/>
      </c>
    </row>
    <row r="6299">
      <c r="A6299">
        <f>TEST_DATA!A6299</f>
        <v/>
      </c>
      <c r="B6299">
        <f>TEST_DATA!B6299</f>
        <v/>
      </c>
      <c r="C6299">
        <f>TEST_DATA!C6299</f>
        <v/>
      </c>
      <c r="D6299">
        <f>TEST_DATA!D6299</f>
        <v/>
      </c>
      <c r="E6299">
        <f>TEST_DATA!E6299</f>
        <v/>
      </c>
    </row>
    <row r="6300">
      <c r="A6300">
        <f>TEST_DATA!A6300</f>
        <v/>
      </c>
      <c r="B6300">
        <f>TEST_DATA!B6300</f>
        <v/>
      </c>
      <c r="C6300">
        <f>TEST_DATA!C6300</f>
        <v/>
      </c>
      <c r="D6300">
        <f>TEST_DATA!D6300</f>
        <v/>
      </c>
      <c r="E6300">
        <f>TEST_DATA!E6300</f>
        <v/>
      </c>
    </row>
    <row r="6301">
      <c r="A6301">
        <f>TEST_DATA!A6301</f>
        <v/>
      </c>
      <c r="B6301">
        <f>TEST_DATA!B6301</f>
        <v/>
      </c>
      <c r="C6301">
        <f>TEST_DATA!C6301</f>
        <v/>
      </c>
      <c r="D6301">
        <f>TEST_DATA!D6301</f>
        <v/>
      </c>
      <c r="E6301">
        <f>TEST_DATA!E6301</f>
        <v/>
      </c>
    </row>
    <row r="6302">
      <c r="A6302">
        <f>TEST_DATA!A6302</f>
        <v/>
      </c>
      <c r="B6302">
        <f>TEST_DATA!B6302</f>
        <v/>
      </c>
      <c r="C6302">
        <f>TEST_DATA!C6302</f>
        <v/>
      </c>
      <c r="D6302">
        <f>TEST_DATA!D6302</f>
        <v/>
      </c>
      <c r="E6302">
        <f>TEST_DATA!E6302</f>
        <v/>
      </c>
    </row>
    <row r="6303">
      <c r="A6303">
        <f>TEST_DATA!A6303</f>
        <v/>
      </c>
      <c r="B6303">
        <f>TEST_DATA!B6303</f>
        <v/>
      </c>
      <c r="C6303">
        <f>TEST_DATA!C6303</f>
        <v/>
      </c>
      <c r="D6303">
        <f>TEST_DATA!D6303</f>
        <v/>
      </c>
      <c r="E6303">
        <f>TEST_DATA!E6303</f>
        <v/>
      </c>
    </row>
    <row r="6304">
      <c r="A6304">
        <f>TEST_DATA!A6304</f>
        <v/>
      </c>
      <c r="B6304">
        <f>TEST_DATA!B6304</f>
        <v/>
      </c>
      <c r="C6304">
        <f>TEST_DATA!C6304</f>
        <v/>
      </c>
      <c r="D6304">
        <f>TEST_DATA!D6304</f>
        <v/>
      </c>
      <c r="E6304">
        <f>TEST_DATA!E6304</f>
        <v/>
      </c>
    </row>
    <row r="6305">
      <c r="A6305">
        <f>TEST_DATA!A6305</f>
        <v/>
      </c>
      <c r="B6305">
        <f>TEST_DATA!B6305</f>
        <v/>
      </c>
      <c r="C6305">
        <f>TEST_DATA!C6305</f>
        <v/>
      </c>
      <c r="D6305">
        <f>TEST_DATA!D6305</f>
        <v/>
      </c>
      <c r="E6305">
        <f>TEST_DATA!E6305</f>
        <v/>
      </c>
    </row>
    <row r="6306">
      <c r="A6306">
        <f>TEST_DATA!A6306</f>
        <v/>
      </c>
      <c r="B6306">
        <f>TEST_DATA!B6306</f>
        <v/>
      </c>
      <c r="C6306">
        <f>TEST_DATA!C6306</f>
        <v/>
      </c>
      <c r="D6306">
        <f>TEST_DATA!D6306</f>
        <v/>
      </c>
      <c r="E6306">
        <f>TEST_DATA!E6306</f>
        <v/>
      </c>
    </row>
    <row r="6307">
      <c r="A6307">
        <f>TEST_DATA!A6307</f>
        <v/>
      </c>
      <c r="B6307">
        <f>TEST_DATA!B6307</f>
        <v/>
      </c>
      <c r="C6307">
        <f>TEST_DATA!C6307</f>
        <v/>
      </c>
      <c r="D6307">
        <f>TEST_DATA!D6307</f>
        <v/>
      </c>
      <c r="E6307">
        <f>TEST_DATA!E6307</f>
        <v/>
      </c>
    </row>
    <row r="6308">
      <c r="A6308">
        <f>TEST_DATA!A6308</f>
        <v/>
      </c>
      <c r="B6308">
        <f>TEST_DATA!B6308</f>
        <v/>
      </c>
      <c r="C6308">
        <f>TEST_DATA!C6308</f>
        <v/>
      </c>
      <c r="D6308">
        <f>TEST_DATA!D6308</f>
        <v/>
      </c>
      <c r="E6308">
        <f>TEST_DATA!E6308</f>
        <v/>
      </c>
    </row>
    <row r="6309">
      <c r="A6309">
        <f>TEST_DATA!A6309</f>
        <v/>
      </c>
      <c r="B6309">
        <f>TEST_DATA!B6309</f>
        <v/>
      </c>
      <c r="C6309">
        <f>TEST_DATA!C6309</f>
        <v/>
      </c>
      <c r="D6309">
        <f>TEST_DATA!D6309</f>
        <v/>
      </c>
      <c r="E6309">
        <f>TEST_DATA!E6309</f>
        <v/>
      </c>
    </row>
    <row r="6310">
      <c r="A6310">
        <f>TEST_DATA!A6310</f>
        <v/>
      </c>
      <c r="B6310">
        <f>TEST_DATA!B6310</f>
        <v/>
      </c>
      <c r="C6310">
        <f>TEST_DATA!C6310</f>
        <v/>
      </c>
      <c r="D6310">
        <f>TEST_DATA!D6310</f>
        <v/>
      </c>
      <c r="E6310">
        <f>TEST_DATA!E6310</f>
        <v/>
      </c>
    </row>
    <row r="6311">
      <c r="A6311">
        <f>TEST_DATA!A6311</f>
        <v/>
      </c>
      <c r="B6311">
        <f>TEST_DATA!B6311</f>
        <v/>
      </c>
      <c r="C6311">
        <f>TEST_DATA!C6311</f>
        <v/>
      </c>
      <c r="D6311">
        <f>TEST_DATA!D6311</f>
        <v/>
      </c>
      <c r="E6311">
        <f>TEST_DATA!E6311</f>
        <v/>
      </c>
    </row>
    <row r="6312">
      <c r="A6312">
        <f>TEST_DATA!A6312</f>
        <v/>
      </c>
      <c r="B6312">
        <f>TEST_DATA!B6312</f>
        <v/>
      </c>
      <c r="C6312">
        <f>TEST_DATA!C6312</f>
        <v/>
      </c>
      <c r="D6312">
        <f>TEST_DATA!D6312</f>
        <v/>
      </c>
      <c r="E6312">
        <f>TEST_DATA!E6312</f>
        <v/>
      </c>
    </row>
    <row r="6313">
      <c r="A6313">
        <f>TEST_DATA!A6313</f>
        <v/>
      </c>
      <c r="B6313">
        <f>TEST_DATA!B6313</f>
        <v/>
      </c>
      <c r="C6313">
        <f>TEST_DATA!C6313</f>
        <v/>
      </c>
      <c r="D6313">
        <f>TEST_DATA!D6313</f>
        <v/>
      </c>
      <c r="E6313">
        <f>TEST_DATA!E6313</f>
        <v/>
      </c>
    </row>
    <row r="6314">
      <c r="A6314">
        <f>TEST_DATA!A6314</f>
        <v/>
      </c>
      <c r="B6314">
        <f>TEST_DATA!B6314</f>
        <v/>
      </c>
      <c r="C6314">
        <f>TEST_DATA!C6314</f>
        <v/>
      </c>
      <c r="D6314">
        <f>TEST_DATA!D6314</f>
        <v/>
      </c>
      <c r="E6314">
        <f>TEST_DATA!E6314</f>
        <v/>
      </c>
    </row>
    <row r="6315">
      <c r="A6315">
        <f>TEST_DATA!A6315</f>
        <v/>
      </c>
      <c r="B6315">
        <f>TEST_DATA!B6315</f>
        <v/>
      </c>
      <c r="C6315">
        <f>TEST_DATA!C6315</f>
        <v/>
      </c>
      <c r="D6315">
        <f>TEST_DATA!D6315</f>
        <v/>
      </c>
      <c r="E6315">
        <f>TEST_DATA!E6315</f>
        <v/>
      </c>
    </row>
    <row r="6316">
      <c r="A6316">
        <f>TEST_DATA!A6316</f>
        <v/>
      </c>
      <c r="B6316">
        <f>TEST_DATA!B6316</f>
        <v/>
      </c>
      <c r="C6316">
        <f>TEST_DATA!C6316</f>
        <v/>
      </c>
      <c r="D6316">
        <f>TEST_DATA!D6316</f>
        <v/>
      </c>
      <c r="E6316">
        <f>TEST_DATA!E6316</f>
        <v/>
      </c>
    </row>
    <row r="6317">
      <c r="A6317">
        <f>TEST_DATA!A6317</f>
        <v/>
      </c>
      <c r="B6317">
        <f>TEST_DATA!B6317</f>
        <v/>
      </c>
      <c r="C6317">
        <f>TEST_DATA!C6317</f>
        <v/>
      </c>
      <c r="D6317">
        <f>TEST_DATA!D6317</f>
        <v/>
      </c>
      <c r="E6317">
        <f>TEST_DATA!E6317</f>
        <v/>
      </c>
    </row>
    <row r="6318">
      <c r="A6318">
        <f>TEST_DATA!A6318</f>
        <v/>
      </c>
      <c r="B6318">
        <f>TEST_DATA!B6318</f>
        <v/>
      </c>
      <c r="C6318">
        <f>TEST_DATA!C6318</f>
        <v/>
      </c>
      <c r="D6318">
        <f>TEST_DATA!D6318</f>
        <v/>
      </c>
      <c r="E6318">
        <f>TEST_DATA!E6318</f>
        <v/>
      </c>
    </row>
    <row r="6319">
      <c r="A6319">
        <f>TEST_DATA!A6319</f>
        <v/>
      </c>
      <c r="B6319">
        <f>TEST_DATA!B6319</f>
        <v/>
      </c>
      <c r="C6319">
        <f>TEST_DATA!C6319</f>
        <v/>
      </c>
      <c r="D6319">
        <f>TEST_DATA!D6319</f>
        <v/>
      </c>
      <c r="E6319">
        <f>TEST_DATA!E6319</f>
        <v/>
      </c>
    </row>
    <row r="6320">
      <c r="A6320">
        <f>TEST_DATA!A6320</f>
        <v/>
      </c>
      <c r="B6320">
        <f>TEST_DATA!B6320</f>
        <v/>
      </c>
      <c r="C6320">
        <f>TEST_DATA!C6320</f>
        <v/>
      </c>
      <c r="D6320">
        <f>TEST_DATA!D6320</f>
        <v/>
      </c>
      <c r="E6320">
        <f>TEST_DATA!E6320</f>
        <v/>
      </c>
    </row>
    <row r="6321">
      <c r="A6321">
        <f>TEST_DATA!A6321</f>
        <v/>
      </c>
      <c r="B6321">
        <f>TEST_DATA!B6321</f>
        <v/>
      </c>
      <c r="C6321">
        <f>TEST_DATA!C6321</f>
        <v/>
      </c>
      <c r="D6321">
        <f>TEST_DATA!D6321</f>
        <v/>
      </c>
      <c r="E6321">
        <f>TEST_DATA!E6321</f>
        <v/>
      </c>
    </row>
    <row r="6322">
      <c r="A6322">
        <f>TEST_DATA!A6322</f>
        <v/>
      </c>
      <c r="B6322">
        <f>TEST_DATA!B6322</f>
        <v/>
      </c>
      <c r="C6322">
        <f>TEST_DATA!C6322</f>
        <v/>
      </c>
      <c r="D6322">
        <f>TEST_DATA!D6322</f>
        <v/>
      </c>
      <c r="E6322">
        <f>TEST_DATA!E6322</f>
        <v/>
      </c>
    </row>
    <row r="6323">
      <c r="A6323">
        <f>TEST_DATA!A6323</f>
        <v/>
      </c>
      <c r="B6323">
        <f>TEST_DATA!B6323</f>
        <v/>
      </c>
      <c r="C6323">
        <f>TEST_DATA!C6323</f>
        <v/>
      </c>
      <c r="D6323">
        <f>TEST_DATA!D6323</f>
        <v/>
      </c>
      <c r="E6323">
        <f>TEST_DATA!E6323</f>
        <v/>
      </c>
    </row>
    <row r="6324">
      <c r="A6324">
        <f>TEST_DATA!A6324</f>
        <v/>
      </c>
      <c r="B6324">
        <f>TEST_DATA!B6324</f>
        <v/>
      </c>
      <c r="C6324">
        <f>TEST_DATA!C6324</f>
        <v/>
      </c>
      <c r="D6324">
        <f>TEST_DATA!D6324</f>
        <v/>
      </c>
      <c r="E6324">
        <f>TEST_DATA!E6324</f>
        <v/>
      </c>
    </row>
    <row r="6325">
      <c r="A6325">
        <f>TEST_DATA!A6325</f>
        <v/>
      </c>
      <c r="B6325">
        <f>TEST_DATA!B6325</f>
        <v/>
      </c>
      <c r="C6325">
        <f>TEST_DATA!C6325</f>
        <v/>
      </c>
      <c r="D6325">
        <f>TEST_DATA!D6325</f>
        <v/>
      </c>
      <c r="E6325">
        <f>TEST_DATA!E6325</f>
        <v/>
      </c>
    </row>
    <row r="6326">
      <c r="A6326">
        <f>TEST_DATA!A6326</f>
        <v/>
      </c>
      <c r="B6326">
        <f>TEST_DATA!B6326</f>
        <v/>
      </c>
      <c r="C6326">
        <f>TEST_DATA!C6326</f>
        <v/>
      </c>
      <c r="D6326">
        <f>TEST_DATA!D6326</f>
        <v/>
      </c>
      <c r="E6326">
        <f>TEST_DATA!E6326</f>
        <v/>
      </c>
    </row>
    <row r="6327">
      <c r="A6327">
        <f>TEST_DATA!A6327</f>
        <v/>
      </c>
      <c r="B6327">
        <f>TEST_DATA!B6327</f>
        <v/>
      </c>
      <c r="C6327">
        <f>TEST_DATA!C6327</f>
        <v/>
      </c>
      <c r="D6327">
        <f>TEST_DATA!D6327</f>
        <v/>
      </c>
      <c r="E6327">
        <f>TEST_DATA!E6327</f>
        <v/>
      </c>
    </row>
    <row r="6328">
      <c r="A6328">
        <f>TEST_DATA!A6328</f>
        <v/>
      </c>
      <c r="B6328">
        <f>TEST_DATA!B6328</f>
        <v/>
      </c>
      <c r="C6328">
        <f>TEST_DATA!C6328</f>
        <v/>
      </c>
      <c r="D6328">
        <f>TEST_DATA!D6328</f>
        <v/>
      </c>
      <c r="E6328">
        <f>TEST_DATA!E6328</f>
        <v/>
      </c>
    </row>
    <row r="6329">
      <c r="A6329">
        <f>TEST_DATA!A6329</f>
        <v/>
      </c>
      <c r="B6329">
        <f>TEST_DATA!B6329</f>
        <v/>
      </c>
      <c r="C6329">
        <f>TEST_DATA!C6329</f>
        <v/>
      </c>
      <c r="D6329">
        <f>TEST_DATA!D6329</f>
        <v/>
      </c>
      <c r="E6329">
        <f>TEST_DATA!E6329</f>
        <v/>
      </c>
    </row>
    <row r="6330">
      <c r="A6330">
        <f>TEST_DATA!A6330</f>
        <v/>
      </c>
      <c r="B6330">
        <f>TEST_DATA!B6330</f>
        <v/>
      </c>
      <c r="C6330">
        <f>TEST_DATA!C6330</f>
        <v/>
      </c>
      <c r="D6330">
        <f>TEST_DATA!D6330</f>
        <v/>
      </c>
      <c r="E6330">
        <f>TEST_DATA!E6330</f>
        <v/>
      </c>
    </row>
    <row r="6331">
      <c r="A6331">
        <f>TEST_DATA!A6331</f>
        <v/>
      </c>
      <c r="B6331">
        <f>TEST_DATA!B6331</f>
        <v/>
      </c>
      <c r="C6331">
        <f>TEST_DATA!C6331</f>
        <v/>
      </c>
      <c r="D6331">
        <f>TEST_DATA!D6331</f>
        <v/>
      </c>
      <c r="E6331">
        <f>TEST_DATA!E6331</f>
        <v/>
      </c>
    </row>
    <row r="6332">
      <c r="A6332">
        <f>TEST_DATA!A6332</f>
        <v/>
      </c>
      <c r="B6332">
        <f>TEST_DATA!B6332</f>
        <v/>
      </c>
      <c r="C6332">
        <f>TEST_DATA!C6332</f>
        <v/>
      </c>
      <c r="D6332">
        <f>TEST_DATA!D6332</f>
        <v/>
      </c>
      <c r="E6332">
        <f>TEST_DATA!E6332</f>
        <v/>
      </c>
    </row>
    <row r="6333">
      <c r="A6333">
        <f>TEST_DATA!A6333</f>
        <v/>
      </c>
      <c r="B6333">
        <f>TEST_DATA!B6333</f>
        <v/>
      </c>
      <c r="C6333">
        <f>TEST_DATA!C6333</f>
        <v/>
      </c>
      <c r="D6333">
        <f>TEST_DATA!D6333</f>
        <v/>
      </c>
      <c r="E6333">
        <f>TEST_DATA!E6333</f>
        <v/>
      </c>
    </row>
    <row r="6334">
      <c r="A6334">
        <f>TEST_DATA!A6334</f>
        <v/>
      </c>
      <c r="B6334">
        <f>TEST_DATA!B6334</f>
        <v/>
      </c>
      <c r="C6334">
        <f>TEST_DATA!C6334</f>
        <v/>
      </c>
      <c r="D6334">
        <f>TEST_DATA!D6334</f>
        <v/>
      </c>
      <c r="E6334">
        <f>TEST_DATA!E6334</f>
        <v/>
      </c>
    </row>
    <row r="6335">
      <c r="A6335">
        <f>TEST_DATA!A6335</f>
        <v/>
      </c>
      <c r="B6335">
        <f>TEST_DATA!B6335</f>
        <v/>
      </c>
      <c r="C6335">
        <f>TEST_DATA!C6335</f>
        <v/>
      </c>
      <c r="D6335">
        <f>TEST_DATA!D6335</f>
        <v/>
      </c>
      <c r="E6335">
        <f>TEST_DATA!E6335</f>
        <v/>
      </c>
    </row>
    <row r="6336">
      <c r="A6336">
        <f>TEST_DATA!A6336</f>
        <v/>
      </c>
      <c r="B6336">
        <f>TEST_DATA!B6336</f>
        <v/>
      </c>
      <c r="C6336">
        <f>TEST_DATA!C6336</f>
        <v/>
      </c>
      <c r="D6336">
        <f>TEST_DATA!D6336</f>
        <v/>
      </c>
      <c r="E6336">
        <f>TEST_DATA!E6336</f>
        <v/>
      </c>
    </row>
    <row r="6337">
      <c r="A6337">
        <f>TEST_DATA!A6337</f>
        <v/>
      </c>
      <c r="B6337">
        <f>TEST_DATA!B6337</f>
        <v/>
      </c>
      <c r="C6337">
        <f>TEST_DATA!C6337</f>
        <v/>
      </c>
      <c r="D6337">
        <f>TEST_DATA!D6337</f>
        <v/>
      </c>
      <c r="E6337">
        <f>TEST_DATA!E6337</f>
        <v/>
      </c>
    </row>
    <row r="6338">
      <c r="A6338">
        <f>TEST_DATA!A6338</f>
        <v/>
      </c>
      <c r="B6338">
        <f>TEST_DATA!B6338</f>
        <v/>
      </c>
      <c r="C6338">
        <f>TEST_DATA!C6338</f>
        <v/>
      </c>
      <c r="D6338">
        <f>TEST_DATA!D6338</f>
        <v/>
      </c>
      <c r="E6338">
        <f>TEST_DATA!E6338</f>
        <v/>
      </c>
    </row>
    <row r="6339">
      <c r="A6339">
        <f>TEST_DATA!A6339</f>
        <v/>
      </c>
      <c r="B6339">
        <f>TEST_DATA!B6339</f>
        <v/>
      </c>
      <c r="C6339">
        <f>TEST_DATA!C6339</f>
        <v/>
      </c>
      <c r="D6339">
        <f>TEST_DATA!D6339</f>
        <v/>
      </c>
      <c r="E6339">
        <f>TEST_DATA!E6339</f>
        <v/>
      </c>
    </row>
    <row r="6340">
      <c r="A6340">
        <f>TEST_DATA!A6340</f>
        <v/>
      </c>
      <c r="B6340">
        <f>TEST_DATA!B6340</f>
        <v/>
      </c>
      <c r="C6340">
        <f>TEST_DATA!C6340</f>
        <v/>
      </c>
      <c r="D6340">
        <f>TEST_DATA!D6340</f>
        <v/>
      </c>
      <c r="E6340">
        <f>TEST_DATA!E6340</f>
        <v/>
      </c>
    </row>
    <row r="6341">
      <c r="A6341">
        <f>TEST_DATA!A6341</f>
        <v/>
      </c>
      <c r="B6341">
        <f>TEST_DATA!B6341</f>
        <v/>
      </c>
      <c r="C6341">
        <f>TEST_DATA!C6341</f>
        <v/>
      </c>
      <c r="D6341">
        <f>TEST_DATA!D6341</f>
        <v/>
      </c>
      <c r="E6341">
        <f>TEST_DATA!E6341</f>
        <v/>
      </c>
    </row>
    <row r="6342">
      <c r="A6342">
        <f>TEST_DATA!A6342</f>
        <v/>
      </c>
      <c r="B6342">
        <f>TEST_DATA!B6342</f>
        <v/>
      </c>
      <c r="C6342">
        <f>TEST_DATA!C6342</f>
        <v/>
      </c>
      <c r="D6342">
        <f>TEST_DATA!D6342</f>
        <v/>
      </c>
      <c r="E6342">
        <f>TEST_DATA!E6342</f>
        <v/>
      </c>
    </row>
    <row r="6343">
      <c r="A6343">
        <f>TEST_DATA!A6343</f>
        <v/>
      </c>
      <c r="B6343">
        <f>TEST_DATA!B6343</f>
        <v/>
      </c>
      <c r="C6343">
        <f>TEST_DATA!C6343</f>
        <v/>
      </c>
      <c r="D6343">
        <f>TEST_DATA!D6343</f>
        <v/>
      </c>
      <c r="E6343">
        <f>TEST_DATA!E6343</f>
        <v/>
      </c>
    </row>
    <row r="6344">
      <c r="A6344">
        <f>TEST_DATA!A6344</f>
        <v/>
      </c>
      <c r="B6344">
        <f>TEST_DATA!B6344</f>
        <v/>
      </c>
      <c r="C6344">
        <f>TEST_DATA!C6344</f>
        <v/>
      </c>
      <c r="D6344">
        <f>TEST_DATA!D6344</f>
        <v/>
      </c>
      <c r="E6344">
        <f>TEST_DATA!E6344</f>
        <v/>
      </c>
    </row>
    <row r="6345">
      <c r="A6345">
        <f>TEST_DATA!A6345</f>
        <v/>
      </c>
      <c r="B6345">
        <f>TEST_DATA!B6345</f>
        <v/>
      </c>
      <c r="C6345">
        <f>TEST_DATA!C6345</f>
        <v/>
      </c>
      <c r="D6345">
        <f>TEST_DATA!D6345</f>
        <v/>
      </c>
      <c r="E6345">
        <f>TEST_DATA!E6345</f>
        <v/>
      </c>
    </row>
    <row r="6346">
      <c r="A6346">
        <f>TEST_DATA!A6346</f>
        <v/>
      </c>
      <c r="B6346">
        <f>TEST_DATA!B6346</f>
        <v/>
      </c>
      <c r="C6346">
        <f>TEST_DATA!C6346</f>
        <v/>
      </c>
      <c r="D6346">
        <f>TEST_DATA!D6346</f>
        <v/>
      </c>
      <c r="E6346">
        <f>TEST_DATA!E6346</f>
        <v/>
      </c>
    </row>
    <row r="6347">
      <c r="A6347">
        <f>TEST_DATA!A6347</f>
        <v/>
      </c>
      <c r="B6347">
        <f>TEST_DATA!B6347</f>
        <v/>
      </c>
      <c r="C6347">
        <f>TEST_DATA!C6347</f>
        <v/>
      </c>
      <c r="D6347">
        <f>TEST_DATA!D6347</f>
        <v/>
      </c>
      <c r="E6347">
        <f>TEST_DATA!E6347</f>
        <v/>
      </c>
    </row>
    <row r="6348">
      <c r="A6348">
        <f>TEST_DATA!A6348</f>
        <v/>
      </c>
      <c r="B6348">
        <f>TEST_DATA!B6348</f>
        <v/>
      </c>
      <c r="C6348">
        <f>TEST_DATA!C6348</f>
        <v/>
      </c>
      <c r="D6348">
        <f>TEST_DATA!D6348</f>
        <v/>
      </c>
      <c r="E6348">
        <f>TEST_DATA!E6348</f>
        <v/>
      </c>
    </row>
    <row r="6349">
      <c r="A6349">
        <f>TEST_DATA!A6349</f>
        <v/>
      </c>
      <c r="B6349">
        <f>TEST_DATA!B6349</f>
        <v/>
      </c>
      <c r="C6349">
        <f>TEST_DATA!C6349</f>
        <v/>
      </c>
      <c r="D6349">
        <f>TEST_DATA!D6349</f>
        <v/>
      </c>
      <c r="E6349">
        <f>TEST_DATA!E6349</f>
        <v/>
      </c>
    </row>
    <row r="6350">
      <c r="A6350">
        <f>TEST_DATA!A6350</f>
        <v/>
      </c>
      <c r="B6350">
        <f>TEST_DATA!B6350</f>
        <v/>
      </c>
      <c r="C6350">
        <f>TEST_DATA!C6350</f>
        <v/>
      </c>
      <c r="D6350">
        <f>TEST_DATA!D6350</f>
        <v/>
      </c>
      <c r="E6350">
        <f>TEST_DATA!E6350</f>
        <v/>
      </c>
    </row>
    <row r="6351">
      <c r="A6351">
        <f>TEST_DATA!A6351</f>
        <v/>
      </c>
      <c r="B6351">
        <f>TEST_DATA!B6351</f>
        <v/>
      </c>
      <c r="C6351">
        <f>TEST_DATA!C6351</f>
        <v/>
      </c>
      <c r="D6351">
        <f>TEST_DATA!D6351</f>
        <v/>
      </c>
      <c r="E6351">
        <f>TEST_DATA!E6351</f>
        <v/>
      </c>
    </row>
    <row r="6352">
      <c r="A6352">
        <f>TEST_DATA!A6352</f>
        <v/>
      </c>
      <c r="B6352">
        <f>TEST_DATA!B6352</f>
        <v/>
      </c>
      <c r="C6352">
        <f>TEST_DATA!C6352</f>
        <v/>
      </c>
      <c r="D6352">
        <f>TEST_DATA!D6352</f>
        <v/>
      </c>
      <c r="E6352">
        <f>TEST_DATA!E6352</f>
        <v/>
      </c>
    </row>
    <row r="6353">
      <c r="A6353">
        <f>TEST_DATA!A6353</f>
        <v/>
      </c>
      <c r="B6353">
        <f>TEST_DATA!B6353</f>
        <v/>
      </c>
      <c r="C6353">
        <f>TEST_DATA!C6353</f>
        <v/>
      </c>
      <c r="D6353">
        <f>TEST_DATA!D6353</f>
        <v/>
      </c>
      <c r="E6353">
        <f>TEST_DATA!E6353</f>
        <v/>
      </c>
    </row>
    <row r="6354">
      <c r="A6354">
        <f>TEST_DATA!A6354</f>
        <v/>
      </c>
      <c r="B6354">
        <f>TEST_DATA!B6354</f>
        <v/>
      </c>
      <c r="C6354">
        <f>TEST_DATA!C6354</f>
        <v/>
      </c>
      <c r="D6354">
        <f>TEST_DATA!D6354</f>
        <v/>
      </c>
      <c r="E6354">
        <f>TEST_DATA!E6354</f>
        <v/>
      </c>
    </row>
    <row r="6355">
      <c r="A6355">
        <f>TEST_DATA!A6355</f>
        <v/>
      </c>
      <c r="B6355">
        <f>TEST_DATA!B6355</f>
        <v/>
      </c>
      <c r="C6355">
        <f>TEST_DATA!C6355</f>
        <v/>
      </c>
      <c r="D6355">
        <f>TEST_DATA!D6355</f>
        <v/>
      </c>
      <c r="E6355">
        <f>TEST_DATA!E6355</f>
        <v/>
      </c>
    </row>
    <row r="6356">
      <c r="A6356">
        <f>TEST_DATA!A6356</f>
        <v/>
      </c>
      <c r="B6356">
        <f>TEST_DATA!B6356</f>
        <v/>
      </c>
      <c r="C6356">
        <f>TEST_DATA!C6356</f>
        <v/>
      </c>
      <c r="D6356">
        <f>TEST_DATA!D6356</f>
        <v/>
      </c>
      <c r="E6356">
        <f>TEST_DATA!E6356</f>
        <v/>
      </c>
    </row>
    <row r="6357">
      <c r="A6357">
        <f>TEST_DATA!A6357</f>
        <v/>
      </c>
      <c r="B6357">
        <f>TEST_DATA!B6357</f>
        <v/>
      </c>
      <c r="C6357">
        <f>TEST_DATA!C6357</f>
        <v/>
      </c>
      <c r="D6357">
        <f>TEST_DATA!D6357</f>
        <v/>
      </c>
      <c r="E6357">
        <f>TEST_DATA!E6357</f>
        <v/>
      </c>
    </row>
    <row r="6358">
      <c r="A6358">
        <f>TEST_DATA!A6358</f>
        <v/>
      </c>
      <c r="B6358">
        <f>TEST_DATA!B6358</f>
        <v/>
      </c>
      <c r="C6358">
        <f>TEST_DATA!C6358</f>
        <v/>
      </c>
      <c r="D6358">
        <f>TEST_DATA!D6358</f>
        <v/>
      </c>
      <c r="E6358">
        <f>TEST_DATA!E6358</f>
        <v/>
      </c>
    </row>
    <row r="6359">
      <c r="A6359">
        <f>TEST_DATA!A6359</f>
        <v/>
      </c>
      <c r="B6359">
        <f>TEST_DATA!B6359</f>
        <v/>
      </c>
      <c r="C6359">
        <f>TEST_DATA!C6359</f>
        <v/>
      </c>
      <c r="D6359">
        <f>TEST_DATA!D6359</f>
        <v/>
      </c>
      <c r="E6359">
        <f>TEST_DATA!E6359</f>
        <v/>
      </c>
    </row>
    <row r="6360">
      <c r="A6360">
        <f>TEST_DATA!A6360</f>
        <v/>
      </c>
      <c r="B6360">
        <f>TEST_DATA!B6360</f>
        <v/>
      </c>
      <c r="C6360">
        <f>TEST_DATA!C6360</f>
        <v/>
      </c>
      <c r="D6360">
        <f>TEST_DATA!D6360</f>
        <v/>
      </c>
      <c r="E6360">
        <f>TEST_DATA!E6360</f>
        <v/>
      </c>
    </row>
    <row r="6361">
      <c r="A6361">
        <f>TEST_DATA!A6361</f>
        <v/>
      </c>
      <c r="B6361">
        <f>TEST_DATA!B6361</f>
        <v/>
      </c>
      <c r="C6361">
        <f>TEST_DATA!C6361</f>
        <v/>
      </c>
      <c r="D6361">
        <f>TEST_DATA!D6361</f>
        <v/>
      </c>
      <c r="E6361">
        <f>TEST_DATA!E6361</f>
        <v/>
      </c>
    </row>
    <row r="6362">
      <c r="A6362">
        <f>TEST_DATA!A6362</f>
        <v/>
      </c>
      <c r="B6362">
        <f>TEST_DATA!B6362</f>
        <v/>
      </c>
      <c r="C6362">
        <f>TEST_DATA!C6362</f>
        <v/>
      </c>
      <c r="D6362">
        <f>TEST_DATA!D6362</f>
        <v/>
      </c>
      <c r="E6362">
        <f>TEST_DATA!E6362</f>
        <v/>
      </c>
    </row>
    <row r="6363">
      <c r="A6363">
        <f>TEST_DATA!A6363</f>
        <v/>
      </c>
      <c r="B6363">
        <f>TEST_DATA!B6363</f>
        <v/>
      </c>
      <c r="C6363">
        <f>TEST_DATA!C6363</f>
        <v/>
      </c>
      <c r="D6363">
        <f>TEST_DATA!D6363</f>
        <v/>
      </c>
      <c r="E6363">
        <f>TEST_DATA!E6363</f>
        <v/>
      </c>
    </row>
    <row r="6364">
      <c r="A6364">
        <f>TEST_DATA!A6364</f>
        <v/>
      </c>
      <c r="B6364">
        <f>TEST_DATA!B6364</f>
        <v/>
      </c>
      <c r="C6364">
        <f>TEST_DATA!C6364</f>
        <v/>
      </c>
      <c r="D6364">
        <f>TEST_DATA!D6364</f>
        <v/>
      </c>
      <c r="E6364">
        <f>TEST_DATA!E6364</f>
        <v/>
      </c>
    </row>
    <row r="6365">
      <c r="A6365">
        <f>TEST_DATA!A6365</f>
        <v/>
      </c>
      <c r="B6365">
        <f>TEST_DATA!B6365</f>
        <v/>
      </c>
      <c r="C6365">
        <f>TEST_DATA!C6365</f>
        <v/>
      </c>
      <c r="D6365">
        <f>TEST_DATA!D6365</f>
        <v/>
      </c>
      <c r="E6365">
        <f>TEST_DATA!E6365</f>
        <v/>
      </c>
    </row>
    <row r="6366">
      <c r="A6366">
        <f>TEST_DATA!A6366</f>
        <v/>
      </c>
      <c r="B6366">
        <f>TEST_DATA!B6366</f>
        <v/>
      </c>
      <c r="C6366">
        <f>TEST_DATA!C6366</f>
        <v/>
      </c>
      <c r="D6366">
        <f>TEST_DATA!D6366</f>
        <v/>
      </c>
      <c r="E6366">
        <f>TEST_DATA!E6366</f>
        <v/>
      </c>
    </row>
    <row r="6367">
      <c r="A6367">
        <f>TEST_DATA!A6367</f>
        <v/>
      </c>
      <c r="B6367">
        <f>TEST_DATA!B6367</f>
        <v/>
      </c>
      <c r="C6367">
        <f>TEST_DATA!C6367</f>
        <v/>
      </c>
      <c r="D6367">
        <f>TEST_DATA!D6367</f>
        <v/>
      </c>
      <c r="E6367">
        <f>TEST_DATA!E6367</f>
        <v/>
      </c>
    </row>
    <row r="6368">
      <c r="A6368">
        <f>TEST_DATA!A6368</f>
        <v/>
      </c>
      <c r="B6368">
        <f>TEST_DATA!B6368</f>
        <v/>
      </c>
      <c r="C6368">
        <f>TEST_DATA!C6368</f>
        <v/>
      </c>
      <c r="D6368">
        <f>TEST_DATA!D6368</f>
        <v/>
      </c>
      <c r="E6368">
        <f>TEST_DATA!E6368</f>
        <v/>
      </c>
    </row>
    <row r="6369">
      <c r="A6369">
        <f>TEST_DATA!A6369</f>
        <v/>
      </c>
      <c r="B6369">
        <f>TEST_DATA!B6369</f>
        <v/>
      </c>
      <c r="C6369">
        <f>TEST_DATA!C6369</f>
        <v/>
      </c>
      <c r="D6369">
        <f>TEST_DATA!D6369</f>
        <v/>
      </c>
      <c r="E6369">
        <f>TEST_DATA!E6369</f>
        <v/>
      </c>
    </row>
    <row r="6370">
      <c r="A6370">
        <f>TEST_DATA!A6370</f>
        <v/>
      </c>
      <c r="B6370">
        <f>TEST_DATA!B6370</f>
        <v/>
      </c>
      <c r="C6370">
        <f>TEST_DATA!C6370</f>
        <v/>
      </c>
      <c r="D6370">
        <f>TEST_DATA!D6370</f>
        <v/>
      </c>
      <c r="E6370">
        <f>TEST_DATA!E6370</f>
        <v/>
      </c>
    </row>
    <row r="6371">
      <c r="A6371">
        <f>TEST_DATA!A6371</f>
        <v/>
      </c>
      <c r="B6371">
        <f>TEST_DATA!B6371</f>
        <v/>
      </c>
      <c r="C6371">
        <f>TEST_DATA!C6371</f>
        <v/>
      </c>
      <c r="D6371">
        <f>TEST_DATA!D6371</f>
        <v/>
      </c>
      <c r="E6371">
        <f>TEST_DATA!E6371</f>
        <v/>
      </c>
    </row>
    <row r="6372">
      <c r="A6372">
        <f>TEST_DATA!A6372</f>
        <v/>
      </c>
      <c r="B6372">
        <f>TEST_DATA!B6372</f>
        <v/>
      </c>
      <c r="C6372">
        <f>TEST_DATA!C6372</f>
        <v/>
      </c>
      <c r="D6372">
        <f>TEST_DATA!D6372</f>
        <v/>
      </c>
      <c r="E6372">
        <f>TEST_DATA!E6372</f>
        <v/>
      </c>
    </row>
    <row r="6373">
      <c r="A6373">
        <f>TEST_DATA!A6373</f>
        <v/>
      </c>
      <c r="B6373">
        <f>TEST_DATA!B6373</f>
        <v/>
      </c>
      <c r="C6373">
        <f>TEST_DATA!C6373</f>
        <v/>
      </c>
      <c r="D6373">
        <f>TEST_DATA!D6373</f>
        <v/>
      </c>
      <c r="E6373">
        <f>TEST_DATA!E6373</f>
        <v/>
      </c>
    </row>
    <row r="6374">
      <c r="A6374">
        <f>TEST_DATA!A6374</f>
        <v/>
      </c>
      <c r="B6374">
        <f>TEST_DATA!B6374</f>
        <v/>
      </c>
      <c r="C6374">
        <f>TEST_DATA!C6374</f>
        <v/>
      </c>
      <c r="D6374">
        <f>TEST_DATA!D6374</f>
        <v/>
      </c>
      <c r="E6374">
        <f>TEST_DATA!E6374</f>
        <v/>
      </c>
    </row>
    <row r="6375">
      <c r="A6375">
        <f>TEST_DATA!A6375</f>
        <v/>
      </c>
      <c r="B6375">
        <f>TEST_DATA!B6375</f>
        <v/>
      </c>
      <c r="C6375">
        <f>TEST_DATA!C6375</f>
        <v/>
      </c>
      <c r="D6375">
        <f>TEST_DATA!D6375</f>
        <v/>
      </c>
      <c r="E6375">
        <f>TEST_DATA!E6375</f>
        <v/>
      </c>
    </row>
    <row r="6376">
      <c r="A6376">
        <f>TEST_DATA!A6376</f>
        <v/>
      </c>
      <c r="B6376">
        <f>TEST_DATA!B6376</f>
        <v/>
      </c>
      <c r="C6376">
        <f>TEST_DATA!C6376</f>
        <v/>
      </c>
      <c r="D6376">
        <f>TEST_DATA!D6376</f>
        <v/>
      </c>
      <c r="E6376">
        <f>TEST_DATA!E6376</f>
        <v/>
      </c>
    </row>
    <row r="6377">
      <c r="A6377">
        <f>TEST_DATA!A6377</f>
        <v/>
      </c>
      <c r="B6377">
        <f>TEST_DATA!B6377</f>
        <v/>
      </c>
      <c r="C6377">
        <f>TEST_DATA!C6377</f>
        <v/>
      </c>
      <c r="D6377">
        <f>TEST_DATA!D6377</f>
        <v/>
      </c>
      <c r="E6377">
        <f>TEST_DATA!E6377</f>
        <v/>
      </c>
    </row>
    <row r="6378">
      <c r="A6378">
        <f>TEST_DATA!A6378</f>
        <v/>
      </c>
      <c r="B6378">
        <f>TEST_DATA!B6378</f>
        <v/>
      </c>
      <c r="C6378">
        <f>TEST_DATA!C6378</f>
        <v/>
      </c>
      <c r="D6378">
        <f>TEST_DATA!D6378</f>
        <v/>
      </c>
      <c r="E6378">
        <f>TEST_DATA!E6378</f>
        <v/>
      </c>
    </row>
    <row r="6379">
      <c r="A6379">
        <f>TEST_DATA!A6379</f>
        <v/>
      </c>
      <c r="B6379">
        <f>TEST_DATA!B6379</f>
        <v/>
      </c>
      <c r="C6379">
        <f>TEST_DATA!C6379</f>
        <v/>
      </c>
      <c r="D6379">
        <f>TEST_DATA!D6379</f>
        <v/>
      </c>
      <c r="E6379">
        <f>TEST_DATA!E6379</f>
        <v/>
      </c>
    </row>
    <row r="6380">
      <c r="A6380">
        <f>TEST_DATA!A6380</f>
        <v/>
      </c>
      <c r="B6380">
        <f>TEST_DATA!B6380</f>
        <v/>
      </c>
      <c r="C6380">
        <f>TEST_DATA!C6380</f>
        <v/>
      </c>
      <c r="D6380">
        <f>TEST_DATA!D6380</f>
        <v/>
      </c>
      <c r="E6380">
        <f>TEST_DATA!E6380</f>
        <v/>
      </c>
    </row>
    <row r="6381">
      <c r="A6381">
        <f>TEST_DATA!A6381</f>
        <v/>
      </c>
      <c r="B6381">
        <f>TEST_DATA!B6381</f>
        <v/>
      </c>
      <c r="C6381">
        <f>TEST_DATA!C6381</f>
        <v/>
      </c>
      <c r="D6381">
        <f>TEST_DATA!D6381</f>
        <v/>
      </c>
      <c r="E6381">
        <f>TEST_DATA!E6381</f>
        <v/>
      </c>
    </row>
    <row r="6382">
      <c r="A6382">
        <f>TEST_DATA!A6382</f>
        <v/>
      </c>
      <c r="B6382">
        <f>TEST_DATA!B6382</f>
        <v/>
      </c>
      <c r="C6382">
        <f>TEST_DATA!C6382</f>
        <v/>
      </c>
      <c r="D6382">
        <f>TEST_DATA!D6382</f>
        <v/>
      </c>
      <c r="E6382">
        <f>TEST_DATA!E6382</f>
        <v/>
      </c>
    </row>
    <row r="6383">
      <c r="A6383">
        <f>TEST_DATA!A6383</f>
        <v/>
      </c>
      <c r="B6383">
        <f>TEST_DATA!B6383</f>
        <v/>
      </c>
      <c r="C6383">
        <f>TEST_DATA!C6383</f>
        <v/>
      </c>
      <c r="D6383">
        <f>TEST_DATA!D6383</f>
        <v/>
      </c>
      <c r="E6383">
        <f>TEST_DATA!E6383</f>
        <v/>
      </c>
    </row>
    <row r="6384">
      <c r="A6384">
        <f>TEST_DATA!A6384</f>
        <v/>
      </c>
      <c r="B6384">
        <f>TEST_DATA!B6384</f>
        <v/>
      </c>
      <c r="C6384">
        <f>TEST_DATA!C6384</f>
        <v/>
      </c>
      <c r="D6384">
        <f>TEST_DATA!D6384</f>
        <v/>
      </c>
      <c r="E6384">
        <f>TEST_DATA!E6384</f>
        <v/>
      </c>
    </row>
    <row r="6385">
      <c r="A6385">
        <f>TEST_DATA!A6385</f>
        <v/>
      </c>
      <c r="B6385">
        <f>TEST_DATA!B6385</f>
        <v/>
      </c>
      <c r="C6385">
        <f>TEST_DATA!C6385</f>
        <v/>
      </c>
      <c r="D6385">
        <f>TEST_DATA!D6385</f>
        <v/>
      </c>
      <c r="E6385">
        <f>TEST_DATA!E6385</f>
        <v/>
      </c>
    </row>
    <row r="6386">
      <c r="A6386">
        <f>TEST_DATA!A6386</f>
        <v/>
      </c>
      <c r="B6386">
        <f>TEST_DATA!B6386</f>
        <v/>
      </c>
      <c r="C6386">
        <f>TEST_DATA!C6386</f>
        <v/>
      </c>
      <c r="D6386">
        <f>TEST_DATA!D6386</f>
        <v/>
      </c>
      <c r="E6386">
        <f>TEST_DATA!E6386</f>
        <v/>
      </c>
    </row>
    <row r="6387">
      <c r="A6387">
        <f>TEST_DATA!A6387</f>
        <v/>
      </c>
      <c r="B6387">
        <f>TEST_DATA!B6387</f>
        <v/>
      </c>
      <c r="C6387">
        <f>TEST_DATA!C6387</f>
        <v/>
      </c>
      <c r="D6387">
        <f>TEST_DATA!D6387</f>
        <v/>
      </c>
      <c r="E6387">
        <f>TEST_DATA!E6387</f>
        <v/>
      </c>
    </row>
    <row r="6388">
      <c r="A6388">
        <f>TEST_DATA!A6388</f>
        <v/>
      </c>
      <c r="B6388">
        <f>TEST_DATA!B6388</f>
        <v/>
      </c>
      <c r="C6388">
        <f>TEST_DATA!C6388</f>
        <v/>
      </c>
      <c r="D6388">
        <f>TEST_DATA!D6388</f>
        <v/>
      </c>
      <c r="E6388">
        <f>TEST_DATA!E6388</f>
        <v/>
      </c>
    </row>
    <row r="6389">
      <c r="A6389">
        <f>TEST_DATA!A6389</f>
        <v/>
      </c>
      <c r="B6389">
        <f>TEST_DATA!B6389</f>
        <v/>
      </c>
      <c r="C6389">
        <f>TEST_DATA!C6389</f>
        <v/>
      </c>
      <c r="D6389">
        <f>TEST_DATA!D6389</f>
        <v/>
      </c>
      <c r="E6389">
        <f>TEST_DATA!E6389</f>
        <v/>
      </c>
    </row>
    <row r="6390">
      <c r="A6390">
        <f>TEST_DATA!A6390</f>
        <v/>
      </c>
      <c r="B6390">
        <f>TEST_DATA!B6390</f>
        <v/>
      </c>
      <c r="C6390">
        <f>TEST_DATA!C6390</f>
        <v/>
      </c>
      <c r="D6390">
        <f>TEST_DATA!D6390</f>
        <v/>
      </c>
      <c r="E6390">
        <f>TEST_DATA!E6390</f>
        <v/>
      </c>
    </row>
    <row r="6391">
      <c r="A6391">
        <f>TEST_DATA!A6391</f>
        <v/>
      </c>
      <c r="B6391">
        <f>TEST_DATA!B6391</f>
        <v/>
      </c>
      <c r="C6391">
        <f>TEST_DATA!C6391</f>
        <v/>
      </c>
      <c r="D6391">
        <f>TEST_DATA!D6391</f>
        <v/>
      </c>
      <c r="E6391">
        <f>TEST_DATA!E6391</f>
        <v/>
      </c>
    </row>
    <row r="6392">
      <c r="A6392">
        <f>TEST_DATA!A6392</f>
        <v/>
      </c>
      <c r="B6392">
        <f>TEST_DATA!B6392</f>
        <v/>
      </c>
      <c r="C6392">
        <f>TEST_DATA!C6392</f>
        <v/>
      </c>
      <c r="D6392">
        <f>TEST_DATA!D6392</f>
        <v/>
      </c>
      <c r="E6392">
        <f>TEST_DATA!E6392</f>
        <v/>
      </c>
    </row>
    <row r="6393">
      <c r="A6393">
        <f>TEST_DATA!A6393</f>
        <v/>
      </c>
      <c r="B6393">
        <f>TEST_DATA!B6393</f>
        <v/>
      </c>
      <c r="C6393">
        <f>TEST_DATA!C6393</f>
        <v/>
      </c>
      <c r="D6393">
        <f>TEST_DATA!D6393</f>
        <v/>
      </c>
      <c r="E6393">
        <f>TEST_DATA!E6393</f>
        <v/>
      </c>
    </row>
    <row r="6394">
      <c r="A6394">
        <f>TEST_DATA!A6394</f>
        <v/>
      </c>
      <c r="B6394">
        <f>TEST_DATA!B6394</f>
        <v/>
      </c>
      <c r="C6394">
        <f>TEST_DATA!C6394</f>
        <v/>
      </c>
      <c r="D6394">
        <f>TEST_DATA!D6394</f>
        <v/>
      </c>
      <c r="E6394">
        <f>TEST_DATA!E6394</f>
        <v/>
      </c>
    </row>
    <row r="6395">
      <c r="A6395">
        <f>TEST_DATA!A6395</f>
        <v/>
      </c>
      <c r="B6395">
        <f>TEST_DATA!B6395</f>
        <v/>
      </c>
      <c r="C6395">
        <f>TEST_DATA!C6395</f>
        <v/>
      </c>
      <c r="D6395">
        <f>TEST_DATA!D6395</f>
        <v/>
      </c>
      <c r="E6395">
        <f>TEST_DATA!E6395</f>
        <v/>
      </c>
    </row>
    <row r="6396">
      <c r="A6396">
        <f>TEST_DATA!A6396</f>
        <v/>
      </c>
      <c r="B6396">
        <f>TEST_DATA!B6396</f>
        <v/>
      </c>
      <c r="C6396">
        <f>TEST_DATA!C6396</f>
        <v/>
      </c>
      <c r="D6396">
        <f>TEST_DATA!D6396</f>
        <v/>
      </c>
      <c r="E6396">
        <f>TEST_DATA!E6396</f>
        <v/>
      </c>
    </row>
    <row r="6397">
      <c r="A6397">
        <f>TEST_DATA!A6397</f>
        <v/>
      </c>
      <c r="B6397">
        <f>TEST_DATA!B6397</f>
        <v/>
      </c>
      <c r="C6397">
        <f>TEST_DATA!C6397</f>
        <v/>
      </c>
      <c r="D6397">
        <f>TEST_DATA!D6397</f>
        <v/>
      </c>
      <c r="E6397">
        <f>TEST_DATA!E6397</f>
        <v/>
      </c>
    </row>
    <row r="6398">
      <c r="A6398">
        <f>TEST_DATA!A6398</f>
        <v/>
      </c>
      <c r="B6398">
        <f>TEST_DATA!B6398</f>
        <v/>
      </c>
      <c r="C6398">
        <f>TEST_DATA!C6398</f>
        <v/>
      </c>
      <c r="D6398">
        <f>TEST_DATA!D6398</f>
        <v/>
      </c>
      <c r="E6398">
        <f>TEST_DATA!E6398</f>
        <v/>
      </c>
    </row>
    <row r="6399">
      <c r="A6399">
        <f>TEST_DATA!A6399</f>
        <v/>
      </c>
      <c r="B6399">
        <f>TEST_DATA!B6399</f>
        <v/>
      </c>
      <c r="C6399">
        <f>TEST_DATA!C6399</f>
        <v/>
      </c>
      <c r="D6399">
        <f>TEST_DATA!D6399</f>
        <v/>
      </c>
      <c r="E6399">
        <f>TEST_DATA!E6399</f>
        <v/>
      </c>
    </row>
    <row r="6400">
      <c r="A6400">
        <f>TEST_DATA!A6400</f>
        <v/>
      </c>
      <c r="B6400">
        <f>TEST_DATA!B6400</f>
        <v/>
      </c>
      <c r="C6400">
        <f>TEST_DATA!C6400</f>
        <v/>
      </c>
      <c r="D6400">
        <f>TEST_DATA!D6400</f>
        <v/>
      </c>
      <c r="E6400">
        <f>TEST_DATA!E6400</f>
        <v/>
      </c>
    </row>
    <row r="6401">
      <c r="A6401">
        <f>TEST_DATA!A6401</f>
        <v/>
      </c>
      <c r="B6401">
        <f>TEST_DATA!B6401</f>
        <v/>
      </c>
      <c r="C6401">
        <f>TEST_DATA!C6401</f>
        <v/>
      </c>
      <c r="D6401">
        <f>TEST_DATA!D6401</f>
        <v/>
      </c>
      <c r="E6401">
        <f>TEST_DATA!E6401</f>
        <v/>
      </c>
    </row>
    <row r="6402">
      <c r="A6402">
        <f>TEST_DATA!A6402</f>
        <v/>
      </c>
      <c r="B6402">
        <f>TEST_DATA!B6402</f>
        <v/>
      </c>
      <c r="C6402">
        <f>TEST_DATA!C6402</f>
        <v/>
      </c>
      <c r="D6402">
        <f>TEST_DATA!D6402</f>
        <v/>
      </c>
      <c r="E6402">
        <f>TEST_DATA!E6402</f>
        <v/>
      </c>
    </row>
    <row r="6403">
      <c r="A6403">
        <f>TEST_DATA!A6403</f>
        <v/>
      </c>
      <c r="B6403">
        <f>TEST_DATA!B6403</f>
        <v/>
      </c>
      <c r="C6403">
        <f>TEST_DATA!C6403</f>
        <v/>
      </c>
      <c r="D6403">
        <f>TEST_DATA!D6403</f>
        <v/>
      </c>
      <c r="E6403">
        <f>TEST_DATA!E6403</f>
        <v/>
      </c>
    </row>
    <row r="6404">
      <c r="A6404">
        <f>TEST_DATA!A6404</f>
        <v/>
      </c>
      <c r="B6404">
        <f>TEST_DATA!B6404</f>
        <v/>
      </c>
      <c r="C6404">
        <f>TEST_DATA!C6404</f>
        <v/>
      </c>
      <c r="D6404">
        <f>TEST_DATA!D6404</f>
        <v/>
      </c>
      <c r="E6404">
        <f>TEST_DATA!E6404</f>
        <v/>
      </c>
    </row>
    <row r="6405">
      <c r="A6405">
        <f>TEST_DATA!A6405</f>
        <v/>
      </c>
      <c r="B6405">
        <f>TEST_DATA!B6405</f>
        <v/>
      </c>
      <c r="C6405">
        <f>TEST_DATA!C6405</f>
        <v/>
      </c>
      <c r="D6405">
        <f>TEST_DATA!D6405</f>
        <v/>
      </c>
      <c r="E6405">
        <f>TEST_DATA!E6405</f>
        <v/>
      </c>
    </row>
    <row r="6406">
      <c r="A6406">
        <f>TEST_DATA!A6406</f>
        <v/>
      </c>
      <c r="B6406">
        <f>TEST_DATA!B6406</f>
        <v/>
      </c>
      <c r="C6406">
        <f>TEST_DATA!C6406</f>
        <v/>
      </c>
      <c r="D6406">
        <f>TEST_DATA!D6406</f>
        <v/>
      </c>
      <c r="E6406">
        <f>TEST_DATA!E6406</f>
        <v/>
      </c>
    </row>
    <row r="6407">
      <c r="A6407">
        <f>TEST_DATA!A6407</f>
        <v/>
      </c>
      <c r="B6407">
        <f>TEST_DATA!B6407</f>
        <v/>
      </c>
      <c r="C6407">
        <f>TEST_DATA!C6407</f>
        <v/>
      </c>
      <c r="D6407">
        <f>TEST_DATA!D6407</f>
        <v/>
      </c>
      <c r="E6407">
        <f>TEST_DATA!E6407</f>
        <v/>
      </c>
    </row>
    <row r="6408">
      <c r="A6408">
        <f>TEST_DATA!A6408</f>
        <v/>
      </c>
      <c r="B6408">
        <f>TEST_DATA!B6408</f>
        <v/>
      </c>
      <c r="C6408">
        <f>TEST_DATA!C6408</f>
        <v/>
      </c>
      <c r="D6408">
        <f>TEST_DATA!D6408</f>
        <v/>
      </c>
      <c r="E6408">
        <f>TEST_DATA!E6408</f>
        <v/>
      </c>
    </row>
    <row r="6409">
      <c r="A6409">
        <f>TEST_DATA!A6409</f>
        <v/>
      </c>
      <c r="B6409">
        <f>TEST_DATA!B6409</f>
        <v/>
      </c>
      <c r="C6409">
        <f>TEST_DATA!C6409</f>
        <v/>
      </c>
      <c r="D6409">
        <f>TEST_DATA!D6409</f>
        <v/>
      </c>
      <c r="E6409">
        <f>TEST_DATA!E6409</f>
        <v/>
      </c>
    </row>
    <row r="6410">
      <c r="A6410">
        <f>TEST_DATA!A6410</f>
        <v/>
      </c>
      <c r="B6410">
        <f>TEST_DATA!B6410</f>
        <v/>
      </c>
      <c r="C6410">
        <f>TEST_DATA!C6410</f>
        <v/>
      </c>
      <c r="D6410">
        <f>TEST_DATA!D6410</f>
        <v/>
      </c>
      <c r="E6410">
        <f>TEST_DATA!E6410</f>
        <v/>
      </c>
    </row>
    <row r="6411">
      <c r="A6411">
        <f>TEST_DATA!A6411</f>
        <v/>
      </c>
      <c r="B6411">
        <f>TEST_DATA!B6411</f>
        <v/>
      </c>
      <c r="C6411">
        <f>TEST_DATA!C6411</f>
        <v/>
      </c>
      <c r="D6411">
        <f>TEST_DATA!D6411</f>
        <v/>
      </c>
      <c r="E6411">
        <f>TEST_DATA!E6411</f>
        <v/>
      </c>
    </row>
    <row r="6412">
      <c r="A6412">
        <f>TEST_DATA!A6412</f>
        <v/>
      </c>
      <c r="B6412">
        <f>TEST_DATA!B6412</f>
        <v/>
      </c>
      <c r="C6412">
        <f>TEST_DATA!C6412</f>
        <v/>
      </c>
      <c r="D6412">
        <f>TEST_DATA!D6412</f>
        <v/>
      </c>
      <c r="E6412">
        <f>TEST_DATA!E6412</f>
        <v/>
      </c>
    </row>
    <row r="6413">
      <c r="A6413">
        <f>TEST_DATA!A6413</f>
        <v/>
      </c>
      <c r="B6413">
        <f>TEST_DATA!B6413</f>
        <v/>
      </c>
      <c r="C6413">
        <f>TEST_DATA!C6413</f>
        <v/>
      </c>
      <c r="D6413">
        <f>TEST_DATA!D6413</f>
        <v/>
      </c>
      <c r="E6413">
        <f>TEST_DATA!E6413</f>
        <v/>
      </c>
    </row>
    <row r="6414">
      <c r="A6414">
        <f>TEST_DATA!A6414</f>
        <v/>
      </c>
      <c r="B6414">
        <f>TEST_DATA!B6414</f>
        <v/>
      </c>
      <c r="C6414">
        <f>TEST_DATA!C6414</f>
        <v/>
      </c>
      <c r="D6414">
        <f>TEST_DATA!D6414</f>
        <v/>
      </c>
      <c r="E6414">
        <f>TEST_DATA!E6414</f>
        <v/>
      </c>
    </row>
    <row r="6415">
      <c r="A6415">
        <f>TEST_DATA!A6415</f>
        <v/>
      </c>
      <c r="B6415">
        <f>TEST_DATA!B6415</f>
        <v/>
      </c>
      <c r="C6415">
        <f>TEST_DATA!C6415</f>
        <v/>
      </c>
      <c r="D6415">
        <f>TEST_DATA!D6415</f>
        <v/>
      </c>
      <c r="E6415">
        <f>TEST_DATA!E6415</f>
        <v/>
      </c>
    </row>
    <row r="6416">
      <c r="A6416">
        <f>TEST_DATA!A6416</f>
        <v/>
      </c>
      <c r="B6416">
        <f>TEST_DATA!B6416</f>
        <v/>
      </c>
      <c r="C6416">
        <f>TEST_DATA!C6416</f>
        <v/>
      </c>
      <c r="D6416">
        <f>TEST_DATA!D6416</f>
        <v/>
      </c>
      <c r="E6416">
        <f>TEST_DATA!E6416</f>
        <v/>
      </c>
    </row>
    <row r="6417">
      <c r="A6417">
        <f>TEST_DATA!A6417</f>
        <v/>
      </c>
      <c r="B6417">
        <f>TEST_DATA!B6417</f>
        <v/>
      </c>
      <c r="C6417">
        <f>TEST_DATA!C6417</f>
        <v/>
      </c>
      <c r="D6417">
        <f>TEST_DATA!D6417</f>
        <v/>
      </c>
      <c r="E6417">
        <f>TEST_DATA!E6417</f>
        <v/>
      </c>
    </row>
    <row r="6418">
      <c r="A6418">
        <f>TEST_DATA!A6418</f>
        <v/>
      </c>
      <c r="B6418">
        <f>TEST_DATA!B6418</f>
        <v/>
      </c>
      <c r="C6418">
        <f>TEST_DATA!C6418</f>
        <v/>
      </c>
      <c r="D6418">
        <f>TEST_DATA!D6418</f>
        <v/>
      </c>
      <c r="E6418">
        <f>TEST_DATA!E6418</f>
        <v/>
      </c>
    </row>
    <row r="6419">
      <c r="A6419">
        <f>TEST_DATA!A6419</f>
        <v/>
      </c>
      <c r="B6419">
        <f>TEST_DATA!B6419</f>
        <v/>
      </c>
      <c r="C6419">
        <f>TEST_DATA!C6419</f>
        <v/>
      </c>
      <c r="D6419">
        <f>TEST_DATA!D6419</f>
        <v/>
      </c>
      <c r="E6419">
        <f>TEST_DATA!E6419</f>
        <v/>
      </c>
    </row>
    <row r="6420">
      <c r="A6420">
        <f>TEST_DATA!A6420</f>
        <v/>
      </c>
      <c r="B6420">
        <f>TEST_DATA!B6420</f>
        <v/>
      </c>
      <c r="C6420">
        <f>TEST_DATA!C6420</f>
        <v/>
      </c>
      <c r="D6420">
        <f>TEST_DATA!D6420</f>
        <v/>
      </c>
      <c r="E6420">
        <f>TEST_DATA!E6420</f>
        <v/>
      </c>
    </row>
    <row r="6421">
      <c r="A6421">
        <f>TEST_DATA!A6421</f>
        <v/>
      </c>
      <c r="B6421">
        <f>TEST_DATA!B6421</f>
        <v/>
      </c>
      <c r="C6421">
        <f>TEST_DATA!C6421</f>
        <v/>
      </c>
      <c r="D6421">
        <f>TEST_DATA!D6421</f>
        <v/>
      </c>
      <c r="E6421">
        <f>TEST_DATA!E6421</f>
        <v/>
      </c>
    </row>
    <row r="6422">
      <c r="A6422">
        <f>TEST_DATA!A6422</f>
        <v/>
      </c>
      <c r="B6422">
        <f>TEST_DATA!B6422</f>
        <v/>
      </c>
      <c r="C6422">
        <f>TEST_DATA!C6422</f>
        <v/>
      </c>
      <c r="D6422">
        <f>TEST_DATA!D6422</f>
        <v/>
      </c>
      <c r="E6422">
        <f>TEST_DATA!E6422</f>
        <v/>
      </c>
    </row>
    <row r="6423">
      <c r="A6423">
        <f>TEST_DATA!A6423</f>
        <v/>
      </c>
      <c r="B6423">
        <f>TEST_DATA!B6423</f>
        <v/>
      </c>
      <c r="C6423">
        <f>TEST_DATA!C6423</f>
        <v/>
      </c>
      <c r="D6423">
        <f>TEST_DATA!D6423</f>
        <v/>
      </c>
      <c r="E6423">
        <f>TEST_DATA!E6423</f>
        <v/>
      </c>
    </row>
    <row r="6424">
      <c r="A6424">
        <f>TEST_DATA!A6424</f>
        <v/>
      </c>
      <c r="B6424">
        <f>TEST_DATA!B6424</f>
        <v/>
      </c>
      <c r="C6424">
        <f>TEST_DATA!C6424</f>
        <v/>
      </c>
      <c r="D6424">
        <f>TEST_DATA!D6424</f>
        <v/>
      </c>
      <c r="E6424">
        <f>TEST_DATA!E6424</f>
        <v/>
      </c>
    </row>
    <row r="6425">
      <c r="A6425">
        <f>TEST_DATA!A6425</f>
        <v/>
      </c>
      <c r="B6425">
        <f>TEST_DATA!B6425</f>
        <v/>
      </c>
      <c r="C6425">
        <f>TEST_DATA!C6425</f>
        <v/>
      </c>
      <c r="D6425">
        <f>TEST_DATA!D6425</f>
        <v/>
      </c>
      <c r="E6425">
        <f>TEST_DATA!E6425</f>
        <v/>
      </c>
    </row>
    <row r="6426">
      <c r="A6426">
        <f>TEST_DATA!A6426</f>
        <v/>
      </c>
      <c r="B6426">
        <f>TEST_DATA!B6426</f>
        <v/>
      </c>
      <c r="C6426">
        <f>TEST_DATA!C6426</f>
        <v/>
      </c>
      <c r="D6426">
        <f>TEST_DATA!D6426</f>
        <v/>
      </c>
      <c r="E6426">
        <f>TEST_DATA!E6426</f>
        <v/>
      </c>
    </row>
    <row r="6427">
      <c r="A6427">
        <f>TEST_DATA!A6427</f>
        <v/>
      </c>
      <c r="B6427">
        <f>TEST_DATA!B6427</f>
        <v/>
      </c>
      <c r="C6427">
        <f>TEST_DATA!C6427</f>
        <v/>
      </c>
      <c r="D6427">
        <f>TEST_DATA!D6427</f>
        <v/>
      </c>
      <c r="E6427">
        <f>TEST_DATA!E6427</f>
        <v/>
      </c>
    </row>
    <row r="6428">
      <c r="A6428">
        <f>TEST_DATA!A6428</f>
        <v/>
      </c>
      <c r="B6428">
        <f>TEST_DATA!B6428</f>
        <v/>
      </c>
      <c r="C6428">
        <f>TEST_DATA!C6428</f>
        <v/>
      </c>
      <c r="D6428">
        <f>TEST_DATA!D6428</f>
        <v/>
      </c>
      <c r="E6428">
        <f>TEST_DATA!E6428</f>
        <v/>
      </c>
    </row>
    <row r="6429">
      <c r="A6429">
        <f>TEST_DATA!A6429</f>
        <v/>
      </c>
      <c r="B6429">
        <f>TEST_DATA!B6429</f>
        <v/>
      </c>
      <c r="C6429">
        <f>TEST_DATA!C6429</f>
        <v/>
      </c>
      <c r="D6429">
        <f>TEST_DATA!D6429</f>
        <v/>
      </c>
      <c r="E6429">
        <f>TEST_DATA!E6429</f>
        <v/>
      </c>
    </row>
    <row r="6430">
      <c r="A6430">
        <f>TEST_DATA!A6430</f>
        <v/>
      </c>
      <c r="B6430">
        <f>TEST_DATA!B6430</f>
        <v/>
      </c>
      <c r="C6430">
        <f>TEST_DATA!C6430</f>
        <v/>
      </c>
      <c r="D6430">
        <f>TEST_DATA!D6430</f>
        <v/>
      </c>
      <c r="E6430">
        <f>TEST_DATA!E6430</f>
        <v/>
      </c>
    </row>
    <row r="6431">
      <c r="A6431">
        <f>TEST_DATA!A6431</f>
        <v/>
      </c>
      <c r="B6431">
        <f>TEST_DATA!B6431</f>
        <v/>
      </c>
      <c r="C6431">
        <f>TEST_DATA!C6431</f>
        <v/>
      </c>
      <c r="D6431">
        <f>TEST_DATA!D6431</f>
        <v/>
      </c>
      <c r="E6431">
        <f>TEST_DATA!E6431</f>
        <v/>
      </c>
    </row>
    <row r="6432">
      <c r="A6432">
        <f>TEST_DATA!A6432</f>
        <v/>
      </c>
      <c r="B6432">
        <f>TEST_DATA!B6432</f>
        <v/>
      </c>
      <c r="C6432">
        <f>TEST_DATA!C6432</f>
        <v/>
      </c>
      <c r="D6432">
        <f>TEST_DATA!D6432</f>
        <v/>
      </c>
      <c r="E6432">
        <f>TEST_DATA!E6432</f>
        <v/>
      </c>
    </row>
    <row r="6433">
      <c r="A6433">
        <f>TEST_DATA!A6433</f>
        <v/>
      </c>
      <c r="B6433">
        <f>TEST_DATA!B6433</f>
        <v/>
      </c>
      <c r="C6433">
        <f>TEST_DATA!C6433</f>
        <v/>
      </c>
      <c r="D6433">
        <f>TEST_DATA!D6433</f>
        <v/>
      </c>
      <c r="E6433">
        <f>TEST_DATA!E6433</f>
        <v/>
      </c>
    </row>
    <row r="6434">
      <c r="A6434">
        <f>TEST_DATA!A6434</f>
        <v/>
      </c>
      <c r="B6434">
        <f>TEST_DATA!B6434</f>
        <v/>
      </c>
      <c r="C6434">
        <f>TEST_DATA!C6434</f>
        <v/>
      </c>
      <c r="D6434">
        <f>TEST_DATA!D6434</f>
        <v/>
      </c>
      <c r="E6434">
        <f>TEST_DATA!E6434</f>
        <v/>
      </c>
    </row>
    <row r="6435">
      <c r="A6435">
        <f>TEST_DATA!A6435</f>
        <v/>
      </c>
      <c r="B6435">
        <f>TEST_DATA!B6435</f>
        <v/>
      </c>
      <c r="C6435">
        <f>TEST_DATA!C6435</f>
        <v/>
      </c>
      <c r="D6435">
        <f>TEST_DATA!D6435</f>
        <v/>
      </c>
      <c r="E6435">
        <f>TEST_DATA!E6435</f>
        <v/>
      </c>
    </row>
    <row r="6436">
      <c r="A6436">
        <f>TEST_DATA!A6436</f>
        <v/>
      </c>
      <c r="B6436">
        <f>TEST_DATA!B6436</f>
        <v/>
      </c>
      <c r="C6436">
        <f>TEST_DATA!C6436</f>
        <v/>
      </c>
      <c r="D6436">
        <f>TEST_DATA!D6436</f>
        <v/>
      </c>
      <c r="E6436">
        <f>TEST_DATA!E6436</f>
        <v/>
      </c>
    </row>
    <row r="6437">
      <c r="A6437">
        <f>TEST_DATA!A6437</f>
        <v/>
      </c>
      <c r="B6437">
        <f>TEST_DATA!B6437</f>
        <v/>
      </c>
      <c r="C6437">
        <f>TEST_DATA!C6437</f>
        <v/>
      </c>
      <c r="D6437">
        <f>TEST_DATA!D6437</f>
        <v/>
      </c>
      <c r="E6437">
        <f>TEST_DATA!E6437</f>
        <v/>
      </c>
    </row>
    <row r="6438">
      <c r="A6438">
        <f>TEST_DATA!A6438</f>
        <v/>
      </c>
      <c r="B6438">
        <f>TEST_DATA!B6438</f>
        <v/>
      </c>
      <c r="C6438">
        <f>TEST_DATA!C6438</f>
        <v/>
      </c>
      <c r="D6438">
        <f>TEST_DATA!D6438</f>
        <v/>
      </c>
      <c r="E6438">
        <f>TEST_DATA!E6438</f>
        <v/>
      </c>
    </row>
    <row r="6439">
      <c r="A6439">
        <f>TEST_DATA!A6439</f>
        <v/>
      </c>
      <c r="B6439">
        <f>TEST_DATA!B6439</f>
        <v/>
      </c>
      <c r="C6439">
        <f>TEST_DATA!C6439</f>
        <v/>
      </c>
      <c r="D6439">
        <f>TEST_DATA!D6439</f>
        <v/>
      </c>
      <c r="E6439">
        <f>TEST_DATA!E6439</f>
        <v/>
      </c>
    </row>
    <row r="6440">
      <c r="A6440">
        <f>TEST_DATA!A6440</f>
        <v/>
      </c>
      <c r="B6440">
        <f>TEST_DATA!B6440</f>
        <v/>
      </c>
      <c r="C6440">
        <f>TEST_DATA!C6440</f>
        <v/>
      </c>
      <c r="D6440">
        <f>TEST_DATA!D6440</f>
        <v/>
      </c>
      <c r="E6440">
        <f>TEST_DATA!E6440</f>
        <v/>
      </c>
    </row>
    <row r="6441">
      <c r="A6441">
        <f>TEST_DATA!A6441</f>
        <v/>
      </c>
      <c r="B6441">
        <f>TEST_DATA!B6441</f>
        <v/>
      </c>
      <c r="C6441">
        <f>TEST_DATA!C6441</f>
        <v/>
      </c>
      <c r="D6441">
        <f>TEST_DATA!D6441</f>
        <v/>
      </c>
      <c r="E6441">
        <f>TEST_DATA!E6441</f>
        <v/>
      </c>
    </row>
    <row r="6442">
      <c r="A6442">
        <f>TEST_DATA!A6442</f>
        <v/>
      </c>
      <c r="B6442">
        <f>TEST_DATA!B6442</f>
        <v/>
      </c>
      <c r="C6442">
        <f>TEST_DATA!C6442</f>
        <v/>
      </c>
      <c r="D6442">
        <f>TEST_DATA!D6442</f>
        <v/>
      </c>
      <c r="E6442">
        <f>TEST_DATA!E6442</f>
        <v/>
      </c>
    </row>
    <row r="6443">
      <c r="A6443">
        <f>TEST_DATA!A6443</f>
        <v/>
      </c>
      <c r="B6443">
        <f>TEST_DATA!B6443</f>
        <v/>
      </c>
      <c r="C6443">
        <f>TEST_DATA!C6443</f>
        <v/>
      </c>
      <c r="D6443">
        <f>TEST_DATA!D6443</f>
        <v/>
      </c>
      <c r="E6443">
        <f>TEST_DATA!E6443</f>
        <v/>
      </c>
    </row>
    <row r="6444">
      <c r="A6444">
        <f>TEST_DATA!A6444</f>
        <v/>
      </c>
      <c r="B6444">
        <f>TEST_DATA!B6444</f>
        <v/>
      </c>
      <c r="C6444">
        <f>TEST_DATA!C6444</f>
        <v/>
      </c>
      <c r="D6444">
        <f>TEST_DATA!D6444</f>
        <v/>
      </c>
      <c r="E6444">
        <f>TEST_DATA!E6444</f>
        <v/>
      </c>
    </row>
    <row r="6445">
      <c r="A6445">
        <f>TEST_DATA!A6445</f>
        <v/>
      </c>
      <c r="B6445">
        <f>TEST_DATA!B6445</f>
        <v/>
      </c>
      <c r="C6445">
        <f>TEST_DATA!C6445</f>
        <v/>
      </c>
      <c r="D6445">
        <f>TEST_DATA!D6445</f>
        <v/>
      </c>
      <c r="E6445">
        <f>TEST_DATA!E6445</f>
        <v/>
      </c>
    </row>
    <row r="6446">
      <c r="A6446">
        <f>TEST_DATA!A6446</f>
        <v/>
      </c>
      <c r="B6446">
        <f>TEST_DATA!B6446</f>
        <v/>
      </c>
      <c r="C6446">
        <f>TEST_DATA!C6446</f>
        <v/>
      </c>
      <c r="D6446">
        <f>TEST_DATA!D6446</f>
        <v/>
      </c>
      <c r="E6446">
        <f>TEST_DATA!E6446</f>
        <v/>
      </c>
    </row>
    <row r="6447">
      <c r="A6447">
        <f>TEST_DATA!A6447</f>
        <v/>
      </c>
      <c r="B6447">
        <f>TEST_DATA!B6447</f>
        <v/>
      </c>
      <c r="C6447">
        <f>TEST_DATA!C6447</f>
        <v/>
      </c>
      <c r="D6447">
        <f>TEST_DATA!D6447</f>
        <v/>
      </c>
      <c r="E6447">
        <f>TEST_DATA!E6447</f>
        <v/>
      </c>
    </row>
    <row r="6448">
      <c r="A6448">
        <f>TEST_DATA!A6448</f>
        <v/>
      </c>
      <c r="B6448">
        <f>TEST_DATA!B6448</f>
        <v/>
      </c>
      <c r="C6448">
        <f>TEST_DATA!C6448</f>
        <v/>
      </c>
      <c r="D6448">
        <f>TEST_DATA!D6448</f>
        <v/>
      </c>
      <c r="E6448">
        <f>TEST_DATA!E6448</f>
        <v/>
      </c>
    </row>
    <row r="6449">
      <c r="A6449">
        <f>TEST_DATA!A6449</f>
        <v/>
      </c>
      <c r="B6449">
        <f>TEST_DATA!B6449</f>
        <v/>
      </c>
      <c r="C6449">
        <f>TEST_DATA!C6449</f>
        <v/>
      </c>
      <c r="D6449">
        <f>TEST_DATA!D6449</f>
        <v/>
      </c>
      <c r="E6449">
        <f>TEST_DATA!E6449</f>
        <v/>
      </c>
    </row>
    <row r="6450">
      <c r="A6450">
        <f>TEST_DATA!A6450</f>
        <v/>
      </c>
      <c r="B6450">
        <f>TEST_DATA!B6450</f>
        <v/>
      </c>
      <c r="C6450">
        <f>TEST_DATA!C6450</f>
        <v/>
      </c>
      <c r="D6450">
        <f>TEST_DATA!D6450</f>
        <v/>
      </c>
      <c r="E6450">
        <f>TEST_DATA!E6450</f>
        <v/>
      </c>
    </row>
    <row r="6451">
      <c r="A6451">
        <f>TEST_DATA!A6451</f>
        <v/>
      </c>
      <c r="B6451">
        <f>TEST_DATA!B6451</f>
        <v/>
      </c>
      <c r="C6451">
        <f>TEST_DATA!C6451</f>
        <v/>
      </c>
      <c r="D6451">
        <f>TEST_DATA!D6451</f>
        <v/>
      </c>
      <c r="E6451">
        <f>TEST_DATA!E6451</f>
        <v/>
      </c>
    </row>
    <row r="6452">
      <c r="A6452">
        <f>TEST_DATA!A6452</f>
        <v/>
      </c>
      <c r="B6452">
        <f>TEST_DATA!B6452</f>
        <v/>
      </c>
      <c r="C6452">
        <f>TEST_DATA!C6452</f>
        <v/>
      </c>
      <c r="D6452">
        <f>TEST_DATA!D6452</f>
        <v/>
      </c>
      <c r="E6452">
        <f>TEST_DATA!E6452</f>
        <v/>
      </c>
    </row>
    <row r="6453">
      <c r="A6453">
        <f>TEST_DATA!A6453</f>
        <v/>
      </c>
      <c r="B6453">
        <f>TEST_DATA!B6453</f>
        <v/>
      </c>
      <c r="C6453">
        <f>TEST_DATA!C6453</f>
        <v/>
      </c>
      <c r="D6453">
        <f>TEST_DATA!D6453</f>
        <v/>
      </c>
      <c r="E6453">
        <f>TEST_DATA!E6453</f>
        <v/>
      </c>
    </row>
    <row r="6454">
      <c r="A6454">
        <f>TEST_DATA!A6454</f>
        <v/>
      </c>
      <c r="B6454">
        <f>TEST_DATA!B6454</f>
        <v/>
      </c>
      <c r="C6454">
        <f>TEST_DATA!C6454</f>
        <v/>
      </c>
      <c r="D6454">
        <f>TEST_DATA!D6454</f>
        <v/>
      </c>
      <c r="E6454">
        <f>TEST_DATA!E6454</f>
        <v/>
      </c>
    </row>
    <row r="6455">
      <c r="A6455">
        <f>TEST_DATA!A6455</f>
        <v/>
      </c>
      <c r="B6455">
        <f>TEST_DATA!B6455</f>
        <v/>
      </c>
      <c r="C6455">
        <f>TEST_DATA!C6455</f>
        <v/>
      </c>
      <c r="D6455">
        <f>TEST_DATA!D6455</f>
        <v/>
      </c>
      <c r="E6455">
        <f>TEST_DATA!E6455</f>
        <v/>
      </c>
    </row>
    <row r="6456">
      <c r="A6456">
        <f>TEST_DATA!A6456</f>
        <v/>
      </c>
      <c r="B6456">
        <f>TEST_DATA!B6456</f>
        <v/>
      </c>
      <c r="C6456">
        <f>TEST_DATA!C6456</f>
        <v/>
      </c>
      <c r="D6456">
        <f>TEST_DATA!D6456</f>
        <v/>
      </c>
      <c r="E6456">
        <f>TEST_DATA!E6456</f>
        <v/>
      </c>
    </row>
    <row r="6457">
      <c r="A6457">
        <f>TEST_DATA!A6457</f>
        <v/>
      </c>
      <c r="B6457">
        <f>TEST_DATA!B6457</f>
        <v/>
      </c>
      <c r="C6457">
        <f>TEST_DATA!C6457</f>
        <v/>
      </c>
      <c r="D6457">
        <f>TEST_DATA!D6457</f>
        <v/>
      </c>
      <c r="E6457">
        <f>TEST_DATA!E6457</f>
        <v/>
      </c>
    </row>
    <row r="6458">
      <c r="A6458">
        <f>TEST_DATA!A6458</f>
        <v/>
      </c>
      <c r="B6458">
        <f>TEST_DATA!B6458</f>
        <v/>
      </c>
      <c r="C6458">
        <f>TEST_DATA!C6458</f>
        <v/>
      </c>
      <c r="D6458">
        <f>TEST_DATA!D6458</f>
        <v/>
      </c>
      <c r="E6458">
        <f>TEST_DATA!E6458</f>
        <v/>
      </c>
    </row>
    <row r="6459">
      <c r="A6459">
        <f>TEST_DATA!A6459</f>
        <v/>
      </c>
      <c r="B6459">
        <f>TEST_DATA!B6459</f>
        <v/>
      </c>
      <c r="C6459">
        <f>TEST_DATA!C6459</f>
        <v/>
      </c>
      <c r="D6459">
        <f>TEST_DATA!D6459</f>
        <v/>
      </c>
      <c r="E6459">
        <f>TEST_DATA!E6459</f>
        <v/>
      </c>
    </row>
    <row r="6460">
      <c r="A6460">
        <f>TEST_DATA!A6460</f>
        <v/>
      </c>
      <c r="B6460">
        <f>TEST_DATA!B6460</f>
        <v/>
      </c>
      <c r="C6460">
        <f>TEST_DATA!C6460</f>
        <v/>
      </c>
      <c r="D6460">
        <f>TEST_DATA!D6460</f>
        <v/>
      </c>
      <c r="E6460">
        <f>TEST_DATA!E6460</f>
        <v/>
      </c>
    </row>
    <row r="6461">
      <c r="A6461">
        <f>TEST_DATA!A6461</f>
        <v/>
      </c>
      <c r="B6461">
        <f>TEST_DATA!B6461</f>
        <v/>
      </c>
      <c r="C6461">
        <f>TEST_DATA!C6461</f>
        <v/>
      </c>
      <c r="D6461">
        <f>TEST_DATA!D6461</f>
        <v/>
      </c>
      <c r="E6461">
        <f>TEST_DATA!E6461</f>
        <v/>
      </c>
    </row>
    <row r="6462">
      <c r="A6462">
        <f>TEST_DATA!A6462</f>
        <v/>
      </c>
      <c r="B6462">
        <f>TEST_DATA!B6462</f>
        <v/>
      </c>
      <c r="C6462">
        <f>TEST_DATA!C6462</f>
        <v/>
      </c>
      <c r="D6462">
        <f>TEST_DATA!D6462</f>
        <v/>
      </c>
      <c r="E6462">
        <f>TEST_DATA!E6462</f>
        <v/>
      </c>
    </row>
    <row r="6463">
      <c r="A6463">
        <f>TEST_DATA!A6463</f>
        <v/>
      </c>
      <c r="B6463">
        <f>TEST_DATA!B6463</f>
        <v/>
      </c>
      <c r="C6463">
        <f>TEST_DATA!C6463</f>
        <v/>
      </c>
      <c r="D6463">
        <f>TEST_DATA!D6463</f>
        <v/>
      </c>
      <c r="E6463">
        <f>TEST_DATA!E6463</f>
        <v/>
      </c>
    </row>
    <row r="6464">
      <c r="A6464">
        <f>TEST_DATA!A6464</f>
        <v/>
      </c>
      <c r="B6464">
        <f>TEST_DATA!B6464</f>
        <v/>
      </c>
      <c r="C6464">
        <f>TEST_DATA!C6464</f>
        <v/>
      </c>
      <c r="D6464">
        <f>TEST_DATA!D6464</f>
        <v/>
      </c>
      <c r="E6464">
        <f>TEST_DATA!E6464</f>
        <v/>
      </c>
    </row>
    <row r="6465">
      <c r="A6465">
        <f>TEST_DATA!A6465</f>
        <v/>
      </c>
      <c r="B6465">
        <f>TEST_DATA!B6465</f>
        <v/>
      </c>
      <c r="C6465">
        <f>TEST_DATA!C6465</f>
        <v/>
      </c>
      <c r="D6465">
        <f>TEST_DATA!D6465</f>
        <v/>
      </c>
      <c r="E6465">
        <f>TEST_DATA!E6465</f>
        <v/>
      </c>
    </row>
    <row r="6466">
      <c r="A6466">
        <f>TEST_DATA!A6466</f>
        <v/>
      </c>
      <c r="B6466">
        <f>TEST_DATA!B6466</f>
        <v/>
      </c>
      <c r="C6466">
        <f>TEST_DATA!C6466</f>
        <v/>
      </c>
      <c r="D6466">
        <f>TEST_DATA!D6466</f>
        <v/>
      </c>
      <c r="E6466">
        <f>TEST_DATA!E6466</f>
        <v/>
      </c>
    </row>
    <row r="6467">
      <c r="A6467">
        <f>TEST_DATA!A6467</f>
        <v/>
      </c>
      <c r="B6467">
        <f>TEST_DATA!B6467</f>
        <v/>
      </c>
      <c r="C6467">
        <f>TEST_DATA!C6467</f>
        <v/>
      </c>
      <c r="D6467">
        <f>TEST_DATA!D6467</f>
        <v/>
      </c>
      <c r="E6467">
        <f>TEST_DATA!E6467</f>
        <v/>
      </c>
    </row>
    <row r="6468">
      <c r="A6468">
        <f>TEST_DATA!A6468</f>
        <v/>
      </c>
      <c r="B6468">
        <f>TEST_DATA!B6468</f>
        <v/>
      </c>
      <c r="C6468">
        <f>TEST_DATA!C6468</f>
        <v/>
      </c>
      <c r="D6468">
        <f>TEST_DATA!D6468</f>
        <v/>
      </c>
      <c r="E6468">
        <f>TEST_DATA!E6468</f>
        <v/>
      </c>
    </row>
    <row r="6469">
      <c r="A6469">
        <f>TEST_DATA!A6469</f>
        <v/>
      </c>
      <c r="B6469">
        <f>TEST_DATA!B6469</f>
        <v/>
      </c>
      <c r="C6469">
        <f>TEST_DATA!C6469</f>
        <v/>
      </c>
      <c r="D6469">
        <f>TEST_DATA!D6469</f>
        <v/>
      </c>
      <c r="E6469">
        <f>TEST_DATA!E6469</f>
        <v/>
      </c>
    </row>
    <row r="6470">
      <c r="A6470">
        <f>TEST_DATA!A6470</f>
        <v/>
      </c>
      <c r="B6470">
        <f>TEST_DATA!B6470</f>
        <v/>
      </c>
      <c r="C6470">
        <f>TEST_DATA!C6470</f>
        <v/>
      </c>
      <c r="D6470">
        <f>TEST_DATA!D6470</f>
        <v/>
      </c>
      <c r="E6470">
        <f>TEST_DATA!E6470</f>
        <v/>
      </c>
    </row>
    <row r="6471">
      <c r="A6471">
        <f>TEST_DATA!A6471</f>
        <v/>
      </c>
      <c r="B6471">
        <f>TEST_DATA!B6471</f>
        <v/>
      </c>
      <c r="C6471">
        <f>TEST_DATA!C6471</f>
        <v/>
      </c>
      <c r="D6471">
        <f>TEST_DATA!D6471</f>
        <v/>
      </c>
      <c r="E6471">
        <f>TEST_DATA!E6471</f>
        <v/>
      </c>
    </row>
    <row r="6472">
      <c r="A6472">
        <f>TEST_DATA!A6472</f>
        <v/>
      </c>
      <c r="B6472">
        <f>TEST_DATA!B6472</f>
        <v/>
      </c>
      <c r="C6472">
        <f>TEST_DATA!C6472</f>
        <v/>
      </c>
      <c r="D6472">
        <f>TEST_DATA!D6472</f>
        <v/>
      </c>
      <c r="E6472">
        <f>TEST_DATA!E6472</f>
        <v/>
      </c>
    </row>
    <row r="6473">
      <c r="A6473">
        <f>TEST_DATA!A6473</f>
        <v/>
      </c>
      <c r="B6473">
        <f>TEST_DATA!B6473</f>
        <v/>
      </c>
      <c r="C6473">
        <f>TEST_DATA!C6473</f>
        <v/>
      </c>
      <c r="D6473">
        <f>TEST_DATA!D6473</f>
        <v/>
      </c>
      <c r="E6473">
        <f>TEST_DATA!E6473</f>
        <v/>
      </c>
    </row>
    <row r="6474">
      <c r="A6474">
        <f>TEST_DATA!A6474</f>
        <v/>
      </c>
      <c r="B6474">
        <f>TEST_DATA!B6474</f>
        <v/>
      </c>
      <c r="C6474">
        <f>TEST_DATA!C6474</f>
        <v/>
      </c>
      <c r="D6474">
        <f>TEST_DATA!D6474</f>
        <v/>
      </c>
      <c r="E6474">
        <f>TEST_DATA!E6474</f>
        <v/>
      </c>
    </row>
    <row r="6475">
      <c r="A6475">
        <f>TEST_DATA!A6475</f>
        <v/>
      </c>
      <c r="B6475">
        <f>TEST_DATA!B6475</f>
        <v/>
      </c>
      <c r="C6475">
        <f>TEST_DATA!C6475</f>
        <v/>
      </c>
      <c r="D6475">
        <f>TEST_DATA!D6475</f>
        <v/>
      </c>
      <c r="E6475">
        <f>TEST_DATA!E6475</f>
        <v/>
      </c>
    </row>
    <row r="6476">
      <c r="A6476">
        <f>TEST_DATA!A6476</f>
        <v/>
      </c>
      <c r="B6476">
        <f>TEST_DATA!B6476</f>
        <v/>
      </c>
      <c r="C6476">
        <f>TEST_DATA!C6476</f>
        <v/>
      </c>
      <c r="D6476">
        <f>TEST_DATA!D6476</f>
        <v/>
      </c>
      <c r="E6476">
        <f>TEST_DATA!E6476</f>
        <v/>
      </c>
    </row>
    <row r="6477">
      <c r="A6477">
        <f>TEST_DATA!A6477</f>
        <v/>
      </c>
      <c r="B6477">
        <f>TEST_DATA!B6477</f>
        <v/>
      </c>
      <c r="C6477">
        <f>TEST_DATA!C6477</f>
        <v/>
      </c>
      <c r="D6477">
        <f>TEST_DATA!D6477</f>
        <v/>
      </c>
      <c r="E6477">
        <f>TEST_DATA!E6477</f>
        <v/>
      </c>
    </row>
    <row r="6478">
      <c r="A6478">
        <f>TEST_DATA!A6478</f>
        <v/>
      </c>
      <c r="B6478">
        <f>TEST_DATA!B6478</f>
        <v/>
      </c>
      <c r="C6478">
        <f>TEST_DATA!C6478</f>
        <v/>
      </c>
      <c r="D6478">
        <f>TEST_DATA!D6478</f>
        <v/>
      </c>
      <c r="E6478">
        <f>TEST_DATA!E6478</f>
        <v/>
      </c>
    </row>
    <row r="6479">
      <c r="A6479">
        <f>TEST_DATA!A6479</f>
        <v/>
      </c>
      <c r="B6479">
        <f>TEST_DATA!B6479</f>
        <v/>
      </c>
      <c r="C6479">
        <f>TEST_DATA!C6479</f>
        <v/>
      </c>
      <c r="D6479">
        <f>TEST_DATA!D6479</f>
        <v/>
      </c>
      <c r="E6479">
        <f>TEST_DATA!E6479</f>
        <v/>
      </c>
    </row>
    <row r="6480">
      <c r="A6480">
        <f>TEST_DATA!A6480</f>
        <v/>
      </c>
      <c r="B6480">
        <f>TEST_DATA!B6480</f>
        <v/>
      </c>
      <c r="C6480">
        <f>TEST_DATA!C6480</f>
        <v/>
      </c>
      <c r="D6480">
        <f>TEST_DATA!D6480</f>
        <v/>
      </c>
      <c r="E6480">
        <f>TEST_DATA!E6480</f>
        <v/>
      </c>
    </row>
    <row r="6481">
      <c r="A6481">
        <f>TEST_DATA!A6481</f>
        <v/>
      </c>
      <c r="B6481">
        <f>TEST_DATA!B6481</f>
        <v/>
      </c>
      <c r="C6481">
        <f>TEST_DATA!C6481</f>
        <v/>
      </c>
      <c r="D6481">
        <f>TEST_DATA!D6481</f>
        <v/>
      </c>
      <c r="E6481">
        <f>TEST_DATA!E6481</f>
        <v/>
      </c>
    </row>
    <row r="6482">
      <c r="A6482">
        <f>TEST_DATA!A6482</f>
        <v/>
      </c>
      <c r="B6482">
        <f>TEST_DATA!B6482</f>
        <v/>
      </c>
      <c r="C6482">
        <f>TEST_DATA!C6482</f>
        <v/>
      </c>
      <c r="D6482">
        <f>TEST_DATA!D6482</f>
        <v/>
      </c>
      <c r="E6482">
        <f>TEST_DATA!E6482</f>
        <v/>
      </c>
    </row>
    <row r="6483">
      <c r="A6483">
        <f>TEST_DATA!A6483</f>
        <v/>
      </c>
      <c r="B6483">
        <f>TEST_DATA!B6483</f>
        <v/>
      </c>
      <c r="C6483">
        <f>TEST_DATA!C6483</f>
        <v/>
      </c>
      <c r="D6483">
        <f>TEST_DATA!D6483</f>
        <v/>
      </c>
      <c r="E6483">
        <f>TEST_DATA!E6483</f>
        <v/>
      </c>
    </row>
    <row r="6484">
      <c r="A6484">
        <f>TEST_DATA!A6484</f>
        <v/>
      </c>
      <c r="B6484">
        <f>TEST_DATA!B6484</f>
        <v/>
      </c>
      <c r="C6484">
        <f>TEST_DATA!C6484</f>
        <v/>
      </c>
      <c r="D6484">
        <f>TEST_DATA!D6484</f>
        <v/>
      </c>
      <c r="E6484">
        <f>TEST_DATA!E6484</f>
        <v/>
      </c>
    </row>
    <row r="6485">
      <c r="A6485">
        <f>TEST_DATA!A6485</f>
        <v/>
      </c>
      <c r="B6485">
        <f>TEST_DATA!B6485</f>
        <v/>
      </c>
      <c r="C6485">
        <f>TEST_DATA!C6485</f>
        <v/>
      </c>
      <c r="D6485">
        <f>TEST_DATA!D6485</f>
        <v/>
      </c>
      <c r="E6485">
        <f>TEST_DATA!E6485</f>
        <v/>
      </c>
    </row>
    <row r="6486">
      <c r="A6486">
        <f>TEST_DATA!A6486</f>
        <v/>
      </c>
      <c r="B6486">
        <f>TEST_DATA!B6486</f>
        <v/>
      </c>
      <c r="C6486">
        <f>TEST_DATA!C6486</f>
        <v/>
      </c>
      <c r="D6486">
        <f>TEST_DATA!D6486</f>
        <v/>
      </c>
      <c r="E6486">
        <f>TEST_DATA!E6486</f>
        <v/>
      </c>
    </row>
    <row r="6487">
      <c r="A6487">
        <f>TEST_DATA!A6487</f>
        <v/>
      </c>
      <c r="B6487">
        <f>TEST_DATA!B6487</f>
        <v/>
      </c>
      <c r="C6487">
        <f>TEST_DATA!C6487</f>
        <v/>
      </c>
      <c r="D6487">
        <f>TEST_DATA!D6487</f>
        <v/>
      </c>
      <c r="E6487">
        <f>TEST_DATA!E6487</f>
        <v/>
      </c>
    </row>
    <row r="6488">
      <c r="A6488">
        <f>TEST_DATA!A6488</f>
        <v/>
      </c>
      <c r="B6488">
        <f>TEST_DATA!B6488</f>
        <v/>
      </c>
      <c r="C6488">
        <f>TEST_DATA!C6488</f>
        <v/>
      </c>
      <c r="D6488">
        <f>TEST_DATA!D6488</f>
        <v/>
      </c>
      <c r="E6488">
        <f>TEST_DATA!E6488</f>
        <v/>
      </c>
    </row>
    <row r="6489">
      <c r="A6489">
        <f>TEST_DATA!A6489</f>
        <v/>
      </c>
      <c r="B6489">
        <f>TEST_DATA!B6489</f>
        <v/>
      </c>
      <c r="C6489">
        <f>TEST_DATA!C6489</f>
        <v/>
      </c>
      <c r="D6489">
        <f>TEST_DATA!D6489</f>
        <v/>
      </c>
      <c r="E6489">
        <f>TEST_DATA!E6489</f>
        <v/>
      </c>
    </row>
    <row r="6490">
      <c r="A6490">
        <f>TEST_DATA!A6490</f>
        <v/>
      </c>
      <c r="B6490">
        <f>TEST_DATA!B6490</f>
        <v/>
      </c>
      <c r="C6490">
        <f>TEST_DATA!C6490</f>
        <v/>
      </c>
      <c r="D6490">
        <f>TEST_DATA!D6490</f>
        <v/>
      </c>
      <c r="E6490">
        <f>TEST_DATA!E6490</f>
        <v/>
      </c>
    </row>
    <row r="6491">
      <c r="A6491">
        <f>TEST_DATA!A6491</f>
        <v/>
      </c>
      <c r="B6491">
        <f>TEST_DATA!B6491</f>
        <v/>
      </c>
      <c r="C6491">
        <f>TEST_DATA!C6491</f>
        <v/>
      </c>
      <c r="D6491">
        <f>TEST_DATA!D6491</f>
        <v/>
      </c>
      <c r="E6491">
        <f>TEST_DATA!E6491</f>
        <v/>
      </c>
    </row>
    <row r="6492">
      <c r="A6492">
        <f>TEST_DATA!A6492</f>
        <v/>
      </c>
      <c r="B6492">
        <f>TEST_DATA!B6492</f>
        <v/>
      </c>
      <c r="C6492">
        <f>TEST_DATA!C6492</f>
        <v/>
      </c>
      <c r="D6492">
        <f>TEST_DATA!D6492</f>
        <v/>
      </c>
      <c r="E6492">
        <f>TEST_DATA!E6492</f>
        <v/>
      </c>
    </row>
    <row r="6493">
      <c r="A6493">
        <f>TEST_DATA!A6493</f>
        <v/>
      </c>
      <c r="B6493">
        <f>TEST_DATA!B6493</f>
        <v/>
      </c>
      <c r="C6493">
        <f>TEST_DATA!C6493</f>
        <v/>
      </c>
      <c r="D6493">
        <f>TEST_DATA!D6493</f>
        <v/>
      </c>
      <c r="E6493">
        <f>TEST_DATA!E6493</f>
        <v/>
      </c>
    </row>
    <row r="6494">
      <c r="A6494">
        <f>TEST_DATA!A6494</f>
        <v/>
      </c>
      <c r="B6494">
        <f>TEST_DATA!B6494</f>
        <v/>
      </c>
      <c r="C6494">
        <f>TEST_DATA!C6494</f>
        <v/>
      </c>
      <c r="D6494">
        <f>TEST_DATA!D6494</f>
        <v/>
      </c>
      <c r="E6494">
        <f>TEST_DATA!E6494</f>
        <v/>
      </c>
    </row>
    <row r="6495">
      <c r="A6495">
        <f>TEST_DATA!A6495</f>
        <v/>
      </c>
      <c r="B6495">
        <f>TEST_DATA!B6495</f>
        <v/>
      </c>
      <c r="C6495">
        <f>TEST_DATA!C6495</f>
        <v/>
      </c>
      <c r="D6495">
        <f>TEST_DATA!D6495</f>
        <v/>
      </c>
      <c r="E6495">
        <f>TEST_DATA!E6495</f>
        <v/>
      </c>
    </row>
    <row r="6496">
      <c r="A6496">
        <f>TEST_DATA!A6496</f>
        <v/>
      </c>
      <c r="B6496">
        <f>TEST_DATA!B6496</f>
        <v/>
      </c>
      <c r="C6496">
        <f>TEST_DATA!C6496</f>
        <v/>
      </c>
      <c r="D6496">
        <f>TEST_DATA!D6496</f>
        <v/>
      </c>
      <c r="E6496">
        <f>TEST_DATA!E6496</f>
        <v/>
      </c>
    </row>
    <row r="6497">
      <c r="A6497">
        <f>TEST_DATA!A6497</f>
        <v/>
      </c>
      <c r="B6497">
        <f>TEST_DATA!B6497</f>
        <v/>
      </c>
      <c r="C6497">
        <f>TEST_DATA!C6497</f>
        <v/>
      </c>
      <c r="D6497">
        <f>TEST_DATA!D6497</f>
        <v/>
      </c>
      <c r="E6497">
        <f>TEST_DATA!E6497</f>
        <v/>
      </c>
    </row>
    <row r="6498">
      <c r="A6498">
        <f>TEST_DATA!A6498</f>
        <v/>
      </c>
      <c r="B6498">
        <f>TEST_DATA!B6498</f>
        <v/>
      </c>
      <c r="C6498">
        <f>TEST_DATA!C6498</f>
        <v/>
      </c>
      <c r="D6498">
        <f>TEST_DATA!D6498</f>
        <v/>
      </c>
      <c r="E6498">
        <f>TEST_DATA!E6498</f>
        <v/>
      </c>
    </row>
    <row r="6499">
      <c r="A6499">
        <f>TEST_DATA!A6499</f>
        <v/>
      </c>
      <c r="B6499">
        <f>TEST_DATA!B6499</f>
        <v/>
      </c>
      <c r="C6499">
        <f>TEST_DATA!C6499</f>
        <v/>
      </c>
      <c r="D6499">
        <f>TEST_DATA!D6499</f>
        <v/>
      </c>
      <c r="E6499">
        <f>TEST_DATA!E6499</f>
        <v/>
      </c>
    </row>
    <row r="6500">
      <c r="A6500">
        <f>TEST_DATA!A6500</f>
        <v/>
      </c>
      <c r="B6500">
        <f>TEST_DATA!B6500</f>
        <v/>
      </c>
      <c r="C6500">
        <f>TEST_DATA!C6500</f>
        <v/>
      </c>
      <c r="D6500">
        <f>TEST_DATA!D6500</f>
        <v/>
      </c>
      <c r="E6500">
        <f>TEST_DATA!E6500</f>
        <v/>
      </c>
    </row>
    <row r="6501">
      <c r="A6501">
        <f>TEST_DATA!A6501</f>
        <v/>
      </c>
      <c r="B6501">
        <f>TEST_DATA!B6501</f>
        <v/>
      </c>
      <c r="C6501">
        <f>TEST_DATA!C6501</f>
        <v/>
      </c>
      <c r="D6501">
        <f>TEST_DATA!D6501</f>
        <v/>
      </c>
      <c r="E6501">
        <f>TEST_DATA!E6501</f>
        <v/>
      </c>
    </row>
    <row r="6502">
      <c r="A6502">
        <f>TEST_DATA!A6502</f>
        <v/>
      </c>
      <c r="B6502">
        <f>TEST_DATA!B6502</f>
        <v/>
      </c>
      <c r="C6502">
        <f>TEST_DATA!C6502</f>
        <v/>
      </c>
      <c r="D6502">
        <f>TEST_DATA!D6502</f>
        <v/>
      </c>
      <c r="E6502">
        <f>TEST_DATA!E6502</f>
        <v/>
      </c>
    </row>
    <row r="6503">
      <c r="A6503">
        <f>TEST_DATA!A6503</f>
        <v/>
      </c>
      <c r="B6503">
        <f>TEST_DATA!B6503</f>
        <v/>
      </c>
      <c r="C6503">
        <f>TEST_DATA!C6503</f>
        <v/>
      </c>
      <c r="D6503">
        <f>TEST_DATA!D6503</f>
        <v/>
      </c>
      <c r="E6503">
        <f>TEST_DATA!E6503</f>
        <v/>
      </c>
    </row>
    <row r="6504">
      <c r="A6504">
        <f>TEST_DATA!A6504</f>
        <v/>
      </c>
      <c r="B6504">
        <f>TEST_DATA!B6504</f>
        <v/>
      </c>
      <c r="C6504">
        <f>TEST_DATA!C6504</f>
        <v/>
      </c>
      <c r="D6504">
        <f>TEST_DATA!D6504</f>
        <v/>
      </c>
      <c r="E6504">
        <f>TEST_DATA!E6504</f>
        <v/>
      </c>
    </row>
    <row r="6505">
      <c r="A6505">
        <f>TEST_DATA!A6505</f>
        <v/>
      </c>
      <c r="B6505">
        <f>TEST_DATA!B6505</f>
        <v/>
      </c>
      <c r="C6505">
        <f>TEST_DATA!C6505</f>
        <v/>
      </c>
      <c r="D6505">
        <f>TEST_DATA!D6505</f>
        <v/>
      </c>
      <c r="E6505">
        <f>TEST_DATA!E6505</f>
        <v/>
      </c>
    </row>
    <row r="6506">
      <c r="A6506">
        <f>TEST_DATA!A6506</f>
        <v/>
      </c>
      <c r="B6506">
        <f>TEST_DATA!B6506</f>
        <v/>
      </c>
      <c r="C6506">
        <f>TEST_DATA!C6506</f>
        <v/>
      </c>
      <c r="D6506">
        <f>TEST_DATA!D6506</f>
        <v/>
      </c>
      <c r="E6506">
        <f>TEST_DATA!E6506</f>
        <v/>
      </c>
    </row>
    <row r="6507">
      <c r="A6507">
        <f>TEST_DATA!A6507</f>
        <v/>
      </c>
      <c r="B6507">
        <f>TEST_DATA!B6507</f>
        <v/>
      </c>
      <c r="C6507">
        <f>TEST_DATA!C6507</f>
        <v/>
      </c>
      <c r="D6507">
        <f>TEST_DATA!D6507</f>
        <v/>
      </c>
      <c r="E6507">
        <f>TEST_DATA!E6507</f>
        <v/>
      </c>
    </row>
    <row r="6508">
      <c r="A6508">
        <f>TEST_DATA!A6508</f>
        <v/>
      </c>
      <c r="B6508">
        <f>TEST_DATA!B6508</f>
        <v/>
      </c>
      <c r="C6508">
        <f>TEST_DATA!C6508</f>
        <v/>
      </c>
      <c r="D6508">
        <f>TEST_DATA!D6508</f>
        <v/>
      </c>
      <c r="E6508">
        <f>TEST_DATA!E6508</f>
        <v/>
      </c>
    </row>
    <row r="6509">
      <c r="A6509">
        <f>TEST_DATA!A6509</f>
        <v/>
      </c>
      <c r="B6509">
        <f>TEST_DATA!B6509</f>
        <v/>
      </c>
      <c r="C6509">
        <f>TEST_DATA!C6509</f>
        <v/>
      </c>
      <c r="D6509">
        <f>TEST_DATA!D6509</f>
        <v/>
      </c>
      <c r="E6509">
        <f>TEST_DATA!E6509</f>
        <v/>
      </c>
    </row>
    <row r="6510">
      <c r="A6510">
        <f>TEST_DATA!A6510</f>
        <v/>
      </c>
      <c r="B6510">
        <f>TEST_DATA!B6510</f>
        <v/>
      </c>
      <c r="C6510">
        <f>TEST_DATA!C6510</f>
        <v/>
      </c>
      <c r="D6510">
        <f>TEST_DATA!D6510</f>
        <v/>
      </c>
      <c r="E6510">
        <f>TEST_DATA!E6510</f>
        <v/>
      </c>
    </row>
    <row r="6511">
      <c r="A6511">
        <f>TEST_DATA!A6511</f>
        <v/>
      </c>
      <c r="B6511">
        <f>TEST_DATA!B6511</f>
        <v/>
      </c>
      <c r="C6511">
        <f>TEST_DATA!C6511</f>
        <v/>
      </c>
      <c r="D6511">
        <f>TEST_DATA!D6511</f>
        <v/>
      </c>
      <c r="E6511">
        <f>TEST_DATA!E6511</f>
        <v/>
      </c>
    </row>
    <row r="6512">
      <c r="A6512">
        <f>TEST_DATA!A6512</f>
        <v/>
      </c>
      <c r="B6512">
        <f>TEST_DATA!B6512</f>
        <v/>
      </c>
      <c r="C6512">
        <f>TEST_DATA!C6512</f>
        <v/>
      </c>
      <c r="D6512">
        <f>TEST_DATA!D6512</f>
        <v/>
      </c>
      <c r="E6512">
        <f>TEST_DATA!E6512</f>
        <v/>
      </c>
    </row>
    <row r="6513">
      <c r="A6513">
        <f>TEST_DATA!A6513</f>
        <v/>
      </c>
      <c r="B6513">
        <f>TEST_DATA!B6513</f>
        <v/>
      </c>
      <c r="C6513">
        <f>TEST_DATA!C6513</f>
        <v/>
      </c>
      <c r="D6513">
        <f>TEST_DATA!D6513</f>
        <v/>
      </c>
      <c r="E6513">
        <f>TEST_DATA!E6513</f>
        <v/>
      </c>
    </row>
    <row r="6514">
      <c r="A6514">
        <f>TEST_DATA!A6514</f>
        <v/>
      </c>
      <c r="B6514">
        <f>TEST_DATA!B6514</f>
        <v/>
      </c>
      <c r="C6514">
        <f>TEST_DATA!C6514</f>
        <v/>
      </c>
      <c r="D6514">
        <f>TEST_DATA!D6514</f>
        <v/>
      </c>
      <c r="E6514">
        <f>TEST_DATA!E6514</f>
        <v/>
      </c>
    </row>
    <row r="6515">
      <c r="A6515">
        <f>TEST_DATA!A6515</f>
        <v/>
      </c>
      <c r="B6515">
        <f>TEST_DATA!B6515</f>
        <v/>
      </c>
      <c r="C6515">
        <f>TEST_DATA!C6515</f>
        <v/>
      </c>
      <c r="D6515">
        <f>TEST_DATA!D6515</f>
        <v/>
      </c>
      <c r="E6515">
        <f>TEST_DATA!E6515</f>
        <v/>
      </c>
    </row>
    <row r="6516">
      <c r="A6516">
        <f>TEST_DATA!A6516</f>
        <v/>
      </c>
      <c r="B6516">
        <f>TEST_DATA!B6516</f>
        <v/>
      </c>
      <c r="C6516">
        <f>TEST_DATA!C6516</f>
        <v/>
      </c>
      <c r="D6516">
        <f>TEST_DATA!D6516</f>
        <v/>
      </c>
      <c r="E6516">
        <f>TEST_DATA!E6516</f>
        <v/>
      </c>
    </row>
    <row r="6517">
      <c r="A6517">
        <f>TEST_DATA!A6517</f>
        <v/>
      </c>
      <c r="B6517">
        <f>TEST_DATA!B6517</f>
        <v/>
      </c>
      <c r="C6517">
        <f>TEST_DATA!C6517</f>
        <v/>
      </c>
      <c r="D6517">
        <f>TEST_DATA!D6517</f>
        <v/>
      </c>
      <c r="E6517">
        <f>TEST_DATA!E6517</f>
        <v/>
      </c>
    </row>
    <row r="6518">
      <c r="A6518">
        <f>TEST_DATA!A6518</f>
        <v/>
      </c>
      <c r="B6518">
        <f>TEST_DATA!B6518</f>
        <v/>
      </c>
      <c r="C6518">
        <f>TEST_DATA!C6518</f>
        <v/>
      </c>
      <c r="D6518">
        <f>TEST_DATA!D6518</f>
        <v/>
      </c>
      <c r="E6518">
        <f>TEST_DATA!E6518</f>
        <v/>
      </c>
    </row>
    <row r="6519">
      <c r="A6519">
        <f>TEST_DATA!A6519</f>
        <v/>
      </c>
      <c r="B6519">
        <f>TEST_DATA!B6519</f>
        <v/>
      </c>
      <c r="C6519">
        <f>TEST_DATA!C6519</f>
        <v/>
      </c>
      <c r="D6519">
        <f>TEST_DATA!D6519</f>
        <v/>
      </c>
      <c r="E6519">
        <f>TEST_DATA!E6519</f>
        <v/>
      </c>
    </row>
    <row r="6520">
      <c r="A6520">
        <f>TEST_DATA!A6520</f>
        <v/>
      </c>
      <c r="B6520">
        <f>TEST_DATA!B6520</f>
        <v/>
      </c>
      <c r="C6520">
        <f>TEST_DATA!C6520</f>
        <v/>
      </c>
      <c r="D6520">
        <f>TEST_DATA!D6520</f>
        <v/>
      </c>
      <c r="E6520">
        <f>TEST_DATA!E6520</f>
        <v/>
      </c>
    </row>
    <row r="6521">
      <c r="A6521">
        <f>TEST_DATA!A6521</f>
        <v/>
      </c>
      <c r="B6521">
        <f>TEST_DATA!B6521</f>
        <v/>
      </c>
      <c r="C6521">
        <f>TEST_DATA!C6521</f>
        <v/>
      </c>
      <c r="D6521">
        <f>TEST_DATA!D6521</f>
        <v/>
      </c>
      <c r="E6521">
        <f>TEST_DATA!E6521</f>
        <v/>
      </c>
    </row>
    <row r="6522">
      <c r="A6522">
        <f>TEST_DATA!A6522</f>
        <v/>
      </c>
      <c r="B6522">
        <f>TEST_DATA!B6522</f>
        <v/>
      </c>
      <c r="C6522">
        <f>TEST_DATA!C6522</f>
        <v/>
      </c>
      <c r="D6522">
        <f>TEST_DATA!D6522</f>
        <v/>
      </c>
      <c r="E6522">
        <f>TEST_DATA!E6522</f>
        <v/>
      </c>
    </row>
    <row r="6523">
      <c r="A6523">
        <f>TEST_DATA!A6523</f>
        <v/>
      </c>
      <c r="B6523">
        <f>TEST_DATA!B6523</f>
        <v/>
      </c>
      <c r="C6523">
        <f>TEST_DATA!C6523</f>
        <v/>
      </c>
      <c r="D6523">
        <f>TEST_DATA!D6523</f>
        <v/>
      </c>
      <c r="E6523">
        <f>TEST_DATA!E6523</f>
        <v/>
      </c>
    </row>
    <row r="6524">
      <c r="A6524">
        <f>TEST_DATA!A6524</f>
        <v/>
      </c>
      <c r="B6524">
        <f>TEST_DATA!B6524</f>
        <v/>
      </c>
      <c r="C6524">
        <f>TEST_DATA!C6524</f>
        <v/>
      </c>
      <c r="D6524">
        <f>TEST_DATA!D6524</f>
        <v/>
      </c>
      <c r="E6524">
        <f>TEST_DATA!E6524</f>
        <v/>
      </c>
    </row>
    <row r="6525">
      <c r="A6525">
        <f>TEST_DATA!A6525</f>
        <v/>
      </c>
      <c r="B6525">
        <f>TEST_DATA!B6525</f>
        <v/>
      </c>
      <c r="C6525">
        <f>TEST_DATA!C6525</f>
        <v/>
      </c>
      <c r="D6525">
        <f>TEST_DATA!D6525</f>
        <v/>
      </c>
      <c r="E6525">
        <f>TEST_DATA!E6525</f>
        <v/>
      </c>
    </row>
    <row r="6526">
      <c r="A6526">
        <f>TEST_DATA!A6526</f>
        <v/>
      </c>
      <c r="B6526">
        <f>TEST_DATA!B6526</f>
        <v/>
      </c>
      <c r="C6526">
        <f>TEST_DATA!C6526</f>
        <v/>
      </c>
      <c r="D6526">
        <f>TEST_DATA!D6526</f>
        <v/>
      </c>
      <c r="E6526">
        <f>TEST_DATA!E6526</f>
        <v/>
      </c>
    </row>
    <row r="6527">
      <c r="A6527">
        <f>TEST_DATA!A6527</f>
        <v/>
      </c>
      <c r="B6527">
        <f>TEST_DATA!B6527</f>
        <v/>
      </c>
      <c r="C6527">
        <f>TEST_DATA!C6527</f>
        <v/>
      </c>
      <c r="D6527">
        <f>TEST_DATA!D6527</f>
        <v/>
      </c>
      <c r="E6527">
        <f>TEST_DATA!E6527</f>
        <v/>
      </c>
    </row>
    <row r="6528">
      <c r="A6528">
        <f>TEST_DATA!A6528</f>
        <v/>
      </c>
      <c r="B6528">
        <f>TEST_DATA!B6528</f>
        <v/>
      </c>
      <c r="C6528">
        <f>TEST_DATA!C6528</f>
        <v/>
      </c>
      <c r="D6528">
        <f>TEST_DATA!D6528</f>
        <v/>
      </c>
      <c r="E6528">
        <f>TEST_DATA!E6528</f>
        <v/>
      </c>
    </row>
    <row r="6529">
      <c r="A6529">
        <f>TEST_DATA!A6529</f>
        <v/>
      </c>
      <c r="B6529">
        <f>TEST_DATA!B6529</f>
        <v/>
      </c>
      <c r="C6529">
        <f>TEST_DATA!C6529</f>
        <v/>
      </c>
      <c r="D6529">
        <f>TEST_DATA!D6529</f>
        <v/>
      </c>
      <c r="E6529">
        <f>TEST_DATA!E6529</f>
        <v/>
      </c>
    </row>
    <row r="6530">
      <c r="A6530">
        <f>TEST_DATA!A6530</f>
        <v/>
      </c>
      <c r="B6530">
        <f>TEST_DATA!B6530</f>
        <v/>
      </c>
      <c r="C6530">
        <f>TEST_DATA!C6530</f>
        <v/>
      </c>
      <c r="D6530">
        <f>TEST_DATA!D6530</f>
        <v/>
      </c>
      <c r="E6530">
        <f>TEST_DATA!E6530</f>
        <v/>
      </c>
    </row>
    <row r="6531">
      <c r="A6531">
        <f>TEST_DATA!A6531</f>
        <v/>
      </c>
      <c r="B6531">
        <f>TEST_DATA!B6531</f>
        <v/>
      </c>
      <c r="C6531">
        <f>TEST_DATA!C6531</f>
        <v/>
      </c>
      <c r="D6531">
        <f>TEST_DATA!D6531</f>
        <v/>
      </c>
      <c r="E6531">
        <f>TEST_DATA!E6531</f>
        <v/>
      </c>
    </row>
    <row r="6532">
      <c r="A6532">
        <f>TEST_DATA!A6532</f>
        <v/>
      </c>
      <c r="B6532">
        <f>TEST_DATA!B6532</f>
        <v/>
      </c>
      <c r="C6532">
        <f>TEST_DATA!C6532</f>
        <v/>
      </c>
      <c r="D6532">
        <f>TEST_DATA!D6532</f>
        <v/>
      </c>
      <c r="E6532">
        <f>TEST_DATA!E6532</f>
        <v/>
      </c>
    </row>
    <row r="6533">
      <c r="A6533">
        <f>TEST_DATA!A6533</f>
        <v/>
      </c>
      <c r="B6533">
        <f>TEST_DATA!B6533</f>
        <v/>
      </c>
      <c r="C6533">
        <f>TEST_DATA!C6533</f>
        <v/>
      </c>
      <c r="D6533">
        <f>TEST_DATA!D6533</f>
        <v/>
      </c>
      <c r="E6533">
        <f>TEST_DATA!E6533</f>
        <v/>
      </c>
    </row>
    <row r="6534">
      <c r="A6534">
        <f>TEST_DATA!A6534</f>
        <v/>
      </c>
      <c r="B6534">
        <f>TEST_DATA!B6534</f>
        <v/>
      </c>
      <c r="C6534">
        <f>TEST_DATA!C6534</f>
        <v/>
      </c>
      <c r="D6534">
        <f>TEST_DATA!D6534</f>
        <v/>
      </c>
      <c r="E6534">
        <f>TEST_DATA!E6534</f>
        <v/>
      </c>
    </row>
    <row r="6535">
      <c r="A6535">
        <f>TEST_DATA!A6535</f>
        <v/>
      </c>
      <c r="B6535">
        <f>TEST_DATA!B6535</f>
        <v/>
      </c>
      <c r="C6535">
        <f>TEST_DATA!C6535</f>
        <v/>
      </c>
      <c r="D6535">
        <f>TEST_DATA!D6535</f>
        <v/>
      </c>
      <c r="E6535">
        <f>TEST_DATA!E6535</f>
        <v/>
      </c>
    </row>
    <row r="6536">
      <c r="A6536">
        <f>TEST_DATA!A6536</f>
        <v/>
      </c>
      <c r="B6536">
        <f>TEST_DATA!B6536</f>
        <v/>
      </c>
      <c r="C6536">
        <f>TEST_DATA!C6536</f>
        <v/>
      </c>
      <c r="D6536">
        <f>TEST_DATA!D6536</f>
        <v/>
      </c>
      <c r="E6536">
        <f>TEST_DATA!E6536</f>
        <v/>
      </c>
    </row>
    <row r="6537">
      <c r="A6537">
        <f>TEST_DATA!A6537</f>
        <v/>
      </c>
      <c r="B6537">
        <f>TEST_DATA!B6537</f>
        <v/>
      </c>
      <c r="C6537">
        <f>TEST_DATA!C6537</f>
        <v/>
      </c>
      <c r="D6537">
        <f>TEST_DATA!D6537</f>
        <v/>
      </c>
      <c r="E6537">
        <f>TEST_DATA!E6537</f>
        <v/>
      </c>
    </row>
    <row r="6538">
      <c r="A6538">
        <f>TEST_DATA!A6538</f>
        <v/>
      </c>
      <c r="B6538">
        <f>TEST_DATA!B6538</f>
        <v/>
      </c>
      <c r="C6538">
        <f>TEST_DATA!C6538</f>
        <v/>
      </c>
      <c r="D6538">
        <f>TEST_DATA!D6538</f>
        <v/>
      </c>
      <c r="E6538">
        <f>TEST_DATA!E6538</f>
        <v/>
      </c>
    </row>
    <row r="6539">
      <c r="A6539">
        <f>TEST_DATA!A6539</f>
        <v/>
      </c>
      <c r="B6539">
        <f>TEST_DATA!B6539</f>
        <v/>
      </c>
      <c r="C6539">
        <f>TEST_DATA!C6539</f>
        <v/>
      </c>
      <c r="D6539">
        <f>TEST_DATA!D6539</f>
        <v/>
      </c>
      <c r="E6539">
        <f>TEST_DATA!E6539</f>
        <v/>
      </c>
    </row>
    <row r="6540">
      <c r="A6540">
        <f>TEST_DATA!A6540</f>
        <v/>
      </c>
      <c r="B6540">
        <f>TEST_DATA!B6540</f>
        <v/>
      </c>
      <c r="C6540">
        <f>TEST_DATA!C6540</f>
        <v/>
      </c>
      <c r="D6540">
        <f>TEST_DATA!D6540</f>
        <v/>
      </c>
      <c r="E6540">
        <f>TEST_DATA!E6540</f>
        <v/>
      </c>
    </row>
    <row r="6541">
      <c r="A6541">
        <f>TEST_DATA!A6541</f>
        <v/>
      </c>
      <c r="B6541">
        <f>TEST_DATA!B6541</f>
        <v/>
      </c>
      <c r="C6541">
        <f>TEST_DATA!C6541</f>
        <v/>
      </c>
      <c r="D6541">
        <f>TEST_DATA!D6541</f>
        <v/>
      </c>
      <c r="E6541">
        <f>TEST_DATA!E6541</f>
        <v/>
      </c>
    </row>
    <row r="6542">
      <c r="A6542">
        <f>TEST_DATA!A6542</f>
        <v/>
      </c>
      <c r="B6542">
        <f>TEST_DATA!B6542</f>
        <v/>
      </c>
      <c r="C6542">
        <f>TEST_DATA!C6542</f>
        <v/>
      </c>
      <c r="D6542">
        <f>TEST_DATA!D6542</f>
        <v/>
      </c>
      <c r="E6542">
        <f>TEST_DATA!E6542</f>
        <v/>
      </c>
    </row>
    <row r="6543">
      <c r="A6543">
        <f>TEST_DATA!A6543</f>
        <v/>
      </c>
      <c r="B6543">
        <f>TEST_DATA!B6543</f>
        <v/>
      </c>
      <c r="C6543">
        <f>TEST_DATA!C6543</f>
        <v/>
      </c>
      <c r="D6543">
        <f>TEST_DATA!D6543</f>
        <v/>
      </c>
      <c r="E6543">
        <f>TEST_DATA!E6543</f>
        <v/>
      </c>
    </row>
    <row r="6544">
      <c r="A6544">
        <f>TEST_DATA!A6544</f>
        <v/>
      </c>
      <c r="B6544">
        <f>TEST_DATA!B6544</f>
        <v/>
      </c>
      <c r="C6544">
        <f>TEST_DATA!C6544</f>
        <v/>
      </c>
      <c r="D6544">
        <f>TEST_DATA!D6544</f>
        <v/>
      </c>
      <c r="E6544">
        <f>TEST_DATA!E6544</f>
        <v/>
      </c>
    </row>
    <row r="6545">
      <c r="A6545">
        <f>TEST_DATA!A6545</f>
        <v/>
      </c>
      <c r="B6545">
        <f>TEST_DATA!B6545</f>
        <v/>
      </c>
      <c r="C6545">
        <f>TEST_DATA!C6545</f>
        <v/>
      </c>
      <c r="D6545">
        <f>TEST_DATA!D6545</f>
        <v/>
      </c>
      <c r="E6545">
        <f>TEST_DATA!E6545</f>
        <v/>
      </c>
    </row>
    <row r="6546">
      <c r="A6546">
        <f>TEST_DATA!A6546</f>
        <v/>
      </c>
      <c r="B6546">
        <f>TEST_DATA!B6546</f>
        <v/>
      </c>
      <c r="C6546">
        <f>TEST_DATA!C6546</f>
        <v/>
      </c>
      <c r="D6546">
        <f>TEST_DATA!D6546</f>
        <v/>
      </c>
      <c r="E6546">
        <f>TEST_DATA!E6546</f>
        <v/>
      </c>
    </row>
    <row r="6547">
      <c r="A6547">
        <f>TEST_DATA!A6547</f>
        <v/>
      </c>
      <c r="B6547">
        <f>TEST_DATA!B6547</f>
        <v/>
      </c>
      <c r="C6547">
        <f>TEST_DATA!C6547</f>
        <v/>
      </c>
      <c r="D6547">
        <f>TEST_DATA!D6547</f>
        <v/>
      </c>
      <c r="E6547">
        <f>TEST_DATA!E6547</f>
        <v/>
      </c>
    </row>
    <row r="6548">
      <c r="A6548">
        <f>TEST_DATA!A6548</f>
        <v/>
      </c>
      <c r="B6548">
        <f>TEST_DATA!B6548</f>
        <v/>
      </c>
      <c r="C6548">
        <f>TEST_DATA!C6548</f>
        <v/>
      </c>
      <c r="D6548">
        <f>TEST_DATA!D6548</f>
        <v/>
      </c>
      <c r="E6548">
        <f>TEST_DATA!E6548</f>
        <v/>
      </c>
    </row>
    <row r="6549">
      <c r="A6549">
        <f>TEST_DATA!A6549</f>
        <v/>
      </c>
      <c r="B6549">
        <f>TEST_DATA!B6549</f>
        <v/>
      </c>
      <c r="C6549">
        <f>TEST_DATA!C6549</f>
        <v/>
      </c>
      <c r="D6549">
        <f>TEST_DATA!D6549</f>
        <v/>
      </c>
      <c r="E6549">
        <f>TEST_DATA!E6549</f>
        <v/>
      </c>
    </row>
    <row r="6550">
      <c r="A6550">
        <f>TEST_DATA!A6550</f>
        <v/>
      </c>
      <c r="B6550">
        <f>TEST_DATA!B6550</f>
        <v/>
      </c>
      <c r="C6550">
        <f>TEST_DATA!C6550</f>
        <v/>
      </c>
      <c r="D6550">
        <f>TEST_DATA!D6550</f>
        <v/>
      </c>
      <c r="E6550">
        <f>TEST_DATA!E6550</f>
        <v/>
      </c>
    </row>
    <row r="6551">
      <c r="A6551">
        <f>TEST_DATA!A6551</f>
        <v/>
      </c>
      <c r="B6551">
        <f>TEST_DATA!B6551</f>
        <v/>
      </c>
      <c r="C6551">
        <f>TEST_DATA!C6551</f>
        <v/>
      </c>
      <c r="D6551">
        <f>TEST_DATA!D6551</f>
        <v/>
      </c>
      <c r="E6551">
        <f>TEST_DATA!E6551</f>
        <v/>
      </c>
    </row>
    <row r="6552">
      <c r="A6552">
        <f>TEST_DATA!A6552</f>
        <v/>
      </c>
      <c r="B6552">
        <f>TEST_DATA!B6552</f>
        <v/>
      </c>
      <c r="C6552">
        <f>TEST_DATA!C6552</f>
        <v/>
      </c>
      <c r="D6552">
        <f>TEST_DATA!D6552</f>
        <v/>
      </c>
      <c r="E6552">
        <f>TEST_DATA!E6552</f>
        <v/>
      </c>
    </row>
    <row r="6553">
      <c r="A6553">
        <f>TEST_DATA!A6553</f>
        <v/>
      </c>
      <c r="B6553">
        <f>TEST_DATA!B6553</f>
        <v/>
      </c>
      <c r="C6553">
        <f>TEST_DATA!C6553</f>
        <v/>
      </c>
      <c r="D6553">
        <f>TEST_DATA!D6553</f>
        <v/>
      </c>
      <c r="E6553">
        <f>TEST_DATA!E6553</f>
        <v/>
      </c>
    </row>
    <row r="6554">
      <c r="A6554">
        <f>TEST_DATA!A6554</f>
        <v/>
      </c>
      <c r="B6554">
        <f>TEST_DATA!B6554</f>
        <v/>
      </c>
      <c r="C6554">
        <f>TEST_DATA!C6554</f>
        <v/>
      </c>
      <c r="D6554">
        <f>TEST_DATA!D6554</f>
        <v/>
      </c>
      <c r="E6554">
        <f>TEST_DATA!E6554</f>
        <v/>
      </c>
    </row>
    <row r="6555">
      <c r="A6555">
        <f>TEST_DATA!A6555</f>
        <v/>
      </c>
      <c r="B6555">
        <f>TEST_DATA!B6555</f>
        <v/>
      </c>
      <c r="C6555">
        <f>TEST_DATA!C6555</f>
        <v/>
      </c>
      <c r="D6555">
        <f>TEST_DATA!D6555</f>
        <v/>
      </c>
      <c r="E6555">
        <f>TEST_DATA!E6555</f>
        <v/>
      </c>
    </row>
    <row r="6556">
      <c r="A6556">
        <f>TEST_DATA!A6556</f>
        <v/>
      </c>
      <c r="B6556">
        <f>TEST_DATA!B6556</f>
        <v/>
      </c>
      <c r="C6556">
        <f>TEST_DATA!C6556</f>
        <v/>
      </c>
      <c r="D6556">
        <f>TEST_DATA!D6556</f>
        <v/>
      </c>
      <c r="E6556">
        <f>TEST_DATA!E6556</f>
        <v/>
      </c>
    </row>
    <row r="6557">
      <c r="A6557">
        <f>TEST_DATA!A6557</f>
        <v/>
      </c>
      <c r="B6557">
        <f>TEST_DATA!B6557</f>
        <v/>
      </c>
      <c r="C6557">
        <f>TEST_DATA!C6557</f>
        <v/>
      </c>
      <c r="D6557">
        <f>TEST_DATA!D6557</f>
        <v/>
      </c>
      <c r="E6557">
        <f>TEST_DATA!E6557</f>
        <v/>
      </c>
    </row>
    <row r="6558">
      <c r="A6558">
        <f>TEST_DATA!A6558</f>
        <v/>
      </c>
      <c r="B6558">
        <f>TEST_DATA!B6558</f>
        <v/>
      </c>
      <c r="C6558">
        <f>TEST_DATA!C6558</f>
        <v/>
      </c>
      <c r="D6558">
        <f>TEST_DATA!D6558</f>
        <v/>
      </c>
      <c r="E6558">
        <f>TEST_DATA!E6558</f>
        <v/>
      </c>
    </row>
    <row r="6559">
      <c r="A6559">
        <f>TEST_DATA!A6559</f>
        <v/>
      </c>
      <c r="B6559">
        <f>TEST_DATA!B6559</f>
        <v/>
      </c>
      <c r="C6559">
        <f>TEST_DATA!C6559</f>
        <v/>
      </c>
      <c r="D6559">
        <f>TEST_DATA!D6559</f>
        <v/>
      </c>
      <c r="E6559">
        <f>TEST_DATA!E6559</f>
        <v/>
      </c>
    </row>
    <row r="6560">
      <c r="A6560">
        <f>TEST_DATA!A6560</f>
        <v/>
      </c>
      <c r="B6560">
        <f>TEST_DATA!B6560</f>
        <v/>
      </c>
      <c r="C6560">
        <f>TEST_DATA!C6560</f>
        <v/>
      </c>
      <c r="D6560">
        <f>TEST_DATA!D6560</f>
        <v/>
      </c>
      <c r="E6560">
        <f>TEST_DATA!E6560</f>
        <v/>
      </c>
    </row>
    <row r="6561">
      <c r="A6561">
        <f>TEST_DATA!A6561</f>
        <v/>
      </c>
      <c r="B6561">
        <f>TEST_DATA!B6561</f>
        <v/>
      </c>
      <c r="C6561">
        <f>TEST_DATA!C6561</f>
        <v/>
      </c>
      <c r="D6561">
        <f>TEST_DATA!D6561</f>
        <v/>
      </c>
      <c r="E6561">
        <f>TEST_DATA!E6561</f>
        <v/>
      </c>
    </row>
    <row r="6562">
      <c r="A6562">
        <f>TEST_DATA!A6562</f>
        <v/>
      </c>
      <c r="B6562">
        <f>TEST_DATA!B6562</f>
        <v/>
      </c>
      <c r="C6562">
        <f>TEST_DATA!C6562</f>
        <v/>
      </c>
      <c r="D6562">
        <f>TEST_DATA!D6562</f>
        <v/>
      </c>
      <c r="E6562">
        <f>TEST_DATA!E6562</f>
        <v/>
      </c>
    </row>
    <row r="6563">
      <c r="A6563">
        <f>TEST_DATA!A6563</f>
        <v/>
      </c>
      <c r="B6563">
        <f>TEST_DATA!B6563</f>
        <v/>
      </c>
      <c r="C6563">
        <f>TEST_DATA!C6563</f>
        <v/>
      </c>
      <c r="D6563">
        <f>TEST_DATA!D6563</f>
        <v/>
      </c>
      <c r="E6563">
        <f>TEST_DATA!E6563</f>
        <v/>
      </c>
    </row>
    <row r="6564">
      <c r="A6564">
        <f>TEST_DATA!A6564</f>
        <v/>
      </c>
      <c r="B6564">
        <f>TEST_DATA!B6564</f>
        <v/>
      </c>
      <c r="C6564">
        <f>TEST_DATA!C6564</f>
        <v/>
      </c>
      <c r="D6564">
        <f>TEST_DATA!D6564</f>
        <v/>
      </c>
      <c r="E6564">
        <f>TEST_DATA!E6564</f>
        <v/>
      </c>
    </row>
    <row r="6565">
      <c r="A6565">
        <f>TEST_DATA!A6565</f>
        <v/>
      </c>
      <c r="B6565">
        <f>TEST_DATA!B6565</f>
        <v/>
      </c>
      <c r="C6565">
        <f>TEST_DATA!C6565</f>
        <v/>
      </c>
      <c r="D6565">
        <f>TEST_DATA!D6565</f>
        <v/>
      </c>
      <c r="E6565">
        <f>TEST_DATA!E6565</f>
        <v/>
      </c>
    </row>
    <row r="6566">
      <c r="A6566">
        <f>TEST_DATA!A6566</f>
        <v/>
      </c>
      <c r="B6566">
        <f>TEST_DATA!B6566</f>
        <v/>
      </c>
      <c r="C6566">
        <f>TEST_DATA!C6566</f>
        <v/>
      </c>
      <c r="D6566">
        <f>TEST_DATA!D6566</f>
        <v/>
      </c>
      <c r="E6566">
        <f>TEST_DATA!E6566</f>
        <v/>
      </c>
    </row>
    <row r="6567">
      <c r="A6567">
        <f>TEST_DATA!A6567</f>
        <v/>
      </c>
      <c r="B6567">
        <f>TEST_DATA!B6567</f>
        <v/>
      </c>
      <c r="C6567">
        <f>TEST_DATA!C6567</f>
        <v/>
      </c>
      <c r="D6567">
        <f>TEST_DATA!D6567</f>
        <v/>
      </c>
      <c r="E6567">
        <f>TEST_DATA!E6567</f>
        <v/>
      </c>
    </row>
    <row r="6568">
      <c r="A6568">
        <f>TEST_DATA!A6568</f>
        <v/>
      </c>
      <c r="B6568">
        <f>TEST_DATA!B6568</f>
        <v/>
      </c>
      <c r="C6568">
        <f>TEST_DATA!C6568</f>
        <v/>
      </c>
      <c r="D6568">
        <f>TEST_DATA!D6568</f>
        <v/>
      </c>
      <c r="E6568">
        <f>TEST_DATA!E6568</f>
        <v/>
      </c>
    </row>
    <row r="6569">
      <c r="A6569">
        <f>TEST_DATA!A6569</f>
        <v/>
      </c>
      <c r="B6569">
        <f>TEST_DATA!B6569</f>
        <v/>
      </c>
      <c r="C6569">
        <f>TEST_DATA!C6569</f>
        <v/>
      </c>
      <c r="D6569">
        <f>TEST_DATA!D6569</f>
        <v/>
      </c>
      <c r="E6569">
        <f>TEST_DATA!E6569</f>
        <v/>
      </c>
    </row>
    <row r="6570">
      <c r="A6570">
        <f>TEST_DATA!A6570</f>
        <v/>
      </c>
      <c r="B6570">
        <f>TEST_DATA!B6570</f>
        <v/>
      </c>
      <c r="C6570">
        <f>TEST_DATA!C6570</f>
        <v/>
      </c>
      <c r="D6570">
        <f>TEST_DATA!D6570</f>
        <v/>
      </c>
      <c r="E6570">
        <f>TEST_DATA!E6570</f>
        <v/>
      </c>
    </row>
    <row r="6571">
      <c r="A6571">
        <f>TEST_DATA!A6571</f>
        <v/>
      </c>
      <c r="B6571">
        <f>TEST_DATA!B6571</f>
        <v/>
      </c>
      <c r="C6571">
        <f>TEST_DATA!C6571</f>
        <v/>
      </c>
      <c r="D6571">
        <f>TEST_DATA!D6571</f>
        <v/>
      </c>
      <c r="E6571">
        <f>TEST_DATA!E6571</f>
        <v/>
      </c>
    </row>
    <row r="6572">
      <c r="A6572">
        <f>TEST_DATA!A6572</f>
        <v/>
      </c>
      <c r="B6572">
        <f>TEST_DATA!B6572</f>
        <v/>
      </c>
      <c r="C6572">
        <f>TEST_DATA!C6572</f>
        <v/>
      </c>
      <c r="D6572">
        <f>TEST_DATA!D6572</f>
        <v/>
      </c>
      <c r="E6572">
        <f>TEST_DATA!E6572</f>
        <v/>
      </c>
    </row>
    <row r="6573">
      <c r="A6573">
        <f>TEST_DATA!A6573</f>
        <v/>
      </c>
      <c r="B6573">
        <f>TEST_DATA!B6573</f>
        <v/>
      </c>
      <c r="C6573">
        <f>TEST_DATA!C6573</f>
        <v/>
      </c>
      <c r="D6573">
        <f>TEST_DATA!D6573</f>
        <v/>
      </c>
      <c r="E6573">
        <f>TEST_DATA!E6573</f>
        <v/>
      </c>
    </row>
    <row r="6574">
      <c r="A6574">
        <f>TEST_DATA!A6574</f>
        <v/>
      </c>
      <c r="B6574">
        <f>TEST_DATA!B6574</f>
        <v/>
      </c>
      <c r="C6574">
        <f>TEST_DATA!C6574</f>
        <v/>
      </c>
      <c r="D6574">
        <f>TEST_DATA!D6574</f>
        <v/>
      </c>
      <c r="E6574">
        <f>TEST_DATA!E6574</f>
        <v/>
      </c>
    </row>
    <row r="6575">
      <c r="A6575">
        <f>TEST_DATA!A6575</f>
        <v/>
      </c>
      <c r="B6575">
        <f>TEST_DATA!B6575</f>
        <v/>
      </c>
      <c r="C6575">
        <f>TEST_DATA!C6575</f>
        <v/>
      </c>
      <c r="D6575">
        <f>TEST_DATA!D6575</f>
        <v/>
      </c>
      <c r="E6575">
        <f>TEST_DATA!E6575</f>
        <v/>
      </c>
    </row>
    <row r="6576">
      <c r="A6576">
        <f>TEST_DATA!A6576</f>
        <v/>
      </c>
      <c r="B6576">
        <f>TEST_DATA!B6576</f>
        <v/>
      </c>
      <c r="C6576">
        <f>TEST_DATA!C6576</f>
        <v/>
      </c>
      <c r="D6576">
        <f>TEST_DATA!D6576</f>
        <v/>
      </c>
      <c r="E6576">
        <f>TEST_DATA!E6576</f>
        <v/>
      </c>
    </row>
    <row r="6577">
      <c r="A6577">
        <f>TEST_DATA!A6577</f>
        <v/>
      </c>
      <c r="B6577">
        <f>TEST_DATA!B6577</f>
        <v/>
      </c>
      <c r="C6577">
        <f>TEST_DATA!C6577</f>
        <v/>
      </c>
      <c r="D6577">
        <f>TEST_DATA!D6577</f>
        <v/>
      </c>
      <c r="E6577">
        <f>TEST_DATA!E6577</f>
        <v/>
      </c>
    </row>
    <row r="6578">
      <c r="A6578">
        <f>TEST_DATA!A6578</f>
        <v/>
      </c>
      <c r="B6578">
        <f>TEST_DATA!B6578</f>
        <v/>
      </c>
      <c r="C6578">
        <f>TEST_DATA!C6578</f>
        <v/>
      </c>
      <c r="D6578">
        <f>TEST_DATA!D6578</f>
        <v/>
      </c>
      <c r="E6578">
        <f>TEST_DATA!E6578</f>
        <v/>
      </c>
    </row>
    <row r="6579">
      <c r="A6579">
        <f>TEST_DATA!A6579</f>
        <v/>
      </c>
      <c r="B6579">
        <f>TEST_DATA!B6579</f>
        <v/>
      </c>
      <c r="C6579">
        <f>TEST_DATA!C6579</f>
        <v/>
      </c>
      <c r="D6579">
        <f>TEST_DATA!D6579</f>
        <v/>
      </c>
      <c r="E6579">
        <f>TEST_DATA!E6579</f>
        <v/>
      </c>
    </row>
    <row r="6580">
      <c r="A6580">
        <f>TEST_DATA!A6580</f>
        <v/>
      </c>
      <c r="B6580">
        <f>TEST_DATA!B6580</f>
        <v/>
      </c>
      <c r="C6580">
        <f>TEST_DATA!C6580</f>
        <v/>
      </c>
      <c r="D6580">
        <f>TEST_DATA!D6580</f>
        <v/>
      </c>
      <c r="E6580">
        <f>TEST_DATA!E6580</f>
        <v/>
      </c>
    </row>
    <row r="6581">
      <c r="A6581">
        <f>TEST_DATA!A6581</f>
        <v/>
      </c>
      <c r="B6581">
        <f>TEST_DATA!B6581</f>
        <v/>
      </c>
      <c r="C6581">
        <f>TEST_DATA!C6581</f>
        <v/>
      </c>
      <c r="D6581">
        <f>TEST_DATA!D6581</f>
        <v/>
      </c>
      <c r="E6581">
        <f>TEST_DATA!E6581</f>
        <v/>
      </c>
    </row>
    <row r="6582">
      <c r="A6582">
        <f>TEST_DATA!A6582</f>
        <v/>
      </c>
      <c r="B6582">
        <f>TEST_DATA!B6582</f>
        <v/>
      </c>
      <c r="C6582">
        <f>TEST_DATA!C6582</f>
        <v/>
      </c>
      <c r="D6582">
        <f>TEST_DATA!D6582</f>
        <v/>
      </c>
      <c r="E6582">
        <f>TEST_DATA!E6582</f>
        <v/>
      </c>
    </row>
    <row r="6583">
      <c r="A6583">
        <f>TEST_DATA!A6583</f>
        <v/>
      </c>
      <c r="B6583">
        <f>TEST_DATA!B6583</f>
        <v/>
      </c>
      <c r="C6583">
        <f>TEST_DATA!C6583</f>
        <v/>
      </c>
      <c r="D6583">
        <f>TEST_DATA!D6583</f>
        <v/>
      </c>
      <c r="E6583">
        <f>TEST_DATA!E6583</f>
        <v/>
      </c>
    </row>
    <row r="6584">
      <c r="A6584">
        <f>TEST_DATA!A6584</f>
        <v/>
      </c>
      <c r="B6584">
        <f>TEST_DATA!B6584</f>
        <v/>
      </c>
      <c r="C6584">
        <f>TEST_DATA!C6584</f>
        <v/>
      </c>
      <c r="D6584">
        <f>TEST_DATA!D6584</f>
        <v/>
      </c>
      <c r="E6584">
        <f>TEST_DATA!E6584</f>
        <v/>
      </c>
    </row>
    <row r="6585">
      <c r="A6585">
        <f>TEST_DATA!A6585</f>
        <v/>
      </c>
      <c r="B6585">
        <f>TEST_DATA!B6585</f>
        <v/>
      </c>
      <c r="C6585">
        <f>TEST_DATA!C6585</f>
        <v/>
      </c>
      <c r="D6585">
        <f>TEST_DATA!D6585</f>
        <v/>
      </c>
      <c r="E6585">
        <f>TEST_DATA!E6585</f>
        <v/>
      </c>
    </row>
    <row r="6586">
      <c r="A6586">
        <f>TEST_DATA!A6586</f>
        <v/>
      </c>
      <c r="B6586">
        <f>TEST_DATA!B6586</f>
        <v/>
      </c>
      <c r="C6586">
        <f>TEST_DATA!C6586</f>
        <v/>
      </c>
      <c r="D6586">
        <f>TEST_DATA!D6586</f>
        <v/>
      </c>
      <c r="E6586">
        <f>TEST_DATA!E6586</f>
        <v/>
      </c>
    </row>
    <row r="6587">
      <c r="A6587">
        <f>TEST_DATA!A6587</f>
        <v/>
      </c>
      <c r="B6587">
        <f>TEST_DATA!B6587</f>
        <v/>
      </c>
      <c r="C6587">
        <f>TEST_DATA!C6587</f>
        <v/>
      </c>
      <c r="D6587">
        <f>TEST_DATA!D6587</f>
        <v/>
      </c>
      <c r="E6587">
        <f>TEST_DATA!E6587</f>
        <v/>
      </c>
    </row>
    <row r="6588">
      <c r="A6588">
        <f>TEST_DATA!A6588</f>
        <v/>
      </c>
      <c r="B6588">
        <f>TEST_DATA!B6588</f>
        <v/>
      </c>
      <c r="C6588">
        <f>TEST_DATA!C6588</f>
        <v/>
      </c>
      <c r="D6588">
        <f>TEST_DATA!D6588</f>
        <v/>
      </c>
      <c r="E6588">
        <f>TEST_DATA!E6588</f>
        <v/>
      </c>
    </row>
    <row r="6589">
      <c r="A6589">
        <f>TEST_DATA!A6589</f>
        <v/>
      </c>
      <c r="B6589">
        <f>TEST_DATA!B6589</f>
        <v/>
      </c>
      <c r="C6589">
        <f>TEST_DATA!C6589</f>
        <v/>
      </c>
      <c r="D6589">
        <f>TEST_DATA!D6589</f>
        <v/>
      </c>
      <c r="E6589">
        <f>TEST_DATA!E6589</f>
        <v/>
      </c>
    </row>
    <row r="6590">
      <c r="A6590">
        <f>TEST_DATA!A6590</f>
        <v/>
      </c>
      <c r="B6590">
        <f>TEST_DATA!B6590</f>
        <v/>
      </c>
      <c r="C6590">
        <f>TEST_DATA!C6590</f>
        <v/>
      </c>
      <c r="D6590">
        <f>TEST_DATA!D6590</f>
        <v/>
      </c>
      <c r="E6590">
        <f>TEST_DATA!E6590</f>
        <v/>
      </c>
    </row>
    <row r="6591">
      <c r="A6591">
        <f>TEST_DATA!A6591</f>
        <v/>
      </c>
      <c r="B6591">
        <f>TEST_DATA!B6591</f>
        <v/>
      </c>
      <c r="C6591">
        <f>TEST_DATA!C6591</f>
        <v/>
      </c>
      <c r="D6591">
        <f>TEST_DATA!D6591</f>
        <v/>
      </c>
      <c r="E6591">
        <f>TEST_DATA!E6591</f>
        <v/>
      </c>
    </row>
    <row r="6592">
      <c r="A6592">
        <f>TEST_DATA!A6592</f>
        <v/>
      </c>
      <c r="B6592">
        <f>TEST_DATA!B6592</f>
        <v/>
      </c>
      <c r="C6592">
        <f>TEST_DATA!C6592</f>
        <v/>
      </c>
      <c r="D6592">
        <f>TEST_DATA!D6592</f>
        <v/>
      </c>
      <c r="E6592">
        <f>TEST_DATA!E6592</f>
        <v/>
      </c>
    </row>
    <row r="6593">
      <c r="A6593">
        <f>TEST_DATA!A6593</f>
        <v/>
      </c>
      <c r="B6593">
        <f>TEST_DATA!B6593</f>
        <v/>
      </c>
      <c r="C6593">
        <f>TEST_DATA!C6593</f>
        <v/>
      </c>
      <c r="D6593">
        <f>TEST_DATA!D6593</f>
        <v/>
      </c>
      <c r="E6593">
        <f>TEST_DATA!E6593</f>
        <v/>
      </c>
    </row>
    <row r="6594">
      <c r="A6594">
        <f>TEST_DATA!A6594</f>
        <v/>
      </c>
      <c r="B6594">
        <f>TEST_DATA!B6594</f>
        <v/>
      </c>
      <c r="C6594">
        <f>TEST_DATA!C6594</f>
        <v/>
      </c>
      <c r="D6594">
        <f>TEST_DATA!D6594</f>
        <v/>
      </c>
      <c r="E6594">
        <f>TEST_DATA!E6594</f>
        <v/>
      </c>
    </row>
    <row r="6595">
      <c r="A6595">
        <f>TEST_DATA!A6595</f>
        <v/>
      </c>
      <c r="B6595">
        <f>TEST_DATA!B6595</f>
        <v/>
      </c>
      <c r="C6595">
        <f>TEST_DATA!C6595</f>
        <v/>
      </c>
      <c r="D6595">
        <f>TEST_DATA!D6595</f>
        <v/>
      </c>
      <c r="E6595">
        <f>TEST_DATA!E6595</f>
        <v/>
      </c>
    </row>
    <row r="6596">
      <c r="A6596">
        <f>TEST_DATA!A6596</f>
        <v/>
      </c>
      <c r="B6596">
        <f>TEST_DATA!B6596</f>
        <v/>
      </c>
      <c r="C6596">
        <f>TEST_DATA!C6596</f>
        <v/>
      </c>
      <c r="D6596">
        <f>TEST_DATA!D6596</f>
        <v/>
      </c>
      <c r="E6596">
        <f>TEST_DATA!E6596</f>
        <v/>
      </c>
    </row>
    <row r="6597">
      <c r="A6597">
        <f>TEST_DATA!A6597</f>
        <v/>
      </c>
      <c r="B6597">
        <f>TEST_DATA!B6597</f>
        <v/>
      </c>
      <c r="C6597">
        <f>TEST_DATA!C6597</f>
        <v/>
      </c>
      <c r="D6597">
        <f>TEST_DATA!D6597</f>
        <v/>
      </c>
      <c r="E6597">
        <f>TEST_DATA!E6597</f>
        <v/>
      </c>
    </row>
    <row r="6598">
      <c r="A6598">
        <f>TEST_DATA!A6598</f>
        <v/>
      </c>
      <c r="B6598">
        <f>TEST_DATA!B6598</f>
        <v/>
      </c>
      <c r="C6598">
        <f>TEST_DATA!C6598</f>
        <v/>
      </c>
      <c r="D6598">
        <f>TEST_DATA!D6598</f>
        <v/>
      </c>
      <c r="E6598">
        <f>TEST_DATA!E6598</f>
        <v/>
      </c>
    </row>
    <row r="6599">
      <c r="A6599">
        <f>TEST_DATA!A6599</f>
        <v/>
      </c>
      <c r="B6599">
        <f>TEST_DATA!B6599</f>
        <v/>
      </c>
      <c r="C6599">
        <f>TEST_DATA!C6599</f>
        <v/>
      </c>
      <c r="D6599">
        <f>TEST_DATA!D6599</f>
        <v/>
      </c>
      <c r="E6599">
        <f>TEST_DATA!E6599</f>
        <v/>
      </c>
    </row>
    <row r="6600">
      <c r="A6600">
        <f>TEST_DATA!A6600</f>
        <v/>
      </c>
      <c r="B6600">
        <f>TEST_DATA!B6600</f>
        <v/>
      </c>
      <c r="C6600">
        <f>TEST_DATA!C6600</f>
        <v/>
      </c>
      <c r="D6600">
        <f>TEST_DATA!D6600</f>
        <v/>
      </c>
      <c r="E6600">
        <f>TEST_DATA!E6600</f>
        <v/>
      </c>
    </row>
    <row r="6601">
      <c r="A6601">
        <f>TEST_DATA!A6601</f>
        <v/>
      </c>
      <c r="B6601">
        <f>TEST_DATA!B6601</f>
        <v/>
      </c>
      <c r="C6601">
        <f>TEST_DATA!C6601</f>
        <v/>
      </c>
      <c r="D6601">
        <f>TEST_DATA!D6601</f>
        <v/>
      </c>
      <c r="E6601">
        <f>TEST_DATA!E6601</f>
        <v/>
      </c>
    </row>
    <row r="6602">
      <c r="A6602">
        <f>TEST_DATA!A6602</f>
        <v/>
      </c>
      <c r="B6602">
        <f>TEST_DATA!B6602</f>
        <v/>
      </c>
      <c r="C6602">
        <f>TEST_DATA!C6602</f>
        <v/>
      </c>
      <c r="D6602">
        <f>TEST_DATA!D6602</f>
        <v/>
      </c>
      <c r="E6602">
        <f>TEST_DATA!E6602</f>
        <v/>
      </c>
    </row>
    <row r="6603">
      <c r="A6603">
        <f>TEST_DATA!A6603</f>
        <v/>
      </c>
      <c r="B6603">
        <f>TEST_DATA!B6603</f>
        <v/>
      </c>
      <c r="C6603">
        <f>TEST_DATA!C6603</f>
        <v/>
      </c>
      <c r="D6603">
        <f>TEST_DATA!D6603</f>
        <v/>
      </c>
      <c r="E6603">
        <f>TEST_DATA!E6603</f>
        <v/>
      </c>
    </row>
    <row r="6604">
      <c r="A6604">
        <f>TEST_DATA!A6604</f>
        <v/>
      </c>
      <c r="B6604">
        <f>TEST_DATA!B6604</f>
        <v/>
      </c>
      <c r="C6604">
        <f>TEST_DATA!C6604</f>
        <v/>
      </c>
      <c r="D6604">
        <f>TEST_DATA!D6604</f>
        <v/>
      </c>
      <c r="E6604">
        <f>TEST_DATA!E6604</f>
        <v/>
      </c>
    </row>
    <row r="6605">
      <c r="A6605">
        <f>TEST_DATA!A6605</f>
        <v/>
      </c>
      <c r="B6605">
        <f>TEST_DATA!B6605</f>
        <v/>
      </c>
      <c r="C6605">
        <f>TEST_DATA!C6605</f>
        <v/>
      </c>
      <c r="D6605">
        <f>TEST_DATA!D6605</f>
        <v/>
      </c>
      <c r="E6605">
        <f>TEST_DATA!E6605</f>
        <v/>
      </c>
    </row>
    <row r="6606">
      <c r="A6606">
        <f>TEST_DATA!A6606</f>
        <v/>
      </c>
      <c r="B6606">
        <f>TEST_DATA!B6606</f>
        <v/>
      </c>
      <c r="C6606">
        <f>TEST_DATA!C6606</f>
        <v/>
      </c>
      <c r="D6606">
        <f>TEST_DATA!D6606</f>
        <v/>
      </c>
      <c r="E6606">
        <f>TEST_DATA!E6606</f>
        <v/>
      </c>
    </row>
    <row r="6607">
      <c r="A6607">
        <f>TEST_DATA!A6607</f>
        <v/>
      </c>
      <c r="B6607">
        <f>TEST_DATA!B6607</f>
        <v/>
      </c>
      <c r="C6607">
        <f>TEST_DATA!C6607</f>
        <v/>
      </c>
      <c r="D6607">
        <f>TEST_DATA!D6607</f>
        <v/>
      </c>
      <c r="E6607">
        <f>TEST_DATA!E6607</f>
        <v/>
      </c>
    </row>
    <row r="6608">
      <c r="A6608">
        <f>TEST_DATA!A6608</f>
        <v/>
      </c>
      <c r="B6608">
        <f>TEST_DATA!B6608</f>
        <v/>
      </c>
      <c r="C6608">
        <f>TEST_DATA!C6608</f>
        <v/>
      </c>
      <c r="D6608">
        <f>TEST_DATA!D6608</f>
        <v/>
      </c>
      <c r="E6608">
        <f>TEST_DATA!E6608</f>
        <v/>
      </c>
    </row>
    <row r="6609">
      <c r="A6609">
        <f>TEST_DATA!A6609</f>
        <v/>
      </c>
      <c r="B6609">
        <f>TEST_DATA!B6609</f>
        <v/>
      </c>
      <c r="C6609">
        <f>TEST_DATA!C6609</f>
        <v/>
      </c>
      <c r="D6609">
        <f>TEST_DATA!D6609</f>
        <v/>
      </c>
      <c r="E6609">
        <f>TEST_DATA!E6609</f>
        <v/>
      </c>
    </row>
    <row r="6610">
      <c r="A6610">
        <f>TEST_DATA!A6610</f>
        <v/>
      </c>
      <c r="B6610">
        <f>TEST_DATA!B6610</f>
        <v/>
      </c>
      <c r="C6610">
        <f>TEST_DATA!C6610</f>
        <v/>
      </c>
      <c r="D6610">
        <f>TEST_DATA!D6610</f>
        <v/>
      </c>
      <c r="E6610">
        <f>TEST_DATA!E6610</f>
        <v/>
      </c>
    </row>
    <row r="6611">
      <c r="A6611">
        <f>TEST_DATA!A6611</f>
        <v/>
      </c>
      <c r="B6611">
        <f>TEST_DATA!B6611</f>
        <v/>
      </c>
      <c r="C6611">
        <f>TEST_DATA!C6611</f>
        <v/>
      </c>
      <c r="D6611">
        <f>TEST_DATA!D6611</f>
        <v/>
      </c>
      <c r="E6611">
        <f>TEST_DATA!E6611</f>
        <v/>
      </c>
    </row>
    <row r="6612">
      <c r="A6612">
        <f>TEST_DATA!A6612</f>
        <v/>
      </c>
      <c r="B6612">
        <f>TEST_DATA!B6612</f>
        <v/>
      </c>
      <c r="C6612">
        <f>TEST_DATA!C6612</f>
        <v/>
      </c>
      <c r="D6612">
        <f>TEST_DATA!D6612</f>
        <v/>
      </c>
      <c r="E6612">
        <f>TEST_DATA!E6612</f>
        <v/>
      </c>
    </row>
    <row r="6613">
      <c r="A6613">
        <f>TEST_DATA!A6613</f>
        <v/>
      </c>
      <c r="B6613">
        <f>TEST_DATA!B6613</f>
        <v/>
      </c>
      <c r="C6613">
        <f>TEST_DATA!C6613</f>
        <v/>
      </c>
      <c r="D6613">
        <f>TEST_DATA!D6613</f>
        <v/>
      </c>
      <c r="E6613">
        <f>TEST_DATA!E6613</f>
        <v/>
      </c>
    </row>
    <row r="6614">
      <c r="A6614">
        <f>TEST_DATA!A6614</f>
        <v/>
      </c>
      <c r="B6614">
        <f>TEST_DATA!B6614</f>
        <v/>
      </c>
      <c r="C6614">
        <f>TEST_DATA!C6614</f>
        <v/>
      </c>
      <c r="D6614">
        <f>TEST_DATA!D6614</f>
        <v/>
      </c>
      <c r="E6614">
        <f>TEST_DATA!E6614</f>
        <v/>
      </c>
    </row>
    <row r="6615">
      <c r="A6615">
        <f>TEST_DATA!A6615</f>
        <v/>
      </c>
      <c r="B6615">
        <f>TEST_DATA!B6615</f>
        <v/>
      </c>
      <c r="C6615">
        <f>TEST_DATA!C6615</f>
        <v/>
      </c>
      <c r="D6615">
        <f>TEST_DATA!D6615</f>
        <v/>
      </c>
      <c r="E6615">
        <f>TEST_DATA!E6615</f>
        <v/>
      </c>
    </row>
    <row r="6616">
      <c r="A6616">
        <f>TEST_DATA!A6616</f>
        <v/>
      </c>
      <c r="B6616">
        <f>TEST_DATA!B6616</f>
        <v/>
      </c>
      <c r="C6616">
        <f>TEST_DATA!C6616</f>
        <v/>
      </c>
      <c r="D6616">
        <f>TEST_DATA!D6616</f>
        <v/>
      </c>
      <c r="E6616">
        <f>TEST_DATA!E6616</f>
        <v/>
      </c>
    </row>
    <row r="6617">
      <c r="A6617">
        <f>TEST_DATA!A6617</f>
        <v/>
      </c>
      <c r="B6617">
        <f>TEST_DATA!B6617</f>
        <v/>
      </c>
      <c r="C6617">
        <f>TEST_DATA!C6617</f>
        <v/>
      </c>
      <c r="D6617">
        <f>TEST_DATA!D6617</f>
        <v/>
      </c>
      <c r="E6617">
        <f>TEST_DATA!E6617</f>
        <v/>
      </c>
    </row>
    <row r="6618">
      <c r="A6618">
        <f>TEST_DATA!A6618</f>
        <v/>
      </c>
      <c r="B6618">
        <f>TEST_DATA!B6618</f>
        <v/>
      </c>
      <c r="C6618">
        <f>TEST_DATA!C6618</f>
        <v/>
      </c>
      <c r="D6618">
        <f>TEST_DATA!D6618</f>
        <v/>
      </c>
      <c r="E6618">
        <f>TEST_DATA!E6618</f>
        <v/>
      </c>
    </row>
    <row r="6619">
      <c r="A6619">
        <f>TEST_DATA!A6619</f>
        <v/>
      </c>
      <c r="B6619">
        <f>TEST_DATA!B6619</f>
        <v/>
      </c>
      <c r="C6619">
        <f>TEST_DATA!C6619</f>
        <v/>
      </c>
      <c r="D6619">
        <f>TEST_DATA!D6619</f>
        <v/>
      </c>
      <c r="E6619">
        <f>TEST_DATA!E6619</f>
        <v/>
      </c>
    </row>
    <row r="6620">
      <c r="A6620">
        <f>TEST_DATA!A6620</f>
        <v/>
      </c>
      <c r="B6620">
        <f>TEST_DATA!B6620</f>
        <v/>
      </c>
      <c r="C6620">
        <f>TEST_DATA!C6620</f>
        <v/>
      </c>
      <c r="D6620">
        <f>TEST_DATA!D6620</f>
        <v/>
      </c>
      <c r="E6620">
        <f>TEST_DATA!E6620</f>
        <v/>
      </c>
    </row>
    <row r="6621">
      <c r="A6621">
        <f>TEST_DATA!A6621</f>
        <v/>
      </c>
      <c r="B6621">
        <f>TEST_DATA!B6621</f>
        <v/>
      </c>
      <c r="C6621">
        <f>TEST_DATA!C6621</f>
        <v/>
      </c>
      <c r="D6621">
        <f>TEST_DATA!D6621</f>
        <v/>
      </c>
      <c r="E6621">
        <f>TEST_DATA!E6621</f>
        <v/>
      </c>
    </row>
    <row r="6622">
      <c r="A6622">
        <f>TEST_DATA!A6622</f>
        <v/>
      </c>
      <c r="B6622">
        <f>TEST_DATA!B6622</f>
        <v/>
      </c>
      <c r="C6622">
        <f>TEST_DATA!C6622</f>
        <v/>
      </c>
      <c r="D6622">
        <f>TEST_DATA!D6622</f>
        <v/>
      </c>
      <c r="E6622">
        <f>TEST_DATA!E6622</f>
        <v/>
      </c>
    </row>
    <row r="6623">
      <c r="A6623">
        <f>TEST_DATA!A6623</f>
        <v/>
      </c>
      <c r="B6623">
        <f>TEST_DATA!B6623</f>
        <v/>
      </c>
      <c r="C6623">
        <f>TEST_DATA!C6623</f>
        <v/>
      </c>
      <c r="D6623">
        <f>TEST_DATA!D6623</f>
        <v/>
      </c>
      <c r="E6623">
        <f>TEST_DATA!E6623</f>
        <v/>
      </c>
    </row>
    <row r="6624">
      <c r="A6624">
        <f>TEST_DATA!A6624</f>
        <v/>
      </c>
      <c r="B6624">
        <f>TEST_DATA!B6624</f>
        <v/>
      </c>
      <c r="C6624">
        <f>TEST_DATA!C6624</f>
        <v/>
      </c>
      <c r="D6624">
        <f>TEST_DATA!D6624</f>
        <v/>
      </c>
      <c r="E6624">
        <f>TEST_DATA!E6624</f>
        <v/>
      </c>
    </row>
    <row r="6625">
      <c r="A6625">
        <f>TEST_DATA!A6625</f>
        <v/>
      </c>
      <c r="B6625">
        <f>TEST_DATA!B6625</f>
        <v/>
      </c>
      <c r="C6625">
        <f>TEST_DATA!C6625</f>
        <v/>
      </c>
      <c r="D6625">
        <f>TEST_DATA!D6625</f>
        <v/>
      </c>
      <c r="E6625">
        <f>TEST_DATA!E6625</f>
        <v/>
      </c>
    </row>
    <row r="6626">
      <c r="A6626">
        <f>TEST_DATA!A6626</f>
        <v/>
      </c>
      <c r="B6626">
        <f>TEST_DATA!B6626</f>
        <v/>
      </c>
      <c r="C6626">
        <f>TEST_DATA!C6626</f>
        <v/>
      </c>
      <c r="D6626">
        <f>TEST_DATA!D6626</f>
        <v/>
      </c>
      <c r="E6626">
        <f>TEST_DATA!E6626</f>
        <v/>
      </c>
    </row>
    <row r="6627">
      <c r="A6627">
        <f>TEST_DATA!A6627</f>
        <v/>
      </c>
      <c r="B6627">
        <f>TEST_DATA!B6627</f>
        <v/>
      </c>
      <c r="C6627">
        <f>TEST_DATA!C6627</f>
        <v/>
      </c>
      <c r="D6627">
        <f>TEST_DATA!D6627</f>
        <v/>
      </c>
      <c r="E6627">
        <f>TEST_DATA!E6627</f>
        <v/>
      </c>
    </row>
    <row r="6628">
      <c r="A6628">
        <f>TEST_DATA!A6628</f>
        <v/>
      </c>
      <c r="B6628">
        <f>TEST_DATA!B6628</f>
        <v/>
      </c>
      <c r="C6628">
        <f>TEST_DATA!C6628</f>
        <v/>
      </c>
      <c r="D6628">
        <f>TEST_DATA!D6628</f>
        <v/>
      </c>
      <c r="E6628">
        <f>TEST_DATA!E6628</f>
        <v/>
      </c>
    </row>
    <row r="6629">
      <c r="A6629">
        <f>TEST_DATA!A6629</f>
        <v/>
      </c>
      <c r="B6629">
        <f>TEST_DATA!B6629</f>
        <v/>
      </c>
      <c r="C6629">
        <f>TEST_DATA!C6629</f>
        <v/>
      </c>
      <c r="D6629">
        <f>TEST_DATA!D6629</f>
        <v/>
      </c>
      <c r="E6629">
        <f>TEST_DATA!E6629</f>
        <v/>
      </c>
    </row>
    <row r="6630">
      <c r="A6630">
        <f>TEST_DATA!A6630</f>
        <v/>
      </c>
      <c r="B6630">
        <f>TEST_DATA!B6630</f>
        <v/>
      </c>
      <c r="C6630">
        <f>TEST_DATA!C6630</f>
        <v/>
      </c>
      <c r="D6630">
        <f>TEST_DATA!D6630</f>
        <v/>
      </c>
      <c r="E6630">
        <f>TEST_DATA!E6630</f>
        <v/>
      </c>
    </row>
    <row r="6631">
      <c r="A6631">
        <f>TEST_DATA!A6631</f>
        <v/>
      </c>
      <c r="B6631">
        <f>TEST_DATA!B6631</f>
        <v/>
      </c>
      <c r="C6631">
        <f>TEST_DATA!C6631</f>
        <v/>
      </c>
      <c r="D6631">
        <f>TEST_DATA!D6631</f>
        <v/>
      </c>
      <c r="E6631">
        <f>TEST_DATA!E6631</f>
        <v/>
      </c>
    </row>
    <row r="6632">
      <c r="A6632">
        <f>TEST_DATA!A6632</f>
        <v/>
      </c>
      <c r="B6632">
        <f>TEST_DATA!B6632</f>
        <v/>
      </c>
      <c r="C6632">
        <f>TEST_DATA!C6632</f>
        <v/>
      </c>
      <c r="D6632">
        <f>TEST_DATA!D6632</f>
        <v/>
      </c>
      <c r="E6632">
        <f>TEST_DATA!E6632</f>
        <v/>
      </c>
    </row>
    <row r="6633">
      <c r="A6633">
        <f>TEST_DATA!A6633</f>
        <v/>
      </c>
      <c r="B6633">
        <f>TEST_DATA!B6633</f>
        <v/>
      </c>
      <c r="C6633">
        <f>TEST_DATA!C6633</f>
        <v/>
      </c>
      <c r="D6633">
        <f>TEST_DATA!D6633</f>
        <v/>
      </c>
      <c r="E6633">
        <f>TEST_DATA!E6633</f>
        <v/>
      </c>
    </row>
    <row r="6634">
      <c r="A6634">
        <f>TEST_DATA!A6634</f>
        <v/>
      </c>
      <c r="B6634">
        <f>TEST_DATA!B6634</f>
        <v/>
      </c>
      <c r="C6634">
        <f>TEST_DATA!C6634</f>
        <v/>
      </c>
      <c r="D6634">
        <f>TEST_DATA!D6634</f>
        <v/>
      </c>
      <c r="E6634">
        <f>TEST_DATA!E6634</f>
        <v/>
      </c>
    </row>
    <row r="6635">
      <c r="A6635">
        <f>TEST_DATA!A6635</f>
        <v/>
      </c>
      <c r="B6635">
        <f>TEST_DATA!B6635</f>
        <v/>
      </c>
      <c r="C6635">
        <f>TEST_DATA!C6635</f>
        <v/>
      </c>
      <c r="D6635">
        <f>TEST_DATA!D6635</f>
        <v/>
      </c>
      <c r="E6635">
        <f>TEST_DATA!E6635</f>
        <v/>
      </c>
    </row>
    <row r="6636">
      <c r="A6636">
        <f>TEST_DATA!A6636</f>
        <v/>
      </c>
      <c r="B6636">
        <f>TEST_DATA!B6636</f>
        <v/>
      </c>
      <c r="C6636">
        <f>TEST_DATA!C6636</f>
        <v/>
      </c>
      <c r="D6636">
        <f>TEST_DATA!D6636</f>
        <v/>
      </c>
      <c r="E6636">
        <f>TEST_DATA!E6636</f>
        <v/>
      </c>
    </row>
    <row r="6637">
      <c r="A6637">
        <f>TEST_DATA!A6637</f>
        <v/>
      </c>
      <c r="B6637">
        <f>TEST_DATA!B6637</f>
        <v/>
      </c>
      <c r="C6637">
        <f>TEST_DATA!C6637</f>
        <v/>
      </c>
      <c r="D6637">
        <f>TEST_DATA!D6637</f>
        <v/>
      </c>
      <c r="E6637">
        <f>TEST_DATA!E6637</f>
        <v/>
      </c>
    </row>
    <row r="6638">
      <c r="A6638">
        <f>TEST_DATA!A6638</f>
        <v/>
      </c>
      <c r="B6638">
        <f>TEST_DATA!B6638</f>
        <v/>
      </c>
      <c r="C6638">
        <f>TEST_DATA!C6638</f>
        <v/>
      </c>
      <c r="D6638">
        <f>TEST_DATA!D6638</f>
        <v/>
      </c>
      <c r="E6638">
        <f>TEST_DATA!E6638</f>
        <v/>
      </c>
    </row>
    <row r="6639">
      <c r="A6639">
        <f>TEST_DATA!A6639</f>
        <v/>
      </c>
      <c r="B6639">
        <f>TEST_DATA!B6639</f>
        <v/>
      </c>
      <c r="C6639">
        <f>TEST_DATA!C6639</f>
        <v/>
      </c>
      <c r="D6639">
        <f>TEST_DATA!D6639</f>
        <v/>
      </c>
      <c r="E6639">
        <f>TEST_DATA!E6639</f>
        <v/>
      </c>
    </row>
    <row r="6640">
      <c r="A6640">
        <f>TEST_DATA!A6640</f>
        <v/>
      </c>
      <c r="B6640">
        <f>TEST_DATA!B6640</f>
        <v/>
      </c>
      <c r="C6640">
        <f>TEST_DATA!C6640</f>
        <v/>
      </c>
      <c r="D6640">
        <f>TEST_DATA!D6640</f>
        <v/>
      </c>
      <c r="E6640">
        <f>TEST_DATA!E6640</f>
        <v/>
      </c>
    </row>
    <row r="6641">
      <c r="A6641">
        <f>TEST_DATA!A6641</f>
        <v/>
      </c>
      <c r="B6641">
        <f>TEST_DATA!B6641</f>
        <v/>
      </c>
      <c r="C6641">
        <f>TEST_DATA!C6641</f>
        <v/>
      </c>
      <c r="D6641">
        <f>TEST_DATA!D6641</f>
        <v/>
      </c>
      <c r="E6641">
        <f>TEST_DATA!E6641</f>
        <v/>
      </c>
    </row>
    <row r="6642">
      <c r="A6642">
        <f>TEST_DATA!A6642</f>
        <v/>
      </c>
      <c r="B6642">
        <f>TEST_DATA!B6642</f>
        <v/>
      </c>
      <c r="C6642">
        <f>TEST_DATA!C6642</f>
        <v/>
      </c>
      <c r="D6642">
        <f>TEST_DATA!D6642</f>
        <v/>
      </c>
      <c r="E6642">
        <f>TEST_DATA!E6642</f>
        <v/>
      </c>
    </row>
    <row r="6643">
      <c r="A6643">
        <f>TEST_DATA!A6643</f>
        <v/>
      </c>
      <c r="B6643">
        <f>TEST_DATA!B6643</f>
        <v/>
      </c>
      <c r="C6643">
        <f>TEST_DATA!C6643</f>
        <v/>
      </c>
      <c r="D6643">
        <f>TEST_DATA!D6643</f>
        <v/>
      </c>
      <c r="E6643">
        <f>TEST_DATA!E6643</f>
        <v/>
      </c>
    </row>
    <row r="6644">
      <c r="A6644">
        <f>TEST_DATA!A6644</f>
        <v/>
      </c>
      <c r="B6644">
        <f>TEST_DATA!B6644</f>
        <v/>
      </c>
      <c r="C6644">
        <f>TEST_DATA!C6644</f>
        <v/>
      </c>
      <c r="D6644">
        <f>TEST_DATA!D6644</f>
        <v/>
      </c>
      <c r="E6644">
        <f>TEST_DATA!E6644</f>
        <v/>
      </c>
    </row>
    <row r="6645">
      <c r="A6645">
        <f>TEST_DATA!A6645</f>
        <v/>
      </c>
      <c r="B6645">
        <f>TEST_DATA!B6645</f>
        <v/>
      </c>
      <c r="C6645">
        <f>TEST_DATA!C6645</f>
        <v/>
      </c>
      <c r="D6645">
        <f>TEST_DATA!D6645</f>
        <v/>
      </c>
      <c r="E6645">
        <f>TEST_DATA!E6645</f>
        <v/>
      </c>
    </row>
    <row r="6646">
      <c r="A6646">
        <f>TEST_DATA!A6646</f>
        <v/>
      </c>
      <c r="B6646">
        <f>TEST_DATA!B6646</f>
        <v/>
      </c>
      <c r="C6646">
        <f>TEST_DATA!C6646</f>
        <v/>
      </c>
      <c r="D6646">
        <f>TEST_DATA!D6646</f>
        <v/>
      </c>
      <c r="E6646">
        <f>TEST_DATA!E6646</f>
        <v/>
      </c>
    </row>
    <row r="6647">
      <c r="A6647">
        <f>TEST_DATA!A6647</f>
        <v/>
      </c>
      <c r="B6647">
        <f>TEST_DATA!B6647</f>
        <v/>
      </c>
      <c r="C6647">
        <f>TEST_DATA!C6647</f>
        <v/>
      </c>
      <c r="D6647">
        <f>TEST_DATA!D6647</f>
        <v/>
      </c>
      <c r="E6647">
        <f>TEST_DATA!E6647</f>
        <v/>
      </c>
    </row>
    <row r="6648">
      <c r="A6648">
        <f>TEST_DATA!A6648</f>
        <v/>
      </c>
      <c r="B6648">
        <f>TEST_DATA!B6648</f>
        <v/>
      </c>
      <c r="C6648">
        <f>TEST_DATA!C6648</f>
        <v/>
      </c>
      <c r="D6648">
        <f>TEST_DATA!D6648</f>
        <v/>
      </c>
      <c r="E6648">
        <f>TEST_DATA!E6648</f>
        <v/>
      </c>
    </row>
    <row r="6649">
      <c r="A6649">
        <f>TEST_DATA!A6649</f>
        <v/>
      </c>
      <c r="B6649">
        <f>TEST_DATA!B6649</f>
        <v/>
      </c>
      <c r="C6649">
        <f>TEST_DATA!C6649</f>
        <v/>
      </c>
      <c r="D6649">
        <f>TEST_DATA!D6649</f>
        <v/>
      </c>
      <c r="E6649">
        <f>TEST_DATA!E6649</f>
        <v/>
      </c>
    </row>
    <row r="6650">
      <c r="A6650">
        <f>TEST_DATA!A6650</f>
        <v/>
      </c>
      <c r="B6650">
        <f>TEST_DATA!B6650</f>
        <v/>
      </c>
      <c r="C6650">
        <f>TEST_DATA!C6650</f>
        <v/>
      </c>
      <c r="D6650">
        <f>TEST_DATA!D6650</f>
        <v/>
      </c>
      <c r="E6650">
        <f>TEST_DATA!E6650</f>
        <v/>
      </c>
    </row>
    <row r="6651">
      <c r="A6651">
        <f>TEST_DATA!A6651</f>
        <v/>
      </c>
      <c r="B6651">
        <f>TEST_DATA!B6651</f>
        <v/>
      </c>
      <c r="C6651">
        <f>TEST_DATA!C6651</f>
        <v/>
      </c>
      <c r="D6651">
        <f>TEST_DATA!D6651</f>
        <v/>
      </c>
      <c r="E6651">
        <f>TEST_DATA!E6651</f>
        <v/>
      </c>
    </row>
    <row r="6652">
      <c r="A6652">
        <f>TEST_DATA!A6652</f>
        <v/>
      </c>
      <c r="B6652">
        <f>TEST_DATA!B6652</f>
        <v/>
      </c>
      <c r="C6652">
        <f>TEST_DATA!C6652</f>
        <v/>
      </c>
      <c r="D6652">
        <f>TEST_DATA!D6652</f>
        <v/>
      </c>
      <c r="E6652">
        <f>TEST_DATA!E6652</f>
        <v/>
      </c>
    </row>
    <row r="6653">
      <c r="A6653">
        <f>TEST_DATA!A6653</f>
        <v/>
      </c>
      <c r="B6653">
        <f>TEST_DATA!B6653</f>
        <v/>
      </c>
      <c r="C6653">
        <f>TEST_DATA!C6653</f>
        <v/>
      </c>
      <c r="D6653">
        <f>TEST_DATA!D6653</f>
        <v/>
      </c>
      <c r="E6653">
        <f>TEST_DATA!E6653</f>
        <v/>
      </c>
    </row>
    <row r="6654">
      <c r="A6654">
        <f>TEST_DATA!A6654</f>
        <v/>
      </c>
      <c r="B6654">
        <f>TEST_DATA!B6654</f>
        <v/>
      </c>
      <c r="C6654">
        <f>TEST_DATA!C6654</f>
        <v/>
      </c>
      <c r="D6654">
        <f>TEST_DATA!D6654</f>
        <v/>
      </c>
      <c r="E6654">
        <f>TEST_DATA!E6654</f>
        <v/>
      </c>
    </row>
    <row r="6655">
      <c r="A6655">
        <f>TEST_DATA!A6655</f>
        <v/>
      </c>
      <c r="B6655">
        <f>TEST_DATA!B6655</f>
        <v/>
      </c>
      <c r="C6655">
        <f>TEST_DATA!C6655</f>
        <v/>
      </c>
      <c r="D6655">
        <f>TEST_DATA!D6655</f>
        <v/>
      </c>
      <c r="E6655">
        <f>TEST_DATA!E6655</f>
        <v/>
      </c>
    </row>
    <row r="6656">
      <c r="A6656">
        <f>TEST_DATA!A6656</f>
        <v/>
      </c>
      <c r="B6656">
        <f>TEST_DATA!B6656</f>
        <v/>
      </c>
      <c r="C6656">
        <f>TEST_DATA!C6656</f>
        <v/>
      </c>
      <c r="D6656">
        <f>TEST_DATA!D6656</f>
        <v/>
      </c>
      <c r="E6656">
        <f>TEST_DATA!E6656</f>
        <v/>
      </c>
    </row>
    <row r="6657">
      <c r="A6657">
        <f>TEST_DATA!A6657</f>
        <v/>
      </c>
      <c r="B6657">
        <f>TEST_DATA!B6657</f>
        <v/>
      </c>
      <c r="C6657">
        <f>TEST_DATA!C6657</f>
        <v/>
      </c>
      <c r="D6657">
        <f>TEST_DATA!D6657</f>
        <v/>
      </c>
      <c r="E6657">
        <f>TEST_DATA!E6657</f>
        <v/>
      </c>
    </row>
    <row r="6658">
      <c r="A6658">
        <f>TEST_DATA!A6658</f>
        <v/>
      </c>
      <c r="B6658">
        <f>TEST_DATA!B6658</f>
        <v/>
      </c>
      <c r="C6658">
        <f>TEST_DATA!C6658</f>
        <v/>
      </c>
      <c r="D6658">
        <f>TEST_DATA!D6658</f>
        <v/>
      </c>
      <c r="E6658">
        <f>TEST_DATA!E6658</f>
        <v/>
      </c>
    </row>
    <row r="6659">
      <c r="A6659">
        <f>TEST_DATA!A6659</f>
        <v/>
      </c>
      <c r="B6659">
        <f>TEST_DATA!B6659</f>
        <v/>
      </c>
      <c r="C6659">
        <f>TEST_DATA!C6659</f>
        <v/>
      </c>
      <c r="D6659">
        <f>TEST_DATA!D6659</f>
        <v/>
      </c>
      <c r="E6659">
        <f>TEST_DATA!E6659</f>
        <v/>
      </c>
    </row>
    <row r="6660">
      <c r="A6660">
        <f>TEST_DATA!A6660</f>
        <v/>
      </c>
      <c r="B6660">
        <f>TEST_DATA!B6660</f>
        <v/>
      </c>
      <c r="C6660">
        <f>TEST_DATA!C6660</f>
        <v/>
      </c>
      <c r="D6660">
        <f>TEST_DATA!D6660</f>
        <v/>
      </c>
      <c r="E6660">
        <f>TEST_DATA!E6660</f>
        <v/>
      </c>
    </row>
    <row r="6661">
      <c r="A6661">
        <f>TEST_DATA!A6661</f>
        <v/>
      </c>
      <c r="B6661">
        <f>TEST_DATA!B6661</f>
        <v/>
      </c>
      <c r="C6661">
        <f>TEST_DATA!C6661</f>
        <v/>
      </c>
      <c r="D6661">
        <f>TEST_DATA!D6661</f>
        <v/>
      </c>
      <c r="E6661">
        <f>TEST_DATA!E6661</f>
        <v/>
      </c>
    </row>
    <row r="6662">
      <c r="A6662">
        <f>TEST_DATA!A6662</f>
        <v/>
      </c>
      <c r="B6662">
        <f>TEST_DATA!B6662</f>
        <v/>
      </c>
      <c r="C6662">
        <f>TEST_DATA!C6662</f>
        <v/>
      </c>
      <c r="D6662">
        <f>TEST_DATA!D6662</f>
        <v/>
      </c>
      <c r="E6662">
        <f>TEST_DATA!E6662</f>
        <v/>
      </c>
    </row>
    <row r="6663">
      <c r="A6663">
        <f>TEST_DATA!A6663</f>
        <v/>
      </c>
      <c r="B6663">
        <f>TEST_DATA!B6663</f>
        <v/>
      </c>
      <c r="C6663">
        <f>TEST_DATA!C6663</f>
        <v/>
      </c>
      <c r="D6663">
        <f>TEST_DATA!D6663</f>
        <v/>
      </c>
      <c r="E6663">
        <f>TEST_DATA!E6663</f>
        <v/>
      </c>
    </row>
    <row r="6664">
      <c r="A6664">
        <f>TEST_DATA!A6664</f>
        <v/>
      </c>
      <c r="B6664">
        <f>TEST_DATA!B6664</f>
        <v/>
      </c>
      <c r="C6664">
        <f>TEST_DATA!C6664</f>
        <v/>
      </c>
      <c r="D6664">
        <f>TEST_DATA!D6664</f>
        <v/>
      </c>
      <c r="E6664">
        <f>TEST_DATA!E6664</f>
        <v/>
      </c>
    </row>
    <row r="6665">
      <c r="A6665">
        <f>TEST_DATA!A6665</f>
        <v/>
      </c>
      <c r="B6665">
        <f>TEST_DATA!B6665</f>
        <v/>
      </c>
      <c r="C6665">
        <f>TEST_DATA!C6665</f>
        <v/>
      </c>
      <c r="D6665">
        <f>TEST_DATA!D6665</f>
        <v/>
      </c>
      <c r="E6665">
        <f>TEST_DATA!E6665</f>
        <v/>
      </c>
    </row>
    <row r="6666">
      <c r="A6666">
        <f>TEST_DATA!A6666</f>
        <v/>
      </c>
      <c r="B6666">
        <f>TEST_DATA!B6666</f>
        <v/>
      </c>
      <c r="C6666">
        <f>TEST_DATA!C6666</f>
        <v/>
      </c>
      <c r="D6666">
        <f>TEST_DATA!D6666</f>
        <v/>
      </c>
      <c r="E6666">
        <f>TEST_DATA!E6666</f>
        <v/>
      </c>
    </row>
    <row r="6667">
      <c r="A6667">
        <f>TEST_DATA!A6667</f>
        <v/>
      </c>
      <c r="B6667">
        <f>TEST_DATA!B6667</f>
        <v/>
      </c>
      <c r="C6667">
        <f>TEST_DATA!C6667</f>
        <v/>
      </c>
      <c r="D6667">
        <f>TEST_DATA!D6667</f>
        <v/>
      </c>
      <c r="E6667">
        <f>TEST_DATA!E6667</f>
        <v/>
      </c>
    </row>
    <row r="6668">
      <c r="A6668">
        <f>TEST_DATA!A6668</f>
        <v/>
      </c>
      <c r="B6668">
        <f>TEST_DATA!B6668</f>
        <v/>
      </c>
      <c r="C6668">
        <f>TEST_DATA!C6668</f>
        <v/>
      </c>
      <c r="D6668">
        <f>TEST_DATA!D6668</f>
        <v/>
      </c>
      <c r="E6668">
        <f>TEST_DATA!E6668</f>
        <v/>
      </c>
    </row>
    <row r="6669">
      <c r="A6669">
        <f>TEST_DATA!A6669</f>
        <v/>
      </c>
      <c r="B6669">
        <f>TEST_DATA!B6669</f>
        <v/>
      </c>
      <c r="C6669">
        <f>TEST_DATA!C6669</f>
        <v/>
      </c>
      <c r="D6669">
        <f>TEST_DATA!D6669</f>
        <v/>
      </c>
      <c r="E6669">
        <f>TEST_DATA!E6669</f>
        <v/>
      </c>
    </row>
    <row r="6670">
      <c r="A6670">
        <f>TEST_DATA!A6670</f>
        <v/>
      </c>
      <c r="B6670">
        <f>TEST_DATA!B6670</f>
        <v/>
      </c>
      <c r="C6670">
        <f>TEST_DATA!C6670</f>
        <v/>
      </c>
      <c r="D6670">
        <f>TEST_DATA!D6670</f>
        <v/>
      </c>
      <c r="E6670">
        <f>TEST_DATA!E6670</f>
        <v/>
      </c>
    </row>
    <row r="6671">
      <c r="A6671">
        <f>TEST_DATA!A6671</f>
        <v/>
      </c>
      <c r="B6671">
        <f>TEST_DATA!B6671</f>
        <v/>
      </c>
      <c r="C6671">
        <f>TEST_DATA!C6671</f>
        <v/>
      </c>
      <c r="D6671">
        <f>TEST_DATA!D6671</f>
        <v/>
      </c>
      <c r="E6671">
        <f>TEST_DATA!E6671</f>
        <v/>
      </c>
    </row>
    <row r="6672">
      <c r="A6672">
        <f>TEST_DATA!A6672</f>
        <v/>
      </c>
      <c r="B6672">
        <f>TEST_DATA!B6672</f>
        <v/>
      </c>
      <c r="C6672">
        <f>TEST_DATA!C6672</f>
        <v/>
      </c>
      <c r="D6672">
        <f>TEST_DATA!D6672</f>
        <v/>
      </c>
      <c r="E6672">
        <f>TEST_DATA!E6672</f>
        <v/>
      </c>
    </row>
    <row r="6673">
      <c r="A6673">
        <f>TEST_DATA!A6673</f>
        <v/>
      </c>
      <c r="B6673">
        <f>TEST_DATA!B6673</f>
        <v/>
      </c>
      <c r="C6673">
        <f>TEST_DATA!C6673</f>
        <v/>
      </c>
      <c r="D6673">
        <f>TEST_DATA!D6673</f>
        <v/>
      </c>
      <c r="E6673">
        <f>TEST_DATA!E6673</f>
        <v/>
      </c>
    </row>
    <row r="6674">
      <c r="A6674">
        <f>TEST_DATA!A6674</f>
        <v/>
      </c>
      <c r="B6674">
        <f>TEST_DATA!B6674</f>
        <v/>
      </c>
      <c r="C6674">
        <f>TEST_DATA!C6674</f>
        <v/>
      </c>
      <c r="D6674">
        <f>TEST_DATA!D6674</f>
        <v/>
      </c>
      <c r="E6674">
        <f>TEST_DATA!E6674</f>
        <v/>
      </c>
    </row>
    <row r="6675">
      <c r="A6675">
        <f>TEST_DATA!A6675</f>
        <v/>
      </c>
      <c r="B6675">
        <f>TEST_DATA!B6675</f>
        <v/>
      </c>
      <c r="C6675">
        <f>TEST_DATA!C6675</f>
        <v/>
      </c>
      <c r="D6675">
        <f>TEST_DATA!D6675</f>
        <v/>
      </c>
      <c r="E6675">
        <f>TEST_DATA!E6675</f>
        <v/>
      </c>
    </row>
    <row r="6676">
      <c r="A6676">
        <f>TEST_DATA!A6676</f>
        <v/>
      </c>
      <c r="B6676">
        <f>TEST_DATA!B6676</f>
        <v/>
      </c>
      <c r="C6676">
        <f>TEST_DATA!C6676</f>
        <v/>
      </c>
      <c r="D6676">
        <f>TEST_DATA!D6676</f>
        <v/>
      </c>
      <c r="E6676">
        <f>TEST_DATA!E6676</f>
        <v/>
      </c>
    </row>
    <row r="6677">
      <c r="A6677">
        <f>TEST_DATA!A6677</f>
        <v/>
      </c>
      <c r="B6677">
        <f>TEST_DATA!B6677</f>
        <v/>
      </c>
      <c r="C6677">
        <f>TEST_DATA!C6677</f>
        <v/>
      </c>
      <c r="D6677">
        <f>TEST_DATA!D6677</f>
        <v/>
      </c>
      <c r="E6677">
        <f>TEST_DATA!E6677</f>
        <v/>
      </c>
    </row>
    <row r="6678">
      <c r="A6678">
        <f>TEST_DATA!A6678</f>
        <v/>
      </c>
      <c r="B6678">
        <f>TEST_DATA!B6678</f>
        <v/>
      </c>
      <c r="C6678">
        <f>TEST_DATA!C6678</f>
        <v/>
      </c>
      <c r="D6678">
        <f>TEST_DATA!D6678</f>
        <v/>
      </c>
      <c r="E6678">
        <f>TEST_DATA!E6678</f>
        <v/>
      </c>
    </row>
    <row r="6679">
      <c r="A6679">
        <f>TEST_DATA!A6679</f>
        <v/>
      </c>
      <c r="B6679">
        <f>TEST_DATA!B6679</f>
        <v/>
      </c>
      <c r="C6679">
        <f>TEST_DATA!C6679</f>
        <v/>
      </c>
      <c r="D6679">
        <f>TEST_DATA!D6679</f>
        <v/>
      </c>
      <c r="E6679">
        <f>TEST_DATA!E6679</f>
        <v/>
      </c>
    </row>
    <row r="6680">
      <c r="A6680">
        <f>TEST_DATA!A6680</f>
        <v/>
      </c>
      <c r="B6680">
        <f>TEST_DATA!B6680</f>
        <v/>
      </c>
      <c r="C6680">
        <f>TEST_DATA!C6680</f>
        <v/>
      </c>
      <c r="D6680">
        <f>TEST_DATA!D6680</f>
        <v/>
      </c>
      <c r="E6680">
        <f>TEST_DATA!E6680</f>
        <v/>
      </c>
    </row>
    <row r="6681">
      <c r="A6681">
        <f>TEST_DATA!A6681</f>
        <v/>
      </c>
      <c r="B6681">
        <f>TEST_DATA!B6681</f>
        <v/>
      </c>
      <c r="C6681">
        <f>TEST_DATA!C6681</f>
        <v/>
      </c>
      <c r="D6681">
        <f>TEST_DATA!D6681</f>
        <v/>
      </c>
      <c r="E6681">
        <f>TEST_DATA!E6681</f>
        <v/>
      </c>
    </row>
    <row r="6682">
      <c r="A6682">
        <f>TEST_DATA!A6682</f>
        <v/>
      </c>
      <c r="B6682">
        <f>TEST_DATA!B6682</f>
        <v/>
      </c>
      <c r="C6682">
        <f>TEST_DATA!C6682</f>
        <v/>
      </c>
      <c r="D6682">
        <f>TEST_DATA!D6682</f>
        <v/>
      </c>
      <c r="E6682">
        <f>TEST_DATA!E6682</f>
        <v/>
      </c>
    </row>
    <row r="6683">
      <c r="A6683">
        <f>TEST_DATA!A6683</f>
        <v/>
      </c>
      <c r="B6683">
        <f>TEST_DATA!B6683</f>
        <v/>
      </c>
      <c r="C6683">
        <f>TEST_DATA!C6683</f>
        <v/>
      </c>
      <c r="D6683">
        <f>TEST_DATA!D6683</f>
        <v/>
      </c>
      <c r="E6683">
        <f>TEST_DATA!E6683</f>
        <v/>
      </c>
    </row>
    <row r="6684">
      <c r="A6684">
        <f>TEST_DATA!A6684</f>
        <v/>
      </c>
      <c r="B6684">
        <f>TEST_DATA!B6684</f>
        <v/>
      </c>
      <c r="C6684">
        <f>TEST_DATA!C6684</f>
        <v/>
      </c>
      <c r="D6684">
        <f>TEST_DATA!D6684</f>
        <v/>
      </c>
      <c r="E6684">
        <f>TEST_DATA!E6684</f>
        <v/>
      </c>
    </row>
    <row r="6685">
      <c r="A6685">
        <f>TEST_DATA!A6685</f>
        <v/>
      </c>
      <c r="B6685">
        <f>TEST_DATA!B6685</f>
        <v/>
      </c>
      <c r="C6685">
        <f>TEST_DATA!C6685</f>
        <v/>
      </c>
      <c r="D6685">
        <f>TEST_DATA!D6685</f>
        <v/>
      </c>
      <c r="E6685">
        <f>TEST_DATA!E6685</f>
        <v/>
      </c>
    </row>
    <row r="6686">
      <c r="A6686">
        <f>TEST_DATA!A6686</f>
        <v/>
      </c>
      <c r="B6686">
        <f>TEST_DATA!B6686</f>
        <v/>
      </c>
      <c r="C6686">
        <f>TEST_DATA!C6686</f>
        <v/>
      </c>
      <c r="D6686">
        <f>TEST_DATA!D6686</f>
        <v/>
      </c>
      <c r="E6686">
        <f>TEST_DATA!E6686</f>
        <v/>
      </c>
    </row>
    <row r="6687">
      <c r="A6687">
        <f>TEST_DATA!A6687</f>
        <v/>
      </c>
      <c r="B6687">
        <f>TEST_DATA!B6687</f>
        <v/>
      </c>
      <c r="C6687">
        <f>TEST_DATA!C6687</f>
        <v/>
      </c>
      <c r="D6687">
        <f>TEST_DATA!D6687</f>
        <v/>
      </c>
      <c r="E6687">
        <f>TEST_DATA!E6687</f>
        <v/>
      </c>
    </row>
    <row r="6688">
      <c r="A6688">
        <f>TEST_DATA!A6688</f>
        <v/>
      </c>
      <c r="B6688">
        <f>TEST_DATA!B6688</f>
        <v/>
      </c>
      <c r="C6688">
        <f>TEST_DATA!C6688</f>
        <v/>
      </c>
      <c r="D6688">
        <f>TEST_DATA!D6688</f>
        <v/>
      </c>
      <c r="E6688">
        <f>TEST_DATA!E6688</f>
        <v/>
      </c>
    </row>
    <row r="6689">
      <c r="A6689">
        <f>TEST_DATA!A6689</f>
        <v/>
      </c>
      <c r="B6689">
        <f>TEST_DATA!B6689</f>
        <v/>
      </c>
      <c r="C6689">
        <f>TEST_DATA!C6689</f>
        <v/>
      </c>
      <c r="D6689">
        <f>TEST_DATA!D6689</f>
        <v/>
      </c>
      <c r="E6689">
        <f>TEST_DATA!E6689</f>
        <v/>
      </c>
    </row>
    <row r="6690">
      <c r="A6690">
        <f>TEST_DATA!A6690</f>
        <v/>
      </c>
      <c r="B6690">
        <f>TEST_DATA!B6690</f>
        <v/>
      </c>
      <c r="C6690">
        <f>TEST_DATA!C6690</f>
        <v/>
      </c>
      <c r="D6690">
        <f>TEST_DATA!D6690</f>
        <v/>
      </c>
      <c r="E6690">
        <f>TEST_DATA!E6690</f>
        <v/>
      </c>
    </row>
    <row r="6691">
      <c r="A6691">
        <f>TEST_DATA!A6691</f>
        <v/>
      </c>
      <c r="B6691">
        <f>TEST_DATA!B6691</f>
        <v/>
      </c>
      <c r="C6691">
        <f>TEST_DATA!C6691</f>
        <v/>
      </c>
      <c r="D6691">
        <f>TEST_DATA!D6691</f>
        <v/>
      </c>
      <c r="E6691">
        <f>TEST_DATA!E6691</f>
        <v/>
      </c>
    </row>
    <row r="6692">
      <c r="A6692">
        <f>TEST_DATA!A6692</f>
        <v/>
      </c>
      <c r="B6692">
        <f>TEST_DATA!B6692</f>
        <v/>
      </c>
      <c r="C6692">
        <f>TEST_DATA!C6692</f>
        <v/>
      </c>
      <c r="D6692">
        <f>TEST_DATA!D6692</f>
        <v/>
      </c>
      <c r="E6692">
        <f>TEST_DATA!E6692</f>
        <v/>
      </c>
    </row>
    <row r="6693">
      <c r="A6693">
        <f>TEST_DATA!A6693</f>
        <v/>
      </c>
      <c r="B6693">
        <f>TEST_DATA!B6693</f>
        <v/>
      </c>
      <c r="C6693">
        <f>TEST_DATA!C6693</f>
        <v/>
      </c>
      <c r="D6693">
        <f>TEST_DATA!D6693</f>
        <v/>
      </c>
      <c r="E6693">
        <f>TEST_DATA!E6693</f>
        <v/>
      </c>
    </row>
    <row r="6694">
      <c r="A6694">
        <f>TEST_DATA!A6694</f>
        <v/>
      </c>
      <c r="B6694">
        <f>TEST_DATA!B6694</f>
        <v/>
      </c>
      <c r="C6694">
        <f>TEST_DATA!C6694</f>
        <v/>
      </c>
      <c r="D6694">
        <f>TEST_DATA!D6694</f>
        <v/>
      </c>
      <c r="E6694">
        <f>TEST_DATA!E6694</f>
        <v/>
      </c>
    </row>
    <row r="6695">
      <c r="A6695">
        <f>TEST_DATA!A6695</f>
        <v/>
      </c>
      <c r="B6695">
        <f>TEST_DATA!B6695</f>
        <v/>
      </c>
      <c r="C6695">
        <f>TEST_DATA!C6695</f>
        <v/>
      </c>
      <c r="D6695">
        <f>TEST_DATA!D6695</f>
        <v/>
      </c>
      <c r="E6695">
        <f>TEST_DATA!E6695</f>
        <v/>
      </c>
    </row>
    <row r="6696">
      <c r="A6696">
        <f>TEST_DATA!A6696</f>
        <v/>
      </c>
      <c r="B6696">
        <f>TEST_DATA!B6696</f>
        <v/>
      </c>
      <c r="C6696">
        <f>TEST_DATA!C6696</f>
        <v/>
      </c>
      <c r="D6696">
        <f>TEST_DATA!D6696</f>
        <v/>
      </c>
      <c r="E6696">
        <f>TEST_DATA!E6696</f>
        <v/>
      </c>
    </row>
    <row r="6697">
      <c r="A6697">
        <f>TEST_DATA!A6697</f>
        <v/>
      </c>
      <c r="B6697">
        <f>TEST_DATA!B6697</f>
        <v/>
      </c>
      <c r="C6697">
        <f>TEST_DATA!C6697</f>
        <v/>
      </c>
      <c r="D6697">
        <f>TEST_DATA!D6697</f>
        <v/>
      </c>
      <c r="E6697">
        <f>TEST_DATA!E6697</f>
        <v/>
      </c>
    </row>
    <row r="6698">
      <c r="A6698">
        <f>TEST_DATA!A6698</f>
        <v/>
      </c>
      <c r="B6698">
        <f>TEST_DATA!B6698</f>
        <v/>
      </c>
      <c r="C6698">
        <f>TEST_DATA!C6698</f>
        <v/>
      </c>
      <c r="D6698">
        <f>TEST_DATA!D6698</f>
        <v/>
      </c>
      <c r="E6698">
        <f>TEST_DATA!E6698</f>
        <v/>
      </c>
    </row>
    <row r="6699">
      <c r="A6699">
        <f>TEST_DATA!A6699</f>
        <v/>
      </c>
      <c r="B6699">
        <f>TEST_DATA!B6699</f>
        <v/>
      </c>
      <c r="C6699">
        <f>TEST_DATA!C6699</f>
        <v/>
      </c>
      <c r="D6699">
        <f>TEST_DATA!D6699</f>
        <v/>
      </c>
      <c r="E6699">
        <f>TEST_DATA!E6699</f>
        <v/>
      </c>
    </row>
    <row r="6700">
      <c r="A6700">
        <f>TEST_DATA!A6700</f>
        <v/>
      </c>
      <c r="B6700">
        <f>TEST_DATA!B6700</f>
        <v/>
      </c>
      <c r="C6700">
        <f>TEST_DATA!C6700</f>
        <v/>
      </c>
      <c r="D6700">
        <f>TEST_DATA!D6700</f>
        <v/>
      </c>
      <c r="E6700">
        <f>TEST_DATA!E6700</f>
        <v/>
      </c>
    </row>
    <row r="6701">
      <c r="A6701">
        <f>TEST_DATA!A6701</f>
        <v/>
      </c>
      <c r="B6701">
        <f>TEST_DATA!B6701</f>
        <v/>
      </c>
      <c r="C6701">
        <f>TEST_DATA!C6701</f>
        <v/>
      </c>
      <c r="D6701">
        <f>TEST_DATA!D6701</f>
        <v/>
      </c>
      <c r="E6701">
        <f>TEST_DATA!E6701</f>
        <v/>
      </c>
    </row>
    <row r="6702">
      <c r="A6702">
        <f>TEST_DATA!A6702</f>
        <v/>
      </c>
      <c r="B6702">
        <f>TEST_DATA!B6702</f>
        <v/>
      </c>
      <c r="C6702">
        <f>TEST_DATA!C6702</f>
        <v/>
      </c>
      <c r="D6702">
        <f>TEST_DATA!D6702</f>
        <v/>
      </c>
      <c r="E6702">
        <f>TEST_DATA!E6702</f>
        <v/>
      </c>
    </row>
    <row r="6703">
      <c r="A6703">
        <f>TEST_DATA!A6703</f>
        <v/>
      </c>
      <c r="B6703">
        <f>TEST_DATA!B6703</f>
        <v/>
      </c>
      <c r="C6703">
        <f>TEST_DATA!C6703</f>
        <v/>
      </c>
      <c r="D6703">
        <f>TEST_DATA!D6703</f>
        <v/>
      </c>
      <c r="E6703">
        <f>TEST_DATA!E6703</f>
        <v/>
      </c>
    </row>
    <row r="6704">
      <c r="A6704">
        <f>TEST_DATA!A6704</f>
        <v/>
      </c>
      <c r="B6704">
        <f>TEST_DATA!B6704</f>
        <v/>
      </c>
      <c r="C6704">
        <f>TEST_DATA!C6704</f>
        <v/>
      </c>
      <c r="D6704">
        <f>TEST_DATA!D6704</f>
        <v/>
      </c>
      <c r="E6704">
        <f>TEST_DATA!E6704</f>
        <v/>
      </c>
    </row>
    <row r="6705">
      <c r="A6705">
        <f>TEST_DATA!A6705</f>
        <v/>
      </c>
      <c r="B6705">
        <f>TEST_DATA!B6705</f>
        <v/>
      </c>
      <c r="C6705">
        <f>TEST_DATA!C6705</f>
        <v/>
      </c>
      <c r="D6705">
        <f>TEST_DATA!D6705</f>
        <v/>
      </c>
      <c r="E6705">
        <f>TEST_DATA!E6705</f>
        <v/>
      </c>
    </row>
    <row r="6706">
      <c r="A6706">
        <f>TEST_DATA!A6706</f>
        <v/>
      </c>
      <c r="B6706">
        <f>TEST_DATA!B6706</f>
        <v/>
      </c>
      <c r="C6706">
        <f>TEST_DATA!C6706</f>
        <v/>
      </c>
      <c r="D6706">
        <f>TEST_DATA!D6706</f>
        <v/>
      </c>
      <c r="E6706">
        <f>TEST_DATA!E6706</f>
        <v/>
      </c>
    </row>
    <row r="6707">
      <c r="A6707">
        <f>TEST_DATA!A6707</f>
        <v/>
      </c>
      <c r="B6707">
        <f>TEST_DATA!B6707</f>
        <v/>
      </c>
      <c r="C6707">
        <f>TEST_DATA!C6707</f>
        <v/>
      </c>
      <c r="D6707">
        <f>TEST_DATA!D6707</f>
        <v/>
      </c>
      <c r="E6707">
        <f>TEST_DATA!E6707</f>
        <v/>
      </c>
    </row>
    <row r="6708">
      <c r="A6708">
        <f>TEST_DATA!A6708</f>
        <v/>
      </c>
      <c r="B6708">
        <f>TEST_DATA!B6708</f>
        <v/>
      </c>
      <c r="C6708">
        <f>TEST_DATA!C6708</f>
        <v/>
      </c>
      <c r="D6708">
        <f>TEST_DATA!D6708</f>
        <v/>
      </c>
      <c r="E6708">
        <f>TEST_DATA!E6708</f>
        <v/>
      </c>
    </row>
    <row r="6709">
      <c r="A6709">
        <f>TEST_DATA!A6709</f>
        <v/>
      </c>
      <c r="B6709">
        <f>TEST_DATA!B6709</f>
        <v/>
      </c>
      <c r="C6709">
        <f>TEST_DATA!C6709</f>
        <v/>
      </c>
      <c r="D6709">
        <f>TEST_DATA!D6709</f>
        <v/>
      </c>
      <c r="E6709">
        <f>TEST_DATA!E6709</f>
        <v/>
      </c>
    </row>
    <row r="6710">
      <c r="A6710">
        <f>TEST_DATA!A6710</f>
        <v/>
      </c>
      <c r="B6710">
        <f>TEST_DATA!B6710</f>
        <v/>
      </c>
      <c r="C6710">
        <f>TEST_DATA!C6710</f>
        <v/>
      </c>
      <c r="D6710">
        <f>TEST_DATA!D6710</f>
        <v/>
      </c>
      <c r="E6710">
        <f>TEST_DATA!E6710</f>
        <v/>
      </c>
    </row>
    <row r="6711">
      <c r="A6711">
        <f>TEST_DATA!A6711</f>
        <v/>
      </c>
      <c r="B6711">
        <f>TEST_DATA!B6711</f>
        <v/>
      </c>
      <c r="C6711">
        <f>TEST_DATA!C6711</f>
        <v/>
      </c>
      <c r="D6711">
        <f>TEST_DATA!D6711</f>
        <v/>
      </c>
      <c r="E6711">
        <f>TEST_DATA!E6711</f>
        <v/>
      </c>
    </row>
    <row r="6712">
      <c r="A6712">
        <f>TEST_DATA!A6712</f>
        <v/>
      </c>
      <c r="B6712">
        <f>TEST_DATA!B6712</f>
        <v/>
      </c>
      <c r="C6712">
        <f>TEST_DATA!C6712</f>
        <v/>
      </c>
      <c r="D6712">
        <f>TEST_DATA!D6712</f>
        <v/>
      </c>
      <c r="E6712">
        <f>TEST_DATA!E6712</f>
        <v/>
      </c>
    </row>
    <row r="6713">
      <c r="A6713">
        <f>TEST_DATA!A6713</f>
        <v/>
      </c>
      <c r="B6713">
        <f>TEST_DATA!B6713</f>
        <v/>
      </c>
      <c r="C6713">
        <f>TEST_DATA!C6713</f>
        <v/>
      </c>
      <c r="D6713">
        <f>TEST_DATA!D6713</f>
        <v/>
      </c>
      <c r="E6713">
        <f>TEST_DATA!E6713</f>
        <v/>
      </c>
    </row>
    <row r="6714">
      <c r="A6714">
        <f>TEST_DATA!A6714</f>
        <v/>
      </c>
      <c r="B6714">
        <f>TEST_DATA!B6714</f>
        <v/>
      </c>
      <c r="C6714">
        <f>TEST_DATA!C6714</f>
        <v/>
      </c>
      <c r="D6714">
        <f>TEST_DATA!D6714</f>
        <v/>
      </c>
      <c r="E6714">
        <f>TEST_DATA!E6714</f>
        <v/>
      </c>
    </row>
    <row r="6715">
      <c r="A6715">
        <f>TEST_DATA!A6715</f>
        <v/>
      </c>
      <c r="B6715">
        <f>TEST_DATA!B6715</f>
        <v/>
      </c>
      <c r="C6715">
        <f>TEST_DATA!C6715</f>
        <v/>
      </c>
      <c r="D6715">
        <f>TEST_DATA!D6715</f>
        <v/>
      </c>
      <c r="E6715">
        <f>TEST_DATA!E6715</f>
        <v/>
      </c>
    </row>
    <row r="6716">
      <c r="A6716">
        <f>TEST_DATA!A6716</f>
        <v/>
      </c>
      <c r="B6716">
        <f>TEST_DATA!B6716</f>
        <v/>
      </c>
      <c r="C6716">
        <f>TEST_DATA!C6716</f>
        <v/>
      </c>
      <c r="D6716">
        <f>TEST_DATA!D6716</f>
        <v/>
      </c>
      <c r="E6716">
        <f>TEST_DATA!E6716</f>
        <v/>
      </c>
    </row>
    <row r="6717">
      <c r="A6717">
        <f>TEST_DATA!A6717</f>
        <v/>
      </c>
      <c r="B6717">
        <f>TEST_DATA!B6717</f>
        <v/>
      </c>
      <c r="C6717">
        <f>TEST_DATA!C6717</f>
        <v/>
      </c>
      <c r="D6717">
        <f>TEST_DATA!D6717</f>
        <v/>
      </c>
      <c r="E6717">
        <f>TEST_DATA!E6717</f>
        <v/>
      </c>
    </row>
    <row r="6718">
      <c r="A6718">
        <f>TEST_DATA!A6718</f>
        <v/>
      </c>
      <c r="B6718">
        <f>TEST_DATA!B6718</f>
        <v/>
      </c>
      <c r="C6718">
        <f>TEST_DATA!C6718</f>
        <v/>
      </c>
      <c r="D6718">
        <f>TEST_DATA!D6718</f>
        <v/>
      </c>
      <c r="E6718">
        <f>TEST_DATA!E6718</f>
        <v/>
      </c>
    </row>
    <row r="6719">
      <c r="A6719">
        <f>TEST_DATA!A6719</f>
        <v/>
      </c>
      <c r="B6719">
        <f>TEST_DATA!B6719</f>
        <v/>
      </c>
      <c r="C6719">
        <f>TEST_DATA!C6719</f>
        <v/>
      </c>
      <c r="D6719">
        <f>TEST_DATA!D6719</f>
        <v/>
      </c>
      <c r="E6719">
        <f>TEST_DATA!E6719</f>
        <v/>
      </c>
    </row>
    <row r="6720">
      <c r="A6720">
        <f>TEST_DATA!A6720</f>
        <v/>
      </c>
      <c r="B6720">
        <f>TEST_DATA!B6720</f>
        <v/>
      </c>
      <c r="C6720">
        <f>TEST_DATA!C6720</f>
        <v/>
      </c>
      <c r="D6720">
        <f>TEST_DATA!D6720</f>
        <v/>
      </c>
      <c r="E6720">
        <f>TEST_DATA!E6720</f>
        <v/>
      </c>
    </row>
    <row r="6721">
      <c r="A6721">
        <f>TEST_DATA!A6721</f>
        <v/>
      </c>
      <c r="B6721">
        <f>TEST_DATA!B6721</f>
        <v/>
      </c>
      <c r="C6721">
        <f>TEST_DATA!C6721</f>
        <v/>
      </c>
      <c r="D6721">
        <f>TEST_DATA!D6721</f>
        <v/>
      </c>
      <c r="E6721">
        <f>TEST_DATA!E6721</f>
        <v/>
      </c>
    </row>
    <row r="6722">
      <c r="A6722">
        <f>TEST_DATA!A6722</f>
        <v/>
      </c>
      <c r="B6722">
        <f>TEST_DATA!B6722</f>
        <v/>
      </c>
      <c r="C6722">
        <f>TEST_DATA!C6722</f>
        <v/>
      </c>
      <c r="D6722">
        <f>TEST_DATA!D6722</f>
        <v/>
      </c>
      <c r="E6722">
        <f>TEST_DATA!E6722</f>
        <v/>
      </c>
    </row>
    <row r="6723">
      <c r="A6723">
        <f>TEST_DATA!A6723</f>
        <v/>
      </c>
      <c r="B6723">
        <f>TEST_DATA!B6723</f>
        <v/>
      </c>
      <c r="C6723">
        <f>TEST_DATA!C6723</f>
        <v/>
      </c>
      <c r="D6723">
        <f>TEST_DATA!D6723</f>
        <v/>
      </c>
      <c r="E6723">
        <f>TEST_DATA!E6723</f>
        <v/>
      </c>
    </row>
    <row r="6724">
      <c r="A6724">
        <f>TEST_DATA!A6724</f>
        <v/>
      </c>
      <c r="B6724">
        <f>TEST_DATA!B6724</f>
        <v/>
      </c>
      <c r="C6724">
        <f>TEST_DATA!C6724</f>
        <v/>
      </c>
      <c r="D6724">
        <f>TEST_DATA!D6724</f>
        <v/>
      </c>
      <c r="E6724">
        <f>TEST_DATA!E6724</f>
        <v/>
      </c>
    </row>
    <row r="6725">
      <c r="A6725">
        <f>TEST_DATA!A6725</f>
        <v/>
      </c>
      <c r="B6725">
        <f>TEST_DATA!B6725</f>
        <v/>
      </c>
      <c r="C6725">
        <f>TEST_DATA!C6725</f>
        <v/>
      </c>
      <c r="D6725">
        <f>TEST_DATA!D6725</f>
        <v/>
      </c>
      <c r="E6725">
        <f>TEST_DATA!E6725</f>
        <v/>
      </c>
    </row>
    <row r="6726">
      <c r="A6726">
        <f>TEST_DATA!A6726</f>
        <v/>
      </c>
      <c r="B6726">
        <f>TEST_DATA!B6726</f>
        <v/>
      </c>
      <c r="C6726">
        <f>TEST_DATA!C6726</f>
        <v/>
      </c>
      <c r="D6726">
        <f>TEST_DATA!D6726</f>
        <v/>
      </c>
      <c r="E6726">
        <f>TEST_DATA!E6726</f>
        <v/>
      </c>
    </row>
    <row r="6727">
      <c r="A6727">
        <f>TEST_DATA!A6727</f>
        <v/>
      </c>
      <c r="B6727">
        <f>TEST_DATA!B6727</f>
        <v/>
      </c>
      <c r="C6727">
        <f>TEST_DATA!C6727</f>
        <v/>
      </c>
      <c r="D6727">
        <f>TEST_DATA!D6727</f>
        <v/>
      </c>
      <c r="E6727">
        <f>TEST_DATA!E6727</f>
        <v/>
      </c>
    </row>
    <row r="6728">
      <c r="A6728">
        <f>TEST_DATA!A6728</f>
        <v/>
      </c>
      <c r="B6728">
        <f>TEST_DATA!B6728</f>
        <v/>
      </c>
      <c r="C6728">
        <f>TEST_DATA!C6728</f>
        <v/>
      </c>
      <c r="D6728">
        <f>TEST_DATA!D6728</f>
        <v/>
      </c>
      <c r="E6728">
        <f>TEST_DATA!E6728</f>
        <v/>
      </c>
    </row>
    <row r="6729">
      <c r="A6729">
        <f>TEST_DATA!A6729</f>
        <v/>
      </c>
      <c r="B6729">
        <f>TEST_DATA!B6729</f>
        <v/>
      </c>
      <c r="C6729">
        <f>TEST_DATA!C6729</f>
        <v/>
      </c>
      <c r="D6729">
        <f>TEST_DATA!D6729</f>
        <v/>
      </c>
      <c r="E6729">
        <f>TEST_DATA!E6729</f>
        <v/>
      </c>
    </row>
    <row r="6730">
      <c r="A6730">
        <f>TEST_DATA!A6730</f>
        <v/>
      </c>
      <c r="B6730">
        <f>TEST_DATA!B6730</f>
        <v/>
      </c>
      <c r="C6730">
        <f>TEST_DATA!C6730</f>
        <v/>
      </c>
      <c r="D6730">
        <f>TEST_DATA!D6730</f>
        <v/>
      </c>
      <c r="E6730">
        <f>TEST_DATA!E6730</f>
        <v/>
      </c>
    </row>
    <row r="6731">
      <c r="A6731">
        <f>TEST_DATA!A6731</f>
        <v/>
      </c>
      <c r="B6731">
        <f>TEST_DATA!B6731</f>
        <v/>
      </c>
      <c r="C6731">
        <f>TEST_DATA!C6731</f>
        <v/>
      </c>
      <c r="D6731">
        <f>TEST_DATA!D6731</f>
        <v/>
      </c>
      <c r="E6731">
        <f>TEST_DATA!E6731</f>
        <v/>
      </c>
    </row>
    <row r="6732">
      <c r="A6732">
        <f>TEST_DATA!A6732</f>
        <v/>
      </c>
      <c r="B6732">
        <f>TEST_DATA!B6732</f>
        <v/>
      </c>
      <c r="C6732">
        <f>TEST_DATA!C6732</f>
        <v/>
      </c>
      <c r="D6732">
        <f>TEST_DATA!D6732</f>
        <v/>
      </c>
      <c r="E6732">
        <f>TEST_DATA!E6732</f>
        <v/>
      </c>
    </row>
    <row r="6733">
      <c r="A6733">
        <f>TEST_DATA!A6733</f>
        <v/>
      </c>
      <c r="B6733">
        <f>TEST_DATA!B6733</f>
        <v/>
      </c>
      <c r="C6733">
        <f>TEST_DATA!C6733</f>
        <v/>
      </c>
      <c r="D6733">
        <f>TEST_DATA!D6733</f>
        <v/>
      </c>
      <c r="E6733">
        <f>TEST_DATA!E6733</f>
        <v/>
      </c>
    </row>
    <row r="6734">
      <c r="A6734">
        <f>TEST_DATA!A6734</f>
        <v/>
      </c>
      <c r="B6734">
        <f>TEST_DATA!B6734</f>
        <v/>
      </c>
      <c r="C6734">
        <f>TEST_DATA!C6734</f>
        <v/>
      </c>
      <c r="D6734">
        <f>TEST_DATA!D6734</f>
        <v/>
      </c>
      <c r="E6734">
        <f>TEST_DATA!E6734</f>
        <v/>
      </c>
    </row>
    <row r="6735">
      <c r="A6735">
        <f>TEST_DATA!A6735</f>
        <v/>
      </c>
      <c r="B6735">
        <f>TEST_DATA!B6735</f>
        <v/>
      </c>
      <c r="C6735">
        <f>TEST_DATA!C6735</f>
        <v/>
      </c>
      <c r="D6735">
        <f>TEST_DATA!D6735</f>
        <v/>
      </c>
      <c r="E6735">
        <f>TEST_DATA!E6735</f>
        <v/>
      </c>
    </row>
    <row r="6736">
      <c r="A6736">
        <f>TEST_DATA!A6736</f>
        <v/>
      </c>
      <c r="B6736">
        <f>TEST_DATA!B6736</f>
        <v/>
      </c>
      <c r="C6736">
        <f>TEST_DATA!C6736</f>
        <v/>
      </c>
      <c r="D6736">
        <f>TEST_DATA!D6736</f>
        <v/>
      </c>
      <c r="E6736">
        <f>TEST_DATA!E6736</f>
        <v/>
      </c>
    </row>
    <row r="6737">
      <c r="A6737">
        <f>TEST_DATA!A6737</f>
        <v/>
      </c>
      <c r="B6737">
        <f>TEST_DATA!B6737</f>
        <v/>
      </c>
      <c r="C6737">
        <f>TEST_DATA!C6737</f>
        <v/>
      </c>
      <c r="D6737">
        <f>TEST_DATA!D6737</f>
        <v/>
      </c>
      <c r="E6737">
        <f>TEST_DATA!E6737</f>
        <v/>
      </c>
    </row>
    <row r="6738">
      <c r="A6738">
        <f>TEST_DATA!A6738</f>
        <v/>
      </c>
      <c r="B6738">
        <f>TEST_DATA!B6738</f>
        <v/>
      </c>
      <c r="C6738">
        <f>TEST_DATA!C6738</f>
        <v/>
      </c>
      <c r="D6738">
        <f>TEST_DATA!D6738</f>
        <v/>
      </c>
      <c r="E6738">
        <f>TEST_DATA!E6738</f>
        <v/>
      </c>
    </row>
    <row r="6739">
      <c r="A6739">
        <f>TEST_DATA!A6739</f>
        <v/>
      </c>
      <c r="B6739">
        <f>TEST_DATA!B6739</f>
        <v/>
      </c>
      <c r="C6739">
        <f>TEST_DATA!C6739</f>
        <v/>
      </c>
      <c r="D6739">
        <f>TEST_DATA!D6739</f>
        <v/>
      </c>
      <c r="E6739">
        <f>TEST_DATA!E6739</f>
        <v/>
      </c>
    </row>
    <row r="6740">
      <c r="A6740">
        <f>TEST_DATA!A6740</f>
        <v/>
      </c>
      <c r="B6740">
        <f>TEST_DATA!B6740</f>
        <v/>
      </c>
      <c r="C6740">
        <f>TEST_DATA!C6740</f>
        <v/>
      </c>
      <c r="D6740">
        <f>TEST_DATA!D6740</f>
        <v/>
      </c>
      <c r="E6740">
        <f>TEST_DATA!E6740</f>
        <v/>
      </c>
    </row>
    <row r="6741">
      <c r="A6741">
        <f>TEST_DATA!A6741</f>
        <v/>
      </c>
      <c r="B6741">
        <f>TEST_DATA!B6741</f>
        <v/>
      </c>
      <c r="C6741">
        <f>TEST_DATA!C6741</f>
        <v/>
      </c>
      <c r="D6741">
        <f>TEST_DATA!D6741</f>
        <v/>
      </c>
      <c r="E6741">
        <f>TEST_DATA!E6741</f>
        <v/>
      </c>
    </row>
    <row r="6742">
      <c r="A6742">
        <f>TEST_DATA!A6742</f>
        <v/>
      </c>
      <c r="B6742">
        <f>TEST_DATA!B6742</f>
        <v/>
      </c>
      <c r="C6742">
        <f>TEST_DATA!C6742</f>
        <v/>
      </c>
      <c r="D6742">
        <f>TEST_DATA!D6742</f>
        <v/>
      </c>
      <c r="E6742">
        <f>TEST_DATA!E6742</f>
        <v/>
      </c>
    </row>
    <row r="6743">
      <c r="A6743">
        <f>TEST_DATA!A6743</f>
        <v/>
      </c>
      <c r="B6743">
        <f>TEST_DATA!B6743</f>
        <v/>
      </c>
      <c r="C6743">
        <f>TEST_DATA!C6743</f>
        <v/>
      </c>
      <c r="D6743">
        <f>TEST_DATA!D6743</f>
        <v/>
      </c>
      <c r="E6743">
        <f>TEST_DATA!E6743</f>
        <v/>
      </c>
    </row>
    <row r="6744">
      <c r="A6744">
        <f>TEST_DATA!A6744</f>
        <v/>
      </c>
      <c r="B6744">
        <f>TEST_DATA!B6744</f>
        <v/>
      </c>
      <c r="C6744">
        <f>TEST_DATA!C6744</f>
        <v/>
      </c>
      <c r="D6744">
        <f>TEST_DATA!D6744</f>
        <v/>
      </c>
      <c r="E6744">
        <f>TEST_DATA!E6744</f>
        <v/>
      </c>
    </row>
    <row r="6745">
      <c r="A6745">
        <f>TEST_DATA!A6745</f>
        <v/>
      </c>
      <c r="B6745">
        <f>TEST_DATA!B6745</f>
        <v/>
      </c>
      <c r="C6745">
        <f>TEST_DATA!C6745</f>
        <v/>
      </c>
      <c r="D6745">
        <f>TEST_DATA!D6745</f>
        <v/>
      </c>
      <c r="E6745">
        <f>TEST_DATA!E6745</f>
        <v/>
      </c>
    </row>
    <row r="6746">
      <c r="A6746">
        <f>TEST_DATA!A6746</f>
        <v/>
      </c>
      <c r="B6746">
        <f>TEST_DATA!B6746</f>
        <v/>
      </c>
      <c r="C6746">
        <f>TEST_DATA!C6746</f>
        <v/>
      </c>
      <c r="D6746">
        <f>TEST_DATA!D6746</f>
        <v/>
      </c>
      <c r="E6746">
        <f>TEST_DATA!E6746</f>
        <v/>
      </c>
    </row>
    <row r="6747">
      <c r="A6747">
        <f>TEST_DATA!A6747</f>
        <v/>
      </c>
      <c r="B6747">
        <f>TEST_DATA!B6747</f>
        <v/>
      </c>
      <c r="C6747">
        <f>TEST_DATA!C6747</f>
        <v/>
      </c>
      <c r="D6747">
        <f>TEST_DATA!D6747</f>
        <v/>
      </c>
      <c r="E6747">
        <f>TEST_DATA!E6747</f>
        <v/>
      </c>
    </row>
    <row r="6748">
      <c r="A6748">
        <f>TEST_DATA!A6748</f>
        <v/>
      </c>
      <c r="B6748">
        <f>TEST_DATA!B6748</f>
        <v/>
      </c>
      <c r="C6748">
        <f>TEST_DATA!C6748</f>
        <v/>
      </c>
      <c r="D6748">
        <f>TEST_DATA!D6748</f>
        <v/>
      </c>
      <c r="E6748">
        <f>TEST_DATA!E6748</f>
        <v/>
      </c>
    </row>
    <row r="6749">
      <c r="A6749">
        <f>TEST_DATA!A6749</f>
        <v/>
      </c>
      <c r="B6749">
        <f>TEST_DATA!B6749</f>
        <v/>
      </c>
      <c r="C6749">
        <f>TEST_DATA!C6749</f>
        <v/>
      </c>
      <c r="D6749">
        <f>TEST_DATA!D6749</f>
        <v/>
      </c>
      <c r="E6749">
        <f>TEST_DATA!E6749</f>
        <v/>
      </c>
    </row>
    <row r="6750">
      <c r="A6750">
        <f>TEST_DATA!A6750</f>
        <v/>
      </c>
      <c r="B6750">
        <f>TEST_DATA!B6750</f>
        <v/>
      </c>
      <c r="C6750">
        <f>TEST_DATA!C6750</f>
        <v/>
      </c>
      <c r="D6750">
        <f>TEST_DATA!D6750</f>
        <v/>
      </c>
      <c r="E6750">
        <f>TEST_DATA!E6750</f>
        <v/>
      </c>
    </row>
    <row r="6751">
      <c r="A6751">
        <f>TEST_DATA!A6751</f>
        <v/>
      </c>
      <c r="B6751">
        <f>TEST_DATA!B6751</f>
        <v/>
      </c>
      <c r="C6751">
        <f>TEST_DATA!C6751</f>
        <v/>
      </c>
      <c r="D6751">
        <f>TEST_DATA!D6751</f>
        <v/>
      </c>
      <c r="E6751">
        <f>TEST_DATA!E6751</f>
        <v/>
      </c>
    </row>
    <row r="6752">
      <c r="A6752">
        <f>TEST_DATA!A6752</f>
        <v/>
      </c>
      <c r="B6752">
        <f>TEST_DATA!B6752</f>
        <v/>
      </c>
      <c r="C6752">
        <f>TEST_DATA!C6752</f>
        <v/>
      </c>
      <c r="D6752">
        <f>TEST_DATA!D6752</f>
        <v/>
      </c>
      <c r="E6752">
        <f>TEST_DATA!E6752</f>
        <v/>
      </c>
    </row>
    <row r="6753">
      <c r="A6753">
        <f>TEST_DATA!A6753</f>
        <v/>
      </c>
      <c r="B6753">
        <f>TEST_DATA!B6753</f>
        <v/>
      </c>
      <c r="C6753">
        <f>TEST_DATA!C6753</f>
        <v/>
      </c>
      <c r="D6753">
        <f>TEST_DATA!D6753</f>
        <v/>
      </c>
      <c r="E6753">
        <f>TEST_DATA!E6753</f>
        <v/>
      </c>
    </row>
    <row r="6754">
      <c r="A6754">
        <f>TEST_DATA!A6754</f>
        <v/>
      </c>
      <c r="B6754">
        <f>TEST_DATA!B6754</f>
        <v/>
      </c>
      <c r="C6754">
        <f>TEST_DATA!C6754</f>
        <v/>
      </c>
      <c r="D6754">
        <f>TEST_DATA!D6754</f>
        <v/>
      </c>
      <c r="E6754">
        <f>TEST_DATA!E6754</f>
        <v/>
      </c>
    </row>
    <row r="6755">
      <c r="A6755">
        <f>TEST_DATA!A6755</f>
        <v/>
      </c>
      <c r="B6755">
        <f>TEST_DATA!B6755</f>
        <v/>
      </c>
      <c r="C6755">
        <f>TEST_DATA!C6755</f>
        <v/>
      </c>
      <c r="D6755">
        <f>TEST_DATA!D6755</f>
        <v/>
      </c>
      <c r="E6755">
        <f>TEST_DATA!E6755</f>
        <v/>
      </c>
    </row>
    <row r="6756">
      <c r="A6756">
        <f>TEST_DATA!A6756</f>
        <v/>
      </c>
      <c r="B6756">
        <f>TEST_DATA!B6756</f>
        <v/>
      </c>
      <c r="C6756">
        <f>TEST_DATA!C6756</f>
        <v/>
      </c>
      <c r="D6756">
        <f>TEST_DATA!D6756</f>
        <v/>
      </c>
      <c r="E6756">
        <f>TEST_DATA!E6756</f>
        <v/>
      </c>
    </row>
    <row r="6757">
      <c r="A6757">
        <f>TEST_DATA!A6757</f>
        <v/>
      </c>
      <c r="B6757">
        <f>TEST_DATA!B6757</f>
        <v/>
      </c>
      <c r="C6757">
        <f>TEST_DATA!C6757</f>
        <v/>
      </c>
      <c r="D6757">
        <f>TEST_DATA!D6757</f>
        <v/>
      </c>
      <c r="E6757">
        <f>TEST_DATA!E6757</f>
        <v/>
      </c>
    </row>
    <row r="6758">
      <c r="A6758">
        <f>TEST_DATA!A6758</f>
        <v/>
      </c>
      <c r="B6758">
        <f>TEST_DATA!B6758</f>
        <v/>
      </c>
      <c r="C6758">
        <f>TEST_DATA!C6758</f>
        <v/>
      </c>
      <c r="D6758">
        <f>TEST_DATA!D6758</f>
        <v/>
      </c>
      <c r="E6758">
        <f>TEST_DATA!E6758</f>
        <v/>
      </c>
    </row>
    <row r="6759">
      <c r="A6759">
        <f>TEST_DATA!A6759</f>
        <v/>
      </c>
      <c r="B6759">
        <f>TEST_DATA!B6759</f>
        <v/>
      </c>
      <c r="C6759">
        <f>TEST_DATA!C6759</f>
        <v/>
      </c>
      <c r="D6759">
        <f>TEST_DATA!D6759</f>
        <v/>
      </c>
      <c r="E6759">
        <f>TEST_DATA!E6759</f>
        <v/>
      </c>
    </row>
    <row r="6760">
      <c r="A6760">
        <f>TEST_DATA!A6760</f>
        <v/>
      </c>
      <c r="B6760">
        <f>TEST_DATA!B6760</f>
        <v/>
      </c>
      <c r="C6760">
        <f>TEST_DATA!C6760</f>
        <v/>
      </c>
      <c r="D6760">
        <f>TEST_DATA!D6760</f>
        <v/>
      </c>
      <c r="E6760">
        <f>TEST_DATA!E6760</f>
        <v/>
      </c>
    </row>
    <row r="6761">
      <c r="A6761">
        <f>TEST_DATA!A6761</f>
        <v/>
      </c>
      <c r="B6761">
        <f>TEST_DATA!B6761</f>
        <v/>
      </c>
      <c r="C6761">
        <f>TEST_DATA!C6761</f>
        <v/>
      </c>
      <c r="D6761">
        <f>TEST_DATA!D6761</f>
        <v/>
      </c>
      <c r="E6761">
        <f>TEST_DATA!E6761</f>
        <v/>
      </c>
    </row>
    <row r="6762">
      <c r="A6762">
        <f>TEST_DATA!A6762</f>
        <v/>
      </c>
      <c r="B6762">
        <f>TEST_DATA!B6762</f>
        <v/>
      </c>
      <c r="C6762">
        <f>TEST_DATA!C6762</f>
        <v/>
      </c>
      <c r="D6762">
        <f>TEST_DATA!D6762</f>
        <v/>
      </c>
      <c r="E6762">
        <f>TEST_DATA!E6762</f>
        <v/>
      </c>
    </row>
    <row r="6763">
      <c r="A6763">
        <f>TEST_DATA!A6763</f>
        <v/>
      </c>
      <c r="B6763">
        <f>TEST_DATA!B6763</f>
        <v/>
      </c>
      <c r="C6763">
        <f>TEST_DATA!C6763</f>
        <v/>
      </c>
      <c r="D6763">
        <f>TEST_DATA!D6763</f>
        <v/>
      </c>
      <c r="E6763">
        <f>TEST_DATA!E6763</f>
        <v/>
      </c>
    </row>
    <row r="6764">
      <c r="A6764">
        <f>TEST_DATA!A6764</f>
        <v/>
      </c>
      <c r="B6764">
        <f>TEST_DATA!B6764</f>
        <v/>
      </c>
      <c r="C6764">
        <f>TEST_DATA!C6764</f>
        <v/>
      </c>
      <c r="D6764">
        <f>TEST_DATA!D6764</f>
        <v/>
      </c>
      <c r="E6764">
        <f>TEST_DATA!E6764</f>
        <v/>
      </c>
    </row>
    <row r="6765">
      <c r="A6765">
        <f>TEST_DATA!A6765</f>
        <v/>
      </c>
      <c r="B6765">
        <f>TEST_DATA!B6765</f>
        <v/>
      </c>
      <c r="C6765">
        <f>TEST_DATA!C6765</f>
        <v/>
      </c>
      <c r="D6765">
        <f>TEST_DATA!D6765</f>
        <v/>
      </c>
      <c r="E6765">
        <f>TEST_DATA!E6765</f>
        <v/>
      </c>
    </row>
    <row r="6766">
      <c r="A6766">
        <f>TEST_DATA!A6766</f>
        <v/>
      </c>
      <c r="B6766">
        <f>TEST_DATA!B6766</f>
        <v/>
      </c>
      <c r="C6766">
        <f>TEST_DATA!C6766</f>
        <v/>
      </c>
      <c r="D6766">
        <f>TEST_DATA!D6766</f>
        <v/>
      </c>
      <c r="E6766">
        <f>TEST_DATA!E6766</f>
        <v/>
      </c>
    </row>
    <row r="6767">
      <c r="A6767">
        <f>TEST_DATA!A6767</f>
        <v/>
      </c>
      <c r="B6767">
        <f>TEST_DATA!B6767</f>
        <v/>
      </c>
      <c r="C6767">
        <f>TEST_DATA!C6767</f>
        <v/>
      </c>
      <c r="D6767">
        <f>TEST_DATA!D6767</f>
        <v/>
      </c>
      <c r="E6767">
        <f>TEST_DATA!E6767</f>
        <v/>
      </c>
    </row>
    <row r="6768">
      <c r="A6768">
        <f>TEST_DATA!A6768</f>
        <v/>
      </c>
      <c r="B6768">
        <f>TEST_DATA!B6768</f>
        <v/>
      </c>
      <c r="C6768">
        <f>TEST_DATA!C6768</f>
        <v/>
      </c>
      <c r="D6768">
        <f>TEST_DATA!D6768</f>
        <v/>
      </c>
      <c r="E6768">
        <f>TEST_DATA!E6768</f>
        <v/>
      </c>
    </row>
    <row r="6769">
      <c r="A6769">
        <f>TEST_DATA!A6769</f>
        <v/>
      </c>
      <c r="B6769">
        <f>TEST_DATA!B6769</f>
        <v/>
      </c>
      <c r="C6769">
        <f>TEST_DATA!C6769</f>
        <v/>
      </c>
      <c r="D6769">
        <f>TEST_DATA!D6769</f>
        <v/>
      </c>
      <c r="E6769">
        <f>TEST_DATA!E6769</f>
        <v/>
      </c>
    </row>
    <row r="6770">
      <c r="A6770">
        <f>TEST_DATA!A6770</f>
        <v/>
      </c>
      <c r="B6770">
        <f>TEST_DATA!B6770</f>
        <v/>
      </c>
      <c r="C6770">
        <f>TEST_DATA!C6770</f>
        <v/>
      </c>
      <c r="D6770">
        <f>TEST_DATA!D6770</f>
        <v/>
      </c>
      <c r="E6770">
        <f>TEST_DATA!E6770</f>
        <v/>
      </c>
    </row>
    <row r="6771">
      <c r="A6771">
        <f>TEST_DATA!A6771</f>
        <v/>
      </c>
      <c r="B6771">
        <f>TEST_DATA!B6771</f>
        <v/>
      </c>
      <c r="C6771">
        <f>TEST_DATA!C6771</f>
        <v/>
      </c>
      <c r="D6771">
        <f>TEST_DATA!D6771</f>
        <v/>
      </c>
      <c r="E6771">
        <f>TEST_DATA!E6771</f>
        <v/>
      </c>
    </row>
    <row r="6772">
      <c r="A6772">
        <f>TEST_DATA!A6772</f>
        <v/>
      </c>
      <c r="B6772">
        <f>TEST_DATA!B6772</f>
        <v/>
      </c>
      <c r="C6772">
        <f>TEST_DATA!C6772</f>
        <v/>
      </c>
      <c r="D6772">
        <f>TEST_DATA!D6772</f>
        <v/>
      </c>
      <c r="E6772">
        <f>TEST_DATA!E6772</f>
        <v/>
      </c>
    </row>
    <row r="6773">
      <c r="A6773">
        <f>TEST_DATA!A6773</f>
        <v/>
      </c>
      <c r="B6773">
        <f>TEST_DATA!B6773</f>
        <v/>
      </c>
      <c r="C6773">
        <f>TEST_DATA!C6773</f>
        <v/>
      </c>
      <c r="D6773">
        <f>TEST_DATA!D6773</f>
        <v/>
      </c>
      <c r="E6773">
        <f>TEST_DATA!E6773</f>
        <v/>
      </c>
    </row>
    <row r="6774">
      <c r="A6774">
        <f>TEST_DATA!A6774</f>
        <v/>
      </c>
      <c r="B6774">
        <f>TEST_DATA!B6774</f>
        <v/>
      </c>
      <c r="C6774">
        <f>TEST_DATA!C6774</f>
        <v/>
      </c>
      <c r="D6774">
        <f>TEST_DATA!D6774</f>
        <v/>
      </c>
      <c r="E6774">
        <f>TEST_DATA!E6774</f>
        <v/>
      </c>
    </row>
    <row r="6775">
      <c r="A6775">
        <f>TEST_DATA!A6775</f>
        <v/>
      </c>
      <c r="B6775">
        <f>TEST_DATA!B6775</f>
        <v/>
      </c>
      <c r="C6775">
        <f>TEST_DATA!C6775</f>
        <v/>
      </c>
      <c r="D6775">
        <f>TEST_DATA!D6775</f>
        <v/>
      </c>
      <c r="E6775">
        <f>TEST_DATA!E6775</f>
        <v/>
      </c>
    </row>
    <row r="6776">
      <c r="A6776">
        <f>TEST_DATA!A6776</f>
        <v/>
      </c>
      <c r="B6776">
        <f>TEST_DATA!B6776</f>
        <v/>
      </c>
      <c r="C6776">
        <f>TEST_DATA!C6776</f>
        <v/>
      </c>
      <c r="D6776">
        <f>TEST_DATA!D6776</f>
        <v/>
      </c>
      <c r="E6776">
        <f>TEST_DATA!E6776</f>
        <v/>
      </c>
    </row>
    <row r="6777">
      <c r="A6777">
        <f>TEST_DATA!A6777</f>
        <v/>
      </c>
      <c r="B6777">
        <f>TEST_DATA!B6777</f>
        <v/>
      </c>
      <c r="C6777">
        <f>TEST_DATA!C6777</f>
        <v/>
      </c>
      <c r="D6777">
        <f>TEST_DATA!D6777</f>
        <v/>
      </c>
      <c r="E6777">
        <f>TEST_DATA!E6777</f>
        <v/>
      </c>
    </row>
    <row r="6778">
      <c r="A6778">
        <f>TEST_DATA!A6778</f>
        <v/>
      </c>
      <c r="B6778">
        <f>TEST_DATA!B6778</f>
        <v/>
      </c>
      <c r="C6778">
        <f>TEST_DATA!C6778</f>
        <v/>
      </c>
      <c r="D6778">
        <f>TEST_DATA!D6778</f>
        <v/>
      </c>
      <c r="E6778">
        <f>TEST_DATA!E6778</f>
        <v/>
      </c>
    </row>
    <row r="6779">
      <c r="A6779">
        <f>TEST_DATA!A6779</f>
        <v/>
      </c>
      <c r="B6779">
        <f>TEST_DATA!B6779</f>
        <v/>
      </c>
      <c r="C6779">
        <f>TEST_DATA!C6779</f>
        <v/>
      </c>
      <c r="D6779">
        <f>TEST_DATA!D6779</f>
        <v/>
      </c>
      <c r="E6779">
        <f>TEST_DATA!E6779</f>
        <v/>
      </c>
    </row>
    <row r="6780">
      <c r="A6780">
        <f>TEST_DATA!A6780</f>
        <v/>
      </c>
      <c r="B6780">
        <f>TEST_DATA!B6780</f>
        <v/>
      </c>
      <c r="C6780">
        <f>TEST_DATA!C6780</f>
        <v/>
      </c>
      <c r="D6780">
        <f>TEST_DATA!D6780</f>
        <v/>
      </c>
      <c r="E6780">
        <f>TEST_DATA!E6780</f>
        <v/>
      </c>
    </row>
    <row r="6781">
      <c r="A6781">
        <f>TEST_DATA!A6781</f>
        <v/>
      </c>
      <c r="B6781">
        <f>TEST_DATA!B6781</f>
        <v/>
      </c>
      <c r="C6781">
        <f>TEST_DATA!C6781</f>
        <v/>
      </c>
      <c r="D6781">
        <f>TEST_DATA!D6781</f>
        <v/>
      </c>
      <c r="E6781">
        <f>TEST_DATA!E6781</f>
        <v/>
      </c>
    </row>
    <row r="6782">
      <c r="A6782">
        <f>TEST_DATA!A6782</f>
        <v/>
      </c>
      <c r="B6782">
        <f>TEST_DATA!B6782</f>
        <v/>
      </c>
      <c r="C6782">
        <f>TEST_DATA!C6782</f>
        <v/>
      </c>
      <c r="D6782">
        <f>TEST_DATA!D6782</f>
        <v/>
      </c>
      <c r="E6782">
        <f>TEST_DATA!E6782</f>
        <v/>
      </c>
    </row>
    <row r="6783">
      <c r="A6783">
        <f>TEST_DATA!A6783</f>
        <v/>
      </c>
      <c r="B6783">
        <f>TEST_DATA!B6783</f>
        <v/>
      </c>
      <c r="C6783">
        <f>TEST_DATA!C6783</f>
        <v/>
      </c>
      <c r="D6783">
        <f>TEST_DATA!D6783</f>
        <v/>
      </c>
      <c r="E6783">
        <f>TEST_DATA!E6783</f>
        <v/>
      </c>
    </row>
    <row r="6784">
      <c r="A6784">
        <f>TEST_DATA!A6784</f>
        <v/>
      </c>
      <c r="B6784">
        <f>TEST_DATA!B6784</f>
        <v/>
      </c>
      <c r="C6784">
        <f>TEST_DATA!C6784</f>
        <v/>
      </c>
      <c r="D6784">
        <f>TEST_DATA!D6784</f>
        <v/>
      </c>
      <c r="E6784">
        <f>TEST_DATA!E6784</f>
        <v/>
      </c>
    </row>
    <row r="6785">
      <c r="A6785">
        <f>TEST_DATA!A6785</f>
        <v/>
      </c>
      <c r="B6785">
        <f>TEST_DATA!B6785</f>
        <v/>
      </c>
      <c r="C6785">
        <f>TEST_DATA!C6785</f>
        <v/>
      </c>
      <c r="D6785">
        <f>TEST_DATA!D6785</f>
        <v/>
      </c>
      <c r="E6785">
        <f>TEST_DATA!E6785</f>
        <v/>
      </c>
    </row>
    <row r="6786">
      <c r="A6786">
        <f>TEST_DATA!A6786</f>
        <v/>
      </c>
      <c r="B6786">
        <f>TEST_DATA!B6786</f>
        <v/>
      </c>
      <c r="C6786">
        <f>TEST_DATA!C6786</f>
        <v/>
      </c>
      <c r="D6786">
        <f>TEST_DATA!D6786</f>
        <v/>
      </c>
      <c r="E6786">
        <f>TEST_DATA!E6786</f>
        <v/>
      </c>
    </row>
    <row r="6787">
      <c r="A6787">
        <f>TEST_DATA!A6787</f>
        <v/>
      </c>
      <c r="B6787">
        <f>TEST_DATA!B6787</f>
        <v/>
      </c>
      <c r="C6787">
        <f>TEST_DATA!C6787</f>
        <v/>
      </c>
      <c r="D6787">
        <f>TEST_DATA!D6787</f>
        <v/>
      </c>
      <c r="E6787">
        <f>TEST_DATA!E6787</f>
        <v/>
      </c>
    </row>
    <row r="6788">
      <c r="A6788">
        <f>TEST_DATA!A6788</f>
        <v/>
      </c>
      <c r="B6788">
        <f>TEST_DATA!B6788</f>
        <v/>
      </c>
      <c r="C6788">
        <f>TEST_DATA!C6788</f>
        <v/>
      </c>
      <c r="D6788">
        <f>TEST_DATA!D6788</f>
        <v/>
      </c>
      <c r="E6788">
        <f>TEST_DATA!E6788</f>
        <v/>
      </c>
    </row>
    <row r="6789">
      <c r="A6789">
        <f>TEST_DATA!A6789</f>
        <v/>
      </c>
      <c r="B6789">
        <f>TEST_DATA!B6789</f>
        <v/>
      </c>
      <c r="C6789">
        <f>TEST_DATA!C6789</f>
        <v/>
      </c>
      <c r="D6789">
        <f>TEST_DATA!D6789</f>
        <v/>
      </c>
      <c r="E6789">
        <f>TEST_DATA!E6789</f>
        <v/>
      </c>
    </row>
    <row r="6790">
      <c r="A6790">
        <f>TEST_DATA!A6790</f>
        <v/>
      </c>
      <c r="B6790">
        <f>TEST_DATA!B6790</f>
        <v/>
      </c>
      <c r="C6790">
        <f>TEST_DATA!C6790</f>
        <v/>
      </c>
      <c r="D6790">
        <f>TEST_DATA!D6790</f>
        <v/>
      </c>
      <c r="E6790">
        <f>TEST_DATA!E6790</f>
        <v/>
      </c>
    </row>
    <row r="6791">
      <c r="A6791">
        <f>TEST_DATA!A6791</f>
        <v/>
      </c>
      <c r="B6791">
        <f>TEST_DATA!B6791</f>
        <v/>
      </c>
      <c r="C6791">
        <f>TEST_DATA!C6791</f>
        <v/>
      </c>
      <c r="D6791">
        <f>TEST_DATA!D6791</f>
        <v/>
      </c>
      <c r="E6791">
        <f>TEST_DATA!E6791</f>
        <v/>
      </c>
    </row>
    <row r="6792">
      <c r="A6792">
        <f>TEST_DATA!A6792</f>
        <v/>
      </c>
      <c r="B6792">
        <f>TEST_DATA!B6792</f>
        <v/>
      </c>
      <c r="C6792">
        <f>TEST_DATA!C6792</f>
        <v/>
      </c>
      <c r="D6792">
        <f>TEST_DATA!D6792</f>
        <v/>
      </c>
      <c r="E6792">
        <f>TEST_DATA!E6792</f>
        <v/>
      </c>
    </row>
    <row r="6793">
      <c r="A6793">
        <f>TEST_DATA!A6793</f>
        <v/>
      </c>
      <c r="B6793">
        <f>TEST_DATA!B6793</f>
        <v/>
      </c>
      <c r="C6793">
        <f>TEST_DATA!C6793</f>
        <v/>
      </c>
      <c r="D6793">
        <f>TEST_DATA!D6793</f>
        <v/>
      </c>
      <c r="E6793">
        <f>TEST_DATA!E6793</f>
        <v/>
      </c>
    </row>
    <row r="6794">
      <c r="A6794">
        <f>TEST_DATA!A6794</f>
        <v/>
      </c>
      <c r="B6794">
        <f>TEST_DATA!B6794</f>
        <v/>
      </c>
      <c r="C6794">
        <f>TEST_DATA!C6794</f>
        <v/>
      </c>
      <c r="D6794">
        <f>TEST_DATA!D6794</f>
        <v/>
      </c>
      <c r="E6794">
        <f>TEST_DATA!E6794</f>
        <v/>
      </c>
    </row>
    <row r="6795">
      <c r="A6795">
        <f>TEST_DATA!A6795</f>
        <v/>
      </c>
      <c r="B6795">
        <f>TEST_DATA!B6795</f>
        <v/>
      </c>
      <c r="C6795">
        <f>TEST_DATA!C6795</f>
        <v/>
      </c>
      <c r="D6795">
        <f>TEST_DATA!D6795</f>
        <v/>
      </c>
      <c r="E6795">
        <f>TEST_DATA!E6795</f>
        <v/>
      </c>
    </row>
    <row r="6796">
      <c r="A6796">
        <f>TEST_DATA!A6796</f>
        <v/>
      </c>
      <c r="B6796">
        <f>TEST_DATA!B6796</f>
        <v/>
      </c>
      <c r="C6796">
        <f>TEST_DATA!C6796</f>
        <v/>
      </c>
      <c r="D6796">
        <f>TEST_DATA!D6796</f>
        <v/>
      </c>
      <c r="E6796">
        <f>TEST_DATA!E6796</f>
        <v/>
      </c>
    </row>
    <row r="6797">
      <c r="A6797">
        <f>TEST_DATA!A6797</f>
        <v/>
      </c>
      <c r="B6797">
        <f>TEST_DATA!B6797</f>
        <v/>
      </c>
      <c r="C6797">
        <f>TEST_DATA!C6797</f>
        <v/>
      </c>
      <c r="D6797">
        <f>TEST_DATA!D6797</f>
        <v/>
      </c>
      <c r="E6797">
        <f>TEST_DATA!E6797</f>
        <v/>
      </c>
    </row>
    <row r="6798">
      <c r="A6798">
        <f>TEST_DATA!A6798</f>
        <v/>
      </c>
      <c r="B6798">
        <f>TEST_DATA!B6798</f>
        <v/>
      </c>
      <c r="C6798">
        <f>TEST_DATA!C6798</f>
        <v/>
      </c>
      <c r="D6798">
        <f>TEST_DATA!D6798</f>
        <v/>
      </c>
      <c r="E6798">
        <f>TEST_DATA!E6798</f>
        <v/>
      </c>
    </row>
    <row r="6799">
      <c r="A6799">
        <f>TEST_DATA!A6799</f>
        <v/>
      </c>
      <c r="B6799">
        <f>TEST_DATA!B6799</f>
        <v/>
      </c>
      <c r="C6799">
        <f>TEST_DATA!C6799</f>
        <v/>
      </c>
      <c r="D6799">
        <f>TEST_DATA!D6799</f>
        <v/>
      </c>
      <c r="E6799">
        <f>TEST_DATA!E6799</f>
        <v/>
      </c>
    </row>
    <row r="6800">
      <c r="A6800">
        <f>TEST_DATA!A6800</f>
        <v/>
      </c>
      <c r="B6800">
        <f>TEST_DATA!B6800</f>
        <v/>
      </c>
      <c r="C6800">
        <f>TEST_DATA!C6800</f>
        <v/>
      </c>
      <c r="D6800">
        <f>TEST_DATA!D6800</f>
        <v/>
      </c>
      <c r="E6800">
        <f>TEST_DATA!E6800</f>
        <v/>
      </c>
    </row>
    <row r="6801">
      <c r="A6801">
        <f>TEST_DATA!A6801</f>
        <v/>
      </c>
      <c r="B6801">
        <f>TEST_DATA!B6801</f>
        <v/>
      </c>
      <c r="C6801">
        <f>TEST_DATA!C6801</f>
        <v/>
      </c>
      <c r="D6801">
        <f>TEST_DATA!D6801</f>
        <v/>
      </c>
      <c r="E6801">
        <f>TEST_DATA!E6801</f>
        <v/>
      </c>
    </row>
    <row r="6802">
      <c r="A6802">
        <f>TEST_DATA!A6802</f>
        <v/>
      </c>
      <c r="B6802">
        <f>TEST_DATA!B6802</f>
        <v/>
      </c>
      <c r="C6802">
        <f>TEST_DATA!C6802</f>
        <v/>
      </c>
      <c r="D6802">
        <f>TEST_DATA!D6802</f>
        <v/>
      </c>
      <c r="E6802">
        <f>TEST_DATA!E6802</f>
        <v/>
      </c>
    </row>
    <row r="6803">
      <c r="A6803">
        <f>TEST_DATA!A6803</f>
        <v/>
      </c>
      <c r="B6803">
        <f>TEST_DATA!B6803</f>
        <v/>
      </c>
      <c r="C6803">
        <f>TEST_DATA!C6803</f>
        <v/>
      </c>
      <c r="D6803">
        <f>TEST_DATA!D6803</f>
        <v/>
      </c>
      <c r="E6803">
        <f>TEST_DATA!E6803</f>
        <v/>
      </c>
    </row>
    <row r="6804">
      <c r="A6804">
        <f>TEST_DATA!A6804</f>
        <v/>
      </c>
      <c r="B6804">
        <f>TEST_DATA!B6804</f>
        <v/>
      </c>
      <c r="C6804">
        <f>TEST_DATA!C6804</f>
        <v/>
      </c>
      <c r="D6804">
        <f>TEST_DATA!D6804</f>
        <v/>
      </c>
      <c r="E6804">
        <f>TEST_DATA!E6804</f>
        <v/>
      </c>
    </row>
    <row r="6805">
      <c r="A6805">
        <f>TEST_DATA!A6805</f>
        <v/>
      </c>
      <c r="B6805">
        <f>TEST_DATA!B6805</f>
        <v/>
      </c>
      <c r="C6805">
        <f>TEST_DATA!C6805</f>
        <v/>
      </c>
      <c r="D6805">
        <f>TEST_DATA!D6805</f>
        <v/>
      </c>
      <c r="E6805">
        <f>TEST_DATA!E6805</f>
        <v/>
      </c>
    </row>
    <row r="6806">
      <c r="A6806">
        <f>TEST_DATA!A6806</f>
        <v/>
      </c>
      <c r="B6806">
        <f>TEST_DATA!B6806</f>
        <v/>
      </c>
      <c r="C6806">
        <f>TEST_DATA!C6806</f>
        <v/>
      </c>
      <c r="D6806">
        <f>TEST_DATA!D6806</f>
        <v/>
      </c>
      <c r="E6806">
        <f>TEST_DATA!E6806</f>
        <v/>
      </c>
    </row>
    <row r="6807">
      <c r="A6807">
        <f>TEST_DATA!A6807</f>
        <v/>
      </c>
      <c r="B6807">
        <f>TEST_DATA!B6807</f>
        <v/>
      </c>
      <c r="C6807">
        <f>TEST_DATA!C6807</f>
        <v/>
      </c>
      <c r="D6807">
        <f>TEST_DATA!D6807</f>
        <v/>
      </c>
      <c r="E6807">
        <f>TEST_DATA!E6807</f>
        <v/>
      </c>
    </row>
    <row r="6808">
      <c r="A6808">
        <f>TEST_DATA!A6808</f>
        <v/>
      </c>
      <c r="B6808">
        <f>TEST_DATA!B6808</f>
        <v/>
      </c>
      <c r="C6808">
        <f>TEST_DATA!C6808</f>
        <v/>
      </c>
      <c r="D6808">
        <f>TEST_DATA!D6808</f>
        <v/>
      </c>
      <c r="E6808">
        <f>TEST_DATA!E6808</f>
        <v/>
      </c>
    </row>
    <row r="6809">
      <c r="A6809">
        <f>TEST_DATA!A6809</f>
        <v/>
      </c>
      <c r="B6809">
        <f>TEST_DATA!B6809</f>
        <v/>
      </c>
      <c r="C6809">
        <f>TEST_DATA!C6809</f>
        <v/>
      </c>
      <c r="D6809">
        <f>TEST_DATA!D6809</f>
        <v/>
      </c>
      <c r="E6809">
        <f>TEST_DATA!E6809</f>
        <v/>
      </c>
    </row>
    <row r="6810">
      <c r="A6810">
        <f>TEST_DATA!A6810</f>
        <v/>
      </c>
      <c r="B6810">
        <f>TEST_DATA!B6810</f>
        <v/>
      </c>
      <c r="C6810">
        <f>TEST_DATA!C6810</f>
        <v/>
      </c>
      <c r="D6810">
        <f>TEST_DATA!D6810</f>
        <v/>
      </c>
      <c r="E6810">
        <f>TEST_DATA!E6810</f>
        <v/>
      </c>
    </row>
    <row r="6811">
      <c r="A6811">
        <f>TEST_DATA!A6811</f>
        <v/>
      </c>
      <c r="B6811">
        <f>TEST_DATA!B6811</f>
        <v/>
      </c>
      <c r="C6811">
        <f>TEST_DATA!C6811</f>
        <v/>
      </c>
      <c r="D6811">
        <f>TEST_DATA!D6811</f>
        <v/>
      </c>
      <c r="E6811">
        <f>TEST_DATA!E6811</f>
        <v/>
      </c>
    </row>
    <row r="6812">
      <c r="A6812">
        <f>TEST_DATA!A6812</f>
        <v/>
      </c>
      <c r="B6812">
        <f>TEST_DATA!B6812</f>
        <v/>
      </c>
      <c r="C6812">
        <f>TEST_DATA!C6812</f>
        <v/>
      </c>
      <c r="D6812">
        <f>TEST_DATA!D6812</f>
        <v/>
      </c>
      <c r="E6812">
        <f>TEST_DATA!E6812</f>
        <v/>
      </c>
    </row>
    <row r="6813">
      <c r="A6813">
        <f>TEST_DATA!A6813</f>
        <v/>
      </c>
      <c r="B6813">
        <f>TEST_DATA!B6813</f>
        <v/>
      </c>
      <c r="C6813">
        <f>TEST_DATA!C6813</f>
        <v/>
      </c>
      <c r="D6813">
        <f>TEST_DATA!D6813</f>
        <v/>
      </c>
      <c r="E6813">
        <f>TEST_DATA!E6813</f>
        <v/>
      </c>
    </row>
    <row r="6814">
      <c r="A6814">
        <f>TEST_DATA!A6814</f>
        <v/>
      </c>
      <c r="B6814">
        <f>TEST_DATA!B6814</f>
        <v/>
      </c>
      <c r="C6814">
        <f>TEST_DATA!C6814</f>
        <v/>
      </c>
      <c r="D6814">
        <f>TEST_DATA!D6814</f>
        <v/>
      </c>
      <c r="E6814">
        <f>TEST_DATA!E6814</f>
        <v/>
      </c>
    </row>
    <row r="6815">
      <c r="A6815">
        <f>TEST_DATA!A6815</f>
        <v/>
      </c>
      <c r="B6815">
        <f>TEST_DATA!B6815</f>
        <v/>
      </c>
      <c r="C6815">
        <f>TEST_DATA!C6815</f>
        <v/>
      </c>
      <c r="D6815">
        <f>TEST_DATA!D6815</f>
        <v/>
      </c>
      <c r="E6815">
        <f>TEST_DATA!E6815</f>
        <v/>
      </c>
    </row>
    <row r="6816">
      <c r="A6816">
        <f>TEST_DATA!A6816</f>
        <v/>
      </c>
      <c r="B6816">
        <f>TEST_DATA!B6816</f>
        <v/>
      </c>
      <c r="C6816">
        <f>TEST_DATA!C6816</f>
        <v/>
      </c>
      <c r="D6816">
        <f>TEST_DATA!D6816</f>
        <v/>
      </c>
      <c r="E6816">
        <f>TEST_DATA!E6816</f>
        <v/>
      </c>
    </row>
    <row r="6817">
      <c r="A6817">
        <f>TEST_DATA!A6817</f>
        <v/>
      </c>
      <c r="B6817">
        <f>TEST_DATA!B6817</f>
        <v/>
      </c>
      <c r="C6817">
        <f>TEST_DATA!C6817</f>
        <v/>
      </c>
      <c r="D6817">
        <f>TEST_DATA!D6817</f>
        <v/>
      </c>
      <c r="E6817">
        <f>TEST_DATA!E6817</f>
        <v/>
      </c>
    </row>
    <row r="6818">
      <c r="A6818">
        <f>TEST_DATA!A6818</f>
        <v/>
      </c>
      <c r="B6818">
        <f>TEST_DATA!B6818</f>
        <v/>
      </c>
      <c r="C6818">
        <f>TEST_DATA!C6818</f>
        <v/>
      </c>
      <c r="D6818">
        <f>TEST_DATA!D6818</f>
        <v/>
      </c>
      <c r="E6818">
        <f>TEST_DATA!E6818</f>
        <v/>
      </c>
    </row>
    <row r="6819">
      <c r="A6819">
        <f>TEST_DATA!A6819</f>
        <v/>
      </c>
      <c r="B6819">
        <f>TEST_DATA!B6819</f>
        <v/>
      </c>
      <c r="C6819">
        <f>TEST_DATA!C6819</f>
        <v/>
      </c>
      <c r="D6819">
        <f>TEST_DATA!D6819</f>
        <v/>
      </c>
      <c r="E6819">
        <f>TEST_DATA!E6819</f>
        <v/>
      </c>
    </row>
    <row r="6820">
      <c r="A6820">
        <f>TEST_DATA!A6820</f>
        <v/>
      </c>
      <c r="B6820">
        <f>TEST_DATA!B6820</f>
        <v/>
      </c>
      <c r="C6820">
        <f>TEST_DATA!C6820</f>
        <v/>
      </c>
      <c r="D6820">
        <f>TEST_DATA!D6820</f>
        <v/>
      </c>
      <c r="E6820">
        <f>TEST_DATA!E6820</f>
        <v/>
      </c>
    </row>
    <row r="6821">
      <c r="A6821">
        <f>TEST_DATA!A6821</f>
        <v/>
      </c>
      <c r="B6821">
        <f>TEST_DATA!B6821</f>
        <v/>
      </c>
      <c r="C6821">
        <f>TEST_DATA!C6821</f>
        <v/>
      </c>
      <c r="D6821">
        <f>TEST_DATA!D6821</f>
        <v/>
      </c>
      <c r="E6821">
        <f>TEST_DATA!E6821</f>
        <v/>
      </c>
    </row>
    <row r="6822">
      <c r="A6822">
        <f>TEST_DATA!A6822</f>
        <v/>
      </c>
      <c r="B6822">
        <f>TEST_DATA!B6822</f>
        <v/>
      </c>
      <c r="C6822">
        <f>TEST_DATA!C6822</f>
        <v/>
      </c>
      <c r="D6822">
        <f>TEST_DATA!D6822</f>
        <v/>
      </c>
      <c r="E6822">
        <f>TEST_DATA!E6822</f>
        <v/>
      </c>
    </row>
    <row r="6823">
      <c r="A6823">
        <f>TEST_DATA!A6823</f>
        <v/>
      </c>
      <c r="B6823">
        <f>TEST_DATA!B6823</f>
        <v/>
      </c>
      <c r="C6823">
        <f>TEST_DATA!C6823</f>
        <v/>
      </c>
      <c r="D6823">
        <f>TEST_DATA!D6823</f>
        <v/>
      </c>
      <c r="E6823">
        <f>TEST_DATA!E6823</f>
        <v/>
      </c>
    </row>
    <row r="6824">
      <c r="A6824">
        <f>TEST_DATA!A6824</f>
        <v/>
      </c>
      <c r="B6824">
        <f>TEST_DATA!B6824</f>
        <v/>
      </c>
      <c r="C6824">
        <f>TEST_DATA!C6824</f>
        <v/>
      </c>
      <c r="D6824">
        <f>TEST_DATA!D6824</f>
        <v/>
      </c>
      <c r="E6824">
        <f>TEST_DATA!E6824</f>
        <v/>
      </c>
    </row>
    <row r="6825">
      <c r="A6825">
        <f>TEST_DATA!A6825</f>
        <v/>
      </c>
      <c r="B6825">
        <f>TEST_DATA!B6825</f>
        <v/>
      </c>
      <c r="C6825">
        <f>TEST_DATA!C6825</f>
        <v/>
      </c>
      <c r="D6825">
        <f>TEST_DATA!D6825</f>
        <v/>
      </c>
      <c r="E6825">
        <f>TEST_DATA!E6825</f>
        <v/>
      </c>
    </row>
    <row r="6826">
      <c r="A6826">
        <f>TEST_DATA!A6826</f>
        <v/>
      </c>
      <c r="B6826">
        <f>TEST_DATA!B6826</f>
        <v/>
      </c>
      <c r="C6826">
        <f>TEST_DATA!C6826</f>
        <v/>
      </c>
      <c r="D6826">
        <f>TEST_DATA!D6826</f>
        <v/>
      </c>
      <c r="E6826">
        <f>TEST_DATA!E6826</f>
        <v/>
      </c>
    </row>
    <row r="6827">
      <c r="A6827">
        <f>TEST_DATA!A6827</f>
        <v/>
      </c>
      <c r="B6827">
        <f>TEST_DATA!B6827</f>
        <v/>
      </c>
      <c r="C6827">
        <f>TEST_DATA!C6827</f>
        <v/>
      </c>
      <c r="D6827">
        <f>TEST_DATA!D6827</f>
        <v/>
      </c>
      <c r="E6827">
        <f>TEST_DATA!E6827</f>
        <v/>
      </c>
    </row>
    <row r="6828">
      <c r="A6828">
        <f>TEST_DATA!A6828</f>
        <v/>
      </c>
      <c r="B6828">
        <f>TEST_DATA!B6828</f>
        <v/>
      </c>
      <c r="C6828">
        <f>TEST_DATA!C6828</f>
        <v/>
      </c>
      <c r="D6828">
        <f>TEST_DATA!D6828</f>
        <v/>
      </c>
      <c r="E6828">
        <f>TEST_DATA!E6828</f>
        <v/>
      </c>
    </row>
    <row r="6829">
      <c r="A6829">
        <f>TEST_DATA!A6829</f>
        <v/>
      </c>
      <c r="B6829">
        <f>TEST_DATA!B6829</f>
        <v/>
      </c>
      <c r="C6829">
        <f>TEST_DATA!C6829</f>
        <v/>
      </c>
      <c r="D6829">
        <f>TEST_DATA!D6829</f>
        <v/>
      </c>
      <c r="E6829">
        <f>TEST_DATA!E6829</f>
        <v/>
      </c>
    </row>
    <row r="6830">
      <c r="A6830">
        <f>TEST_DATA!A6830</f>
        <v/>
      </c>
      <c r="B6830">
        <f>TEST_DATA!B6830</f>
        <v/>
      </c>
      <c r="C6830">
        <f>TEST_DATA!C6830</f>
        <v/>
      </c>
      <c r="D6830">
        <f>TEST_DATA!D6830</f>
        <v/>
      </c>
      <c r="E6830">
        <f>TEST_DATA!E6830</f>
        <v/>
      </c>
    </row>
    <row r="6831">
      <c r="A6831">
        <f>TEST_DATA!A6831</f>
        <v/>
      </c>
      <c r="B6831">
        <f>TEST_DATA!B6831</f>
        <v/>
      </c>
      <c r="C6831">
        <f>TEST_DATA!C6831</f>
        <v/>
      </c>
      <c r="D6831">
        <f>TEST_DATA!D6831</f>
        <v/>
      </c>
      <c r="E6831">
        <f>TEST_DATA!E6831</f>
        <v/>
      </c>
    </row>
    <row r="6832">
      <c r="A6832">
        <f>TEST_DATA!A6832</f>
        <v/>
      </c>
      <c r="B6832">
        <f>TEST_DATA!B6832</f>
        <v/>
      </c>
      <c r="C6832">
        <f>TEST_DATA!C6832</f>
        <v/>
      </c>
      <c r="D6832">
        <f>TEST_DATA!D6832</f>
        <v/>
      </c>
      <c r="E6832">
        <f>TEST_DATA!E6832</f>
        <v/>
      </c>
    </row>
    <row r="6833">
      <c r="A6833">
        <f>TEST_DATA!A6833</f>
        <v/>
      </c>
      <c r="B6833">
        <f>TEST_DATA!B6833</f>
        <v/>
      </c>
      <c r="C6833">
        <f>TEST_DATA!C6833</f>
        <v/>
      </c>
      <c r="D6833">
        <f>TEST_DATA!D6833</f>
        <v/>
      </c>
      <c r="E6833">
        <f>TEST_DATA!E6833</f>
        <v/>
      </c>
    </row>
    <row r="6834">
      <c r="A6834">
        <f>TEST_DATA!A6834</f>
        <v/>
      </c>
      <c r="B6834">
        <f>TEST_DATA!B6834</f>
        <v/>
      </c>
      <c r="C6834">
        <f>TEST_DATA!C6834</f>
        <v/>
      </c>
      <c r="D6834">
        <f>TEST_DATA!D6834</f>
        <v/>
      </c>
      <c r="E6834">
        <f>TEST_DATA!E6834</f>
        <v/>
      </c>
    </row>
    <row r="6835">
      <c r="A6835">
        <f>TEST_DATA!A6835</f>
        <v/>
      </c>
      <c r="B6835">
        <f>TEST_DATA!B6835</f>
        <v/>
      </c>
      <c r="C6835">
        <f>TEST_DATA!C6835</f>
        <v/>
      </c>
      <c r="D6835">
        <f>TEST_DATA!D6835</f>
        <v/>
      </c>
      <c r="E6835">
        <f>TEST_DATA!E6835</f>
        <v/>
      </c>
    </row>
    <row r="6836">
      <c r="A6836">
        <f>TEST_DATA!A6836</f>
        <v/>
      </c>
      <c r="B6836">
        <f>TEST_DATA!B6836</f>
        <v/>
      </c>
      <c r="C6836">
        <f>TEST_DATA!C6836</f>
        <v/>
      </c>
      <c r="D6836">
        <f>TEST_DATA!D6836</f>
        <v/>
      </c>
      <c r="E6836">
        <f>TEST_DATA!E6836</f>
        <v/>
      </c>
    </row>
    <row r="6837">
      <c r="A6837">
        <f>TEST_DATA!A6837</f>
        <v/>
      </c>
      <c r="B6837">
        <f>TEST_DATA!B6837</f>
        <v/>
      </c>
      <c r="C6837">
        <f>TEST_DATA!C6837</f>
        <v/>
      </c>
      <c r="D6837">
        <f>TEST_DATA!D6837</f>
        <v/>
      </c>
      <c r="E6837">
        <f>TEST_DATA!E6837</f>
        <v/>
      </c>
    </row>
    <row r="6838">
      <c r="A6838">
        <f>TEST_DATA!A6838</f>
        <v/>
      </c>
      <c r="B6838">
        <f>TEST_DATA!B6838</f>
        <v/>
      </c>
      <c r="C6838">
        <f>TEST_DATA!C6838</f>
        <v/>
      </c>
      <c r="D6838">
        <f>TEST_DATA!D6838</f>
        <v/>
      </c>
      <c r="E6838">
        <f>TEST_DATA!E6838</f>
        <v/>
      </c>
    </row>
    <row r="6839">
      <c r="A6839">
        <f>TEST_DATA!A6839</f>
        <v/>
      </c>
      <c r="B6839">
        <f>TEST_DATA!B6839</f>
        <v/>
      </c>
      <c r="C6839">
        <f>TEST_DATA!C6839</f>
        <v/>
      </c>
      <c r="D6839">
        <f>TEST_DATA!D6839</f>
        <v/>
      </c>
      <c r="E6839">
        <f>TEST_DATA!E6839</f>
        <v/>
      </c>
    </row>
    <row r="6840">
      <c r="A6840">
        <f>TEST_DATA!A6840</f>
        <v/>
      </c>
      <c r="B6840">
        <f>TEST_DATA!B6840</f>
        <v/>
      </c>
      <c r="C6840">
        <f>TEST_DATA!C6840</f>
        <v/>
      </c>
      <c r="D6840">
        <f>TEST_DATA!D6840</f>
        <v/>
      </c>
      <c r="E6840">
        <f>TEST_DATA!E6840</f>
        <v/>
      </c>
    </row>
    <row r="6841">
      <c r="A6841">
        <f>TEST_DATA!A6841</f>
        <v/>
      </c>
      <c r="B6841">
        <f>TEST_DATA!B6841</f>
        <v/>
      </c>
      <c r="C6841">
        <f>TEST_DATA!C6841</f>
        <v/>
      </c>
      <c r="D6841">
        <f>TEST_DATA!D6841</f>
        <v/>
      </c>
      <c r="E6841">
        <f>TEST_DATA!E6841</f>
        <v/>
      </c>
    </row>
    <row r="6842">
      <c r="A6842">
        <f>TEST_DATA!A6842</f>
        <v/>
      </c>
      <c r="B6842">
        <f>TEST_DATA!B6842</f>
        <v/>
      </c>
      <c r="C6842">
        <f>TEST_DATA!C6842</f>
        <v/>
      </c>
      <c r="D6842">
        <f>TEST_DATA!D6842</f>
        <v/>
      </c>
      <c r="E6842">
        <f>TEST_DATA!E6842</f>
        <v/>
      </c>
    </row>
    <row r="6843">
      <c r="A6843">
        <f>TEST_DATA!A6843</f>
        <v/>
      </c>
      <c r="B6843">
        <f>TEST_DATA!B6843</f>
        <v/>
      </c>
      <c r="C6843">
        <f>TEST_DATA!C6843</f>
        <v/>
      </c>
      <c r="D6843">
        <f>TEST_DATA!D6843</f>
        <v/>
      </c>
      <c r="E6843">
        <f>TEST_DATA!E6843</f>
        <v/>
      </c>
    </row>
    <row r="6844">
      <c r="A6844">
        <f>TEST_DATA!A6844</f>
        <v/>
      </c>
      <c r="B6844">
        <f>TEST_DATA!B6844</f>
        <v/>
      </c>
      <c r="C6844">
        <f>TEST_DATA!C6844</f>
        <v/>
      </c>
      <c r="D6844">
        <f>TEST_DATA!D6844</f>
        <v/>
      </c>
      <c r="E6844">
        <f>TEST_DATA!E6844</f>
        <v/>
      </c>
    </row>
    <row r="6845">
      <c r="A6845">
        <f>TEST_DATA!A6845</f>
        <v/>
      </c>
      <c r="B6845">
        <f>TEST_DATA!B6845</f>
        <v/>
      </c>
      <c r="C6845">
        <f>TEST_DATA!C6845</f>
        <v/>
      </c>
      <c r="D6845">
        <f>TEST_DATA!D6845</f>
        <v/>
      </c>
      <c r="E6845">
        <f>TEST_DATA!E6845</f>
        <v/>
      </c>
    </row>
    <row r="6846">
      <c r="A6846">
        <f>TEST_DATA!A6846</f>
        <v/>
      </c>
      <c r="B6846">
        <f>TEST_DATA!B6846</f>
        <v/>
      </c>
      <c r="C6846">
        <f>TEST_DATA!C6846</f>
        <v/>
      </c>
      <c r="D6846">
        <f>TEST_DATA!D6846</f>
        <v/>
      </c>
      <c r="E6846">
        <f>TEST_DATA!E6846</f>
        <v/>
      </c>
    </row>
    <row r="6847">
      <c r="A6847">
        <f>TEST_DATA!A6847</f>
        <v/>
      </c>
      <c r="B6847">
        <f>TEST_DATA!B6847</f>
        <v/>
      </c>
      <c r="C6847">
        <f>TEST_DATA!C6847</f>
        <v/>
      </c>
      <c r="D6847">
        <f>TEST_DATA!D6847</f>
        <v/>
      </c>
      <c r="E6847">
        <f>TEST_DATA!E6847</f>
        <v/>
      </c>
    </row>
    <row r="6848">
      <c r="A6848">
        <f>TEST_DATA!A6848</f>
        <v/>
      </c>
      <c r="B6848">
        <f>TEST_DATA!B6848</f>
        <v/>
      </c>
      <c r="C6848">
        <f>TEST_DATA!C6848</f>
        <v/>
      </c>
      <c r="D6848">
        <f>TEST_DATA!D6848</f>
        <v/>
      </c>
      <c r="E6848">
        <f>TEST_DATA!E6848</f>
        <v/>
      </c>
    </row>
    <row r="6849">
      <c r="A6849">
        <f>TEST_DATA!A6849</f>
        <v/>
      </c>
      <c r="B6849">
        <f>TEST_DATA!B6849</f>
        <v/>
      </c>
      <c r="C6849">
        <f>TEST_DATA!C6849</f>
        <v/>
      </c>
      <c r="D6849">
        <f>TEST_DATA!D6849</f>
        <v/>
      </c>
      <c r="E6849">
        <f>TEST_DATA!E6849</f>
        <v/>
      </c>
    </row>
    <row r="6850">
      <c r="A6850">
        <f>TEST_DATA!A6850</f>
        <v/>
      </c>
      <c r="B6850">
        <f>TEST_DATA!B6850</f>
        <v/>
      </c>
      <c r="C6850">
        <f>TEST_DATA!C6850</f>
        <v/>
      </c>
      <c r="D6850">
        <f>TEST_DATA!D6850</f>
        <v/>
      </c>
      <c r="E6850">
        <f>TEST_DATA!E6850</f>
        <v/>
      </c>
    </row>
    <row r="6851">
      <c r="A6851">
        <f>TEST_DATA!A6851</f>
        <v/>
      </c>
      <c r="B6851">
        <f>TEST_DATA!B6851</f>
        <v/>
      </c>
      <c r="C6851">
        <f>TEST_DATA!C6851</f>
        <v/>
      </c>
      <c r="D6851">
        <f>TEST_DATA!D6851</f>
        <v/>
      </c>
      <c r="E6851">
        <f>TEST_DATA!E6851</f>
        <v/>
      </c>
    </row>
    <row r="6852">
      <c r="A6852">
        <f>TEST_DATA!A6852</f>
        <v/>
      </c>
      <c r="B6852">
        <f>TEST_DATA!B6852</f>
        <v/>
      </c>
      <c r="C6852">
        <f>TEST_DATA!C6852</f>
        <v/>
      </c>
      <c r="D6852">
        <f>TEST_DATA!D6852</f>
        <v/>
      </c>
      <c r="E6852">
        <f>TEST_DATA!E6852</f>
        <v/>
      </c>
    </row>
    <row r="6853">
      <c r="A6853">
        <f>TEST_DATA!A6853</f>
        <v/>
      </c>
      <c r="B6853">
        <f>TEST_DATA!B6853</f>
        <v/>
      </c>
      <c r="C6853">
        <f>TEST_DATA!C6853</f>
        <v/>
      </c>
      <c r="D6853">
        <f>TEST_DATA!D6853</f>
        <v/>
      </c>
      <c r="E6853">
        <f>TEST_DATA!E6853</f>
        <v/>
      </c>
    </row>
    <row r="6854">
      <c r="A6854">
        <f>TEST_DATA!A6854</f>
        <v/>
      </c>
      <c r="B6854">
        <f>TEST_DATA!B6854</f>
        <v/>
      </c>
      <c r="C6854">
        <f>TEST_DATA!C6854</f>
        <v/>
      </c>
      <c r="D6854">
        <f>TEST_DATA!D6854</f>
        <v/>
      </c>
      <c r="E6854">
        <f>TEST_DATA!E6854</f>
        <v/>
      </c>
    </row>
    <row r="6855">
      <c r="A6855">
        <f>TEST_DATA!A6855</f>
        <v/>
      </c>
      <c r="B6855">
        <f>TEST_DATA!B6855</f>
        <v/>
      </c>
      <c r="C6855">
        <f>TEST_DATA!C6855</f>
        <v/>
      </c>
      <c r="D6855">
        <f>TEST_DATA!D6855</f>
        <v/>
      </c>
      <c r="E6855">
        <f>TEST_DATA!E6855</f>
        <v/>
      </c>
    </row>
    <row r="6856">
      <c r="A6856">
        <f>TEST_DATA!A6856</f>
        <v/>
      </c>
      <c r="B6856">
        <f>TEST_DATA!B6856</f>
        <v/>
      </c>
      <c r="C6856">
        <f>TEST_DATA!C6856</f>
        <v/>
      </c>
      <c r="D6856">
        <f>TEST_DATA!D6856</f>
        <v/>
      </c>
      <c r="E6856">
        <f>TEST_DATA!E6856</f>
        <v/>
      </c>
    </row>
    <row r="6857">
      <c r="A6857">
        <f>TEST_DATA!A6857</f>
        <v/>
      </c>
      <c r="B6857">
        <f>TEST_DATA!B6857</f>
        <v/>
      </c>
      <c r="C6857">
        <f>TEST_DATA!C6857</f>
        <v/>
      </c>
      <c r="D6857">
        <f>TEST_DATA!D6857</f>
        <v/>
      </c>
      <c r="E6857">
        <f>TEST_DATA!E6857</f>
        <v/>
      </c>
    </row>
    <row r="6858">
      <c r="A6858">
        <f>TEST_DATA!A6858</f>
        <v/>
      </c>
      <c r="B6858">
        <f>TEST_DATA!B6858</f>
        <v/>
      </c>
      <c r="C6858">
        <f>TEST_DATA!C6858</f>
        <v/>
      </c>
      <c r="D6858">
        <f>TEST_DATA!D6858</f>
        <v/>
      </c>
      <c r="E6858">
        <f>TEST_DATA!E6858</f>
        <v/>
      </c>
    </row>
    <row r="6859">
      <c r="A6859">
        <f>TEST_DATA!A6859</f>
        <v/>
      </c>
      <c r="B6859">
        <f>TEST_DATA!B6859</f>
        <v/>
      </c>
      <c r="C6859">
        <f>TEST_DATA!C6859</f>
        <v/>
      </c>
      <c r="D6859">
        <f>TEST_DATA!D6859</f>
        <v/>
      </c>
      <c r="E6859">
        <f>TEST_DATA!E6859</f>
        <v/>
      </c>
    </row>
    <row r="6860">
      <c r="A6860">
        <f>TEST_DATA!A6860</f>
        <v/>
      </c>
      <c r="B6860">
        <f>TEST_DATA!B6860</f>
        <v/>
      </c>
      <c r="C6860">
        <f>TEST_DATA!C6860</f>
        <v/>
      </c>
      <c r="D6860">
        <f>TEST_DATA!D6860</f>
        <v/>
      </c>
      <c r="E6860">
        <f>TEST_DATA!E6860</f>
        <v/>
      </c>
    </row>
    <row r="6861">
      <c r="A6861">
        <f>TEST_DATA!A6861</f>
        <v/>
      </c>
      <c r="B6861">
        <f>TEST_DATA!B6861</f>
        <v/>
      </c>
      <c r="C6861">
        <f>TEST_DATA!C6861</f>
        <v/>
      </c>
      <c r="D6861">
        <f>TEST_DATA!D6861</f>
        <v/>
      </c>
      <c r="E6861">
        <f>TEST_DATA!E6861</f>
        <v/>
      </c>
    </row>
    <row r="6862">
      <c r="A6862">
        <f>TEST_DATA!A6862</f>
        <v/>
      </c>
      <c r="B6862">
        <f>TEST_DATA!B6862</f>
        <v/>
      </c>
      <c r="C6862">
        <f>TEST_DATA!C6862</f>
        <v/>
      </c>
      <c r="D6862">
        <f>TEST_DATA!D6862</f>
        <v/>
      </c>
      <c r="E6862">
        <f>TEST_DATA!E6862</f>
        <v/>
      </c>
    </row>
    <row r="6863">
      <c r="A6863">
        <f>TEST_DATA!A6863</f>
        <v/>
      </c>
      <c r="B6863">
        <f>TEST_DATA!B6863</f>
        <v/>
      </c>
      <c r="C6863">
        <f>TEST_DATA!C6863</f>
        <v/>
      </c>
      <c r="D6863">
        <f>TEST_DATA!D6863</f>
        <v/>
      </c>
      <c r="E6863">
        <f>TEST_DATA!E6863</f>
        <v/>
      </c>
    </row>
    <row r="6864">
      <c r="A6864">
        <f>TEST_DATA!A6864</f>
        <v/>
      </c>
      <c r="B6864">
        <f>TEST_DATA!B6864</f>
        <v/>
      </c>
      <c r="C6864">
        <f>TEST_DATA!C6864</f>
        <v/>
      </c>
      <c r="D6864">
        <f>TEST_DATA!D6864</f>
        <v/>
      </c>
      <c r="E6864">
        <f>TEST_DATA!E6864</f>
        <v/>
      </c>
    </row>
    <row r="6865">
      <c r="A6865">
        <f>TEST_DATA!A6865</f>
        <v/>
      </c>
      <c r="B6865">
        <f>TEST_DATA!B6865</f>
        <v/>
      </c>
      <c r="C6865">
        <f>TEST_DATA!C6865</f>
        <v/>
      </c>
      <c r="D6865">
        <f>TEST_DATA!D6865</f>
        <v/>
      </c>
      <c r="E6865">
        <f>TEST_DATA!E6865</f>
        <v/>
      </c>
    </row>
    <row r="6866">
      <c r="A6866">
        <f>TEST_DATA!A6866</f>
        <v/>
      </c>
      <c r="B6866">
        <f>TEST_DATA!B6866</f>
        <v/>
      </c>
      <c r="C6866">
        <f>TEST_DATA!C6866</f>
        <v/>
      </c>
      <c r="D6866">
        <f>TEST_DATA!D6866</f>
        <v/>
      </c>
      <c r="E6866">
        <f>TEST_DATA!E6866</f>
        <v/>
      </c>
    </row>
    <row r="6867">
      <c r="A6867">
        <f>TEST_DATA!A6867</f>
        <v/>
      </c>
      <c r="B6867">
        <f>TEST_DATA!B6867</f>
        <v/>
      </c>
      <c r="C6867">
        <f>TEST_DATA!C6867</f>
        <v/>
      </c>
      <c r="D6867">
        <f>TEST_DATA!D6867</f>
        <v/>
      </c>
      <c r="E6867">
        <f>TEST_DATA!E6867</f>
        <v/>
      </c>
    </row>
    <row r="6868">
      <c r="A6868">
        <f>TEST_DATA!A6868</f>
        <v/>
      </c>
      <c r="B6868">
        <f>TEST_DATA!B6868</f>
        <v/>
      </c>
      <c r="C6868">
        <f>TEST_DATA!C6868</f>
        <v/>
      </c>
      <c r="D6868">
        <f>TEST_DATA!D6868</f>
        <v/>
      </c>
      <c r="E6868">
        <f>TEST_DATA!E6868</f>
        <v/>
      </c>
    </row>
    <row r="6869">
      <c r="A6869">
        <f>TEST_DATA!A6869</f>
        <v/>
      </c>
      <c r="B6869">
        <f>TEST_DATA!B6869</f>
        <v/>
      </c>
      <c r="C6869">
        <f>TEST_DATA!C6869</f>
        <v/>
      </c>
      <c r="D6869">
        <f>TEST_DATA!D6869</f>
        <v/>
      </c>
      <c r="E6869">
        <f>TEST_DATA!E6869</f>
        <v/>
      </c>
    </row>
    <row r="6870">
      <c r="A6870">
        <f>TEST_DATA!A6870</f>
        <v/>
      </c>
      <c r="B6870">
        <f>TEST_DATA!B6870</f>
        <v/>
      </c>
      <c r="C6870">
        <f>TEST_DATA!C6870</f>
        <v/>
      </c>
      <c r="D6870">
        <f>TEST_DATA!D6870</f>
        <v/>
      </c>
      <c r="E6870">
        <f>TEST_DATA!E6870</f>
        <v/>
      </c>
    </row>
    <row r="6871">
      <c r="A6871">
        <f>TEST_DATA!A6871</f>
        <v/>
      </c>
      <c r="B6871">
        <f>TEST_DATA!B6871</f>
        <v/>
      </c>
      <c r="C6871">
        <f>TEST_DATA!C6871</f>
        <v/>
      </c>
      <c r="D6871">
        <f>TEST_DATA!D6871</f>
        <v/>
      </c>
      <c r="E6871">
        <f>TEST_DATA!E6871</f>
        <v/>
      </c>
    </row>
    <row r="6872">
      <c r="A6872">
        <f>TEST_DATA!A6872</f>
        <v/>
      </c>
      <c r="B6872">
        <f>TEST_DATA!B6872</f>
        <v/>
      </c>
      <c r="C6872">
        <f>TEST_DATA!C6872</f>
        <v/>
      </c>
      <c r="D6872">
        <f>TEST_DATA!D6872</f>
        <v/>
      </c>
      <c r="E6872">
        <f>TEST_DATA!E6872</f>
        <v/>
      </c>
    </row>
    <row r="6873">
      <c r="A6873">
        <f>TEST_DATA!A6873</f>
        <v/>
      </c>
      <c r="B6873">
        <f>TEST_DATA!B6873</f>
        <v/>
      </c>
      <c r="C6873">
        <f>TEST_DATA!C6873</f>
        <v/>
      </c>
      <c r="D6873">
        <f>TEST_DATA!D6873</f>
        <v/>
      </c>
      <c r="E6873">
        <f>TEST_DATA!E6873</f>
        <v/>
      </c>
    </row>
    <row r="6874">
      <c r="A6874">
        <f>TEST_DATA!A6874</f>
        <v/>
      </c>
      <c r="B6874">
        <f>TEST_DATA!B6874</f>
        <v/>
      </c>
      <c r="C6874">
        <f>TEST_DATA!C6874</f>
        <v/>
      </c>
      <c r="D6874">
        <f>TEST_DATA!D6874</f>
        <v/>
      </c>
      <c r="E6874">
        <f>TEST_DATA!E6874</f>
        <v/>
      </c>
    </row>
    <row r="6875">
      <c r="A6875">
        <f>TEST_DATA!A6875</f>
        <v/>
      </c>
      <c r="B6875">
        <f>TEST_DATA!B6875</f>
        <v/>
      </c>
      <c r="C6875">
        <f>TEST_DATA!C6875</f>
        <v/>
      </c>
      <c r="D6875">
        <f>TEST_DATA!D6875</f>
        <v/>
      </c>
      <c r="E6875">
        <f>TEST_DATA!E6875</f>
        <v/>
      </c>
    </row>
    <row r="6876">
      <c r="A6876">
        <f>TEST_DATA!A6876</f>
        <v/>
      </c>
      <c r="B6876">
        <f>TEST_DATA!B6876</f>
        <v/>
      </c>
      <c r="C6876">
        <f>TEST_DATA!C6876</f>
        <v/>
      </c>
      <c r="D6876">
        <f>TEST_DATA!D6876</f>
        <v/>
      </c>
      <c r="E6876">
        <f>TEST_DATA!E6876</f>
        <v/>
      </c>
    </row>
    <row r="6877">
      <c r="A6877">
        <f>TEST_DATA!A6877</f>
        <v/>
      </c>
      <c r="B6877">
        <f>TEST_DATA!B6877</f>
        <v/>
      </c>
      <c r="C6877">
        <f>TEST_DATA!C6877</f>
        <v/>
      </c>
      <c r="D6877">
        <f>TEST_DATA!D6877</f>
        <v/>
      </c>
      <c r="E6877">
        <f>TEST_DATA!E6877</f>
        <v/>
      </c>
    </row>
    <row r="6878">
      <c r="A6878">
        <f>TEST_DATA!A6878</f>
        <v/>
      </c>
      <c r="B6878">
        <f>TEST_DATA!B6878</f>
        <v/>
      </c>
      <c r="C6878">
        <f>TEST_DATA!C6878</f>
        <v/>
      </c>
      <c r="D6878">
        <f>TEST_DATA!D6878</f>
        <v/>
      </c>
      <c r="E6878">
        <f>TEST_DATA!E6878</f>
        <v/>
      </c>
    </row>
    <row r="6879">
      <c r="A6879">
        <f>TEST_DATA!A6879</f>
        <v/>
      </c>
      <c r="B6879">
        <f>TEST_DATA!B6879</f>
        <v/>
      </c>
      <c r="C6879">
        <f>TEST_DATA!C6879</f>
        <v/>
      </c>
      <c r="D6879">
        <f>TEST_DATA!D6879</f>
        <v/>
      </c>
      <c r="E6879">
        <f>TEST_DATA!E6879</f>
        <v/>
      </c>
    </row>
    <row r="6880">
      <c r="A6880">
        <f>TEST_DATA!A6880</f>
        <v/>
      </c>
      <c r="B6880">
        <f>TEST_DATA!B6880</f>
        <v/>
      </c>
      <c r="C6880">
        <f>TEST_DATA!C6880</f>
        <v/>
      </c>
      <c r="D6880">
        <f>TEST_DATA!D6880</f>
        <v/>
      </c>
      <c r="E6880">
        <f>TEST_DATA!E6880</f>
        <v/>
      </c>
    </row>
    <row r="6881">
      <c r="A6881">
        <f>TEST_DATA!A6881</f>
        <v/>
      </c>
      <c r="B6881">
        <f>TEST_DATA!B6881</f>
        <v/>
      </c>
      <c r="C6881">
        <f>TEST_DATA!C6881</f>
        <v/>
      </c>
      <c r="D6881">
        <f>TEST_DATA!D6881</f>
        <v/>
      </c>
      <c r="E6881">
        <f>TEST_DATA!E6881</f>
        <v/>
      </c>
    </row>
    <row r="6882">
      <c r="A6882">
        <f>TEST_DATA!A6882</f>
        <v/>
      </c>
      <c r="B6882">
        <f>TEST_DATA!B6882</f>
        <v/>
      </c>
      <c r="C6882">
        <f>TEST_DATA!C6882</f>
        <v/>
      </c>
      <c r="D6882">
        <f>TEST_DATA!D6882</f>
        <v/>
      </c>
      <c r="E6882">
        <f>TEST_DATA!E6882</f>
        <v/>
      </c>
    </row>
    <row r="6883">
      <c r="A6883">
        <f>TEST_DATA!A6883</f>
        <v/>
      </c>
      <c r="B6883">
        <f>TEST_DATA!B6883</f>
        <v/>
      </c>
      <c r="C6883">
        <f>TEST_DATA!C6883</f>
        <v/>
      </c>
      <c r="D6883">
        <f>TEST_DATA!D6883</f>
        <v/>
      </c>
      <c r="E6883">
        <f>TEST_DATA!E6883</f>
        <v/>
      </c>
    </row>
    <row r="6884">
      <c r="A6884">
        <f>TEST_DATA!A6884</f>
        <v/>
      </c>
      <c r="B6884">
        <f>TEST_DATA!B6884</f>
        <v/>
      </c>
      <c r="C6884">
        <f>TEST_DATA!C6884</f>
        <v/>
      </c>
      <c r="D6884">
        <f>TEST_DATA!D6884</f>
        <v/>
      </c>
      <c r="E6884">
        <f>TEST_DATA!E6884</f>
        <v/>
      </c>
    </row>
    <row r="6885">
      <c r="A6885">
        <f>TEST_DATA!A6885</f>
        <v/>
      </c>
      <c r="B6885">
        <f>TEST_DATA!B6885</f>
        <v/>
      </c>
      <c r="C6885">
        <f>TEST_DATA!C6885</f>
        <v/>
      </c>
      <c r="D6885">
        <f>TEST_DATA!D6885</f>
        <v/>
      </c>
      <c r="E6885">
        <f>TEST_DATA!E6885</f>
        <v/>
      </c>
    </row>
    <row r="6886">
      <c r="A6886">
        <f>TEST_DATA!A6886</f>
        <v/>
      </c>
      <c r="B6886">
        <f>TEST_DATA!B6886</f>
        <v/>
      </c>
      <c r="C6886">
        <f>TEST_DATA!C6886</f>
        <v/>
      </c>
      <c r="D6886">
        <f>TEST_DATA!D6886</f>
        <v/>
      </c>
      <c r="E6886">
        <f>TEST_DATA!E6886</f>
        <v/>
      </c>
    </row>
    <row r="6887">
      <c r="A6887">
        <f>TEST_DATA!A6887</f>
        <v/>
      </c>
      <c r="B6887">
        <f>TEST_DATA!B6887</f>
        <v/>
      </c>
      <c r="C6887">
        <f>TEST_DATA!C6887</f>
        <v/>
      </c>
      <c r="D6887">
        <f>TEST_DATA!D6887</f>
        <v/>
      </c>
      <c r="E6887">
        <f>TEST_DATA!E6887</f>
        <v/>
      </c>
    </row>
    <row r="6888">
      <c r="A6888">
        <f>TEST_DATA!A6888</f>
        <v/>
      </c>
      <c r="B6888">
        <f>TEST_DATA!B6888</f>
        <v/>
      </c>
      <c r="C6888">
        <f>TEST_DATA!C6888</f>
        <v/>
      </c>
      <c r="D6888">
        <f>TEST_DATA!D6888</f>
        <v/>
      </c>
      <c r="E6888">
        <f>TEST_DATA!E6888</f>
        <v/>
      </c>
    </row>
    <row r="6889">
      <c r="A6889">
        <f>TEST_DATA!A6889</f>
        <v/>
      </c>
      <c r="B6889">
        <f>TEST_DATA!B6889</f>
        <v/>
      </c>
      <c r="C6889">
        <f>TEST_DATA!C6889</f>
        <v/>
      </c>
      <c r="D6889">
        <f>TEST_DATA!D6889</f>
        <v/>
      </c>
      <c r="E6889">
        <f>TEST_DATA!E6889</f>
        <v/>
      </c>
    </row>
    <row r="6890">
      <c r="A6890">
        <f>TEST_DATA!A6890</f>
        <v/>
      </c>
      <c r="B6890">
        <f>TEST_DATA!B6890</f>
        <v/>
      </c>
      <c r="C6890">
        <f>TEST_DATA!C6890</f>
        <v/>
      </c>
      <c r="D6890">
        <f>TEST_DATA!D6890</f>
        <v/>
      </c>
      <c r="E6890">
        <f>TEST_DATA!E6890</f>
        <v/>
      </c>
    </row>
    <row r="6891">
      <c r="A6891">
        <f>TEST_DATA!A6891</f>
        <v/>
      </c>
      <c r="B6891">
        <f>TEST_DATA!B6891</f>
        <v/>
      </c>
      <c r="C6891">
        <f>TEST_DATA!C6891</f>
        <v/>
      </c>
      <c r="D6891">
        <f>TEST_DATA!D6891</f>
        <v/>
      </c>
      <c r="E6891">
        <f>TEST_DATA!E6891</f>
        <v/>
      </c>
    </row>
    <row r="6892">
      <c r="A6892">
        <f>TEST_DATA!A6892</f>
        <v/>
      </c>
      <c r="B6892">
        <f>TEST_DATA!B6892</f>
        <v/>
      </c>
      <c r="C6892">
        <f>TEST_DATA!C6892</f>
        <v/>
      </c>
      <c r="D6892">
        <f>TEST_DATA!D6892</f>
        <v/>
      </c>
      <c r="E6892">
        <f>TEST_DATA!E6892</f>
        <v/>
      </c>
    </row>
    <row r="6893">
      <c r="A6893">
        <f>TEST_DATA!A6893</f>
        <v/>
      </c>
      <c r="B6893">
        <f>TEST_DATA!B6893</f>
        <v/>
      </c>
      <c r="C6893">
        <f>TEST_DATA!C6893</f>
        <v/>
      </c>
      <c r="D6893">
        <f>TEST_DATA!D6893</f>
        <v/>
      </c>
      <c r="E6893">
        <f>TEST_DATA!E6893</f>
        <v/>
      </c>
    </row>
    <row r="6894">
      <c r="A6894">
        <f>TEST_DATA!A6894</f>
        <v/>
      </c>
      <c r="B6894">
        <f>TEST_DATA!B6894</f>
        <v/>
      </c>
      <c r="C6894">
        <f>TEST_DATA!C6894</f>
        <v/>
      </c>
      <c r="D6894">
        <f>TEST_DATA!D6894</f>
        <v/>
      </c>
      <c r="E6894">
        <f>TEST_DATA!E6894</f>
        <v/>
      </c>
    </row>
    <row r="6895">
      <c r="A6895">
        <f>TEST_DATA!A6895</f>
        <v/>
      </c>
      <c r="B6895">
        <f>TEST_DATA!B6895</f>
        <v/>
      </c>
      <c r="C6895">
        <f>TEST_DATA!C6895</f>
        <v/>
      </c>
      <c r="D6895">
        <f>TEST_DATA!D6895</f>
        <v/>
      </c>
      <c r="E6895">
        <f>TEST_DATA!E6895</f>
        <v/>
      </c>
    </row>
    <row r="6896">
      <c r="A6896">
        <f>TEST_DATA!A6896</f>
        <v/>
      </c>
      <c r="B6896">
        <f>TEST_DATA!B6896</f>
        <v/>
      </c>
      <c r="C6896">
        <f>TEST_DATA!C6896</f>
        <v/>
      </c>
      <c r="D6896">
        <f>TEST_DATA!D6896</f>
        <v/>
      </c>
      <c r="E6896">
        <f>TEST_DATA!E6896</f>
        <v/>
      </c>
    </row>
    <row r="6897">
      <c r="A6897">
        <f>TEST_DATA!A6897</f>
        <v/>
      </c>
      <c r="B6897">
        <f>TEST_DATA!B6897</f>
        <v/>
      </c>
      <c r="C6897">
        <f>TEST_DATA!C6897</f>
        <v/>
      </c>
      <c r="D6897">
        <f>TEST_DATA!D6897</f>
        <v/>
      </c>
      <c r="E6897">
        <f>TEST_DATA!E6897</f>
        <v/>
      </c>
    </row>
    <row r="6898">
      <c r="A6898">
        <f>TEST_DATA!A6898</f>
        <v/>
      </c>
      <c r="B6898">
        <f>TEST_DATA!B6898</f>
        <v/>
      </c>
      <c r="C6898">
        <f>TEST_DATA!C6898</f>
        <v/>
      </c>
      <c r="D6898">
        <f>TEST_DATA!D6898</f>
        <v/>
      </c>
      <c r="E6898">
        <f>TEST_DATA!E6898</f>
        <v/>
      </c>
    </row>
    <row r="6899">
      <c r="A6899">
        <f>TEST_DATA!A6899</f>
        <v/>
      </c>
      <c r="B6899">
        <f>TEST_DATA!B6899</f>
        <v/>
      </c>
      <c r="C6899">
        <f>TEST_DATA!C6899</f>
        <v/>
      </c>
      <c r="D6899">
        <f>TEST_DATA!D6899</f>
        <v/>
      </c>
      <c r="E6899">
        <f>TEST_DATA!E6899</f>
        <v/>
      </c>
    </row>
    <row r="6900">
      <c r="A6900">
        <f>TEST_DATA!A6900</f>
        <v/>
      </c>
      <c r="B6900">
        <f>TEST_DATA!B6900</f>
        <v/>
      </c>
      <c r="C6900">
        <f>TEST_DATA!C6900</f>
        <v/>
      </c>
      <c r="D6900">
        <f>TEST_DATA!D6900</f>
        <v/>
      </c>
      <c r="E6900">
        <f>TEST_DATA!E6900</f>
        <v/>
      </c>
    </row>
    <row r="6901">
      <c r="A6901">
        <f>TEST_DATA!A6901</f>
        <v/>
      </c>
      <c r="B6901">
        <f>TEST_DATA!B6901</f>
        <v/>
      </c>
      <c r="C6901">
        <f>TEST_DATA!C6901</f>
        <v/>
      </c>
      <c r="D6901">
        <f>TEST_DATA!D6901</f>
        <v/>
      </c>
      <c r="E6901">
        <f>TEST_DATA!E6901</f>
        <v/>
      </c>
    </row>
    <row r="6902">
      <c r="A6902">
        <f>TEST_DATA!A6902</f>
        <v/>
      </c>
      <c r="B6902">
        <f>TEST_DATA!B6902</f>
        <v/>
      </c>
      <c r="C6902">
        <f>TEST_DATA!C6902</f>
        <v/>
      </c>
      <c r="D6902">
        <f>TEST_DATA!D6902</f>
        <v/>
      </c>
      <c r="E6902">
        <f>TEST_DATA!E6902</f>
        <v/>
      </c>
    </row>
    <row r="6903">
      <c r="A6903">
        <f>TEST_DATA!A6903</f>
        <v/>
      </c>
      <c r="B6903">
        <f>TEST_DATA!B6903</f>
        <v/>
      </c>
      <c r="C6903">
        <f>TEST_DATA!C6903</f>
        <v/>
      </c>
      <c r="D6903">
        <f>TEST_DATA!D6903</f>
        <v/>
      </c>
      <c r="E6903">
        <f>TEST_DATA!E6903</f>
        <v/>
      </c>
    </row>
    <row r="6904">
      <c r="A6904">
        <f>TEST_DATA!A6904</f>
        <v/>
      </c>
      <c r="B6904">
        <f>TEST_DATA!B6904</f>
        <v/>
      </c>
      <c r="C6904">
        <f>TEST_DATA!C6904</f>
        <v/>
      </c>
      <c r="D6904">
        <f>TEST_DATA!D6904</f>
        <v/>
      </c>
      <c r="E6904">
        <f>TEST_DATA!E6904</f>
        <v/>
      </c>
    </row>
    <row r="6905">
      <c r="A6905">
        <f>TEST_DATA!A6905</f>
        <v/>
      </c>
      <c r="B6905">
        <f>TEST_DATA!B6905</f>
        <v/>
      </c>
      <c r="C6905">
        <f>TEST_DATA!C6905</f>
        <v/>
      </c>
      <c r="D6905">
        <f>TEST_DATA!D6905</f>
        <v/>
      </c>
      <c r="E6905">
        <f>TEST_DATA!E6905</f>
        <v/>
      </c>
    </row>
    <row r="6906">
      <c r="A6906">
        <f>TEST_DATA!A6906</f>
        <v/>
      </c>
      <c r="B6906">
        <f>TEST_DATA!B6906</f>
        <v/>
      </c>
      <c r="C6906">
        <f>TEST_DATA!C6906</f>
        <v/>
      </c>
      <c r="D6906">
        <f>TEST_DATA!D6906</f>
        <v/>
      </c>
      <c r="E6906">
        <f>TEST_DATA!E6906</f>
        <v/>
      </c>
    </row>
    <row r="6907">
      <c r="A6907">
        <f>TEST_DATA!A6907</f>
        <v/>
      </c>
      <c r="B6907">
        <f>TEST_DATA!B6907</f>
        <v/>
      </c>
      <c r="C6907">
        <f>TEST_DATA!C6907</f>
        <v/>
      </c>
      <c r="D6907">
        <f>TEST_DATA!D6907</f>
        <v/>
      </c>
      <c r="E6907">
        <f>TEST_DATA!E6907</f>
        <v/>
      </c>
    </row>
    <row r="6908">
      <c r="A6908">
        <f>TEST_DATA!A6908</f>
        <v/>
      </c>
      <c r="B6908">
        <f>TEST_DATA!B6908</f>
        <v/>
      </c>
      <c r="C6908">
        <f>TEST_DATA!C6908</f>
        <v/>
      </c>
      <c r="D6908">
        <f>TEST_DATA!D6908</f>
        <v/>
      </c>
      <c r="E6908">
        <f>TEST_DATA!E6908</f>
        <v/>
      </c>
    </row>
    <row r="6909">
      <c r="A6909">
        <f>TEST_DATA!A6909</f>
        <v/>
      </c>
      <c r="B6909">
        <f>TEST_DATA!B6909</f>
        <v/>
      </c>
      <c r="C6909">
        <f>TEST_DATA!C6909</f>
        <v/>
      </c>
      <c r="D6909">
        <f>TEST_DATA!D6909</f>
        <v/>
      </c>
      <c r="E6909">
        <f>TEST_DATA!E6909</f>
        <v/>
      </c>
    </row>
    <row r="6910">
      <c r="A6910">
        <f>TEST_DATA!A6910</f>
        <v/>
      </c>
      <c r="B6910">
        <f>TEST_DATA!B6910</f>
        <v/>
      </c>
      <c r="C6910">
        <f>TEST_DATA!C6910</f>
        <v/>
      </c>
      <c r="D6910">
        <f>TEST_DATA!D6910</f>
        <v/>
      </c>
      <c r="E6910">
        <f>TEST_DATA!E6910</f>
        <v/>
      </c>
    </row>
    <row r="6911">
      <c r="A6911">
        <f>TEST_DATA!A6911</f>
        <v/>
      </c>
      <c r="B6911">
        <f>TEST_DATA!B6911</f>
        <v/>
      </c>
      <c r="C6911">
        <f>TEST_DATA!C6911</f>
        <v/>
      </c>
      <c r="D6911">
        <f>TEST_DATA!D6911</f>
        <v/>
      </c>
      <c r="E6911">
        <f>TEST_DATA!E6911</f>
        <v/>
      </c>
    </row>
    <row r="6912">
      <c r="A6912">
        <f>TEST_DATA!A6912</f>
        <v/>
      </c>
      <c r="B6912">
        <f>TEST_DATA!B6912</f>
        <v/>
      </c>
      <c r="C6912">
        <f>TEST_DATA!C6912</f>
        <v/>
      </c>
      <c r="D6912">
        <f>TEST_DATA!D6912</f>
        <v/>
      </c>
      <c r="E6912">
        <f>TEST_DATA!E6912</f>
        <v/>
      </c>
    </row>
    <row r="6913">
      <c r="A6913">
        <f>TEST_DATA!A6913</f>
        <v/>
      </c>
      <c r="B6913">
        <f>TEST_DATA!B6913</f>
        <v/>
      </c>
      <c r="C6913">
        <f>TEST_DATA!C6913</f>
        <v/>
      </c>
      <c r="D6913">
        <f>TEST_DATA!D6913</f>
        <v/>
      </c>
      <c r="E6913">
        <f>TEST_DATA!E6913</f>
        <v/>
      </c>
    </row>
    <row r="6914">
      <c r="A6914">
        <f>TEST_DATA!A6914</f>
        <v/>
      </c>
      <c r="B6914">
        <f>TEST_DATA!B6914</f>
        <v/>
      </c>
      <c r="C6914">
        <f>TEST_DATA!C6914</f>
        <v/>
      </c>
      <c r="D6914">
        <f>TEST_DATA!D6914</f>
        <v/>
      </c>
      <c r="E6914">
        <f>TEST_DATA!E6914</f>
        <v/>
      </c>
    </row>
    <row r="6915">
      <c r="A6915">
        <f>TEST_DATA!A6915</f>
        <v/>
      </c>
      <c r="B6915">
        <f>TEST_DATA!B6915</f>
        <v/>
      </c>
      <c r="C6915">
        <f>TEST_DATA!C6915</f>
        <v/>
      </c>
      <c r="D6915">
        <f>TEST_DATA!D6915</f>
        <v/>
      </c>
      <c r="E6915">
        <f>TEST_DATA!E6915</f>
        <v/>
      </c>
    </row>
    <row r="6916">
      <c r="A6916">
        <f>TEST_DATA!A6916</f>
        <v/>
      </c>
      <c r="B6916">
        <f>TEST_DATA!B6916</f>
        <v/>
      </c>
      <c r="C6916">
        <f>TEST_DATA!C6916</f>
        <v/>
      </c>
      <c r="D6916">
        <f>TEST_DATA!D6916</f>
        <v/>
      </c>
      <c r="E6916">
        <f>TEST_DATA!E6916</f>
        <v/>
      </c>
    </row>
    <row r="6917">
      <c r="A6917">
        <f>TEST_DATA!A6917</f>
        <v/>
      </c>
      <c r="B6917">
        <f>TEST_DATA!B6917</f>
        <v/>
      </c>
      <c r="C6917">
        <f>TEST_DATA!C6917</f>
        <v/>
      </c>
      <c r="D6917">
        <f>TEST_DATA!D6917</f>
        <v/>
      </c>
      <c r="E6917">
        <f>TEST_DATA!E6917</f>
        <v/>
      </c>
    </row>
    <row r="6918">
      <c r="A6918">
        <f>TEST_DATA!A6918</f>
        <v/>
      </c>
      <c r="B6918">
        <f>TEST_DATA!B6918</f>
        <v/>
      </c>
      <c r="C6918">
        <f>TEST_DATA!C6918</f>
        <v/>
      </c>
      <c r="D6918">
        <f>TEST_DATA!D6918</f>
        <v/>
      </c>
      <c r="E6918">
        <f>TEST_DATA!E6918</f>
        <v/>
      </c>
    </row>
    <row r="6919">
      <c r="A6919">
        <f>TEST_DATA!A6919</f>
        <v/>
      </c>
      <c r="B6919">
        <f>TEST_DATA!B6919</f>
        <v/>
      </c>
      <c r="C6919">
        <f>TEST_DATA!C6919</f>
        <v/>
      </c>
      <c r="D6919">
        <f>TEST_DATA!D6919</f>
        <v/>
      </c>
      <c r="E6919">
        <f>TEST_DATA!E6919</f>
        <v/>
      </c>
    </row>
    <row r="6920">
      <c r="A6920">
        <f>TEST_DATA!A6920</f>
        <v/>
      </c>
      <c r="B6920">
        <f>TEST_DATA!B6920</f>
        <v/>
      </c>
      <c r="C6920">
        <f>TEST_DATA!C6920</f>
        <v/>
      </c>
      <c r="D6920">
        <f>TEST_DATA!D6920</f>
        <v/>
      </c>
      <c r="E6920">
        <f>TEST_DATA!E6920</f>
        <v/>
      </c>
    </row>
    <row r="6921">
      <c r="A6921">
        <f>TEST_DATA!A6921</f>
        <v/>
      </c>
      <c r="B6921">
        <f>TEST_DATA!B6921</f>
        <v/>
      </c>
      <c r="C6921">
        <f>TEST_DATA!C6921</f>
        <v/>
      </c>
      <c r="D6921">
        <f>TEST_DATA!D6921</f>
        <v/>
      </c>
      <c r="E6921">
        <f>TEST_DATA!E6921</f>
        <v/>
      </c>
    </row>
    <row r="6922">
      <c r="A6922">
        <f>TEST_DATA!A6922</f>
        <v/>
      </c>
      <c r="B6922">
        <f>TEST_DATA!B6922</f>
        <v/>
      </c>
      <c r="C6922">
        <f>TEST_DATA!C6922</f>
        <v/>
      </c>
      <c r="D6922">
        <f>TEST_DATA!D6922</f>
        <v/>
      </c>
      <c r="E6922">
        <f>TEST_DATA!E6922</f>
        <v/>
      </c>
    </row>
    <row r="6923">
      <c r="A6923">
        <f>TEST_DATA!A6923</f>
        <v/>
      </c>
      <c r="B6923">
        <f>TEST_DATA!B6923</f>
        <v/>
      </c>
      <c r="C6923">
        <f>TEST_DATA!C6923</f>
        <v/>
      </c>
      <c r="D6923">
        <f>TEST_DATA!D6923</f>
        <v/>
      </c>
      <c r="E6923">
        <f>TEST_DATA!E6923</f>
        <v/>
      </c>
    </row>
    <row r="6924">
      <c r="A6924">
        <f>TEST_DATA!A6924</f>
        <v/>
      </c>
      <c r="B6924">
        <f>TEST_DATA!B6924</f>
        <v/>
      </c>
      <c r="C6924">
        <f>TEST_DATA!C6924</f>
        <v/>
      </c>
      <c r="D6924">
        <f>TEST_DATA!D6924</f>
        <v/>
      </c>
      <c r="E6924">
        <f>TEST_DATA!E6924</f>
        <v/>
      </c>
    </row>
    <row r="6925">
      <c r="A6925">
        <f>TEST_DATA!A6925</f>
        <v/>
      </c>
      <c r="B6925">
        <f>TEST_DATA!B6925</f>
        <v/>
      </c>
      <c r="C6925">
        <f>TEST_DATA!C6925</f>
        <v/>
      </c>
      <c r="D6925">
        <f>TEST_DATA!D6925</f>
        <v/>
      </c>
      <c r="E6925">
        <f>TEST_DATA!E6925</f>
        <v/>
      </c>
    </row>
    <row r="6926">
      <c r="A6926">
        <f>TEST_DATA!A6926</f>
        <v/>
      </c>
      <c r="B6926">
        <f>TEST_DATA!B6926</f>
        <v/>
      </c>
      <c r="C6926">
        <f>TEST_DATA!C6926</f>
        <v/>
      </c>
      <c r="D6926">
        <f>TEST_DATA!D6926</f>
        <v/>
      </c>
      <c r="E6926">
        <f>TEST_DATA!E6926</f>
        <v/>
      </c>
    </row>
    <row r="6927">
      <c r="A6927">
        <f>TEST_DATA!A6927</f>
        <v/>
      </c>
      <c r="B6927">
        <f>TEST_DATA!B6927</f>
        <v/>
      </c>
      <c r="C6927">
        <f>TEST_DATA!C6927</f>
        <v/>
      </c>
      <c r="D6927">
        <f>TEST_DATA!D6927</f>
        <v/>
      </c>
      <c r="E6927">
        <f>TEST_DATA!E6927</f>
        <v/>
      </c>
    </row>
    <row r="6928">
      <c r="A6928">
        <f>TEST_DATA!A6928</f>
        <v/>
      </c>
      <c r="B6928">
        <f>TEST_DATA!B6928</f>
        <v/>
      </c>
      <c r="C6928">
        <f>TEST_DATA!C6928</f>
        <v/>
      </c>
      <c r="D6928">
        <f>TEST_DATA!D6928</f>
        <v/>
      </c>
      <c r="E6928">
        <f>TEST_DATA!E6928</f>
        <v/>
      </c>
    </row>
    <row r="6929">
      <c r="A6929">
        <f>TEST_DATA!A6929</f>
        <v/>
      </c>
      <c r="B6929">
        <f>TEST_DATA!B6929</f>
        <v/>
      </c>
      <c r="C6929">
        <f>TEST_DATA!C6929</f>
        <v/>
      </c>
      <c r="D6929">
        <f>TEST_DATA!D6929</f>
        <v/>
      </c>
      <c r="E6929">
        <f>TEST_DATA!E6929</f>
        <v/>
      </c>
    </row>
    <row r="6930">
      <c r="A6930">
        <f>TEST_DATA!A6930</f>
        <v/>
      </c>
      <c r="B6930">
        <f>TEST_DATA!B6930</f>
        <v/>
      </c>
      <c r="C6930">
        <f>TEST_DATA!C6930</f>
        <v/>
      </c>
      <c r="D6930">
        <f>TEST_DATA!D6930</f>
        <v/>
      </c>
      <c r="E6930">
        <f>TEST_DATA!E6930</f>
        <v/>
      </c>
    </row>
    <row r="6931">
      <c r="A6931">
        <f>TEST_DATA!A6931</f>
        <v/>
      </c>
      <c r="B6931">
        <f>TEST_DATA!B6931</f>
        <v/>
      </c>
      <c r="C6931">
        <f>TEST_DATA!C6931</f>
        <v/>
      </c>
      <c r="D6931">
        <f>TEST_DATA!D6931</f>
        <v/>
      </c>
      <c r="E6931">
        <f>TEST_DATA!E6931</f>
        <v/>
      </c>
    </row>
    <row r="6932">
      <c r="A6932">
        <f>TEST_DATA!A6932</f>
        <v/>
      </c>
      <c r="B6932">
        <f>TEST_DATA!B6932</f>
        <v/>
      </c>
      <c r="C6932">
        <f>TEST_DATA!C6932</f>
        <v/>
      </c>
      <c r="D6932">
        <f>TEST_DATA!D6932</f>
        <v/>
      </c>
      <c r="E6932">
        <f>TEST_DATA!E6932</f>
        <v/>
      </c>
    </row>
    <row r="6933">
      <c r="A6933">
        <f>TEST_DATA!A6933</f>
        <v/>
      </c>
      <c r="B6933">
        <f>TEST_DATA!B6933</f>
        <v/>
      </c>
      <c r="C6933">
        <f>TEST_DATA!C6933</f>
        <v/>
      </c>
      <c r="D6933">
        <f>TEST_DATA!D6933</f>
        <v/>
      </c>
      <c r="E6933">
        <f>TEST_DATA!E6933</f>
        <v/>
      </c>
    </row>
    <row r="6934">
      <c r="A6934">
        <f>TEST_DATA!A6934</f>
        <v/>
      </c>
      <c r="B6934">
        <f>TEST_DATA!B6934</f>
        <v/>
      </c>
      <c r="C6934">
        <f>TEST_DATA!C6934</f>
        <v/>
      </c>
      <c r="D6934">
        <f>TEST_DATA!D6934</f>
        <v/>
      </c>
      <c r="E6934">
        <f>TEST_DATA!E6934</f>
        <v/>
      </c>
    </row>
    <row r="6935">
      <c r="A6935">
        <f>TEST_DATA!A6935</f>
        <v/>
      </c>
      <c r="B6935">
        <f>TEST_DATA!B6935</f>
        <v/>
      </c>
      <c r="C6935">
        <f>TEST_DATA!C6935</f>
        <v/>
      </c>
      <c r="D6935">
        <f>TEST_DATA!D6935</f>
        <v/>
      </c>
      <c r="E6935">
        <f>TEST_DATA!E6935</f>
        <v/>
      </c>
    </row>
    <row r="6936">
      <c r="A6936">
        <f>TEST_DATA!A6936</f>
        <v/>
      </c>
      <c r="B6936">
        <f>TEST_DATA!B6936</f>
        <v/>
      </c>
      <c r="C6936">
        <f>TEST_DATA!C6936</f>
        <v/>
      </c>
      <c r="D6936">
        <f>TEST_DATA!D6936</f>
        <v/>
      </c>
      <c r="E6936">
        <f>TEST_DATA!E6936</f>
        <v/>
      </c>
    </row>
    <row r="6937">
      <c r="A6937">
        <f>TEST_DATA!A6937</f>
        <v/>
      </c>
      <c r="B6937">
        <f>TEST_DATA!B6937</f>
        <v/>
      </c>
      <c r="C6937">
        <f>TEST_DATA!C6937</f>
        <v/>
      </c>
      <c r="D6937">
        <f>TEST_DATA!D6937</f>
        <v/>
      </c>
      <c r="E6937">
        <f>TEST_DATA!E6937</f>
        <v/>
      </c>
    </row>
    <row r="6938">
      <c r="A6938">
        <f>TEST_DATA!A6938</f>
        <v/>
      </c>
      <c r="B6938">
        <f>TEST_DATA!B6938</f>
        <v/>
      </c>
      <c r="C6938">
        <f>TEST_DATA!C6938</f>
        <v/>
      </c>
      <c r="D6938">
        <f>TEST_DATA!D6938</f>
        <v/>
      </c>
      <c r="E6938">
        <f>TEST_DATA!E6938</f>
        <v/>
      </c>
    </row>
    <row r="6939">
      <c r="A6939">
        <f>TEST_DATA!A6939</f>
        <v/>
      </c>
      <c r="B6939">
        <f>TEST_DATA!B6939</f>
        <v/>
      </c>
      <c r="C6939">
        <f>TEST_DATA!C6939</f>
        <v/>
      </c>
      <c r="D6939">
        <f>TEST_DATA!D6939</f>
        <v/>
      </c>
      <c r="E6939">
        <f>TEST_DATA!E6939</f>
        <v/>
      </c>
    </row>
    <row r="6940">
      <c r="A6940">
        <f>TEST_DATA!A6940</f>
        <v/>
      </c>
      <c r="B6940">
        <f>TEST_DATA!B6940</f>
        <v/>
      </c>
      <c r="C6940">
        <f>TEST_DATA!C6940</f>
        <v/>
      </c>
      <c r="D6940">
        <f>TEST_DATA!D6940</f>
        <v/>
      </c>
      <c r="E6940">
        <f>TEST_DATA!E6940</f>
        <v/>
      </c>
    </row>
    <row r="6941">
      <c r="A6941">
        <f>TEST_DATA!A6941</f>
        <v/>
      </c>
      <c r="B6941">
        <f>TEST_DATA!B6941</f>
        <v/>
      </c>
      <c r="C6941">
        <f>TEST_DATA!C6941</f>
        <v/>
      </c>
      <c r="D6941">
        <f>TEST_DATA!D6941</f>
        <v/>
      </c>
      <c r="E6941">
        <f>TEST_DATA!E6941</f>
        <v/>
      </c>
    </row>
    <row r="6942">
      <c r="A6942">
        <f>TEST_DATA!A6942</f>
        <v/>
      </c>
      <c r="B6942">
        <f>TEST_DATA!B6942</f>
        <v/>
      </c>
      <c r="C6942">
        <f>TEST_DATA!C6942</f>
        <v/>
      </c>
      <c r="D6942">
        <f>TEST_DATA!D6942</f>
        <v/>
      </c>
      <c r="E6942">
        <f>TEST_DATA!E6942</f>
        <v/>
      </c>
    </row>
    <row r="6943">
      <c r="A6943">
        <f>TEST_DATA!A6943</f>
        <v/>
      </c>
      <c r="B6943">
        <f>TEST_DATA!B6943</f>
        <v/>
      </c>
      <c r="C6943">
        <f>TEST_DATA!C6943</f>
        <v/>
      </c>
      <c r="D6943">
        <f>TEST_DATA!D6943</f>
        <v/>
      </c>
      <c r="E6943">
        <f>TEST_DATA!E6943</f>
        <v/>
      </c>
    </row>
    <row r="6944">
      <c r="A6944">
        <f>TEST_DATA!A6944</f>
        <v/>
      </c>
      <c r="B6944">
        <f>TEST_DATA!B6944</f>
        <v/>
      </c>
      <c r="C6944">
        <f>TEST_DATA!C6944</f>
        <v/>
      </c>
      <c r="D6944">
        <f>TEST_DATA!D6944</f>
        <v/>
      </c>
      <c r="E6944">
        <f>TEST_DATA!E6944</f>
        <v/>
      </c>
    </row>
    <row r="6945">
      <c r="A6945">
        <f>TEST_DATA!A6945</f>
        <v/>
      </c>
      <c r="B6945">
        <f>TEST_DATA!B6945</f>
        <v/>
      </c>
      <c r="C6945">
        <f>TEST_DATA!C6945</f>
        <v/>
      </c>
      <c r="D6945">
        <f>TEST_DATA!D6945</f>
        <v/>
      </c>
      <c r="E6945">
        <f>TEST_DATA!E6945</f>
        <v/>
      </c>
    </row>
    <row r="6946">
      <c r="A6946">
        <f>TEST_DATA!A6946</f>
        <v/>
      </c>
      <c r="B6946">
        <f>TEST_DATA!B6946</f>
        <v/>
      </c>
      <c r="C6946">
        <f>TEST_DATA!C6946</f>
        <v/>
      </c>
      <c r="D6946">
        <f>TEST_DATA!D6946</f>
        <v/>
      </c>
      <c r="E6946">
        <f>TEST_DATA!E6946</f>
        <v/>
      </c>
    </row>
    <row r="6947">
      <c r="A6947">
        <f>TEST_DATA!A6947</f>
        <v/>
      </c>
      <c r="B6947">
        <f>TEST_DATA!B6947</f>
        <v/>
      </c>
      <c r="C6947">
        <f>TEST_DATA!C6947</f>
        <v/>
      </c>
      <c r="D6947">
        <f>TEST_DATA!D6947</f>
        <v/>
      </c>
      <c r="E6947">
        <f>TEST_DATA!E6947</f>
        <v/>
      </c>
    </row>
    <row r="6948">
      <c r="A6948">
        <f>TEST_DATA!A6948</f>
        <v/>
      </c>
      <c r="B6948">
        <f>TEST_DATA!B6948</f>
        <v/>
      </c>
      <c r="C6948">
        <f>TEST_DATA!C6948</f>
        <v/>
      </c>
      <c r="D6948">
        <f>TEST_DATA!D6948</f>
        <v/>
      </c>
      <c r="E6948">
        <f>TEST_DATA!E6948</f>
        <v/>
      </c>
    </row>
    <row r="6949">
      <c r="A6949">
        <f>TEST_DATA!A6949</f>
        <v/>
      </c>
      <c r="B6949">
        <f>TEST_DATA!B6949</f>
        <v/>
      </c>
      <c r="C6949">
        <f>TEST_DATA!C6949</f>
        <v/>
      </c>
      <c r="D6949">
        <f>TEST_DATA!D6949</f>
        <v/>
      </c>
      <c r="E6949">
        <f>TEST_DATA!E6949</f>
        <v/>
      </c>
    </row>
    <row r="6950">
      <c r="A6950">
        <f>TEST_DATA!A6950</f>
        <v/>
      </c>
      <c r="B6950">
        <f>TEST_DATA!B6950</f>
        <v/>
      </c>
      <c r="C6950">
        <f>TEST_DATA!C6950</f>
        <v/>
      </c>
      <c r="D6950">
        <f>TEST_DATA!D6950</f>
        <v/>
      </c>
      <c r="E6950">
        <f>TEST_DATA!E6950</f>
        <v/>
      </c>
    </row>
    <row r="6951">
      <c r="A6951">
        <f>TEST_DATA!A6951</f>
        <v/>
      </c>
      <c r="B6951">
        <f>TEST_DATA!B6951</f>
        <v/>
      </c>
      <c r="C6951">
        <f>TEST_DATA!C6951</f>
        <v/>
      </c>
      <c r="D6951">
        <f>TEST_DATA!D6951</f>
        <v/>
      </c>
      <c r="E6951">
        <f>TEST_DATA!E6951</f>
        <v/>
      </c>
    </row>
    <row r="6952">
      <c r="A6952">
        <f>TEST_DATA!A6952</f>
        <v/>
      </c>
      <c r="B6952">
        <f>TEST_DATA!B6952</f>
        <v/>
      </c>
      <c r="C6952">
        <f>TEST_DATA!C6952</f>
        <v/>
      </c>
      <c r="D6952">
        <f>TEST_DATA!D6952</f>
        <v/>
      </c>
      <c r="E6952">
        <f>TEST_DATA!E6952</f>
        <v/>
      </c>
    </row>
    <row r="6953">
      <c r="A6953">
        <f>TEST_DATA!A6953</f>
        <v/>
      </c>
      <c r="B6953">
        <f>TEST_DATA!B6953</f>
        <v/>
      </c>
      <c r="C6953">
        <f>TEST_DATA!C6953</f>
        <v/>
      </c>
      <c r="D6953">
        <f>TEST_DATA!D6953</f>
        <v/>
      </c>
      <c r="E6953">
        <f>TEST_DATA!E6953</f>
        <v/>
      </c>
    </row>
    <row r="6954">
      <c r="A6954">
        <f>TEST_DATA!A6954</f>
        <v/>
      </c>
      <c r="B6954">
        <f>TEST_DATA!B6954</f>
        <v/>
      </c>
      <c r="C6954">
        <f>TEST_DATA!C6954</f>
        <v/>
      </c>
      <c r="D6954">
        <f>TEST_DATA!D6954</f>
        <v/>
      </c>
      <c r="E6954">
        <f>TEST_DATA!E6954</f>
        <v/>
      </c>
    </row>
    <row r="6955">
      <c r="A6955">
        <f>TEST_DATA!A6955</f>
        <v/>
      </c>
      <c r="B6955">
        <f>TEST_DATA!B6955</f>
        <v/>
      </c>
      <c r="C6955">
        <f>TEST_DATA!C6955</f>
        <v/>
      </c>
      <c r="D6955">
        <f>TEST_DATA!D6955</f>
        <v/>
      </c>
      <c r="E6955">
        <f>TEST_DATA!E6955</f>
        <v/>
      </c>
    </row>
    <row r="6956">
      <c r="A6956">
        <f>TEST_DATA!A6956</f>
        <v/>
      </c>
      <c r="B6956">
        <f>TEST_DATA!B6956</f>
        <v/>
      </c>
      <c r="C6956">
        <f>TEST_DATA!C6956</f>
        <v/>
      </c>
      <c r="D6956">
        <f>TEST_DATA!D6956</f>
        <v/>
      </c>
      <c r="E6956">
        <f>TEST_DATA!E6956</f>
        <v/>
      </c>
    </row>
    <row r="6957">
      <c r="A6957">
        <f>TEST_DATA!A6957</f>
        <v/>
      </c>
      <c r="B6957">
        <f>TEST_DATA!B6957</f>
        <v/>
      </c>
      <c r="C6957">
        <f>TEST_DATA!C6957</f>
        <v/>
      </c>
      <c r="D6957">
        <f>TEST_DATA!D6957</f>
        <v/>
      </c>
      <c r="E6957">
        <f>TEST_DATA!E6957</f>
        <v/>
      </c>
    </row>
    <row r="6958">
      <c r="A6958">
        <f>TEST_DATA!A6958</f>
        <v/>
      </c>
      <c r="B6958">
        <f>TEST_DATA!B6958</f>
        <v/>
      </c>
      <c r="C6958">
        <f>TEST_DATA!C6958</f>
        <v/>
      </c>
      <c r="D6958">
        <f>TEST_DATA!D6958</f>
        <v/>
      </c>
      <c r="E6958">
        <f>TEST_DATA!E6958</f>
        <v/>
      </c>
    </row>
    <row r="6959">
      <c r="A6959">
        <f>TEST_DATA!A6959</f>
        <v/>
      </c>
      <c r="B6959">
        <f>TEST_DATA!B6959</f>
        <v/>
      </c>
      <c r="C6959">
        <f>TEST_DATA!C6959</f>
        <v/>
      </c>
      <c r="D6959">
        <f>TEST_DATA!D6959</f>
        <v/>
      </c>
      <c r="E6959">
        <f>TEST_DATA!E6959</f>
        <v/>
      </c>
    </row>
    <row r="6960">
      <c r="A6960">
        <f>TEST_DATA!A6960</f>
        <v/>
      </c>
      <c r="B6960">
        <f>TEST_DATA!B6960</f>
        <v/>
      </c>
      <c r="C6960">
        <f>TEST_DATA!C6960</f>
        <v/>
      </c>
      <c r="D6960">
        <f>TEST_DATA!D6960</f>
        <v/>
      </c>
      <c r="E6960">
        <f>TEST_DATA!E6960</f>
        <v/>
      </c>
    </row>
    <row r="6961">
      <c r="A6961">
        <f>TEST_DATA!A6961</f>
        <v/>
      </c>
      <c r="B6961">
        <f>TEST_DATA!B6961</f>
        <v/>
      </c>
      <c r="C6961">
        <f>TEST_DATA!C6961</f>
        <v/>
      </c>
      <c r="D6961">
        <f>TEST_DATA!D6961</f>
        <v/>
      </c>
      <c r="E6961">
        <f>TEST_DATA!E6961</f>
        <v/>
      </c>
    </row>
    <row r="6962">
      <c r="A6962">
        <f>TEST_DATA!A6962</f>
        <v/>
      </c>
      <c r="B6962">
        <f>TEST_DATA!B6962</f>
        <v/>
      </c>
      <c r="C6962">
        <f>TEST_DATA!C6962</f>
        <v/>
      </c>
      <c r="D6962">
        <f>TEST_DATA!D6962</f>
        <v/>
      </c>
      <c r="E6962">
        <f>TEST_DATA!E6962</f>
        <v/>
      </c>
    </row>
    <row r="6963">
      <c r="A6963">
        <f>TEST_DATA!A6963</f>
        <v/>
      </c>
      <c r="B6963">
        <f>TEST_DATA!B6963</f>
        <v/>
      </c>
      <c r="C6963">
        <f>TEST_DATA!C6963</f>
        <v/>
      </c>
      <c r="D6963">
        <f>TEST_DATA!D6963</f>
        <v/>
      </c>
      <c r="E6963">
        <f>TEST_DATA!E6963</f>
        <v/>
      </c>
    </row>
    <row r="6964">
      <c r="A6964">
        <f>TEST_DATA!A6964</f>
        <v/>
      </c>
      <c r="B6964">
        <f>TEST_DATA!B6964</f>
        <v/>
      </c>
      <c r="C6964">
        <f>TEST_DATA!C6964</f>
        <v/>
      </c>
      <c r="D6964">
        <f>TEST_DATA!D6964</f>
        <v/>
      </c>
      <c r="E6964">
        <f>TEST_DATA!E6964</f>
        <v/>
      </c>
    </row>
    <row r="6965">
      <c r="A6965">
        <f>TEST_DATA!A6965</f>
        <v/>
      </c>
      <c r="B6965">
        <f>TEST_DATA!B6965</f>
        <v/>
      </c>
      <c r="C6965">
        <f>TEST_DATA!C6965</f>
        <v/>
      </c>
      <c r="D6965">
        <f>TEST_DATA!D6965</f>
        <v/>
      </c>
      <c r="E6965">
        <f>TEST_DATA!E6965</f>
        <v/>
      </c>
    </row>
    <row r="6966">
      <c r="A6966">
        <f>TEST_DATA!A6966</f>
        <v/>
      </c>
      <c r="B6966">
        <f>TEST_DATA!B6966</f>
        <v/>
      </c>
      <c r="C6966">
        <f>TEST_DATA!C6966</f>
        <v/>
      </c>
      <c r="D6966">
        <f>TEST_DATA!D6966</f>
        <v/>
      </c>
      <c r="E6966">
        <f>TEST_DATA!E6966</f>
        <v/>
      </c>
    </row>
    <row r="6967">
      <c r="A6967">
        <f>TEST_DATA!A6967</f>
        <v/>
      </c>
      <c r="B6967">
        <f>TEST_DATA!B6967</f>
        <v/>
      </c>
      <c r="C6967">
        <f>TEST_DATA!C6967</f>
        <v/>
      </c>
      <c r="D6967">
        <f>TEST_DATA!D6967</f>
        <v/>
      </c>
      <c r="E6967">
        <f>TEST_DATA!E6967</f>
        <v/>
      </c>
    </row>
    <row r="6968">
      <c r="A6968">
        <f>TEST_DATA!A6968</f>
        <v/>
      </c>
      <c r="B6968">
        <f>TEST_DATA!B6968</f>
        <v/>
      </c>
      <c r="C6968">
        <f>TEST_DATA!C6968</f>
        <v/>
      </c>
      <c r="D6968">
        <f>TEST_DATA!D6968</f>
        <v/>
      </c>
      <c r="E6968">
        <f>TEST_DATA!E6968</f>
        <v/>
      </c>
    </row>
    <row r="6969">
      <c r="A6969">
        <f>TEST_DATA!A6969</f>
        <v/>
      </c>
      <c r="B6969">
        <f>TEST_DATA!B6969</f>
        <v/>
      </c>
      <c r="C6969">
        <f>TEST_DATA!C6969</f>
        <v/>
      </c>
      <c r="D6969">
        <f>TEST_DATA!D6969</f>
        <v/>
      </c>
      <c r="E6969">
        <f>TEST_DATA!E6969</f>
        <v/>
      </c>
    </row>
    <row r="6970">
      <c r="A6970">
        <f>TEST_DATA!A6970</f>
        <v/>
      </c>
      <c r="B6970">
        <f>TEST_DATA!B6970</f>
        <v/>
      </c>
      <c r="C6970">
        <f>TEST_DATA!C6970</f>
        <v/>
      </c>
      <c r="D6970">
        <f>TEST_DATA!D6970</f>
        <v/>
      </c>
      <c r="E6970">
        <f>TEST_DATA!E6970</f>
        <v/>
      </c>
    </row>
    <row r="6971">
      <c r="A6971">
        <f>TEST_DATA!A6971</f>
        <v/>
      </c>
      <c r="B6971">
        <f>TEST_DATA!B6971</f>
        <v/>
      </c>
      <c r="C6971">
        <f>TEST_DATA!C6971</f>
        <v/>
      </c>
      <c r="D6971">
        <f>TEST_DATA!D6971</f>
        <v/>
      </c>
      <c r="E6971">
        <f>TEST_DATA!E6971</f>
        <v/>
      </c>
    </row>
    <row r="6972">
      <c r="A6972">
        <f>TEST_DATA!A6972</f>
        <v/>
      </c>
      <c r="B6972">
        <f>TEST_DATA!B6972</f>
        <v/>
      </c>
      <c r="C6972">
        <f>TEST_DATA!C6972</f>
        <v/>
      </c>
      <c r="D6972">
        <f>TEST_DATA!D6972</f>
        <v/>
      </c>
      <c r="E6972">
        <f>TEST_DATA!E6972</f>
        <v/>
      </c>
    </row>
    <row r="6973">
      <c r="A6973">
        <f>TEST_DATA!A6973</f>
        <v/>
      </c>
      <c r="B6973">
        <f>TEST_DATA!B6973</f>
        <v/>
      </c>
      <c r="C6973">
        <f>TEST_DATA!C6973</f>
        <v/>
      </c>
      <c r="D6973">
        <f>TEST_DATA!D6973</f>
        <v/>
      </c>
      <c r="E6973">
        <f>TEST_DATA!E6973</f>
        <v/>
      </c>
    </row>
    <row r="6974">
      <c r="A6974">
        <f>TEST_DATA!A6974</f>
        <v/>
      </c>
      <c r="B6974">
        <f>TEST_DATA!B6974</f>
        <v/>
      </c>
      <c r="C6974">
        <f>TEST_DATA!C6974</f>
        <v/>
      </c>
      <c r="D6974">
        <f>TEST_DATA!D6974</f>
        <v/>
      </c>
      <c r="E6974">
        <f>TEST_DATA!E6974</f>
        <v/>
      </c>
    </row>
    <row r="6975">
      <c r="A6975">
        <f>TEST_DATA!A6975</f>
        <v/>
      </c>
      <c r="B6975">
        <f>TEST_DATA!B6975</f>
        <v/>
      </c>
      <c r="C6975">
        <f>TEST_DATA!C6975</f>
        <v/>
      </c>
      <c r="D6975">
        <f>TEST_DATA!D6975</f>
        <v/>
      </c>
      <c r="E6975">
        <f>TEST_DATA!E6975</f>
        <v/>
      </c>
    </row>
    <row r="6976">
      <c r="A6976">
        <f>TEST_DATA!A6976</f>
        <v/>
      </c>
      <c r="B6976">
        <f>TEST_DATA!B6976</f>
        <v/>
      </c>
      <c r="C6976">
        <f>TEST_DATA!C6976</f>
        <v/>
      </c>
      <c r="D6976">
        <f>TEST_DATA!D6976</f>
        <v/>
      </c>
      <c r="E6976">
        <f>TEST_DATA!E6976</f>
        <v/>
      </c>
    </row>
    <row r="6977">
      <c r="A6977">
        <f>TEST_DATA!A6977</f>
        <v/>
      </c>
      <c r="B6977">
        <f>TEST_DATA!B6977</f>
        <v/>
      </c>
      <c r="C6977">
        <f>TEST_DATA!C6977</f>
        <v/>
      </c>
      <c r="D6977">
        <f>TEST_DATA!D6977</f>
        <v/>
      </c>
      <c r="E6977">
        <f>TEST_DATA!E6977</f>
        <v/>
      </c>
    </row>
    <row r="6978">
      <c r="A6978">
        <f>TEST_DATA!A6978</f>
        <v/>
      </c>
      <c r="B6978">
        <f>TEST_DATA!B6978</f>
        <v/>
      </c>
      <c r="C6978">
        <f>TEST_DATA!C6978</f>
        <v/>
      </c>
      <c r="D6978">
        <f>TEST_DATA!D6978</f>
        <v/>
      </c>
      <c r="E6978">
        <f>TEST_DATA!E6978</f>
        <v/>
      </c>
    </row>
    <row r="6979">
      <c r="A6979">
        <f>TEST_DATA!A6979</f>
        <v/>
      </c>
      <c r="B6979">
        <f>TEST_DATA!B6979</f>
        <v/>
      </c>
      <c r="C6979">
        <f>TEST_DATA!C6979</f>
        <v/>
      </c>
      <c r="D6979">
        <f>TEST_DATA!D6979</f>
        <v/>
      </c>
      <c r="E6979">
        <f>TEST_DATA!E6979</f>
        <v/>
      </c>
    </row>
    <row r="6980">
      <c r="A6980">
        <f>TEST_DATA!A6980</f>
        <v/>
      </c>
      <c r="B6980">
        <f>TEST_DATA!B6980</f>
        <v/>
      </c>
      <c r="C6980">
        <f>TEST_DATA!C6980</f>
        <v/>
      </c>
      <c r="D6980">
        <f>TEST_DATA!D6980</f>
        <v/>
      </c>
      <c r="E6980">
        <f>TEST_DATA!E6980</f>
        <v/>
      </c>
    </row>
    <row r="6981">
      <c r="A6981">
        <f>TEST_DATA!A6981</f>
        <v/>
      </c>
      <c r="B6981">
        <f>TEST_DATA!B6981</f>
        <v/>
      </c>
      <c r="C6981">
        <f>TEST_DATA!C6981</f>
        <v/>
      </c>
      <c r="D6981">
        <f>TEST_DATA!D6981</f>
        <v/>
      </c>
      <c r="E6981">
        <f>TEST_DATA!E6981</f>
        <v/>
      </c>
    </row>
    <row r="6982">
      <c r="A6982">
        <f>TEST_DATA!A6982</f>
        <v/>
      </c>
      <c r="B6982">
        <f>TEST_DATA!B6982</f>
        <v/>
      </c>
      <c r="C6982">
        <f>TEST_DATA!C6982</f>
        <v/>
      </c>
      <c r="D6982">
        <f>TEST_DATA!D6982</f>
        <v/>
      </c>
      <c r="E6982">
        <f>TEST_DATA!E6982</f>
        <v/>
      </c>
    </row>
    <row r="6983">
      <c r="A6983">
        <f>TEST_DATA!A6983</f>
        <v/>
      </c>
      <c r="B6983">
        <f>TEST_DATA!B6983</f>
        <v/>
      </c>
      <c r="C6983">
        <f>TEST_DATA!C6983</f>
        <v/>
      </c>
      <c r="D6983">
        <f>TEST_DATA!D6983</f>
        <v/>
      </c>
      <c r="E6983">
        <f>TEST_DATA!E6983</f>
        <v/>
      </c>
    </row>
    <row r="6984">
      <c r="A6984">
        <f>TEST_DATA!A6984</f>
        <v/>
      </c>
      <c r="B6984">
        <f>TEST_DATA!B6984</f>
        <v/>
      </c>
      <c r="C6984">
        <f>TEST_DATA!C6984</f>
        <v/>
      </c>
      <c r="D6984">
        <f>TEST_DATA!D6984</f>
        <v/>
      </c>
      <c r="E6984">
        <f>TEST_DATA!E6984</f>
        <v/>
      </c>
    </row>
    <row r="6985">
      <c r="A6985">
        <f>TEST_DATA!A6985</f>
        <v/>
      </c>
      <c r="B6985">
        <f>TEST_DATA!B6985</f>
        <v/>
      </c>
      <c r="C6985">
        <f>TEST_DATA!C6985</f>
        <v/>
      </c>
      <c r="D6985">
        <f>TEST_DATA!D6985</f>
        <v/>
      </c>
      <c r="E6985">
        <f>TEST_DATA!E6985</f>
        <v/>
      </c>
    </row>
    <row r="6986">
      <c r="A6986">
        <f>TEST_DATA!A6986</f>
        <v/>
      </c>
      <c r="B6986">
        <f>TEST_DATA!B6986</f>
        <v/>
      </c>
      <c r="C6986">
        <f>TEST_DATA!C6986</f>
        <v/>
      </c>
      <c r="D6986">
        <f>TEST_DATA!D6986</f>
        <v/>
      </c>
      <c r="E6986">
        <f>TEST_DATA!E6986</f>
        <v/>
      </c>
    </row>
    <row r="6987">
      <c r="A6987">
        <f>TEST_DATA!A6987</f>
        <v/>
      </c>
      <c r="B6987">
        <f>TEST_DATA!B6987</f>
        <v/>
      </c>
      <c r="C6987">
        <f>TEST_DATA!C6987</f>
        <v/>
      </c>
      <c r="D6987">
        <f>TEST_DATA!D6987</f>
        <v/>
      </c>
      <c r="E6987">
        <f>TEST_DATA!E6987</f>
        <v/>
      </c>
    </row>
    <row r="6988">
      <c r="A6988">
        <f>TEST_DATA!A6988</f>
        <v/>
      </c>
      <c r="B6988">
        <f>TEST_DATA!B6988</f>
        <v/>
      </c>
      <c r="C6988">
        <f>TEST_DATA!C6988</f>
        <v/>
      </c>
      <c r="D6988">
        <f>TEST_DATA!D6988</f>
        <v/>
      </c>
      <c r="E6988">
        <f>TEST_DATA!E6988</f>
        <v/>
      </c>
    </row>
    <row r="6989">
      <c r="A6989">
        <f>TEST_DATA!A6989</f>
        <v/>
      </c>
      <c r="B6989">
        <f>TEST_DATA!B6989</f>
        <v/>
      </c>
      <c r="C6989">
        <f>TEST_DATA!C6989</f>
        <v/>
      </c>
      <c r="D6989">
        <f>TEST_DATA!D6989</f>
        <v/>
      </c>
      <c r="E6989">
        <f>TEST_DATA!E6989</f>
        <v/>
      </c>
    </row>
    <row r="6990">
      <c r="A6990">
        <f>TEST_DATA!A6990</f>
        <v/>
      </c>
      <c r="B6990">
        <f>TEST_DATA!B6990</f>
        <v/>
      </c>
      <c r="C6990">
        <f>TEST_DATA!C6990</f>
        <v/>
      </c>
      <c r="D6990">
        <f>TEST_DATA!D6990</f>
        <v/>
      </c>
      <c r="E6990">
        <f>TEST_DATA!E6990</f>
        <v/>
      </c>
    </row>
    <row r="6991">
      <c r="A6991">
        <f>TEST_DATA!A6991</f>
        <v/>
      </c>
      <c r="B6991">
        <f>TEST_DATA!B6991</f>
        <v/>
      </c>
      <c r="C6991">
        <f>TEST_DATA!C6991</f>
        <v/>
      </c>
      <c r="D6991">
        <f>TEST_DATA!D6991</f>
        <v/>
      </c>
      <c r="E6991">
        <f>TEST_DATA!E6991</f>
        <v/>
      </c>
    </row>
    <row r="6992">
      <c r="A6992">
        <f>TEST_DATA!A6992</f>
        <v/>
      </c>
      <c r="B6992">
        <f>TEST_DATA!B6992</f>
        <v/>
      </c>
      <c r="C6992">
        <f>TEST_DATA!C6992</f>
        <v/>
      </c>
      <c r="D6992">
        <f>TEST_DATA!D6992</f>
        <v/>
      </c>
      <c r="E6992">
        <f>TEST_DATA!E6992</f>
        <v/>
      </c>
    </row>
    <row r="6993">
      <c r="A6993">
        <f>TEST_DATA!A6993</f>
        <v/>
      </c>
      <c r="B6993">
        <f>TEST_DATA!B6993</f>
        <v/>
      </c>
      <c r="C6993">
        <f>TEST_DATA!C6993</f>
        <v/>
      </c>
      <c r="D6993">
        <f>TEST_DATA!D6993</f>
        <v/>
      </c>
      <c r="E6993">
        <f>TEST_DATA!E6993</f>
        <v/>
      </c>
    </row>
    <row r="6994">
      <c r="A6994">
        <f>TEST_DATA!A6994</f>
        <v/>
      </c>
      <c r="B6994">
        <f>TEST_DATA!B6994</f>
        <v/>
      </c>
      <c r="C6994">
        <f>TEST_DATA!C6994</f>
        <v/>
      </c>
      <c r="D6994">
        <f>TEST_DATA!D6994</f>
        <v/>
      </c>
      <c r="E6994">
        <f>TEST_DATA!E6994</f>
        <v/>
      </c>
    </row>
    <row r="6995">
      <c r="A6995">
        <f>TEST_DATA!A6995</f>
        <v/>
      </c>
      <c r="B6995">
        <f>TEST_DATA!B6995</f>
        <v/>
      </c>
      <c r="C6995">
        <f>TEST_DATA!C6995</f>
        <v/>
      </c>
      <c r="D6995">
        <f>TEST_DATA!D6995</f>
        <v/>
      </c>
      <c r="E6995">
        <f>TEST_DATA!E6995</f>
        <v/>
      </c>
    </row>
    <row r="6996">
      <c r="A6996">
        <f>TEST_DATA!A6996</f>
        <v/>
      </c>
      <c r="B6996">
        <f>TEST_DATA!B6996</f>
        <v/>
      </c>
      <c r="C6996">
        <f>TEST_DATA!C6996</f>
        <v/>
      </c>
      <c r="D6996">
        <f>TEST_DATA!D6996</f>
        <v/>
      </c>
      <c r="E6996">
        <f>TEST_DATA!E6996</f>
        <v/>
      </c>
    </row>
    <row r="6997">
      <c r="A6997">
        <f>TEST_DATA!A6997</f>
        <v/>
      </c>
      <c r="B6997">
        <f>TEST_DATA!B6997</f>
        <v/>
      </c>
      <c r="C6997">
        <f>TEST_DATA!C6997</f>
        <v/>
      </c>
      <c r="D6997">
        <f>TEST_DATA!D6997</f>
        <v/>
      </c>
      <c r="E6997">
        <f>TEST_DATA!E6997</f>
        <v/>
      </c>
    </row>
    <row r="6998">
      <c r="A6998">
        <f>TEST_DATA!A6998</f>
        <v/>
      </c>
      <c r="B6998">
        <f>TEST_DATA!B6998</f>
        <v/>
      </c>
      <c r="C6998">
        <f>TEST_DATA!C6998</f>
        <v/>
      </c>
      <c r="D6998">
        <f>TEST_DATA!D6998</f>
        <v/>
      </c>
      <c r="E6998">
        <f>TEST_DATA!E6998</f>
        <v/>
      </c>
    </row>
    <row r="6999">
      <c r="A6999">
        <f>TEST_DATA!A6999</f>
        <v/>
      </c>
      <c r="B6999">
        <f>TEST_DATA!B6999</f>
        <v/>
      </c>
      <c r="C6999">
        <f>TEST_DATA!C6999</f>
        <v/>
      </c>
      <c r="D6999">
        <f>TEST_DATA!D6999</f>
        <v/>
      </c>
      <c r="E6999">
        <f>TEST_DATA!E6999</f>
        <v/>
      </c>
    </row>
    <row r="7000">
      <c r="A7000">
        <f>TEST_DATA!A7000</f>
        <v/>
      </c>
      <c r="B7000">
        <f>TEST_DATA!B7000</f>
        <v/>
      </c>
      <c r="C7000">
        <f>TEST_DATA!C7000</f>
        <v/>
      </c>
      <c r="D7000">
        <f>TEST_DATA!D7000</f>
        <v/>
      </c>
      <c r="E7000">
        <f>TEST_DATA!E7000</f>
        <v/>
      </c>
    </row>
    <row r="7001">
      <c r="A7001">
        <f>TEST_DATA!A7001</f>
        <v/>
      </c>
      <c r="B7001">
        <f>TEST_DATA!B7001</f>
        <v/>
      </c>
      <c r="C7001">
        <f>TEST_DATA!C7001</f>
        <v/>
      </c>
      <c r="D7001">
        <f>TEST_DATA!D7001</f>
        <v/>
      </c>
      <c r="E7001">
        <f>TEST_DATA!E7001</f>
        <v/>
      </c>
    </row>
    <row r="7002">
      <c r="A7002">
        <f>TEST_DATA!A7002</f>
        <v/>
      </c>
      <c r="B7002">
        <f>TEST_DATA!B7002</f>
        <v/>
      </c>
      <c r="C7002">
        <f>TEST_DATA!C7002</f>
        <v/>
      </c>
      <c r="D7002">
        <f>TEST_DATA!D7002</f>
        <v/>
      </c>
      <c r="E7002">
        <f>TEST_DATA!E7002</f>
        <v/>
      </c>
    </row>
    <row r="7003">
      <c r="A7003">
        <f>TEST_DATA!A7003</f>
        <v/>
      </c>
      <c r="B7003">
        <f>TEST_DATA!B7003</f>
        <v/>
      </c>
      <c r="C7003">
        <f>TEST_DATA!C7003</f>
        <v/>
      </c>
      <c r="D7003">
        <f>TEST_DATA!D7003</f>
        <v/>
      </c>
      <c r="E7003">
        <f>TEST_DATA!E7003</f>
        <v/>
      </c>
    </row>
    <row r="7004">
      <c r="A7004">
        <f>TEST_DATA!A7004</f>
        <v/>
      </c>
      <c r="B7004">
        <f>TEST_DATA!B7004</f>
        <v/>
      </c>
      <c r="C7004">
        <f>TEST_DATA!C7004</f>
        <v/>
      </c>
      <c r="D7004">
        <f>TEST_DATA!D7004</f>
        <v/>
      </c>
      <c r="E7004">
        <f>TEST_DATA!E7004</f>
        <v/>
      </c>
    </row>
    <row r="7005">
      <c r="A7005">
        <f>TEST_DATA!A7005</f>
        <v/>
      </c>
      <c r="B7005">
        <f>TEST_DATA!B7005</f>
        <v/>
      </c>
      <c r="C7005">
        <f>TEST_DATA!C7005</f>
        <v/>
      </c>
      <c r="D7005">
        <f>TEST_DATA!D7005</f>
        <v/>
      </c>
      <c r="E7005">
        <f>TEST_DATA!E7005</f>
        <v/>
      </c>
    </row>
    <row r="7006">
      <c r="A7006">
        <f>TEST_DATA!A7006</f>
        <v/>
      </c>
      <c r="B7006">
        <f>TEST_DATA!B7006</f>
        <v/>
      </c>
      <c r="C7006">
        <f>TEST_DATA!C7006</f>
        <v/>
      </c>
      <c r="D7006">
        <f>TEST_DATA!D7006</f>
        <v/>
      </c>
      <c r="E7006">
        <f>TEST_DATA!E7006</f>
        <v/>
      </c>
    </row>
    <row r="7007">
      <c r="A7007">
        <f>TEST_DATA!A7007</f>
        <v/>
      </c>
      <c r="B7007">
        <f>TEST_DATA!B7007</f>
        <v/>
      </c>
      <c r="C7007">
        <f>TEST_DATA!C7007</f>
        <v/>
      </c>
      <c r="D7007">
        <f>TEST_DATA!D7007</f>
        <v/>
      </c>
      <c r="E7007">
        <f>TEST_DATA!E7007</f>
        <v/>
      </c>
    </row>
    <row r="7008">
      <c r="A7008">
        <f>TEST_DATA!A7008</f>
        <v/>
      </c>
      <c r="B7008">
        <f>TEST_DATA!B7008</f>
        <v/>
      </c>
      <c r="C7008">
        <f>TEST_DATA!C7008</f>
        <v/>
      </c>
      <c r="D7008">
        <f>TEST_DATA!D7008</f>
        <v/>
      </c>
      <c r="E7008">
        <f>TEST_DATA!E7008</f>
        <v/>
      </c>
    </row>
    <row r="7009">
      <c r="A7009">
        <f>TEST_DATA!A7009</f>
        <v/>
      </c>
      <c r="B7009">
        <f>TEST_DATA!B7009</f>
        <v/>
      </c>
      <c r="C7009">
        <f>TEST_DATA!C7009</f>
        <v/>
      </c>
      <c r="D7009">
        <f>TEST_DATA!D7009</f>
        <v/>
      </c>
      <c r="E7009">
        <f>TEST_DATA!E7009</f>
        <v/>
      </c>
    </row>
    <row r="7010">
      <c r="A7010">
        <f>TEST_DATA!A7010</f>
        <v/>
      </c>
      <c r="B7010">
        <f>TEST_DATA!B7010</f>
        <v/>
      </c>
      <c r="C7010">
        <f>TEST_DATA!C7010</f>
        <v/>
      </c>
      <c r="D7010">
        <f>TEST_DATA!D7010</f>
        <v/>
      </c>
      <c r="E7010">
        <f>TEST_DATA!E7010</f>
        <v/>
      </c>
    </row>
    <row r="7011">
      <c r="A7011">
        <f>TEST_DATA!A7011</f>
        <v/>
      </c>
      <c r="B7011">
        <f>TEST_DATA!B7011</f>
        <v/>
      </c>
      <c r="C7011">
        <f>TEST_DATA!C7011</f>
        <v/>
      </c>
      <c r="D7011">
        <f>TEST_DATA!D7011</f>
        <v/>
      </c>
      <c r="E7011">
        <f>TEST_DATA!E7011</f>
        <v/>
      </c>
    </row>
    <row r="7012">
      <c r="A7012">
        <f>TEST_DATA!A7012</f>
        <v/>
      </c>
      <c r="B7012">
        <f>TEST_DATA!B7012</f>
        <v/>
      </c>
      <c r="C7012">
        <f>TEST_DATA!C7012</f>
        <v/>
      </c>
      <c r="D7012">
        <f>TEST_DATA!D7012</f>
        <v/>
      </c>
      <c r="E7012">
        <f>TEST_DATA!E7012</f>
        <v/>
      </c>
    </row>
    <row r="7013">
      <c r="A7013">
        <f>TEST_DATA!A7013</f>
        <v/>
      </c>
      <c r="B7013">
        <f>TEST_DATA!B7013</f>
        <v/>
      </c>
      <c r="C7013">
        <f>TEST_DATA!C7013</f>
        <v/>
      </c>
      <c r="D7013">
        <f>TEST_DATA!D7013</f>
        <v/>
      </c>
      <c r="E7013">
        <f>TEST_DATA!E7013</f>
        <v/>
      </c>
    </row>
    <row r="7014">
      <c r="A7014">
        <f>TEST_DATA!A7014</f>
        <v/>
      </c>
      <c r="B7014">
        <f>TEST_DATA!B7014</f>
        <v/>
      </c>
      <c r="C7014">
        <f>TEST_DATA!C7014</f>
        <v/>
      </c>
      <c r="D7014">
        <f>TEST_DATA!D7014</f>
        <v/>
      </c>
      <c r="E7014">
        <f>TEST_DATA!E7014</f>
        <v/>
      </c>
    </row>
    <row r="7015">
      <c r="A7015">
        <f>TEST_DATA!A7015</f>
        <v/>
      </c>
      <c r="B7015">
        <f>TEST_DATA!B7015</f>
        <v/>
      </c>
      <c r="C7015">
        <f>TEST_DATA!C7015</f>
        <v/>
      </c>
      <c r="D7015">
        <f>TEST_DATA!D7015</f>
        <v/>
      </c>
      <c r="E7015">
        <f>TEST_DATA!E7015</f>
        <v/>
      </c>
    </row>
    <row r="7016">
      <c r="A7016">
        <f>TEST_DATA!A7016</f>
        <v/>
      </c>
      <c r="B7016">
        <f>TEST_DATA!B7016</f>
        <v/>
      </c>
      <c r="C7016">
        <f>TEST_DATA!C7016</f>
        <v/>
      </c>
      <c r="D7016">
        <f>TEST_DATA!D7016</f>
        <v/>
      </c>
      <c r="E7016">
        <f>TEST_DATA!E7016</f>
        <v/>
      </c>
    </row>
    <row r="7017">
      <c r="A7017">
        <f>TEST_DATA!A7017</f>
        <v/>
      </c>
      <c r="B7017">
        <f>TEST_DATA!B7017</f>
        <v/>
      </c>
      <c r="C7017">
        <f>TEST_DATA!C7017</f>
        <v/>
      </c>
      <c r="D7017">
        <f>TEST_DATA!D7017</f>
        <v/>
      </c>
      <c r="E7017">
        <f>TEST_DATA!E7017</f>
        <v/>
      </c>
    </row>
    <row r="7018">
      <c r="A7018">
        <f>TEST_DATA!A7018</f>
        <v/>
      </c>
      <c r="B7018">
        <f>TEST_DATA!B7018</f>
        <v/>
      </c>
      <c r="C7018">
        <f>TEST_DATA!C7018</f>
        <v/>
      </c>
      <c r="D7018">
        <f>TEST_DATA!D7018</f>
        <v/>
      </c>
      <c r="E7018">
        <f>TEST_DATA!E7018</f>
        <v/>
      </c>
    </row>
    <row r="7019">
      <c r="A7019">
        <f>TEST_DATA!A7019</f>
        <v/>
      </c>
      <c r="B7019">
        <f>TEST_DATA!B7019</f>
        <v/>
      </c>
      <c r="C7019">
        <f>TEST_DATA!C7019</f>
        <v/>
      </c>
      <c r="D7019">
        <f>TEST_DATA!D7019</f>
        <v/>
      </c>
      <c r="E7019">
        <f>TEST_DATA!E7019</f>
        <v/>
      </c>
    </row>
    <row r="7020">
      <c r="A7020">
        <f>TEST_DATA!A7020</f>
        <v/>
      </c>
      <c r="B7020">
        <f>TEST_DATA!B7020</f>
        <v/>
      </c>
      <c r="C7020">
        <f>TEST_DATA!C7020</f>
        <v/>
      </c>
      <c r="D7020">
        <f>TEST_DATA!D7020</f>
        <v/>
      </c>
      <c r="E7020">
        <f>TEST_DATA!E7020</f>
        <v/>
      </c>
    </row>
    <row r="7021">
      <c r="A7021">
        <f>TEST_DATA!A7021</f>
        <v/>
      </c>
      <c r="B7021">
        <f>TEST_DATA!B7021</f>
        <v/>
      </c>
      <c r="C7021">
        <f>TEST_DATA!C7021</f>
        <v/>
      </c>
      <c r="D7021">
        <f>TEST_DATA!D7021</f>
        <v/>
      </c>
      <c r="E7021">
        <f>TEST_DATA!E7021</f>
        <v/>
      </c>
    </row>
    <row r="7022">
      <c r="A7022">
        <f>TEST_DATA!A7022</f>
        <v/>
      </c>
      <c r="B7022">
        <f>TEST_DATA!B7022</f>
        <v/>
      </c>
      <c r="C7022">
        <f>TEST_DATA!C7022</f>
        <v/>
      </c>
      <c r="D7022">
        <f>TEST_DATA!D7022</f>
        <v/>
      </c>
      <c r="E7022">
        <f>TEST_DATA!E7022</f>
        <v/>
      </c>
    </row>
    <row r="7023">
      <c r="A7023">
        <f>TEST_DATA!A7023</f>
        <v/>
      </c>
      <c r="B7023">
        <f>TEST_DATA!B7023</f>
        <v/>
      </c>
      <c r="C7023">
        <f>TEST_DATA!C7023</f>
        <v/>
      </c>
      <c r="D7023">
        <f>TEST_DATA!D7023</f>
        <v/>
      </c>
      <c r="E7023">
        <f>TEST_DATA!E7023</f>
        <v/>
      </c>
    </row>
    <row r="7024">
      <c r="A7024">
        <f>TEST_DATA!A7024</f>
        <v/>
      </c>
      <c r="B7024">
        <f>TEST_DATA!B7024</f>
        <v/>
      </c>
      <c r="C7024">
        <f>TEST_DATA!C7024</f>
        <v/>
      </c>
      <c r="D7024">
        <f>TEST_DATA!D7024</f>
        <v/>
      </c>
      <c r="E7024">
        <f>TEST_DATA!E7024</f>
        <v/>
      </c>
    </row>
    <row r="7025">
      <c r="A7025">
        <f>TEST_DATA!A7025</f>
        <v/>
      </c>
      <c r="B7025">
        <f>TEST_DATA!B7025</f>
        <v/>
      </c>
      <c r="C7025">
        <f>TEST_DATA!C7025</f>
        <v/>
      </c>
      <c r="D7025">
        <f>TEST_DATA!D7025</f>
        <v/>
      </c>
      <c r="E7025">
        <f>TEST_DATA!E7025</f>
        <v/>
      </c>
    </row>
    <row r="7026">
      <c r="A7026">
        <f>TEST_DATA!A7026</f>
        <v/>
      </c>
      <c r="B7026">
        <f>TEST_DATA!B7026</f>
        <v/>
      </c>
      <c r="C7026">
        <f>TEST_DATA!C7026</f>
        <v/>
      </c>
      <c r="D7026">
        <f>TEST_DATA!D7026</f>
        <v/>
      </c>
      <c r="E7026">
        <f>TEST_DATA!E7026</f>
        <v/>
      </c>
    </row>
    <row r="7027">
      <c r="A7027">
        <f>TEST_DATA!A7027</f>
        <v/>
      </c>
      <c r="B7027">
        <f>TEST_DATA!B7027</f>
        <v/>
      </c>
      <c r="C7027">
        <f>TEST_DATA!C7027</f>
        <v/>
      </c>
      <c r="D7027">
        <f>TEST_DATA!D7027</f>
        <v/>
      </c>
      <c r="E7027">
        <f>TEST_DATA!E7027</f>
        <v/>
      </c>
    </row>
    <row r="7028">
      <c r="A7028">
        <f>TEST_DATA!A7028</f>
        <v/>
      </c>
      <c r="B7028">
        <f>TEST_DATA!B7028</f>
        <v/>
      </c>
      <c r="C7028">
        <f>TEST_DATA!C7028</f>
        <v/>
      </c>
      <c r="D7028">
        <f>TEST_DATA!D7028</f>
        <v/>
      </c>
      <c r="E7028">
        <f>TEST_DATA!E7028</f>
        <v/>
      </c>
    </row>
    <row r="7029">
      <c r="A7029">
        <f>TEST_DATA!A7029</f>
        <v/>
      </c>
      <c r="B7029">
        <f>TEST_DATA!B7029</f>
        <v/>
      </c>
      <c r="C7029">
        <f>TEST_DATA!C7029</f>
        <v/>
      </c>
      <c r="D7029">
        <f>TEST_DATA!D7029</f>
        <v/>
      </c>
      <c r="E7029">
        <f>TEST_DATA!E7029</f>
        <v/>
      </c>
    </row>
    <row r="7030">
      <c r="A7030">
        <f>TEST_DATA!A7030</f>
        <v/>
      </c>
      <c r="B7030">
        <f>TEST_DATA!B7030</f>
        <v/>
      </c>
      <c r="C7030">
        <f>TEST_DATA!C7030</f>
        <v/>
      </c>
      <c r="D7030">
        <f>TEST_DATA!D7030</f>
        <v/>
      </c>
      <c r="E7030">
        <f>TEST_DATA!E7030</f>
        <v/>
      </c>
    </row>
    <row r="7031">
      <c r="A7031">
        <f>TEST_DATA!A7031</f>
        <v/>
      </c>
      <c r="B7031">
        <f>TEST_DATA!B7031</f>
        <v/>
      </c>
      <c r="C7031">
        <f>TEST_DATA!C7031</f>
        <v/>
      </c>
      <c r="D7031">
        <f>TEST_DATA!D7031</f>
        <v/>
      </c>
      <c r="E7031">
        <f>TEST_DATA!E7031</f>
        <v/>
      </c>
    </row>
    <row r="7032">
      <c r="A7032">
        <f>TEST_DATA!A7032</f>
        <v/>
      </c>
      <c r="B7032">
        <f>TEST_DATA!B7032</f>
        <v/>
      </c>
      <c r="C7032">
        <f>TEST_DATA!C7032</f>
        <v/>
      </c>
      <c r="D7032">
        <f>TEST_DATA!D7032</f>
        <v/>
      </c>
      <c r="E7032">
        <f>TEST_DATA!E7032</f>
        <v/>
      </c>
    </row>
    <row r="7033">
      <c r="A7033">
        <f>TEST_DATA!A7033</f>
        <v/>
      </c>
      <c r="B7033">
        <f>TEST_DATA!B7033</f>
        <v/>
      </c>
      <c r="C7033">
        <f>TEST_DATA!C7033</f>
        <v/>
      </c>
      <c r="D7033">
        <f>TEST_DATA!D7033</f>
        <v/>
      </c>
      <c r="E7033">
        <f>TEST_DATA!E7033</f>
        <v/>
      </c>
    </row>
    <row r="7034">
      <c r="A7034">
        <f>TEST_DATA!A7034</f>
        <v/>
      </c>
      <c r="B7034">
        <f>TEST_DATA!B7034</f>
        <v/>
      </c>
      <c r="C7034">
        <f>TEST_DATA!C7034</f>
        <v/>
      </c>
      <c r="D7034">
        <f>TEST_DATA!D7034</f>
        <v/>
      </c>
      <c r="E7034">
        <f>TEST_DATA!E7034</f>
        <v/>
      </c>
    </row>
    <row r="7035">
      <c r="A7035">
        <f>TEST_DATA!A7035</f>
        <v/>
      </c>
      <c r="B7035">
        <f>TEST_DATA!B7035</f>
        <v/>
      </c>
      <c r="C7035">
        <f>TEST_DATA!C7035</f>
        <v/>
      </c>
      <c r="D7035">
        <f>TEST_DATA!D7035</f>
        <v/>
      </c>
      <c r="E7035">
        <f>TEST_DATA!E7035</f>
        <v/>
      </c>
    </row>
    <row r="7036">
      <c r="A7036">
        <f>TEST_DATA!A7036</f>
        <v/>
      </c>
      <c r="B7036">
        <f>TEST_DATA!B7036</f>
        <v/>
      </c>
      <c r="C7036">
        <f>TEST_DATA!C7036</f>
        <v/>
      </c>
      <c r="D7036">
        <f>TEST_DATA!D7036</f>
        <v/>
      </c>
      <c r="E7036">
        <f>TEST_DATA!E7036</f>
        <v/>
      </c>
    </row>
    <row r="7037">
      <c r="A7037">
        <f>TEST_DATA!A7037</f>
        <v/>
      </c>
      <c r="B7037">
        <f>TEST_DATA!B7037</f>
        <v/>
      </c>
      <c r="C7037">
        <f>TEST_DATA!C7037</f>
        <v/>
      </c>
      <c r="D7037">
        <f>TEST_DATA!D7037</f>
        <v/>
      </c>
      <c r="E7037">
        <f>TEST_DATA!E7037</f>
        <v/>
      </c>
    </row>
    <row r="7038">
      <c r="A7038">
        <f>TEST_DATA!A7038</f>
        <v/>
      </c>
      <c r="B7038">
        <f>TEST_DATA!B7038</f>
        <v/>
      </c>
      <c r="C7038">
        <f>TEST_DATA!C7038</f>
        <v/>
      </c>
      <c r="D7038">
        <f>TEST_DATA!D7038</f>
        <v/>
      </c>
      <c r="E7038">
        <f>TEST_DATA!E7038</f>
        <v/>
      </c>
    </row>
    <row r="7039">
      <c r="A7039">
        <f>TEST_DATA!A7039</f>
        <v/>
      </c>
      <c r="B7039">
        <f>TEST_DATA!B7039</f>
        <v/>
      </c>
      <c r="C7039">
        <f>TEST_DATA!C7039</f>
        <v/>
      </c>
      <c r="D7039">
        <f>TEST_DATA!D7039</f>
        <v/>
      </c>
      <c r="E7039">
        <f>TEST_DATA!E7039</f>
        <v/>
      </c>
    </row>
    <row r="7040">
      <c r="A7040">
        <f>TEST_DATA!A7040</f>
        <v/>
      </c>
      <c r="B7040">
        <f>TEST_DATA!B7040</f>
        <v/>
      </c>
      <c r="C7040">
        <f>TEST_DATA!C7040</f>
        <v/>
      </c>
      <c r="D7040">
        <f>TEST_DATA!D7040</f>
        <v/>
      </c>
      <c r="E7040">
        <f>TEST_DATA!E7040</f>
        <v/>
      </c>
    </row>
    <row r="7041">
      <c r="A7041">
        <f>TEST_DATA!A7041</f>
        <v/>
      </c>
      <c r="B7041">
        <f>TEST_DATA!B7041</f>
        <v/>
      </c>
      <c r="C7041">
        <f>TEST_DATA!C7041</f>
        <v/>
      </c>
      <c r="D7041">
        <f>TEST_DATA!D7041</f>
        <v/>
      </c>
      <c r="E7041">
        <f>TEST_DATA!E7041</f>
        <v/>
      </c>
    </row>
    <row r="7042">
      <c r="A7042">
        <f>TEST_DATA!A7042</f>
        <v/>
      </c>
      <c r="B7042">
        <f>TEST_DATA!B7042</f>
        <v/>
      </c>
      <c r="C7042">
        <f>TEST_DATA!C7042</f>
        <v/>
      </c>
      <c r="D7042">
        <f>TEST_DATA!D7042</f>
        <v/>
      </c>
      <c r="E7042">
        <f>TEST_DATA!E7042</f>
        <v/>
      </c>
    </row>
    <row r="7043">
      <c r="A7043">
        <f>TEST_DATA!A7043</f>
        <v/>
      </c>
      <c r="B7043">
        <f>TEST_DATA!B7043</f>
        <v/>
      </c>
      <c r="C7043">
        <f>TEST_DATA!C7043</f>
        <v/>
      </c>
      <c r="D7043">
        <f>TEST_DATA!D7043</f>
        <v/>
      </c>
      <c r="E7043">
        <f>TEST_DATA!E7043</f>
        <v/>
      </c>
    </row>
    <row r="7044">
      <c r="A7044">
        <f>TEST_DATA!A7044</f>
        <v/>
      </c>
      <c r="B7044">
        <f>TEST_DATA!B7044</f>
        <v/>
      </c>
      <c r="C7044">
        <f>TEST_DATA!C7044</f>
        <v/>
      </c>
      <c r="D7044">
        <f>TEST_DATA!D7044</f>
        <v/>
      </c>
      <c r="E7044">
        <f>TEST_DATA!E7044</f>
        <v/>
      </c>
    </row>
    <row r="7045">
      <c r="A7045">
        <f>TEST_DATA!A7045</f>
        <v/>
      </c>
      <c r="B7045">
        <f>TEST_DATA!B7045</f>
        <v/>
      </c>
      <c r="C7045">
        <f>TEST_DATA!C7045</f>
        <v/>
      </c>
      <c r="D7045">
        <f>TEST_DATA!D7045</f>
        <v/>
      </c>
      <c r="E7045">
        <f>TEST_DATA!E7045</f>
        <v/>
      </c>
    </row>
    <row r="7046">
      <c r="A7046">
        <f>TEST_DATA!A7046</f>
        <v/>
      </c>
      <c r="B7046">
        <f>TEST_DATA!B7046</f>
        <v/>
      </c>
      <c r="C7046">
        <f>TEST_DATA!C7046</f>
        <v/>
      </c>
      <c r="D7046">
        <f>TEST_DATA!D7046</f>
        <v/>
      </c>
      <c r="E7046">
        <f>TEST_DATA!E7046</f>
        <v/>
      </c>
    </row>
    <row r="7047">
      <c r="A7047">
        <f>TEST_DATA!A7047</f>
        <v/>
      </c>
      <c r="B7047">
        <f>TEST_DATA!B7047</f>
        <v/>
      </c>
      <c r="C7047">
        <f>TEST_DATA!C7047</f>
        <v/>
      </c>
      <c r="D7047">
        <f>TEST_DATA!D7047</f>
        <v/>
      </c>
      <c r="E7047">
        <f>TEST_DATA!E7047</f>
        <v/>
      </c>
    </row>
    <row r="7048">
      <c r="A7048">
        <f>TEST_DATA!A7048</f>
        <v/>
      </c>
      <c r="B7048">
        <f>TEST_DATA!B7048</f>
        <v/>
      </c>
      <c r="C7048">
        <f>TEST_DATA!C7048</f>
        <v/>
      </c>
      <c r="D7048">
        <f>TEST_DATA!D7048</f>
        <v/>
      </c>
      <c r="E7048">
        <f>TEST_DATA!E7048</f>
        <v/>
      </c>
    </row>
    <row r="7049">
      <c r="A7049">
        <f>TEST_DATA!A7049</f>
        <v/>
      </c>
      <c r="B7049">
        <f>TEST_DATA!B7049</f>
        <v/>
      </c>
      <c r="C7049">
        <f>TEST_DATA!C7049</f>
        <v/>
      </c>
      <c r="D7049">
        <f>TEST_DATA!D7049</f>
        <v/>
      </c>
      <c r="E7049">
        <f>TEST_DATA!E7049</f>
        <v/>
      </c>
    </row>
    <row r="7050">
      <c r="A7050">
        <f>TEST_DATA!A7050</f>
        <v/>
      </c>
      <c r="B7050">
        <f>TEST_DATA!B7050</f>
        <v/>
      </c>
      <c r="C7050">
        <f>TEST_DATA!C7050</f>
        <v/>
      </c>
      <c r="D7050">
        <f>TEST_DATA!D7050</f>
        <v/>
      </c>
      <c r="E7050">
        <f>TEST_DATA!E7050</f>
        <v/>
      </c>
    </row>
    <row r="7051">
      <c r="A7051">
        <f>TEST_DATA!A7051</f>
        <v/>
      </c>
      <c r="B7051">
        <f>TEST_DATA!B7051</f>
        <v/>
      </c>
      <c r="C7051">
        <f>TEST_DATA!C7051</f>
        <v/>
      </c>
      <c r="D7051">
        <f>TEST_DATA!D7051</f>
        <v/>
      </c>
      <c r="E7051">
        <f>TEST_DATA!E7051</f>
        <v/>
      </c>
    </row>
    <row r="7052">
      <c r="A7052">
        <f>TEST_DATA!A7052</f>
        <v/>
      </c>
      <c r="B7052">
        <f>TEST_DATA!B7052</f>
        <v/>
      </c>
      <c r="C7052">
        <f>TEST_DATA!C7052</f>
        <v/>
      </c>
      <c r="D7052">
        <f>TEST_DATA!D7052</f>
        <v/>
      </c>
      <c r="E7052">
        <f>TEST_DATA!E7052</f>
        <v/>
      </c>
    </row>
    <row r="7053">
      <c r="A7053">
        <f>TEST_DATA!A7053</f>
        <v/>
      </c>
      <c r="B7053">
        <f>TEST_DATA!B7053</f>
        <v/>
      </c>
      <c r="C7053">
        <f>TEST_DATA!C7053</f>
        <v/>
      </c>
      <c r="D7053">
        <f>TEST_DATA!D7053</f>
        <v/>
      </c>
      <c r="E7053">
        <f>TEST_DATA!E7053</f>
        <v/>
      </c>
    </row>
    <row r="7054">
      <c r="A7054">
        <f>TEST_DATA!A7054</f>
        <v/>
      </c>
      <c r="B7054">
        <f>TEST_DATA!B7054</f>
        <v/>
      </c>
      <c r="C7054">
        <f>TEST_DATA!C7054</f>
        <v/>
      </c>
      <c r="D7054">
        <f>TEST_DATA!D7054</f>
        <v/>
      </c>
      <c r="E7054">
        <f>TEST_DATA!E7054</f>
        <v/>
      </c>
    </row>
    <row r="7055">
      <c r="A7055">
        <f>TEST_DATA!A7055</f>
        <v/>
      </c>
      <c r="B7055">
        <f>TEST_DATA!B7055</f>
        <v/>
      </c>
      <c r="C7055">
        <f>TEST_DATA!C7055</f>
        <v/>
      </c>
      <c r="D7055">
        <f>TEST_DATA!D7055</f>
        <v/>
      </c>
      <c r="E7055">
        <f>TEST_DATA!E7055</f>
        <v/>
      </c>
    </row>
    <row r="7056">
      <c r="A7056">
        <f>TEST_DATA!A7056</f>
        <v/>
      </c>
      <c r="B7056">
        <f>TEST_DATA!B7056</f>
        <v/>
      </c>
      <c r="C7056">
        <f>TEST_DATA!C7056</f>
        <v/>
      </c>
      <c r="D7056">
        <f>TEST_DATA!D7056</f>
        <v/>
      </c>
      <c r="E7056">
        <f>TEST_DATA!E7056</f>
        <v/>
      </c>
    </row>
    <row r="7057">
      <c r="A7057">
        <f>TEST_DATA!A7057</f>
        <v/>
      </c>
      <c r="B7057">
        <f>TEST_DATA!B7057</f>
        <v/>
      </c>
      <c r="C7057">
        <f>TEST_DATA!C7057</f>
        <v/>
      </c>
      <c r="D7057">
        <f>TEST_DATA!D7057</f>
        <v/>
      </c>
      <c r="E7057">
        <f>TEST_DATA!E7057</f>
        <v/>
      </c>
    </row>
    <row r="7058">
      <c r="A7058">
        <f>TEST_DATA!A7058</f>
        <v/>
      </c>
      <c r="B7058">
        <f>TEST_DATA!B7058</f>
        <v/>
      </c>
      <c r="C7058">
        <f>TEST_DATA!C7058</f>
        <v/>
      </c>
      <c r="D7058">
        <f>TEST_DATA!D7058</f>
        <v/>
      </c>
      <c r="E7058">
        <f>TEST_DATA!E7058</f>
        <v/>
      </c>
    </row>
    <row r="7059">
      <c r="A7059">
        <f>TEST_DATA!A7059</f>
        <v/>
      </c>
      <c r="B7059">
        <f>TEST_DATA!B7059</f>
        <v/>
      </c>
      <c r="C7059">
        <f>TEST_DATA!C7059</f>
        <v/>
      </c>
      <c r="D7059">
        <f>TEST_DATA!D7059</f>
        <v/>
      </c>
      <c r="E7059">
        <f>TEST_DATA!E7059</f>
        <v/>
      </c>
    </row>
    <row r="7060">
      <c r="A7060">
        <f>TEST_DATA!A7060</f>
        <v/>
      </c>
      <c r="B7060">
        <f>TEST_DATA!B7060</f>
        <v/>
      </c>
      <c r="C7060">
        <f>TEST_DATA!C7060</f>
        <v/>
      </c>
      <c r="D7060">
        <f>TEST_DATA!D7060</f>
        <v/>
      </c>
      <c r="E7060">
        <f>TEST_DATA!E7060</f>
        <v/>
      </c>
    </row>
    <row r="7061">
      <c r="A7061">
        <f>TEST_DATA!A7061</f>
        <v/>
      </c>
      <c r="B7061">
        <f>TEST_DATA!B7061</f>
        <v/>
      </c>
      <c r="C7061">
        <f>TEST_DATA!C7061</f>
        <v/>
      </c>
      <c r="D7061">
        <f>TEST_DATA!D7061</f>
        <v/>
      </c>
      <c r="E7061">
        <f>TEST_DATA!E7061</f>
        <v/>
      </c>
    </row>
    <row r="7062">
      <c r="A7062">
        <f>TEST_DATA!A7062</f>
        <v/>
      </c>
      <c r="B7062">
        <f>TEST_DATA!B7062</f>
        <v/>
      </c>
      <c r="C7062">
        <f>TEST_DATA!C7062</f>
        <v/>
      </c>
      <c r="D7062">
        <f>TEST_DATA!D7062</f>
        <v/>
      </c>
      <c r="E7062">
        <f>TEST_DATA!E7062</f>
        <v/>
      </c>
    </row>
    <row r="7063">
      <c r="A7063">
        <f>TEST_DATA!A7063</f>
        <v/>
      </c>
      <c r="B7063">
        <f>TEST_DATA!B7063</f>
        <v/>
      </c>
      <c r="C7063">
        <f>TEST_DATA!C7063</f>
        <v/>
      </c>
      <c r="D7063">
        <f>TEST_DATA!D7063</f>
        <v/>
      </c>
      <c r="E7063">
        <f>TEST_DATA!E7063</f>
        <v/>
      </c>
    </row>
    <row r="7064">
      <c r="A7064">
        <f>TEST_DATA!A7064</f>
        <v/>
      </c>
      <c r="B7064">
        <f>TEST_DATA!B7064</f>
        <v/>
      </c>
      <c r="C7064">
        <f>TEST_DATA!C7064</f>
        <v/>
      </c>
      <c r="D7064">
        <f>TEST_DATA!D7064</f>
        <v/>
      </c>
      <c r="E7064">
        <f>TEST_DATA!E7064</f>
        <v/>
      </c>
    </row>
    <row r="7065">
      <c r="A7065">
        <f>TEST_DATA!A7065</f>
        <v/>
      </c>
      <c r="B7065">
        <f>TEST_DATA!B7065</f>
        <v/>
      </c>
      <c r="C7065">
        <f>TEST_DATA!C7065</f>
        <v/>
      </c>
      <c r="D7065">
        <f>TEST_DATA!D7065</f>
        <v/>
      </c>
      <c r="E7065">
        <f>TEST_DATA!E7065</f>
        <v/>
      </c>
    </row>
    <row r="7066">
      <c r="A7066">
        <f>TEST_DATA!A7066</f>
        <v/>
      </c>
      <c r="B7066">
        <f>TEST_DATA!B7066</f>
        <v/>
      </c>
      <c r="C7066">
        <f>TEST_DATA!C7066</f>
        <v/>
      </c>
      <c r="D7066">
        <f>TEST_DATA!D7066</f>
        <v/>
      </c>
      <c r="E7066">
        <f>TEST_DATA!E7066</f>
        <v/>
      </c>
    </row>
    <row r="7067">
      <c r="A7067">
        <f>TEST_DATA!A7067</f>
        <v/>
      </c>
      <c r="B7067">
        <f>TEST_DATA!B7067</f>
        <v/>
      </c>
      <c r="C7067">
        <f>TEST_DATA!C7067</f>
        <v/>
      </c>
      <c r="D7067">
        <f>TEST_DATA!D7067</f>
        <v/>
      </c>
      <c r="E7067">
        <f>TEST_DATA!E7067</f>
        <v/>
      </c>
    </row>
    <row r="7068">
      <c r="A7068">
        <f>TEST_DATA!A7068</f>
        <v/>
      </c>
      <c r="B7068">
        <f>TEST_DATA!B7068</f>
        <v/>
      </c>
      <c r="C7068">
        <f>TEST_DATA!C7068</f>
        <v/>
      </c>
      <c r="D7068">
        <f>TEST_DATA!D7068</f>
        <v/>
      </c>
      <c r="E7068">
        <f>TEST_DATA!E7068</f>
        <v/>
      </c>
    </row>
    <row r="7069">
      <c r="A7069">
        <f>TEST_DATA!A7069</f>
        <v/>
      </c>
      <c r="B7069">
        <f>TEST_DATA!B7069</f>
        <v/>
      </c>
      <c r="C7069">
        <f>TEST_DATA!C7069</f>
        <v/>
      </c>
      <c r="D7069">
        <f>TEST_DATA!D7069</f>
        <v/>
      </c>
      <c r="E7069">
        <f>TEST_DATA!E7069</f>
        <v/>
      </c>
    </row>
    <row r="7070">
      <c r="A7070">
        <f>TEST_DATA!A7070</f>
        <v/>
      </c>
      <c r="B7070">
        <f>TEST_DATA!B7070</f>
        <v/>
      </c>
      <c r="C7070">
        <f>TEST_DATA!C7070</f>
        <v/>
      </c>
      <c r="D7070">
        <f>TEST_DATA!D7070</f>
        <v/>
      </c>
      <c r="E7070">
        <f>TEST_DATA!E7070</f>
        <v/>
      </c>
    </row>
    <row r="7071">
      <c r="A7071">
        <f>TEST_DATA!A7071</f>
        <v/>
      </c>
      <c r="B7071">
        <f>TEST_DATA!B7071</f>
        <v/>
      </c>
      <c r="C7071">
        <f>TEST_DATA!C7071</f>
        <v/>
      </c>
      <c r="D7071">
        <f>TEST_DATA!D7071</f>
        <v/>
      </c>
      <c r="E7071">
        <f>TEST_DATA!E7071</f>
        <v/>
      </c>
    </row>
    <row r="7072">
      <c r="A7072">
        <f>TEST_DATA!A7072</f>
        <v/>
      </c>
      <c r="B7072">
        <f>TEST_DATA!B7072</f>
        <v/>
      </c>
      <c r="C7072">
        <f>TEST_DATA!C7072</f>
        <v/>
      </c>
      <c r="D7072">
        <f>TEST_DATA!D7072</f>
        <v/>
      </c>
      <c r="E7072">
        <f>TEST_DATA!E7072</f>
        <v/>
      </c>
    </row>
    <row r="7073">
      <c r="A7073">
        <f>TEST_DATA!A7073</f>
        <v/>
      </c>
      <c r="B7073">
        <f>TEST_DATA!B7073</f>
        <v/>
      </c>
      <c r="C7073">
        <f>TEST_DATA!C7073</f>
        <v/>
      </c>
      <c r="D7073">
        <f>TEST_DATA!D7073</f>
        <v/>
      </c>
      <c r="E7073">
        <f>TEST_DATA!E7073</f>
        <v/>
      </c>
    </row>
    <row r="7074">
      <c r="A7074">
        <f>TEST_DATA!A7074</f>
        <v/>
      </c>
      <c r="B7074">
        <f>TEST_DATA!B7074</f>
        <v/>
      </c>
      <c r="C7074">
        <f>TEST_DATA!C7074</f>
        <v/>
      </c>
      <c r="D7074">
        <f>TEST_DATA!D7074</f>
        <v/>
      </c>
      <c r="E7074">
        <f>TEST_DATA!E7074</f>
        <v/>
      </c>
    </row>
    <row r="7075">
      <c r="A7075">
        <f>TEST_DATA!A7075</f>
        <v/>
      </c>
      <c r="B7075">
        <f>TEST_DATA!B7075</f>
        <v/>
      </c>
      <c r="C7075">
        <f>TEST_DATA!C7075</f>
        <v/>
      </c>
      <c r="D7075">
        <f>TEST_DATA!D7075</f>
        <v/>
      </c>
      <c r="E7075">
        <f>TEST_DATA!E7075</f>
        <v/>
      </c>
    </row>
    <row r="7076">
      <c r="A7076">
        <f>TEST_DATA!A7076</f>
        <v/>
      </c>
      <c r="B7076">
        <f>TEST_DATA!B7076</f>
        <v/>
      </c>
      <c r="C7076">
        <f>TEST_DATA!C7076</f>
        <v/>
      </c>
      <c r="D7076">
        <f>TEST_DATA!D7076</f>
        <v/>
      </c>
      <c r="E7076">
        <f>TEST_DATA!E7076</f>
        <v/>
      </c>
    </row>
    <row r="7077">
      <c r="A7077">
        <f>TEST_DATA!A7077</f>
        <v/>
      </c>
      <c r="B7077">
        <f>TEST_DATA!B7077</f>
        <v/>
      </c>
      <c r="C7077">
        <f>TEST_DATA!C7077</f>
        <v/>
      </c>
      <c r="D7077">
        <f>TEST_DATA!D7077</f>
        <v/>
      </c>
      <c r="E7077">
        <f>TEST_DATA!E7077</f>
        <v/>
      </c>
    </row>
    <row r="7078">
      <c r="A7078">
        <f>TEST_DATA!A7078</f>
        <v/>
      </c>
      <c r="B7078">
        <f>TEST_DATA!B7078</f>
        <v/>
      </c>
      <c r="C7078">
        <f>TEST_DATA!C7078</f>
        <v/>
      </c>
      <c r="D7078">
        <f>TEST_DATA!D7078</f>
        <v/>
      </c>
      <c r="E7078">
        <f>TEST_DATA!E7078</f>
        <v/>
      </c>
    </row>
    <row r="7079">
      <c r="A7079">
        <f>TEST_DATA!A7079</f>
        <v/>
      </c>
      <c r="B7079">
        <f>TEST_DATA!B7079</f>
        <v/>
      </c>
      <c r="C7079">
        <f>TEST_DATA!C7079</f>
        <v/>
      </c>
      <c r="D7079">
        <f>TEST_DATA!D7079</f>
        <v/>
      </c>
      <c r="E7079">
        <f>TEST_DATA!E7079</f>
        <v/>
      </c>
    </row>
    <row r="7080">
      <c r="A7080">
        <f>TEST_DATA!A7080</f>
        <v/>
      </c>
      <c r="B7080">
        <f>TEST_DATA!B7080</f>
        <v/>
      </c>
      <c r="C7080">
        <f>TEST_DATA!C7080</f>
        <v/>
      </c>
      <c r="D7080">
        <f>TEST_DATA!D7080</f>
        <v/>
      </c>
      <c r="E7080">
        <f>TEST_DATA!E7080</f>
        <v/>
      </c>
    </row>
    <row r="7081">
      <c r="A7081">
        <f>TEST_DATA!A7081</f>
        <v/>
      </c>
      <c r="B7081">
        <f>TEST_DATA!B7081</f>
        <v/>
      </c>
      <c r="C7081">
        <f>TEST_DATA!C7081</f>
        <v/>
      </c>
      <c r="D7081">
        <f>TEST_DATA!D7081</f>
        <v/>
      </c>
      <c r="E7081">
        <f>TEST_DATA!E7081</f>
        <v/>
      </c>
    </row>
    <row r="7082">
      <c r="A7082">
        <f>TEST_DATA!A7082</f>
        <v/>
      </c>
      <c r="B7082">
        <f>TEST_DATA!B7082</f>
        <v/>
      </c>
      <c r="C7082">
        <f>TEST_DATA!C7082</f>
        <v/>
      </c>
      <c r="D7082">
        <f>TEST_DATA!D7082</f>
        <v/>
      </c>
      <c r="E7082">
        <f>TEST_DATA!E7082</f>
        <v/>
      </c>
    </row>
    <row r="7083">
      <c r="A7083">
        <f>TEST_DATA!A7083</f>
        <v/>
      </c>
      <c r="B7083">
        <f>TEST_DATA!B7083</f>
        <v/>
      </c>
      <c r="C7083">
        <f>TEST_DATA!C7083</f>
        <v/>
      </c>
      <c r="D7083">
        <f>TEST_DATA!D7083</f>
        <v/>
      </c>
      <c r="E7083">
        <f>TEST_DATA!E7083</f>
        <v/>
      </c>
    </row>
    <row r="7084">
      <c r="A7084">
        <f>TEST_DATA!A7084</f>
        <v/>
      </c>
      <c r="B7084">
        <f>TEST_DATA!B7084</f>
        <v/>
      </c>
      <c r="C7084">
        <f>TEST_DATA!C7084</f>
        <v/>
      </c>
      <c r="D7084">
        <f>TEST_DATA!D7084</f>
        <v/>
      </c>
      <c r="E7084">
        <f>TEST_DATA!E7084</f>
        <v/>
      </c>
    </row>
    <row r="7085">
      <c r="A7085">
        <f>TEST_DATA!A7085</f>
        <v/>
      </c>
      <c r="B7085">
        <f>TEST_DATA!B7085</f>
        <v/>
      </c>
      <c r="C7085">
        <f>TEST_DATA!C7085</f>
        <v/>
      </c>
      <c r="D7085">
        <f>TEST_DATA!D7085</f>
        <v/>
      </c>
      <c r="E7085">
        <f>TEST_DATA!E7085</f>
        <v/>
      </c>
    </row>
    <row r="7086">
      <c r="A7086">
        <f>TEST_DATA!A7086</f>
        <v/>
      </c>
      <c r="B7086">
        <f>TEST_DATA!B7086</f>
        <v/>
      </c>
      <c r="C7086">
        <f>TEST_DATA!C7086</f>
        <v/>
      </c>
      <c r="D7086">
        <f>TEST_DATA!D7086</f>
        <v/>
      </c>
      <c r="E7086">
        <f>TEST_DATA!E7086</f>
        <v/>
      </c>
    </row>
    <row r="7087">
      <c r="A7087">
        <f>TEST_DATA!A7087</f>
        <v/>
      </c>
      <c r="B7087">
        <f>TEST_DATA!B7087</f>
        <v/>
      </c>
      <c r="C7087">
        <f>TEST_DATA!C7087</f>
        <v/>
      </c>
      <c r="D7087">
        <f>TEST_DATA!D7087</f>
        <v/>
      </c>
      <c r="E7087">
        <f>TEST_DATA!E7087</f>
        <v/>
      </c>
    </row>
    <row r="7088">
      <c r="A7088">
        <f>TEST_DATA!A7088</f>
        <v/>
      </c>
      <c r="B7088">
        <f>TEST_DATA!B7088</f>
        <v/>
      </c>
      <c r="C7088">
        <f>TEST_DATA!C7088</f>
        <v/>
      </c>
      <c r="D7088">
        <f>TEST_DATA!D7088</f>
        <v/>
      </c>
      <c r="E7088">
        <f>TEST_DATA!E7088</f>
        <v/>
      </c>
    </row>
    <row r="7089">
      <c r="A7089">
        <f>TEST_DATA!A7089</f>
        <v/>
      </c>
      <c r="B7089">
        <f>TEST_DATA!B7089</f>
        <v/>
      </c>
      <c r="C7089">
        <f>TEST_DATA!C7089</f>
        <v/>
      </c>
      <c r="D7089">
        <f>TEST_DATA!D7089</f>
        <v/>
      </c>
      <c r="E7089">
        <f>TEST_DATA!E7089</f>
        <v/>
      </c>
    </row>
    <row r="7090">
      <c r="A7090">
        <f>TEST_DATA!A7090</f>
        <v/>
      </c>
      <c r="B7090">
        <f>TEST_DATA!B7090</f>
        <v/>
      </c>
      <c r="C7090">
        <f>TEST_DATA!C7090</f>
        <v/>
      </c>
      <c r="D7090">
        <f>TEST_DATA!D7090</f>
        <v/>
      </c>
      <c r="E7090">
        <f>TEST_DATA!E7090</f>
        <v/>
      </c>
    </row>
    <row r="7091">
      <c r="A7091">
        <f>TEST_DATA!A7091</f>
        <v/>
      </c>
      <c r="B7091">
        <f>TEST_DATA!B7091</f>
        <v/>
      </c>
      <c r="C7091">
        <f>TEST_DATA!C7091</f>
        <v/>
      </c>
      <c r="D7091">
        <f>TEST_DATA!D7091</f>
        <v/>
      </c>
      <c r="E7091">
        <f>TEST_DATA!E7091</f>
        <v/>
      </c>
    </row>
    <row r="7092">
      <c r="A7092">
        <f>TEST_DATA!A7092</f>
        <v/>
      </c>
      <c r="B7092">
        <f>TEST_DATA!B7092</f>
        <v/>
      </c>
      <c r="C7092">
        <f>TEST_DATA!C7092</f>
        <v/>
      </c>
      <c r="D7092">
        <f>TEST_DATA!D7092</f>
        <v/>
      </c>
      <c r="E7092">
        <f>TEST_DATA!E7092</f>
        <v/>
      </c>
    </row>
    <row r="7093">
      <c r="A7093">
        <f>TEST_DATA!A7093</f>
        <v/>
      </c>
      <c r="B7093">
        <f>TEST_DATA!B7093</f>
        <v/>
      </c>
      <c r="C7093">
        <f>TEST_DATA!C7093</f>
        <v/>
      </c>
      <c r="D7093">
        <f>TEST_DATA!D7093</f>
        <v/>
      </c>
      <c r="E7093">
        <f>TEST_DATA!E7093</f>
        <v/>
      </c>
    </row>
    <row r="7094">
      <c r="A7094">
        <f>TEST_DATA!A7094</f>
        <v/>
      </c>
      <c r="B7094">
        <f>TEST_DATA!B7094</f>
        <v/>
      </c>
      <c r="C7094">
        <f>TEST_DATA!C7094</f>
        <v/>
      </c>
      <c r="D7094">
        <f>TEST_DATA!D7094</f>
        <v/>
      </c>
      <c r="E7094">
        <f>TEST_DATA!E7094</f>
        <v/>
      </c>
    </row>
    <row r="7095">
      <c r="A7095">
        <f>TEST_DATA!A7095</f>
        <v/>
      </c>
      <c r="B7095">
        <f>TEST_DATA!B7095</f>
        <v/>
      </c>
      <c r="C7095">
        <f>TEST_DATA!C7095</f>
        <v/>
      </c>
      <c r="D7095">
        <f>TEST_DATA!D7095</f>
        <v/>
      </c>
      <c r="E7095">
        <f>TEST_DATA!E7095</f>
        <v/>
      </c>
    </row>
    <row r="7096">
      <c r="A7096">
        <f>TEST_DATA!A7096</f>
        <v/>
      </c>
      <c r="B7096">
        <f>TEST_DATA!B7096</f>
        <v/>
      </c>
      <c r="C7096">
        <f>TEST_DATA!C7096</f>
        <v/>
      </c>
      <c r="D7096">
        <f>TEST_DATA!D7096</f>
        <v/>
      </c>
      <c r="E7096">
        <f>TEST_DATA!E7096</f>
        <v/>
      </c>
    </row>
    <row r="7097">
      <c r="A7097">
        <f>TEST_DATA!A7097</f>
        <v/>
      </c>
      <c r="B7097">
        <f>TEST_DATA!B7097</f>
        <v/>
      </c>
      <c r="C7097">
        <f>TEST_DATA!C7097</f>
        <v/>
      </c>
      <c r="D7097">
        <f>TEST_DATA!D7097</f>
        <v/>
      </c>
      <c r="E7097">
        <f>TEST_DATA!E7097</f>
        <v/>
      </c>
    </row>
    <row r="7098">
      <c r="A7098">
        <f>TEST_DATA!A7098</f>
        <v/>
      </c>
      <c r="B7098">
        <f>TEST_DATA!B7098</f>
        <v/>
      </c>
      <c r="C7098">
        <f>TEST_DATA!C7098</f>
        <v/>
      </c>
      <c r="D7098">
        <f>TEST_DATA!D7098</f>
        <v/>
      </c>
      <c r="E7098">
        <f>TEST_DATA!E7098</f>
        <v/>
      </c>
    </row>
    <row r="7099">
      <c r="A7099">
        <f>TEST_DATA!A7099</f>
        <v/>
      </c>
      <c r="B7099">
        <f>TEST_DATA!B7099</f>
        <v/>
      </c>
      <c r="C7099">
        <f>TEST_DATA!C7099</f>
        <v/>
      </c>
      <c r="D7099">
        <f>TEST_DATA!D7099</f>
        <v/>
      </c>
      <c r="E7099">
        <f>TEST_DATA!E7099</f>
        <v/>
      </c>
    </row>
    <row r="7100">
      <c r="A7100">
        <f>TEST_DATA!A7100</f>
        <v/>
      </c>
      <c r="B7100">
        <f>TEST_DATA!B7100</f>
        <v/>
      </c>
      <c r="C7100">
        <f>TEST_DATA!C7100</f>
        <v/>
      </c>
      <c r="D7100">
        <f>TEST_DATA!D7100</f>
        <v/>
      </c>
      <c r="E7100">
        <f>TEST_DATA!E7100</f>
        <v/>
      </c>
    </row>
    <row r="7101">
      <c r="A7101">
        <f>TEST_DATA!A7101</f>
        <v/>
      </c>
      <c r="B7101">
        <f>TEST_DATA!B7101</f>
        <v/>
      </c>
      <c r="C7101">
        <f>TEST_DATA!C7101</f>
        <v/>
      </c>
      <c r="D7101">
        <f>TEST_DATA!D7101</f>
        <v/>
      </c>
      <c r="E7101">
        <f>TEST_DATA!E7101</f>
        <v/>
      </c>
    </row>
    <row r="7102">
      <c r="A7102">
        <f>TEST_DATA!A7102</f>
        <v/>
      </c>
      <c r="B7102">
        <f>TEST_DATA!B7102</f>
        <v/>
      </c>
      <c r="C7102">
        <f>TEST_DATA!C7102</f>
        <v/>
      </c>
      <c r="D7102">
        <f>TEST_DATA!D7102</f>
        <v/>
      </c>
      <c r="E7102">
        <f>TEST_DATA!E7102</f>
        <v/>
      </c>
    </row>
    <row r="7103">
      <c r="A7103">
        <f>TEST_DATA!A7103</f>
        <v/>
      </c>
      <c r="B7103">
        <f>TEST_DATA!B7103</f>
        <v/>
      </c>
      <c r="C7103">
        <f>TEST_DATA!C7103</f>
        <v/>
      </c>
      <c r="D7103">
        <f>TEST_DATA!D7103</f>
        <v/>
      </c>
      <c r="E7103">
        <f>TEST_DATA!E7103</f>
        <v/>
      </c>
    </row>
    <row r="7104">
      <c r="A7104">
        <f>TEST_DATA!A7104</f>
        <v/>
      </c>
      <c r="B7104">
        <f>TEST_DATA!B7104</f>
        <v/>
      </c>
      <c r="C7104">
        <f>TEST_DATA!C7104</f>
        <v/>
      </c>
      <c r="D7104">
        <f>TEST_DATA!D7104</f>
        <v/>
      </c>
      <c r="E7104">
        <f>TEST_DATA!E7104</f>
        <v/>
      </c>
    </row>
    <row r="7105">
      <c r="A7105">
        <f>TEST_DATA!A7105</f>
        <v/>
      </c>
      <c r="B7105">
        <f>TEST_DATA!B7105</f>
        <v/>
      </c>
      <c r="C7105">
        <f>TEST_DATA!C7105</f>
        <v/>
      </c>
      <c r="D7105">
        <f>TEST_DATA!D7105</f>
        <v/>
      </c>
      <c r="E7105">
        <f>TEST_DATA!E7105</f>
        <v/>
      </c>
    </row>
    <row r="7106">
      <c r="A7106">
        <f>TEST_DATA!A7106</f>
        <v/>
      </c>
      <c r="B7106">
        <f>TEST_DATA!B7106</f>
        <v/>
      </c>
      <c r="C7106">
        <f>TEST_DATA!C7106</f>
        <v/>
      </c>
      <c r="D7106">
        <f>TEST_DATA!D7106</f>
        <v/>
      </c>
      <c r="E7106">
        <f>TEST_DATA!E7106</f>
        <v/>
      </c>
    </row>
    <row r="7107">
      <c r="A7107">
        <f>TEST_DATA!A7107</f>
        <v/>
      </c>
      <c r="B7107">
        <f>TEST_DATA!B7107</f>
        <v/>
      </c>
      <c r="C7107">
        <f>TEST_DATA!C7107</f>
        <v/>
      </c>
      <c r="D7107">
        <f>TEST_DATA!D7107</f>
        <v/>
      </c>
      <c r="E7107">
        <f>TEST_DATA!E7107</f>
        <v/>
      </c>
    </row>
    <row r="7108">
      <c r="A7108">
        <f>TEST_DATA!A7108</f>
        <v/>
      </c>
      <c r="B7108">
        <f>TEST_DATA!B7108</f>
        <v/>
      </c>
      <c r="C7108">
        <f>TEST_DATA!C7108</f>
        <v/>
      </c>
      <c r="D7108">
        <f>TEST_DATA!D7108</f>
        <v/>
      </c>
      <c r="E7108">
        <f>TEST_DATA!E7108</f>
        <v/>
      </c>
    </row>
    <row r="7109">
      <c r="A7109">
        <f>TEST_DATA!A7109</f>
        <v/>
      </c>
      <c r="B7109">
        <f>TEST_DATA!B7109</f>
        <v/>
      </c>
      <c r="C7109">
        <f>TEST_DATA!C7109</f>
        <v/>
      </c>
      <c r="D7109">
        <f>TEST_DATA!D7109</f>
        <v/>
      </c>
      <c r="E7109">
        <f>TEST_DATA!E7109</f>
        <v/>
      </c>
    </row>
    <row r="7110">
      <c r="A7110">
        <f>TEST_DATA!A7110</f>
        <v/>
      </c>
      <c r="B7110">
        <f>TEST_DATA!B7110</f>
        <v/>
      </c>
      <c r="C7110">
        <f>TEST_DATA!C7110</f>
        <v/>
      </c>
      <c r="D7110">
        <f>TEST_DATA!D7110</f>
        <v/>
      </c>
      <c r="E7110">
        <f>TEST_DATA!E7110</f>
        <v/>
      </c>
    </row>
    <row r="7111">
      <c r="A7111">
        <f>TEST_DATA!A7111</f>
        <v/>
      </c>
      <c r="B7111">
        <f>TEST_DATA!B7111</f>
        <v/>
      </c>
      <c r="C7111">
        <f>TEST_DATA!C7111</f>
        <v/>
      </c>
      <c r="D7111">
        <f>TEST_DATA!D7111</f>
        <v/>
      </c>
      <c r="E7111">
        <f>TEST_DATA!E7111</f>
        <v/>
      </c>
    </row>
    <row r="7112">
      <c r="A7112">
        <f>TEST_DATA!A7112</f>
        <v/>
      </c>
      <c r="B7112">
        <f>TEST_DATA!B7112</f>
        <v/>
      </c>
      <c r="C7112">
        <f>TEST_DATA!C7112</f>
        <v/>
      </c>
      <c r="D7112">
        <f>TEST_DATA!D7112</f>
        <v/>
      </c>
      <c r="E7112">
        <f>TEST_DATA!E7112</f>
        <v/>
      </c>
    </row>
    <row r="7113">
      <c r="A7113">
        <f>TEST_DATA!A7113</f>
        <v/>
      </c>
      <c r="B7113">
        <f>TEST_DATA!B7113</f>
        <v/>
      </c>
      <c r="C7113">
        <f>TEST_DATA!C7113</f>
        <v/>
      </c>
      <c r="D7113">
        <f>TEST_DATA!D7113</f>
        <v/>
      </c>
      <c r="E7113">
        <f>TEST_DATA!E7113</f>
        <v/>
      </c>
    </row>
    <row r="7114">
      <c r="A7114">
        <f>TEST_DATA!A7114</f>
        <v/>
      </c>
      <c r="B7114">
        <f>TEST_DATA!B7114</f>
        <v/>
      </c>
      <c r="C7114">
        <f>TEST_DATA!C7114</f>
        <v/>
      </c>
      <c r="D7114">
        <f>TEST_DATA!D7114</f>
        <v/>
      </c>
      <c r="E7114">
        <f>TEST_DATA!E7114</f>
        <v/>
      </c>
    </row>
    <row r="7115">
      <c r="A7115">
        <f>TEST_DATA!A7115</f>
        <v/>
      </c>
      <c r="B7115">
        <f>TEST_DATA!B7115</f>
        <v/>
      </c>
      <c r="C7115">
        <f>TEST_DATA!C7115</f>
        <v/>
      </c>
      <c r="D7115">
        <f>TEST_DATA!D7115</f>
        <v/>
      </c>
      <c r="E7115">
        <f>TEST_DATA!E7115</f>
        <v/>
      </c>
    </row>
    <row r="7116">
      <c r="A7116">
        <f>TEST_DATA!A7116</f>
        <v/>
      </c>
      <c r="B7116">
        <f>TEST_DATA!B7116</f>
        <v/>
      </c>
      <c r="C7116">
        <f>TEST_DATA!C7116</f>
        <v/>
      </c>
      <c r="D7116">
        <f>TEST_DATA!D7116</f>
        <v/>
      </c>
      <c r="E7116">
        <f>TEST_DATA!E7116</f>
        <v/>
      </c>
    </row>
    <row r="7117">
      <c r="A7117">
        <f>TEST_DATA!A7117</f>
        <v/>
      </c>
      <c r="B7117">
        <f>TEST_DATA!B7117</f>
        <v/>
      </c>
      <c r="C7117">
        <f>TEST_DATA!C7117</f>
        <v/>
      </c>
      <c r="D7117">
        <f>TEST_DATA!D7117</f>
        <v/>
      </c>
      <c r="E7117">
        <f>TEST_DATA!E7117</f>
        <v/>
      </c>
    </row>
    <row r="7118">
      <c r="A7118">
        <f>TEST_DATA!A7118</f>
        <v/>
      </c>
      <c r="B7118">
        <f>TEST_DATA!B7118</f>
        <v/>
      </c>
      <c r="C7118">
        <f>TEST_DATA!C7118</f>
        <v/>
      </c>
      <c r="D7118">
        <f>TEST_DATA!D7118</f>
        <v/>
      </c>
      <c r="E7118">
        <f>TEST_DATA!E7118</f>
        <v/>
      </c>
    </row>
    <row r="7119">
      <c r="A7119">
        <f>TEST_DATA!A7119</f>
        <v/>
      </c>
      <c r="B7119">
        <f>TEST_DATA!B7119</f>
        <v/>
      </c>
      <c r="C7119">
        <f>TEST_DATA!C7119</f>
        <v/>
      </c>
      <c r="D7119">
        <f>TEST_DATA!D7119</f>
        <v/>
      </c>
      <c r="E7119">
        <f>TEST_DATA!E7119</f>
        <v/>
      </c>
    </row>
    <row r="7120">
      <c r="A7120">
        <f>TEST_DATA!A7120</f>
        <v/>
      </c>
      <c r="B7120">
        <f>TEST_DATA!B7120</f>
        <v/>
      </c>
      <c r="C7120">
        <f>TEST_DATA!C7120</f>
        <v/>
      </c>
      <c r="D7120">
        <f>TEST_DATA!D7120</f>
        <v/>
      </c>
      <c r="E7120">
        <f>TEST_DATA!E7120</f>
        <v/>
      </c>
    </row>
    <row r="7121">
      <c r="A7121">
        <f>TEST_DATA!A7121</f>
        <v/>
      </c>
      <c r="B7121">
        <f>TEST_DATA!B7121</f>
        <v/>
      </c>
      <c r="C7121">
        <f>TEST_DATA!C7121</f>
        <v/>
      </c>
      <c r="D7121">
        <f>TEST_DATA!D7121</f>
        <v/>
      </c>
      <c r="E7121">
        <f>TEST_DATA!E7121</f>
        <v/>
      </c>
    </row>
    <row r="7122">
      <c r="A7122">
        <f>TEST_DATA!A7122</f>
        <v/>
      </c>
      <c r="B7122">
        <f>TEST_DATA!B7122</f>
        <v/>
      </c>
      <c r="C7122">
        <f>TEST_DATA!C7122</f>
        <v/>
      </c>
      <c r="D7122">
        <f>TEST_DATA!D7122</f>
        <v/>
      </c>
      <c r="E7122">
        <f>TEST_DATA!E7122</f>
        <v/>
      </c>
    </row>
    <row r="7123">
      <c r="A7123">
        <f>TEST_DATA!A7123</f>
        <v/>
      </c>
      <c r="B7123">
        <f>TEST_DATA!B7123</f>
        <v/>
      </c>
      <c r="C7123">
        <f>TEST_DATA!C7123</f>
        <v/>
      </c>
      <c r="D7123">
        <f>TEST_DATA!D7123</f>
        <v/>
      </c>
      <c r="E7123">
        <f>TEST_DATA!E7123</f>
        <v/>
      </c>
    </row>
    <row r="7124">
      <c r="A7124">
        <f>TEST_DATA!A7124</f>
        <v/>
      </c>
      <c r="B7124">
        <f>TEST_DATA!B7124</f>
        <v/>
      </c>
      <c r="C7124">
        <f>TEST_DATA!C7124</f>
        <v/>
      </c>
      <c r="D7124">
        <f>TEST_DATA!D7124</f>
        <v/>
      </c>
      <c r="E7124">
        <f>TEST_DATA!E7124</f>
        <v/>
      </c>
    </row>
    <row r="7125">
      <c r="A7125">
        <f>TEST_DATA!A7125</f>
        <v/>
      </c>
      <c r="B7125">
        <f>TEST_DATA!B7125</f>
        <v/>
      </c>
      <c r="C7125">
        <f>TEST_DATA!C7125</f>
        <v/>
      </c>
      <c r="D7125">
        <f>TEST_DATA!D7125</f>
        <v/>
      </c>
      <c r="E7125">
        <f>TEST_DATA!E7125</f>
        <v/>
      </c>
    </row>
    <row r="7126">
      <c r="A7126">
        <f>TEST_DATA!A7126</f>
        <v/>
      </c>
      <c r="B7126">
        <f>TEST_DATA!B7126</f>
        <v/>
      </c>
      <c r="C7126">
        <f>TEST_DATA!C7126</f>
        <v/>
      </c>
      <c r="D7126">
        <f>TEST_DATA!D7126</f>
        <v/>
      </c>
      <c r="E7126">
        <f>TEST_DATA!E7126</f>
        <v/>
      </c>
    </row>
    <row r="7127">
      <c r="A7127">
        <f>TEST_DATA!A7127</f>
        <v/>
      </c>
      <c r="B7127">
        <f>TEST_DATA!B7127</f>
        <v/>
      </c>
      <c r="C7127">
        <f>TEST_DATA!C7127</f>
        <v/>
      </c>
      <c r="D7127">
        <f>TEST_DATA!D7127</f>
        <v/>
      </c>
      <c r="E7127">
        <f>TEST_DATA!E7127</f>
        <v/>
      </c>
    </row>
    <row r="7128">
      <c r="A7128">
        <f>TEST_DATA!A7128</f>
        <v/>
      </c>
      <c r="B7128">
        <f>TEST_DATA!B7128</f>
        <v/>
      </c>
      <c r="C7128">
        <f>TEST_DATA!C7128</f>
        <v/>
      </c>
      <c r="D7128">
        <f>TEST_DATA!D7128</f>
        <v/>
      </c>
      <c r="E7128">
        <f>TEST_DATA!E7128</f>
        <v/>
      </c>
    </row>
    <row r="7129">
      <c r="A7129">
        <f>TEST_DATA!A7129</f>
        <v/>
      </c>
      <c r="B7129">
        <f>TEST_DATA!B7129</f>
        <v/>
      </c>
      <c r="C7129">
        <f>TEST_DATA!C7129</f>
        <v/>
      </c>
      <c r="D7129">
        <f>TEST_DATA!D7129</f>
        <v/>
      </c>
      <c r="E7129">
        <f>TEST_DATA!E7129</f>
        <v/>
      </c>
    </row>
    <row r="7130">
      <c r="A7130">
        <f>TEST_DATA!A7130</f>
        <v/>
      </c>
      <c r="B7130">
        <f>TEST_DATA!B7130</f>
        <v/>
      </c>
      <c r="C7130">
        <f>TEST_DATA!C7130</f>
        <v/>
      </c>
      <c r="D7130">
        <f>TEST_DATA!D7130</f>
        <v/>
      </c>
      <c r="E7130">
        <f>TEST_DATA!E7130</f>
        <v/>
      </c>
    </row>
    <row r="7131">
      <c r="A7131">
        <f>TEST_DATA!A7131</f>
        <v/>
      </c>
      <c r="B7131">
        <f>TEST_DATA!B7131</f>
        <v/>
      </c>
      <c r="C7131">
        <f>TEST_DATA!C7131</f>
        <v/>
      </c>
      <c r="D7131">
        <f>TEST_DATA!D7131</f>
        <v/>
      </c>
      <c r="E7131">
        <f>TEST_DATA!E7131</f>
        <v/>
      </c>
    </row>
    <row r="7132">
      <c r="A7132">
        <f>TEST_DATA!A7132</f>
        <v/>
      </c>
      <c r="B7132">
        <f>TEST_DATA!B7132</f>
        <v/>
      </c>
      <c r="C7132">
        <f>TEST_DATA!C7132</f>
        <v/>
      </c>
      <c r="D7132">
        <f>TEST_DATA!D7132</f>
        <v/>
      </c>
      <c r="E7132">
        <f>TEST_DATA!E7132</f>
        <v/>
      </c>
    </row>
    <row r="7133">
      <c r="A7133">
        <f>TEST_DATA!A7133</f>
        <v/>
      </c>
      <c r="B7133">
        <f>TEST_DATA!B7133</f>
        <v/>
      </c>
      <c r="C7133">
        <f>TEST_DATA!C7133</f>
        <v/>
      </c>
      <c r="D7133">
        <f>TEST_DATA!D7133</f>
        <v/>
      </c>
      <c r="E7133">
        <f>TEST_DATA!E7133</f>
        <v/>
      </c>
    </row>
    <row r="7134">
      <c r="A7134">
        <f>TEST_DATA!A7134</f>
        <v/>
      </c>
      <c r="B7134">
        <f>TEST_DATA!B7134</f>
        <v/>
      </c>
      <c r="C7134">
        <f>TEST_DATA!C7134</f>
        <v/>
      </c>
      <c r="D7134">
        <f>TEST_DATA!D7134</f>
        <v/>
      </c>
      <c r="E7134">
        <f>TEST_DATA!E7134</f>
        <v/>
      </c>
    </row>
    <row r="7135">
      <c r="A7135">
        <f>TEST_DATA!A7135</f>
        <v/>
      </c>
      <c r="B7135">
        <f>TEST_DATA!B7135</f>
        <v/>
      </c>
      <c r="C7135">
        <f>TEST_DATA!C7135</f>
        <v/>
      </c>
      <c r="D7135">
        <f>TEST_DATA!D7135</f>
        <v/>
      </c>
      <c r="E7135">
        <f>TEST_DATA!E7135</f>
        <v/>
      </c>
    </row>
    <row r="7136">
      <c r="A7136">
        <f>TEST_DATA!A7136</f>
        <v/>
      </c>
      <c r="B7136">
        <f>TEST_DATA!B7136</f>
        <v/>
      </c>
      <c r="C7136">
        <f>TEST_DATA!C7136</f>
        <v/>
      </c>
      <c r="D7136">
        <f>TEST_DATA!D7136</f>
        <v/>
      </c>
      <c r="E7136">
        <f>TEST_DATA!E7136</f>
        <v/>
      </c>
    </row>
    <row r="7137">
      <c r="A7137">
        <f>TEST_DATA!A7137</f>
        <v/>
      </c>
      <c r="B7137">
        <f>TEST_DATA!B7137</f>
        <v/>
      </c>
      <c r="C7137">
        <f>TEST_DATA!C7137</f>
        <v/>
      </c>
      <c r="D7137">
        <f>TEST_DATA!D7137</f>
        <v/>
      </c>
      <c r="E7137">
        <f>TEST_DATA!E7137</f>
        <v/>
      </c>
    </row>
    <row r="7138">
      <c r="A7138">
        <f>TEST_DATA!A7138</f>
        <v/>
      </c>
      <c r="B7138">
        <f>TEST_DATA!B7138</f>
        <v/>
      </c>
      <c r="C7138">
        <f>TEST_DATA!C7138</f>
        <v/>
      </c>
      <c r="D7138">
        <f>TEST_DATA!D7138</f>
        <v/>
      </c>
      <c r="E7138">
        <f>TEST_DATA!E7138</f>
        <v/>
      </c>
    </row>
    <row r="7139">
      <c r="A7139">
        <f>TEST_DATA!A7139</f>
        <v/>
      </c>
      <c r="B7139">
        <f>TEST_DATA!B7139</f>
        <v/>
      </c>
      <c r="C7139">
        <f>TEST_DATA!C7139</f>
        <v/>
      </c>
      <c r="D7139">
        <f>TEST_DATA!D7139</f>
        <v/>
      </c>
      <c r="E7139">
        <f>TEST_DATA!E7139</f>
        <v/>
      </c>
    </row>
    <row r="7140">
      <c r="A7140">
        <f>TEST_DATA!A7140</f>
        <v/>
      </c>
      <c r="B7140">
        <f>TEST_DATA!B7140</f>
        <v/>
      </c>
      <c r="C7140">
        <f>TEST_DATA!C7140</f>
        <v/>
      </c>
      <c r="D7140">
        <f>TEST_DATA!D7140</f>
        <v/>
      </c>
      <c r="E7140">
        <f>TEST_DATA!E7140</f>
        <v/>
      </c>
    </row>
    <row r="7141">
      <c r="A7141">
        <f>TEST_DATA!A7141</f>
        <v/>
      </c>
      <c r="B7141">
        <f>TEST_DATA!B7141</f>
        <v/>
      </c>
      <c r="C7141">
        <f>TEST_DATA!C7141</f>
        <v/>
      </c>
      <c r="D7141">
        <f>TEST_DATA!D7141</f>
        <v/>
      </c>
      <c r="E7141">
        <f>TEST_DATA!E7141</f>
        <v/>
      </c>
    </row>
    <row r="7142">
      <c r="A7142">
        <f>TEST_DATA!A7142</f>
        <v/>
      </c>
      <c r="B7142">
        <f>TEST_DATA!B7142</f>
        <v/>
      </c>
      <c r="C7142">
        <f>TEST_DATA!C7142</f>
        <v/>
      </c>
      <c r="D7142">
        <f>TEST_DATA!D7142</f>
        <v/>
      </c>
      <c r="E7142">
        <f>TEST_DATA!E7142</f>
        <v/>
      </c>
    </row>
    <row r="7143">
      <c r="A7143">
        <f>TEST_DATA!A7143</f>
        <v/>
      </c>
      <c r="B7143">
        <f>TEST_DATA!B7143</f>
        <v/>
      </c>
      <c r="C7143">
        <f>TEST_DATA!C7143</f>
        <v/>
      </c>
      <c r="D7143">
        <f>TEST_DATA!D7143</f>
        <v/>
      </c>
      <c r="E7143">
        <f>TEST_DATA!E7143</f>
        <v/>
      </c>
    </row>
    <row r="7144">
      <c r="A7144">
        <f>TEST_DATA!A7144</f>
        <v/>
      </c>
      <c r="B7144">
        <f>TEST_DATA!B7144</f>
        <v/>
      </c>
      <c r="C7144">
        <f>TEST_DATA!C7144</f>
        <v/>
      </c>
      <c r="D7144">
        <f>TEST_DATA!D7144</f>
        <v/>
      </c>
      <c r="E7144">
        <f>TEST_DATA!E7144</f>
        <v/>
      </c>
    </row>
    <row r="7145">
      <c r="A7145">
        <f>TEST_DATA!A7145</f>
        <v/>
      </c>
      <c r="B7145">
        <f>TEST_DATA!B7145</f>
        <v/>
      </c>
      <c r="C7145">
        <f>TEST_DATA!C7145</f>
        <v/>
      </c>
      <c r="D7145">
        <f>TEST_DATA!D7145</f>
        <v/>
      </c>
      <c r="E7145">
        <f>TEST_DATA!E7145</f>
        <v/>
      </c>
    </row>
    <row r="7146">
      <c r="A7146">
        <f>TEST_DATA!A7146</f>
        <v/>
      </c>
      <c r="B7146">
        <f>TEST_DATA!B7146</f>
        <v/>
      </c>
      <c r="C7146">
        <f>TEST_DATA!C7146</f>
        <v/>
      </c>
      <c r="D7146">
        <f>TEST_DATA!D7146</f>
        <v/>
      </c>
      <c r="E7146">
        <f>TEST_DATA!E7146</f>
        <v/>
      </c>
    </row>
    <row r="7147">
      <c r="A7147">
        <f>TEST_DATA!A7147</f>
        <v/>
      </c>
      <c r="B7147">
        <f>TEST_DATA!B7147</f>
        <v/>
      </c>
      <c r="C7147">
        <f>TEST_DATA!C7147</f>
        <v/>
      </c>
      <c r="D7147">
        <f>TEST_DATA!D7147</f>
        <v/>
      </c>
      <c r="E7147">
        <f>TEST_DATA!E7147</f>
        <v/>
      </c>
    </row>
    <row r="7148">
      <c r="A7148">
        <f>TEST_DATA!A7148</f>
        <v/>
      </c>
      <c r="B7148">
        <f>TEST_DATA!B7148</f>
        <v/>
      </c>
      <c r="C7148">
        <f>TEST_DATA!C7148</f>
        <v/>
      </c>
      <c r="D7148">
        <f>TEST_DATA!D7148</f>
        <v/>
      </c>
      <c r="E7148">
        <f>TEST_DATA!E7148</f>
        <v/>
      </c>
    </row>
    <row r="7149">
      <c r="A7149">
        <f>TEST_DATA!A7149</f>
        <v/>
      </c>
      <c r="B7149">
        <f>TEST_DATA!B7149</f>
        <v/>
      </c>
      <c r="C7149">
        <f>TEST_DATA!C7149</f>
        <v/>
      </c>
      <c r="D7149">
        <f>TEST_DATA!D7149</f>
        <v/>
      </c>
      <c r="E7149">
        <f>TEST_DATA!E7149</f>
        <v/>
      </c>
    </row>
    <row r="7150">
      <c r="A7150">
        <f>TEST_DATA!A7150</f>
        <v/>
      </c>
      <c r="B7150">
        <f>TEST_DATA!B7150</f>
        <v/>
      </c>
      <c r="C7150">
        <f>TEST_DATA!C7150</f>
        <v/>
      </c>
      <c r="D7150">
        <f>TEST_DATA!D7150</f>
        <v/>
      </c>
      <c r="E7150">
        <f>TEST_DATA!E7150</f>
        <v/>
      </c>
    </row>
    <row r="7151">
      <c r="A7151">
        <f>TEST_DATA!A7151</f>
        <v/>
      </c>
      <c r="B7151">
        <f>TEST_DATA!B7151</f>
        <v/>
      </c>
      <c r="C7151">
        <f>TEST_DATA!C7151</f>
        <v/>
      </c>
      <c r="D7151">
        <f>TEST_DATA!D7151</f>
        <v/>
      </c>
      <c r="E7151">
        <f>TEST_DATA!E7151</f>
        <v/>
      </c>
    </row>
    <row r="7152">
      <c r="A7152">
        <f>TEST_DATA!A7152</f>
        <v/>
      </c>
      <c r="B7152">
        <f>TEST_DATA!B7152</f>
        <v/>
      </c>
      <c r="C7152">
        <f>TEST_DATA!C7152</f>
        <v/>
      </c>
      <c r="D7152">
        <f>TEST_DATA!D7152</f>
        <v/>
      </c>
      <c r="E7152">
        <f>TEST_DATA!E7152</f>
        <v/>
      </c>
    </row>
    <row r="7153">
      <c r="A7153">
        <f>TEST_DATA!A7153</f>
        <v/>
      </c>
      <c r="B7153">
        <f>TEST_DATA!B7153</f>
        <v/>
      </c>
      <c r="C7153">
        <f>TEST_DATA!C7153</f>
        <v/>
      </c>
      <c r="D7153">
        <f>TEST_DATA!D7153</f>
        <v/>
      </c>
      <c r="E7153">
        <f>TEST_DATA!E7153</f>
        <v/>
      </c>
    </row>
    <row r="7154">
      <c r="A7154">
        <f>TEST_DATA!A7154</f>
        <v/>
      </c>
      <c r="B7154">
        <f>TEST_DATA!B7154</f>
        <v/>
      </c>
      <c r="C7154">
        <f>TEST_DATA!C7154</f>
        <v/>
      </c>
      <c r="D7154">
        <f>TEST_DATA!D7154</f>
        <v/>
      </c>
      <c r="E7154">
        <f>TEST_DATA!E7154</f>
        <v/>
      </c>
    </row>
    <row r="7155">
      <c r="A7155">
        <f>TEST_DATA!A7155</f>
        <v/>
      </c>
      <c r="B7155">
        <f>TEST_DATA!B7155</f>
        <v/>
      </c>
      <c r="C7155">
        <f>TEST_DATA!C7155</f>
        <v/>
      </c>
      <c r="D7155">
        <f>TEST_DATA!D7155</f>
        <v/>
      </c>
      <c r="E7155">
        <f>TEST_DATA!E7155</f>
        <v/>
      </c>
    </row>
    <row r="7156">
      <c r="A7156">
        <f>TEST_DATA!A7156</f>
        <v/>
      </c>
      <c r="B7156">
        <f>TEST_DATA!B7156</f>
        <v/>
      </c>
      <c r="C7156">
        <f>TEST_DATA!C7156</f>
        <v/>
      </c>
      <c r="D7156">
        <f>TEST_DATA!D7156</f>
        <v/>
      </c>
      <c r="E7156">
        <f>TEST_DATA!E7156</f>
        <v/>
      </c>
    </row>
    <row r="7157">
      <c r="A7157">
        <f>TEST_DATA!A7157</f>
        <v/>
      </c>
      <c r="B7157">
        <f>TEST_DATA!B7157</f>
        <v/>
      </c>
      <c r="C7157">
        <f>TEST_DATA!C7157</f>
        <v/>
      </c>
      <c r="D7157">
        <f>TEST_DATA!D7157</f>
        <v/>
      </c>
      <c r="E7157">
        <f>TEST_DATA!E7157</f>
        <v/>
      </c>
    </row>
    <row r="7158">
      <c r="A7158">
        <f>TEST_DATA!A7158</f>
        <v/>
      </c>
      <c r="B7158">
        <f>TEST_DATA!B7158</f>
        <v/>
      </c>
      <c r="C7158">
        <f>TEST_DATA!C7158</f>
        <v/>
      </c>
      <c r="D7158">
        <f>TEST_DATA!D7158</f>
        <v/>
      </c>
      <c r="E7158">
        <f>TEST_DATA!E7158</f>
        <v/>
      </c>
    </row>
    <row r="7159">
      <c r="A7159">
        <f>TEST_DATA!A7159</f>
        <v/>
      </c>
      <c r="B7159">
        <f>TEST_DATA!B7159</f>
        <v/>
      </c>
      <c r="C7159">
        <f>TEST_DATA!C7159</f>
        <v/>
      </c>
      <c r="D7159">
        <f>TEST_DATA!D7159</f>
        <v/>
      </c>
      <c r="E7159">
        <f>TEST_DATA!E7159</f>
        <v/>
      </c>
    </row>
    <row r="7160">
      <c r="A7160">
        <f>TEST_DATA!A7160</f>
        <v/>
      </c>
      <c r="B7160">
        <f>TEST_DATA!B7160</f>
        <v/>
      </c>
      <c r="C7160">
        <f>TEST_DATA!C7160</f>
        <v/>
      </c>
      <c r="D7160">
        <f>TEST_DATA!D7160</f>
        <v/>
      </c>
      <c r="E7160">
        <f>TEST_DATA!E7160</f>
        <v/>
      </c>
    </row>
    <row r="7161">
      <c r="A7161">
        <f>TEST_DATA!A7161</f>
        <v/>
      </c>
      <c r="B7161">
        <f>TEST_DATA!B7161</f>
        <v/>
      </c>
      <c r="C7161">
        <f>TEST_DATA!C7161</f>
        <v/>
      </c>
      <c r="D7161">
        <f>TEST_DATA!D7161</f>
        <v/>
      </c>
      <c r="E7161">
        <f>TEST_DATA!E7161</f>
        <v/>
      </c>
    </row>
    <row r="7162">
      <c r="A7162">
        <f>TEST_DATA!A7162</f>
        <v/>
      </c>
      <c r="B7162">
        <f>TEST_DATA!B7162</f>
        <v/>
      </c>
      <c r="C7162">
        <f>TEST_DATA!C7162</f>
        <v/>
      </c>
      <c r="D7162">
        <f>TEST_DATA!D7162</f>
        <v/>
      </c>
      <c r="E7162">
        <f>TEST_DATA!E7162</f>
        <v/>
      </c>
    </row>
    <row r="7163">
      <c r="A7163">
        <f>TEST_DATA!A7163</f>
        <v/>
      </c>
      <c r="B7163">
        <f>TEST_DATA!B7163</f>
        <v/>
      </c>
      <c r="C7163">
        <f>TEST_DATA!C7163</f>
        <v/>
      </c>
      <c r="D7163">
        <f>TEST_DATA!D7163</f>
        <v/>
      </c>
      <c r="E7163">
        <f>TEST_DATA!E7163</f>
        <v/>
      </c>
    </row>
    <row r="7164">
      <c r="A7164">
        <f>TEST_DATA!A7164</f>
        <v/>
      </c>
      <c r="B7164">
        <f>TEST_DATA!B7164</f>
        <v/>
      </c>
      <c r="C7164">
        <f>TEST_DATA!C7164</f>
        <v/>
      </c>
      <c r="D7164">
        <f>TEST_DATA!D7164</f>
        <v/>
      </c>
      <c r="E7164">
        <f>TEST_DATA!E7164</f>
        <v/>
      </c>
    </row>
    <row r="7165">
      <c r="A7165">
        <f>TEST_DATA!A7165</f>
        <v/>
      </c>
      <c r="B7165">
        <f>TEST_DATA!B7165</f>
        <v/>
      </c>
      <c r="C7165">
        <f>TEST_DATA!C7165</f>
        <v/>
      </c>
      <c r="D7165">
        <f>TEST_DATA!D7165</f>
        <v/>
      </c>
      <c r="E7165">
        <f>TEST_DATA!E7165</f>
        <v/>
      </c>
    </row>
    <row r="7166">
      <c r="A7166">
        <f>TEST_DATA!A7166</f>
        <v/>
      </c>
      <c r="B7166">
        <f>TEST_DATA!B7166</f>
        <v/>
      </c>
      <c r="C7166">
        <f>TEST_DATA!C7166</f>
        <v/>
      </c>
      <c r="D7166">
        <f>TEST_DATA!D7166</f>
        <v/>
      </c>
      <c r="E7166">
        <f>TEST_DATA!E7166</f>
        <v/>
      </c>
    </row>
    <row r="7167">
      <c r="A7167">
        <f>TEST_DATA!A7167</f>
        <v/>
      </c>
      <c r="B7167">
        <f>TEST_DATA!B7167</f>
        <v/>
      </c>
      <c r="C7167">
        <f>TEST_DATA!C7167</f>
        <v/>
      </c>
      <c r="D7167">
        <f>TEST_DATA!D7167</f>
        <v/>
      </c>
      <c r="E7167">
        <f>TEST_DATA!E7167</f>
        <v/>
      </c>
    </row>
    <row r="7168">
      <c r="A7168">
        <f>TEST_DATA!A7168</f>
        <v/>
      </c>
      <c r="B7168">
        <f>TEST_DATA!B7168</f>
        <v/>
      </c>
      <c r="C7168">
        <f>TEST_DATA!C7168</f>
        <v/>
      </c>
      <c r="D7168">
        <f>TEST_DATA!D7168</f>
        <v/>
      </c>
      <c r="E7168">
        <f>TEST_DATA!E7168</f>
        <v/>
      </c>
    </row>
    <row r="7169">
      <c r="A7169">
        <f>TEST_DATA!A7169</f>
        <v/>
      </c>
      <c r="B7169">
        <f>TEST_DATA!B7169</f>
        <v/>
      </c>
      <c r="C7169">
        <f>TEST_DATA!C7169</f>
        <v/>
      </c>
      <c r="D7169">
        <f>TEST_DATA!D7169</f>
        <v/>
      </c>
      <c r="E7169">
        <f>TEST_DATA!E7169</f>
        <v/>
      </c>
    </row>
    <row r="7170">
      <c r="A7170">
        <f>TEST_DATA!A7170</f>
        <v/>
      </c>
      <c r="B7170">
        <f>TEST_DATA!B7170</f>
        <v/>
      </c>
      <c r="C7170">
        <f>TEST_DATA!C7170</f>
        <v/>
      </c>
      <c r="D7170">
        <f>TEST_DATA!D7170</f>
        <v/>
      </c>
      <c r="E7170">
        <f>TEST_DATA!E7170</f>
        <v/>
      </c>
    </row>
    <row r="7171">
      <c r="A7171">
        <f>TEST_DATA!A7171</f>
        <v/>
      </c>
      <c r="B7171">
        <f>TEST_DATA!B7171</f>
        <v/>
      </c>
      <c r="C7171">
        <f>TEST_DATA!C7171</f>
        <v/>
      </c>
      <c r="D7171">
        <f>TEST_DATA!D7171</f>
        <v/>
      </c>
      <c r="E7171">
        <f>TEST_DATA!E7171</f>
        <v/>
      </c>
    </row>
    <row r="7172">
      <c r="A7172">
        <f>TEST_DATA!A7172</f>
        <v/>
      </c>
      <c r="B7172">
        <f>TEST_DATA!B7172</f>
        <v/>
      </c>
      <c r="C7172">
        <f>TEST_DATA!C7172</f>
        <v/>
      </c>
      <c r="D7172">
        <f>TEST_DATA!D7172</f>
        <v/>
      </c>
      <c r="E7172">
        <f>TEST_DATA!E7172</f>
        <v/>
      </c>
    </row>
    <row r="7173">
      <c r="A7173">
        <f>TEST_DATA!A7173</f>
        <v/>
      </c>
      <c r="B7173">
        <f>TEST_DATA!B7173</f>
        <v/>
      </c>
      <c r="C7173">
        <f>TEST_DATA!C7173</f>
        <v/>
      </c>
      <c r="D7173">
        <f>TEST_DATA!D7173</f>
        <v/>
      </c>
      <c r="E7173">
        <f>TEST_DATA!E7173</f>
        <v/>
      </c>
    </row>
    <row r="7174">
      <c r="A7174">
        <f>TEST_DATA!A7174</f>
        <v/>
      </c>
      <c r="B7174">
        <f>TEST_DATA!B7174</f>
        <v/>
      </c>
      <c r="C7174">
        <f>TEST_DATA!C7174</f>
        <v/>
      </c>
      <c r="D7174">
        <f>TEST_DATA!D7174</f>
        <v/>
      </c>
      <c r="E7174">
        <f>TEST_DATA!E7174</f>
        <v/>
      </c>
    </row>
    <row r="7175">
      <c r="A7175">
        <f>TEST_DATA!A7175</f>
        <v/>
      </c>
      <c r="B7175">
        <f>TEST_DATA!B7175</f>
        <v/>
      </c>
      <c r="C7175">
        <f>TEST_DATA!C7175</f>
        <v/>
      </c>
      <c r="D7175">
        <f>TEST_DATA!D7175</f>
        <v/>
      </c>
      <c r="E7175">
        <f>TEST_DATA!E7175</f>
        <v/>
      </c>
    </row>
    <row r="7176">
      <c r="A7176">
        <f>TEST_DATA!A7176</f>
        <v/>
      </c>
      <c r="B7176">
        <f>TEST_DATA!B7176</f>
        <v/>
      </c>
      <c r="C7176">
        <f>TEST_DATA!C7176</f>
        <v/>
      </c>
      <c r="D7176">
        <f>TEST_DATA!D7176</f>
        <v/>
      </c>
      <c r="E7176">
        <f>TEST_DATA!E7176</f>
        <v/>
      </c>
    </row>
    <row r="7177">
      <c r="A7177">
        <f>TEST_DATA!A7177</f>
        <v/>
      </c>
      <c r="B7177">
        <f>TEST_DATA!B7177</f>
        <v/>
      </c>
      <c r="C7177">
        <f>TEST_DATA!C7177</f>
        <v/>
      </c>
      <c r="D7177">
        <f>TEST_DATA!D7177</f>
        <v/>
      </c>
      <c r="E7177">
        <f>TEST_DATA!E7177</f>
        <v/>
      </c>
    </row>
    <row r="7178">
      <c r="A7178">
        <f>TEST_DATA!A7178</f>
        <v/>
      </c>
      <c r="B7178">
        <f>TEST_DATA!B7178</f>
        <v/>
      </c>
      <c r="C7178">
        <f>TEST_DATA!C7178</f>
        <v/>
      </c>
      <c r="D7178">
        <f>TEST_DATA!D7178</f>
        <v/>
      </c>
      <c r="E7178">
        <f>TEST_DATA!E7178</f>
        <v/>
      </c>
    </row>
    <row r="7179">
      <c r="A7179">
        <f>TEST_DATA!A7179</f>
        <v/>
      </c>
      <c r="B7179">
        <f>TEST_DATA!B7179</f>
        <v/>
      </c>
      <c r="C7179">
        <f>TEST_DATA!C7179</f>
        <v/>
      </c>
      <c r="D7179">
        <f>TEST_DATA!D7179</f>
        <v/>
      </c>
      <c r="E7179">
        <f>TEST_DATA!E7179</f>
        <v/>
      </c>
    </row>
    <row r="7180">
      <c r="A7180">
        <f>TEST_DATA!A7180</f>
        <v/>
      </c>
      <c r="B7180">
        <f>TEST_DATA!B7180</f>
        <v/>
      </c>
      <c r="C7180">
        <f>TEST_DATA!C7180</f>
        <v/>
      </c>
      <c r="D7180">
        <f>TEST_DATA!D7180</f>
        <v/>
      </c>
      <c r="E7180">
        <f>TEST_DATA!E7180</f>
        <v/>
      </c>
    </row>
    <row r="7181">
      <c r="A7181">
        <f>TEST_DATA!A7181</f>
        <v/>
      </c>
      <c r="B7181">
        <f>TEST_DATA!B7181</f>
        <v/>
      </c>
      <c r="C7181">
        <f>TEST_DATA!C7181</f>
        <v/>
      </c>
      <c r="D7181">
        <f>TEST_DATA!D7181</f>
        <v/>
      </c>
      <c r="E7181">
        <f>TEST_DATA!E7181</f>
        <v/>
      </c>
    </row>
    <row r="7182">
      <c r="A7182">
        <f>TEST_DATA!A7182</f>
        <v/>
      </c>
      <c r="B7182">
        <f>TEST_DATA!B7182</f>
        <v/>
      </c>
      <c r="C7182">
        <f>TEST_DATA!C7182</f>
        <v/>
      </c>
      <c r="D7182">
        <f>TEST_DATA!D7182</f>
        <v/>
      </c>
      <c r="E7182">
        <f>TEST_DATA!E7182</f>
        <v/>
      </c>
    </row>
    <row r="7183">
      <c r="A7183">
        <f>TEST_DATA!A7183</f>
        <v/>
      </c>
      <c r="B7183">
        <f>TEST_DATA!B7183</f>
        <v/>
      </c>
      <c r="C7183">
        <f>TEST_DATA!C7183</f>
        <v/>
      </c>
      <c r="D7183">
        <f>TEST_DATA!D7183</f>
        <v/>
      </c>
      <c r="E7183">
        <f>TEST_DATA!E7183</f>
        <v/>
      </c>
    </row>
    <row r="7184">
      <c r="A7184">
        <f>TEST_DATA!A7184</f>
        <v/>
      </c>
      <c r="B7184">
        <f>TEST_DATA!B7184</f>
        <v/>
      </c>
      <c r="C7184">
        <f>TEST_DATA!C7184</f>
        <v/>
      </c>
      <c r="D7184">
        <f>TEST_DATA!D7184</f>
        <v/>
      </c>
      <c r="E7184">
        <f>TEST_DATA!E7184</f>
        <v/>
      </c>
    </row>
    <row r="7185">
      <c r="A7185">
        <f>TEST_DATA!A7185</f>
        <v/>
      </c>
      <c r="B7185">
        <f>TEST_DATA!B7185</f>
        <v/>
      </c>
      <c r="C7185">
        <f>TEST_DATA!C7185</f>
        <v/>
      </c>
      <c r="D7185">
        <f>TEST_DATA!D7185</f>
        <v/>
      </c>
      <c r="E7185">
        <f>TEST_DATA!E7185</f>
        <v/>
      </c>
    </row>
    <row r="7186">
      <c r="A7186">
        <f>TEST_DATA!A7186</f>
        <v/>
      </c>
      <c r="B7186">
        <f>TEST_DATA!B7186</f>
        <v/>
      </c>
      <c r="C7186">
        <f>TEST_DATA!C7186</f>
        <v/>
      </c>
      <c r="D7186">
        <f>TEST_DATA!D7186</f>
        <v/>
      </c>
      <c r="E7186">
        <f>TEST_DATA!E7186</f>
        <v/>
      </c>
    </row>
    <row r="7187">
      <c r="A7187">
        <f>TEST_DATA!A7187</f>
        <v/>
      </c>
      <c r="B7187">
        <f>TEST_DATA!B7187</f>
        <v/>
      </c>
      <c r="C7187">
        <f>TEST_DATA!C7187</f>
        <v/>
      </c>
      <c r="D7187">
        <f>TEST_DATA!D7187</f>
        <v/>
      </c>
      <c r="E7187">
        <f>TEST_DATA!E7187</f>
        <v/>
      </c>
    </row>
    <row r="7188">
      <c r="A7188">
        <f>TEST_DATA!A7188</f>
        <v/>
      </c>
      <c r="B7188">
        <f>TEST_DATA!B7188</f>
        <v/>
      </c>
      <c r="C7188">
        <f>TEST_DATA!C7188</f>
        <v/>
      </c>
      <c r="D7188">
        <f>TEST_DATA!D7188</f>
        <v/>
      </c>
      <c r="E7188">
        <f>TEST_DATA!E7188</f>
        <v/>
      </c>
    </row>
    <row r="7189">
      <c r="A7189">
        <f>TEST_DATA!A7189</f>
        <v/>
      </c>
      <c r="B7189">
        <f>TEST_DATA!B7189</f>
        <v/>
      </c>
      <c r="C7189">
        <f>TEST_DATA!C7189</f>
        <v/>
      </c>
      <c r="D7189">
        <f>TEST_DATA!D7189</f>
        <v/>
      </c>
      <c r="E7189">
        <f>TEST_DATA!E7189</f>
        <v/>
      </c>
    </row>
    <row r="7190">
      <c r="A7190">
        <f>TEST_DATA!A7190</f>
        <v/>
      </c>
      <c r="B7190">
        <f>TEST_DATA!B7190</f>
        <v/>
      </c>
      <c r="C7190">
        <f>TEST_DATA!C7190</f>
        <v/>
      </c>
      <c r="D7190">
        <f>TEST_DATA!D7190</f>
        <v/>
      </c>
      <c r="E7190">
        <f>TEST_DATA!E7190</f>
        <v/>
      </c>
    </row>
    <row r="7191">
      <c r="A7191">
        <f>TEST_DATA!A7191</f>
        <v/>
      </c>
      <c r="B7191">
        <f>TEST_DATA!B7191</f>
        <v/>
      </c>
      <c r="C7191">
        <f>TEST_DATA!C7191</f>
        <v/>
      </c>
      <c r="D7191">
        <f>TEST_DATA!D7191</f>
        <v/>
      </c>
      <c r="E7191">
        <f>TEST_DATA!E7191</f>
        <v/>
      </c>
    </row>
    <row r="7192">
      <c r="A7192">
        <f>TEST_DATA!A7192</f>
        <v/>
      </c>
      <c r="B7192">
        <f>TEST_DATA!B7192</f>
        <v/>
      </c>
      <c r="C7192">
        <f>TEST_DATA!C7192</f>
        <v/>
      </c>
      <c r="D7192">
        <f>TEST_DATA!D7192</f>
        <v/>
      </c>
      <c r="E7192">
        <f>TEST_DATA!E7192</f>
        <v/>
      </c>
    </row>
    <row r="7193">
      <c r="A7193">
        <f>TEST_DATA!A7193</f>
        <v/>
      </c>
      <c r="B7193">
        <f>TEST_DATA!B7193</f>
        <v/>
      </c>
      <c r="C7193">
        <f>TEST_DATA!C7193</f>
        <v/>
      </c>
      <c r="D7193">
        <f>TEST_DATA!D7193</f>
        <v/>
      </c>
      <c r="E7193">
        <f>TEST_DATA!E7193</f>
        <v/>
      </c>
    </row>
    <row r="7194">
      <c r="A7194">
        <f>TEST_DATA!A7194</f>
        <v/>
      </c>
      <c r="B7194">
        <f>TEST_DATA!B7194</f>
        <v/>
      </c>
      <c r="C7194">
        <f>TEST_DATA!C7194</f>
        <v/>
      </c>
      <c r="D7194">
        <f>TEST_DATA!D7194</f>
        <v/>
      </c>
      <c r="E7194">
        <f>TEST_DATA!E7194</f>
        <v/>
      </c>
    </row>
    <row r="7195">
      <c r="A7195">
        <f>TEST_DATA!A7195</f>
        <v/>
      </c>
      <c r="B7195">
        <f>TEST_DATA!B7195</f>
        <v/>
      </c>
      <c r="C7195">
        <f>TEST_DATA!C7195</f>
        <v/>
      </c>
      <c r="D7195">
        <f>TEST_DATA!D7195</f>
        <v/>
      </c>
      <c r="E7195">
        <f>TEST_DATA!E7195</f>
        <v/>
      </c>
    </row>
    <row r="7196">
      <c r="A7196">
        <f>TEST_DATA!A7196</f>
        <v/>
      </c>
      <c r="B7196">
        <f>TEST_DATA!B7196</f>
        <v/>
      </c>
      <c r="C7196">
        <f>TEST_DATA!C7196</f>
        <v/>
      </c>
      <c r="D7196">
        <f>TEST_DATA!D7196</f>
        <v/>
      </c>
      <c r="E7196">
        <f>TEST_DATA!E7196</f>
        <v/>
      </c>
    </row>
    <row r="7197">
      <c r="A7197">
        <f>TEST_DATA!A7197</f>
        <v/>
      </c>
      <c r="B7197">
        <f>TEST_DATA!B7197</f>
        <v/>
      </c>
      <c r="C7197">
        <f>TEST_DATA!C7197</f>
        <v/>
      </c>
      <c r="D7197">
        <f>TEST_DATA!D7197</f>
        <v/>
      </c>
      <c r="E7197">
        <f>TEST_DATA!E7197</f>
        <v/>
      </c>
    </row>
    <row r="7198">
      <c r="A7198">
        <f>TEST_DATA!A7198</f>
        <v/>
      </c>
      <c r="B7198">
        <f>TEST_DATA!B7198</f>
        <v/>
      </c>
      <c r="C7198">
        <f>TEST_DATA!C7198</f>
        <v/>
      </c>
      <c r="D7198">
        <f>TEST_DATA!D7198</f>
        <v/>
      </c>
      <c r="E7198">
        <f>TEST_DATA!E7198</f>
        <v/>
      </c>
    </row>
    <row r="7199">
      <c r="A7199">
        <f>TEST_DATA!A7199</f>
        <v/>
      </c>
      <c r="B7199">
        <f>TEST_DATA!B7199</f>
        <v/>
      </c>
      <c r="C7199">
        <f>TEST_DATA!C7199</f>
        <v/>
      </c>
      <c r="D7199">
        <f>TEST_DATA!D7199</f>
        <v/>
      </c>
      <c r="E7199">
        <f>TEST_DATA!E7199</f>
        <v/>
      </c>
    </row>
    <row r="7200">
      <c r="A7200">
        <f>TEST_DATA!A7200</f>
        <v/>
      </c>
      <c r="B7200">
        <f>TEST_DATA!B7200</f>
        <v/>
      </c>
      <c r="C7200">
        <f>TEST_DATA!C7200</f>
        <v/>
      </c>
      <c r="D7200">
        <f>TEST_DATA!D7200</f>
        <v/>
      </c>
      <c r="E7200">
        <f>TEST_DATA!E7200</f>
        <v/>
      </c>
    </row>
    <row r="7201">
      <c r="A7201">
        <f>TEST_DATA!A7201</f>
        <v/>
      </c>
      <c r="B7201">
        <f>TEST_DATA!B7201</f>
        <v/>
      </c>
      <c r="C7201">
        <f>TEST_DATA!C7201</f>
        <v/>
      </c>
      <c r="D7201">
        <f>TEST_DATA!D7201</f>
        <v/>
      </c>
      <c r="E7201">
        <f>TEST_DATA!E7201</f>
        <v/>
      </c>
    </row>
    <row r="7202">
      <c r="A7202">
        <f>TEST_DATA!A7202</f>
        <v/>
      </c>
      <c r="B7202">
        <f>TEST_DATA!B7202</f>
        <v/>
      </c>
      <c r="C7202">
        <f>TEST_DATA!C7202</f>
        <v/>
      </c>
      <c r="D7202">
        <f>TEST_DATA!D7202</f>
        <v/>
      </c>
      <c r="E7202">
        <f>TEST_DATA!E7202</f>
        <v/>
      </c>
    </row>
    <row r="7203">
      <c r="A7203">
        <f>TEST_DATA!A7203</f>
        <v/>
      </c>
      <c r="B7203">
        <f>TEST_DATA!B7203</f>
        <v/>
      </c>
      <c r="C7203">
        <f>TEST_DATA!C7203</f>
        <v/>
      </c>
      <c r="D7203">
        <f>TEST_DATA!D7203</f>
        <v/>
      </c>
      <c r="E7203">
        <f>TEST_DATA!E7203</f>
        <v/>
      </c>
    </row>
    <row r="7204">
      <c r="A7204">
        <f>TEST_DATA!A7204</f>
        <v/>
      </c>
      <c r="B7204">
        <f>TEST_DATA!B7204</f>
        <v/>
      </c>
      <c r="C7204">
        <f>TEST_DATA!C7204</f>
        <v/>
      </c>
      <c r="D7204">
        <f>TEST_DATA!D7204</f>
        <v/>
      </c>
      <c r="E7204">
        <f>TEST_DATA!E7204</f>
        <v/>
      </c>
    </row>
    <row r="7205">
      <c r="A7205">
        <f>TEST_DATA!A7205</f>
        <v/>
      </c>
      <c r="B7205">
        <f>TEST_DATA!B7205</f>
        <v/>
      </c>
      <c r="C7205">
        <f>TEST_DATA!C7205</f>
        <v/>
      </c>
      <c r="D7205">
        <f>TEST_DATA!D7205</f>
        <v/>
      </c>
      <c r="E7205">
        <f>TEST_DATA!E7205</f>
        <v/>
      </c>
    </row>
    <row r="7206">
      <c r="A7206">
        <f>TEST_DATA!A7206</f>
        <v/>
      </c>
      <c r="B7206">
        <f>TEST_DATA!B7206</f>
        <v/>
      </c>
      <c r="C7206">
        <f>TEST_DATA!C7206</f>
        <v/>
      </c>
      <c r="D7206">
        <f>TEST_DATA!D7206</f>
        <v/>
      </c>
      <c r="E7206">
        <f>TEST_DATA!E7206</f>
        <v/>
      </c>
    </row>
    <row r="7207">
      <c r="A7207">
        <f>TEST_DATA!A7207</f>
        <v/>
      </c>
      <c r="B7207">
        <f>TEST_DATA!B7207</f>
        <v/>
      </c>
      <c r="C7207">
        <f>TEST_DATA!C7207</f>
        <v/>
      </c>
      <c r="D7207">
        <f>TEST_DATA!D7207</f>
        <v/>
      </c>
      <c r="E7207">
        <f>TEST_DATA!E7207</f>
        <v/>
      </c>
    </row>
    <row r="7208">
      <c r="A7208">
        <f>TEST_DATA!A7208</f>
        <v/>
      </c>
      <c r="B7208">
        <f>TEST_DATA!B7208</f>
        <v/>
      </c>
      <c r="C7208">
        <f>TEST_DATA!C7208</f>
        <v/>
      </c>
      <c r="D7208">
        <f>TEST_DATA!D7208</f>
        <v/>
      </c>
      <c r="E7208">
        <f>TEST_DATA!E7208</f>
        <v/>
      </c>
    </row>
    <row r="7209">
      <c r="A7209">
        <f>TEST_DATA!A7209</f>
        <v/>
      </c>
      <c r="B7209">
        <f>TEST_DATA!B7209</f>
        <v/>
      </c>
      <c r="C7209">
        <f>TEST_DATA!C7209</f>
        <v/>
      </c>
      <c r="D7209">
        <f>TEST_DATA!D7209</f>
        <v/>
      </c>
      <c r="E7209">
        <f>TEST_DATA!E7209</f>
        <v/>
      </c>
    </row>
    <row r="7210">
      <c r="A7210">
        <f>TEST_DATA!A7210</f>
        <v/>
      </c>
      <c r="B7210">
        <f>TEST_DATA!B7210</f>
        <v/>
      </c>
      <c r="C7210">
        <f>TEST_DATA!C7210</f>
        <v/>
      </c>
      <c r="D7210">
        <f>TEST_DATA!D7210</f>
        <v/>
      </c>
      <c r="E7210">
        <f>TEST_DATA!E7210</f>
        <v/>
      </c>
    </row>
    <row r="7211">
      <c r="A7211">
        <f>TEST_DATA!A7211</f>
        <v/>
      </c>
      <c r="B7211">
        <f>TEST_DATA!B7211</f>
        <v/>
      </c>
      <c r="C7211">
        <f>TEST_DATA!C7211</f>
        <v/>
      </c>
      <c r="D7211">
        <f>TEST_DATA!D7211</f>
        <v/>
      </c>
      <c r="E7211">
        <f>TEST_DATA!E7211</f>
        <v/>
      </c>
    </row>
    <row r="7212">
      <c r="A7212">
        <f>TEST_DATA!A7212</f>
        <v/>
      </c>
      <c r="B7212">
        <f>TEST_DATA!B7212</f>
        <v/>
      </c>
      <c r="C7212">
        <f>TEST_DATA!C7212</f>
        <v/>
      </c>
      <c r="D7212">
        <f>TEST_DATA!D7212</f>
        <v/>
      </c>
      <c r="E7212">
        <f>TEST_DATA!E7212</f>
        <v/>
      </c>
    </row>
    <row r="7213">
      <c r="A7213">
        <f>TEST_DATA!A7213</f>
        <v/>
      </c>
      <c r="B7213">
        <f>TEST_DATA!B7213</f>
        <v/>
      </c>
      <c r="C7213">
        <f>TEST_DATA!C7213</f>
        <v/>
      </c>
      <c r="D7213">
        <f>TEST_DATA!D7213</f>
        <v/>
      </c>
      <c r="E7213">
        <f>TEST_DATA!E7213</f>
        <v/>
      </c>
    </row>
    <row r="7214">
      <c r="A7214">
        <f>TEST_DATA!A7214</f>
        <v/>
      </c>
      <c r="B7214">
        <f>TEST_DATA!B7214</f>
        <v/>
      </c>
      <c r="C7214">
        <f>TEST_DATA!C7214</f>
        <v/>
      </c>
      <c r="D7214">
        <f>TEST_DATA!D7214</f>
        <v/>
      </c>
      <c r="E7214">
        <f>TEST_DATA!E7214</f>
        <v/>
      </c>
    </row>
    <row r="7215">
      <c r="A7215">
        <f>TEST_DATA!A7215</f>
        <v/>
      </c>
      <c r="B7215">
        <f>TEST_DATA!B7215</f>
        <v/>
      </c>
      <c r="C7215">
        <f>TEST_DATA!C7215</f>
        <v/>
      </c>
      <c r="D7215">
        <f>TEST_DATA!D7215</f>
        <v/>
      </c>
      <c r="E7215">
        <f>TEST_DATA!E7215</f>
        <v/>
      </c>
    </row>
    <row r="7216">
      <c r="A7216">
        <f>TEST_DATA!A7216</f>
        <v/>
      </c>
      <c r="B7216">
        <f>TEST_DATA!B7216</f>
        <v/>
      </c>
      <c r="C7216">
        <f>TEST_DATA!C7216</f>
        <v/>
      </c>
      <c r="D7216">
        <f>TEST_DATA!D7216</f>
        <v/>
      </c>
      <c r="E7216">
        <f>TEST_DATA!E7216</f>
        <v/>
      </c>
    </row>
    <row r="7217">
      <c r="A7217">
        <f>TEST_DATA!A7217</f>
        <v/>
      </c>
      <c r="B7217">
        <f>TEST_DATA!B7217</f>
        <v/>
      </c>
      <c r="C7217">
        <f>TEST_DATA!C7217</f>
        <v/>
      </c>
      <c r="D7217">
        <f>TEST_DATA!D7217</f>
        <v/>
      </c>
      <c r="E7217">
        <f>TEST_DATA!E7217</f>
        <v/>
      </c>
    </row>
    <row r="7218">
      <c r="A7218">
        <f>TEST_DATA!A7218</f>
        <v/>
      </c>
      <c r="B7218">
        <f>TEST_DATA!B7218</f>
        <v/>
      </c>
      <c r="C7218">
        <f>TEST_DATA!C7218</f>
        <v/>
      </c>
      <c r="D7218">
        <f>TEST_DATA!D7218</f>
        <v/>
      </c>
      <c r="E7218">
        <f>TEST_DATA!E7218</f>
        <v/>
      </c>
    </row>
    <row r="7219">
      <c r="A7219">
        <f>TEST_DATA!A7219</f>
        <v/>
      </c>
      <c r="B7219">
        <f>TEST_DATA!B7219</f>
        <v/>
      </c>
      <c r="C7219">
        <f>TEST_DATA!C7219</f>
        <v/>
      </c>
      <c r="D7219">
        <f>TEST_DATA!D7219</f>
        <v/>
      </c>
      <c r="E7219">
        <f>TEST_DATA!E7219</f>
        <v/>
      </c>
    </row>
    <row r="7220">
      <c r="A7220">
        <f>TEST_DATA!A7220</f>
        <v/>
      </c>
      <c r="B7220">
        <f>TEST_DATA!B7220</f>
        <v/>
      </c>
      <c r="C7220">
        <f>TEST_DATA!C7220</f>
        <v/>
      </c>
      <c r="D7220">
        <f>TEST_DATA!D7220</f>
        <v/>
      </c>
      <c r="E7220">
        <f>TEST_DATA!E7220</f>
        <v/>
      </c>
    </row>
    <row r="7221">
      <c r="A7221">
        <f>TEST_DATA!A7221</f>
        <v/>
      </c>
      <c r="B7221">
        <f>TEST_DATA!B7221</f>
        <v/>
      </c>
      <c r="C7221">
        <f>TEST_DATA!C7221</f>
        <v/>
      </c>
      <c r="D7221">
        <f>TEST_DATA!D7221</f>
        <v/>
      </c>
      <c r="E7221">
        <f>TEST_DATA!E7221</f>
        <v/>
      </c>
    </row>
    <row r="7222">
      <c r="A7222">
        <f>TEST_DATA!A7222</f>
        <v/>
      </c>
      <c r="B7222">
        <f>TEST_DATA!B7222</f>
        <v/>
      </c>
      <c r="C7222">
        <f>TEST_DATA!C7222</f>
        <v/>
      </c>
      <c r="D7222">
        <f>TEST_DATA!D7222</f>
        <v/>
      </c>
      <c r="E7222">
        <f>TEST_DATA!E7222</f>
        <v/>
      </c>
    </row>
    <row r="7223">
      <c r="A7223">
        <f>TEST_DATA!A7223</f>
        <v/>
      </c>
      <c r="B7223">
        <f>TEST_DATA!B7223</f>
        <v/>
      </c>
      <c r="C7223">
        <f>TEST_DATA!C7223</f>
        <v/>
      </c>
      <c r="D7223">
        <f>TEST_DATA!D7223</f>
        <v/>
      </c>
      <c r="E7223">
        <f>TEST_DATA!E7223</f>
        <v/>
      </c>
    </row>
    <row r="7224">
      <c r="A7224">
        <f>TEST_DATA!A7224</f>
        <v/>
      </c>
      <c r="B7224">
        <f>TEST_DATA!B7224</f>
        <v/>
      </c>
      <c r="C7224">
        <f>TEST_DATA!C7224</f>
        <v/>
      </c>
      <c r="D7224">
        <f>TEST_DATA!D7224</f>
        <v/>
      </c>
      <c r="E7224">
        <f>TEST_DATA!E7224</f>
        <v/>
      </c>
    </row>
    <row r="7225">
      <c r="A7225">
        <f>TEST_DATA!A7225</f>
        <v/>
      </c>
      <c r="B7225">
        <f>TEST_DATA!B7225</f>
        <v/>
      </c>
      <c r="C7225">
        <f>TEST_DATA!C7225</f>
        <v/>
      </c>
      <c r="D7225">
        <f>TEST_DATA!D7225</f>
        <v/>
      </c>
      <c r="E7225">
        <f>TEST_DATA!E7225</f>
        <v/>
      </c>
    </row>
    <row r="7226">
      <c r="A7226">
        <f>TEST_DATA!A7226</f>
        <v/>
      </c>
      <c r="B7226">
        <f>TEST_DATA!B7226</f>
        <v/>
      </c>
      <c r="C7226">
        <f>TEST_DATA!C7226</f>
        <v/>
      </c>
      <c r="D7226">
        <f>TEST_DATA!D7226</f>
        <v/>
      </c>
      <c r="E7226">
        <f>TEST_DATA!E7226</f>
        <v/>
      </c>
    </row>
    <row r="7227">
      <c r="A7227">
        <f>TEST_DATA!A7227</f>
        <v/>
      </c>
      <c r="B7227">
        <f>TEST_DATA!B7227</f>
        <v/>
      </c>
      <c r="C7227">
        <f>TEST_DATA!C7227</f>
        <v/>
      </c>
      <c r="D7227">
        <f>TEST_DATA!D7227</f>
        <v/>
      </c>
      <c r="E7227">
        <f>TEST_DATA!E7227</f>
        <v/>
      </c>
    </row>
    <row r="7228">
      <c r="A7228">
        <f>TEST_DATA!A7228</f>
        <v/>
      </c>
      <c r="B7228">
        <f>TEST_DATA!B7228</f>
        <v/>
      </c>
      <c r="C7228">
        <f>TEST_DATA!C7228</f>
        <v/>
      </c>
      <c r="D7228">
        <f>TEST_DATA!D7228</f>
        <v/>
      </c>
      <c r="E7228">
        <f>TEST_DATA!E7228</f>
        <v/>
      </c>
    </row>
    <row r="7229">
      <c r="A7229">
        <f>TEST_DATA!A7229</f>
        <v/>
      </c>
      <c r="B7229">
        <f>TEST_DATA!B7229</f>
        <v/>
      </c>
      <c r="C7229">
        <f>TEST_DATA!C7229</f>
        <v/>
      </c>
      <c r="D7229">
        <f>TEST_DATA!D7229</f>
        <v/>
      </c>
      <c r="E7229">
        <f>TEST_DATA!E7229</f>
        <v/>
      </c>
    </row>
    <row r="7230">
      <c r="A7230">
        <f>TEST_DATA!A7230</f>
        <v/>
      </c>
      <c r="B7230">
        <f>TEST_DATA!B7230</f>
        <v/>
      </c>
      <c r="C7230">
        <f>TEST_DATA!C7230</f>
        <v/>
      </c>
      <c r="D7230">
        <f>TEST_DATA!D7230</f>
        <v/>
      </c>
      <c r="E7230">
        <f>TEST_DATA!E7230</f>
        <v/>
      </c>
    </row>
    <row r="7231">
      <c r="A7231">
        <f>TEST_DATA!A7231</f>
        <v/>
      </c>
      <c r="B7231">
        <f>TEST_DATA!B7231</f>
        <v/>
      </c>
      <c r="C7231">
        <f>TEST_DATA!C7231</f>
        <v/>
      </c>
      <c r="D7231">
        <f>TEST_DATA!D7231</f>
        <v/>
      </c>
      <c r="E7231">
        <f>TEST_DATA!E7231</f>
        <v/>
      </c>
    </row>
    <row r="7232">
      <c r="A7232">
        <f>TEST_DATA!A7232</f>
        <v/>
      </c>
      <c r="B7232">
        <f>TEST_DATA!B7232</f>
        <v/>
      </c>
      <c r="C7232">
        <f>TEST_DATA!C7232</f>
        <v/>
      </c>
      <c r="D7232">
        <f>TEST_DATA!D7232</f>
        <v/>
      </c>
      <c r="E7232">
        <f>TEST_DATA!E7232</f>
        <v/>
      </c>
    </row>
    <row r="7233">
      <c r="A7233">
        <f>TEST_DATA!A7233</f>
        <v/>
      </c>
      <c r="B7233">
        <f>TEST_DATA!B7233</f>
        <v/>
      </c>
      <c r="C7233">
        <f>TEST_DATA!C7233</f>
        <v/>
      </c>
      <c r="D7233">
        <f>TEST_DATA!D7233</f>
        <v/>
      </c>
      <c r="E7233">
        <f>TEST_DATA!E7233</f>
        <v/>
      </c>
    </row>
    <row r="7234">
      <c r="A7234">
        <f>TEST_DATA!A7234</f>
        <v/>
      </c>
      <c r="B7234">
        <f>TEST_DATA!B7234</f>
        <v/>
      </c>
      <c r="C7234">
        <f>TEST_DATA!C7234</f>
        <v/>
      </c>
      <c r="D7234">
        <f>TEST_DATA!D7234</f>
        <v/>
      </c>
      <c r="E7234">
        <f>TEST_DATA!E7234</f>
        <v/>
      </c>
    </row>
    <row r="7235">
      <c r="A7235">
        <f>TEST_DATA!A7235</f>
        <v/>
      </c>
      <c r="B7235">
        <f>TEST_DATA!B7235</f>
        <v/>
      </c>
      <c r="C7235">
        <f>TEST_DATA!C7235</f>
        <v/>
      </c>
      <c r="D7235">
        <f>TEST_DATA!D7235</f>
        <v/>
      </c>
      <c r="E7235">
        <f>TEST_DATA!E7235</f>
        <v/>
      </c>
    </row>
    <row r="7236">
      <c r="A7236">
        <f>TEST_DATA!A7236</f>
        <v/>
      </c>
      <c r="B7236">
        <f>TEST_DATA!B7236</f>
        <v/>
      </c>
      <c r="C7236">
        <f>TEST_DATA!C7236</f>
        <v/>
      </c>
      <c r="D7236">
        <f>TEST_DATA!D7236</f>
        <v/>
      </c>
      <c r="E7236">
        <f>TEST_DATA!E7236</f>
        <v/>
      </c>
    </row>
    <row r="7237">
      <c r="A7237">
        <f>TEST_DATA!A7237</f>
        <v/>
      </c>
      <c r="B7237">
        <f>TEST_DATA!B7237</f>
        <v/>
      </c>
      <c r="C7237">
        <f>TEST_DATA!C7237</f>
        <v/>
      </c>
      <c r="D7237">
        <f>TEST_DATA!D7237</f>
        <v/>
      </c>
      <c r="E7237">
        <f>TEST_DATA!E7237</f>
        <v/>
      </c>
    </row>
    <row r="7238">
      <c r="A7238">
        <f>TEST_DATA!A7238</f>
        <v/>
      </c>
      <c r="B7238">
        <f>TEST_DATA!B7238</f>
        <v/>
      </c>
      <c r="C7238">
        <f>TEST_DATA!C7238</f>
        <v/>
      </c>
      <c r="D7238">
        <f>TEST_DATA!D7238</f>
        <v/>
      </c>
      <c r="E7238">
        <f>TEST_DATA!E7238</f>
        <v/>
      </c>
    </row>
    <row r="7239">
      <c r="A7239">
        <f>TEST_DATA!A7239</f>
        <v/>
      </c>
      <c r="B7239">
        <f>TEST_DATA!B7239</f>
        <v/>
      </c>
      <c r="C7239">
        <f>TEST_DATA!C7239</f>
        <v/>
      </c>
      <c r="D7239">
        <f>TEST_DATA!D7239</f>
        <v/>
      </c>
      <c r="E7239">
        <f>TEST_DATA!E7239</f>
        <v/>
      </c>
    </row>
    <row r="7240">
      <c r="A7240">
        <f>TEST_DATA!A7240</f>
        <v/>
      </c>
      <c r="B7240">
        <f>TEST_DATA!B7240</f>
        <v/>
      </c>
      <c r="C7240">
        <f>TEST_DATA!C7240</f>
        <v/>
      </c>
      <c r="D7240">
        <f>TEST_DATA!D7240</f>
        <v/>
      </c>
      <c r="E7240">
        <f>TEST_DATA!E7240</f>
        <v/>
      </c>
    </row>
    <row r="7241">
      <c r="A7241">
        <f>TEST_DATA!A7241</f>
        <v/>
      </c>
      <c r="B7241">
        <f>TEST_DATA!B7241</f>
        <v/>
      </c>
      <c r="C7241">
        <f>TEST_DATA!C7241</f>
        <v/>
      </c>
      <c r="D7241">
        <f>TEST_DATA!D7241</f>
        <v/>
      </c>
      <c r="E7241">
        <f>TEST_DATA!E7241</f>
        <v/>
      </c>
    </row>
    <row r="7242">
      <c r="A7242">
        <f>TEST_DATA!A7242</f>
        <v/>
      </c>
      <c r="B7242">
        <f>TEST_DATA!B7242</f>
        <v/>
      </c>
      <c r="C7242">
        <f>TEST_DATA!C7242</f>
        <v/>
      </c>
      <c r="D7242">
        <f>TEST_DATA!D7242</f>
        <v/>
      </c>
      <c r="E7242">
        <f>TEST_DATA!E7242</f>
        <v/>
      </c>
    </row>
    <row r="7243">
      <c r="A7243">
        <f>TEST_DATA!A7243</f>
        <v/>
      </c>
      <c r="B7243">
        <f>TEST_DATA!B7243</f>
        <v/>
      </c>
      <c r="C7243">
        <f>TEST_DATA!C7243</f>
        <v/>
      </c>
      <c r="D7243">
        <f>TEST_DATA!D7243</f>
        <v/>
      </c>
      <c r="E7243">
        <f>TEST_DATA!E7243</f>
        <v/>
      </c>
    </row>
    <row r="7244">
      <c r="A7244">
        <f>TEST_DATA!A7244</f>
        <v/>
      </c>
      <c r="B7244">
        <f>TEST_DATA!B7244</f>
        <v/>
      </c>
      <c r="C7244">
        <f>TEST_DATA!C7244</f>
        <v/>
      </c>
      <c r="D7244">
        <f>TEST_DATA!D7244</f>
        <v/>
      </c>
      <c r="E7244">
        <f>TEST_DATA!E7244</f>
        <v/>
      </c>
    </row>
    <row r="7245">
      <c r="A7245">
        <f>TEST_DATA!A7245</f>
        <v/>
      </c>
      <c r="B7245">
        <f>TEST_DATA!B7245</f>
        <v/>
      </c>
      <c r="C7245">
        <f>TEST_DATA!C7245</f>
        <v/>
      </c>
      <c r="D7245">
        <f>TEST_DATA!D7245</f>
        <v/>
      </c>
      <c r="E7245">
        <f>TEST_DATA!E7245</f>
        <v/>
      </c>
    </row>
    <row r="7246">
      <c r="A7246">
        <f>TEST_DATA!A7246</f>
        <v/>
      </c>
      <c r="B7246">
        <f>TEST_DATA!B7246</f>
        <v/>
      </c>
      <c r="C7246">
        <f>TEST_DATA!C7246</f>
        <v/>
      </c>
      <c r="D7246">
        <f>TEST_DATA!D7246</f>
        <v/>
      </c>
      <c r="E7246">
        <f>TEST_DATA!E7246</f>
        <v/>
      </c>
    </row>
    <row r="7247">
      <c r="A7247">
        <f>TEST_DATA!A7247</f>
        <v/>
      </c>
      <c r="B7247">
        <f>TEST_DATA!B7247</f>
        <v/>
      </c>
      <c r="C7247">
        <f>TEST_DATA!C7247</f>
        <v/>
      </c>
      <c r="D7247">
        <f>TEST_DATA!D7247</f>
        <v/>
      </c>
      <c r="E7247">
        <f>TEST_DATA!E7247</f>
        <v/>
      </c>
    </row>
    <row r="7248">
      <c r="A7248">
        <f>TEST_DATA!A7248</f>
        <v/>
      </c>
      <c r="B7248">
        <f>TEST_DATA!B7248</f>
        <v/>
      </c>
      <c r="C7248">
        <f>TEST_DATA!C7248</f>
        <v/>
      </c>
      <c r="D7248">
        <f>TEST_DATA!D7248</f>
        <v/>
      </c>
      <c r="E7248">
        <f>TEST_DATA!E7248</f>
        <v/>
      </c>
    </row>
    <row r="7249">
      <c r="A7249">
        <f>TEST_DATA!A7249</f>
        <v/>
      </c>
      <c r="B7249">
        <f>TEST_DATA!B7249</f>
        <v/>
      </c>
      <c r="C7249">
        <f>TEST_DATA!C7249</f>
        <v/>
      </c>
      <c r="D7249">
        <f>TEST_DATA!D7249</f>
        <v/>
      </c>
      <c r="E7249">
        <f>TEST_DATA!E7249</f>
        <v/>
      </c>
    </row>
    <row r="7250">
      <c r="A7250">
        <f>TEST_DATA!A7250</f>
        <v/>
      </c>
      <c r="B7250">
        <f>TEST_DATA!B7250</f>
        <v/>
      </c>
      <c r="C7250">
        <f>TEST_DATA!C7250</f>
        <v/>
      </c>
      <c r="D7250">
        <f>TEST_DATA!D7250</f>
        <v/>
      </c>
      <c r="E7250">
        <f>TEST_DATA!E7250</f>
        <v/>
      </c>
    </row>
    <row r="7251">
      <c r="A7251">
        <f>TEST_DATA!A7251</f>
        <v/>
      </c>
      <c r="B7251">
        <f>TEST_DATA!B7251</f>
        <v/>
      </c>
      <c r="C7251">
        <f>TEST_DATA!C7251</f>
        <v/>
      </c>
      <c r="D7251">
        <f>TEST_DATA!D7251</f>
        <v/>
      </c>
      <c r="E7251">
        <f>TEST_DATA!E7251</f>
        <v/>
      </c>
    </row>
    <row r="7252">
      <c r="A7252">
        <f>TEST_DATA!A7252</f>
        <v/>
      </c>
      <c r="B7252">
        <f>TEST_DATA!B7252</f>
        <v/>
      </c>
      <c r="C7252">
        <f>TEST_DATA!C7252</f>
        <v/>
      </c>
      <c r="D7252">
        <f>TEST_DATA!D7252</f>
        <v/>
      </c>
      <c r="E7252">
        <f>TEST_DATA!E7252</f>
        <v/>
      </c>
    </row>
    <row r="7253">
      <c r="A7253">
        <f>TEST_DATA!A7253</f>
        <v/>
      </c>
      <c r="B7253">
        <f>TEST_DATA!B7253</f>
        <v/>
      </c>
      <c r="C7253">
        <f>TEST_DATA!C7253</f>
        <v/>
      </c>
      <c r="D7253">
        <f>TEST_DATA!D7253</f>
        <v/>
      </c>
      <c r="E7253">
        <f>TEST_DATA!E7253</f>
        <v/>
      </c>
    </row>
    <row r="7254">
      <c r="A7254">
        <f>TEST_DATA!A7254</f>
        <v/>
      </c>
      <c r="B7254">
        <f>TEST_DATA!B7254</f>
        <v/>
      </c>
      <c r="C7254">
        <f>TEST_DATA!C7254</f>
        <v/>
      </c>
      <c r="D7254">
        <f>TEST_DATA!D7254</f>
        <v/>
      </c>
      <c r="E7254">
        <f>TEST_DATA!E7254</f>
        <v/>
      </c>
    </row>
    <row r="7255">
      <c r="A7255">
        <f>TEST_DATA!A7255</f>
        <v/>
      </c>
      <c r="B7255">
        <f>TEST_DATA!B7255</f>
        <v/>
      </c>
      <c r="C7255">
        <f>TEST_DATA!C7255</f>
        <v/>
      </c>
      <c r="D7255">
        <f>TEST_DATA!D7255</f>
        <v/>
      </c>
      <c r="E7255">
        <f>TEST_DATA!E7255</f>
        <v/>
      </c>
    </row>
    <row r="7256">
      <c r="A7256">
        <f>TEST_DATA!A7256</f>
        <v/>
      </c>
      <c r="B7256">
        <f>TEST_DATA!B7256</f>
        <v/>
      </c>
      <c r="C7256">
        <f>TEST_DATA!C7256</f>
        <v/>
      </c>
      <c r="D7256">
        <f>TEST_DATA!D7256</f>
        <v/>
      </c>
      <c r="E7256">
        <f>TEST_DATA!E7256</f>
        <v/>
      </c>
    </row>
    <row r="7257">
      <c r="A7257">
        <f>TEST_DATA!A7257</f>
        <v/>
      </c>
      <c r="B7257">
        <f>TEST_DATA!B7257</f>
        <v/>
      </c>
      <c r="C7257">
        <f>TEST_DATA!C7257</f>
        <v/>
      </c>
      <c r="D7257">
        <f>TEST_DATA!D7257</f>
        <v/>
      </c>
      <c r="E7257">
        <f>TEST_DATA!E7257</f>
        <v/>
      </c>
    </row>
    <row r="7258">
      <c r="A7258">
        <f>TEST_DATA!A7258</f>
        <v/>
      </c>
      <c r="B7258">
        <f>TEST_DATA!B7258</f>
        <v/>
      </c>
      <c r="C7258">
        <f>TEST_DATA!C7258</f>
        <v/>
      </c>
      <c r="D7258">
        <f>TEST_DATA!D7258</f>
        <v/>
      </c>
      <c r="E7258">
        <f>TEST_DATA!E7258</f>
        <v/>
      </c>
    </row>
    <row r="7259">
      <c r="A7259">
        <f>TEST_DATA!A7259</f>
        <v/>
      </c>
      <c r="B7259">
        <f>TEST_DATA!B7259</f>
        <v/>
      </c>
      <c r="C7259">
        <f>TEST_DATA!C7259</f>
        <v/>
      </c>
      <c r="D7259">
        <f>TEST_DATA!D7259</f>
        <v/>
      </c>
      <c r="E7259">
        <f>TEST_DATA!E7259</f>
        <v/>
      </c>
    </row>
    <row r="7260">
      <c r="A7260">
        <f>TEST_DATA!A7260</f>
        <v/>
      </c>
      <c r="B7260">
        <f>TEST_DATA!B7260</f>
        <v/>
      </c>
      <c r="C7260">
        <f>TEST_DATA!C7260</f>
        <v/>
      </c>
      <c r="D7260">
        <f>TEST_DATA!D7260</f>
        <v/>
      </c>
      <c r="E7260">
        <f>TEST_DATA!E7260</f>
        <v/>
      </c>
    </row>
    <row r="7261">
      <c r="A7261">
        <f>TEST_DATA!A7261</f>
        <v/>
      </c>
      <c r="B7261">
        <f>TEST_DATA!B7261</f>
        <v/>
      </c>
      <c r="C7261">
        <f>TEST_DATA!C7261</f>
        <v/>
      </c>
      <c r="D7261">
        <f>TEST_DATA!D7261</f>
        <v/>
      </c>
      <c r="E7261">
        <f>TEST_DATA!E7261</f>
        <v/>
      </c>
    </row>
    <row r="7262">
      <c r="A7262">
        <f>TEST_DATA!A7262</f>
        <v/>
      </c>
      <c r="B7262">
        <f>TEST_DATA!B7262</f>
        <v/>
      </c>
      <c r="C7262">
        <f>TEST_DATA!C7262</f>
        <v/>
      </c>
      <c r="D7262">
        <f>TEST_DATA!D7262</f>
        <v/>
      </c>
      <c r="E7262">
        <f>TEST_DATA!E7262</f>
        <v/>
      </c>
    </row>
    <row r="7263">
      <c r="A7263">
        <f>TEST_DATA!A7263</f>
        <v/>
      </c>
      <c r="B7263">
        <f>TEST_DATA!B7263</f>
        <v/>
      </c>
      <c r="C7263">
        <f>TEST_DATA!C7263</f>
        <v/>
      </c>
      <c r="D7263">
        <f>TEST_DATA!D7263</f>
        <v/>
      </c>
      <c r="E7263">
        <f>TEST_DATA!E7263</f>
        <v/>
      </c>
    </row>
    <row r="7264">
      <c r="A7264">
        <f>TEST_DATA!A7264</f>
        <v/>
      </c>
      <c r="B7264">
        <f>TEST_DATA!B7264</f>
        <v/>
      </c>
      <c r="C7264">
        <f>TEST_DATA!C7264</f>
        <v/>
      </c>
      <c r="D7264">
        <f>TEST_DATA!D7264</f>
        <v/>
      </c>
      <c r="E7264">
        <f>TEST_DATA!E7264</f>
        <v/>
      </c>
    </row>
    <row r="7265">
      <c r="A7265">
        <f>TEST_DATA!A7265</f>
        <v/>
      </c>
      <c r="B7265">
        <f>TEST_DATA!B7265</f>
        <v/>
      </c>
      <c r="C7265">
        <f>TEST_DATA!C7265</f>
        <v/>
      </c>
      <c r="D7265">
        <f>TEST_DATA!D7265</f>
        <v/>
      </c>
      <c r="E7265">
        <f>TEST_DATA!E7265</f>
        <v/>
      </c>
    </row>
    <row r="7266">
      <c r="A7266">
        <f>TEST_DATA!A7266</f>
        <v/>
      </c>
      <c r="B7266">
        <f>TEST_DATA!B7266</f>
        <v/>
      </c>
      <c r="C7266">
        <f>TEST_DATA!C7266</f>
        <v/>
      </c>
      <c r="D7266">
        <f>TEST_DATA!D7266</f>
        <v/>
      </c>
      <c r="E7266">
        <f>TEST_DATA!E7266</f>
        <v/>
      </c>
    </row>
    <row r="7267">
      <c r="A7267">
        <f>TEST_DATA!A7267</f>
        <v/>
      </c>
      <c r="B7267">
        <f>TEST_DATA!B7267</f>
        <v/>
      </c>
      <c r="C7267">
        <f>TEST_DATA!C7267</f>
        <v/>
      </c>
      <c r="D7267">
        <f>TEST_DATA!D7267</f>
        <v/>
      </c>
      <c r="E7267">
        <f>TEST_DATA!E7267</f>
        <v/>
      </c>
    </row>
    <row r="7268">
      <c r="A7268">
        <f>TEST_DATA!A7268</f>
        <v/>
      </c>
      <c r="B7268">
        <f>TEST_DATA!B7268</f>
        <v/>
      </c>
      <c r="C7268">
        <f>TEST_DATA!C7268</f>
        <v/>
      </c>
      <c r="D7268">
        <f>TEST_DATA!D7268</f>
        <v/>
      </c>
      <c r="E7268">
        <f>TEST_DATA!E7268</f>
        <v/>
      </c>
    </row>
    <row r="7269">
      <c r="A7269">
        <f>TEST_DATA!A7269</f>
        <v/>
      </c>
      <c r="B7269">
        <f>TEST_DATA!B7269</f>
        <v/>
      </c>
      <c r="C7269">
        <f>TEST_DATA!C7269</f>
        <v/>
      </c>
      <c r="D7269">
        <f>TEST_DATA!D7269</f>
        <v/>
      </c>
      <c r="E7269">
        <f>TEST_DATA!E7269</f>
        <v/>
      </c>
    </row>
    <row r="7270">
      <c r="A7270">
        <f>TEST_DATA!A7270</f>
        <v/>
      </c>
      <c r="B7270">
        <f>TEST_DATA!B7270</f>
        <v/>
      </c>
      <c r="C7270">
        <f>TEST_DATA!C7270</f>
        <v/>
      </c>
      <c r="D7270">
        <f>TEST_DATA!D7270</f>
        <v/>
      </c>
      <c r="E7270">
        <f>TEST_DATA!E7270</f>
        <v/>
      </c>
    </row>
    <row r="7271">
      <c r="A7271">
        <f>TEST_DATA!A7271</f>
        <v/>
      </c>
      <c r="B7271">
        <f>TEST_DATA!B7271</f>
        <v/>
      </c>
      <c r="C7271">
        <f>TEST_DATA!C7271</f>
        <v/>
      </c>
      <c r="D7271">
        <f>TEST_DATA!D7271</f>
        <v/>
      </c>
      <c r="E7271">
        <f>TEST_DATA!E7271</f>
        <v/>
      </c>
    </row>
    <row r="7272">
      <c r="A7272">
        <f>TEST_DATA!A7272</f>
        <v/>
      </c>
      <c r="B7272">
        <f>TEST_DATA!B7272</f>
        <v/>
      </c>
      <c r="C7272">
        <f>TEST_DATA!C7272</f>
        <v/>
      </c>
      <c r="D7272">
        <f>TEST_DATA!D7272</f>
        <v/>
      </c>
      <c r="E7272">
        <f>TEST_DATA!E7272</f>
        <v/>
      </c>
    </row>
    <row r="7273">
      <c r="A7273">
        <f>TEST_DATA!A7273</f>
        <v/>
      </c>
      <c r="B7273">
        <f>TEST_DATA!B7273</f>
        <v/>
      </c>
      <c r="C7273">
        <f>TEST_DATA!C7273</f>
        <v/>
      </c>
      <c r="D7273">
        <f>TEST_DATA!D7273</f>
        <v/>
      </c>
      <c r="E7273">
        <f>TEST_DATA!E7273</f>
        <v/>
      </c>
    </row>
    <row r="7274">
      <c r="A7274">
        <f>TEST_DATA!A7274</f>
        <v/>
      </c>
      <c r="B7274">
        <f>TEST_DATA!B7274</f>
        <v/>
      </c>
      <c r="C7274">
        <f>TEST_DATA!C7274</f>
        <v/>
      </c>
      <c r="D7274">
        <f>TEST_DATA!D7274</f>
        <v/>
      </c>
      <c r="E7274">
        <f>TEST_DATA!E7274</f>
        <v/>
      </c>
    </row>
    <row r="7275">
      <c r="A7275">
        <f>TEST_DATA!A7275</f>
        <v/>
      </c>
      <c r="B7275">
        <f>TEST_DATA!B7275</f>
        <v/>
      </c>
      <c r="C7275">
        <f>TEST_DATA!C7275</f>
        <v/>
      </c>
      <c r="D7275">
        <f>TEST_DATA!D7275</f>
        <v/>
      </c>
      <c r="E7275">
        <f>TEST_DATA!E7275</f>
        <v/>
      </c>
    </row>
    <row r="7276">
      <c r="A7276">
        <f>TEST_DATA!A7276</f>
        <v/>
      </c>
      <c r="B7276">
        <f>TEST_DATA!B7276</f>
        <v/>
      </c>
      <c r="C7276">
        <f>TEST_DATA!C7276</f>
        <v/>
      </c>
      <c r="D7276">
        <f>TEST_DATA!D7276</f>
        <v/>
      </c>
      <c r="E7276">
        <f>TEST_DATA!E7276</f>
        <v/>
      </c>
    </row>
    <row r="7277">
      <c r="A7277">
        <f>TEST_DATA!A7277</f>
        <v/>
      </c>
      <c r="B7277">
        <f>TEST_DATA!B7277</f>
        <v/>
      </c>
      <c r="C7277">
        <f>TEST_DATA!C7277</f>
        <v/>
      </c>
      <c r="D7277">
        <f>TEST_DATA!D7277</f>
        <v/>
      </c>
      <c r="E7277">
        <f>TEST_DATA!E7277</f>
        <v/>
      </c>
    </row>
    <row r="7278">
      <c r="A7278">
        <f>TEST_DATA!A7278</f>
        <v/>
      </c>
      <c r="B7278">
        <f>TEST_DATA!B7278</f>
        <v/>
      </c>
      <c r="C7278">
        <f>TEST_DATA!C7278</f>
        <v/>
      </c>
      <c r="D7278">
        <f>TEST_DATA!D7278</f>
        <v/>
      </c>
      <c r="E7278">
        <f>TEST_DATA!E7278</f>
        <v/>
      </c>
    </row>
    <row r="7279">
      <c r="A7279">
        <f>TEST_DATA!A7279</f>
        <v/>
      </c>
      <c r="B7279">
        <f>TEST_DATA!B7279</f>
        <v/>
      </c>
      <c r="C7279">
        <f>TEST_DATA!C7279</f>
        <v/>
      </c>
      <c r="D7279">
        <f>TEST_DATA!D7279</f>
        <v/>
      </c>
      <c r="E7279">
        <f>TEST_DATA!E7279</f>
        <v/>
      </c>
    </row>
    <row r="7280">
      <c r="A7280">
        <f>TEST_DATA!A7280</f>
        <v/>
      </c>
      <c r="B7280">
        <f>TEST_DATA!B7280</f>
        <v/>
      </c>
      <c r="C7280">
        <f>TEST_DATA!C7280</f>
        <v/>
      </c>
      <c r="D7280">
        <f>TEST_DATA!D7280</f>
        <v/>
      </c>
      <c r="E7280">
        <f>TEST_DATA!E7280</f>
        <v/>
      </c>
    </row>
    <row r="7281">
      <c r="A7281">
        <f>TEST_DATA!A7281</f>
        <v/>
      </c>
      <c r="B7281">
        <f>TEST_DATA!B7281</f>
        <v/>
      </c>
      <c r="C7281">
        <f>TEST_DATA!C7281</f>
        <v/>
      </c>
      <c r="D7281">
        <f>TEST_DATA!D7281</f>
        <v/>
      </c>
      <c r="E7281">
        <f>TEST_DATA!E7281</f>
        <v/>
      </c>
    </row>
    <row r="7282">
      <c r="A7282">
        <f>TEST_DATA!A7282</f>
        <v/>
      </c>
      <c r="B7282">
        <f>TEST_DATA!B7282</f>
        <v/>
      </c>
      <c r="C7282">
        <f>TEST_DATA!C7282</f>
        <v/>
      </c>
      <c r="D7282">
        <f>TEST_DATA!D7282</f>
        <v/>
      </c>
      <c r="E7282">
        <f>TEST_DATA!E7282</f>
        <v/>
      </c>
    </row>
    <row r="7283">
      <c r="A7283">
        <f>TEST_DATA!A7283</f>
        <v/>
      </c>
      <c r="B7283">
        <f>TEST_DATA!B7283</f>
        <v/>
      </c>
      <c r="C7283">
        <f>TEST_DATA!C7283</f>
        <v/>
      </c>
      <c r="D7283">
        <f>TEST_DATA!D7283</f>
        <v/>
      </c>
      <c r="E7283">
        <f>TEST_DATA!E7283</f>
        <v/>
      </c>
    </row>
    <row r="7284">
      <c r="A7284">
        <f>TEST_DATA!A7284</f>
        <v/>
      </c>
      <c r="B7284">
        <f>TEST_DATA!B7284</f>
        <v/>
      </c>
      <c r="C7284">
        <f>TEST_DATA!C7284</f>
        <v/>
      </c>
      <c r="D7284">
        <f>TEST_DATA!D7284</f>
        <v/>
      </c>
      <c r="E7284">
        <f>TEST_DATA!E7284</f>
        <v/>
      </c>
    </row>
    <row r="7285">
      <c r="A7285">
        <f>TEST_DATA!A7285</f>
        <v/>
      </c>
      <c r="B7285">
        <f>TEST_DATA!B7285</f>
        <v/>
      </c>
      <c r="C7285">
        <f>TEST_DATA!C7285</f>
        <v/>
      </c>
      <c r="D7285">
        <f>TEST_DATA!D7285</f>
        <v/>
      </c>
      <c r="E7285">
        <f>TEST_DATA!E7285</f>
        <v/>
      </c>
    </row>
    <row r="7286">
      <c r="A7286">
        <f>TEST_DATA!A7286</f>
        <v/>
      </c>
      <c r="B7286">
        <f>TEST_DATA!B7286</f>
        <v/>
      </c>
      <c r="C7286">
        <f>TEST_DATA!C7286</f>
        <v/>
      </c>
      <c r="D7286">
        <f>TEST_DATA!D7286</f>
        <v/>
      </c>
      <c r="E7286">
        <f>TEST_DATA!E7286</f>
        <v/>
      </c>
    </row>
    <row r="7287">
      <c r="A7287">
        <f>TEST_DATA!A7287</f>
        <v/>
      </c>
      <c r="B7287">
        <f>TEST_DATA!B7287</f>
        <v/>
      </c>
      <c r="C7287">
        <f>TEST_DATA!C7287</f>
        <v/>
      </c>
      <c r="D7287">
        <f>TEST_DATA!D7287</f>
        <v/>
      </c>
      <c r="E7287">
        <f>TEST_DATA!E7287</f>
        <v/>
      </c>
    </row>
    <row r="7288">
      <c r="A7288">
        <f>TEST_DATA!A7288</f>
        <v/>
      </c>
      <c r="B7288">
        <f>TEST_DATA!B7288</f>
        <v/>
      </c>
      <c r="C7288">
        <f>TEST_DATA!C7288</f>
        <v/>
      </c>
      <c r="D7288">
        <f>TEST_DATA!D7288</f>
        <v/>
      </c>
      <c r="E7288">
        <f>TEST_DATA!E7288</f>
        <v/>
      </c>
    </row>
    <row r="7289">
      <c r="A7289">
        <f>TEST_DATA!A7289</f>
        <v/>
      </c>
      <c r="B7289">
        <f>TEST_DATA!B7289</f>
        <v/>
      </c>
      <c r="C7289">
        <f>TEST_DATA!C7289</f>
        <v/>
      </c>
      <c r="D7289">
        <f>TEST_DATA!D7289</f>
        <v/>
      </c>
      <c r="E7289">
        <f>TEST_DATA!E7289</f>
        <v/>
      </c>
    </row>
    <row r="7290">
      <c r="A7290">
        <f>TEST_DATA!A7290</f>
        <v/>
      </c>
      <c r="B7290">
        <f>TEST_DATA!B7290</f>
        <v/>
      </c>
      <c r="C7290">
        <f>TEST_DATA!C7290</f>
        <v/>
      </c>
      <c r="D7290">
        <f>TEST_DATA!D7290</f>
        <v/>
      </c>
      <c r="E7290">
        <f>TEST_DATA!E7290</f>
        <v/>
      </c>
    </row>
    <row r="7291">
      <c r="A7291">
        <f>TEST_DATA!A7291</f>
        <v/>
      </c>
      <c r="B7291">
        <f>TEST_DATA!B7291</f>
        <v/>
      </c>
      <c r="C7291">
        <f>TEST_DATA!C7291</f>
        <v/>
      </c>
      <c r="D7291">
        <f>TEST_DATA!D7291</f>
        <v/>
      </c>
      <c r="E7291">
        <f>TEST_DATA!E7291</f>
        <v/>
      </c>
    </row>
    <row r="7292">
      <c r="A7292">
        <f>TEST_DATA!A7292</f>
        <v/>
      </c>
      <c r="B7292">
        <f>TEST_DATA!B7292</f>
        <v/>
      </c>
      <c r="C7292">
        <f>TEST_DATA!C7292</f>
        <v/>
      </c>
      <c r="D7292">
        <f>TEST_DATA!D7292</f>
        <v/>
      </c>
      <c r="E7292">
        <f>TEST_DATA!E7292</f>
        <v/>
      </c>
    </row>
    <row r="7293">
      <c r="A7293">
        <f>TEST_DATA!A7293</f>
        <v/>
      </c>
      <c r="B7293">
        <f>TEST_DATA!B7293</f>
        <v/>
      </c>
      <c r="C7293">
        <f>TEST_DATA!C7293</f>
        <v/>
      </c>
      <c r="D7293">
        <f>TEST_DATA!D7293</f>
        <v/>
      </c>
      <c r="E7293">
        <f>TEST_DATA!E7293</f>
        <v/>
      </c>
    </row>
    <row r="7294">
      <c r="A7294">
        <f>TEST_DATA!A7294</f>
        <v/>
      </c>
      <c r="B7294">
        <f>TEST_DATA!B7294</f>
        <v/>
      </c>
      <c r="C7294">
        <f>TEST_DATA!C7294</f>
        <v/>
      </c>
      <c r="D7294">
        <f>TEST_DATA!D7294</f>
        <v/>
      </c>
      <c r="E7294">
        <f>TEST_DATA!E7294</f>
        <v/>
      </c>
    </row>
    <row r="7295">
      <c r="A7295">
        <f>TEST_DATA!A7295</f>
        <v/>
      </c>
      <c r="B7295">
        <f>TEST_DATA!B7295</f>
        <v/>
      </c>
      <c r="C7295">
        <f>TEST_DATA!C7295</f>
        <v/>
      </c>
      <c r="D7295">
        <f>TEST_DATA!D7295</f>
        <v/>
      </c>
      <c r="E7295">
        <f>TEST_DATA!E7295</f>
        <v/>
      </c>
    </row>
    <row r="7296">
      <c r="A7296">
        <f>TEST_DATA!A7296</f>
        <v/>
      </c>
      <c r="B7296">
        <f>TEST_DATA!B7296</f>
        <v/>
      </c>
      <c r="C7296">
        <f>TEST_DATA!C7296</f>
        <v/>
      </c>
      <c r="D7296">
        <f>TEST_DATA!D7296</f>
        <v/>
      </c>
      <c r="E7296">
        <f>TEST_DATA!E7296</f>
        <v/>
      </c>
    </row>
    <row r="7297">
      <c r="A7297">
        <f>TEST_DATA!A7297</f>
        <v/>
      </c>
      <c r="B7297">
        <f>TEST_DATA!B7297</f>
        <v/>
      </c>
      <c r="C7297">
        <f>TEST_DATA!C7297</f>
        <v/>
      </c>
      <c r="D7297">
        <f>TEST_DATA!D7297</f>
        <v/>
      </c>
      <c r="E7297">
        <f>TEST_DATA!E7297</f>
        <v/>
      </c>
    </row>
    <row r="7298">
      <c r="A7298">
        <f>TEST_DATA!A7298</f>
        <v/>
      </c>
      <c r="B7298">
        <f>TEST_DATA!B7298</f>
        <v/>
      </c>
      <c r="C7298">
        <f>TEST_DATA!C7298</f>
        <v/>
      </c>
      <c r="D7298">
        <f>TEST_DATA!D7298</f>
        <v/>
      </c>
      <c r="E7298">
        <f>TEST_DATA!E7298</f>
        <v/>
      </c>
    </row>
    <row r="7299">
      <c r="A7299">
        <f>TEST_DATA!A7299</f>
        <v/>
      </c>
      <c r="B7299">
        <f>TEST_DATA!B7299</f>
        <v/>
      </c>
      <c r="C7299">
        <f>TEST_DATA!C7299</f>
        <v/>
      </c>
      <c r="D7299">
        <f>TEST_DATA!D7299</f>
        <v/>
      </c>
      <c r="E7299">
        <f>TEST_DATA!E7299</f>
        <v/>
      </c>
    </row>
    <row r="7300">
      <c r="A7300">
        <f>TEST_DATA!A7300</f>
        <v/>
      </c>
      <c r="B7300">
        <f>TEST_DATA!B7300</f>
        <v/>
      </c>
      <c r="C7300">
        <f>TEST_DATA!C7300</f>
        <v/>
      </c>
      <c r="D7300">
        <f>TEST_DATA!D7300</f>
        <v/>
      </c>
      <c r="E7300">
        <f>TEST_DATA!E7300</f>
        <v/>
      </c>
    </row>
    <row r="7301">
      <c r="A7301">
        <f>TEST_DATA!A7301</f>
        <v/>
      </c>
      <c r="B7301">
        <f>TEST_DATA!B7301</f>
        <v/>
      </c>
      <c r="C7301">
        <f>TEST_DATA!C7301</f>
        <v/>
      </c>
      <c r="D7301">
        <f>TEST_DATA!D7301</f>
        <v/>
      </c>
      <c r="E7301">
        <f>TEST_DATA!E7301</f>
        <v/>
      </c>
    </row>
    <row r="7302">
      <c r="A7302">
        <f>TEST_DATA!A7302</f>
        <v/>
      </c>
      <c r="B7302">
        <f>TEST_DATA!B7302</f>
        <v/>
      </c>
      <c r="C7302">
        <f>TEST_DATA!C7302</f>
        <v/>
      </c>
      <c r="D7302">
        <f>TEST_DATA!D7302</f>
        <v/>
      </c>
      <c r="E7302">
        <f>TEST_DATA!E7302</f>
        <v/>
      </c>
    </row>
    <row r="7303">
      <c r="A7303">
        <f>TEST_DATA!A7303</f>
        <v/>
      </c>
      <c r="B7303">
        <f>TEST_DATA!B7303</f>
        <v/>
      </c>
      <c r="C7303">
        <f>TEST_DATA!C7303</f>
        <v/>
      </c>
      <c r="D7303">
        <f>TEST_DATA!D7303</f>
        <v/>
      </c>
      <c r="E7303">
        <f>TEST_DATA!E7303</f>
        <v/>
      </c>
    </row>
    <row r="7304">
      <c r="A7304">
        <f>TEST_DATA!A7304</f>
        <v/>
      </c>
      <c r="B7304">
        <f>TEST_DATA!B7304</f>
        <v/>
      </c>
      <c r="C7304">
        <f>TEST_DATA!C7304</f>
        <v/>
      </c>
      <c r="D7304">
        <f>TEST_DATA!D7304</f>
        <v/>
      </c>
      <c r="E7304">
        <f>TEST_DATA!E7304</f>
        <v/>
      </c>
    </row>
    <row r="7305">
      <c r="A7305">
        <f>TEST_DATA!A7305</f>
        <v/>
      </c>
      <c r="B7305">
        <f>TEST_DATA!B7305</f>
        <v/>
      </c>
      <c r="C7305">
        <f>TEST_DATA!C7305</f>
        <v/>
      </c>
      <c r="D7305">
        <f>TEST_DATA!D7305</f>
        <v/>
      </c>
      <c r="E7305">
        <f>TEST_DATA!E7305</f>
        <v/>
      </c>
    </row>
    <row r="7306">
      <c r="A7306">
        <f>TEST_DATA!A7306</f>
        <v/>
      </c>
      <c r="B7306">
        <f>TEST_DATA!B7306</f>
        <v/>
      </c>
      <c r="C7306">
        <f>TEST_DATA!C7306</f>
        <v/>
      </c>
      <c r="D7306">
        <f>TEST_DATA!D7306</f>
        <v/>
      </c>
      <c r="E7306">
        <f>TEST_DATA!E7306</f>
        <v/>
      </c>
    </row>
    <row r="7307">
      <c r="A7307">
        <f>TEST_DATA!A7307</f>
        <v/>
      </c>
      <c r="B7307">
        <f>TEST_DATA!B7307</f>
        <v/>
      </c>
      <c r="C7307">
        <f>TEST_DATA!C7307</f>
        <v/>
      </c>
      <c r="D7307">
        <f>TEST_DATA!D7307</f>
        <v/>
      </c>
      <c r="E7307">
        <f>TEST_DATA!E7307</f>
        <v/>
      </c>
    </row>
    <row r="7308">
      <c r="A7308">
        <f>TEST_DATA!A7308</f>
        <v/>
      </c>
      <c r="B7308">
        <f>TEST_DATA!B7308</f>
        <v/>
      </c>
      <c r="C7308">
        <f>TEST_DATA!C7308</f>
        <v/>
      </c>
      <c r="D7308">
        <f>TEST_DATA!D7308</f>
        <v/>
      </c>
      <c r="E7308">
        <f>TEST_DATA!E7308</f>
        <v/>
      </c>
    </row>
    <row r="7309">
      <c r="A7309">
        <f>TEST_DATA!A7309</f>
        <v/>
      </c>
      <c r="B7309">
        <f>TEST_DATA!B7309</f>
        <v/>
      </c>
      <c r="C7309">
        <f>TEST_DATA!C7309</f>
        <v/>
      </c>
      <c r="D7309">
        <f>TEST_DATA!D7309</f>
        <v/>
      </c>
      <c r="E7309">
        <f>TEST_DATA!E7309</f>
        <v/>
      </c>
    </row>
    <row r="7310">
      <c r="A7310">
        <f>TEST_DATA!A7310</f>
        <v/>
      </c>
      <c r="B7310">
        <f>TEST_DATA!B7310</f>
        <v/>
      </c>
      <c r="C7310">
        <f>TEST_DATA!C7310</f>
        <v/>
      </c>
      <c r="D7310">
        <f>TEST_DATA!D7310</f>
        <v/>
      </c>
      <c r="E7310">
        <f>TEST_DATA!E7310</f>
        <v/>
      </c>
    </row>
    <row r="7311">
      <c r="A7311">
        <f>TEST_DATA!A7311</f>
        <v/>
      </c>
      <c r="B7311">
        <f>TEST_DATA!B7311</f>
        <v/>
      </c>
      <c r="C7311">
        <f>TEST_DATA!C7311</f>
        <v/>
      </c>
      <c r="D7311">
        <f>TEST_DATA!D7311</f>
        <v/>
      </c>
      <c r="E7311">
        <f>TEST_DATA!E7311</f>
        <v/>
      </c>
    </row>
    <row r="7312">
      <c r="A7312">
        <f>TEST_DATA!A7312</f>
        <v/>
      </c>
      <c r="B7312">
        <f>TEST_DATA!B7312</f>
        <v/>
      </c>
      <c r="C7312">
        <f>TEST_DATA!C7312</f>
        <v/>
      </c>
      <c r="D7312">
        <f>TEST_DATA!D7312</f>
        <v/>
      </c>
      <c r="E7312">
        <f>TEST_DATA!E7312</f>
        <v/>
      </c>
    </row>
    <row r="7313">
      <c r="A7313">
        <f>TEST_DATA!A7313</f>
        <v/>
      </c>
      <c r="B7313">
        <f>TEST_DATA!B7313</f>
        <v/>
      </c>
      <c r="C7313">
        <f>TEST_DATA!C7313</f>
        <v/>
      </c>
      <c r="D7313">
        <f>TEST_DATA!D7313</f>
        <v/>
      </c>
      <c r="E7313">
        <f>TEST_DATA!E7313</f>
        <v/>
      </c>
    </row>
    <row r="7314">
      <c r="A7314">
        <f>TEST_DATA!A7314</f>
        <v/>
      </c>
      <c r="B7314">
        <f>TEST_DATA!B7314</f>
        <v/>
      </c>
      <c r="C7314">
        <f>TEST_DATA!C7314</f>
        <v/>
      </c>
      <c r="D7314">
        <f>TEST_DATA!D7314</f>
        <v/>
      </c>
      <c r="E7314">
        <f>TEST_DATA!E7314</f>
        <v/>
      </c>
    </row>
    <row r="7315">
      <c r="A7315">
        <f>TEST_DATA!A7315</f>
        <v/>
      </c>
      <c r="B7315">
        <f>TEST_DATA!B7315</f>
        <v/>
      </c>
      <c r="C7315">
        <f>TEST_DATA!C7315</f>
        <v/>
      </c>
      <c r="D7315">
        <f>TEST_DATA!D7315</f>
        <v/>
      </c>
      <c r="E7315">
        <f>TEST_DATA!E7315</f>
        <v/>
      </c>
    </row>
    <row r="7316">
      <c r="A7316">
        <f>TEST_DATA!A7316</f>
        <v/>
      </c>
      <c r="B7316">
        <f>TEST_DATA!B7316</f>
        <v/>
      </c>
      <c r="C7316">
        <f>TEST_DATA!C7316</f>
        <v/>
      </c>
      <c r="D7316">
        <f>TEST_DATA!D7316</f>
        <v/>
      </c>
      <c r="E7316">
        <f>TEST_DATA!E7316</f>
        <v/>
      </c>
    </row>
    <row r="7317">
      <c r="A7317">
        <f>TEST_DATA!A7317</f>
        <v/>
      </c>
      <c r="B7317">
        <f>TEST_DATA!B7317</f>
        <v/>
      </c>
      <c r="C7317">
        <f>TEST_DATA!C7317</f>
        <v/>
      </c>
      <c r="D7317">
        <f>TEST_DATA!D7317</f>
        <v/>
      </c>
      <c r="E7317">
        <f>TEST_DATA!E7317</f>
        <v/>
      </c>
    </row>
    <row r="7318">
      <c r="A7318">
        <f>TEST_DATA!A7318</f>
        <v/>
      </c>
      <c r="B7318">
        <f>TEST_DATA!B7318</f>
        <v/>
      </c>
      <c r="C7318">
        <f>TEST_DATA!C7318</f>
        <v/>
      </c>
      <c r="D7318">
        <f>TEST_DATA!D7318</f>
        <v/>
      </c>
      <c r="E7318">
        <f>TEST_DATA!E7318</f>
        <v/>
      </c>
    </row>
    <row r="7319">
      <c r="A7319">
        <f>TEST_DATA!A7319</f>
        <v/>
      </c>
      <c r="B7319">
        <f>TEST_DATA!B7319</f>
        <v/>
      </c>
      <c r="C7319">
        <f>TEST_DATA!C7319</f>
        <v/>
      </c>
      <c r="D7319">
        <f>TEST_DATA!D7319</f>
        <v/>
      </c>
      <c r="E7319">
        <f>TEST_DATA!E7319</f>
        <v/>
      </c>
    </row>
    <row r="7320">
      <c r="A7320">
        <f>TEST_DATA!A7320</f>
        <v/>
      </c>
      <c r="B7320">
        <f>TEST_DATA!B7320</f>
        <v/>
      </c>
      <c r="C7320">
        <f>TEST_DATA!C7320</f>
        <v/>
      </c>
      <c r="D7320">
        <f>TEST_DATA!D7320</f>
        <v/>
      </c>
      <c r="E7320">
        <f>TEST_DATA!E7320</f>
        <v/>
      </c>
    </row>
    <row r="7321">
      <c r="A7321">
        <f>TEST_DATA!A7321</f>
        <v/>
      </c>
      <c r="B7321">
        <f>TEST_DATA!B7321</f>
        <v/>
      </c>
      <c r="C7321">
        <f>TEST_DATA!C7321</f>
        <v/>
      </c>
      <c r="D7321">
        <f>TEST_DATA!D7321</f>
        <v/>
      </c>
      <c r="E7321">
        <f>TEST_DATA!E7321</f>
        <v/>
      </c>
    </row>
    <row r="7322">
      <c r="A7322">
        <f>TEST_DATA!A7322</f>
        <v/>
      </c>
      <c r="B7322">
        <f>TEST_DATA!B7322</f>
        <v/>
      </c>
      <c r="C7322">
        <f>TEST_DATA!C7322</f>
        <v/>
      </c>
      <c r="D7322">
        <f>TEST_DATA!D7322</f>
        <v/>
      </c>
      <c r="E7322">
        <f>TEST_DATA!E7322</f>
        <v/>
      </c>
    </row>
    <row r="7323">
      <c r="A7323">
        <f>TEST_DATA!A7323</f>
        <v/>
      </c>
      <c r="B7323">
        <f>TEST_DATA!B7323</f>
        <v/>
      </c>
      <c r="C7323">
        <f>TEST_DATA!C7323</f>
        <v/>
      </c>
      <c r="D7323">
        <f>TEST_DATA!D7323</f>
        <v/>
      </c>
      <c r="E7323">
        <f>TEST_DATA!E7323</f>
        <v/>
      </c>
    </row>
    <row r="7324">
      <c r="A7324">
        <f>TEST_DATA!A7324</f>
        <v/>
      </c>
      <c r="B7324">
        <f>TEST_DATA!B7324</f>
        <v/>
      </c>
      <c r="C7324">
        <f>TEST_DATA!C7324</f>
        <v/>
      </c>
      <c r="D7324">
        <f>TEST_DATA!D7324</f>
        <v/>
      </c>
      <c r="E7324">
        <f>TEST_DATA!E7324</f>
        <v/>
      </c>
    </row>
    <row r="7325">
      <c r="A7325">
        <f>TEST_DATA!A7325</f>
        <v/>
      </c>
      <c r="B7325">
        <f>TEST_DATA!B7325</f>
        <v/>
      </c>
      <c r="C7325">
        <f>TEST_DATA!C7325</f>
        <v/>
      </c>
      <c r="D7325">
        <f>TEST_DATA!D7325</f>
        <v/>
      </c>
      <c r="E7325">
        <f>TEST_DATA!E7325</f>
        <v/>
      </c>
    </row>
    <row r="7326">
      <c r="A7326">
        <f>TEST_DATA!A7326</f>
        <v/>
      </c>
      <c r="B7326">
        <f>TEST_DATA!B7326</f>
        <v/>
      </c>
      <c r="C7326">
        <f>TEST_DATA!C7326</f>
        <v/>
      </c>
      <c r="D7326">
        <f>TEST_DATA!D7326</f>
        <v/>
      </c>
      <c r="E7326">
        <f>TEST_DATA!E7326</f>
        <v/>
      </c>
    </row>
    <row r="7327">
      <c r="A7327">
        <f>TEST_DATA!A7327</f>
        <v/>
      </c>
      <c r="B7327">
        <f>TEST_DATA!B7327</f>
        <v/>
      </c>
      <c r="C7327">
        <f>TEST_DATA!C7327</f>
        <v/>
      </c>
      <c r="D7327">
        <f>TEST_DATA!D7327</f>
        <v/>
      </c>
      <c r="E7327">
        <f>TEST_DATA!E7327</f>
        <v/>
      </c>
    </row>
    <row r="7328">
      <c r="A7328">
        <f>TEST_DATA!A7328</f>
        <v/>
      </c>
      <c r="B7328">
        <f>TEST_DATA!B7328</f>
        <v/>
      </c>
      <c r="C7328">
        <f>TEST_DATA!C7328</f>
        <v/>
      </c>
      <c r="D7328">
        <f>TEST_DATA!D7328</f>
        <v/>
      </c>
      <c r="E7328">
        <f>TEST_DATA!E7328</f>
        <v/>
      </c>
    </row>
    <row r="7329">
      <c r="A7329">
        <f>TEST_DATA!A7329</f>
        <v/>
      </c>
      <c r="B7329">
        <f>TEST_DATA!B7329</f>
        <v/>
      </c>
      <c r="C7329">
        <f>TEST_DATA!C7329</f>
        <v/>
      </c>
      <c r="D7329">
        <f>TEST_DATA!D7329</f>
        <v/>
      </c>
      <c r="E7329">
        <f>TEST_DATA!E7329</f>
        <v/>
      </c>
    </row>
    <row r="7330">
      <c r="A7330">
        <f>TEST_DATA!A7330</f>
        <v/>
      </c>
      <c r="B7330">
        <f>TEST_DATA!B7330</f>
        <v/>
      </c>
      <c r="C7330">
        <f>TEST_DATA!C7330</f>
        <v/>
      </c>
      <c r="D7330">
        <f>TEST_DATA!D7330</f>
        <v/>
      </c>
      <c r="E7330">
        <f>TEST_DATA!E7330</f>
        <v/>
      </c>
    </row>
    <row r="7331">
      <c r="A7331">
        <f>TEST_DATA!A7331</f>
        <v/>
      </c>
      <c r="B7331">
        <f>TEST_DATA!B7331</f>
        <v/>
      </c>
      <c r="C7331">
        <f>TEST_DATA!C7331</f>
        <v/>
      </c>
      <c r="D7331">
        <f>TEST_DATA!D7331</f>
        <v/>
      </c>
      <c r="E7331">
        <f>TEST_DATA!E7331</f>
        <v/>
      </c>
    </row>
    <row r="7332">
      <c r="A7332">
        <f>TEST_DATA!A7332</f>
        <v/>
      </c>
      <c r="B7332">
        <f>TEST_DATA!B7332</f>
        <v/>
      </c>
      <c r="C7332">
        <f>TEST_DATA!C7332</f>
        <v/>
      </c>
      <c r="D7332">
        <f>TEST_DATA!D7332</f>
        <v/>
      </c>
      <c r="E7332">
        <f>TEST_DATA!E7332</f>
        <v/>
      </c>
    </row>
    <row r="7333">
      <c r="A7333">
        <f>TEST_DATA!A7333</f>
        <v/>
      </c>
      <c r="B7333">
        <f>TEST_DATA!B7333</f>
        <v/>
      </c>
      <c r="C7333">
        <f>TEST_DATA!C7333</f>
        <v/>
      </c>
      <c r="D7333">
        <f>TEST_DATA!D7333</f>
        <v/>
      </c>
      <c r="E7333">
        <f>TEST_DATA!E7333</f>
        <v/>
      </c>
    </row>
    <row r="7334">
      <c r="A7334">
        <f>TEST_DATA!A7334</f>
        <v/>
      </c>
      <c r="B7334">
        <f>TEST_DATA!B7334</f>
        <v/>
      </c>
      <c r="C7334">
        <f>TEST_DATA!C7334</f>
        <v/>
      </c>
      <c r="D7334">
        <f>TEST_DATA!D7334</f>
        <v/>
      </c>
      <c r="E7334">
        <f>TEST_DATA!E7334</f>
        <v/>
      </c>
    </row>
    <row r="7335">
      <c r="A7335">
        <f>TEST_DATA!A7335</f>
        <v/>
      </c>
      <c r="B7335">
        <f>TEST_DATA!B7335</f>
        <v/>
      </c>
      <c r="C7335">
        <f>TEST_DATA!C7335</f>
        <v/>
      </c>
      <c r="D7335">
        <f>TEST_DATA!D7335</f>
        <v/>
      </c>
      <c r="E7335">
        <f>TEST_DATA!E7335</f>
        <v/>
      </c>
    </row>
    <row r="7336">
      <c r="A7336">
        <f>TEST_DATA!A7336</f>
        <v/>
      </c>
      <c r="B7336">
        <f>TEST_DATA!B7336</f>
        <v/>
      </c>
      <c r="C7336">
        <f>TEST_DATA!C7336</f>
        <v/>
      </c>
      <c r="D7336">
        <f>TEST_DATA!D7336</f>
        <v/>
      </c>
      <c r="E7336">
        <f>TEST_DATA!E7336</f>
        <v/>
      </c>
    </row>
    <row r="7337">
      <c r="A7337">
        <f>TEST_DATA!A7337</f>
        <v/>
      </c>
      <c r="B7337">
        <f>TEST_DATA!B7337</f>
        <v/>
      </c>
      <c r="C7337">
        <f>TEST_DATA!C7337</f>
        <v/>
      </c>
      <c r="D7337">
        <f>TEST_DATA!D7337</f>
        <v/>
      </c>
      <c r="E7337">
        <f>TEST_DATA!E7337</f>
        <v/>
      </c>
    </row>
    <row r="7338">
      <c r="A7338">
        <f>TEST_DATA!A7338</f>
        <v/>
      </c>
      <c r="B7338">
        <f>TEST_DATA!B7338</f>
        <v/>
      </c>
      <c r="C7338">
        <f>TEST_DATA!C7338</f>
        <v/>
      </c>
      <c r="D7338">
        <f>TEST_DATA!D7338</f>
        <v/>
      </c>
      <c r="E7338">
        <f>TEST_DATA!E7338</f>
        <v/>
      </c>
    </row>
    <row r="7339">
      <c r="A7339">
        <f>TEST_DATA!A7339</f>
        <v/>
      </c>
      <c r="B7339">
        <f>TEST_DATA!B7339</f>
        <v/>
      </c>
      <c r="C7339">
        <f>TEST_DATA!C7339</f>
        <v/>
      </c>
      <c r="D7339">
        <f>TEST_DATA!D7339</f>
        <v/>
      </c>
      <c r="E7339">
        <f>TEST_DATA!E7339</f>
        <v/>
      </c>
    </row>
    <row r="7340">
      <c r="A7340">
        <f>TEST_DATA!A7340</f>
        <v/>
      </c>
      <c r="B7340">
        <f>TEST_DATA!B7340</f>
        <v/>
      </c>
      <c r="C7340">
        <f>TEST_DATA!C7340</f>
        <v/>
      </c>
      <c r="D7340">
        <f>TEST_DATA!D7340</f>
        <v/>
      </c>
      <c r="E7340">
        <f>TEST_DATA!E7340</f>
        <v/>
      </c>
    </row>
    <row r="7341">
      <c r="A7341">
        <f>TEST_DATA!A7341</f>
        <v/>
      </c>
      <c r="B7341">
        <f>TEST_DATA!B7341</f>
        <v/>
      </c>
      <c r="C7341">
        <f>TEST_DATA!C7341</f>
        <v/>
      </c>
      <c r="D7341">
        <f>TEST_DATA!D7341</f>
        <v/>
      </c>
      <c r="E7341">
        <f>TEST_DATA!E7341</f>
        <v/>
      </c>
    </row>
    <row r="7342">
      <c r="A7342">
        <f>TEST_DATA!A7342</f>
        <v/>
      </c>
      <c r="B7342">
        <f>TEST_DATA!B7342</f>
        <v/>
      </c>
      <c r="C7342">
        <f>TEST_DATA!C7342</f>
        <v/>
      </c>
      <c r="D7342">
        <f>TEST_DATA!D7342</f>
        <v/>
      </c>
      <c r="E7342">
        <f>TEST_DATA!E7342</f>
        <v/>
      </c>
    </row>
    <row r="7343">
      <c r="A7343">
        <f>TEST_DATA!A7343</f>
        <v/>
      </c>
      <c r="B7343">
        <f>TEST_DATA!B7343</f>
        <v/>
      </c>
      <c r="C7343">
        <f>TEST_DATA!C7343</f>
        <v/>
      </c>
      <c r="D7343">
        <f>TEST_DATA!D7343</f>
        <v/>
      </c>
      <c r="E7343">
        <f>TEST_DATA!E7343</f>
        <v/>
      </c>
    </row>
    <row r="7344">
      <c r="A7344">
        <f>TEST_DATA!A7344</f>
        <v/>
      </c>
      <c r="B7344">
        <f>TEST_DATA!B7344</f>
        <v/>
      </c>
      <c r="C7344">
        <f>TEST_DATA!C7344</f>
        <v/>
      </c>
      <c r="D7344">
        <f>TEST_DATA!D7344</f>
        <v/>
      </c>
      <c r="E7344">
        <f>TEST_DATA!E7344</f>
        <v/>
      </c>
    </row>
    <row r="7345">
      <c r="A7345">
        <f>TEST_DATA!A7345</f>
        <v/>
      </c>
      <c r="B7345">
        <f>TEST_DATA!B7345</f>
        <v/>
      </c>
      <c r="C7345">
        <f>TEST_DATA!C7345</f>
        <v/>
      </c>
      <c r="D7345">
        <f>TEST_DATA!D7345</f>
        <v/>
      </c>
      <c r="E7345">
        <f>TEST_DATA!E7345</f>
        <v/>
      </c>
    </row>
    <row r="7346">
      <c r="A7346">
        <f>TEST_DATA!A7346</f>
        <v/>
      </c>
      <c r="B7346">
        <f>TEST_DATA!B7346</f>
        <v/>
      </c>
      <c r="C7346">
        <f>TEST_DATA!C7346</f>
        <v/>
      </c>
      <c r="D7346">
        <f>TEST_DATA!D7346</f>
        <v/>
      </c>
      <c r="E7346">
        <f>TEST_DATA!E7346</f>
        <v/>
      </c>
    </row>
    <row r="7347">
      <c r="A7347">
        <f>TEST_DATA!A7347</f>
        <v/>
      </c>
      <c r="B7347">
        <f>TEST_DATA!B7347</f>
        <v/>
      </c>
      <c r="C7347">
        <f>TEST_DATA!C7347</f>
        <v/>
      </c>
      <c r="D7347">
        <f>TEST_DATA!D7347</f>
        <v/>
      </c>
      <c r="E7347">
        <f>TEST_DATA!E7347</f>
        <v/>
      </c>
    </row>
    <row r="7348">
      <c r="A7348">
        <f>TEST_DATA!A7348</f>
        <v/>
      </c>
      <c r="B7348">
        <f>TEST_DATA!B7348</f>
        <v/>
      </c>
      <c r="C7348">
        <f>TEST_DATA!C7348</f>
        <v/>
      </c>
      <c r="D7348">
        <f>TEST_DATA!D7348</f>
        <v/>
      </c>
      <c r="E7348">
        <f>TEST_DATA!E7348</f>
        <v/>
      </c>
    </row>
    <row r="7349">
      <c r="A7349">
        <f>TEST_DATA!A7349</f>
        <v/>
      </c>
      <c r="B7349">
        <f>TEST_DATA!B7349</f>
        <v/>
      </c>
      <c r="C7349">
        <f>TEST_DATA!C7349</f>
        <v/>
      </c>
      <c r="D7349">
        <f>TEST_DATA!D7349</f>
        <v/>
      </c>
      <c r="E7349">
        <f>TEST_DATA!E7349</f>
        <v/>
      </c>
    </row>
    <row r="7350">
      <c r="A7350">
        <f>TEST_DATA!A7350</f>
        <v/>
      </c>
      <c r="B7350">
        <f>TEST_DATA!B7350</f>
        <v/>
      </c>
      <c r="C7350">
        <f>TEST_DATA!C7350</f>
        <v/>
      </c>
      <c r="D7350">
        <f>TEST_DATA!D7350</f>
        <v/>
      </c>
      <c r="E7350">
        <f>TEST_DATA!E7350</f>
        <v/>
      </c>
    </row>
    <row r="7351">
      <c r="A7351">
        <f>TEST_DATA!A7351</f>
        <v/>
      </c>
      <c r="B7351">
        <f>TEST_DATA!B7351</f>
        <v/>
      </c>
      <c r="C7351">
        <f>TEST_DATA!C7351</f>
        <v/>
      </c>
      <c r="D7351">
        <f>TEST_DATA!D7351</f>
        <v/>
      </c>
      <c r="E7351">
        <f>TEST_DATA!E7351</f>
        <v/>
      </c>
    </row>
    <row r="7352">
      <c r="A7352">
        <f>TEST_DATA!A7352</f>
        <v/>
      </c>
      <c r="B7352">
        <f>TEST_DATA!B7352</f>
        <v/>
      </c>
      <c r="C7352">
        <f>TEST_DATA!C7352</f>
        <v/>
      </c>
      <c r="D7352">
        <f>TEST_DATA!D7352</f>
        <v/>
      </c>
      <c r="E7352">
        <f>TEST_DATA!E7352</f>
        <v/>
      </c>
    </row>
    <row r="7353">
      <c r="A7353">
        <f>TEST_DATA!A7353</f>
        <v/>
      </c>
      <c r="B7353">
        <f>TEST_DATA!B7353</f>
        <v/>
      </c>
      <c r="C7353">
        <f>TEST_DATA!C7353</f>
        <v/>
      </c>
      <c r="D7353">
        <f>TEST_DATA!D7353</f>
        <v/>
      </c>
      <c r="E7353">
        <f>TEST_DATA!E7353</f>
        <v/>
      </c>
    </row>
    <row r="7354">
      <c r="A7354">
        <f>TEST_DATA!A7354</f>
        <v/>
      </c>
      <c r="B7354">
        <f>TEST_DATA!B7354</f>
        <v/>
      </c>
      <c r="C7354">
        <f>TEST_DATA!C7354</f>
        <v/>
      </c>
      <c r="D7354">
        <f>TEST_DATA!D7354</f>
        <v/>
      </c>
      <c r="E7354">
        <f>TEST_DATA!E7354</f>
        <v/>
      </c>
    </row>
    <row r="7355">
      <c r="A7355">
        <f>TEST_DATA!A7355</f>
        <v/>
      </c>
      <c r="B7355">
        <f>TEST_DATA!B7355</f>
        <v/>
      </c>
      <c r="C7355">
        <f>TEST_DATA!C7355</f>
        <v/>
      </c>
      <c r="D7355">
        <f>TEST_DATA!D7355</f>
        <v/>
      </c>
      <c r="E7355">
        <f>TEST_DATA!E7355</f>
        <v/>
      </c>
    </row>
    <row r="7356">
      <c r="A7356">
        <f>TEST_DATA!A7356</f>
        <v/>
      </c>
      <c r="B7356">
        <f>TEST_DATA!B7356</f>
        <v/>
      </c>
      <c r="C7356">
        <f>TEST_DATA!C7356</f>
        <v/>
      </c>
      <c r="D7356">
        <f>TEST_DATA!D7356</f>
        <v/>
      </c>
      <c r="E7356">
        <f>TEST_DATA!E7356</f>
        <v/>
      </c>
    </row>
    <row r="7357">
      <c r="A7357">
        <f>TEST_DATA!A7357</f>
        <v/>
      </c>
      <c r="B7357">
        <f>TEST_DATA!B7357</f>
        <v/>
      </c>
      <c r="C7357">
        <f>TEST_DATA!C7357</f>
        <v/>
      </c>
      <c r="D7357">
        <f>TEST_DATA!D7357</f>
        <v/>
      </c>
      <c r="E7357">
        <f>TEST_DATA!E7357</f>
        <v/>
      </c>
    </row>
    <row r="7358">
      <c r="A7358">
        <f>TEST_DATA!A7358</f>
        <v/>
      </c>
      <c r="B7358">
        <f>TEST_DATA!B7358</f>
        <v/>
      </c>
      <c r="C7358">
        <f>TEST_DATA!C7358</f>
        <v/>
      </c>
      <c r="D7358">
        <f>TEST_DATA!D7358</f>
        <v/>
      </c>
      <c r="E7358">
        <f>TEST_DATA!E7358</f>
        <v/>
      </c>
    </row>
    <row r="7359">
      <c r="A7359">
        <f>TEST_DATA!A7359</f>
        <v/>
      </c>
      <c r="B7359">
        <f>TEST_DATA!B7359</f>
        <v/>
      </c>
      <c r="C7359">
        <f>TEST_DATA!C7359</f>
        <v/>
      </c>
      <c r="D7359">
        <f>TEST_DATA!D7359</f>
        <v/>
      </c>
      <c r="E7359">
        <f>TEST_DATA!E7359</f>
        <v/>
      </c>
    </row>
    <row r="7360">
      <c r="A7360">
        <f>TEST_DATA!A7360</f>
        <v/>
      </c>
      <c r="B7360">
        <f>TEST_DATA!B7360</f>
        <v/>
      </c>
      <c r="C7360">
        <f>TEST_DATA!C7360</f>
        <v/>
      </c>
      <c r="D7360">
        <f>TEST_DATA!D7360</f>
        <v/>
      </c>
      <c r="E7360">
        <f>TEST_DATA!E7360</f>
        <v/>
      </c>
    </row>
    <row r="7361">
      <c r="A7361">
        <f>TEST_DATA!A7361</f>
        <v/>
      </c>
      <c r="B7361">
        <f>TEST_DATA!B7361</f>
        <v/>
      </c>
      <c r="C7361">
        <f>TEST_DATA!C7361</f>
        <v/>
      </c>
      <c r="D7361">
        <f>TEST_DATA!D7361</f>
        <v/>
      </c>
      <c r="E7361">
        <f>TEST_DATA!E7361</f>
        <v/>
      </c>
    </row>
    <row r="7362">
      <c r="A7362">
        <f>TEST_DATA!A7362</f>
        <v/>
      </c>
      <c r="B7362">
        <f>TEST_DATA!B7362</f>
        <v/>
      </c>
      <c r="C7362">
        <f>TEST_DATA!C7362</f>
        <v/>
      </c>
      <c r="D7362">
        <f>TEST_DATA!D7362</f>
        <v/>
      </c>
      <c r="E7362">
        <f>TEST_DATA!E7362</f>
        <v/>
      </c>
    </row>
    <row r="7363">
      <c r="A7363">
        <f>TEST_DATA!A7363</f>
        <v/>
      </c>
      <c r="B7363">
        <f>TEST_DATA!B7363</f>
        <v/>
      </c>
      <c r="C7363">
        <f>TEST_DATA!C7363</f>
        <v/>
      </c>
      <c r="D7363">
        <f>TEST_DATA!D7363</f>
        <v/>
      </c>
      <c r="E7363">
        <f>TEST_DATA!E7363</f>
        <v/>
      </c>
    </row>
    <row r="7364">
      <c r="A7364">
        <f>TEST_DATA!A7364</f>
        <v/>
      </c>
      <c r="B7364">
        <f>TEST_DATA!B7364</f>
        <v/>
      </c>
      <c r="C7364">
        <f>TEST_DATA!C7364</f>
        <v/>
      </c>
      <c r="D7364">
        <f>TEST_DATA!D7364</f>
        <v/>
      </c>
      <c r="E7364">
        <f>TEST_DATA!E7364</f>
        <v/>
      </c>
    </row>
    <row r="7365">
      <c r="A7365">
        <f>TEST_DATA!A7365</f>
        <v/>
      </c>
      <c r="B7365">
        <f>TEST_DATA!B7365</f>
        <v/>
      </c>
      <c r="C7365">
        <f>TEST_DATA!C7365</f>
        <v/>
      </c>
      <c r="D7365">
        <f>TEST_DATA!D7365</f>
        <v/>
      </c>
      <c r="E7365">
        <f>TEST_DATA!E7365</f>
        <v/>
      </c>
    </row>
    <row r="7366">
      <c r="A7366">
        <f>TEST_DATA!A7366</f>
        <v/>
      </c>
      <c r="B7366">
        <f>TEST_DATA!B7366</f>
        <v/>
      </c>
      <c r="C7366">
        <f>TEST_DATA!C7366</f>
        <v/>
      </c>
      <c r="D7366">
        <f>TEST_DATA!D7366</f>
        <v/>
      </c>
      <c r="E7366">
        <f>TEST_DATA!E7366</f>
        <v/>
      </c>
    </row>
    <row r="7367">
      <c r="A7367">
        <f>TEST_DATA!A7367</f>
        <v/>
      </c>
      <c r="B7367">
        <f>TEST_DATA!B7367</f>
        <v/>
      </c>
      <c r="C7367">
        <f>TEST_DATA!C7367</f>
        <v/>
      </c>
      <c r="D7367">
        <f>TEST_DATA!D7367</f>
        <v/>
      </c>
      <c r="E7367">
        <f>TEST_DATA!E7367</f>
        <v/>
      </c>
    </row>
    <row r="7368">
      <c r="A7368">
        <f>TEST_DATA!A7368</f>
        <v/>
      </c>
      <c r="B7368">
        <f>TEST_DATA!B7368</f>
        <v/>
      </c>
      <c r="C7368">
        <f>TEST_DATA!C7368</f>
        <v/>
      </c>
      <c r="D7368">
        <f>TEST_DATA!D7368</f>
        <v/>
      </c>
      <c r="E7368">
        <f>TEST_DATA!E7368</f>
        <v/>
      </c>
    </row>
    <row r="7369">
      <c r="A7369">
        <f>TEST_DATA!A7369</f>
        <v/>
      </c>
      <c r="B7369">
        <f>TEST_DATA!B7369</f>
        <v/>
      </c>
      <c r="C7369">
        <f>TEST_DATA!C7369</f>
        <v/>
      </c>
      <c r="D7369">
        <f>TEST_DATA!D7369</f>
        <v/>
      </c>
      <c r="E7369">
        <f>TEST_DATA!E7369</f>
        <v/>
      </c>
    </row>
    <row r="7370">
      <c r="A7370">
        <f>TEST_DATA!A7370</f>
        <v/>
      </c>
      <c r="B7370">
        <f>TEST_DATA!B7370</f>
        <v/>
      </c>
      <c r="C7370">
        <f>TEST_DATA!C7370</f>
        <v/>
      </c>
      <c r="D7370">
        <f>TEST_DATA!D7370</f>
        <v/>
      </c>
      <c r="E7370">
        <f>TEST_DATA!E7370</f>
        <v/>
      </c>
    </row>
    <row r="7371">
      <c r="A7371">
        <f>TEST_DATA!A7371</f>
        <v/>
      </c>
      <c r="B7371">
        <f>TEST_DATA!B7371</f>
        <v/>
      </c>
      <c r="C7371">
        <f>TEST_DATA!C7371</f>
        <v/>
      </c>
      <c r="D7371">
        <f>TEST_DATA!D7371</f>
        <v/>
      </c>
      <c r="E7371">
        <f>TEST_DATA!E7371</f>
        <v/>
      </c>
    </row>
    <row r="7372">
      <c r="A7372">
        <f>TEST_DATA!A7372</f>
        <v/>
      </c>
      <c r="B7372">
        <f>TEST_DATA!B7372</f>
        <v/>
      </c>
      <c r="C7372">
        <f>TEST_DATA!C7372</f>
        <v/>
      </c>
      <c r="D7372">
        <f>TEST_DATA!D7372</f>
        <v/>
      </c>
      <c r="E7372">
        <f>TEST_DATA!E7372</f>
        <v/>
      </c>
    </row>
    <row r="7373">
      <c r="A7373">
        <f>TEST_DATA!A7373</f>
        <v/>
      </c>
      <c r="B7373">
        <f>TEST_DATA!B7373</f>
        <v/>
      </c>
      <c r="C7373">
        <f>TEST_DATA!C7373</f>
        <v/>
      </c>
      <c r="D7373">
        <f>TEST_DATA!D7373</f>
        <v/>
      </c>
      <c r="E7373">
        <f>TEST_DATA!E7373</f>
        <v/>
      </c>
    </row>
    <row r="7374">
      <c r="A7374">
        <f>TEST_DATA!A7374</f>
        <v/>
      </c>
      <c r="B7374">
        <f>TEST_DATA!B7374</f>
        <v/>
      </c>
      <c r="C7374">
        <f>TEST_DATA!C7374</f>
        <v/>
      </c>
      <c r="D7374">
        <f>TEST_DATA!D7374</f>
        <v/>
      </c>
      <c r="E7374">
        <f>TEST_DATA!E7374</f>
        <v/>
      </c>
    </row>
    <row r="7375">
      <c r="A7375">
        <f>TEST_DATA!A7375</f>
        <v/>
      </c>
      <c r="B7375">
        <f>TEST_DATA!B7375</f>
        <v/>
      </c>
      <c r="C7375">
        <f>TEST_DATA!C7375</f>
        <v/>
      </c>
      <c r="D7375">
        <f>TEST_DATA!D7375</f>
        <v/>
      </c>
      <c r="E7375">
        <f>TEST_DATA!E7375</f>
        <v/>
      </c>
    </row>
    <row r="7376">
      <c r="A7376">
        <f>TEST_DATA!A7376</f>
        <v/>
      </c>
      <c r="B7376">
        <f>TEST_DATA!B7376</f>
        <v/>
      </c>
      <c r="C7376">
        <f>TEST_DATA!C7376</f>
        <v/>
      </c>
      <c r="D7376">
        <f>TEST_DATA!D7376</f>
        <v/>
      </c>
      <c r="E7376">
        <f>TEST_DATA!E7376</f>
        <v/>
      </c>
    </row>
    <row r="7377">
      <c r="A7377">
        <f>TEST_DATA!A7377</f>
        <v/>
      </c>
      <c r="B7377">
        <f>TEST_DATA!B7377</f>
        <v/>
      </c>
      <c r="C7377">
        <f>TEST_DATA!C7377</f>
        <v/>
      </c>
      <c r="D7377">
        <f>TEST_DATA!D7377</f>
        <v/>
      </c>
      <c r="E7377">
        <f>TEST_DATA!E7377</f>
        <v/>
      </c>
    </row>
    <row r="7378">
      <c r="A7378">
        <f>TEST_DATA!A7378</f>
        <v/>
      </c>
      <c r="B7378">
        <f>TEST_DATA!B7378</f>
        <v/>
      </c>
      <c r="C7378">
        <f>TEST_DATA!C7378</f>
        <v/>
      </c>
      <c r="D7378">
        <f>TEST_DATA!D7378</f>
        <v/>
      </c>
      <c r="E7378">
        <f>TEST_DATA!E7378</f>
        <v/>
      </c>
    </row>
    <row r="7379">
      <c r="A7379">
        <f>TEST_DATA!A7379</f>
        <v/>
      </c>
      <c r="B7379">
        <f>TEST_DATA!B7379</f>
        <v/>
      </c>
      <c r="C7379">
        <f>TEST_DATA!C7379</f>
        <v/>
      </c>
      <c r="D7379">
        <f>TEST_DATA!D7379</f>
        <v/>
      </c>
      <c r="E7379">
        <f>TEST_DATA!E7379</f>
        <v/>
      </c>
    </row>
    <row r="7380">
      <c r="A7380">
        <f>TEST_DATA!A7380</f>
        <v/>
      </c>
      <c r="B7380">
        <f>TEST_DATA!B7380</f>
        <v/>
      </c>
      <c r="C7380">
        <f>TEST_DATA!C7380</f>
        <v/>
      </c>
      <c r="D7380">
        <f>TEST_DATA!D7380</f>
        <v/>
      </c>
      <c r="E7380">
        <f>TEST_DATA!E7380</f>
        <v/>
      </c>
    </row>
    <row r="7381">
      <c r="A7381">
        <f>TEST_DATA!A7381</f>
        <v/>
      </c>
      <c r="B7381">
        <f>TEST_DATA!B7381</f>
        <v/>
      </c>
      <c r="C7381">
        <f>TEST_DATA!C7381</f>
        <v/>
      </c>
      <c r="D7381">
        <f>TEST_DATA!D7381</f>
        <v/>
      </c>
      <c r="E7381">
        <f>TEST_DATA!E7381</f>
        <v/>
      </c>
    </row>
    <row r="7382">
      <c r="A7382">
        <f>TEST_DATA!A7382</f>
        <v/>
      </c>
      <c r="B7382">
        <f>TEST_DATA!B7382</f>
        <v/>
      </c>
      <c r="C7382">
        <f>TEST_DATA!C7382</f>
        <v/>
      </c>
      <c r="D7382">
        <f>TEST_DATA!D7382</f>
        <v/>
      </c>
      <c r="E7382">
        <f>TEST_DATA!E7382</f>
        <v/>
      </c>
    </row>
    <row r="7383">
      <c r="A7383">
        <f>TEST_DATA!A7383</f>
        <v/>
      </c>
      <c r="B7383">
        <f>TEST_DATA!B7383</f>
        <v/>
      </c>
      <c r="C7383">
        <f>TEST_DATA!C7383</f>
        <v/>
      </c>
      <c r="D7383">
        <f>TEST_DATA!D7383</f>
        <v/>
      </c>
      <c r="E7383">
        <f>TEST_DATA!E7383</f>
        <v/>
      </c>
    </row>
    <row r="7384">
      <c r="A7384">
        <f>TEST_DATA!A7384</f>
        <v/>
      </c>
      <c r="B7384">
        <f>TEST_DATA!B7384</f>
        <v/>
      </c>
      <c r="C7384">
        <f>TEST_DATA!C7384</f>
        <v/>
      </c>
      <c r="D7384">
        <f>TEST_DATA!D7384</f>
        <v/>
      </c>
      <c r="E7384">
        <f>TEST_DATA!E7384</f>
        <v/>
      </c>
    </row>
    <row r="7385">
      <c r="A7385">
        <f>TEST_DATA!A7385</f>
        <v/>
      </c>
      <c r="B7385">
        <f>TEST_DATA!B7385</f>
        <v/>
      </c>
      <c r="C7385">
        <f>TEST_DATA!C7385</f>
        <v/>
      </c>
      <c r="D7385">
        <f>TEST_DATA!D7385</f>
        <v/>
      </c>
      <c r="E7385">
        <f>TEST_DATA!E7385</f>
        <v/>
      </c>
    </row>
    <row r="7386">
      <c r="A7386">
        <f>TEST_DATA!A7386</f>
        <v/>
      </c>
      <c r="B7386">
        <f>TEST_DATA!B7386</f>
        <v/>
      </c>
      <c r="C7386">
        <f>TEST_DATA!C7386</f>
        <v/>
      </c>
      <c r="D7386">
        <f>TEST_DATA!D7386</f>
        <v/>
      </c>
      <c r="E7386">
        <f>TEST_DATA!E7386</f>
        <v/>
      </c>
    </row>
    <row r="7387">
      <c r="A7387">
        <f>TEST_DATA!A7387</f>
        <v/>
      </c>
      <c r="B7387">
        <f>TEST_DATA!B7387</f>
        <v/>
      </c>
      <c r="C7387">
        <f>TEST_DATA!C7387</f>
        <v/>
      </c>
      <c r="D7387">
        <f>TEST_DATA!D7387</f>
        <v/>
      </c>
      <c r="E7387">
        <f>TEST_DATA!E7387</f>
        <v/>
      </c>
    </row>
    <row r="7388">
      <c r="A7388">
        <f>TEST_DATA!A7388</f>
        <v/>
      </c>
      <c r="B7388">
        <f>TEST_DATA!B7388</f>
        <v/>
      </c>
      <c r="C7388">
        <f>TEST_DATA!C7388</f>
        <v/>
      </c>
      <c r="D7388">
        <f>TEST_DATA!D7388</f>
        <v/>
      </c>
      <c r="E7388">
        <f>TEST_DATA!E7388</f>
        <v/>
      </c>
    </row>
    <row r="7389">
      <c r="A7389">
        <f>TEST_DATA!A7389</f>
        <v/>
      </c>
      <c r="B7389">
        <f>TEST_DATA!B7389</f>
        <v/>
      </c>
      <c r="C7389">
        <f>TEST_DATA!C7389</f>
        <v/>
      </c>
      <c r="D7389">
        <f>TEST_DATA!D7389</f>
        <v/>
      </c>
      <c r="E7389">
        <f>TEST_DATA!E7389</f>
        <v/>
      </c>
    </row>
    <row r="7390">
      <c r="A7390">
        <f>TEST_DATA!A7390</f>
        <v/>
      </c>
      <c r="B7390">
        <f>TEST_DATA!B7390</f>
        <v/>
      </c>
      <c r="C7390">
        <f>TEST_DATA!C7390</f>
        <v/>
      </c>
      <c r="D7390">
        <f>TEST_DATA!D7390</f>
        <v/>
      </c>
      <c r="E7390">
        <f>TEST_DATA!E7390</f>
        <v/>
      </c>
    </row>
    <row r="7391">
      <c r="A7391">
        <f>TEST_DATA!A7391</f>
        <v/>
      </c>
      <c r="B7391">
        <f>TEST_DATA!B7391</f>
        <v/>
      </c>
      <c r="C7391">
        <f>TEST_DATA!C7391</f>
        <v/>
      </c>
      <c r="D7391">
        <f>TEST_DATA!D7391</f>
        <v/>
      </c>
      <c r="E7391">
        <f>TEST_DATA!E7391</f>
        <v/>
      </c>
    </row>
    <row r="7392">
      <c r="A7392">
        <f>TEST_DATA!A7392</f>
        <v/>
      </c>
      <c r="B7392">
        <f>TEST_DATA!B7392</f>
        <v/>
      </c>
      <c r="C7392">
        <f>TEST_DATA!C7392</f>
        <v/>
      </c>
      <c r="D7392">
        <f>TEST_DATA!D7392</f>
        <v/>
      </c>
      <c r="E7392">
        <f>TEST_DATA!E7392</f>
        <v/>
      </c>
    </row>
    <row r="7393">
      <c r="A7393">
        <f>TEST_DATA!A7393</f>
        <v/>
      </c>
      <c r="B7393">
        <f>TEST_DATA!B7393</f>
        <v/>
      </c>
      <c r="C7393">
        <f>TEST_DATA!C7393</f>
        <v/>
      </c>
      <c r="D7393">
        <f>TEST_DATA!D7393</f>
        <v/>
      </c>
      <c r="E7393">
        <f>TEST_DATA!E7393</f>
        <v/>
      </c>
    </row>
    <row r="7394">
      <c r="A7394">
        <f>TEST_DATA!A7394</f>
        <v/>
      </c>
      <c r="B7394">
        <f>TEST_DATA!B7394</f>
        <v/>
      </c>
      <c r="C7394">
        <f>TEST_DATA!C7394</f>
        <v/>
      </c>
      <c r="D7394">
        <f>TEST_DATA!D7394</f>
        <v/>
      </c>
      <c r="E7394">
        <f>TEST_DATA!E7394</f>
        <v/>
      </c>
    </row>
    <row r="7395">
      <c r="A7395">
        <f>TEST_DATA!A7395</f>
        <v/>
      </c>
      <c r="B7395">
        <f>TEST_DATA!B7395</f>
        <v/>
      </c>
      <c r="C7395">
        <f>TEST_DATA!C7395</f>
        <v/>
      </c>
      <c r="D7395">
        <f>TEST_DATA!D7395</f>
        <v/>
      </c>
      <c r="E7395">
        <f>TEST_DATA!E7395</f>
        <v/>
      </c>
    </row>
    <row r="7396">
      <c r="A7396">
        <f>TEST_DATA!A7396</f>
        <v/>
      </c>
      <c r="B7396">
        <f>TEST_DATA!B7396</f>
        <v/>
      </c>
      <c r="C7396">
        <f>TEST_DATA!C7396</f>
        <v/>
      </c>
      <c r="D7396">
        <f>TEST_DATA!D7396</f>
        <v/>
      </c>
      <c r="E7396">
        <f>TEST_DATA!E7396</f>
        <v/>
      </c>
    </row>
    <row r="7397">
      <c r="A7397">
        <f>TEST_DATA!A7397</f>
        <v/>
      </c>
      <c r="B7397">
        <f>TEST_DATA!B7397</f>
        <v/>
      </c>
      <c r="C7397">
        <f>TEST_DATA!C7397</f>
        <v/>
      </c>
      <c r="D7397">
        <f>TEST_DATA!D7397</f>
        <v/>
      </c>
      <c r="E7397">
        <f>TEST_DATA!E7397</f>
        <v/>
      </c>
    </row>
    <row r="7398">
      <c r="A7398">
        <f>TEST_DATA!A7398</f>
        <v/>
      </c>
      <c r="B7398">
        <f>TEST_DATA!B7398</f>
        <v/>
      </c>
      <c r="C7398">
        <f>TEST_DATA!C7398</f>
        <v/>
      </c>
      <c r="D7398">
        <f>TEST_DATA!D7398</f>
        <v/>
      </c>
      <c r="E7398">
        <f>TEST_DATA!E7398</f>
        <v/>
      </c>
    </row>
    <row r="7399">
      <c r="A7399">
        <f>TEST_DATA!A7399</f>
        <v/>
      </c>
      <c r="B7399">
        <f>TEST_DATA!B7399</f>
        <v/>
      </c>
      <c r="C7399">
        <f>TEST_DATA!C7399</f>
        <v/>
      </c>
      <c r="D7399">
        <f>TEST_DATA!D7399</f>
        <v/>
      </c>
      <c r="E7399">
        <f>TEST_DATA!E7399</f>
        <v/>
      </c>
    </row>
    <row r="7400">
      <c r="A7400">
        <f>TEST_DATA!A7400</f>
        <v/>
      </c>
      <c r="B7400">
        <f>TEST_DATA!B7400</f>
        <v/>
      </c>
      <c r="C7400">
        <f>TEST_DATA!C7400</f>
        <v/>
      </c>
      <c r="D7400">
        <f>TEST_DATA!D7400</f>
        <v/>
      </c>
      <c r="E7400">
        <f>TEST_DATA!E7400</f>
        <v/>
      </c>
    </row>
    <row r="7401">
      <c r="A7401">
        <f>TEST_DATA!A7401</f>
        <v/>
      </c>
      <c r="B7401">
        <f>TEST_DATA!B7401</f>
        <v/>
      </c>
      <c r="C7401">
        <f>TEST_DATA!C7401</f>
        <v/>
      </c>
      <c r="D7401">
        <f>TEST_DATA!D7401</f>
        <v/>
      </c>
      <c r="E7401">
        <f>TEST_DATA!E7401</f>
        <v/>
      </c>
    </row>
    <row r="7402">
      <c r="A7402">
        <f>TEST_DATA!A7402</f>
        <v/>
      </c>
      <c r="B7402">
        <f>TEST_DATA!B7402</f>
        <v/>
      </c>
      <c r="C7402">
        <f>TEST_DATA!C7402</f>
        <v/>
      </c>
      <c r="D7402">
        <f>TEST_DATA!D7402</f>
        <v/>
      </c>
      <c r="E7402">
        <f>TEST_DATA!E7402</f>
        <v/>
      </c>
    </row>
    <row r="7403">
      <c r="A7403">
        <f>TEST_DATA!A7403</f>
        <v/>
      </c>
      <c r="B7403">
        <f>TEST_DATA!B7403</f>
        <v/>
      </c>
      <c r="C7403">
        <f>TEST_DATA!C7403</f>
        <v/>
      </c>
      <c r="D7403">
        <f>TEST_DATA!D7403</f>
        <v/>
      </c>
      <c r="E7403">
        <f>TEST_DATA!E7403</f>
        <v/>
      </c>
    </row>
    <row r="7404">
      <c r="A7404">
        <f>TEST_DATA!A7404</f>
        <v/>
      </c>
      <c r="B7404">
        <f>TEST_DATA!B7404</f>
        <v/>
      </c>
      <c r="C7404">
        <f>TEST_DATA!C7404</f>
        <v/>
      </c>
      <c r="D7404">
        <f>TEST_DATA!D7404</f>
        <v/>
      </c>
      <c r="E7404">
        <f>TEST_DATA!E7404</f>
        <v/>
      </c>
    </row>
    <row r="7405">
      <c r="A7405">
        <f>TEST_DATA!A7405</f>
        <v/>
      </c>
      <c r="B7405">
        <f>TEST_DATA!B7405</f>
        <v/>
      </c>
      <c r="C7405">
        <f>TEST_DATA!C7405</f>
        <v/>
      </c>
      <c r="D7405">
        <f>TEST_DATA!D7405</f>
        <v/>
      </c>
      <c r="E7405">
        <f>TEST_DATA!E7405</f>
        <v/>
      </c>
    </row>
    <row r="7406">
      <c r="A7406">
        <f>TEST_DATA!A7406</f>
        <v/>
      </c>
      <c r="B7406">
        <f>TEST_DATA!B7406</f>
        <v/>
      </c>
      <c r="C7406">
        <f>TEST_DATA!C7406</f>
        <v/>
      </c>
      <c r="D7406">
        <f>TEST_DATA!D7406</f>
        <v/>
      </c>
      <c r="E7406">
        <f>TEST_DATA!E7406</f>
        <v/>
      </c>
    </row>
    <row r="7407">
      <c r="A7407">
        <f>TEST_DATA!A7407</f>
        <v/>
      </c>
      <c r="B7407">
        <f>TEST_DATA!B7407</f>
        <v/>
      </c>
      <c r="C7407">
        <f>TEST_DATA!C7407</f>
        <v/>
      </c>
      <c r="D7407">
        <f>TEST_DATA!D7407</f>
        <v/>
      </c>
      <c r="E7407">
        <f>TEST_DATA!E7407</f>
        <v/>
      </c>
    </row>
    <row r="7408">
      <c r="A7408">
        <f>TEST_DATA!A7408</f>
        <v/>
      </c>
      <c r="B7408">
        <f>TEST_DATA!B7408</f>
        <v/>
      </c>
      <c r="C7408">
        <f>TEST_DATA!C7408</f>
        <v/>
      </c>
      <c r="D7408">
        <f>TEST_DATA!D7408</f>
        <v/>
      </c>
      <c r="E7408">
        <f>TEST_DATA!E7408</f>
        <v/>
      </c>
    </row>
    <row r="7409">
      <c r="A7409">
        <f>TEST_DATA!A7409</f>
        <v/>
      </c>
      <c r="B7409">
        <f>TEST_DATA!B7409</f>
        <v/>
      </c>
      <c r="C7409">
        <f>TEST_DATA!C7409</f>
        <v/>
      </c>
      <c r="D7409">
        <f>TEST_DATA!D7409</f>
        <v/>
      </c>
      <c r="E7409">
        <f>TEST_DATA!E7409</f>
        <v/>
      </c>
    </row>
    <row r="7410">
      <c r="A7410">
        <f>TEST_DATA!A7410</f>
        <v/>
      </c>
      <c r="B7410">
        <f>TEST_DATA!B7410</f>
        <v/>
      </c>
      <c r="C7410">
        <f>TEST_DATA!C7410</f>
        <v/>
      </c>
      <c r="D7410">
        <f>TEST_DATA!D7410</f>
        <v/>
      </c>
      <c r="E7410">
        <f>TEST_DATA!E7410</f>
        <v/>
      </c>
    </row>
    <row r="7411">
      <c r="A7411">
        <f>TEST_DATA!A7411</f>
        <v/>
      </c>
      <c r="B7411">
        <f>TEST_DATA!B7411</f>
        <v/>
      </c>
      <c r="C7411">
        <f>TEST_DATA!C7411</f>
        <v/>
      </c>
      <c r="D7411">
        <f>TEST_DATA!D7411</f>
        <v/>
      </c>
      <c r="E7411">
        <f>TEST_DATA!E7411</f>
        <v/>
      </c>
    </row>
    <row r="7412">
      <c r="A7412">
        <f>TEST_DATA!A7412</f>
        <v/>
      </c>
      <c r="B7412">
        <f>TEST_DATA!B7412</f>
        <v/>
      </c>
      <c r="C7412">
        <f>TEST_DATA!C7412</f>
        <v/>
      </c>
      <c r="D7412">
        <f>TEST_DATA!D7412</f>
        <v/>
      </c>
      <c r="E7412">
        <f>TEST_DATA!E7412</f>
        <v/>
      </c>
    </row>
    <row r="7413">
      <c r="A7413">
        <f>TEST_DATA!A7413</f>
        <v/>
      </c>
      <c r="B7413">
        <f>TEST_DATA!B7413</f>
        <v/>
      </c>
      <c r="C7413">
        <f>TEST_DATA!C7413</f>
        <v/>
      </c>
      <c r="D7413">
        <f>TEST_DATA!D7413</f>
        <v/>
      </c>
      <c r="E7413">
        <f>TEST_DATA!E7413</f>
        <v/>
      </c>
    </row>
    <row r="7414">
      <c r="A7414">
        <f>TEST_DATA!A7414</f>
        <v/>
      </c>
      <c r="B7414">
        <f>TEST_DATA!B7414</f>
        <v/>
      </c>
      <c r="C7414">
        <f>TEST_DATA!C7414</f>
        <v/>
      </c>
      <c r="D7414">
        <f>TEST_DATA!D7414</f>
        <v/>
      </c>
      <c r="E7414">
        <f>TEST_DATA!E7414</f>
        <v/>
      </c>
    </row>
    <row r="7415">
      <c r="A7415">
        <f>TEST_DATA!A7415</f>
        <v/>
      </c>
      <c r="B7415">
        <f>TEST_DATA!B7415</f>
        <v/>
      </c>
      <c r="C7415">
        <f>TEST_DATA!C7415</f>
        <v/>
      </c>
      <c r="D7415">
        <f>TEST_DATA!D7415</f>
        <v/>
      </c>
      <c r="E7415">
        <f>TEST_DATA!E7415</f>
        <v/>
      </c>
    </row>
    <row r="7416">
      <c r="A7416">
        <f>TEST_DATA!A7416</f>
        <v/>
      </c>
      <c r="B7416">
        <f>TEST_DATA!B7416</f>
        <v/>
      </c>
      <c r="C7416">
        <f>TEST_DATA!C7416</f>
        <v/>
      </c>
      <c r="D7416">
        <f>TEST_DATA!D7416</f>
        <v/>
      </c>
      <c r="E7416">
        <f>TEST_DATA!E7416</f>
        <v/>
      </c>
    </row>
    <row r="7417">
      <c r="A7417">
        <f>TEST_DATA!A7417</f>
        <v/>
      </c>
      <c r="B7417">
        <f>TEST_DATA!B7417</f>
        <v/>
      </c>
      <c r="C7417">
        <f>TEST_DATA!C7417</f>
        <v/>
      </c>
      <c r="D7417">
        <f>TEST_DATA!D7417</f>
        <v/>
      </c>
      <c r="E7417">
        <f>TEST_DATA!E7417</f>
        <v/>
      </c>
    </row>
    <row r="7418">
      <c r="A7418">
        <f>TEST_DATA!A7418</f>
        <v/>
      </c>
      <c r="B7418">
        <f>TEST_DATA!B7418</f>
        <v/>
      </c>
      <c r="C7418">
        <f>TEST_DATA!C7418</f>
        <v/>
      </c>
      <c r="D7418">
        <f>TEST_DATA!D7418</f>
        <v/>
      </c>
      <c r="E7418">
        <f>TEST_DATA!E7418</f>
        <v/>
      </c>
    </row>
    <row r="7419">
      <c r="A7419">
        <f>TEST_DATA!A7419</f>
        <v/>
      </c>
      <c r="B7419">
        <f>TEST_DATA!B7419</f>
        <v/>
      </c>
      <c r="C7419">
        <f>TEST_DATA!C7419</f>
        <v/>
      </c>
      <c r="D7419">
        <f>TEST_DATA!D7419</f>
        <v/>
      </c>
      <c r="E7419">
        <f>TEST_DATA!E7419</f>
        <v/>
      </c>
    </row>
    <row r="7420">
      <c r="A7420">
        <f>TEST_DATA!A7420</f>
        <v/>
      </c>
      <c r="B7420">
        <f>TEST_DATA!B7420</f>
        <v/>
      </c>
      <c r="C7420">
        <f>TEST_DATA!C7420</f>
        <v/>
      </c>
      <c r="D7420">
        <f>TEST_DATA!D7420</f>
        <v/>
      </c>
      <c r="E7420">
        <f>TEST_DATA!E7420</f>
        <v/>
      </c>
    </row>
    <row r="7421">
      <c r="A7421">
        <f>TEST_DATA!A7421</f>
        <v/>
      </c>
      <c r="B7421">
        <f>TEST_DATA!B7421</f>
        <v/>
      </c>
      <c r="C7421">
        <f>TEST_DATA!C7421</f>
        <v/>
      </c>
      <c r="D7421">
        <f>TEST_DATA!D7421</f>
        <v/>
      </c>
      <c r="E7421">
        <f>TEST_DATA!E7421</f>
        <v/>
      </c>
    </row>
    <row r="7422">
      <c r="A7422">
        <f>TEST_DATA!A7422</f>
        <v/>
      </c>
      <c r="B7422">
        <f>TEST_DATA!B7422</f>
        <v/>
      </c>
      <c r="C7422">
        <f>TEST_DATA!C7422</f>
        <v/>
      </c>
      <c r="D7422">
        <f>TEST_DATA!D7422</f>
        <v/>
      </c>
      <c r="E7422">
        <f>TEST_DATA!E7422</f>
        <v/>
      </c>
    </row>
    <row r="7423">
      <c r="A7423">
        <f>TEST_DATA!A7423</f>
        <v/>
      </c>
      <c r="B7423">
        <f>TEST_DATA!B7423</f>
        <v/>
      </c>
      <c r="C7423">
        <f>TEST_DATA!C7423</f>
        <v/>
      </c>
      <c r="D7423">
        <f>TEST_DATA!D7423</f>
        <v/>
      </c>
      <c r="E7423">
        <f>TEST_DATA!E7423</f>
        <v/>
      </c>
    </row>
    <row r="7424">
      <c r="A7424">
        <f>TEST_DATA!A7424</f>
        <v/>
      </c>
      <c r="B7424">
        <f>TEST_DATA!B7424</f>
        <v/>
      </c>
      <c r="C7424">
        <f>TEST_DATA!C7424</f>
        <v/>
      </c>
      <c r="D7424">
        <f>TEST_DATA!D7424</f>
        <v/>
      </c>
      <c r="E7424">
        <f>TEST_DATA!E7424</f>
        <v/>
      </c>
    </row>
    <row r="7425">
      <c r="A7425">
        <f>TEST_DATA!A7425</f>
        <v/>
      </c>
      <c r="B7425">
        <f>TEST_DATA!B7425</f>
        <v/>
      </c>
      <c r="C7425">
        <f>TEST_DATA!C7425</f>
        <v/>
      </c>
      <c r="D7425">
        <f>TEST_DATA!D7425</f>
        <v/>
      </c>
      <c r="E7425">
        <f>TEST_DATA!E7425</f>
        <v/>
      </c>
    </row>
    <row r="7426">
      <c r="A7426">
        <f>TEST_DATA!A7426</f>
        <v/>
      </c>
      <c r="B7426">
        <f>TEST_DATA!B7426</f>
        <v/>
      </c>
      <c r="C7426">
        <f>TEST_DATA!C7426</f>
        <v/>
      </c>
      <c r="D7426">
        <f>TEST_DATA!D7426</f>
        <v/>
      </c>
      <c r="E7426">
        <f>TEST_DATA!E7426</f>
        <v/>
      </c>
    </row>
    <row r="7427">
      <c r="A7427">
        <f>TEST_DATA!A7427</f>
        <v/>
      </c>
      <c r="B7427">
        <f>TEST_DATA!B7427</f>
        <v/>
      </c>
      <c r="C7427">
        <f>TEST_DATA!C7427</f>
        <v/>
      </c>
      <c r="D7427">
        <f>TEST_DATA!D7427</f>
        <v/>
      </c>
      <c r="E7427">
        <f>TEST_DATA!E7427</f>
        <v/>
      </c>
    </row>
    <row r="7428">
      <c r="A7428">
        <f>TEST_DATA!A7428</f>
        <v/>
      </c>
      <c r="B7428">
        <f>TEST_DATA!B7428</f>
        <v/>
      </c>
      <c r="C7428">
        <f>TEST_DATA!C7428</f>
        <v/>
      </c>
      <c r="D7428">
        <f>TEST_DATA!D7428</f>
        <v/>
      </c>
      <c r="E7428">
        <f>TEST_DATA!E7428</f>
        <v/>
      </c>
    </row>
    <row r="7429">
      <c r="A7429">
        <f>TEST_DATA!A7429</f>
        <v/>
      </c>
      <c r="B7429">
        <f>TEST_DATA!B7429</f>
        <v/>
      </c>
      <c r="C7429">
        <f>TEST_DATA!C7429</f>
        <v/>
      </c>
      <c r="D7429">
        <f>TEST_DATA!D7429</f>
        <v/>
      </c>
      <c r="E7429">
        <f>TEST_DATA!E7429</f>
        <v/>
      </c>
    </row>
    <row r="7430">
      <c r="A7430">
        <f>TEST_DATA!A7430</f>
        <v/>
      </c>
      <c r="B7430">
        <f>TEST_DATA!B7430</f>
        <v/>
      </c>
      <c r="C7430">
        <f>TEST_DATA!C7430</f>
        <v/>
      </c>
      <c r="D7430">
        <f>TEST_DATA!D7430</f>
        <v/>
      </c>
      <c r="E7430">
        <f>TEST_DATA!E7430</f>
        <v/>
      </c>
    </row>
    <row r="7431">
      <c r="A7431">
        <f>TEST_DATA!A7431</f>
        <v/>
      </c>
      <c r="B7431">
        <f>TEST_DATA!B7431</f>
        <v/>
      </c>
      <c r="C7431">
        <f>TEST_DATA!C7431</f>
        <v/>
      </c>
      <c r="D7431">
        <f>TEST_DATA!D7431</f>
        <v/>
      </c>
      <c r="E7431">
        <f>TEST_DATA!E7431</f>
        <v/>
      </c>
    </row>
    <row r="7432">
      <c r="A7432">
        <f>TEST_DATA!A7432</f>
        <v/>
      </c>
      <c r="B7432">
        <f>TEST_DATA!B7432</f>
        <v/>
      </c>
      <c r="C7432">
        <f>TEST_DATA!C7432</f>
        <v/>
      </c>
      <c r="D7432">
        <f>TEST_DATA!D7432</f>
        <v/>
      </c>
      <c r="E7432">
        <f>TEST_DATA!E7432</f>
        <v/>
      </c>
    </row>
    <row r="7433">
      <c r="A7433">
        <f>TEST_DATA!A7433</f>
        <v/>
      </c>
      <c r="B7433">
        <f>TEST_DATA!B7433</f>
        <v/>
      </c>
      <c r="C7433">
        <f>TEST_DATA!C7433</f>
        <v/>
      </c>
      <c r="D7433">
        <f>TEST_DATA!D7433</f>
        <v/>
      </c>
      <c r="E7433">
        <f>TEST_DATA!E7433</f>
        <v/>
      </c>
    </row>
    <row r="7434">
      <c r="A7434">
        <f>TEST_DATA!A7434</f>
        <v/>
      </c>
      <c r="B7434">
        <f>TEST_DATA!B7434</f>
        <v/>
      </c>
      <c r="C7434">
        <f>TEST_DATA!C7434</f>
        <v/>
      </c>
      <c r="D7434">
        <f>TEST_DATA!D7434</f>
        <v/>
      </c>
      <c r="E7434">
        <f>TEST_DATA!E7434</f>
        <v/>
      </c>
    </row>
    <row r="7435">
      <c r="A7435">
        <f>TEST_DATA!A7435</f>
        <v/>
      </c>
      <c r="B7435">
        <f>TEST_DATA!B7435</f>
        <v/>
      </c>
      <c r="C7435">
        <f>TEST_DATA!C7435</f>
        <v/>
      </c>
      <c r="D7435">
        <f>TEST_DATA!D7435</f>
        <v/>
      </c>
      <c r="E7435">
        <f>TEST_DATA!E7435</f>
        <v/>
      </c>
    </row>
    <row r="7436">
      <c r="A7436">
        <f>TEST_DATA!A7436</f>
        <v/>
      </c>
      <c r="B7436">
        <f>TEST_DATA!B7436</f>
        <v/>
      </c>
      <c r="C7436">
        <f>TEST_DATA!C7436</f>
        <v/>
      </c>
      <c r="D7436">
        <f>TEST_DATA!D7436</f>
        <v/>
      </c>
      <c r="E7436">
        <f>TEST_DATA!E7436</f>
        <v/>
      </c>
    </row>
    <row r="7437">
      <c r="A7437">
        <f>TEST_DATA!A7437</f>
        <v/>
      </c>
      <c r="B7437">
        <f>TEST_DATA!B7437</f>
        <v/>
      </c>
      <c r="C7437">
        <f>TEST_DATA!C7437</f>
        <v/>
      </c>
      <c r="D7437">
        <f>TEST_DATA!D7437</f>
        <v/>
      </c>
      <c r="E7437">
        <f>TEST_DATA!E7437</f>
        <v/>
      </c>
    </row>
    <row r="7438">
      <c r="A7438">
        <f>TEST_DATA!A7438</f>
        <v/>
      </c>
      <c r="B7438">
        <f>TEST_DATA!B7438</f>
        <v/>
      </c>
      <c r="C7438">
        <f>TEST_DATA!C7438</f>
        <v/>
      </c>
      <c r="D7438">
        <f>TEST_DATA!D7438</f>
        <v/>
      </c>
      <c r="E7438">
        <f>TEST_DATA!E7438</f>
        <v/>
      </c>
    </row>
    <row r="7439">
      <c r="A7439">
        <f>TEST_DATA!A7439</f>
        <v/>
      </c>
      <c r="B7439">
        <f>TEST_DATA!B7439</f>
        <v/>
      </c>
      <c r="C7439">
        <f>TEST_DATA!C7439</f>
        <v/>
      </c>
      <c r="D7439">
        <f>TEST_DATA!D7439</f>
        <v/>
      </c>
      <c r="E7439">
        <f>TEST_DATA!E7439</f>
        <v/>
      </c>
    </row>
    <row r="7440">
      <c r="A7440">
        <f>TEST_DATA!A7440</f>
        <v/>
      </c>
      <c r="B7440">
        <f>TEST_DATA!B7440</f>
        <v/>
      </c>
      <c r="C7440">
        <f>TEST_DATA!C7440</f>
        <v/>
      </c>
      <c r="D7440">
        <f>TEST_DATA!D7440</f>
        <v/>
      </c>
      <c r="E7440">
        <f>TEST_DATA!E7440</f>
        <v/>
      </c>
    </row>
    <row r="7441">
      <c r="A7441">
        <f>TEST_DATA!A7441</f>
        <v/>
      </c>
      <c r="B7441">
        <f>TEST_DATA!B7441</f>
        <v/>
      </c>
      <c r="C7441">
        <f>TEST_DATA!C7441</f>
        <v/>
      </c>
      <c r="D7441">
        <f>TEST_DATA!D7441</f>
        <v/>
      </c>
      <c r="E7441">
        <f>TEST_DATA!E7441</f>
        <v/>
      </c>
    </row>
    <row r="7442">
      <c r="A7442">
        <f>TEST_DATA!A7442</f>
        <v/>
      </c>
      <c r="B7442">
        <f>TEST_DATA!B7442</f>
        <v/>
      </c>
      <c r="C7442">
        <f>TEST_DATA!C7442</f>
        <v/>
      </c>
      <c r="D7442">
        <f>TEST_DATA!D7442</f>
        <v/>
      </c>
      <c r="E7442">
        <f>TEST_DATA!E7442</f>
        <v/>
      </c>
    </row>
    <row r="7443">
      <c r="A7443">
        <f>TEST_DATA!A7443</f>
        <v/>
      </c>
      <c r="B7443">
        <f>TEST_DATA!B7443</f>
        <v/>
      </c>
      <c r="C7443">
        <f>TEST_DATA!C7443</f>
        <v/>
      </c>
      <c r="D7443">
        <f>TEST_DATA!D7443</f>
        <v/>
      </c>
      <c r="E7443">
        <f>TEST_DATA!E7443</f>
        <v/>
      </c>
    </row>
    <row r="7444">
      <c r="A7444">
        <f>TEST_DATA!A7444</f>
        <v/>
      </c>
      <c r="B7444">
        <f>TEST_DATA!B7444</f>
        <v/>
      </c>
      <c r="C7444">
        <f>TEST_DATA!C7444</f>
        <v/>
      </c>
      <c r="D7444">
        <f>TEST_DATA!D7444</f>
        <v/>
      </c>
      <c r="E7444">
        <f>TEST_DATA!E7444</f>
        <v/>
      </c>
    </row>
    <row r="7445">
      <c r="A7445">
        <f>TEST_DATA!A7445</f>
        <v/>
      </c>
      <c r="B7445">
        <f>TEST_DATA!B7445</f>
        <v/>
      </c>
      <c r="C7445">
        <f>TEST_DATA!C7445</f>
        <v/>
      </c>
      <c r="D7445">
        <f>TEST_DATA!D7445</f>
        <v/>
      </c>
      <c r="E7445">
        <f>TEST_DATA!E7445</f>
        <v/>
      </c>
    </row>
    <row r="7446">
      <c r="A7446">
        <f>TEST_DATA!A7446</f>
        <v/>
      </c>
      <c r="B7446">
        <f>TEST_DATA!B7446</f>
        <v/>
      </c>
      <c r="C7446">
        <f>TEST_DATA!C7446</f>
        <v/>
      </c>
      <c r="D7446">
        <f>TEST_DATA!D7446</f>
        <v/>
      </c>
      <c r="E7446">
        <f>TEST_DATA!E7446</f>
        <v/>
      </c>
    </row>
    <row r="7447">
      <c r="A7447">
        <f>TEST_DATA!A7447</f>
        <v/>
      </c>
      <c r="B7447">
        <f>TEST_DATA!B7447</f>
        <v/>
      </c>
      <c r="C7447">
        <f>TEST_DATA!C7447</f>
        <v/>
      </c>
      <c r="D7447">
        <f>TEST_DATA!D7447</f>
        <v/>
      </c>
      <c r="E7447">
        <f>TEST_DATA!E7447</f>
        <v/>
      </c>
    </row>
    <row r="7448">
      <c r="A7448">
        <f>TEST_DATA!A7448</f>
        <v/>
      </c>
      <c r="B7448">
        <f>TEST_DATA!B7448</f>
        <v/>
      </c>
      <c r="C7448">
        <f>TEST_DATA!C7448</f>
        <v/>
      </c>
      <c r="D7448">
        <f>TEST_DATA!D7448</f>
        <v/>
      </c>
      <c r="E7448">
        <f>TEST_DATA!E7448</f>
        <v/>
      </c>
    </row>
    <row r="7449">
      <c r="A7449">
        <f>TEST_DATA!A7449</f>
        <v/>
      </c>
      <c r="B7449">
        <f>TEST_DATA!B7449</f>
        <v/>
      </c>
      <c r="C7449">
        <f>TEST_DATA!C7449</f>
        <v/>
      </c>
      <c r="D7449">
        <f>TEST_DATA!D7449</f>
        <v/>
      </c>
      <c r="E7449">
        <f>TEST_DATA!E7449</f>
        <v/>
      </c>
    </row>
    <row r="7450">
      <c r="A7450">
        <f>TEST_DATA!A7450</f>
        <v/>
      </c>
      <c r="B7450">
        <f>TEST_DATA!B7450</f>
        <v/>
      </c>
      <c r="C7450">
        <f>TEST_DATA!C7450</f>
        <v/>
      </c>
      <c r="D7450">
        <f>TEST_DATA!D7450</f>
        <v/>
      </c>
      <c r="E7450">
        <f>TEST_DATA!E7450</f>
        <v/>
      </c>
    </row>
    <row r="7451">
      <c r="A7451">
        <f>TEST_DATA!A7451</f>
        <v/>
      </c>
      <c r="B7451">
        <f>TEST_DATA!B7451</f>
        <v/>
      </c>
      <c r="C7451">
        <f>TEST_DATA!C7451</f>
        <v/>
      </c>
      <c r="D7451">
        <f>TEST_DATA!D7451</f>
        <v/>
      </c>
      <c r="E7451">
        <f>TEST_DATA!E7451</f>
        <v/>
      </c>
    </row>
    <row r="7452">
      <c r="A7452">
        <f>TEST_DATA!A7452</f>
        <v/>
      </c>
      <c r="B7452">
        <f>TEST_DATA!B7452</f>
        <v/>
      </c>
      <c r="C7452">
        <f>TEST_DATA!C7452</f>
        <v/>
      </c>
      <c r="D7452">
        <f>TEST_DATA!D7452</f>
        <v/>
      </c>
      <c r="E7452">
        <f>TEST_DATA!E7452</f>
        <v/>
      </c>
    </row>
    <row r="7453">
      <c r="A7453">
        <f>TEST_DATA!A7453</f>
        <v/>
      </c>
      <c r="B7453">
        <f>TEST_DATA!B7453</f>
        <v/>
      </c>
      <c r="C7453">
        <f>TEST_DATA!C7453</f>
        <v/>
      </c>
      <c r="D7453">
        <f>TEST_DATA!D7453</f>
        <v/>
      </c>
      <c r="E7453">
        <f>TEST_DATA!E7453</f>
        <v/>
      </c>
    </row>
    <row r="7454">
      <c r="A7454">
        <f>TEST_DATA!A7454</f>
        <v/>
      </c>
      <c r="B7454">
        <f>TEST_DATA!B7454</f>
        <v/>
      </c>
      <c r="C7454">
        <f>TEST_DATA!C7454</f>
        <v/>
      </c>
      <c r="D7454">
        <f>TEST_DATA!D7454</f>
        <v/>
      </c>
      <c r="E7454">
        <f>TEST_DATA!E7454</f>
        <v/>
      </c>
    </row>
    <row r="7455">
      <c r="A7455">
        <f>TEST_DATA!A7455</f>
        <v/>
      </c>
      <c r="B7455">
        <f>TEST_DATA!B7455</f>
        <v/>
      </c>
      <c r="C7455">
        <f>TEST_DATA!C7455</f>
        <v/>
      </c>
      <c r="D7455">
        <f>TEST_DATA!D7455</f>
        <v/>
      </c>
      <c r="E7455">
        <f>TEST_DATA!E7455</f>
        <v/>
      </c>
    </row>
    <row r="7456">
      <c r="A7456">
        <f>TEST_DATA!A7456</f>
        <v/>
      </c>
      <c r="B7456">
        <f>TEST_DATA!B7456</f>
        <v/>
      </c>
      <c r="C7456">
        <f>TEST_DATA!C7456</f>
        <v/>
      </c>
      <c r="D7456">
        <f>TEST_DATA!D7456</f>
        <v/>
      </c>
      <c r="E7456">
        <f>TEST_DATA!E7456</f>
        <v/>
      </c>
    </row>
    <row r="7457">
      <c r="A7457">
        <f>TEST_DATA!A7457</f>
        <v/>
      </c>
      <c r="B7457">
        <f>TEST_DATA!B7457</f>
        <v/>
      </c>
      <c r="C7457">
        <f>TEST_DATA!C7457</f>
        <v/>
      </c>
      <c r="D7457">
        <f>TEST_DATA!D7457</f>
        <v/>
      </c>
      <c r="E7457">
        <f>TEST_DATA!E7457</f>
        <v/>
      </c>
    </row>
    <row r="7458">
      <c r="A7458">
        <f>TEST_DATA!A7458</f>
        <v/>
      </c>
      <c r="B7458">
        <f>TEST_DATA!B7458</f>
        <v/>
      </c>
      <c r="C7458">
        <f>TEST_DATA!C7458</f>
        <v/>
      </c>
      <c r="D7458">
        <f>TEST_DATA!D7458</f>
        <v/>
      </c>
      <c r="E7458">
        <f>TEST_DATA!E7458</f>
        <v/>
      </c>
    </row>
    <row r="7459">
      <c r="A7459">
        <f>TEST_DATA!A7459</f>
        <v/>
      </c>
      <c r="B7459">
        <f>TEST_DATA!B7459</f>
        <v/>
      </c>
      <c r="C7459">
        <f>TEST_DATA!C7459</f>
        <v/>
      </c>
      <c r="D7459">
        <f>TEST_DATA!D7459</f>
        <v/>
      </c>
      <c r="E7459">
        <f>TEST_DATA!E7459</f>
        <v/>
      </c>
    </row>
    <row r="7460">
      <c r="A7460">
        <f>TEST_DATA!A7460</f>
        <v/>
      </c>
      <c r="B7460">
        <f>TEST_DATA!B7460</f>
        <v/>
      </c>
      <c r="C7460">
        <f>TEST_DATA!C7460</f>
        <v/>
      </c>
      <c r="D7460">
        <f>TEST_DATA!D7460</f>
        <v/>
      </c>
      <c r="E7460">
        <f>TEST_DATA!E7460</f>
        <v/>
      </c>
    </row>
    <row r="7461">
      <c r="A7461">
        <f>TEST_DATA!A7461</f>
        <v/>
      </c>
      <c r="B7461">
        <f>TEST_DATA!B7461</f>
        <v/>
      </c>
      <c r="C7461">
        <f>TEST_DATA!C7461</f>
        <v/>
      </c>
      <c r="D7461">
        <f>TEST_DATA!D7461</f>
        <v/>
      </c>
      <c r="E7461">
        <f>TEST_DATA!E7461</f>
        <v/>
      </c>
    </row>
    <row r="7462">
      <c r="A7462">
        <f>TEST_DATA!A7462</f>
        <v/>
      </c>
      <c r="B7462">
        <f>TEST_DATA!B7462</f>
        <v/>
      </c>
      <c r="C7462">
        <f>TEST_DATA!C7462</f>
        <v/>
      </c>
      <c r="D7462">
        <f>TEST_DATA!D7462</f>
        <v/>
      </c>
      <c r="E7462">
        <f>TEST_DATA!E7462</f>
        <v/>
      </c>
    </row>
    <row r="7463">
      <c r="A7463">
        <f>TEST_DATA!A7463</f>
        <v/>
      </c>
      <c r="B7463">
        <f>TEST_DATA!B7463</f>
        <v/>
      </c>
      <c r="C7463">
        <f>TEST_DATA!C7463</f>
        <v/>
      </c>
      <c r="D7463">
        <f>TEST_DATA!D7463</f>
        <v/>
      </c>
      <c r="E7463">
        <f>TEST_DATA!E7463</f>
        <v/>
      </c>
    </row>
    <row r="7464">
      <c r="A7464">
        <f>TEST_DATA!A7464</f>
        <v/>
      </c>
      <c r="B7464">
        <f>TEST_DATA!B7464</f>
        <v/>
      </c>
      <c r="C7464">
        <f>TEST_DATA!C7464</f>
        <v/>
      </c>
      <c r="D7464">
        <f>TEST_DATA!D7464</f>
        <v/>
      </c>
      <c r="E7464">
        <f>TEST_DATA!E7464</f>
        <v/>
      </c>
    </row>
    <row r="7465">
      <c r="A7465">
        <f>TEST_DATA!A7465</f>
        <v/>
      </c>
      <c r="B7465">
        <f>TEST_DATA!B7465</f>
        <v/>
      </c>
      <c r="C7465">
        <f>TEST_DATA!C7465</f>
        <v/>
      </c>
      <c r="D7465">
        <f>TEST_DATA!D7465</f>
        <v/>
      </c>
      <c r="E7465">
        <f>TEST_DATA!E7465</f>
        <v/>
      </c>
    </row>
    <row r="7466">
      <c r="A7466">
        <f>TEST_DATA!A7466</f>
        <v/>
      </c>
      <c r="B7466">
        <f>TEST_DATA!B7466</f>
        <v/>
      </c>
      <c r="C7466">
        <f>TEST_DATA!C7466</f>
        <v/>
      </c>
      <c r="D7466">
        <f>TEST_DATA!D7466</f>
        <v/>
      </c>
      <c r="E7466">
        <f>TEST_DATA!E7466</f>
        <v/>
      </c>
    </row>
    <row r="7467">
      <c r="A7467">
        <f>TEST_DATA!A7467</f>
        <v/>
      </c>
      <c r="B7467">
        <f>TEST_DATA!B7467</f>
        <v/>
      </c>
      <c r="C7467">
        <f>TEST_DATA!C7467</f>
        <v/>
      </c>
      <c r="D7467">
        <f>TEST_DATA!D7467</f>
        <v/>
      </c>
      <c r="E7467">
        <f>TEST_DATA!E7467</f>
        <v/>
      </c>
    </row>
    <row r="7468">
      <c r="A7468">
        <f>TEST_DATA!A7468</f>
        <v/>
      </c>
      <c r="B7468">
        <f>TEST_DATA!B7468</f>
        <v/>
      </c>
      <c r="C7468">
        <f>TEST_DATA!C7468</f>
        <v/>
      </c>
      <c r="D7468">
        <f>TEST_DATA!D7468</f>
        <v/>
      </c>
      <c r="E7468">
        <f>TEST_DATA!E7468</f>
        <v/>
      </c>
    </row>
    <row r="7469">
      <c r="A7469">
        <f>TEST_DATA!A7469</f>
        <v/>
      </c>
      <c r="B7469">
        <f>TEST_DATA!B7469</f>
        <v/>
      </c>
      <c r="C7469">
        <f>TEST_DATA!C7469</f>
        <v/>
      </c>
      <c r="D7469">
        <f>TEST_DATA!D7469</f>
        <v/>
      </c>
      <c r="E7469">
        <f>TEST_DATA!E7469</f>
        <v/>
      </c>
    </row>
    <row r="7470">
      <c r="A7470">
        <f>TEST_DATA!A7470</f>
        <v/>
      </c>
      <c r="B7470">
        <f>TEST_DATA!B7470</f>
        <v/>
      </c>
      <c r="C7470">
        <f>TEST_DATA!C7470</f>
        <v/>
      </c>
      <c r="D7470">
        <f>TEST_DATA!D7470</f>
        <v/>
      </c>
      <c r="E7470">
        <f>TEST_DATA!E7470</f>
        <v/>
      </c>
    </row>
    <row r="7471">
      <c r="A7471">
        <f>TEST_DATA!A7471</f>
        <v/>
      </c>
      <c r="B7471">
        <f>TEST_DATA!B7471</f>
        <v/>
      </c>
      <c r="C7471">
        <f>TEST_DATA!C7471</f>
        <v/>
      </c>
      <c r="D7471">
        <f>TEST_DATA!D7471</f>
        <v/>
      </c>
      <c r="E7471">
        <f>TEST_DATA!E7471</f>
        <v/>
      </c>
    </row>
    <row r="7472">
      <c r="A7472">
        <f>TEST_DATA!A7472</f>
        <v/>
      </c>
      <c r="B7472">
        <f>TEST_DATA!B7472</f>
        <v/>
      </c>
      <c r="C7472">
        <f>TEST_DATA!C7472</f>
        <v/>
      </c>
      <c r="D7472">
        <f>TEST_DATA!D7472</f>
        <v/>
      </c>
      <c r="E7472">
        <f>TEST_DATA!E7472</f>
        <v/>
      </c>
    </row>
    <row r="7473">
      <c r="A7473">
        <f>TEST_DATA!A7473</f>
        <v/>
      </c>
      <c r="B7473">
        <f>TEST_DATA!B7473</f>
        <v/>
      </c>
      <c r="C7473">
        <f>TEST_DATA!C7473</f>
        <v/>
      </c>
      <c r="D7473">
        <f>TEST_DATA!D7473</f>
        <v/>
      </c>
      <c r="E7473">
        <f>TEST_DATA!E7473</f>
        <v/>
      </c>
    </row>
    <row r="7474">
      <c r="A7474">
        <f>TEST_DATA!A7474</f>
        <v/>
      </c>
      <c r="B7474">
        <f>TEST_DATA!B7474</f>
        <v/>
      </c>
      <c r="C7474">
        <f>TEST_DATA!C7474</f>
        <v/>
      </c>
      <c r="D7474">
        <f>TEST_DATA!D7474</f>
        <v/>
      </c>
      <c r="E7474">
        <f>TEST_DATA!E7474</f>
        <v/>
      </c>
    </row>
    <row r="7475">
      <c r="A7475">
        <f>TEST_DATA!A7475</f>
        <v/>
      </c>
      <c r="B7475">
        <f>TEST_DATA!B7475</f>
        <v/>
      </c>
      <c r="C7475">
        <f>TEST_DATA!C7475</f>
        <v/>
      </c>
      <c r="D7475">
        <f>TEST_DATA!D7475</f>
        <v/>
      </c>
      <c r="E7475">
        <f>TEST_DATA!E7475</f>
        <v/>
      </c>
    </row>
    <row r="7476">
      <c r="A7476">
        <f>TEST_DATA!A7476</f>
        <v/>
      </c>
      <c r="B7476">
        <f>TEST_DATA!B7476</f>
        <v/>
      </c>
      <c r="C7476">
        <f>TEST_DATA!C7476</f>
        <v/>
      </c>
      <c r="D7476">
        <f>TEST_DATA!D7476</f>
        <v/>
      </c>
      <c r="E7476">
        <f>TEST_DATA!E7476</f>
        <v/>
      </c>
    </row>
    <row r="7477">
      <c r="A7477">
        <f>TEST_DATA!A7477</f>
        <v/>
      </c>
      <c r="B7477">
        <f>TEST_DATA!B7477</f>
        <v/>
      </c>
      <c r="C7477">
        <f>TEST_DATA!C7477</f>
        <v/>
      </c>
      <c r="D7477">
        <f>TEST_DATA!D7477</f>
        <v/>
      </c>
      <c r="E7477">
        <f>TEST_DATA!E7477</f>
        <v/>
      </c>
    </row>
    <row r="7478">
      <c r="A7478">
        <f>TEST_DATA!A7478</f>
        <v/>
      </c>
      <c r="B7478">
        <f>TEST_DATA!B7478</f>
        <v/>
      </c>
      <c r="C7478">
        <f>TEST_DATA!C7478</f>
        <v/>
      </c>
      <c r="D7478">
        <f>TEST_DATA!D7478</f>
        <v/>
      </c>
      <c r="E7478">
        <f>TEST_DATA!E7478</f>
        <v/>
      </c>
    </row>
    <row r="7479">
      <c r="A7479">
        <f>TEST_DATA!A7479</f>
        <v/>
      </c>
      <c r="B7479">
        <f>TEST_DATA!B7479</f>
        <v/>
      </c>
      <c r="C7479">
        <f>TEST_DATA!C7479</f>
        <v/>
      </c>
      <c r="D7479">
        <f>TEST_DATA!D7479</f>
        <v/>
      </c>
      <c r="E7479">
        <f>TEST_DATA!E7479</f>
        <v/>
      </c>
    </row>
    <row r="7480">
      <c r="A7480">
        <f>TEST_DATA!A7480</f>
        <v/>
      </c>
      <c r="B7480">
        <f>TEST_DATA!B7480</f>
        <v/>
      </c>
      <c r="C7480">
        <f>TEST_DATA!C7480</f>
        <v/>
      </c>
      <c r="D7480">
        <f>TEST_DATA!D7480</f>
        <v/>
      </c>
      <c r="E7480">
        <f>TEST_DATA!E7480</f>
        <v/>
      </c>
    </row>
    <row r="7481">
      <c r="A7481">
        <f>TEST_DATA!A7481</f>
        <v/>
      </c>
      <c r="B7481">
        <f>TEST_DATA!B7481</f>
        <v/>
      </c>
      <c r="C7481">
        <f>TEST_DATA!C7481</f>
        <v/>
      </c>
      <c r="D7481">
        <f>TEST_DATA!D7481</f>
        <v/>
      </c>
      <c r="E7481">
        <f>TEST_DATA!E7481</f>
        <v/>
      </c>
    </row>
    <row r="7482">
      <c r="A7482">
        <f>TEST_DATA!A7482</f>
        <v/>
      </c>
      <c r="B7482">
        <f>TEST_DATA!B7482</f>
        <v/>
      </c>
      <c r="C7482">
        <f>TEST_DATA!C7482</f>
        <v/>
      </c>
      <c r="D7482">
        <f>TEST_DATA!D7482</f>
        <v/>
      </c>
      <c r="E7482">
        <f>TEST_DATA!E7482</f>
        <v/>
      </c>
    </row>
    <row r="7483">
      <c r="A7483">
        <f>TEST_DATA!A7483</f>
        <v/>
      </c>
      <c r="B7483">
        <f>TEST_DATA!B7483</f>
        <v/>
      </c>
      <c r="C7483">
        <f>TEST_DATA!C7483</f>
        <v/>
      </c>
      <c r="D7483">
        <f>TEST_DATA!D7483</f>
        <v/>
      </c>
      <c r="E7483">
        <f>TEST_DATA!E7483</f>
        <v/>
      </c>
    </row>
    <row r="7484">
      <c r="A7484">
        <f>TEST_DATA!A7484</f>
        <v/>
      </c>
      <c r="B7484">
        <f>TEST_DATA!B7484</f>
        <v/>
      </c>
      <c r="C7484">
        <f>TEST_DATA!C7484</f>
        <v/>
      </c>
      <c r="D7484">
        <f>TEST_DATA!D7484</f>
        <v/>
      </c>
      <c r="E7484">
        <f>TEST_DATA!E7484</f>
        <v/>
      </c>
    </row>
    <row r="7485">
      <c r="A7485">
        <f>TEST_DATA!A7485</f>
        <v/>
      </c>
      <c r="B7485">
        <f>TEST_DATA!B7485</f>
        <v/>
      </c>
      <c r="C7485">
        <f>TEST_DATA!C7485</f>
        <v/>
      </c>
      <c r="D7485">
        <f>TEST_DATA!D7485</f>
        <v/>
      </c>
      <c r="E7485">
        <f>TEST_DATA!E7485</f>
        <v/>
      </c>
    </row>
    <row r="7486">
      <c r="A7486">
        <f>TEST_DATA!A7486</f>
        <v/>
      </c>
      <c r="B7486">
        <f>TEST_DATA!B7486</f>
        <v/>
      </c>
      <c r="C7486">
        <f>TEST_DATA!C7486</f>
        <v/>
      </c>
      <c r="D7486">
        <f>TEST_DATA!D7486</f>
        <v/>
      </c>
      <c r="E7486">
        <f>TEST_DATA!E7486</f>
        <v/>
      </c>
    </row>
    <row r="7487">
      <c r="A7487">
        <f>TEST_DATA!A7487</f>
        <v/>
      </c>
      <c r="B7487">
        <f>TEST_DATA!B7487</f>
        <v/>
      </c>
      <c r="C7487">
        <f>TEST_DATA!C7487</f>
        <v/>
      </c>
      <c r="D7487">
        <f>TEST_DATA!D7487</f>
        <v/>
      </c>
      <c r="E7487">
        <f>TEST_DATA!E7487</f>
        <v/>
      </c>
    </row>
    <row r="7488">
      <c r="A7488">
        <f>TEST_DATA!A7488</f>
        <v/>
      </c>
      <c r="B7488">
        <f>TEST_DATA!B7488</f>
        <v/>
      </c>
      <c r="C7488">
        <f>TEST_DATA!C7488</f>
        <v/>
      </c>
      <c r="D7488">
        <f>TEST_DATA!D7488</f>
        <v/>
      </c>
      <c r="E7488">
        <f>TEST_DATA!E7488</f>
        <v/>
      </c>
    </row>
    <row r="7489">
      <c r="A7489">
        <f>TEST_DATA!A7489</f>
        <v/>
      </c>
      <c r="B7489">
        <f>TEST_DATA!B7489</f>
        <v/>
      </c>
      <c r="C7489">
        <f>TEST_DATA!C7489</f>
        <v/>
      </c>
      <c r="D7489">
        <f>TEST_DATA!D7489</f>
        <v/>
      </c>
      <c r="E7489">
        <f>TEST_DATA!E7489</f>
        <v/>
      </c>
    </row>
    <row r="7490">
      <c r="A7490">
        <f>TEST_DATA!A7490</f>
        <v/>
      </c>
      <c r="B7490">
        <f>TEST_DATA!B7490</f>
        <v/>
      </c>
      <c r="C7490">
        <f>TEST_DATA!C7490</f>
        <v/>
      </c>
      <c r="D7490">
        <f>TEST_DATA!D7490</f>
        <v/>
      </c>
      <c r="E7490">
        <f>TEST_DATA!E7490</f>
        <v/>
      </c>
    </row>
    <row r="7491">
      <c r="A7491">
        <f>TEST_DATA!A7491</f>
        <v/>
      </c>
      <c r="B7491">
        <f>TEST_DATA!B7491</f>
        <v/>
      </c>
      <c r="C7491">
        <f>TEST_DATA!C7491</f>
        <v/>
      </c>
      <c r="D7491">
        <f>TEST_DATA!D7491</f>
        <v/>
      </c>
      <c r="E7491">
        <f>TEST_DATA!E7491</f>
        <v/>
      </c>
    </row>
    <row r="7492">
      <c r="A7492">
        <f>TEST_DATA!A7492</f>
        <v/>
      </c>
      <c r="B7492">
        <f>TEST_DATA!B7492</f>
        <v/>
      </c>
      <c r="C7492">
        <f>TEST_DATA!C7492</f>
        <v/>
      </c>
      <c r="D7492">
        <f>TEST_DATA!D7492</f>
        <v/>
      </c>
      <c r="E7492">
        <f>TEST_DATA!E7492</f>
        <v/>
      </c>
    </row>
    <row r="7493">
      <c r="A7493">
        <f>TEST_DATA!A7493</f>
        <v/>
      </c>
      <c r="B7493">
        <f>TEST_DATA!B7493</f>
        <v/>
      </c>
      <c r="C7493">
        <f>TEST_DATA!C7493</f>
        <v/>
      </c>
      <c r="D7493">
        <f>TEST_DATA!D7493</f>
        <v/>
      </c>
      <c r="E7493">
        <f>TEST_DATA!E7493</f>
        <v/>
      </c>
    </row>
    <row r="7494">
      <c r="A7494">
        <f>TEST_DATA!A7494</f>
        <v/>
      </c>
      <c r="B7494">
        <f>TEST_DATA!B7494</f>
        <v/>
      </c>
      <c r="C7494">
        <f>TEST_DATA!C7494</f>
        <v/>
      </c>
      <c r="D7494">
        <f>TEST_DATA!D7494</f>
        <v/>
      </c>
      <c r="E7494">
        <f>TEST_DATA!E7494</f>
        <v/>
      </c>
    </row>
    <row r="7495">
      <c r="A7495">
        <f>TEST_DATA!A7495</f>
        <v/>
      </c>
      <c r="B7495">
        <f>TEST_DATA!B7495</f>
        <v/>
      </c>
      <c r="C7495">
        <f>TEST_DATA!C7495</f>
        <v/>
      </c>
      <c r="D7495">
        <f>TEST_DATA!D7495</f>
        <v/>
      </c>
      <c r="E7495">
        <f>TEST_DATA!E7495</f>
        <v/>
      </c>
    </row>
    <row r="7496">
      <c r="A7496">
        <f>TEST_DATA!A7496</f>
        <v/>
      </c>
      <c r="B7496">
        <f>TEST_DATA!B7496</f>
        <v/>
      </c>
      <c r="C7496">
        <f>TEST_DATA!C7496</f>
        <v/>
      </c>
      <c r="D7496">
        <f>TEST_DATA!D7496</f>
        <v/>
      </c>
      <c r="E7496">
        <f>TEST_DATA!E7496</f>
        <v/>
      </c>
    </row>
    <row r="7497">
      <c r="A7497">
        <f>TEST_DATA!A7497</f>
        <v/>
      </c>
      <c r="B7497">
        <f>TEST_DATA!B7497</f>
        <v/>
      </c>
      <c r="C7497">
        <f>TEST_DATA!C7497</f>
        <v/>
      </c>
      <c r="D7497">
        <f>TEST_DATA!D7497</f>
        <v/>
      </c>
      <c r="E7497">
        <f>TEST_DATA!E7497</f>
        <v/>
      </c>
    </row>
    <row r="7498">
      <c r="A7498">
        <f>TEST_DATA!A7498</f>
        <v/>
      </c>
      <c r="B7498">
        <f>TEST_DATA!B7498</f>
        <v/>
      </c>
      <c r="C7498">
        <f>TEST_DATA!C7498</f>
        <v/>
      </c>
      <c r="D7498">
        <f>TEST_DATA!D7498</f>
        <v/>
      </c>
      <c r="E7498">
        <f>TEST_DATA!E7498</f>
        <v/>
      </c>
    </row>
    <row r="7499">
      <c r="A7499">
        <f>TEST_DATA!A7499</f>
        <v/>
      </c>
      <c r="B7499">
        <f>TEST_DATA!B7499</f>
        <v/>
      </c>
      <c r="C7499">
        <f>TEST_DATA!C7499</f>
        <v/>
      </c>
      <c r="D7499">
        <f>TEST_DATA!D7499</f>
        <v/>
      </c>
      <c r="E7499">
        <f>TEST_DATA!E7499</f>
        <v/>
      </c>
    </row>
    <row r="7500">
      <c r="A7500">
        <f>TEST_DATA!A7500</f>
        <v/>
      </c>
      <c r="B7500">
        <f>TEST_DATA!B7500</f>
        <v/>
      </c>
      <c r="C7500">
        <f>TEST_DATA!C7500</f>
        <v/>
      </c>
      <c r="D7500">
        <f>TEST_DATA!D7500</f>
        <v/>
      </c>
      <c r="E7500">
        <f>TEST_DATA!E7500</f>
        <v/>
      </c>
    </row>
    <row r="7501">
      <c r="A7501">
        <f>TEST_DATA!A7501</f>
        <v/>
      </c>
      <c r="B7501">
        <f>TEST_DATA!B7501</f>
        <v/>
      </c>
      <c r="C7501">
        <f>TEST_DATA!C7501</f>
        <v/>
      </c>
      <c r="D7501">
        <f>TEST_DATA!D7501</f>
        <v/>
      </c>
      <c r="E7501">
        <f>TEST_DATA!E7501</f>
        <v/>
      </c>
    </row>
    <row r="7502">
      <c r="A7502">
        <f>TEST_DATA!A7502</f>
        <v/>
      </c>
      <c r="B7502">
        <f>TEST_DATA!B7502</f>
        <v/>
      </c>
      <c r="C7502">
        <f>TEST_DATA!C7502</f>
        <v/>
      </c>
      <c r="D7502">
        <f>TEST_DATA!D7502</f>
        <v/>
      </c>
      <c r="E7502">
        <f>TEST_DATA!E7502</f>
        <v/>
      </c>
    </row>
    <row r="7503">
      <c r="A7503">
        <f>TEST_DATA!A7503</f>
        <v/>
      </c>
      <c r="B7503">
        <f>TEST_DATA!B7503</f>
        <v/>
      </c>
      <c r="C7503">
        <f>TEST_DATA!C7503</f>
        <v/>
      </c>
      <c r="D7503">
        <f>TEST_DATA!D7503</f>
        <v/>
      </c>
      <c r="E7503">
        <f>TEST_DATA!E7503</f>
        <v/>
      </c>
    </row>
    <row r="7504">
      <c r="A7504">
        <f>TEST_DATA!A7504</f>
        <v/>
      </c>
      <c r="B7504">
        <f>TEST_DATA!B7504</f>
        <v/>
      </c>
      <c r="C7504">
        <f>TEST_DATA!C7504</f>
        <v/>
      </c>
      <c r="D7504">
        <f>TEST_DATA!D7504</f>
        <v/>
      </c>
      <c r="E7504">
        <f>TEST_DATA!E7504</f>
        <v/>
      </c>
    </row>
    <row r="7505">
      <c r="A7505">
        <f>TEST_DATA!A7505</f>
        <v/>
      </c>
      <c r="B7505">
        <f>TEST_DATA!B7505</f>
        <v/>
      </c>
      <c r="C7505">
        <f>TEST_DATA!C7505</f>
        <v/>
      </c>
      <c r="D7505">
        <f>TEST_DATA!D7505</f>
        <v/>
      </c>
      <c r="E7505">
        <f>TEST_DATA!E7505</f>
        <v/>
      </c>
    </row>
    <row r="7506">
      <c r="A7506">
        <f>TEST_DATA!A7506</f>
        <v/>
      </c>
      <c r="B7506">
        <f>TEST_DATA!B7506</f>
        <v/>
      </c>
      <c r="C7506">
        <f>TEST_DATA!C7506</f>
        <v/>
      </c>
      <c r="D7506">
        <f>TEST_DATA!D7506</f>
        <v/>
      </c>
      <c r="E7506">
        <f>TEST_DATA!E7506</f>
        <v/>
      </c>
    </row>
    <row r="7507">
      <c r="A7507">
        <f>TEST_DATA!A7507</f>
        <v/>
      </c>
      <c r="B7507">
        <f>TEST_DATA!B7507</f>
        <v/>
      </c>
      <c r="C7507">
        <f>TEST_DATA!C7507</f>
        <v/>
      </c>
      <c r="D7507">
        <f>TEST_DATA!D7507</f>
        <v/>
      </c>
      <c r="E7507">
        <f>TEST_DATA!E7507</f>
        <v/>
      </c>
    </row>
    <row r="7508">
      <c r="A7508">
        <f>TEST_DATA!A7508</f>
        <v/>
      </c>
      <c r="B7508">
        <f>TEST_DATA!B7508</f>
        <v/>
      </c>
      <c r="C7508">
        <f>TEST_DATA!C7508</f>
        <v/>
      </c>
      <c r="D7508">
        <f>TEST_DATA!D7508</f>
        <v/>
      </c>
      <c r="E7508">
        <f>TEST_DATA!E7508</f>
        <v/>
      </c>
    </row>
    <row r="7509">
      <c r="A7509">
        <f>TEST_DATA!A7509</f>
        <v/>
      </c>
      <c r="B7509">
        <f>TEST_DATA!B7509</f>
        <v/>
      </c>
      <c r="C7509">
        <f>TEST_DATA!C7509</f>
        <v/>
      </c>
      <c r="D7509">
        <f>TEST_DATA!D7509</f>
        <v/>
      </c>
      <c r="E7509">
        <f>TEST_DATA!E7509</f>
        <v/>
      </c>
    </row>
    <row r="7510">
      <c r="A7510">
        <f>TEST_DATA!A7510</f>
        <v/>
      </c>
      <c r="B7510">
        <f>TEST_DATA!B7510</f>
        <v/>
      </c>
      <c r="C7510">
        <f>TEST_DATA!C7510</f>
        <v/>
      </c>
      <c r="D7510">
        <f>TEST_DATA!D7510</f>
        <v/>
      </c>
      <c r="E7510">
        <f>TEST_DATA!E7510</f>
        <v/>
      </c>
    </row>
    <row r="7511">
      <c r="A7511">
        <f>TEST_DATA!A7511</f>
        <v/>
      </c>
      <c r="B7511">
        <f>TEST_DATA!B7511</f>
        <v/>
      </c>
      <c r="C7511">
        <f>TEST_DATA!C7511</f>
        <v/>
      </c>
      <c r="D7511">
        <f>TEST_DATA!D7511</f>
        <v/>
      </c>
      <c r="E7511">
        <f>TEST_DATA!E7511</f>
        <v/>
      </c>
    </row>
    <row r="7512">
      <c r="A7512">
        <f>TEST_DATA!A7512</f>
        <v/>
      </c>
      <c r="B7512">
        <f>TEST_DATA!B7512</f>
        <v/>
      </c>
      <c r="C7512">
        <f>TEST_DATA!C7512</f>
        <v/>
      </c>
      <c r="D7512">
        <f>TEST_DATA!D7512</f>
        <v/>
      </c>
      <c r="E7512">
        <f>TEST_DATA!E7512</f>
        <v/>
      </c>
    </row>
    <row r="7513">
      <c r="A7513">
        <f>TEST_DATA!A7513</f>
        <v/>
      </c>
      <c r="B7513">
        <f>TEST_DATA!B7513</f>
        <v/>
      </c>
      <c r="C7513">
        <f>TEST_DATA!C7513</f>
        <v/>
      </c>
      <c r="D7513">
        <f>TEST_DATA!D7513</f>
        <v/>
      </c>
      <c r="E7513">
        <f>TEST_DATA!E7513</f>
        <v/>
      </c>
    </row>
    <row r="7514">
      <c r="A7514">
        <f>TEST_DATA!A7514</f>
        <v/>
      </c>
      <c r="B7514">
        <f>TEST_DATA!B7514</f>
        <v/>
      </c>
      <c r="C7514">
        <f>TEST_DATA!C7514</f>
        <v/>
      </c>
      <c r="D7514">
        <f>TEST_DATA!D7514</f>
        <v/>
      </c>
      <c r="E7514">
        <f>TEST_DATA!E7514</f>
        <v/>
      </c>
    </row>
    <row r="7515">
      <c r="A7515">
        <f>TEST_DATA!A7515</f>
        <v/>
      </c>
      <c r="B7515">
        <f>TEST_DATA!B7515</f>
        <v/>
      </c>
      <c r="C7515">
        <f>TEST_DATA!C7515</f>
        <v/>
      </c>
      <c r="D7515">
        <f>TEST_DATA!D7515</f>
        <v/>
      </c>
      <c r="E7515">
        <f>TEST_DATA!E7515</f>
        <v/>
      </c>
    </row>
    <row r="7516">
      <c r="A7516">
        <f>TEST_DATA!A7516</f>
        <v/>
      </c>
      <c r="B7516">
        <f>TEST_DATA!B7516</f>
        <v/>
      </c>
      <c r="C7516">
        <f>TEST_DATA!C7516</f>
        <v/>
      </c>
      <c r="D7516">
        <f>TEST_DATA!D7516</f>
        <v/>
      </c>
      <c r="E7516">
        <f>TEST_DATA!E7516</f>
        <v/>
      </c>
    </row>
    <row r="7517">
      <c r="A7517">
        <f>TEST_DATA!A7517</f>
        <v/>
      </c>
      <c r="B7517">
        <f>TEST_DATA!B7517</f>
        <v/>
      </c>
      <c r="C7517">
        <f>TEST_DATA!C7517</f>
        <v/>
      </c>
      <c r="D7517">
        <f>TEST_DATA!D7517</f>
        <v/>
      </c>
      <c r="E7517">
        <f>TEST_DATA!E7517</f>
        <v/>
      </c>
    </row>
    <row r="7518">
      <c r="A7518">
        <f>TEST_DATA!A7518</f>
        <v/>
      </c>
      <c r="B7518">
        <f>TEST_DATA!B7518</f>
        <v/>
      </c>
      <c r="C7518">
        <f>TEST_DATA!C7518</f>
        <v/>
      </c>
      <c r="D7518">
        <f>TEST_DATA!D7518</f>
        <v/>
      </c>
      <c r="E7518">
        <f>TEST_DATA!E7518</f>
        <v/>
      </c>
    </row>
    <row r="7519">
      <c r="A7519">
        <f>TEST_DATA!A7519</f>
        <v/>
      </c>
      <c r="B7519">
        <f>TEST_DATA!B7519</f>
        <v/>
      </c>
      <c r="C7519">
        <f>TEST_DATA!C7519</f>
        <v/>
      </c>
      <c r="D7519">
        <f>TEST_DATA!D7519</f>
        <v/>
      </c>
      <c r="E7519">
        <f>TEST_DATA!E7519</f>
        <v/>
      </c>
    </row>
    <row r="7520">
      <c r="A7520">
        <f>TEST_DATA!A7520</f>
        <v/>
      </c>
      <c r="B7520">
        <f>TEST_DATA!B7520</f>
        <v/>
      </c>
      <c r="C7520">
        <f>TEST_DATA!C7520</f>
        <v/>
      </c>
      <c r="D7520">
        <f>TEST_DATA!D7520</f>
        <v/>
      </c>
      <c r="E7520">
        <f>TEST_DATA!E7520</f>
        <v/>
      </c>
    </row>
    <row r="7521">
      <c r="A7521">
        <f>TEST_DATA!A7521</f>
        <v/>
      </c>
      <c r="B7521">
        <f>TEST_DATA!B7521</f>
        <v/>
      </c>
      <c r="C7521">
        <f>TEST_DATA!C7521</f>
        <v/>
      </c>
      <c r="D7521">
        <f>TEST_DATA!D7521</f>
        <v/>
      </c>
      <c r="E7521">
        <f>TEST_DATA!E7521</f>
        <v/>
      </c>
    </row>
    <row r="7522">
      <c r="A7522">
        <f>TEST_DATA!A7522</f>
        <v/>
      </c>
      <c r="B7522">
        <f>TEST_DATA!B7522</f>
        <v/>
      </c>
      <c r="C7522">
        <f>TEST_DATA!C7522</f>
        <v/>
      </c>
      <c r="D7522">
        <f>TEST_DATA!D7522</f>
        <v/>
      </c>
      <c r="E7522">
        <f>TEST_DATA!E7522</f>
        <v/>
      </c>
    </row>
    <row r="7523">
      <c r="A7523">
        <f>TEST_DATA!A7523</f>
        <v/>
      </c>
      <c r="B7523">
        <f>TEST_DATA!B7523</f>
        <v/>
      </c>
      <c r="C7523">
        <f>TEST_DATA!C7523</f>
        <v/>
      </c>
      <c r="D7523">
        <f>TEST_DATA!D7523</f>
        <v/>
      </c>
      <c r="E7523">
        <f>TEST_DATA!E7523</f>
        <v/>
      </c>
    </row>
    <row r="7524">
      <c r="A7524">
        <f>TEST_DATA!A7524</f>
        <v/>
      </c>
      <c r="B7524">
        <f>TEST_DATA!B7524</f>
        <v/>
      </c>
      <c r="C7524">
        <f>TEST_DATA!C7524</f>
        <v/>
      </c>
      <c r="D7524">
        <f>TEST_DATA!D7524</f>
        <v/>
      </c>
      <c r="E7524">
        <f>TEST_DATA!E7524</f>
        <v/>
      </c>
    </row>
    <row r="7525">
      <c r="A7525">
        <f>TEST_DATA!A7525</f>
        <v/>
      </c>
      <c r="B7525">
        <f>TEST_DATA!B7525</f>
        <v/>
      </c>
      <c r="C7525">
        <f>TEST_DATA!C7525</f>
        <v/>
      </c>
      <c r="D7525">
        <f>TEST_DATA!D7525</f>
        <v/>
      </c>
      <c r="E7525">
        <f>TEST_DATA!E7525</f>
        <v/>
      </c>
    </row>
    <row r="7526">
      <c r="A7526">
        <f>TEST_DATA!A7526</f>
        <v/>
      </c>
      <c r="B7526">
        <f>TEST_DATA!B7526</f>
        <v/>
      </c>
      <c r="C7526">
        <f>TEST_DATA!C7526</f>
        <v/>
      </c>
      <c r="D7526">
        <f>TEST_DATA!D7526</f>
        <v/>
      </c>
      <c r="E7526">
        <f>TEST_DATA!E7526</f>
        <v/>
      </c>
    </row>
    <row r="7527">
      <c r="A7527">
        <f>TEST_DATA!A7527</f>
        <v/>
      </c>
      <c r="B7527">
        <f>TEST_DATA!B7527</f>
        <v/>
      </c>
      <c r="C7527">
        <f>TEST_DATA!C7527</f>
        <v/>
      </c>
      <c r="D7527">
        <f>TEST_DATA!D7527</f>
        <v/>
      </c>
      <c r="E7527">
        <f>TEST_DATA!E7527</f>
        <v/>
      </c>
    </row>
    <row r="7528">
      <c r="A7528">
        <f>TEST_DATA!A7528</f>
        <v/>
      </c>
      <c r="B7528">
        <f>TEST_DATA!B7528</f>
        <v/>
      </c>
      <c r="C7528">
        <f>TEST_DATA!C7528</f>
        <v/>
      </c>
      <c r="D7528">
        <f>TEST_DATA!D7528</f>
        <v/>
      </c>
      <c r="E7528">
        <f>TEST_DATA!E7528</f>
        <v/>
      </c>
    </row>
    <row r="7529">
      <c r="A7529">
        <f>TEST_DATA!A7529</f>
        <v/>
      </c>
      <c r="B7529">
        <f>TEST_DATA!B7529</f>
        <v/>
      </c>
      <c r="C7529">
        <f>TEST_DATA!C7529</f>
        <v/>
      </c>
      <c r="D7529">
        <f>TEST_DATA!D7529</f>
        <v/>
      </c>
      <c r="E7529">
        <f>TEST_DATA!E7529</f>
        <v/>
      </c>
    </row>
    <row r="7530">
      <c r="A7530">
        <f>TEST_DATA!A7530</f>
        <v/>
      </c>
      <c r="B7530">
        <f>TEST_DATA!B7530</f>
        <v/>
      </c>
      <c r="C7530">
        <f>TEST_DATA!C7530</f>
        <v/>
      </c>
      <c r="D7530">
        <f>TEST_DATA!D7530</f>
        <v/>
      </c>
      <c r="E7530">
        <f>TEST_DATA!E7530</f>
        <v/>
      </c>
    </row>
    <row r="7531">
      <c r="A7531">
        <f>TEST_DATA!A7531</f>
        <v/>
      </c>
      <c r="B7531">
        <f>TEST_DATA!B7531</f>
        <v/>
      </c>
      <c r="C7531">
        <f>TEST_DATA!C7531</f>
        <v/>
      </c>
      <c r="D7531">
        <f>TEST_DATA!D7531</f>
        <v/>
      </c>
      <c r="E7531">
        <f>TEST_DATA!E7531</f>
        <v/>
      </c>
    </row>
    <row r="7532">
      <c r="A7532">
        <f>TEST_DATA!A7532</f>
        <v/>
      </c>
      <c r="B7532">
        <f>TEST_DATA!B7532</f>
        <v/>
      </c>
      <c r="C7532">
        <f>TEST_DATA!C7532</f>
        <v/>
      </c>
      <c r="D7532">
        <f>TEST_DATA!D7532</f>
        <v/>
      </c>
      <c r="E7532">
        <f>TEST_DATA!E7532</f>
        <v/>
      </c>
    </row>
    <row r="7533">
      <c r="A7533">
        <f>TEST_DATA!A7533</f>
        <v/>
      </c>
      <c r="B7533">
        <f>TEST_DATA!B7533</f>
        <v/>
      </c>
      <c r="C7533">
        <f>TEST_DATA!C7533</f>
        <v/>
      </c>
      <c r="D7533">
        <f>TEST_DATA!D7533</f>
        <v/>
      </c>
      <c r="E7533">
        <f>TEST_DATA!E7533</f>
        <v/>
      </c>
    </row>
    <row r="7534">
      <c r="A7534">
        <f>TEST_DATA!A7534</f>
        <v/>
      </c>
      <c r="B7534">
        <f>TEST_DATA!B7534</f>
        <v/>
      </c>
      <c r="C7534">
        <f>TEST_DATA!C7534</f>
        <v/>
      </c>
      <c r="D7534">
        <f>TEST_DATA!D7534</f>
        <v/>
      </c>
      <c r="E7534">
        <f>TEST_DATA!E7534</f>
        <v/>
      </c>
    </row>
    <row r="7535">
      <c r="A7535">
        <f>TEST_DATA!A7535</f>
        <v/>
      </c>
      <c r="B7535">
        <f>TEST_DATA!B7535</f>
        <v/>
      </c>
      <c r="C7535">
        <f>TEST_DATA!C7535</f>
        <v/>
      </c>
      <c r="D7535">
        <f>TEST_DATA!D7535</f>
        <v/>
      </c>
      <c r="E7535">
        <f>TEST_DATA!E7535</f>
        <v/>
      </c>
    </row>
    <row r="7536">
      <c r="A7536">
        <f>TEST_DATA!A7536</f>
        <v/>
      </c>
      <c r="B7536">
        <f>TEST_DATA!B7536</f>
        <v/>
      </c>
      <c r="C7536">
        <f>TEST_DATA!C7536</f>
        <v/>
      </c>
      <c r="D7536">
        <f>TEST_DATA!D7536</f>
        <v/>
      </c>
      <c r="E7536">
        <f>TEST_DATA!E7536</f>
        <v/>
      </c>
    </row>
    <row r="7537">
      <c r="A7537">
        <f>TEST_DATA!A7537</f>
        <v/>
      </c>
      <c r="B7537">
        <f>TEST_DATA!B7537</f>
        <v/>
      </c>
      <c r="C7537">
        <f>TEST_DATA!C7537</f>
        <v/>
      </c>
      <c r="D7537">
        <f>TEST_DATA!D7537</f>
        <v/>
      </c>
      <c r="E7537">
        <f>TEST_DATA!E7537</f>
        <v/>
      </c>
    </row>
    <row r="7538">
      <c r="A7538">
        <f>TEST_DATA!A7538</f>
        <v/>
      </c>
      <c r="B7538">
        <f>TEST_DATA!B7538</f>
        <v/>
      </c>
      <c r="C7538">
        <f>TEST_DATA!C7538</f>
        <v/>
      </c>
      <c r="D7538">
        <f>TEST_DATA!D7538</f>
        <v/>
      </c>
      <c r="E7538">
        <f>TEST_DATA!E7538</f>
        <v/>
      </c>
    </row>
    <row r="7539">
      <c r="A7539">
        <f>TEST_DATA!A7539</f>
        <v/>
      </c>
      <c r="B7539">
        <f>TEST_DATA!B7539</f>
        <v/>
      </c>
      <c r="C7539">
        <f>TEST_DATA!C7539</f>
        <v/>
      </c>
      <c r="D7539">
        <f>TEST_DATA!D7539</f>
        <v/>
      </c>
      <c r="E7539">
        <f>TEST_DATA!E7539</f>
        <v/>
      </c>
    </row>
    <row r="7540">
      <c r="A7540">
        <f>TEST_DATA!A7540</f>
        <v/>
      </c>
      <c r="B7540">
        <f>TEST_DATA!B7540</f>
        <v/>
      </c>
      <c r="C7540">
        <f>TEST_DATA!C7540</f>
        <v/>
      </c>
      <c r="D7540">
        <f>TEST_DATA!D7540</f>
        <v/>
      </c>
      <c r="E7540">
        <f>TEST_DATA!E7540</f>
        <v/>
      </c>
    </row>
    <row r="7541">
      <c r="A7541">
        <f>TEST_DATA!A7541</f>
        <v/>
      </c>
      <c r="B7541">
        <f>TEST_DATA!B7541</f>
        <v/>
      </c>
      <c r="C7541">
        <f>TEST_DATA!C7541</f>
        <v/>
      </c>
      <c r="D7541">
        <f>TEST_DATA!D7541</f>
        <v/>
      </c>
      <c r="E7541">
        <f>TEST_DATA!E7541</f>
        <v/>
      </c>
    </row>
    <row r="7542">
      <c r="A7542">
        <f>TEST_DATA!A7542</f>
        <v/>
      </c>
      <c r="B7542">
        <f>TEST_DATA!B7542</f>
        <v/>
      </c>
      <c r="C7542">
        <f>TEST_DATA!C7542</f>
        <v/>
      </c>
      <c r="D7542">
        <f>TEST_DATA!D7542</f>
        <v/>
      </c>
      <c r="E7542">
        <f>TEST_DATA!E7542</f>
        <v/>
      </c>
    </row>
    <row r="7543">
      <c r="A7543">
        <f>TEST_DATA!A7543</f>
        <v/>
      </c>
      <c r="B7543">
        <f>TEST_DATA!B7543</f>
        <v/>
      </c>
      <c r="C7543">
        <f>TEST_DATA!C7543</f>
        <v/>
      </c>
      <c r="D7543">
        <f>TEST_DATA!D7543</f>
        <v/>
      </c>
      <c r="E7543">
        <f>TEST_DATA!E7543</f>
        <v/>
      </c>
    </row>
    <row r="7544">
      <c r="A7544">
        <f>TEST_DATA!A7544</f>
        <v/>
      </c>
      <c r="B7544">
        <f>TEST_DATA!B7544</f>
        <v/>
      </c>
      <c r="C7544">
        <f>TEST_DATA!C7544</f>
        <v/>
      </c>
      <c r="D7544">
        <f>TEST_DATA!D7544</f>
        <v/>
      </c>
      <c r="E7544">
        <f>TEST_DATA!E7544</f>
        <v/>
      </c>
    </row>
    <row r="7545">
      <c r="A7545">
        <f>TEST_DATA!A7545</f>
        <v/>
      </c>
      <c r="B7545">
        <f>TEST_DATA!B7545</f>
        <v/>
      </c>
      <c r="C7545">
        <f>TEST_DATA!C7545</f>
        <v/>
      </c>
      <c r="D7545">
        <f>TEST_DATA!D7545</f>
        <v/>
      </c>
      <c r="E7545">
        <f>TEST_DATA!E7545</f>
        <v/>
      </c>
    </row>
    <row r="7546">
      <c r="A7546">
        <f>TEST_DATA!A7546</f>
        <v/>
      </c>
      <c r="B7546">
        <f>TEST_DATA!B7546</f>
        <v/>
      </c>
      <c r="C7546">
        <f>TEST_DATA!C7546</f>
        <v/>
      </c>
      <c r="D7546">
        <f>TEST_DATA!D7546</f>
        <v/>
      </c>
      <c r="E7546">
        <f>TEST_DATA!E7546</f>
        <v/>
      </c>
    </row>
    <row r="7547">
      <c r="A7547">
        <f>TEST_DATA!A7547</f>
        <v/>
      </c>
      <c r="B7547">
        <f>TEST_DATA!B7547</f>
        <v/>
      </c>
      <c r="C7547">
        <f>TEST_DATA!C7547</f>
        <v/>
      </c>
      <c r="D7547">
        <f>TEST_DATA!D7547</f>
        <v/>
      </c>
      <c r="E7547">
        <f>TEST_DATA!E7547</f>
        <v/>
      </c>
    </row>
    <row r="7548">
      <c r="A7548">
        <f>TEST_DATA!A7548</f>
        <v/>
      </c>
      <c r="B7548">
        <f>TEST_DATA!B7548</f>
        <v/>
      </c>
      <c r="C7548">
        <f>TEST_DATA!C7548</f>
        <v/>
      </c>
      <c r="D7548">
        <f>TEST_DATA!D7548</f>
        <v/>
      </c>
      <c r="E7548">
        <f>TEST_DATA!E7548</f>
        <v/>
      </c>
    </row>
    <row r="7549">
      <c r="A7549">
        <f>TEST_DATA!A7549</f>
        <v/>
      </c>
      <c r="B7549">
        <f>TEST_DATA!B7549</f>
        <v/>
      </c>
      <c r="C7549">
        <f>TEST_DATA!C7549</f>
        <v/>
      </c>
      <c r="D7549">
        <f>TEST_DATA!D7549</f>
        <v/>
      </c>
      <c r="E7549">
        <f>TEST_DATA!E7549</f>
        <v/>
      </c>
    </row>
    <row r="7550">
      <c r="A7550">
        <f>TEST_DATA!A7550</f>
        <v/>
      </c>
      <c r="B7550">
        <f>TEST_DATA!B7550</f>
        <v/>
      </c>
      <c r="C7550">
        <f>TEST_DATA!C7550</f>
        <v/>
      </c>
      <c r="D7550">
        <f>TEST_DATA!D7550</f>
        <v/>
      </c>
      <c r="E7550">
        <f>TEST_DATA!E7550</f>
        <v/>
      </c>
    </row>
    <row r="7551">
      <c r="A7551">
        <f>TEST_DATA!A7551</f>
        <v/>
      </c>
      <c r="B7551">
        <f>TEST_DATA!B7551</f>
        <v/>
      </c>
      <c r="C7551">
        <f>TEST_DATA!C7551</f>
        <v/>
      </c>
      <c r="D7551">
        <f>TEST_DATA!D7551</f>
        <v/>
      </c>
      <c r="E7551">
        <f>TEST_DATA!E7551</f>
        <v/>
      </c>
    </row>
    <row r="7552">
      <c r="A7552">
        <f>TEST_DATA!A7552</f>
        <v/>
      </c>
      <c r="B7552">
        <f>TEST_DATA!B7552</f>
        <v/>
      </c>
      <c r="C7552">
        <f>TEST_DATA!C7552</f>
        <v/>
      </c>
      <c r="D7552">
        <f>TEST_DATA!D7552</f>
        <v/>
      </c>
      <c r="E7552">
        <f>TEST_DATA!E7552</f>
        <v/>
      </c>
    </row>
    <row r="7553">
      <c r="A7553">
        <f>TEST_DATA!A7553</f>
        <v/>
      </c>
      <c r="B7553">
        <f>TEST_DATA!B7553</f>
        <v/>
      </c>
      <c r="C7553">
        <f>TEST_DATA!C7553</f>
        <v/>
      </c>
      <c r="D7553">
        <f>TEST_DATA!D7553</f>
        <v/>
      </c>
      <c r="E7553">
        <f>TEST_DATA!E7553</f>
        <v/>
      </c>
    </row>
    <row r="7554">
      <c r="A7554">
        <f>TEST_DATA!A7554</f>
        <v/>
      </c>
      <c r="B7554">
        <f>TEST_DATA!B7554</f>
        <v/>
      </c>
      <c r="C7554">
        <f>TEST_DATA!C7554</f>
        <v/>
      </c>
      <c r="D7554">
        <f>TEST_DATA!D7554</f>
        <v/>
      </c>
      <c r="E7554">
        <f>TEST_DATA!E7554</f>
        <v/>
      </c>
    </row>
    <row r="7555">
      <c r="A7555">
        <f>TEST_DATA!A7555</f>
        <v/>
      </c>
      <c r="B7555">
        <f>TEST_DATA!B7555</f>
        <v/>
      </c>
      <c r="C7555">
        <f>TEST_DATA!C7555</f>
        <v/>
      </c>
      <c r="D7555">
        <f>TEST_DATA!D7555</f>
        <v/>
      </c>
      <c r="E7555">
        <f>TEST_DATA!E7555</f>
        <v/>
      </c>
    </row>
    <row r="7556">
      <c r="A7556">
        <f>TEST_DATA!A7556</f>
        <v/>
      </c>
      <c r="B7556">
        <f>TEST_DATA!B7556</f>
        <v/>
      </c>
      <c r="C7556">
        <f>TEST_DATA!C7556</f>
        <v/>
      </c>
      <c r="D7556">
        <f>TEST_DATA!D7556</f>
        <v/>
      </c>
      <c r="E7556">
        <f>TEST_DATA!E7556</f>
        <v/>
      </c>
    </row>
    <row r="7557">
      <c r="A7557">
        <f>TEST_DATA!A7557</f>
        <v/>
      </c>
      <c r="B7557">
        <f>TEST_DATA!B7557</f>
        <v/>
      </c>
      <c r="C7557">
        <f>TEST_DATA!C7557</f>
        <v/>
      </c>
      <c r="D7557">
        <f>TEST_DATA!D7557</f>
        <v/>
      </c>
      <c r="E7557">
        <f>TEST_DATA!E7557</f>
        <v/>
      </c>
    </row>
    <row r="7558">
      <c r="A7558">
        <f>TEST_DATA!A7558</f>
        <v/>
      </c>
      <c r="B7558">
        <f>TEST_DATA!B7558</f>
        <v/>
      </c>
      <c r="C7558">
        <f>TEST_DATA!C7558</f>
        <v/>
      </c>
      <c r="D7558">
        <f>TEST_DATA!D7558</f>
        <v/>
      </c>
      <c r="E7558">
        <f>TEST_DATA!E7558</f>
        <v/>
      </c>
    </row>
    <row r="7559">
      <c r="A7559">
        <f>TEST_DATA!A7559</f>
        <v/>
      </c>
      <c r="B7559">
        <f>TEST_DATA!B7559</f>
        <v/>
      </c>
      <c r="C7559">
        <f>TEST_DATA!C7559</f>
        <v/>
      </c>
      <c r="D7559">
        <f>TEST_DATA!D7559</f>
        <v/>
      </c>
      <c r="E7559">
        <f>TEST_DATA!E7559</f>
        <v/>
      </c>
    </row>
    <row r="7560">
      <c r="A7560">
        <f>TEST_DATA!A7560</f>
        <v/>
      </c>
      <c r="B7560">
        <f>TEST_DATA!B7560</f>
        <v/>
      </c>
      <c r="C7560">
        <f>TEST_DATA!C7560</f>
        <v/>
      </c>
      <c r="D7560">
        <f>TEST_DATA!D7560</f>
        <v/>
      </c>
      <c r="E7560">
        <f>TEST_DATA!E7560</f>
        <v/>
      </c>
    </row>
    <row r="7561">
      <c r="A7561">
        <f>TEST_DATA!A7561</f>
        <v/>
      </c>
      <c r="B7561">
        <f>TEST_DATA!B7561</f>
        <v/>
      </c>
      <c r="C7561">
        <f>TEST_DATA!C7561</f>
        <v/>
      </c>
      <c r="D7561">
        <f>TEST_DATA!D7561</f>
        <v/>
      </c>
      <c r="E7561">
        <f>TEST_DATA!E7561</f>
        <v/>
      </c>
    </row>
    <row r="7562">
      <c r="A7562">
        <f>TEST_DATA!A7562</f>
        <v/>
      </c>
      <c r="B7562">
        <f>TEST_DATA!B7562</f>
        <v/>
      </c>
      <c r="C7562">
        <f>TEST_DATA!C7562</f>
        <v/>
      </c>
      <c r="D7562">
        <f>TEST_DATA!D7562</f>
        <v/>
      </c>
      <c r="E7562">
        <f>TEST_DATA!E7562</f>
        <v/>
      </c>
    </row>
    <row r="7563">
      <c r="A7563">
        <f>TEST_DATA!A7563</f>
        <v/>
      </c>
      <c r="B7563">
        <f>TEST_DATA!B7563</f>
        <v/>
      </c>
      <c r="C7563">
        <f>TEST_DATA!C7563</f>
        <v/>
      </c>
      <c r="D7563">
        <f>TEST_DATA!D7563</f>
        <v/>
      </c>
      <c r="E7563">
        <f>TEST_DATA!E7563</f>
        <v/>
      </c>
    </row>
    <row r="7564">
      <c r="A7564">
        <f>TEST_DATA!A7564</f>
        <v/>
      </c>
      <c r="B7564">
        <f>TEST_DATA!B7564</f>
        <v/>
      </c>
      <c r="C7564">
        <f>TEST_DATA!C7564</f>
        <v/>
      </c>
      <c r="D7564">
        <f>TEST_DATA!D7564</f>
        <v/>
      </c>
      <c r="E7564">
        <f>TEST_DATA!E7564</f>
        <v/>
      </c>
    </row>
    <row r="7565">
      <c r="A7565">
        <f>TEST_DATA!A7565</f>
        <v/>
      </c>
      <c r="B7565">
        <f>TEST_DATA!B7565</f>
        <v/>
      </c>
      <c r="C7565">
        <f>TEST_DATA!C7565</f>
        <v/>
      </c>
      <c r="D7565">
        <f>TEST_DATA!D7565</f>
        <v/>
      </c>
      <c r="E7565">
        <f>TEST_DATA!E7565</f>
        <v/>
      </c>
    </row>
    <row r="7566">
      <c r="A7566">
        <f>TEST_DATA!A7566</f>
        <v/>
      </c>
      <c r="B7566">
        <f>TEST_DATA!B7566</f>
        <v/>
      </c>
      <c r="C7566">
        <f>TEST_DATA!C7566</f>
        <v/>
      </c>
      <c r="D7566">
        <f>TEST_DATA!D7566</f>
        <v/>
      </c>
      <c r="E7566">
        <f>TEST_DATA!E7566</f>
        <v/>
      </c>
    </row>
    <row r="7567">
      <c r="A7567">
        <f>TEST_DATA!A7567</f>
        <v/>
      </c>
      <c r="B7567">
        <f>TEST_DATA!B7567</f>
        <v/>
      </c>
      <c r="C7567">
        <f>TEST_DATA!C7567</f>
        <v/>
      </c>
      <c r="D7567">
        <f>TEST_DATA!D7567</f>
        <v/>
      </c>
      <c r="E7567">
        <f>TEST_DATA!E7567</f>
        <v/>
      </c>
    </row>
    <row r="7568">
      <c r="A7568">
        <f>TEST_DATA!A7568</f>
        <v/>
      </c>
      <c r="B7568">
        <f>TEST_DATA!B7568</f>
        <v/>
      </c>
      <c r="C7568">
        <f>TEST_DATA!C7568</f>
        <v/>
      </c>
      <c r="D7568">
        <f>TEST_DATA!D7568</f>
        <v/>
      </c>
      <c r="E7568">
        <f>TEST_DATA!E7568</f>
        <v/>
      </c>
    </row>
    <row r="7569">
      <c r="A7569">
        <f>TEST_DATA!A7569</f>
        <v/>
      </c>
      <c r="B7569">
        <f>TEST_DATA!B7569</f>
        <v/>
      </c>
      <c r="C7569">
        <f>TEST_DATA!C7569</f>
        <v/>
      </c>
      <c r="D7569">
        <f>TEST_DATA!D7569</f>
        <v/>
      </c>
      <c r="E7569">
        <f>TEST_DATA!E7569</f>
        <v/>
      </c>
    </row>
    <row r="7570">
      <c r="A7570">
        <f>TEST_DATA!A7570</f>
        <v/>
      </c>
      <c r="B7570">
        <f>TEST_DATA!B7570</f>
        <v/>
      </c>
      <c r="C7570">
        <f>TEST_DATA!C7570</f>
        <v/>
      </c>
      <c r="D7570">
        <f>TEST_DATA!D7570</f>
        <v/>
      </c>
      <c r="E7570">
        <f>TEST_DATA!E7570</f>
        <v/>
      </c>
    </row>
    <row r="7571">
      <c r="A7571">
        <f>TEST_DATA!A7571</f>
        <v/>
      </c>
      <c r="B7571">
        <f>TEST_DATA!B7571</f>
        <v/>
      </c>
      <c r="C7571">
        <f>TEST_DATA!C7571</f>
        <v/>
      </c>
      <c r="D7571">
        <f>TEST_DATA!D7571</f>
        <v/>
      </c>
      <c r="E7571">
        <f>TEST_DATA!E7571</f>
        <v/>
      </c>
    </row>
    <row r="7572">
      <c r="A7572">
        <f>TEST_DATA!A7572</f>
        <v/>
      </c>
      <c r="B7572">
        <f>TEST_DATA!B7572</f>
        <v/>
      </c>
      <c r="C7572">
        <f>TEST_DATA!C7572</f>
        <v/>
      </c>
      <c r="D7572">
        <f>TEST_DATA!D7572</f>
        <v/>
      </c>
      <c r="E7572">
        <f>TEST_DATA!E7572</f>
        <v/>
      </c>
    </row>
    <row r="7573">
      <c r="A7573">
        <f>TEST_DATA!A7573</f>
        <v/>
      </c>
      <c r="B7573">
        <f>TEST_DATA!B7573</f>
        <v/>
      </c>
      <c r="C7573">
        <f>TEST_DATA!C7573</f>
        <v/>
      </c>
      <c r="D7573">
        <f>TEST_DATA!D7573</f>
        <v/>
      </c>
      <c r="E7573">
        <f>TEST_DATA!E7573</f>
        <v/>
      </c>
    </row>
    <row r="7574">
      <c r="A7574">
        <f>TEST_DATA!A7574</f>
        <v/>
      </c>
      <c r="B7574">
        <f>TEST_DATA!B7574</f>
        <v/>
      </c>
      <c r="C7574">
        <f>TEST_DATA!C7574</f>
        <v/>
      </c>
      <c r="D7574">
        <f>TEST_DATA!D7574</f>
        <v/>
      </c>
      <c r="E7574">
        <f>TEST_DATA!E7574</f>
        <v/>
      </c>
    </row>
    <row r="7575">
      <c r="A7575">
        <f>TEST_DATA!A7575</f>
        <v/>
      </c>
      <c r="B7575">
        <f>TEST_DATA!B7575</f>
        <v/>
      </c>
      <c r="C7575">
        <f>TEST_DATA!C7575</f>
        <v/>
      </c>
      <c r="D7575">
        <f>TEST_DATA!D7575</f>
        <v/>
      </c>
      <c r="E7575">
        <f>TEST_DATA!E7575</f>
        <v/>
      </c>
    </row>
    <row r="7576">
      <c r="A7576">
        <f>TEST_DATA!A7576</f>
        <v/>
      </c>
      <c r="B7576">
        <f>TEST_DATA!B7576</f>
        <v/>
      </c>
      <c r="C7576">
        <f>TEST_DATA!C7576</f>
        <v/>
      </c>
      <c r="D7576">
        <f>TEST_DATA!D7576</f>
        <v/>
      </c>
      <c r="E7576">
        <f>TEST_DATA!E7576</f>
        <v/>
      </c>
    </row>
    <row r="7577">
      <c r="A7577">
        <f>TEST_DATA!A7577</f>
        <v/>
      </c>
      <c r="B7577">
        <f>TEST_DATA!B7577</f>
        <v/>
      </c>
      <c r="C7577">
        <f>TEST_DATA!C7577</f>
        <v/>
      </c>
      <c r="D7577">
        <f>TEST_DATA!D7577</f>
        <v/>
      </c>
      <c r="E7577">
        <f>TEST_DATA!E7577</f>
        <v/>
      </c>
    </row>
    <row r="7578">
      <c r="A7578">
        <f>TEST_DATA!A7578</f>
        <v/>
      </c>
      <c r="B7578">
        <f>TEST_DATA!B7578</f>
        <v/>
      </c>
      <c r="C7578">
        <f>TEST_DATA!C7578</f>
        <v/>
      </c>
      <c r="D7578">
        <f>TEST_DATA!D7578</f>
        <v/>
      </c>
      <c r="E7578">
        <f>TEST_DATA!E7578</f>
        <v/>
      </c>
    </row>
    <row r="7579">
      <c r="A7579">
        <f>TEST_DATA!A7579</f>
        <v/>
      </c>
      <c r="B7579">
        <f>TEST_DATA!B7579</f>
        <v/>
      </c>
      <c r="C7579">
        <f>TEST_DATA!C7579</f>
        <v/>
      </c>
      <c r="D7579">
        <f>TEST_DATA!D7579</f>
        <v/>
      </c>
      <c r="E7579">
        <f>TEST_DATA!E7579</f>
        <v/>
      </c>
    </row>
    <row r="7580">
      <c r="A7580">
        <f>TEST_DATA!A7580</f>
        <v/>
      </c>
      <c r="B7580">
        <f>TEST_DATA!B7580</f>
        <v/>
      </c>
      <c r="C7580">
        <f>TEST_DATA!C7580</f>
        <v/>
      </c>
      <c r="D7580">
        <f>TEST_DATA!D7580</f>
        <v/>
      </c>
      <c r="E7580">
        <f>TEST_DATA!E7580</f>
        <v/>
      </c>
    </row>
    <row r="7581">
      <c r="A7581">
        <f>TEST_DATA!A7581</f>
        <v/>
      </c>
      <c r="B7581">
        <f>TEST_DATA!B7581</f>
        <v/>
      </c>
      <c r="C7581">
        <f>TEST_DATA!C7581</f>
        <v/>
      </c>
      <c r="D7581">
        <f>TEST_DATA!D7581</f>
        <v/>
      </c>
      <c r="E7581">
        <f>TEST_DATA!E7581</f>
        <v/>
      </c>
    </row>
    <row r="7582">
      <c r="A7582">
        <f>TEST_DATA!A7582</f>
        <v/>
      </c>
      <c r="B7582">
        <f>TEST_DATA!B7582</f>
        <v/>
      </c>
      <c r="C7582">
        <f>TEST_DATA!C7582</f>
        <v/>
      </c>
      <c r="D7582">
        <f>TEST_DATA!D7582</f>
        <v/>
      </c>
      <c r="E7582">
        <f>TEST_DATA!E7582</f>
        <v/>
      </c>
    </row>
    <row r="7583">
      <c r="A7583">
        <f>TEST_DATA!A7583</f>
        <v/>
      </c>
      <c r="B7583">
        <f>TEST_DATA!B7583</f>
        <v/>
      </c>
      <c r="C7583">
        <f>TEST_DATA!C7583</f>
        <v/>
      </c>
      <c r="D7583">
        <f>TEST_DATA!D7583</f>
        <v/>
      </c>
      <c r="E7583">
        <f>TEST_DATA!E7583</f>
        <v/>
      </c>
    </row>
    <row r="7584">
      <c r="A7584">
        <f>TEST_DATA!A7584</f>
        <v/>
      </c>
      <c r="B7584">
        <f>TEST_DATA!B7584</f>
        <v/>
      </c>
      <c r="C7584">
        <f>TEST_DATA!C7584</f>
        <v/>
      </c>
      <c r="D7584">
        <f>TEST_DATA!D7584</f>
        <v/>
      </c>
      <c r="E7584">
        <f>TEST_DATA!E7584</f>
        <v/>
      </c>
    </row>
    <row r="7585">
      <c r="A7585">
        <f>TEST_DATA!A7585</f>
        <v/>
      </c>
      <c r="B7585">
        <f>TEST_DATA!B7585</f>
        <v/>
      </c>
      <c r="C7585">
        <f>TEST_DATA!C7585</f>
        <v/>
      </c>
      <c r="D7585">
        <f>TEST_DATA!D7585</f>
        <v/>
      </c>
      <c r="E7585">
        <f>TEST_DATA!E7585</f>
        <v/>
      </c>
    </row>
    <row r="7586">
      <c r="A7586">
        <f>TEST_DATA!A7586</f>
        <v/>
      </c>
      <c r="B7586">
        <f>TEST_DATA!B7586</f>
        <v/>
      </c>
      <c r="C7586">
        <f>TEST_DATA!C7586</f>
        <v/>
      </c>
      <c r="D7586">
        <f>TEST_DATA!D7586</f>
        <v/>
      </c>
      <c r="E7586">
        <f>TEST_DATA!E7586</f>
        <v/>
      </c>
    </row>
    <row r="7587">
      <c r="A7587">
        <f>TEST_DATA!A7587</f>
        <v/>
      </c>
      <c r="B7587">
        <f>TEST_DATA!B7587</f>
        <v/>
      </c>
      <c r="C7587">
        <f>TEST_DATA!C7587</f>
        <v/>
      </c>
      <c r="D7587">
        <f>TEST_DATA!D7587</f>
        <v/>
      </c>
      <c r="E7587">
        <f>TEST_DATA!E7587</f>
        <v/>
      </c>
    </row>
    <row r="7588">
      <c r="A7588">
        <f>TEST_DATA!A7588</f>
        <v/>
      </c>
      <c r="B7588">
        <f>TEST_DATA!B7588</f>
        <v/>
      </c>
      <c r="C7588">
        <f>TEST_DATA!C7588</f>
        <v/>
      </c>
      <c r="D7588">
        <f>TEST_DATA!D7588</f>
        <v/>
      </c>
      <c r="E7588">
        <f>TEST_DATA!E7588</f>
        <v/>
      </c>
    </row>
    <row r="7589">
      <c r="A7589">
        <f>TEST_DATA!A7589</f>
        <v/>
      </c>
      <c r="B7589">
        <f>TEST_DATA!B7589</f>
        <v/>
      </c>
      <c r="C7589">
        <f>TEST_DATA!C7589</f>
        <v/>
      </c>
      <c r="D7589">
        <f>TEST_DATA!D7589</f>
        <v/>
      </c>
      <c r="E7589">
        <f>TEST_DATA!E7589</f>
        <v/>
      </c>
    </row>
    <row r="7590">
      <c r="A7590">
        <f>TEST_DATA!A7590</f>
        <v/>
      </c>
      <c r="B7590">
        <f>TEST_DATA!B7590</f>
        <v/>
      </c>
      <c r="C7590">
        <f>TEST_DATA!C7590</f>
        <v/>
      </c>
      <c r="D7590">
        <f>TEST_DATA!D7590</f>
        <v/>
      </c>
      <c r="E7590">
        <f>TEST_DATA!E7590</f>
        <v/>
      </c>
    </row>
    <row r="7591">
      <c r="A7591">
        <f>TEST_DATA!A7591</f>
        <v/>
      </c>
      <c r="B7591">
        <f>TEST_DATA!B7591</f>
        <v/>
      </c>
      <c r="C7591">
        <f>TEST_DATA!C7591</f>
        <v/>
      </c>
      <c r="D7591">
        <f>TEST_DATA!D7591</f>
        <v/>
      </c>
      <c r="E7591">
        <f>TEST_DATA!E7591</f>
        <v/>
      </c>
    </row>
    <row r="7592">
      <c r="A7592">
        <f>TEST_DATA!A7592</f>
        <v/>
      </c>
      <c r="B7592">
        <f>TEST_DATA!B7592</f>
        <v/>
      </c>
      <c r="C7592">
        <f>TEST_DATA!C7592</f>
        <v/>
      </c>
      <c r="D7592">
        <f>TEST_DATA!D7592</f>
        <v/>
      </c>
      <c r="E7592">
        <f>TEST_DATA!E7592</f>
        <v/>
      </c>
    </row>
    <row r="7593">
      <c r="A7593">
        <f>TEST_DATA!A7593</f>
        <v/>
      </c>
      <c r="B7593">
        <f>TEST_DATA!B7593</f>
        <v/>
      </c>
      <c r="C7593">
        <f>TEST_DATA!C7593</f>
        <v/>
      </c>
      <c r="D7593">
        <f>TEST_DATA!D7593</f>
        <v/>
      </c>
      <c r="E7593">
        <f>TEST_DATA!E7593</f>
        <v/>
      </c>
    </row>
    <row r="7594">
      <c r="A7594">
        <f>TEST_DATA!A7594</f>
        <v/>
      </c>
      <c r="B7594">
        <f>TEST_DATA!B7594</f>
        <v/>
      </c>
      <c r="C7594">
        <f>TEST_DATA!C7594</f>
        <v/>
      </c>
      <c r="D7594">
        <f>TEST_DATA!D7594</f>
        <v/>
      </c>
      <c r="E7594">
        <f>TEST_DATA!E7594</f>
        <v/>
      </c>
    </row>
    <row r="7595">
      <c r="A7595">
        <f>TEST_DATA!A7595</f>
        <v/>
      </c>
      <c r="B7595">
        <f>TEST_DATA!B7595</f>
        <v/>
      </c>
      <c r="C7595">
        <f>TEST_DATA!C7595</f>
        <v/>
      </c>
      <c r="D7595">
        <f>TEST_DATA!D7595</f>
        <v/>
      </c>
      <c r="E7595">
        <f>TEST_DATA!E7595</f>
        <v/>
      </c>
    </row>
    <row r="7596">
      <c r="A7596">
        <f>TEST_DATA!A7596</f>
        <v/>
      </c>
      <c r="B7596">
        <f>TEST_DATA!B7596</f>
        <v/>
      </c>
      <c r="C7596">
        <f>TEST_DATA!C7596</f>
        <v/>
      </c>
      <c r="D7596">
        <f>TEST_DATA!D7596</f>
        <v/>
      </c>
      <c r="E7596">
        <f>TEST_DATA!E7596</f>
        <v/>
      </c>
    </row>
    <row r="7597">
      <c r="A7597">
        <f>TEST_DATA!A7597</f>
        <v/>
      </c>
      <c r="B7597">
        <f>TEST_DATA!B7597</f>
        <v/>
      </c>
      <c r="C7597">
        <f>TEST_DATA!C7597</f>
        <v/>
      </c>
      <c r="D7597">
        <f>TEST_DATA!D7597</f>
        <v/>
      </c>
      <c r="E7597">
        <f>TEST_DATA!E7597</f>
        <v/>
      </c>
    </row>
    <row r="7598">
      <c r="A7598">
        <f>TEST_DATA!A7598</f>
        <v/>
      </c>
      <c r="B7598">
        <f>TEST_DATA!B7598</f>
        <v/>
      </c>
      <c r="C7598">
        <f>TEST_DATA!C7598</f>
        <v/>
      </c>
      <c r="D7598">
        <f>TEST_DATA!D7598</f>
        <v/>
      </c>
      <c r="E7598">
        <f>TEST_DATA!E7598</f>
        <v/>
      </c>
    </row>
    <row r="7599">
      <c r="A7599">
        <f>TEST_DATA!A7599</f>
        <v/>
      </c>
      <c r="B7599">
        <f>TEST_DATA!B7599</f>
        <v/>
      </c>
      <c r="C7599">
        <f>TEST_DATA!C7599</f>
        <v/>
      </c>
      <c r="D7599">
        <f>TEST_DATA!D7599</f>
        <v/>
      </c>
      <c r="E7599">
        <f>TEST_DATA!E7599</f>
        <v/>
      </c>
    </row>
    <row r="7600">
      <c r="A7600">
        <f>TEST_DATA!A7600</f>
        <v/>
      </c>
      <c r="B7600">
        <f>TEST_DATA!B7600</f>
        <v/>
      </c>
      <c r="C7600">
        <f>TEST_DATA!C7600</f>
        <v/>
      </c>
      <c r="D7600">
        <f>TEST_DATA!D7600</f>
        <v/>
      </c>
      <c r="E7600">
        <f>TEST_DATA!E7600</f>
        <v/>
      </c>
    </row>
    <row r="7601">
      <c r="A7601">
        <f>TEST_DATA!A7601</f>
        <v/>
      </c>
      <c r="B7601">
        <f>TEST_DATA!B7601</f>
        <v/>
      </c>
      <c r="C7601">
        <f>TEST_DATA!C7601</f>
        <v/>
      </c>
      <c r="D7601">
        <f>TEST_DATA!D7601</f>
        <v/>
      </c>
      <c r="E7601">
        <f>TEST_DATA!E7601</f>
        <v/>
      </c>
    </row>
    <row r="7602">
      <c r="A7602">
        <f>TEST_DATA!A7602</f>
        <v/>
      </c>
      <c r="B7602">
        <f>TEST_DATA!B7602</f>
        <v/>
      </c>
      <c r="C7602">
        <f>TEST_DATA!C7602</f>
        <v/>
      </c>
      <c r="D7602">
        <f>TEST_DATA!D7602</f>
        <v/>
      </c>
      <c r="E7602">
        <f>TEST_DATA!E7602</f>
        <v/>
      </c>
    </row>
    <row r="7603">
      <c r="A7603">
        <f>TEST_DATA!A7603</f>
        <v/>
      </c>
      <c r="B7603">
        <f>TEST_DATA!B7603</f>
        <v/>
      </c>
      <c r="C7603">
        <f>TEST_DATA!C7603</f>
        <v/>
      </c>
      <c r="D7603">
        <f>TEST_DATA!D7603</f>
        <v/>
      </c>
      <c r="E7603">
        <f>TEST_DATA!E7603</f>
        <v/>
      </c>
    </row>
    <row r="7604">
      <c r="A7604">
        <f>TEST_DATA!A7604</f>
        <v/>
      </c>
      <c r="B7604">
        <f>TEST_DATA!B7604</f>
        <v/>
      </c>
      <c r="C7604">
        <f>TEST_DATA!C7604</f>
        <v/>
      </c>
      <c r="D7604">
        <f>TEST_DATA!D7604</f>
        <v/>
      </c>
      <c r="E7604">
        <f>TEST_DATA!E7604</f>
        <v/>
      </c>
    </row>
    <row r="7605">
      <c r="A7605">
        <f>TEST_DATA!A7605</f>
        <v/>
      </c>
      <c r="B7605">
        <f>TEST_DATA!B7605</f>
        <v/>
      </c>
      <c r="C7605">
        <f>TEST_DATA!C7605</f>
        <v/>
      </c>
      <c r="D7605">
        <f>TEST_DATA!D7605</f>
        <v/>
      </c>
      <c r="E7605">
        <f>TEST_DATA!E7605</f>
        <v/>
      </c>
    </row>
    <row r="7606">
      <c r="A7606">
        <f>TEST_DATA!A7606</f>
        <v/>
      </c>
      <c r="B7606">
        <f>TEST_DATA!B7606</f>
        <v/>
      </c>
      <c r="C7606">
        <f>TEST_DATA!C7606</f>
        <v/>
      </c>
      <c r="D7606">
        <f>TEST_DATA!D7606</f>
        <v/>
      </c>
      <c r="E7606">
        <f>TEST_DATA!E7606</f>
        <v/>
      </c>
    </row>
    <row r="7607">
      <c r="A7607">
        <f>TEST_DATA!A7607</f>
        <v/>
      </c>
      <c r="B7607">
        <f>TEST_DATA!B7607</f>
        <v/>
      </c>
      <c r="C7607">
        <f>TEST_DATA!C7607</f>
        <v/>
      </c>
      <c r="D7607">
        <f>TEST_DATA!D7607</f>
        <v/>
      </c>
      <c r="E7607">
        <f>TEST_DATA!E7607</f>
        <v/>
      </c>
    </row>
    <row r="7608">
      <c r="A7608">
        <f>TEST_DATA!A7608</f>
        <v/>
      </c>
      <c r="B7608">
        <f>TEST_DATA!B7608</f>
        <v/>
      </c>
      <c r="C7608">
        <f>TEST_DATA!C7608</f>
        <v/>
      </c>
      <c r="D7608">
        <f>TEST_DATA!D7608</f>
        <v/>
      </c>
      <c r="E7608">
        <f>TEST_DATA!E7608</f>
        <v/>
      </c>
    </row>
    <row r="7609">
      <c r="A7609">
        <f>TEST_DATA!A7609</f>
        <v/>
      </c>
      <c r="B7609">
        <f>TEST_DATA!B7609</f>
        <v/>
      </c>
      <c r="C7609">
        <f>TEST_DATA!C7609</f>
        <v/>
      </c>
      <c r="D7609">
        <f>TEST_DATA!D7609</f>
        <v/>
      </c>
      <c r="E7609">
        <f>TEST_DATA!E7609</f>
        <v/>
      </c>
    </row>
    <row r="7610">
      <c r="A7610">
        <f>TEST_DATA!A7610</f>
        <v/>
      </c>
      <c r="B7610">
        <f>TEST_DATA!B7610</f>
        <v/>
      </c>
      <c r="C7610">
        <f>TEST_DATA!C7610</f>
        <v/>
      </c>
      <c r="D7610">
        <f>TEST_DATA!D7610</f>
        <v/>
      </c>
      <c r="E7610">
        <f>TEST_DATA!E7610</f>
        <v/>
      </c>
    </row>
    <row r="7611">
      <c r="A7611">
        <f>TEST_DATA!A7611</f>
        <v/>
      </c>
      <c r="B7611">
        <f>TEST_DATA!B7611</f>
        <v/>
      </c>
      <c r="C7611">
        <f>TEST_DATA!C7611</f>
        <v/>
      </c>
      <c r="D7611">
        <f>TEST_DATA!D7611</f>
        <v/>
      </c>
      <c r="E7611">
        <f>TEST_DATA!E7611</f>
        <v/>
      </c>
    </row>
    <row r="7612">
      <c r="A7612">
        <f>TEST_DATA!A7612</f>
        <v/>
      </c>
      <c r="B7612">
        <f>TEST_DATA!B7612</f>
        <v/>
      </c>
      <c r="C7612">
        <f>TEST_DATA!C7612</f>
        <v/>
      </c>
      <c r="D7612">
        <f>TEST_DATA!D7612</f>
        <v/>
      </c>
      <c r="E7612">
        <f>TEST_DATA!E7612</f>
        <v/>
      </c>
    </row>
    <row r="7613">
      <c r="A7613">
        <f>TEST_DATA!A7613</f>
        <v/>
      </c>
      <c r="B7613">
        <f>TEST_DATA!B7613</f>
        <v/>
      </c>
      <c r="C7613">
        <f>TEST_DATA!C7613</f>
        <v/>
      </c>
      <c r="D7613">
        <f>TEST_DATA!D7613</f>
        <v/>
      </c>
      <c r="E7613">
        <f>TEST_DATA!E7613</f>
        <v/>
      </c>
    </row>
    <row r="7614">
      <c r="A7614">
        <f>TEST_DATA!A7614</f>
        <v/>
      </c>
      <c r="B7614">
        <f>TEST_DATA!B7614</f>
        <v/>
      </c>
      <c r="C7614">
        <f>TEST_DATA!C7614</f>
        <v/>
      </c>
      <c r="D7614">
        <f>TEST_DATA!D7614</f>
        <v/>
      </c>
      <c r="E7614">
        <f>TEST_DATA!E7614</f>
        <v/>
      </c>
    </row>
    <row r="7615">
      <c r="A7615">
        <f>TEST_DATA!A7615</f>
        <v/>
      </c>
      <c r="B7615">
        <f>TEST_DATA!B7615</f>
        <v/>
      </c>
      <c r="C7615">
        <f>TEST_DATA!C7615</f>
        <v/>
      </c>
      <c r="D7615">
        <f>TEST_DATA!D7615</f>
        <v/>
      </c>
      <c r="E7615">
        <f>TEST_DATA!E7615</f>
        <v/>
      </c>
    </row>
    <row r="7616">
      <c r="A7616">
        <f>TEST_DATA!A7616</f>
        <v/>
      </c>
      <c r="B7616">
        <f>TEST_DATA!B7616</f>
        <v/>
      </c>
      <c r="C7616">
        <f>TEST_DATA!C7616</f>
        <v/>
      </c>
      <c r="D7616">
        <f>TEST_DATA!D7616</f>
        <v/>
      </c>
      <c r="E7616">
        <f>TEST_DATA!E7616</f>
        <v/>
      </c>
    </row>
    <row r="7617">
      <c r="A7617">
        <f>TEST_DATA!A7617</f>
        <v/>
      </c>
      <c r="B7617">
        <f>TEST_DATA!B7617</f>
        <v/>
      </c>
      <c r="C7617">
        <f>TEST_DATA!C7617</f>
        <v/>
      </c>
      <c r="D7617">
        <f>TEST_DATA!D7617</f>
        <v/>
      </c>
      <c r="E7617">
        <f>TEST_DATA!E7617</f>
        <v/>
      </c>
    </row>
    <row r="7618">
      <c r="A7618">
        <f>TEST_DATA!A7618</f>
        <v/>
      </c>
      <c r="B7618">
        <f>TEST_DATA!B7618</f>
        <v/>
      </c>
      <c r="C7618">
        <f>TEST_DATA!C7618</f>
        <v/>
      </c>
      <c r="D7618">
        <f>TEST_DATA!D7618</f>
        <v/>
      </c>
      <c r="E7618">
        <f>TEST_DATA!E7618</f>
        <v/>
      </c>
    </row>
    <row r="7619">
      <c r="A7619">
        <f>TEST_DATA!A7619</f>
        <v/>
      </c>
      <c r="B7619">
        <f>TEST_DATA!B7619</f>
        <v/>
      </c>
      <c r="C7619">
        <f>TEST_DATA!C7619</f>
        <v/>
      </c>
      <c r="D7619">
        <f>TEST_DATA!D7619</f>
        <v/>
      </c>
      <c r="E7619">
        <f>TEST_DATA!E7619</f>
        <v/>
      </c>
    </row>
    <row r="7620">
      <c r="A7620">
        <f>TEST_DATA!A7620</f>
        <v/>
      </c>
      <c r="B7620">
        <f>TEST_DATA!B7620</f>
        <v/>
      </c>
      <c r="C7620">
        <f>TEST_DATA!C7620</f>
        <v/>
      </c>
      <c r="D7620">
        <f>TEST_DATA!D7620</f>
        <v/>
      </c>
      <c r="E7620">
        <f>TEST_DATA!E7620</f>
        <v/>
      </c>
    </row>
    <row r="7621">
      <c r="A7621">
        <f>TEST_DATA!A7621</f>
        <v/>
      </c>
      <c r="B7621">
        <f>TEST_DATA!B7621</f>
        <v/>
      </c>
      <c r="C7621">
        <f>TEST_DATA!C7621</f>
        <v/>
      </c>
      <c r="D7621">
        <f>TEST_DATA!D7621</f>
        <v/>
      </c>
      <c r="E7621">
        <f>TEST_DATA!E7621</f>
        <v/>
      </c>
    </row>
    <row r="7622">
      <c r="A7622">
        <f>TEST_DATA!A7622</f>
        <v/>
      </c>
      <c r="B7622">
        <f>TEST_DATA!B7622</f>
        <v/>
      </c>
      <c r="C7622">
        <f>TEST_DATA!C7622</f>
        <v/>
      </c>
      <c r="D7622">
        <f>TEST_DATA!D7622</f>
        <v/>
      </c>
      <c r="E7622">
        <f>TEST_DATA!E7622</f>
        <v/>
      </c>
    </row>
    <row r="7623">
      <c r="A7623">
        <f>TEST_DATA!A7623</f>
        <v/>
      </c>
      <c r="B7623">
        <f>TEST_DATA!B7623</f>
        <v/>
      </c>
      <c r="C7623">
        <f>TEST_DATA!C7623</f>
        <v/>
      </c>
      <c r="D7623">
        <f>TEST_DATA!D7623</f>
        <v/>
      </c>
      <c r="E7623">
        <f>TEST_DATA!E7623</f>
        <v/>
      </c>
    </row>
    <row r="7624">
      <c r="A7624">
        <f>TEST_DATA!A7624</f>
        <v/>
      </c>
      <c r="B7624">
        <f>TEST_DATA!B7624</f>
        <v/>
      </c>
      <c r="C7624">
        <f>TEST_DATA!C7624</f>
        <v/>
      </c>
      <c r="D7624">
        <f>TEST_DATA!D7624</f>
        <v/>
      </c>
      <c r="E7624">
        <f>TEST_DATA!E7624</f>
        <v/>
      </c>
    </row>
    <row r="7625">
      <c r="A7625">
        <f>TEST_DATA!A7625</f>
        <v/>
      </c>
      <c r="B7625">
        <f>TEST_DATA!B7625</f>
        <v/>
      </c>
      <c r="C7625">
        <f>TEST_DATA!C7625</f>
        <v/>
      </c>
      <c r="D7625">
        <f>TEST_DATA!D7625</f>
        <v/>
      </c>
      <c r="E7625">
        <f>TEST_DATA!E7625</f>
        <v/>
      </c>
    </row>
    <row r="7626">
      <c r="A7626">
        <f>TEST_DATA!A7626</f>
        <v/>
      </c>
      <c r="B7626">
        <f>TEST_DATA!B7626</f>
        <v/>
      </c>
      <c r="C7626">
        <f>TEST_DATA!C7626</f>
        <v/>
      </c>
      <c r="D7626">
        <f>TEST_DATA!D7626</f>
        <v/>
      </c>
      <c r="E7626">
        <f>TEST_DATA!E7626</f>
        <v/>
      </c>
    </row>
    <row r="7627">
      <c r="A7627">
        <f>TEST_DATA!A7627</f>
        <v/>
      </c>
      <c r="B7627">
        <f>TEST_DATA!B7627</f>
        <v/>
      </c>
      <c r="C7627">
        <f>TEST_DATA!C7627</f>
        <v/>
      </c>
      <c r="D7627">
        <f>TEST_DATA!D7627</f>
        <v/>
      </c>
      <c r="E7627">
        <f>TEST_DATA!E7627</f>
        <v/>
      </c>
    </row>
    <row r="7628">
      <c r="A7628">
        <f>TEST_DATA!A7628</f>
        <v/>
      </c>
      <c r="B7628">
        <f>TEST_DATA!B7628</f>
        <v/>
      </c>
      <c r="C7628">
        <f>TEST_DATA!C7628</f>
        <v/>
      </c>
      <c r="D7628">
        <f>TEST_DATA!D7628</f>
        <v/>
      </c>
      <c r="E7628">
        <f>TEST_DATA!E7628</f>
        <v/>
      </c>
    </row>
    <row r="7629">
      <c r="A7629">
        <f>TEST_DATA!A7629</f>
        <v/>
      </c>
      <c r="B7629">
        <f>TEST_DATA!B7629</f>
        <v/>
      </c>
      <c r="C7629">
        <f>TEST_DATA!C7629</f>
        <v/>
      </c>
      <c r="D7629">
        <f>TEST_DATA!D7629</f>
        <v/>
      </c>
      <c r="E7629">
        <f>TEST_DATA!E7629</f>
        <v/>
      </c>
    </row>
    <row r="7630">
      <c r="A7630">
        <f>TEST_DATA!A7630</f>
        <v/>
      </c>
      <c r="B7630">
        <f>TEST_DATA!B7630</f>
        <v/>
      </c>
      <c r="C7630">
        <f>TEST_DATA!C7630</f>
        <v/>
      </c>
      <c r="D7630">
        <f>TEST_DATA!D7630</f>
        <v/>
      </c>
      <c r="E7630">
        <f>TEST_DATA!E7630</f>
        <v/>
      </c>
    </row>
    <row r="7631">
      <c r="A7631">
        <f>TEST_DATA!A7631</f>
        <v/>
      </c>
      <c r="B7631">
        <f>TEST_DATA!B7631</f>
        <v/>
      </c>
      <c r="C7631">
        <f>TEST_DATA!C7631</f>
        <v/>
      </c>
      <c r="D7631">
        <f>TEST_DATA!D7631</f>
        <v/>
      </c>
      <c r="E7631">
        <f>TEST_DATA!E7631</f>
        <v/>
      </c>
    </row>
    <row r="7632">
      <c r="A7632">
        <f>TEST_DATA!A7632</f>
        <v/>
      </c>
      <c r="B7632">
        <f>TEST_DATA!B7632</f>
        <v/>
      </c>
      <c r="C7632">
        <f>TEST_DATA!C7632</f>
        <v/>
      </c>
      <c r="D7632">
        <f>TEST_DATA!D7632</f>
        <v/>
      </c>
      <c r="E7632">
        <f>TEST_DATA!E7632</f>
        <v/>
      </c>
    </row>
    <row r="7633">
      <c r="A7633">
        <f>TEST_DATA!A7633</f>
        <v/>
      </c>
      <c r="B7633">
        <f>TEST_DATA!B7633</f>
        <v/>
      </c>
      <c r="C7633">
        <f>TEST_DATA!C7633</f>
        <v/>
      </c>
      <c r="D7633">
        <f>TEST_DATA!D7633</f>
        <v/>
      </c>
      <c r="E7633">
        <f>TEST_DATA!E7633</f>
        <v/>
      </c>
    </row>
    <row r="7634">
      <c r="A7634">
        <f>TEST_DATA!A7634</f>
        <v/>
      </c>
      <c r="B7634">
        <f>TEST_DATA!B7634</f>
        <v/>
      </c>
      <c r="C7634">
        <f>TEST_DATA!C7634</f>
        <v/>
      </c>
      <c r="D7634">
        <f>TEST_DATA!D7634</f>
        <v/>
      </c>
      <c r="E7634">
        <f>TEST_DATA!E7634</f>
        <v/>
      </c>
    </row>
    <row r="7635">
      <c r="A7635">
        <f>TEST_DATA!A7635</f>
        <v/>
      </c>
      <c r="B7635">
        <f>TEST_DATA!B7635</f>
        <v/>
      </c>
      <c r="C7635">
        <f>TEST_DATA!C7635</f>
        <v/>
      </c>
      <c r="D7635">
        <f>TEST_DATA!D7635</f>
        <v/>
      </c>
      <c r="E7635">
        <f>TEST_DATA!E7635</f>
        <v/>
      </c>
    </row>
    <row r="7636">
      <c r="A7636">
        <f>TEST_DATA!A7636</f>
        <v/>
      </c>
      <c r="B7636">
        <f>TEST_DATA!B7636</f>
        <v/>
      </c>
      <c r="C7636">
        <f>TEST_DATA!C7636</f>
        <v/>
      </c>
      <c r="D7636">
        <f>TEST_DATA!D7636</f>
        <v/>
      </c>
      <c r="E7636">
        <f>TEST_DATA!E7636</f>
        <v/>
      </c>
    </row>
    <row r="7637">
      <c r="A7637">
        <f>TEST_DATA!A7637</f>
        <v/>
      </c>
      <c r="B7637">
        <f>TEST_DATA!B7637</f>
        <v/>
      </c>
      <c r="C7637">
        <f>TEST_DATA!C7637</f>
        <v/>
      </c>
      <c r="D7637">
        <f>TEST_DATA!D7637</f>
        <v/>
      </c>
      <c r="E7637">
        <f>TEST_DATA!E7637</f>
        <v/>
      </c>
    </row>
    <row r="7638">
      <c r="A7638">
        <f>TEST_DATA!A7638</f>
        <v/>
      </c>
      <c r="B7638">
        <f>TEST_DATA!B7638</f>
        <v/>
      </c>
      <c r="C7638">
        <f>TEST_DATA!C7638</f>
        <v/>
      </c>
      <c r="D7638">
        <f>TEST_DATA!D7638</f>
        <v/>
      </c>
      <c r="E7638">
        <f>TEST_DATA!E7638</f>
        <v/>
      </c>
    </row>
    <row r="7639">
      <c r="A7639">
        <f>TEST_DATA!A7639</f>
        <v/>
      </c>
      <c r="B7639">
        <f>TEST_DATA!B7639</f>
        <v/>
      </c>
      <c r="C7639">
        <f>TEST_DATA!C7639</f>
        <v/>
      </c>
      <c r="D7639">
        <f>TEST_DATA!D7639</f>
        <v/>
      </c>
      <c r="E7639">
        <f>TEST_DATA!E7639</f>
        <v/>
      </c>
    </row>
    <row r="7640">
      <c r="A7640">
        <f>TEST_DATA!A7640</f>
        <v/>
      </c>
      <c r="B7640">
        <f>TEST_DATA!B7640</f>
        <v/>
      </c>
      <c r="C7640">
        <f>TEST_DATA!C7640</f>
        <v/>
      </c>
      <c r="D7640">
        <f>TEST_DATA!D7640</f>
        <v/>
      </c>
      <c r="E7640">
        <f>TEST_DATA!E7640</f>
        <v/>
      </c>
    </row>
    <row r="7641">
      <c r="A7641">
        <f>TEST_DATA!A7641</f>
        <v/>
      </c>
      <c r="B7641">
        <f>TEST_DATA!B7641</f>
        <v/>
      </c>
      <c r="C7641">
        <f>TEST_DATA!C7641</f>
        <v/>
      </c>
      <c r="D7641">
        <f>TEST_DATA!D7641</f>
        <v/>
      </c>
      <c r="E7641">
        <f>TEST_DATA!E7641</f>
        <v/>
      </c>
    </row>
    <row r="7642">
      <c r="A7642">
        <f>TEST_DATA!A7642</f>
        <v/>
      </c>
      <c r="B7642">
        <f>TEST_DATA!B7642</f>
        <v/>
      </c>
      <c r="C7642">
        <f>TEST_DATA!C7642</f>
        <v/>
      </c>
      <c r="D7642">
        <f>TEST_DATA!D7642</f>
        <v/>
      </c>
      <c r="E7642">
        <f>TEST_DATA!E7642</f>
        <v/>
      </c>
    </row>
    <row r="7643">
      <c r="A7643">
        <f>TEST_DATA!A7643</f>
        <v/>
      </c>
      <c r="B7643">
        <f>TEST_DATA!B7643</f>
        <v/>
      </c>
      <c r="C7643">
        <f>TEST_DATA!C7643</f>
        <v/>
      </c>
      <c r="D7643">
        <f>TEST_DATA!D7643</f>
        <v/>
      </c>
      <c r="E7643">
        <f>TEST_DATA!E7643</f>
        <v/>
      </c>
    </row>
    <row r="7644">
      <c r="A7644">
        <f>TEST_DATA!A7644</f>
        <v/>
      </c>
      <c r="B7644">
        <f>TEST_DATA!B7644</f>
        <v/>
      </c>
      <c r="C7644">
        <f>TEST_DATA!C7644</f>
        <v/>
      </c>
      <c r="D7644">
        <f>TEST_DATA!D7644</f>
        <v/>
      </c>
      <c r="E7644">
        <f>TEST_DATA!E7644</f>
        <v/>
      </c>
    </row>
    <row r="7645">
      <c r="A7645">
        <f>TEST_DATA!A7645</f>
        <v/>
      </c>
      <c r="B7645">
        <f>TEST_DATA!B7645</f>
        <v/>
      </c>
      <c r="C7645">
        <f>TEST_DATA!C7645</f>
        <v/>
      </c>
      <c r="D7645">
        <f>TEST_DATA!D7645</f>
        <v/>
      </c>
      <c r="E7645">
        <f>TEST_DATA!E7645</f>
        <v/>
      </c>
    </row>
    <row r="7646">
      <c r="A7646">
        <f>TEST_DATA!A7646</f>
        <v/>
      </c>
      <c r="B7646">
        <f>TEST_DATA!B7646</f>
        <v/>
      </c>
      <c r="C7646">
        <f>TEST_DATA!C7646</f>
        <v/>
      </c>
      <c r="D7646">
        <f>TEST_DATA!D7646</f>
        <v/>
      </c>
      <c r="E7646">
        <f>TEST_DATA!E7646</f>
        <v/>
      </c>
    </row>
    <row r="7647">
      <c r="A7647">
        <f>TEST_DATA!A7647</f>
        <v/>
      </c>
      <c r="B7647">
        <f>TEST_DATA!B7647</f>
        <v/>
      </c>
      <c r="C7647">
        <f>TEST_DATA!C7647</f>
        <v/>
      </c>
      <c r="D7647">
        <f>TEST_DATA!D7647</f>
        <v/>
      </c>
      <c r="E7647">
        <f>TEST_DATA!E7647</f>
        <v/>
      </c>
    </row>
    <row r="7648">
      <c r="A7648">
        <f>TEST_DATA!A7648</f>
        <v/>
      </c>
      <c r="B7648">
        <f>TEST_DATA!B7648</f>
        <v/>
      </c>
      <c r="C7648">
        <f>TEST_DATA!C7648</f>
        <v/>
      </c>
      <c r="D7648">
        <f>TEST_DATA!D7648</f>
        <v/>
      </c>
      <c r="E7648">
        <f>TEST_DATA!E7648</f>
        <v/>
      </c>
    </row>
    <row r="7649">
      <c r="A7649">
        <f>TEST_DATA!A7649</f>
        <v/>
      </c>
      <c r="B7649">
        <f>TEST_DATA!B7649</f>
        <v/>
      </c>
      <c r="C7649">
        <f>TEST_DATA!C7649</f>
        <v/>
      </c>
      <c r="D7649">
        <f>TEST_DATA!D7649</f>
        <v/>
      </c>
      <c r="E7649">
        <f>TEST_DATA!E7649</f>
        <v/>
      </c>
    </row>
    <row r="7650">
      <c r="A7650">
        <f>TEST_DATA!A7650</f>
        <v/>
      </c>
      <c r="B7650">
        <f>TEST_DATA!B7650</f>
        <v/>
      </c>
      <c r="C7650">
        <f>TEST_DATA!C7650</f>
        <v/>
      </c>
      <c r="D7650">
        <f>TEST_DATA!D7650</f>
        <v/>
      </c>
      <c r="E7650">
        <f>TEST_DATA!E7650</f>
        <v/>
      </c>
    </row>
    <row r="7651">
      <c r="A7651">
        <f>TEST_DATA!A7651</f>
        <v/>
      </c>
      <c r="B7651">
        <f>TEST_DATA!B7651</f>
        <v/>
      </c>
      <c r="C7651">
        <f>TEST_DATA!C7651</f>
        <v/>
      </c>
      <c r="D7651">
        <f>TEST_DATA!D7651</f>
        <v/>
      </c>
      <c r="E7651">
        <f>TEST_DATA!E7651</f>
        <v/>
      </c>
    </row>
    <row r="7652">
      <c r="A7652">
        <f>TEST_DATA!A7652</f>
        <v/>
      </c>
      <c r="B7652">
        <f>TEST_DATA!B7652</f>
        <v/>
      </c>
      <c r="C7652">
        <f>TEST_DATA!C7652</f>
        <v/>
      </c>
      <c r="D7652">
        <f>TEST_DATA!D7652</f>
        <v/>
      </c>
      <c r="E7652">
        <f>TEST_DATA!E7652</f>
        <v/>
      </c>
    </row>
    <row r="7653">
      <c r="A7653">
        <f>TEST_DATA!A7653</f>
        <v/>
      </c>
      <c r="B7653">
        <f>TEST_DATA!B7653</f>
        <v/>
      </c>
      <c r="C7653">
        <f>TEST_DATA!C7653</f>
        <v/>
      </c>
      <c r="D7653">
        <f>TEST_DATA!D7653</f>
        <v/>
      </c>
      <c r="E7653">
        <f>TEST_DATA!E7653</f>
        <v/>
      </c>
    </row>
    <row r="7654">
      <c r="A7654">
        <f>TEST_DATA!A7654</f>
        <v/>
      </c>
      <c r="B7654">
        <f>TEST_DATA!B7654</f>
        <v/>
      </c>
      <c r="C7654">
        <f>TEST_DATA!C7654</f>
        <v/>
      </c>
      <c r="D7654">
        <f>TEST_DATA!D7654</f>
        <v/>
      </c>
      <c r="E7654">
        <f>TEST_DATA!E7654</f>
        <v/>
      </c>
    </row>
    <row r="7655">
      <c r="A7655">
        <f>TEST_DATA!A7655</f>
        <v/>
      </c>
      <c r="B7655">
        <f>TEST_DATA!B7655</f>
        <v/>
      </c>
      <c r="C7655">
        <f>TEST_DATA!C7655</f>
        <v/>
      </c>
      <c r="D7655">
        <f>TEST_DATA!D7655</f>
        <v/>
      </c>
      <c r="E7655">
        <f>TEST_DATA!E7655</f>
        <v/>
      </c>
    </row>
    <row r="7656">
      <c r="A7656">
        <f>TEST_DATA!A7656</f>
        <v/>
      </c>
      <c r="B7656">
        <f>TEST_DATA!B7656</f>
        <v/>
      </c>
      <c r="C7656">
        <f>TEST_DATA!C7656</f>
        <v/>
      </c>
      <c r="D7656">
        <f>TEST_DATA!D7656</f>
        <v/>
      </c>
      <c r="E7656">
        <f>TEST_DATA!E7656</f>
        <v/>
      </c>
    </row>
    <row r="7657">
      <c r="A7657">
        <f>TEST_DATA!A7657</f>
        <v/>
      </c>
      <c r="B7657">
        <f>TEST_DATA!B7657</f>
        <v/>
      </c>
      <c r="C7657">
        <f>TEST_DATA!C7657</f>
        <v/>
      </c>
      <c r="D7657">
        <f>TEST_DATA!D7657</f>
        <v/>
      </c>
      <c r="E7657">
        <f>TEST_DATA!E7657</f>
        <v/>
      </c>
    </row>
    <row r="7658">
      <c r="A7658">
        <f>TEST_DATA!A7658</f>
        <v/>
      </c>
      <c r="B7658">
        <f>TEST_DATA!B7658</f>
        <v/>
      </c>
      <c r="C7658">
        <f>TEST_DATA!C7658</f>
        <v/>
      </c>
      <c r="D7658">
        <f>TEST_DATA!D7658</f>
        <v/>
      </c>
      <c r="E7658">
        <f>TEST_DATA!E7658</f>
        <v/>
      </c>
    </row>
    <row r="7659">
      <c r="A7659">
        <f>TEST_DATA!A7659</f>
        <v/>
      </c>
      <c r="B7659">
        <f>TEST_DATA!B7659</f>
        <v/>
      </c>
      <c r="C7659">
        <f>TEST_DATA!C7659</f>
        <v/>
      </c>
      <c r="D7659">
        <f>TEST_DATA!D7659</f>
        <v/>
      </c>
      <c r="E7659">
        <f>TEST_DATA!E7659</f>
        <v/>
      </c>
    </row>
    <row r="7660">
      <c r="A7660">
        <f>TEST_DATA!A7660</f>
        <v/>
      </c>
      <c r="B7660">
        <f>TEST_DATA!B7660</f>
        <v/>
      </c>
      <c r="C7660">
        <f>TEST_DATA!C7660</f>
        <v/>
      </c>
      <c r="D7660">
        <f>TEST_DATA!D7660</f>
        <v/>
      </c>
      <c r="E7660">
        <f>TEST_DATA!E7660</f>
        <v/>
      </c>
    </row>
    <row r="7661">
      <c r="A7661">
        <f>TEST_DATA!A7661</f>
        <v/>
      </c>
      <c r="B7661">
        <f>TEST_DATA!B7661</f>
        <v/>
      </c>
      <c r="C7661">
        <f>TEST_DATA!C7661</f>
        <v/>
      </c>
      <c r="D7661">
        <f>TEST_DATA!D7661</f>
        <v/>
      </c>
      <c r="E7661">
        <f>TEST_DATA!E7661</f>
        <v/>
      </c>
    </row>
    <row r="7662">
      <c r="A7662">
        <f>TEST_DATA!A7662</f>
        <v/>
      </c>
      <c r="B7662">
        <f>TEST_DATA!B7662</f>
        <v/>
      </c>
      <c r="C7662">
        <f>TEST_DATA!C7662</f>
        <v/>
      </c>
      <c r="D7662">
        <f>TEST_DATA!D7662</f>
        <v/>
      </c>
      <c r="E7662">
        <f>TEST_DATA!E7662</f>
        <v/>
      </c>
    </row>
    <row r="7663">
      <c r="A7663">
        <f>TEST_DATA!A7663</f>
        <v/>
      </c>
      <c r="B7663">
        <f>TEST_DATA!B7663</f>
        <v/>
      </c>
      <c r="C7663">
        <f>TEST_DATA!C7663</f>
        <v/>
      </c>
      <c r="D7663">
        <f>TEST_DATA!D7663</f>
        <v/>
      </c>
      <c r="E7663">
        <f>TEST_DATA!E7663</f>
        <v/>
      </c>
    </row>
    <row r="7664">
      <c r="A7664">
        <f>TEST_DATA!A7664</f>
        <v/>
      </c>
      <c r="B7664">
        <f>TEST_DATA!B7664</f>
        <v/>
      </c>
      <c r="C7664">
        <f>TEST_DATA!C7664</f>
        <v/>
      </c>
      <c r="D7664">
        <f>TEST_DATA!D7664</f>
        <v/>
      </c>
      <c r="E7664">
        <f>TEST_DATA!E7664</f>
        <v/>
      </c>
    </row>
    <row r="7665">
      <c r="A7665">
        <f>TEST_DATA!A7665</f>
        <v/>
      </c>
      <c r="B7665">
        <f>TEST_DATA!B7665</f>
        <v/>
      </c>
      <c r="C7665">
        <f>TEST_DATA!C7665</f>
        <v/>
      </c>
      <c r="D7665">
        <f>TEST_DATA!D7665</f>
        <v/>
      </c>
      <c r="E7665">
        <f>TEST_DATA!E7665</f>
        <v/>
      </c>
    </row>
    <row r="7666">
      <c r="A7666">
        <f>TEST_DATA!A7666</f>
        <v/>
      </c>
      <c r="B7666">
        <f>TEST_DATA!B7666</f>
        <v/>
      </c>
      <c r="C7666">
        <f>TEST_DATA!C7666</f>
        <v/>
      </c>
      <c r="D7666">
        <f>TEST_DATA!D7666</f>
        <v/>
      </c>
      <c r="E7666">
        <f>TEST_DATA!E7666</f>
        <v/>
      </c>
    </row>
    <row r="7667">
      <c r="A7667">
        <f>TEST_DATA!A7667</f>
        <v/>
      </c>
      <c r="B7667">
        <f>TEST_DATA!B7667</f>
        <v/>
      </c>
      <c r="C7667">
        <f>TEST_DATA!C7667</f>
        <v/>
      </c>
      <c r="D7667">
        <f>TEST_DATA!D7667</f>
        <v/>
      </c>
      <c r="E7667">
        <f>TEST_DATA!E7667</f>
        <v/>
      </c>
    </row>
    <row r="7668">
      <c r="A7668">
        <f>TEST_DATA!A7668</f>
        <v/>
      </c>
      <c r="B7668">
        <f>TEST_DATA!B7668</f>
        <v/>
      </c>
      <c r="C7668">
        <f>TEST_DATA!C7668</f>
        <v/>
      </c>
      <c r="D7668">
        <f>TEST_DATA!D7668</f>
        <v/>
      </c>
      <c r="E7668">
        <f>TEST_DATA!E7668</f>
        <v/>
      </c>
    </row>
    <row r="7669">
      <c r="A7669">
        <f>TEST_DATA!A7669</f>
        <v/>
      </c>
      <c r="B7669">
        <f>TEST_DATA!B7669</f>
        <v/>
      </c>
      <c r="C7669">
        <f>TEST_DATA!C7669</f>
        <v/>
      </c>
      <c r="D7669">
        <f>TEST_DATA!D7669</f>
        <v/>
      </c>
      <c r="E7669">
        <f>TEST_DATA!E7669</f>
        <v/>
      </c>
    </row>
    <row r="7670">
      <c r="A7670">
        <f>TEST_DATA!A7670</f>
        <v/>
      </c>
      <c r="B7670">
        <f>TEST_DATA!B7670</f>
        <v/>
      </c>
      <c r="C7670">
        <f>TEST_DATA!C7670</f>
        <v/>
      </c>
      <c r="D7670">
        <f>TEST_DATA!D7670</f>
        <v/>
      </c>
      <c r="E7670">
        <f>TEST_DATA!E7670</f>
        <v/>
      </c>
    </row>
    <row r="7671">
      <c r="A7671">
        <f>TEST_DATA!A7671</f>
        <v/>
      </c>
      <c r="B7671">
        <f>TEST_DATA!B7671</f>
        <v/>
      </c>
      <c r="C7671">
        <f>TEST_DATA!C7671</f>
        <v/>
      </c>
      <c r="D7671">
        <f>TEST_DATA!D7671</f>
        <v/>
      </c>
      <c r="E7671">
        <f>TEST_DATA!E7671</f>
        <v/>
      </c>
    </row>
    <row r="7672">
      <c r="A7672">
        <f>TEST_DATA!A7672</f>
        <v/>
      </c>
      <c r="B7672">
        <f>TEST_DATA!B7672</f>
        <v/>
      </c>
      <c r="C7672">
        <f>TEST_DATA!C7672</f>
        <v/>
      </c>
      <c r="D7672">
        <f>TEST_DATA!D7672</f>
        <v/>
      </c>
      <c r="E7672">
        <f>TEST_DATA!E7672</f>
        <v/>
      </c>
    </row>
    <row r="7673">
      <c r="A7673">
        <f>TEST_DATA!A7673</f>
        <v/>
      </c>
      <c r="B7673">
        <f>TEST_DATA!B7673</f>
        <v/>
      </c>
      <c r="C7673">
        <f>TEST_DATA!C7673</f>
        <v/>
      </c>
      <c r="D7673">
        <f>TEST_DATA!D7673</f>
        <v/>
      </c>
      <c r="E7673">
        <f>TEST_DATA!E7673</f>
        <v/>
      </c>
    </row>
    <row r="7674">
      <c r="A7674">
        <f>TEST_DATA!A7674</f>
        <v/>
      </c>
      <c r="B7674">
        <f>TEST_DATA!B7674</f>
        <v/>
      </c>
      <c r="C7674">
        <f>TEST_DATA!C7674</f>
        <v/>
      </c>
      <c r="D7674">
        <f>TEST_DATA!D7674</f>
        <v/>
      </c>
      <c r="E7674">
        <f>TEST_DATA!E7674</f>
        <v/>
      </c>
    </row>
    <row r="7675">
      <c r="A7675">
        <f>TEST_DATA!A7675</f>
        <v/>
      </c>
      <c r="B7675">
        <f>TEST_DATA!B7675</f>
        <v/>
      </c>
      <c r="C7675">
        <f>TEST_DATA!C7675</f>
        <v/>
      </c>
      <c r="D7675">
        <f>TEST_DATA!D7675</f>
        <v/>
      </c>
      <c r="E7675">
        <f>TEST_DATA!E7675</f>
        <v/>
      </c>
    </row>
    <row r="7676">
      <c r="A7676">
        <f>TEST_DATA!A7676</f>
        <v/>
      </c>
      <c r="B7676">
        <f>TEST_DATA!B7676</f>
        <v/>
      </c>
      <c r="C7676">
        <f>TEST_DATA!C7676</f>
        <v/>
      </c>
      <c r="D7676">
        <f>TEST_DATA!D7676</f>
        <v/>
      </c>
      <c r="E7676">
        <f>TEST_DATA!E7676</f>
        <v/>
      </c>
    </row>
    <row r="7677">
      <c r="A7677">
        <f>TEST_DATA!A7677</f>
        <v/>
      </c>
      <c r="B7677">
        <f>TEST_DATA!B7677</f>
        <v/>
      </c>
      <c r="C7677">
        <f>TEST_DATA!C7677</f>
        <v/>
      </c>
      <c r="D7677">
        <f>TEST_DATA!D7677</f>
        <v/>
      </c>
      <c r="E7677">
        <f>TEST_DATA!E7677</f>
        <v/>
      </c>
    </row>
    <row r="7678">
      <c r="A7678">
        <f>TEST_DATA!A7678</f>
        <v/>
      </c>
      <c r="B7678">
        <f>TEST_DATA!B7678</f>
        <v/>
      </c>
      <c r="C7678">
        <f>TEST_DATA!C7678</f>
        <v/>
      </c>
      <c r="D7678">
        <f>TEST_DATA!D7678</f>
        <v/>
      </c>
      <c r="E7678">
        <f>TEST_DATA!E7678</f>
        <v/>
      </c>
    </row>
    <row r="7679">
      <c r="A7679">
        <f>TEST_DATA!A7679</f>
        <v/>
      </c>
      <c r="B7679">
        <f>TEST_DATA!B7679</f>
        <v/>
      </c>
      <c r="C7679">
        <f>TEST_DATA!C7679</f>
        <v/>
      </c>
      <c r="D7679">
        <f>TEST_DATA!D7679</f>
        <v/>
      </c>
      <c r="E7679">
        <f>TEST_DATA!E7679</f>
        <v/>
      </c>
    </row>
    <row r="7680">
      <c r="A7680">
        <f>TEST_DATA!A7680</f>
        <v/>
      </c>
      <c r="B7680">
        <f>TEST_DATA!B7680</f>
        <v/>
      </c>
      <c r="C7680">
        <f>TEST_DATA!C7680</f>
        <v/>
      </c>
      <c r="D7680">
        <f>TEST_DATA!D7680</f>
        <v/>
      </c>
      <c r="E7680">
        <f>TEST_DATA!E7680</f>
        <v/>
      </c>
    </row>
    <row r="7681">
      <c r="A7681">
        <f>TEST_DATA!A7681</f>
        <v/>
      </c>
      <c r="B7681">
        <f>TEST_DATA!B7681</f>
        <v/>
      </c>
      <c r="C7681">
        <f>TEST_DATA!C7681</f>
        <v/>
      </c>
      <c r="D7681">
        <f>TEST_DATA!D7681</f>
        <v/>
      </c>
      <c r="E7681">
        <f>TEST_DATA!E7681</f>
        <v/>
      </c>
    </row>
    <row r="7682">
      <c r="A7682">
        <f>TEST_DATA!A7682</f>
        <v/>
      </c>
      <c r="B7682">
        <f>TEST_DATA!B7682</f>
        <v/>
      </c>
      <c r="C7682">
        <f>TEST_DATA!C7682</f>
        <v/>
      </c>
      <c r="D7682">
        <f>TEST_DATA!D7682</f>
        <v/>
      </c>
      <c r="E7682">
        <f>TEST_DATA!E7682</f>
        <v/>
      </c>
    </row>
    <row r="7683">
      <c r="A7683">
        <f>TEST_DATA!A7683</f>
        <v/>
      </c>
      <c r="B7683">
        <f>TEST_DATA!B7683</f>
        <v/>
      </c>
      <c r="C7683">
        <f>TEST_DATA!C7683</f>
        <v/>
      </c>
      <c r="D7683">
        <f>TEST_DATA!D7683</f>
        <v/>
      </c>
      <c r="E7683">
        <f>TEST_DATA!E7683</f>
        <v/>
      </c>
    </row>
    <row r="7684">
      <c r="A7684">
        <f>TEST_DATA!A7684</f>
        <v/>
      </c>
      <c r="B7684">
        <f>TEST_DATA!B7684</f>
        <v/>
      </c>
      <c r="C7684">
        <f>TEST_DATA!C7684</f>
        <v/>
      </c>
      <c r="D7684">
        <f>TEST_DATA!D7684</f>
        <v/>
      </c>
      <c r="E7684">
        <f>TEST_DATA!E7684</f>
        <v/>
      </c>
    </row>
    <row r="7685">
      <c r="A7685">
        <f>TEST_DATA!A7685</f>
        <v/>
      </c>
      <c r="B7685">
        <f>TEST_DATA!B7685</f>
        <v/>
      </c>
      <c r="C7685">
        <f>TEST_DATA!C7685</f>
        <v/>
      </c>
      <c r="D7685">
        <f>TEST_DATA!D7685</f>
        <v/>
      </c>
      <c r="E7685">
        <f>TEST_DATA!E7685</f>
        <v/>
      </c>
    </row>
    <row r="7686">
      <c r="A7686">
        <f>TEST_DATA!A7686</f>
        <v/>
      </c>
      <c r="B7686">
        <f>TEST_DATA!B7686</f>
        <v/>
      </c>
      <c r="C7686">
        <f>TEST_DATA!C7686</f>
        <v/>
      </c>
      <c r="D7686">
        <f>TEST_DATA!D7686</f>
        <v/>
      </c>
      <c r="E7686">
        <f>TEST_DATA!E7686</f>
        <v/>
      </c>
    </row>
    <row r="7687">
      <c r="A7687">
        <f>TEST_DATA!A7687</f>
        <v/>
      </c>
      <c r="B7687">
        <f>TEST_DATA!B7687</f>
        <v/>
      </c>
      <c r="C7687">
        <f>TEST_DATA!C7687</f>
        <v/>
      </c>
      <c r="D7687">
        <f>TEST_DATA!D7687</f>
        <v/>
      </c>
      <c r="E7687">
        <f>TEST_DATA!E7687</f>
        <v/>
      </c>
    </row>
    <row r="7688">
      <c r="A7688">
        <f>TEST_DATA!A7688</f>
        <v/>
      </c>
      <c r="B7688">
        <f>TEST_DATA!B7688</f>
        <v/>
      </c>
      <c r="C7688">
        <f>TEST_DATA!C7688</f>
        <v/>
      </c>
      <c r="D7688">
        <f>TEST_DATA!D7688</f>
        <v/>
      </c>
      <c r="E7688">
        <f>TEST_DATA!E7688</f>
        <v/>
      </c>
    </row>
    <row r="7689">
      <c r="A7689">
        <f>TEST_DATA!A7689</f>
        <v/>
      </c>
      <c r="B7689">
        <f>TEST_DATA!B7689</f>
        <v/>
      </c>
      <c r="C7689">
        <f>TEST_DATA!C7689</f>
        <v/>
      </c>
      <c r="D7689">
        <f>TEST_DATA!D7689</f>
        <v/>
      </c>
      <c r="E7689">
        <f>TEST_DATA!E7689</f>
        <v/>
      </c>
    </row>
    <row r="7690">
      <c r="A7690">
        <f>TEST_DATA!A7690</f>
        <v/>
      </c>
      <c r="B7690">
        <f>TEST_DATA!B7690</f>
        <v/>
      </c>
      <c r="C7690">
        <f>TEST_DATA!C7690</f>
        <v/>
      </c>
      <c r="D7690">
        <f>TEST_DATA!D7690</f>
        <v/>
      </c>
      <c r="E7690">
        <f>TEST_DATA!E7690</f>
        <v/>
      </c>
    </row>
    <row r="7691">
      <c r="A7691">
        <f>TEST_DATA!A7691</f>
        <v/>
      </c>
      <c r="B7691">
        <f>TEST_DATA!B7691</f>
        <v/>
      </c>
      <c r="C7691">
        <f>TEST_DATA!C7691</f>
        <v/>
      </c>
      <c r="D7691">
        <f>TEST_DATA!D7691</f>
        <v/>
      </c>
      <c r="E7691">
        <f>TEST_DATA!E7691</f>
        <v/>
      </c>
    </row>
    <row r="7692">
      <c r="A7692">
        <f>TEST_DATA!A7692</f>
        <v/>
      </c>
      <c r="B7692">
        <f>TEST_DATA!B7692</f>
        <v/>
      </c>
      <c r="C7692">
        <f>TEST_DATA!C7692</f>
        <v/>
      </c>
      <c r="D7692">
        <f>TEST_DATA!D7692</f>
        <v/>
      </c>
      <c r="E7692">
        <f>TEST_DATA!E7692</f>
        <v/>
      </c>
    </row>
    <row r="7693">
      <c r="A7693">
        <f>TEST_DATA!A7693</f>
        <v/>
      </c>
      <c r="B7693">
        <f>TEST_DATA!B7693</f>
        <v/>
      </c>
      <c r="C7693">
        <f>TEST_DATA!C7693</f>
        <v/>
      </c>
      <c r="D7693">
        <f>TEST_DATA!D7693</f>
        <v/>
      </c>
      <c r="E7693">
        <f>TEST_DATA!E7693</f>
        <v/>
      </c>
    </row>
    <row r="7694">
      <c r="A7694">
        <f>TEST_DATA!A7694</f>
        <v/>
      </c>
      <c r="B7694">
        <f>TEST_DATA!B7694</f>
        <v/>
      </c>
      <c r="C7694">
        <f>TEST_DATA!C7694</f>
        <v/>
      </c>
      <c r="D7694">
        <f>TEST_DATA!D7694</f>
        <v/>
      </c>
      <c r="E7694">
        <f>TEST_DATA!E7694</f>
        <v/>
      </c>
    </row>
    <row r="7695">
      <c r="A7695">
        <f>TEST_DATA!A7695</f>
        <v/>
      </c>
      <c r="B7695">
        <f>TEST_DATA!B7695</f>
        <v/>
      </c>
      <c r="C7695">
        <f>TEST_DATA!C7695</f>
        <v/>
      </c>
      <c r="D7695">
        <f>TEST_DATA!D7695</f>
        <v/>
      </c>
      <c r="E7695">
        <f>TEST_DATA!E7695</f>
        <v/>
      </c>
    </row>
    <row r="7696">
      <c r="A7696">
        <f>TEST_DATA!A7696</f>
        <v/>
      </c>
      <c r="B7696">
        <f>TEST_DATA!B7696</f>
        <v/>
      </c>
      <c r="C7696">
        <f>TEST_DATA!C7696</f>
        <v/>
      </c>
      <c r="D7696">
        <f>TEST_DATA!D7696</f>
        <v/>
      </c>
      <c r="E7696">
        <f>TEST_DATA!E7696</f>
        <v/>
      </c>
    </row>
    <row r="7697">
      <c r="A7697">
        <f>TEST_DATA!A7697</f>
        <v/>
      </c>
      <c r="B7697">
        <f>TEST_DATA!B7697</f>
        <v/>
      </c>
      <c r="C7697">
        <f>TEST_DATA!C7697</f>
        <v/>
      </c>
      <c r="D7697">
        <f>TEST_DATA!D7697</f>
        <v/>
      </c>
      <c r="E7697">
        <f>TEST_DATA!E7697</f>
        <v/>
      </c>
    </row>
    <row r="7698">
      <c r="A7698">
        <f>TEST_DATA!A7698</f>
        <v/>
      </c>
      <c r="B7698">
        <f>TEST_DATA!B7698</f>
        <v/>
      </c>
      <c r="C7698">
        <f>TEST_DATA!C7698</f>
        <v/>
      </c>
      <c r="D7698">
        <f>TEST_DATA!D7698</f>
        <v/>
      </c>
      <c r="E7698">
        <f>TEST_DATA!E7698</f>
        <v/>
      </c>
    </row>
    <row r="7699">
      <c r="A7699">
        <f>TEST_DATA!A7699</f>
        <v/>
      </c>
      <c r="B7699">
        <f>TEST_DATA!B7699</f>
        <v/>
      </c>
      <c r="C7699">
        <f>TEST_DATA!C7699</f>
        <v/>
      </c>
      <c r="D7699">
        <f>TEST_DATA!D7699</f>
        <v/>
      </c>
      <c r="E7699">
        <f>TEST_DATA!E7699</f>
        <v/>
      </c>
    </row>
    <row r="7700">
      <c r="A7700">
        <f>TEST_DATA!A7700</f>
        <v/>
      </c>
      <c r="B7700">
        <f>TEST_DATA!B7700</f>
        <v/>
      </c>
      <c r="C7700">
        <f>TEST_DATA!C7700</f>
        <v/>
      </c>
      <c r="D7700">
        <f>TEST_DATA!D7700</f>
        <v/>
      </c>
      <c r="E7700">
        <f>TEST_DATA!E7700</f>
        <v/>
      </c>
    </row>
    <row r="7701">
      <c r="A7701">
        <f>TEST_DATA!A7701</f>
        <v/>
      </c>
      <c r="B7701">
        <f>TEST_DATA!B7701</f>
        <v/>
      </c>
      <c r="C7701">
        <f>TEST_DATA!C7701</f>
        <v/>
      </c>
      <c r="D7701">
        <f>TEST_DATA!D7701</f>
        <v/>
      </c>
      <c r="E7701">
        <f>TEST_DATA!E7701</f>
        <v/>
      </c>
    </row>
    <row r="7702">
      <c r="A7702">
        <f>TEST_DATA!A7702</f>
        <v/>
      </c>
      <c r="B7702">
        <f>TEST_DATA!B7702</f>
        <v/>
      </c>
      <c r="C7702">
        <f>TEST_DATA!C7702</f>
        <v/>
      </c>
      <c r="D7702">
        <f>TEST_DATA!D7702</f>
        <v/>
      </c>
      <c r="E7702">
        <f>TEST_DATA!E7702</f>
        <v/>
      </c>
    </row>
    <row r="7703">
      <c r="A7703">
        <f>TEST_DATA!A7703</f>
        <v/>
      </c>
      <c r="B7703">
        <f>TEST_DATA!B7703</f>
        <v/>
      </c>
      <c r="C7703">
        <f>TEST_DATA!C7703</f>
        <v/>
      </c>
      <c r="D7703">
        <f>TEST_DATA!D7703</f>
        <v/>
      </c>
      <c r="E7703">
        <f>TEST_DATA!E7703</f>
        <v/>
      </c>
    </row>
    <row r="7704">
      <c r="A7704">
        <f>TEST_DATA!A7704</f>
        <v/>
      </c>
      <c r="B7704">
        <f>TEST_DATA!B7704</f>
        <v/>
      </c>
      <c r="C7704">
        <f>TEST_DATA!C7704</f>
        <v/>
      </c>
      <c r="D7704">
        <f>TEST_DATA!D7704</f>
        <v/>
      </c>
      <c r="E7704">
        <f>TEST_DATA!E7704</f>
        <v/>
      </c>
    </row>
    <row r="7705">
      <c r="A7705">
        <f>TEST_DATA!A7705</f>
        <v/>
      </c>
      <c r="B7705">
        <f>TEST_DATA!B7705</f>
        <v/>
      </c>
      <c r="C7705">
        <f>TEST_DATA!C7705</f>
        <v/>
      </c>
      <c r="D7705">
        <f>TEST_DATA!D7705</f>
        <v/>
      </c>
      <c r="E7705">
        <f>TEST_DATA!E7705</f>
        <v/>
      </c>
    </row>
    <row r="7706">
      <c r="A7706">
        <f>TEST_DATA!A7706</f>
        <v/>
      </c>
      <c r="B7706">
        <f>TEST_DATA!B7706</f>
        <v/>
      </c>
      <c r="C7706">
        <f>TEST_DATA!C7706</f>
        <v/>
      </c>
      <c r="D7706">
        <f>TEST_DATA!D7706</f>
        <v/>
      </c>
      <c r="E7706">
        <f>TEST_DATA!E7706</f>
        <v/>
      </c>
    </row>
    <row r="7707">
      <c r="A7707">
        <f>TEST_DATA!A7707</f>
        <v/>
      </c>
      <c r="B7707">
        <f>TEST_DATA!B7707</f>
        <v/>
      </c>
      <c r="C7707">
        <f>TEST_DATA!C7707</f>
        <v/>
      </c>
      <c r="D7707">
        <f>TEST_DATA!D7707</f>
        <v/>
      </c>
      <c r="E7707">
        <f>TEST_DATA!E7707</f>
        <v/>
      </c>
    </row>
    <row r="7708">
      <c r="A7708">
        <f>TEST_DATA!A7708</f>
        <v/>
      </c>
      <c r="B7708">
        <f>TEST_DATA!B7708</f>
        <v/>
      </c>
      <c r="C7708">
        <f>TEST_DATA!C7708</f>
        <v/>
      </c>
      <c r="D7708">
        <f>TEST_DATA!D7708</f>
        <v/>
      </c>
      <c r="E7708">
        <f>TEST_DATA!E7708</f>
        <v/>
      </c>
    </row>
    <row r="7709">
      <c r="A7709">
        <f>TEST_DATA!A7709</f>
        <v/>
      </c>
      <c r="B7709">
        <f>TEST_DATA!B7709</f>
        <v/>
      </c>
      <c r="C7709">
        <f>TEST_DATA!C7709</f>
        <v/>
      </c>
      <c r="D7709">
        <f>TEST_DATA!D7709</f>
        <v/>
      </c>
      <c r="E7709">
        <f>TEST_DATA!E7709</f>
        <v/>
      </c>
    </row>
    <row r="7710">
      <c r="A7710">
        <f>TEST_DATA!A7710</f>
        <v/>
      </c>
      <c r="B7710">
        <f>TEST_DATA!B7710</f>
        <v/>
      </c>
      <c r="C7710">
        <f>TEST_DATA!C7710</f>
        <v/>
      </c>
      <c r="D7710">
        <f>TEST_DATA!D7710</f>
        <v/>
      </c>
      <c r="E7710">
        <f>TEST_DATA!E7710</f>
        <v/>
      </c>
    </row>
    <row r="7711">
      <c r="A7711">
        <f>TEST_DATA!A7711</f>
        <v/>
      </c>
      <c r="B7711">
        <f>TEST_DATA!B7711</f>
        <v/>
      </c>
      <c r="C7711">
        <f>TEST_DATA!C7711</f>
        <v/>
      </c>
      <c r="D7711">
        <f>TEST_DATA!D7711</f>
        <v/>
      </c>
      <c r="E7711">
        <f>TEST_DATA!E7711</f>
        <v/>
      </c>
    </row>
    <row r="7712">
      <c r="A7712">
        <f>TEST_DATA!A7712</f>
        <v/>
      </c>
      <c r="B7712">
        <f>TEST_DATA!B7712</f>
        <v/>
      </c>
      <c r="C7712">
        <f>TEST_DATA!C7712</f>
        <v/>
      </c>
      <c r="D7712">
        <f>TEST_DATA!D7712</f>
        <v/>
      </c>
      <c r="E7712">
        <f>TEST_DATA!E7712</f>
        <v/>
      </c>
    </row>
    <row r="7713">
      <c r="A7713">
        <f>TEST_DATA!A7713</f>
        <v/>
      </c>
      <c r="B7713">
        <f>TEST_DATA!B7713</f>
        <v/>
      </c>
      <c r="C7713">
        <f>TEST_DATA!C7713</f>
        <v/>
      </c>
      <c r="D7713">
        <f>TEST_DATA!D7713</f>
        <v/>
      </c>
      <c r="E7713">
        <f>TEST_DATA!E7713</f>
        <v/>
      </c>
    </row>
    <row r="7714">
      <c r="A7714">
        <f>TEST_DATA!A7714</f>
        <v/>
      </c>
      <c r="B7714">
        <f>TEST_DATA!B7714</f>
        <v/>
      </c>
      <c r="C7714">
        <f>TEST_DATA!C7714</f>
        <v/>
      </c>
      <c r="D7714">
        <f>TEST_DATA!D7714</f>
        <v/>
      </c>
      <c r="E7714">
        <f>TEST_DATA!E7714</f>
        <v/>
      </c>
    </row>
    <row r="7715">
      <c r="A7715">
        <f>TEST_DATA!A7715</f>
        <v/>
      </c>
      <c r="B7715">
        <f>TEST_DATA!B7715</f>
        <v/>
      </c>
      <c r="C7715">
        <f>TEST_DATA!C7715</f>
        <v/>
      </c>
      <c r="D7715">
        <f>TEST_DATA!D7715</f>
        <v/>
      </c>
      <c r="E7715">
        <f>TEST_DATA!E7715</f>
        <v/>
      </c>
    </row>
    <row r="7716">
      <c r="A7716">
        <f>TEST_DATA!A7716</f>
        <v/>
      </c>
      <c r="B7716">
        <f>TEST_DATA!B7716</f>
        <v/>
      </c>
      <c r="C7716">
        <f>TEST_DATA!C7716</f>
        <v/>
      </c>
      <c r="D7716">
        <f>TEST_DATA!D7716</f>
        <v/>
      </c>
      <c r="E7716">
        <f>TEST_DATA!E7716</f>
        <v/>
      </c>
    </row>
    <row r="7717">
      <c r="A7717">
        <f>TEST_DATA!A7717</f>
        <v/>
      </c>
      <c r="B7717">
        <f>TEST_DATA!B7717</f>
        <v/>
      </c>
      <c r="C7717">
        <f>TEST_DATA!C7717</f>
        <v/>
      </c>
      <c r="D7717">
        <f>TEST_DATA!D7717</f>
        <v/>
      </c>
      <c r="E7717">
        <f>TEST_DATA!E7717</f>
        <v/>
      </c>
    </row>
    <row r="7718">
      <c r="A7718">
        <f>TEST_DATA!A7718</f>
        <v/>
      </c>
      <c r="B7718">
        <f>TEST_DATA!B7718</f>
        <v/>
      </c>
      <c r="C7718">
        <f>TEST_DATA!C7718</f>
        <v/>
      </c>
      <c r="D7718">
        <f>TEST_DATA!D7718</f>
        <v/>
      </c>
      <c r="E7718">
        <f>TEST_DATA!E7718</f>
        <v/>
      </c>
    </row>
    <row r="7719">
      <c r="A7719">
        <f>TEST_DATA!A7719</f>
        <v/>
      </c>
      <c r="B7719">
        <f>TEST_DATA!B7719</f>
        <v/>
      </c>
      <c r="C7719">
        <f>TEST_DATA!C7719</f>
        <v/>
      </c>
      <c r="D7719">
        <f>TEST_DATA!D7719</f>
        <v/>
      </c>
      <c r="E7719">
        <f>TEST_DATA!E7719</f>
        <v/>
      </c>
    </row>
    <row r="7720">
      <c r="A7720">
        <f>TEST_DATA!A7720</f>
        <v/>
      </c>
      <c r="B7720">
        <f>TEST_DATA!B7720</f>
        <v/>
      </c>
      <c r="C7720">
        <f>TEST_DATA!C7720</f>
        <v/>
      </c>
      <c r="D7720">
        <f>TEST_DATA!D7720</f>
        <v/>
      </c>
      <c r="E7720">
        <f>TEST_DATA!E7720</f>
        <v/>
      </c>
    </row>
    <row r="7721">
      <c r="A7721">
        <f>TEST_DATA!A7721</f>
        <v/>
      </c>
      <c r="B7721">
        <f>TEST_DATA!B7721</f>
        <v/>
      </c>
      <c r="C7721">
        <f>TEST_DATA!C7721</f>
        <v/>
      </c>
      <c r="D7721">
        <f>TEST_DATA!D7721</f>
        <v/>
      </c>
      <c r="E7721">
        <f>TEST_DATA!E7721</f>
        <v/>
      </c>
    </row>
    <row r="7722">
      <c r="A7722">
        <f>TEST_DATA!A7722</f>
        <v/>
      </c>
      <c r="B7722">
        <f>TEST_DATA!B7722</f>
        <v/>
      </c>
      <c r="C7722">
        <f>TEST_DATA!C7722</f>
        <v/>
      </c>
      <c r="D7722">
        <f>TEST_DATA!D7722</f>
        <v/>
      </c>
      <c r="E7722">
        <f>TEST_DATA!E7722</f>
        <v/>
      </c>
    </row>
    <row r="7723">
      <c r="A7723">
        <f>TEST_DATA!A7723</f>
        <v/>
      </c>
      <c r="B7723">
        <f>TEST_DATA!B7723</f>
        <v/>
      </c>
      <c r="C7723">
        <f>TEST_DATA!C7723</f>
        <v/>
      </c>
      <c r="D7723">
        <f>TEST_DATA!D7723</f>
        <v/>
      </c>
      <c r="E7723">
        <f>TEST_DATA!E7723</f>
        <v/>
      </c>
    </row>
    <row r="7724">
      <c r="A7724">
        <f>TEST_DATA!A7724</f>
        <v/>
      </c>
      <c r="B7724">
        <f>TEST_DATA!B7724</f>
        <v/>
      </c>
      <c r="C7724">
        <f>TEST_DATA!C7724</f>
        <v/>
      </c>
      <c r="D7724">
        <f>TEST_DATA!D7724</f>
        <v/>
      </c>
      <c r="E7724">
        <f>TEST_DATA!E7724</f>
        <v/>
      </c>
    </row>
    <row r="7725">
      <c r="A7725">
        <f>TEST_DATA!A7725</f>
        <v/>
      </c>
      <c r="B7725">
        <f>TEST_DATA!B7725</f>
        <v/>
      </c>
      <c r="C7725">
        <f>TEST_DATA!C7725</f>
        <v/>
      </c>
      <c r="D7725">
        <f>TEST_DATA!D7725</f>
        <v/>
      </c>
      <c r="E7725">
        <f>TEST_DATA!E7725</f>
        <v/>
      </c>
    </row>
    <row r="7726">
      <c r="A7726">
        <f>TEST_DATA!A7726</f>
        <v/>
      </c>
      <c r="B7726">
        <f>TEST_DATA!B7726</f>
        <v/>
      </c>
      <c r="C7726">
        <f>TEST_DATA!C7726</f>
        <v/>
      </c>
      <c r="D7726">
        <f>TEST_DATA!D7726</f>
        <v/>
      </c>
      <c r="E7726">
        <f>TEST_DATA!E7726</f>
        <v/>
      </c>
    </row>
    <row r="7727">
      <c r="A7727">
        <f>TEST_DATA!A7727</f>
        <v/>
      </c>
      <c r="B7727">
        <f>TEST_DATA!B7727</f>
        <v/>
      </c>
      <c r="C7727">
        <f>TEST_DATA!C7727</f>
        <v/>
      </c>
      <c r="D7727">
        <f>TEST_DATA!D7727</f>
        <v/>
      </c>
      <c r="E7727">
        <f>TEST_DATA!E7727</f>
        <v/>
      </c>
    </row>
    <row r="7728">
      <c r="A7728">
        <f>TEST_DATA!A7728</f>
        <v/>
      </c>
      <c r="B7728">
        <f>TEST_DATA!B7728</f>
        <v/>
      </c>
      <c r="C7728">
        <f>TEST_DATA!C7728</f>
        <v/>
      </c>
      <c r="D7728">
        <f>TEST_DATA!D7728</f>
        <v/>
      </c>
      <c r="E7728">
        <f>TEST_DATA!E7728</f>
        <v/>
      </c>
    </row>
    <row r="7729">
      <c r="A7729">
        <f>TEST_DATA!A7729</f>
        <v/>
      </c>
      <c r="B7729">
        <f>TEST_DATA!B7729</f>
        <v/>
      </c>
      <c r="C7729">
        <f>TEST_DATA!C7729</f>
        <v/>
      </c>
      <c r="D7729">
        <f>TEST_DATA!D7729</f>
        <v/>
      </c>
      <c r="E7729">
        <f>TEST_DATA!E7729</f>
        <v/>
      </c>
    </row>
    <row r="7730">
      <c r="A7730">
        <f>TEST_DATA!A7730</f>
        <v/>
      </c>
      <c r="B7730">
        <f>TEST_DATA!B7730</f>
        <v/>
      </c>
      <c r="C7730">
        <f>TEST_DATA!C7730</f>
        <v/>
      </c>
      <c r="D7730">
        <f>TEST_DATA!D7730</f>
        <v/>
      </c>
      <c r="E7730">
        <f>TEST_DATA!E7730</f>
        <v/>
      </c>
    </row>
    <row r="7731">
      <c r="A7731">
        <f>TEST_DATA!A7731</f>
        <v/>
      </c>
      <c r="B7731">
        <f>TEST_DATA!B7731</f>
        <v/>
      </c>
      <c r="C7731">
        <f>TEST_DATA!C7731</f>
        <v/>
      </c>
      <c r="D7731">
        <f>TEST_DATA!D7731</f>
        <v/>
      </c>
      <c r="E7731">
        <f>TEST_DATA!E7731</f>
        <v/>
      </c>
    </row>
    <row r="7732">
      <c r="A7732">
        <f>TEST_DATA!A7732</f>
        <v/>
      </c>
      <c r="B7732">
        <f>TEST_DATA!B7732</f>
        <v/>
      </c>
      <c r="C7732">
        <f>TEST_DATA!C7732</f>
        <v/>
      </c>
      <c r="D7732">
        <f>TEST_DATA!D7732</f>
        <v/>
      </c>
      <c r="E7732">
        <f>TEST_DATA!E7732</f>
        <v/>
      </c>
    </row>
    <row r="7733">
      <c r="A7733">
        <f>TEST_DATA!A7733</f>
        <v/>
      </c>
      <c r="B7733">
        <f>TEST_DATA!B7733</f>
        <v/>
      </c>
      <c r="C7733">
        <f>TEST_DATA!C7733</f>
        <v/>
      </c>
      <c r="D7733">
        <f>TEST_DATA!D7733</f>
        <v/>
      </c>
      <c r="E7733">
        <f>TEST_DATA!E7733</f>
        <v/>
      </c>
    </row>
    <row r="7734">
      <c r="A7734">
        <f>TEST_DATA!A7734</f>
        <v/>
      </c>
      <c r="B7734">
        <f>TEST_DATA!B7734</f>
        <v/>
      </c>
      <c r="C7734">
        <f>TEST_DATA!C7734</f>
        <v/>
      </c>
      <c r="D7734">
        <f>TEST_DATA!D7734</f>
        <v/>
      </c>
      <c r="E7734">
        <f>TEST_DATA!E7734</f>
        <v/>
      </c>
    </row>
    <row r="7735">
      <c r="A7735">
        <f>TEST_DATA!A7735</f>
        <v/>
      </c>
      <c r="B7735">
        <f>TEST_DATA!B7735</f>
        <v/>
      </c>
      <c r="C7735">
        <f>TEST_DATA!C7735</f>
        <v/>
      </c>
      <c r="D7735">
        <f>TEST_DATA!D7735</f>
        <v/>
      </c>
      <c r="E7735">
        <f>TEST_DATA!E7735</f>
        <v/>
      </c>
    </row>
    <row r="7736">
      <c r="A7736">
        <f>TEST_DATA!A7736</f>
        <v/>
      </c>
      <c r="B7736">
        <f>TEST_DATA!B7736</f>
        <v/>
      </c>
      <c r="C7736">
        <f>TEST_DATA!C7736</f>
        <v/>
      </c>
      <c r="D7736">
        <f>TEST_DATA!D7736</f>
        <v/>
      </c>
      <c r="E7736">
        <f>TEST_DATA!E7736</f>
        <v/>
      </c>
    </row>
    <row r="7737">
      <c r="A7737">
        <f>TEST_DATA!A7737</f>
        <v/>
      </c>
      <c r="B7737">
        <f>TEST_DATA!B7737</f>
        <v/>
      </c>
      <c r="C7737">
        <f>TEST_DATA!C7737</f>
        <v/>
      </c>
      <c r="D7737">
        <f>TEST_DATA!D7737</f>
        <v/>
      </c>
      <c r="E7737">
        <f>TEST_DATA!E7737</f>
        <v/>
      </c>
    </row>
    <row r="7738">
      <c r="A7738">
        <f>TEST_DATA!A7738</f>
        <v/>
      </c>
      <c r="B7738">
        <f>TEST_DATA!B7738</f>
        <v/>
      </c>
      <c r="C7738">
        <f>TEST_DATA!C7738</f>
        <v/>
      </c>
      <c r="D7738">
        <f>TEST_DATA!D7738</f>
        <v/>
      </c>
      <c r="E7738">
        <f>TEST_DATA!E7738</f>
        <v/>
      </c>
    </row>
    <row r="7739">
      <c r="A7739">
        <f>TEST_DATA!A7739</f>
        <v/>
      </c>
      <c r="B7739">
        <f>TEST_DATA!B7739</f>
        <v/>
      </c>
      <c r="C7739">
        <f>TEST_DATA!C7739</f>
        <v/>
      </c>
      <c r="D7739">
        <f>TEST_DATA!D7739</f>
        <v/>
      </c>
      <c r="E7739">
        <f>TEST_DATA!E7739</f>
        <v/>
      </c>
    </row>
    <row r="7740">
      <c r="A7740">
        <f>TEST_DATA!A7740</f>
        <v/>
      </c>
      <c r="B7740">
        <f>TEST_DATA!B7740</f>
        <v/>
      </c>
      <c r="C7740">
        <f>TEST_DATA!C7740</f>
        <v/>
      </c>
      <c r="D7740">
        <f>TEST_DATA!D7740</f>
        <v/>
      </c>
      <c r="E7740">
        <f>TEST_DATA!E7740</f>
        <v/>
      </c>
    </row>
    <row r="7741">
      <c r="A7741">
        <f>TEST_DATA!A7741</f>
        <v/>
      </c>
      <c r="B7741">
        <f>TEST_DATA!B7741</f>
        <v/>
      </c>
      <c r="C7741">
        <f>TEST_DATA!C7741</f>
        <v/>
      </c>
      <c r="D7741">
        <f>TEST_DATA!D7741</f>
        <v/>
      </c>
      <c r="E7741">
        <f>TEST_DATA!E7741</f>
        <v/>
      </c>
    </row>
    <row r="7742">
      <c r="A7742">
        <f>TEST_DATA!A7742</f>
        <v/>
      </c>
      <c r="B7742">
        <f>TEST_DATA!B7742</f>
        <v/>
      </c>
      <c r="C7742">
        <f>TEST_DATA!C7742</f>
        <v/>
      </c>
      <c r="D7742">
        <f>TEST_DATA!D7742</f>
        <v/>
      </c>
      <c r="E7742">
        <f>TEST_DATA!E7742</f>
        <v/>
      </c>
    </row>
    <row r="7743">
      <c r="A7743">
        <f>TEST_DATA!A7743</f>
        <v/>
      </c>
      <c r="B7743">
        <f>TEST_DATA!B7743</f>
        <v/>
      </c>
      <c r="C7743">
        <f>TEST_DATA!C7743</f>
        <v/>
      </c>
      <c r="D7743">
        <f>TEST_DATA!D7743</f>
        <v/>
      </c>
      <c r="E7743">
        <f>TEST_DATA!E7743</f>
        <v/>
      </c>
    </row>
    <row r="7744">
      <c r="A7744">
        <f>TEST_DATA!A7744</f>
        <v/>
      </c>
      <c r="B7744">
        <f>TEST_DATA!B7744</f>
        <v/>
      </c>
      <c r="C7744">
        <f>TEST_DATA!C7744</f>
        <v/>
      </c>
      <c r="D7744">
        <f>TEST_DATA!D7744</f>
        <v/>
      </c>
      <c r="E7744">
        <f>TEST_DATA!E7744</f>
        <v/>
      </c>
    </row>
    <row r="7745">
      <c r="A7745">
        <f>TEST_DATA!A7745</f>
        <v/>
      </c>
      <c r="B7745">
        <f>TEST_DATA!B7745</f>
        <v/>
      </c>
      <c r="C7745">
        <f>TEST_DATA!C7745</f>
        <v/>
      </c>
      <c r="D7745">
        <f>TEST_DATA!D7745</f>
        <v/>
      </c>
      <c r="E7745">
        <f>TEST_DATA!E7745</f>
        <v/>
      </c>
    </row>
    <row r="7746">
      <c r="A7746">
        <f>TEST_DATA!A7746</f>
        <v/>
      </c>
      <c r="B7746">
        <f>TEST_DATA!B7746</f>
        <v/>
      </c>
      <c r="C7746">
        <f>TEST_DATA!C7746</f>
        <v/>
      </c>
      <c r="D7746">
        <f>TEST_DATA!D7746</f>
        <v/>
      </c>
      <c r="E7746">
        <f>TEST_DATA!E7746</f>
        <v/>
      </c>
    </row>
    <row r="7747">
      <c r="A7747">
        <f>TEST_DATA!A7747</f>
        <v/>
      </c>
      <c r="B7747">
        <f>TEST_DATA!B7747</f>
        <v/>
      </c>
      <c r="C7747">
        <f>TEST_DATA!C7747</f>
        <v/>
      </c>
      <c r="D7747">
        <f>TEST_DATA!D7747</f>
        <v/>
      </c>
      <c r="E7747">
        <f>TEST_DATA!E7747</f>
        <v/>
      </c>
    </row>
    <row r="7748">
      <c r="A7748">
        <f>TEST_DATA!A7748</f>
        <v/>
      </c>
      <c r="B7748">
        <f>TEST_DATA!B7748</f>
        <v/>
      </c>
      <c r="C7748">
        <f>TEST_DATA!C7748</f>
        <v/>
      </c>
      <c r="D7748">
        <f>TEST_DATA!D7748</f>
        <v/>
      </c>
      <c r="E7748">
        <f>TEST_DATA!E7748</f>
        <v/>
      </c>
    </row>
    <row r="7749">
      <c r="A7749">
        <f>TEST_DATA!A7749</f>
        <v/>
      </c>
      <c r="B7749">
        <f>TEST_DATA!B7749</f>
        <v/>
      </c>
      <c r="C7749">
        <f>TEST_DATA!C7749</f>
        <v/>
      </c>
      <c r="D7749">
        <f>TEST_DATA!D7749</f>
        <v/>
      </c>
      <c r="E7749">
        <f>TEST_DATA!E7749</f>
        <v/>
      </c>
    </row>
    <row r="7750">
      <c r="A7750">
        <f>TEST_DATA!A7750</f>
        <v/>
      </c>
      <c r="B7750">
        <f>TEST_DATA!B7750</f>
        <v/>
      </c>
      <c r="C7750">
        <f>TEST_DATA!C7750</f>
        <v/>
      </c>
      <c r="D7750">
        <f>TEST_DATA!D7750</f>
        <v/>
      </c>
      <c r="E7750">
        <f>TEST_DATA!E7750</f>
        <v/>
      </c>
    </row>
    <row r="7751">
      <c r="A7751">
        <f>TEST_DATA!A7751</f>
        <v/>
      </c>
      <c r="B7751">
        <f>TEST_DATA!B7751</f>
        <v/>
      </c>
      <c r="C7751">
        <f>TEST_DATA!C7751</f>
        <v/>
      </c>
      <c r="D7751">
        <f>TEST_DATA!D7751</f>
        <v/>
      </c>
      <c r="E7751">
        <f>TEST_DATA!E7751</f>
        <v/>
      </c>
    </row>
    <row r="7752">
      <c r="A7752">
        <f>TEST_DATA!A7752</f>
        <v/>
      </c>
      <c r="B7752">
        <f>TEST_DATA!B7752</f>
        <v/>
      </c>
      <c r="C7752">
        <f>TEST_DATA!C7752</f>
        <v/>
      </c>
      <c r="D7752">
        <f>TEST_DATA!D7752</f>
        <v/>
      </c>
      <c r="E7752">
        <f>TEST_DATA!E7752</f>
        <v/>
      </c>
    </row>
    <row r="7753">
      <c r="A7753">
        <f>TEST_DATA!A7753</f>
        <v/>
      </c>
      <c r="B7753">
        <f>TEST_DATA!B7753</f>
        <v/>
      </c>
      <c r="C7753">
        <f>TEST_DATA!C7753</f>
        <v/>
      </c>
      <c r="D7753">
        <f>TEST_DATA!D7753</f>
        <v/>
      </c>
      <c r="E7753">
        <f>TEST_DATA!E7753</f>
        <v/>
      </c>
    </row>
    <row r="7754">
      <c r="A7754">
        <f>TEST_DATA!A7754</f>
        <v/>
      </c>
      <c r="B7754">
        <f>TEST_DATA!B7754</f>
        <v/>
      </c>
      <c r="C7754">
        <f>TEST_DATA!C7754</f>
        <v/>
      </c>
      <c r="D7754">
        <f>TEST_DATA!D7754</f>
        <v/>
      </c>
      <c r="E7754">
        <f>TEST_DATA!E7754</f>
        <v/>
      </c>
    </row>
    <row r="7755">
      <c r="A7755">
        <f>TEST_DATA!A7755</f>
        <v/>
      </c>
      <c r="B7755">
        <f>TEST_DATA!B7755</f>
        <v/>
      </c>
      <c r="C7755">
        <f>TEST_DATA!C7755</f>
        <v/>
      </c>
      <c r="D7755">
        <f>TEST_DATA!D7755</f>
        <v/>
      </c>
      <c r="E7755">
        <f>TEST_DATA!E7755</f>
        <v/>
      </c>
    </row>
    <row r="7756">
      <c r="A7756">
        <f>TEST_DATA!A7756</f>
        <v/>
      </c>
      <c r="B7756">
        <f>TEST_DATA!B7756</f>
        <v/>
      </c>
      <c r="C7756">
        <f>TEST_DATA!C7756</f>
        <v/>
      </c>
      <c r="D7756">
        <f>TEST_DATA!D7756</f>
        <v/>
      </c>
      <c r="E7756">
        <f>TEST_DATA!E7756</f>
        <v/>
      </c>
    </row>
    <row r="7757">
      <c r="A7757">
        <f>TEST_DATA!A7757</f>
        <v/>
      </c>
      <c r="B7757">
        <f>TEST_DATA!B7757</f>
        <v/>
      </c>
      <c r="C7757">
        <f>TEST_DATA!C7757</f>
        <v/>
      </c>
      <c r="D7757">
        <f>TEST_DATA!D7757</f>
        <v/>
      </c>
      <c r="E7757">
        <f>TEST_DATA!E7757</f>
        <v/>
      </c>
    </row>
    <row r="7758">
      <c r="A7758">
        <f>TEST_DATA!A7758</f>
        <v/>
      </c>
      <c r="B7758">
        <f>TEST_DATA!B7758</f>
        <v/>
      </c>
      <c r="C7758">
        <f>TEST_DATA!C7758</f>
        <v/>
      </c>
      <c r="D7758">
        <f>TEST_DATA!D7758</f>
        <v/>
      </c>
      <c r="E7758">
        <f>TEST_DATA!E7758</f>
        <v/>
      </c>
    </row>
    <row r="7759">
      <c r="A7759">
        <f>TEST_DATA!A7759</f>
        <v/>
      </c>
      <c r="B7759">
        <f>TEST_DATA!B7759</f>
        <v/>
      </c>
      <c r="C7759">
        <f>TEST_DATA!C7759</f>
        <v/>
      </c>
      <c r="D7759">
        <f>TEST_DATA!D7759</f>
        <v/>
      </c>
      <c r="E7759">
        <f>TEST_DATA!E7759</f>
        <v/>
      </c>
    </row>
    <row r="7760">
      <c r="A7760">
        <f>TEST_DATA!A7760</f>
        <v/>
      </c>
      <c r="B7760">
        <f>TEST_DATA!B7760</f>
        <v/>
      </c>
      <c r="C7760">
        <f>TEST_DATA!C7760</f>
        <v/>
      </c>
      <c r="D7760">
        <f>TEST_DATA!D7760</f>
        <v/>
      </c>
      <c r="E7760">
        <f>TEST_DATA!E7760</f>
        <v/>
      </c>
    </row>
    <row r="7761">
      <c r="A7761">
        <f>TEST_DATA!A7761</f>
        <v/>
      </c>
      <c r="B7761">
        <f>TEST_DATA!B7761</f>
        <v/>
      </c>
      <c r="C7761">
        <f>TEST_DATA!C7761</f>
        <v/>
      </c>
      <c r="D7761">
        <f>TEST_DATA!D7761</f>
        <v/>
      </c>
      <c r="E7761">
        <f>TEST_DATA!E7761</f>
        <v/>
      </c>
    </row>
    <row r="7762">
      <c r="A7762">
        <f>TEST_DATA!A7762</f>
        <v/>
      </c>
      <c r="B7762">
        <f>TEST_DATA!B7762</f>
        <v/>
      </c>
      <c r="C7762">
        <f>TEST_DATA!C7762</f>
        <v/>
      </c>
      <c r="D7762">
        <f>TEST_DATA!D7762</f>
        <v/>
      </c>
      <c r="E7762">
        <f>TEST_DATA!E7762</f>
        <v/>
      </c>
    </row>
    <row r="7763">
      <c r="A7763">
        <f>TEST_DATA!A7763</f>
        <v/>
      </c>
      <c r="B7763">
        <f>TEST_DATA!B7763</f>
        <v/>
      </c>
      <c r="C7763">
        <f>TEST_DATA!C7763</f>
        <v/>
      </c>
      <c r="D7763">
        <f>TEST_DATA!D7763</f>
        <v/>
      </c>
      <c r="E7763">
        <f>TEST_DATA!E7763</f>
        <v/>
      </c>
    </row>
    <row r="7764">
      <c r="A7764">
        <f>TEST_DATA!A7764</f>
        <v/>
      </c>
      <c r="B7764">
        <f>TEST_DATA!B7764</f>
        <v/>
      </c>
      <c r="C7764">
        <f>TEST_DATA!C7764</f>
        <v/>
      </c>
      <c r="D7764">
        <f>TEST_DATA!D7764</f>
        <v/>
      </c>
      <c r="E7764">
        <f>TEST_DATA!E7764</f>
        <v/>
      </c>
    </row>
    <row r="7765">
      <c r="A7765">
        <f>TEST_DATA!A7765</f>
        <v/>
      </c>
      <c r="B7765">
        <f>TEST_DATA!B7765</f>
        <v/>
      </c>
      <c r="C7765">
        <f>TEST_DATA!C7765</f>
        <v/>
      </c>
      <c r="D7765">
        <f>TEST_DATA!D7765</f>
        <v/>
      </c>
      <c r="E7765">
        <f>TEST_DATA!E7765</f>
        <v/>
      </c>
    </row>
    <row r="7766">
      <c r="A7766">
        <f>TEST_DATA!A7766</f>
        <v/>
      </c>
      <c r="B7766">
        <f>TEST_DATA!B7766</f>
        <v/>
      </c>
      <c r="C7766">
        <f>TEST_DATA!C7766</f>
        <v/>
      </c>
      <c r="D7766">
        <f>TEST_DATA!D7766</f>
        <v/>
      </c>
      <c r="E7766">
        <f>TEST_DATA!E7766</f>
        <v/>
      </c>
    </row>
    <row r="7767">
      <c r="A7767">
        <f>TEST_DATA!A7767</f>
        <v/>
      </c>
      <c r="B7767">
        <f>TEST_DATA!B7767</f>
        <v/>
      </c>
      <c r="C7767">
        <f>TEST_DATA!C7767</f>
        <v/>
      </c>
      <c r="D7767">
        <f>TEST_DATA!D7767</f>
        <v/>
      </c>
      <c r="E7767">
        <f>TEST_DATA!E7767</f>
        <v/>
      </c>
    </row>
    <row r="7768">
      <c r="A7768">
        <f>TEST_DATA!A7768</f>
        <v/>
      </c>
      <c r="B7768">
        <f>TEST_DATA!B7768</f>
        <v/>
      </c>
      <c r="C7768">
        <f>TEST_DATA!C7768</f>
        <v/>
      </c>
      <c r="D7768">
        <f>TEST_DATA!D7768</f>
        <v/>
      </c>
      <c r="E7768">
        <f>TEST_DATA!E7768</f>
        <v/>
      </c>
    </row>
    <row r="7769">
      <c r="A7769">
        <f>TEST_DATA!A7769</f>
        <v/>
      </c>
      <c r="B7769">
        <f>TEST_DATA!B7769</f>
        <v/>
      </c>
      <c r="C7769">
        <f>TEST_DATA!C7769</f>
        <v/>
      </c>
      <c r="D7769">
        <f>TEST_DATA!D7769</f>
        <v/>
      </c>
      <c r="E7769">
        <f>TEST_DATA!E7769</f>
        <v/>
      </c>
    </row>
    <row r="7770">
      <c r="A7770">
        <f>TEST_DATA!A7770</f>
        <v/>
      </c>
      <c r="B7770">
        <f>TEST_DATA!B7770</f>
        <v/>
      </c>
      <c r="C7770">
        <f>TEST_DATA!C7770</f>
        <v/>
      </c>
      <c r="D7770">
        <f>TEST_DATA!D7770</f>
        <v/>
      </c>
      <c r="E7770">
        <f>TEST_DATA!E7770</f>
        <v/>
      </c>
    </row>
    <row r="7771">
      <c r="A7771">
        <f>TEST_DATA!A7771</f>
        <v/>
      </c>
      <c r="B7771">
        <f>TEST_DATA!B7771</f>
        <v/>
      </c>
      <c r="C7771">
        <f>TEST_DATA!C7771</f>
        <v/>
      </c>
      <c r="D7771">
        <f>TEST_DATA!D7771</f>
        <v/>
      </c>
      <c r="E7771">
        <f>TEST_DATA!E7771</f>
        <v/>
      </c>
    </row>
    <row r="7772">
      <c r="A7772">
        <f>TEST_DATA!A7772</f>
        <v/>
      </c>
      <c r="B7772">
        <f>TEST_DATA!B7772</f>
        <v/>
      </c>
      <c r="C7772">
        <f>TEST_DATA!C7772</f>
        <v/>
      </c>
      <c r="D7772">
        <f>TEST_DATA!D7772</f>
        <v/>
      </c>
      <c r="E7772">
        <f>TEST_DATA!E7772</f>
        <v/>
      </c>
    </row>
    <row r="7773">
      <c r="A7773">
        <f>TEST_DATA!A7773</f>
        <v/>
      </c>
      <c r="B7773">
        <f>TEST_DATA!B7773</f>
        <v/>
      </c>
      <c r="C7773">
        <f>TEST_DATA!C7773</f>
        <v/>
      </c>
      <c r="D7773">
        <f>TEST_DATA!D7773</f>
        <v/>
      </c>
      <c r="E7773">
        <f>TEST_DATA!E7773</f>
        <v/>
      </c>
    </row>
    <row r="7774">
      <c r="A7774">
        <f>TEST_DATA!A7774</f>
        <v/>
      </c>
      <c r="B7774">
        <f>TEST_DATA!B7774</f>
        <v/>
      </c>
      <c r="C7774">
        <f>TEST_DATA!C7774</f>
        <v/>
      </c>
      <c r="D7774">
        <f>TEST_DATA!D7774</f>
        <v/>
      </c>
      <c r="E7774">
        <f>TEST_DATA!E7774</f>
        <v/>
      </c>
    </row>
    <row r="7775">
      <c r="A7775">
        <f>TEST_DATA!A7775</f>
        <v/>
      </c>
      <c r="B7775">
        <f>TEST_DATA!B7775</f>
        <v/>
      </c>
      <c r="C7775">
        <f>TEST_DATA!C7775</f>
        <v/>
      </c>
      <c r="D7775">
        <f>TEST_DATA!D7775</f>
        <v/>
      </c>
      <c r="E7775">
        <f>TEST_DATA!E7775</f>
        <v/>
      </c>
    </row>
    <row r="7776">
      <c r="A7776">
        <f>TEST_DATA!A7776</f>
        <v/>
      </c>
      <c r="B7776">
        <f>TEST_DATA!B7776</f>
        <v/>
      </c>
      <c r="C7776">
        <f>TEST_DATA!C7776</f>
        <v/>
      </c>
      <c r="D7776">
        <f>TEST_DATA!D7776</f>
        <v/>
      </c>
      <c r="E7776">
        <f>TEST_DATA!E7776</f>
        <v/>
      </c>
    </row>
    <row r="7777">
      <c r="A7777">
        <f>TEST_DATA!A7777</f>
        <v/>
      </c>
      <c r="B7777">
        <f>TEST_DATA!B7777</f>
        <v/>
      </c>
      <c r="C7777">
        <f>TEST_DATA!C7777</f>
        <v/>
      </c>
      <c r="D7777">
        <f>TEST_DATA!D7777</f>
        <v/>
      </c>
      <c r="E7777">
        <f>TEST_DATA!E7777</f>
        <v/>
      </c>
    </row>
    <row r="7778">
      <c r="A7778">
        <f>TEST_DATA!A7778</f>
        <v/>
      </c>
      <c r="B7778">
        <f>TEST_DATA!B7778</f>
        <v/>
      </c>
      <c r="C7778">
        <f>TEST_DATA!C7778</f>
        <v/>
      </c>
      <c r="D7778">
        <f>TEST_DATA!D7778</f>
        <v/>
      </c>
      <c r="E7778">
        <f>TEST_DATA!E7778</f>
        <v/>
      </c>
    </row>
    <row r="7779">
      <c r="A7779">
        <f>TEST_DATA!A7779</f>
        <v/>
      </c>
      <c r="B7779">
        <f>TEST_DATA!B7779</f>
        <v/>
      </c>
      <c r="C7779">
        <f>TEST_DATA!C7779</f>
        <v/>
      </c>
      <c r="D7779">
        <f>TEST_DATA!D7779</f>
        <v/>
      </c>
      <c r="E7779">
        <f>TEST_DATA!E7779</f>
        <v/>
      </c>
    </row>
    <row r="7780">
      <c r="A7780">
        <f>TEST_DATA!A7780</f>
        <v/>
      </c>
      <c r="B7780">
        <f>TEST_DATA!B7780</f>
        <v/>
      </c>
      <c r="C7780">
        <f>TEST_DATA!C7780</f>
        <v/>
      </c>
      <c r="D7780">
        <f>TEST_DATA!D7780</f>
        <v/>
      </c>
      <c r="E7780">
        <f>TEST_DATA!E7780</f>
        <v/>
      </c>
    </row>
    <row r="7781">
      <c r="A7781">
        <f>TEST_DATA!A7781</f>
        <v/>
      </c>
      <c r="B7781">
        <f>TEST_DATA!B7781</f>
        <v/>
      </c>
      <c r="C7781">
        <f>TEST_DATA!C7781</f>
        <v/>
      </c>
      <c r="D7781">
        <f>TEST_DATA!D7781</f>
        <v/>
      </c>
      <c r="E7781">
        <f>TEST_DATA!E7781</f>
        <v/>
      </c>
    </row>
    <row r="7782">
      <c r="A7782">
        <f>TEST_DATA!A7782</f>
        <v/>
      </c>
      <c r="B7782">
        <f>TEST_DATA!B7782</f>
        <v/>
      </c>
      <c r="C7782">
        <f>TEST_DATA!C7782</f>
        <v/>
      </c>
      <c r="D7782">
        <f>TEST_DATA!D7782</f>
        <v/>
      </c>
      <c r="E7782">
        <f>TEST_DATA!E7782</f>
        <v/>
      </c>
    </row>
    <row r="7783">
      <c r="A7783">
        <f>TEST_DATA!A7783</f>
        <v/>
      </c>
      <c r="B7783">
        <f>TEST_DATA!B7783</f>
        <v/>
      </c>
      <c r="C7783">
        <f>TEST_DATA!C7783</f>
        <v/>
      </c>
      <c r="D7783">
        <f>TEST_DATA!D7783</f>
        <v/>
      </c>
      <c r="E7783">
        <f>TEST_DATA!E7783</f>
        <v/>
      </c>
    </row>
    <row r="7784">
      <c r="A7784">
        <f>TEST_DATA!A7784</f>
        <v/>
      </c>
      <c r="B7784">
        <f>TEST_DATA!B7784</f>
        <v/>
      </c>
      <c r="C7784">
        <f>TEST_DATA!C7784</f>
        <v/>
      </c>
      <c r="D7784">
        <f>TEST_DATA!D7784</f>
        <v/>
      </c>
      <c r="E7784">
        <f>TEST_DATA!E7784</f>
        <v/>
      </c>
    </row>
    <row r="7785">
      <c r="A7785">
        <f>TEST_DATA!A7785</f>
        <v/>
      </c>
      <c r="B7785">
        <f>TEST_DATA!B7785</f>
        <v/>
      </c>
      <c r="C7785">
        <f>TEST_DATA!C7785</f>
        <v/>
      </c>
      <c r="D7785">
        <f>TEST_DATA!D7785</f>
        <v/>
      </c>
      <c r="E7785">
        <f>TEST_DATA!E7785</f>
        <v/>
      </c>
    </row>
    <row r="7786">
      <c r="A7786">
        <f>TEST_DATA!A7786</f>
        <v/>
      </c>
      <c r="B7786">
        <f>TEST_DATA!B7786</f>
        <v/>
      </c>
      <c r="C7786">
        <f>TEST_DATA!C7786</f>
        <v/>
      </c>
      <c r="D7786">
        <f>TEST_DATA!D7786</f>
        <v/>
      </c>
      <c r="E7786">
        <f>TEST_DATA!E7786</f>
        <v/>
      </c>
    </row>
    <row r="7787">
      <c r="A7787">
        <f>TEST_DATA!A7787</f>
        <v/>
      </c>
      <c r="B7787">
        <f>TEST_DATA!B7787</f>
        <v/>
      </c>
      <c r="C7787">
        <f>TEST_DATA!C7787</f>
        <v/>
      </c>
      <c r="D7787">
        <f>TEST_DATA!D7787</f>
        <v/>
      </c>
      <c r="E7787">
        <f>TEST_DATA!E7787</f>
        <v/>
      </c>
    </row>
    <row r="7788">
      <c r="A7788">
        <f>TEST_DATA!A7788</f>
        <v/>
      </c>
      <c r="B7788">
        <f>TEST_DATA!B7788</f>
        <v/>
      </c>
      <c r="C7788">
        <f>TEST_DATA!C7788</f>
        <v/>
      </c>
      <c r="D7788">
        <f>TEST_DATA!D7788</f>
        <v/>
      </c>
      <c r="E7788">
        <f>TEST_DATA!E7788</f>
        <v/>
      </c>
    </row>
    <row r="7789">
      <c r="A7789">
        <f>TEST_DATA!A7789</f>
        <v/>
      </c>
      <c r="B7789">
        <f>TEST_DATA!B7789</f>
        <v/>
      </c>
      <c r="C7789">
        <f>TEST_DATA!C7789</f>
        <v/>
      </c>
      <c r="D7789">
        <f>TEST_DATA!D7789</f>
        <v/>
      </c>
      <c r="E7789">
        <f>TEST_DATA!E7789</f>
        <v/>
      </c>
    </row>
    <row r="7790">
      <c r="A7790">
        <f>TEST_DATA!A7790</f>
        <v/>
      </c>
      <c r="B7790">
        <f>TEST_DATA!B7790</f>
        <v/>
      </c>
      <c r="C7790">
        <f>TEST_DATA!C7790</f>
        <v/>
      </c>
      <c r="D7790">
        <f>TEST_DATA!D7790</f>
        <v/>
      </c>
      <c r="E7790">
        <f>TEST_DATA!E7790</f>
        <v/>
      </c>
    </row>
    <row r="7791">
      <c r="A7791">
        <f>TEST_DATA!A7791</f>
        <v/>
      </c>
      <c r="B7791">
        <f>TEST_DATA!B7791</f>
        <v/>
      </c>
      <c r="C7791">
        <f>TEST_DATA!C7791</f>
        <v/>
      </c>
      <c r="D7791">
        <f>TEST_DATA!D7791</f>
        <v/>
      </c>
      <c r="E7791">
        <f>TEST_DATA!E7791</f>
        <v/>
      </c>
    </row>
    <row r="7792">
      <c r="A7792">
        <f>TEST_DATA!A7792</f>
        <v/>
      </c>
      <c r="B7792">
        <f>TEST_DATA!B7792</f>
        <v/>
      </c>
      <c r="C7792">
        <f>TEST_DATA!C7792</f>
        <v/>
      </c>
      <c r="D7792">
        <f>TEST_DATA!D7792</f>
        <v/>
      </c>
      <c r="E7792">
        <f>TEST_DATA!E7792</f>
        <v/>
      </c>
    </row>
    <row r="7793">
      <c r="A7793">
        <f>TEST_DATA!A7793</f>
        <v/>
      </c>
      <c r="B7793">
        <f>TEST_DATA!B7793</f>
        <v/>
      </c>
      <c r="C7793">
        <f>TEST_DATA!C7793</f>
        <v/>
      </c>
      <c r="D7793">
        <f>TEST_DATA!D7793</f>
        <v/>
      </c>
      <c r="E7793">
        <f>TEST_DATA!E7793</f>
        <v/>
      </c>
    </row>
    <row r="7794">
      <c r="A7794">
        <f>TEST_DATA!A7794</f>
        <v/>
      </c>
      <c r="B7794">
        <f>TEST_DATA!B7794</f>
        <v/>
      </c>
      <c r="C7794">
        <f>TEST_DATA!C7794</f>
        <v/>
      </c>
      <c r="D7794">
        <f>TEST_DATA!D7794</f>
        <v/>
      </c>
      <c r="E7794">
        <f>TEST_DATA!E7794</f>
        <v/>
      </c>
    </row>
    <row r="7795">
      <c r="A7795">
        <f>TEST_DATA!A7795</f>
        <v/>
      </c>
      <c r="B7795">
        <f>TEST_DATA!B7795</f>
        <v/>
      </c>
      <c r="C7795">
        <f>TEST_DATA!C7795</f>
        <v/>
      </c>
      <c r="D7795">
        <f>TEST_DATA!D7795</f>
        <v/>
      </c>
      <c r="E7795">
        <f>TEST_DATA!E7795</f>
        <v/>
      </c>
    </row>
    <row r="7796">
      <c r="A7796">
        <f>TEST_DATA!A7796</f>
        <v/>
      </c>
      <c r="B7796">
        <f>TEST_DATA!B7796</f>
        <v/>
      </c>
      <c r="C7796">
        <f>TEST_DATA!C7796</f>
        <v/>
      </c>
      <c r="D7796">
        <f>TEST_DATA!D7796</f>
        <v/>
      </c>
      <c r="E7796">
        <f>TEST_DATA!E7796</f>
        <v/>
      </c>
    </row>
    <row r="7797">
      <c r="A7797">
        <f>TEST_DATA!A7797</f>
        <v/>
      </c>
      <c r="B7797">
        <f>TEST_DATA!B7797</f>
        <v/>
      </c>
      <c r="C7797">
        <f>TEST_DATA!C7797</f>
        <v/>
      </c>
      <c r="D7797">
        <f>TEST_DATA!D7797</f>
        <v/>
      </c>
      <c r="E7797">
        <f>TEST_DATA!E7797</f>
        <v/>
      </c>
    </row>
    <row r="7798">
      <c r="A7798">
        <f>TEST_DATA!A7798</f>
        <v/>
      </c>
      <c r="B7798">
        <f>TEST_DATA!B7798</f>
        <v/>
      </c>
      <c r="C7798">
        <f>TEST_DATA!C7798</f>
        <v/>
      </c>
      <c r="D7798">
        <f>TEST_DATA!D7798</f>
        <v/>
      </c>
      <c r="E7798">
        <f>TEST_DATA!E7798</f>
        <v/>
      </c>
    </row>
    <row r="7799">
      <c r="A7799">
        <f>TEST_DATA!A7799</f>
        <v/>
      </c>
      <c r="B7799">
        <f>TEST_DATA!B7799</f>
        <v/>
      </c>
      <c r="C7799">
        <f>TEST_DATA!C7799</f>
        <v/>
      </c>
      <c r="D7799">
        <f>TEST_DATA!D7799</f>
        <v/>
      </c>
      <c r="E7799">
        <f>TEST_DATA!E7799</f>
        <v/>
      </c>
    </row>
    <row r="7800">
      <c r="A7800">
        <f>TEST_DATA!A7800</f>
        <v/>
      </c>
      <c r="B7800">
        <f>TEST_DATA!B7800</f>
        <v/>
      </c>
      <c r="C7800">
        <f>TEST_DATA!C7800</f>
        <v/>
      </c>
      <c r="D7800">
        <f>TEST_DATA!D7800</f>
        <v/>
      </c>
      <c r="E7800">
        <f>TEST_DATA!E7800</f>
        <v/>
      </c>
    </row>
    <row r="7801">
      <c r="A7801">
        <f>TEST_DATA!A7801</f>
        <v/>
      </c>
      <c r="B7801">
        <f>TEST_DATA!B7801</f>
        <v/>
      </c>
      <c r="C7801">
        <f>TEST_DATA!C7801</f>
        <v/>
      </c>
      <c r="D7801">
        <f>TEST_DATA!D7801</f>
        <v/>
      </c>
      <c r="E7801">
        <f>TEST_DATA!E7801</f>
        <v/>
      </c>
    </row>
    <row r="7802">
      <c r="A7802">
        <f>TEST_DATA!A7802</f>
        <v/>
      </c>
      <c r="B7802">
        <f>TEST_DATA!B7802</f>
        <v/>
      </c>
      <c r="C7802">
        <f>TEST_DATA!C7802</f>
        <v/>
      </c>
      <c r="D7802">
        <f>TEST_DATA!D7802</f>
        <v/>
      </c>
      <c r="E7802">
        <f>TEST_DATA!E7802</f>
        <v/>
      </c>
    </row>
    <row r="7803">
      <c r="A7803">
        <f>TEST_DATA!A7803</f>
        <v/>
      </c>
      <c r="B7803">
        <f>TEST_DATA!B7803</f>
        <v/>
      </c>
      <c r="C7803">
        <f>TEST_DATA!C7803</f>
        <v/>
      </c>
      <c r="D7803">
        <f>TEST_DATA!D7803</f>
        <v/>
      </c>
      <c r="E7803">
        <f>TEST_DATA!E7803</f>
        <v/>
      </c>
    </row>
    <row r="7804">
      <c r="A7804">
        <f>TEST_DATA!A7804</f>
        <v/>
      </c>
      <c r="B7804">
        <f>TEST_DATA!B7804</f>
        <v/>
      </c>
      <c r="C7804">
        <f>TEST_DATA!C7804</f>
        <v/>
      </c>
      <c r="D7804">
        <f>TEST_DATA!D7804</f>
        <v/>
      </c>
      <c r="E7804">
        <f>TEST_DATA!E7804</f>
        <v/>
      </c>
    </row>
    <row r="7805">
      <c r="A7805">
        <f>TEST_DATA!A7805</f>
        <v/>
      </c>
      <c r="B7805">
        <f>TEST_DATA!B7805</f>
        <v/>
      </c>
      <c r="C7805">
        <f>TEST_DATA!C7805</f>
        <v/>
      </c>
      <c r="D7805">
        <f>TEST_DATA!D7805</f>
        <v/>
      </c>
      <c r="E7805">
        <f>TEST_DATA!E7805</f>
        <v/>
      </c>
    </row>
    <row r="7806">
      <c r="A7806">
        <f>TEST_DATA!A7806</f>
        <v/>
      </c>
      <c r="B7806">
        <f>TEST_DATA!B7806</f>
        <v/>
      </c>
      <c r="C7806">
        <f>TEST_DATA!C7806</f>
        <v/>
      </c>
      <c r="D7806">
        <f>TEST_DATA!D7806</f>
        <v/>
      </c>
      <c r="E7806">
        <f>TEST_DATA!E7806</f>
        <v/>
      </c>
    </row>
    <row r="7807">
      <c r="A7807">
        <f>TEST_DATA!A7807</f>
        <v/>
      </c>
      <c r="B7807">
        <f>TEST_DATA!B7807</f>
        <v/>
      </c>
      <c r="C7807">
        <f>TEST_DATA!C7807</f>
        <v/>
      </c>
      <c r="D7807">
        <f>TEST_DATA!D7807</f>
        <v/>
      </c>
      <c r="E7807">
        <f>TEST_DATA!E7807</f>
        <v/>
      </c>
    </row>
    <row r="7808">
      <c r="A7808">
        <f>TEST_DATA!A7808</f>
        <v/>
      </c>
      <c r="B7808">
        <f>TEST_DATA!B7808</f>
        <v/>
      </c>
      <c r="C7808">
        <f>TEST_DATA!C7808</f>
        <v/>
      </c>
      <c r="D7808">
        <f>TEST_DATA!D7808</f>
        <v/>
      </c>
      <c r="E7808">
        <f>TEST_DATA!E7808</f>
        <v/>
      </c>
    </row>
    <row r="7809">
      <c r="A7809">
        <f>TEST_DATA!A7809</f>
        <v/>
      </c>
      <c r="B7809">
        <f>TEST_DATA!B7809</f>
        <v/>
      </c>
      <c r="C7809">
        <f>TEST_DATA!C7809</f>
        <v/>
      </c>
      <c r="D7809">
        <f>TEST_DATA!D7809</f>
        <v/>
      </c>
      <c r="E7809">
        <f>TEST_DATA!E7809</f>
        <v/>
      </c>
    </row>
    <row r="7810">
      <c r="A7810">
        <f>TEST_DATA!A7810</f>
        <v/>
      </c>
      <c r="B7810">
        <f>TEST_DATA!B7810</f>
        <v/>
      </c>
      <c r="C7810">
        <f>TEST_DATA!C7810</f>
        <v/>
      </c>
      <c r="D7810">
        <f>TEST_DATA!D7810</f>
        <v/>
      </c>
      <c r="E7810">
        <f>TEST_DATA!E7810</f>
        <v/>
      </c>
    </row>
    <row r="7811">
      <c r="A7811">
        <f>TEST_DATA!A7811</f>
        <v/>
      </c>
      <c r="B7811">
        <f>TEST_DATA!B7811</f>
        <v/>
      </c>
      <c r="C7811">
        <f>TEST_DATA!C7811</f>
        <v/>
      </c>
      <c r="D7811">
        <f>TEST_DATA!D7811</f>
        <v/>
      </c>
      <c r="E7811">
        <f>TEST_DATA!E7811</f>
        <v/>
      </c>
    </row>
    <row r="7812">
      <c r="A7812">
        <f>TEST_DATA!A7812</f>
        <v/>
      </c>
      <c r="B7812">
        <f>TEST_DATA!B7812</f>
        <v/>
      </c>
      <c r="C7812">
        <f>TEST_DATA!C7812</f>
        <v/>
      </c>
      <c r="D7812">
        <f>TEST_DATA!D7812</f>
        <v/>
      </c>
      <c r="E7812">
        <f>TEST_DATA!E7812</f>
        <v/>
      </c>
    </row>
    <row r="7813">
      <c r="A7813">
        <f>TEST_DATA!A7813</f>
        <v/>
      </c>
      <c r="B7813">
        <f>TEST_DATA!B7813</f>
        <v/>
      </c>
      <c r="C7813">
        <f>TEST_DATA!C7813</f>
        <v/>
      </c>
      <c r="D7813">
        <f>TEST_DATA!D7813</f>
        <v/>
      </c>
      <c r="E7813">
        <f>TEST_DATA!E7813</f>
        <v/>
      </c>
    </row>
    <row r="7814">
      <c r="A7814">
        <f>TEST_DATA!A7814</f>
        <v/>
      </c>
      <c r="B7814">
        <f>TEST_DATA!B7814</f>
        <v/>
      </c>
      <c r="C7814">
        <f>TEST_DATA!C7814</f>
        <v/>
      </c>
      <c r="D7814">
        <f>TEST_DATA!D7814</f>
        <v/>
      </c>
      <c r="E7814">
        <f>TEST_DATA!E7814</f>
        <v/>
      </c>
    </row>
    <row r="7815">
      <c r="A7815">
        <f>TEST_DATA!A7815</f>
        <v/>
      </c>
      <c r="B7815">
        <f>TEST_DATA!B7815</f>
        <v/>
      </c>
      <c r="C7815">
        <f>TEST_DATA!C7815</f>
        <v/>
      </c>
      <c r="D7815">
        <f>TEST_DATA!D7815</f>
        <v/>
      </c>
      <c r="E7815">
        <f>TEST_DATA!E7815</f>
        <v/>
      </c>
    </row>
    <row r="7816">
      <c r="A7816">
        <f>TEST_DATA!A7816</f>
        <v/>
      </c>
      <c r="B7816">
        <f>TEST_DATA!B7816</f>
        <v/>
      </c>
      <c r="C7816">
        <f>TEST_DATA!C7816</f>
        <v/>
      </c>
      <c r="D7816">
        <f>TEST_DATA!D7816</f>
        <v/>
      </c>
      <c r="E7816">
        <f>TEST_DATA!E7816</f>
        <v/>
      </c>
    </row>
    <row r="7817">
      <c r="A7817">
        <f>TEST_DATA!A7817</f>
        <v/>
      </c>
      <c r="B7817">
        <f>TEST_DATA!B7817</f>
        <v/>
      </c>
      <c r="C7817">
        <f>TEST_DATA!C7817</f>
        <v/>
      </c>
      <c r="D7817">
        <f>TEST_DATA!D7817</f>
        <v/>
      </c>
      <c r="E7817">
        <f>TEST_DATA!E7817</f>
        <v/>
      </c>
    </row>
    <row r="7818">
      <c r="A7818">
        <f>TEST_DATA!A7818</f>
        <v/>
      </c>
      <c r="B7818">
        <f>TEST_DATA!B7818</f>
        <v/>
      </c>
      <c r="C7818">
        <f>TEST_DATA!C7818</f>
        <v/>
      </c>
      <c r="D7818">
        <f>TEST_DATA!D7818</f>
        <v/>
      </c>
      <c r="E7818">
        <f>TEST_DATA!E7818</f>
        <v/>
      </c>
    </row>
    <row r="7819">
      <c r="A7819">
        <f>TEST_DATA!A7819</f>
        <v/>
      </c>
      <c r="B7819">
        <f>TEST_DATA!B7819</f>
        <v/>
      </c>
      <c r="C7819">
        <f>TEST_DATA!C7819</f>
        <v/>
      </c>
      <c r="D7819">
        <f>TEST_DATA!D7819</f>
        <v/>
      </c>
      <c r="E7819">
        <f>TEST_DATA!E7819</f>
        <v/>
      </c>
    </row>
    <row r="7820">
      <c r="A7820">
        <f>TEST_DATA!A7820</f>
        <v/>
      </c>
      <c r="B7820">
        <f>TEST_DATA!B7820</f>
        <v/>
      </c>
      <c r="C7820">
        <f>TEST_DATA!C7820</f>
        <v/>
      </c>
      <c r="D7820">
        <f>TEST_DATA!D7820</f>
        <v/>
      </c>
      <c r="E7820">
        <f>TEST_DATA!E7820</f>
        <v/>
      </c>
    </row>
    <row r="7821">
      <c r="A7821">
        <f>TEST_DATA!A7821</f>
        <v/>
      </c>
      <c r="B7821">
        <f>TEST_DATA!B7821</f>
        <v/>
      </c>
      <c r="C7821">
        <f>TEST_DATA!C7821</f>
        <v/>
      </c>
      <c r="D7821">
        <f>TEST_DATA!D7821</f>
        <v/>
      </c>
      <c r="E7821">
        <f>TEST_DATA!E7821</f>
        <v/>
      </c>
    </row>
    <row r="7822">
      <c r="A7822">
        <f>TEST_DATA!A7822</f>
        <v/>
      </c>
      <c r="B7822">
        <f>TEST_DATA!B7822</f>
        <v/>
      </c>
      <c r="C7822">
        <f>TEST_DATA!C7822</f>
        <v/>
      </c>
      <c r="D7822">
        <f>TEST_DATA!D7822</f>
        <v/>
      </c>
      <c r="E7822">
        <f>TEST_DATA!E7822</f>
        <v/>
      </c>
    </row>
    <row r="7823">
      <c r="A7823">
        <f>TEST_DATA!A7823</f>
        <v/>
      </c>
      <c r="B7823">
        <f>TEST_DATA!B7823</f>
        <v/>
      </c>
      <c r="C7823">
        <f>TEST_DATA!C7823</f>
        <v/>
      </c>
      <c r="D7823">
        <f>TEST_DATA!D7823</f>
        <v/>
      </c>
      <c r="E7823">
        <f>TEST_DATA!E7823</f>
        <v/>
      </c>
    </row>
    <row r="7824">
      <c r="A7824">
        <f>TEST_DATA!A7824</f>
        <v/>
      </c>
      <c r="B7824">
        <f>TEST_DATA!B7824</f>
        <v/>
      </c>
      <c r="C7824">
        <f>TEST_DATA!C7824</f>
        <v/>
      </c>
      <c r="D7824">
        <f>TEST_DATA!D7824</f>
        <v/>
      </c>
      <c r="E7824">
        <f>TEST_DATA!E7824</f>
        <v/>
      </c>
    </row>
    <row r="7825">
      <c r="A7825">
        <f>TEST_DATA!A7825</f>
        <v/>
      </c>
      <c r="B7825">
        <f>TEST_DATA!B7825</f>
        <v/>
      </c>
      <c r="C7825">
        <f>TEST_DATA!C7825</f>
        <v/>
      </c>
      <c r="D7825">
        <f>TEST_DATA!D7825</f>
        <v/>
      </c>
      <c r="E7825">
        <f>TEST_DATA!E7825</f>
        <v/>
      </c>
    </row>
    <row r="7826">
      <c r="A7826">
        <f>TEST_DATA!A7826</f>
        <v/>
      </c>
      <c r="B7826">
        <f>TEST_DATA!B7826</f>
        <v/>
      </c>
      <c r="C7826">
        <f>TEST_DATA!C7826</f>
        <v/>
      </c>
      <c r="D7826">
        <f>TEST_DATA!D7826</f>
        <v/>
      </c>
      <c r="E7826">
        <f>TEST_DATA!E7826</f>
        <v/>
      </c>
    </row>
    <row r="7827">
      <c r="A7827">
        <f>TEST_DATA!A7827</f>
        <v/>
      </c>
      <c r="B7827">
        <f>TEST_DATA!B7827</f>
        <v/>
      </c>
      <c r="C7827">
        <f>TEST_DATA!C7827</f>
        <v/>
      </c>
      <c r="D7827">
        <f>TEST_DATA!D7827</f>
        <v/>
      </c>
      <c r="E7827">
        <f>TEST_DATA!E7827</f>
        <v/>
      </c>
    </row>
    <row r="7828">
      <c r="A7828">
        <f>TEST_DATA!A7828</f>
        <v/>
      </c>
      <c r="B7828">
        <f>TEST_DATA!B7828</f>
        <v/>
      </c>
      <c r="C7828">
        <f>TEST_DATA!C7828</f>
        <v/>
      </c>
      <c r="D7828">
        <f>TEST_DATA!D7828</f>
        <v/>
      </c>
      <c r="E7828">
        <f>TEST_DATA!E7828</f>
        <v/>
      </c>
    </row>
    <row r="7829">
      <c r="A7829">
        <f>TEST_DATA!A7829</f>
        <v/>
      </c>
      <c r="B7829">
        <f>TEST_DATA!B7829</f>
        <v/>
      </c>
      <c r="C7829">
        <f>TEST_DATA!C7829</f>
        <v/>
      </c>
      <c r="D7829">
        <f>TEST_DATA!D7829</f>
        <v/>
      </c>
      <c r="E7829">
        <f>TEST_DATA!E7829</f>
        <v/>
      </c>
    </row>
    <row r="7830">
      <c r="A7830">
        <f>TEST_DATA!A7830</f>
        <v/>
      </c>
      <c r="B7830">
        <f>TEST_DATA!B7830</f>
        <v/>
      </c>
      <c r="C7830">
        <f>TEST_DATA!C7830</f>
        <v/>
      </c>
      <c r="D7830">
        <f>TEST_DATA!D7830</f>
        <v/>
      </c>
      <c r="E7830">
        <f>TEST_DATA!E7830</f>
        <v/>
      </c>
    </row>
    <row r="7831">
      <c r="A7831">
        <f>TEST_DATA!A7831</f>
        <v/>
      </c>
      <c r="B7831">
        <f>TEST_DATA!B7831</f>
        <v/>
      </c>
      <c r="C7831">
        <f>TEST_DATA!C7831</f>
        <v/>
      </c>
      <c r="D7831">
        <f>TEST_DATA!D7831</f>
        <v/>
      </c>
      <c r="E7831">
        <f>TEST_DATA!E7831</f>
        <v/>
      </c>
    </row>
    <row r="7832">
      <c r="A7832">
        <f>TEST_DATA!A7832</f>
        <v/>
      </c>
      <c r="B7832">
        <f>TEST_DATA!B7832</f>
        <v/>
      </c>
      <c r="C7832">
        <f>TEST_DATA!C7832</f>
        <v/>
      </c>
      <c r="D7832">
        <f>TEST_DATA!D7832</f>
        <v/>
      </c>
      <c r="E7832">
        <f>TEST_DATA!E7832</f>
        <v/>
      </c>
    </row>
    <row r="7833">
      <c r="A7833">
        <f>TEST_DATA!A7833</f>
        <v/>
      </c>
      <c r="B7833">
        <f>TEST_DATA!B7833</f>
        <v/>
      </c>
      <c r="C7833">
        <f>TEST_DATA!C7833</f>
        <v/>
      </c>
      <c r="D7833">
        <f>TEST_DATA!D7833</f>
        <v/>
      </c>
      <c r="E7833">
        <f>TEST_DATA!E7833</f>
        <v/>
      </c>
    </row>
    <row r="7834">
      <c r="A7834">
        <f>TEST_DATA!A7834</f>
        <v/>
      </c>
      <c r="B7834">
        <f>TEST_DATA!B7834</f>
        <v/>
      </c>
      <c r="C7834">
        <f>TEST_DATA!C7834</f>
        <v/>
      </c>
      <c r="D7834">
        <f>TEST_DATA!D7834</f>
        <v/>
      </c>
      <c r="E7834">
        <f>TEST_DATA!E7834</f>
        <v/>
      </c>
    </row>
    <row r="7835">
      <c r="A7835">
        <f>TEST_DATA!A7835</f>
        <v/>
      </c>
      <c r="B7835">
        <f>TEST_DATA!B7835</f>
        <v/>
      </c>
      <c r="C7835">
        <f>TEST_DATA!C7835</f>
        <v/>
      </c>
      <c r="D7835">
        <f>TEST_DATA!D7835</f>
        <v/>
      </c>
      <c r="E7835">
        <f>TEST_DATA!E7835</f>
        <v/>
      </c>
    </row>
    <row r="7836">
      <c r="A7836">
        <f>TEST_DATA!A7836</f>
        <v/>
      </c>
      <c r="B7836">
        <f>TEST_DATA!B7836</f>
        <v/>
      </c>
      <c r="C7836">
        <f>TEST_DATA!C7836</f>
        <v/>
      </c>
      <c r="D7836">
        <f>TEST_DATA!D7836</f>
        <v/>
      </c>
      <c r="E7836">
        <f>TEST_DATA!E7836</f>
        <v/>
      </c>
    </row>
    <row r="7837">
      <c r="A7837">
        <f>TEST_DATA!A7837</f>
        <v/>
      </c>
      <c r="B7837">
        <f>TEST_DATA!B7837</f>
        <v/>
      </c>
      <c r="C7837">
        <f>TEST_DATA!C7837</f>
        <v/>
      </c>
      <c r="D7837">
        <f>TEST_DATA!D7837</f>
        <v/>
      </c>
      <c r="E7837">
        <f>TEST_DATA!E7837</f>
        <v/>
      </c>
    </row>
    <row r="7838">
      <c r="A7838">
        <f>TEST_DATA!A7838</f>
        <v/>
      </c>
      <c r="B7838">
        <f>TEST_DATA!B7838</f>
        <v/>
      </c>
      <c r="C7838">
        <f>TEST_DATA!C7838</f>
        <v/>
      </c>
      <c r="D7838">
        <f>TEST_DATA!D7838</f>
        <v/>
      </c>
      <c r="E7838">
        <f>TEST_DATA!E7838</f>
        <v/>
      </c>
    </row>
    <row r="7839">
      <c r="A7839">
        <f>TEST_DATA!A7839</f>
        <v/>
      </c>
      <c r="B7839">
        <f>TEST_DATA!B7839</f>
        <v/>
      </c>
      <c r="C7839">
        <f>TEST_DATA!C7839</f>
        <v/>
      </c>
      <c r="D7839">
        <f>TEST_DATA!D7839</f>
        <v/>
      </c>
      <c r="E7839">
        <f>TEST_DATA!E7839</f>
        <v/>
      </c>
    </row>
    <row r="7840">
      <c r="A7840">
        <f>TEST_DATA!A7840</f>
        <v/>
      </c>
      <c r="B7840">
        <f>TEST_DATA!B7840</f>
        <v/>
      </c>
      <c r="C7840">
        <f>TEST_DATA!C7840</f>
        <v/>
      </c>
      <c r="D7840">
        <f>TEST_DATA!D7840</f>
        <v/>
      </c>
      <c r="E7840">
        <f>TEST_DATA!E7840</f>
        <v/>
      </c>
    </row>
    <row r="7841">
      <c r="A7841">
        <f>TEST_DATA!A7841</f>
        <v/>
      </c>
      <c r="B7841">
        <f>TEST_DATA!B7841</f>
        <v/>
      </c>
      <c r="C7841">
        <f>TEST_DATA!C7841</f>
        <v/>
      </c>
      <c r="D7841">
        <f>TEST_DATA!D7841</f>
        <v/>
      </c>
      <c r="E7841">
        <f>TEST_DATA!E7841</f>
        <v/>
      </c>
    </row>
    <row r="7842">
      <c r="A7842">
        <f>TEST_DATA!A7842</f>
        <v/>
      </c>
      <c r="B7842">
        <f>TEST_DATA!B7842</f>
        <v/>
      </c>
      <c r="C7842">
        <f>TEST_DATA!C7842</f>
        <v/>
      </c>
      <c r="D7842">
        <f>TEST_DATA!D7842</f>
        <v/>
      </c>
      <c r="E7842">
        <f>TEST_DATA!E7842</f>
        <v/>
      </c>
    </row>
    <row r="7843">
      <c r="A7843">
        <f>TEST_DATA!A7843</f>
        <v/>
      </c>
      <c r="B7843">
        <f>TEST_DATA!B7843</f>
        <v/>
      </c>
      <c r="C7843">
        <f>TEST_DATA!C7843</f>
        <v/>
      </c>
      <c r="D7843">
        <f>TEST_DATA!D7843</f>
        <v/>
      </c>
      <c r="E7843">
        <f>TEST_DATA!E7843</f>
        <v/>
      </c>
    </row>
    <row r="7844">
      <c r="A7844">
        <f>TEST_DATA!A7844</f>
        <v/>
      </c>
      <c r="B7844">
        <f>TEST_DATA!B7844</f>
        <v/>
      </c>
      <c r="C7844">
        <f>TEST_DATA!C7844</f>
        <v/>
      </c>
      <c r="D7844">
        <f>TEST_DATA!D7844</f>
        <v/>
      </c>
      <c r="E7844">
        <f>TEST_DATA!E7844</f>
        <v/>
      </c>
    </row>
    <row r="7845">
      <c r="A7845">
        <f>TEST_DATA!A7845</f>
        <v/>
      </c>
      <c r="B7845">
        <f>TEST_DATA!B7845</f>
        <v/>
      </c>
      <c r="C7845">
        <f>TEST_DATA!C7845</f>
        <v/>
      </c>
      <c r="D7845">
        <f>TEST_DATA!D7845</f>
        <v/>
      </c>
      <c r="E7845">
        <f>TEST_DATA!E7845</f>
        <v/>
      </c>
    </row>
    <row r="7846">
      <c r="A7846">
        <f>TEST_DATA!A7846</f>
        <v/>
      </c>
      <c r="B7846">
        <f>TEST_DATA!B7846</f>
        <v/>
      </c>
      <c r="C7846">
        <f>TEST_DATA!C7846</f>
        <v/>
      </c>
      <c r="D7846">
        <f>TEST_DATA!D7846</f>
        <v/>
      </c>
      <c r="E7846">
        <f>TEST_DATA!E7846</f>
        <v/>
      </c>
    </row>
    <row r="7847">
      <c r="A7847">
        <f>TEST_DATA!A7847</f>
        <v/>
      </c>
      <c r="B7847">
        <f>TEST_DATA!B7847</f>
        <v/>
      </c>
      <c r="C7847">
        <f>TEST_DATA!C7847</f>
        <v/>
      </c>
      <c r="D7847">
        <f>TEST_DATA!D7847</f>
        <v/>
      </c>
      <c r="E7847">
        <f>TEST_DATA!E7847</f>
        <v/>
      </c>
    </row>
    <row r="7848">
      <c r="A7848">
        <f>TEST_DATA!A7848</f>
        <v/>
      </c>
      <c r="B7848">
        <f>TEST_DATA!B7848</f>
        <v/>
      </c>
      <c r="C7848">
        <f>TEST_DATA!C7848</f>
        <v/>
      </c>
      <c r="D7848">
        <f>TEST_DATA!D7848</f>
        <v/>
      </c>
      <c r="E7848">
        <f>TEST_DATA!E7848</f>
        <v/>
      </c>
    </row>
    <row r="7849">
      <c r="A7849">
        <f>TEST_DATA!A7849</f>
        <v/>
      </c>
      <c r="B7849">
        <f>TEST_DATA!B7849</f>
        <v/>
      </c>
      <c r="C7849">
        <f>TEST_DATA!C7849</f>
        <v/>
      </c>
      <c r="D7849">
        <f>TEST_DATA!D7849</f>
        <v/>
      </c>
      <c r="E7849">
        <f>TEST_DATA!E7849</f>
        <v/>
      </c>
    </row>
    <row r="7850">
      <c r="A7850">
        <f>TEST_DATA!A7850</f>
        <v/>
      </c>
      <c r="B7850">
        <f>TEST_DATA!B7850</f>
        <v/>
      </c>
      <c r="C7850">
        <f>TEST_DATA!C7850</f>
        <v/>
      </c>
      <c r="D7850">
        <f>TEST_DATA!D7850</f>
        <v/>
      </c>
      <c r="E7850">
        <f>TEST_DATA!E7850</f>
        <v/>
      </c>
    </row>
    <row r="7851">
      <c r="A7851">
        <f>TEST_DATA!A7851</f>
        <v/>
      </c>
      <c r="B7851">
        <f>TEST_DATA!B7851</f>
        <v/>
      </c>
      <c r="C7851">
        <f>TEST_DATA!C7851</f>
        <v/>
      </c>
      <c r="D7851">
        <f>TEST_DATA!D7851</f>
        <v/>
      </c>
      <c r="E7851">
        <f>TEST_DATA!E7851</f>
        <v/>
      </c>
    </row>
    <row r="7852">
      <c r="A7852">
        <f>TEST_DATA!A7852</f>
        <v/>
      </c>
      <c r="B7852">
        <f>TEST_DATA!B7852</f>
        <v/>
      </c>
      <c r="C7852">
        <f>TEST_DATA!C7852</f>
        <v/>
      </c>
      <c r="D7852">
        <f>TEST_DATA!D7852</f>
        <v/>
      </c>
      <c r="E7852">
        <f>TEST_DATA!E7852</f>
        <v/>
      </c>
    </row>
    <row r="7853">
      <c r="A7853">
        <f>TEST_DATA!A7853</f>
        <v/>
      </c>
      <c r="B7853">
        <f>TEST_DATA!B7853</f>
        <v/>
      </c>
      <c r="C7853">
        <f>TEST_DATA!C7853</f>
        <v/>
      </c>
      <c r="D7853">
        <f>TEST_DATA!D7853</f>
        <v/>
      </c>
      <c r="E7853">
        <f>TEST_DATA!E7853</f>
        <v/>
      </c>
    </row>
    <row r="7854">
      <c r="A7854">
        <f>TEST_DATA!A7854</f>
        <v/>
      </c>
      <c r="B7854">
        <f>TEST_DATA!B7854</f>
        <v/>
      </c>
      <c r="C7854">
        <f>TEST_DATA!C7854</f>
        <v/>
      </c>
      <c r="D7854">
        <f>TEST_DATA!D7854</f>
        <v/>
      </c>
      <c r="E7854">
        <f>TEST_DATA!E7854</f>
        <v/>
      </c>
    </row>
    <row r="7855">
      <c r="A7855">
        <f>TEST_DATA!A7855</f>
        <v/>
      </c>
      <c r="B7855">
        <f>TEST_DATA!B7855</f>
        <v/>
      </c>
      <c r="C7855">
        <f>TEST_DATA!C7855</f>
        <v/>
      </c>
      <c r="D7855">
        <f>TEST_DATA!D7855</f>
        <v/>
      </c>
      <c r="E7855">
        <f>TEST_DATA!E7855</f>
        <v/>
      </c>
    </row>
    <row r="7856">
      <c r="A7856">
        <f>TEST_DATA!A7856</f>
        <v/>
      </c>
      <c r="B7856">
        <f>TEST_DATA!B7856</f>
        <v/>
      </c>
      <c r="C7856">
        <f>TEST_DATA!C7856</f>
        <v/>
      </c>
      <c r="D7856">
        <f>TEST_DATA!D7856</f>
        <v/>
      </c>
      <c r="E7856">
        <f>TEST_DATA!E7856</f>
        <v/>
      </c>
    </row>
    <row r="7857">
      <c r="A7857">
        <f>TEST_DATA!A7857</f>
        <v/>
      </c>
      <c r="B7857">
        <f>TEST_DATA!B7857</f>
        <v/>
      </c>
      <c r="C7857">
        <f>TEST_DATA!C7857</f>
        <v/>
      </c>
      <c r="D7857">
        <f>TEST_DATA!D7857</f>
        <v/>
      </c>
      <c r="E7857">
        <f>TEST_DATA!E7857</f>
        <v/>
      </c>
    </row>
    <row r="7858">
      <c r="A7858">
        <f>TEST_DATA!A7858</f>
        <v/>
      </c>
      <c r="B7858">
        <f>TEST_DATA!B7858</f>
        <v/>
      </c>
      <c r="C7858">
        <f>TEST_DATA!C7858</f>
        <v/>
      </c>
      <c r="D7858">
        <f>TEST_DATA!D7858</f>
        <v/>
      </c>
      <c r="E7858">
        <f>TEST_DATA!E7858</f>
        <v/>
      </c>
    </row>
    <row r="7859">
      <c r="A7859">
        <f>TEST_DATA!A7859</f>
        <v/>
      </c>
      <c r="B7859">
        <f>TEST_DATA!B7859</f>
        <v/>
      </c>
      <c r="C7859">
        <f>TEST_DATA!C7859</f>
        <v/>
      </c>
      <c r="D7859">
        <f>TEST_DATA!D7859</f>
        <v/>
      </c>
      <c r="E7859">
        <f>TEST_DATA!E7859</f>
        <v/>
      </c>
    </row>
    <row r="7860">
      <c r="A7860">
        <f>TEST_DATA!A7860</f>
        <v/>
      </c>
      <c r="B7860">
        <f>TEST_DATA!B7860</f>
        <v/>
      </c>
      <c r="C7860">
        <f>TEST_DATA!C7860</f>
        <v/>
      </c>
      <c r="D7860">
        <f>TEST_DATA!D7860</f>
        <v/>
      </c>
      <c r="E7860">
        <f>TEST_DATA!E7860</f>
        <v/>
      </c>
    </row>
    <row r="7861">
      <c r="A7861">
        <f>TEST_DATA!A7861</f>
        <v/>
      </c>
      <c r="B7861">
        <f>TEST_DATA!B7861</f>
        <v/>
      </c>
      <c r="C7861">
        <f>TEST_DATA!C7861</f>
        <v/>
      </c>
      <c r="D7861">
        <f>TEST_DATA!D7861</f>
        <v/>
      </c>
      <c r="E7861">
        <f>TEST_DATA!E7861</f>
        <v/>
      </c>
    </row>
    <row r="7862">
      <c r="A7862">
        <f>TEST_DATA!A7862</f>
        <v/>
      </c>
      <c r="B7862">
        <f>TEST_DATA!B7862</f>
        <v/>
      </c>
      <c r="C7862">
        <f>TEST_DATA!C7862</f>
        <v/>
      </c>
      <c r="D7862">
        <f>TEST_DATA!D7862</f>
        <v/>
      </c>
      <c r="E7862">
        <f>TEST_DATA!E7862</f>
        <v/>
      </c>
    </row>
    <row r="7863">
      <c r="A7863">
        <f>TEST_DATA!A7863</f>
        <v/>
      </c>
      <c r="B7863">
        <f>TEST_DATA!B7863</f>
        <v/>
      </c>
      <c r="C7863">
        <f>TEST_DATA!C7863</f>
        <v/>
      </c>
      <c r="D7863">
        <f>TEST_DATA!D7863</f>
        <v/>
      </c>
      <c r="E7863">
        <f>TEST_DATA!E7863</f>
        <v/>
      </c>
    </row>
    <row r="7864">
      <c r="A7864">
        <f>TEST_DATA!A7864</f>
        <v/>
      </c>
      <c r="B7864">
        <f>TEST_DATA!B7864</f>
        <v/>
      </c>
      <c r="C7864">
        <f>TEST_DATA!C7864</f>
        <v/>
      </c>
      <c r="D7864">
        <f>TEST_DATA!D7864</f>
        <v/>
      </c>
      <c r="E7864">
        <f>TEST_DATA!E7864</f>
        <v/>
      </c>
    </row>
    <row r="7865">
      <c r="A7865">
        <f>TEST_DATA!A7865</f>
        <v/>
      </c>
      <c r="B7865">
        <f>TEST_DATA!B7865</f>
        <v/>
      </c>
      <c r="C7865">
        <f>TEST_DATA!C7865</f>
        <v/>
      </c>
      <c r="D7865">
        <f>TEST_DATA!D7865</f>
        <v/>
      </c>
      <c r="E7865">
        <f>TEST_DATA!E7865</f>
        <v/>
      </c>
    </row>
    <row r="7866">
      <c r="A7866">
        <f>TEST_DATA!A7866</f>
        <v/>
      </c>
      <c r="B7866">
        <f>TEST_DATA!B7866</f>
        <v/>
      </c>
      <c r="C7866">
        <f>TEST_DATA!C7866</f>
        <v/>
      </c>
      <c r="D7866">
        <f>TEST_DATA!D7866</f>
        <v/>
      </c>
      <c r="E7866">
        <f>TEST_DATA!E7866</f>
        <v/>
      </c>
    </row>
    <row r="7867">
      <c r="A7867">
        <f>TEST_DATA!A7867</f>
        <v/>
      </c>
      <c r="B7867">
        <f>TEST_DATA!B7867</f>
        <v/>
      </c>
      <c r="C7867">
        <f>TEST_DATA!C7867</f>
        <v/>
      </c>
      <c r="D7867">
        <f>TEST_DATA!D7867</f>
        <v/>
      </c>
      <c r="E7867">
        <f>TEST_DATA!E7867</f>
        <v/>
      </c>
    </row>
    <row r="7868">
      <c r="A7868">
        <f>TEST_DATA!A7868</f>
        <v/>
      </c>
      <c r="B7868">
        <f>TEST_DATA!B7868</f>
        <v/>
      </c>
      <c r="C7868">
        <f>TEST_DATA!C7868</f>
        <v/>
      </c>
      <c r="D7868">
        <f>TEST_DATA!D7868</f>
        <v/>
      </c>
      <c r="E7868">
        <f>TEST_DATA!E7868</f>
        <v/>
      </c>
    </row>
    <row r="7869">
      <c r="A7869">
        <f>TEST_DATA!A7869</f>
        <v/>
      </c>
      <c r="B7869">
        <f>TEST_DATA!B7869</f>
        <v/>
      </c>
      <c r="C7869">
        <f>TEST_DATA!C7869</f>
        <v/>
      </c>
      <c r="D7869">
        <f>TEST_DATA!D7869</f>
        <v/>
      </c>
      <c r="E7869">
        <f>TEST_DATA!E7869</f>
        <v/>
      </c>
    </row>
    <row r="7870">
      <c r="A7870">
        <f>TEST_DATA!A7870</f>
        <v/>
      </c>
      <c r="B7870">
        <f>TEST_DATA!B7870</f>
        <v/>
      </c>
      <c r="C7870">
        <f>TEST_DATA!C7870</f>
        <v/>
      </c>
      <c r="D7870">
        <f>TEST_DATA!D7870</f>
        <v/>
      </c>
      <c r="E7870">
        <f>TEST_DATA!E7870</f>
        <v/>
      </c>
    </row>
    <row r="7871">
      <c r="A7871">
        <f>TEST_DATA!A7871</f>
        <v/>
      </c>
      <c r="B7871">
        <f>TEST_DATA!B7871</f>
        <v/>
      </c>
      <c r="C7871">
        <f>TEST_DATA!C7871</f>
        <v/>
      </c>
      <c r="D7871">
        <f>TEST_DATA!D7871</f>
        <v/>
      </c>
      <c r="E7871">
        <f>TEST_DATA!E7871</f>
        <v/>
      </c>
    </row>
    <row r="7872">
      <c r="A7872">
        <f>TEST_DATA!A7872</f>
        <v/>
      </c>
      <c r="B7872">
        <f>TEST_DATA!B7872</f>
        <v/>
      </c>
      <c r="C7872">
        <f>TEST_DATA!C7872</f>
        <v/>
      </c>
      <c r="D7872">
        <f>TEST_DATA!D7872</f>
        <v/>
      </c>
      <c r="E7872">
        <f>TEST_DATA!E7872</f>
        <v/>
      </c>
    </row>
    <row r="7873">
      <c r="A7873">
        <f>TEST_DATA!A7873</f>
        <v/>
      </c>
      <c r="B7873">
        <f>TEST_DATA!B7873</f>
        <v/>
      </c>
      <c r="C7873">
        <f>TEST_DATA!C7873</f>
        <v/>
      </c>
      <c r="D7873">
        <f>TEST_DATA!D7873</f>
        <v/>
      </c>
      <c r="E7873">
        <f>TEST_DATA!E7873</f>
        <v/>
      </c>
    </row>
    <row r="7874">
      <c r="A7874">
        <f>TEST_DATA!A7874</f>
        <v/>
      </c>
      <c r="B7874">
        <f>TEST_DATA!B7874</f>
        <v/>
      </c>
      <c r="C7874">
        <f>TEST_DATA!C7874</f>
        <v/>
      </c>
      <c r="D7874">
        <f>TEST_DATA!D7874</f>
        <v/>
      </c>
      <c r="E7874">
        <f>TEST_DATA!E7874</f>
        <v/>
      </c>
    </row>
    <row r="7875">
      <c r="A7875">
        <f>TEST_DATA!A7875</f>
        <v/>
      </c>
      <c r="B7875">
        <f>TEST_DATA!B7875</f>
        <v/>
      </c>
      <c r="C7875">
        <f>TEST_DATA!C7875</f>
        <v/>
      </c>
      <c r="D7875">
        <f>TEST_DATA!D7875</f>
        <v/>
      </c>
      <c r="E7875">
        <f>TEST_DATA!E7875</f>
        <v/>
      </c>
    </row>
    <row r="7876">
      <c r="A7876">
        <f>TEST_DATA!A7876</f>
        <v/>
      </c>
      <c r="B7876">
        <f>TEST_DATA!B7876</f>
        <v/>
      </c>
      <c r="C7876">
        <f>TEST_DATA!C7876</f>
        <v/>
      </c>
      <c r="D7876">
        <f>TEST_DATA!D7876</f>
        <v/>
      </c>
      <c r="E7876">
        <f>TEST_DATA!E7876</f>
        <v/>
      </c>
    </row>
    <row r="7877">
      <c r="A7877">
        <f>TEST_DATA!A7877</f>
        <v/>
      </c>
      <c r="B7877">
        <f>TEST_DATA!B7877</f>
        <v/>
      </c>
      <c r="C7877">
        <f>TEST_DATA!C7877</f>
        <v/>
      </c>
      <c r="D7877">
        <f>TEST_DATA!D7877</f>
        <v/>
      </c>
      <c r="E7877">
        <f>TEST_DATA!E7877</f>
        <v/>
      </c>
    </row>
    <row r="7878">
      <c r="A7878">
        <f>TEST_DATA!A7878</f>
        <v/>
      </c>
      <c r="B7878">
        <f>TEST_DATA!B7878</f>
        <v/>
      </c>
      <c r="C7878">
        <f>TEST_DATA!C7878</f>
        <v/>
      </c>
      <c r="D7878">
        <f>TEST_DATA!D7878</f>
        <v/>
      </c>
      <c r="E7878">
        <f>TEST_DATA!E7878</f>
        <v/>
      </c>
    </row>
    <row r="7879">
      <c r="A7879">
        <f>TEST_DATA!A7879</f>
        <v/>
      </c>
      <c r="B7879">
        <f>TEST_DATA!B7879</f>
        <v/>
      </c>
      <c r="C7879">
        <f>TEST_DATA!C7879</f>
        <v/>
      </c>
      <c r="D7879">
        <f>TEST_DATA!D7879</f>
        <v/>
      </c>
      <c r="E7879">
        <f>TEST_DATA!E7879</f>
        <v/>
      </c>
    </row>
    <row r="7880">
      <c r="A7880">
        <f>TEST_DATA!A7880</f>
        <v/>
      </c>
      <c r="B7880">
        <f>TEST_DATA!B7880</f>
        <v/>
      </c>
      <c r="C7880">
        <f>TEST_DATA!C7880</f>
        <v/>
      </c>
      <c r="D7880">
        <f>TEST_DATA!D7880</f>
        <v/>
      </c>
      <c r="E7880">
        <f>TEST_DATA!E7880</f>
        <v/>
      </c>
    </row>
    <row r="7881">
      <c r="A7881">
        <f>TEST_DATA!A7881</f>
        <v/>
      </c>
      <c r="B7881">
        <f>TEST_DATA!B7881</f>
        <v/>
      </c>
      <c r="C7881">
        <f>TEST_DATA!C7881</f>
        <v/>
      </c>
      <c r="D7881">
        <f>TEST_DATA!D7881</f>
        <v/>
      </c>
      <c r="E7881">
        <f>TEST_DATA!E7881</f>
        <v/>
      </c>
    </row>
    <row r="7882">
      <c r="A7882">
        <f>TEST_DATA!A7882</f>
        <v/>
      </c>
      <c r="B7882">
        <f>TEST_DATA!B7882</f>
        <v/>
      </c>
      <c r="C7882">
        <f>TEST_DATA!C7882</f>
        <v/>
      </c>
      <c r="D7882">
        <f>TEST_DATA!D7882</f>
        <v/>
      </c>
      <c r="E7882">
        <f>TEST_DATA!E7882</f>
        <v/>
      </c>
    </row>
    <row r="7883">
      <c r="A7883">
        <f>TEST_DATA!A7883</f>
        <v/>
      </c>
      <c r="B7883">
        <f>TEST_DATA!B7883</f>
        <v/>
      </c>
      <c r="C7883">
        <f>TEST_DATA!C7883</f>
        <v/>
      </c>
      <c r="D7883">
        <f>TEST_DATA!D7883</f>
        <v/>
      </c>
      <c r="E7883">
        <f>TEST_DATA!E7883</f>
        <v/>
      </c>
    </row>
    <row r="7884">
      <c r="A7884">
        <f>TEST_DATA!A7884</f>
        <v/>
      </c>
      <c r="B7884">
        <f>TEST_DATA!B7884</f>
        <v/>
      </c>
      <c r="C7884">
        <f>TEST_DATA!C7884</f>
        <v/>
      </c>
      <c r="D7884">
        <f>TEST_DATA!D7884</f>
        <v/>
      </c>
      <c r="E7884">
        <f>TEST_DATA!E7884</f>
        <v/>
      </c>
    </row>
    <row r="7885">
      <c r="A7885">
        <f>TEST_DATA!A7885</f>
        <v/>
      </c>
      <c r="B7885">
        <f>TEST_DATA!B7885</f>
        <v/>
      </c>
      <c r="C7885">
        <f>TEST_DATA!C7885</f>
        <v/>
      </c>
      <c r="D7885">
        <f>TEST_DATA!D7885</f>
        <v/>
      </c>
      <c r="E7885">
        <f>TEST_DATA!E7885</f>
        <v/>
      </c>
    </row>
    <row r="7886">
      <c r="A7886">
        <f>TEST_DATA!A7886</f>
        <v/>
      </c>
      <c r="B7886">
        <f>TEST_DATA!B7886</f>
        <v/>
      </c>
      <c r="C7886">
        <f>TEST_DATA!C7886</f>
        <v/>
      </c>
      <c r="D7886">
        <f>TEST_DATA!D7886</f>
        <v/>
      </c>
      <c r="E7886">
        <f>TEST_DATA!E7886</f>
        <v/>
      </c>
    </row>
    <row r="7887">
      <c r="A7887">
        <f>TEST_DATA!A7887</f>
        <v/>
      </c>
      <c r="B7887">
        <f>TEST_DATA!B7887</f>
        <v/>
      </c>
      <c r="C7887">
        <f>TEST_DATA!C7887</f>
        <v/>
      </c>
      <c r="D7887">
        <f>TEST_DATA!D7887</f>
        <v/>
      </c>
      <c r="E7887">
        <f>TEST_DATA!E7887</f>
        <v/>
      </c>
    </row>
    <row r="7888">
      <c r="A7888">
        <f>TEST_DATA!A7888</f>
        <v/>
      </c>
      <c r="B7888">
        <f>TEST_DATA!B7888</f>
        <v/>
      </c>
      <c r="C7888">
        <f>TEST_DATA!C7888</f>
        <v/>
      </c>
      <c r="D7888">
        <f>TEST_DATA!D7888</f>
        <v/>
      </c>
      <c r="E7888">
        <f>TEST_DATA!E7888</f>
        <v/>
      </c>
    </row>
    <row r="7889">
      <c r="A7889">
        <f>TEST_DATA!A7889</f>
        <v/>
      </c>
      <c r="B7889">
        <f>TEST_DATA!B7889</f>
        <v/>
      </c>
      <c r="C7889">
        <f>TEST_DATA!C7889</f>
        <v/>
      </c>
      <c r="D7889">
        <f>TEST_DATA!D7889</f>
        <v/>
      </c>
      <c r="E7889">
        <f>TEST_DATA!E7889</f>
        <v/>
      </c>
    </row>
    <row r="7890">
      <c r="A7890">
        <f>TEST_DATA!A7890</f>
        <v/>
      </c>
      <c r="B7890">
        <f>TEST_DATA!B7890</f>
        <v/>
      </c>
      <c r="C7890">
        <f>TEST_DATA!C7890</f>
        <v/>
      </c>
      <c r="D7890">
        <f>TEST_DATA!D7890</f>
        <v/>
      </c>
      <c r="E7890">
        <f>TEST_DATA!E7890</f>
        <v/>
      </c>
    </row>
    <row r="7891">
      <c r="A7891">
        <f>TEST_DATA!A7891</f>
        <v/>
      </c>
      <c r="B7891">
        <f>TEST_DATA!B7891</f>
        <v/>
      </c>
      <c r="C7891">
        <f>TEST_DATA!C7891</f>
        <v/>
      </c>
      <c r="D7891">
        <f>TEST_DATA!D7891</f>
        <v/>
      </c>
      <c r="E7891">
        <f>TEST_DATA!E7891</f>
        <v/>
      </c>
    </row>
    <row r="7892">
      <c r="A7892">
        <f>TEST_DATA!A7892</f>
        <v/>
      </c>
      <c r="B7892">
        <f>TEST_DATA!B7892</f>
        <v/>
      </c>
      <c r="C7892">
        <f>TEST_DATA!C7892</f>
        <v/>
      </c>
      <c r="D7892">
        <f>TEST_DATA!D7892</f>
        <v/>
      </c>
      <c r="E7892">
        <f>TEST_DATA!E7892</f>
        <v/>
      </c>
    </row>
    <row r="7893">
      <c r="A7893">
        <f>TEST_DATA!A7893</f>
        <v/>
      </c>
      <c r="B7893">
        <f>TEST_DATA!B7893</f>
        <v/>
      </c>
      <c r="C7893">
        <f>TEST_DATA!C7893</f>
        <v/>
      </c>
      <c r="D7893">
        <f>TEST_DATA!D7893</f>
        <v/>
      </c>
      <c r="E7893">
        <f>TEST_DATA!E7893</f>
        <v/>
      </c>
    </row>
    <row r="7894">
      <c r="A7894">
        <f>TEST_DATA!A7894</f>
        <v/>
      </c>
      <c r="B7894">
        <f>TEST_DATA!B7894</f>
        <v/>
      </c>
      <c r="C7894">
        <f>TEST_DATA!C7894</f>
        <v/>
      </c>
      <c r="D7894">
        <f>TEST_DATA!D7894</f>
        <v/>
      </c>
      <c r="E7894">
        <f>TEST_DATA!E7894</f>
        <v/>
      </c>
    </row>
    <row r="7895">
      <c r="A7895">
        <f>TEST_DATA!A7895</f>
        <v/>
      </c>
      <c r="B7895">
        <f>TEST_DATA!B7895</f>
        <v/>
      </c>
      <c r="C7895">
        <f>TEST_DATA!C7895</f>
        <v/>
      </c>
      <c r="D7895">
        <f>TEST_DATA!D7895</f>
        <v/>
      </c>
      <c r="E7895">
        <f>TEST_DATA!E7895</f>
        <v/>
      </c>
    </row>
    <row r="7896">
      <c r="A7896">
        <f>TEST_DATA!A7896</f>
        <v/>
      </c>
      <c r="B7896">
        <f>TEST_DATA!B7896</f>
        <v/>
      </c>
      <c r="C7896">
        <f>TEST_DATA!C7896</f>
        <v/>
      </c>
      <c r="D7896">
        <f>TEST_DATA!D7896</f>
        <v/>
      </c>
      <c r="E7896">
        <f>TEST_DATA!E7896</f>
        <v/>
      </c>
    </row>
    <row r="7897">
      <c r="A7897">
        <f>TEST_DATA!A7897</f>
        <v/>
      </c>
      <c r="B7897">
        <f>TEST_DATA!B7897</f>
        <v/>
      </c>
      <c r="C7897">
        <f>TEST_DATA!C7897</f>
        <v/>
      </c>
      <c r="D7897">
        <f>TEST_DATA!D7897</f>
        <v/>
      </c>
      <c r="E7897">
        <f>TEST_DATA!E7897</f>
        <v/>
      </c>
    </row>
    <row r="7898">
      <c r="A7898">
        <f>TEST_DATA!A7898</f>
        <v/>
      </c>
      <c r="B7898">
        <f>TEST_DATA!B7898</f>
        <v/>
      </c>
      <c r="C7898">
        <f>TEST_DATA!C7898</f>
        <v/>
      </c>
      <c r="D7898">
        <f>TEST_DATA!D7898</f>
        <v/>
      </c>
      <c r="E7898">
        <f>TEST_DATA!E7898</f>
        <v/>
      </c>
    </row>
    <row r="7899">
      <c r="A7899">
        <f>TEST_DATA!A7899</f>
        <v/>
      </c>
      <c r="B7899">
        <f>TEST_DATA!B7899</f>
        <v/>
      </c>
      <c r="C7899">
        <f>TEST_DATA!C7899</f>
        <v/>
      </c>
      <c r="D7899">
        <f>TEST_DATA!D7899</f>
        <v/>
      </c>
      <c r="E7899">
        <f>TEST_DATA!E7899</f>
        <v/>
      </c>
    </row>
    <row r="7900">
      <c r="A7900">
        <f>TEST_DATA!A7900</f>
        <v/>
      </c>
      <c r="B7900">
        <f>TEST_DATA!B7900</f>
        <v/>
      </c>
      <c r="C7900">
        <f>TEST_DATA!C7900</f>
        <v/>
      </c>
      <c r="D7900">
        <f>TEST_DATA!D7900</f>
        <v/>
      </c>
      <c r="E7900">
        <f>TEST_DATA!E7900</f>
        <v/>
      </c>
    </row>
    <row r="7901">
      <c r="A7901">
        <f>TEST_DATA!A7901</f>
        <v/>
      </c>
      <c r="B7901">
        <f>TEST_DATA!B7901</f>
        <v/>
      </c>
      <c r="C7901">
        <f>TEST_DATA!C7901</f>
        <v/>
      </c>
      <c r="D7901">
        <f>TEST_DATA!D7901</f>
        <v/>
      </c>
      <c r="E7901">
        <f>TEST_DATA!E7901</f>
        <v/>
      </c>
    </row>
    <row r="7902">
      <c r="A7902">
        <f>TEST_DATA!A7902</f>
        <v/>
      </c>
      <c r="B7902">
        <f>TEST_DATA!B7902</f>
        <v/>
      </c>
      <c r="C7902">
        <f>TEST_DATA!C7902</f>
        <v/>
      </c>
      <c r="D7902">
        <f>TEST_DATA!D7902</f>
        <v/>
      </c>
      <c r="E7902">
        <f>TEST_DATA!E7902</f>
        <v/>
      </c>
    </row>
    <row r="7903">
      <c r="A7903">
        <f>TEST_DATA!A7903</f>
        <v/>
      </c>
      <c r="B7903">
        <f>TEST_DATA!B7903</f>
        <v/>
      </c>
      <c r="C7903">
        <f>TEST_DATA!C7903</f>
        <v/>
      </c>
      <c r="D7903">
        <f>TEST_DATA!D7903</f>
        <v/>
      </c>
      <c r="E7903">
        <f>TEST_DATA!E7903</f>
        <v/>
      </c>
    </row>
    <row r="7904">
      <c r="A7904">
        <f>TEST_DATA!A7904</f>
        <v/>
      </c>
      <c r="B7904">
        <f>TEST_DATA!B7904</f>
        <v/>
      </c>
      <c r="C7904">
        <f>TEST_DATA!C7904</f>
        <v/>
      </c>
      <c r="D7904">
        <f>TEST_DATA!D7904</f>
        <v/>
      </c>
      <c r="E7904">
        <f>TEST_DATA!E7904</f>
        <v/>
      </c>
    </row>
    <row r="7905">
      <c r="A7905">
        <f>TEST_DATA!A7905</f>
        <v/>
      </c>
      <c r="B7905">
        <f>TEST_DATA!B7905</f>
        <v/>
      </c>
      <c r="C7905">
        <f>TEST_DATA!C7905</f>
        <v/>
      </c>
      <c r="D7905">
        <f>TEST_DATA!D7905</f>
        <v/>
      </c>
      <c r="E7905">
        <f>TEST_DATA!E7905</f>
        <v/>
      </c>
    </row>
    <row r="7906">
      <c r="A7906">
        <f>TEST_DATA!A7906</f>
        <v/>
      </c>
      <c r="B7906">
        <f>TEST_DATA!B7906</f>
        <v/>
      </c>
      <c r="C7906">
        <f>TEST_DATA!C7906</f>
        <v/>
      </c>
      <c r="D7906">
        <f>TEST_DATA!D7906</f>
        <v/>
      </c>
      <c r="E7906">
        <f>TEST_DATA!E7906</f>
        <v/>
      </c>
    </row>
    <row r="7907">
      <c r="A7907">
        <f>TEST_DATA!A7907</f>
        <v/>
      </c>
      <c r="B7907">
        <f>TEST_DATA!B7907</f>
        <v/>
      </c>
      <c r="C7907">
        <f>TEST_DATA!C7907</f>
        <v/>
      </c>
      <c r="D7907">
        <f>TEST_DATA!D7907</f>
        <v/>
      </c>
      <c r="E7907">
        <f>TEST_DATA!E7907</f>
        <v/>
      </c>
    </row>
    <row r="7908">
      <c r="A7908">
        <f>TEST_DATA!A7908</f>
        <v/>
      </c>
      <c r="B7908">
        <f>TEST_DATA!B7908</f>
        <v/>
      </c>
      <c r="C7908">
        <f>TEST_DATA!C7908</f>
        <v/>
      </c>
      <c r="D7908">
        <f>TEST_DATA!D7908</f>
        <v/>
      </c>
      <c r="E7908">
        <f>TEST_DATA!E7908</f>
        <v/>
      </c>
    </row>
    <row r="7909">
      <c r="A7909">
        <f>TEST_DATA!A7909</f>
        <v/>
      </c>
      <c r="B7909">
        <f>TEST_DATA!B7909</f>
        <v/>
      </c>
      <c r="C7909">
        <f>TEST_DATA!C7909</f>
        <v/>
      </c>
      <c r="D7909">
        <f>TEST_DATA!D7909</f>
        <v/>
      </c>
      <c r="E7909">
        <f>TEST_DATA!E7909</f>
        <v/>
      </c>
    </row>
    <row r="7910">
      <c r="A7910">
        <f>TEST_DATA!A7910</f>
        <v/>
      </c>
      <c r="B7910">
        <f>TEST_DATA!B7910</f>
        <v/>
      </c>
      <c r="C7910">
        <f>TEST_DATA!C7910</f>
        <v/>
      </c>
      <c r="D7910">
        <f>TEST_DATA!D7910</f>
        <v/>
      </c>
      <c r="E7910">
        <f>TEST_DATA!E7910</f>
        <v/>
      </c>
    </row>
    <row r="7911">
      <c r="A7911">
        <f>TEST_DATA!A7911</f>
        <v/>
      </c>
      <c r="B7911">
        <f>TEST_DATA!B7911</f>
        <v/>
      </c>
      <c r="C7911">
        <f>TEST_DATA!C7911</f>
        <v/>
      </c>
      <c r="D7911">
        <f>TEST_DATA!D7911</f>
        <v/>
      </c>
      <c r="E7911">
        <f>TEST_DATA!E7911</f>
        <v/>
      </c>
    </row>
    <row r="7912">
      <c r="A7912">
        <f>TEST_DATA!A7912</f>
        <v/>
      </c>
      <c r="B7912">
        <f>TEST_DATA!B7912</f>
        <v/>
      </c>
      <c r="C7912">
        <f>TEST_DATA!C7912</f>
        <v/>
      </c>
      <c r="D7912">
        <f>TEST_DATA!D7912</f>
        <v/>
      </c>
      <c r="E7912">
        <f>TEST_DATA!E7912</f>
        <v/>
      </c>
    </row>
    <row r="7913">
      <c r="A7913">
        <f>TEST_DATA!A7913</f>
        <v/>
      </c>
      <c r="B7913">
        <f>TEST_DATA!B7913</f>
        <v/>
      </c>
      <c r="C7913">
        <f>TEST_DATA!C7913</f>
        <v/>
      </c>
      <c r="D7913">
        <f>TEST_DATA!D7913</f>
        <v/>
      </c>
      <c r="E7913">
        <f>TEST_DATA!E7913</f>
        <v/>
      </c>
    </row>
    <row r="7914">
      <c r="A7914">
        <f>TEST_DATA!A7914</f>
        <v/>
      </c>
      <c r="B7914">
        <f>TEST_DATA!B7914</f>
        <v/>
      </c>
      <c r="C7914">
        <f>TEST_DATA!C7914</f>
        <v/>
      </c>
      <c r="D7914">
        <f>TEST_DATA!D7914</f>
        <v/>
      </c>
      <c r="E7914">
        <f>TEST_DATA!E7914</f>
        <v/>
      </c>
    </row>
    <row r="7915">
      <c r="A7915">
        <f>TEST_DATA!A7915</f>
        <v/>
      </c>
      <c r="B7915">
        <f>TEST_DATA!B7915</f>
        <v/>
      </c>
      <c r="C7915">
        <f>TEST_DATA!C7915</f>
        <v/>
      </c>
      <c r="D7915">
        <f>TEST_DATA!D7915</f>
        <v/>
      </c>
      <c r="E7915">
        <f>TEST_DATA!E7915</f>
        <v/>
      </c>
    </row>
    <row r="7916">
      <c r="A7916">
        <f>TEST_DATA!A7916</f>
        <v/>
      </c>
      <c r="B7916">
        <f>TEST_DATA!B7916</f>
        <v/>
      </c>
      <c r="C7916">
        <f>TEST_DATA!C7916</f>
        <v/>
      </c>
      <c r="D7916">
        <f>TEST_DATA!D7916</f>
        <v/>
      </c>
      <c r="E7916">
        <f>TEST_DATA!E7916</f>
        <v/>
      </c>
    </row>
    <row r="7917">
      <c r="A7917">
        <f>TEST_DATA!A7917</f>
        <v/>
      </c>
      <c r="B7917">
        <f>TEST_DATA!B7917</f>
        <v/>
      </c>
      <c r="C7917">
        <f>TEST_DATA!C7917</f>
        <v/>
      </c>
      <c r="D7917">
        <f>TEST_DATA!D7917</f>
        <v/>
      </c>
      <c r="E7917">
        <f>TEST_DATA!E7917</f>
        <v/>
      </c>
    </row>
    <row r="7918">
      <c r="A7918">
        <f>TEST_DATA!A7918</f>
        <v/>
      </c>
      <c r="B7918">
        <f>TEST_DATA!B7918</f>
        <v/>
      </c>
      <c r="C7918">
        <f>TEST_DATA!C7918</f>
        <v/>
      </c>
      <c r="D7918">
        <f>TEST_DATA!D7918</f>
        <v/>
      </c>
      <c r="E7918">
        <f>TEST_DATA!E7918</f>
        <v/>
      </c>
    </row>
    <row r="7919">
      <c r="A7919">
        <f>TEST_DATA!A7919</f>
        <v/>
      </c>
      <c r="B7919">
        <f>TEST_DATA!B7919</f>
        <v/>
      </c>
      <c r="C7919">
        <f>TEST_DATA!C7919</f>
        <v/>
      </c>
      <c r="D7919">
        <f>TEST_DATA!D7919</f>
        <v/>
      </c>
      <c r="E7919">
        <f>TEST_DATA!E7919</f>
        <v/>
      </c>
    </row>
    <row r="7920">
      <c r="A7920">
        <f>TEST_DATA!A7920</f>
        <v/>
      </c>
      <c r="B7920">
        <f>TEST_DATA!B7920</f>
        <v/>
      </c>
      <c r="C7920">
        <f>TEST_DATA!C7920</f>
        <v/>
      </c>
      <c r="D7920">
        <f>TEST_DATA!D7920</f>
        <v/>
      </c>
      <c r="E7920">
        <f>TEST_DATA!E7920</f>
        <v/>
      </c>
    </row>
    <row r="7921">
      <c r="A7921">
        <f>TEST_DATA!A7921</f>
        <v/>
      </c>
      <c r="B7921">
        <f>TEST_DATA!B7921</f>
        <v/>
      </c>
      <c r="C7921">
        <f>TEST_DATA!C7921</f>
        <v/>
      </c>
      <c r="D7921">
        <f>TEST_DATA!D7921</f>
        <v/>
      </c>
      <c r="E7921">
        <f>TEST_DATA!E7921</f>
        <v/>
      </c>
    </row>
    <row r="7922">
      <c r="A7922">
        <f>TEST_DATA!A7922</f>
        <v/>
      </c>
      <c r="B7922">
        <f>TEST_DATA!B7922</f>
        <v/>
      </c>
      <c r="C7922">
        <f>TEST_DATA!C7922</f>
        <v/>
      </c>
      <c r="D7922">
        <f>TEST_DATA!D7922</f>
        <v/>
      </c>
      <c r="E7922">
        <f>TEST_DATA!E7922</f>
        <v/>
      </c>
    </row>
    <row r="7923">
      <c r="A7923">
        <f>TEST_DATA!A7923</f>
        <v/>
      </c>
      <c r="B7923">
        <f>TEST_DATA!B7923</f>
        <v/>
      </c>
      <c r="C7923">
        <f>TEST_DATA!C7923</f>
        <v/>
      </c>
      <c r="D7923">
        <f>TEST_DATA!D7923</f>
        <v/>
      </c>
      <c r="E7923">
        <f>TEST_DATA!E7923</f>
        <v/>
      </c>
    </row>
    <row r="7924">
      <c r="A7924">
        <f>TEST_DATA!A7924</f>
        <v/>
      </c>
      <c r="B7924">
        <f>TEST_DATA!B7924</f>
        <v/>
      </c>
      <c r="C7924">
        <f>TEST_DATA!C7924</f>
        <v/>
      </c>
      <c r="D7924">
        <f>TEST_DATA!D7924</f>
        <v/>
      </c>
      <c r="E7924">
        <f>TEST_DATA!E7924</f>
        <v/>
      </c>
    </row>
    <row r="7925">
      <c r="A7925">
        <f>TEST_DATA!A7925</f>
        <v/>
      </c>
      <c r="B7925">
        <f>TEST_DATA!B7925</f>
        <v/>
      </c>
      <c r="C7925">
        <f>TEST_DATA!C7925</f>
        <v/>
      </c>
      <c r="D7925">
        <f>TEST_DATA!D7925</f>
        <v/>
      </c>
      <c r="E7925">
        <f>TEST_DATA!E7925</f>
        <v/>
      </c>
    </row>
    <row r="7926">
      <c r="A7926">
        <f>TEST_DATA!A7926</f>
        <v/>
      </c>
      <c r="B7926">
        <f>TEST_DATA!B7926</f>
        <v/>
      </c>
      <c r="C7926">
        <f>TEST_DATA!C7926</f>
        <v/>
      </c>
      <c r="D7926">
        <f>TEST_DATA!D7926</f>
        <v/>
      </c>
      <c r="E7926">
        <f>TEST_DATA!E7926</f>
        <v/>
      </c>
    </row>
    <row r="7927">
      <c r="A7927">
        <f>TEST_DATA!A7927</f>
        <v/>
      </c>
      <c r="B7927">
        <f>TEST_DATA!B7927</f>
        <v/>
      </c>
      <c r="C7927">
        <f>TEST_DATA!C7927</f>
        <v/>
      </c>
      <c r="D7927">
        <f>TEST_DATA!D7927</f>
        <v/>
      </c>
      <c r="E7927">
        <f>TEST_DATA!E7927</f>
        <v/>
      </c>
    </row>
    <row r="7928">
      <c r="A7928">
        <f>TEST_DATA!A7928</f>
        <v/>
      </c>
      <c r="B7928">
        <f>TEST_DATA!B7928</f>
        <v/>
      </c>
      <c r="C7928">
        <f>TEST_DATA!C7928</f>
        <v/>
      </c>
      <c r="D7928">
        <f>TEST_DATA!D7928</f>
        <v/>
      </c>
      <c r="E7928">
        <f>TEST_DATA!E7928</f>
        <v/>
      </c>
    </row>
    <row r="7929">
      <c r="A7929">
        <f>TEST_DATA!A7929</f>
        <v/>
      </c>
      <c r="B7929">
        <f>TEST_DATA!B7929</f>
        <v/>
      </c>
      <c r="C7929">
        <f>TEST_DATA!C7929</f>
        <v/>
      </c>
      <c r="D7929">
        <f>TEST_DATA!D7929</f>
        <v/>
      </c>
      <c r="E7929">
        <f>TEST_DATA!E7929</f>
        <v/>
      </c>
    </row>
    <row r="7930">
      <c r="A7930">
        <f>TEST_DATA!A7930</f>
        <v/>
      </c>
      <c r="B7930">
        <f>TEST_DATA!B7930</f>
        <v/>
      </c>
      <c r="C7930">
        <f>TEST_DATA!C7930</f>
        <v/>
      </c>
      <c r="D7930">
        <f>TEST_DATA!D7930</f>
        <v/>
      </c>
      <c r="E7930">
        <f>TEST_DATA!E7930</f>
        <v/>
      </c>
    </row>
    <row r="7931">
      <c r="A7931">
        <f>TEST_DATA!A7931</f>
        <v/>
      </c>
      <c r="B7931">
        <f>TEST_DATA!B7931</f>
        <v/>
      </c>
      <c r="C7931">
        <f>TEST_DATA!C7931</f>
        <v/>
      </c>
      <c r="D7931">
        <f>TEST_DATA!D7931</f>
        <v/>
      </c>
      <c r="E7931">
        <f>TEST_DATA!E7931</f>
        <v/>
      </c>
    </row>
    <row r="7932">
      <c r="A7932">
        <f>TEST_DATA!A7932</f>
        <v/>
      </c>
      <c r="B7932">
        <f>TEST_DATA!B7932</f>
        <v/>
      </c>
      <c r="C7932">
        <f>TEST_DATA!C7932</f>
        <v/>
      </c>
      <c r="D7932">
        <f>TEST_DATA!D7932</f>
        <v/>
      </c>
      <c r="E7932">
        <f>TEST_DATA!E7932</f>
        <v/>
      </c>
    </row>
    <row r="7933">
      <c r="A7933">
        <f>TEST_DATA!A7933</f>
        <v/>
      </c>
      <c r="B7933">
        <f>TEST_DATA!B7933</f>
        <v/>
      </c>
      <c r="C7933">
        <f>TEST_DATA!C7933</f>
        <v/>
      </c>
      <c r="D7933">
        <f>TEST_DATA!D7933</f>
        <v/>
      </c>
      <c r="E7933">
        <f>TEST_DATA!E7933</f>
        <v/>
      </c>
    </row>
    <row r="7934">
      <c r="A7934">
        <f>TEST_DATA!A7934</f>
        <v/>
      </c>
      <c r="B7934">
        <f>TEST_DATA!B7934</f>
        <v/>
      </c>
      <c r="C7934">
        <f>TEST_DATA!C7934</f>
        <v/>
      </c>
      <c r="D7934">
        <f>TEST_DATA!D7934</f>
        <v/>
      </c>
      <c r="E7934">
        <f>TEST_DATA!E7934</f>
        <v/>
      </c>
    </row>
    <row r="7935">
      <c r="A7935">
        <f>TEST_DATA!A7935</f>
        <v/>
      </c>
      <c r="B7935">
        <f>TEST_DATA!B7935</f>
        <v/>
      </c>
      <c r="C7935">
        <f>TEST_DATA!C7935</f>
        <v/>
      </c>
      <c r="D7935">
        <f>TEST_DATA!D7935</f>
        <v/>
      </c>
      <c r="E7935">
        <f>TEST_DATA!E7935</f>
        <v/>
      </c>
    </row>
    <row r="7936">
      <c r="A7936">
        <f>TEST_DATA!A7936</f>
        <v/>
      </c>
      <c r="B7936">
        <f>TEST_DATA!B7936</f>
        <v/>
      </c>
      <c r="C7936">
        <f>TEST_DATA!C7936</f>
        <v/>
      </c>
      <c r="D7936">
        <f>TEST_DATA!D7936</f>
        <v/>
      </c>
      <c r="E7936">
        <f>TEST_DATA!E7936</f>
        <v/>
      </c>
    </row>
    <row r="7937">
      <c r="A7937">
        <f>TEST_DATA!A7937</f>
        <v/>
      </c>
      <c r="B7937">
        <f>TEST_DATA!B7937</f>
        <v/>
      </c>
      <c r="C7937">
        <f>TEST_DATA!C7937</f>
        <v/>
      </c>
      <c r="D7937">
        <f>TEST_DATA!D7937</f>
        <v/>
      </c>
      <c r="E7937">
        <f>TEST_DATA!E7937</f>
        <v/>
      </c>
    </row>
    <row r="7938">
      <c r="A7938">
        <f>TEST_DATA!A7938</f>
        <v/>
      </c>
      <c r="B7938">
        <f>TEST_DATA!B7938</f>
        <v/>
      </c>
      <c r="C7938">
        <f>TEST_DATA!C7938</f>
        <v/>
      </c>
      <c r="D7938">
        <f>TEST_DATA!D7938</f>
        <v/>
      </c>
      <c r="E7938">
        <f>TEST_DATA!E7938</f>
        <v/>
      </c>
    </row>
    <row r="7939">
      <c r="A7939">
        <f>TEST_DATA!A7939</f>
        <v/>
      </c>
      <c r="B7939">
        <f>TEST_DATA!B7939</f>
        <v/>
      </c>
      <c r="C7939">
        <f>TEST_DATA!C7939</f>
        <v/>
      </c>
      <c r="D7939">
        <f>TEST_DATA!D7939</f>
        <v/>
      </c>
      <c r="E7939">
        <f>TEST_DATA!E7939</f>
        <v/>
      </c>
    </row>
    <row r="7940">
      <c r="A7940">
        <f>TEST_DATA!A7940</f>
        <v/>
      </c>
      <c r="B7940">
        <f>TEST_DATA!B7940</f>
        <v/>
      </c>
      <c r="C7940">
        <f>TEST_DATA!C7940</f>
        <v/>
      </c>
      <c r="D7940">
        <f>TEST_DATA!D7940</f>
        <v/>
      </c>
      <c r="E7940">
        <f>TEST_DATA!E7940</f>
        <v/>
      </c>
    </row>
    <row r="7941">
      <c r="A7941">
        <f>TEST_DATA!A7941</f>
        <v/>
      </c>
      <c r="B7941">
        <f>TEST_DATA!B7941</f>
        <v/>
      </c>
      <c r="C7941">
        <f>TEST_DATA!C7941</f>
        <v/>
      </c>
      <c r="D7941">
        <f>TEST_DATA!D7941</f>
        <v/>
      </c>
      <c r="E7941">
        <f>TEST_DATA!E7941</f>
        <v/>
      </c>
    </row>
    <row r="7942">
      <c r="A7942">
        <f>TEST_DATA!A7942</f>
        <v/>
      </c>
      <c r="B7942">
        <f>TEST_DATA!B7942</f>
        <v/>
      </c>
      <c r="C7942">
        <f>TEST_DATA!C7942</f>
        <v/>
      </c>
      <c r="D7942">
        <f>TEST_DATA!D7942</f>
        <v/>
      </c>
      <c r="E7942">
        <f>TEST_DATA!E7942</f>
        <v/>
      </c>
    </row>
    <row r="7943">
      <c r="A7943">
        <f>TEST_DATA!A7943</f>
        <v/>
      </c>
      <c r="B7943">
        <f>TEST_DATA!B7943</f>
        <v/>
      </c>
      <c r="C7943">
        <f>TEST_DATA!C7943</f>
        <v/>
      </c>
      <c r="D7943">
        <f>TEST_DATA!D7943</f>
        <v/>
      </c>
      <c r="E7943">
        <f>TEST_DATA!E7943</f>
        <v/>
      </c>
    </row>
    <row r="7944">
      <c r="A7944">
        <f>TEST_DATA!A7944</f>
        <v/>
      </c>
      <c r="B7944">
        <f>TEST_DATA!B7944</f>
        <v/>
      </c>
      <c r="C7944">
        <f>TEST_DATA!C7944</f>
        <v/>
      </c>
      <c r="D7944">
        <f>TEST_DATA!D7944</f>
        <v/>
      </c>
      <c r="E7944">
        <f>TEST_DATA!E7944</f>
        <v/>
      </c>
    </row>
    <row r="7945">
      <c r="A7945">
        <f>TEST_DATA!A7945</f>
        <v/>
      </c>
      <c r="B7945">
        <f>TEST_DATA!B7945</f>
        <v/>
      </c>
      <c r="C7945">
        <f>TEST_DATA!C7945</f>
        <v/>
      </c>
      <c r="D7945">
        <f>TEST_DATA!D7945</f>
        <v/>
      </c>
      <c r="E7945">
        <f>TEST_DATA!E7945</f>
        <v/>
      </c>
    </row>
    <row r="7946">
      <c r="A7946">
        <f>TEST_DATA!A7946</f>
        <v/>
      </c>
      <c r="B7946">
        <f>TEST_DATA!B7946</f>
        <v/>
      </c>
      <c r="C7946">
        <f>TEST_DATA!C7946</f>
        <v/>
      </c>
      <c r="D7946">
        <f>TEST_DATA!D7946</f>
        <v/>
      </c>
      <c r="E7946">
        <f>TEST_DATA!E7946</f>
        <v/>
      </c>
    </row>
    <row r="7947">
      <c r="A7947">
        <f>TEST_DATA!A7947</f>
        <v/>
      </c>
      <c r="B7947">
        <f>TEST_DATA!B7947</f>
        <v/>
      </c>
      <c r="C7947">
        <f>TEST_DATA!C7947</f>
        <v/>
      </c>
      <c r="D7947">
        <f>TEST_DATA!D7947</f>
        <v/>
      </c>
      <c r="E7947">
        <f>TEST_DATA!E7947</f>
        <v/>
      </c>
    </row>
    <row r="7948">
      <c r="A7948">
        <f>TEST_DATA!A7948</f>
        <v/>
      </c>
      <c r="B7948">
        <f>TEST_DATA!B7948</f>
        <v/>
      </c>
      <c r="C7948">
        <f>TEST_DATA!C7948</f>
        <v/>
      </c>
      <c r="D7948">
        <f>TEST_DATA!D7948</f>
        <v/>
      </c>
      <c r="E7948">
        <f>TEST_DATA!E7948</f>
        <v/>
      </c>
    </row>
    <row r="7949">
      <c r="A7949">
        <f>TEST_DATA!A7949</f>
        <v/>
      </c>
      <c r="B7949">
        <f>TEST_DATA!B7949</f>
        <v/>
      </c>
      <c r="C7949">
        <f>TEST_DATA!C7949</f>
        <v/>
      </c>
      <c r="D7949">
        <f>TEST_DATA!D7949</f>
        <v/>
      </c>
      <c r="E7949">
        <f>TEST_DATA!E7949</f>
        <v/>
      </c>
    </row>
    <row r="7950">
      <c r="A7950">
        <f>TEST_DATA!A7950</f>
        <v/>
      </c>
      <c r="B7950">
        <f>TEST_DATA!B7950</f>
        <v/>
      </c>
      <c r="C7950">
        <f>TEST_DATA!C7950</f>
        <v/>
      </c>
      <c r="D7950">
        <f>TEST_DATA!D7950</f>
        <v/>
      </c>
      <c r="E7950">
        <f>TEST_DATA!E7950</f>
        <v/>
      </c>
    </row>
    <row r="7951">
      <c r="A7951">
        <f>TEST_DATA!A7951</f>
        <v/>
      </c>
      <c r="B7951">
        <f>TEST_DATA!B7951</f>
        <v/>
      </c>
      <c r="C7951">
        <f>TEST_DATA!C7951</f>
        <v/>
      </c>
      <c r="D7951">
        <f>TEST_DATA!D7951</f>
        <v/>
      </c>
      <c r="E7951">
        <f>TEST_DATA!E7951</f>
        <v/>
      </c>
    </row>
    <row r="7952">
      <c r="A7952">
        <f>TEST_DATA!A7952</f>
        <v/>
      </c>
      <c r="B7952">
        <f>TEST_DATA!B7952</f>
        <v/>
      </c>
      <c r="C7952">
        <f>TEST_DATA!C7952</f>
        <v/>
      </c>
      <c r="D7952">
        <f>TEST_DATA!D7952</f>
        <v/>
      </c>
      <c r="E7952">
        <f>TEST_DATA!E7952</f>
        <v/>
      </c>
    </row>
    <row r="7953">
      <c r="A7953">
        <f>TEST_DATA!A7953</f>
        <v/>
      </c>
      <c r="B7953">
        <f>TEST_DATA!B7953</f>
        <v/>
      </c>
      <c r="C7953">
        <f>TEST_DATA!C7953</f>
        <v/>
      </c>
      <c r="D7953">
        <f>TEST_DATA!D7953</f>
        <v/>
      </c>
      <c r="E7953">
        <f>TEST_DATA!E7953</f>
        <v/>
      </c>
    </row>
    <row r="7954">
      <c r="A7954">
        <f>TEST_DATA!A7954</f>
        <v/>
      </c>
      <c r="B7954">
        <f>TEST_DATA!B7954</f>
        <v/>
      </c>
      <c r="C7954">
        <f>TEST_DATA!C7954</f>
        <v/>
      </c>
      <c r="D7954">
        <f>TEST_DATA!D7954</f>
        <v/>
      </c>
      <c r="E7954">
        <f>TEST_DATA!E7954</f>
        <v/>
      </c>
    </row>
    <row r="7955">
      <c r="A7955">
        <f>TEST_DATA!A7955</f>
        <v/>
      </c>
      <c r="B7955">
        <f>TEST_DATA!B7955</f>
        <v/>
      </c>
      <c r="C7955">
        <f>TEST_DATA!C7955</f>
        <v/>
      </c>
      <c r="D7955">
        <f>TEST_DATA!D7955</f>
        <v/>
      </c>
      <c r="E7955">
        <f>TEST_DATA!E7955</f>
        <v/>
      </c>
    </row>
    <row r="7956">
      <c r="A7956">
        <f>TEST_DATA!A7956</f>
        <v/>
      </c>
      <c r="B7956">
        <f>TEST_DATA!B7956</f>
        <v/>
      </c>
      <c r="C7956">
        <f>TEST_DATA!C7956</f>
        <v/>
      </c>
      <c r="D7956">
        <f>TEST_DATA!D7956</f>
        <v/>
      </c>
      <c r="E7956">
        <f>TEST_DATA!E7956</f>
        <v/>
      </c>
    </row>
    <row r="7957">
      <c r="A7957">
        <f>TEST_DATA!A7957</f>
        <v/>
      </c>
      <c r="B7957">
        <f>TEST_DATA!B7957</f>
        <v/>
      </c>
      <c r="C7957">
        <f>TEST_DATA!C7957</f>
        <v/>
      </c>
      <c r="D7957">
        <f>TEST_DATA!D7957</f>
        <v/>
      </c>
      <c r="E7957">
        <f>TEST_DATA!E7957</f>
        <v/>
      </c>
    </row>
    <row r="7958">
      <c r="A7958">
        <f>TEST_DATA!A7958</f>
        <v/>
      </c>
      <c r="B7958">
        <f>TEST_DATA!B7958</f>
        <v/>
      </c>
      <c r="C7958">
        <f>TEST_DATA!C7958</f>
        <v/>
      </c>
      <c r="D7958">
        <f>TEST_DATA!D7958</f>
        <v/>
      </c>
      <c r="E7958">
        <f>TEST_DATA!E7958</f>
        <v/>
      </c>
    </row>
    <row r="7959">
      <c r="A7959">
        <f>TEST_DATA!A7959</f>
        <v/>
      </c>
      <c r="B7959">
        <f>TEST_DATA!B7959</f>
        <v/>
      </c>
      <c r="C7959">
        <f>TEST_DATA!C7959</f>
        <v/>
      </c>
      <c r="D7959">
        <f>TEST_DATA!D7959</f>
        <v/>
      </c>
      <c r="E7959">
        <f>TEST_DATA!E7959</f>
        <v/>
      </c>
    </row>
    <row r="7960">
      <c r="A7960">
        <f>TEST_DATA!A7960</f>
        <v/>
      </c>
      <c r="B7960">
        <f>TEST_DATA!B7960</f>
        <v/>
      </c>
      <c r="C7960">
        <f>TEST_DATA!C7960</f>
        <v/>
      </c>
      <c r="D7960">
        <f>TEST_DATA!D7960</f>
        <v/>
      </c>
      <c r="E7960">
        <f>TEST_DATA!E7960</f>
        <v/>
      </c>
    </row>
    <row r="7961">
      <c r="A7961">
        <f>TEST_DATA!A7961</f>
        <v/>
      </c>
      <c r="B7961">
        <f>TEST_DATA!B7961</f>
        <v/>
      </c>
      <c r="C7961">
        <f>TEST_DATA!C7961</f>
        <v/>
      </c>
      <c r="D7961">
        <f>TEST_DATA!D7961</f>
        <v/>
      </c>
      <c r="E7961">
        <f>TEST_DATA!E7961</f>
        <v/>
      </c>
    </row>
    <row r="7962">
      <c r="A7962">
        <f>TEST_DATA!A7962</f>
        <v/>
      </c>
      <c r="B7962">
        <f>TEST_DATA!B7962</f>
        <v/>
      </c>
      <c r="C7962">
        <f>TEST_DATA!C7962</f>
        <v/>
      </c>
      <c r="D7962">
        <f>TEST_DATA!D7962</f>
        <v/>
      </c>
      <c r="E7962">
        <f>TEST_DATA!E7962</f>
        <v/>
      </c>
    </row>
    <row r="7963">
      <c r="A7963">
        <f>TEST_DATA!A7963</f>
        <v/>
      </c>
      <c r="B7963">
        <f>TEST_DATA!B7963</f>
        <v/>
      </c>
      <c r="C7963">
        <f>TEST_DATA!C7963</f>
        <v/>
      </c>
      <c r="D7963">
        <f>TEST_DATA!D7963</f>
        <v/>
      </c>
      <c r="E7963">
        <f>TEST_DATA!E7963</f>
        <v/>
      </c>
    </row>
    <row r="7964">
      <c r="A7964">
        <f>TEST_DATA!A7964</f>
        <v/>
      </c>
      <c r="B7964">
        <f>TEST_DATA!B7964</f>
        <v/>
      </c>
      <c r="C7964">
        <f>TEST_DATA!C7964</f>
        <v/>
      </c>
      <c r="D7964">
        <f>TEST_DATA!D7964</f>
        <v/>
      </c>
      <c r="E7964">
        <f>TEST_DATA!E7964</f>
        <v/>
      </c>
    </row>
    <row r="7965">
      <c r="A7965">
        <f>TEST_DATA!A7965</f>
        <v/>
      </c>
      <c r="B7965">
        <f>TEST_DATA!B7965</f>
        <v/>
      </c>
      <c r="C7965">
        <f>TEST_DATA!C7965</f>
        <v/>
      </c>
      <c r="D7965">
        <f>TEST_DATA!D7965</f>
        <v/>
      </c>
      <c r="E7965">
        <f>TEST_DATA!E7965</f>
        <v/>
      </c>
    </row>
    <row r="7966">
      <c r="A7966">
        <f>TEST_DATA!A7966</f>
        <v/>
      </c>
      <c r="B7966">
        <f>TEST_DATA!B7966</f>
        <v/>
      </c>
      <c r="C7966">
        <f>TEST_DATA!C7966</f>
        <v/>
      </c>
      <c r="D7966">
        <f>TEST_DATA!D7966</f>
        <v/>
      </c>
      <c r="E7966">
        <f>TEST_DATA!E7966</f>
        <v/>
      </c>
    </row>
    <row r="7967">
      <c r="A7967">
        <f>TEST_DATA!A7967</f>
        <v/>
      </c>
      <c r="B7967">
        <f>TEST_DATA!B7967</f>
        <v/>
      </c>
      <c r="C7967">
        <f>TEST_DATA!C7967</f>
        <v/>
      </c>
      <c r="D7967">
        <f>TEST_DATA!D7967</f>
        <v/>
      </c>
      <c r="E7967">
        <f>TEST_DATA!E7967</f>
        <v/>
      </c>
    </row>
    <row r="7968">
      <c r="A7968">
        <f>TEST_DATA!A7968</f>
        <v/>
      </c>
      <c r="B7968">
        <f>TEST_DATA!B7968</f>
        <v/>
      </c>
      <c r="C7968">
        <f>TEST_DATA!C7968</f>
        <v/>
      </c>
      <c r="D7968">
        <f>TEST_DATA!D7968</f>
        <v/>
      </c>
      <c r="E7968">
        <f>TEST_DATA!E7968</f>
        <v/>
      </c>
    </row>
    <row r="7969">
      <c r="A7969">
        <f>TEST_DATA!A7969</f>
        <v/>
      </c>
      <c r="B7969">
        <f>TEST_DATA!B7969</f>
        <v/>
      </c>
      <c r="C7969">
        <f>TEST_DATA!C7969</f>
        <v/>
      </c>
      <c r="D7969">
        <f>TEST_DATA!D7969</f>
        <v/>
      </c>
      <c r="E7969">
        <f>TEST_DATA!E7969</f>
        <v/>
      </c>
    </row>
    <row r="7970">
      <c r="A7970">
        <f>TEST_DATA!A7970</f>
        <v/>
      </c>
      <c r="B7970">
        <f>TEST_DATA!B7970</f>
        <v/>
      </c>
      <c r="C7970">
        <f>TEST_DATA!C7970</f>
        <v/>
      </c>
      <c r="D7970">
        <f>TEST_DATA!D7970</f>
        <v/>
      </c>
      <c r="E7970">
        <f>TEST_DATA!E7970</f>
        <v/>
      </c>
    </row>
    <row r="7971">
      <c r="A7971">
        <f>TEST_DATA!A7971</f>
        <v/>
      </c>
      <c r="B7971">
        <f>TEST_DATA!B7971</f>
        <v/>
      </c>
      <c r="C7971">
        <f>TEST_DATA!C7971</f>
        <v/>
      </c>
      <c r="D7971">
        <f>TEST_DATA!D7971</f>
        <v/>
      </c>
      <c r="E7971">
        <f>TEST_DATA!E7971</f>
        <v/>
      </c>
    </row>
    <row r="7972">
      <c r="A7972">
        <f>TEST_DATA!A7972</f>
        <v/>
      </c>
      <c r="B7972">
        <f>TEST_DATA!B7972</f>
        <v/>
      </c>
      <c r="C7972">
        <f>TEST_DATA!C7972</f>
        <v/>
      </c>
      <c r="D7972">
        <f>TEST_DATA!D7972</f>
        <v/>
      </c>
      <c r="E7972">
        <f>TEST_DATA!E7972</f>
        <v/>
      </c>
    </row>
    <row r="7973">
      <c r="A7973">
        <f>TEST_DATA!A7973</f>
        <v/>
      </c>
      <c r="B7973">
        <f>TEST_DATA!B7973</f>
        <v/>
      </c>
      <c r="C7973">
        <f>TEST_DATA!C7973</f>
        <v/>
      </c>
      <c r="D7973">
        <f>TEST_DATA!D7973</f>
        <v/>
      </c>
      <c r="E7973">
        <f>TEST_DATA!E7973</f>
        <v/>
      </c>
    </row>
    <row r="7974">
      <c r="A7974">
        <f>TEST_DATA!A7974</f>
        <v/>
      </c>
      <c r="B7974">
        <f>TEST_DATA!B7974</f>
        <v/>
      </c>
      <c r="C7974">
        <f>TEST_DATA!C7974</f>
        <v/>
      </c>
      <c r="D7974">
        <f>TEST_DATA!D7974</f>
        <v/>
      </c>
      <c r="E7974">
        <f>TEST_DATA!E7974</f>
        <v/>
      </c>
    </row>
    <row r="7975">
      <c r="A7975">
        <f>TEST_DATA!A7975</f>
        <v/>
      </c>
      <c r="B7975">
        <f>TEST_DATA!B7975</f>
        <v/>
      </c>
      <c r="C7975">
        <f>TEST_DATA!C7975</f>
        <v/>
      </c>
      <c r="D7975">
        <f>TEST_DATA!D7975</f>
        <v/>
      </c>
      <c r="E7975">
        <f>TEST_DATA!E7975</f>
        <v/>
      </c>
    </row>
    <row r="7976">
      <c r="A7976">
        <f>TEST_DATA!A7976</f>
        <v/>
      </c>
      <c r="B7976">
        <f>TEST_DATA!B7976</f>
        <v/>
      </c>
      <c r="C7976">
        <f>TEST_DATA!C7976</f>
        <v/>
      </c>
      <c r="D7976">
        <f>TEST_DATA!D7976</f>
        <v/>
      </c>
      <c r="E7976">
        <f>TEST_DATA!E7976</f>
        <v/>
      </c>
    </row>
    <row r="7977">
      <c r="A7977">
        <f>TEST_DATA!A7977</f>
        <v/>
      </c>
      <c r="B7977">
        <f>TEST_DATA!B7977</f>
        <v/>
      </c>
      <c r="C7977">
        <f>TEST_DATA!C7977</f>
        <v/>
      </c>
      <c r="D7977">
        <f>TEST_DATA!D7977</f>
        <v/>
      </c>
      <c r="E7977">
        <f>TEST_DATA!E7977</f>
        <v/>
      </c>
    </row>
    <row r="7978">
      <c r="A7978">
        <f>TEST_DATA!A7978</f>
        <v/>
      </c>
      <c r="B7978">
        <f>TEST_DATA!B7978</f>
        <v/>
      </c>
      <c r="C7978">
        <f>TEST_DATA!C7978</f>
        <v/>
      </c>
      <c r="D7978">
        <f>TEST_DATA!D7978</f>
        <v/>
      </c>
      <c r="E7978">
        <f>TEST_DATA!E7978</f>
        <v/>
      </c>
    </row>
    <row r="7979">
      <c r="A7979">
        <f>TEST_DATA!A7979</f>
        <v/>
      </c>
      <c r="B7979">
        <f>TEST_DATA!B7979</f>
        <v/>
      </c>
      <c r="C7979">
        <f>TEST_DATA!C7979</f>
        <v/>
      </c>
      <c r="D7979">
        <f>TEST_DATA!D7979</f>
        <v/>
      </c>
      <c r="E7979">
        <f>TEST_DATA!E7979</f>
        <v/>
      </c>
    </row>
    <row r="7980">
      <c r="A7980">
        <f>TEST_DATA!A7980</f>
        <v/>
      </c>
      <c r="B7980">
        <f>TEST_DATA!B7980</f>
        <v/>
      </c>
      <c r="C7980">
        <f>TEST_DATA!C7980</f>
        <v/>
      </c>
      <c r="D7980">
        <f>TEST_DATA!D7980</f>
        <v/>
      </c>
      <c r="E7980">
        <f>TEST_DATA!E7980</f>
        <v/>
      </c>
    </row>
    <row r="7981">
      <c r="A7981">
        <f>TEST_DATA!A7981</f>
        <v/>
      </c>
      <c r="B7981">
        <f>TEST_DATA!B7981</f>
        <v/>
      </c>
      <c r="C7981">
        <f>TEST_DATA!C7981</f>
        <v/>
      </c>
      <c r="D7981">
        <f>TEST_DATA!D7981</f>
        <v/>
      </c>
      <c r="E7981">
        <f>TEST_DATA!E7981</f>
        <v/>
      </c>
    </row>
    <row r="7982">
      <c r="A7982">
        <f>TEST_DATA!A7982</f>
        <v/>
      </c>
      <c r="B7982">
        <f>TEST_DATA!B7982</f>
        <v/>
      </c>
      <c r="C7982">
        <f>TEST_DATA!C7982</f>
        <v/>
      </c>
      <c r="D7982">
        <f>TEST_DATA!D7982</f>
        <v/>
      </c>
      <c r="E7982">
        <f>TEST_DATA!E7982</f>
        <v/>
      </c>
    </row>
    <row r="7983">
      <c r="A7983">
        <f>TEST_DATA!A7983</f>
        <v/>
      </c>
      <c r="B7983">
        <f>TEST_DATA!B7983</f>
        <v/>
      </c>
      <c r="C7983">
        <f>TEST_DATA!C7983</f>
        <v/>
      </c>
      <c r="D7983">
        <f>TEST_DATA!D7983</f>
        <v/>
      </c>
      <c r="E7983">
        <f>TEST_DATA!E7983</f>
        <v/>
      </c>
    </row>
    <row r="7984">
      <c r="A7984">
        <f>TEST_DATA!A7984</f>
        <v/>
      </c>
      <c r="B7984">
        <f>TEST_DATA!B7984</f>
        <v/>
      </c>
      <c r="C7984">
        <f>TEST_DATA!C7984</f>
        <v/>
      </c>
      <c r="D7984">
        <f>TEST_DATA!D7984</f>
        <v/>
      </c>
      <c r="E7984">
        <f>TEST_DATA!E7984</f>
        <v/>
      </c>
    </row>
    <row r="7985">
      <c r="A7985">
        <f>TEST_DATA!A7985</f>
        <v/>
      </c>
      <c r="B7985">
        <f>TEST_DATA!B7985</f>
        <v/>
      </c>
      <c r="C7985">
        <f>TEST_DATA!C7985</f>
        <v/>
      </c>
      <c r="D7985">
        <f>TEST_DATA!D7985</f>
        <v/>
      </c>
      <c r="E7985">
        <f>TEST_DATA!E7985</f>
        <v/>
      </c>
    </row>
    <row r="7986">
      <c r="A7986">
        <f>TEST_DATA!A7986</f>
        <v/>
      </c>
      <c r="B7986">
        <f>TEST_DATA!B7986</f>
        <v/>
      </c>
      <c r="C7986">
        <f>TEST_DATA!C7986</f>
        <v/>
      </c>
      <c r="D7986">
        <f>TEST_DATA!D7986</f>
        <v/>
      </c>
      <c r="E7986">
        <f>TEST_DATA!E7986</f>
        <v/>
      </c>
    </row>
    <row r="7987">
      <c r="A7987">
        <f>TEST_DATA!A7987</f>
        <v/>
      </c>
      <c r="B7987">
        <f>TEST_DATA!B7987</f>
        <v/>
      </c>
      <c r="C7987">
        <f>TEST_DATA!C7987</f>
        <v/>
      </c>
      <c r="D7987">
        <f>TEST_DATA!D7987</f>
        <v/>
      </c>
      <c r="E7987">
        <f>TEST_DATA!E7987</f>
        <v/>
      </c>
    </row>
    <row r="7988">
      <c r="A7988">
        <f>TEST_DATA!A7988</f>
        <v/>
      </c>
      <c r="B7988">
        <f>TEST_DATA!B7988</f>
        <v/>
      </c>
      <c r="C7988">
        <f>TEST_DATA!C7988</f>
        <v/>
      </c>
      <c r="D7988">
        <f>TEST_DATA!D7988</f>
        <v/>
      </c>
      <c r="E7988">
        <f>TEST_DATA!E7988</f>
        <v/>
      </c>
    </row>
    <row r="7989">
      <c r="A7989">
        <f>TEST_DATA!A7989</f>
        <v/>
      </c>
      <c r="B7989">
        <f>TEST_DATA!B7989</f>
        <v/>
      </c>
      <c r="C7989">
        <f>TEST_DATA!C7989</f>
        <v/>
      </c>
      <c r="D7989">
        <f>TEST_DATA!D7989</f>
        <v/>
      </c>
      <c r="E7989">
        <f>TEST_DATA!E7989</f>
        <v/>
      </c>
    </row>
    <row r="7990">
      <c r="A7990">
        <f>TEST_DATA!A7990</f>
        <v/>
      </c>
      <c r="B7990">
        <f>TEST_DATA!B7990</f>
        <v/>
      </c>
      <c r="C7990">
        <f>TEST_DATA!C7990</f>
        <v/>
      </c>
      <c r="D7990">
        <f>TEST_DATA!D7990</f>
        <v/>
      </c>
      <c r="E7990">
        <f>TEST_DATA!E7990</f>
        <v/>
      </c>
    </row>
    <row r="7991">
      <c r="A7991">
        <f>TEST_DATA!A7991</f>
        <v/>
      </c>
      <c r="B7991">
        <f>TEST_DATA!B7991</f>
        <v/>
      </c>
      <c r="C7991">
        <f>TEST_DATA!C7991</f>
        <v/>
      </c>
      <c r="D7991">
        <f>TEST_DATA!D7991</f>
        <v/>
      </c>
      <c r="E7991">
        <f>TEST_DATA!E7991</f>
        <v/>
      </c>
    </row>
    <row r="7992">
      <c r="A7992">
        <f>TEST_DATA!A7992</f>
        <v/>
      </c>
      <c r="B7992">
        <f>TEST_DATA!B7992</f>
        <v/>
      </c>
      <c r="C7992">
        <f>TEST_DATA!C7992</f>
        <v/>
      </c>
      <c r="D7992">
        <f>TEST_DATA!D7992</f>
        <v/>
      </c>
      <c r="E7992">
        <f>TEST_DATA!E7992</f>
        <v/>
      </c>
    </row>
    <row r="7993">
      <c r="A7993">
        <f>TEST_DATA!A7993</f>
        <v/>
      </c>
      <c r="B7993">
        <f>TEST_DATA!B7993</f>
        <v/>
      </c>
      <c r="C7993">
        <f>TEST_DATA!C7993</f>
        <v/>
      </c>
      <c r="D7993">
        <f>TEST_DATA!D7993</f>
        <v/>
      </c>
      <c r="E7993">
        <f>TEST_DATA!E7993</f>
        <v/>
      </c>
    </row>
    <row r="7994">
      <c r="A7994">
        <f>TEST_DATA!A7994</f>
        <v/>
      </c>
      <c r="B7994">
        <f>TEST_DATA!B7994</f>
        <v/>
      </c>
      <c r="C7994">
        <f>TEST_DATA!C7994</f>
        <v/>
      </c>
      <c r="D7994">
        <f>TEST_DATA!D7994</f>
        <v/>
      </c>
      <c r="E7994">
        <f>TEST_DATA!E7994</f>
        <v/>
      </c>
    </row>
    <row r="7995">
      <c r="A7995">
        <f>TEST_DATA!A7995</f>
        <v/>
      </c>
      <c r="B7995">
        <f>TEST_DATA!B7995</f>
        <v/>
      </c>
      <c r="C7995">
        <f>TEST_DATA!C7995</f>
        <v/>
      </c>
      <c r="D7995">
        <f>TEST_DATA!D7995</f>
        <v/>
      </c>
      <c r="E7995">
        <f>TEST_DATA!E7995</f>
        <v/>
      </c>
    </row>
    <row r="7996">
      <c r="A7996">
        <f>TEST_DATA!A7996</f>
        <v/>
      </c>
      <c r="B7996">
        <f>TEST_DATA!B7996</f>
        <v/>
      </c>
      <c r="C7996">
        <f>TEST_DATA!C7996</f>
        <v/>
      </c>
      <c r="D7996">
        <f>TEST_DATA!D7996</f>
        <v/>
      </c>
      <c r="E7996">
        <f>TEST_DATA!E7996</f>
        <v/>
      </c>
    </row>
    <row r="7997">
      <c r="A7997">
        <f>TEST_DATA!A7997</f>
        <v/>
      </c>
      <c r="B7997">
        <f>TEST_DATA!B7997</f>
        <v/>
      </c>
      <c r="C7997">
        <f>TEST_DATA!C7997</f>
        <v/>
      </c>
      <c r="D7997">
        <f>TEST_DATA!D7997</f>
        <v/>
      </c>
      <c r="E7997">
        <f>TEST_DATA!E7997</f>
        <v/>
      </c>
    </row>
    <row r="7998">
      <c r="A7998">
        <f>TEST_DATA!A7998</f>
        <v/>
      </c>
      <c r="B7998">
        <f>TEST_DATA!B7998</f>
        <v/>
      </c>
      <c r="C7998">
        <f>TEST_DATA!C7998</f>
        <v/>
      </c>
      <c r="D7998">
        <f>TEST_DATA!D7998</f>
        <v/>
      </c>
      <c r="E7998">
        <f>TEST_DATA!E7998</f>
        <v/>
      </c>
    </row>
    <row r="7999">
      <c r="A7999">
        <f>TEST_DATA!A7999</f>
        <v/>
      </c>
      <c r="B7999">
        <f>TEST_DATA!B7999</f>
        <v/>
      </c>
      <c r="C7999">
        <f>TEST_DATA!C7999</f>
        <v/>
      </c>
      <c r="D7999">
        <f>TEST_DATA!D7999</f>
        <v/>
      </c>
      <c r="E7999">
        <f>TEST_DATA!E7999</f>
        <v/>
      </c>
    </row>
    <row r="8000">
      <c r="A8000">
        <f>TEST_DATA!A8000</f>
        <v/>
      </c>
      <c r="B8000">
        <f>TEST_DATA!B8000</f>
        <v/>
      </c>
      <c r="C8000">
        <f>TEST_DATA!C8000</f>
        <v/>
      </c>
      <c r="D8000">
        <f>TEST_DATA!D8000</f>
        <v/>
      </c>
      <c r="E8000">
        <f>TEST_DATA!E8000</f>
        <v/>
      </c>
    </row>
    <row r="8001">
      <c r="A8001">
        <f>TEST_DATA!A8001</f>
        <v/>
      </c>
      <c r="B8001">
        <f>TEST_DATA!B8001</f>
        <v/>
      </c>
      <c r="C8001">
        <f>TEST_DATA!C8001</f>
        <v/>
      </c>
      <c r="D8001">
        <f>TEST_DATA!D8001</f>
        <v/>
      </c>
      <c r="E8001">
        <f>TEST_DATA!E8001</f>
        <v/>
      </c>
    </row>
    <row r="8002">
      <c r="A8002">
        <f>TEST_DATA!A8002</f>
        <v/>
      </c>
      <c r="B8002">
        <f>TEST_DATA!B8002</f>
        <v/>
      </c>
      <c r="C8002">
        <f>TEST_DATA!C8002</f>
        <v/>
      </c>
      <c r="D8002">
        <f>TEST_DATA!D8002</f>
        <v/>
      </c>
      <c r="E8002">
        <f>TEST_DATA!E8002</f>
        <v/>
      </c>
    </row>
    <row r="8003">
      <c r="A8003">
        <f>TEST_DATA!A8003</f>
        <v/>
      </c>
      <c r="B8003">
        <f>TEST_DATA!B8003</f>
        <v/>
      </c>
      <c r="C8003">
        <f>TEST_DATA!C8003</f>
        <v/>
      </c>
      <c r="D8003">
        <f>TEST_DATA!D8003</f>
        <v/>
      </c>
      <c r="E8003">
        <f>TEST_DATA!E8003</f>
        <v/>
      </c>
    </row>
    <row r="8004">
      <c r="A8004">
        <f>TEST_DATA!A8004</f>
        <v/>
      </c>
      <c r="B8004">
        <f>TEST_DATA!B8004</f>
        <v/>
      </c>
      <c r="C8004">
        <f>TEST_DATA!C8004</f>
        <v/>
      </c>
      <c r="D8004">
        <f>TEST_DATA!D8004</f>
        <v/>
      </c>
      <c r="E8004">
        <f>TEST_DATA!E8004</f>
        <v/>
      </c>
    </row>
    <row r="8005">
      <c r="A8005">
        <f>TEST_DATA!A8005</f>
        <v/>
      </c>
      <c r="B8005">
        <f>TEST_DATA!B8005</f>
        <v/>
      </c>
      <c r="C8005">
        <f>TEST_DATA!C8005</f>
        <v/>
      </c>
      <c r="D8005">
        <f>TEST_DATA!D8005</f>
        <v/>
      </c>
      <c r="E8005">
        <f>TEST_DATA!E8005</f>
        <v/>
      </c>
    </row>
    <row r="8006">
      <c r="A8006">
        <f>TEST_DATA!A8006</f>
        <v/>
      </c>
      <c r="B8006">
        <f>TEST_DATA!B8006</f>
        <v/>
      </c>
      <c r="C8006">
        <f>TEST_DATA!C8006</f>
        <v/>
      </c>
      <c r="D8006">
        <f>TEST_DATA!D8006</f>
        <v/>
      </c>
      <c r="E8006">
        <f>TEST_DATA!E8006</f>
        <v/>
      </c>
    </row>
    <row r="8007">
      <c r="A8007">
        <f>TEST_DATA!A8007</f>
        <v/>
      </c>
      <c r="B8007">
        <f>TEST_DATA!B8007</f>
        <v/>
      </c>
      <c r="C8007">
        <f>TEST_DATA!C8007</f>
        <v/>
      </c>
      <c r="D8007">
        <f>TEST_DATA!D8007</f>
        <v/>
      </c>
      <c r="E8007">
        <f>TEST_DATA!E8007</f>
        <v/>
      </c>
    </row>
    <row r="8008">
      <c r="A8008">
        <f>TEST_DATA!A8008</f>
        <v/>
      </c>
      <c r="B8008">
        <f>TEST_DATA!B8008</f>
        <v/>
      </c>
      <c r="C8008">
        <f>TEST_DATA!C8008</f>
        <v/>
      </c>
      <c r="D8008">
        <f>TEST_DATA!D8008</f>
        <v/>
      </c>
      <c r="E8008">
        <f>TEST_DATA!E8008</f>
        <v/>
      </c>
    </row>
    <row r="8009">
      <c r="A8009">
        <f>TEST_DATA!A8009</f>
        <v/>
      </c>
      <c r="B8009">
        <f>TEST_DATA!B8009</f>
        <v/>
      </c>
      <c r="C8009">
        <f>TEST_DATA!C8009</f>
        <v/>
      </c>
      <c r="D8009">
        <f>TEST_DATA!D8009</f>
        <v/>
      </c>
      <c r="E8009">
        <f>TEST_DATA!E8009</f>
        <v/>
      </c>
    </row>
    <row r="8010">
      <c r="A8010">
        <f>TEST_DATA!A8010</f>
        <v/>
      </c>
      <c r="B8010">
        <f>TEST_DATA!B8010</f>
        <v/>
      </c>
      <c r="C8010">
        <f>TEST_DATA!C8010</f>
        <v/>
      </c>
      <c r="D8010">
        <f>TEST_DATA!D8010</f>
        <v/>
      </c>
      <c r="E8010">
        <f>TEST_DATA!E8010</f>
        <v/>
      </c>
    </row>
    <row r="8011">
      <c r="A8011">
        <f>TEST_DATA!A8011</f>
        <v/>
      </c>
      <c r="B8011">
        <f>TEST_DATA!B8011</f>
        <v/>
      </c>
      <c r="C8011">
        <f>TEST_DATA!C8011</f>
        <v/>
      </c>
      <c r="D8011">
        <f>TEST_DATA!D8011</f>
        <v/>
      </c>
      <c r="E8011">
        <f>TEST_DATA!E8011</f>
        <v/>
      </c>
    </row>
    <row r="8012">
      <c r="A8012">
        <f>TEST_DATA!A8012</f>
        <v/>
      </c>
      <c r="B8012">
        <f>TEST_DATA!B8012</f>
        <v/>
      </c>
      <c r="C8012">
        <f>TEST_DATA!C8012</f>
        <v/>
      </c>
      <c r="D8012">
        <f>TEST_DATA!D8012</f>
        <v/>
      </c>
      <c r="E8012">
        <f>TEST_DATA!E8012</f>
        <v/>
      </c>
    </row>
    <row r="8013">
      <c r="A8013">
        <f>TEST_DATA!A8013</f>
        <v/>
      </c>
      <c r="B8013">
        <f>TEST_DATA!B8013</f>
        <v/>
      </c>
      <c r="C8013">
        <f>TEST_DATA!C8013</f>
        <v/>
      </c>
      <c r="D8013">
        <f>TEST_DATA!D8013</f>
        <v/>
      </c>
      <c r="E8013">
        <f>TEST_DATA!E8013</f>
        <v/>
      </c>
    </row>
    <row r="8014">
      <c r="A8014">
        <f>TEST_DATA!A8014</f>
        <v/>
      </c>
      <c r="B8014">
        <f>TEST_DATA!B8014</f>
        <v/>
      </c>
      <c r="C8014">
        <f>TEST_DATA!C8014</f>
        <v/>
      </c>
      <c r="D8014">
        <f>TEST_DATA!D8014</f>
        <v/>
      </c>
      <c r="E8014">
        <f>TEST_DATA!E8014</f>
        <v/>
      </c>
    </row>
    <row r="8015">
      <c r="A8015">
        <f>TEST_DATA!A8015</f>
        <v/>
      </c>
      <c r="B8015">
        <f>TEST_DATA!B8015</f>
        <v/>
      </c>
      <c r="C8015">
        <f>TEST_DATA!C8015</f>
        <v/>
      </c>
      <c r="D8015">
        <f>TEST_DATA!D8015</f>
        <v/>
      </c>
      <c r="E8015">
        <f>TEST_DATA!E8015</f>
        <v/>
      </c>
    </row>
    <row r="8016">
      <c r="A8016">
        <f>TEST_DATA!A8016</f>
        <v/>
      </c>
      <c r="B8016">
        <f>TEST_DATA!B8016</f>
        <v/>
      </c>
      <c r="C8016">
        <f>TEST_DATA!C8016</f>
        <v/>
      </c>
      <c r="D8016">
        <f>TEST_DATA!D8016</f>
        <v/>
      </c>
      <c r="E8016">
        <f>TEST_DATA!E8016</f>
        <v/>
      </c>
    </row>
    <row r="8017">
      <c r="A8017">
        <f>TEST_DATA!A8017</f>
        <v/>
      </c>
      <c r="B8017">
        <f>TEST_DATA!B8017</f>
        <v/>
      </c>
      <c r="C8017">
        <f>TEST_DATA!C8017</f>
        <v/>
      </c>
      <c r="D8017">
        <f>TEST_DATA!D8017</f>
        <v/>
      </c>
      <c r="E8017">
        <f>TEST_DATA!E8017</f>
        <v/>
      </c>
    </row>
    <row r="8018">
      <c r="A8018">
        <f>TEST_DATA!A8018</f>
        <v/>
      </c>
      <c r="B8018">
        <f>TEST_DATA!B8018</f>
        <v/>
      </c>
      <c r="C8018">
        <f>TEST_DATA!C8018</f>
        <v/>
      </c>
      <c r="D8018">
        <f>TEST_DATA!D8018</f>
        <v/>
      </c>
      <c r="E8018">
        <f>TEST_DATA!E8018</f>
        <v/>
      </c>
    </row>
    <row r="8019">
      <c r="A8019">
        <f>TEST_DATA!A8019</f>
        <v/>
      </c>
      <c r="B8019">
        <f>TEST_DATA!B8019</f>
        <v/>
      </c>
      <c r="C8019">
        <f>TEST_DATA!C8019</f>
        <v/>
      </c>
      <c r="D8019">
        <f>TEST_DATA!D8019</f>
        <v/>
      </c>
      <c r="E8019">
        <f>TEST_DATA!E8019</f>
        <v/>
      </c>
    </row>
    <row r="8020">
      <c r="A8020">
        <f>TEST_DATA!A8020</f>
        <v/>
      </c>
      <c r="B8020">
        <f>TEST_DATA!B8020</f>
        <v/>
      </c>
      <c r="C8020">
        <f>TEST_DATA!C8020</f>
        <v/>
      </c>
      <c r="D8020">
        <f>TEST_DATA!D8020</f>
        <v/>
      </c>
      <c r="E8020">
        <f>TEST_DATA!E8020</f>
        <v/>
      </c>
    </row>
    <row r="8021">
      <c r="A8021">
        <f>TEST_DATA!A8021</f>
        <v/>
      </c>
      <c r="B8021">
        <f>TEST_DATA!B8021</f>
        <v/>
      </c>
      <c r="C8021">
        <f>TEST_DATA!C8021</f>
        <v/>
      </c>
      <c r="D8021">
        <f>TEST_DATA!D8021</f>
        <v/>
      </c>
      <c r="E8021">
        <f>TEST_DATA!E8021</f>
        <v/>
      </c>
    </row>
    <row r="8022">
      <c r="A8022">
        <f>TEST_DATA!A8022</f>
        <v/>
      </c>
      <c r="B8022">
        <f>TEST_DATA!B8022</f>
        <v/>
      </c>
      <c r="C8022">
        <f>TEST_DATA!C8022</f>
        <v/>
      </c>
      <c r="D8022">
        <f>TEST_DATA!D8022</f>
        <v/>
      </c>
      <c r="E8022">
        <f>TEST_DATA!E8022</f>
        <v/>
      </c>
    </row>
    <row r="8023">
      <c r="A8023">
        <f>TEST_DATA!A8023</f>
        <v/>
      </c>
      <c r="B8023">
        <f>TEST_DATA!B8023</f>
        <v/>
      </c>
      <c r="C8023">
        <f>TEST_DATA!C8023</f>
        <v/>
      </c>
      <c r="D8023">
        <f>TEST_DATA!D8023</f>
        <v/>
      </c>
      <c r="E8023">
        <f>TEST_DATA!E8023</f>
        <v/>
      </c>
    </row>
    <row r="8024">
      <c r="A8024">
        <f>TEST_DATA!A8024</f>
        <v/>
      </c>
      <c r="B8024">
        <f>TEST_DATA!B8024</f>
        <v/>
      </c>
      <c r="C8024">
        <f>TEST_DATA!C8024</f>
        <v/>
      </c>
      <c r="D8024">
        <f>TEST_DATA!D8024</f>
        <v/>
      </c>
      <c r="E8024">
        <f>TEST_DATA!E8024</f>
        <v/>
      </c>
    </row>
    <row r="8025">
      <c r="A8025">
        <f>TEST_DATA!A8025</f>
        <v/>
      </c>
      <c r="B8025">
        <f>TEST_DATA!B8025</f>
        <v/>
      </c>
      <c r="C8025">
        <f>TEST_DATA!C8025</f>
        <v/>
      </c>
      <c r="D8025">
        <f>TEST_DATA!D8025</f>
        <v/>
      </c>
      <c r="E8025">
        <f>TEST_DATA!E8025</f>
        <v/>
      </c>
    </row>
    <row r="8026">
      <c r="A8026">
        <f>TEST_DATA!A8026</f>
        <v/>
      </c>
      <c r="B8026">
        <f>TEST_DATA!B8026</f>
        <v/>
      </c>
      <c r="C8026">
        <f>TEST_DATA!C8026</f>
        <v/>
      </c>
      <c r="D8026">
        <f>TEST_DATA!D8026</f>
        <v/>
      </c>
      <c r="E8026">
        <f>TEST_DATA!E8026</f>
        <v/>
      </c>
    </row>
    <row r="8027">
      <c r="A8027">
        <f>TEST_DATA!A8027</f>
        <v/>
      </c>
      <c r="B8027">
        <f>TEST_DATA!B8027</f>
        <v/>
      </c>
      <c r="C8027">
        <f>TEST_DATA!C8027</f>
        <v/>
      </c>
      <c r="D8027">
        <f>TEST_DATA!D8027</f>
        <v/>
      </c>
      <c r="E8027">
        <f>TEST_DATA!E8027</f>
        <v/>
      </c>
    </row>
    <row r="8028">
      <c r="A8028">
        <f>TEST_DATA!A8028</f>
        <v/>
      </c>
      <c r="B8028">
        <f>TEST_DATA!B8028</f>
        <v/>
      </c>
      <c r="C8028">
        <f>TEST_DATA!C8028</f>
        <v/>
      </c>
      <c r="D8028">
        <f>TEST_DATA!D8028</f>
        <v/>
      </c>
      <c r="E8028">
        <f>TEST_DATA!E8028</f>
        <v/>
      </c>
    </row>
    <row r="8029">
      <c r="A8029">
        <f>TEST_DATA!A8029</f>
        <v/>
      </c>
      <c r="B8029">
        <f>TEST_DATA!B8029</f>
        <v/>
      </c>
      <c r="C8029">
        <f>TEST_DATA!C8029</f>
        <v/>
      </c>
      <c r="D8029">
        <f>TEST_DATA!D8029</f>
        <v/>
      </c>
      <c r="E8029">
        <f>TEST_DATA!E8029</f>
        <v/>
      </c>
    </row>
    <row r="8030">
      <c r="A8030">
        <f>TEST_DATA!A8030</f>
        <v/>
      </c>
      <c r="B8030">
        <f>TEST_DATA!B8030</f>
        <v/>
      </c>
      <c r="C8030">
        <f>TEST_DATA!C8030</f>
        <v/>
      </c>
      <c r="D8030">
        <f>TEST_DATA!D8030</f>
        <v/>
      </c>
      <c r="E8030">
        <f>TEST_DATA!E8030</f>
        <v/>
      </c>
    </row>
    <row r="8031">
      <c r="A8031">
        <f>TEST_DATA!A8031</f>
        <v/>
      </c>
      <c r="B8031">
        <f>TEST_DATA!B8031</f>
        <v/>
      </c>
      <c r="C8031">
        <f>TEST_DATA!C8031</f>
        <v/>
      </c>
      <c r="D8031">
        <f>TEST_DATA!D8031</f>
        <v/>
      </c>
      <c r="E8031">
        <f>TEST_DATA!E8031</f>
        <v/>
      </c>
    </row>
    <row r="8032">
      <c r="A8032">
        <f>TEST_DATA!A8032</f>
        <v/>
      </c>
      <c r="B8032">
        <f>TEST_DATA!B8032</f>
        <v/>
      </c>
      <c r="C8032">
        <f>TEST_DATA!C8032</f>
        <v/>
      </c>
      <c r="D8032">
        <f>TEST_DATA!D8032</f>
        <v/>
      </c>
      <c r="E8032">
        <f>TEST_DATA!E8032</f>
        <v/>
      </c>
    </row>
    <row r="8033">
      <c r="A8033">
        <f>TEST_DATA!A8033</f>
        <v/>
      </c>
      <c r="B8033">
        <f>TEST_DATA!B8033</f>
        <v/>
      </c>
      <c r="C8033">
        <f>TEST_DATA!C8033</f>
        <v/>
      </c>
      <c r="D8033">
        <f>TEST_DATA!D8033</f>
        <v/>
      </c>
      <c r="E8033">
        <f>TEST_DATA!E8033</f>
        <v/>
      </c>
    </row>
    <row r="8034">
      <c r="A8034">
        <f>TEST_DATA!A8034</f>
        <v/>
      </c>
      <c r="B8034">
        <f>TEST_DATA!B8034</f>
        <v/>
      </c>
      <c r="C8034">
        <f>TEST_DATA!C8034</f>
        <v/>
      </c>
      <c r="D8034">
        <f>TEST_DATA!D8034</f>
        <v/>
      </c>
      <c r="E8034">
        <f>TEST_DATA!E8034</f>
        <v/>
      </c>
    </row>
    <row r="8035">
      <c r="A8035">
        <f>TEST_DATA!A8035</f>
        <v/>
      </c>
      <c r="B8035">
        <f>TEST_DATA!B8035</f>
        <v/>
      </c>
      <c r="C8035">
        <f>TEST_DATA!C8035</f>
        <v/>
      </c>
      <c r="D8035">
        <f>TEST_DATA!D8035</f>
        <v/>
      </c>
      <c r="E8035">
        <f>TEST_DATA!E8035</f>
        <v/>
      </c>
    </row>
    <row r="8036">
      <c r="A8036">
        <f>TEST_DATA!A8036</f>
        <v/>
      </c>
      <c r="B8036">
        <f>TEST_DATA!B8036</f>
        <v/>
      </c>
      <c r="C8036">
        <f>TEST_DATA!C8036</f>
        <v/>
      </c>
      <c r="D8036">
        <f>TEST_DATA!D8036</f>
        <v/>
      </c>
      <c r="E8036">
        <f>TEST_DATA!E8036</f>
        <v/>
      </c>
    </row>
    <row r="8037">
      <c r="A8037">
        <f>TEST_DATA!A8037</f>
        <v/>
      </c>
      <c r="B8037">
        <f>TEST_DATA!B8037</f>
        <v/>
      </c>
      <c r="C8037">
        <f>TEST_DATA!C8037</f>
        <v/>
      </c>
      <c r="D8037">
        <f>TEST_DATA!D8037</f>
        <v/>
      </c>
      <c r="E8037">
        <f>TEST_DATA!E8037</f>
        <v/>
      </c>
    </row>
    <row r="8038">
      <c r="A8038">
        <f>TEST_DATA!A8038</f>
        <v/>
      </c>
      <c r="B8038">
        <f>TEST_DATA!B8038</f>
        <v/>
      </c>
      <c r="C8038">
        <f>TEST_DATA!C8038</f>
        <v/>
      </c>
      <c r="D8038">
        <f>TEST_DATA!D8038</f>
        <v/>
      </c>
      <c r="E8038">
        <f>TEST_DATA!E8038</f>
        <v/>
      </c>
    </row>
    <row r="8039">
      <c r="A8039">
        <f>TEST_DATA!A8039</f>
        <v/>
      </c>
      <c r="B8039">
        <f>TEST_DATA!B8039</f>
        <v/>
      </c>
      <c r="C8039">
        <f>TEST_DATA!C8039</f>
        <v/>
      </c>
      <c r="D8039">
        <f>TEST_DATA!D8039</f>
        <v/>
      </c>
      <c r="E8039">
        <f>TEST_DATA!E8039</f>
        <v/>
      </c>
    </row>
    <row r="8040">
      <c r="A8040">
        <f>TEST_DATA!A8040</f>
        <v/>
      </c>
      <c r="B8040">
        <f>TEST_DATA!B8040</f>
        <v/>
      </c>
      <c r="C8040">
        <f>TEST_DATA!C8040</f>
        <v/>
      </c>
      <c r="D8040">
        <f>TEST_DATA!D8040</f>
        <v/>
      </c>
      <c r="E8040">
        <f>TEST_DATA!E8040</f>
        <v/>
      </c>
    </row>
    <row r="8041">
      <c r="A8041">
        <f>TEST_DATA!A8041</f>
        <v/>
      </c>
      <c r="B8041">
        <f>TEST_DATA!B8041</f>
        <v/>
      </c>
      <c r="C8041">
        <f>TEST_DATA!C8041</f>
        <v/>
      </c>
      <c r="D8041">
        <f>TEST_DATA!D8041</f>
        <v/>
      </c>
      <c r="E8041">
        <f>TEST_DATA!E8041</f>
        <v/>
      </c>
    </row>
    <row r="8042">
      <c r="A8042">
        <f>TEST_DATA!A8042</f>
        <v/>
      </c>
      <c r="B8042">
        <f>TEST_DATA!B8042</f>
        <v/>
      </c>
      <c r="C8042">
        <f>TEST_DATA!C8042</f>
        <v/>
      </c>
      <c r="D8042">
        <f>TEST_DATA!D8042</f>
        <v/>
      </c>
      <c r="E8042">
        <f>TEST_DATA!E8042</f>
        <v/>
      </c>
    </row>
    <row r="8043">
      <c r="A8043">
        <f>TEST_DATA!A8043</f>
        <v/>
      </c>
      <c r="B8043">
        <f>TEST_DATA!B8043</f>
        <v/>
      </c>
      <c r="C8043">
        <f>TEST_DATA!C8043</f>
        <v/>
      </c>
      <c r="D8043">
        <f>TEST_DATA!D8043</f>
        <v/>
      </c>
      <c r="E8043">
        <f>TEST_DATA!E8043</f>
        <v/>
      </c>
    </row>
    <row r="8044">
      <c r="A8044">
        <f>TEST_DATA!A8044</f>
        <v/>
      </c>
      <c r="B8044">
        <f>TEST_DATA!B8044</f>
        <v/>
      </c>
      <c r="C8044">
        <f>TEST_DATA!C8044</f>
        <v/>
      </c>
      <c r="D8044">
        <f>TEST_DATA!D8044</f>
        <v/>
      </c>
      <c r="E8044">
        <f>TEST_DATA!E8044</f>
        <v/>
      </c>
    </row>
    <row r="8045">
      <c r="A8045">
        <f>TEST_DATA!A8045</f>
        <v/>
      </c>
      <c r="B8045">
        <f>TEST_DATA!B8045</f>
        <v/>
      </c>
      <c r="C8045">
        <f>TEST_DATA!C8045</f>
        <v/>
      </c>
      <c r="D8045">
        <f>TEST_DATA!D8045</f>
        <v/>
      </c>
      <c r="E8045">
        <f>TEST_DATA!E8045</f>
        <v/>
      </c>
    </row>
    <row r="8046">
      <c r="A8046">
        <f>TEST_DATA!A8046</f>
        <v/>
      </c>
      <c r="B8046">
        <f>TEST_DATA!B8046</f>
        <v/>
      </c>
      <c r="C8046">
        <f>TEST_DATA!C8046</f>
        <v/>
      </c>
      <c r="D8046">
        <f>TEST_DATA!D8046</f>
        <v/>
      </c>
      <c r="E8046">
        <f>TEST_DATA!E8046</f>
        <v/>
      </c>
    </row>
    <row r="8047">
      <c r="A8047">
        <f>TEST_DATA!A8047</f>
        <v/>
      </c>
      <c r="B8047">
        <f>TEST_DATA!B8047</f>
        <v/>
      </c>
      <c r="C8047">
        <f>TEST_DATA!C8047</f>
        <v/>
      </c>
      <c r="D8047">
        <f>TEST_DATA!D8047</f>
        <v/>
      </c>
      <c r="E8047">
        <f>TEST_DATA!E8047</f>
        <v/>
      </c>
    </row>
    <row r="8048">
      <c r="A8048">
        <f>TEST_DATA!A8048</f>
        <v/>
      </c>
      <c r="B8048">
        <f>TEST_DATA!B8048</f>
        <v/>
      </c>
      <c r="C8048">
        <f>TEST_DATA!C8048</f>
        <v/>
      </c>
      <c r="D8048">
        <f>TEST_DATA!D8048</f>
        <v/>
      </c>
      <c r="E8048">
        <f>TEST_DATA!E8048</f>
        <v/>
      </c>
    </row>
    <row r="8049">
      <c r="A8049">
        <f>TEST_DATA!A8049</f>
        <v/>
      </c>
      <c r="B8049">
        <f>TEST_DATA!B8049</f>
        <v/>
      </c>
      <c r="C8049">
        <f>TEST_DATA!C8049</f>
        <v/>
      </c>
      <c r="D8049">
        <f>TEST_DATA!D8049</f>
        <v/>
      </c>
      <c r="E8049">
        <f>TEST_DATA!E8049</f>
        <v/>
      </c>
    </row>
    <row r="8050">
      <c r="A8050">
        <f>TEST_DATA!A8050</f>
        <v/>
      </c>
      <c r="B8050">
        <f>TEST_DATA!B8050</f>
        <v/>
      </c>
      <c r="C8050">
        <f>TEST_DATA!C8050</f>
        <v/>
      </c>
      <c r="D8050">
        <f>TEST_DATA!D8050</f>
        <v/>
      </c>
      <c r="E8050">
        <f>TEST_DATA!E8050</f>
        <v/>
      </c>
    </row>
    <row r="8051">
      <c r="A8051">
        <f>TEST_DATA!A8051</f>
        <v/>
      </c>
      <c r="B8051">
        <f>TEST_DATA!B8051</f>
        <v/>
      </c>
      <c r="C8051">
        <f>TEST_DATA!C8051</f>
        <v/>
      </c>
      <c r="D8051">
        <f>TEST_DATA!D8051</f>
        <v/>
      </c>
      <c r="E8051">
        <f>TEST_DATA!E8051</f>
        <v/>
      </c>
    </row>
    <row r="8052">
      <c r="A8052">
        <f>TEST_DATA!A8052</f>
        <v/>
      </c>
      <c r="B8052">
        <f>TEST_DATA!B8052</f>
        <v/>
      </c>
      <c r="C8052">
        <f>TEST_DATA!C8052</f>
        <v/>
      </c>
      <c r="D8052">
        <f>TEST_DATA!D8052</f>
        <v/>
      </c>
      <c r="E8052">
        <f>TEST_DATA!E8052</f>
        <v/>
      </c>
    </row>
    <row r="8053">
      <c r="A8053">
        <f>TEST_DATA!A8053</f>
        <v/>
      </c>
      <c r="B8053">
        <f>TEST_DATA!B8053</f>
        <v/>
      </c>
      <c r="C8053">
        <f>TEST_DATA!C8053</f>
        <v/>
      </c>
      <c r="D8053">
        <f>TEST_DATA!D8053</f>
        <v/>
      </c>
      <c r="E8053">
        <f>TEST_DATA!E8053</f>
        <v/>
      </c>
    </row>
    <row r="8054">
      <c r="A8054">
        <f>TEST_DATA!A8054</f>
        <v/>
      </c>
      <c r="B8054">
        <f>TEST_DATA!B8054</f>
        <v/>
      </c>
      <c r="C8054">
        <f>TEST_DATA!C8054</f>
        <v/>
      </c>
      <c r="D8054">
        <f>TEST_DATA!D8054</f>
        <v/>
      </c>
      <c r="E8054">
        <f>TEST_DATA!E8054</f>
        <v/>
      </c>
    </row>
    <row r="8055">
      <c r="A8055">
        <f>TEST_DATA!A8055</f>
        <v/>
      </c>
      <c r="B8055">
        <f>TEST_DATA!B8055</f>
        <v/>
      </c>
      <c r="C8055">
        <f>TEST_DATA!C8055</f>
        <v/>
      </c>
      <c r="D8055">
        <f>TEST_DATA!D8055</f>
        <v/>
      </c>
      <c r="E8055">
        <f>TEST_DATA!E8055</f>
        <v/>
      </c>
    </row>
    <row r="8056">
      <c r="A8056">
        <f>TEST_DATA!A8056</f>
        <v/>
      </c>
      <c r="B8056">
        <f>TEST_DATA!B8056</f>
        <v/>
      </c>
      <c r="C8056">
        <f>TEST_DATA!C8056</f>
        <v/>
      </c>
      <c r="D8056">
        <f>TEST_DATA!D8056</f>
        <v/>
      </c>
      <c r="E8056">
        <f>TEST_DATA!E8056</f>
        <v/>
      </c>
    </row>
    <row r="8057">
      <c r="A8057">
        <f>TEST_DATA!A8057</f>
        <v/>
      </c>
      <c r="B8057">
        <f>TEST_DATA!B8057</f>
        <v/>
      </c>
      <c r="C8057">
        <f>TEST_DATA!C8057</f>
        <v/>
      </c>
      <c r="D8057">
        <f>TEST_DATA!D8057</f>
        <v/>
      </c>
      <c r="E8057">
        <f>TEST_DATA!E8057</f>
        <v/>
      </c>
    </row>
    <row r="8058">
      <c r="A8058">
        <f>TEST_DATA!A8058</f>
        <v/>
      </c>
      <c r="B8058">
        <f>TEST_DATA!B8058</f>
        <v/>
      </c>
      <c r="C8058">
        <f>TEST_DATA!C8058</f>
        <v/>
      </c>
      <c r="D8058">
        <f>TEST_DATA!D8058</f>
        <v/>
      </c>
      <c r="E8058">
        <f>TEST_DATA!E8058</f>
        <v/>
      </c>
    </row>
    <row r="8059">
      <c r="A8059">
        <f>TEST_DATA!A8059</f>
        <v/>
      </c>
      <c r="B8059">
        <f>TEST_DATA!B8059</f>
        <v/>
      </c>
      <c r="C8059">
        <f>TEST_DATA!C8059</f>
        <v/>
      </c>
      <c r="D8059">
        <f>TEST_DATA!D8059</f>
        <v/>
      </c>
      <c r="E8059">
        <f>TEST_DATA!E8059</f>
        <v/>
      </c>
    </row>
    <row r="8060">
      <c r="A8060">
        <f>TEST_DATA!A8060</f>
        <v/>
      </c>
      <c r="B8060">
        <f>TEST_DATA!B8060</f>
        <v/>
      </c>
      <c r="C8060">
        <f>TEST_DATA!C8060</f>
        <v/>
      </c>
      <c r="D8060">
        <f>TEST_DATA!D8060</f>
        <v/>
      </c>
      <c r="E8060">
        <f>TEST_DATA!E8060</f>
        <v/>
      </c>
    </row>
    <row r="8061">
      <c r="A8061">
        <f>TEST_DATA!A8061</f>
        <v/>
      </c>
      <c r="B8061">
        <f>TEST_DATA!B8061</f>
        <v/>
      </c>
      <c r="C8061">
        <f>TEST_DATA!C8061</f>
        <v/>
      </c>
      <c r="D8061">
        <f>TEST_DATA!D8061</f>
        <v/>
      </c>
      <c r="E8061">
        <f>TEST_DATA!E8061</f>
        <v/>
      </c>
    </row>
    <row r="8062">
      <c r="A8062">
        <f>TEST_DATA!A8062</f>
        <v/>
      </c>
      <c r="B8062">
        <f>TEST_DATA!B8062</f>
        <v/>
      </c>
      <c r="C8062">
        <f>TEST_DATA!C8062</f>
        <v/>
      </c>
      <c r="D8062">
        <f>TEST_DATA!D8062</f>
        <v/>
      </c>
      <c r="E8062">
        <f>TEST_DATA!E8062</f>
        <v/>
      </c>
    </row>
    <row r="8063">
      <c r="A8063">
        <f>TEST_DATA!A8063</f>
        <v/>
      </c>
      <c r="B8063">
        <f>TEST_DATA!B8063</f>
        <v/>
      </c>
      <c r="C8063">
        <f>TEST_DATA!C8063</f>
        <v/>
      </c>
      <c r="D8063">
        <f>TEST_DATA!D8063</f>
        <v/>
      </c>
      <c r="E8063">
        <f>TEST_DATA!E8063</f>
        <v/>
      </c>
    </row>
    <row r="8064">
      <c r="A8064">
        <f>TEST_DATA!A8064</f>
        <v/>
      </c>
      <c r="B8064">
        <f>TEST_DATA!B8064</f>
        <v/>
      </c>
      <c r="C8064">
        <f>TEST_DATA!C8064</f>
        <v/>
      </c>
      <c r="D8064">
        <f>TEST_DATA!D8064</f>
        <v/>
      </c>
      <c r="E8064">
        <f>TEST_DATA!E8064</f>
        <v/>
      </c>
    </row>
    <row r="8065">
      <c r="A8065">
        <f>TEST_DATA!A8065</f>
        <v/>
      </c>
      <c r="B8065">
        <f>TEST_DATA!B8065</f>
        <v/>
      </c>
      <c r="C8065">
        <f>TEST_DATA!C8065</f>
        <v/>
      </c>
      <c r="D8065">
        <f>TEST_DATA!D8065</f>
        <v/>
      </c>
      <c r="E8065">
        <f>TEST_DATA!E8065</f>
        <v/>
      </c>
    </row>
    <row r="8066">
      <c r="A8066">
        <f>TEST_DATA!A8066</f>
        <v/>
      </c>
      <c r="B8066">
        <f>TEST_DATA!B8066</f>
        <v/>
      </c>
      <c r="C8066">
        <f>TEST_DATA!C8066</f>
        <v/>
      </c>
      <c r="D8066">
        <f>TEST_DATA!D8066</f>
        <v/>
      </c>
      <c r="E8066">
        <f>TEST_DATA!E8066</f>
        <v/>
      </c>
    </row>
    <row r="8067">
      <c r="A8067">
        <f>TEST_DATA!A8067</f>
        <v/>
      </c>
      <c r="B8067">
        <f>TEST_DATA!B8067</f>
        <v/>
      </c>
      <c r="C8067">
        <f>TEST_DATA!C8067</f>
        <v/>
      </c>
      <c r="D8067">
        <f>TEST_DATA!D8067</f>
        <v/>
      </c>
      <c r="E8067">
        <f>TEST_DATA!E8067</f>
        <v/>
      </c>
    </row>
    <row r="8068">
      <c r="A8068">
        <f>TEST_DATA!A8068</f>
        <v/>
      </c>
      <c r="B8068">
        <f>TEST_DATA!B8068</f>
        <v/>
      </c>
      <c r="C8068">
        <f>TEST_DATA!C8068</f>
        <v/>
      </c>
      <c r="D8068">
        <f>TEST_DATA!D8068</f>
        <v/>
      </c>
      <c r="E8068">
        <f>TEST_DATA!E8068</f>
        <v/>
      </c>
    </row>
    <row r="8069">
      <c r="A8069">
        <f>TEST_DATA!A8069</f>
        <v/>
      </c>
      <c r="B8069">
        <f>TEST_DATA!B8069</f>
        <v/>
      </c>
      <c r="C8069">
        <f>TEST_DATA!C8069</f>
        <v/>
      </c>
      <c r="D8069">
        <f>TEST_DATA!D8069</f>
        <v/>
      </c>
      <c r="E8069">
        <f>TEST_DATA!E8069</f>
        <v/>
      </c>
    </row>
    <row r="8070">
      <c r="A8070">
        <f>TEST_DATA!A8070</f>
        <v/>
      </c>
      <c r="B8070">
        <f>TEST_DATA!B8070</f>
        <v/>
      </c>
      <c r="C8070">
        <f>TEST_DATA!C8070</f>
        <v/>
      </c>
      <c r="D8070">
        <f>TEST_DATA!D8070</f>
        <v/>
      </c>
      <c r="E8070">
        <f>TEST_DATA!E8070</f>
        <v/>
      </c>
    </row>
    <row r="8071">
      <c r="A8071">
        <f>TEST_DATA!A8071</f>
        <v/>
      </c>
      <c r="B8071">
        <f>TEST_DATA!B8071</f>
        <v/>
      </c>
      <c r="C8071">
        <f>TEST_DATA!C8071</f>
        <v/>
      </c>
      <c r="D8071">
        <f>TEST_DATA!D8071</f>
        <v/>
      </c>
      <c r="E8071">
        <f>TEST_DATA!E8071</f>
        <v/>
      </c>
    </row>
    <row r="8072">
      <c r="A8072">
        <f>TEST_DATA!A8072</f>
        <v/>
      </c>
      <c r="B8072">
        <f>TEST_DATA!B8072</f>
        <v/>
      </c>
      <c r="C8072">
        <f>TEST_DATA!C8072</f>
        <v/>
      </c>
      <c r="D8072">
        <f>TEST_DATA!D8072</f>
        <v/>
      </c>
      <c r="E8072">
        <f>TEST_DATA!E8072</f>
        <v/>
      </c>
    </row>
    <row r="8073">
      <c r="A8073">
        <f>TEST_DATA!A8073</f>
        <v/>
      </c>
      <c r="B8073">
        <f>TEST_DATA!B8073</f>
        <v/>
      </c>
      <c r="C8073">
        <f>TEST_DATA!C8073</f>
        <v/>
      </c>
      <c r="D8073">
        <f>TEST_DATA!D8073</f>
        <v/>
      </c>
      <c r="E8073">
        <f>TEST_DATA!E8073</f>
        <v/>
      </c>
    </row>
    <row r="8074">
      <c r="A8074">
        <f>TEST_DATA!A8074</f>
        <v/>
      </c>
      <c r="B8074">
        <f>TEST_DATA!B8074</f>
        <v/>
      </c>
      <c r="C8074">
        <f>TEST_DATA!C8074</f>
        <v/>
      </c>
      <c r="D8074">
        <f>TEST_DATA!D8074</f>
        <v/>
      </c>
      <c r="E8074">
        <f>TEST_DATA!E8074</f>
        <v/>
      </c>
    </row>
    <row r="8075">
      <c r="A8075">
        <f>TEST_DATA!A8075</f>
        <v/>
      </c>
      <c r="B8075">
        <f>TEST_DATA!B8075</f>
        <v/>
      </c>
      <c r="C8075">
        <f>TEST_DATA!C8075</f>
        <v/>
      </c>
      <c r="D8075">
        <f>TEST_DATA!D8075</f>
        <v/>
      </c>
      <c r="E8075">
        <f>TEST_DATA!E8075</f>
        <v/>
      </c>
    </row>
    <row r="8076">
      <c r="A8076">
        <f>TEST_DATA!A8076</f>
        <v/>
      </c>
      <c r="B8076">
        <f>TEST_DATA!B8076</f>
        <v/>
      </c>
      <c r="C8076">
        <f>TEST_DATA!C8076</f>
        <v/>
      </c>
      <c r="D8076">
        <f>TEST_DATA!D8076</f>
        <v/>
      </c>
      <c r="E8076">
        <f>TEST_DATA!E8076</f>
        <v/>
      </c>
    </row>
    <row r="8077">
      <c r="A8077">
        <f>TEST_DATA!A8077</f>
        <v/>
      </c>
      <c r="B8077">
        <f>TEST_DATA!B8077</f>
        <v/>
      </c>
      <c r="C8077">
        <f>TEST_DATA!C8077</f>
        <v/>
      </c>
      <c r="D8077">
        <f>TEST_DATA!D8077</f>
        <v/>
      </c>
      <c r="E8077">
        <f>TEST_DATA!E8077</f>
        <v/>
      </c>
    </row>
    <row r="8078">
      <c r="A8078">
        <f>TEST_DATA!A8078</f>
        <v/>
      </c>
      <c r="B8078">
        <f>TEST_DATA!B8078</f>
        <v/>
      </c>
      <c r="C8078">
        <f>TEST_DATA!C8078</f>
        <v/>
      </c>
      <c r="D8078">
        <f>TEST_DATA!D8078</f>
        <v/>
      </c>
      <c r="E8078">
        <f>TEST_DATA!E8078</f>
        <v/>
      </c>
    </row>
    <row r="8079">
      <c r="A8079">
        <f>TEST_DATA!A8079</f>
        <v/>
      </c>
      <c r="B8079">
        <f>TEST_DATA!B8079</f>
        <v/>
      </c>
      <c r="C8079">
        <f>TEST_DATA!C8079</f>
        <v/>
      </c>
      <c r="D8079">
        <f>TEST_DATA!D8079</f>
        <v/>
      </c>
      <c r="E8079">
        <f>TEST_DATA!E8079</f>
        <v/>
      </c>
    </row>
    <row r="8080">
      <c r="A8080">
        <f>TEST_DATA!A8080</f>
        <v/>
      </c>
      <c r="B8080">
        <f>TEST_DATA!B8080</f>
        <v/>
      </c>
      <c r="C8080">
        <f>TEST_DATA!C8080</f>
        <v/>
      </c>
      <c r="D8080">
        <f>TEST_DATA!D8080</f>
        <v/>
      </c>
      <c r="E8080">
        <f>TEST_DATA!E8080</f>
        <v/>
      </c>
    </row>
    <row r="8081">
      <c r="A8081">
        <f>TEST_DATA!A8081</f>
        <v/>
      </c>
      <c r="B8081">
        <f>TEST_DATA!B8081</f>
        <v/>
      </c>
      <c r="C8081">
        <f>TEST_DATA!C8081</f>
        <v/>
      </c>
      <c r="D8081">
        <f>TEST_DATA!D8081</f>
        <v/>
      </c>
      <c r="E8081">
        <f>TEST_DATA!E8081</f>
        <v/>
      </c>
    </row>
    <row r="8082">
      <c r="A8082">
        <f>TEST_DATA!A8082</f>
        <v/>
      </c>
      <c r="B8082">
        <f>TEST_DATA!B8082</f>
        <v/>
      </c>
      <c r="C8082">
        <f>TEST_DATA!C8082</f>
        <v/>
      </c>
      <c r="D8082">
        <f>TEST_DATA!D8082</f>
        <v/>
      </c>
      <c r="E8082">
        <f>TEST_DATA!E8082</f>
        <v/>
      </c>
    </row>
    <row r="8083">
      <c r="A8083">
        <f>TEST_DATA!A8083</f>
        <v/>
      </c>
      <c r="B8083">
        <f>TEST_DATA!B8083</f>
        <v/>
      </c>
      <c r="C8083">
        <f>TEST_DATA!C8083</f>
        <v/>
      </c>
      <c r="D8083">
        <f>TEST_DATA!D8083</f>
        <v/>
      </c>
      <c r="E8083">
        <f>TEST_DATA!E8083</f>
        <v/>
      </c>
    </row>
    <row r="8084">
      <c r="A8084">
        <f>TEST_DATA!A8084</f>
        <v/>
      </c>
      <c r="B8084">
        <f>TEST_DATA!B8084</f>
        <v/>
      </c>
      <c r="C8084">
        <f>TEST_DATA!C8084</f>
        <v/>
      </c>
      <c r="D8084">
        <f>TEST_DATA!D8084</f>
        <v/>
      </c>
      <c r="E8084">
        <f>TEST_DATA!E8084</f>
        <v/>
      </c>
    </row>
    <row r="8085">
      <c r="A8085">
        <f>TEST_DATA!A8085</f>
        <v/>
      </c>
      <c r="B8085">
        <f>TEST_DATA!B8085</f>
        <v/>
      </c>
      <c r="C8085">
        <f>TEST_DATA!C8085</f>
        <v/>
      </c>
      <c r="D8085">
        <f>TEST_DATA!D8085</f>
        <v/>
      </c>
      <c r="E8085">
        <f>TEST_DATA!E8085</f>
        <v/>
      </c>
    </row>
    <row r="8086">
      <c r="A8086">
        <f>TEST_DATA!A8086</f>
        <v/>
      </c>
      <c r="B8086">
        <f>TEST_DATA!B8086</f>
        <v/>
      </c>
      <c r="C8086">
        <f>TEST_DATA!C8086</f>
        <v/>
      </c>
      <c r="D8086">
        <f>TEST_DATA!D8086</f>
        <v/>
      </c>
      <c r="E8086">
        <f>TEST_DATA!E8086</f>
        <v/>
      </c>
    </row>
    <row r="8087">
      <c r="A8087">
        <f>TEST_DATA!A8087</f>
        <v/>
      </c>
      <c r="B8087">
        <f>TEST_DATA!B8087</f>
        <v/>
      </c>
      <c r="C8087">
        <f>TEST_DATA!C8087</f>
        <v/>
      </c>
      <c r="D8087">
        <f>TEST_DATA!D8087</f>
        <v/>
      </c>
      <c r="E8087">
        <f>TEST_DATA!E8087</f>
        <v/>
      </c>
    </row>
    <row r="8088">
      <c r="A8088">
        <f>TEST_DATA!A8088</f>
        <v/>
      </c>
      <c r="B8088">
        <f>TEST_DATA!B8088</f>
        <v/>
      </c>
      <c r="C8088">
        <f>TEST_DATA!C8088</f>
        <v/>
      </c>
      <c r="D8088">
        <f>TEST_DATA!D8088</f>
        <v/>
      </c>
      <c r="E8088">
        <f>TEST_DATA!E8088</f>
        <v/>
      </c>
    </row>
    <row r="8089">
      <c r="A8089">
        <f>TEST_DATA!A8089</f>
        <v/>
      </c>
      <c r="B8089">
        <f>TEST_DATA!B8089</f>
        <v/>
      </c>
      <c r="C8089">
        <f>TEST_DATA!C8089</f>
        <v/>
      </c>
      <c r="D8089">
        <f>TEST_DATA!D8089</f>
        <v/>
      </c>
      <c r="E8089">
        <f>TEST_DATA!E8089</f>
        <v/>
      </c>
    </row>
    <row r="8090">
      <c r="A8090">
        <f>TEST_DATA!A8090</f>
        <v/>
      </c>
      <c r="B8090">
        <f>TEST_DATA!B8090</f>
        <v/>
      </c>
      <c r="C8090">
        <f>TEST_DATA!C8090</f>
        <v/>
      </c>
      <c r="D8090">
        <f>TEST_DATA!D8090</f>
        <v/>
      </c>
      <c r="E8090">
        <f>TEST_DATA!E8090</f>
        <v/>
      </c>
    </row>
    <row r="8091">
      <c r="A8091">
        <f>TEST_DATA!A8091</f>
        <v/>
      </c>
      <c r="B8091">
        <f>TEST_DATA!B8091</f>
        <v/>
      </c>
      <c r="C8091">
        <f>TEST_DATA!C8091</f>
        <v/>
      </c>
      <c r="D8091">
        <f>TEST_DATA!D8091</f>
        <v/>
      </c>
      <c r="E8091">
        <f>TEST_DATA!E8091</f>
        <v/>
      </c>
    </row>
    <row r="8092">
      <c r="A8092">
        <f>TEST_DATA!A8092</f>
        <v/>
      </c>
      <c r="B8092">
        <f>TEST_DATA!B8092</f>
        <v/>
      </c>
      <c r="C8092">
        <f>TEST_DATA!C8092</f>
        <v/>
      </c>
      <c r="D8092">
        <f>TEST_DATA!D8092</f>
        <v/>
      </c>
      <c r="E8092">
        <f>TEST_DATA!E8092</f>
        <v/>
      </c>
    </row>
    <row r="8093">
      <c r="A8093">
        <f>TEST_DATA!A8093</f>
        <v/>
      </c>
      <c r="B8093">
        <f>TEST_DATA!B8093</f>
        <v/>
      </c>
      <c r="C8093">
        <f>TEST_DATA!C8093</f>
        <v/>
      </c>
      <c r="D8093">
        <f>TEST_DATA!D8093</f>
        <v/>
      </c>
      <c r="E8093">
        <f>TEST_DATA!E8093</f>
        <v/>
      </c>
    </row>
    <row r="8094">
      <c r="A8094">
        <f>TEST_DATA!A8094</f>
        <v/>
      </c>
      <c r="B8094">
        <f>TEST_DATA!B8094</f>
        <v/>
      </c>
      <c r="C8094">
        <f>TEST_DATA!C8094</f>
        <v/>
      </c>
      <c r="D8094">
        <f>TEST_DATA!D8094</f>
        <v/>
      </c>
      <c r="E8094">
        <f>TEST_DATA!E8094</f>
        <v/>
      </c>
    </row>
    <row r="8095">
      <c r="A8095">
        <f>TEST_DATA!A8095</f>
        <v/>
      </c>
      <c r="B8095">
        <f>TEST_DATA!B8095</f>
        <v/>
      </c>
      <c r="C8095">
        <f>TEST_DATA!C8095</f>
        <v/>
      </c>
      <c r="D8095">
        <f>TEST_DATA!D8095</f>
        <v/>
      </c>
      <c r="E8095">
        <f>TEST_DATA!E8095</f>
        <v/>
      </c>
    </row>
    <row r="8096">
      <c r="A8096">
        <f>TEST_DATA!A8096</f>
        <v/>
      </c>
      <c r="B8096">
        <f>TEST_DATA!B8096</f>
        <v/>
      </c>
      <c r="C8096">
        <f>TEST_DATA!C8096</f>
        <v/>
      </c>
      <c r="D8096">
        <f>TEST_DATA!D8096</f>
        <v/>
      </c>
      <c r="E8096">
        <f>TEST_DATA!E8096</f>
        <v/>
      </c>
    </row>
    <row r="8097">
      <c r="A8097">
        <f>TEST_DATA!A8097</f>
        <v/>
      </c>
      <c r="B8097">
        <f>TEST_DATA!B8097</f>
        <v/>
      </c>
      <c r="C8097">
        <f>TEST_DATA!C8097</f>
        <v/>
      </c>
      <c r="D8097">
        <f>TEST_DATA!D8097</f>
        <v/>
      </c>
      <c r="E8097">
        <f>TEST_DATA!E8097</f>
        <v/>
      </c>
    </row>
    <row r="8098">
      <c r="A8098">
        <f>TEST_DATA!A8098</f>
        <v/>
      </c>
      <c r="B8098">
        <f>TEST_DATA!B8098</f>
        <v/>
      </c>
      <c r="C8098">
        <f>TEST_DATA!C8098</f>
        <v/>
      </c>
      <c r="D8098">
        <f>TEST_DATA!D8098</f>
        <v/>
      </c>
      <c r="E8098">
        <f>TEST_DATA!E8098</f>
        <v/>
      </c>
    </row>
    <row r="8099">
      <c r="A8099">
        <f>TEST_DATA!A8099</f>
        <v/>
      </c>
      <c r="B8099">
        <f>TEST_DATA!B8099</f>
        <v/>
      </c>
      <c r="C8099">
        <f>TEST_DATA!C8099</f>
        <v/>
      </c>
      <c r="D8099">
        <f>TEST_DATA!D8099</f>
        <v/>
      </c>
      <c r="E8099">
        <f>TEST_DATA!E8099</f>
        <v/>
      </c>
    </row>
    <row r="8100">
      <c r="A8100">
        <f>TEST_DATA!A8100</f>
        <v/>
      </c>
      <c r="B8100">
        <f>TEST_DATA!B8100</f>
        <v/>
      </c>
      <c r="C8100">
        <f>TEST_DATA!C8100</f>
        <v/>
      </c>
      <c r="D8100">
        <f>TEST_DATA!D8100</f>
        <v/>
      </c>
      <c r="E8100">
        <f>TEST_DATA!E8100</f>
        <v/>
      </c>
    </row>
    <row r="8101">
      <c r="A8101">
        <f>TEST_DATA!A8101</f>
        <v/>
      </c>
      <c r="B8101">
        <f>TEST_DATA!B8101</f>
        <v/>
      </c>
      <c r="C8101">
        <f>TEST_DATA!C8101</f>
        <v/>
      </c>
      <c r="D8101">
        <f>TEST_DATA!D8101</f>
        <v/>
      </c>
      <c r="E8101">
        <f>TEST_DATA!E8101</f>
        <v/>
      </c>
    </row>
    <row r="8102">
      <c r="A8102">
        <f>TEST_DATA!A8102</f>
        <v/>
      </c>
      <c r="B8102">
        <f>TEST_DATA!B8102</f>
        <v/>
      </c>
      <c r="C8102">
        <f>TEST_DATA!C8102</f>
        <v/>
      </c>
      <c r="D8102">
        <f>TEST_DATA!D8102</f>
        <v/>
      </c>
      <c r="E8102">
        <f>TEST_DATA!E8102</f>
        <v/>
      </c>
    </row>
    <row r="8103">
      <c r="A8103">
        <f>TEST_DATA!A8103</f>
        <v/>
      </c>
      <c r="B8103">
        <f>TEST_DATA!B8103</f>
        <v/>
      </c>
      <c r="C8103">
        <f>TEST_DATA!C8103</f>
        <v/>
      </c>
      <c r="D8103">
        <f>TEST_DATA!D8103</f>
        <v/>
      </c>
      <c r="E8103">
        <f>TEST_DATA!E8103</f>
        <v/>
      </c>
    </row>
    <row r="8104">
      <c r="A8104">
        <f>TEST_DATA!A8104</f>
        <v/>
      </c>
      <c r="B8104">
        <f>TEST_DATA!B8104</f>
        <v/>
      </c>
      <c r="C8104">
        <f>TEST_DATA!C8104</f>
        <v/>
      </c>
      <c r="D8104">
        <f>TEST_DATA!D8104</f>
        <v/>
      </c>
      <c r="E8104">
        <f>TEST_DATA!E8104</f>
        <v/>
      </c>
    </row>
    <row r="8105">
      <c r="A8105">
        <f>TEST_DATA!A8105</f>
        <v/>
      </c>
      <c r="B8105">
        <f>TEST_DATA!B8105</f>
        <v/>
      </c>
      <c r="C8105">
        <f>TEST_DATA!C8105</f>
        <v/>
      </c>
      <c r="D8105">
        <f>TEST_DATA!D8105</f>
        <v/>
      </c>
      <c r="E8105">
        <f>TEST_DATA!E8105</f>
        <v/>
      </c>
    </row>
    <row r="8106">
      <c r="A8106">
        <f>TEST_DATA!A8106</f>
        <v/>
      </c>
      <c r="B8106">
        <f>TEST_DATA!B8106</f>
        <v/>
      </c>
      <c r="C8106">
        <f>TEST_DATA!C8106</f>
        <v/>
      </c>
      <c r="D8106">
        <f>TEST_DATA!D8106</f>
        <v/>
      </c>
      <c r="E8106">
        <f>TEST_DATA!E8106</f>
        <v/>
      </c>
    </row>
    <row r="8107">
      <c r="A8107">
        <f>TEST_DATA!A8107</f>
        <v/>
      </c>
      <c r="B8107">
        <f>TEST_DATA!B8107</f>
        <v/>
      </c>
      <c r="C8107">
        <f>TEST_DATA!C8107</f>
        <v/>
      </c>
      <c r="D8107">
        <f>TEST_DATA!D8107</f>
        <v/>
      </c>
      <c r="E8107">
        <f>TEST_DATA!E8107</f>
        <v/>
      </c>
    </row>
    <row r="8108">
      <c r="A8108">
        <f>TEST_DATA!A8108</f>
        <v/>
      </c>
      <c r="B8108">
        <f>TEST_DATA!B8108</f>
        <v/>
      </c>
      <c r="C8108">
        <f>TEST_DATA!C8108</f>
        <v/>
      </c>
      <c r="D8108">
        <f>TEST_DATA!D8108</f>
        <v/>
      </c>
      <c r="E8108">
        <f>TEST_DATA!E8108</f>
        <v/>
      </c>
    </row>
    <row r="8109">
      <c r="A8109">
        <f>TEST_DATA!A8109</f>
        <v/>
      </c>
      <c r="B8109">
        <f>TEST_DATA!B8109</f>
        <v/>
      </c>
      <c r="C8109">
        <f>TEST_DATA!C8109</f>
        <v/>
      </c>
      <c r="D8109">
        <f>TEST_DATA!D8109</f>
        <v/>
      </c>
      <c r="E8109">
        <f>TEST_DATA!E8109</f>
        <v/>
      </c>
    </row>
    <row r="8110">
      <c r="A8110">
        <f>TEST_DATA!A8110</f>
        <v/>
      </c>
      <c r="B8110">
        <f>TEST_DATA!B8110</f>
        <v/>
      </c>
      <c r="C8110">
        <f>TEST_DATA!C8110</f>
        <v/>
      </c>
      <c r="D8110">
        <f>TEST_DATA!D8110</f>
        <v/>
      </c>
      <c r="E8110">
        <f>TEST_DATA!E8110</f>
        <v/>
      </c>
    </row>
    <row r="8111">
      <c r="A8111">
        <f>TEST_DATA!A8111</f>
        <v/>
      </c>
      <c r="B8111">
        <f>TEST_DATA!B8111</f>
        <v/>
      </c>
      <c r="C8111">
        <f>TEST_DATA!C8111</f>
        <v/>
      </c>
      <c r="D8111">
        <f>TEST_DATA!D8111</f>
        <v/>
      </c>
      <c r="E8111">
        <f>TEST_DATA!E8111</f>
        <v/>
      </c>
    </row>
    <row r="8112">
      <c r="A8112">
        <f>TEST_DATA!A8112</f>
        <v/>
      </c>
      <c r="B8112">
        <f>TEST_DATA!B8112</f>
        <v/>
      </c>
      <c r="C8112">
        <f>TEST_DATA!C8112</f>
        <v/>
      </c>
      <c r="D8112">
        <f>TEST_DATA!D8112</f>
        <v/>
      </c>
      <c r="E8112">
        <f>TEST_DATA!E8112</f>
        <v/>
      </c>
    </row>
    <row r="8113">
      <c r="A8113">
        <f>TEST_DATA!A8113</f>
        <v/>
      </c>
      <c r="B8113">
        <f>TEST_DATA!B8113</f>
        <v/>
      </c>
      <c r="C8113">
        <f>TEST_DATA!C8113</f>
        <v/>
      </c>
      <c r="D8113">
        <f>TEST_DATA!D8113</f>
        <v/>
      </c>
      <c r="E8113">
        <f>TEST_DATA!E8113</f>
        <v/>
      </c>
    </row>
    <row r="8114">
      <c r="A8114">
        <f>TEST_DATA!A8114</f>
        <v/>
      </c>
      <c r="B8114">
        <f>TEST_DATA!B8114</f>
        <v/>
      </c>
      <c r="C8114">
        <f>TEST_DATA!C8114</f>
        <v/>
      </c>
      <c r="D8114">
        <f>TEST_DATA!D8114</f>
        <v/>
      </c>
      <c r="E8114">
        <f>TEST_DATA!E8114</f>
        <v/>
      </c>
    </row>
    <row r="8115">
      <c r="A8115">
        <f>TEST_DATA!A8115</f>
        <v/>
      </c>
      <c r="B8115">
        <f>TEST_DATA!B8115</f>
        <v/>
      </c>
      <c r="C8115">
        <f>TEST_DATA!C8115</f>
        <v/>
      </c>
      <c r="D8115">
        <f>TEST_DATA!D8115</f>
        <v/>
      </c>
      <c r="E8115">
        <f>TEST_DATA!E8115</f>
        <v/>
      </c>
    </row>
    <row r="8116">
      <c r="A8116">
        <f>TEST_DATA!A8116</f>
        <v/>
      </c>
      <c r="B8116">
        <f>TEST_DATA!B8116</f>
        <v/>
      </c>
      <c r="C8116">
        <f>TEST_DATA!C8116</f>
        <v/>
      </c>
      <c r="D8116">
        <f>TEST_DATA!D8116</f>
        <v/>
      </c>
      <c r="E8116">
        <f>TEST_DATA!E8116</f>
        <v/>
      </c>
    </row>
    <row r="8117">
      <c r="A8117">
        <f>TEST_DATA!A8117</f>
        <v/>
      </c>
      <c r="B8117">
        <f>TEST_DATA!B8117</f>
        <v/>
      </c>
      <c r="C8117">
        <f>TEST_DATA!C8117</f>
        <v/>
      </c>
      <c r="D8117">
        <f>TEST_DATA!D8117</f>
        <v/>
      </c>
      <c r="E8117">
        <f>TEST_DATA!E8117</f>
        <v/>
      </c>
    </row>
    <row r="8118">
      <c r="A8118">
        <f>TEST_DATA!A8118</f>
        <v/>
      </c>
      <c r="B8118">
        <f>TEST_DATA!B8118</f>
        <v/>
      </c>
      <c r="C8118">
        <f>TEST_DATA!C8118</f>
        <v/>
      </c>
      <c r="D8118">
        <f>TEST_DATA!D8118</f>
        <v/>
      </c>
      <c r="E8118">
        <f>TEST_DATA!E8118</f>
        <v/>
      </c>
    </row>
    <row r="8119">
      <c r="A8119">
        <f>TEST_DATA!A8119</f>
        <v/>
      </c>
      <c r="B8119">
        <f>TEST_DATA!B8119</f>
        <v/>
      </c>
      <c r="C8119">
        <f>TEST_DATA!C8119</f>
        <v/>
      </c>
      <c r="D8119">
        <f>TEST_DATA!D8119</f>
        <v/>
      </c>
      <c r="E8119">
        <f>TEST_DATA!E8119</f>
        <v/>
      </c>
    </row>
    <row r="8120">
      <c r="A8120">
        <f>TEST_DATA!A8120</f>
        <v/>
      </c>
      <c r="B8120">
        <f>TEST_DATA!B8120</f>
        <v/>
      </c>
      <c r="C8120">
        <f>TEST_DATA!C8120</f>
        <v/>
      </c>
      <c r="D8120">
        <f>TEST_DATA!D8120</f>
        <v/>
      </c>
      <c r="E8120">
        <f>TEST_DATA!E8120</f>
        <v/>
      </c>
    </row>
    <row r="8121">
      <c r="A8121">
        <f>TEST_DATA!A8121</f>
        <v/>
      </c>
      <c r="B8121">
        <f>TEST_DATA!B8121</f>
        <v/>
      </c>
      <c r="C8121">
        <f>TEST_DATA!C8121</f>
        <v/>
      </c>
      <c r="D8121">
        <f>TEST_DATA!D8121</f>
        <v/>
      </c>
      <c r="E8121">
        <f>TEST_DATA!E8121</f>
        <v/>
      </c>
    </row>
    <row r="8122">
      <c r="A8122">
        <f>TEST_DATA!A8122</f>
        <v/>
      </c>
      <c r="B8122">
        <f>TEST_DATA!B8122</f>
        <v/>
      </c>
      <c r="C8122">
        <f>TEST_DATA!C8122</f>
        <v/>
      </c>
      <c r="D8122">
        <f>TEST_DATA!D8122</f>
        <v/>
      </c>
      <c r="E8122">
        <f>TEST_DATA!E8122</f>
        <v/>
      </c>
    </row>
    <row r="8123">
      <c r="A8123">
        <f>TEST_DATA!A8123</f>
        <v/>
      </c>
      <c r="B8123">
        <f>TEST_DATA!B8123</f>
        <v/>
      </c>
      <c r="C8123">
        <f>TEST_DATA!C8123</f>
        <v/>
      </c>
      <c r="D8123">
        <f>TEST_DATA!D8123</f>
        <v/>
      </c>
      <c r="E8123">
        <f>TEST_DATA!E8123</f>
        <v/>
      </c>
    </row>
    <row r="8124">
      <c r="A8124">
        <f>TEST_DATA!A8124</f>
        <v/>
      </c>
      <c r="B8124">
        <f>TEST_DATA!B8124</f>
        <v/>
      </c>
      <c r="C8124">
        <f>TEST_DATA!C8124</f>
        <v/>
      </c>
      <c r="D8124">
        <f>TEST_DATA!D8124</f>
        <v/>
      </c>
      <c r="E8124">
        <f>TEST_DATA!E8124</f>
        <v/>
      </c>
    </row>
    <row r="8125">
      <c r="A8125">
        <f>TEST_DATA!A8125</f>
        <v/>
      </c>
      <c r="B8125">
        <f>TEST_DATA!B8125</f>
        <v/>
      </c>
      <c r="C8125">
        <f>TEST_DATA!C8125</f>
        <v/>
      </c>
      <c r="D8125">
        <f>TEST_DATA!D8125</f>
        <v/>
      </c>
      <c r="E8125">
        <f>TEST_DATA!E8125</f>
        <v/>
      </c>
    </row>
    <row r="8126">
      <c r="A8126">
        <f>TEST_DATA!A8126</f>
        <v/>
      </c>
      <c r="B8126">
        <f>TEST_DATA!B8126</f>
        <v/>
      </c>
      <c r="C8126">
        <f>TEST_DATA!C8126</f>
        <v/>
      </c>
      <c r="D8126">
        <f>TEST_DATA!D8126</f>
        <v/>
      </c>
      <c r="E8126">
        <f>TEST_DATA!E8126</f>
        <v/>
      </c>
    </row>
    <row r="8127">
      <c r="A8127">
        <f>TEST_DATA!A8127</f>
        <v/>
      </c>
      <c r="B8127">
        <f>TEST_DATA!B8127</f>
        <v/>
      </c>
      <c r="C8127">
        <f>TEST_DATA!C8127</f>
        <v/>
      </c>
      <c r="D8127">
        <f>TEST_DATA!D8127</f>
        <v/>
      </c>
      <c r="E8127">
        <f>TEST_DATA!E8127</f>
        <v/>
      </c>
    </row>
    <row r="8128">
      <c r="A8128">
        <f>TEST_DATA!A8128</f>
        <v/>
      </c>
      <c r="B8128">
        <f>TEST_DATA!B8128</f>
        <v/>
      </c>
      <c r="C8128">
        <f>TEST_DATA!C8128</f>
        <v/>
      </c>
      <c r="D8128">
        <f>TEST_DATA!D8128</f>
        <v/>
      </c>
      <c r="E8128">
        <f>TEST_DATA!E8128</f>
        <v/>
      </c>
    </row>
    <row r="8129">
      <c r="A8129">
        <f>TEST_DATA!A8129</f>
        <v/>
      </c>
      <c r="B8129">
        <f>TEST_DATA!B8129</f>
        <v/>
      </c>
      <c r="C8129">
        <f>TEST_DATA!C8129</f>
        <v/>
      </c>
      <c r="D8129">
        <f>TEST_DATA!D8129</f>
        <v/>
      </c>
      <c r="E8129">
        <f>TEST_DATA!E8129</f>
        <v/>
      </c>
    </row>
    <row r="8130">
      <c r="A8130">
        <f>TEST_DATA!A8130</f>
        <v/>
      </c>
      <c r="B8130">
        <f>TEST_DATA!B8130</f>
        <v/>
      </c>
      <c r="C8130">
        <f>TEST_DATA!C8130</f>
        <v/>
      </c>
      <c r="D8130">
        <f>TEST_DATA!D8130</f>
        <v/>
      </c>
      <c r="E8130">
        <f>TEST_DATA!E8130</f>
        <v/>
      </c>
    </row>
    <row r="8131">
      <c r="A8131">
        <f>TEST_DATA!A8131</f>
        <v/>
      </c>
      <c r="B8131">
        <f>TEST_DATA!B8131</f>
        <v/>
      </c>
      <c r="C8131">
        <f>TEST_DATA!C8131</f>
        <v/>
      </c>
      <c r="D8131">
        <f>TEST_DATA!D8131</f>
        <v/>
      </c>
      <c r="E8131">
        <f>TEST_DATA!E8131</f>
        <v/>
      </c>
    </row>
    <row r="8132">
      <c r="A8132">
        <f>TEST_DATA!A8132</f>
        <v/>
      </c>
      <c r="B8132">
        <f>TEST_DATA!B8132</f>
        <v/>
      </c>
      <c r="C8132">
        <f>TEST_DATA!C8132</f>
        <v/>
      </c>
      <c r="D8132">
        <f>TEST_DATA!D8132</f>
        <v/>
      </c>
      <c r="E8132">
        <f>TEST_DATA!E8132</f>
        <v/>
      </c>
    </row>
    <row r="8133">
      <c r="A8133">
        <f>TEST_DATA!A8133</f>
        <v/>
      </c>
      <c r="B8133">
        <f>TEST_DATA!B8133</f>
        <v/>
      </c>
      <c r="C8133">
        <f>TEST_DATA!C8133</f>
        <v/>
      </c>
      <c r="D8133">
        <f>TEST_DATA!D8133</f>
        <v/>
      </c>
      <c r="E8133">
        <f>TEST_DATA!E8133</f>
        <v/>
      </c>
    </row>
    <row r="8134">
      <c r="A8134">
        <f>TEST_DATA!A8134</f>
        <v/>
      </c>
      <c r="B8134">
        <f>TEST_DATA!B8134</f>
        <v/>
      </c>
      <c r="C8134">
        <f>TEST_DATA!C8134</f>
        <v/>
      </c>
      <c r="D8134">
        <f>TEST_DATA!D8134</f>
        <v/>
      </c>
      <c r="E8134">
        <f>TEST_DATA!E8134</f>
        <v/>
      </c>
    </row>
    <row r="8135">
      <c r="A8135">
        <f>TEST_DATA!A8135</f>
        <v/>
      </c>
      <c r="B8135">
        <f>TEST_DATA!B8135</f>
        <v/>
      </c>
      <c r="C8135">
        <f>TEST_DATA!C8135</f>
        <v/>
      </c>
      <c r="D8135">
        <f>TEST_DATA!D8135</f>
        <v/>
      </c>
      <c r="E8135">
        <f>TEST_DATA!E8135</f>
        <v/>
      </c>
    </row>
    <row r="8136">
      <c r="A8136">
        <f>TEST_DATA!A8136</f>
        <v/>
      </c>
      <c r="B8136">
        <f>TEST_DATA!B8136</f>
        <v/>
      </c>
      <c r="C8136">
        <f>TEST_DATA!C8136</f>
        <v/>
      </c>
      <c r="D8136">
        <f>TEST_DATA!D8136</f>
        <v/>
      </c>
      <c r="E8136">
        <f>TEST_DATA!E8136</f>
        <v/>
      </c>
    </row>
    <row r="8137">
      <c r="A8137">
        <f>TEST_DATA!A8137</f>
        <v/>
      </c>
      <c r="B8137">
        <f>TEST_DATA!B8137</f>
        <v/>
      </c>
      <c r="C8137">
        <f>TEST_DATA!C8137</f>
        <v/>
      </c>
      <c r="D8137">
        <f>TEST_DATA!D8137</f>
        <v/>
      </c>
      <c r="E8137">
        <f>TEST_DATA!E8137</f>
        <v/>
      </c>
    </row>
    <row r="8138">
      <c r="A8138">
        <f>TEST_DATA!A8138</f>
        <v/>
      </c>
      <c r="B8138">
        <f>TEST_DATA!B8138</f>
        <v/>
      </c>
      <c r="C8138">
        <f>TEST_DATA!C8138</f>
        <v/>
      </c>
      <c r="D8138">
        <f>TEST_DATA!D8138</f>
        <v/>
      </c>
      <c r="E8138">
        <f>TEST_DATA!E8138</f>
        <v/>
      </c>
    </row>
    <row r="8139">
      <c r="A8139">
        <f>TEST_DATA!A8139</f>
        <v/>
      </c>
      <c r="B8139">
        <f>TEST_DATA!B8139</f>
        <v/>
      </c>
      <c r="C8139">
        <f>TEST_DATA!C8139</f>
        <v/>
      </c>
      <c r="D8139">
        <f>TEST_DATA!D8139</f>
        <v/>
      </c>
      <c r="E8139">
        <f>TEST_DATA!E8139</f>
        <v/>
      </c>
    </row>
    <row r="8140">
      <c r="A8140">
        <f>TEST_DATA!A8140</f>
        <v/>
      </c>
      <c r="B8140">
        <f>TEST_DATA!B8140</f>
        <v/>
      </c>
      <c r="C8140">
        <f>TEST_DATA!C8140</f>
        <v/>
      </c>
      <c r="D8140">
        <f>TEST_DATA!D8140</f>
        <v/>
      </c>
      <c r="E8140">
        <f>TEST_DATA!E8140</f>
        <v/>
      </c>
    </row>
    <row r="8141">
      <c r="A8141">
        <f>TEST_DATA!A8141</f>
        <v/>
      </c>
      <c r="B8141">
        <f>TEST_DATA!B8141</f>
        <v/>
      </c>
      <c r="C8141">
        <f>TEST_DATA!C8141</f>
        <v/>
      </c>
      <c r="D8141">
        <f>TEST_DATA!D8141</f>
        <v/>
      </c>
      <c r="E8141">
        <f>TEST_DATA!E8141</f>
        <v/>
      </c>
    </row>
    <row r="8142">
      <c r="A8142">
        <f>TEST_DATA!A8142</f>
        <v/>
      </c>
      <c r="B8142">
        <f>TEST_DATA!B8142</f>
        <v/>
      </c>
      <c r="C8142">
        <f>TEST_DATA!C8142</f>
        <v/>
      </c>
      <c r="D8142">
        <f>TEST_DATA!D8142</f>
        <v/>
      </c>
      <c r="E8142">
        <f>TEST_DATA!E8142</f>
        <v/>
      </c>
    </row>
    <row r="8143">
      <c r="A8143">
        <f>TEST_DATA!A8143</f>
        <v/>
      </c>
      <c r="B8143">
        <f>TEST_DATA!B8143</f>
        <v/>
      </c>
      <c r="C8143">
        <f>TEST_DATA!C8143</f>
        <v/>
      </c>
      <c r="D8143">
        <f>TEST_DATA!D8143</f>
        <v/>
      </c>
      <c r="E8143">
        <f>TEST_DATA!E8143</f>
        <v/>
      </c>
    </row>
    <row r="8144">
      <c r="A8144">
        <f>TEST_DATA!A8144</f>
        <v/>
      </c>
      <c r="B8144">
        <f>TEST_DATA!B8144</f>
        <v/>
      </c>
      <c r="C8144">
        <f>TEST_DATA!C8144</f>
        <v/>
      </c>
      <c r="D8144">
        <f>TEST_DATA!D8144</f>
        <v/>
      </c>
      <c r="E8144">
        <f>TEST_DATA!E8144</f>
        <v/>
      </c>
    </row>
    <row r="8145">
      <c r="A8145">
        <f>TEST_DATA!A8145</f>
        <v/>
      </c>
      <c r="B8145">
        <f>TEST_DATA!B8145</f>
        <v/>
      </c>
      <c r="C8145">
        <f>TEST_DATA!C8145</f>
        <v/>
      </c>
      <c r="D8145">
        <f>TEST_DATA!D8145</f>
        <v/>
      </c>
      <c r="E8145">
        <f>TEST_DATA!E8145</f>
        <v/>
      </c>
    </row>
    <row r="8146">
      <c r="A8146">
        <f>TEST_DATA!A8146</f>
        <v/>
      </c>
      <c r="B8146">
        <f>TEST_DATA!B8146</f>
        <v/>
      </c>
      <c r="C8146">
        <f>TEST_DATA!C8146</f>
        <v/>
      </c>
      <c r="D8146">
        <f>TEST_DATA!D8146</f>
        <v/>
      </c>
      <c r="E8146">
        <f>TEST_DATA!E8146</f>
        <v/>
      </c>
    </row>
    <row r="8147">
      <c r="A8147">
        <f>TEST_DATA!A8147</f>
        <v/>
      </c>
      <c r="B8147">
        <f>TEST_DATA!B8147</f>
        <v/>
      </c>
      <c r="C8147">
        <f>TEST_DATA!C8147</f>
        <v/>
      </c>
      <c r="D8147">
        <f>TEST_DATA!D8147</f>
        <v/>
      </c>
      <c r="E8147">
        <f>TEST_DATA!E8147</f>
        <v/>
      </c>
    </row>
    <row r="8148">
      <c r="A8148">
        <f>TEST_DATA!A8148</f>
        <v/>
      </c>
      <c r="B8148">
        <f>TEST_DATA!B8148</f>
        <v/>
      </c>
      <c r="C8148">
        <f>TEST_DATA!C8148</f>
        <v/>
      </c>
      <c r="D8148">
        <f>TEST_DATA!D8148</f>
        <v/>
      </c>
      <c r="E8148">
        <f>TEST_DATA!E8148</f>
        <v/>
      </c>
    </row>
    <row r="8149">
      <c r="A8149">
        <f>TEST_DATA!A8149</f>
        <v/>
      </c>
      <c r="B8149">
        <f>TEST_DATA!B8149</f>
        <v/>
      </c>
      <c r="C8149">
        <f>TEST_DATA!C8149</f>
        <v/>
      </c>
      <c r="D8149">
        <f>TEST_DATA!D8149</f>
        <v/>
      </c>
      <c r="E8149">
        <f>TEST_DATA!E8149</f>
        <v/>
      </c>
    </row>
    <row r="8150">
      <c r="A8150">
        <f>TEST_DATA!A8150</f>
        <v/>
      </c>
      <c r="B8150">
        <f>TEST_DATA!B8150</f>
        <v/>
      </c>
      <c r="C8150">
        <f>TEST_DATA!C8150</f>
        <v/>
      </c>
      <c r="D8150">
        <f>TEST_DATA!D8150</f>
        <v/>
      </c>
      <c r="E8150">
        <f>TEST_DATA!E8150</f>
        <v/>
      </c>
    </row>
    <row r="8151">
      <c r="A8151">
        <f>TEST_DATA!A8151</f>
        <v/>
      </c>
      <c r="B8151">
        <f>TEST_DATA!B8151</f>
        <v/>
      </c>
      <c r="C8151">
        <f>TEST_DATA!C8151</f>
        <v/>
      </c>
      <c r="D8151">
        <f>TEST_DATA!D8151</f>
        <v/>
      </c>
      <c r="E8151">
        <f>TEST_DATA!E8151</f>
        <v/>
      </c>
    </row>
    <row r="8152">
      <c r="A8152">
        <f>TEST_DATA!A8152</f>
        <v/>
      </c>
      <c r="B8152">
        <f>TEST_DATA!B8152</f>
        <v/>
      </c>
      <c r="C8152">
        <f>TEST_DATA!C8152</f>
        <v/>
      </c>
      <c r="D8152">
        <f>TEST_DATA!D8152</f>
        <v/>
      </c>
      <c r="E8152">
        <f>TEST_DATA!E8152</f>
        <v/>
      </c>
    </row>
    <row r="8153">
      <c r="A8153">
        <f>TEST_DATA!A8153</f>
        <v/>
      </c>
      <c r="B8153">
        <f>TEST_DATA!B8153</f>
        <v/>
      </c>
      <c r="C8153">
        <f>TEST_DATA!C8153</f>
        <v/>
      </c>
      <c r="D8153">
        <f>TEST_DATA!D8153</f>
        <v/>
      </c>
      <c r="E8153">
        <f>TEST_DATA!E8153</f>
        <v/>
      </c>
    </row>
    <row r="8154">
      <c r="A8154">
        <f>TEST_DATA!A8154</f>
        <v/>
      </c>
      <c r="B8154">
        <f>TEST_DATA!B8154</f>
        <v/>
      </c>
      <c r="C8154">
        <f>TEST_DATA!C8154</f>
        <v/>
      </c>
      <c r="D8154">
        <f>TEST_DATA!D8154</f>
        <v/>
      </c>
      <c r="E8154">
        <f>TEST_DATA!E8154</f>
        <v/>
      </c>
    </row>
    <row r="8155">
      <c r="A8155">
        <f>TEST_DATA!A8155</f>
        <v/>
      </c>
      <c r="B8155">
        <f>TEST_DATA!B8155</f>
        <v/>
      </c>
      <c r="C8155">
        <f>TEST_DATA!C8155</f>
        <v/>
      </c>
      <c r="D8155">
        <f>TEST_DATA!D8155</f>
        <v/>
      </c>
      <c r="E8155">
        <f>TEST_DATA!E8155</f>
        <v/>
      </c>
    </row>
    <row r="8156">
      <c r="A8156">
        <f>TEST_DATA!A8156</f>
        <v/>
      </c>
      <c r="B8156">
        <f>TEST_DATA!B8156</f>
        <v/>
      </c>
      <c r="C8156">
        <f>TEST_DATA!C8156</f>
        <v/>
      </c>
      <c r="D8156">
        <f>TEST_DATA!D8156</f>
        <v/>
      </c>
      <c r="E8156">
        <f>TEST_DATA!E8156</f>
        <v/>
      </c>
    </row>
    <row r="8157">
      <c r="A8157">
        <f>TEST_DATA!A8157</f>
        <v/>
      </c>
      <c r="B8157">
        <f>TEST_DATA!B8157</f>
        <v/>
      </c>
      <c r="C8157">
        <f>TEST_DATA!C8157</f>
        <v/>
      </c>
      <c r="D8157">
        <f>TEST_DATA!D8157</f>
        <v/>
      </c>
      <c r="E8157">
        <f>TEST_DATA!E8157</f>
        <v/>
      </c>
    </row>
    <row r="8158">
      <c r="A8158">
        <f>TEST_DATA!A8158</f>
        <v/>
      </c>
      <c r="B8158">
        <f>TEST_DATA!B8158</f>
        <v/>
      </c>
      <c r="C8158">
        <f>TEST_DATA!C8158</f>
        <v/>
      </c>
      <c r="D8158">
        <f>TEST_DATA!D8158</f>
        <v/>
      </c>
      <c r="E8158">
        <f>TEST_DATA!E8158</f>
        <v/>
      </c>
    </row>
    <row r="8159">
      <c r="A8159">
        <f>TEST_DATA!A8159</f>
        <v/>
      </c>
      <c r="B8159">
        <f>TEST_DATA!B8159</f>
        <v/>
      </c>
      <c r="C8159">
        <f>TEST_DATA!C8159</f>
        <v/>
      </c>
      <c r="D8159">
        <f>TEST_DATA!D8159</f>
        <v/>
      </c>
      <c r="E8159">
        <f>TEST_DATA!E8159</f>
        <v/>
      </c>
    </row>
    <row r="8160">
      <c r="A8160">
        <f>TEST_DATA!A8160</f>
        <v/>
      </c>
      <c r="B8160">
        <f>TEST_DATA!B8160</f>
        <v/>
      </c>
      <c r="C8160">
        <f>TEST_DATA!C8160</f>
        <v/>
      </c>
      <c r="D8160">
        <f>TEST_DATA!D8160</f>
        <v/>
      </c>
      <c r="E8160">
        <f>TEST_DATA!E8160</f>
        <v/>
      </c>
    </row>
    <row r="8161">
      <c r="A8161">
        <f>TEST_DATA!A8161</f>
        <v/>
      </c>
      <c r="B8161">
        <f>TEST_DATA!B8161</f>
        <v/>
      </c>
      <c r="C8161">
        <f>TEST_DATA!C8161</f>
        <v/>
      </c>
      <c r="D8161">
        <f>TEST_DATA!D8161</f>
        <v/>
      </c>
      <c r="E8161">
        <f>TEST_DATA!E8161</f>
        <v/>
      </c>
    </row>
    <row r="8162">
      <c r="A8162">
        <f>TEST_DATA!A8162</f>
        <v/>
      </c>
      <c r="B8162">
        <f>TEST_DATA!B8162</f>
        <v/>
      </c>
      <c r="C8162">
        <f>TEST_DATA!C8162</f>
        <v/>
      </c>
      <c r="D8162">
        <f>TEST_DATA!D8162</f>
        <v/>
      </c>
      <c r="E8162">
        <f>TEST_DATA!E8162</f>
        <v/>
      </c>
    </row>
    <row r="8163">
      <c r="A8163">
        <f>TEST_DATA!A8163</f>
        <v/>
      </c>
      <c r="B8163">
        <f>TEST_DATA!B8163</f>
        <v/>
      </c>
      <c r="C8163">
        <f>TEST_DATA!C8163</f>
        <v/>
      </c>
      <c r="D8163">
        <f>TEST_DATA!D8163</f>
        <v/>
      </c>
      <c r="E8163">
        <f>TEST_DATA!E8163</f>
        <v/>
      </c>
    </row>
    <row r="8164">
      <c r="A8164">
        <f>TEST_DATA!A8164</f>
        <v/>
      </c>
      <c r="B8164">
        <f>TEST_DATA!B8164</f>
        <v/>
      </c>
      <c r="C8164">
        <f>TEST_DATA!C8164</f>
        <v/>
      </c>
      <c r="D8164">
        <f>TEST_DATA!D8164</f>
        <v/>
      </c>
      <c r="E8164">
        <f>TEST_DATA!E8164</f>
        <v/>
      </c>
    </row>
    <row r="8165">
      <c r="A8165">
        <f>TEST_DATA!A8165</f>
        <v/>
      </c>
      <c r="B8165">
        <f>TEST_DATA!B8165</f>
        <v/>
      </c>
      <c r="C8165">
        <f>TEST_DATA!C8165</f>
        <v/>
      </c>
      <c r="D8165">
        <f>TEST_DATA!D8165</f>
        <v/>
      </c>
      <c r="E8165">
        <f>TEST_DATA!E8165</f>
        <v/>
      </c>
    </row>
    <row r="8166">
      <c r="A8166">
        <f>TEST_DATA!A8166</f>
        <v/>
      </c>
      <c r="B8166">
        <f>TEST_DATA!B8166</f>
        <v/>
      </c>
      <c r="C8166">
        <f>TEST_DATA!C8166</f>
        <v/>
      </c>
      <c r="D8166">
        <f>TEST_DATA!D8166</f>
        <v/>
      </c>
      <c r="E8166">
        <f>TEST_DATA!E8166</f>
        <v/>
      </c>
    </row>
    <row r="8167">
      <c r="A8167">
        <f>TEST_DATA!A8167</f>
        <v/>
      </c>
      <c r="B8167">
        <f>TEST_DATA!B8167</f>
        <v/>
      </c>
      <c r="C8167">
        <f>TEST_DATA!C8167</f>
        <v/>
      </c>
      <c r="D8167">
        <f>TEST_DATA!D8167</f>
        <v/>
      </c>
      <c r="E8167">
        <f>TEST_DATA!E8167</f>
        <v/>
      </c>
    </row>
    <row r="8168">
      <c r="A8168">
        <f>TEST_DATA!A8168</f>
        <v/>
      </c>
      <c r="B8168">
        <f>TEST_DATA!B8168</f>
        <v/>
      </c>
      <c r="C8168">
        <f>TEST_DATA!C8168</f>
        <v/>
      </c>
      <c r="D8168">
        <f>TEST_DATA!D8168</f>
        <v/>
      </c>
      <c r="E8168">
        <f>TEST_DATA!E8168</f>
        <v/>
      </c>
    </row>
    <row r="8169">
      <c r="A8169">
        <f>TEST_DATA!A8169</f>
        <v/>
      </c>
      <c r="B8169">
        <f>TEST_DATA!B8169</f>
        <v/>
      </c>
      <c r="C8169">
        <f>TEST_DATA!C8169</f>
        <v/>
      </c>
      <c r="D8169">
        <f>TEST_DATA!D8169</f>
        <v/>
      </c>
      <c r="E8169">
        <f>TEST_DATA!E8169</f>
        <v/>
      </c>
    </row>
    <row r="8170">
      <c r="A8170">
        <f>TEST_DATA!A8170</f>
        <v/>
      </c>
      <c r="B8170">
        <f>TEST_DATA!B8170</f>
        <v/>
      </c>
      <c r="C8170">
        <f>TEST_DATA!C8170</f>
        <v/>
      </c>
      <c r="D8170">
        <f>TEST_DATA!D8170</f>
        <v/>
      </c>
      <c r="E8170">
        <f>TEST_DATA!E8170</f>
        <v/>
      </c>
    </row>
    <row r="8171">
      <c r="A8171">
        <f>TEST_DATA!A8171</f>
        <v/>
      </c>
      <c r="B8171">
        <f>TEST_DATA!B8171</f>
        <v/>
      </c>
      <c r="C8171">
        <f>TEST_DATA!C8171</f>
        <v/>
      </c>
      <c r="D8171">
        <f>TEST_DATA!D8171</f>
        <v/>
      </c>
      <c r="E8171">
        <f>TEST_DATA!E8171</f>
        <v/>
      </c>
    </row>
    <row r="8172">
      <c r="A8172">
        <f>TEST_DATA!A8172</f>
        <v/>
      </c>
      <c r="B8172">
        <f>TEST_DATA!B8172</f>
        <v/>
      </c>
      <c r="C8172">
        <f>TEST_DATA!C8172</f>
        <v/>
      </c>
      <c r="D8172">
        <f>TEST_DATA!D8172</f>
        <v/>
      </c>
      <c r="E8172">
        <f>TEST_DATA!E8172</f>
        <v/>
      </c>
    </row>
    <row r="8173">
      <c r="A8173">
        <f>TEST_DATA!A8173</f>
        <v/>
      </c>
      <c r="B8173">
        <f>TEST_DATA!B8173</f>
        <v/>
      </c>
      <c r="C8173">
        <f>TEST_DATA!C8173</f>
        <v/>
      </c>
      <c r="D8173">
        <f>TEST_DATA!D8173</f>
        <v/>
      </c>
      <c r="E8173">
        <f>TEST_DATA!E8173</f>
        <v/>
      </c>
    </row>
    <row r="8174">
      <c r="A8174">
        <f>TEST_DATA!A8174</f>
        <v/>
      </c>
      <c r="B8174">
        <f>TEST_DATA!B8174</f>
        <v/>
      </c>
      <c r="C8174">
        <f>TEST_DATA!C8174</f>
        <v/>
      </c>
      <c r="D8174">
        <f>TEST_DATA!D8174</f>
        <v/>
      </c>
      <c r="E8174">
        <f>TEST_DATA!E8174</f>
        <v/>
      </c>
    </row>
    <row r="8175">
      <c r="A8175">
        <f>TEST_DATA!A8175</f>
        <v/>
      </c>
      <c r="B8175">
        <f>TEST_DATA!B8175</f>
        <v/>
      </c>
      <c r="C8175">
        <f>TEST_DATA!C8175</f>
        <v/>
      </c>
      <c r="D8175">
        <f>TEST_DATA!D8175</f>
        <v/>
      </c>
      <c r="E8175">
        <f>TEST_DATA!E8175</f>
        <v/>
      </c>
    </row>
    <row r="8176">
      <c r="A8176">
        <f>TEST_DATA!A8176</f>
        <v/>
      </c>
      <c r="B8176">
        <f>TEST_DATA!B8176</f>
        <v/>
      </c>
      <c r="C8176">
        <f>TEST_DATA!C8176</f>
        <v/>
      </c>
      <c r="D8176">
        <f>TEST_DATA!D8176</f>
        <v/>
      </c>
      <c r="E8176">
        <f>TEST_DATA!E8176</f>
        <v/>
      </c>
    </row>
    <row r="8177">
      <c r="A8177">
        <f>TEST_DATA!A8177</f>
        <v/>
      </c>
      <c r="B8177">
        <f>TEST_DATA!B8177</f>
        <v/>
      </c>
      <c r="C8177">
        <f>TEST_DATA!C8177</f>
        <v/>
      </c>
      <c r="D8177">
        <f>TEST_DATA!D8177</f>
        <v/>
      </c>
      <c r="E8177">
        <f>TEST_DATA!E8177</f>
        <v/>
      </c>
    </row>
    <row r="8178">
      <c r="A8178">
        <f>TEST_DATA!A8178</f>
        <v/>
      </c>
      <c r="B8178">
        <f>TEST_DATA!B8178</f>
        <v/>
      </c>
      <c r="C8178">
        <f>TEST_DATA!C8178</f>
        <v/>
      </c>
      <c r="D8178">
        <f>TEST_DATA!D8178</f>
        <v/>
      </c>
      <c r="E8178">
        <f>TEST_DATA!E8178</f>
        <v/>
      </c>
    </row>
    <row r="8179">
      <c r="A8179">
        <f>TEST_DATA!A8179</f>
        <v/>
      </c>
      <c r="B8179">
        <f>TEST_DATA!B8179</f>
        <v/>
      </c>
      <c r="C8179">
        <f>TEST_DATA!C8179</f>
        <v/>
      </c>
      <c r="D8179">
        <f>TEST_DATA!D8179</f>
        <v/>
      </c>
      <c r="E8179">
        <f>TEST_DATA!E8179</f>
        <v/>
      </c>
    </row>
    <row r="8180">
      <c r="A8180">
        <f>TEST_DATA!A8180</f>
        <v/>
      </c>
      <c r="B8180">
        <f>TEST_DATA!B8180</f>
        <v/>
      </c>
      <c r="C8180">
        <f>TEST_DATA!C8180</f>
        <v/>
      </c>
      <c r="D8180">
        <f>TEST_DATA!D8180</f>
        <v/>
      </c>
      <c r="E8180">
        <f>TEST_DATA!E8180</f>
        <v/>
      </c>
    </row>
    <row r="8181">
      <c r="A8181">
        <f>TEST_DATA!A8181</f>
        <v/>
      </c>
      <c r="B8181">
        <f>TEST_DATA!B8181</f>
        <v/>
      </c>
      <c r="C8181">
        <f>TEST_DATA!C8181</f>
        <v/>
      </c>
      <c r="D8181">
        <f>TEST_DATA!D8181</f>
        <v/>
      </c>
      <c r="E8181">
        <f>TEST_DATA!E8181</f>
        <v/>
      </c>
    </row>
    <row r="8182">
      <c r="A8182">
        <f>TEST_DATA!A8182</f>
        <v/>
      </c>
      <c r="B8182">
        <f>TEST_DATA!B8182</f>
        <v/>
      </c>
      <c r="C8182">
        <f>TEST_DATA!C8182</f>
        <v/>
      </c>
      <c r="D8182">
        <f>TEST_DATA!D8182</f>
        <v/>
      </c>
      <c r="E8182">
        <f>TEST_DATA!E8182</f>
        <v/>
      </c>
    </row>
    <row r="8183">
      <c r="A8183">
        <f>TEST_DATA!A8183</f>
        <v/>
      </c>
      <c r="B8183">
        <f>TEST_DATA!B8183</f>
        <v/>
      </c>
      <c r="C8183">
        <f>TEST_DATA!C8183</f>
        <v/>
      </c>
      <c r="D8183">
        <f>TEST_DATA!D8183</f>
        <v/>
      </c>
      <c r="E8183">
        <f>TEST_DATA!E8183</f>
        <v/>
      </c>
    </row>
    <row r="8184">
      <c r="A8184">
        <f>TEST_DATA!A8184</f>
        <v/>
      </c>
      <c r="B8184">
        <f>TEST_DATA!B8184</f>
        <v/>
      </c>
      <c r="C8184">
        <f>TEST_DATA!C8184</f>
        <v/>
      </c>
      <c r="D8184">
        <f>TEST_DATA!D8184</f>
        <v/>
      </c>
      <c r="E8184">
        <f>TEST_DATA!E8184</f>
        <v/>
      </c>
    </row>
    <row r="8185">
      <c r="A8185">
        <f>TEST_DATA!A8185</f>
        <v/>
      </c>
      <c r="B8185">
        <f>TEST_DATA!B8185</f>
        <v/>
      </c>
      <c r="C8185">
        <f>TEST_DATA!C8185</f>
        <v/>
      </c>
      <c r="D8185">
        <f>TEST_DATA!D8185</f>
        <v/>
      </c>
      <c r="E8185">
        <f>TEST_DATA!E8185</f>
        <v/>
      </c>
    </row>
    <row r="8186">
      <c r="A8186">
        <f>TEST_DATA!A8186</f>
        <v/>
      </c>
      <c r="B8186">
        <f>TEST_DATA!B8186</f>
        <v/>
      </c>
      <c r="C8186">
        <f>TEST_DATA!C8186</f>
        <v/>
      </c>
      <c r="D8186">
        <f>TEST_DATA!D8186</f>
        <v/>
      </c>
      <c r="E8186">
        <f>TEST_DATA!E8186</f>
        <v/>
      </c>
    </row>
    <row r="8187">
      <c r="A8187">
        <f>TEST_DATA!A8187</f>
        <v/>
      </c>
      <c r="B8187">
        <f>TEST_DATA!B8187</f>
        <v/>
      </c>
      <c r="C8187">
        <f>TEST_DATA!C8187</f>
        <v/>
      </c>
      <c r="D8187">
        <f>TEST_DATA!D8187</f>
        <v/>
      </c>
      <c r="E8187">
        <f>TEST_DATA!E8187</f>
        <v/>
      </c>
    </row>
    <row r="8188">
      <c r="A8188">
        <f>TEST_DATA!A8188</f>
        <v/>
      </c>
      <c r="B8188">
        <f>TEST_DATA!B8188</f>
        <v/>
      </c>
      <c r="C8188">
        <f>TEST_DATA!C8188</f>
        <v/>
      </c>
      <c r="D8188">
        <f>TEST_DATA!D8188</f>
        <v/>
      </c>
      <c r="E8188">
        <f>TEST_DATA!E8188</f>
        <v/>
      </c>
    </row>
    <row r="8189">
      <c r="A8189">
        <f>TEST_DATA!A8189</f>
        <v/>
      </c>
      <c r="B8189">
        <f>TEST_DATA!B8189</f>
        <v/>
      </c>
      <c r="C8189">
        <f>TEST_DATA!C8189</f>
        <v/>
      </c>
      <c r="D8189">
        <f>TEST_DATA!D8189</f>
        <v/>
      </c>
      <c r="E8189">
        <f>TEST_DATA!E8189</f>
        <v/>
      </c>
    </row>
    <row r="8190">
      <c r="A8190">
        <f>TEST_DATA!A8190</f>
        <v/>
      </c>
      <c r="B8190">
        <f>TEST_DATA!B8190</f>
        <v/>
      </c>
      <c r="C8190">
        <f>TEST_DATA!C8190</f>
        <v/>
      </c>
      <c r="D8190">
        <f>TEST_DATA!D8190</f>
        <v/>
      </c>
      <c r="E8190">
        <f>TEST_DATA!E8190</f>
        <v/>
      </c>
    </row>
    <row r="8191">
      <c r="A8191">
        <f>TEST_DATA!A8191</f>
        <v/>
      </c>
      <c r="B8191">
        <f>TEST_DATA!B8191</f>
        <v/>
      </c>
      <c r="C8191">
        <f>TEST_DATA!C8191</f>
        <v/>
      </c>
      <c r="D8191">
        <f>TEST_DATA!D8191</f>
        <v/>
      </c>
      <c r="E8191">
        <f>TEST_DATA!E8191</f>
        <v/>
      </c>
    </row>
    <row r="8192">
      <c r="A8192">
        <f>TEST_DATA!A8192</f>
        <v/>
      </c>
      <c r="B8192">
        <f>TEST_DATA!B8192</f>
        <v/>
      </c>
      <c r="C8192">
        <f>TEST_DATA!C8192</f>
        <v/>
      </c>
      <c r="D8192">
        <f>TEST_DATA!D8192</f>
        <v/>
      </c>
      <c r="E8192">
        <f>TEST_DATA!E8192</f>
        <v/>
      </c>
    </row>
    <row r="8193">
      <c r="A8193">
        <f>TEST_DATA!A8193</f>
        <v/>
      </c>
      <c r="B8193">
        <f>TEST_DATA!B8193</f>
        <v/>
      </c>
      <c r="C8193">
        <f>TEST_DATA!C8193</f>
        <v/>
      </c>
      <c r="D8193">
        <f>TEST_DATA!D8193</f>
        <v/>
      </c>
      <c r="E8193">
        <f>TEST_DATA!E8193</f>
        <v/>
      </c>
    </row>
    <row r="8194">
      <c r="A8194">
        <f>TEST_DATA!A8194</f>
        <v/>
      </c>
      <c r="B8194">
        <f>TEST_DATA!B8194</f>
        <v/>
      </c>
      <c r="C8194">
        <f>TEST_DATA!C8194</f>
        <v/>
      </c>
      <c r="D8194">
        <f>TEST_DATA!D8194</f>
        <v/>
      </c>
      <c r="E8194">
        <f>TEST_DATA!E8194</f>
        <v/>
      </c>
    </row>
    <row r="8195">
      <c r="A8195">
        <f>TEST_DATA!A8195</f>
        <v/>
      </c>
      <c r="B8195">
        <f>TEST_DATA!B8195</f>
        <v/>
      </c>
      <c r="C8195">
        <f>TEST_DATA!C8195</f>
        <v/>
      </c>
      <c r="D8195">
        <f>TEST_DATA!D8195</f>
        <v/>
      </c>
      <c r="E8195">
        <f>TEST_DATA!E8195</f>
        <v/>
      </c>
    </row>
    <row r="8196">
      <c r="A8196">
        <f>TEST_DATA!A8196</f>
        <v/>
      </c>
      <c r="B8196">
        <f>TEST_DATA!B8196</f>
        <v/>
      </c>
      <c r="C8196">
        <f>TEST_DATA!C8196</f>
        <v/>
      </c>
      <c r="D8196">
        <f>TEST_DATA!D8196</f>
        <v/>
      </c>
      <c r="E8196">
        <f>TEST_DATA!E8196</f>
        <v/>
      </c>
    </row>
    <row r="8197">
      <c r="A8197">
        <f>TEST_DATA!A8197</f>
        <v/>
      </c>
      <c r="B8197">
        <f>TEST_DATA!B8197</f>
        <v/>
      </c>
      <c r="C8197">
        <f>TEST_DATA!C8197</f>
        <v/>
      </c>
      <c r="D8197">
        <f>TEST_DATA!D8197</f>
        <v/>
      </c>
      <c r="E8197">
        <f>TEST_DATA!E8197</f>
        <v/>
      </c>
    </row>
    <row r="8198">
      <c r="A8198">
        <f>TEST_DATA!A8198</f>
        <v/>
      </c>
      <c r="B8198">
        <f>TEST_DATA!B8198</f>
        <v/>
      </c>
      <c r="C8198">
        <f>TEST_DATA!C8198</f>
        <v/>
      </c>
      <c r="D8198">
        <f>TEST_DATA!D8198</f>
        <v/>
      </c>
      <c r="E8198">
        <f>TEST_DATA!E8198</f>
        <v/>
      </c>
    </row>
    <row r="8199">
      <c r="A8199">
        <f>TEST_DATA!A8199</f>
        <v/>
      </c>
      <c r="B8199">
        <f>TEST_DATA!B8199</f>
        <v/>
      </c>
      <c r="C8199">
        <f>TEST_DATA!C8199</f>
        <v/>
      </c>
      <c r="D8199">
        <f>TEST_DATA!D8199</f>
        <v/>
      </c>
      <c r="E8199">
        <f>TEST_DATA!E8199</f>
        <v/>
      </c>
    </row>
    <row r="8200">
      <c r="A8200">
        <f>TEST_DATA!A8200</f>
        <v/>
      </c>
      <c r="B8200">
        <f>TEST_DATA!B8200</f>
        <v/>
      </c>
      <c r="C8200">
        <f>TEST_DATA!C8200</f>
        <v/>
      </c>
      <c r="D8200">
        <f>TEST_DATA!D8200</f>
        <v/>
      </c>
      <c r="E8200">
        <f>TEST_DATA!E8200</f>
        <v/>
      </c>
    </row>
    <row r="8201">
      <c r="A8201">
        <f>TEST_DATA!A8201</f>
        <v/>
      </c>
      <c r="B8201">
        <f>TEST_DATA!B8201</f>
        <v/>
      </c>
      <c r="C8201">
        <f>TEST_DATA!C8201</f>
        <v/>
      </c>
      <c r="D8201">
        <f>TEST_DATA!D8201</f>
        <v/>
      </c>
      <c r="E8201">
        <f>TEST_DATA!E8201</f>
        <v/>
      </c>
    </row>
    <row r="8202">
      <c r="A8202">
        <f>TEST_DATA!A8202</f>
        <v/>
      </c>
      <c r="B8202">
        <f>TEST_DATA!B8202</f>
        <v/>
      </c>
      <c r="C8202">
        <f>TEST_DATA!C8202</f>
        <v/>
      </c>
      <c r="D8202">
        <f>TEST_DATA!D8202</f>
        <v/>
      </c>
      <c r="E8202">
        <f>TEST_DATA!E8202</f>
        <v/>
      </c>
    </row>
    <row r="8203">
      <c r="A8203">
        <f>TEST_DATA!A8203</f>
        <v/>
      </c>
      <c r="B8203">
        <f>TEST_DATA!B8203</f>
        <v/>
      </c>
      <c r="C8203">
        <f>TEST_DATA!C8203</f>
        <v/>
      </c>
      <c r="D8203">
        <f>TEST_DATA!D8203</f>
        <v/>
      </c>
      <c r="E8203">
        <f>TEST_DATA!E8203</f>
        <v/>
      </c>
    </row>
    <row r="8204">
      <c r="A8204">
        <f>TEST_DATA!A8204</f>
        <v/>
      </c>
      <c r="B8204">
        <f>TEST_DATA!B8204</f>
        <v/>
      </c>
      <c r="C8204">
        <f>TEST_DATA!C8204</f>
        <v/>
      </c>
      <c r="D8204">
        <f>TEST_DATA!D8204</f>
        <v/>
      </c>
      <c r="E8204">
        <f>TEST_DATA!E8204</f>
        <v/>
      </c>
    </row>
    <row r="8205">
      <c r="A8205">
        <f>TEST_DATA!A8205</f>
        <v/>
      </c>
      <c r="B8205">
        <f>TEST_DATA!B8205</f>
        <v/>
      </c>
      <c r="C8205">
        <f>TEST_DATA!C8205</f>
        <v/>
      </c>
      <c r="D8205">
        <f>TEST_DATA!D8205</f>
        <v/>
      </c>
      <c r="E8205">
        <f>TEST_DATA!E8205</f>
        <v/>
      </c>
    </row>
    <row r="8206">
      <c r="A8206">
        <f>TEST_DATA!A8206</f>
        <v/>
      </c>
      <c r="B8206">
        <f>TEST_DATA!B8206</f>
        <v/>
      </c>
      <c r="C8206">
        <f>TEST_DATA!C8206</f>
        <v/>
      </c>
      <c r="D8206">
        <f>TEST_DATA!D8206</f>
        <v/>
      </c>
      <c r="E8206">
        <f>TEST_DATA!E8206</f>
        <v/>
      </c>
    </row>
    <row r="8207">
      <c r="A8207">
        <f>TEST_DATA!A8207</f>
        <v/>
      </c>
      <c r="B8207">
        <f>TEST_DATA!B8207</f>
        <v/>
      </c>
      <c r="C8207">
        <f>TEST_DATA!C8207</f>
        <v/>
      </c>
      <c r="D8207">
        <f>TEST_DATA!D8207</f>
        <v/>
      </c>
      <c r="E8207">
        <f>TEST_DATA!E8207</f>
        <v/>
      </c>
    </row>
    <row r="8208">
      <c r="A8208">
        <f>TEST_DATA!A8208</f>
        <v/>
      </c>
      <c r="B8208">
        <f>TEST_DATA!B8208</f>
        <v/>
      </c>
      <c r="C8208">
        <f>TEST_DATA!C8208</f>
        <v/>
      </c>
      <c r="D8208">
        <f>TEST_DATA!D8208</f>
        <v/>
      </c>
      <c r="E8208">
        <f>TEST_DATA!E8208</f>
        <v/>
      </c>
    </row>
    <row r="8209">
      <c r="A8209">
        <f>TEST_DATA!A8209</f>
        <v/>
      </c>
      <c r="B8209">
        <f>TEST_DATA!B8209</f>
        <v/>
      </c>
      <c r="C8209">
        <f>TEST_DATA!C8209</f>
        <v/>
      </c>
      <c r="D8209">
        <f>TEST_DATA!D8209</f>
        <v/>
      </c>
      <c r="E8209">
        <f>TEST_DATA!E8209</f>
        <v/>
      </c>
    </row>
    <row r="8210">
      <c r="A8210">
        <f>TEST_DATA!A8210</f>
        <v/>
      </c>
      <c r="B8210">
        <f>TEST_DATA!B8210</f>
        <v/>
      </c>
      <c r="C8210">
        <f>TEST_DATA!C8210</f>
        <v/>
      </c>
      <c r="D8210">
        <f>TEST_DATA!D8210</f>
        <v/>
      </c>
      <c r="E8210">
        <f>TEST_DATA!E8210</f>
        <v/>
      </c>
    </row>
    <row r="8211">
      <c r="A8211">
        <f>TEST_DATA!A8211</f>
        <v/>
      </c>
      <c r="B8211">
        <f>TEST_DATA!B8211</f>
        <v/>
      </c>
      <c r="C8211">
        <f>TEST_DATA!C8211</f>
        <v/>
      </c>
      <c r="D8211">
        <f>TEST_DATA!D8211</f>
        <v/>
      </c>
      <c r="E8211">
        <f>TEST_DATA!E8211</f>
        <v/>
      </c>
    </row>
    <row r="8212">
      <c r="A8212">
        <f>TEST_DATA!A8212</f>
        <v/>
      </c>
      <c r="B8212">
        <f>TEST_DATA!B8212</f>
        <v/>
      </c>
      <c r="C8212">
        <f>TEST_DATA!C8212</f>
        <v/>
      </c>
      <c r="D8212">
        <f>TEST_DATA!D8212</f>
        <v/>
      </c>
      <c r="E8212">
        <f>TEST_DATA!E8212</f>
        <v/>
      </c>
    </row>
    <row r="8213">
      <c r="A8213">
        <f>TEST_DATA!A8213</f>
        <v/>
      </c>
      <c r="B8213">
        <f>TEST_DATA!B8213</f>
        <v/>
      </c>
      <c r="C8213">
        <f>TEST_DATA!C8213</f>
        <v/>
      </c>
      <c r="D8213">
        <f>TEST_DATA!D8213</f>
        <v/>
      </c>
      <c r="E8213">
        <f>TEST_DATA!E8213</f>
        <v/>
      </c>
    </row>
    <row r="8214">
      <c r="A8214">
        <f>TEST_DATA!A8214</f>
        <v/>
      </c>
      <c r="B8214">
        <f>TEST_DATA!B8214</f>
        <v/>
      </c>
      <c r="C8214">
        <f>TEST_DATA!C8214</f>
        <v/>
      </c>
      <c r="D8214">
        <f>TEST_DATA!D8214</f>
        <v/>
      </c>
      <c r="E8214">
        <f>TEST_DATA!E8214</f>
        <v/>
      </c>
    </row>
    <row r="8215">
      <c r="A8215">
        <f>TEST_DATA!A8215</f>
        <v/>
      </c>
      <c r="B8215">
        <f>TEST_DATA!B8215</f>
        <v/>
      </c>
      <c r="C8215">
        <f>TEST_DATA!C8215</f>
        <v/>
      </c>
      <c r="D8215">
        <f>TEST_DATA!D8215</f>
        <v/>
      </c>
      <c r="E8215">
        <f>TEST_DATA!E8215</f>
        <v/>
      </c>
    </row>
    <row r="8216">
      <c r="A8216">
        <f>TEST_DATA!A8216</f>
        <v/>
      </c>
      <c r="B8216">
        <f>TEST_DATA!B8216</f>
        <v/>
      </c>
      <c r="C8216">
        <f>TEST_DATA!C8216</f>
        <v/>
      </c>
      <c r="D8216">
        <f>TEST_DATA!D8216</f>
        <v/>
      </c>
      <c r="E8216">
        <f>TEST_DATA!E8216</f>
        <v/>
      </c>
    </row>
    <row r="8217">
      <c r="A8217">
        <f>TEST_DATA!A8217</f>
        <v/>
      </c>
      <c r="B8217">
        <f>TEST_DATA!B8217</f>
        <v/>
      </c>
      <c r="C8217">
        <f>TEST_DATA!C8217</f>
        <v/>
      </c>
      <c r="D8217">
        <f>TEST_DATA!D8217</f>
        <v/>
      </c>
      <c r="E8217">
        <f>TEST_DATA!E8217</f>
        <v/>
      </c>
    </row>
    <row r="8218">
      <c r="A8218">
        <f>TEST_DATA!A8218</f>
        <v/>
      </c>
      <c r="B8218">
        <f>TEST_DATA!B8218</f>
        <v/>
      </c>
      <c r="C8218">
        <f>TEST_DATA!C8218</f>
        <v/>
      </c>
      <c r="D8218">
        <f>TEST_DATA!D8218</f>
        <v/>
      </c>
      <c r="E8218">
        <f>TEST_DATA!E8218</f>
        <v/>
      </c>
    </row>
    <row r="8219">
      <c r="A8219">
        <f>TEST_DATA!A8219</f>
        <v/>
      </c>
      <c r="B8219">
        <f>TEST_DATA!B8219</f>
        <v/>
      </c>
      <c r="C8219">
        <f>TEST_DATA!C8219</f>
        <v/>
      </c>
      <c r="D8219">
        <f>TEST_DATA!D8219</f>
        <v/>
      </c>
      <c r="E8219">
        <f>TEST_DATA!E8219</f>
        <v/>
      </c>
    </row>
    <row r="8220">
      <c r="A8220">
        <f>TEST_DATA!A8220</f>
        <v/>
      </c>
      <c r="B8220">
        <f>TEST_DATA!B8220</f>
        <v/>
      </c>
      <c r="C8220">
        <f>TEST_DATA!C8220</f>
        <v/>
      </c>
      <c r="D8220">
        <f>TEST_DATA!D8220</f>
        <v/>
      </c>
      <c r="E8220">
        <f>TEST_DATA!E8220</f>
        <v/>
      </c>
    </row>
    <row r="8221">
      <c r="A8221">
        <f>TEST_DATA!A8221</f>
        <v/>
      </c>
      <c r="B8221">
        <f>TEST_DATA!B8221</f>
        <v/>
      </c>
      <c r="C8221">
        <f>TEST_DATA!C8221</f>
        <v/>
      </c>
      <c r="D8221">
        <f>TEST_DATA!D8221</f>
        <v/>
      </c>
      <c r="E8221">
        <f>TEST_DATA!E8221</f>
        <v/>
      </c>
    </row>
    <row r="8222">
      <c r="A8222">
        <f>TEST_DATA!A8222</f>
        <v/>
      </c>
      <c r="B8222">
        <f>TEST_DATA!B8222</f>
        <v/>
      </c>
      <c r="C8222">
        <f>TEST_DATA!C8222</f>
        <v/>
      </c>
      <c r="D8222">
        <f>TEST_DATA!D8222</f>
        <v/>
      </c>
      <c r="E8222">
        <f>TEST_DATA!E8222</f>
        <v/>
      </c>
    </row>
    <row r="8223">
      <c r="A8223">
        <f>TEST_DATA!A8223</f>
        <v/>
      </c>
      <c r="B8223">
        <f>TEST_DATA!B8223</f>
        <v/>
      </c>
      <c r="C8223">
        <f>TEST_DATA!C8223</f>
        <v/>
      </c>
      <c r="D8223">
        <f>TEST_DATA!D8223</f>
        <v/>
      </c>
      <c r="E8223">
        <f>TEST_DATA!E8223</f>
        <v/>
      </c>
    </row>
    <row r="8224">
      <c r="A8224">
        <f>TEST_DATA!A8224</f>
        <v/>
      </c>
      <c r="B8224">
        <f>TEST_DATA!B8224</f>
        <v/>
      </c>
      <c r="C8224">
        <f>TEST_DATA!C8224</f>
        <v/>
      </c>
      <c r="D8224">
        <f>TEST_DATA!D8224</f>
        <v/>
      </c>
      <c r="E8224">
        <f>TEST_DATA!E8224</f>
        <v/>
      </c>
    </row>
    <row r="8225">
      <c r="A8225">
        <f>TEST_DATA!A8225</f>
        <v/>
      </c>
      <c r="B8225">
        <f>TEST_DATA!B8225</f>
        <v/>
      </c>
      <c r="C8225">
        <f>TEST_DATA!C8225</f>
        <v/>
      </c>
      <c r="D8225">
        <f>TEST_DATA!D8225</f>
        <v/>
      </c>
      <c r="E8225">
        <f>TEST_DATA!E8225</f>
        <v/>
      </c>
    </row>
    <row r="8226">
      <c r="A8226">
        <f>TEST_DATA!A8226</f>
        <v/>
      </c>
      <c r="B8226">
        <f>TEST_DATA!B8226</f>
        <v/>
      </c>
      <c r="C8226">
        <f>TEST_DATA!C8226</f>
        <v/>
      </c>
      <c r="D8226">
        <f>TEST_DATA!D8226</f>
        <v/>
      </c>
      <c r="E8226">
        <f>TEST_DATA!E8226</f>
        <v/>
      </c>
    </row>
    <row r="8227">
      <c r="A8227">
        <f>TEST_DATA!A8227</f>
        <v/>
      </c>
      <c r="B8227">
        <f>TEST_DATA!B8227</f>
        <v/>
      </c>
      <c r="C8227">
        <f>TEST_DATA!C8227</f>
        <v/>
      </c>
      <c r="D8227">
        <f>TEST_DATA!D8227</f>
        <v/>
      </c>
      <c r="E8227">
        <f>TEST_DATA!E8227</f>
        <v/>
      </c>
    </row>
    <row r="8228">
      <c r="A8228">
        <f>TEST_DATA!A8228</f>
        <v/>
      </c>
      <c r="B8228">
        <f>TEST_DATA!B8228</f>
        <v/>
      </c>
      <c r="C8228">
        <f>TEST_DATA!C8228</f>
        <v/>
      </c>
      <c r="D8228">
        <f>TEST_DATA!D8228</f>
        <v/>
      </c>
      <c r="E8228">
        <f>TEST_DATA!E8228</f>
        <v/>
      </c>
    </row>
    <row r="8229">
      <c r="A8229">
        <f>TEST_DATA!A8229</f>
        <v/>
      </c>
      <c r="B8229">
        <f>TEST_DATA!B8229</f>
        <v/>
      </c>
      <c r="C8229">
        <f>TEST_DATA!C8229</f>
        <v/>
      </c>
      <c r="D8229">
        <f>TEST_DATA!D8229</f>
        <v/>
      </c>
      <c r="E8229">
        <f>TEST_DATA!E8229</f>
        <v/>
      </c>
    </row>
    <row r="8230">
      <c r="A8230">
        <f>TEST_DATA!A8230</f>
        <v/>
      </c>
      <c r="B8230">
        <f>TEST_DATA!B8230</f>
        <v/>
      </c>
      <c r="C8230">
        <f>TEST_DATA!C8230</f>
        <v/>
      </c>
      <c r="D8230">
        <f>TEST_DATA!D8230</f>
        <v/>
      </c>
      <c r="E8230">
        <f>TEST_DATA!E8230</f>
        <v/>
      </c>
    </row>
    <row r="8231">
      <c r="A8231">
        <f>TEST_DATA!A8231</f>
        <v/>
      </c>
      <c r="B8231">
        <f>TEST_DATA!B8231</f>
        <v/>
      </c>
      <c r="C8231">
        <f>TEST_DATA!C8231</f>
        <v/>
      </c>
      <c r="D8231">
        <f>TEST_DATA!D8231</f>
        <v/>
      </c>
      <c r="E8231">
        <f>TEST_DATA!E8231</f>
        <v/>
      </c>
    </row>
    <row r="8232">
      <c r="A8232">
        <f>TEST_DATA!A8232</f>
        <v/>
      </c>
      <c r="B8232">
        <f>TEST_DATA!B8232</f>
        <v/>
      </c>
      <c r="C8232">
        <f>TEST_DATA!C8232</f>
        <v/>
      </c>
      <c r="D8232">
        <f>TEST_DATA!D8232</f>
        <v/>
      </c>
      <c r="E8232">
        <f>TEST_DATA!E8232</f>
        <v/>
      </c>
    </row>
    <row r="8233">
      <c r="A8233">
        <f>TEST_DATA!A8233</f>
        <v/>
      </c>
      <c r="B8233">
        <f>TEST_DATA!B8233</f>
        <v/>
      </c>
      <c r="C8233">
        <f>TEST_DATA!C8233</f>
        <v/>
      </c>
      <c r="D8233">
        <f>TEST_DATA!D8233</f>
        <v/>
      </c>
      <c r="E8233">
        <f>TEST_DATA!E8233</f>
        <v/>
      </c>
    </row>
    <row r="8234">
      <c r="A8234">
        <f>TEST_DATA!A8234</f>
        <v/>
      </c>
      <c r="B8234">
        <f>TEST_DATA!B8234</f>
        <v/>
      </c>
      <c r="C8234">
        <f>TEST_DATA!C8234</f>
        <v/>
      </c>
      <c r="D8234">
        <f>TEST_DATA!D8234</f>
        <v/>
      </c>
      <c r="E8234">
        <f>TEST_DATA!E8234</f>
        <v/>
      </c>
    </row>
    <row r="8235">
      <c r="A8235">
        <f>TEST_DATA!A8235</f>
        <v/>
      </c>
      <c r="B8235">
        <f>TEST_DATA!B8235</f>
        <v/>
      </c>
      <c r="C8235">
        <f>TEST_DATA!C8235</f>
        <v/>
      </c>
      <c r="D8235">
        <f>TEST_DATA!D8235</f>
        <v/>
      </c>
      <c r="E8235">
        <f>TEST_DATA!E8235</f>
        <v/>
      </c>
    </row>
    <row r="8236">
      <c r="A8236">
        <f>TEST_DATA!A8236</f>
        <v/>
      </c>
      <c r="B8236">
        <f>TEST_DATA!B8236</f>
        <v/>
      </c>
      <c r="C8236">
        <f>TEST_DATA!C8236</f>
        <v/>
      </c>
      <c r="D8236">
        <f>TEST_DATA!D8236</f>
        <v/>
      </c>
      <c r="E8236">
        <f>TEST_DATA!E8236</f>
        <v/>
      </c>
    </row>
    <row r="8237">
      <c r="A8237">
        <f>TEST_DATA!A8237</f>
        <v/>
      </c>
      <c r="B8237">
        <f>TEST_DATA!B8237</f>
        <v/>
      </c>
      <c r="C8237">
        <f>TEST_DATA!C8237</f>
        <v/>
      </c>
      <c r="D8237">
        <f>TEST_DATA!D8237</f>
        <v/>
      </c>
      <c r="E8237">
        <f>TEST_DATA!E8237</f>
        <v/>
      </c>
    </row>
    <row r="8238">
      <c r="A8238">
        <f>TEST_DATA!A8238</f>
        <v/>
      </c>
      <c r="B8238">
        <f>TEST_DATA!B8238</f>
        <v/>
      </c>
      <c r="C8238">
        <f>TEST_DATA!C8238</f>
        <v/>
      </c>
      <c r="D8238">
        <f>TEST_DATA!D8238</f>
        <v/>
      </c>
      <c r="E8238">
        <f>TEST_DATA!E8238</f>
        <v/>
      </c>
    </row>
    <row r="8239">
      <c r="A8239">
        <f>TEST_DATA!A8239</f>
        <v/>
      </c>
      <c r="B8239">
        <f>TEST_DATA!B8239</f>
        <v/>
      </c>
      <c r="C8239">
        <f>TEST_DATA!C8239</f>
        <v/>
      </c>
      <c r="D8239">
        <f>TEST_DATA!D8239</f>
        <v/>
      </c>
      <c r="E8239">
        <f>TEST_DATA!E8239</f>
        <v/>
      </c>
    </row>
    <row r="8240">
      <c r="A8240">
        <f>TEST_DATA!A8240</f>
        <v/>
      </c>
      <c r="B8240">
        <f>TEST_DATA!B8240</f>
        <v/>
      </c>
      <c r="C8240">
        <f>TEST_DATA!C8240</f>
        <v/>
      </c>
      <c r="D8240">
        <f>TEST_DATA!D8240</f>
        <v/>
      </c>
      <c r="E8240">
        <f>TEST_DATA!E8240</f>
        <v/>
      </c>
    </row>
    <row r="8241">
      <c r="A8241">
        <f>TEST_DATA!A8241</f>
        <v/>
      </c>
      <c r="B8241">
        <f>TEST_DATA!B8241</f>
        <v/>
      </c>
      <c r="C8241">
        <f>TEST_DATA!C8241</f>
        <v/>
      </c>
      <c r="D8241">
        <f>TEST_DATA!D8241</f>
        <v/>
      </c>
      <c r="E8241">
        <f>TEST_DATA!E8241</f>
        <v/>
      </c>
    </row>
    <row r="8242">
      <c r="A8242">
        <f>TEST_DATA!A8242</f>
        <v/>
      </c>
      <c r="B8242">
        <f>TEST_DATA!B8242</f>
        <v/>
      </c>
      <c r="C8242">
        <f>TEST_DATA!C8242</f>
        <v/>
      </c>
      <c r="D8242">
        <f>TEST_DATA!D8242</f>
        <v/>
      </c>
      <c r="E8242">
        <f>TEST_DATA!E8242</f>
        <v/>
      </c>
    </row>
    <row r="8243">
      <c r="A8243">
        <f>TEST_DATA!A8243</f>
        <v/>
      </c>
      <c r="B8243">
        <f>TEST_DATA!B8243</f>
        <v/>
      </c>
      <c r="C8243">
        <f>TEST_DATA!C8243</f>
        <v/>
      </c>
      <c r="D8243">
        <f>TEST_DATA!D8243</f>
        <v/>
      </c>
      <c r="E8243">
        <f>TEST_DATA!E8243</f>
        <v/>
      </c>
    </row>
    <row r="8244">
      <c r="A8244">
        <f>TEST_DATA!A8244</f>
        <v/>
      </c>
      <c r="B8244">
        <f>TEST_DATA!B8244</f>
        <v/>
      </c>
      <c r="C8244">
        <f>TEST_DATA!C8244</f>
        <v/>
      </c>
      <c r="D8244">
        <f>TEST_DATA!D8244</f>
        <v/>
      </c>
      <c r="E8244">
        <f>TEST_DATA!E8244</f>
        <v/>
      </c>
    </row>
    <row r="8245">
      <c r="A8245">
        <f>TEST_DATA!A8245</f>
        <v/>
      </c>
      <c r="B8245">
        <f>TEST_DATA!B8245</f>
        <v/>
      </c>
      <c r="C8245">
        <f>TEST_DATA!C8245</f>
        <v/>
      </c>
      <c r="D8245">
        <f>TEST_DATA!D8245</f>
        <v/>
      </c>
      <c r="E8245">
        <f>TEST_DATA!E8245</f>
        <v/>
      </c>
    </row>
    <row r="8246">
      <c r="A8246">
        <f>TEST_DATA!A8246</f>
        <v/>
      </c>
      <c r="B8246">
        <f>TEST_DATA!B8246</f>
        <v/>
      </c>
      <c r="C8246">
        <f>TEST_DATA!C8246</f>
        <v/>
      </c>
      <c r="D8246">
        <f>TEST_DATA!D8246</f>
        <v/>
      </c>
      <c r="E8246">
        <f>TEST_DATA!E8246</f>
        <v/>
      </c>
    </row>
    <row r="8247">
      <c r="A8247">
        <f>TEST_DATA!A8247</f>
        <v/>
      </c>
      <c r="B8247">
        <f>TEST_DATA!B8247</f>
        <v/>
      </c>
      <c r="C8247">
        <f>TEST_DATA!C8247</f>
        <v/>
      </c>
      <c r="D8247">
        <f>TEST_DATA!D8247</f>
        <v/>
      </c>
      <c r="E8247">
        <f>TEST_DATA!E8247</f>
        <v/>
      </c>
    </row>
    <row r="8248">
      <c r="A8248">
        <f>TEST_DATA!A8248</f>
        <v/>
      </c>
      <c r="B8248">
        <f>TEST_DATA!B8248</f>
        <v/>
      </c>
      <c r="C8248">
        <f>TEST_DATA!C8248</f>
        <v/>
      </c>
      <c r="D8248">
        <f>TEST_DATA!D8248</f>
        <v/>
      </c>
      <c r="E8248">
        <f>TEST_DATA!E8248</f>
        <v/>
      </c>
    </row>
    <row r="8249">
      <c r="A8249">
        <f>TEST_DATA!A8249</f>
        <v/>
      </c>
      <c r="B8249">
        <f>TEST_DATA!B8249</f>
        <v/>
      </c>
      <c r="C8249">
        <f>TEST_DATA!C8249</f>
        <v/>
      </c>
      <c r="D8249">
        <f>TEST_DATA!D8249</f>
        <v/>
      </c>
      <c r="E8249">
        <f>TEST_DATA!E8249</f>
        <v/>
      </c>
    </row>
    <row r="8250">
      <c r="A8250">
        <f>TEST_DATA!A8250</f>
        <v/>
      </c>
      <c r="B8250">
        <f>TEST_DATA!B8250</f>
        <v/>
      </c>
      <c r="C8250">
        <f>TEST_DATA!C8250</f>
        <v/>
      </c>
      <c r="D8250">
        <f>TEST_DATA!D8250</f>
        <v/>
      </c>
      <c r="E8250">
        <f>TEST_DATA!E8250</f>
        <v/>
      </c>
    </row>
    <row r="8251">
      <c r="A8251">
        <f>TEST_DATA!A8251</f>
        <v/>
      </c>
      <c r="B8251">
        <f>TEST_DATA!B8251</f>
        <v/>
      </c>
      <c r="C8251">
        <f>TEST_DATA!C8251</f>
        <v/>
      </c>
      <c r="D8251">
        <f>TEST_DATA!D8251</f>
        <v/>
      </c>
      <c r="E8251">
        <f>TEST_DATA!E8251</f>
        <v/>
      </c>
    </row>
    <row r="8252">
      <c r="A8252">
        <f>TEST_DATA!A8252</f>
        <v/>
      </c>
      <c r="B8252">
        <f>TEST_DATA!B8252</f>
        <v/>
      </c>
      <c r="C8252">
        <f>TEST_DATA!C8252</f>
        <v/>
      </c>
      <c r="D8252">
        <f>TEST_DATA!D8252</f>
        <v/>
      </c>
      <c r="E8252">
        <f>TEST_DATA!E8252</f>
        <v/>
      </c>
    </row>
    <row r="8253">
      <c r="A8253">
        <f>TEST_DATA!A8253</f>
        <v/>
      </c>
      <c r="B8253">
        <f>TEST_DATA!B8253</f>
        <v/>
      </c>
      <c r="C8253">
        <f>TEST_DATA!C8253</f>
        <v/>
      </c>
      <c r="D8253">
        <f>TEST_DATA!D8253</f>
        <v/>
      </c>
      <c r="E8253">
        <f>TEST_DATA!E8253</f>
        <v/>
      </c>
    </row>
    <row r="8254">
      <c r="A8254">
        <f>TEST_DATA!A8254</f>
        <v/>
      </c>
      <c r="B8254">
        <f>TEST_DATA!B8254</f>
        <v/>
      </c>
      <c r="C8254">
        <f>TEST_DATA!C8254</f>
        <v/>
      </c>
      <c r="D8254">
        <f>TEST_DATA!D8254</f>
        <v/>
      </c>
      <c r="E8254">
        <f>TEST_DATA!E8254</f>
        <v/>
      </c>
    </row>
    <row r="8255">
      <c r="A8255">
        <f>TEST_DATA!A8255</f>
        <v/>
      </c>
      <c r="B8255">
        <f>TEST_DATA!B8255</f>
        <v/>
      </c>
      <c r="C8255">
        <f>TEST_DATA!C8255</f>
        <v/>
      </c>
      <c r="D8255">
        <f>TEST_DATA!D8255</f>
        <v/>
      </c>
      <c r="E8255">
        <f>TEST_DATA!E8255</f>
        <v/>
      </c>
    </row>
    <row r="8256">
      <c r="A8256">
        <f>TEST_DATA!A8256</f>
        <v/>
      </c>
      <c r="B8256">
        <f>TEST_DATA!B8256</f>
        <v/>
      </c>
      <c r="C8256">
        <f>TEST_DATA!C8256</f>
        <v/>
      </c>
      <c r="D8256">
        <f>TEST_DATA!D8256</f>
        <v/>
      </c>
      <c r="E8256">
        <f>TEST_DATA!E8256</f>
        <v/>
      </c>
    </row>
    <row r="8257">
      <c r="A8257">
        <f>TEST_DATA!A8257</f>
        <v/>
      </c>
      <c r="B8257">
        <f>TEST_DATA!B8257</f>
        <v/>
      </c>
      <c r="C8257">
        <f>TEST_DATA!C8257</f>
        <v/>
      </c>
      <c r="D8257">
        <f>TEST_DATA!D8257</f>
        <v/>
      </c>
      <c r="E8257">
        <f>TEST_DATA!E8257</f>
        <v/>
      </c>
    </row>
    <row r="8258">
      <c r="A8258">
        <f>TEST_DATA!A8258</f>
        <v/>
      </c>
      <c r="B8258">
        <f>TEST_DATA!B8258</f>
        <v/>
      </c>
      <c r="C8258">
        <f>TEST_DATA!C8258</f>
        <v/>
      </c>
      <c r="D8258">
        <f>TEST_DATA!D8258</f>
        <v/>
      </c>
      <c r="E8258">
        <f>TEST_DATA!E8258</f>
        <v/>
      </c>
    </row>
    <row r="8259">
      <c r="A8259">
        <f>TEST_DATA!A8259</f>
        <v/>
      </c>
      <c r="B8259">
        <f>TEST_DATA!B8259</f>
        <v/>
      </c>
      <c r="C8259">
        <f>TEST_DATA!C8259</f>
        <v/>
      </c>
      <c r="D8259">
        <f>TEST_DATA!D8259</f>
        <v/>
      </c>
      <c r="E8259">
        <f>TEST_DATA!E8259</f>
        <v/>
      </c>
    </row>
    <row r="8260">
      <c r="A8260">
        <f>TEST_DATA!A8260</f>
        <v/>
      </c>
      <c r="B8260">
        <f>TEST_DATA!B8260</f>
        <v/>
      </c>
      <c r="C8260">
        <f>TEST_DATA!C8260</f>
        <v/>
      </c>
      <c r="D8260">
        <f>TEST_DATA!D8260</f>
        <v/>
      </c>
      <c r="E8260">
        <f>TEST_DATA!E8260</f>
        <v/>
      </c>
    </row>
    <row r="8261">
      <c r="A8261">
        <f>TEST_DATA!A8261</f>
        <v/>
      </c>
      <c r="B8261">
        <f>TEST_DATA!B8261</f>
        <v/>
      </c>
      <c r="C8261">
        <f>TEST_DATA!C8261</f>
        <v/>
      </c>
      <c r="D8261">
        <f>TEST_DATA!D8261</f>
        <v/>
      </c>
      <c r="E8261">
        <f>TEST_DATA!E8261</f>
        <v/>
      </c>
    </row>
    <row r="8262">
      <c r="A8262">
        <f>TEST_DATA!A8262</f>
        <v/>
      </c>
      <c r="B8262">
        <f>TEST_DATA!B8262</f>
        <v/>
      </c>
      <c r="C8262">
        <f>TEST_DATA!C8262</f>
        <v/>
      </c>
      <c r="D8262">
        <f>TEST_DATA!D8262</f>
        <v/>
      </c>
      <c r="E8262">
        <f>TEST_DATA!E8262</f>
        <v/>
      </c>
    </row>
    <row r="8263">
      <c r="A8263">
        <f>TEST_DATA!A8263</f>
        <v/>
      </c>
      <c r="B8263">
        <f>TEST_DATA!B8263</f>
        <v/>
      </c>
      <c r="C8263">
        <f>TEST_DATA!C8263</f>
        <v/>
      </c>
      <c r="D8263">
        <f>TEST_DATA!D8263</f>
        <v/>
      </c>
      <c r="E8263">
        <f>TEST_DATA!E8263</f>
        <v/>
      </c>
    </row>
    <row r="8264">
      <c r="A8264">
        <f>TEST_DATA!A8264</f>
        <v/>
      </c>
      <c r="B8264">
        <f>TEST_DATA!B8264</f>
        <v/>
      </c>
      <c r="C8264">
        <f>TEST_DATA!C8264</f>
        <v/>
      </c>
      <c r="D8264">
        <f>TEST_DATA!D8264</f>
        <v/>
      </c>
      <c r="E8264">
        <f>TEST_DATA!E8264</f>
        <v/>
      </c>
    </row>
    <row r="8265">
      <c r="A8265">
        <f>TEST_DATA!A8265</f>
        <v/>
      </c>
      <c r="B8265">
        <f>TEST_DATA!B8265</f>
        <v/>
      </c>
      <c r="C8265">
        <f>TEST_DATA!C8265</f>
        <v/>
      </c>
      <c r="D8265">
        <f>TEST_DATA!D8265</f>
        <v/>
      </c>
      <c r="E8265">
        <f>TEST_DATA!E8265</f>
        <v/>
      </c>
    </row>
    <row r="8266">
      <c r="A8266">
        <f>TEST_DATA!A8266</f>
        <v/>
      </c>
      <c r="B8266">
        <f>TEST_DATA!B8266</f>
        <v/>
      </c>
      <c r="C8266">
        <f>TEST_DATA!C8266</f>
        <v/>
      </c>
      <c r="D8266">
        <f>TEST_DATA!D8266</f>
        <v/>
      </c>
      <c r="E8266">
        <f>TEST_DATA!E8266</f>
        <v/>
      </c>
    </row>
    <row r="8267">
      <c r="A8267">
        <f>TEST_DATA!A8267</f>
        <v/>
      </c>
      <c r="B8267">
        <f>TEST_DATA!B8267</f>
        <v/>
      </c>
      <c r="C8267">
        <f>TEST_DATA!C8267</f>
        <v/>
      </c>
      <c r="D8267">
        <f>TEST_DATA!D8267</f>
        <v/>
      </c>
      <c r="E8267">
        <f>TEST_DATA!E8267</f>
        <v/>
      </c>
    </row>
    <row r="8268">
      <c r="A8268">
        <f>TEST_DATA!A8268</f>
        <v/>
      </c>
      <c r="B8268">
        <f>TEST_DATA!B8268</f>
        <v/>
      </c>
      <c r="C8268">
        <f>TEST_DATA!C8268</f>
        <v/>
      </c>
      <c r="D8268">
        <f>TEST_DATA!D8268</f>
        <v/>
      </c>
      <c r="E8268">
        <f>TEST_DATA!E8268</f>
        <v/>
      </c>
    </row>
    <row r="8269">
      <c r="A8269">
        <f>TEST_DATA!A8269</f>
        <v/>
      </c>
      <c r="B8269">
        <f>TEST_DATA!B8269</f>
        <v/>
      </c>
      <c r="C8269">
        <f>TEST_DATA!C8269</f>
        <v/>
      </c>
      <c r="D8269">
        <f>TEST_DATA!D8269</f>
        <v/>
      </c>
      <c r="E8269">
        <f>TEST_DATA!E8269</f>
        <v/>
      </c>
    </row>
    <row r="8270">
      <c r="A8270">
        <f>TEST_DATA!A8270</f>
        <v/>
      </c>
      <c r="B8270">
        <f>TEST_DATA!B8270</f>
        <v/>
      </c>
      <c r="C8270">
        <f>TEST_DATA!C8270</f>
        <v/>
      </c>
      <c r="D8270">
        <f>TEST_DATA!D8270</f>
        <v/>
      </c>
      <c r="E8270">
        <f>TEST_DATA!E8270</f>
        <v/>
      </c>
    </row>
    <row r="8271">
      <c r="A8271">
        <f>TEST_DATA!A8271</f>
        <v/>
      </c>
      <c r="B8271">
        <f>TEST_DATA!B8271</f>
        <v/>
      </c>
      <c r="C8271">
        <f>TEST_DATA!C8271</f>
        <v/>
      </c>
      <c r="D8271">
        <f>TEST_DATA!D8271</f>
        <v/>
      </c>
      <c r="E8271">
        <f>TEST_DATA!E8271</f>
        <v/>
      </c>
    </row>
    <row r="8272">
      <c r="A8272">
        <f>TEST_DATA!A8272</f>
        <v/>
      </c>
      <c r="B8272">
        <f>TEST_DATA!B8272</f>
        <v/>
      </c>
      <c r="C8272">
        <f>TEST_DATA!C8272</f>
        <v/>
      </c>
      <c r="D8272">
        <f>TEST_DATA!D8272</f>
        <v/>
      </c>
      <c r="E8272">
        <f>TEST_DATA!E8272</f>
        <v/>
      </c>
    </row>
    <row r="8273">
      <c r="A8273">
        <f>TEST_DATA!A8273</f>
        <v/>
      </c>
      <c r="B8273">
        <f>TEST_DATA!B8273</f>
        <v/>
      </c>
      <c r="C8273">
        <f>TEST_DATA!C8273</f>
        <v/>
      </c>
      <c r="D8273">
        <f>TEST_DATA!D8273</f>
        <v/>
      </c>
      <c r="E8273">
        <f>TEST_DATA!E8273</f>
        <v/>
      </c>
    </row>
    <row r="8274">
      <c r="A8274">
        <f>TEST_DATA!A8274</f>
        <v/>
      </c>
      <c r="B8274">
        <f>TEST_DATA!B8274</f>
        <v/>
      </c>
      <c r="C8274">
        <f>TEST_DATA!C8274</f>
        <v/>
      </c>
      <c r="D8274">
        <f>TEST_DATA!D8274</f>
        <v/>
      </c>
      <c r="E8274">
        <f>TEST_DATA!E8274</f>
        <v/>
      </c>
    </row>
    <row r="8275">
      <c r="A8275">
        <f>TEST_DATA!A8275</f>
        <v/>
      </c>
      <c r="B8275">
        <f>TEST_DATA!B8275</f>
        <v/>
      </c>
      <c r="C8275">
        <f>TEST_DATA!C8275</f>
        <v/>
      </c>
      <c r="D8275">
        <f>TEST_DATA!D8275</f>
        <v/>
      </c>
      <c r="E8275">
        <f>TEST_DATA!E8275</f>
        <v/>
      </c>
    </row>
    <row r="8276">
      <c r="A8276">
        <f>TEST_DATA!A8276</f>
        <v/>
      </c>
      <c r="B8276">
        <f>TEST_DATA!B8276</f>
        <v/>
      </c>
      <c r="C8276">
        <f>TEST_DATA!C8276</f>
        <v/>
      </c>
      <c r="D8276">
        <f>TEST_DATA!D8276</f>
        <v/>
      </c>
      <c r="E8276">
        <f>TEST_DATA!E8276</f>
        <v/>
      </c>
    </row>
    <row r="8277">
      <c r="A8277">
        <f>TEST_DATA!A8277</f>
        <v/>
      </c>
      <c r="B8277">
        <f>TEST_DATA!B8277</f>
        <v/>
      </c>
      <c r="C8277">
        <f>TEST_DATA!C8277</f>
        <v/>
      </c>
      <c r="D8277">
        <f>TEST_DATA!D8277</f>
        <v/>
      </c>
      <c r="E8277">
        <f>TEST_DATA!E8277</f>
        <v/>
      </c>
    </row>
    <row r="8278">
      <c r="A8278">
        <f>TEST_DATA!A8278</f>
        <v/>
      </c>
      <c r="B8278">
        <f>TEST_DATA!B8278</f>
        <v/>
      </c>
      <c r="C8278">
        <f>TEST_DATA!C8278</f>
        <v/>
      </c>
      <c r="D8278">
        <f>TEST_DATA!D8278</f>
        <v/>
      </c>
      <c r="E8278">
        <f>TEST_DATA!E8278</f>
        <v/>
      </c>
    </row>
    <row r="8279">
      <c r="A8279">
        <f>TEST_DATA!A8279</f>
        <v/>
      </c>
      <c r="B8279">
        <f>TEST_DATA!B8279</f>
        <v/>
      </c>
      <c r="C8279">
        <f>TEST_DATA!C8279</f>
        <v/>
      </c>
      <c r="D8279">
        <f>TEST_DATA!D8279</f>
        <v/>
      </c>
      <c r="E8279">
        <f>TEST_DATA!E8279</f>
        <v/>
      </c>
    </row>
    <row r="8280">
      <c r="A8280">
        <f>TEST_DATA!A8280</f>
        <v/>
      </c>
      <c r="B8280">
        <f>TEST_DATA!B8280</f>
        <v/>
      </c>
      <c r="C8280">
        <f>TEST_DATA!C8280</f>
        <v/>
      </c>
      <c r="D8280">
        <f>TEST_DATA!D8280</f>
        <v/>
      </c>
      <c r="E8280">
        <f>TEST_DATA!E8280</f>
        <v/>
      </c>
    </row>
    <row r="8281">
      <c r="A8281">
        <f>TEST_DATA!A8281</f>
        <v/>
      </c>
      <c r="B8281">
        <f>TEST_DATA!B8281</f>
        <v/>
      </c>
      <c r="C8281">
        <f>TEST_DATA!C8281</f>
        <v/>
      </c>
      <c r="D8281">
        <f>TEST_DATA!D8281</f>
        <v/>
      </c>
      <c r="E8281">
        <f>TEST_DATA!E8281</f>
        <v/>
      </c>
    </row>
    <row r="8282">
      <c r="A8282">
        <f>TEST_DATA!A8282</f>
        <v/>
      </c>
      <c r="B8282">
        <f>TEST_DATA!B8282</f>
        <v/>
      </c>
      <c r="C8282">
        <f>TEST_DATA!C8282</f>
        <v/>
      </c>
      <c r="D8282">
        <f>TEST_DATA!D8282</f>
        <v/>
      </c>
      <c r="E8282">
        <f>TEST_DATA!E8282</f>
        <v/>
      </c>
    </row>
    <row r="8283">
      <c r="A8283">
        <f>TEST_DATA!A8283</f>
        <v/>
      </c>
      <c r="B8283">
        <f>TEST_DATA!B8283</f>
        <v/>
      </c>
      <c r="C8283">
        <f>TEST_DATA!C8283</f>
        <v/>
      </c>
      <c r="D8283">
        <f>TEST_DATA!D8283</f>
        <v/>
      </c>
      <c r="E8283">
        <f>TEST_DATA!E8283</f>
        <v/>
      </c>
    </row>
    <row r="8284">
      <c r="A8284">
        <f>TEST_DATA!A8284</f>
        <v/>
      </c>
      <c r="B8284">
        <f>TEST_DATA!B8284</f>
        <v/>
      </c>
      <c r="C8284">
        <f>TEST_DATA!C8284</f>
        <v/>
      </c>
      <c r="D8284">
        <f>TEST_DATA!D8284</f>
        <v/>
      </c>
      <c r="E8284">
        <f>TEST_DATA!E8284</f>
        <v/>
      </c>
    </row>
    <row r="8285">
      <c r="A8285">
        <f>TEST_DATA!A8285</f>
        <v/>
      </c>
      <c r="B8285">
        <f>TEST_DATA!B8285</f>
        <v/>
      </c>
      <c r="C8285">
        <f>TEST_DATA!C8285</f>
        <v/>
      </c>
      <c r="D8285">
        <f>TEST_DATA!D8285</f>
        <v/>
      </c>
      <c r="E8285">
        <f>TEST_DATA!E8285</f>
        <v/>
      </c>
    </row>
    <row r="8286">
      <c r="A8286">
        <f>TEST_DATA!A8286</f>
        <v/>
      </c>
      <c r="B8286">
        <f>TEST_DATA!B8286</f>
        <v/>
      </c>
      <c r="C8286">
        <f>TEST_DATA!C8286</f>
        <v/>
      </c>
      <c r="D8286">
        <f>TEST_DATA!D8286</f>
        <v/>
      </c>
      <c r="E8286">
        <f>TEST_DATA!E8286</f>
        <v/>
      </c>
    </row>
    <row r="8287">
      <c r="A8287">
        <f>TEST_DATA!A8287</f>
        <v/>
      </c>
      <c r="B8287">
        <f>TEST_DATA!B8287</f>
        <v/>
      </c>
      <c r="C8287">
        <f>TEST_DATA!C8287</f>
        <v/>
      </c>
      <c r="D8287">
        <f>TEST_DATA!D8287</f>
        <v/>
      </c>
      <c r="E8287">
        <f>TEST_DATA!E8287</f>
        <v/>
      </c>
    </row>
    <row r="8288">
      <c r="A8288">
        <f>TEST_DATA!A8288</f>
        <v/>
      </c>
      <c r="B8288">
        <f>TEST_DATA!B8288</f>
        <v/>
      </c>
      <c r="C8288">
        <f>TEST_DATA!C8288</f>
        <v/>
      </c>
      <c r="D8288">
        <f>TEST_DATA!D8288</f>
        <v/>
      </c>
      <c r="E8288">
        <f>TEST_DATA!E8288</f>
        <v/>
      </c>
    </row>
    <row r="8289">
      <c r="A8289">
        <f>TEST_DATA!A8289</f>
        <v/>
      </c>
      <c r="B8289">
        <f>TEST_DATA!B8289</f>
        <v/>
      </c>
      <c r="C8289">
        <f>TEST_DATA!C8289</f>
        <v/>
      </c>
      <c r="D8289">
        <f>TEST_DATA!D8289</f>
        <v/>
      </c>
      <c r="E8289">
        <f>TEST_DATA!E8289</f>
        <v/>
      </c>
    </row>
    <row r="8290">
      <c r="A8290">
        <f>TEST_DATA!A8290</f>
        <v/>
      </c>
      <c r="B8290">
        <f>TEST_DATA!B8290</f>
        <v/>
      </c>
      <c r="C8290">
        <f>TEST_DATA!C8290</f>
        <v/>
      </c>
      <c r="D8290">
        <f>TEST_DATA!D8290</f>
        <v/>
      </c>
      <c r="E8290">
        <f>TEST_DATA!E8290</f>
        <v/>
      </c>
    </row>
    <row r="8291">
      <c r="A8291">
        <f>TEST_DATA!A8291</f>
        <v/>
      </c>
      <c r="B8291">
        <f>TEST_DATA!B8291</f>
        <v/>
      </c>
      <c r="C8291">
        <f>TEST_DATA!C8291</f>
        <v/>
      </c>
      <c r="D8291">
        <f>TEST_DATA!D8291</f>
        <v/>
      </c>
      <c r="E8291">
        <f>TEST_DATA!E8291</f>
        <v/>
      </c>
    </row>
    <row r="8292">
      <c r="A8292">
        <f>TEST_DATA!A8292</f>
        <v/>
      </c>
      <c r="B8292">
        <f>TEST_DATA!B8292</f>
        <v/>
      </c>
      <c r="C8292">
        <f>TEST_DATA!C8292</f>
        <v/>
      </c>
      <c r="D8292">
        <f>TEST_DATA!D8292</f>
        <v/>
      </c>
      <c r="E8292">
        <f>TEST_DATA!E8292</f>
        <v/>
      </c>
    </row>
    <row r="8293">
      <c r="A8293">
        <f>TEST_DATA!A8293</f>
        <v/>
      </c>
      <c r="B8293">
        <f>TEST_DATA!B8293</f>
        <v/>
      </c>
      <c r="C8293">
        <f>TEST_DATA!C8293</f>
        <v/>
      </c>
      <c r="D8293">
        <f>TEST_DATA!D8293</f>
        <v/>
      </c>
      <c r="E8293">
        <f>TEST_DATA!E8293</f>
        <v/>
      </c>
    </row>
    <row r="8294">
      <c r="A8294">
        <f>TEST_DATA!A8294</f>
        <v/>
      </c>
      <c r="B8294">
        <f>TEST_DATA!B8294</f>
        <v/>
      </c>
      <c r="C8294">
        <f>TEST_DATA!C8294</f>
        <v/>
      </c>
      <c r="D8294">
        <f>TEST_DATA!D8294</f>
        <v/>
      </c>
      <c r="E8294">
        <f>TEST_DATA!E8294</f>
        <v/>
      </c>
    </row>
    <row r="8295">
      <c r="A8295">
        <f>TEST_DATA!A8295</f>
        <v/>
      </c>
      <c r="B8295">
        <f>TEST_DATA!B8295</f>
        <v/>
      </c>
      <c r="C8295">
        <f>TEST_DATA!C8295</f>
        <v/>
      </c>
      <c r="D8295">
        <f>TEST_DATA!D8295</f>
        <v/>
      </c>
      <c r="E8295">
        <f>TEST_DATA!E8295</f>
        <v/>
      </c>
    </row>
    <row r="8296">
      <c r="A8296">
        <f>TEST_DATA!A8296</f>
        <v/>
      </c>
      <c r="B8296">
        <f>TEST_DATA!B8296</f>
        <v/>
      </c>
      <c r="C8296">
        <f>TEST_DATA!C8296</f>
        <v/>
      </c>
      <c r="D8296">
        <f>TEST_DATA!D8296</f>
        <v/>
      </c>
      <c r="E8296">
        <f>TEST_DATA!E8296</f>
        <v/>
      </c>
    </row>
    <row r="8297">
      <c r="A8297">
        <f>TEST_DATA!A8297</f>
        <v/>
      </c>
      <c r="B8297">
        <f>TEST_DATA!B8297</f>
        <v/>
      </c>
      <c r="C8297">
        <f>TEST_DATA!C8297</f>
        <v/>
      </c>
      <c r="D8297">
        <f>TEST_DATA!D8297</f>
        <v/>
      </c>
      <c r="E8297">
        <f>TEST_DATA!E8297</f>
        <v/>
      </c>
    </row>
    <row r="8298">
      <c r="A8298">
        <f>TEST_DATA!A8298</f>
        <v/>
      </c>
      <c r="B8298">
        <f>TEST_DATA!B8298</f>
        <v/>
      </c>
      <c r="C8298">
        <f>TEST_DATA!C8298</f>
        <v/>
      </c>
      <c r="D8298">
        <f>TEST_DATA!D8298</f>
        <v/>
      </c>
      <c r="E8298">
        <f>TEST_DATA!E8298</f>
        <v/>
      </c>
    </row>
    <row r="8299">
      <c r="A8299">
        <f>TEST_DATA!A8299</f>
        <v/>
      </c>
      <c r="B8299">
        <f>TEST_DATA!B8299</f>
        <v/>
      </c>
      <c r="C8299">
        <f>TEST_DATA!C8299</f>
        <v/>
      </c>
      <c r="D8299">
        <f>TEST_DATA!D8299</f>
        <v/>
      </c>
      <c r="E8299">
        <f>TEST_DATA!E8299</f>
        <v/>
      </c>
    </row>
    <row r="8300">
      <c r="A8300">
        <f>TEST_DATA!A8300</f>
        <v/>
      </c>
      <c r="B8300">
        <f>TEST_DATA!B8300</f>
        <v/>
      </c>
      <c r="C8300">
        <f>TEST_DATA!C8300</f>
        <v/>
      </c>
      <c r="D8300">
        <f>TEST_DATA!D8300</f>
        <v/>
      </c>
      <c r="E8300">
        <f>TEST_DATA!E8300</f>
        <v/>
      </c>
    </row>
    <row r="8301">
      <c r="A8301">
        <f>TEST_DATA!A8301</f>
        <v/>
      </c>
      <c r="B8301">
        <f>TEST_DATA!B8301</f>
        <v/>
      </c>
      <c r="C8301">
        <f>TEST_DATA!C8301</f>
        <v/>
      </c>
      <c r="D8301">
        <f>TEST_DATA!D8301</f>
        <v/>
      </c>
      <c r="E8301">
        <f>TEST_DATA!E8301</f>
        <v/>
      </c>
    </row>
    <row r="8302">
      <c r="A8302">
        <f>TEST_DATA!A8302</f>
        <v/>
      </c>
      <c r="B8302">
        <f>TEST_DATA!B8302</f>
        <v/>
      </c>
      <c r="C8302">
        <f>TEST_DATA!C8302</f>
        <v/>
      </c>
      <c r="D8302">
        <f>TEST_DATA!D8302</f>
        <v/>
      </c>
      <c r="E8302">
        <f>TEST_DATA!E8302</f>
        <v/>
      </c>
    </row>
    <row r="8303">
      <c r="A8303">
        <f>TEST_DATA!A8303</f>
        <v/>
      </c>
      <c r="B8303">
        <f>TEST_DATA!B8303</f>
        <v/>
      </c>
      <c r="C8303">
        <f>TEST_DATA!C8303</f>
        <v/>
      </c>
      <c r="D8303">
        <f>TEST_DATA!D8303</f>
        <v/>
      </c>
      <c r="E8303">
        <f>TEST_DATA!E8303</f>
        <v/>
      </c>
    </row>
    <row r="8304">
      <c r="A8304">
        <f>TEST_DATA!A8304</f>
        <v/>
      </c>
      <c r="B8304">
        <f>TEST_DATA!B8304</f>
        <v/>
      </c>
      <c r="C8304">
        <f>TEST_DATA!C8304</f>
        <v/>
      </c>
      <c r="D8304">
        <f>TEST_DATA!D8304</f>
        <v/>
      </c>
      <c r="E8304">
        <f>TEST_DATA!E8304</f>
        <v/>
      </c>
    </row>
    <row r="8305">
      <c r="A8305">
        <f>TEST_DATA!A8305</f>
        <v/>
      </c>
      <c r="B8305">
        <f>TEST_DATA!B8305</f>
        <v/>
      </c>
      <c r="C8305">
        <f>TEST_DATA!C8305</f>
        <v/>
      </c>
      <c r="D8305">
        <f>TEST_DATA!D8305</f>
        <v/>
      </c>
      <c r="E8305">
        <f>TEST_DATA!E8305</f>
        <v/>
      </c>
    </row>
    <row r="8306">
      <c r="A8306">
        <f>TEST_DATA!A8306</f>
        <v/>
      </c>
      <c r="B8306">
        <f>TEST_DATA!B8306</f>
        <v/>
      </c>
      <c r="C8306">
        <f>TEST_DATA!C8306</f>
        <v/>
      </c>
      <c r="D8306">
        <f>TEST_DATA!D8306</f>
        <v/>
      </c>
      <c r="E8306">
        <f>TEST_DATA!E8306</f>
        <v/>
      </c>
    </row>
    <row r="8307">
      <c r="A8307">
        <f>TEST_DATA!A8307</f>
        <v/>
      </c>
      <c r="B8307">
        <f>TEST_DATA!B8307</f>
        <v/>
      </c>
      <c r="C8307">
        <f>TEST_DATA!C8307</f>
        <v/>
      </c>
      <c r="D8307">
        <f>TEST_DATA!D8307</f>
        <v/>
      </c>
      <c r="E8307">
        <f>TEST_DATA!E8307</f>
        <v/>
      </c>
    </row>
    <row r="8308">
      <c r="A8308">
        <f>TEST_DATA!A8308</f>
        <v/>
      </c>
      <c r="B8308">
        <f>TEST_DATA!B8308</f>
        <v/>
      </c>
      <c r="C8308">
        <f>TEST_DATA!C8308</f>
        <v/>
      </c>
      <c r="D8308">
        <f>TEST_DATA!D8308</f>
        <v/>
      </c>
      <c r="E8308">
        <f>TEST_DATA!E8308</f>
        <v/>
      </c>
    </row>
    <row r="8309">
      <c r="A8309">
        <f>TEST_DATA!A8309</f>
        <v/>
      </c>
      <c r="B8309">
        <f>TEST_DATA!B8309</f>
        <v/>
      </c>
      <c r="C8309">
        <f>TEST_DATA!C8309</f>
        <v/>
      </c>
      <c r="D8309">
        <f>TEST_DATA!D8309</f>
        <v/>
      </c>
      <c r="E8309">
        <f>TEST_DATA!E8309</f>
        <v/>
      </c>
    </row>
    <row r="8310">
      <c r="A8310">
        <f>TEST_DATA!A8310</f>
        <v/>
      </c>
      <c r="B8310">
        <f>TEST_DATA!B8310</f>
        <v/>
      </c>
      <c r="C8310">
        <f>TEST_DATA!C8310</f>
        <v/>
      </c>
      <c r="D8310">
        <f>TEST_DATA!D8310</f>
        <v/>
      </c>
      <c r="E8310">
        <f>TEST_DATA!E8310</f>
        <v/>
      </c>
    </row>
    <row r="8311">
      <c r="A8311">
        <f>TEST_DATA!A8311</f>
        <v/>
      </c>
      <c r="B8311">
        <f>TEST_DATA!B8311</f>
        <v/>
      </c>
      <c r="C8311">
        <f>TEST_DATA!C8311</f>
        <v/>
      </c>
      <c r="D8311">
        <f>TEST_DATA!D8311</f>
        <v/>
      </c>
      <c r="E8311">
        <f>TEST_DATA!E8311</f>
        <v/>
      </c>
    </row>
    <row r="8312">
      <c r="A8312">
        <f>TEST_DATA!A8312</f>
        <v/>
      </c>
      <c r="B8312">
        <f>TEST_DATA!B8312</f>
        <v/>
      </c>
      <c r="C8312">
        <f>TEST_DATA!C8312</f>
        <v/>
      </c>
      <c r="D8312">
        <f>TEST_DATA!D8312</f>
        <v/>
      </c>
      <c r="E8312">
        <f>TEST_DATA!E8312</f>
        <v/>
      </c>
    </row>
    <row r="8313">
      <c r="A8313">
        <f>TEST_DATA!A8313</f>
        <v/>
      </c>
      <c r="B8313">
        <f>TEST_DATA!B8313</f>
        <v/>
      </c>
      <c r="C8313">
        <f>TEST_DATA!C8313</f>
        <v/>
      </c>
      <c r="D8313">
        <f>TEST_DATA!D8313</f>
        <v/>
      </c>
      <c r="E8313">
        <f>TEST_DATA!E8313</f>
        <v/>
      </c>
    </row>
    <row r="8314">
      <c r="A8314">
        <f>TEST_DATA!A8314</f>
        <v/>
      </c>
      <c r="B8314">
        <f>TEST_DATA!B8314</f>
        <v/>
      </c>
      <c r="C8314">
        <f>TEST_DATA!C8314</f>
        <v/>
      </c>
      <c r="D8314">
        <f>TEST_DATA!D8314</f>
        <v/>
      </c>
      <c r="E8314">
        <f>TEST_DATA!E8314</f>
        <v/>
      </c>
    </row>
    <row r="8315">
      <c r="A8315">
        <f>TEST_DATA!A8315</f>
        <v/>
      </c>
      <c r="B8315">
        <f>TEST_DATA!B8315</f>
        <v/>
      </c>
      <c r="C8315">
        <f>TEST_DATA!C8315</f>
        <v/>
      </c>
      <c r="D8315">
        <f>TEST_DATA!D8315</f>
        <v/>
      </c>
      <c r="E8315">
        <f>TEST_DATA!E8315</f>
        <v/>
      </c>
    </row>
    <row r="8316">
      <c r="A8316">
        <f>TEST_DATA!A8316</f>
        <v/>
      </c>
      <c r="B8316">
        <f>TEST_DATA!B8316</f>
        <v/>
      </c>
      <c r="C8316">
        <f>TEST_DATA!C8316</f>
        <v/>
      </c>
      <c r="D8316">
        <f>TEST_DATA!D8316</f>
        <v/>
      </c>
      <c r="E8316">
        <f>TEST_DATA!E8316</f>
        <v/>
      </c>
    </row>
    <row r="8317">
      <c r="A8317">
        <f>TEST_DATA!A8317</f>
        <v/>
      </c>
      <c r="B8317">
        <f>TEST_DATA!B8317</f>
        <v/>
      </c>
      <c r="C8317">
        <f>TEST_DATA!C8317</f>
        <v/>
      </c>
      <c r="D8317">
        <f>TEST_DATA!D8317</f>
        <v/>
      </c>
      <c r="E8317">
        <f>TEST_DATA!E8317</f>
        <v/>
      </c>
    </row>
    <row r="8318">
      <c r="A8318">
        <f>TEST_DATA!A8318</f>
        <v/>
      </c>
      <c r="B8318">
        <f>TEST_DATA!B8318</f>
        <v/>
      </c>
      <c r="C8318">
        <f>TEST_DATA!C8318</f>
        <v/>
      </c>
      <c r="D8318">
        <f>TEST_DATA!D8318</f>
        <v/>
      </c>
      <c r="E8318">
        <f>TEST_DATA!E8318</f>
        <v/>
      </c>
    </row>
    <row r="8319">
      <c r="A8319">
        <f>TEST_DATA!A8319</f>
        <v/>
      </c>
      <c r="B8319">
        <f>TEST_DATA!B8319</f>
        <v/>
      </c>
      <c r="C8319">
        <f>TEST_DATA!C8319</f>
        <v/>
      </c>
      <c r="D8319">
        <f>TEST_DATA!D8319</f>
        <v/>
      </c>
      <c r="E8319">
        <f>TEST_DATA!E8319</f>
        <v/>
      </c>
    </row>
    <row r="8320">
      <c r="A8320">
        <f>TEST_DATA!A8320</f>
        <v/>
      </c>
      <c r="B8320">
        <f>TEST_DATA!B8320</f>
        <v/>
      </c>
      <c r="C8320">
        <f>TEST_DATA!C8320</f>
        <v/>
      </c>
      <c r="D8320">
        <f>TEST_DATA!D8320</f>
        <v/>
      </c>
      <c r="E8320">
        <f>TEST_DATA!E8320</f>
        <v/>
      </c>
    </row>
    <row r="8321">
      <c r="A8321">
        <f>TEST_DATA!A8321</f>
        <v/>
      </c>
      <c r="B8321">
        <f>TEST_DATA!B8321</f>
        <v/>
      </c>
      <c r="C8321">
        <f>TEST_DATA!C8321</f>
        <v/>
      </c>
      <c r="D8321">
        <f>TEST_DATA!D8321</f>
        <v/>
      </c>
      <c r="E8321">
        <f>TEST_DATA!E8321</f>
        <v/>
      </c>
    </row>
    <row r="8322">
      <c r="A8322">
        <f>TEST_DATA!A8322</f>
        <v/>
      </c>
      <c r="B8322">
        <f>TEST_DATA!B8322</f>
        <v/>
      </c>
      <c r="C8322">
        <f>TEST_DATA!C8322</f>
        <v/>
      </c>
      <c r="D8322">
        <f>TEST_DATA!D8322</f>
        <v/>
      </c>
      <c r="E8322">
        <f>TEST_DATA!E8322</f>
        <v/>
      </c>
    </row>
    <row r="8323">
      <c r="A8323">
        <f>TEST_DATA!A8323</f>
        <v/>
      </c>
      <c r="B8323">
        <f>TEST_DATA!B8323</f>
        <v/>
      </c>
      <c r="C8323">
        <f>TEST_DATA!C8323</f>
        <v/>
      </c>
      <c r="D8323">
        <f>TEST_DATA!D8323</f>
        <v/>
      </c>
      <c r="E8323">
        <f>TEST_DATA!E8323</f>
        <v/>
      </c>
    </row>
    <row r="8324">
      <c r="A8324">
        <f>TEST_DATA!A8324</f>
        <v/>
      </c>
      <c r="B8324">
        <f>TEST_DATA!B8324</f>
        <v/>
      </c>
      <c r="C8324">
        <f>TEST_DATA!C8324</f>
        <v/>
      </c>
      <c r="D8324">
        <f>TEST_DATA!D8324</f>
        <v/>
      </c>
      <c r="E8324">
        <f>TEST_DATA!E8324</f>
        <v/>
      </c>
    </row>
    <row r="8325">
      <c r="A8325">
        <f>TEST_DATA!A8325</f>
        <v/>
      </c>
      <c r="B8325">
        <f>TEST_DATA!B8325</f>
        <v/>
      </c>
      <c r="C8325">
        <f>TEST_DATA!C8325</f>
        <v/>
      </c>
      <c r="D8325">
        <f>TEST_DATA!D8325</f>
        <v/>
      </c>
      <c r="E8325">
        <f>TEST_DATA!E8325</f>
        <v/>
      </c>
    </row>
    <row r="8326">
      <c r="A8326">
        <f>TEST_DATA!A8326</f>
        <v/>
      </c>
      <c r="B8326">
        <f>TEST_DATA!B8326</f>
        <v/>
      </c>
      <c r="C8326">
        <f>TEST_DATA!C8326</f>
        <v/>
      </c>
      <c r="D8326">
        <f>TEST_DATA!D8326</f>
        <v/>
      </c>
      <c r="E8326">
        <f>TEST_DATA!E8326</f>
        <v/>
      </c>
    </row>
    <row r="8327">
      <c r="A8327">
        <f>TEST_DATA!A8327</f>
        <v/>
      </c>
      <c r="B8327">
        <f>TEST_DATA!B8327</f>
        <v/>
      </c>
      <c r="C8327">
        <f>TEST_DATA!C8327</f>
        <v/>
      </c>
      <c r="D8327">
        <f>TEST_DATA!D8327</f>
        <v/>
      </c>
      <c r="E8327">
        <f>TEST_DATA!E8327</f>
        <v/>
      </c>
    </row>
    <row r="8328">
      <c r="A8328">
        <f>TEST_DATA!A8328</f>
        <v/>
      </c>
      <c r="B8328">
        <f>TEST_DATA!B8328</f>
        <v/>
      </c>
      <c r="C8328">
        <f>TEST_DATA!C8328</f>
        <v/>
      </c>
      <c r="D8328">
        <f>TEST_DATA!D8328</f>
        <v/>
      </c>
      <c r="E8328">
        <f>TEST_DATA!E8328</f>
        <v/>
      </c>
    </row>
    <row r="8329">
      <c r="A8329">
        <f>TEST_DATA!A8329</f>
        <v/>
      </c>
      <c r="B8329">
        <f>TEST_DATA!B8329</f>
        <v/>
      </c>
      <c r="C8329">
        <f>TEST_DATA!C8329</f>
        <v/>
      </c>
      <c r="D8329">
        <f>TEST_DATA!D8329</f>
        <v/>
      </c>
      <c r="E8329">
        <f>TEST_DATA!E8329</f>
        <v/>
      </c>
    </row>
    <row r="8330">
      <c r="A8330">
        <f>TEST_DATA!A8330</f>
        <v/>
      </c>
      <c r="B8330">
        <f>TEST_DATA!B8330</f>
        <v/>
      </c>
      <c r="C8330">
        <f>TEST_DATA!C8330</f>
        <v/>
      </c>
      <c r="D8330">
        <f>TEST_DATA!D8330</f>
        <v/>
      </c>
      <c r="E8330">
        <f>TEST_DATA!E8330</f>
        <v/>
      </c>
    </row>
    <row r="8331">
      <c r="A8331">
        <f>TEST_DATA!A8331</f>
        <v/>
      </c>
      <c r="B8331">
        <f>TEST_DATA!B8331</f>
        <v/>
      </c>
      <c r="C8331">
        <f>TEST_DATA!C8331</f>
        <v/>
      </c>
      <c r="D8331">
        <f>TEST_DATA!D8331</f>
        <v/>
      </c>
      <c r="E8331">
        <f>TEST_DATA!E8331</f>
        <v/>
      </c>
    </row>
    <row r="8332">
      <c r="A8332">
        <f>TEST_DATA!A8332</f>
        <v/>
      </c>
      <c r="B8332">
        <f>TEST_DATA!B8332</f>
        <v/>
      </c>
      <c r="C8332">
        <f>TEST_DATA!C8332</f>
        <v/>
      </c>
      <c r="D8332">
        <f>TEST_DATA!D8332</f>
        <v/>
      </c>
      <c r="E8332">
        <f>TEST_DATA!E8332</f>
        <v/>
      </c>
    </row>
    <row r="8333">
      <c r="A8333">
        <f>TEST_DATA!A8333</f>
        <v/>
      </c>
      <c r="B8333">
        <f>TEST_DATA!B8333</f>
        <v/>
      </c>
      <c r="C8333">
        <f>TEST_DATA!C8333</f>
        <v/>
      </c>
      <c r="D8333">
        <f>TEST_DATA!D8333</f>
        <v/>
      </c>
      <c r="E8333">
        <f>TEST_DATA!E8333</f>
        <v/>
      </c>
    </row>
    <row r="8334">
      <c r="A8334">
        <f>TEST_DATA!A8334</f>
        <v/>
      </c>
      <c r="B8334">
        <f>TEST_DATA!B8334</f>
        <v/>
      </c>
      <c r="C8334">
        <f>TEST_DATA!C8334</f>
        <v/>
      </c>
      <c r="D8334">
        <f>TEST_DATA!D8334</f>
        <v/>
      </c>
      <c r="E8334">
        <f>TEST_DATA!E8334</f>
        <v/>
      </c>
    </row>
    <row r="8335">
      <c r="A8335">
        <f>TEST_DATA!A8335</f>
        <v/>
      </c>
      <c r="B8335">
        <f>TEST_DATA!B8335</f>
        <v/>
      </c>
      <c r="C8335">
        <f>TEST_DATA!C8335</f>
        <v/>
      </c>
      <c r="D8335">
        <f>TEST_DATA!D8335</f>
        <v/>
      </c>
      <c r="E8335">
        <f>TEST_DATA!E8335</f>
        <v/>
      </c>
    </row>
    <row r="8336">
      <c r="A8336">
        <f>TEST_DATA!A8336</f>
        <v/>
      </c>
      <c r="B8336">
        <f>TEST_DATA!B8336</f>
        <v/>
      </c>
      <c r="C8336">
        <f>TEST_DATA!C8336</f>
        <v/>
      </c>
      <c r="D8336">
        <f>TEST_DATA!D8336</f>
        <v/>
      </c>
      <c r="E8336">
        <f>TEST_DATA!E8336</f>
        <v/>
      </c>
    </row>
    <row r="8337">
      <c r="A8337">
        <f>TEST_DATA!A8337</f>
        <v/>
      </c>
      <c r="B8337">
        <f>TEST_DATA!B8337</f>
        <v/>
      </c>
      <c r="C8337">
        <f>TEST_DATA!C8337</f>
        <v/>
      </c>
      <c r="D8337">
        <f>TEST_DATA!D8337</f>
        <v/>
      </c>
      <c r="E8337">
        <f>TEST_DATA!E8337</f>
        <v/>
      </c>
    </row>
    <row r="8338">
      <c r="A8338">
        <f>TEST_DATA!A8338</f>
        <v/>
      </c>
      <c r="B8338">
        <f>TEST_DATA!B8338</f>
        <v/>
      </c>
      <c r="C8338">
        <f>TEST_DATA!C8338</f>
        <v/>
      </c>
      <c r="D8338">
        <f>TEST_DATA!D8338</f>
        <v/>
      </c>
      <c r="E8338">
        <f>TEST_DATA!E8338</f>
        <v/>
      </c>
    </row>
    <row r="8339">
      <c r="A8339">
        <f>TEST_DATA!A8339</f>
        <v/>
      </c>
      <c r="B8339">
        <f>TEST_DATA!B8339</f>
        <v/>
      </c>
      <c r="C8339">
        <f>TEST_DATA!C8339</f>
        <v/>
      </c>
      <c r="D8339">
        <f>TEST_DATA!D8339</f>
        <v/>
      </c>
      <c r="E8339">
        <f>TEST_DATA!E8339</f>
        <v/>
      </c>
    </row>
    <row r="8340">
      <c r="A8340">
        <f>TEST_DATA!A8340</f>
        <v/>
      </c>
      <c r="B8340">
        <f>TEST_DATA!B8340</f>
        <v/>
      </c>
      <c r="C8340">
        <f>TEST_DATA!C8340</f>
        <v/>
      </c>
      <c r="D8340">
        <f>TEST_DATA!D8340</f>
        <v/>
      </c>
      <c r="E8340">
        <f>TEST_DATA!E8340</f>
        <v/>
      </c>
    </row>
    <row r="8341">
      <c r="A8341">
        <f>TEST_DATA!A8341</f>
        <v/>
      </c>
      <c r="B8341">
        <f>TEST_DATA!B8341</f>
        <v/>
      </c>
      <c r="C8341">
        <f>TEST_DATA!C8341</f>
        <v/>
      </c>
      <c r="D8341">
        <f>TEST_DATA!D8341</f>
        <v/>
      </c>
      <c r="E8341">
        <f>TEST_DATA!E8341</f>
        <v/>
      </c>
    </row>
    <row r="8342">
      <c r="A8342">
        <f>TEST_DATA!A8342</f>
        <v/>
      </c>
      <c r="B8342">
        <f>TEST_DATA!B8342</f>
        <v/>
      </c>
      <c r="C8342">
        <f>TEST_DATA!C8342</f>
        <v/>
      </c>
      <c r="D8342">
        <f>TEST_DATA!D8342</f>
        <v/>
      </c>
      <c r="E8342">
        <f>TEST_DATA!E8342</f>
        <v/>
      </c>
    </row>
    <row r="8343">
      <c r="A8343">
        <f>TEST_DATA!A8343</f>
        <v/>
      </c>
      <c r="B8343">
        <f>TEST_DATA!B8343</f>
        <v/>
      </c>
      <c r="C8343">
        <f>TEST_DATA!C8343</f>
        <v/>
      </c>
      <c r="D8343">
        <f>TEST_DATA!D8343</f>
        <v/>
      </c>
      <c r="E8343">
        <f>TEST_DATA!E8343</f>
        <v/>
      </c>
    </row>
    <row r="8344">
      <c r="A8344">
        <f>TEST_DATA!A8344</f>
        <v/>
      </c>
      <c r="B8344">
        <f>TEST_DATA!B8344</f>
        <v/>
      </c>
      <c r="C8344">
        <f>TEST_DATA!C8344</f>
        <v/>
      </c>
      <c r="D8344">
        <f>TEST_DATA!D8344</f>
        <v/>
      </c>
      <c r="E8344">
        <f>TEST_DATA!E8344</f>
        <v/>
      </c>
    </row>
    <row r="8345">
      <c r="A8345">
        <f>TEST_DATA!A8345</f>
        <v/>
      </c>
      <c r="B8345">
        <f>TEST_DATA!B8345</f>
        <v/>
      </c>
      <c r="C8345">
        <f>TEST_DATA!C8345</f>
        <v/>
      </c>
      <c r="D8345">
        <f>TEST_DATA!D8345</f>
        <v/>
      </c>
      <c r="E8345">
        <f>TEST_DATA!E8345</f>
        <v/>
      </c>
    </row>
    <row r="8346">
      <c r="A8346">
        <f>TEST_DATA!A8346</f>
        <v/>
      </c>
      <c r="B8346">
        <f>TEST_DATA!B8346</f>
        <v/>
      </c>
      <c r="C8346">
        <f>TEST_DATA!C8346</f>
        <v/>
      </c>
      <c r="D8346">
        <f>TEST_DATA!D8346</f>
        <v/>
      </c>
      <c r="E8346">
        <f>TEST_DATA!E8346</f>
        <v/>
      </c>
    </row>
    <row r="8347">
      <c r="A8347">
        <f>TEST_DATA!A8347</f>
        <v/>
      </c>
      <c r="B8347">
        <f>TEST_DATA!B8347</f>
        <v/>
      </c>
      <c r="C8347">
        <f>TEST_DATA!C8347</f>
        <v/>
      </c>
      <c r="D8347">
        <f>TEST_DATA!D8347</f>
        <v/>
      </c>
      <c r="E8347">
        <f>TEST_DATA!E8347</f>
        <v/>
      </c>
    </row>
    <row r="8348">
      <c r="A8348">
        <f>TEST_DATA!A8348</f>
        <v/>
      </c>
      <c r="B8348">
        <f>TEST_DATA!B8348</f>
        <v/>
      </c>
      <c r="C8348">
        <f>TEST_DATA!C8348</f>
        <v/>
      </c>
      <c r="D8348">
        <f>TEST_DATA!D8348</f>
        <v/>
      </c>
      <c r="E8348">
        <f>TEST_DATA!E8348</f>
        <v/>
      </c>
    </row>
    <row r="8349">
      <c r="A8349">
        <f>TEST_DATA!A8349</f>
        <v/>
      </c>
      <c r="B8349">
        <f>TEST_DATA!B8349</f>
        <v/>
      </c>
      <c r="C8349">
        <f>TEST_DATA!C8349</f>
        <v/>
      </c>
      <c r="D8349">
        <f>TEST_DATA!D8349</f>
        <v/>
      </c>
      <c r="E8349">
        <f>TEST_DATA!E8349</f>
        <v/>
      </c>
    </row>
    <row r="8350">
      <c r="A8350">
        <f>TEST_DATA!A8350</f>
        <v/>
      </c>
      <c r="B8350">
        <f>TEST_DATA!B8350</f>
        <v/>
      </c>
      <c r="C8350">
        <f>TEST_DATA!C8350</f>
        <v/>
      </c>
      <c r="D8350">
        <f>TEST_DATA!D8350</f>
        <v/>
      </c>
      <c r="E8350">
        <f>TEST_DATA!E8350</f>
        <v/>
      </c>
    </row>
    <row r="8351">
      <c r="A8351">
        <f>TEST_DATA!A8351</f>
        <v/>
      </c>
      <c r="B8351">
        <f>TEST_DATA!B8351</f>
        <v/>
      </c>
      <c r="C8351">
        <f>TEST_DATA!C8351</f>
        <v/>
      </c>
      <c r="D8351">
        <f>TEST_DATA!D8351</f>
        <v/>
      </c>
      <c r="E8351">
        <f>TEST_DATA!E8351</f>
        <v/>
      </c>
    </row>
    <row r="8352">
      <c r="A8352">
        <f>TEST_DATA!A8352</f>
        <v/>
      </c>
      <c r="B8352">
        <f>TEST_DATA!B8352</f>
        <v/>
      </c>
      <c r="C8352">
        <f>TEST_DATA!C8352</f>
        <v/>
      </c>
      <c r="D8352">
        <f>TEST_DATA!D8352</f>
        <v/>
      </c>
      <c r="E8352">
        <f>TEST_DATA!E8352</f>
        <v/>
      </c>
    </row>
    <row r="8353">
      <c r="A8353">
        <f>TEST_DATA!A8353</f>
        <v/>
      </c>
      <c r="B8353">
        <f>TEST_DATA!B8353</f>
        <v/>
      </c>
      <c r="C8353">
        <f>TEST_DATA!C8353</f>
        <v/>
      </c>
      <c r="D8353">
        <f>TEST_DATA!D8353</f>
        <v/>
      </c>
      <c r="E8353">
        <f>TEST_DATA!E8353</f>
        <v/>
      </c>
    </row>
    <row r="8354">
      <c r="A8354">
        <f>TEST_DATA!A8354</f>
        <v/>
      </c>
      <c r="B8354">
        <f>TEST_DATA!B8354</f>
        <v/>
      </c>
      <c r="C8354">
        <f>TEST_DATA!C8354</f>
        <v/>
      </c>
      <c r="D8354">
        <f>TEST_DATA!D8354</f>
        <v/>
      </c>
      <c r="E8354">
        <f>TEST_DATA!E8354</f>
        <v/>
      </c>
    </row>
    <row r="8355">
      <c r="A8355">
        <f>TEST_DATA!A8355</f>
        <v/>
      </c>
      <c r="B8355">
        <f>TEST_DATA!B8355</f>
        <v/>
      </c>
      <c r="C8355">
        <f>TEST_DATA!C8355</f>
        <v/>
      </c>
      <c r="D8355">
        <f>TEST_DATA!D8355</f>
        <v/>
      </c>
      <c r="E8355">
        <f>TEST_DATA!E8355</f>
        <v/>
      </c>
    </row>
    <row r="8356">
      <c r="A8356">
        <f>TEST_DATA!A8356</f>
        <v/>
      </c>
      <c r="B8356">
        <f>TEST_DATA!B8356</f>
        <v/>
      </c>
      <c r="C8356">
        <f>TEST_DATA!C8356</f>
        <v/>
      </c>
      <c r="D8356">
        <f>TEST_DATA!D8356</f>
        <v/>
      </c>
      <c r="E8356">
        <f>TEST_DATA!E8356</f>
        <v/>
      </c>
    </row>
    <row r="8357">
      <c r="A8357">
        <f>TEST_DATA!A8357</f>
        <v/>
      </c>
      <c r="B8357">
        <f>TEST_DATA!B8357</f>
        <v/>
      </c>
      <c r="C8357">
        <f>TEST_DATA!C8357</f>
        <v/>
      </c>
      <c r="D8357">
        <f>TEST_DATA!D8357</f>
        <v/>
      </c>
      <c r="E8357">
        <f>TEST_DATA!E8357</f>
        <v/>
      </c>
    </row>
    <row r="8358">
      <c r="A8358">
        <f>TEST_DATA!A8358</f>
        <v/>
      </c>
      <c r="B8358">
        <f>TEST_DATA!B8358</f>
        <v/>
      </c>
      <c r="C8358">
        <f>TEST_DATA!C8358</f>
        <v/>
      </c>
      <c r="D8358">
        <f>TEST_DATA!D8358</f>
        <v/>
      </c>
      <c r="E8358">
        <f>TEST_DATA!E8358</f>
        <v/>
      </c>
    </row>
    <row r="8359">
      <c r="A8359">
        <f>TEST_DATA!A8359</f>
        <v/>
      </c>
      <c r="B8359">
        <f>TEST_DATA!B8359</f>
        <v/>
      </c>
      <c r="C8359">
        <f>TEST_DATA!C8359</f>
        <v/>
      </c>
      <c r="D8359">
        <f>TEST_DATA!D8359</f>
        <v/>
      </c>
      <c r="E8359">
        <f>TEST_DATA!E8359</f>
        <v/>
      </c>
    </row>
    <row r="8360">
      <c r="A8360">
        <f>TEST_DATA!A8360</f>
        <v/>
      </c>
      <c r="B8360">
        <f>TEST_DATA!B8360</f>
        <v/>
      </c>
      <c r="C8360">
        <f>TEST_DATA!C8360</f>
        <v/>
      </c>
      <c r="D8360">
        <f>TEST_DATA!D8360</f>
        <v/>
      </c>
      <c r="E8360">
        <f>TEST_DATA!E8360</f>
        <v/>
      </c>
    </row>
    <row r="8361">
      <c r="A8361">
        <f>TEST_DATA!A8361</f>
        <v/>
      </c>
      <c r="B8361">
        <f>TEST_DATA!B8361</f>
        <v/>
      </c>
      <c r="C8361">
        <f>TEST_DATA!C8361</f>
        <v/>
      </c>
      <c r="D8361">
        <f>TEST_DATA!D8361</f>
        <v/>
      </c>
      <c r="E8361">
        <f>TEST_DATA!E8361</f>
        <v/>
      </c>
    </row>
    <row r="8362">
      <c r="A8362">
        <f>TEST_DATA!A8362</f>
        <v/>
      </c>
      <c r="B8362">
        <f>TEST_DATA!B8362</f>
        <v/>
      </c>
      <c r="C8362">
        <f>TEST_DATA!C8362</f>
        <v/>
      </c>
      <c r="D8362">
        <f>TEST_DATA!D8362</f>
        <v/>
      </c>
      <c r="E8362">
        <f>TEST_DATA!E8362</f>
        <v/>
      </c>
    </row>
    <row r="8363">
      <c r="A8363">
        <f>TEST_DATA!A8363</f>
        <v/>
      </c>
      <c r="B8363">
        <f>TEST_DATA!B8363</f>
        <v/>
      </c>
      <c r="C8363">
        <f>TEST_DATA!C8363</f>
        <v/>
      </c>
      <c r="D8363">
        <f>TEST_DATA!D8363</f>
        <v/>
      </c>
      <c r="E8363">
        <f>TEST_DATA!E8363</f>
        <v/>
      </c>
    </row>
    <row r="8364">
      <c r="A8364">
        <f>TEST_DATA!A8364</f>
        <v/>
      </c>
      <c r="B8364">
        <f>TEST_DATA!B8364</f>
        <v/>
      </c>
      <c r="C8364">
        <f>TEST_DATA!C8364</f>
        <v/>
      </c>
      <c r="D8364">
        <f>TEST_DATA!D8364</f>
        <v/>
      </c>
      <c r="E8364">
        <f>TEST_DATA!E8364</f>
        <v/>
      </c>
    </row>
    <row r="8365">
      <c r="A8365">
        <f>TEST_DATA!A8365</f>
        <v/>
      </c>
      <c r="B8365">
        <f>TEST_DATA!B8365</f>
        <v/>
      </c>
      <c r="C8365">
        <f>TEST_DATA!C8365</f>
        <v/>
      </c>
      <c r="D8365">
        <f>TEST_DATA!D8365</f>
        <v/>
      </c>
      <c r="E8365">
        <f>TEST_DATA!E8365</f>
        <v/>
      </c>
    </row>
    <row r="8366">
      <c r="A8366">
        <f>TEST_DATA!A8366</f>
        <v/>
      </c>
      <c r="B8366">
        <f>TEST_DATA!B8366</f>
        <v/>
      </c>
      <c r="C8366">
        <f>TEST_DATA!C8366</f>
        <v/>
      </c>
      <c r="D8366">
        <f>TEST_DATA!D8366</f>
        <v/>
      </c>
      <c r="E8366">
        <f>TEST_DATA!E8366</f>
        <v/>
      </c>
    </row>
    <row r="8367">
      <c r="A8367">
        <f>TEST_DATA!A8367</f>
        <v/>
      </c>
      <c r="B8367">
        <f>TEST_DATA!B8367</f>
        <v/>
      </c>
      <c r="C8367">
        <f>TEST_DATA!C8367</f>
        <v/>
      </c>
      <c r="D8367">
        <f>TEST_DATA!D8367</f>
        <v/>
      </c>
      <c r="E8367">
        <f>TEST_DATA!E8367</f>
        <v/>
      </c>
    </row>
    <row r="8368">
      <c r="A8368">
        <f>TEST_DATA!A8368</f>
        <v/>
      </c>
      <c r="B8368">
        <f>TEST_DATA!B8368</f>
        <v/>
      </c>
      <c r="C8368">
        <f>TEST_DATA!C8368</f>
        <v/>
      </c>
      <c r="D8368">
        <f>TEST_DATA!D8368</f>
        <v/>
      </c>
      <c r="E8368">
        <f>TEST_DATA!E8368</f>
        <v/>
      </c>
    </row>
    <row r="8369">
      <c r="A8369">
        <f>TEST_DATA!A8369</f>
        <v/>
      </c>
      <c r="B8369">
        <f>TEST_DATA!B8369</f>
        <v/>
      </c>
      <c r="C8369">
        <f>TEST_DATA!C8369</f>
        <v/>
      </c>
      <c r="D8369">
        <f>TEST_DATA!D8369</f>
        <v/>
      </c>
      <c r="E8369">
        <f>TEST_DATA!E8369</f>
        <v/>
      </c>
    </row>
    <row r="8370">
      <c r="A8370">
        <f>TEST_DATA!A8370</f>
        <v/>
      </c>
      <c r="B8370">
        <f>TEST_DATA!B8370</f>
        <v/>
      </c>
      <c r="C8370">
        <f>TEST_DATA!C8370</f>
        <v/>
      </c>
      <c r="D8370">
        <f>TEST_DATA!D8370</f>
        <v/>
      </c>
      <c r="E8370">
        <f>TEST_DATA!E8370</f>
        <v/>
      </c>
    </row>
    <row r="8371">
      <c r="A8371">
        <f>TEST_DATA!A8371</f>
        <v/>
      </c>
      <c r="B8371">
        <f>TEST_DATA!B8371</f>
        <v/>
      </c>
      <c r="C8371">
        <f>TEST_DATA!C8371</f>
        <v/>
      </c>
      <c r="D8371">
        <f>TEST_DATA!D8371</f>
        <v/>
      </c>
      <c r="E8371">
        <f>TEST_DATA!E8371</f>
        <v/>
      </c>
    </row>
    <row r="8372">
      <c r="A8372">
        <f>TEST_DATA!A8372</f>
        <v/>
      </c>
      <c r="B8372">
        <f>TEST_DATA!B8372</f>
        <v/>
      </c>
      <c r="C8372">
        <f>TEST_DATA!C8372</f>
        <v/>
      </c>
      <c r="D8372">
        <f>TEST_DATA!D8372</f>
        <v/>
      </c>
      <c r="E8372">
        <f>TEST_DATA!E8372</f>
        <v/>
      </c>
    </row>
    <row r="8373">
      <c r="A8373">
        <f>TEST_DATA!A8373</f>
        <v/>
      </c>
      <c r="B8373">
        <f>TEST_DATA!B8373</f>
        <v/>
      </c>
      <c r="C8373">
        <f>TEST_DATA!C8373</f>
        <v/>
      </c>
      <c r="D8373">
        <f>TEST_DATA!D8373</f>
        <v/>
      </c>
      <c r="E8373">
        <f>TEST_DATA!E8373</f>
        <v/>
      </c>
    </row>
    <row r="8374">
      <c r="A8374">
        <f>TEST_DATA!A8374</f>
        <v/>
      </c>
      <c r="B8374">
        <f>TEST_DATA!B8374</f>
        <v/>
      </c>
      <c r="C8374">
        <f>TEST_DATA!C8374</f>
        <v/>
      </c>
      <c r="D8374">
        <f>TEST_DATA!D8374</f>
        <v/>
      </c>
      <c r="E8374">
        <f>TEST_DATA!E8374</f>
        <v/>
      </c>
    </row>
    <row r="8375">
      <c r="A8375">
        <f>TEST_DATA!A8375</f>
        <v/>
      </c>
      <c r="B8375">
        <f>TEST_DATA!B8375</f>
        <v/>
      </c>
      <c r="C8375">
        <f>TEST_DATA!C8375</f>
        <v/>
      </c>
      <c r="D8375">
        <f>TEST_DATA!D8375</f>
        <v/>
      </c>
      <c r="E8375">
        <f>TEST_DATA!E8375</f>
        <v/>
      </c>
    </row>
    <row r="8376">
      <c r="A8376">
        <f>TEST_DATA!A8376</f>
        <v/>
      </c>
      <c r="B8376">
        <f>TEST_DATA!B8376</f>
        <v/>
      </c>
      <c r="C8376">
        <f>TEST_DATA!C8376</f>
        <v/>
      </c>
      <c r="D8376">
        <f>TEST_DATA!D8376</f>
        <v/>
      </c>
      <c r="E8376">
        <f>TEST_DATA!E8376</f>
        <v/>
      </c>
    </row>
    <row r="8377">
      <c r="A8377">
        <f>TEST_DATA!A8377</f>
        <v/>
      </c>
      <c r="B8377">
        <f>TEST_DATA!B8377</f>
        <v/>
      </c>
      <c r="C8377">
        <f>TEST_DATA!C8377</f>
        <v/>
      </c>
      <c r="D8377">
        <f>TEST_DATA!D8377</f>
        <v/>
      </c>
      <c r="E8377">
        <f>TEST_DATA!E8377</f>
        <v/>
      </c>
    </row>
    <row r="8378">
      <c r="A8378">
        <f>TEST_DATA!A8378</f>
        <v/>
      </c>
      <c r="B8378">
        <f>TEST_DATA!B8378</f>
        <v/>
      </c>
      <c r="C8378">
        <f>TEST_DATA!C8378</f>
        <v/>
      </c>
      <c r="D8378">
        <f>TEST_DATA!D8378</f>
        <v/>
      </c>
      <c r="E8378">
        <f>TEST_DATA!E8378</f>
        <v/>
      </c>
    </row>
    <row r="8379">
      <c r="A8379">
        <f>TEST_DATA!A8379</f>
        <v/>
      </c>
      <c r="B8379">
        <f>TEST_DATA!B8379</f>
        <v/>
      </c>
      <c r="C8379">
        <f>TEST_DATA!C8379</f>
        <v/>
      </c>
      <c r="D8379">
        <f>TEST_DATA!D8379</f>
        <v/>
      </c>
      <c r="E8379">
        <f>TEST_DATA!E8379</f>
        <v/>
      </c>
    </row>
    <row r="8380">
      <c r="A8380">
        <f>TEST_DATA!A8380</f>
        <v/>
      </c>
      <c r="B8380">
        <f>TEST_DATA!B8380</f>
        <v/>
      </c>
      <c r="C8380">
        <f>TEST_DATA!C8380</f>
        <v/>
      </c>
      <c r="D8380">
        <f>TEST_DATA!D8380</f>
        <v/>
      </c>
      <c r="E8380">
        <f>TEST_DATA!E8380</f>
        <v/>
      </c>
    </row>
    <row r="8381">
      <c r="A8381">
        <f>TEST_DATA!A8381</f>
        <v/>
      </c>
      <c r="B8381">
        <f>TEST_DATA!B8381</f>
        <v/>
      </c>
      <c r="C8381">
        <f>TEST_DATA!C8381</f>
        <v/>
      </c>
      <c r="D8381">
        <f>TEST_DATA!D8381</f>
        <v/>
      </c>
      <c r="E8381">
        <f>TEST_DATA!E8381</f>
        <v/>
      </c>
    </row>
    <row r="8382">
      <c r="A8382">
        <f>TEST_DATA!A8382</f>
        <v/>
      </c>
      <c r="B8382">
        <f>TEST_DATA!B8382</f>
        <v/>
      </c>
      <c r="C8382">
        <f>TEST_DATA!C8382</f>
        <v/>
      </c>
      <c r="D8382">
        <f>TEST_DATA!D8382</f>
        <v/>
      </c>
      <c r="E8382">
        <f>TEST_DATA!E8382</f>
        <v/>
      </c>
    </row>
    <row r="8383">
      <c r="A8383">
        <f>TEST_DATA!A8383</f>
        <v/>
      </c>
      <c r="B8383">
        <f>TEST_DATA!B8383</f>
        <v/>
      </c>
      <c r="C8383">
        <f>TEST_DATA!C8383</f>
        <v/>
      </c>
      <c r="D8383">
        <f>TEST_DATA!D8383</f>
        <v/>
      </c>
      <c r="E8383">
        <f>TEST_DATA!E8383</f>
        <v/>
      </c>
    </row>
    <row r="8384">
      <c r="A8384">
        <f>TEST_DATA!A8384</f>
        <v/>
      </c>
      <c r="B8384">
        <f>TEST_DATA!B8384</f>
        <v/>
      </c>
      <c r="C8384">
        <f>TEST_DATA!C8384</f>
        <v/>
      </c>
      <c r="D8384">
        <f>TEST_DATA!D8384</f>
        <v/>
      </c>
      <c r="E8384">
        <f>TEST_DATA!E8384</f>
        <v/>
      </c>
    </row>
    <row r="8385">
      <c r="A8385">
        <f>TEST_DATA!A8385</f>
        <v/>
      </c>
      <c r="B8385">
        <f>TEST_DATA!B8385</f>
        <v/>
      </c>
      <c r="C8385">
        <f>TEST_DATA!C8385</f>
        <v/>
      </c>
      <c r="D8385">
        <f>TEST_DATA!D8385</f>
        <v/>
      </c>
      <c r="E8385">
        <f>TEST_DATA!E8385</f>
        <v/>
      </c>
    </row>
    <row r="8386">
      <c r="A8386">
        <f>TEST_DATA!A8386</f>
        <v/>
      </c>
      <c r="B8386">
        <f>TEST_DATA!B8386</f>
        <v/>
      </c>
      <c r="C8386">
        <f>TEST_DATA!C8386</f>
        <v/>
      </c>
      <c r="D8386">
        <f>TEST_DATA!D8386</f>
        <v/>
      </c>
      <c r="E8386">
        <f>TEST_DATA!E8386</f>
        <v/>
      </c>
    </row>
    <row r="8387">
      <c r="A8387">
        <f>TEST_DATA!A8387</f>
        <v/>
      </c>
      <c r="B8387">
        <f>TEST_DATA!B8387</f>
        <v/>
      </c>
      <c r="C8387">
        <f>TEST_DATA!C8387</f>
        <v/>
      </c>
      <c r="D8387">
        <f>TEST_DATA!D8387</f>
        <v/>
      </c>
      <c r="E8387">
        <f>TEST_DATA!E8387</f>
        <v/>
      </c>
    </row>
    <row r="8388">
      <c r="A8388">
        <f>TEST_DATA!A8388</f>
        <v/>
      </c>
      <c r="B8388">
        <f>TEST_DATA!B8388</f>
        <v/>
      </c>
      <c r="C8388">
        <f>TEST_DATA!C8388</f>
        <v/>
      </c>
      <c r="D8388">
        <f>TEST_DATA!D8388</f>
        <v/>
      </c>
      <c r="E8388">
        <f>TEST_DATA!E8388</f>
        <v/>
      </c>
    </row>
    <row r="8389">
      <c r="A8389">
        <f>TEST_DATA!A8389</f>
        <v/>
      </c>
      <c r="B8389">
        <f>TEST_DATA!B8389</f>
        <v/>
      </c>
      <c r="C8389">
        <f>TEST_DATA!C8389</f>
        <v/>
      </c>
      <c r="D8389">
        <f>TEST_DATA!D8389</f>
        <v/>
      </c>
      <c r="E8389">
        <f>TEST_DATA!E8389</f>
        <v/>
      </c>
    </row>
    <row r="8390">
      <c r="A8390">
        <f>TEST_DATA!A8390</f>
        <v/>
      </c>
      <c r="B8390">
        <f>TEST_DATA!B8390</f>
        <v/>
      </c>
      <c r="C8390">
        <f>TEST_DATA!C8390</f>
        <v/>
      </c>
      <c r="D8390">
        <f>TEST_DATA!D8390</f>
        <v/>
      </c>
      <c r="E8390">
        <f>TEST_DATA!E8390</f>
        <v/>
      </c>
    </row>
    <row r="8391">
      <c r="A8391">
        <f>TEST_DATA!A8391</f>
        <v/>
      </c>
      <c r="B8391">
        <f>TEST_DATA!B8391</f>
        <v/>
      </c>
      <c r="C8391">
        <f>TEST_DATA!C8391</f>
        <v/>
      </c>
      <c r="D8391">
        <f>TEST_DATA!D8391</f>
        <v/>
      </c>
      <c r="E8391">
        <f>TEST_DATA!E8391</f>
        <v/>
      </c>
    </row>
    <row r="8392">
      <c r="A8392">
        <f>TEST_DATA!A8392</f>
        <v/>
      </c>
      <c r="B8392">
        <f>TEST_DATA!B8392</f>
        <v/>
      </c>
      <c r="C8392">
        <f>TEST_DATA!C8392</f>
        <v/>
      </c>
      <c r="D8392">
        <f>TEST_DATA!D8392</f>
        <v/>
      </c>
      <c r="E8392">
        <f>TEST_DATA!E8392</f>
        <v/>
      </c>
    </row>
    <row r="8393">
      <c r="A8393">
        <f>TEST_DATA!A8393</f>
        <v/>
      </c>
      <c r="B8393">
        <f>TEST_DATA!B8393</f>
        <v/>
      </c>
      <c r="C8393">
        <f>TEST_DATA!C8393</f>
        <v/>
      </c>
      <c r="D8393">
        <f>TEST_DATA!D8393</f>
        <v/>
      </c>
      <c r="E8393">
        <f>TEST_DATA!E8393</f>
        <v/>
      </c>
    </row>
    <row r="8394">
      <c r="A8394">
        <f>TEST_DATA!A8394</f>
        <v/>
      </c>
      <c r="B8394">
        <f>TEST_DATA!B8394</f>
        <v/>
      </c>
      <c r="C8394">
        <f>TEST_DATA!C8394</f>
        <v/>
      </c>
      <c r="D8394">
        <f>TEST_DATA!D8394</f>
        <v/>
      </c>
      <c r="E8394">
        <f>TEST_DATA!E8394</f>
        <v/>
      </c>
    </row>
    <row r="8395">
      <c r="A8395">
        <f>TEST_DATA!A8395</f>
        <v/>
      </c>
      <c r="B8395">
        <f>TEST_DATA!B8395</f>
        <v/>
      </c>
      <c r="C8395">
        <f>TEST_DATA!C8395</f>
        <v/>
      </c>
      <c r="D8395">
        <f>TEST_DATA!D8395</f>
        <v/>
      </c>
      <c r="E8395">
        <f>TEST_DATA!E8395</f>
        <v/>
      </c>
    </row>
    <row r="8396">
      <c r="A8396">
        <f>TEST_DATA!A8396</f>
        <v/>
      </c>
      <c r="B8396">
        <f>TEST_DATA!B8396</f>
        <v/>
      </c>
      <c r="C8396">
        <f>TEST_DATA!C8396</f>
        <v/>
      </c>
      <c r="D8396">
        <f>TEST_DATA!D8396</f>
        <v/>
      </c>
      <c r="E8396">
        <f>TEST_DATA!E8396</f>
        <v/>
      </c>
    </row>
    <row r="8397">
      <c r="A8397">
        <f>TEST_DATA!A8397</f>
        <v/>
      </c>
      <c r="B8397">
        <f>TEST_DATA!B8397</f>
        <v/>
      </c>
      <c r="C8397">
        <f>TEST_DATA!C8397</f>
        <v/>
      </c>
      <c r="D8397">
        <f>TEST_DATA!D8397</f>
        <v/>
      </c>
      <c r="E8397">
        <f>TEST_DATA!E8397</f>
        <v/>
      </c>
    </row>
    <row r="8398">
      <c r="A8398">
        <f>TEST_DATA!A8398</f>
        <v/>
      </c>
      <c r="B8398">
        <f>TEST_DATA!B8398</f>
        <v/>
      </c>
      <c r="C8398">
        <f>TEST_DATA!C8398</f>
        <v/>
      </c>
      <c r="D8398">
        <f>TEST_DATA!D8398</f>
        <v/>
      </c>
      <c r="E8398">
        <f>TEST_DATA!E8398</f>
        <v/>
      </c>
    </row>
    <row r="8399">
      <c r="A8399">
        <f>TEST_DATA!A8399</f>
        <v/>
      </c>
      <c r="B8399">
        <f>TEST_DATA!B8399</f>
        <v/>
      </c>
      <c r="C8399">
        <f>TEST_DATA!C8399</f>
        <v/>
      </c>
      <c r="D8399">
        <f>TEST_DATA!D8399</f>
        <v/>
      </c>
      <c r="E8399">
        <f>TEST_DATA!E8399</f>
        <v/>
      </c>
    </row>
    <row r="8400">
      <c r="A8400">
        <f>TEST_DATA!A8400</f>
        <v/>
      </c>
      <c r="B8400">
        <f>TEST_DATA!B8400</f>
        <v/>
      </c>
      <c r="C8400">
        <f>TEST_DATA!C8400</f>
        <v/>
      </c>
      <c r="D8400">
        <f>TEST_DATA!D8400</f>
        <v/>
      </c>
      <c r="E8400">
        <f>TEST_DATA!E8400</f>
        <v/>
      </c>
    </row>
    <row r="8401">
      <c r="A8401">
        <f>TEST_DATA!A8401</f>
        <v/>
      </c>
      <c r="B8401">
        <f>TEST_DATA!B8401</f>
        <v/>
      </c>
      <c r="C8401">
        <f>TEST_DATA!C8401</f>
        <v/>
      </c>
      <c r="D8401">
        <f>TEST_DATA!D8401</f>
        <v/>
      </c>
      <c r="E8401">
        <f>TEST_DATA!E8401</f>
        <v/>
      </c>
    </row>
    <row r="8402">
      <c r="A8402">
        <f>TEST_DATA!A8402</f>
        <v/>
      </c>
      <c r="B8402">
        <f>TEST_DATA!B8402</f>
        <v/>
      </c>
      <c r="C8402">
        <f>TEST_DATA!C8402</f>
        <v/>
      </c>
      <c r="D8402">
        <f>TEST_DATA!D8402</f>
        <v/>
      </c>
      <c r="E8402">
        <f>TEST_DATA!E8402</f>
        <v/>
      </c>
    </row>
    <row r="8403">
      <c r="A8403">
        <f>TEST_DATA!A8403</f>
        <v/>
      </c>
      <c r="B8403">
        <f>TEST_DATA!B8403</f>
        <v/>
      </c>
      <c r="C8403">
        <f>TEST_DATA!C8403</f>
        <v/>
      </c>
      <c r="D8403">
        <f>TEST_DATA!D8403</f>
        <v/>
      </c>
      <c r="E8403">
        <f>TEST_DATA!E8403</f>
        <v/>
      </c>
    </row>
    <row r="8404">
      <c r="A8404">
        <f>TEST_DATA!A8404</f>
        <v/>
      </c>
      <c r="B8404">
        <f>TEST_DATA!B8404</f>
        <v/>
      </c>
      <c r="C8404">
        <f>TEST_DATA!C8404</f>
        <v/>
      </c>
      <c r="D8404">
        <f>TEST_DATA!D8404</f>
        <v/>
      </c>
      <c r="E8404">
        <f>TEST_DATA!E8404</f>
        <v/>
      </c>
    </row>
    <row r="8405">
      <c r="A8405">
        <f>TEST_DATA!A8405</f>
        <v/>
      </c>
      <c r="B8405">
        <f>TEST_DATA!B8405</f>
        <v/>
      </c>
      <c r="C8405">
        <f>TEST_DATA!C8405</f>
        <v/>
      </c>
      <c r="D8405">
        <f>TEST_DATA!D8405</f>
        <v/>
      </c>
      <c r="E8405">
        <f>TEST_DATA!E8405</f>
        <v/>
      </c>
    </row>
    <row r="8406">
      <c r="A8406">
        <f>TEST_DATA!A8406</f>
        <v/>
      </c>
      <c r="B8406">
        <f>TEST_DATA!B8406</f>
        <v/>
      </c>
      <c r="C8406">
        <f>TEST_DATA!C8406</f>
        <v/>
      </c>
      <c r="D8406">
        <f>TEST_DATA!D8406</f>
        <v/>
      </c>
      <c r="E8406">
        <f>TEST_DATA!E8406</f>
        <v/>
      </c>
    </row>
    <row r="8407">
      <c r="A8407">
        <f>TEST_DATA!A8407</f>
        <v/>
      </c>
      <c r="B8407">
        <f>TEST_DATA!B8407</f>
        <v/>
      </c>
      <c r="C8407">
        <f>TEST_DATA!C8407</f>
        <v/>
      </c>
      <c r="D8407">
        <f>TEST_DATA!D8407</f>
        <v/>
      </c>
      <c r="E8407">
        <f>TEST_DATA!E8407</f>
        <v/>
      </c>
    </row>
    <row r="8408">
      <c r="A8408">
        <f>TEST_DATA!A8408</f>
        <v/>
      </c>
      <c r="B8408">
        <f>TEST_DATA!B8408</f>
        <v/>
      </c>
      <c r="C8408">
        <f>TEST_DATA!C8408</f>
        <v/>
      </c>
      <c r="D8408">
        <f>TEST_DATA!D8408</f>
        <v/>
      </c>
      <c r="E8408">
        <f>TEST_DATA!E8408</f>
        <v/>
      </c>
    </row>
    <row r="8409">
      <c r="A8409">
        <f>TEST_DATA!A8409</f>
        <v/>
      </c>
      <c r="B8409">
        <f>TEST_DATA!B8409</f>
        <v/>
      </c>
      <c r="C8409">
        <f>TEST_DATA!C8409</f>
        <v/>
      </c>
      <c r="D8409">
        <f>TEST_DATA!D8409</f>
        <v/>
      </c>
      <c r="E8409">
        <f>TEST_DATA!E8409</f>
        <v/>
      </c>
    </row>
    <row r="8410">
      <c r="A8410">
        <f>TEST_DATA!A8410</f>
        <v/>
      </c>
      <c r="B8410">
        <f>TEST_DATA!B8410</f>
        <v/>
      </c>
      <c r="C8410">
        <f>TEST_DATA!C8410</f>
        <v/>
      </c>
      <c r="D8410">
        <f>TEST_DATA!D8410</f>
        <v/>
      </c>
      <c r="E8410">
        <f>TEST_DATA!E8410</f>
        <v/>
      </c>
    </row>
    <row r="8411">
      <c r="A8411">
        <f>TEST_DATA!A8411</f>
        <v/>
      </c>
      <c r="B8411">
        <f>TEST_DATA!B8411</f>
        <v/>
      </c>
      <c r="C8411">
        <f>TEST_DATA!C8411</f>
        <v/>
      </c>
      <c r="D8411">
        <f>TEST_DATA!D8411</f>
        <v/>
      </c>
      <c r="E8411">
        <f>TEST_DATA!E8411</f>
        <v/>
      </c>
    </row>
    <row r="8412">
      <c r="A8412">
        <f>TEST_DATA!A8412</f>
        <v/>
      </c>
      <c r="B8412">
        <f>TEST_DATA!B8412</f>
        <v/>
      </c>
      <c r="C8412">
        <f>TEST_DATA!C8412</f>
        <v/>
      </c>
      <c r="D8412">
        <f>TEST_DATA!D8412</f>
        <v/>
      </c>
      <c r="E8412">
        <f>TEST_DATA!E8412</f>
        <v/>
      </c>
    </row>
    <row r="8413">
      <c r="A8413">
        <f>TEST_DATA!A8413</f>
        <v/>
      </c>
      <c r="B8413">
        <f>TEST_DATA!B8413</f>
        <v/>
      </c>
      <c r="C8413">
        <f>TEST_DATA!C8413</f>
        <v/>
      </c>
      <c r="D8413">
        <f>TEST_DATA!D8413</f>
        <v/>
      </c>
      <c r="E8413">
        <f>TEST_DATA!E8413</f>
        <v/>
      </c>
    </row>
    <row r="8414">
      <c r="A8414">
        <f>TEST_DATA!A8414</f>
        <v/>
      </c>
      <c r="B8414">
        <f>TEST_DATA!B8414</f>
        <v/>
      </c>
      <c r="C8414">
        <f>TEST_DATA!C8414</f>
        <v/>
      </c>
      <c r="D8414">
        <f>TEST_DATA!D8414</f>
        <v/>
      </c>
      <c r="E8414">
        <f>TEST_DATA!E8414</f>
        <v/>
      </c>
    </row>
    <row r="8415">
      <c r="A8415">
        <f>TEST_DATA!A8415</f>
        <v/>
      </c>
      <c r="B8415">
        <f>TEST_DATA!B8415</f>
        <v/>
      </c>
      <c r="C8415">
        <f>TEST_DATA!C8415</f>
        <v/>
      </c>
      <c r="D8415">
        <f>TEST_DATA!D8415</f>
        <v/>
      </c>
      <c r="E8415">
        <f>TEST_DATA!E8415</f>
        <v/>
      </c>
    </row>
    <row r="8416">
      <c r="A8416">
        <f>TEST_DATA!A8416</f>
        <v/>
      </c>
      <c r="B8416">
        <f>TEST_DATA!B8416</f>
        <v/>
      </c>
      <c r="C8416">
        <f>TEST_DATA!C8416</f>
        <v/>
      </c>
      <c r="D8416">
        <f>TEST_DATA!D8416</f>
        <v/>
      </c>
      <c r="E8416">
        <f>TEST_DATA!E8416</f>
        <v/>
      </c>
    </row>
    <row r="8417">
      <c r="A8417">
        <f>TEST_DATA!A8417</f>
        <v/>
      </c>
      <c r="B8417">
        <f>TEST_DATA!B8417</f>
        <v/>
      </c>
      <c r="C8417">
        <f>TEST_DATA!C8417</f>
        <v/>
      </c>
      <c r="D8417">
        <f>TEST_DATA!D8417</f>
        <v/>
      </c>
      <c r="E8417">
        <f>TEST_DATA!E8417</f>
        <v/>
      </c>
    </row>
    <row r="8418">
      <c r="A8418">
        <f>TEST_DATA!A8418</f>
        <v/>
      </c>
      <c r="B8418">
        <f>TEST_DATA!B8418</f>
        <v/>
      </c>
      <c r="C8418">
        <f>TEST_DATA!C8418</f>
        <v/>
      </c>
      <c r="D8418">
        <f>TEST_DATA!D8418</f>
        <v/>
      </c>
      <c r="E8418">
        <f>TEST_DATA!E8418</f>
        <v/>
      </c>
    </row>
    <row r="8419">
      <c r="A8419">
        <f>TEST_DATA!A8419</f>
        <v/>
      </c>
      <c r="B8419">
        <f>TEST_DATA!B8419</f>
        <v/>
      </c>
      <c r="C8419">
        <f>TEST_DATA!C8419</f>
        <v/>
      </c>
      <c r="D8419">
        <f>TEST_DATA!D8419</f>
        <v/>
      </c>
      <c r="E8419">
        <f>TEST_DATA!E8419</f>
        <v/>
      </c>
    </row>
    <row r="8420">
      <c r="A8420">
        <f>TEST_DATA!A8420</f>
        <v/>
      </c>
      <c r="B8420">
        <f>TEST_DATA!B8420</f>
        <v/>
      </c>
      <c r="C8420">
        <f>TEST_DATA!C8420</f>
        <v/>
      </c>
      <c r="D8420">
        <f>TEST_DATA!D8420</f>
        <v/>
      </c>
      <c r="E8420">
        <f>TEST_DATA!E8420</f>
        <v/>
      </c>
    </row>
    <row r="8421">
      <c r="A8421">
        <f>TEST_DATA!A8421</f>
        <v/>
      </c>
      <c r="B8421">
        <f>TEST_DATA!B8421</f>
        <v/>
      </c>
      <c r="C8421">
        <f>TEST_DATA!C8421</f>
        <v/>
      </c>
      <c r="D8421">
        <f>TEST_DATA!D8421</f>
        <v/>
      </c>
      <c r="E8421">
        <f>TEST_DATA!E8421</f>
        <v/>
      </c>
    </row>
    <row r="8422">
      <c r="A8422">
        <f>TEST_DATA!A8422</f>
        <v/>
      </c>
      <c r="B8422">
        <f>TEST_DATA!B8422</f>
        <v/>
      </c>
      <c r="C8422">
        <f>TEST_DATA!C8422</f>
        <v/>
      </c>
      <c r="D8422">
        <f>TEST_DATA!D8422</f>
        <v/>
      </c>
      <c r="E8422">
        <f>TEST_DATA!E8422</f>
        <v/>
      </c>
    </row>
    <row r="8423">
      <c r="A8423">
        <f>TEST_DATA!A8423</f>
        <v/>
      </c>
      <c r="B8423">
        <f>TEST_DATA!B8423</f>
        <v/>
      </c>
      <c r="C8423">
        <f>TEST_DATA!C8423</f>
        <v/>
      </c>
      <c r="D8423">
        <f>TEST_DATA!D8423</f>
        <v/>
      </c>
      <c r="E8423">
        <f>TEST_DATA!E8423</f>
        <v/>
      </c>
    </row>
    <row r="8424">
      <c r="A8424">
        <f>TEST_DATA!A8424</f>
        <v/>
      </c>
      <c r="B8424">
        <f>TEST_DATA!B8424</f>
        <v/>
      </c>
      <c r="C8424">
        <f>TEST_DATA!C8424</f>
        <v/>
      </c>
      <c r="D8424">
        <f>TEST_DATA!D8424</f>
        <v/>
      </c>
      <c r="E8424">
        <f>TEST_DATA!E8424</f>
        <v/>
      </c>
    </row>
    <row r="8425">
      <c r="A8425">
        <f>TEST_DATA!A8425</f>
        <v/>
      </c>
      <c r="B8425">
        <f>TEST_DATA!B8425</f>
        <v/>
      </c>
      <c r="C8425">
        <f>TEST_DATA!C8425</f>
        <v/>
      </c>
      <c r="D8425">
        <f>TEST_DATA!D8425</f>
        <v/>
      </c>
      <c r="E8425">
        <f>TEST_DATA!E8425</f>
        <v/>
      </c>
    </row>
    <row r="8426">
      <c r="A8426">
        <f>TEST_DATA!A8426</f>
        <v/>
      </c>
      <c r="B8426">
        <f>TEST_DATA!B8426</f>
        <v/>
      </c>
      <c r="C8426">
        <f>TEST_DATA!C8426</f>
        <v/>
      </c>
      <c r="D8426">
        <f>TEST_DATA!D8426</f>
        <v/>
      </c>
      <c r="E8426">
        <f>TEST_DATA!E8426</f>
        <v/>
      </c>
    </row>
    <row r="8427">
      <c r="A8427">
        <f>TEST_DATA!A8427</f>
        <v/>
      </c>
      <c r="B8427">
        <f>TEST_DATA!B8427</f>
        <v/>
      </c>
      <c r="C8427">
        <f>TEST_DATA!C8427</f>
        <v/>
      </c>
      <c r="D8427">
        <f>TEST_DATA!D8427</f>
        <v/>
      </c>
      <c r="E8427">
        <f>TEST_DATA!E8427</f>
        <v/>
      </c>
    </row>
    <row r="8428">
      <c r="A8428">
        <f>TEST_DATA!A8428</f>
        <v/>
      </c>
      <c r="B8428">
        <f>TEST_DATA!B8428</f>
        <v/>
      </c>
      <c r="C8428">
        <f>TEST_DATA!C8428</f>
        <v/>
      </c>
      <c r="D8428">
        <f>TEST_DATA!D8428</f>
        <v/>
      </c>
      <c r="E8428">
        <f>TEST_DATA!E8428</f>
        <v/>
      </c>
    </row>
    <row r="8429">
      <c r="A8429">
        <f>TEST_DATA!A8429</f>
        <v/>
      </c>
      <c r="B8429">
        <f>TEST_DATA!B8429</f>
        <v/>
      </c>
      <c r="C8429">
        <f>TEST_DATA!C8429</f>
        <v/>
      </c>
      <c r="D8429">
        <f>TEST_DATA!D8429</f>
        <v/>
      </c>
      <c r="E8429">
        <f>TEST_DATA!E8429</f>
        <v/>
      </c>
    </row>
    <row r="8430">
      <c r="A8430">
        <f>TEST_DATA!A8430</f>
        <v/>
      </c>
      <c r="B8430">
        <f>TEST_DATA!B8430</f>
        <v/>
      </c>
      <c r="C8430">
        <f>TEST_DATA!C8430</f>
        <v/>
      </c>
      <c r="D8430">
        <f>TEST_DATA!D8430</f>
        <v/>
      </c>
      <c r="E8430">
        <f>TEST_DATA!E8430</f>
        <v/>
      </c>
    </row>
    <row r="8431">
      <c r="A8431">
        <f>TEST_DATA!A8431</f>
        <v/>
      </c>
      <c r="B8431">
        <f>TEST_DATA!B8431</f>
        <v/>
      </c>
      <c r="C8431">
        <f>TEST_DATA!C8431</f>
        <v/>
      </c>
      <c r="D8431">
        <f>TEST_DATA!D8431</f>
        <v/>
      </c>
      <c r="E8431">
        <f>TEST_DATA!E8431</f>
        <v/>
      </c>
    </row>
    <row r="8432">
      <c r="A8432">
        <f>TEST_DATA!A8432</f>
        <v/>
      </c>
      <c r="B8432">
        <f>TEST_DATA!B8432</f>
        <v/>
      </c>
      <c r="C8432">
        <f>TEST_DATA!C8432</f>
        <v/>
      </c>
      <c r="D8432">
        <f>TEST_DATA!D8432</f>
        <v/>
      </c>
      <c r="E8432">
        <f>TEST_DATA!E8432</f>
        <v/>
      </c>
    </row>
    <row r="8433">
      <c r="A8433">
        <f>TEST_DATA!A8433</f>
        <v/>
      </c>
      <c r="B8433">
        <f>TEST_DATA!B8433</f>
        <v/>
      </c>
      <c r="C8433">
        <f>TEST_DATA!C8433</f>
        <v/>
      </c>
      <c r="D8433">
        <f>TEST_DATA!D8433</f>
        <v/>
      </c>
      <c r="E8433">
        <f>TEST_DATA!E8433</f>
        <v/>
      </c>
    </row>
    <row r="8434">
      <c r="A8434">
        <f>TEST_DATA!A8434</f>
        <v/>
      </c>
      <c r="B8434">
        <f>TEST_DATA!B8434</f>
        <v/>
      </c>
      <c r="C8434">
        <f>TEST_DATA!C8434</f>
        <v/>
      </c>
      <c r="D8434">
        <f>TEST_DATA!D8434</f>
        <v/>
      </c>
      <c r="E8434">
        <f>TEST_DATA!E8434</f>
        <v/>
      </c>
    </row>
    <row r="8435">
      <c r="A8435">
        <f>TEST_DATA!A8435</f>
        <v/>
      </c>
      <c r="B8435">
        <f>TEST_DATA!B8435</f>
        <v/>
      </c>
      <c r="C8435">
        <f>TEST_DATA!C8435</f>
        <v/>
      </c>
      <c r="D8435">
        <f>TEST_DATA!D8435</f>
        <v/>
      </c>
      <c r="E8435">
        <f>TEST_DATA!E8435</f>
        <v/>
      </c>
    </row>
    <row r="8436">
      <c r="A8436">
        <f>TEST_DATA!A8436</f>
        <v/>
      </c>
      <c r="B8436">
        <f>TEST_DATA!B8436</f>
        <v/>
      </c>
      <c r="C8436">
        <f>TEST_DATA!C8436</f>
        <v/>
      </c>
      <c r="D8436">
        <f>TEST_DATA!D8436</f>
        <v/>
      </c>
      <c r="E8436">
        <f>TEST_DATA!E8436</f>
        <v/>
      </c>
    </row>
    <row r="8437">
      <c r="A8437">
        <f>TEST_DATA!A8437</f>
        <v/>
      </c>
      <c r="B8437">
        <f>TEST_DATA!B8437</f>
        <v/>
      </c>
      <c r="C8437">
        <f>TEST_DATA!C8437</f>
        <v/>
      </c>
      <c r="D8437">
        <f>TEST_DATA!D8437</f>
        <v/>
      </c>
      <c r="E8437">
        <f>TEST_DATA!E8437</f>
        <v/>
      </c>
    </row>
    <row r="8438">
      <c r="A8438">
        <f>TEST_DATA!A8438</f>
        <v/>
      </c>
      <c r="B8438">
        <f>TEST_DATA!B8438</f>
        <v/>
      </c>
      <c r="C8438">
        <f>TEST_DATA!C8438</f>
        <v/>
      </c>
      <c r="D8438">
        <f>TEST_DATA!D8438</f>
        <v/>
      </c>
      <c r="E8438">
        <f>TEST_DATA!E8438</f>
        <v/>
      </c>
    </row>
    <row r="8439">
      <c r="A8439">
        <f>TEST_DATA!A8439</f>
        <v/>
      </c>
      <c r="B8439">
        <f>TEST_DATA!B8439</f>
        <v/>
      </c>
      <c r="C8439">
        <f>TEST_DATA!C8439</f>
        <v/>
      </c>
      <c r="D8439">
        <f>TEST_DATA!D8439</f>
        <v/>
      </c>
      <c r="E8439">
        <f>TEST_DATA!E8439</f>
        <v/>
      </c>
    </row>
    <row r="8440">
      <c r="A8440">
        <f>TEST_DATA!A8440</f>
        <v/>
      </c>
      <c r="B8440">
        <f>TEST_DATA!B8440</f>
        <v/>
      </c>
      <c r="C8440">
        <f>TEST_DATA!C8440</f>
        <v/>
      </c>
      <c r="D8440">
        <f>TEST_DATA!D8440</f>
        <v/>
      </c>
      <c r="E8440">
        <f>TEST_DATA!E8440</f>
        <v/>
      </c>
    </row>
    <row r="8441">
      <c r="A8441">
        <f>TEST_DATA!A8441</f>
        <v/>
      </c>
      <c r="B8441">
        <f>TEST_DATA!B8441</f>
        <v/>
      </c>
      <c r="C8441">
        <f>TEST_DATA!C8441</f>
        <v/>
      </c>
      <c r="D8441">
        <f>TEST_DATA!D8441</f>
        <v/>
      </c>
      <c r="E8441">
        <f>TEST_DATA!E8441</f>
        <v/>
      </c>
    </row>
    <row r="8442">
      <c r="A8442">
        <f>TEST_DATA!A8442</f>
        <v/>
      </c>
      <c r="B8442">
        <f>TEST_DATA!B8442</f>
        <v/>
      </c>
      <c r="C8442">
        <f>TEST_DATA!C8442</f>
        <v/>
      </c>
      <c r="D8442">
        <f>TEST_DATA!D8442</f>
        <v/>
      </c>
      <c r="E8442">
        <f>TEST_DATA!E8442</f>
        <v/>
      </c>
    </row>
    <row r="8443">
      <c r="A8443">
        <f>TEST_DATA!A8443</f>
        <v/>
      </c>
      <c r="B8443">
        <f>TEST_DATA!B8443</f>
        <v/>
      </c>
      <c r="C8443">
        <f>TEST_DATA!C8443</f>
        <v/>
      </c>
      <c r="D8443">
        <f>TEST_DATA!D8443</f>
        <v/>
      </c>
      <c r="E8443">
        <f>TEST_DATA!E8443</f>
        <v/>
      </c>
    </row>
    <row r="8444">
      <c r="A8444">
        <f>TEST_DATA!A8444</f>
        <v/>
      </c>
      <c r="B8444">
        <f>TEST_DATA!B8444</f>
        <v/>
      </c>
      <c r="C8444">
        <f>TEST_DATA!C8444</f>
        <v/>
      </c>
      <c r="D8444">
        <f>TEST_DATA!D8444</f>
        <v/>
      </c>
      <c r="E8444">
        <f>TEST_DATA!E8444</f>
        <v/>
      </c>
    </row>
    <row r="8445">
      <c r="A8445">
        <f>TEST_DATA!A8445</f>
        <v/>
      </c>
      <c r="B8445">
        <f>TEST_DATA!B8445</f>
        <v/>
      </c>
      <c r="C8445">
        <f>TEST_DATA!C8445</f>
        <v/>
      </c>
      <c r="D8445">
        <f>TEST_DATA!D8445</f>
        <v/>
      </c>
      <c r="E8445">
        <f>TEST_DATA!E8445</f>
        <v/>
      </c>
    </row>
    <row r="8446">
      <c r="A8446">
        <f>TEST_DATA!A8446</f>
        <v/>
      </c>
      <c r="B8446">
        <f>TEST_DATA!B8446</f>
        <v/>
      </c>
      <c r="C8446">
        <f>TEST_DATA!C8446</f>
        <v/>
      </c>
      <c r="D8446">
        <f>TEST_DATA!D8446</f>
        <v/>
      </c>
      <c r="E8446">
        <f>TEST_DATA!E8446</f>
        <v/>
      </c>
    </row>
    <row r="8447">
      <c r="A8447">
        <f>TEST_DATA!A8447</f>
        <v/>
      </c>
      <c r="B8447">
        <f>TEST_DATA!B8447</f>
        <v/>
      </c>
      <c r="C8447">
        <f>TEST_DATA!C8447</f>
        <v/>
      </c>
      <c r="D8447">
        <f>TEST_DATA!D8447</f>
        <v/>
      </c>
      <c r="E8447">
        <f>TEST_DATA!E8447</f>
        <v/>
      </c>
    </row>
    <row r="8448">
      <c r="A8448">
        <f>TEST_DATA!A8448</f>
        <v/>
      </c>
      <c r="B8448">
        <f>TEST_DATA!B8448</f>
        <v/>
      </c>
      <c r="C8448">
        <f>TEST_DATA!C8448</f>
        <v/>
      </c>
      <c r="D8448">
        <f>TEST_DATA!D8448</f>
        <v/>
      </c>
      <c r="E8448">
        <f>TEST_DATA!E8448</f>
        <v/>
      </c>
    </row>
    <row r="8449">
      <c r="A8449">
        <f>TEST_DATA!A8449</f>
        <v/>
      </c>
      <c r="B8449">
        <f>TEST_DATA!B8449</f>
        <v/>
      </c>
      <c r="C8449">
        <f>TEST_DATA!C8449</f>
        <v/>
      </c>
      <c r="D8449">
        <f>TEST_DATA!D8449</f>
        <v/>
      </c>
      <c r="E8449">
        <f>TEST_DATA!E8449</f>
        <v/>
      </c>
    </row>
    <row r="8450">
      <c r="A8450">
        <f>TEST_DATA!A8450</f>
        <v/>
      </c>
      <c r="B8450">
        <f>TEST_DATA!B8450</f>
        <v/>
      </c>
      <c r="C8450">
        <f>TEST_DATA!C8450</f>
        <v/>
      </c>
      <c r="D8450">
        <f>TEST_DATA!D8450</f>
        <v/>
      </c>
      <c r="E8450">
        <f>TEST_DATA!E8450</f>
        <v/>
      </c>
    </row>
    <row r="8451">
      <c r="A8451">
        <f>TEST_DATA!A8451</f>
        <v/>
      </c>
      <c r="B8451">
        <f>TEST_DATA!B8451</f>
        <v/>
      </c>
      <c r="C8451">
        <f>TEST_DATA!C8451</f>
        <v/>
      </c>
      <c r="D8451">
        <f>TEST_DATA!D8451</f>
        <v/>
      </c>
      <c r="E8451">
        <f>TEST_DATA!E8451</f>
        <v/>
      </c>
    </row>
    <row r="8452">
      <c r="A8452">
        <f>TEST_DATA!A8452</f>
        <v/>
      </c>
      <c r="B8452">
        <f>TEST_DATA!B8452</f>
        <v/>
      </c>
      <c r="C8452">
        <f>TEST_DATA!C8452</f>
        <v/>
      </c>
      <c r="D8452">
        <f>TEST_DATA!D8452</f>
        <v/>
      </c>
      <c r="E8452">
        <f>TEST_DATA!E8452</f>
        <v/>
      </c>
    </row>
    <row r="8453">
      <c r="A8453">
        <f>TEST_DATA!A8453</f>
        <v/>
      </c>
      <c r="B8453">
        <f>TEST_DATA!B8453</f>
        <v/>
      </c>
      <c r="C8453">
        <f>TEST_DATA!C8453</f>
        <v/>
      </c>
      <c r="D8453">
        <f>TEST_DATA!D8453</f>
        <v/>
      </c>
      <c r="E8453">
        <f>TEST_DATA!E8453</f>
        <v/>
      </c>
    </row>
    <row r="8454">
      <c r="A8454">
        <f>TEST_DATA!A8454</f>
        <v/>
      </c>
      <c r="B8454">
        <f>TEST_DATA!B8454</f>
        <v/>
      </c>
      <c r="C8454">
        <f>TEST_DATA!C8454</f>
        <v/>
      </c>
      <c r="D8454">
        <f>TEST_DATA!D8454</f>
        <v/>
      </c>
      <c r="E8454">
        <f>TEST_DATA!E8454</f>
        <v/>
      </c>
    </row>
    <row r="8455">
      <c r="A8455">
        <f>TEST_DATA!A8455</f>
        <v/>
      </c>
      <c r="B8455">
        <f>TEST_DATA!B8455</f>
        <v/>
      </c>
      <c r="C8455">
        <f>TEST_DATA!C8455</f>
        <v/>
      </c>
      <c r="D8455">
        <f>TEST_DATA!D8455</f>
        <v/>
      </c>
      <c r="E8455">
        <f>TEST_DATA!E8455</f>
        <v/>
      </c>
    </row>
    <row r="8456">
      <c r="A8456">
        <f>TEST_DATA!A8456</f>
        <v/>
      </c>
      <c r="B8456">
        <f>TEST_DATA!B8456</f>
        <v/>
      </c>
      <c r="C8456">
        <f>TEST_DATA!C8456</f>
        <v/>
      </c>
      <c r="D8456">
        <f>TEST_DATA!D8456</f>
        <v/>
      </c>
      <c r="E8456">
        <f>TEST_DATA!E8456</f>
        <v/>
      </c>
    </row>
    <row r="8457">
      <c r="A8457">
        <f>TEST_DATA!A8457</f>
        <v/>
      </c>
      <c r="B8457">
        <f>TEST_DATA!B8457</f>
        <v/>
      </c>
      <c r="C8457">
        <f>TEST_DATA!C8457</f>
        <v/>
      </c>
      <c r="D8457">
        <f>TEST_DATA!D8457</f>
        <v/>
      </c>
      <c r="E8457">
        <f>TEST_DATA!E8457</f>
        <v/>
      </c>
    </row>
    <row r="8458">
      <c r="A8458">
        <f>TEST_DATA!A8458</f>
        <v/>
      </c>
      <c r="B8458">
        <f>TEST_DATA!B8458</f>
        <v/>
      </c>
      <c r="C8458">
        <f>TEST_DATA!C8458</f>
        <v/>
      </c>
      <c r="D8458">
        <f>TEST_DATA!D8458</f>
        <v/>
      </c>
      <c r="E8458">
        <f>TEST_DATA!E8458</f>
        <v/>
      </c>
    </row>
    <row r="8459">
      <c r="A8459">
        <f>TEST_DATA!A8459</f>
        <v/>
      </c>
      <c r="B8459">
        <f>TEST_DATA!B8459</f>
        <v/>
      </c>
      <c r="C8459">
        <f>TEST_DATA!C8459</f>
        <v/>
      </c>
      <c r="D8459">
        <f>TEST_DATA!D8459</f>
        <v/>
      </c>
      <c r="E8459">
        <f>TEST_DATA!E8459</f>
        <v/>
      </c>
    </row>
    <row r="8460">
      <c r="A8460">
        <f>TEST_DATA!A8460</f>
        <v/>
      </c>
      <c r="B8460">
        <f>TEST_DATA!B8460</f>
        <v/>
      </c>
      <c r="C8460">
        <f>TEST_DATA!C8460</f>
        <v/>
      </c>
      <c r="D8460">
        <f>TEST_DATA!D8460</f>
        <v/>
      </c>
      <c r="E8460">
        <f>TEST_DATA!E8460</f>
        <v/>
      </c>
    </row>
    <row r="8461">
      <c r="A8461">
        <f>TEST_DATA!A8461</f>
        <v/>
      </c>
      <c r="B8461">
        <f>TEST_DATA!B8461</f>
        <v/>
      </c>
      <c r="C8461">
        <f>TEST_DATA!C8461</f>
        <v/>
      </c>
      <c r="D8461">
        <f>TEST_DATA!D8461</f>
        <v/>
      </c>
      <c r="E8461">
        <f>TEST_DATA!E8461</f>
        <v/>
      </c>
    </row>
    <row r="8462">
      <c r="A8462">
        <f>TEST_DATA!A8462</f>
        <v/>
      </c>
      <c r="B8462">
        <f>TEST_DATA!B8462</f>
        <v/>
      </c>
      <c r="C8462">
        <f>TEST_DATA!C8462</f>
        <v/>
      </c>
      <c r="D8462">
        <f>TEST_DATA!D8462</f>
        <v/>
      </c>
      <c r="E8462">
        <f>TEST_DATA!E8462</f>
        <v/>
      </c>
    </row>
    <row r="8463">
      <c r="A8463">
        <f>TEST_DATA!A8463</f>
        <v/>
      </c>
      <c r="B8463">
        <f>TEST_DATA!B8463</f>
        <v/>
      </c>
      <c r="C8463">
        <f>TEST_DATA!C8463</f>
        <v/>
      </c>
      <c r="D8463">
        <f>TEST_DATA!D8463</f>
        <v/>
      </c>
      <c r="E8463">
        <f>TEST_DATA!E8463</f>
        <v/>
      </c>
    </row>
    <row r="8464">
      <c r="A8464">
        <f>TEST_DATA!A8464</f>
        <v/>
      </c>
      <c r="B8464">
        <f>TEST_DATA!B8464</f>
        <v/>
      </c>
      <c r="C8464">
        <f>TEST_DATA!C8464</f>
        <v/>
      </c>
      <c r="D8464">
        <f>TEST_DATA!D8464</f>
        <v/>
      </c>
      <c r="E8464">
        <f>TEST_DATA!E8464</f>
        <v/>
      </c>
    </row>
    <row r="8465">
      <c r="A8465">
        <f>TEST_DATA!A8465</f>
        <v/>
      </c>
      <c r="B8465">
        <f>TEST_DATA!B8465</f>
        <v/>
      </c>
      <c r="C8465">
        <f>TEST_DATA!C8465</f>
        <v/>
      </c>
      <c r="D8465">
        <f>TEST_DATA!D8465</f>
        <v/>
      </c>
      <c r="E8465">
        <f>TEST_DATA!E8465</f>
        <v/>
      </c>
    </row>
    <row r="8466">
      <c r="A8466">
        <f>TEST_DATA!A8466</f>
        <v/>
      </c>
      <c r="B8466">
        <f>TEST_DATA!B8466</f>
        <v/>
      </c>
      <c r="C8466">
        <f>TEST_DATA!C8466</f>
        <v/>
      </c>
      <c r="D8466">
        <f>TEST_DATA!D8466</f>
        <v/>
      </c>
      <c r="E8466">
        <f>TEST_DATA!E8466</f>
        <v/>
      </c>
    </row>
    <row r="8467">
      <c r="A8467">
        <f>TEST_DATA!A8467</f>
        <v/>
      </c>
      <c r="B8467">
        <f>TEST_DATA!B8467</f>
        <v/>
      </c>
      <c r="C8467">
        <f>TEST_DATA!C8467</f>
        <v/>
      </c>
      <c r="D8467">
        <f>TEST_DATA!D8467</f>
        <v/>
      </c>
      <c r="E8467">
        <f>TEST_DATA!E8467</f>
        <v/>
      </c>
    </row>
    <row r="8468">
      <c r="A8468">
        <f>TEST_DATA!A8468</f>
        <v/>
      </c>
      <c r="B8468">
        <f>TEST_DATA!B8468</f>
        <v/>
      </c>
      <c r="C8468">
        <f>TEST_DATA!C8468</f>
        <v/>
      </c>
      <c r="D8468">
        <f>TEST_DATA!D8468</f>
        <v/>
      </c>
      <c r="E8468">
        <f>TEST_DATA!E8468</f>
        <v/>
      </c>
    </row>
    <row r="8469">
      <c r="A8469">
        <f>TEST_DATA!A8469</f>
        <v/>
      </c>
      <c r="B8469">
        <f>TEST_DATA!B8469</f>
        <v/>
      </c>
      <c r="C8469">
        <f>TEST_DATA!C8469</f>
        <v/>
      </c>
      <c r="D8469">
        <f>TEST_DATA!D8469</f>
        <v/>
      </c>
      <c r="E8469">
        <f>TEST_DATA!E8469</f>
        <v/>
      </c>
    </row>
    <row r="8470">
      <c r="A8470">
        <f>TEST_DATA!A8470</f>
        <v/>
      </c>
      <c r="B8470">
        <f>TEST_DATA!B8470</f>
        <v/>
      </c>
      <c r="C8470">
        <f>TEST_DATA!C8470</f>
        <v/>
      </c>
      <c r="D8470">
        <f>TEST_DATA!D8470</f>
        <v/>
      </c>
      <c r="E8470">
        <f>TEST_DATA!E8470</f>
        <v/>
      </c>
    </row>
    <row r="8471">
      <c r="A8471">
        <f>TEST_DATA!A8471</f>
        <v/>
      </c>
      <c r="B8471">
        <f>TEST_DATA!B8471</f>
        <v/>
      </c>
      <c r="C8471">
        <f>TEST_DATA!C8471</f>
        <v/>
      </c>
      <c r="D8471">
        <f>TEST_DATA!D8471</f>
        <v/>
      </c>
      <c r="E8471">
        <f>TEST_DATA!E8471</f>
        <v/>
      </c>
    </row>
    <row r="8472">
      <c r="A8472">
        <f>TEST_DATA!A8472</f>
        <v/>
      </c>
      <c r="B8472">
        <f>TEST_DATA!B8472</f>
        <v/>
      </c>
      <c r="C8472">
        <f>TEST_DATA!C8472</f>
        <v/>
      </c>
      <c r="D8472">
        <f>TEST_DATA!D8472</f>
        <v/>
      </c>
      <c r="E8472">
        <f>TEST_DATA!E8472</f>
        <v/>
      </c>
    </row>
    <row r="8473">
      <c r="A8473">
        <f>TEST_DATA!A8473</f>
        <v/>
      </c>
      <c r="B8473">
        <f>TEST_DATA!B8473</f>
        <v/>
      </c>
      <c r="C8473">
        <f>TEST_DATA!C8473</f>
        <v/>
      </c>
      <c r="D8473">
        <f>TEST_DATA!D8473</f>
        <v/>
      </c>
      <c r="E8473">
        <f>TEST_DATA!E8473</f>
        <v/>
      </c>
    </row>
    <row r="8474">
      <c r="A8474">
        <f>TEST_DATA!A8474</f>
        <v/>
      </c>
      <c r="B8474">
        <f>TEST_DATA!B8474</f>
        <v/>
      </c>
      <c r="C8474">
        <f>TEST_DATA!C8474</f>
        <v/>
      </c>
      <c r="D8474">
        <f>TEST_DATA!D8474</f>
        <v/>
      </c>
      <c r="E8474">
        <f>TEST_DATA!E8474</f>
        <v/>
      </c>
    </row>
    <row r="8475">
      <c r="A8475">
        <f>TEST_DATA!A8475</f>
        <v/>
      </c>
      <c r="B8475">
        <f>TEST_DATA!B8475</f>
        <v/>
      </c>
      <c r="C8475">
        <f>TEST_DATA!C8475</f>
        <v/>
      </c>
      <c r="D8475">
        <f>TEST_DATA!D8475</f>
        <v/>
      </c>
      <c r="E8475">
        <f>TEST_DATA!E8475</f>
        <v/>
      </c>
    </row>
    <row r="8476">
      <c r="A8476">
        <f>TEST_DATA!A8476</f>
        <v/>
      </c>
      <c r="B8476">
        <f>TEST_DATA!B8476</f>
        <v/>
      </c>
      <c r="C8476">
        <f>TEST_DATA!C8476</f>
        <v/>
      </c>
      <c r="D8476">
        <f>TEST_DATA!D8476</f>
        <v/>
      </c>
      <c r="E8476">
        <f>TEST_DATA!E8476</f>
        <v/>
      </c>
    </row>
    <row r="8477">
      <c r="A8477">
        <f>TEST_DATA!A8477</f>
        <v/>
      </c>
      <c r="B8477">
        <f>TEST_DATA!B8477</f>
        <v/>
      </c>
      <c r="C8477">
        <f>TEST_DATA!C8477</f>
        <v/>
      </c>
      <c r="D8477">
        <f>TEST_DATA!D8477</f>
        <v/>
      </c>
      <c r="E8477">
        <f>TEST_DATA!E8477</f>
        <v/>
      </c>
    </row>
    <row r="8478">
      <c r="A8478">
        <f>TEST_DATA!A8478</f>
        <v/>
      </c>
      <c r="B8478">
        <f>TEST_DATA!B8478</f>
        <v/>
      </c>
      <c r="C8478">
        <f>TEST_DATA!C8478</f>
        <v/>
      </c>
      <c r="D8478">
        <f>TEST_DATA!D8478</f>
        <v/>
      </c>
      <c r="E8478">
        <f>TEST_DATA!E8478</f>
        <v/>
      </c>
    </row>
    <row r="8479">
      <c r="A8479">
        <f>TEST_DATA!A8479</f>
        <v/>
      </c>
      <c r="B8479">
        <f>TEST_DATA!B8479</f>
        <v/>
      </c>
      <c r="C8479">
        <f>TEST_DATA!C8479</f>
        <v/>
      </c>
      <c r="D8479">
        <f>TEST_DATA!D8479</f>
        <v/>
      </c>
      <c r="E8479">
        <f>TEST_DATA!E8479</f>
        <v/>
      </c>
    </row>
    <row r="8480">
      <c r="A8480">
        <f>TEST_DATA!A8480</f>
        <v/>
      </c>
      <c r="B8480">
        <f>TEST_DATA!B8480</f>
        <v/>
      </c>
      <c r="C8480">
        <f>TEST_DATA!C8480</f>
        <v/>
      </c>
      <c r="D8480">
        <f>TEST_DATA!D8480</f>
        <v/>
      </c>
      <c r="E8480">
        <f>TEST_DATA!E8480</f>
        <v/>
      </c>
    </row>
    <row r="8481">
      <c r="A8481">
        <f>TEST_DATA!A8481</f>
        <v/>
      </c>
      <c r="B8481">
        <f>TEST_DATA!B8481</f>
        <v/>
      </c>
      <c r="C8481">
        <f>TEST_DATA!C8481</f>
        <v/>
      </c>
      <c r="D8481">
        <f>TEST_DATA!D8481</f>
        <v/>
      </c>
      <c r="E8481">
        <f>TEST_DATA!E8481</f>
        <v/>
      </c>
    </row>
    <row r="8482">
      <c r="A8482">
        <f>TEST_DATA!A8482</f>
        <v/>
      </c>
      <c r="B8482">
        <f>TEST_DATA!B8482</f>
        <v/>
      </c>
      <c r="C8482">
        <f>TEST_DATA!C8482</f>
        <v/>
      </c>
      <c r="D8482">
        <f>TEST_DATA!D8482</f>
        <v/>
      </c>
      <c r="E8482">
        <f>TEST_DATA!E8482</f>
        <v/>
      </c>
    </row>
    <row r="8483">
      <c r="A8483">
        <f>TEST_DATA!A8483</f>
        <v/>
      </c>
      <c r="B8483">
        <f>TEST_DATA!B8483</f>
        <v/>
      </c>
      <c r="C8483">
        <f>TEST_DATA!C8483</f>
        <v/>
      </c>
      <c r="D8483">
        <f>TEST_DATA!D8483</f>
        <v/>
      </c>
      <c r="E8483">
        <f>TEST_DATA!E8483</f>
        <v/>
      </c>
    </row>
    <row r="8484">
      <c r="A8484">
        <f>TEST_DATA!A8484</f>
        <v/>
      </c>
      <c r="B8484">
        <f>TEST_DATA!B8484</f>
        <v/>
      </c>
      <c r="C8484">
        <f>TEST_DATA!C8484</f>
        <v/>
      </c>
      <c r="D8484">
        <f>TEST_DATA!D8484</f>
        <v/>
      </c>
      <c r="E8484">
        <f>TEST_DATA!E8484</f>
        <v/>
      </c>
    </row>
    <row r="8485">
      <c r="A8485">
        <f>TEST_DATA!A8485</f>
        <v/>
      </c>
      <c r="B8485">
        <f>TEST_DATA!B8485</f>
        <v/>
      </c>
      <c r="C8485">
        <f>TEST_DATA!C8485</f>
        <v/>
      </c>
      <c r="D8485">
        <f>TEST_DATA!D8485</f>
        <v/>
      </c>
      <c r="E8485">
        <f>TEST_DATA!E8485</f>
        <v/>
      </c>
    </row>
    <row r="8486">
      <c r="A8486">
        <f>TEST_DATA!A8486</f>
        <v/>
      </c>
      <c r="B8486">
        <f>TEST_DATA!B8486</f>
        <v/>
      </c>
      <c r="C8486">
        <f>TEST_DATA!C8486</f>
        <v/>
      </c>
      <c r="D8486">
        <f>TEST_DATA!D8486</f>
        <v/>
      </c>
      <c r="E8486">
        <f>TEST_DATA!E8486</f>
        <v/>
      </c>
    </row>
    <row r="8487">
      <c r="A8487">
        <f>TEST_DATA!A8487</f>
        <v/>
      </c>
      <c r="B8487">
        <f>TEST_DATA!B8487</f>
        <v/>
      </c>
      <c r="C8487">
        <f>TEST_DATA!C8487</f>
        <v/>
      </c>
      <c r="D8487">
        <f>TEST_DATA!D8487</f>
        <v/>
      </c>
      <c r="E8487">
        <f>TEST_DATA!E8487</f>
        <v/>
      </c>
    </row>
    <row r="8488">
      <c r="A8488">
        <f>TEST_DATA!A8488</f>
        <v/>
      </c>
      <c r="B8488">
        <f>TEST_DATA!B8488</f>
        <v/>
      </c>
      <c r="C8488">
        <f>TEST_DATA!C8488</f>
        <v/>
      </c>
      <c r="D8488">
        <f>TEST_DATA!D8488</f>
        <v/>
      </c>
      <c r="E8488">
        <f>TEST_DATA!E8488</f>
        <v/>
      </c>
    </row>
    <row r="8489">
      <c r="A8489">
        <f>TEST_DATA!A8489</f>
        <v/>
      </c>
      <c r="B8489">
        <f>TEST_DATA!B8489</f>
        <v/>
      </c>
      <c r="C8489">
        <f>TEST_DATA!C8489</f>
        <v/>
      </c>
      <c r="D8489">
        <f>TEST_DATA!D8489</f>
        <v/>
      </c>
      <c r="E8489">
        <f>TEST_DATA!E8489</f>
        <v/>
      </c>
    </row>
    <row r="8490">
      <c r="A8490">
        <f>TEST_DATA!A8490</f>
        <v/>
      </c>
      <c r="B8490">
        <f>TEST_DATA!B8490</f>
        <v/>
      </c>
      <c r="C8490">
        <f>TEST_DATA!C8490</f>
        <v/>
      </c>
      <c r="D8490">
        <f>TEST_DATA!D8490</f>
        <v/>
      </c>
      <c r="E8490">
        <f>TEST_DATA!E8490</f>
        <v/>
      </c>
    </row>
    <row r="8491">
      <c r="A8491">
        <f>TEST_DATA!A8491</f>
        <v/>
      </c>
      <c r="B8491">
        <f>TEST_DATA!B8491</f>
        <v/>
      </c>
      <c r="C8491">
        <f>TEST_DATA!C8491</f>
        <v/>
      </c>
      <c r="D8491">
        <f>TEST_DATA!D8491</f>
        <v/>
      </c>
      <c r="E8491">
        <f>TEST_DATA!E8491</f>
        <v/>
      </c>
    </row>
    <row r="8492">
      <c r="A8492">
        <f>TEST_DATA!A8492</f>
        <v/>
      </c>
      <c r="B8492">
        <f>TEST_DATA!B8492</f>
        <v/>
      </c>
      <c r="C8492">
        <f>TEST_DATA!C8492</f>
        <v/>
      </c>
      <c r="D8492">
        <f>TEST_DATA!D8492</f>
        <v/>
      </c>
      <c r="E8492">
        <f>TEST_DATA!E8492</f>
        <v/>
      </c>
    </row>
    <row r="8493">
      <c r="A8493">
        <f>TEST_DATA!A8493</f>
        <v/>
      </c>
      <c r="B8493">
        <f>TEST_DATA!B8493</f>
        <v/>
      </c>
      <c r="C8493">
        <f>TEST_DATA!C8493</f>
        <v/>
      </c>
      <c r="D8493">
        <f>TEST_DATA!D8493</f>
        <v/>
      </c>
      <c r="E8493">
        <f>TEST_DATA!E8493</f>
        <v/>
      </c>
    </row>
    <row r="8494">
      <c r="A8494">
        <f>TEST_DATA!A8494</f>
        <v/>
      </c>
      <c r="B8494">
        <f>TEST_DATA!B8494</f>
        <v/>
      </c>
      <c r="C8494">
        <f>TEST_DATA!C8494</f>
        <v/>
      </c>
      <c r="D8494">
        <f>TEST_DATA!D8494</f>
        <v/>
      </c>
      <c r="E8494">
        <f>TEST_DATA!E8494</f>
        <v/>
      </c>
    </row>
    <row r="8495">
      <c r="A8495">
        <f>TEST_DATA!A8495</f>
        <v/>
      </c>
      <c r="B8495">
        <f>TEST_DATA!B8495</f>
        <v/>
      </c>
      <c r="C8495">
        <f>TEST_DATA!C8495</f>
        <v/>
      </c>
      <c r="D8495">
        <f>TEST_DATA!D8495</f>
        <v/>
      </c>
      <c r="E8495">
        <f>TEST_DATA!E8495</f>
        <v/>
      </c>
    </row>
    <row r="8496">
      <c r="A8496">
        <f>TEST_DATA!A8496</f>
        <v/>
      </c>
      <c r="B8496">
        <f>TEST_DATA!B8496</f>
        <v/>
      </c>
      <c r="C8496">
        <f>TEST_DATA!C8496</f>
        <v/>
      </c>
      <c r="D8496">
        <f>TEST_DATA!D8496</f>
        <v/>
      </c>
      <c r="E8496">
        <f>TEST_DATA!E8496</f>
        <v/>
      </c>
    </row>
    <row r="8497">
      <c r="A8497">
        <f>TEST_DATA!A8497</f>
        <v/>
      </c>
      <c r="B8497">
        <f>TEST_DATA!B8497</f>
        <v/>
      </c>
      <c r="C8497">
        <f>TEST_DATA!C8497</f>
        <v/>
      </c>
      <c r="D8497">
        <f>TEST_DATA!D8497</f>
        <v/>
      </c>
      <c r="E8497">
        <f>TEST_DATA!E8497</f>
        <v/>
      </c>
    </row>
    <row r="8498">
      <c r="A8498">
        <f>TEST_DATA!A8498</f>
        <v/>
      </c>
      <c r="B8498">
        <f>TEST_DATA!B8498</f>
        <v/>
      </c>
      <c r="C8498">
        <f>TEST_DATA!C8498</f>
        <v/>
      </c>
      <c r="D8498">
        <f>TEST_DATA!D8498</f>
        <v/>
      </c>
      <c r="E8498">
        <f>TEST_DATA!E8498</f>
        <v/>
      </c>
    </row>
    <row r="8499">
      <c r="A8499">
        <f>TEST_DATA!A8499</f>
        <v/>
      </c>
      <c r="B8499">
        <f>TEST_DATA!B8499</f>
        <v/>
      </c>
      <c r="C8499">
        <f>TEST_DATA!C8499</f>
        <v/>
      </c>
      <c r="D8499">
        <f>TEST_DATA!D8499</f>
        <v/>
      </c>
      <c r="E8499">
        <f>TEST_DATA!E8499</f>
        <v/>
      </c>
    </row>
    <row r="8500">
      <c r="A8500">
        <f>TEST_DATA!A8500</f>
        <v/>
      </c>
      <c r="B8500">
        <f>TEST_DATA!B8500</f>
        <v/>
      </c>
      <c r="C8500">
        <f>TEST_DATA!C8500</f>
        <v/>
      </c>
      <c r="D8500">
        <f>TEST_DATA!D8500</f>
        <v/>
      </c>
      <c r="E8500">
        <f>TEST_DATA!E8500</f>
        <v/>
      </c>
    </row>
    <row r="8501">
      <c r="A8501">
        <f>TEST_DATA!A8501</f>
        <v/>
      </c>
      <c r="B8501">
        <f>TEST_DATA!B8501</f>
        <v/>
      </c>
      <c r="C8501">
        <f>TEST_DATA!C8501</f>
        <v/>
      </c>
      <c r="D8501">
        <f>TEST_DATA!D8501</f>
        <v/>
      </c>
      <c r="E8501">
        <f>TEST_DATA!E8501</f>
        <v/>
      </c>
    </row>
    <row r="8502">
      <c r="A8502">
        <f>TEST_DATA!A8502</f>
        <v/>
      </c>
      <c r="B8502">
        <f>TEST_DATA!B8502</f>
        <v/>
      </c>
      <c r="C8502">
        <f>TEST_DATA!C8502</f>
        <v/>
      </c>
      <c r="D8502">
        <f>TEST_DATA!D8502</f>
        <v/>
      </c>
      <c r="E8502">
        <f>TEST_DATA!E8502</f>
        <v/>
      </c>
    </row>
    <row r="8503">
      <c r="A8503">
        <f>TEST_DATA!A8503</f>
        <v/>
      </c>
      <c r="B8503">
        <f>TEST_DATA!B8503</f>
        <v/>
      </c>
      <c r="C8503">
        <f>TEST_DATA!C8503</f>
        <v/>
      </c>
      <c r="D8503">
        <f>TEST_DATA!D8503</f>
        <v/>
      </c>
      <c r="E8503">
        <f>TEST_DATA!E8503</f>
        <v/>
      </c>
    </row>
    <row r="8504">
      <c r="A8504">
        <f>TEST_DATA!A8504</f>
        <v/>
      </c>
      <c r="B8504">
        <f>TEST_DATA!B8504</f>
        <v/>
      </c>
      <c r="C8504">
        <f>TEST_DATA!C8504</f>
        <v/>
      </c>
      <c r="D8504">
        <f>TEST_DATA!D8504</f>
        <v/>
      </c>
      <c r="E8504">
        <f>TEST_DATA!E8504</f>
        <v/>
      </c>
    </row>
    <row r="8505">
      <c r="A8505">
        <f>TEST_DATA!A8505</f>
        <v/>
      </c>
      <c r="B8505">
        <f>TEST_DATA!B8505</f>
        <v/>
      </c>
      <c r="C8505">
        <f>TEST_DATA!C8505</f>
        <v/>
      </c>
      <c r="D8505">
        <f>TEST_DATA!D8505</f>
        <v/>
      </c>
      <c r="E8505">
        <f>TEST_DATA!E8505</f>
        <v/>
      </c>
    </row>
    <row r="8506">
      <c r="A8506">
        <f>TEST_DATA!A8506</f>
        <v/>
      </c>
      <c r="B8506">
        <f>TEST_DATA!B8506</f>
        <v/>
      </c>
      <c r="C8506">
        <f>TEST_DATA!C8506</f>
        <v/>
      </c>
      <c r="D8506">
        <f>TEST_DATA!D8506</f>
        <v/>
      </c>
      <c r="E8506">
        <f>TEST_DATA!E8506</f>
        <v/>
      </c>
    </row>
    <row r="8507">
      <c r="A8507">
        <f>TEST_DATA!A8507</f>
        <v/>
      </c>
      <c r="B8507">
        <f>TEST_DATA!B8507</f>
        <v/>
      </c>
      <c r="C8507">
        <f>TEST_DATA!C8507</f>
        <v/>
      </c>
      <c r="D8507">
        <f>TEST_DATA!D8507</f>
        <v/>
      </c>
      <c r="E8507">
        <f>TEST_DATA!E8507</f>
        <v/>
      </c>
    </row>
    <row r="8508">
      <c r="A8508">
        <f>TEST_DATA!A8508</f>
        <v/>
      </c>
      <c r="B8508">
        <f>TEST_DATA!B8508</f>
        <v/>
      </c>
      <c r="C8508">
        <f>TEST_DATA!C8508</f>
        <v/>
      </c>
      <c r="D8508">
        <f>TEST_DATA!D8508</f>
        <v/>
      </c>
      <c r="E8508">
        <f>TEST_DATA!E8508</f>
        <v/>
      </c>
    </row>
    <row r="8509">
      <c r="A8509">
        <f>TEST_DATA!A8509</f>
        <v/>
      </c>
      <c r="B8509">
        <f>TEST_DATA!B8509</f>
        <v/>
      </c>
      <c r="C8509">
        <f>TEST_DATA!C8509</f>
        <v/>
      </c>
      <c r="D8509">
        <f>TEST_DATA!D8509</f>
        <v/>
      </c>
      <c r="E8509">
        <f>TEST_DATA!E8509</f>
        <v/>
      </c>
    </row>
    <row r="8510">
      <c r="A8510">
        <f>TEST_DATA!A8510</f>
        <v/>
      </c>
      <c r="B8510">
        <f>TEST_DATA!B8510</f>
        <v/>
      </c>
      <c r="C8510">
        <f>TEST_DATA!C8510</f>
        <v/>
      </c>
      <c r="D8510">
        <f>TEST_DATA!D8510</f>
        <v/>
      </c>
      <c r="E8510">
        <f>TEST_DATA!E8510</f>
        <v/>
      </c>
    </row>
    <row r="8511">
      <c r="A8511">
        <f>TEST_DATA!A8511</f>
        <v/>
      </c>
      <c r="B8511">
        <f>TEST_DATA!B8511</f>
        <v/>
      </c>
      <c r="C8511">
        <f>TEST_DATA!C8511</f>
        <v/>
      </c>
      <c r="D8511">
        <f>TEST_DATA!D8511</f>
        <v/>
      </c>
      <c r="E8511">
        <f>TEST_DATA!E8511</f>
        <v/>
      </c>
    </row>
    <row r="8512">
      <c r="A8512">
        <f>TEST_DATA!A8512</f>
        <v/>
      </c>
      <c r="B8512">
        <f>TEST_DATA!B8512</f>
        <v/>
      </c>
      <c r="C8512">
        <f>TEST_DATA!C8512</f>
        <v/>
      </c>
      <c r="D8512">
        <f>TEST_DATA!D8512</f>
        <v/>
      </c>
      <c r="E8512">
        <f>TEST_DATA!E8512</f>
        <v/>
      </c>
    </row>
    <row r="8513">
      <c r="A8513">
        <f>TEST_DATA!A8513</f>
        <v/>
      </c>
      <c r="B8513">
        <f>TEST_DATA!B8513</f>
        <v/>
      </c>
      <c r="C8513">
        <f>TEST_DATA!C8513</f>
        <v/>
      </c>
      <c r="D8513">
        <f>TEST_DATA!D8513</f>
        <v/>
      </c>
      <c r="E8513">
        <f>TEST_DATA!E8513</f>
        <v/>
      </c>
    </row>
    <row r="8514">
      <c r="A8514">
        <f>TEST_DATA!A8514</f>
        <v/>
      </c>
      <c r="B8514">
        <f>TEST_DATA!B8514</f>
        <v/>
      </c>
      <c r="C8514">
        <f>TEST_DATA!C8514</f>
        <v/>
      </c>
      <c r="D8514">
        <f>TEST_DATA!D8514</f>
        <v/>
      </c>
      <c r="E8514">
        <f>TEST_DATA!E8514</f>
        <v/>
      </c>
    </row>
    <row r="8515">
      <c r="A8515">
        <f>TEST_DATA!A8515</f>
        <v/>
      </c>
      <c r="B8515">
        <f>TEST_DATA!B8515</f>
        <v/>
      </c>
      <c r="C8515">
        <f>TEST_DATA!C8515</f>
        <v/>
      </c>
      <c r="D8515">
        <f>TEST_DATA!D8515</f>
        <v/>
      </c>
      <c r="E8515">
        <f>TEST_DATA!E8515</f>
        <v/>
      </c>
    </row>
    <row r="8516">
      <c r="A8516">
        <f>TEST_DATA!A8516</f>
        <v/>
      </c>
      <c r="B8516">
        <f>TEST_DATA!B8516</f>
        <v/>
      </c>
      <c r="C8516">
        <f>TEST_DATA!C8516</f>
        <v/>
      </c>
      <c r="D8516">
        <f>TEST_DATA!D8516</f>
        <v/>
      </c>
      <c r="E8516">
        <f>TEST_DATA!E8516</f>
        <v/>
      </c>
    </row>
    <row r="8517">
      <c r="A8517">
        <f>TEST_DATA!A8517</f>
        <v/>
      </c>
      <c r="B8517">
        <f>TEST_DATA!B8517</f>
        <v/>
      </c>
      <c r="C8517">
        <f>TEST_DATA!C8517</f>
        <v/>
      </c>
      <c r="D8517">
        <f>TEST_DATA!D8517</f>
        <v/>
      </c>
      <c r="E8517">
        <f>TEST_DATA!E8517</f>
        <v/>
      </c>
    </row>
    <row r="8518">
      <c r="A8518">
        <f>TEST_DATA!A8518</f>
        <v/>
      </c>
      <c r="B8518">
        <f>TEST_DATA!B8518</f>
        <v/>
      </c>
      <c r="C8518">
        <f>TEST_DATA!C8518</f>
        <v/>
      </c>
      <c r="D8518">
        <f>TEST_DATA!D8518</f>
        <v/>
      </c>
      <c r="E8518">
        <f>TEST_DATA!E8518</f>
        <v/>
      </c>
    </row>
    <row r="8519">
      <c r="A8519">
        <f>TEST_DATA!A8519</f>
        <v/>
      </c>
      <c r="B8519">
        <f>TEST_DATA!B8519</f>
        <v/>
      </c>
      <c r="C8519">
        <f>TEST_DATA!C8519</f>
        <v/>
      </c>
      <c r="D8519">
        <f>TEST_DATA!D8519</f>
        <v/>
      </c>
      <c r="E8519">
        <f>TEST_DATA!E8519</f>
        <v/>
      </c>
    </row>
    <row r="8520">
      <c r="A8520">
        <f>TEST_DATA!A8520</f>
        <v/>
      </c>
      <c r="B8520">
        <f>TEST_DATA!B8520</f>
        <v/>
      </c>
      <c r="C8520">
        <f>TEST_DATA!C8520</f>
        <v/>
      </c>
      <c r="D8520">
        <f>TEST_DATA!D8520</f>
        <v/>
      </c>
      <c r="E8520">
        <f>TEST_DATA!E8520</f>
        <v/>
      </c>
    </row>
    <row r="8521">
      <c r="A8521">
        <f>TEST_DATA!A8521</f>
        <v/>
      </c>
      <c r="B8521">
        <f>TEST_DATA!B8521</f>
        <v/>
      </c>
      <c r="C8521">
        <f>TEST_DATA!C8521</f>
        <v/>
      </c>
      <c r="D8521">
        <f>TEST_DATA!D8521</f>
        <v/>
      </c>
      <c r="E8521">
        <f>TEST_DATA!E8521</f>
        <v/>
      </c>
    </row>
    <row r="8522">
      <c r="A8522">
        <f>TEST_DATA!A8522</f>
        <v/>
      </c>
      <c r="B8522">
        <f>TEST_DATA!B8522</f>
        <v/>
      </c>
      <c r="C8522">
        <f>TEST_DATA!C8522</f>
        <v/>
      </c>
      <c r="D8522">
        <f>TEST_DATA!D8522</f>
        <v/>
      </c>
      <c r="E8522">
        <f>TEST_DATA!E8522</f>
        <v/>
      </c>
    </row>
    <row r="8523">
      <c r="A8523">
        <f>TEST_DATA!A8523</f>
        <v/>
      </c>
      <c r="B8523">
        <f>TEST_DATA!B8523</f>
        <v/>
      </c>
      <c r="C8523">
        <f>TEST_DATA!C8523</f>
        <v/>
      </c>
      <c r="D8523">
        <f>TEST_DATA!D8523</f>
        <v/>
      </c>
      <c r="E8523">
        <f>TEST_DATA!E8523</f>
        <v/>
      </c>
    </row>
    <row r="8524">
      <c r="A8524">
        <f>TEST_DATA!A8524</f>
        <v/>
      </c>
      <c r="B8524">
        <f>TEST_DATA!B8524</f>
        <v/>
      </c>
      <c r="C8524">
        <f>TEST_DATA!C8524</f>
        <v/>
      </c>
      <c r="D8524">
        <f>TEST_DATA!D8524</f>
        <v/>
      </c>
      <c r="E8524">
        <f>TEST_DATA!E8524</f>
        <v/>
      </c>
    </row>
    <row r="8525">
      <c r="A8525">
        <f>TEST_DATA!A8525</f>
        <v/>
      </c>
      <c r="B8525">
        <f>TEST_DATA!B8525</f>
        <v/>
      </c>
      <c r="C8525">
        <f>TEST_DATA!C8525</f>
        <v/>
      </c>
      <c r="D8525">
        <f>TEST_DATA!D8525</f>
        <v/>
      </c>
      <c r="E8525">
        <f>TEST_DATA!E8525</f>
        <v/>
      </c>
    </row>
    <row r="8526">
      <c r="A8526">
        <f>TEST_DATA!A8526</f>
        <v/>
      </c>
      <c r="B8526">
        <f>TEST_DATA!B8526</f>
        <v/>
      </c>
      <c r="C8526">
        <f>TEST_DATA!C8526</f>
        <v/>
      </c>
      <c r="D8526">
        <f>TEST_DATA!D8526</f>
        <v/>
      </c>
      <c r="E8526">
        <f>TEST_DATA!E8526</f>
        <v/>
      </c>
    </row>
    <row r="8527">
      <c r="A8527">
        <f>TEST_DATA!A8527</f>
        <v/>
      </c>
      <c r="B8527">
        <f>TEST_DATA!B8527</f>
        <v/>
      </c>
      <c r="C8527">
        <f>TEST_DATA!C8527</f>
        <v/>
      </c>
      <c r="D8527">
        <f>TEST_DATA!D8527</f>
        <v/>
      </c>
      <c r="E8527">
        <f>TEST_DATA!E8527</f>
        <v/>
      </c>
    </row>
    <row r="8528">
      <c r="A8528">
        <f>TEST_DATA!A8528</f>
        <v/>
      </c>
      <c r="B8528">
        <f>TEST_DATA!B8528</f>
        <v/>
      </c>
      <c r="C8528">
        <f>TEST_DATA!C8528</f>
        <v/>
      </c>
      <c r="D8528">
        <f>TEST_DATA!D8528</f>
        <v/>
      </c>
      <c r="E8528">
        <f>TEST_DATA!E8528</f>
        <v/>
      </c>
    </row>
    <row r="8529">
      <c r="A8529">
        <f>TEST_DATA!A8529</f>
        <v/>
      </c>
      <c r="B8529">
        <f>TEST_DATA!B8529</f>
        <v/>
      </c>
      <c r="C8529">
        <f>TEST_DATA!C8529</f>
        <v/>
      </c>
      <c r="D8529">
        <f>TEST_DATA!D8529</f>
        <v/>
      </c>
      <c r="E8529">
        <f>TEST_DATA!E8529</f>
        <v/>
      </c>
    </row>
    <row r="8530">
      <c r="A8530">
        <f>TEST_DATA!A8530</f>
        <v/>
      </c>
      <c r="B8530">
        <f>TEST_DATA!B8530</f>
        <v/>
      </c>
      <c r="C8530">
        <f>TEST_DATA!C8530</f>
        <v/>
      </c>
      <c r="D8530">
        <f>TEST_DATA!D8530</f>
        <v/>
      </c>
      <c r="E8530">
        <f>TEST_DATA!E8530</f>
        <v/>
      </c>
    </row>
    <row r="8531">
      <c r="A8531">
        <f>TEST_DATA!A8531</f>
        <v/>
      </c>
      <c r="B8531">
        <f>TEST_DATA!B8531</f>
        <v/>
      </c>
      <c r="C8531">
        <f>TEST_DATA!C8531</f>
        <v/>
      </c>
      <c r="D8531">
        <f>TEST_DATA!D8531</f>
        <v/>
      </c>
      <c r="E8531">
        <f>TEST_DATA!E8531</f>
        <v/>
      </c>
    </row>
    <row r="8532">
      <c r="A8532">
        <f>TEST_DATA!A8532</f>
        <v/>
      </c>
      <c r="B8532">
        <f>TEST_DATA!B8532</f>
        <v/>
      </c>
      <c r="C8532">
        <f>TEST_DATA!C8532</f>
        <v/>
      </c>
      <c r="D8532">
        <f>TEST_DATA!D8532</f>
        <v/>
      </c>
      <c r="E8532">
        <f>TEST_DATA!E8532</f>
        <v/>
      </c>
    </row>
    <row r="8533">
      <c r="A8533">
        <f>TEST_DATA!A8533</f>
        <v/>
      </c>
      <c r="B8533">
        <f>TEST_DATA!B8533</f>
        <v/>
      </c>
      <c r="C8533">
        <f>TEST_DATA!C8533</f>
        <v/>
      </c>
      <c r="D8533">
        <f>TEST_DATA!D8533</f>
        <v/>
      </c>
      <c r="E8533">
        <f>TEST_DATA!E8533</f>
        <v/>
      </c>
    </row>
    <row r="8534">
      <c r="A8534">
        <f>TEST_DATA!A8534</f>
        <v/>
      </c>
      <c r="B8534">
        <f>TEST_DATA!B8534</f>
        <v/>
      </c>
      <c r="C8534">
        <f>TEST_DATA!C8534</f>
        <v/>
      </c>
      <c r="D8534">
        <f>TEST_DATA!D8534</f>
        <v/>
      </c>
      <c r="E8534">
        <f>TEST_DATA!E8534</f>
        <v/>
      </c>
    </row>
    <row r="8535">
      <c r="A8535">
        <f>TEST_DATA!A8535</f>
        <v/>
      </c>
      <c r="B8535">
        <f>TEST_DATA!B8535</f>
        <v/>
      </c>
      <c r="C8535">
        <f>TEST_DATA!C8535</f>
        <v/>
      </c>
      <c r="D8535">
        <f>TEST_DATA!D8535</f>
        <v/>
      </c>
      <c r="E8535">
        <f>TEST_DATA!E8535</f>
        <v/>
      </c>
    </row>
    <row r="8536">
      <c r="A8536">
        <f>TEST_DATA!A8536</f>
        <v/>
      </c>
      <c r="B8536">
        <f>TEST_DATA!B8536</f>
        <v/>
      </c>
      <c r="C8536">
        <f>TEST_DATA!C8536</f>
        <v/>
      </c>
      <c r="D8536">
        <f>TEST_DATA!D8536</f>
        <v/>
      </c>
      <c r="E8536">
        <f>TEST_DATA!E8536</f>
        <v/>
      </c>
    </row>
    <row r="8537">
      <c r="A8537">
        <f>TEST_DATA!A8537</f>
        <v/>
      </c>
      <c r="B8537">
        <f>TEST_DATA!B8537</f>
        <v/>
      </c>
      <c r="C8537">
        <f>TEST_DATA!C8537</f>
        <v/>
      </c>
      <c r="D8537">
        <f>TEST_DATA!D8537</f>
        <v/>
      </c>
      <c r="E8537">
        <f>TEST_DATA!E8537</f>
        <v/>
      </c>
    </row>
    <row r="8538">
      <c r="A8538">
        <f>TEST_DATA!A8538</f>
        <v/>
      </c>
      <c r="B8538">
        <f>TEST_DATA!B8538</f>
        <v/>
      </c>
      <c r="C8538">
        <f>TEST_DATA!C8538</f>
        <v/>
      </c>
      <c r="D8538">
        <f>TEST_DATA!D8538</f>
        <v/>
      </c>
      <c r="E8538">
        <f>TEST_DATA!E8538</f>
        <v/>
      </c>
    </row>
    <row r="8539">
      <c r="A8539">
        <f>TEST_DATA!A8539</f>
        <v/>
      </c>
      <c r="B8539">
        <f>TEST_DATA!B8539</f>
        <v/>
      </c>
      <c r="C8539">
        <f>TEST_DATA!C8539</f>
        <v/>
      </c>
      <c r="D8539">
        <f>TEST_DATA!D8539</f>
        <v/>
      </c>
      <c r="E8539">
        <f>TEST_DATA!E8539</f>
        <v/>
      </c>
    </row>
    <row r="8540">
      <c r="A8540">
        <f>TEST_DATA!A8540</f>
        <v/>
      </c>
      <c r="B8540">
        <f>TEST_DATA!B8540</f>
        <v/>
      </c>
      <c r="C8540">
        <f>TEST_DATA!C8540</f>
        <v/>
      </c>
      <c r="D8540">
        <f>TEST_DATA!D8540</f>
        <v/>
      </c>
      <c r="E8540">
        <f>TEST_DATA!E8540</f>
        <v/>
      </c>
    </row>
    <row r="8541">
      <c r="A8541">
        <f>TEST_DATA!A8541</f>
        <v/>
      </c>
      <c r="B8541">
        <f>TEST_DATA!B8541</f>
        <v/>
      </c>
      <c r="C8541">
        <f>TEST_DATA!C8541</f>
        <v/>
      </c>
      <c r="D8541">
        <f>TEST_DATA!D8541</f>
        <v/>
      </c>
      <c r="E8541">
        <f>TEST_DATA!E8541</f>
        <v/>
      </c>
    </row>
    <row r="8542">
      <c r="A8542">
        <f>TEST_DATA!A8542</f>
        <v/>
      </c>
      <c r="B8542">
        <f>TEST_DATA!B8542</f>
        <v/>
      </c>
      <c r="C8542">
        <f>TEST_DATA!C8542</f>
        <v/>
      </c>
      <c r="D8542">
        <f>TEST_DATA!D8542</f>
        <v/>
      </c>
      <c r="E8542">
        <f>TEST_DATA!E8542</f>
        <v/>
      </c>
    </row>
    <row r="8543">
      <c r="A8543">
        <f>TEST_DATA!A8543</f>
        <v/>
      </c>
      <c r="B8543">
        <f>TEST_DATA!B8543</f>
        <v/>
      </c>
      <c r="C8543">
        <f>TEST_DATA!C8543</f>
        <v/>
      </c>
      <c r="D8543">
        <f>TEST_DATA!D8543</f>
        <v/>
      </c>
      <c r="E8543">
        <f>TEST_DATA!E8543</f>
        <v/>
      </c>
    </row>
    <row r="8544">
      <c r="A8544">
        <f>TEST_DATA!A8544</f>
        <v/>
      </c>
      <c r="B8544">
        <f>TEST_DATA!B8544</f>
        <v/>
      </c>
      <c r="C8544">
        <f>TEST_DATA!C8544</f>
        <v/>
      </c>
      <c r="D8544">
        <f>TEST_DATA!D8544</f>
        <v/>
      </c>
      <c r="E8544">
        <f>TEST_DATA!E8544</f>
        <v/>
      </c>
    </row>
    <row r="8545">
      <c r="A8545">
        <f>TEST_DATA!A8545</f>
        <v/>
      </c>
      <c r="B8545">
        <f>TEST_DATA!B8545</f>
        <v/>
      </c>
      <c r="C8545">
        <f>TEST_DATA!C8545</f>
        <v/>
      </c>
      <c r="D8545">
        <f>TEST_DATA!D8545</f>
        <v/>
      </c>
      <c r="E8545">
        <f>TEST_DATA!E8545</f>
        <v/>
      </c>
    </row>
    <row r="8546">
      <c r="A8546">
        <f>TEST_DATA!A8546</f>
        <v/>
      </c>
      <c r="B8546">
        <f>TEST_DATA!B8546</f>
        <v/>
      </c>
      <c r="C8546">
        <f>TEST_DATA!C8546</f>
        <v/>
      </c>
      <c r="D8546">
        <f>TEST_DATA!D8546</f>
        <v/>
      </c>
      <c r="E8546">
        <f>TEST_DATA!E8546</f>
        <v/>
      </c>
    </row>
    <row r="8547">
      <c r="A8547">
        <f>TEST_DATA!A8547</f>
        <v/>
      </c>
      <c r="B8547">
        <f>TEST_DATA!B8547</f>
        <v/>
      </c>
      <c r="C8547">
        <f>TEST_DATA!C8547</f>
        <v/>
      </c>
      <c r="D8547">
        <f>TEST_DATA!D8547</f>
        <v/>
      </c>
      <c r="E8547">
        <f>TEST_DATA!E8547</f>
        <v/>
      </c>
    </row>
    <row r="8548">
      <c r="A8548">
        <f>TEST_DATA!A8548</f>
        <v/>
      </c>
      <c r="B8548">
        <f>TEST_DATA!B8548</f>
        <v/>
      </c>
      <c r="C8548">
        <f>TEST_DATA!C8548</f>
        <v/>
      </c>
      <c r="D8548">
        <f>TEST_DATA!D8548</f>
        <v/>
      </c>
      <c r="E8548">
        <f>TEST_DATA!E8548</f>
        <v/>
      </c>
    </row>
    <row r="8549">
      <c r="A8549">
        <f>TEST_DATA!A8549</f>
        <v/>
      </c>
      <c r="B8549">
        <f>TEST_DATA!B8549</f>
        <v/>
      </c>
      <c r="C8549">
        <f>TEST_DATA!C8549</f>
        <v/>
      </c>
      <c r="D8549">
        <f>TEST_DATA!D8549</f>
        <v/>
      </c>
      <c r="E8549">
        <f>TEST_DATA!E8549</f>
        <v/>
      </c>
    </row>
    <row r="8550">
      <c r="A8550">
        <f>TEST_DATA!A8550</f>
        <v/>
      </c>
      <c r="B8550">
        <f>TEST_DATA!B8550</f>
        <v/>
      </c>
      <c r="C8550">
        <f>TEST_DATA!C8550</f>
        <v/>
      </c>
      <c r="D8550">
        <f>TEST_DATA!D8550</f>
        <v/>
      </c>
      <c r="E8550">
        <f>TEST_DATA!E8550</f>
        <v/>
      </c>
    </row>
    <row r="8551">
      <c r="A8551">
        <f>TEST_DATA!A8551</f>
        <v/>
      </c>
      <c r="B8551">
        <f>TEST_DATA!B8551</f>
        <v/>
      </c>
      <c r="C8551">
        <f>TEST_DATA!C8551</f>
        <v/>
      </c>
      <c r="D8551">
        <f>TEST_DATA!D8551</f>
        <v/>
      </c>
      <c r="E8551">
        <f>TEST_DATA!E8551</f>
        <v/>
      </c>
    </row>
    <row r="8552">
      <c r="A8552">
        <f>TEST_DATA!A8552</f>
        <v/>
      </c>
      <c r="B8552">
        <f>TEST_DATA!B8552</f>
        <v/>
      </c>
      <c r="C8552">
        <f>TEST_DATA!C8552</f>
        <v/>
      </c>
      <c r="D8552">
        <f>TEST_DATA!D8552</f>
        <v/>
      </c>
      <c r="E8552">
        <f>TEST_DATA!E8552</f>
        <v/>
      </c>
    </row>
    <row r="8553">
      <c r="A8553">
        <f>TEST_DATA!A8553</f>
        <v/>
      </c>
      <c r="B8553">
        <f>TEST_DATA!B8553</f>
        <v/>
      </c>
      <c r="C8553">
        <f>TEST_DATA!C8553</f>
        <v/>
      </c>
      <c r="D8553">
        <f>TEST_DATA!D8553</f>
        <v/>
      </c>
      <c r="E8553">
        <f>TEST_DATA!E8553</f>
        <v/>
      </c>
    </row>
    <row r="8554">
      <c r="A8554">
        <f>TEST_DATA!A8554</f>
        <v/>
      </c>
      <c r="B8554">
        <f>TEST_DATA!B8554</f>
        <v/>
      </c>
      <c r="C8554">
        <f>TEST_DATA!C8554</f>
        <v/>
      </c>
      <c r="D8554">
        <f>TEST_DATA!D8554</f>
        <v/>
      </c>
      <c r="E8554">
        <f>TEST_DATA!E8554</f>
        <v/>
      </c>
    </row>
    <row r="8555">
      <c r="A8555">
        <f>TEST_DATA!A8555</f>
        <v/>
      </c>
      <c r="B8555">
        <f>TEST_DATA!B8555</f>
        <v/>
      </c>
      <c r="C8555">
        <f>TEST_DATA!C8555</f>
        <v/>
      </c>
      <c r="D8555">
        <f>TEST_DATA!D8555</f>
        <v/>
      </c>
      <c r="E8555">
        <f>TEST_DATA!E8555</f>
        <v/>
      </c>
    </row>
    <row r="8556">
      <c r="A8556">
        <f>TEST_DATA!A8556</f>
        <v/>
      </c>
      <c r="B8556">
        <f>TEST_DATA!B8556</f>
        <v/>
      </c>
      <c r="C8556">
        <f>TEST_DATA!C8556</f>
        <v/>
      </c>
      <c r="D8556">
        <f>TEST_DATA!D8556</f>
        <v/>
      </c>
      <c r="E8556">
        <f>TEST_DATA!E8556</f>
        <v/>
      </c>
    </row>
    <row r="8557">
      <c r="A8557">
        <f>TEST_DATA!A8557</f>
        <v/>
      </c>
      <c r="B8557">
        <f>TEST_DATA!B8557</f>
        <v/>
      </c>
      <c r="C8557">
        <f>TEST_DATA!C8557</f>
        <v/>
      </c>
      <c r="D8557">
        <f>TEST_DATA!D8557</f>
        <v/>
      </c>
      <c r="E8557">
        <f>TEST_DATA!E8557</f>
        <v/>
      </c>
    </row>
    <row r="8558">
      <c r="A8558">
        <f>TEST_DATA!A8558</f>
        <v/>
      </c>
      <c r="B8558">
        <f>TEST_DATA!B8558</f>
        <v/>
      </c>
      <c r="C8558">
        <f>TEST_DATA!C8558</f>
        <v/>
      </c>
      <c r="D8558">
        <f>TEST_DATA!D8558</f>
        <v/>
      </c>
      <c r="E8558">
        <f>TEST_DATA!E8558</f>
        <v/>
      </c>
    </row>
    <row r="8559">
      <c r="A8559">
        <f>TEST_DATA!A8559</f>
        <v/>
      </c>
      <c r="B8559">
        <f>TEST_DATA!B8559</f>
        <v/>
      </c>
      <c r="C8559">
        <f>TEST_DATA!C8559</f>
        <v/>
      </c>
      <c r="D8559">
        <f>TEST_DATA!D8559</f>
        <v/>
      </c>
      <c r="E8559">
        <f>TEST_DATA!E8559</f>
        <v/>
      </c>
    </row>
    <row r="8560">
      <c r="A8560">
        <f>TEST_DATA!A8560</f>
        <v/>
      </c>
      <c r="B8560">
        <f>TEST_DATA!B8560</f>
        <v/>
      </c>
      <c r="C8560">
        <f>TEST_DATA!C8560</f>
        <v/>
      </c>
      <c r="D8560">
        <f>TEST_DATA!D8560</f>
        <v/>
      </c>
      <c r="E8560">
        <f>TEST_DATA!E8560</f>
        <v/>
      </c>
    </row>
    <row r="8561">
      <c r="A8561">
        <f>TEST_DATA!A8561</f>
        <v/>
      </c>
      <c r="B8561">
        <f>TEST_DATA!B8561</f>
        <v/>
      </c>
      <c r="C8561">
        <f>TEST_DATA!C8561</f>
        <v/>
      </c>
      <c r="D8561">
        <f>TEST_DATA!D8561</f>
        <v/>
      </c>
      <c r="E8561">
        <f>TEST_DATA!E8561</f>
        <v/>
      </c>
    </row>
    <row r="8562">
      <c r="A8562">
        <f>TEST_DATA!A8562</f>
        <v/>
      </c>
      <c r="B8562">
        <f>TEST_DATA!B8562</f>
        <v/>
      </c>
      <c r="C8562">
        <f>TEST_DATA!C8562</f>
        <v/>
      </c>
      <c r="D8562">
        <f>TEST_DATA!D8562</f>
        <v/>
      </c>
      <c r="E8562">
        <f>TEST_DATA!E8562</f>
        <v/>
      </c>
    </row>
    <row r="8563">
      <c r="A8563">
        <f>TEST_DATA!A8563</f>
        <v/>
      </c>
      <c r="B8563">
        <f>TEST_DATA!B8563</f>
        <v/>
      </c>
      <c r="C8563">
        <f>TEST_DATA!C8563</f>
        <v/>
      </c>
      <c r="D8563">
        <f>TEST_DATA!D8563</f>
        <v/>
      </c>
      <c r="E8563">
        <f>TEST_DATA!E8563</f>
        <v/>
      </c>
    </row>
    <row r="8564">
      <c r="A8564">
        <f>TEST_DATA!A8564</f>
        <v/>
      </c>
      <c r="B8564">
        <f>TEST_DATA!B8564</f>
        <v/>
      </c>
      <c r="C8564">
        <f>TEST_DATA!C8564</f>
        <v/>
      </c>
      <c r="D8564">
        <f>TEST_DATA!D8564</f>
        <v/>
      </c>
      <c r="E8564">
        <f>TEST_DATA!E8564</f>
        <v/>
      </c>
    </row>
    <row r="8565">
      <c r="A8565">
        <f>TEST_DATA!A8565</f>
        <v/>
      </c>
      <c r="B8565">
        <f>TEST_DATA!B8565</f>
        <v/>
      </c>
      <c r="C8565">
        <f>TEST_DATA!C8565</f>
        <v/>
      </c>
      <c r="D8565">
        <f>TEST_DATA!D8565</f>
        <v/>
      </c>
      <c r="E8565">
        <f>TEST_DATA!E8565</f>
        <v/>
      </c>
    </row>
    <row r="8566">
      <c r="A8566">
        <f>TEST_DATA!A8566</f>
        <v/>
      </c>
      <c r="B8566">
        <f>TEST_DATA!B8566</f>
        <v/>
      </c>
      <c r="C8566">
        <f>TEST_DATA!C8566</f>
        <v/>
      </c>
      <c r="D8566">
        <f>TEST_DATA!D8566</f>
        <v/>
      </c>
      <c r="E8566">
        <f>TEST_DATA!E8566</f>
        <v/>
      </c>
    </row>
    <row r="8567">
      <c r="A8567">
        <f>TEST_DATA!A8567</f>
        <v/>
      </c>
      <c r="B8567">
        <f>TEST_DATA!B8567</f>
        <v/>
      </c>
      <c r="C8567">
        <f>TEST_DATA!C8567</f>
        <v/>
      </c>
      <c r="D8567">
        <f>TEST_DATA!D8567</f>
        <v/>
      </c>
      <c r="E8567">
        <f>TEST_DATA!E8567</f>
        <v/>
      </c>
    </row>
    <row r="8568">
      <c r="A8568">
        <f>TEST_DATA!A8568</f>
        <v/>
      </c>
      <c r="B8568">
        <f>TEST_DATA!B8568</f>
        <v/>
      </c>
      <c r="C8568">
        <f>TEST_DATA!C8568</f>
        <v/>
      </c>
      <c r="D8568">
        <f>TEST_DATA!D8568</f>
        <v/>
      </c>
      <c r="E8568">
        <f>TEST_DATA!E8568</f>
        <v/>
      </c>
    </row>
    <row r="8569">
      <c r="A8569">
        <f>TEST_DATA!A8569</f>
        <v/>
      </c>
      <c r="B8569">
        <f>TEST_DATA!B8569</f>
        <v/>
      </c>
      <c r="C8569">
        <f>TEST_DATA!C8569</f>
        <v/>
      </c>
      <c r="D8569">
        <f>TEST_DATA!D8569</f>
        <v/>
      </c>
      <c r="E8569">
        <f>TEST_DATA!E8569</f>
        <v/>
      </c>
    </row>
    <row r="8570">
      <c r="A8570">
        <f>TEST_DATA!A8570</f>
        <v/>
      </c>
      <c r="B8570">
        <f>TEST_DATA!B8570</f>
        <v/>
      </c>
      <c r="C8570">
        <f>TEST_DATA!C8570</f>
        <v/>
      </c>
      <c r="D8570">
        <f>TEST_DATA!D8570</f>
        <v/>
      </c>
      <c r="E8570">
        <f>TEST_DATA!E8570</f>
        <v/>
      </c>
    </row>
    <row r="8571">
      <c r="A8571">
        <f>TEST_DATA!A8571</f>
        <v/>
      </c>
      <c r="B8571">
        <f>TEST_DATA!B8571</f>
        <v/>
      </c>
      <c r="C8571">
        <f>TEST_DATA!C8571</f>
        <v/>
      </c>
      <c r="D8571">
        <f>TEST_DATA!D8571</f>
        <v/>
      </c>
      <c r="E8571">
        <f>TEST_DATA!E8571</f>
        <v/>
      </c>
    </row>
    <row r="8572">
      <c r="A8572">
        <f>TEST_DATA!A8572</f>
        <v/>
      </c>
      <c r="B8572">
        <f>TEST_DATA!B8572</f>
        <v/>
      </c>
      <c r="C8572">
        <f>TEST_DATA!C8572</f>
        <v/>
      </c>
      <c r="D8572">
        <f>TEST_DATA!D8572</f>
        <v/>
      </c>
      <c r="E8572">
        <f>TEST_DATA!E8572</f>
        <v/>
      </c>
    </row>
    <row r="8573">
      <c r="A8573">
        <f>TEST_DATA!A8573</f>
        <v/>
      </c>
      <c r="B8573">
        <f>TEST_DATA!B8573</f>
        <v/>
      </c>
      <c r="C8573">
        <f>TEST_DATA!C8573</f>
        <v/>
      </c>
      <c r="D8573">
        <f>TEST_DATA!D8573</f>
        <v/>
      </c>
      <c r="E8573">
        <f>TEST_DATA!E8573</f>
        <v/>
      </c>
    </row>
    <row r="8574">
      <c r="A8574">
        <f>TEST_DATA!A8574</f>
        <v/>
      </c>
      <c r="B8574">
        <f>TEST_DATA!B8574</f>
        <v/>
      </c>
      <c r="C8574">
        <f>TEST_DATA!C8574</f>
        <v/>
      </c>
      <c r="D8574">
        <f>TEST_DATA!D8574</f>
        <v/>
      </c>
      <c r="E8574">
        <f>TEST_DATA!E8574</f>
        <v/>
      </c>
    </row>
    <row r="8575">
      <c r="A8575">
        <f>TEST_DATA!A8575</f>
        <v/>
      </c>
      <c r="B8575">
        <f>TEST_DATA!B8575</f>
        <v/>
      </c>
      <c r="C8575">
        <f>TEST_DATA!C8575</f>
        <v/>
      </c>
      <c r="D8575">
        <f>TEST_DATA!D8575</f>
        <v/>
      </c>
      <c r="E8575">
        <f>TEST_DATA!E8575</f>
        <v/>
      </c>
    </row>
    <row r="8576">
      <c r="A8576">
        <f>TEST_DATA!A8576</f>
        <v/>
      </c>
      <c r="B8576">
        <f>TEST_DATA!B8576</f>
        <v/>
      </c>
      <c r="C8576">
        <f>TEST_DATA!C8576</f>
        <v/>
      </c>
      <c r="D8576">
        <f>TEST_DATA!D8576</f>
        <v/>
      </c>
      <c r="E8576">
        <f>TEST_DATA!E8576</f>
        <v/>
      </c>
    </row>
    <row r="8577">
      <c r="A8577">
        <f>TEST_DATA!A8577</f>
        <v/>
      </c>
      <c r="B8577">
        <f>TEST_DATA!B8577</f>
        <v/>
      </c>
      <c r="C8577">
        <f>TEST_DATA!C8577</f>
        <v/>
      </c>
      <c r="D8577">
        <f>TEST_DATA!D8577</f>
        <v/>
      </c>
      <c r="E8577">
        <f>TEST_DATA!E8577</f>
        <v/>
      </c>
    </row>
    <row r="8578">
      <c r="A8578">
        <f>TEST_DATA!A8578</f>
        <v/>
      </c>
      <c r="B8578">
        <f>TEST_DATA!B8578</f>
        <v/>
      </c>
      <c r="C8578">
        <f>TEST_DATA!C8578</f>
        <v/>
      </c>
      <c r="D8578">
        <f>TEST_DATA!D8578</f>
        <v/>
      </c>
      <c r="E8578">
        <f>TEST_DATA!E8578</f>
        <v/>
      </c>
    </row>
    <row r="8579">
      <c r="A8579">
        <f>TEST_DATA!A8579</f>
        <v/>
      </c>
      <c r="B8579">
        <f>TEST_DATA!B8579</f>
        <v/>
      </c>
      <c r="C8579">
        <f>TEST_DATA!C8579</f>
        <v/>
      </c>
      <c r="D8579">
        <f>TEST_DATA!D8579</f>
        <v/>
      </c>
      <c r="E8579">
        <f>TEST_DATA!E8579</f>
        <v/>
      </c>
    </row>
    <row r="8580">
      <c r="A8580">
        <f>TEST_DATA!A8580</f>
        <v/>
      </c>
      <c r="B8580">
        <f>TEST_DATA!B8580</f>
        <v/>
      </c>
      <c r="C8580">
        <f>TEST_DATA!C8580</f>
        <v/>
      </c>
      <c r="D8580">
        <f>TEST_DATA!D8580</f>
        <v/>
      </c>
      <c r="E8580">
        <f>TEST_DATA!E8580</f>
        <v/>
      </c>
    </row>
    <row r="8581">
      <c r="A8581">
        <f>TEST_DATA!A8581</f>
        <v/>
      </c>
      <c r="B8581">
        <f>TEST_DATA!B8581</f>
        <v/>
      </c>
      <c r="C8581">
        <f>TEST_DATA!C8581</f>
        <v/>
      </c>
      <c r="D8581">
        <f>TEST_DATA!D8581</f>
        <v/>
      </c>
      <c r="E8581">
        <f>TEST_DATA!E8581</f>
        <v/>
      </c>
    </row>
    <row r="8582">
      <c r="A8582">
        <f>TEST_DATA!A8582</f>
        <v/>
      </c>
      <c r="B8582">
        <f>TEST_DATA!B8582</f>
        <v/>
      </c>
      <c r="C8582">
        <f>TEST_DATA!C8582</f>
        <v/>
      </c>
      <c r="D8582">
        <f>TEST_DATA!D8582</f>
        <v/>
      </c>
      <c r="E8582">
        <f>TEST_DATA!E8582</f>
        <v/>
      </c>
    </row>
    <row r="8583">
      <c r="A8583">
        <f>TEST_DATA!A8583</f>
        <v/>
      </c>
      <c r="B8583">
        <f>TEST_DATA!B8583</f>
        <v/>
      </c>
      <c r="C8583">
        <f>TEST_DATA!C8583</f>
        <v/>
      </c>
      <c r="D8583">
        <f>TEST_DATA!D8583</f>
        <v/>
      </c>
      <c r="E8583">
        <f>TEST_DATA!E8583</f>
        <v/>
      </c>
    </row>
    <row r="8584">
      <c r="A8584">
        <f>TEST_DATA!A8584</f>
        <v/>
      </c>
      <c r="B8584">
        <f>TEST_DATA!B8584</f>
        <v/>
      </c>
      <c r="C8584">
        <f>TEST_DATA!C8584</f>
        <v/>
      </c>
      <c r="D8584">
        <f>TEST_DATA!D8584</f>
        <v/>
      </c>
      <c r="E8584">
        <f>TEST_DATA!E8584</f>
        <v/>
      </c>
    </row>
    <row r="8585">
      <c r="A8585">
        <f>TEST_DATA!A8585</f>
        <v/>
      </c>
      <c r="B8585">
        <f>TEST_DATA!B8585</f>
        <v/>
      </c>
      <c r="C8585">
        <f>TEST_DATA!C8585</f>
        <v/>
      </c>
      <c r="D8585">
        <f>TEST_DATA!D8585</f>
        <v/>
      </c>
      <c r="E8585">
        <f>TEST_DATA!E8585</f>
        <v/>
      </c>
    </row>
    <row r="8586">
      <c r="A8586">
        <f>TEST_DATA!A8586</f>
        <v/>
      </c>
      <c r="B8586">
        <f>TEST_DATA!B8586</f>
        <v/>
      </c>
      <c r="C8586">
        <f>TEST_DATA!C8586</f>
        <v/>
      </c>
      <c r="D8586">
        <f>TEST_DATA!D8586</f>
        <v/>
      </c>
      <c r="E8586">
        <f>TEST_DATA!E8586</f>
        <v/>
      </c>
    </row>
    <row r="8587">
      <c r="A8587">
        <f>TEST_DATA!A8587</f>
        <v/>
      </c>
      <c r="B8587">
        <f>TEST_DATA!B8587</f>
        <v/>
      </c>
      <c r="C8587">
        <f>TEST_DATA!C8587</f>
        <v/>
      </c>
      <c r="D8587">
        <f>TEST_DATA!D8587</f>
        <v/>
      </c>
      <c r="E8587">
        <f>TEST_DATA!E8587</f>
        <v/>
      </c>
    </row>
    <row r="8588">
      <c r="A8588">
        <f>TEST_DATA!A8588</f>
        <v/>
      </c>
      <c r="B8588">
        <f>TEST_DATA!B8588</f>
        <v/>
      </c>
      <c r="C8588">
        <f>TEST_DATA!C8588</f>
        <v/>
      </c>
      <c r="D8588">
        <f>TEST_DATA!D8588</f>
        <v/>
      </c>
      <c r="E8588">
        <f>TEST_DATA!E8588</f>
        <v/>
      </c>
    </row>
    <row r="8589">
      <c r="A8589">
        <f>TEST_DATA!A8589</f>
        <v/>
      </c>
      <c r="B8589">
        <f>TEST_DATA!B8589</f>
        <v/>
      </c>
      <c r="C8589">
        <f>TEST_DATA!C8589</f>
        <v/>
      </c>
      <c r="D8589">
        <f>TEST_DATA!D8589</f>
        <v/>
      </c>
      <c r="E8589">
        <f>TEST_DATA!E8589</f>
        <v/>
      </c>
    </row>
    <row r="8590">
      <c r="A8590">
        <f>TEST_DATA!A8590</f>
        <v/>
      </c>
      <c r="B8590">
        <f>TEST_DATA!B8590</f>
        <v/>
      </c>
      <c r="C8590">
        <f>TEST_DATA!C8590</f>
        <v/>
      </c>
      <c r="D8590">
        <f>TEST_DATA!D8590</f>
        <v/>
      </c>
      <c r="E8590">
        <f>TEST_DATA!E8590</f>
        <v/>
      </c>
    </row>
    <row r="8591">
      <c r="A8591">
        <f>TEST_DATA!A8591</f>
        <v/>
      </c>
      <c r="B8591">
        <f>TEST_DATA!B8591</f>
        <v/>
      </c>
      <c r="C8591">
        <f>TEST_DATA!C8591</f>
        <v/>
      </c>
      <c r="D8591">
        <f>TEST_DATA!D8591</f>
        <v/>
      </c>
      <c r="E8591">
        <f>TEST_DATA!E8591</f>
        <v/>
      </c>
    </row>
    <row r="8592">
      <c r="A8592">
        <f>TEST_DATA!A8592</f>
        <v/>
      </c>
      <c r="B8592">
        <f>TEST_DATA!B8592</f>
        <v/>
      </c>
      <c r="C8592">
        <f>TEST_DATA!C8592</f>
        <v/>
      </c>
      <c r="D8592">
        <f>TEST_DATA!D8592</f>
        <v/>
      </c>
      <c r="E8592">
        <f>TEST_DATA!E8592</f>
        <v/>
      </c>
    </row>
    <row r="8593">
      <c r="A8593">
        <f>TEST_DATA!A8593</f>
        <v/>
      </c>
      <c r="B8593">
        <f>TEST_DATA!B8593</f>
        <v/>
      </c>
      <c r="C8593">
        <f>TEST_DATA!C8593</f>
        <v/>
      </c>
      <c r="D8593">
        <f>TEST_DATA!D8593</f>
        <v/>
      </c>
      <c r="E8593">
        <f>TEST_DATA!E8593</f>
        <v/>
      </c>
    </row>
    <row r="8594">
      <c r="A8594">
        <f>TEST_DATA!A8594</f>
        <v/>
      </c>
      <c r="B8594">
        <f>TEST_DATA!B8594</f>
        <v/>
      </c>
      <c r="C8594">
        <f>TEST_DATA!C8594</f>
        <v/>
      </c>
      <c r="D8594">
        <f>TEST_DATA!D8594</f>
        <v/>
      </c>
      <c r="E8594">
        <f>TEST_DATA!E8594</f>
        <v/>
      </c>
    </row>
    <row r="8595">
      <c r="A8595">
        <f>TEST_DATA!A8595</f>
        <v/>
      </c>
      <c r="B8595">
        <f>TEST_DATA!B8595</f>
        <v/>
      </c>
      <c r="C8595">
        <f>TEST_DATA!C8595</f>
        <v/>
      </c>
      <c r="D8595">
        <f>TEST_DATA!D8595</f>
        <v/>
      </c>
      <c r="E8595">
        <f>TEST_DATA!E8595</f>
        <v/>
      </c>
    </row>
    <row r="8596">
      <c r="A8596">
        <f>TEST_DATA!A8596</f>
        <v/>
      </c>
      <c r="B8596">
        <f>TEST_DATA!B8596</f>
        <v/>
      </c>
      <c r="C8596">
        <f>TEST_DATA!C8596</f>
        <v/>
      </c>
      <c r="D8596">
        <f>TEST_DATA!D8596</f>
        <v/>
      </c>
      <c r="E8596">
        <f>TEST_DATA!E8596</f>
        <v/>
      </c>
    </row>
    <row r="8597">
      <c r="A8597">
        <f>TEST_DATA!A8597</f>
        <v/>
      </c>
      <c r="B8597">
        <f>TEST_DATA!B8597</f>
        <v/>
      </c>
      <c r="C8597">
        <f>TEST_DATA!C8597</f>
        <v/>
      </c>
      <c r="D8597">
        <f>TEST_DATA!D8597</f>
        <v/>
      </c>
      <c r="E8597">
        <f>TEST_DATA!E8597</f>
        <v/>
      </c>
    </row>
    <row r="8598">
      <c r="A8598">
        <f>TEST_DATA!A8598</f>
        <v/>
      </c>
      <c r="B8598">
        <f>TEST_DATA!B8598</f>
        <v/>
      </c>
      <c r="C8598">
        <f>TEST_DATA!C8598</f>
        <v/>
      </c>
      <c r="D8598">
        <f>TEST_DATA!D8598</f>
        <v/>
      </c>
      <c r="E8598">
        <f>TEST_DATA!E8598</f>
        <v/>
      </c>
    </row>
    <row r="8599">
      <c r="A8599">
        <f>TEST_DATA!A8599</f>
        <v/>
      </c>
      <c r="B8599">
        <f>TEST_DATA!B8599</f>
        <v/>
      </c>
      <c r="C8599">
        <f>TEST_DATA!C8599</f>
        <v/>
      </c>
      <c r="D8599">
        <f>TEST_DATA!D8599</f>
        <v/>
      </c>
      <c r="E8599">
        <f>TEST_DATA!E8599</f>
        <v/>
      </c>
    </row>
    <row r="8600">
      <c r="A8600">
        <f>TEST_DATA!A8600</f>
        <v/>
      </c>
      <c r="B8600">
        <f>TEST_DATA!B8600</f>
        <v/>
      </c>
      <c r="C8600">
        <f>TEST_DATA!C8600</f>
        <v/>
      </c>
      <c r="D8600">
        <f>TEST_DATA!D8600</f>
        <v/>
      </c>
      <c r="E8600">
        <f>TEST_DATA!E8600</f>
        <v/>
      </c>
    </row>
    <row r="8601">
      <c r="A8601">
        <f>TEST_DATA!A8601</f>
        <v/>
      </c>
      <c r="B8601">
        <f>TEST_DATA!B8601</f>
        <v/>
      </c>
      <c r="C8601">
        <f>TEST_DATA!C8601</f>
        <v/>
      </c>
      <c r="D8601">
        <f>TEST_DATA!D8601</f>
        <v/>
      </c>
      <c r="E8601">
        <f>TEST_DATA!E8601</f>
        <v/>
      </c>
    </row>
    <row r="8602">
      <c r="A8602">
        <f>TEST_DATA!A8602</f>
        <v/>
      </c>
      <c r="B8602">
        <f>TEST_DATA!B8602</f>
        <v/>
      </c>
      <c r="C8602">
        <f>TEST_DATA!C8602</f>
        <v/>
      </c>
      <c r="D8602">
        <f>TEST_DATA!D8602</f>
        <v/>
      </c>
      <c r="E8602">
        <f>TEST_DATA!E8602</f>
        <v/>
      </c>
    </row>
    <row r="8603">
      <c r="A8603">
        <f>TEST_DATA!A8603</f>
        <v/>
      </c>
      <c r="B8603">
        <f>TEST_DATA!B8603</f>
        <v/>
      </c>
      <c r="C8603">
        <f>TEST_DATA!C8603</f>
        <v/>
      </c>
      <c r="D8603">
        <f>TEST_DATA!D8603</f>
        <v/>
      </c>
      <c r="E8603">
        <f>TEST_DATA!E8603</f>
        <v/>
      </c>
    </row>
    <row r="8604">
      <c r="A8604">
        <f>TEST_DATA!A8604</f>
        <v/>
      </c>
      <c r="B8604">
        <f>TEST_DATA!B8604</f>
        <v/>
      </c>
      <c r="C8604">
        <f>TEST_DATA!C8604</f>
        <v/>
      </c>
      <c r="D8604">
        <f>TEST_DATA!D8604</f>
        <v/>
      </c>
      <c r="E8604">
        <f>TEST_DATA!E8604</f>
        <v/>
      </c>
    </row>
    <row r="8605">
      <c r="A8605">
        <f>TEST_DATA!A8605</f>
        <v/>
      </c>
      <c r="B8605">
        <f>TEST_DATA!B8605</f>
        <v/>
      </c>
      <c r="C8605">
        <f>TEST_DATA!C8605</f>
        <v/>
      </c>
      <c r="D8605">
        <f>TEST_DATA!D8605</f>
        <v/>
      </c>
      <c r="E8605">
        <f>TEST_DATA!E8605</f>
        <v/>
      </c>
    </row>
    <row r="8606">
      <c r="A8606">
        <f>TEST_DATA!A8606</f>
        <v/>
      </c>
      <c r="B8606">
        <f>TEST_DATA!B8606</f>
        <v/>
      </c>
      <c r="C8606">
        <f>TEST_DATA!C8606</f>
        <v/>
      </c>
      <c r="D8606">
        <f>TEST_DATA!D8606</f>
        <v/>
      </c>
      <c r="E8606">
        <f>TEST_DATA!E8606</f>
        <v/>
      </c>
    </row>
    <row r="8607">
      <c r="A8607">
        <f>TEST_DATA!A8607</f>
        <v/>
      </c>
      <c r="B8607">
        <f>TEST_DATA!B8607</f>
        <v/>
      </c>
      <c r="C8607">
        <f>TEST_DATA!C8607</f>
        <v/>
      </c>
      <c r="D8607">
        <f>TEST_DATA!D8607</f>
        <v/>
      </c>
      <c r="E8607">
        <f>TEST_DATA!E8607</f>
        <v/>
      </c>
    </row>
    <row r="8608">
      <c r="A8608">
        <f>TEST_DATA!A8608</f>
        <v/>
      </c>
      <c r="B8608">
        <f>TEST_DATA!B8608</f>
        <v/>
      </c>
      <c r="C8608">
        <f>TEST_DATA!C8608</f>
        <v/>
      </c>
      <c r="D8608">
        <f>TEST_DATA!D8608</f>
        <v/>
      </c>
      <c r="E8608">
        <f>TEST_DATA!E8608</f>
        <v/>
      </c>
    </row>
    <row r="8609">
      <c r="A8609">
        <f>TEST_DATA!A8609</f>
        <v/>
      </c>
      <c r="B8609">
        <f>TEST_DATA!B8609</f>
        <v/>
      </c>
      <c r="C8609">
        <f>TEST_DATA!C8609</f>
        <v/>
      </c>
      <c r="D8609">
        <f>TEST_DATA!D8609</f>
        <v/>
      </c>
      <c r="E8609">
        <f>TEST_DATA!E8609</f>
        <v/>
      </c>
    </row>
    <row r="8610">
      <c r="A8610">
        <f>TEST_DATA!A8610</f>
        <v/>
      </c>
      <c r="B8610">
        <f>TEST_DATA!B8610</f>
        <v/>
      </c>
      <c r="C8610">
        <f>TEST_DATA!C8610</f>
        <v/>
      </c>
      <c r="D8610">
        <f>TEST_DATA!D8610</f>
        <v/>
      </c>
      <c r="E8610">
        <f>TEST_DATA!E8610</f>
        <v/>
      </c>
    </row>
    <row r="8611">
      <c r="A8611">
        <f>TEST_DATA!A8611</f>
        <v/>
      </c>
      <c r="B8611">
        <f>TEST_DATA!B8611</f>
        <v/>
      </c>
      <c r="C8611">
        <f>TEST_DATA!C8611</f>
        <v/>
      </c>
      <c r="D8611">
        <f>TEST_DATA!D8611</f>
        <v/>
      </c>
      <c r="E8611">
        <f>TEST_DATA!E8611</f>
        <v/>
      </c>
    </row>
    <row r="8612">
      <c r="A8612">
        <f>TEST_DATA!A8612</f>
        <v/>
      </c>
      <c r="B8612">
        <f>TEST_DATA!B8612</f>
        <v/>
      </c>
      <c r="C8612">
        <f>TEST_DATA!C8612</f>
        <v/>
      </c>
      <c r="D8612">
        <f>TEST_DATA!D8612</f>
        <v/>
      </c>
      <c r="E8612">
        <f>TEST_DATA!E8612</f>
        <v/>
      </c>
    </row>
    <row r="8613">
      <c r="A8613">
        <f>TEST_DATA!A8613</f>
        <v/>
      </c>
      <c r="B8613">
        <f>TEST_DATA!B8613</f>
        <v/>
      </c>
      <c r="C8613">
        <f>TEST_DATA!C8613</f>
        <v/>
      </c>
      <c r="D8613">
        <f>TEST_DATA!D8613</f>
        <v/>
      </c>
      <c r="E8613">
        <f>TEST_DATA!E8613</f>
        <v/>
      </c>
    </row>
    <row r="8614">
      <c r="A8614">
        <f>TEST_DATA!A8614</f>
        <v/>
      </c>
      <c r="B8614">
        <f>TEST_DATA!B8614</f>
        <v/>
      </c>
      <c r="C8614">
        <f>TEST_DATA!C8614</f>
        <v/>
      </c>
      <c r="D8614">
        <f>TEST_DATA!D8614</f>
        <v/>
      </c>
      <c r="E8614">
        <f>TEST_DATA!E8614</f>
        <v/>
      </c>
    </row>
    <row r="8615">
      <c r="A8615">
        <f>TEST_DATA!A8615</f>
        <v/>
      </c>
      <c r="B8615">
        <f>TEST_DATA!B8615</f>
        <v/>
      </c>
      <c r="C8615">
        <f>TEST_DATA!C8615</f>
        <v/>
      </c>
      <c r="D8615">
        <f>TEST_DATA!D8615</f>
        <v/>
      </c>
      <c r="E8615">
        <f>TEST_DATA!E8615</f>
        <v/>
      </c>
    </row>
    <row r="8616">
      <c r="A8616">
        <f>TEST_DATA!A8616</f>
        <v/>
      </c>
      <c r="B8616">
        <f>TEST_DATA!B8616</f>
        <v/>
      </c>
      <c r="C8616">
        <f>TEST_DATA!C8616</f>
        <v/>
      </c>
      <c r="D8616">
        <f>TEST_DATA!D8616</f>
        <v/>
      </c>
      <c r="E8616">
        <f>TEST_DATA!E8616</f>
        <v/>
      </c>
    </row>
    <row r="8617">
      <c r="A8617">
        <f>TEST_DATA!A8617</f>
        <v/>
      </c>
      <c r="B8617">
        <f>TEST_DATA!B8617</f>
        <v/>
      </c>
      <c r="C8617">
        <f>TEST_DATA!C8617</f>
        <v/>
      </c>
      <c r="D8617">
        <f>TEST_DATA!D8617</f>
        <v/>
      </c>
      <c r="E8617">
        <f>TEST_DATA!E8617</f>
        <v/>
      </c>
    </row>
    <row r="8618">
      <c r="A8618">
        <f>TEST_DATA!A8618</f>
        <v/>
      </c>
      <c r="B8618">
        <f>TEST_DATA!B8618</f>
        <v/>
      </c>
      <c r="C8618">
        <f>TEST_DATA!C8618</f>
        <v/>
      </c>
      <c r="D8618">
        <f>TEST_DATA!D8618</f>
        <v/>
      </c>
      <c r="E8618">
        <f>TEST_DATA!E8618</f>
        <v/>
      </c>
    </row>
    <row r="8619">
      <c r="A8619">
        <f>TEST_DATA!A8619</f>
        <v/>
      </c>
      <c r="B8619">
        <f>TEST_DATA!B8619</f>
        <v/>
      </c>
      <c r="C8619">
        <f>TEST_DATA!C8619</f>
        <v/>
      </c>
      <c r="D8619">
        <f>TEST_DATA!D8619</f>
        <v/>
      </c>
      <c r="E8619">
        <f>TEST_DATA!E8619</f>
        <v/>
      </c>
    </row>
    <row r="8620">
      <c r="A8620">
        <f>TEST_DATA!A8620</f>
        <v/>
      </c>
      <c r="B8620">
        <f>TEST_DATA!B8620</f>
        <v/>
      </c>
      <c r="C8620">
        <f>TEST_DATA!C8620</f>
        <v/>
      </c>
      <c r="D8620">
        <f>TEST_DATA!D8620</f>
        <v/>
      </c>
      <c r="E8620">
        <f>TEST_DATA!E8620</f>
        <v/>
      </c>
    </row>
    <row r="8621">
      <c r="A8621">
        <f>TEST_DATA!A8621</f>
        <v/>
      </c>
      <c r="B8621">
        <f>TEST_DATA!B8621</f>
        <v/>
      </c>
      <c r="C8621">
        <f>TEST_DATA!C8621</f>
        <v/>
      </c>
      <c r="D8621">
        <f>TEST_DATA!D8621</f>
        <v/>
      </c>
      <c r="E8621">
        <f>TEST_DATA!E8621</f>
        <v/>
      </c>
    </row>
    <row r="8622">
      <c r="A8622">
        <f>TEST_DATA!A8622</f>
        <v/>
      </c>
      <c r="B8622">
        <f>TEST_DATA!B8622</f>
        <v/>
      </c>
      <c r="C8622">
        <f>TEST_DATA!C8622</f>
        <v/>
      </c>
      <c r="D8622">
        <f>TEST_DATA!D8622</f>
        <v/>
      </c>
      <c r="E8622">
        <f>TEST_DATA!E8622</f>
        <v/>
      </c>
    </row>
    <row r="8623">
      <c r="A8623">
        <f>TEST_DATA!A8623</f>
        <v/>
      </c>
      <c r="B8623">
        <f>TEST_DATA!B8623</f>
        <v/>
      </c>
      <c r="C8623">
        <f>TEST_DATA!C8623</f>
        <v/>
      </c>
      <c r="D8623">
        <f>TEST_DATA!D8623</f>
        <v/>
      </c>
      <c r="E8623">
        <f>TEST_DATA!E8623</f>
        <v/>
      </c>
    </row>
    <row r="8624">
      <c r="A8624">
        <f>TEST_DATA!A8624</f>
        <v/>
      </c>
      <c r="B8624">
        <f>TEST_DATA!B8624</f>
        <v/>
      </c>
      <c r="C8624">
        <f>TEST_DATA!C8624</f>
        <v/>
      </c>
      <c r="D8624">
        <f>TEST_DATA!D8624</f>
        <v/>
      </c>
      <c r="E8624">
        <f>TEST_DATA!E8624</f>
        <v/>
      </c>
    </row>
    <row r="8625">
      <c r="A8625">
        <f>TEST_DATA!A8625</f>
        <v/>
      </c>
      <c r="B8625">
        <f>TEST_DATA!B8625</f>
        <v/>
      </c>
      <c r="C8625">
        <f>TEST_DATA!C8625</f>
        <v/>
      </c>
      <c r="D8625">
        <f>TEST_DATA!D8625</f>
        <v/>
      </c>
      <c r="E8625">
        <f>TEST_DATA!E8625</f>
        <v/>
      </c>
    </row>
    <row r="8626">
      <c r="A8626">
        <f>TEST_DATA!A8626</f>
        <v/>
      </c>
      <c r="B8626">
        <f>TEST_DATA!B8626</f>
        <v/>
      </c>
      <c r="C8626">
        <f>TEST_DATA!C8626</f>
        <v/>
      </c>
      <c r="D8626">
        <f>TEST_DATA!D8626</f>
        <v/>
      </c>
      <c r="E8626">
        <f>TEST_DATA!E8626</f>
        <v/>
      </c>
    </row>
    <row r="8627">
      <c r="A8627">
        <f>TEST_DATA!A8627</f>
        <v/>
      </c>
      <c r="B8627">
        <f>TEST_DATA!B8627</f>
        <v/>
      </c>
      <c r="C8627">
        <f>TEST_DATA!C8627</f>
        <v/>
      </c>
      <c r="D8627">
        <f>TEST_DATA!D8627</f>
        <v/>
      </c>
      <c r="E8627">
        <f>TEST_DATA!E8627</f>
        <v/>
      </c>
    </row>
    <row r="8628">
      <c r="A8628">
        <f>TEST_DATA!A8628</f>
        <v/>
      </c>
      <c r="B8628">
        <f>TEST_DATA!B8628</f>
        <v/>
      </c>
      <c r="C8628">
        <f>TEST_DATA!C8628</f>
        <v/>
      </c>
      <c r="D8628">
        <f>TEST_DATA!D8628</f>
        <v/>
      </c>
      <c r="E8628">
        <f>TEST_DATA!E8628</f>
        <v/>
      </c>
    </row>
    <row r="8629">
      <c r="A8629">
        <f>TEST_DATA!A8629</f>
        <v/>
      </c>
      <c r="B8629">
        <f>TEST_DATA!B8629</f>
        <v/>
      </c>
      <c r="C8629">
        <f>TEST_DATA!C8629</f>
        <v/>
      </c>
      <c r="D8629">
        <f>TEST_DATA!D8629</f>
        <v/>
      </c>
      <c r="E8629">
        <f>TEST_DATA!E8629</f>
        <v/>
      </c>
    </row>
    <row r="8630">
      <c r="A8630">
        <f>TEST_DATA!A8630</f>
        <v/>
      </c>
      <c r="B8630">
        <f>TEST_DATA!B8630</f>
        <v/>
      </c>
      <c r="C8630">
        <f>TEST_DATA!C8630</f>
        <v/>
      </c>
      <c r="D8630">
        <f>TEST_DATA!D8630</f>
        <v/>
      </c>
      <c r="E8630">
        <f>TEST_DATA!E8630</f>
        <v/>
      </c>
    </row>
    <row r="8631">
      <c r="A8631">
        <f>TEST_DATA!A8631</f>
        <v/>
      </c>
      <c r="B8631">
        <f>TEST_DATA!B8631</f>
        <v/>
      </c>
      <c r="C8631">
        <f>TEST_DATA!C8631</f>
        <v/>
      </c>
      <c r="D8631">
        <f>TEST_DATA!D8631</f>
        <v/>
      </c>
      <c r="E8631">
        <f>TEST_DATA!E8631</f>
        <v/>
      </c>
    </row>
    <row r="8632">
      <c r="A8632">
        <f>TEST_DATA!A8632</f>
        <v/>
      </c>
      <c r="B8632">
        <f>TEST_DATA!B8632</f>
        <v/>
      </c>
      <c r="C8632">
        <f>TEST_DATA!C8632</f>
        <v/>
      </c>
      <c r="D8632">
        <f>TEST_DATA!D8632</f>
        <v/>
      </c>
      <c r="E8632">
        <f>TEST_DATA!E8632</f>
        <v/>
      </c>
    </row>
    <row r="8633">
      <c r="A8633">
        <f>TEST_DATA!A8633</f>
        <v/>
      </c>
      <c r="B8633">
        <f>TEST_DATA!B8633</f>
        <v/>
      </c>
      <c r="C8633">
        <f>TEST_DATA!C8633</f>
        <v/>
      </c>
      <c r="D8633">
        <f>TEST_DATA!D8633</f>
        <v/>
      </c>
      <c r="E8633">
        <f>TEST_DATA!E8633</f>
        <v/>
      </c>
    </row>
    <row r="8634">
      <c r="A8634">
        <f>TEST_DATA!A8634</f>
        <v/>
      </c>
      <c r="B8634">
        <f>TEST_DATA!B8634</f>
        <v/>
      </c>
      <c r="C8634">
        <f>TEST_DATA!C8634</f>
        <v/>
      </c>
      <c r="D8634">
        <f>TEST_DATA!D8634</f>
        <v/>
      </c>
      <c r="E8634">
        <f>TEST_DATA!E8634</f>
        <v/>
      </c>
    </row>
    <row r="8635">
      <c r="A8635">
        <f>TEST_DATA!A8635</f>
        <v/>
      </c>
      <c r="B8635">
        <f>TEST_DATA!B8635</f>
        <v/>
      </c>
      <c r="C8635">
        <f>TEST_DATA!C8635</f>
        <v/>
      </c>
      <c r="D8635">
        <f>TEST_DATA!D8635</f>
        <v/>
      </c>
      <c r="E8635">
        <f>TEST_DATA!E8635</f>
        <v/>
      </c>
    </row>
    <row r="8636">
      <c r="A8636">
        <f>TEST_DATA!A8636</f>
        <v/>
      </c>
      <c r="B8636">
        <f>TEST_DATA!B8636</f>
        <v/>
      </c>
      <c r="C8636">
        <f>TEST_DATA!C8636</f>
        <v/>
      </c>
      <c r="D8636">
        <f>TEST_DATA!D8636</f>
        <v/>
      </c>
      <c r="E8636">
        <f>TEST_DATA!E8636</f>
        <v/>
      </c>
    </row>
    <row r="8637">
      <c r="A8637">
        <f>TEST_DATA!A8637</f>
        <v/>
      </c>
      <c r="B8637">
        <f>TEST_DATA!B8637</f>
        <v/>
      </c>
      <c r="C8637">
        <f>TEST_DATA!C8637</f>
        <v/>
      </c>
      <c r="D8637">
        <f>TEST_DATA!D8637</f>
        <v/>
      </c>
      <c r="E8637">
        <f>TEST_DATA!E8637</f>
        <v/>
      </c>
    </row>
    <row r="8638">
      <c r="A8638">
        <f>TEST_DATA!A8638</f>
        <v/>
      </c>
      <c r="B8638">
        <f>TEST_DATA!B8638</f>
        <v/>
      </c>
      <c r="C8638">
        <f>TEST_DATA!C8638</f>
        <v/>
      </c>
      <c r="D8638">
        <f>TEST_DATA!D8638</f>
        <v/>
      </c>
      <c r="E8638">
        <f>TEST_DATA!E8638</f>
        <v/>
      </c>
    </row>
    <row r="8639">
      <c r="A8639">
        <f>TEST_DATA!A8639</f>
        <v/>
      </c>
      <c r="B8639">
        <f>TEST_DATA!B8639</f>
        <v/>
      </c>
      <c r="C8639">
        <f>TEST_DATA!C8639</f>
        <v/>
      </c>
      <c r="D8639">
        <f>TEST_DATA!D8639</f>
        <v/>
      </c>
      <c r="E8639">
        <f>TEST_DATA!E8639</f>
        <v/>
      </c>
    </row>
    <row r="8640">
      <c r="A8640">
        <f>TEST_DATA!A8640</f>
        <v/>
      </c>
      <c r="B8640">
        <f>TEST_DATA!B8640</f>
        <v/>
      </c>
      <c r="C8640">
        <f>TEST_DATA!C8640</f>
        <v/>
      </c>
      <c r="D8640">
        <f>TEST_DATA!D8640</f>
        <v/>
      </c>
      <c r="E8640">
        <f>TEST_DATA!E8640</f>
        <v/>
      </c>
    </row>
    <row r="8641">
      <c r="A8641">
        <f>TEST_DATA!A8641</f>
        <v/>
      </c>
      <c r="B8641">
        <f>TEST_DATA!B8641</f>
        <v/>
      </c>
      <c r="C8641">
        <f>TEST_DATA!C8641</f>
        <v/>
      </c>
      <c r="D8641">
        <f>TEST_DATA!D8641</f>
        <v/>
      </c>
      <c r="E8641">
        <f>TEST_DATA!E8641</f>
        <v/>
      </c>
    </row>
    <row r="8642">
      <c r="A8642">
        <f>TEST_DATA!A8642</f>
        <v/>
      </c>
      <c r="B8642">
        <f>TEST_DATA!B8642</f>
        <v/>
      </c>
      <c r="C8642">
        <f>TEST_DATA!C8642</f>
        <v/>
      </c>
      <c r="D8642">
        <f>TEST_DATA!D8642</f>
        <v/>
      </c>
      <c r="E8642">
        <f>TEST_DATA!E8642</f>
        <v/>
      </c>
    </row>
    <row r="8643">
      <c r="A8643">
        <f>TEST_DATA!A8643</f>
        <v/>
      </c>
      <c r="B8643">
        <f>TEST_DATA!B8643</f>
        <v/>
      </c>
      <c r="C8643">
        <f>TEST_DATA!C8643</f>
        <v/>
      </c>
      <c r="D8643">
        <f>TEST_DATA!D8643</f>
        <v/>
      </c>
      <c r="E8643">
        <f>TEST_DATA!E8643</f>
        <v/>
      </c>
    </row>
    <row r="8644">
      <c r="A8644">
        <f>TEST_DATA!A8644</f>
        <v/>
      </c>
      <c r="B8644">
        <f>TEST_DATA!B8644</f>
        <v/>
      </c>
      <c r="C8644">
        <f>TEST_DATA!C8644</f>
        <v/>
      </c>
      <c r="D8644">
        <f>TEST_DATA!D8644</f>
        <v/>
      </c>
      <c r="E8644">
        <f>TEST_DATA!E8644</f>
        <v/>
      </c>
    </row>
    <row r="8645">
      <c r="A8645">
        <f>TEST_DATA!A8645</f>
        <v/>
      </c>
      <c r="B8645">
        <f>TEST_DATA!B8645</f>
        <v/>
      </c>
      <c r="C8645">
        <f>TEST_DATA!C8645</f>
        <v/>
      </c>
      <c r="D8645">
        <f>TEST_DATA!D8645</f>
        <v/>
      </c>
      <c r="E8645">
        <f>TEST_DATA!E8645</f>
        <v/>
      </c>
    </row>
    <row r="8646">
      <c r="A8646">
        <f>TEST_DATA!A8646</f>
        <v/>
      </c>
      <c r="B8646">
        <f>TEST_DATA!B8646</f>
        <v/>
      </c>
      <c r="C8646">
        <f>TEST_DATA!C8646</f>
        <v/>
      </c>
      <c r="D8646">
        <f>TEST_DATA!D8646</f>
        <v/>
      </c>
      <c r="E8646">
        <f>TEST_DATA!E8646</f>
        <v/>
      </c>
    </row>
    <row r="8647">
      <c r="A8647">
        <f>TEST_DATA!A8647</f>
        <v/>
      </c>
      <c r="B8647">
        <f>TEST_DATA!B8647</f>
        <v/>
      </c>
      <c r="C8647">
        <f>TEST_DATA!C8647</f>
        <v/>
      </c>
      <c r="D8647">
        <f>TEST_DATA!D8647</f>
        <v/>
      </c>
      <c r="E8647">
        <f>TEST_DATA!E8647</f>
        <v/>
      </c>
    </row>
    <row r="8648">
      <c r="A8648">
        <f>TEST_DATA!A8648</f>
        <v/>
      </c>
      <c r="B8648">
        <f>TEST_DATA!B8648</f>
        <v/>
      </c>
      <c r="C8648">
        <f>TEST_DATA!C8648</f>
        <v/>
      </c>
      <c r="D8648">
        <f>TEST_DATA!D8648</f>
        <v/>
      </c>
      <c r="E8648">
        <f>TEST_DATA!E8648</f>
        <v/>
      </c>
    </row>
    <row r="8649">
      <c r="A8649">
        <f>TEST_DATA!A8649</f>
        <v/>
      </c>
      <c r="B8649">
        <f>TEST_DATA!B8649</f>
        <v/>
      </c>
      <c r="C8649">
        <f>TEST_DATA!C8649</f>
        <v/>
      </c>
      <c r="D8649">
        <f>TEST_DATA!D8649</f>
        <v/>
      </c>
      <c r="E8649">
        <f>TEST_DATA!E8649</f>
        <v/>
      </c>
    </row>
    <row r="8650">
      <c r="A8650">
        <f>TEST_DATA!A8650</f>
        <v/>
      </c>
      <c r="B8650">
        <f>TEST_DATA!B8650</f>
        <v/>
      </c>
      <c r="C8650">
        <f>TEST_DATA!C8650</f>
        <v/>
      </c>
      <c r="D8650">
        <f>TEST_DATA!D8650</f>
        <v/>
      </c>
      <c r="E8650">
        <f>TEST_DATA!E8650</f>
        <v/>
      </c>
    </row>
    <row r="8651">
      <c r="A8651">
        <f>TEST_DATA!A8651</f>
        <v/>
      </c>
      <c r="B8651">
        <f>TEST_DATA!B8651</f>
        <v/>
      </c>
      <c r="C8651">
        <f>TEST_DATA!C8651</f>
        <v/>
      </c>
      <c r="D8651">
        <f>TEST_DATA!D8651</f>
        <v/>
      </c>
      <c r="E8651">
        <f>TEST_DATA!E8651</f>
        <v/>
      </c>
    </row>
    <row r="8652">
      <c r="A8652">
        <f>TEST_DATA!A8652</f>
        <v/>
      </c>
      <c r="B8652">
        <f>TEST_DATA!B8652</f>
        <v/>
      </c>
      <c r="C8652">
        <f>TEST_DATA!C8652</f>
        <v/>
      </c>
      <c r="D8652">
        <f>TEST_DATA!D8652</f>
        <v/>
      </c>
      <c r="E8652">
        <f>TEST_DATA!E8652</f>
        <v/>
      </c>
    </row>
    <row r="8653">
      <c r="A8653">
        <f>TEST_DATA!A8653</f>
        <v/>
      </c>
      <c r="B8653">
        <f>TEST_DATA!B8653</f>
        <v/>
      </c>
      <c r="C8653">
        <f>TEST_DATA!C8653</f>
        <v/>
      </c>
      <c r="D8653">
        <f>TEST_DATA!D8653</f>
        <v/>
      </c>
      <c r="E8653">
        <f>TEST_DATA!E8653</f>
        <v/>
      </c>
    </row>
    <row r="8654">
      <c r="A8654">
        <f>TEST_DATA!A8654</f>
        <v/>
      </c>
      <c r="B8654">
        <f>TEST_DATA!B8654</f>
        <v/>
      </c>
      <c r="C8654">
        <f>TEST_DATA!C8654</f>
        <v/>
      </c>
      <c r="D8654">
        <f>TEST_DATA!D8654</f>
        <v/>
      </c>
      <c r="E8654">
        <f>TEST_DATA!E8654</f>
        <v/>
      </c>
    </row>
    <row r="8655">
      <c r="A8655">
        <f>TEST_DATA!A8655</f>
        <v/>
      </c>
      <c r="B8655">
        <f>TEST_DATA!B8655</f>
        <v/>
      </c>
      <c r="C8655">
        <f>TEST_DATA!C8655</f>
        <v/>
      </c>
      <c r="D8655">
        <f>TEST_DATA!D8655</f>
        <v/>
      </c>
      <c r="E8655">
        <f>TEST_DATA!E8655</f>
        <v/>
      </c>
    </row>
    <row r="8656">
      <c r="A8656">
        <f>TEST_DATA!A8656</f>
        <v/>
      </c>
      <c r="B8656">
        <f>TEST_DATA!B8656</f>
        <v/>
      </c>
      <c r="C8656">
        <f>TEST_DATA!C8656</f>
        <v/>
      </c>
      <c r="D8656">
        <f>TEST_DATA!D8656</f>
        <v/>
      </c>
      <c r="E8656">
        <f>TEST_DATA!E8656</f>
        <v/>
      </c>
    </row>
    <row r="8657">
      <c r="A8657">
        <f>TEST_DATA!A8657</f>
        <v/>
      </c>
      <c r="B8657">
        <f>TEST_DATA!B8657</f>
        <v/>
      </c>
      <c r="C8657">
        <f>TEST_DATA!C8657</f>
        <v/>
      </c>
      <c r="D8657">
        <f>TEST_DATA!D8657</f>
        <v/>
      </c>
      <c r="E8657">
        <f>TEST_DATA!E8657</f>
        <v/>
      </c>
    </row>
    <row r="8658">
      <c r="A8658">
        <f>TEST_DATA!A8658</f>
        <v/>
      </c>
      <c r="B8658">
        <f>TEST_DATA!B8658</f>
        <v/>
      </c>
      <c r="C8658">
        <f>TEST_DATA!C8658</f>
        <v/>
      </c>
      <c r="D8658">
        <f>TEST_DATA!D8658</f>
        <v/>
      </c>
      <c r="E8658">
        <f>TEST_DATA!E8658</f>
        <v/>
      </c>
    </row>
    <row r="8659">
      <c r="A8659">
        <f>TEST_DATA!A8659</f>
        <v/>
      </c>
      <c r="B8659">
        <f>TEST_DATA!B8659</f>
        <v/>
      </c>
      <c r="C8659">
        <f>TEST_DATA!C8659</f>
        <v/>
      </c>
      <c r="D8659">
        <f>TEST_DATA!D8659</f>
        <v/>
      </c>
      <c r="E8659">
        <f>TEST_DATA!E8659</f>
        <v/>
      </c>
    </row>
    <row r="8660">
      <c r="A8660">
        <f>TEST_DATA!A8660</f>
        <v/>
      </c>
      <c r="B8660">
        <f>TEST_DATA!B8660</f>
        <v/>
      </c>
      <c r="C8660">
        <f>TEST_DATA!C8660</f>
        <v/>
      </c>
      <c r="D8660">
        <f>TEST_DATA!D8660</f>
        <v/>
      </c>
      <c r="E8660">
        <f>TEST_DATA!E8660</f>
        <v/>
      </c>
    </row>
    <row r="8661">
      <c r="A8661">
        <f>TEST_DATA!A8661</f>
        <v/>
      </c>
      <c r="B8661">
        <f>TEST_DATA!B8661</f>
        <v/>
      </c>
      <c r="C8661">
        <f>TEST_DATA!C8661</f>
        <v/>
      </c>
      <c r="D8661">
        <f>TEST_DATA!D8661</f>
        <v/>
      </c>
      <c r="E8661">
        <f>TEST_DATA!E8661</f>
        <v/>
      </c>
    </row>
    <row r="8662">
      <c r="A8662">
        <f>TEST_DATA!A8662</f>
        <v/>
      </c>
      <c r="B8662">
        <f>TEST_DATA!B8662</f>
        <v/>
      </c>
      <c r="C8662">
        <f>TEST_DATA!C8662</f>
        <v/>
      </c>
      <c r="D8662">
        <f>TEST_DATA!D8662</f>
        <v/>
      </c>
      <c r="E8662">
        <f>TEST_DATA!E8662</f>
        <v/>
      </c>
    </row>
    <row r="8663">
      <c r="A8663">
        <f>TEST_DATA!A8663</f>
        <v/>
      </c>
      <c r="B8663">
        <f>TEST_DATA!B8663</f>
        <v/>
      </c>
      <c r="C8663">
        <f>TEST_DATA!C8663</f>
        <v/>
      </c>
      <c r="D8663">
        <f>TEST_DATA!D8663</f>
        <v/>
      </c>
      <c r="E8663">
        <f>TEST_DATA!E8663</f>
        <v/>
      </c>
    </row>
    <row r="8664">
      <c r="A8664">
        <f>TEST_DATA!A8664</f>
        <v/>
      </c>
      <c r="B8664">
        <f>TEST_DATA!B8664</f>
        <v/>
      </c>
      <c r="C8664">
        <f>TEST_DATA!C8664</f>
        <v/>
      </c>
      <c r="D8664">
        <f>TEST_DATA!D8664</f>
        <v/>
      </c>
      <c r="E8664">
        <f>TEST_DATA!E8664</f>
        <v/>
      </c>
    </row>
    <row r="8665">
      <c r="A8665">
        <f>TEST_DATA!A8665</f>
        <v/>
      </c>
      <c r="B8665">
        <f>TEST_DATA!B8665</f>
        <v/>
      </c>
      <c r="C8665">
        <f>TEST_DATA!C8665</f>
        <v/>
      </c>
      <c r="D8665">
        <f>TEST_DATA!D8665</f>
        <v/>
      </c>
      <c r="E8665">
        <f>TEST_DATA!E8665</f>
        <v/>
      </c>
    </row>
    <row r="8666">
      <c r="A8666">
        <f>TEST_DATA!A8666</f>
        <v/>
      </c>
      <c r="B8666">
        <f>TEST_DATA!B8666</f>
        <v/>
      </c>
      <c r="C8666">
        <f>TEST_DATA!C8666</f>
        <v/>
      </c>
      <c r="D8666">
        <f>TEST_DATA!D8666</f>
        <v/>
      </c>
      <c r="E8666">
        <f>TEST_DATA!E8666</f>
        <v/>
      </c>
    </row>
    <row r="8667">
      <c r="A8667">
        <f>TEST_DATA!A8667</f>
        <v/>
      </c>
      <c r="B8667">
        <f>TEST_DATA!B8667</f>
        <v/>
      </c>
      <c r="C8667">
        <f>TEST_DATA!C8667</f>
        <v/>
      </c>
      <c r="D8667">
        <f>TEST_DATA!D8667</f>
        <v/>
      </c>
      <c r="E8667">
        <f>TEST_DATA!E8667</f>
        <v/>
      </c>
    </row>
    <row r="8668">
      <c r="A8668">
        <f>TEST_DATA!A8668</f>
        <v/>
      </c>
      <c r="B8668">
        <f>TEST_DATA!B8668</f>
        <v/>
      </c>
      <c r="C8668">
        <f>TEST_DATA!C8668</f>
        <v/>
      </c>
      <c r="D8668">
        <f>TEST_DATA!D8668</f>
        <v/>
      </c>
      <c r="E8668">
        <f>TEST_DATA!E8668</f>
        <v/>
      </c>
    </row>
    <row r="8669">
      <c r="A8669">
        <f>TEST_DATA!A8669</f>
        <v/>
      </c>
      <c r="B8669">
        <f>TEST_DATA!B8669</f>
        <v/>
      </c>
      <c r="C8669">
        <f>TEST_DATA!C8669</f>
        <v/>
      </c>
      <c r="D8669">
        <f>TEST_DATA!D8669</f>
        <v/>
      </c>
      <c r="E8669">
        <f>TEST_DATA!E8669</f>
        <v/>
      </c>
    </row>
    <row r="8670">
      <c r="A8670">
        <f>TEST_DATA!A8670</f>
        <v/>
      </c>
      <c r="B8670">
        <f>TEST_DATA!B8670</f>
        <v/>
      </c>
      <c r="C8670">
        <f>TEST_DATA!C8670</f>
        <v/>
      </c>
      <c r="D8670">
        <f>TEST_DATA!D8670</f>
        <v/>
      </c>
      <c r="E8670">
        <f>TEST_DATA!E8670</f>
        <v/>
      </c>
    </row>
    <row r="8671">
      <c r="A8671">
        <f>TEST_DATA!A8671</f>
        <v/>
      </c>
      <c r="B8671">
        <f>TEST_DATA!B8671</f>
        <v/>
      </c>
      <c r="C8671">
        <f>TEST_DATA!C8671</f>
        <v/>
      </c>
      <c r="D8671">
        <f>TEST_DATA!D8671</f>
        <v/>
      </c>
      <c r="E8671">
        <f>TEST_DATA!E8671</f>
        <v/>
      </c>
    </row>
    <row r="8672">
      <c r="A8672">
        <f>TEST_DATA!A8672</f>
        <v/>
      </c>
      <c r="B8672">
        <f>TEST_DATA!B8672</f>
        <v/>
      </c>
      <c r="C8672">
        <f>TEST_DATA!C8672</f>
        <v/>
      </c>
      <c r="D8672">
        <f>TEST_DATA!D8672</f>
        <v/>
      </c>
      <c r="E8672">
        <f>TEST_DATA!E8672</f>
        <v/>
      </c>
    </row>
    <row r="8673">
      <c r="A8673">
        <f>TEST_DATA!A8673</f>
        <v/>
      </c>
      <c r="B8673">
        <f>TEST_DATA!B8673</f>
        <v/>
      </c>
      <c r="C8673">
        <f>TEST_DATA!C8673</f>
        <v/>
      </c>
      <c r="D8673">
        <f>TEST_DATA!D8673</f>
        <v/>
      </c>
      <c r="E8673">
        <f>TEST_DATA!E8673</f>
        <v/>
      </c>
    </row>
    <row r="8674">
      <c r="A8674">
        <f>TEST_DATA!A8674</f>
        <v/>
      </c>
      <c r="B8674">
        <f>TEST_DATA!B8674</f>
        <v/>
      </c>
      <c r="C8674">
        <f>TEST_DATA!C8674</f>
        <v/>
      </c>
      <c r="D8674">
        <f>TEST_DATA!D8674</f>
        <v/>
      </c>
      <c r="E8674">
        <f>TEST_DATA!E8674</f>
        <v/>
      </c>
    </row>
    <row r="8675">
      <c r="A8675">
        <f>TEST_DATA!A8675</f>
        <v/>
      </c>
      <c r="B8675">
        <f>TEST_DATA!B8675</f>
        <v/>
      </c>
      <c r="C8675">
        <f>TEST_DATA!C8675</f>
        <v/>
      </c>
      <c r="D8675">
        <f>TEST_DATA!D8675</f>
        <v/>
      </c>
      <c r="E8675">
        <f>TEST_DATA!E8675</f>
        <v/>
      </c>
    </row>
    <row r="8676">
      <c r="A8676">
        <f>TEST_DATA!A8676</f>
        <v/>
      </c>
      <c r="B8676">
        <f>TEST_DATA!B8676</f>
        <v/>
      </c>
      <c r="C8676">
        <f>TEST_DATA!C8676</f>
        <v/>
      </c>
      <c r="D8676">
        <f>TEST_DATA!D8676</f>
        <v/>
      </c>
      <c r="E8676">
        <f>TEST_DATA!E8676</f>
        <v/>
      </c>
    </row>
    <row r="8677">
      <c r="A8677">
        <f>TEST_DATA!A8677</f>
        <v/>
      </c>
      <c r="B8677">
        <f>TEST_DATA!B8677</f>
        <v/>
      </c>
      <c r="C8677">
        <f>TEST_DATA!C8677</f>
        <v/>
      </c>
      <c r="D8677">
        <f>TEST_DATA!D8677</f>
        <v/>
      </c>
      <c r="E8677">
        <f>TEST_DATA!E8677</f>
        <v/>
      </c>
    </row>
    <row r="8678">
      <c r="A8678">
        <f>TEST_DATA!A8678</f>
        <v/>
      </c>
      <c r="B8678">
        <f>TEST_DATA!B8678</f>
        <v/>
      </c>
      <c r="C8678">
        <f>TEST_DATA!C8678</f>
        <v/>
      </c>
      <c r="D8678">
        <f>TEST_DATA!D8678</f>
        <v/>
      </c>
      <c r="E8678">
        <f>TEST_DATA!E8678</f>
        <v/>
      </c>
    </row>
    <row r="8679">
      <c r="A8679">
        <f>TEST_DATA!A8679</f>
        <v/>
      </c>
      <c r="B8679">
        <f>TEST_DATA!B8679</f>
        <v/>
      </c>
      <c r="C8679">
        <f>TEST_DATA!C8679</f>
        <v/>
      </c>
      <c r="D8679">
        <f>TEST_DATA!D8679</f>
        <v/>
      </c>
      <c r="E8679">
        <f>TEST_DATA!E8679</f>
        <v/>
      </c>
    </row>
    <row r="8680">
      <c r="A8680">
        <f>TEST_DATA!A8680</f>
        <v/>
      </c>
      <c r="B8680">
        <f>TEST_DATA!B8680</f>
        <v/>
      </c>
      <c r="C8680">
        <f>TEST_DATA!C8680</f>
        <v/>
      </c>
      <c r="D8680">
        <f>TEST_DATA!D8680</f>
        <v/>
      </c>
      <c r="E8680">
        <f>TEST_DATA!E8680</f>
        <v/>
      </c>
    </row>
    <row r="8681">
      <c r="A8681">
        <f>TEST_DATA!A8681</f>
        <v/>
      </c>
      <c r="B8681">
        <f>TEST_DATA!B8681</f>
        <v/>
      </c>
      <c r="C8681">
        <f>TEST_DATA!C8681</f>
        <v/>
      </c>
      <c r="D8681">
        <f>TEST_DATA!D8681</f>
        <v/>
      </c>
      <c r="E8681">
        <f>TEST_DATA!E8681</f>
        <v/>
      </c>
    </row>
    <row r="8682">
      <c r="A8682">
        <f>TEST_DATA!A8682</f>
        <v/>
      </c>
      <c r="B8682">
        <f>TEST_DATA!B8682</f>
        <v/>
      </c>
      <c r="C8682">
        <f>TEST_DATA!C8682</f>
        <v/>
      </c>
      <c r="D8682">
        <f>TEST_DATA!D8682</f>
        <v/>
      </c>
      <c r="E8682">
        <f>TEST_DATA!E8682</f>
        <v/>
      </c>
    </row>
    <row r="8683">
      <c r="A8683">
        <f>TEST_DATA!A8683</f>
        <v/>
      </c>
      <c r="B8683">
        <f>TEST_DATA!B8683</f>
        <v/>
      </c>
      <c r="C8683">
        <f>TEST_DATA!C8683</f>
        <v/>
      </c>
      <c r="D8683">
        <f>TEST_DATA!D8683</f>
        <v/>
      </c>
      <c r="E8683">
        <f>TEST_DATA!E8683</f>
        <v/>
      </c>
    </row>
    <row r="8684">
      <c r="A8684">
        <f>TEST_DATA!A8684</f>
        <v/>
      </c>
      <c r="B8684">
        <f>TEST_DATA!B8684</f>
        <v/>
      </c>
      <c r="C8684">
        <f>TEST_DATA!C8684</f>
        <v/>
      </c>
      <c r="D8684">
        <f>TEST_DATA!D8684</f>
        <v/>
      </c>
      <c r="E8684">
        <f>TEST_DATA!E8684</f>
        <v/>
      </c>
    </row>
    <row r="8685">
      <c r="A8685">
        <f>TEST_DATA!A8685</f>
        <v/>
      </c>
      <c r="B8685">
        <f>TEST_DATA!B8685</f>
        <v/>
      </c>
      <c r="C8685">
        <f>TEST_DATA!C8685</f>
        <v/>
      </c>
      <c r="D8685">
        <f>TEST_DATA!D8685</f>
        <v/>
      </c>
      <c r="E8685">
        <f>TEST_DATA!E8685</f>
        <v/>
      </c>
    </row>
    <row r="8686">
      <c r="A8686">
        <f>TEST_DATA!A8686</f>
        <v/>
      </c>
      <c r="B8686">
        <f>TEST_DATA!B8686</f>
        <v/>
      </c>
      <c r="C8686">
        <f>TEST_DATA!C8686</f>
        <v/>
      </c>
      <c r="D8686">
        <f>TEST_DATA!D8686</f>
        <v/>
      </c>
      <c r="E8686">
        <f>TEST_DATA!E8686</f>
        <v/>
      </c>
    </row>
    <row r="8687">
      <c r="A8687">
        <f>TEST_DATA!A8687</f>
        <v/>
      </c>
      <c r="B8687">
        <f>TEST_DATA!B8687</f>
        <v/>
      </c>
      <c r="C8687">
        <f>TEST_DATA!C8687</f>
        <v/>
      </c>
      <c r="D8687">
        <f>TEST_DATA!D8687</f>
        <v/>
      </c>
      <c r="E8687">
        <f>TEST_DATA!E8687</f>
        <v/>
      </c>
    </row>
    <row r="8688">
      <c r="A8688">
        <f>TEST_DATA!A8688</f>
        <v/>
      </c>
      <c r="B8688">
        <f>TEST_DATA!B8688</f>
        <v/>
      </c>
      <c r="C8688">
        <f>TEST_DATA!C8688</f>
        <v/>
      </c>
      <c r="D8688">
        <f>TEST_DATA!D8688</f>
        <v/>
      </c>
      <c r="E8688">
        <f>TEST_DATA!E8688</f>
        <v/>
      </c>
    </row>
    <row r="8689">
      <c r="A8689">
        <f>TEST_DATA!A8689</f>
        <v/>
      </c>
      <c r="B8689">
        <f>TEST_DATA!B8689</f>
        <v/>
      </c>
      <c r="C8689">
        <f>TEST_DATA!C8689</f>
        <v/>
      </c>
      <c r="D8689">
        <f>TEST_DATA!D8689</f>
        <v/>
      </c>
      <c r="E8689">
        <f>TEST_DATA!E8689</f>
        <v/>
      </c>
    </row>
    <row r="8690">
      <c r="A8690">
        <f>TEST_DATA!A8690</f>
        <v/>
      </c>
      <c r="B8690">
        <f>TEST_DATA!B8690</f>
        <v/>
      </c>
      <c r="C8690">
        <f>TEST_DATA!C8690</f>
        <v/>
      </c>
      <c r="D8690">
        <f>TEST_DATA!D8690</f>
        <v/>
      </c>
      <c r="E8690">
        <f>TEST_DATA!E8690</f>
        <v/>
      </c>
    </row>
    <row r="8691">
      <c r="A8691">
        <f>TEST_DATA!A8691</f>
        <v/>
      </c>
      <c r="B8691">
        <f>TEST_DATA!B8691</f>
        <v/>
      </c>
      <c r="C8691">
        <f>TEST_DATA!C8691</f>
        <v/>
      </c>
      <c r="D8691">
        <f>TEST_DATA!D8691</f>
        <v/>
      </c>
      <c r="E8691">
        <f>TEST_DATA!E8691</f>
        <v/>
      </c>
    </row>
    <row r="8692">
      <c r="A8692">
        <f>TEST_DATA!A8692</f>
        <v/>
      </c>
      <c r="B8692">
        <f>TEST_DATA!B8692</f>
        <v/>
      </c>
      <c r="C8692">
        <f>TEST_DATA!C8692</f>
        <v/>
      </c>
      <c r="D8692">
        <f>TEST_DATA!D8692</f>
        <v/>
      </c>
      <c r="E8692">
        <f>TEST_DATA!E8692</f>
        <v/>
      </c>
    </row>
    <row r="8693">
      <c r="A8693">
        <f>TEST_DATA!A8693</f>
        <v/>
      </c>
      <c r="B8693">
        <f>TEST_DATA!B8693</f>
        <v/>
      </c>
      <c r="C8693">
        <f>TEST_DATA!C8693</f>
        <v/>
      </c>
      <c r="D8693">
        <f>TEST_DATA!D8693</f>
        <v/>
      </c>
      <c r="E8693">
        <f>TEST_DATA!E8693</f>
        <v/>
      </c>
    </row>
    <row r="8694">
      <c r="A8694">
        <f>TEST_DATA!A8694</f>
        <v/>
      </c>
      <c r="B8694">
        <f>TEST_DATA!B8694</f>
        <v/>
      </c>
      <c r="C8694">
        <f>TEST_DATA!C8694</f>
        <v/>
      </c>
      <c r="D8694">
        <f>TEST_DATA!D8694</f>
        <v/>
      </c>
      <c r="E8694">
        <f>TEST_DATA!E8694</f>
        <v/>
      </c>
    </row>
    <row r="8695">
      <c r="A8695">
        <f>TEST_DATA!A8695</f>
        <v/>
      </c>
      <c r="B8695">
        <f>TEST_DATA!B8695</f>
        <v/>
      </c>
      <c r="C8695">
        <f>TEST_DATA!C8695</f>
        <v/>
      </c>
      <c r="D8695">
        <f>TEST_DATA!D8695</f>
        <v/>
      </c>
      <c r="E8695">
        <f>TEST_DATA!E8695</f>
        <v/>
      </c>
    </row>
    <row r="8696">
      <c r="A8696">
        <f>TEST_DATA!A8696</f>
        <v/>
      </c>
      <c r="B8696">
        <f>TEST_DATA!B8696</f>
        <v/>
      </c>
      <c r="C8696">
        <f>TEST_DATA!C8696</f>
        <v/>
      </c>
      <c r="D8696">
        <f>TEST_DATA!D8696</f>
        <v/>
      </c>
      <c r="E8696">
        <f>TEST_DATA!E8696</f>
        <v/>
      </c>
    </row>
    <row r="8697">
      <c r="A8697">
        <f>TEST_DATA!A8697</f>
        <v/>
      </c>
      <c r="B8697">
        <f>TEST_DATA!B8697</f>
        <v/>
      </c>
      <c r="C8697">
        <f>TEST_DATA!C8697</f>
        <v/>
      </c>
      <c r="D8697">
        <f>TEST_DATA!D8697</f>
        <v/>
      </c>
      <c r="E8697">
        <f>TEST_DATA!E8697</f>
        <v/>
      </c>
    </row>
    <row r="8698">
      <c r="A8698">
        <f>TEST_DATA!A8698</f>
        <v/>
      </c>
      <c r="B8698">
        <f>TEST_DATA!B8698</f>
        <v/>
      </c>
      <c r="C8698">
        <f>TEST_DATA!C8698</f>
        <v/>
      </c>
      <c r="D8698">
        <f>TEST_DATA!D8698</f>
        <v/>
      </c>
      <c r="E8698">
        <f>TEST_DATA!E8698</f>
        <v/>
      </c>
    </row>
    <row r="8699">
      <c r="A8699">
        <f>TEST_DATA!A8699</f>
        <v/>
      </c>
      <c r="B8699">
        <f>TEST_DATA!B8699</f>
        <v/>
      </c>
      <c r="C8699">
        <f>TEST_DATA!C8699</f>
        <v/>
      </c>
      <c r="D8699">
        <f>TEST_DATA!D8699</f>
        <v/>
      </c>
      <c r="E8699">
        <f>TEST_DATA!E8699</f>
        <v/>
      </c>
    </row>
    <row r="8700">
      <c r="A8700">
        <f>TEST_DATA!A8700</f>
        <v/>
      </c>
      <c r="B8700">
        <f>TEST_DATA!B8700</f>
        <v/>
      </c>
      <c r="C8700">
        <f>TEST_DATA!C8700</f>
        <v/>
      </c>
      <c r="D8700">
        <f>TEST_DATA!D8700</f>
        <v/>
      </c>
      <c r="E8700">
        <f>TEST_DATA!E8700</f>
        <v/>
      </c>
    </row>
    <row r="8701">
      <c r="A8701">
        <f>TEST_DATA!A8701</f>
        <v/>
      </c>
      <c r="B8701">
        <f>TEST_DATA!B8701</f>
        <v/>
      </c>
      <c r="C8701">
        <f>TEST_DATA!C8701</f>
        <v/>
      </c>
      <c r="D8701">
        <f>TEST_DATA!D8701</f>
        <v/>
      </c>
      <c r="E8701">
        <f>TEST_DATA!E8701</f>
        <v/>
      </c>
    </row>
    <row r="8702">
      <c r="A8702">
        <f>TEST_DATA!A8702</f>
        <v/>
      </c>
      <c r="B8702">
        <f>TEST_DATA!B8702</f>
        <v/>
      </c>
      <c r="C8702">
        <f>TEST_DATA!C8702</f>
        <v/>
      </c>
      <c r="D8702">
        <f>TEST_DATA!D8702</f>
        <v/>
      </c>
      <c r="E8702">
        <f>TEST_DATA!E8702</f>
        <v/>
      </c>
    </row>
    <row r="8703">
      <c r="A8703">
        <f>TEST_DATA!A8703</f>
        <v/>
      </c>
      <c r="B8703">
        <f>TEST_DATA!B8703</f>
        <v/>
      </c>
      <c r="C8703">
        <f>TEST_DATA!C8703</f>
        <v/>
      </c>
      <c r="D8703">
        <f>TEST_DATA!D8703</f>
        <v/>
      </c>
      <c r="E8703">
        <f>TEST_DATA!E8703</f>
        <v/>
      </c>
    </row>
    <row r="8704">
      <c r="A8704">
        <f>TEST_DATA!A8704</f>
        <v/>
      </c>
      <c r="B8704">
        <f>TEST_DATA!B8704</f>
        <v/>
      </c>
      <c r="C8704">
        <f>TEST_DATA!C8704</f>
        <v/>
      </c>
      <c r="D8704">
        <f>TEST_DATA!D8704</f>
        <v/>
      </c>
      <c r="E8704">
        <f>TEST_DATA!E8704</f>
        <v/>
      </c>
    </row>
    <row r="8705">
      <c r="A8705">
        <f>TEST_DATA!A8705</f>
        <v/>
      </c>
      <c r="B8705">
        <f>TEST_DATA!B8705</f>
        <v/>
      </c>
      <c r="C8705">
        <f>TEST_DATA!C8705</f>
        <v/>
      </c>
      <c r="D8705">
        <f>TEST_DATA!D8705</f>
        <v/>
      </c>
      <c r="E8705">
        <f>TEST_DATA!E8705</f>
        <v/>
      </c>
    </row>
    <row r="8706">
      <c r="A8706">
        <f>TEST_DATA!A8706</f>
        <v/>
      </c>
      <c r="B8706">
        <f>TEST_DATA!B8706</f>
        <v/>
      </c>
      <c r="C8706">
        <f>TEST_DATA!C8706</f>
        <v/>
      </c>
      <c r="D8706">
        <f>TEST_DATA!D8706</f>
        <v/>
      </c>
      <c r="E8706">
        <f>TEST_DATA!E8706</f>
        <v/>
      </c>
    </row>
    <row r="8707">
      <c r="A8707">
        <f>TEST_DATA!A8707</f>
        <v/>
      </c>
      <c r="B8707">
        <f>TEST_DATA!B8707</f>
        <v/>
      </c>
      <c r="C8707">
        <f>TEST_DATA!C8707</f>
        <v/>
      </c>
      <c r="D8707">
        <f>TEST_DATA!D8707</f>
        <v/>
      </c>
      <c r="E8707">
        <f>TEST_DATA!E8707</f>
        <v/>
      </c>
    </row>
    <row r="8708">
      <c r="A8708">
        <f>TEST_DATA!A8708</f>
        <v/>
      </c>
      <c r="B8708">
        <f>TEST_DATA!B8708</f>
        <v/>
      </c>
      <c r="C8708">
        <f>TEST_DATA!C8708</f>
        <v/>
      </c>
      <c r="D8708">
        <f>TEST_DATA!D8708</f>
        <v/>
      </c>
      <c r="E8708">
        <f>TEST_DATA!E8708</f>
        <v/>
      </c>
    </row>
    <row r="8709">
      <c r="A8709">
        <f>TEST_DATA!A8709</f>
        <v/>
      </c>
      <c r="B8709">
        <f>TEST_DATA!B8709</f>
        <v/>
      </c>
      <c r="C8709">
        <f>TEST_DATA!C8709</f>
        <v/>
      </c>
      <c r="D8709">
        <f>TEST_DATA!D8709</f>
        <v/>
      </c>
      <c r="E8709">
        <f>TEST_DATA!E8709</f>
        <v/>
      </c>
    </row>
    <row r="8710">
      <c r="A8710">
        <f>TEST_DATA!A8710</f>
        <v/>
      </c>
      <c r="B8710">
        <f>TEST_DATA!B8710</f>
        <v/>
      </c>
      <c r="C8710">
        <f>TEST_DATA!C8710</f>
        <v/>
      </c>
      <c r="D8710">
        <f>TEST_DATA!D8710</f>
        <v/>
      </c>
      <c r="E8710">
        <f>TEST_DATA!E8710</f>
        <v/>
      </c>
    </row>
    <row r="8711">
      <c r="A8711">
        <f>TEST_DATA!A8711</f>
        <v/>
      </c>
      <c r="B8711">
        <f>TEST_DATA!B8711</f>
        <v/>
      </c>
      <c r="C8711">
        <f>TEST_DATA!C8711</f>
        <v/>
      </c>
      <c r="D8711">
        <f>TEST_DATA!D8711</f>
        <v/>
      </c>
      <c r="E8711">
        <f>TEST_DATA!E8711</f>
        <v/>
      </c>
    </row>
    <row r="8712">
      <c r="A8712">
        <f>TEST_DATA!A8712</f>
        <v/>
      </c>
      <c r="B8712">
        <f>TEST_DATA!B8712</f>
        <v/>
      </c>
      <c r="C8712">
        <f>TEST_DATA!C8712</f>
        <v/>
      </c>
      <c r="D8712">
        <f>TEST_DATA!D8712</f>
        <v/>
      </c>
      <c r="E8712">
        <f>TEST_DATA!E8712</f>
        <v/>
      </c>
    </row>
    <row r="8713">
      <c r="A8713">
        <f>TEST_DATA!A8713</f>
        <v/>
      </c>
      <c r="B8713">
        <f>TEST_DATA!B8713</f>
        <v/>
      </c>
      <c r="C8713">
        <f>TEST_DATA!C8713</f>
        <v/>
      </c>
      <c r="D8713">
        <f>TEST_DATA!D8713</f>
        <v/>
      </c>
      <c r="E8713">
        <f>TEST_DATA!E8713</f>
        <v/>
      </c>
    </row>
    <row r="8714">
      <c r="A8714">
        <f>TEST_DATA!A8714</f>
        <v/>
      </c>
      <c r="B8714">
        <f>TEST_DATA!B8714</f>
        <v/>
      </c>
      <c r="C8714">
        <f>TEST_DATA!C8714</f>
        <v/>
      </c>
      <c r="D8714">
        <f>TEST_DATA!D8714</f>
        <v/>
      </c>
      <c r="E8714">
        <f>TEST_DATA!E8714</f>
        <v/>
      </c>
    </row>
    <row r="8715">
      <c r="A8715">
        <f>TEST_DATA!A8715</f>
        <v/>
      </c>
      <c r="B8715">
        <f>TEST_DATA!B8715</f>
        <v/>
      </c>
      <c r="C8715">
        <f>TEST_DATA!C8715</f>
        <v/>
      </c>
      <c r="D8715">
        <f>TEST_DATA!D8715</f>
        <v/>
      </c>
      <c r="E8715">
        <f>TEST_DATA!E8715</f>
        <v/>
      </c>
    </row>
    <row r="8716">
      <c r="A8716">
        <f>TEST_DATA!A8716</f>
        <v/>
      </c>
      <c r="B8716">
        <f>TEST_DATA!B8716</f>
        <v/>
      </c>
      <c r="C8716">
        <f>TEST_DATA!C8716</f>
        <v/>
      </c>
      <c r="D8716">
        <f>TEST_DATA!D8716</f>
        <v/>
      </c>
      <c r="E8716">
        <f>TEST_DATA!E8716</f>
        <v/>
      </c>
    </row>
    <row r="8717">
      <c r="A8717">
        <f>TEST_DATA!A8717</f>
        <v/>
      </c>
      <c r="B8717">
        <f>TEST_DATA!B8717</f>
        <v/>
      </c>
      <c r="C8717">
        <f>TEST_DATA!C8717</f>
        <v/>
      </c>
      <c r="D8717">
        <f>TEST_DATA!D8717</f>
        <v/>
      </c>
      <c r="E8717">
        <f>TEST_DATA!E8717</f>
        <v/>
      </c>
    </row>
    <row r="8718">
      <c r="A8718">
        <f>TEST_DATA!A8718</f>
        <v/>
      </c>
      <c r="B8718">
        <f>TEST_DATA!B8718</f>
        <v/>
      </c>
      <c r="C8718">
        <f>TEST_DATA!C8718</f>
        <v/>
      </c>
      <c r="D8718">
        <f>TEST_DATA!D8718</f>
        <v/>
      </c>
      <c r="E8718">
        <f>TEST_DATA!E8718</f>
        <v/>
      </c>
    </row>
    <row r="8719">
      <c r="A8719">
        <f>TEST_DATA!A8719</f>
        <v/>
      </c>
      <c r="B8719">
        <f>TEST_DATA!B8719</f>
        <v/>
      </c>
      <c r="C8719">
        <f>TEST_DATA!C8719</f>
        <v/>
      </c>
      <c r="D8719">
        <f>TEST_DATA!D8719</f>
        <v/>
      </c>
      <c r="E8719">
        <f>TEST_DATA!E8719</f>
        <v/>
      </c>
    </row>
    <row r="8720">
      <c r="A8720">
        <f>TEST_DATA!A8720</f>
        <v/>
      </c>
      <c r="B8720">
        <f>TEST_DATA!B8720</f>
        <v/>
      </c>
      <c r="C8720">
        <f>TEST_DATA!C8720</f>
        <v/>
      </c>
      <c r="D8720">
        <f>TEST_DATA!D8720</f>
        <v/>
      </c>
      <c r="E8720">
        <f>TEST_DATA!E8720</f>
        <v/>
      </c>
    </row>
    <row r="8721">
      <c r="A8721">
        <f>TEST_DATA!A8721</f>
        <v/>
      </c>
      <c r="B8721">
        <f>TEST_DATA!B8721</f>
        <v/>
      </c>
      <c r="C8721">
        <f>TEST_DATA!C8721</f>
        <v/>
      </c>
      <c r="D8721">
        <f>TEST_DATA!D8721</f>
        <v/>
      </c>
      <c r="E8721">
        <f>TEST_DATA!E8721</f>
        <v/>
      </c>
    </row>
    <row r="8722">
      <c r="A8722">
        <f>TEST_DATA!A8722</f>
        <v/>
      </c>
      <c r="B8722">
        <f>TEST_DATA!B8722</f>
        <v/>
      </c>
      <c r="C8722">
        <f>TEST_DATA!C8722</f>
        <v/>
      </c>
      <c r="D8722">
        <f>TEST_DATA!D8722</f>
        <v/>
      </c>
      <c r="E8722">
        <f>TEST_DATA!E8722</f>
        <v/>
      </c>
    </row>
    <row r="8723">
      <c r="A8723">
        <f>TEST_DATA!A8723</f>
        <v/>
      </c>
      <c r="B8723">
        <f>TEST_DATA!B8723</f>
        <v/>
      </c>
      <c r="C8723">
        <f>TEST_DATA!C8723</f>
        <v/>
      </c>
      <c r="D8723">
        <f>TEST_DATA!D8723</f>
        <v/>
      </c>
      <c r="E8723">
        <f>TEST_DATA!E8723</f>
        <v/>
      </c>
    </row>
    <row r="8724">
      <c r="A8724">
        <f>TEST_DATA!A8724</f>
        <v/>
      </c>
      <c r="B8724">
        <f>TEST_DATA!B8724</f>
        <v/>
      </c>
      <c r="C8724">
        <f>TEST_DATA!C8724</f>
        <v/>
      </c>
      <c r="D8724">
        <f>TEST_DATA!D8724</f>
        <v/>
      </c>
      <c r="E8724">
        <f>TEST_DATA!E8724</f>
        <v/>
      </c>
    </row>
    <row r="8725">
      <c r="A8725">
        <f>TEST_DATA!A8725</f>
        <v/>
      </c>
      <c r="B8725">
        <f>TEST_DATA!B8725</f>
        <v/>
      </c>
      <c r="C8725">
        <f>TEST_DATA!C8725</f>
        <v/>
      </c>
      <c r="D8725">
        <f>TEST_DATA!D8725</f>
        <v/>
      </c>
      <c r="E8725">
        <f>TEST_DATA!E8725</f>
        <v/>
      </c>
    </row>
    <row r="8726">
      <c r="A8726">
        <f>TEST_DATA!A8726</f>
        <v/>
      </c>
      <c r="B8726">
        <f>TEST_DATA!B8726</f>
        <v/>
      </c>
      <c r="C8726">
        <f>TEST_DATA!C8726</f>
        <v/>
      </c>
      <c r="D8726">
        <f>TEST_DATA!D8726</f>
        <v/>
      </c>
      <c r="E8726">
        <f>TEST_DATA!E8726</f>
        <v/>
      </c>
    </row>
    <row r="8727">
      <c r="A8727">
        <f>TEST_DATA!A8727</f>
        <v/>
      </c>
      <c r="B8727">
        <f>TEST_DATA!B8727</f>
        <v/>
      </c>
      <c r="C8727">
        <f>TEST_DATA!C8727</f>
        <v/>
      </c>
      <c r="D8727">
        <f>TEST_DATA!D8727</f>
        <v/>
      </c>
      <c r="E8727">
        <f>TEST_DATA!E8727</f>
        <v/>
      </c>
    </row>
    <row r="8728">
      <c r="A8728">
        <f>TEST_DATA!A8728</f>
        <v/>
      </c>
      <c r="B8728">
        <f>TEST_DATA!B8728</f>
        <v/>
      </c>
      <c r="C8728">
        <f>TEST_DATA!C8728</f>
        <v/>
      </c>
      <c r="D8728">
        <f>TEST_DATA!D8728</f>
        <v/>
      </c>
      <c r="E8728">
        <f>TEST_DATA!E8728</f>
        <v/>
      </c>
    </row>
    <row r="8729">
      <c r="A8729">
        <f>TEST_DATA!A8729</f>
        <v/>
      </c>
      <c r="B8729">
        <f>TEST_DATA!B8729</f>
        <v/>
      </c>
      <c r="C8729">
        <f>TEST_DATA!C8729</f>
        <v/>
      </c>
      <c r="D8729">
        <f>TEST_DATA!D8729</f>
        <v/>
      </c>
      <c r="E8729">
        <f>TEST_DATA!E8729</f>
        <v/>
      </c>
    </row>
    <row r="8730">
      <c r="A8730">
        <f>TEST_DATA!A8730</f>
        <v/>
      </c>
      <c r="B8730">
        <f>TEST_DATA!B8730</f>
        <v/>
      </c>
      <c r="C8730">
        <f>TEST_DATA!C8730</f>
        <v/>
      </c>
      <c r="D8730">
        <f>TEST_DATA!D8730</f>
        <v/>
      </c>
      <c r="E8730">
        <f>TEST_DATA!E8730</f>
        <v/>
      </c>
    </row>
    <row r="8731">
      <c r="A8731">
        <f>TEST_DATA!A8731</f>
        <v/>
      </c>
      <c r="B8731">
        <f>TEST_DATA!B8731</f>
        <v/>
      </c>
      <c r="C8731">
        <f>TEST_DATA!C8731</f>
        <v/>
      </c>
      <c r="D8731">
        <f>TEST_DATA!D8731</f>
        <v/>
      </c>
      <c r="E8731">
        <f>TEST_DATA!E8731</f>
        <v/>
      </c>
    </row>
    <row r="8732">
      <c r="A8732">
        <f>TEST_DATA!A8732</f>
        <v/>
      </c>
      <c r="B8732">
        <f>TEST_DATA!B8732</f>
        <v/>
      </c>
      <c r="C8732">
        <f>TEST_DATA!C8732</f>
        <v/>
      </c>
      <c r="D8732">
        <f>TEST_DATA!D8732</f>
        <v/>
      </c>
      <c r="E8732">
        <f>TEST_DATA!E8732</f>
        <v/>
      </c>
    </row>
    <row r="8733">
      <c r="A8733">
        <f>TEST_DATA!A8733</f>
        <v/>
      </c>
      <c r="B8733">
        <f>TEST_DATA!B8733</f>
        <v/>
      </c>
      <c r="C8733">
        <f>TEST_DATA!C8733</f>
        <v/>
      </c>
      <c r="D8733">
        <f>TEST_DATA!D8733</f>
        <v/>
      </c>
      <c r="E8733">
        <f>TEST_DATA!E8733</f>
        <v/>
      </c>
    </row>
    <row r="8734">
      <c r="A8734">
        <f>TEST_DATA!A8734</f>
        <v/>
      </c>
      <c r="B8734">
        <f>TEST_DATA!B8734</f>
        <v/>
      </c>
      <c r="C8734">
        <f>TEST_DATA!C8734</f>
        <v/>
      </c>
      <c r="D8734">
        <f>TEST_DATA!D8734</f>
        <v/>
      </c>
      <c r="E8734">
        <f>TEST_DATA!E8734</f>
        <v/>
      </c>
    </row>
    <row r="8735">
      <c r="A8735">
        <f>TEST_DATA!A8735</f>
        <v/>
      </c>
      <c r="B8735">
        <f>TEST_DATA!B8735</f>
        <v/>
      </c>
      <c r="C8735">
        <f>TEST_DATA!C8735</f>
        <v/>
      </c>
      <c r="D8735">
        <f>TEST_DATA!D8735</f>
        <v/>
      </c>
      <c r="E8735">
        <f>TEST_DATA!E8735</f>
        <v/>
      </c>
    </row>
    <row r="8736">
      <c r="A8736">
        <f>TEST_DATA!A8736</f>
        <v/>
      </c>
      <c r="B8736">
        <f>TEST_DATA!B8736</f>
        <v/>
      </c>
      <c r="C8736">
        <f>TEST_DATA!C8736</f>
        <v/>
      </c>
      <c r="D8736">
        <f>TEST_DATA!D8736</f>
        <v/>
      </c>
      <c r="E8736">
        <f>TEST_DATA!E8736</f>
        <v/>
      </c>
    </row>
    <row r="8737">
      <c r="A8737">
        <f>TEST_DATA!A8737</f>
        <v/>
      </c>
      <c r="B8737">
        <f>TEST_DATA!B8737</f>
        <v/>
      </c>
      <c r="C8737">
        <f>TEST_DATA!C8737</f>
        <v/>
      </c>
      <c r="D8737">
        <f>TEST_DATA!D8737</f>
        <v/>
      </c>
      <c r="E8737">
        <f>TEST_DATA!E8737</f>
        <v/>
      </c>
    </row>
    <row r="8738">
      <c r="A8738">
        <f>TEST_DATA!A8738</f>
        <v/>
      </c>
      <c r="B8738">
        <f>TEST_DATA!B8738</f>
        <v/>
      </c>
      <c r="C8738">
        <f>TEST_DATA!C8738</f>
        <v/>
      </c>
      <c r="D8738">
        <f>TEST_DATA!D8738</f>
        <v/>
      </c>
      <c r="E8738">
        <f>TEST_DATA!E8738</f>
        <v/>
      </c>
    </row>
    <row r="8739">
      <c r="A8739">
        <f>TEST_DATA!A8739</f>
        <v/>
      </c>
      <c r="B8739">
        <f>TEST_DATA!B8739</f>
        <v/>
      </c>
      <c r="C8739">
        <f>TEST_DATA!C8739</f>
        <v/>
      </c>
      <c r="D8739">
        <f>TEST_DATA!D8739</f>
        <v/>
      </c>
      <c r="E8739">
        <f>TEST_DATA!E8739</f>
        <v/>
      </c>
    </row>
    <row r="8740">
      <c r="A8740">
        <f>TEST_DATA!A8740</f>
        <v/>
      </c>
      <c r="B8740">
        <f>TEST_DATA!B8740</f>
        <v/>
      </c>
      <c r="C8740">
        <f>TEST_DATA!C8740</f>
        <v/>
      </c>
      <c r="D8740">
        <f>TEST_DATA!D8740</f>
        <v/>
      </c>
      <c r="E8740">
        <f>TEST_DATA!E8740</f>
        <v/>
      </c>
    </row>
    <row r="8741">
      <c r="A8741">
        <f>TEST_DATA!A8741</f>
        <v/>
      </c>
      <c r="B8741">
        <f>TEST_DATA!B8741</f>
        <v/>
      </c>
      <c r="C8741">
        <f>TEST_DATA!C8741</f>
        <v/>
      </c>
      <c r="D8741">
        <f>TEST_DATA!D8741</f>
        <v/>
      </c>
      <c r="E8741">
        <f>TEST_DATA!E8741</f>
        <v/>
      </c>
    </row>
    <row r="8742">
      <c r="A8742">
        <f>TEST_DATA!A8742</f>
        <v/>
      </c>
      <c r="B8742">
        <f>TEST_DATA!B8742</f>
        <v/>
      </c>
      <c r="C8742">
        <f>TEST_DATA!C8742</f>
        <v/>
      </c>
      <c r="D8742">
        <f>TEST_DATA!D8742</f>
        <v/>
      </c>
      <c r="E8742">
        <f>TEST_DATA!E8742</f>
        <v/>
      </c>
    </row>
    <row r="8743">
      <c r="A8743">
        <f>TEST_DATA!A8743</f>
        <v/>
      </c>
      <c r="B8743">
        <f>TEST_DATA!B8743</f>
        <v/>
      </c>
      <c r="C8743">
        <f>TEST_DATA!C8743</f>
        <v/>
      </c>
      <c r="D8743">
        <f>TEST_DATA!D8743</f>
        <v/>
      </c>
      <c r="E8743">
        <f>TEST_DATA!E8743</f>
        <v/>
      </c>
    </row>
    <row r="8744">
      <c r="A8744">
        <f>TEST_DATA!A8744</f>
        <v/>
      </c>
      <c r="B8744">
        <f>TEST_DATA!B8744</f>
        <v/>
      </c>
      <c r="C8744">
        <f>TEST_DATA!C8744</f>
        <v/>
      </c>
      <c r="D8744">
        <f>TEST_DATA!D8744</f>
        <v/>
      </c>
      <c r="E8744">
        <f>TEST_DATA!E8744</f>
        <v/>
      </c>
    </row>
    <row r="8745">
      <c r="A8745">
        <f>TEST_DATA!A8745</f>
        <v/>
      </c>
      <c r="B8745">
        <f>TEST_DATA!B8745</f>
        <v/>
      </c>
      <c r="C8745">
        <f>TEST_DATA!C8745</f>
        <v/>
      </c>
      <c r="D8745">
        <f>TEST_DATA!D8745</f>
        <v/>
      </c>
      <c r="E8745">
        <f>TEST_DATA!E8745</f>
        <v/>
      </c>
    </row>
    <row r="8746">
      <c r="A8746">
        <f>TEST_DATA!A8746</f>
        <v/>
      </c>
      <c r="B8746">
        <f>TEST_DATA!B8746</f>
        <v/>
      </c>
      <c r="C8746">
        <f>TEST_DATA!C8746</f>
        <v/>
      </c>
      <c r="D8746">
        <f>TEST_DATA!D8746</f>
        <v/>
      </c>
      <c r="E8746">
        <f>TEST_DATA!E8746</f>
        <v/>
      </c>
    </row>
    <row r="8747">
      <c r="A8747">
        <f>TEST_DATA!A8747</f>
        <v/>
      </c>
      <c r="B8747">
        <f>TEST_DATA!B8747</f>
        <v/>
      </c>
      <c r="C8747">
        <f>TEST_DATA!C8747</f>
        <v/>
      </c>
      <c r="D8747">
        <f>TEST_DATA!D8747</f>
        <v/>
      </c>
      <c r="E8747">
        <f>TEST_DATA!E8747</f>
        <v/>
      </c>
    </row>
    <row r="8748">
      <c r="A8748">
        <f>TEST_DATA!A8748</f>
        <v/>
      </c>
      <c r="B8748">
        <f>TEST_DATA!B8748</f>
        <v/>
      </c>
      <c r="C8748">
        <f>TEST_DATA!C8748</f>
        <v/>
      </c>
      <c r="D8748">
        <f>TEST_DATA!D8748</f>
        <v/>
      </c>
      <c r="E8748">
        <f>TEST_DATA!E8748</f>
        <v/>
      </c>
    </row>
    <row r="8749">
      <c r="A8749">
        <f>TEST_DATA!A8749</f>
        <v/>
      </c>
      <c r="B8749">
        <f>TEST_DATA!B8749</f>
        <v/>
      </c>
      <c r="C8749">
        <f>TEST_DATA!C8749</f>
        <v/>
      </c>
      <c r="D8749">
        <f>TEST_DATA!D8749</f>
        <v/>
      </c>
      <c r="E8749">
        <f>TEST_DATA!E8749</f>
        <v/>
      </c>
    </row>
    <row r="8750">
      <c r="A8750">
        <f>TEST_DATA!A8750</f>
        <v/>
      </c>
      <c r="B8750">
        <f>TEST_DATA!B8750</f>
        <v/>
      </c>
      <c r="C8750">
        <f>TEST_DATA!C8750</f>
        <v/>
      </c>
      <c r="D8750">
        <f>TEST_DATA!D8750</f>
        <v/>
      </c>
      <c r="E8750">
        <f>TEST_DATA!E8750</f>
        <v/>
      </c>
    </row>
    <row r="8751">
      <c r="A8751">
        <f>TEST_DATA!A8751</f>
        <v/>
      </c>
      <c r="B8751">
        <f>TEST_DATA!B8751</f>
        <v/>
      </c>
      <c r="C8751">
        <f>TEST_DATA!C8751</f>
        <v/>
      </c>
      <c r="D8751">
        <f>TEST_DATA!D8751</f>
        <v/>
      </c>
      <c r="E8751">
        <f>TEST_DATA!E8751</f>
        <v/>
      </c>
    </row>
    <row r="8752">
      <c r="A8752">
        <f>TEST_DATA!A8752</f>
        <v/>
      </c>
      <c r="B8752">
        <f>TEST_DATA!B8752</f>
        <v/>
      </c>
      <c r="C8752">
        <f>TEST_DATA!C8752</f>
        <v/>
      </c>
      <c r="D8752">
        <f>TEST_DATA!D8752</f>
        <v/>
      </c>
      <c r="E8752">
        <f>TEST_DATA!E8752</f>
        <v/>
      </c>
    </row>
    <row r="8753">
      <c r="A8753">
        <f>TEST_DATA!A8753</f>
        <v/>
      </c>
      <c r="B8753">
        <f>TEST_DATA!B8753</f>
        <v/>
      </c>
      <c r="C8753">
        <f>TEST_DATA!C8753</f>
        <v/>
      </c>
      <c r="D8753">
        <f>TEST_DATA!D8753</f>
        <v/>
      </c>
      <c r="E8753">
        <f>TEST_DATA!E8753</f>
        <v/>
      </c>
    </row>
    <row r="8754">
      <c r="A8754">
        <f>TEST_DATA!A8754</f>
        <v/>
      </c>
      <c r="B8754">
        <f>TEST_DATA!B8754</f>
        <v/>
      </c>
      <c r="C8754">
        <f>TEST_DATA!C8754</f>
        <v/>
      </c>
      <c r="D8754">
        <f>TEST_DATA!D8754</f>
        <v/>
      </c>
      <c r="E8754">
        <f>TEST_DATA!E8754</f>
        <v/>
      </c>
    </row>
    <row r="8755">
      <c r="A8755">
        <f>TEST_DATA!A8755</f>
        <v/>
      </c>
      <c r="B8755">
        <f>TEST_DATA!B8755</f>
        <v/>
      </c>
      <c r="C8755">
        <f>TEST_DATA!C8755</f>
        <v/>
      </c>
      <c r="D8755">
        <f>TEST_DATA!D8755</f>
        <v/>
      </c>
      <c r="E8755">
        <f>TEST_DATA!E8755</f>
        <v/>
      </c>
    </row>
    <row r="8756">
      <c r="A8756">
        <f>TEST_DATA!A8756</f>
        <v/>
      </c>
      <c r="B8756">
        <f>TEST_DATA!B8756</f>
        <v/>
      </c>
      <c r="C8756">
        <f>TEST_DATA!C8756</f>
        <v/>
      </c>
      <c r="D8756">
        <f>TEST_DATA!D8756</f>
        <v/>
      </c>
      <c r="E8756">
        <f>TEST_DATA!E8756</f>
        <v/>
      </c>
    </row>
    <row r="8757">
      <c r="A8757">
        <f>TEST_DATA!A8757</f>
        <v/>
      </c>
      <c r="B8757">
        <f>TEST_DATA!B8757</f>
        <v/>
      </c>
      <c r="C8757">
        <f>TEST_DATA!C8757</f>
        <v/>
      </c>
      <c r="D8757">
        <f>TEST_DATA!D8757</f>
        <v/>
      </c>
      <c r="E8757">
        <f>TEST_DATA!E8757</f>
        <v/>
      </c>
    </row>
    <row r="8758">
      <c r="A8758">
        <f>TEST_DATA!A8758</f>
        <v/>
      </c>
      <c r="B8758">
        <f>TEST_DATA!B8758</f>
        <v/>
      </c>
      <c r="C8758">
        <f>TEST_DATA!C8758</f>
        <v/>
      </c>
      <c r="D8758">
        <f>TEST_DATA!D8758</f>
        <v/>
      </c>
      <c r="E8758">
        <f>TEST_DATA!E8758</f>
        <v/>
      </c>
    </row>
    <row r="8759">
      <c r="A8759">
        <f>TEST_DATA!A8759</f>
        <v/>
      </c>
      <c r="B8759">
        <f>TEST_DATA!B8759</f>
        <v/>
      </c>
      <c r="C8759">
        <f>TEST_DATA!C8759</f>
        <v/>
      </c>
      <c r="D8759">
        <f>TEST_DATA!D8759</f>
        <v/>
      </c>
      <c r="E8759">
        <f>TEST_DATA!E8759</f>
        <v/>
      </c>
    </row>
    <row r="8760">
      <c r="A8760">
        <f>TEST_DATA!A8760</f>
        <v/>
      </c>
      <c r="B8760">
        <f>TEST_DATA!B8760</f>
        <v/>
      </c>
      <c r="C8760">
        <f>TEST_DATA!C8760</f>
        <v/>
      </c>
      <c r="D8760">
        <f>TEST_DATA!D8760</f>
        <v/>
      </c>
      <c r="E8760">
        <f>TEST_DATA!E8760</f>
        <v/>
      </c>
    </row>
    <row r="8761">
      <c r="A8761">
        <f>TEST_DATA!A8761</f>
        <v/>
      </c>
      <c r="B8761">
        <f>TEST_DATA!B8761</f>
        <v/>
      </c>
      <c r="C8761">
        <f>TEST_DATA!C8761</f>
        <v/>
      </c>
      <c r="D8761">
        <f>TEST_DATA!D8761</f>
        <v/>
      </c>
      <c r="E8761">
        <f>TEST_DATA!E8761</f>
        <v/>
      </c>
    </row>
    <row r="8762">
      <c r="A8762">
        <f>TEST_DATA!A8762</f>
        <v/>
      </c>
      <c r="B8762">
        <f>TEST_DATA!B8762</f>
        <v/>
      </c>
      <c r="C8762">
        <f>TEST_DATA!C8762</f>
        <v/>
      </c>
      <c r="D8762">
        <f>TEST_DATA!D8762</f>
        <v/>
      </c>
      <c r="E8762">
        <f>TEST_DATA!E8762</f>
        <v/>
      </c>
    </row>
    <row r="8763">
      <c r="A8763">
        <f>TEST_DATA!A8763</f>
        <v/>
      </c>
      <c r="B8763">
        <f>TEST_DATA!B8763</f>
        <v/>
      </c>
      <c r="C8763">
        <f>TEST_DATA!C8763</f>
        <v/>
      </c>
      <c r="D8763">
        <f>TEST_DATA!D8763</f>
        <v/>
      </c>
      <c r="E8763">
        <f>TEST_DATA!E8763</f>
        <v/>
      </c>
    </row>
    <row r="8764">
      <c r="A8764">
        <f>TEST_DATA!A8764</f>
        <v/>
      </c>
      <c r="B8764">
        <f>TEST_DATA!B8764</f>
        <v/>
      </c>
      <c r="C8764">
        <f>TEST_DATA!C8764</f>
        <v/>
      </c>
      <c r="D8764">
        <f>TEST_DATA!D8764</f>
        <v/>
      </c>
      <c r="E8764">
        <f>TEST_DATA!E8764</f>
        <v/>
      </c>
    </row>
    <row r="8765">
      <c r="A8765">
        <f>TEST_DATA!A8765</f>
        <v/>
      </c>
      <c r="B8765">
        <f>TEST_DATA!B8765</f>
        <v/>
      </c>
      <c r="C8765">
        <f>TEST_DATA!C8765</f>
        <v/>
      </c>
      <c r="D8765">
        <f>TEST_DATA!D8765</f>
        <v/>
      </c>
      <c r="E8765">
        <f>TEST_DATA!E8765</f>
        <v/>
      </c>
    </row>
    <row r="8766">
      <c r="A8766">
        <f>TEST_DATA!A8766</f>
        <v/>
      </c>
      <c r="B8766">
        <f>TEST_DATA!B8766</f>
        <v/>
      </c>
      <c r="C8766">
        <f>TEST_DATA!C8766</f>
        <v/>
      </c>
      <c r="D8766">
        <f>TEST_DATA!D8766</f>
        <v/>
      </c>
      <c r="E8766">
        <f>TEST_DATA!E8766</f>
        <v/>
      </c>
    </row>
    <row r="8767">
      <c r="A8767">
        <f>TEST_DATA!A8767</f>
        <v/>
      </c>
      <c r="B8767">
        <f>TEST_DATA!B8767</f>
        <v/>
      </c>
      <c r="C8767">
        <f>TEST_DATA!C8767</f>
        <v/>
      </c>
      <c r="D8767">
        <f>TEST_DATA!D8767</f>
        <v/>
      </c>
      <c r="E8767">
        <f>TEST_DATA!E8767</f>
        <v/>
      </c>
    </row>
    <row r="8768">
      <c r="A8768">
        <f>TEST_DATA!A8768</f>
        <v/>
      </c>
      <c r="B8768">
        <f>TEST_DATA!B8768</f>
        <v/>
      </c>
      <c r="C8768">
        <f>TEST_DATA!C8768</f>
        <v/>
      </c>
      <c r="D8768">
        <f>TEST_DATA!D8768</f>
        <v/>
      </c>
      <c r="E8768">
        <f>TEST_DATA!E8768</f>
        <v/>
      </c>
    </row>
    <row r="8769">
      <c r="A8769">
        <f>TEST_DATA!A8769</f>
        <v/>
      </c>
      <c r="B8769">
        <f>TEST_DATA!B8769</f>
        <v/>
      </c>
      <c r="C8769">
        <f>TEST_DATA!C8769</f>
        <v/>
      </c>
      <c r="D8769">
        <f>TEST_DATA!D8769</f>
        <v/>
      </c>
      <c r="E8769">
        <f>TEST_DATA!E8769</f>
        <v/>
      </c>
    </row>
    <row r="8770">
      <c r="A8770">
        <f>TEST_DATA!A8770</f>
        <v/>
      </c>
      <c r="B8770">
        <f>TEST_DATA!B8770</f>
        <v/>
      </c>
      <c r="C8770">
        <f>TEST_DATA!C8770</f>
        <v/>
      </c>
      <c r="D8770">
        <f>TEST_DATA!D8770</f>
        <v/>
      </c>
      <c r="E8770">
        <f>TEST_DATA!E8770</f>
        <v/>
      </c>
    </row>
    <row r="8771">
      <c r="A8771">
        <f>TEST_DATA!A8771</f>
        <v/>
      </c>
      <c r="B8771">
        <f>TEST_DATA!B8771</f>
        <v/>
      </c>
      <c r="C8771">
        <f>TEST_DATA!C8771</f>
        <v/>
      </c>
      <c r="D8771">
        <f>TEST_DATA!D8771</f>
        <v/>
      </c>
      <c r="E8771">
        <f>TEST_DATA!E8771</f>
        <v/>
      </c>
    </row>
    <row r="8772">
      <c r="A8772">
        <f>TEST_DATA!A8772</f>
        <v/>
      </c>
      <c r="B8772">
        <f>TEST_DATA!B8772</f>
        <v/>
      </c>
      <c r="C8772">
        <f>TEST_DATA!C8772</f>
        <v/>
      </c>
      <c r="D8772">
        <f>TEST_DATA!D8772</f>
        <v/>
      </c>
      <c r="E8772">
        <f>TEST_DATA!E8772</f>
        <v/>
      </c>
    </row>
    <row r="8773">
      <c r="A8773">
        <f>TEST_DATA!A8773</f>
        <v/>
      </c>
      <c r="B8773">
        <f>TEST_DATA!B8773</f>
        <v/>
      </c>
      <c r="C8773">
        <f>TEST_DATA!C8773</f>
        <v/>
      </c>
      <c r="D8773">
        <f>TEST_DATA!D8773</f>
        <v/>
      </c>
      <c r="E8773">
        <f>TEST_DATA!E8773</f>
        <v/>
      </c>
    </row>
    <row r="8774">
      <c r="A8774">
        <f>TEST_DATA!A8774</f>
        <v/>
      </c>
      <c r="B8774">
        <f>TEST_DATA!B8774</f>
        <v/>
      </c>
      <c r="C8774">
        <f>TEST_DATA!C8774</f>
        <v/>
      </c>
      <c r="D8774">
        <f>TEST_DATA!D8774</f>
        <v/>
      </c>
      <c r="E8774">
        <f>TEST_DATA!E8774</f>
        <v/>
      </c>
    </row>
    <row r="8775">
      <c r="A8775">
        <f>TEST_DATA!A8775</f>
        <v/>
      </c>
      <c r="B8775">
        <f>TEST_DATA!B8775</f>
        <v/>
      </c>
      <c r="C8775">
        <f>TEST_DATA!C8775</f>
        <v/>
      </c>
      <c r="D8775">
        <f>TEST_DATA!D8775</f>
        <v/>
      </c>
      <c r="E8775">
        <f>TEST_DATA!E8775</f>
        <v/>
      </c>
    </row>
    <row r="8776">
      <c r="A8776">
        <f>TEST_DATA!A8776</f>
        <v/>
      </c>
      <c r="B8776">
        <f>TEST_DATA!B8776</f>
        <v/>
      </c>
      <c r="C8776">
        <f>TEST_DATA!C8776</f>
        <v/>
      </c>
      <c r="D8776">
        <f>TEST_DATA!D8776</f>
        <v/>
      </c>
      <c r="E8776">
        <f>TEST_DATA!E8776</f>
        <v/>
      </c>
    </row>
    <row r="8777">
      <c r="A8777">
        <f>TEST_DATA!A8777</f>
        <v/>
      </c>
      <c r="B8777">
        <f>TEST_DATA!B8777</f>
        <v/>
      </c>
      <c r="C8777">
        <f>TEST_DATA!C8777</f>
        <v/>
      </c>
      <c r="D8777">
        <f>TEST_DATA!D8777</f>
        <v/>
      </c>
      <c r="E8777">
        <f>TEST_DATA!E8777</f>
        <v/>
      </c>
    </row>
    <row r="8778">
      <c r="A8778">
        <f>TEST_DATA!A8778</f>
        <v/>
      </c>
      <c r="B8778">
        <f>TEST_DATA!B8778</f>
        <v/>
      </c>
      <c r="C8778">
        <f>TEST_DATA!C8778</f>
        <v/>
      </c>
      <c r="D8778">
        <f>TEST_DATA!D8778</f>
        <v/>
      </c>
      <c r="E8778">
        <f>TEST_DATA!E8778</f>
        <v/>
      </c>
    </row>
    <row r="8779">
      <c r="A8779">
        <f>TEST_DATA!A8779</f>
        <v/>
      </c>
      <c r="B8779">
        <f>TEST_DATA!B8779</f>
        <v/>
      </c>
      <c r="C8779">
        <f>TEST_DATA!C8779</f>
        <v/>
      </c>
      <c r="D8779">
        <f>TEST_DATA!D8779</f>
        <v/>
      </c>
      <c r="E8779">
        <f>TEST_DATA!E8779</f>
        <v/>
      </c>
    </row>
    <row r="8780">
      <c r="A8780">
        <f>TEST_DATA!A8780</f>
        <v/>
      </c>
      <c r="B8780">
        <f>TEST_DATA!B8780</f>
        <v/>
      </c>
      <c r="C8780">
        <f>TEST_DATA!C8780</f>
        <v/>
      </c>
      <c r="D8780">
        <f>TEST_DATA!D8780</f>
        <v/>
      </c>
      <c r="E8780">
        <f>TEST_DATA!E8780</f>
        <v/>
      </c>
    </row>
    <row r="8781">
      <c r="A8781">
        <f>TEST_DATA!A8781</f>
        <v/>
      </c>
      <c r="B8781">
        <f>TEST_DATA!B8781</f>
        <v/>
      </c>
      <c r="C8781">
        <f>TEST_DATA!C8781</f>
        <v/>
      </c>
      <c r="D8781">
        <f>TEST_DATA!D8781</f>
        <v/>
      </c>
      <c r="E8781">
        <f>TEST_DATA!E8781</f>
        <v/>
      </c>
    </row>
    <row r="8782">
      <c r="A8782">
        <f>TEST_DATA!A8782</f>
        <v/>
      </c>
      <c r="B8782">
        <f>TEST_DATA!B8782</f>
        <v/>
      </c>
      <c r="C8782">
        <f>TEST_DATA!C8782</f>
        <v/>
      </c>
      <c r="D8782">
        <f>TEST_DATA!D8782</f>
        <v/>
      </c>
      <c r="E8782">
        <f>TEST_DATA!E8782</f>
        <v/>
      </c>
    </row>
    <row r="8783">
      <c r="A8783">
        <f>TEST_DATA!A8783</f>
        <v/>
      </c>
      <c r="B8783">
        <f>TEST_DATA!B8783</f>
        <v/>
      </c>
      <c r="C8783">
        <f>TEST_DATA!C8783</f>
        <v/>
      </c>
      <c r="D8783">
        <f>TEST_DATA!D8783</f>
        <v/>
      </c>
      <c r="E8783">
        <f>TEST_DATA!E8783</f>
        <v/>
      </c>
    </row>
    <row r="8784">
      <c r="A8784">
        <f>TEST_DATA!A8784</f>
        <v/>
      </c>
      <c r="B8784">
        <f>TEST_DATA!B8784</f>
        <v/>
      </c>
      <c r="C8784">
        <f>TEST_DATA!C8784</f>
        <v/>
      </c>
      <c r="D8784">
        <f>TEST_DATA!D8784</f>
        <v/>
      </c>
      <c r="E8784">
        <f>TEST_DATA!E8784</f>
        <v/>
      </c>
    </row>
    <row r="8785">
      <c r="A8785">
        <f>TEST_DATA!A8785</f>
        <v/>
      </c>
      <c r="B8785">
        <f>TEST_DATA!B8785</f>
        <v/>
      </c>
      <c r="C8785">
        <f>TEST_DATA!C8785</f>
        <v/>
      </c>
      <c r="D8785">
        <f>TEST_DATA!D8785</f>
        <v/>
      </c>
      <c r="E8785">
        <f>TEST_DATA!E8785</f>
        <v/>
      </c>
    </row>
    <row r="8786">
      <c r="A8786">
        <f>TEST_DATA!A8786</f>
        <v/>
      </c>
      <c r="B8786">
        <f>TEST_DATA!B8786</f>
        <v/>
      </c>
      <c r="C8786">
        <f>TEST_DATA!C8786</f>
        <v/>
      </c>
      <c r="D8786">
        <f>TEST_DATA!D8786</f>
        <v/>
      </c>
      <c r="E8786">
        <f>TEST_DATA!E8786</f>
        <v/>
      </c>
    </row>
    <row r="8787">
      <c r="A8787">
        <f>TEST_DATA!A8787</f>
        <v/>
      </c>
      <c r="B8787">
        <f>TEST_DATA!B8787</f>
        <v/>
      </c>
      <c r="C8787">
        <f>TEST_DATA!C8787</f>
        <v/>
      </c>
      <c r="D8787">
        <f>TEST_DATA!D8787</f>
        <v/>
      </c>
      <c r="E8787">
        <f>TEST_DATA!E8787</f>
        <v/>
      </c>
    </row>
    <row r="8788">
      <c r="A8788">
        <f>TEST_DATA!A8788</f>
        <v/>
      </c>
      <c r="B8788">
        <f>TEST_DATA!B8788</f>
        <v/>
      </c>
      <c r="C8788">
        <f>TEST_DATA!C8788</f>
        <v/>
      </c>
      <c r="D8788">
        <f>TEST_DATA!D8788</f>
        <v/>
      </c>
      <c r="E8788">
        <f>TEST_DATA!E8788</f>
        <v/>
      </c>
    </row>
    <row r="8789">
      <c r="A8789">
        <f>TEST_DATA!A8789</f>
        <v/>
      </c>
      <c r="B8789">
        <f>TEST_DATA!B8789</f>
        <v/>
      </c>
      <c r="C8789">
        <f>TEST_DATA!C8789</f>
        <v/>
      </c>
      <c r="D8789">
        <f>TEST_DATA!D8789</f>
        <v/>
      </c>
      <c r="E8789">
        <f>TEST_DATA!E8789</f>
        <v/>
      </c>
    </row>
    <row r="8790">
      <c r="A8790">
        <f>TEST_DATA!A8790</f>
        <v/>
      </c>
      <c r="B8790">
        <f>TEST_DATA!B8790</f>
        <v/>
      </c>
      <c r="C8790">
        <f>TEST_DATA!C8790</f>
        <v/>
      </c>
      <c r="D8790">
        <f>TEST_DATA!D8790</f>
        <v/>
      </c>
      <c r="E8790">
        <f>TEST_DATA!E8790</f>
        <v/>
      </c>
    </row>
    <row r="8791">
      <c r="A8791">
        <f>TEST_DATA!A8791</f>
        <v/>
      </c>
      <c r="B8791">
        <f>TEST_DATA!B8791</f>
        <v/>
      </c>
      <c r="C8791">
        <f>TEST_DATA!C8791</f>
        <v/>
      </c>
      <c r="D8791">
        <f>TEST_DATA!D8791</f>
        <v/>
      </c>
      <c r="E8791">
        <f>TEST_DATA!E8791</f>
        <v/>
      </c>
    </row>
    <row r="8792">
      <c r="A8792">
        <f>TEST_DATA!A8792</f>
        <v/>
      </c>
      <c r="B8792">
        <f>TEST_DATA!B8792</f>
        <v/>
      </c>
      <c r="C8792">
        <f>TEST_DATA!C8792</f>
        <v/>
      </c>
      <c r="D8792">
        <f>TEST_DATA!D8792</f>
        <v/>
      </c>
      <c r="E8792">
        <f>TEST_DATA!E8792</f>
        <v/>
      </c>
    </row>
    <row r="8793">
      <c r="A8793">
        <f>TEST_DATA!A8793</f>
        <v/>
      </c>
      <c r="B8793">
        <f>TEST_DATA!B8793</f>
        <v/>
      </c>
      <c r="C8793">
        <f>TEST_DATA!C8793</f>
        <v/>
      </c>
      <c r="D8793">
        <f>TEST_DATA!D8793</f>
        <v/>
      </c>
      <c r="E8793">
        <f>TEST_DATA!E8793</f>
        <v/>
      </c>
    </row>
    <row r="8794">
      <c r="A8794">
        <f>TEST_DATA!A8794</f>
        <v/>
      </c>
      <c r="B8794">
        <f>TEST_DATA!B8794</f>
        <v/>
      </c>
      <c r="C8794">
        <f>TEST_DATA!C8794</f>
        <v/>
      </c>
      <c r="D8794">
        <f>TEST_DATA!D8794</f>
        <v/>
      </c>
      <c r="E8794">
        <f>TEST_DATA!E8794</f>
        <v/>
      </c>
    </row>
    <row r="8795">
      <c r="A8795">
        <f>TEST_DATA!A8795</f>
        <v/>
      </c>
      <c r="B8795">
        <f>TEST_DATA!B8795</f>
        <v/>
      </c>
      <c r="C8795">
        <f>TEST_DATA!C8795</f>
        <v/>
      </c>
      <c r="D8795">
        <f>TEST_DATA!D8795</f>
        <v/>
      </c>
      <c r="E8795">
        <f>TEST_DATA!E8795</f>
        <v/>
      </c>
    </row>
    <row r="8796">
      <c r="A8796">
        <f>TEST_DATA!A8796</f>
        <v/>
      </c>
      <c r="B8796">
        <f>TEST_DATA!B8796</f>
        <v/>
      </c>
      <c r="C8796">
        <f>TEST_DATA!C8796</f>
        <v/>
      </c>
      <c r="D8796">
        <f>TEST_DATA!D8796</f>
        <v/>
      </c>
      <c r="E8796">
        <f>TEST_DATA!E8796</f>
        <v/>
      </c>
    </row>
    <row r="8797">
      <c r="A8797">
        <f>TEST_DATA!A8797</f>
        <v/>
      </c>
      <c r="B8797">
        <f>TEST_DATA!B8797</f>
        <v/>
      </c>
      <c r="C8797">
        <f>TEST_DATA!C8797</f>
        <v/>
      </c>
      <c r="D8797">
        <f>TEST_DATA!D8797</f>
        <v/>
      </c>
      <c r="E8797">
        <f>TEST_DATA!E8797</f>
        <v/>
      </c>
    </row>
    <row r="8798">
      <c r="A8798">
        <f>TEST_DATA!A8798</f>
        <v/>
      </c>
      <c r="B8798">
        <f>TEST_DATA!B8798</f>
        <v/>
      </c>
      <c r="C8798">
        <f>TEST_DATA!C8798</f>
        <v/>
      </c>
      <c r="D8798">
        <f>TEST_DATA!D8798</f>
        <v/>
      </c>
      <c r="E8798">
        <f>TEST_DATA!E8798</f>
        <v/>
      </c>
    </row>
    <row r="8799">
      <c r="A8799">
        <f>TEST_DATA!A8799</f>
        <v/>
      </c>
      <c r="B8799">
        <f>TEST_DATA!B8799</f>
        <v/>
      </c>
      <c r="C8799">
        <f>TEST_DATA!C8799</f>
        <v/>
      </c>
      <c r="D8799">
        <f>TEST_DATA!D8799</f>
        <v/>
      </c>
      <c r="E8799">
        <f>TEST_DATA!E8799</f>
        <v/>
      </c>
    </row>
    <row r="8800">
      <c r="A8800">
        <f>TEST_DATA!A8800</f>
        <v/>
      </c>
      <c r="B8800">
        <f>TEST_DATA!B8800</f>
        <v/>
      </c>
      <c r="C8800">
        <f>TEST_DATA!C8800</f>
        <v/>
      </c>
      <c r="D8800">
        <f>TEST_DATA!D8800</f>
        <v/>
      </c>
      <c r="E8800">
        <f>TEST_DATA!E8800</f>
        <v/>
      </c>
    </row>
    <row r="8801">
      <c r="A8801">
        <f>TEST_DATA!A8801</f>
        <v/>
      </c>
      <c r="B8801">
        <f>TEST_DATA!B8801</f>
        <v/>
      </c>
      <c r="C8801">
        <f>TEST_DATA!C8801</f>
        <v/>
      </c>
      <c r="D8801">
        <f>TEST_DATA!D8801</f>
        <v/>
      </c>
      <c r="E8801">
        <f>TEST_DATA!E8801</f>
        <v/>
      </c>
    </row>
    <row r="8802">
      <c r="A8802">
        <f>TEST_DATA!A8802</f>
        <v/>
      </c>
      <c r="B8802">
        <f>TEST_DATA!B8802</f>
        <v/>
      </c>
      <c r="C8802">
        <f>TEST_DATA!C8802</f>
        <v/>
      </c>
      <c r="D8802">
        <f>TEST_DATA!D8802</f>
        <v/>
      </c>
      <c r="E8802">
        <f>TEST_DATA!E8802</f>
        <v/>
      </c>
    </row>
    <row r="8803">
      <c r="A8803">
        <f>TEST_DATA!A8803</f>
        <v/>
      </c>
      <c r="B8803">
        <f>TEST_DATA!B8803</f>
        <v/>
      </c>
      <c r="C8803">
        <f>TEST_DATA!C8803</f>
        <v/>
      </c>
      <c r="D8803">
        <f>TEST_DATA!D8803</f>
        <v/>
      </c>
      <c r="E8803">
        <f>TEST_DATA!E8803</f>
        <v/>
      </c>
    </row>
    <row r="8804">
      <c r="A8804">
        <f>TEST_DATA!A8804</f>
        <v/>
      </c>
      <c r="B8804">
        <f>TEST_DATA!B8804</f>
        <v/>
      </c>
      <c r="C8804">
        <f>TEST_DATA!C8804</f>
        <v/>
      </c>
      <c r="D8804">
        <f>TEST_DATA!D8804</f>
        <v/>
      </c>
      <c r="E8804">
        <f>TEST_DATA!E8804</f>
        <v/>
      </c>
    </row>
    <row r="8805">
      <c r="A8805">
        <f>TEST_DATA!A8805</f>
        <v/>
      </c>
      <c r="B8805">
        <f>TEST_DATA!B8805</f>
        <v/>
      </c>
      <c r="C8805">
        <f>TEST_DATA!C8805</f>
        <v/>
      </c>
      <c r="D8805">
        <f>TEST_DATA!D8805</f>
        <v/>
      </c>
      <c r="E8805">
        <f>TEST_DATA!E8805</f>
        <v/>
      </c>
    </row>
    <row r="8806">
      <c r="A8806">
        <f>TEST_DATA!A8806</f>
        <v/>
      </c>
      <c r="B8806">
        <f>TEST_DATA!B8806</f>
        <v/>
      </c>
      <c r="C8806">
        <f>TEST_DATA!C8806</f>
        <v/>
      </c>
      <c r="D8806">
        <f>TEST_DATA!D8806</f>
        <v/>
      </c>
      <c r="E8806">
        <f>TEST_DATA!E8806</f>
        <v/>
      </c>
    </row>
    <row r="8807">
      <c r="A8807">
        <f>TEST_DATA!A8807</f>
        <v/>
      </c>
      <c r="B8807">
        <f>TEST_DATA!B8807</f>
        <v/>
      </c>
      <c r="C8807">
        <f>TEST_DATA!C8807</f>
        <v/>
      </c>
      <c r="D8807">
        <f>TEST_DATA!D8807</f>
        <v/>
      </c>
      <c r="E8807">
        <f>TEST_DATA!E8807</f>
        <v/>
      </c>
    </row>
    <row r="8808">
      <c r="A8808">
        <f>TEST_DATA!A8808</f>
        <v/>
      </c>
      <c r="B8808">
        <f>TEST_DATA!B8808</f>
        <v/>
      </c>
      <c r="C8808">
        <f>TEST_DATA!C8808</f>
        <v/>
      </c>
      <c r="D8808">
        <f>TEST_DATA!D8808</f>
        <v/>
      </c>
      <c r="E8808">
        <f>TEST_DATA!E8808</f>
        <v/>
      </c>
    </row>
    <row r="8809">
      <c r="A8809">
        <f>TEST_DATA!A8809</f>
        <v/>
      </c>
      <c r="B8809">
        <f>TEST_DATA!B8809</f>
        <v/>
      </c>
      <c r="C8809">
        <f>TEST_DATA!C8809</f>
        <v/>
      </c>
      <c r="D8809">
        <f>TEST_DATA!D8809</f>
        <v/>
      </c>
      <c r="E8809">
        <f>TEST_DATA!E8809</f>
        <v/>
      </c>
    </row>
    <row r="8810">
      <c r="A8810">
        <f>TEST_DATA!A8810</f>
        <v/>
      </c>
      <c r="B8810">
        <f>TEST_DATA!B8810</f>
        <v/>
      </c>
      <c r="C8810">
        <f>TEST_DATA!C8810</f>
        <v/>
      </c>
      <c r="D8810">
        <f>TEST_DATA!D8810</f>
        <v/>
      </c>
      <c r="E8810">
        <f>TEST_DATA!E8810</f>
        <v/>
      </c>
    </row>
    <row r="8811">
      <c r="A8811">
        <f>TEST_DATA!A8811</f>
        <v/>
      </c>
      <c r="B8811">
        <f>TEST_DATA!B8811</f>
        <v/>
      </c>
      <c r="C8811">
        <f>TEST_DATA!C8811</f>
        <v/>
      </c>
      <c r="D8811">
        <f>TEST_DATA!D8811</f>
        <v/>
      </c>
      <c r="E8811">
        <f>TEST_DATA!E8811</f>
        <v/>
      </c>
    </row>
    <row r="8812">
      <c r="A8812">
        <f>TEST_DATA!A8812</f>
        <v/>
      </c>
      <c r="B8812">
        <f>TEST_DATA!B8812</f>
        <v/>
      </c>
      <c r="C8812">
        <f>TEST_DATA!C8812</f>
        <v/>
      </c>
      <c r="D8812">
        <f>TEST_DATA!D8812</f>
        <v/>
      </c>
      <c r="E8812">
        <f>TEST_DATA!E8812</f>
        <v/>
      </c>
    </row>
    <row r="8813">
      <c r="A8813">
        <f>TEST_DATA!A8813</f>
        <v/>
      </c>
      <c r="B8813">
        <f>TEST_DATA!B8813</f>
        <v/>
      </c>
      <c r="C8813">
        <f>TEST_DATA!C8813</f>
        <v/>
      </c>
      <c r="D8813">
        <f>TEST_DATA!D8813</f>
        <v/>
      </c>
      <c r="E8813">
        <f>TEST_DATA!E8813</f>
        <v/>
      </c>
    </row>
    <row r="8814">
      <c r="A8814">
        <f>TEST_DATA!A8814</f>
        <v/>
      </c>
      <c r="B8814">
        <f>TEST_DATA!B8814</f>
        <v/>
      </c>
      <c r="C8814">
        <f>TEST_DATA!C8814</f>
        <v/>
      </c>
      <c r="D8814">
        <f>TEST_DATA!D8814</f>
        <v/>
      </c>
      <c r="E8814">
        <f>TEST_DATA!E8814</f>
        <v/>
      </c>
    </row>
    <row r="8815">
      <c r="A8815">
        <f>TEST_DATA!A8815</f>
        <v/>
      </c>
      <c r="B8815">
        <f>TEST_DATA!B8815</f>
        <v/>
      </c>
      <c r="C8815">
        <f>TEST_DATA!C8815</f>
        <v/>
      </c>
      <c r="D8815">
        <f>TEST_DATA!D8815</f>
        <v/>
      </c>
      <c r="E8815">
        <f>TEST_DATA!E8815</f>
        <v/>
      </c>
    </row>
    <row r="8816">
      <c r="A8816">
        <f>TEST_DATA!A8816</f>
        <v/>
      </c>
      <c r="B8816">
        <f>TEST_DATA!B8816</f>
        <v/>
      </c>
      <c r="C8816">
        <f>TEST_DATA!C8816</f>
        <v/>
      </c>
      <c r="D8816">
        <f>TEST_DATA!D8816</f>
        <v/>
      </c>
      <c r="E8816">
        <f>TEST_DATA!E8816</f>
        <v/>
      </c>
    </row>
    <row r="8817">
      <c r="A8817">
        <f>TEST_DATA!A8817</f>
        <v/>
      </c>
      <c r="B8817">
        <f>TEST_DATA!B8817</f>
        <v/>
      </c>
      <c r="C8817">
        <f>TEST_DATA!C8817</f>
        <v/>
      </c>
      <c r="D8817">
        <f>TEST_DATA!D8817</f>
        <v/>
      </c>
      <c r="E8817">
        <f>TEST_DATA!E8817</f>
        <v/>
      </c>
    </row>
    <row r="8818">
      <c r="A8818">
        <f>TEST_DATA!A8818</f>
        <v/>
      </c>
      <c r="B8818">
        <f>TEST_DATA!B8818</f>
        <v/>
      </c>
      <c r="C8818">
        <f>TEST_DATA!C8818</f>
        <v/>
      </c>
      <c r="D8818">
        <f>TEST_DATA!D8818</f>
        <v/>
      </c>
      <c r="E8818">
        <f>TEST_DATA!E8818</f>
        <v/>
      </c>
    </row>
    <row r="8819">
      <c r="A8819">
        <f>TEST_DATA!A8819</f>
        <v/>
      </c>
      <c r="B8819">
        <f>TEST_DATA!B8819</f>
        <v/>
      </c>
      <c r="C8819">
        <f>TEST_DATA!C8819</f>
        <v/>
      </c>
      <c r="D8819">
        <f>TEST_DATA!D8819</f>
        <v/>
      </c>
      <c r="E8819">
        <f>TEST_DATA!E8819</f>
        <v/>
      </c>
    </row>
    <row r="8820">
      <c r="A8820">
        <f>TEST_DATA!A8820</f>
        <v/>
      </c>
      <c r="B8820">
        <f>TEST_DATA!B8820</f>
        <v/>
      </c>
      <c r="C8820">
        <f>TEST_DATA!C8820</f>
        <v/>
      </c>
      <c r="D8820">
        <f>TEST_DATA!D8820</f>
        <v/>
      </c>
      <c r="E8820">
        <f>TEST_DATA!E8820</f>
        <v/>
      </c>
    </row>
    <row r="8821">
      <c r="A8821">
        <f>TEST_DATA!A8821</f>
        <v/>
      </c>
      <c r="B8821">
        <f>TEST_DATA!B8821</f>
        <v/>
      </c>
      <c r="C8821">
        <f>TEST_DATA!C8821</f>
        <v/>
      </c>
      <c r="D8821">
        <f>TEST_DATA!D8821</f>
        <v/>
      </c>
      <c r="E8821">
        <f>TEST_DATA!E8821</f>
        <v/>
      </c>
    </row>
    <row r="8822">
      <c r="A8822">
        <f>TEST_DATA!A8822</f>
        <v/>
      </c>
      <c r="B8822">
        <f>TEST_DATA!B8822</f>
        <v/>
      </c>
      <c r="C8822">
        <f>TEST_DATA!C8822</f>
        <v/>
      </c>
      <c r="D8822">
        <f>TEST_DATA!D8822</f>
        <v/>
      </c>
      <c r="E8822">
        <f>TEST_DATA!E8822</f>
        <v/>
      </c>
    </row>
    <row r="8823">
      <c r="A8823">
        <f>TEST_DATA!A8823</f>
        <v/>
      </c>
      <c r="B8823">
        <f>TEST_DATA!B8823</f>
        <v/>
      </c>
      <c r="C8823">
        <f>TEST_DATA!C8823</f>
        <v/>
      </c>
      <c r="D8823">
        <f>TEST_DATA!D8823</f>
        <v/>
      </c>
      <c r="E8823">
        <f>TEST_DATA!E8823</f>
        <v/>
      </c>
    </row>
    <row r="8824">
      <c r="A8824">
        <f>TEST_DATA!A8824</f>
        <v/>
      </c>
      <c r="B8824">
        <f>TEST_DATA!B8824</f>
        <v/>
      </c>
      <c r="C8824">
        <f>TEST_DATA!C8824</f>
        <v/>
      </c>
      <c r="D8824">
        <f>TEST_DATA!D8824</f>
        <v/>
      </c>
      <c r="E8824">
        <f>TEST_DATA!E8824</f>
        <v/>
      </c>
    </row>
    <row r="8825">
      <c r="A8825">
        <f>TEST_DATA!A8825</f>
        <v/>
      </c>
      <c r="B8825">
        <f>TEST_DATA!B8825</f>
        <v/>
      </c>
      <c r="C8825">
        <f>TEST_DATA!C8825</f>
        <v/>
      </c>
      <c r="D8825">
        <f>TEST_DATA!D8825</f>
        <v/>
      </c>
      <c r="E8825">
        <f>TEST_DATA!E8825</f>
        <v/>
      </c>
    </row>
    <row r="8826">
      <c r="A8826">
        <f>TEST_DATA!A8826</f>
        <v/>
      </c>
      <c r="B8826">
        <f>TEST_DATA!B8826</f>
        <v/>
      </c>
      <c r="C8826">
        <f>TEST_DATA!C8826</f>
        <v/>
      </c>
      <c r="D8826">
        <f>TEST_DATA!D8826</f>
        <v/>
      </c>
      <c r="E8826">
        <f>TEST_DATA!E8826</f>
        <v/>
      </c>
    </row>
    <row r="8827">
      <c r="A8827">
        <f>TEST_DATA!A8827</f>
        <v/>
      </c>
      <c r="B8827">
        <f>TEST_DATA!B8827</f>
        <v/>
      </c>
      <c r="C8827">
        <f>TEST_DATA!C8827</f>
        <v/>
      </c>
      <c r="D8827">
        <f>TEST_DATA!D8827</f>
        <v/>
      </c>
      <c r="E8827">
        <f>TEST_DATA!E8827</f>
        <v/>
      </c>
    </row>
    <row r="8828">
      <c r="A8828">
        <f>TEST_DATA!A8828</f>
        <v/>
      </c>
      <c r="B8828">
        <f>TEST_DATA!B8828</f>
        <v/>
      </c>
      <c r="C8828">
        <f>TEST_DATA!C8828</f>
        <v/>
      </c>
      <c r="D8828">
        <f>TEST_DATA!D8828</f>
        <v/>
      </c>
      <c r="E8828">
        <f>TEST_DATA!E8828</f>
        <v/>
      </c>
    </row>
    <row r="8829">
      <c r="A8829">
        <f>TEST_DATA!A8829</f>
        <v/>
      </c>
      <c r="B8829">
        <f>TEST_DATA!B8829</f>
        <v/>
      </c>
      <c r="C8829">
        <f>TEST_DATA!C8829</f>
        <v/>
      </c>
      <c r="D8829">
        <f>TEST_DATA!D8829</f>
        <v/>
      </c>
      <c r="E8829">
        <f>TEST_DATA!E8829</f>
        <v/>
      </c>
    </row>
    <row r="8830">
      <c r="A8830">
        <f>TEST_DATA!A8830</f>
        <v/>
      </c>
      <c r="B8830">
        <f>TEST_DATA!B8830</f>
        <v/>
      </c>
      <c r="C8830">
        <f>TEST_DATA!C8830</f>
        <v/>
      </c>
      <c r="D8830">
        <f>TEST_DATA!D8830</f>
        <v/>
      </c>
      <c r="E8830">
        <f>TEST_DATA!E8830</f>
        <v/>
      </c>
    </row>
    <row r="8831">
      <c r="A8831">
        <f>TEST_DATA!A8831</f>
        <v/>
      </c>
      <c r="B8831">
        <f>TEST_DATA!B8831</f>
        <v/>
      </c>
      <c r="C8831">
        <f>TEST_DATA!C8831</f>
        <v/>
      </c>
      <c r="D8831">
        <f>TEST_DATA!D8831</f>
        <v/>
      </c>
      <c r="E8831">
        <f>TEST_DATA!E8831</f>
        <v/>
      </c>
    </row>
    <row r="8832">
      <c r="A8832">
        <f>TEST_DATA!A8832</f>
        <v/>
      </c>
      <c r="B8832">
        <f>TEST_DATA!B8832</f>
        <v/>
      </c>
      <c r="C8832">
        <f>TEST_DATA!C8832</f>
        <v/>
      </c>
      <c r="D8832">
        <f>TEST_DATA!D8832</f>
        <v/>
      </c>
      <c r="E8832">
        <f>TEST_DATA!E8832</f>
        <v/>
      </c>
    </row>
    <row r="8833">
      <c r="A8833">
        <f>TEST_DATA!A8833</f>
        <v/>
      </c>
      <c r="B8833">
        <f>TEST_DATA!B8833</f>
        <v/>
      </c>
      <c r="C8833">
        <f>TEST_DATA!C8833</f>
        <v/>
      </c>
      <c r="D8833">
        <f>TEST_DATA!D8833</f>
        <v/>
      </c>
      <c r="E8833">
        <f>TEST_DATA!E8833</f>
        <v/>
      </c>
    </row>
    <row r="8834">
      <c r="A8834">
        <f>TEST_DATA!A8834</f>
        <v/>
      </c>
      <c r="B8834">
        <f>TEST_DATA!B8834</f>
        <v/>
      </c>
      <c r="C8834">
        <f>TEST_DATA!C8834</f>
        <v/>
      </c>
      <c r="D8834">
        <f>TEST_DATA!D8834</f>
        <v/>
      </c>
      <c r="E8834">
        <f>TEST_DATA!E8834</f>
        <v/>
      </c>
    </row>
    <row r="8835">
      <c r="A8835">
        <f>TEST_DATA!A8835</f>
        <v/>
      </c>
      <c r="B8835">
        <f>TEST_DATA!B8835</f>
        <v/>
      </c>
      <c r="C8835">
        <f>TEST_DATA!C8835</f>
        <v/>
      </c>
      <c r="D8835">
        <f>TEST_DATA!D8835</f>
        <v/>
      </c>
      <c r="E8835">
        <f>TEST_DATA!E8835</f>
        <v/>
      </c>
    </row>
    <row r="8836">
      <c r="A8836">
        <f>TEST_DATA!A8836</f>
        <v/>
      </c>
      <c r="B8836">
        <f>TEST_DATA!B8836</f>
        <v/>
      </c>
      <c r="C8836">
        <f>TEST_DATA!C8836</f>
        <v/>
      </c>
      <c r="D8836">
        <f>TEST_DATA!D8836</f>
        <v/>
      </c>
      <c r="E8836">
        <f>TEST_DATA!E8836</f>
        <v/>
      </c>
    </row>
    <row r="8837">
      <c r="A8837">
        <f>TEST_DATA!A8837</f>
        <v/>
      </c>
      <c r="B8837">
        <f>TEST_DATA!B8837</f>
        <v/>
      </c>
      <c r="C8837">
        <f>TEST_DATA!C8837</f>
        <v/>
      </c>
      <c r="D8837">
        <f>TEST_DATA!D8837</f>
        <v/>
      </c>
      <c r="E8837">
        <f>TEST_DATA!E8837</f>
        <v/>
      </c>
    </row>
    <row r="8838">
      <c r="A8838">
        <f>TEST_DATA!A8838</f>
        <v/>
      </c>
      <c r="B8838">
        <f>TEST_DATA!B8838</f>
        <v/>
      </c>
      <c r="C8838">
        <f>TEST_DATA!C8838</f>
        <v/>
      </c>
      <c r="D8838">
        <f>TEST_DATA!D8838</f>
        <v/>
      </c>
      <c r="E8838">
        <f>TEST_DATA!E8838</f>
        <v/>
      </c>
    </row>
    <row r="8839">
      <c r="A8839">
        <f>TEST_DATA!A8839</f>
        <v/>
      </c>
      <c r="B8839">
        <f>TEST_DATA!B8839</f>
        <v/>
      </c>
      <c r="C8839">
        <f>TEST_DATA!C8839</f>
        <v/>
      </c>
      <c r="D8839">
        <f>TEST_DATA!D8839</f>
        <v/>
      </c>
      <c r="E8839">
        <f>TEST_DATA!E8839</f>
        <v/>
      </c>
    </row>
    <row r="8840">
      <c r="A8840">
        <f>TEST_DATA!A8840</f>
        <v/>
      </c>
      <c r="B8840">
        <f>TEST_DATA!B8840</f>
        <v/>
      </c>
      <c r="C8840">
        <f>TEST_DATA!C8840</f>
        <v/>
      </c>
      <c r="D8840">
        <f>TEST_DATA!D8840</f>
        <v/>
      </c>
      <c r="E8840">
        <f>TEST_DATA!E8840</f>
        <v/>
      </c>
    </row>
    <row r="8841">
      <c r="A8841">
        <f>TEST_DATA!A8841</f>
        <v/>
      </c>
      <c r="B8841">
        <f>TEST_DATA!B8841</f>
        <v/>
      </c>
      <c r="C8841">
        <f>TEST_DATA!C8841</f>
        <v/>
      </c>
      <c r="D8841">
        <f>TEST_DATA!D8841</f>
        <v/>
      </c>
      <c r="E8841">
        <f>TEST_DATA!E8841</f>
        <v/>
      </c>
    </row>
    <row r="8842">
      <c r="A8842">
        <f>TEST_DATA!A8842</f>
        <v/>
      </c>
      <c r="B8842">
        <f>TEST_DATA!B8842</f>
        <v/>
      </c>
      <c r="C8842">
        <f>TEST_DATA!C8842</f>
        <v/>
      </c>
      <c r="D8842">
        <f>TEST_DATA!D8842</f>
        <v/>
      </c>
      <c r="E8842">
        <f>TEST_DATA!E8842</f>
        <v/>
      </c>
    </row>
    <row r="8843">
      <c r="A8843">
        <f>TEST_DATA!A8843</f>
        <v/>
      </c>
      <c r="B8843">
        <f>TEST_DATA!B8843</f>
        <v/>
      </c>
      <c r="C8843">
        <f>TEST_DATA!C8843</f>
        <v/>
      </c>
      <c r="D8843">
        <f>TEST_DATA!D8843</f>
        <v/>
      </c>
      <c r="E8843">
        <f>TEST_DATA!E8843</f>
        <v/>
      </c>
    </row>
    <row r="8844">
      <c r="A8844">
        <f>TEST_DATA!A8844</f>
        <v/>
      </c>
      <c r="B8844">
        <f>TEST_DATA!B8844</f>
        <v/>
      </c>
      <c r="C8844">
        <f>TEST_DATA!C8844</f>
        <v/>
      </c>
      <c r="D8844">
        <f>TEST_DATA!D8844</f>
        <v/>
      </c>
      <c r="E8844">
        <f>TEST_DATA!E8844</f>
        <v/>
      </c>
    </row>
    <row r="8845">
      <c r="A8845">
        <f>TEST_DATA!A8845</f>
        <v/>
      </c>
      <c r="B8845">
        <f>TEST_DATA!B8845</f>
        <v/>
      </c>
      <c r="C8845">
        <f>TEST_DATA!C8845</f>
        <v/>
      </c>
      <c r="D8845">
        <f>TEST_DATA!D8845</f>
        <v/>
      </c>
      <c r="E8845">
        <f>TEST_DATA!E8845</f>
        <v/>
      </c>
    </row>
    <row r="8846">
      <c r="A8846">
        <f>TEST_DATA!A8846</f>
        <v/>
      </c>
      <c r="B8846">
        <f>TEST_DATA!B8846</f>
        <v/>
      </c>
      <c r="C8846">
        <f>TEST_DATA!C8846</f>
        <v/>
      </c>
      <c r="D8846">
        <f>TEST_DATA!D8846</f>
        <v/>
      </c>
      <c r="E8846">
        <f>TEST_DATA!E8846</f>
        <v/>
      </c>
    </row>
    <row r="8847">
      <c r="A8847">
        <f>TEST_DATA!A8847</f>
        <v/>
      </c>
      <c r="B8847">
        <f>TEST_DATA!B8847</f>
        <v/>
      </c>
      <c r="C8847">
        <f>TEST_DATA!C8847</f>
        <v/>
      </c>
      <c r="D8847">
        <f>TEST_DATA!D8847</f>
        <v/>
      </c>
      <c r="E8847">
        <f>TEST_DATA!E8847</f>
        <v/>
      </c>
    </row>
    <row r="8848">
      <c r="A8848">
        <f>TEST_DATA!A8848</f>
        <v/>
      </c>
      <c r="B8848">
        <f>TEST_DATA!B8848</f>
        <v/>
      </c>
      <c r="C8848">
        <f>TEST_DATA!C8848</f>
        <v/>
      </c>
      <c r="D8848">
        <f>TEST_DATA!D8848</f>
        <v/>
      </c>
      <c r="E8848">
        <f>TEST_DATA!E8848</f>
        <v/>
      </c>
    </row>
    <row r="8849">
      <c r="A8849">
        <f>TEST_DATA!A8849</f>
        <v/>
      </c>
      <c r="B8849">
        <f>TEST_DATA!B8849</f>
        <v/>
      </c>
      <c r="C8849">
        <f>TEST_DATA!C8849</f>
        <v/>
      </c>
      <c r="D8849">
        <f>TEST_DATA!D8849</f>
        <v/>
      </c>
      <c r="E8849">
        <f>TEST_DATA!E8849</f>
        <v/>
      </c>
    </row>
    <row r="8850">
      <c r="A8850">
        <f>TEST_DATA!A8850</f>
        <v/>
      </c>
      <c r="B8850">
        <f>TEST_DATA!B8850</f>
        <v/>
      </c>
      <c r="C8850">
        <f>TEST_DATA!C8850</f>
        <v/>
      </c>
      <c r="D8850">
        <f>TEST_DATA!D8850</f>
        <v/>
      </c>
      <c r="E8850">
        <f>TEST_DATA!E8850</f>
        <v/>
      </c>
    </row>
    <row r="8851">
      <c r="A8851">
        <f>TEST_DATA!A8851</f>
        <v/>
      </c>
      <c r="B8851">
        <f>TEST_DATA!B8851</f>
        <v/>
      </c>
      <c r="C8851">
        <f>TEST_DATA!C8851</f>
        <v/>
      </c>
      <c r="D8851">
        <f>TEST_DATA!D8851</f>
        <v/>
      </c>
      <c r="E8851">
        <f>TEST_DATA!E8851</f>
        <v/>
      </c>
    </row>
    <row r="8852">
      <c r="A8852">
        <f>TEST_DATA!A8852</f>
        <v/>
      </c>
      <c r="B8852">
        <f>TEST_DATA!B8852</f>
        <v/>
      </c>
      <c r="C8852">
        <f>TEST_DATA!C8852</f>
        <v/>
      </c>
      <c r="D8852">
        <f>TEST_DATA!D8852</f>
        <v/>
      </c>
      <c r="E8852">
        <f>TEST_DATA!E8852</f>
        <v/>
      </c>
    </row>
    <row r="8853">
      <c r="A8853">
        <f>TEST_DATA!A8853</f>
        <v/>
      </c>
      <c r="B8853">
        <f>TEST_DATA!B8853</f>
        <v/>
      </c>
      <c r="C8853">
        <f>TEST_DATA!C8853</f>
        <v/>
      </c>
      <c r="D8853">
        <f>TEST_DATA!D8853</f>
        <v/>
      </c>
      <c r="E8853">
        <f>TEST_DATA!E8853</f>
        <v/>
      </c>
    </row>
    <row r="8854">
      <c r="A8854">
        <f>TEST_DATA!A8854</f>
        <v/>
      </c>
      <c r="B8854">
        <f>TEST_DATA!B8854</f>
        <v/>
      </c>
      <c r="C8854">
        <f>TEST_DATA!C8854</f>
        <v/>
      </c>
      <c r="D8854">
        <f>TEST_DATA!D8854</f>
        <v/>
      </c>
      <c r="E8854">
        <f>TEST_DATA!E8854</f>
        <v/>
      </c>
    </row>
    <row r="8855">
      <c r="A8855">
        <f>TEST_DATA!A8855</f>
        <v/>
      </c>
      <c r="B8855">
        <f>TEST_DATA!B8855</f>
        <v/>
      </c>
      <c r="C8855">
        <f>TEST_DATA!C8855</f>
        <v/>
      </c>
      <c r="D8855">
        <f>TEST_DATA!D8855</f>
        <v/>
      </c>
      <c r="E8855">
        <f>TEST_DATA!E8855</f>
        <v/>
      </c>
    </row>
    <row r="8856">
      <c r="A8856">
        <f>TEST_DATA!A8856</f>
        <v/>
      </c>
      <c r="B8856">
        <f>TEST_DATA!B8856</f>
        <v/>
      </c>
      <c r="C8856">
        <f>TEST_DATA!C8856</f>
        <v/>
      </c>
      <c r="D8856">
        <f>TEST_DATA!D8856</f>
        <v/>
      </c>
      <c r="E8856">
        <f>TEST_DATA!E8856</f>
        <v/>
      </c>
    </row>
    <row r="8857">
      <c r="A8857">
        <f>TEST_DATA!A8857</f>
        <v/>
      </c>
      <c r="B8857">
        <f>TEST_DATA!B8857</f>
        <v/>
      </c>
      <c r="C8857">
        <f>TEST_DATA!C8857</f>
        <v/>
      </c>
      <c r="D8857">
        <f>TEST_DATA!D8857</f>
        <v/>
      </c>
      <c r="E8857">
        <f>TEST_DATA!E8857</f>
        <v/>
      </c>
    </row>
    <row r="8858">
      <c r="A8858">
        <f>TEST_DATA!A8858</f>
        <v/>
      </c>
      <c r="B8858">
        <f>TEST_DATA!B8858</f>
        <v/>
      </c>
      <c r="C8858">
        <f>TEST_DATA!C8858</f>
        <v/>
      </c>
      <c r="D8858">
        <f>TEST_DATA!D8858</f>
        <v/>
      </c>
      <c r="E8858">
        <f>TEST_DATA!E8858</f>
        <v/>
      </c>
    </row>
    <row r="8859">
      <c r="A8859">
        <f>TEST_DATA!A8859</f>
        <v/>
      </c>
      <c r="B8859">
        <f>TEST_DATA!B8859</f>
        <v/>
      </c>
      <c r="C8859">
        <f>TEST_DATA!C8859</f>
        <v/>
      </c>
      <c r="D8859">
        <f>TEST_DATA!D8859</f>
        <v/>
      </c>
      <c r="E8859">
        <f>TEST_DATA!E8859</f>
        <v/>
      </c>
    </row>
    <row r="8860">
      <c r="A8860">
        <f>TEST_DATA!A8860</f>
        <v/>
      </c>
      <c r="B8860">
        <f>TEST_DATA!B8860</f>
        <v/>
      </c>
      <c r="C8860">
        <f>TEST_DATA!C8860</f>
        <v/>
      </c>
      <c r="D8860">
        <f>TEST_DATA!D8860</f>
        <v/>
      </c>
      <c r="E8860">
        <f>TEST_DATA!E8860</f>
        <v/>
      </c>
    </row>
    <row r="8861">
      <c r="A8861">
        <f>TEST_DATA!A8861</f>
        <v/>
      </c>
      <c r="B8861">
        <f>TEST_DATA!B8861</f>
        <v/>
      </c>
      <c r="C8861">
        <f>TEST_DATA!C8861</f>
        <v/>
      </c>
      <c r="D8861">
        <f>TEST_DATA!D8861</f>
        <v/>
      </c>
      <c r="E8861">
        <f>TEST_DATA!E8861</f>
        <v/>
      </c>
    </row>
    <row r="8862">
      <c r="A8862">
        <f>TEST_DATA!A8862</f>
        <v/>
      </c>
      <c r="B8862">
        <f>TEST_DATA!B8862</f>
        <v/>
      </c>
      <c r="C8862">
        <f>TEST_DATA!C8862</f>
        <v/>
      </c>
      <c r="D8862">
        <f>TEST_DATA!D8862</f>
        <v/>
      </c>
      <c r="E8862">
        <f>TEST_DATA!E8862</f>
        <v/>
      </c>
    </row>
    <row r="8863">
      <c r="A8863">
        <f>TEST_DATA!A8863</f>
        <v/>
      </c>
      <c r="B8863">
        <f>TEST_DATA!B8863</f>
        <v/>
      </c>
      <c r="C8863">
        <f>TEST_DATA!C8863</f>
        <v/>
      </c>
      <c r="D8863">
        <f>TEST_DATA!D8863</f>
        <v/>
      </c>
      <c r="E8863">
        <f>TEST_DATA!E8863</f>
        <v/>
      </c>
    </row>
    <row r="8864">
      <c r="A8864">
        <f>TEST_DATA!A8864</f>
        <v/>
      </c>
      <c r="B8864">
        <f>TEST_DATA!B8864</f>
        <v/>
      </c>
      <c r="C8864">
        <f>TEST_DATA!C8864</f>
        <v/>
      </c>
      <c r="D8864">
        <f>TEST_DATA!D8864</f>
        <v/>
      </c>
      <c r="E8864">
        <f>TEST_DATA!E8864</f>
        <v/>
      </c>
    </row>
    <row r="8865">
      <c r="A8865">
        <f>TEST_DATA!A8865</f>
        <v/>
      </c>
      <c r="B8865">
        <f>TEST_DATA!B8865</f>
        <v/>
      </c>
      <c r="C8865">
        <f>TEST_DATA!C8865</f>
        <v/>
      </c>
      <c r="D8865">
        <f>TEST_DATA!D8865</f>
        <v/>
      </c>
      <c r="E8865">
        <f>TEST_DATA!E8865</f>
        <v/>
      </c>
    </row>
    <row r="8866">
      <c r="A8866">
        <f>TEST_DATA!A8866</f>
        <v/>
      </c>
      <c r="B8866">
        <f>TEST_DATA!B8866</f>
        <v/>
      </c>
      <c r="C8866">
        <f>TEST_DATA!C8866</f>
        <v/>
      </c>
      <c r="D8866">
        <f>TEST_DATA!D8866</f>
        <v/>
      </c>
      <c r="E8866">
        <f>TEST_DATA!E8866</f>
        <v/>
      </c>
    </row>
    <row r="8867">
      <c r="A8867">
        <f>TEST_DATA!A8867</f>
        <v/>
      </c>
      <c r="B8867">
        <f>TEST_DATA!B8867</f>
        <v/>
      </c>
      <c r="C8867">
        <f>TEST_DATA!C8867</f>
        <v/>
      </c>
      <c r="D8867">
        <f>TEST_DATA!D8867</f>
        <v/>
      </c>
      <c r="E8867">
        <f>TEST_DATA!E8867</f>
        <v/>
      </c>
    </row>
    <row r="8868">
      <c r="A8868">
        <f>TEST_DATA!A8868</f>
        <v/>
      </c>
      <c r="B8868">
        <f>TEST_DATA!B8868</f>
        <v/>
      </c>
      <c r="C8868">
        <f>TEST_DATA!C8868</f>
        <v/>
      </c>
      <c r="D8868">
        <f>TEST_DATA!D8868</f>
        <v/>
      </c>
      <c r="E8868">
        <f>TEST_DATA!E8868</f>
        <v/>
      </c>
    </row>
    <row r="8869">
      <c r="A8869">
        <f>TEST_DATA!A8869</f>
        <v/>
      </c>
      <c r="B8869">
        <f>TEST_DATA!B8869</f>
        <v/>
      </c>
      <c r="C8869">
        <f>TEST_DATA!C8869</f>
        <v/>
      </c>
      <c r="D8869">
        <f>TEST_DATA!D8869</f>
        <v/>
      </c>
      <c r="E8869">
        <f>TEST_DATA!E8869</f>
        <v/>
      </c>
    </row>
    <row r="8870">
      <c r="A8870">
        <f>TEST_DATA!A8870</f>
        <v/>
      </c>
      <c r="B8870">
        <f>TEST_DATA!B8870</f>
        <v/>
      </c>
      <c r="C8870">
        <f>TEST_DATA!C8870</f>
        <v/>
      </c>
      <c r="D8870">
        <f>TEST_DATA!D8870</f>
        <v/>
      </c>
      <c r="E8870">
        <f>TEST_DATA!E8870</f>
        <v/>
      </c>
    </row>
    <row r="8871">
      <c r="A8871">
        <f>TEST_DATA!A8871</f>
        <v/>
      </c>
      <c r="B8871">
        <f>TEST_DATA!B8871</f>
        <v/>
      </c>
      <c r="C8871">
        <f>TEST_DATA!C8871</f>
        <v/>
      </c>
      <c r="D8871">
        <f>TEST_DATA!D8871</f>
        <v/>
      </c>
      <c r="E8871">
        <f>TEST_DATA!E8871</f>
        <v/>
      </c>
    </row>
    <row r="8872">
      <c r="A8872">
        <f>TEST_DATA!A8872</f>
        <v/>
      </c>
      <c r="B8872">
        <f>TEST_DATA!B8872</f>
        <v/>
      </c>
      <c r="C8872">
        <f>TEST_DATA!C8872</f>
        <v/>
      </c>
      <c r="D8872">
        <f>TEST_DATA!D8872</f>
        <v/>
      </c>
      <c r="E8872">
        <f>TEST_DATA!E8872</f>
        <v/>
      </c>
    </row>
    <row r="8873">
      <c r="A8873">
        <f>TEST_DATA!A8873</f>
        <v/>
      </c>
      <c r="B8873">
        <f>TEST_DATA!B8873</f>
        <v/>
      </c>
      <c r="C8873">
        <f>TEST_DATA!C8873</f>
        <v/>
      </c>
      <c r="D8873">
        <f>TEST_DATA!D8873</f>
        <v/>
      </c>
      <c r="E8873">
        <f>TEST_DATA!E8873</f>
        <v/>
      </c>
    </row>
    <row r="8874">
      <c r="A8874">
        <f>TEST_DATA!A8874</f>
        <v/>
      </c>
      <c r="B8874">
        <f>TEST_DATA!B8874</f>
        <v/>
      </c>
      <c r="C8874">
        <f>TEST_DATA!C8874</f>
        <v/>
      </c>
      <c r="D8874">
        <f>TEST_DATA!D8874</f>
        <v/>
      </c>
      <c r="E8874">
        <f>TEST_DATA!E8874</f>
        <v/>
      </c>
    </row>
    <row r="8875">
      <c r="A8875">
        <f>TEST_DATA!A8875</f>
        <v/>
      </c>
      <c r="B8875">
        <f>TEST_DATA!B8875</f>
        <v/>
      </c>
      <c r="C8875">
        <f>TEST_DATA!C8875</f>
        <v/>
      </c>
      <c r="D8875">
        <f>TEST_DATA!D8875</f>
        <v/>
      </c>
      <c r="E8875">
        <f>TEST_DATA!E8875</f>
        <v/>
      </c>
    </row>
    <row r="8876">
      <c r="A8876">
        <f>TEST_DATA!A8876</f>
        <v/>
      </c>
      <c r="B8876">
        <f>TEST_DATA!B8876</f>
        <v/>
      </c>
      <c r="C8876">
        <f>TEST_DATA!C8876</f>
        <v/>
      </c>
      <c r="D8876">
        <f>TEST_DATA!D8876</f>
        <v/>
      </c>
      <c r="E8876">
        <f>TEST_DATA!E8876</f>
        <v/>
      </c>
    </row>
    <row r="8877">
      <c r="A8877">
        <f>TEST_DATA!A8877</f>
        <v/>
      </c>
      <c r="B8877">
        <f>TEST_DATA!B8877</f>
        <v/>
      </c>
      <c r="C8877">
        <f>TEST_DATA!C8877</f>
        <v/>
      </c>
      <c r="D8877">
        <f>TEST_DATA!D8877</f>
        <v/>
      </c>
      <c r="E8877">
        <f>TEST_DATA!E8877</f>
        <v/>
      </c>
    </row>
    <row r="8878">
      <c r="A8878">
        <f>TEST_DATA!A8878</f>
        <v/>
      </c>
      <c r="B8878">
        <f>TEST_DATA!B8878</f>
        <v/>
      </c>
      <c r="C8878">
        <f>TEST_DATA!C8878</f>
        <v/>
      </c>
      <c r="D8878">
        <f>TEST_DATA!D8878</f>
        <v/>
      </c>
      <c r="E8878">
        <f>TEST_DATA!E8878</f>
        <v/>
      </c>
    </row>
    <row r="8879">
      <c r="A8879">
        <f>TEST_DATA!A8879</f>
        <v/>
      </c>
      <c r="B8879">
        <f>TEST_DATA!B8879</f>
        <v/>
      </c>
      <c r="C8879">
        <f>TEST_DATA!C8879</f>
        <v/>
      </c>
      <c r="D8879">
        <f>TEST_DATA!D8879</f>
        <v/>
      </c>
      <c r="E8879">
        <f>TEST_DATA!E8879</f>
        <v/>
      </c>
    </row>
    <row r="8880">
      <c r="A8880">
        <f>TEST_DATA!A8880</f>
        <v/>
      </c>
      <c r="B8880">
        <f>TEST_DATA!B8880</f>
        <v/>
      </c>
      <c r="C8880">
        <f>TEST_DATA!C8880</f>
        <v/>
      </c>
      <c r="D8880">
        <f>TEST_DATA!D8880</f>
        <v/>
      </c>
      <c r="E8880">
        <f>TEST_DATA!E8880</f>
        <v/>
      </c>
    </row>
    <row r="8881">
      <c r="A8881">
        <f>TEST_DATA!A8881</f>
        <v/>
      </c>
      <c r="B8881">
        <f>TEST_DATA!B8881</f>
        <v/>
      </c>
      <c r="C8881">
        <f>TEST_DATA!C8881</f>
        <v/>
      </c>
      <c r="D8881">
        <f>TEST_DATA!D8881</f>
        <v/>
      </c>
      <c r="E8881">
        <f>TEST_DATA!E8881</f>
        <v/>
      </c>
    </row>
    <row r="8882">
      <c r="A8882">
        <f>TEST_DATA!A8882</f>
        <v/>
      </c>
      <c r="B8882">
        <f>TEST_DATA!B8882</f>
        <v/>
      </c>
      <c r="C8882">
        <f>TEST_DATA!C8882</f>
        <v/>
      </c>
      <c r="D8882">
        <f>TEST_DATA!D8882</f>
        <v/>
      </c>
      <c r="E8882">
        <f>TEST_DATA!E8882</f>
        <v/>
      </c>
    </row>
    <row r="8883">
      <c r="A8883">
        <f>TEST_DATA!A8883</f>
        <v/>
      </c>
      <c r="B8883">
        <f>TEST_DATA!B8883</f>
        <v/>
      </c>
      <c r="C8883">
        <f>TEST_DATA!C8883</f>
        <v/>
      </c>
      <c r="D8883">
        <f>TEST_DATA!D8883</f>
        <v/>
      </c>
      <c r="E8883">
        <f>TEST_DATA!E8883</f>
        <v/>
      </c>
    </row>
    <row r="8884">
      <c r="A8884">
        <f>TEST_DATA!A8884</f>
        <v/>
      </c>
      <c r="B8884">
        <f>TEST_DATA!B8884</f>
        <v/>
      </c>
      <c r="C8884">
        <f>TEST_DATA!C8884</f>
        <v/>
      </c>
      <c r="D8884">
        <f>TEST_DATA!D8884</f>
        <v/>
      </c>
      <c r="E8884">
        <f>TEST_DATA!E8884</f>
        <v/>
      </c>
    </row>
    <row r="8885">
      <c r="A8885">
        <f>TEST_DATA!A8885</f>
        <v/>
      </c>
      <c r="B8885">
        <f>TEST_DATA!B8885</f>
        <v/>
      </c>
      <c r="C8885">
        <f>TEST_DATA!C8885</f>
        <v/>
      </c>
      <c r="D8885">
        <f>TEST_DATA!D8885</f>
        <v/>
      </c>
      <c r="E8885">
        <f>TEST_DATA!E8885</f>
        <v/>
      </c>
    </row>
    <row r="8886">
      <c r="A8886">
        <f>TEST_DATA!A8886</f>
        <v/>
      </c>
      <c r="B8886">
        <f>TEST_DATA!B8886</f>
        <v/>
      </c>
      <c r="C8886">
        <f>TEST_DATA!C8886</f>
        <v/>
      </c>
      <c r="D8886">
        <f>TEST_DATA!D8886</f>
        <v/>
      </c>
      <c r="E8886">
        <f>TEST_DATA!E8886</f>
        <v/>
      </c>
    </row>
    <row r="8887">
      <c r="A8887">
        <f>TEST_DATA!A8887</f>
        <v/>
      </c>
      <c r="B8887">
        <f>TEST_DATA!B8887</f>
        <v/>
      </c>
      <c r="C8887">
        <f>TEST_DATA!C8887</f>
        <v/>
      </c>
      <c r="D8887">
        <f>TEST_DATA!D8887</f>
        <v/>
      </c>
      <c r="E8887">
        <f>TEST_DATA!E8887</f>
        <v/>
      </c>
    </row>
    <row r="8888">
      <c r="A8888">
        <f>TEST_DATA!A8888</f>
        <v/>
      </c>
      <c r="B8888">
        <f>TEST_DATA!B8888</f>
        <v/>
      </c>
      <c r="C8888">
        <f>TEST_DATA!C8888</f>
        <v/>
      </c>
      <c r="D8888">
        <f>TEST_DATA!D8888</f>
        <v/>
      </c>
      <c r="E8888">
        <f>TEST_DATA!E8888</f>
        <v/>
      </c>
    </row>
    <row r="8889">
      <c r="A8889">
        <f>TEST_DATA!A8889</f>
        <v/>
      </c>
      <c r="B8889">
        <f>TEST_DATA!B8889</f>
        <v/>
      </c>
      <c r="C8889">
        <f>TEST_DATA!C8889</f>
        <v/>
      </c>
      <c r="D8889">
        <f>TEST_DATA!D8889</f>
        <v/>
      </c>
      <c r="E8889">
        <f>TEST_DATA!E8889</f>
        <v/>
      </c>
    </row>
    <row r="8890">
      <c r="A8890">
        <f>TEST_DATA!A8890</f>
        <v/>
      </c>
      <c r="B8890">
        <f>TEST_DATA!B8890</f>
        <v/>
      </c>
      <c r="C8890">
        <f>TEST_DATA!C8890</f>
        <v/>
      </c>
      <c r="D8890">
        <f>TEST_DATA!D8890</f>
        <v/>
      </c>
      <c r="E8890">
        <f>TEST_DATA!E8890</f>
        <v/>
      </c>
    </row>
    <row r="8891">
      <c r="A8891">
        <f>TEST_DATA!A8891</f>
        <v/>
      </c>
      <c r="B8891">
        <f>TEST_DATA!B8891</f>
        <v/>
      </c>
      <c r="C8891">
        <f>TEST_DATA!C8891</f>
        <v/>
      </c>
      <c r="D8891">
        <f>TEST_DATA!D8891</f>
        <v/>
      </c>
      <c r="E8891">
        <f>TEST_DATA!E8891</f>
        <v/>
      </c>
    </row>
    <row r="8892">
      <c r="A8892">
        <f>TEST_DATA!A8892</f>
        <v/>
      </c>
      <c r="B8892">
        <f>TEST_DATA!B8892</f>
        <v/>
      </c>
      <c r="C8892">
        <f>TEST_DATA!C8892</f>
        <v/>
      </c>
      <c r="D8892">
        <f>TEST_DATA!D8892</f>
        <v/>
      </c>
      <c r="E8892">
        <f>TEST_DATA!E8892</f>
        <v/>
      </c>
    </row>
    <row r="8893">
      <c r="A8893">
        <f>TEST_DATA!A8893</f>
        <v/>
      </c>
      <c r="B8893">
        <f>TEST_DATA!B8893</f>
        <v/>
      </c>
      <c r="C8893">
        <f>TEST_DATA!C8893</f>
        <v/>
      </c>
      <c r="D8893">
        <f>TEST_DATA!D8893</f>
        <v/>
      </c>
      <c r="E8893">
        <f>TEST_DATA!E8893</f>
        <v/>
      </c>
    </row>
    <row r="8894">
      <c r="A8894">
        <f>TEST_DATA!A8894</f>
        <v/>
      </c>
      <c r="B8894">
        <f>TEST_DATA!B8894</f>
        <v/>
      </c>
      <c r="C8894">
        <f>TEST_DATA!C8894</f>
        <v/>
      </c>
      <c r="D8894">
        <f>TEST_DATA!D8894</f>
        <v/>
      </c>
      <c r="E8894">
        <f>TEST_DATA!E8894</f>
        <v/>
      </c>
    </row>
    <row r="8895">
      <c r="A8895">
        <f>TEST_DATA!A8895</f>
        <v/>
      </c>
      <c r="B8895">
        <f>TEST_DATA!B8895</f>
        <v/>
      </c>
      <c r="C8895">
        <f>TEST_DATA!C8895</f>
        <v/>
      </c>
      <c r="D8895">
        <f>TEST_DATA!D8895</f>
        <v/>
      </c>
      <c r="E8895">
        <f>TEST_DATA!E8895</f>
        <v/>
      </c>
    </row>
    <row r="8896">
      <c r="A8896">
        <f>TEST_DATA!A8896</f>
        <v/>
      </c>
      <c r="B8896">
        <f>TEST_DATA!B8896</f>
        <v/>
      </c>
      <c r="C8896">
        <f>TEST_DATA!C8896</f>
        <v/>
      </c>
      <c r="D8896">
        <f>TEST_DATA!D8896</f>
        <v/>
      </c>
      <c r="E8896">
        <f>TEST_DATA!E8896</f>
        <v/>
      </c>
    </row>
    <row r="8897">
      <c r="A8897">
        <f>TEST_DATA!A8897</f>
        <v/>
      </c>
      <c r="B8897">
        <f>TEST_DATA!B8897</f>
        <v/>
      </c>
      <c r="C8897">
        <f>TEST_DATA!C8897</f>
        <v/>
      </c>
      <c r="D8897">
        <f>TEST_DATA!D8897</f>
        <v/>
      </c>
      <c r="E8897">
        <f>TEST_DATA!E8897</f>
        <v/>
      </c>
    </row>
    <row r="8898">
      <c r="A8898">
        <f>TEST_DATA!A8898</f>
        <v/>
      </c>
      <c r="B8898">
        <f>TEST_DATA!B8898</f>
        <v/>
      </c>
      <c r="C8898">
        <f>TEST_DATA!C8898</f>
        <v/>
      </c>
      <c r="D8898">
        <f>TEST_DATA!D8898</f>
        <v/>
      </c>
      <c r="E8898">
        <f>TEST_DATA!E8898</f>
        <v/>
      </c>
    </row>
    <row r="8899">
      <c r="A8899">
        <f>TEST_DATA!A8899</f>
        <v/>
      </c>
      <c r="B8899">
        <f>TEST_DATA!B8899</f>
        <v/>
      </c>
      <c r="C8899">
        <f>TEST_DATA!C8899</f>
        <v/>
      </c>
      <c r="D8899">
        <f>TEST_DATA!D8899</f>
        <v/>
      </c>
      <c r="E8899">
        <f>TEST_DATA!E8899</f>
        <v/>
      </c>
    </row>
    <row r="8900">
      <c r="A8900">
        <f>TEST_DATA!A8900</f>
        <v/>
      </c>
      <c r="B8900">
        <f>TEST_DATA!B8900</f>
        <v/>
      </c>
      <c r="C8900">
        <f>TEST_DATA!C8900</f>
        <v/>
      </c>
      <c r="D8900">
        <f>TEST_DATA!D8900</f>
        <v/>
      </c>
      <c r="E8900">
        <f>TEST_DATA!E8900</f>
        <v/>
      </c>
    </row>
    <row r="8901">
      <c r="A8901">
        <f>TEST_DATA!A8901</f>
        <v/>
      </c>
      <c r="B8901">
        <f>TEST_DATA!B8901</f>
        <v/>
      </c>
      <c r="C8901">
        <f>TEST_DATA!C8901</f>
        <v/>
      </c>
      <c r="D8901">
        <f>TEST_DATA!D8901</f>
        <v/>
      </c>
      <c r="E8901">
        <f>TEST_DATA!E8901</f>
        <v/>
      </c>
    </row>
    <row r="8902">
      <c r="A8902">
        <f>TEST_DATA!A8902</f>
        <v/>
      </c>
      <c r="B8902">
        <f>TEST_DATA!B8902</f>
        <v/>
      </c>
      <c r="C8902">
        <f>TEST_DATA!C8902</f>
        <v/>
      </c>
      <c r="D8902">
        <f>TEST_DATA!D8902</f>
        <v/>
      </c>
      <c r="E8902">
        <f>TEST_DATA!E8902</f>
        <v/>
      </c>
    </row>
    <row r="8903">
      <c r="A8903">
        <f>TEST_DATA!A8903</f>
        <v/>
      </c>
      <c r="B8903">
        <f>TEST_DATA!B8903</f>
        <v/>
      </c>
      <c r="C8903">
        <f>TEST_DATA!C8903</f>
        <v/>
      </c>
      <c r="D8903">
        <f>TEST_DATA!D8903</f>
        <v/>
      </c>
      <c r="E8903">
        <f>TEST_DATA!E8903</f>
        <v/>
      </c>
    </row>
    <row r="8904">
      <c r="A8904">
        <f>TEST_DATA!A8904</f>
        <v/>
      </c>
      <c r="B8904">
        <f>TEST_DATA!B8904</f>
        <v/>
      </c>
      <c r="C8904">
        <f>TEST_DATA!C8904</f>
        <v/>
      </c>
      <c r="D8904">
        <f>TEST_DATA!D8904</f>
        <v/>
      </c>
      <c r="E8904">
        <f>TEST_DATA!E8904</f>
        <v/>
      </c>
    </row>
    <row r="8905">
      <c r="A8905">
        <f>TEST_DATA!A8905</f>
        <v/>
      </c>
      <c r="B8905">
        <f>TEST_DATA!B8905</f>
        <v/>
      </c>
      <c r="C8905">
        <f>TEST_DATA!C8905</f>
        <v/>
      </c>
      <c r="D8905">
        <f>TEST_DATA!D8905</f>
        <v/>
      </c>
      <c r="E8905">
        <f>TEST_DATA!E8905</f>
        <v/>
      </c>
    </row>
    <row r="8906">
      <c r="A8906">
        <f>TEST_DATA!A8906</f>
        <v/>
      </c>
      <c r="B8906">
        <f>TEST_DATA!B8906</f>
        <v/>
      </c>
      <c r="C8906">
        <f>TEST_DATA!C8906</f>
        <v/>
      </c>
      <c r="D8906">
        <f>TEST_DATA!D8906</f>
        <v/>
      </c>
      <c r="E8906">
        <f>TEST_DATA!E8906</f>
        <v/>
      </c>
    </row>
    <row r="8907">
      <c r="A8907">
        <f>TEST_DATA!A8907</f>
        <v/>
      </c>
      <c r="B8907">
        <f>TEST_DATA!B8907</f>
        <v/>
      </c>
      <c r="C8907">
        <f>TEST_DATA!C8907</f>
        <v/>
      </c>
      <c r="D8907">
        <f>TEST_DATA!D8907</f>
        <v/>
      </c>
      <c r="E8907">
        <f>TEST_DATA!E8907</f>
        <v/>
      </c>
    </row>
    <row r="8908">
      <c r="A8908">
        <f>TEST_DATA!A8908</f>
        <v/>
      </c>
      <c r="B8908">
        <f>TEST_DATA!B8908</f>
        <v/>
      </c>
      <c r="C8908">
        <f>TEST_DATA!C8908</f>
        <v/>
      </c>
      <c r="D8908">
        <f>TEST_DATA!D8908</f>
        <v/>
      </c>
      <c r="E8908">
        <f>TEST_DATA!E8908</f>
        <v/>
      </c>
    </row>
    <row r="8909">
      <c r="A8909">
        <f>TEST_DATA!A8909</f>
        <v/>
      </c>
      <c r="B8909">
        <f>TEST_DATA!B8909</f>
        <v/>
      </c>
      <c r="C8909">
        <f>TEST_DATA!C8909</f>
        <v/>
      </c>
      <c r="D8909">
        <f>TEST_DATA!D8909</f>
        <v/>
      </c>
      <c r="E8909">
        <f>TEST_DATA!E8909</f>
        <v/>
      </c>
    </row>
    <row r="8910">
      <c r="A8910">
        <f>TEST_DATA!A8910</f>
        <v/>
      </c>
      <c r="B8910">
        <f>TEST_DATA!B8910</f>
        <v/>
      </c>
      <c r="C8910">
        <f>TEST_DATA!C8910</f>
        <v/>
      </c>
      <c r="D8910">
        <f>TEST_DATA!D8910</f>
        <v/>
      </c>
      <c r="E8910">
        <f>TEST_DATA!E8910</f>
        <v/>
      </c>
    </row>
    <row r="8911">
      <c r="A8911">
        <f>TEST_DATA!A8911</f>
        <v/>
      </c>
      <c r="B8911">
        <f>TEST_DATA!B8911</f>
        <v/>
      </c>
      <c r="C8911">
        <f>TEST_DATA!C8911</f>
        <v/>
      </c>
      <c r="D8911">
        <f>TEST_DATA!D8911</f>
        <v/>
      </c>
      <c r="E8911">
        <f>TEST_DATA!E8911</f>
        <v/>
      </c>
    </row>
    <row r="8912">
      <c r="A8912">
        <f>TEST_DATA!A8912</f>
        <v/>
      </c>
      <c r="B8912">
        <f>TEST_DATA!B8912</f>
        <v/>
      </c>
      <c r="C8912">
        <f>TEST_DATA!C8912</f>
        <v/>
      </c>
      <c r="D8912">
        <f>TEST_DATA!D8912</f>
        <v/>
      </c>
      <c r="E8912">
        <f>TEST_DATA!E8912</f>
        <v/>
      </c>
    </row>
    <row r="8913">
      <c r="A8913">
        <f>TEST_DATA!A8913</f>
        <v/>
      </c>
      <c r="B8913">
        <f>TEST_DATA!B8913</f>
        <v/>
      </c>
      <c r="C8913">
        <f>TEST_DATA!C8913</f>
        <v/>
      </c>
      <c r="D8913">
        <f>TEST_DATA!D8913</f>
        <v/>
      </c>
      <c r="E8913">
        <f>TEST_DATA!E8913</f>
        <v/>
      </c>
    </row>
    <row r="8914">
      <c r="A8914">
        <f>TEST_DATA!A8914</f>
        <v/>
      </c>
      <c r="B8914">
        <f>TEST_DATA!B8914</f>
        <v/>
      </c>
      <c r="C8914">
        <f>TEST_DATA!C8914</f>
        <v/>
      </c>
      <c r="D8914">
        <f>TEST_DATA!D8914</f>
        <v/>
      </c>
      <c r="E8914">
        <f>TEST_DATA!E8914</f>
        <v/>
      </c>
    </row>
    <row r="8915">
      <c r="A8915">
        <f>TEST_DATA!A8915</f>
        <v/>
      </c>
      <c r="B8915">
        <f>TEST_DATA!B8915</f>
        <v/>
      </c>
      <c r="C8915">
        <f>TEST_DATA!C8915</f>
        <v/>
      </c>
      <c r="D8915">
        <f>TEST_DATA!D8915</f>
        <v/>
      </c>
      <c r="E8915">
        <f>TEST_DATA!E8915</f>
        <v/>
      </c>
    </row>
    <row r="8916">
      <c r="A8916">
        <f>TEST_DATA!A8916</f>
        <v/>
      </c>
      <c r="B8916">
        <f>TEST_DATA!B8916</f>
        <v/>
      </c>
      <c r="C8916">
        <f>TEST_DATA!C8916</f>
        <v/>
      </c>
      <c r="D8916">
        <f>TEST_DATA!D8916</f>
        <v/>
      </c>
      <c r="E8916">
        <f>TEST_DATA!E8916</f>
        <v/>
      </c>
    </row>
    <row r="8917">
      <c r="A8917">
        <f>TEST_DATA!A8917</f>
        <v/>
      </c>
      <c r="B8917">
        <f>TEST_DATA!B8917</f>
        <v/>
      </c>
      <c r="C8917">
        <f>TEST_DATA!C8917</f>
        <v/>
      </c>
      <c r="D8917">
        <f>TEST_DATA!D8917</f>
        <v/>
      </c>
      <c r="E8917">
        <f>TEST_DATA!E8917</f>
        <v/>
      </c>
    </row>
    <row r="8918">
      <c r="A8918">
        <f>TEST_DATA!A8918</f>
        <v/>
      </c>
      <c r="B8918">
        <f>TEST_DATA!B8918</f>
        <v/>
      </c>
      <c r="C8918">
        <f>TEST_DATA!C8918</f>
        <v/>
      </c>
      <c r="D8918">
        <f>TEST_DATA!D8918</f>
        <v/>
      </c>
      <c r="E8918">
        <f>TEST_DATA!E8918</f>
        <v/>
      </c>
    </row>
    <row r="8919">
      <c r="A8919">
        <f>TEST_DATA!A8919</f>
        <v/>
      </c>
      <c r="B8919">
        <f>TEST_DATA!B8919</f>
        <v/>
      </c>
      <c r="C8919">
        <f>TEST_DATA!C8919</f>
        <v/>
      </c>
      <c r="D8919">
        <f>TEST_DATA!D8919</f>
        <v/>
      </c>
      <c r="E8919">
        <f>TEST_DATA!E8919</f>
        <v/>
      </c>
    </row>
    <row r="8920">
      <c r="A8920">
        <f>TEST_DATA!A8920</f>
        <v/>
      </c>
      <c r="B8920">
        <f>TEST_DATA!B8920</f>
        <v/>
      </c>
      <c r="C8920">
        <f>TEST_DATA!C8920</f>
        <v/>
      </c>
      <c r="D8920">
        <f>TEST_DATA!D8920</f>
        <v/>
      </c>
      <c r="E8920">
        <f>TEST_DATA!E8920</f>
        <v/>
      </c>
    </row>
    <row r="8921">
      <c r="A8921">
        <f>TEST_DATA!A8921</f>
        <v/>
      </c>
      <c r="B8921">
        <f>TEST_DATA!B8921</f>
        <v/>
      </c>
      <c r="C8921">
        <f>TEST_DATA!C8921</f>
        <v/>
      </c>
      <c r="D8921">
        <f>TEST_DATA!D8921</f>
        <v/>
      </c>
      <c r="E8921">
        <f>TEST_DATA!E8921</f>
        <v/>
      </c>
    </row>
    <row r="8922">
      <c r="A8922">
        <f>TEST_DATA!A8922</f>
        <v/>
      </c>
      <c r="B8922">
        <f>TEST_DATA!B8922</f>
        <v/>
      </c>
      <c r="C8922">
        <f>TEST_DATA!C8922</f>
        <v/>
      </c>
      <c r="D8922">
        <f>TEST_DATA!D8922</f>
        <v/>
      </c>
      <c r="E8922">
        <f>TEST_DATA!E8922</f>
        <v/>
      </c>
    </row>
    <row r="8923">
      <c r="A8923">
        <f>TEST_DATA!A8923</f>
        <v/>
      </c>
      <c r="B8923">
        <f>TEST_DATA!B8923</f>
        <v/>
      </c>
      <c r="C8923">
        <f>TEST_DATA!C8923</f>
        <v/>
      </c>
      <c r="D8923">
        <f>TEST_DATA!D8923</f>
        <v/>
      </c>
      <c r="E8923">
        <f>TEST_DATA!E8923</f>
        <v/>
      </c>
    </row>
    <row r="8924">
      <c r="A8924">
        <f>TEST_DATA!A8924</f>
        <v/>
      </c>
      <c r="B8924">
        <f>TEST_DATA!B8924</f>
        <v/>
      </c>
      <c r="C8924">
        <f>TEST_DATA!C8924</f>
        <v/>
      </c>
      <c r="D8924">
        <f>TEST_DATA!D8924</f>
        <v/>
      </c>
      <c r="E8924">
        <f>TEST_DATA!E8924</f>
        <v/>
      </c>
    </row>
    <row r="8925">
      <c r="A8925">
        <f>TEST_DATA!A8925</f>
        <v/>
      </c>
      <c r="B8925">
        <f>TEST_DATA!B8925</f>
        <v/>
      </c>
      <c r="C8925">
        <f>TEST_DATA!C8925</f>
        <v/>
      </c>
      <c r="D8925">
        <f>TEST_DATA!D8925</f>
        <v/>
      </c>
      <c r="E8925">
        <f>TEST_DATA!E8925</f>
        <v/>
      </c>
    </row>
    <row r="8926">
      <c r="A8926">
        <f>TEST_DATA!A8926</f>
        <v/>
      </c>
      <c r="B8926">
        <f>TEST_DATA!B8926</f>
        <v/>
      </c>
      <c r="C8926">
        <f>TEST_DATA!C8926</f>
        <v/>
      </c>
      <c r="D8926">
        <f>TEST_DATA!D8926</f>
        <v/>
      </c>
      <c r="E8926">
        <f>TEST_DATA!E8926</f>
        <v/>
      </c>
    </row>
    <row r="8927">
      <c r="A8927">
        <f>TEST_DATA!A8927</f>
        <v/>
      </c>
      <c r="B8927">
        <f>TEST_DATA!B8927</f>
        <v/>
      </c>
      <c r="C8927">
        <f>TEST_DATA!C8927</f>
        <v/>
      </c>
      <c r="D8927">
        <f>TEST_DATA!D8927</f>
        <v/>
      </c>
      <c r="E8927">
        <f>TEST_DATA!E8927</f>
        <v/>
      </c>
    </row>
    <row r="8928">
      <c r="A8928">
        <f>TEST_DATA!A8928</f>
        <v/>
      </c>
      <c r="B8928">
        <f>TEST_DATA!B8928</f>
        <v/>
      </c>
      <c r="C8928">
        <f>TEST_DATA!C8928</f>
        <v/>
      </c>
      <c r="D8928">
        <f>TEST_DATA!D8928</f>
        <v/>
      </c>
      <c r="E8928">
        <f>TEST_DATA!E8928</f>
        <v/>
      </c>
    </row>
    <row r="8929">
      <c r="A8929">
        <f>TEST_DATA!A8929</f>
        <v/>
      </c>
      <c r="B8929">
        <f>TEST_DATA!B8929</f>
        <v/>
      </c>
      <c r="C8929">
        <f>TEST_DATA!C8929</f>
        <v/>
      </c>
      <c r="D8929">
        <f>TEST_DATA!D8929</f>
        <v/>
      </c>
      <c r="E8929">
        <f>TEST_DATA!E8929</f>
        <v/>
      </c>
    </row>
    <row r="8930">
      <c r="A8930">
        <f>TEST_DATA!A8930</f>
        <v/>
      </c>
      <c r="B8930">
        <f>TEST_DATA!B8930</f>
        <v/>
      </c>
      <c r="C8930">
        <f>TEST_DATA!C8930</f>
        <v/>
      </c>
      <c r="D8930">
        <f>TEST_DATA!D8930</f>
        <v/>
      </c>
      <c r="E8930">
        <f>TEST_DATA!E8930</f>
        <v/>
      </c>
    </row>
    <row r="8931">
      <c r="A8931">
        <f>TEST_DATA!A8931</f>
        <v/>
      </c>
      <c r="B8931">
        <f>TEST_DATA!B8931</f>
        <v/>
      </c>
      <c r="C8931">
        <f>TEST_DATA!C8931</f>
        <v/>
      </c>
      <c r="D8931">
        <f>TEST_DATA!D8931</f>
        <v/>
      </c>
      <c r="E8931">
        <f>TEST_DATA!E8931</f>
        <v/>
      </c>
    </row>
    <row r="8932">
      <c r="A8932">
        <f>TEST_DATA!A8932</f>
        <v/>
      </c>
      <c r="B8932">
        <f>TEST_DATA!B8932</f>
        <v/>
      </c>
      <c r="C8932">
        <f>TEST_DATA!C8932</f>
        <v/>
      </c>
      <c r="D8932">
        <f>TEST_DATA!D8932</f>
        <v/>
      </c>
      <c r="E8932">
        <f>TEST_DATA!E8932</f>
        <v/>
      </c>
    </row>
    <row r="8933">
      <c r="A8933">
        <f>TEST_DATA!A8933</f>
        <v/>
      </c>
      <c r="B8933">
        <f>TEST_DATA!B8933</f>
        <v/>
      </c>
      <c r="C8933">
        <f>TEST_DATA!C8933</f>
        <v/>
      </c>
      <c r="D8933">
        <f>TEST_DATA!D8933</f>
        <v/>
      </c>
      <c r="E8933">
        <f>TEST_DATA!E8933</f>
        <v/>
      </c>
    </row>
    <row r="8934">
      <c r="A8934">
        <f>TEST_DATA!A8934</f>
        <v/>
      </c>
      <c r="B8934">
        <f>TEST_DATA!B8934</f>
        <v/>
      </c>
      <c r="C8934">
        <f>TEST_DATA!C8934</f>
        <v/>
      </c>
      <c r="D8934">
        <f>TEST_DATA!D8934</f>
        <v/>
      </c>
      <c r="E8934">
        <f>TEST_DATA!E8934</f>
        <v/>
      </c>
    </row>
    <row r="8935">
      <c r="A8935">
        <f>TEST_DATA!A8935</f>
        <v/>
      </c>
      <c r="B8935">
        <f>TEST_DATA!B8935</f>
        <v/>
      </c>
      <c r="C8935">
        <f>TEST_DATA!C8935</f>
        <v/>
      </c>
      <c r="D8935">
        <f>TEST_DATA!D8935</f>
        <v/>
      </c>
      <c r="E8935">
        <f>TEST_DATA!E8935</f>
        <v/>
      </c>
    </row>
    <row r="8936">
      <c r="A8936">
        <f>TEST_DATA!A8936</f>
        <v/>
      </c>
      <c r="B8936">
        <f>TEST_DATA!B8936</f>
        <v/>
      </c>
      <c r="C8936">
        <f>TEST_DATA!C8936</f>
        <v/>
      </c>
      <c r="D8936">
        <f>TEST_DATA!D8936</f>
        <v/>
      </c>
      <c r="E8936">
        <f>TEST_DATA!E8936</f>
        <v/>
      </c>
    </row>
    <row r="8937">
      <c r="A8937">
        <f>TEST_DATA!A8937</f>
        <v/>
      </c>
      <c r="B8937">
        <f>TEST_DATA!B8937</f>
        <v/>
      </c>
      <c r="C8937">
        <f>TEST_DATA!C8937</f>
        <v/>
      </c>
      <c r="D8937">
        <f>TEST_DATA!D8937</f>
        <v/>
      </c>
      <c r="E8937">
        <f>TEST_DATA!E8937</f>
        <v/>
      </c>
    </row>
    <row r="8938">
      <c r="A8938">
        <f>TEST_DATA!A8938</f>
        <v/>
      </c>
      <c r="B8938">
        <f>TEST_DATA!B8938</f>
        <v/>
      </c>
      <c r="C8938">
        <f>TEST_DATA!C8938</f>
        <v/>
      </c>
      <c r="D8938">
        <f>TEST_DATA!D8938</f>
        <v/>
      </c>
      <c r="E8938">
        <f>TEST_DATA!E8938</f>
        <v/>
      </c>
    </row>
    <row r="8939">
      <c r="A8939">
        <f>TEST_DATA!A8939</f>
        <v/>
      </c>
      <c r="B8939">
        <f>TEST_DATA!B8939</f>
        <v/>
      </c>
      <c r="C8939">
        <f>TEST_DATA!C8939</f>
        <v/>
      </c>
      <c r="D8939">
        <f>TEST_DATA!D8939</f>
        <v/>
      </c>
      <c r="E8939">
        <f>TEST_DATA!E8939</f>
        <v/>
      </c>
    </row>
    <row r="8940">
      <c r="A8940">
        <f>TEST_DATA!A8940</f>
        <v/>
      </c>
      <c r="B8940">
        <f>TEST_DATA!B8940</f>
        <v/>
      </c>
      <c r="C8940">
        <f>TEST_DATA!C8940</f>
        <v/>
      </c>
      <c r="D8940">
        <f>TEST_DATA!D8940</f>
        <v/>
      </c>
      <c r="E8940">
        <f>TEST_DATA!E8940</f>
        <v/>
      </c>
    </row>
    <row r="8941">
      <c r="A8941">
        <f>TEST_DATA!A8941</f>
        <v/>
      </c>
      <c r="B8941">
        <f>TEST_DATA!B8941</f>
        <v/>
      </c>
      <c r="C8941">
        <f>TEST_DATA!C8941</f>
        <v/>
      </c>
      <c r="D8941">
        <f>TEST_DATA!D8941</f>
        <v/>
      </c>
      <c r="E8941">
        <f>TEST_DATA!E8941</f>
        <v/>
      </c>
    </row>
    <row r="8942">
      <c r="A8942">
        <f>TEST_DATA!A8942</f>
        <v/>
      </c>
      <c r="B8942">
        <f>TEST_DATA!B8942</f>
        <v/>
      </c>
      <c r="C8942">
        <f>TEST_DATA!C8942</f>
        <v/>
      </c>
      <c r="D8942">
        <f>TEST_DATA!D8942</f>
        <v/>
      </c>
      <c r="E8942">
        <f>TEST_DATA!E8942</f>
        <v/>
      </c>
    </row>
    <row r="8943">
      <c r="A8943">
        <f>TEST_DATA!A8943</f>
        <v/>
      </c>
      <c r="B8943">
        <f>TEST_DATA!B8943</f>
        <v/>
      </c>
      <c r="C8943">
        <f>TEST_DATA!C8943</f>
        <v/>
      </c>
      <c r="D8943">
        <f>TEST_DATA!D8943</f>
        <v/>
      </c>
      <c r="E8943">
        <f>TEST_DATA!E8943</f>
        <v/>
      </c>
    </row>
    <row r="8944">
      <c r="A8944">
        <f>TEST_DATA!A8944</f>
        <v/>
      </c>
      <c r="B8944">
        <f>TEST_DATA!B8944</f>
        <v/>
      </c>
      <c r="C8944">
        <f>TEST_DATA!C8944</f>
        <v/>
      </c>
      <c r="D8944">
        <f>TEST_DATA!D8944</f>
        <v/>
      </c>
      <c r="E8944">
        <f>TEST_DATA!E8944</f>
        <v/>
      </c>
    </row>
    <row r="8945">
      <c r="A8945">
        <f>TEST_DATA!A8945</f>
        <v/>
      </c>
      <c r="B8945">
        <f>TEST_DATA!B8945</f>
        <v/>
      </c>
      <c r="C8945">
        <f>TEST_DATA!C8945</f>
        <v/>
      </c>
      <c r="D8945">
        <f>TEST_DATA!D8945</f>
        <v/>
      </c>
      <c r="E8945">
        <f>TEST_DATA!E8945</f>
        <v/>
      </c>
    </row>
    <row r="8946">
      <c r="A8946">
        <f>TEST_DATA!A8946</f>
        <v/>
      </c>
      <c r="B8946">
        <f>TEST_DATA!B8946</f>
        <v/>
      </c>
      <c r="C8946">
        <f>TEST_DATA!C8946</f>
        <v/>
      </c>
      <c r="D8946">
        <f>TEST_DATA!D8946</f>
        <v/>
      </c>
      <c r="E8946">
        <f>TEST_DATA!E8946</f>
        <v/>
      </c>
    </row>
    <row r="8947">
      <c r="A8947">
        <f>TEST_DATA!A8947</f>
        <v/>
      </c>
      <c r="B8947">
        <f>TEST_DATA!B8947</f>
        <v/>
      </c>
      <c r="C8947">
        <f>TEST_DATA!C8947</f>
        <v/>
      </c>
      <c r="D8947">
        <f>TEST_DATA!D8947</f>
        <v/>
      </c>
      <c r="E8947">
        <f>TEST_DATA!E8947</f>
        <v/>
      </c>
    </row>
    <row r="8948">
      <c r="A8948">
        <f>TEST_DATA!A8948</f>
        <v/>
      </c>
      <c r="B8948">
        <f>TEST_DATA!B8948</f>
        <v/>
      </c>
      <c r="C8948">
        <f>TEST_DATA!C8948</f>
        <v/>
      </c>
      <c r="D8948">
        <f>TEST_DATA!D8948</f>
        <v/>
      </c>
      <c r="E8948">
        <f>TEST_DATA!E8948</f>
        <v/>
      </c>
    </row>
    <row r="8949">
      <c r="A8949">
        <f>TEST_DATA!A8949</f>
        <v/>
      </c>
      <c r="B8949">
        <f>TEST_DATA!B8949</f>
        <v/>
      </c>
      <c r="C8949">
        <f>TEST_DATA!C8949</f>
        <v/>
      </c>
      <c r="D8949">
        <f>TEST_DATA!D8949</f>
        <v/>
      </c>
      <c r="E8949">
        <f>TEST_DATA!E8949</f>
        <v/>
      </c>
    </row>
    <row r="8950">
      <c r="A8950">
        <f>TEST_DATA!A8950</f>
        <v/>
      </c>
      <c r="B8950">
        <f>TEST_DATA!B8950</f>
        <v/>
      </c>
      <c r="C8950">
        <f>TEST_DATA!C8950</f>
        <v/>
      </c>
      <c r="D8950">
        <f>TEST_DATA!D8950</f>
        <v/>
      </c>
      <c r="E8950">
        <f>TEST_DATA!E8950</f>
        <v/>
      </c>
    </row>
    <row r="8951">
      <c r="A8951">
        <f>TEST_DATA!A8951</f>
        <v/>
      </c>
      <c r="B8951">
        <f>TEST_DATA!B8951</f>
        <v/>
      </c>
      <c r="C8951">
        <f>TEST_DATA!C8951</f>
        <v/>
      </c>
      <c r="D8951">
        <f>TEST_DATA!D8951</f>
        <v/>
      </c>
      <c r="E8951">
        <f>TEST_DATA!E8951</f>
        <v/>
      </c>
    </row>
    <row r="8952">
      <c r="A8952">
        <f>TEST_DATA!A8952</f>
        <v/>
      </c>
      <c r="B8952">
        <f>TEST_DATA!B8952</f>
        <v/>
      </c>
      <c r="C8952">
        <f>TEST_DATA!C8952</f>
        <v/>
      </c>
      <c r="D8952">
        <f>TEST_DATA!D8952</f>
        <v/>
      </c>
      <c r="E8952">
        <f>TEST_DATA!E8952</f>
        <v/>
      </c>
    </row>
    <row r="8953">
      <c r="A8953">
        <f>TEST_DATA!A8953</f>
        <v/>
      </c>
      <c r="B8953">
        <f>TEST_DATA!B8953</f>
        <v/>
      </c>
      <c r="C8953">
        <f>TEST_DATA!C8953</f>
        <v/>
      </c>
      <c r="D8953">
        <f>TEST_DATA!D8953</f>
        <v/>
      </c>
      <c r="E8953">
        <f>TEST_DATA!E8953</f>
        <v/>
      </c>
    </row>
    <row r="8954">
      <c r="A8954">
        <f>TEST_DATA!A8954</f>
        <v/>
      </c>
      <c r="B8954">
        <f>TEST_DATA!B8954</f>
        <v/>
      </c>
      <c r="C8954">
        <f>TEST_DATA!C8954</f>
        <v/>
      </c>
      <c r="D8954">
        <f>TEST_DATA!D8954</f>
        <v/>
      </c>
      <c r="E8954">
        <f>TEST_DATA!E8954</f>
        <v/>
      </c>
    </row>
    <row r="8955">
      <c r="A8955">
        <f>TEST_DATA!A8955</f>
        <v/>
      </c>
      <c r="B8955">
        <f>TEST_DATA!B8955</f>
        <v/>
      </c>
      <c r="C8955">
        <f>TEST_DATA!C8955</f>
        <v/>
      </c>
      <c r="D8955">
        <f>TEST_DATA!D8955</f>
        <v/>
      </c>
      <c r="E8955">
        <f>TEST_DATA!E8955</f>
        <v/>
      </c>
    </row>
    <row r="8956">
      <c r="A8956">
        <f>TEST_DATA!A8956</f>
        <v/>
      </c>
      <c r="B8956">
        <f>TEST_DATA!B8956</f>
        <v/>
      </c>
      <c r="C8956">
        <f>TEST_DATA!C8956</f>
        <v/>
      </c>
      <c r="D8956">
        <f>TEST_DATA!D8956</f>
        <v/>
      </c>
      <c r="E8956">
        <f>TEST_DATA!E8956</f>
        <v/>
      </c>
    </row>
    <row r="8957">
      <c r="A8957">
        <f>TEST_DATA!A8957</f>
        <v/>
      </c>
      <c r="B8957">
        <f>TEST_DATA!B8957</f>
        <v/>
      </c>
      <c r="C8957">
        <f>TEST_DATA!C8957</f>
        <v/>
      </c>
      <c r="D8957">
        <f>TEST_DATA!D8957</f>
        <v/>
      </c>
      <c r="E8957">
        <f>TEST_DATA!E8957</f>
        <v/>
      </c>
    </row>
    <row r="8958">
      <c r="A8958">
        <f>TEST_DATA!A8958</f>
        <v/>
      </c>
      <c r="B8958">
        <f>TEST_DATA!B8958</f>
        <v/>
      </c>
      <c r="C8958">
        <f>TEST_DATA!C8958</f>
        <v/>
      </c>
      <c r="D8958">
        <f>TEST_DATA!D8958</f>
        <v/>
      </c>
      <c r="E8958">
        <f>TEST_DATA!E8958</f>
        <v/>
      </c>
    </row>
    <row r="8959">
      <c r="A8959">
        <f>TEST_DATA!A8959</f>
        <v/>
      </c>
      <c r="B8959">
        <f>TEST_DATA!B8959</f>
        <v/>
      </c>
      <c r="C8959">
        <f>TEST_DATA!C8959</f>
        <v/>
      </c>
      <c r="D8959">
        <f>TEST_DATA!D8959</f>
        <v/>
      </c>
      <c r="E8959">
        <f>TEST_DATA!E8959</f>
        <v/>
      </c>
    </row>
    <row r="8960">
      <c r="A8960">
        <f>TEST_DATA!A8960</f>
        <v/>
      </c>
      <c r="B8960">
        <f>TEST_DATA!B8960</f>
        <v/>
      </c>
      <c r="C8960">
        <f>TEST_DATA!C8960</f>
        <v/>
      </c>
      <c r="D8960">
        <f>TEST_DATA!D8960</f>
        <v/>
      </c>
      <c r="E8960">
        <f>TEST_DATA!E8960</f>
        <v/>
      </c>
    </row>
    <row r="8961">
      <c r="A8961">
        <f>TEST_DATA!A8961</f>
        <v/>
      </c>
      <c r="B8961">
        <f>TEST_DATA!B8961</f>
        <v/>
      </c>
      <c r="C8961">
        <f>TEST_DATA!C8961</f>
        <v/>
      </c>
      <c r="D8961">
        <f>TEST_DATA!D8961</f>
        <v/>
      </c>
      <c r="E8961">
        <f>TEST_DATA!E8961</f>
        <v/>
      </c>
    </row>
    <row r="8962">
      <c r="A8962">
        <f>TEST_DATA!A8962</f>
        <v/>
      </c>
      <c r="B8962">
        <f>TEST_DATA!B8962</f>
        <v/>
      </c>
      <c r="C8962">
        <f>TEST_DATA!C8962</f>
        <v/>
      </c>
      <c r="D8962">
        <f>TEST_DATA!D8962</f>
        <v/>
      </c>
      <c r="E8962">
        <f>TEST_DATA!E8962</f>
        <v/>
      </c>
    </row>
    <row r="8963">
      <c r="A8963">
        <f>TEST_DATA!A8963</f>
        <v/>
      </c>
      <c r="B8963">
        <f>TEST_DATA!B8963</f>
        <v/>
      </c>
      <c r="C8963">
        <f>TEST_DATA!C8963</f>
        <v/>
      </c>
      <c r="D8963">
        <f>TEST_DATA!D8963</f>
        <v/>
      </c>
      <c r="E8963">
        <f>TEST_DATA!E8963</f>
        <v/>
      </c>
    </row>
    <row r="8964">
      <c r="A8964">
        <f>TEST_DATA!A8964</f>
        <v/>
      </c>
      <c r="B8964">
        <f>TEST_DATA!B8964</f>
        <v/>
      </c>
      <c r="C8964">
        <f>TEST_DATA!C8964</f>
        <v/>
      </c>
      <c r="D8964">
        <f>TEST_DATA!D8964</f>
        <v/>
      </c>
      <c r="E8964">
        <f>TEST_DATA!E8964</f>
        <v/>
      </c>
    </row>
    <row r="8965">
      <c r="A8965">
        <f>TEST_DATA!A8965</f>
        <v/>
      </c>
      <c r="B8965">
        <f>TEST_DATA!B8965</f>
        <v/>
      </c>
      <c r="C8965">
        <f>TEST_DATA!C8965</f>
        <v/>
      </c>
      <c r="D8965">
        <f>TEST_DATA!D8965</f>
        <v/>
      </c>
      <c r="E8965">
        <f>TEST_DATA!E8965</f>
        <v/>
      </c>
    </row>
    <row r="8966">
      <c r="A8966">
        <f>TEST_DATA!A8966</f>
        <v/>
      </c>
      <c r="B8966">
        <f>TEST_DATA!B8966</f>
        <v/>
      </c>
      <c r="C8966">
        <f>TEST_DATA!C8966</f>
        <v/>
      </c>
      <c r="D8966">
        <f>TEST_DATA!D8966</f>
        <v/>
      </c>
      <c r="E8966">
        <f>TEST_DATA!E8966</f>
        <v/>
      </c>
    </row>
    <row r="8967">
      <c r="A8967">
        <f>TEST_DATA!A8967</f>
        <v/>
      </c>
      <c r="B8967">
        <f>TEST_DATA!B8967</f>
        <v/>
      </c>
      <c r="C8967">
        <f>TEST_DATA!C8967</f>
        <v/>
      </c>
      <c r="D8967">
        <f>TEST_DATA!D8967</f>
        <v/>
      </c>
      <c r="E8967">
        <f>TEST_DATA!E8967</f>
        <v/>
      </c>
    </row>
    <row r="8968">
      <c r="A8968">
        <f>TEST_DATA!A8968</f>
        <v/>
      </c>
      <c r="B8968">
        <f>TEST_DATA!B8968</f>
        <v/>
      </c>
      <c r="C8968">
        <f>TEST_DATA!C8968</f>
        <v/>
      </c>
      <c r="D8968">
        <f>TEST_DATA!D8968</f>
        <v/>
      </c>
      <c r="E8968">
        <f>TEST_DATA!E8968</f>
        <v/>
      </c>
    </row>
    <row r="8969">
      <c r="A8969">
        <f>TEST_DATA!A8969</f>
        <v/>
      </c>
      <c r="B8969">
        <f>TEST_DATA!B8969</f>
        <v/>
      </c>
      <c r="C8969">
        <f>TEST_DATA!C8969</f>
        <v/>
      </c>
      <c r="D8969">
        <f>TEST_DATA!D8969</f>
        <v/>
      </c>
      <c r="E8969">
        <f>TEST_DATA!E8969</f>
        <v/>
      </c>
    </row>
    <row r="8970">
      <c r="A8970">
        <f>TEST_DATA!A8970</f>
        <v/>
      </c>
      <c r="B8970">
        <f>TEST_DATA!B8970</f>
        <v/>
      </c>
      <c r="C8970">
        <f>TEST_DATA!C8970</f>
        <v/>
      </c>
      <c r="D8970">
        <f>TEST_DATA!D8970</f>
        <v/>
      </c>
      <c r="E8970">
        <f>TEST_DATA!E8970</f>
        <v/>
      </c>
    </row>
    <row r="8971">
      <c r="A8971">
        <f>TEST_DATA!A8971</f>
        <v/>
      </c>
      <c r="B8971">
        <f>TEST_DATA!B8971</f>
        <v/>
      </c>
      <c r="C8971">
        <f>TEST_DATA!C8971</f>
        <v/>
      </c>
      <c r="D8971">
        <f>TEST_DATA!D8971</f>
        <v/>
      </c>
      <c r="E8971">
        <f>TEST_DATA!E8971</f>
        <v/>
      </c>
    </row>
    <row r="8972">
      <c r="A8972">
        <f>TEST_DATA!A8972</f>
        <v/>
      </c>
      <c r="B8972">
        <f>TEST_DATA!B8972</f>
        <v/>
      </c>
      <c r="C8972">
        <f>TEST_DATA!C8972</f>
        <v/>
      </c>
      <c r="D8972">
        <f>TEST_DATA!D8972</f>
        <v/>
      </c>
      <c r="E8972">
        <f>TEST_DATA!E8972</f>
        <v/>
      </c>
    </row>
    <row r="8973">
      <c r="A8973">
        <f>TEST_DATA!A8973</f>
        <v/>
      </c>
      <c r="B8973">
        <f>TEST_DATA!B8973</f>
        <v/>
      </c>
      <c r="C8973">
        <f>TEST_DATA!C8973</f>
        <v/>
      </c>
      <c r="D8973">
        <f>TEST_DATA!D8973</f>
        <v/>
      </c>
      <c r="E8973">
        <f>TEST_DATA!E8973</f>
        <v/>
      </c>
    </row>
    <row r="8974">
      <c r="A8974">
        <f>TEST_DATA!A8974</f>
        <v/>
      </c>
      <c r="B8974">
        <f>TEST_DATA!B8974</f>
        <v/>
      </c>
      <c r="C8974">
        <f>TEST_DATA!C8974</f>
        <v/>
      </c>
      <c r="D8974">
        <f>TEST_DATA!D8974</f>
        <v/>
      </c>
      <c r="E8974">
        <f>TEST_DATA!E8974</f>
        <v/>
      </c>
    </row>
    <row r="8975">
      <c r="A8975">
        <f>TEST_DATA!A8975</f>
        <v/>
      </c>
      <c r="B8975">
        <f>TEST_DATA!B8975</f>
        <v/>
      </c>
      <c r="C8975">
        <f>TEST_DATA!C8975</f>
        <v/>
      </c>
      <c r="D8975">
        <f>TEST_DATA!D8975</f>
        <v/>
      </c>
      <c r="E8975">
        <f>TEST_DATA!E8975</f>
        <v/>
      </c>
    </row>
    <row r="8976">
      <c r="A8976">
        <f>TEST_DATA!A8976</f>
        <v/>
      </c>
      <c r="B8976">
        <f>TEST_DATA!B8976</f>
        <v/>
      </c>
      <c r="C8976">
        <f>TEST_DATA!C8976</f>
        <v/>
      </c>
      <c r="D8976">
        <f>TEST_DATA!D8976</f>
        <v/>
      </c>
      <c r="E8976">
        <f>TEST_DATA!E8976</f>
        <v/>
      </c>
    </row>
    <row r="8977">
      <c r="A8977">
        <f>TEST_DATA!A8977</f>
        <v/>
      </c>
      <c r="B8977">
        <f>TEST_DATA!B8977</f>
        <v/>
      </c>
      <c r="C8977">
        <f>TEST_DATA!C8977</f>
        <v/>
      </c>
      <c r="D8977">
        <f>TEST_DATA!D8977</f>
        <v/>
      </c>
      <c r="E8977">
        <f>TEST_DATA!E8977</f>
        <v/>
      </c>
    </row>
    <row r="8978">
      <c r="A8978">
        <f>TEST_DATA!A8978</f>
        <v/>
      </c>
      <c r="B8978">
        <f>TEST_DATA!B8978</f>
        <v/>
      </c>
      <c r="C8978">
        <f>TEST_DATA!C8978</f>
        <v/>
      </c>
      <c r="D8978">
        <f>TEST_DATA!D8978</f>
        <v/>
      </c>
      <c r="E8978">
        <f>TEST_DATA!E8978</f>
        <v/>
      </c>
    </row>
    <row r="8979">
      <c r="A8979">
        <f>TEST_DATA!A8979</f>
        <v/>
      </c>
      <c r="B8979">
        <f>TEST_DATA!B8979</f>
        <v/>
      </c>
      <c r="C8979">
        <f>TEST_DATA!C8979</f>
        <v/>
      </c>
      <c r="D8979">
        <f>TEST_DATA!D8979</f>
        <v/>
      </c>
      <c r="E8979">
        <f>TEST_DATA!E8979</f>
        <v/>
      </c>
    </row>
    <row r="8980">
      <c r="A8980">
        <f>TEST_DATA!A8980</f>
        <v/>
      </c>
      <c r="B8980">
        <f>TEST_DATA!B8980</f>
        <v/>
      </c>
      <c r="C8980">
        <f>TEST_DATA!C8980</f>
        <v/>
      </c>
      <c r="D8980">
        <f>TEST_DATA!D8980</f>
        <v/>
      </c>
      <c r="E8980">
        <f>TEST_DATA!E8980</f>
        <v/>
      </c>
    </row>
    <row r="8981">
      <c r="A8981">
        <f>TEST_DATA!A8981</f>
        <v/>
      </c>
      <c r="B8981">
        <f>TEST_DATA!B8981</f>
        <v/>
      </c>
      <c r="C8981">
        <f>TEST_DATA!C8981</f>
        <v/>
      </c>
      <c r="D8981">
        <f>TEST_DATA!D8981</f>
        <v/>
      </c>
      <c r="E8981">
        <f>TEST_DATA!E8981</f>
        <v/>
      </c>
    </row>
    <row r="8982">
      <c r="A8982">
        <f>TEST_DATA!A8982</f>
        <v/>
      </c>
      <c r="B8982">
        <f>TEST_DATA!B8982</f>
        <v/>
      </c>
      <c r="C8982">
        <f>TEST_DATA!C8982</f>
        <v/>
      </c>
      <c r="D8982">
        <f>TEST_DATA!D8982</f>
        <v/>
      </c>
      <c r="E8982">
        <f>TEST_DATA!E8982</f>
        <v/>
      </c>
    </row>
    <row r="8983">
      <c r="A8983">
        <f>TEST_DATA!A8983</f>
        <v/>
      </c>
      <c r="B8983">
        <f>TEST_DATA!B8983</f>
        <v/>
      </c>
      <c r="C8983">
        <f>TEST_DATA!C8983</f>
        <v/>
      </c>
      <c r="D8983">
        <f>TEST_DATA!D8983</f>
        <v/>
      </c>
      <c r="E8983">
        <f>TEST_DATA!E8983</f>
        <v/>
      </c>
    </row>
    <row r="8984">
      <c r="A8984">
        <f>TEST_DATA!A8984</f>
        <v/>
      </c>
      <c r="B8984">
        <f>TEST_DATA!B8984</f>
        <v/>
      </c>
      <c r="C8984">
        <f>TEST_DATA!C8984</f>
        <v/>
      </c>
      <c r="D8984">
        <f>TEST_DATA!D8984</f>
        <v/>
      </c>
      <c r="E8984">
        <f>TEST_DATA!E8984</f>
        <v/>
      </c>
    </row>
    <row r="8985">
      <c r="A8985">
        <f>TEST_DATA!A8985</f>
        <v/>
      </c>
      <c r="B8985">
        <f>TEST_DATA!B8985</f>
        <v/>
      </c>
      <c r="C8985">
        <f>TEST_DATA!C8985</f>
        <v/>
      </c>
      <c r="D8985">
        <f>TEST_DATA!D8985</f>
        <v/>
      </c>
      <c r="E8985">
        <f>TEST_DATA!E8985</f>
        <v/>
      </c>
    </row>
    <row r="8986">
      <c r="A8986">
        <f>TEST_DATA!A8986</f>
        <v/>
      </c>
      <c r="B8986">
        <f>TEST_DATA!B8986</f>
        <v/>
      </c>
      <c r="C8986">
        <f>TEST_DATA!C8986</f>
        <v/>
      </c>
      <c r="D8986">
        <f>TEST_DATA!D8986</f>
        <v/>
      </c>
      <c r="E8986">
        <f>TEST_DATA!E8986</f>
        <v/>
      </c>
    </row>
    <row r="8987">
      <c r="A8987">
        <f>TEST_DATA!A8987</f>
        <v/>
      </c>
      <c r="B8987">
        <f>TEST_DATA!B8987</f>
        <v/>
      </c>
      <c r="C8987">
        <f>TEST_DATA!C8987</f>
        <v/>
      </c>
      <c r="D8987">
        <f>TEST_DATA!D8987</f>
        <v/>
      </c>
      <c r="E8987">
        <f>TEST_DATA!E8987</f>
        <v/>
      </c>
    </row>
    <row r="8988">
      <c r="A8988">
        <f>TEST_DATA!A8988</f>
        <v/>
      </c>
      <c r="B8988">
        <f>TEST_DATA!B8988</f>
        <v/>
      </c>
      <c r="C8988">
        <f>TEST_DATA!C8988</f>
        <v/>
      </c>
      <c r="D8988">
        <f>TEST_DATA!D8988</f>
        <v/>
      </c>
      <c r="E8988">
        <f>TEST_DATA!E8988</f>
        <v/>
      </c>
    </row>
    <row r="8989">
      <c r="A8989">
        <f>TEST_DATA!A8989</f>
        <v/>
      </c>
      <c r="B8989">
        <f>TEST_DATA!B8989</f>
        <v/>
      </c>
      <c r="C8989">
        <f>TEST_DATA!C8989</f>
        <v/>
      </c>
      <c r="D8989">
        <f>TEST_DATA!D8989</f>
        <v/>
      </c>
      <c r="E8989">
        <f>TEST_DATA!E8989</f>
        <v/>
      </c>
    </row>
    <row r="8990">
      <c r="A8990">
        <f>TEST_DATA!A8990</f>
        <v/>
      </c>
      <c r="B8990">
        <f>TEST_DATA!B8990</f>
        <v/>
      </c>
      <c r="C8990">
        <f>TEST_DATA!C8990</f>
        <v/>
      </c>
      <c r="D8990">
        <f>TEST_DATA!D8990</f>
        <v/>
      </c>
      <c r="E8990">
        <f>TEST_DATA!E8990</f>
        <v/>
      </c>
    </row>
    <row r="8991">
      <c r="A8991">
        <f>TEST_DATA!A8991</f>
        <v/>
      </c>
      <c r="B8991">
        <f>TEST_DATA!B8991</f>
        <v/>
      </c>
      <c r="C8991">
        <f>TEST_DATA!C8991</f>
        <v/>
      </c>
      <c r="D8991">
        <f>TEST_DATA!D8991</f>
        <v/>
      </c>
      <c r="E8991">
        <f>TEST_DATA!E8991</f>
        <v/>
      </c>
    </row>
    <row r="8992">
      <c r="A8992">
        <f>TEST_DATA!A8992</f>
        <v/>
      </c>
      <c r="B8992">
        <f>TEST_DATA!B8992</f>
        <v/>
      </c>
      <c r="C8992">
        <f>TEST_DATA!C8992</f>
        <v/>
      </c>
      <c r="D8992">
        <f>TEST_DATA!D8992</f>
        <v/>
      </c>
      <c r="E8992">
        <f>TEST_DATA!E8992</f>
        <v/>
      </c>
    </row>
    <row r="8993">
      <c r="A8993">
        <f>TEST_DATA!A8993</f>
        <v/>
      </c>
      <c r="B8993">
        <f>TEST_DATA!B8993</f>
        <v/>
      </c>
      <c r="C8993">
        <f>TEST_DATA!C8993</f>
        <v/>
      </c>
      <c r="D8993">
        <f>TEST_DATA!D8993</f>
        <v/>
      </c>
      <c r="E8993">
        <f>TEST_DATA!E8993</f>
        <v/>
      </c>
    </row>
    <row r="8994">
      <c r="A8994">
        <f>TEST_DATA!A8994</f>
        <v/>
      </c>
      <c r="B8994">
        <f>TEST_DATA!B8994</f>
        <v/>
      </c>
      <c r="C8994">
        <f>TEST_DATA!C8994</f>
        <v/>
      </c>
      <c r="D8994">
        <f>TEST_DATA!D8994</f>
        <v/>
      </c>
      <c r="E8994">
        <f>TEST_DATA!E8994</f>
        <v/>
      </c>
    </row>
    <row r="8995">
      <c r="A8995">
        <f>TEST_DATA!A8995</f>
        <v/>
      </c>
      <c r="B8995">
        <f>TEST_DATA!B8995</f>
        <v/>
      </c>
      <c r="C8995">
        <f>TEST_DATA!C8995</f>
        <v/>
      </c>
      <c r="D8995">
        <f>TEST_DATA!D8995</f>
        <v/>
      </c>
      <c r="E8995">
        <f>TEST_DATA!E8995</f>
        <v/>
      </c>
    </row>
    <row r="8996">
      <c r="A8996">
        <f>TEST_DATA!A8996</f>
        <v/>
      </c>
      <c r="B8996">
        <f>TEST_DATA!B8996</f>
        <v/>
      </c>
      <c r="C8996">
        <f>TEST_DATA!C8996</f>
        <v/>
      </c>
      <c r="D8996">
        <f>TEST_DATA!D8996</f>
        <v/>
      </c>
      <c r="E8996">
        <f>TEST_DATA!E8996</f>
        <v/>
      </c>
    </row>
    <row r="8997">
      <c r="A8997">
        <f>TEST_DATA!A8997</f>
        <v/>
      </c>
      <c r="B8997">
        <f>TEST_DATA!B8997</f>
        <v/>
      </c>
      <c r="C8997">
        <f>TEST_DATA!C8997</f>
        <v/>
      </c>
      <c r="D8997">
        <f>TEST_DATA!D8997</f>
        <v/>
      </c>
      <c r="E8997">
        <f>TEST_DATA!E8997</f>
        <v/>
      </c>
    </row>
    <row r="8998">
      <c r="A8998">
        <f>TEST_DATA!A8998</f>
        <v/>
      </c>
      <c r="B8998">
        <f>TEST_DATA!B8998</f>
        <v/>
      </c>
      <c r="C8998">
        <f>TEST_DATA!C8998</f>
        <v/>
      </c>
      <c r="D8998">
        <f>TEST_DATA!D8998</f>
        <v/>
      </c>
      <c r="E8998">
        <f>TEST_DATA!E8998</f>
        <v/>
      </c>
    </row>
    <row r="8999">
      <c r="A8999">
        <f>TEST_DATA!A8999</f>
        <v/>
      </c>
      <c r="B8999">
        <f>TEST_DATA!B8999</f>
        <v/>
      </c>
      <c r="C8999">
        <f>TEST_DATA!C8999</f>
        <v/>
      </c>
      <c r="D8999">
        <f>TEST_DATA!D8999</f>
        <v/>
      </c>
      <c r="E8999">
        <f>TEST_DATA!E8999</f>
        <v/>
      </c>
    </row>
    <row r="9000">
      <c r="A9000">
        <f>TEST_DATA!A9000</f>
        <v/>
      </c>
      <c r="B9000">
        <f>TEST_DATA!B9000</f>
        <v/>
      </c>
      <c r="C9000">
        <f>TEST_DATA!C9000</f>
        <v/>
      </c>
      <c r="D9000">
        <f>TEST_DATA!D9000</f>
        <v/>
      </c>
      <c r="E9000">
        <f>TEST_DATA!E9000</f>
        <v/>
      </c>
    </row>
    <row r="9001">
      <c r="A9001">
        <f>TEST_DATA!A9001</f>
        <v/>
      </c>
      <c r="B9001">
        <f>TEST_DATA!B9001</f>
        <v/>
      </c>
      <c r="C9001">
        <f>TEST_DATA!C9001</f>
        <v/>
      </c>
      <c r="D9001">
        <f>TEST_DATA!D9001</f>
        <v/>
      </c>
      <c r="E9001">
        <f>TEST_DATA!E9001</f>
        <v/>
      </c>
    </row>
    <row r="9002">
      <c r="A9002">
        <f>TEST_DATA!A9002</f>
        <v/>
      </c>
      <c r="B9002">
        <f>TEST_DATA!B9002</f>
        <v/>
      </c>
      <c r="C9002">
        <f>TEST_DATA!C9002</f>
        <v/>
      </c>
      <c r="D9002">
        <f>TEST_DATA!D9002</f>
        <v/>
      </c>
      <c r="E9002">
        <f>TEST_DATA!E9002</f>
        <v/>
      </c>
    </row>
    <row r="9003">
      <c r="A9003">
        <f>TEST_DATA!A9003</f>
        <v/>
      </c>
      <c r="B9003">
        <f>TEST_DATA!B9003</f>
        <v/>
      </c>
      <c r="C9003">
        <f>TEST_DATA!C9003</f>
        <v/>
      </c>
      <c r="D9003">
        <f>TEST_DATA!D9003</f>
        <v/>
      </c>
      <c r="E9003">
        <f>TEST_DATA!E9003</f>
        <v/>
      </c>
    </row>
    <row r="9004">
      <c r="A9004">
        <f>TEST_DATA!A9004</f>
        <v/>
      </c>
      <c r="B9004">
        <f>TEST_DATA!B9004</f>
        <v/>
      </c>
      <c r="C9004">
        <f>TEST_DATA!C9004</f>
        <v/>
      </c>
      <c r="D9004">
        <f>TEST_DATA!D9004</f>
        <v/>
      </c>
      <c r="E9004">
        <f>TEST_DATA!E9004</f>
        <v/>
      </c>
    </row>
    <row r="9005">
      <c r="A9005">
        <f>TEST_DATA!A9005</f>
        <v/>
      </c>
      <c r="B9005">
        <f>TEST_DATA!B9005</f>
        <v/>
      </c>
      <c r="C9005">
        <f>TEST_DATA!C9005</f>
        <v/>
      </c>
      <c r="D9005">
        <f>TEST_DATA!D9005</f>
        <v/>
      </c>
      <c r="E9005">
        <f>TEST_DATA!E9005</f>
        <v/>
      </c>
    </row>
    <row r="9006">
      <c r="A9006">
        <f>TEST_DATA!A9006</f>
        <v/>
      </c>
      <c r="B9006">
        <f>TEST_DATA!B9006</f>
        <v/>
      </c>
      <c r="C9006">
        <f>TEST_DATA!C9006</f>
        <v/>
      </c>
      <c r="D9006">
        <f>TEST_DATA!D9006</f>
        <v/>
      </c>
      <c r="E9006">
        <f>TEST_DATA!E9006</f>
        <v/>
      </c>
    </row>
    <row r="9007">
      <c r="A9007">
        <f>TEST_DATA!A9007</f>
        <v/>
      </c>
      <c r="B9007">
        <f>TEST_DATA!B9007</f>
        <v/>
      </c>
      <c r="C9007">
        <f>TEST_DATA!C9007</f>
        <v/>
      </c>
      <c r="D9007">
        <f>TEST_DATA!D9007</f>
        <v/>
      </c>
      <c r="E9007">
        <f>TEST_DATA!E9007</f>
        <v/>
      </c>
    </row>
    <row r="9008">
      <c r="A9008">
        <f>TEST_DATA!A9008</f>
        <v/>
      </c>
      <c r="B9008">
        <f>TEST_DATA!B9008</f>
        <v/>
      </c>
      <c r="C9008">
        <f>TEST_DATA!C9008</f>
        <v/>
      </c>
      <c r="D9008">
        <f>TEST_DATA!D9008</f>
        <v/>
      </c>
      <c r="E9008">
        <f>TEST_DATA!E9008</f>
        <v/>
      </c>
    </row>
    <row r="9009">
      <c r="A9009">
        <f>TEST_DATA!A9009</f>
        <v/>
      </c>
      <c r="B9009">
        <f>TEST_DATA!B9009</f>
        <v/>
      </c>
      <c r="C9009">
        <f>TEST_DATA!C9009</f>
        <v/>
      </c>
      <c r="D9009">
        <f>TEST_DATA!D9009</f>
        <v/>
      </c>
      <c r="E9009">
        <f>TEST_DATA!E9009</f>
        <v/>
      </c>
    </row>
    <row r="9010">
      <c r="A9010">
        <f>TEST_DATA!A9010</f>
        <v/>
      </c>
      <c r="B9010">
        <f>TEST_DATA!B9010</f>
        <v/>
      </c>
      <c r="C9010">
        <f>TEST_DATA!C9010</f>
        <v/>
      </c>
      <c r="D9010">
        <f>TEST_DATA!D9010</f>
        <v/>
      </c>
      <c r="E9010">
        <f>TEST_DATA!E9010</f>
        <v/>
      </c>
    </row>
    <row r="9011">
      <c r="A9011">
        <f>TEST_DATA!A9011</f>
        <v/>
      </c>
      <c r="B9011">
        <f>TEST_DATA!B9011</f>
        <v/>
      </c>
      <c r="C9011">
        <f>TEST_DATA!C9011</f>
        <v/>
      </c>
      <c r="D9011">
        <f>TEST_DATA!D9011</f>
        <v/>
      </c>
      <c r="E9011">
        <f>TEST_DATA!E9011</f>
        <v/>
      </c>
    </row>
    <row r="9012">
      <c r="A9012">
        <f>TEST_DATA!A9012</f>
        <v/>
      </c>
      <c r="B9012">
        <f>TEST_DATA!B9012</f>
        <v/>
      </c>
      <c r="C9012">
        <f>TEST_DATA!C9012</f>
        <v/>
      </c>
      <c r="D9012">
        <f>TEST_DATA!D9012</f>
        <v/>
      </c>
      <c r="E9012">
        <f>TEST_DATA!E9012</f>
        <v/>
      </c>
    </row>
    <row r="9013">
      <c r="A9013">
        <f>TEST_DATA!A9013</f>
        <v/>
      </c>
      <c r="B9013">
        <f>TEST_DATA!B9013</f>
        <v/>
      </c>
      <c r="C9013">
        <f>TEST_DATA!C9013</f>
        <v/>
      </c>
      <c r="D9013">
        <f>TEST_DATA!D9013</f>
        <v/>
      </c>
      <c r="E9013">
        <f>TEST_DATA!E9013</f>
        <v/>
      </c>
    </row>
    <row r="9014">
      <c r="A9014">
        <f>TEST_DATA!A9014</f>
        <v/>
      </c>
      <c r="B9014">
        <f>TEST_DATA!B9014</f>
        <v/>
      </c>
      <c r="C9014">
        <f>TEST_DATA!C9014</f>
        <v/>
      </c>
      <c r="D9014">
        <f>TEST_DATA!D9014</f>
        <v/>
      </c>
      <c r="E9014">
        <f>TEST_DATA!E9014</f>
        <v/>
      </c>
    </row>
    <row r="9015">
      <c r="A9015">
        <f>TEST_DATA!A9015</f>
        <v/>
      </c>
      <c r="B9015">
        <f>TEST_DATA!B9015</f>
        <v/>
      </c>
      <c r="C9015">
        <f>TEST_DATA!C9015</f>
        <v/>
      </c>
      <c r="D9015">
        <f>TEST_DATA!D9015</f>
        <v/>
      </c>
      <c r="E9015">
        <f>TEST_DATA!E9015</f>
        <v/>
      </c>
    </row>
    <row r="9016">
      <c r="A9016">
        <f>TEST_DATA!A9016</f>
        <v/>
      </c>
      <c r="B9016">
        <f>TEST_DATA!B9016</f>
        <v/>
      </c>
      <c r="C9016">
        <f>TEST_DATA!C9016</f>
        <v/>
      </c>
      <c r="D9016">
        <f>TEST_DATA!D9016</f>
        <v/>
      </c>
      <c r="E9016">
        <f>TEST_DATA!E9016</f>
        <v/>
      </c>
    </row>
    <row r="9017">
      <c r="A9017">
        <f>TEST_DATA!A9017</f>
        <v/>
      </c>
      <c r="B9017">
        <f>TEST_DATA!B9017</f>
        <v/>
      </c>
      <c r="C9017">
        <f>TEST_DATA!C9017</f>
        <v/>
      </c>
      <c r="D9017">
        <f>TEST_DATA!D9017</f>
        <v/>
      </c>
      <c r="E9017">
        <f>TEST_DATA!E9017</f>
        <v/>
      </c>
    </row>
    <row r="9018">
      <c r="A9018">
        <f>TEST_DATA!A9018</f>
        <v/>
      </c>
      <c r="B9018">
        <f>TEST_DATA!B9018</f>
        <v/>
      </c>
      <c r="C9018">
        <f>TEST_DATA!C9018</f>
        <v/>
      </c>
      <c r="D9018">
        <f>TEST_DATA!D9018</f>
        <v/>
      </c>
      <c r="E9018">
        <f>TEST_DATA!E9018</f>
        <v/>
      </c>
    </row>
    <row r="9019">
      <c r="A9019">
        <f>TEST_DATA!A9019</f>
        <v/>
      </c>
      <c r="B9019">
        <f>TEST_DATA!B9019</f>
        <v/>
      </c>
      <c r="C9019">
        <f>TEST_DATA!C9019</f>
        <v/>
      </c>
      <c r="D9019">
        <f>TEST_DATA!D9019</f>
        <v/>
      </c>
      <c r="E9019">
        <f>TEST_DATA!E9019</f>
        <v/>
      </c>
    </row>
    <row r="9020">
      <c r="A9020">
        <f>TEST_DATA!A9020</f>
        <v/>
      </c>
      <c r="B9020">
        <f>TEST_DATA!B9020</f>
        <v/>
      </c>
      <c r="C9020">
        <f>TEST_DATA!C9020</f>
        <v/>
      </c>
      <c r="D9020">
        <f>TEST_DATA!D9020</f>
        <v/>
      </c>
      <c r="E9020">
        <f>TEST_DATA!E9020</f>
        <v/>
      </c>
    </row>
    <row r="9021">
      <c r="A9021">
        <f>TEST_DATA!A9021</f>
        <v/>
      </c>
      <c r="B9021">
        <f>TEST_DATA!B9021</f>
        <v/>
      </c>
      <c r="C9021">
        <f>TEST_DATA!C9021</f>
        <v/>
      </c>
      <c r="D9021">
        <f>TEST_DATA!D9021</f>
        <v/>
      </c>
      <c r="E9021">
        <f>TEST_DATA!E9021</f>
        <v/>
      </c>
    </row>
    <row r="9022">
      <c r="A9022">
        <f>TEST_DATA!A9022</f>
        <v/>
      </c>
      <c r="B9022">
        <f>TEST_DATA!B9022</f>
        <v/>
      </c>
      <c r="C9022">
        <f>TEST_DATA!C9022</f>
        <v/>
      </c>
      <c r="D9022">
        <f>TEST_DATA!D9022</f>
        <v/>
      </c>
      <c r="E9022">
        <f>TEST_DATA!E9022</f>
        <v/>
      </c>
    </row>
    <row r="9023">
      <c r="A9023">
        <f>TEST_DATA!A9023</f>
        <v/>
      </c>
      <c r="B9023">
        <f>TEST_DATA!B9023</f>
        <v/>
      </c>
      <c r="C9023">
        <f>TEST_DATA!C9023</f>
        <v/>
      </c>
      <c r="D9023">
        <f>TEST_DATA!D9023</f>
        <v/>
      </c>
      <c r="E9023">
        <f>TEST_DATA!E9023</f>
        <v/>
      </c>
    </row>
    <row r="9024">
      <c r="A9024">
        <f>TEST_DATA!A9024</f>
        <v/>
      </c>
      <c r="B9024">
        <f>TEST_DATA!B9024</f>
        <v/>
      </c>
      <c r="C9024">
        <f>TEST_DATA!C9024</f>
        <v/>
      </c>
      <c r="D9024">
        <f>TEST_DATA!D9024</f>
        <v/>
      </c>
      <c r="E9024">
        <f>TEST_DATA!E9024</f>
        <v/>
      </c>
    </row>
    <row r="9025">
      <c r="A9025">
        <f>TEST_DATA!A9025</f>
        <v/>
      </c>
      <c r="B9025">
        <f>TEST_DATA!B9025</f>
        <v/>
      </c>
      <c r="C9025">
        <f>TEST_DATA!C9025</f>
        <v/>
      </c>
      <c r="D9025">
        <f>TEST_DATA!D9025</f>
        <v/>
      </c>
      <c r="E9025">
        <f>TEST_DATA!E9025</f>
        <v/>
      </c>
    </row>
    <row r="9026">
      <c r="A9026">
        <f>TEST_DATA!A9026</f>
        <v/>
      </c>
      <c r="B9026">
        <f>TEST_DATA!B9026</f>
        <v/>
      </c>
      <c r="C9026">
        <f>TEST_DATA!C9026</f>
        <v/>
      </c>
      <c r="D9026">
        <f>TEST_DATA!D9026</f>
        <v/>
      </c>
      <c r="E9026">
        <f>TEST_DATA!E9026</f>
        <v/>
      </c>
    </row>
    <row r="9027">
      <c r="A9027">
        <f>TEST_DATA!A9027</f>
        <v/>
      </c>
      <c r="B9027">
        <f>TEST_DATA!B9027</f>
        <v/>
      </c>
      <c r="C9027">
        <f>TEST_DATA!C9027</f>
        <v/>
      </c>
      <c r="D9027">
        <f>TEST_DATA!D9027</f>
        <v/>
      </c>
      <c r="E9027">
        <f>TEST_DATA!E9027</f>
        <v/>
      </c>
    </row>
    <row r="9028">
      <c r="A9028">
        <f>TEST_DATA!A9028</f>
        <v/>
      </c>
      <c r="B9028">
        <f>TEST_DATA!B9028</f>
        <v/>
      </c>
      <c r="C9028">
        <f>TEST_DATA!C9028</f>
        <v/>
      </c>
      <c r="D9028">
        <f>TEST_DATA!D9028</f>
        <v/>
      </c>
      <c r="E9028">
        <f>TEST_DATA!E9028</f>
        <v/>
      </c>
    </row>
    <row r="9029">
      <c r="A9029">
        <f>TEST_DATA!A9029</f>
        <v/>
      </c>
      <c r="B9029">
        <f>TEST_DATA!B9029</f>
        <v/>
      </c>
      <c r="C9029">
        <f>TEST_DATA!C9029</f>
        <v/>
      </c>
      <c r="D9029">
        <f>TEST_DATA!D9029</f>
        <v/>
      </c>
      <c r="E9029">
        <f>TEST_DATA!E9029</f>
        <v/>
      </c>
    </row>
    <row r="9030">
      <c r="A9030">
        <f>TEST_DATA!A9030</f>
        <v/>
      </c>
      <c r="B9030">
        <f>TEST_DATA!B9030</f>
        <v/>
      </c>
      <c r="C9030">
        <f>TEST_DATA!C9030</f>
        <v/>
      </c>
      <c r="D9030">
        <f>TEST_DATA!D9030</f>
        <v/>
      </c>
      <c r="E9030">
        <f>TEST_DATA!E9030</f>
        <v/>
      </c>
    </row>
    <row r="9031">
      <c r="A9031">
        <f>TEST_DATA!A9031</f>
        <v/>
      </c>
      <c r="B9031">
        <f>TEST_DATA!B9031</f>
        <v/>
      </c>
      <c r="C9031">
        <f>TEST_DATA!C9031</f>
        <v/>
      </c>
      <c r="D9031">
        <f>TEST_DATA!D9031</f>
        <v/>
      </c>
      <c r="E9031">
        <f>TEST_DATA!E9031</f>
        <v/>
      </c>
    </row>
    <row r="9032">
      <c r="A9032">
        <f>TEST_DATA!A9032</f>
        <v/>
      </c>
      <c r="B9032">
        <f>TEST_DATA!B9032</f>
        <v/>
      </c>
      <c r="C9032">
        <f>TEST_DATA!C9032</f>
        <v/>
      </c>
      <c r="D9032">
        <f>TEST_DATA!D9032</f>
        <v/>
      </c>
      <c r="E9032">
        <f>TEST_DATA!E9032</f>
        <v/>
      </c>
    </row>
    <row r="9033">
      <c r="A9033">
        <f>TEST_DATA!A9033</f>
        <v/>
      </c>
      <c r="B9033">
        <f>TEST_DATA!B9033</f>
        <v/>
      </c>
      <c r="C9033">
        <f>TEST_DATA!C9033</f>
        <v/>
      </c>
      <c r="D9033">
        <f>TEST_DATA!D9033</f>
        <v/>
      </c>
      <c r="E9033">
        <f>TEST_DATA!E9033</f>
        <v/>
      </c>
    </row>
    <row r="9034">
      <c r="A9034">
        <f>TEST_DATA!A9034</f>
        <v/>
      </c>
      <c r="B9034">
        <f>TEST_DATA!B9034</f>
        <v/>
      </c>
      <c r="C9034">
        <f>TEST_DATA!C9034</f>
        <v/>
      </c>
      <c r="D9034">
        <f>TEST_DATA!D9034</f>
        <v/>
      </c>
      <c r="E9034">
        <f>TEST_DATA!E9034</f>
        <v/>
      </c>
    </row>
    <row r="9035">
      <c r="A9035">
        <f>TEST_DATA!A9035</f>
        <v/>
      </c>
      <c r="B9035">
        <f>TEST_DATA!B9035</f>
        <v/>
      </c>
      <c r="C9035">
        <f>TEST_DATA!C9035</f>
        <v/>
      </c>
      <c r="D9035">
        <f>TEST_DATA!D9035</f>
        <v/>
      </c>
      <c r="E9035">
        <f>TEST_DATA!E9035</f>
        <v/>
      </c>
    </row>
    <row r="9036">
      <c r="A9036">
        <f>TEST_DATA!A9036</f>
        <v/>
      </c>
      <c r="B9036">
        <f>TEST_DATA!B9036</f>
        <v/>
      </c>
      <c r="C9036">
        <f>TEST_DATA!C9036</f>
        <v/>
      </c>
      <c r="D9036">
        <f>TEST_DATA!D9036</f>
        <v/>
      </c>
      <c r="E9036">
        <f>TEST_DATA!E9036</f>
        <v/>
      </c>
    </row>
    <row r="9037">
      <c r="A9037">
        <f>TEST_DATA!A9037</f>
        <v/>
      </c>
      <c r="B9037">
        <f>TEST_DATA!B9037</f>
        <v/>
      </c>
      <c r="C9037">
        <f>TEST_DATA!C9037</f>
        <v/>
      </c>
      <c r="D9037">
        <f>TEST_DATA!D9037</f>
        <v/>
      </c>
      <c r="E9037">
        <f>TEST_DATA!E9037</f>
        <v/>
      </c>
    </row>
    <row r="9038">
      <c r="A9038">
        <f>TEST_DATA!A9038</f>
        <v/>
      </c>
      <c r="B9038">
        <f>TEST_DATA!B9038</f>
        <v/>
      </c>
      <c r="C9038">
        <f>TEST_DATA!C9038</f>
        <v/>
      </c>
      <c r="D9038">
        <f>TEST_DATA!D9038</f>
        <v/>
      </c>
      <c r="E9038">
        <f>TEST_DATA!E9038</f>
        <v/>
      </c>
    </row>
    <row r="9039">
      <c r="A9039">
        <f>TEST_DATA!A9039</f>
        <v/>
      </c>
      <c r="B9039">
        <f>TEST_DATA!B9039</f>
        <v/>
      </c>
      <c r="C9039">
        <f>TEST_DATA!C9039</f>
        <v/>
      </c>
      <c r="D9039">
        <f>TEST_DATA!D9039</f>
        <v/>
      </c>
      <c r="E9039">
        <f>TEST_DATA!E9039</f>
        <v/>
      </c>
    </row>
    <row r="9040">
      <c r="A9040">
        <f>TEST_DATA!A9040</f>
        <v/>
      </c>
      <c r="B9040">
        <f>TEST_DATA!B9040</f>
        <v/>
      </c>
      <c r="C9040">
        <f>TEST_DATA!C9040</f>
        <v/>
      </c>
      <c r="D9040">
        <f>TEST_DATA!D9040</f>
        <v/>
      </c>
      <c r="E9040">
        <f>TEST_DATA!E9040</f>
        <v/>
      </c>
    </row>
    <row r="9041">
      <c r="A9041">
        <f>TEST_DATA!A9041</f>
        <v/>
      </c>
      <c r="B9041">
        <f>TEST_DATA!B9041</f>
        <v/>
      </c>
      <c r="C9041">
        <f>TEST_DATA!C9041</f>
        <v/>
      </c>
      <c r="D9041">
        <f>TEST_DATA!D9041</f>
        <v/>
      </c>
      <c r="E9041">
        <f>TEST_DATA!E9041</f>
        <v/>
      </c>
    </row>
    <row r="9042">
      <c r="A9042">
        <f>TEST_DATA!A9042</f>
        <v/>
      </c>
      <c r="B9042">
        <f>TEST_DATA!B9042</f>
        <v/>
      </c>
      <c r="C9042">
        <f>TEST_DATA!C9042</f>
        <v/>
      </c>
      <c r="D9042">
        <f>TEST_DATA!D9042</f>
        <v/>
      </c>
      <c r="E9042">
        <f>TEST_DATA!E9042</f>
        <v/>
      </c>
    </row>
    <row r="9043">
      <c r="A9043">
        <f>TEST_DATA!A9043</f>
        <v/>
      </c>
      <c r="B9043">
        <f>TEST_DATA!B9043</f>
        <v/>
      </c>
      <c r="C9043">
        <f>TEST_DATA!C9043</f>
        <v/>
      </c>
      <c r="D9043">
        <f>TEST_DATA!D9043</f>
        <v/>
      </c>
      <c r="E9043">
        <f>TEST_DATA!E9043</f>
        <v/>
      </c>
    </row>
    <row r="9044">
      <c r="A9044">
        <f>TEST_DATA!A9044</f>
        <v/>
      </c>
      <c r="B9044">
        <f>TEST_DATA!B9044</f>
        <v/>
      </c>
      <c r="C9044">
        <f>TEST_DATA!C9044</f>
        <v/>
      </c>
      <c r="D9044">
        <f>TEST_DATA!D9044</f>
        <v/>
      </c>
      <c r="E9044">
        <f>TEST_DATA!E9044</f>
        <v/>
      </c>
    </row>
    <row r="9045">
      <c r="A9045">
        <f>TEST_DATA!A9045</f>
        <v/>
      </c>
      <c r="B9045">
        <f>TEST_DATA!B9045</f>
        <v/>
      </c>
      <c r="C9045">
        <f>TEST_DATA!C9045</f>
        <v/>
      </c>
      <c r="D9045">
        <f>TEST_DATA!D9045</f>
        <v/>
      </c>
      <c r="E9045">
        <f>TEST_DATA!E9045</f>
        <v/>
      </c>
    </row>
    <row r="9046">
      <c r="A9046">
        <f>TEST_DATA!A9046</f>
        <v/>
      </c>
      <c r="B9046">
        <f>TEST_DATA!B9046</f>
        <v/>
      </c>
      <c r="C9046">
        <f>TEST_DATA!C9046</f>
        <v/>
      </c>
      <c r="D9046">
        <f>TEST_DATA!D9046</f>
        <v/>
      </c>
      <c r="E9046">
        <f>TEST_DATA!E9046</f>
        <v/>
      </c>
    </row>
    <row r="9047">
      <c r="A9047">
        <f>TEST_DATA!A9047</f>
        <v/>
      </c>
      <c r="B9047">
        <f>TEST_DATA!B9047</f>
        <v/>
      </c>
      <c r="C9047">
        <f>TEST_DATA!C9047</f>
        <v/>
      </c>
      <c r="D9047">
        <f>TEST_DATA!D9047</f>
        <v/>
      </c>
      <c r="E9047">
        <f>TEST_DATA!E9047</f>
        <v/>
      </c>
    </row>
    <row r="9048">
      <c r="A9048">
        <f>TEST_DATA!A9048</f>
        <v/>
      </c>
      <c r="B9048">
        <f>TEST_DATA!B9048</f>
        <v/>
      </c>
      <c r="C9048">
        <f>TEST_DATA!C9048</f>
        <v/>
      </c>
      <c r="D9048">
        <f>TEST_DATA!D9048</f>
        <v/>
      </c>
      <c r="E9048">
        <f>TEST_DATA!E9048</f>
        <v/>
      </c>
    </row>
    <row r="9049">
      <c r="A9049">
        <f>TEST_DATA!A9049</f>
        <v/>
      </c>
      <c r="B9049">
        <f>TEST_DATA!B9049</f>
        <v/>
      </c>
      <c r="C9049">
        <f>TEST_DATA!C9049</f>
        <v/>
      </c>
      <c r="D9049">
        <f>TEST_DATA!D9049</f>
        <v/>
      </c>
      <c r="E9049">
        <f>TEST_DATA!E9049</f>
        <v/>
      </c>
    </row>
    <row r="9050">
      <c r="A9050">
        <f>TEST_DATA!A9050</f>
        <v/>
      </c>
      <c r="B9050">
        <f>TEST_DATA!B9050</f>
        <v/>
      </c>
      <c r="C9050">
        <f>TEST_DATA!C9050</f>
        <v/>
      </c>
      <c r="D9050">
        <f>TEST_DATA!D9050</f>
        <v/>
      </c>
      <c r="E9050">
        <f>TEST_DATA!E9050</f>
        <v/>
      </c>
    </row>
    <row r="9051">
      <c r="A9051">
        <f>TEST_DATA!A9051</f>
        <v/>
      </c>
      <c r="B9051">
        <f>TEST_DATA!B9051</f>
        <v/>
      </c>
      <c r="C9051">
        <f>TEST_DATA!C9051</f>
        <v/>
      </c>
      <c r="D9051">
        <f>TEST_DATA!D9051</f>
        <v/>
      </c>
      <c r="E9051">
        <f>TEST_DATA!E9051</f>
        <v/>
      </c>
    </row>
    <row r="9052">
      <c r="A9052">
        <f>TEST_DATA!A9052</f>
        <v/>
      </c>
      <c r="B9052">
        <f>TEST_DATA!B9052</f>
        <v/>
      </c>
      <c r="C9052">
        <f>TEST_DATA!C9052</f>
        <v/>
      </c>
      <c r="D9052">
        <f>TEST_DATA!D9052</f>
        <v/>
      </c>
      <c r="E9052">
        <f>TEST_DATA!E9052</f>
        <v/>
      </c>
    </row>
    <row r="9053">
      <c r="A9053">
        <f>TEST_DATA!A9053</f>
        <v/>
      </c>
      <c r="B9053">
        <f>TEST_DATA!B9053</f>
        <v/>
      </c>
      <c r="C9053">
        <f>TEST_DATA!C9053</f>
        <v/>
      </c>
      <c r="D9053">
        <f>TEST_DATA!D9053</f>
        <v/>
      </c>
      <c r="E9053">
        <f>TEST_DATA!E9053</f>
        <v/>
      </c>
    </row>
    <row r="9054">
      <c r="A9054">
        <f>TEST_DATA!A9054</f>
        <v/>
      </c>
      <c r="B9054">
        <f>TEST_DATA!B9054</f>
        <v/>
      </c>
      <c r="C9054">
        <f>TEST_DATA!C9054</f>
        <v/>
      </c>
      <c r="D9054">
        <f>TEST_DATA!D9054</f>
        <v/>
      </c>
      <c r="E9054">
        <f>TEST_DATA!E9054</f>
        <v/>
      </c>
    </row>
    <row r="9055">
      <c r="A9055">
        <f>TEST_DATA!A9055</f>
        <v/>
      </c>
      <c r="B9055">
        <f>TEST_DATA!B9055</f>
        <v/>
      </c>
      <c r="C9055">
        <f>TEST_DATA!C9055</f>
        <v/>
      </c>
      <c r="D9055">
        <f>TEST_DATA!D9055</f>
        <v/>
      </c>
      <c r="E9055">
        <f>TEST_DATA!E9055</f>
        <v/>
      </c>
    </row>
    <row r="9056">
      <c r="A9056">
        <f>TEST_DATA!A9056</f>
        <v/>
      </c>
      <c r="B9056">
        <f>TEST_DATA!B9056</f>
        <v/>
      </c>
      <c r="C9056">
        <f>TEST_DATA!C9056</f>
        <v/>
      </c>
      <c r="D9056">
        <f>TEST_DATA!D9056</f>
        <v/>
      </c>
      <c r="E9056">
        <f>TEST_DATA!E9056</f>
        <v/>
      </c>
    </row>
    <row r="9057">
      <c r="A9057">
        <f>TEST_DATA!A9057</f>
        <v/>
      </c>
      <c r="B9057">
        <f>TEST_DATA!B9057</f>
        <v/>
      </c>
      <c r="C9057">
        <f>TEST_DATA!C9057</f>
        <v/>
      </c>
      <c r="D9057">
        <f>TEST_DATA!D9057</f>
        <v/>
      </c>
      <c r="E9057">
        <f>TEST_DATA!E9057</f>
        <v/>
      </c>
    </row>
    <row r="9058">
      <c r="A9058">
        <f>TEST_DATA!A9058</f>
        <v/>
      </c>
      <c r="B9058">
        <f>TEST_DATA!B9058</f>
        <v/>
      </c>
      <c r="C9058">
        <f>TEST_DATA!C9058</f>
        <v/>
      </c>
      <c r="D9058">
        <f>TEST_DATA!D9058</f>
        <v/>
      </c>
      <c r="E9058">
        <f>TEST_DATA!E9058</f>
        <v/>
      </c>
    </row>
    <row r="9059">
      <c r="A9059">
        <f>TEST_DATA!A9059</f>
        <v/>
      </c>
      <c r="B9059">
        <f>TEST_DATA!B9059</f>
        <v/>
      </c>
      <c r="C9059">
        <f>TEST_DATA!C9059</f>
        <v/>
      </c>
      <c r="D9059">
        <f>TEST_DATA!D9059</f>
        <v/>
      </c>
      <c r="E9059">
        <f>TEST_DATA!E9059</f>
        <v/>
      </c>
    </row>
    <row r="9060">
      <c r="A9060">
        <f>TEST_DATA!A9060</f>
        <v/>
      </c>
      <c r="B9060">
        <f>TEST_DATA!B9060</f>
        <v/>
      </c>
      <c r="C9060">
        <f>TEST_DATA!C9060</f>
        <v/>
      </c>
      <c r="D9060">
        <f>TEST_DATA!D9060</f>
        <v/>
      </c>
      <c r="E9060">
        <f>TEST_DATA!E9060</f>
        <v/>
      </c>
    </row>
    <row r="9061">
      <c r="A9061">
        <f>TEST_DATA!A9061</f>
        <v/>
      </c>
      <c r="B9061">
        <f>TEST_DATA!B9061</f>
        <v/>
      </c>
      <c r="C9061">
        <f>TEST_DATA!C9061</f>
        <v/>
      </c>
      <c r="D9061">
        <f>TEST_DATA!D9061</f>
        <v/>
      </c>
      <c r="E9061">
        <f>TEST_DATA!E9061</f>
        <v/>
      </c>
    </row>
    <row r="9062">
      <c r="A9062">
        <f>TEST_DATA!A9062</f>
        <v/>
      </c>
      <c r="B9062">
        <f>TEST_DATA!B9062</f>
        <v/>
      </c>
      <c r="C9062">
        <f>TEST_DATA!C9062</f>
        <v/>
      </c>
      <c r="D9062">
        <f>TEST_DATA!D9062</f>
        <v/>
      </c>
      <c r="E9062">
        <f>TEST_DATA!E9062</f>
        <v/>
      </c>
    </row>
    <row r="9063">
      <c r="A9063">
        <f>TEST_DATA!A9063</f>
        <v/>
      </c>
      <c r="B9063">
        <f>TEST_DATA!B9063</f>
        <v/>
      </c>
      <c r="C9063">
        <f>TEST_DATA!C9063</f>
        <v/>
      </c>
      <c r="D9063">
        <f>TEST_DATA!D9063</f>
        <v/>
      </c>
      <c r="E9063">
        <f>TEST_DATA!E9063</f>
        <v/>
      </c>
    </row>
    <row r="9064">
      <c r="A9064">
        <f>TEST_DATA!A9064</f>
        <v/>
      </c>
      <c r="B9064">
        <f>TEST_DATA!B9064</f>
        <v/>
      </c>
      <c r="C9064">
        <f>TEST_DATA!C9064</f>
        <v/>
      </c>
      <c r="D9064">
        <f>TEST_DATA!D9064</f>
        <v/>
      </c>
      <c r="E9064">
        <f>TEST_DATA!E9064</f>
        <v/>
      </c>
    </row>
    <row r="9065">
      <c r="A9065">
        <f>TEST_DATA!A9065</f>
        <v/>
      </c>
      <c r="B9065">
        <f>TEST_DATA!B9065</f>
        <v/>
      </c>
      <c r="C9065">
        <f>TEST_DATA!C9065</f>
        <v/>
      </c>
      <c r="D9065">
        <f>TEST_DATA!D9065</f>
        <v/>
      </c>
      <c r="E9065">
        <f>TEST_DATA!E9065</f>
        <v/>
      </c>
    </row>
    <row r="9066">
      <c r="A9066">
        <f>TEST_DATA!A9066</f>
        <v/>
      </c>
      <c r="B9066">
        <f>TEST_DATA!B9066</f>
        <v/>
      </c>
      <c r="C9066">
        <f>TEST_DATA!C9066</f>
        <v/>
      </c>
      <c r="D9066">
        <f>TEST_DATA!D9066</f>
        <v/>
      </c>
      <c r="E9066">
        <f>TEST_DATA!E9066</f>
        <v/>
      </c>
    </row>
    <row r="9067">
      <c r="A9067">
        <f>TEST_DATA!A9067</f>
        <v/>
      </c>
      <c r="B9067">
        <f>TEST_DATA!B9067</f>
        <v/>
      </c>
      <c r="C9067">
        <f>TEST_DATA!C9067</f>
        <v/>
      </c>
      <c r="D9067">
        <f>TEST_DATA!D9067</f>
        <v/>
      </c>
      <c r="E9067">
        <f>TEST_DATA!E9067</f>
        <v/>
      </c>
    </row>
    <row r="9068">
      <c r="A9068">
        <f>TEST_DATA!A9068</f>
        <v/>
      </c>
      <c r="B9068">
        <f>TEST_DATA!B9068</f>
        <v/>
      </c>
      <c r="C9068">
        <f>TEST_DATA!C9068</f>
        <v/>
      </c>
      <c r="D9068">
        <f>TEST_DATA!D9068</f>
        <v/>
      </c>
      <c r="E9068">
        <f>TEST_DATA!E9068</f>
        <v/>
      </c>
    </row>
    <row r="9069">
      <c r="A9069">
        <f>TEST_DATA!A9069</f>
        <v/>
      </c>
      <c r="B9069">
        <f>TEST_DATA!B9069</f>
        <v/>
      </c>
      <c r="C9069">
        <f>TEST_DATA!C9069</f>
        <v/>
      </c>
      <c r="D9069">
        <f>TEST_DATA!D9069</f>
        <v/>
      </c>
      <c r="E9069">
        <f>TEST_DATA!E9069</f>
        <v/>
      </c>
    </row>
    <row r="9070">
      <c r="A9070">
        <f>TEST_DATA!A9070</f>
        <v/>
      </c>
      <c r="B9070">
        <f>TEST_DATA!B9070</f>
        <v/>
      </c>
      <c r="C9070">
        <f>TEST_DATA!C9070</f>
        <v/>
      </c>
      <c r="D9070">
        <f>TEST_DATA!D9070</f>
        <v/>
      </c>
      <c r="E9070">
        <f>TEST_DATA!E9070</f>
        <v/>
      </c>
    </row>
    <row r="9071">
      <c r="A9071">
        <f>TEST_DATA!A9071</f>
        <v/>
      </c>
      <c r="B9071">
        <f>TEST_DATA!B9071</f>
        <v/>
      </c>
      <c r="C9071">
        <f>TEST_DATA!C9071</f>
        <v/>
      </c>
      <c r="D9071">
        <f>TEST_DATA!D9071</f>
        <v/>
      </c>
      <c r="E9071">
        <f>TEST_DATA!E9071</f>
        <v/>
      </c>
    </row>
    <row r="9072">
      <c r="A9072">
        <f>TEST_DATA!A9072</f>
        <v/>
      </c>
      <c r="B9072">
        <f>TEST_DATA!B9072</f>
        <v/>
      </c>
      <c r="C9072">
        <f>TEST_DATA!C9072</f>
        <v/>
      </c>
      <c r="D9072">
        <f>TEST_DATA!D9072</f>
        <v/>
      </c>
      <c r="E9072">
        <f>TEST_DATA!E9072</f>
        <v/>
      </c>
    </row>
    <row r="9073">
      <c r="A9073">
        <f>TEST_DATA!A9073</f>
        <v/>
      </c>
      <c r="B9073">
        <f>TEST_DATA!B9073</f>
        <v/>
      </c>
      <c r="C9073">
        <f>TEST_DATA!C9073</f>
        <v/>
      </c>
      <c r="D9073">
        <f>TEST_DATA!D9073</f>
        <v/>
      </c>
      <c r="E9073">
        <f>TEST_DATA!E9073</f>
        <v/>
      </c>
    </row>
    <row r="9074">
      <c r="A9074">
        <f>TEST_DATA!A9074</f>
        <v/>
      </c>
      <c r="B9074">
        <f>TEST_DATA!B9074</f>
        <v/>
      </c>
      <c r="C9074">
        <f>TEST_DATA!C9074</f>
        <v/>
      </c>
      <c r="D9074">
        <f>TEST_DATA!D9074</f>
        <v/>
      </c>
      <c r="E9074">
        <f>TEST_DATA!E9074</f>
        <v/>
      </c>
    </row>
    <row r="9075">
      <c r="A9075">
        <f>TEST_DATA!A9075</f>
        <v/>
      </c>
      <c r="B9075">
        <f>TEST_DATA!B9075</f>
        <v/>
      </c>
      <c r="C9075">
        <f>TEST_DATA!C9075</f>
        <v/>
      </c>
      <c r="D9075">
        <f>TEST_DATA!D9075</f>
        <v/>
      </c>
      <c r="E9075">
        <f>TEST_DATA!E9075</f>
        <v/>
      </c>
    </row>
    <row r="9076">
      <c r="A9076">
        <f>TEST_DATA!A9076</f>
        <v/>
      </c>
      <c r="B9076">
        <f>TEST_DATA!B9076</f>
        <v/>
      </c>
      <c r="C9076">
        <f>TEST_DATA!C9076</f>
        <v/>
      </c>
      <c r="D9076">
        <f>TEST_DATA!D9076</f>
        <v/>
      </c>
      <c r="E9076">
        <f>TEST_DATA!E9076</f>
        <v/>
      </c>
    </row>
    <row r="9077">
      <c r="A9077">
        <f>TEST_DATA!A9077</f>
        <v/>
      </c>
      <c r="B9077">
        <f>TEST_DATA!B9077</f>
        <v/>
      </c>
      <c r="C9077">
        <f>TEST_DATA!C9077</f>
        <v/>
      </c>
      <c r="D9077">
        <f>TEST_DATA!D9077</f>
        <v/>
      </c>
      <c r="E9077">
        <f>TEST_DATA!E9077</f>
        <v/>
      </c>
    </row>
    <row r="9078">
      <c r="A9078">
        <f>TEST_DATA!A9078</f>
        <v/>
      </c>
      <c r="B9078">
        <f>TEST_DATA!B9078</f>
        <v/>
      </c>
      <c r="C9078">
        <f>TEST_DATA!C9078</f>
        <v/>
      </c>
      <c r="D9078">
        <f>TEST_DATA!D9078</f>
        <v/>
      </c>
      <c r="E9078">
        <f>TEST_DATA!E9078</f>
        <v/>
      </c>
    </row>
    <row r="9079">
      <c r="A9079">
        <f>TEST_DATA!A9079</f>
        <v/>
      </c>
      <c r="B9079">
        <f>TEST_DATA!B9079</f>
        <v/>
      </c>
      <c r="C9079">
        <f>TEST_DATA!C9079</f>
        <v/>
      </c>
      <c r="D9079">
        <f>TEST_DATA!D9079</f>
        <v/>
      </c>
      <c r="E9079">
        <f>TEST_DATA!E9079</f>
        <v/>
      </c>
    </row>
    <row r="9080">
      <c r="A9080">
        <f>TEST_DATA!A9080</f>
        <v/>
      </c>
      <c r="B9080">
        <f>TEST_DATA!B9080</f>
        <v/>
      </c>
      <c r="C9080">
        <f>TEST_DATA!C9080</f>
        <v/>
      </c>
      <c r="D9080">
        <f>TEST_DATA!D9080</f>
        <v/>
      </c>
      <c r="E9080">
        <f>TEST_DATA!E9080</f>
        <v/>
      </c>
    </row>
    <row r="9081">
      <c r="A9081">
        <f>TEST_DATA!A9081</f>
        <v/>
      </c>
      <c r="B9081">
        <f>TEST_DATA!B9081</f>
        <v/>
      </c>
      <c r="C9081">
        <f>TEST_DATA!C9081</f>
        <v/>
      </c>
      <c r="D9081">
        <f>TEST_DATA!D9081</f>
        <v/>
      </c>
      <c r="E9081">
        <f>TEST_DATA!E9081</f>
        <v/>
      </c>
    </row>
    <row r="9082">
      <c r="A9082">
        <f>TEST_DATA!A9082</f>
        <v/>
      </c>
      <c r="B9082">
        <f>TEST_DATA!B9082</f>
        <v/>
      </c>
      <c r="C9082">
        <f>TEST_DATA!C9082</f>
        <v/>
      </c>
      <c r="D9082">
        <f>TEST_DATA!D9082</f>
        <v/>
      </c>
      <c r="E9082">
        <f>TEST_DATA!E9082</f>
        <v/>
      </c>
    </row>
    <row r="9083">
      <c r="A9083">
        <f>TEST_DATA!A9083</f>
        <v/>
      </c>
      <c r="B9083">
        <f>TEST_DATA!B9083</f>
        <v/>
      </c>
      <c r="C9083">
        <f>TEST_DATA!C9083</f>
        <v/>
      </c>
      <c r="D9083">
        <f>TEST_DATA!D9083</f>
        <v/>
      </c>
      <c r="E9083">
        <f>TEST_DATA!E9083</f>
        <v/>
      </c>
    </row>
    <row r="9084">
      <c r="A9084">
        <f>TEST_DATA!A9084</f>
        <v/>
      </c>
      <c r="B9084">
        <f>TEST_DATA!B9084</f>
        <v/>
      </c>
      <c r="C9084">
        <f>TEST_DATA!C9084</f>
        <v/>
      </c>
      <c r="D9084">
        <f>TEST_DATA!D9084</f>
        <v/>
      </c>
      <c r="E9084">
        <f>TEST_DATA!E9084</f>
        <v/>
      </c>
    </row>
    <row r="9085">
      <c r="A9085">
        <f>TEST_DATA!A9085</f>
        <v/>
      </c>
      <c r="B9085">
        <f>TEST_DATA!B9085</f>
        <v/>
      </c>
      <c r="C9085">
        <f>TEST_DATA!C9085</f>
        <v/>
      </c>
      <c r="D9085">
        <f>TEST_DATA!D9085</f>
        <v/>
      </c>
      <c r="E9085">
        <f>TEST_DATA!E9085</f>
        <v/>
      </c>
    </row>
    <row r="9086">
      <c r="A9086">
        <f>TEST_DATA!A9086</f>
        <v/>
      </c>
      <c r="B9086">
        <f>TEST_DATA!B9086</f>
        <v/>
      </c>
      <c r="C9086">
        <f>TEST_DATA!C9086</f>
        <v/>
      </c>
      <c r="D9086">
        <f>TEST_DATA!D9086</f>
        <v/>
      </c>
      <c r="E9086">
        <f>TEST_DATA!E9086</f>
        <v/>
      </c>
    </row>
    <row r="9087">
      <c r="A9087">
        <f>TEST_DATA!A9087</f>
        <v/>
      </c>
      <c r="B9087">
        <f>TEST_DATA!B9087</f>
        <v/>
      </c>
      <c r="C9087">
        <f>TEST_DATA!C9087</f>
        <v/>
      </c>
      <c r="D9087">
        <f>TEST_DATA!D9087</f>
        <v/>
      </c>
      <c r="E9087">
        <f>TEST_DATA!E9087</f>
        <v/>
      </c>
    </row>
    <row r="9088">
      <c r="A9088">
        <f>TEST_DATA!A9088</f>
        <v/>
      </c>
      <c r="B9088">
        <f>TEST_DATA!B9088</f>
        <v/>
      </c>
      <c r="C9088">
        <f>TEST_DATA!C9088</f>
        <v/>
      </c>
      <c r="D9088">
        <f>TEST_DATA!D9088</f>
        <v/>
      </c>
      <c r="E9088">
        <f>TEST_DATA!E9088</f>
        <v/>
      </c>
    </row>
    <row r="9089">
      <c r="A9089">
        <f>TEST_DATA!A9089</f>
        <v/>
      </c>
      <c r="B9089">
        <f>TEST_DATA!B9089</f>
        <v/>
      </c>
      <c r="C9089">
        <f>TEST_DATA!C9089</f>
        <v/>
      </c>
      <c r="D9089">
        <f>TEST_DATA!D9089</f>
        <v/>
      </c>
      <c r="E9089">
        <f>TEST_DATA!E9089</f>
        <v/>
      </c>
    </row>
    <row r="9090">
      <c r="A9090">
        <f>TEST_DATA!A9090</f>
        <v/>
      </c>
      <c r="B9090">
        <f>TEST_DATA!B9090</f>
        <v/>
      </c>
      <c r="C9090">
        <f>TEST_DATA!C9090</f>
        <v/>
      </c>
      <c r="D9090">
        <f>TEST_DATA!D9090</f>
        <v/>
      </c>
      <c r="E9090">
        <f>TEST_DATA!E9090</f>
        <v/>
      </c>
    </row>
    <row r="9091">
      <c r="A9091">
        <f>TEST_DATA!A9091</f>
        <v/>
      </c>
      <c r="B9091">
        <f>TEST_DATA!B9091</f>
        <v/>
      </c>
      <c r="C9091">
        <f>TEST_DATA!C9091</f>
        <v/>
      </c>
      <c r="D9091">
        <f>TEST_DATA!D9091</f>
        <v/>
      </c>
      <c r="E9091">
        <f>TEST_DATA!E9091</f>
        <v/>
      </c>
    </row>
    <row r="9092">
      <c r="A9092">
        <f>TEST_DATA!A9092</f>
        <v/>
      </c>
      <c r="B9092">
        <f>TEST_DATA!B9092</f>
        <v/>
      </c>
      <c r="C9092">
        <f>TEST_DATA!C9092</f>
        <v/>
      </c>
      <c r="D9092">
        <f>TEST_DATA!D9092</f>
        <v/>
      </c>
      <c r="E9092">
        <f>TEST_DATA!E9092</f>
        <v/>
      </c>
    </row>
    <row r="9093">
      <c r="A9093">
        <f>TEST_DATA!A9093</f>
        <v/>
      </c>
      <c r="B9093">
        <f>TEST_DATA!B9093</f>
        <v/>
      </c>
      <c r="C9093">
        <f>TEST_DATA!C9093</f>
        <v/>
      </c>
      <c r="D9093">
        <f>TEST_DATA!D9093</f>
        <v/>
      </c>
      <c r="E9093">
        <f>TEST_DATA!E9093</f>
        <v/>
      </c>
    </row>
    <row r="9094">
      <c r="A9094">
        <f>TEST_DATA!A9094</f>
        <v/>
      </c>
      <c r="B9094">
        <f>TEST_DATA!B9094</f>
        <v/>
      </c>
      <c r="C9094">
        <f>TEST_DATA!C9094</f>
        <v/>
      </c>
      <c r="D9094">
        <f>TEST_DATA!D9094</f>
        <v/>
      </c>
      <c r="E9094">
        <f>TEST_DATA!E9094</f>
        <v/>
      </c>
    </row>
    <row r="9095">
      <c r="A9095">
        <f>TEST_DATA!A9095</f>
        <v/>
      </c>
      <c r="B9095">
        <f>TEST_DATA!B9095</f>
        <v/>
      </c>
      <c r="C9095">
        <f>TEST_DATA!C9095</f>
        <v/>
      </c>
      <c r="D9095">
        <f>TEST_DATA!D9095</f>
        <v/>
      </c>
      <c r="E9095">
        <f>TEST_DATA!E9095</f>
        <v/>
      </c>
    </row>
    <row r="9096">
      <c r="A9096">
        <f>TEST_DATA!A9096</f>
        <v/>
      </c>
      <c r="B9096">
        <f>TEST_DATA!B9096</f>
        <v/>
      </c>
      <c r="C9096">
        <f>TEST_DATA!C9096</f>
        <v/>
      </c>
      <c r="D9096">
        <f>TEST_DATA!D9096</f>
        <v/>
      </c>
      <c r="E9096">
        <f>TEST_DATA!E9096</f>
        <v/>
      </c>
    </row>
    <row r="9097">
      <c r="A9097">
        <f>TEST_DATA!A9097</f>
        <v/>
      </c>
      <c r="B9097">
        <f>TEST_DATA!B9097</f>
        <v/>
      </c>
      <c r="C9097">
        <f>TEST_DATA!C9097</f>
        <v/>
      </c>
      <c r="D9097">
        <f>TEST_DATA!D9097</f>
        <v/>
      </c>
      <c r="E9097">
        <f>TEST_DATA!E9097</f>
        <v/>
      </c>
    </row>
    <row r="9098">
      <c r="A9098">
        <f>TEST_DATA!A9098</f>
        <v/>
      </c>
      <c r="B9098">
        <f>TEST_DATA!B9098</f>
        <v/>
      </c>
      <c r="C9098">
        <f>TEST_DATA!C9098</f>
        <v/>
      </c>
      <c r="D9098">
        <f>TEST_DATA!D9098</f>
        <v/>
      </c>
      <c r="E9098">
        <f>TEST_DATA!E9098</f>
        <v/>
      </c>
    </row>
    <row r="9099">
      <c r="A9099">
        <f>TEST_DATA!A9099</f>
        <v/>
      </c>
      <c r="B9099">
        <f>TEST_DATA!B9099</f>
        <v/>
      </c>
      <c r="C9099">
        <f>TEST_DATA!C9099</f>
        <v/>
      </c>
      <c r="D9099">
        <f>TEST_DATA!D9099</f>
        <v/>
      </c>
      <c r="E9099">
        <f>TEST_DATA!E9099</f>
        <v/>
      </c>
    </row>
    <row r="9100">
      <c r="A9100">
        <f>TEST_DATA!A9100</f>
        <v/>
      </c>
      <c r="B9100">
        <f>TEST_DATA!B9100</f>
        <v/>
      </c>
      <c r="C9100">
        <f>TEST_DATA!C9100</f>
        <v/>
      </c>
      <c r="D9100">
        <f>TEST_DATA!D9100</f>
        <v/>
      </c>
      <c r="E9100">
        <f>TEST_DATA!E9100</f>
        <v/>
      </c>
    </row>
    <row r="9101">
      <c r="A9101">
        <f>TEST_DATA!A9101</f>
        <v/>
      </c>
      <c r="B9101">
        <f>TEST_DATA!B9101</f>
        <v/>
      </c>
      <c r="C9101">
        <f>TEST_DATA!C9101</f>
        <v/>
      </c>
      <c r="D9101">
        <f>TEST_DATA!D9101</f>
        <v/>
      </c>
      <c r="E9101">
        <f>TEST_DATA!E9101</f>
        <v/>
      </c>
    </row>
    <row r="9102">
      <c r="A9102">
        <f>TEST_DATA!A9102</f>
        <v/>
      </c>
      <c r="B9102">
        <f>TEST_DATA!B9102</f>
        <v/>
      </c>
      <c r="C9102">
        <f>TEST_DATA!C9102</f>
        <v/>
      </c>
      <c r="D9102">
        <f>TEST_DATA!D9102</f>
        <v/>
      </c>
      <c r="E9102">
        <f>TEST_DATA!E9102</f>
        <v/>
      </c>
    </row>
    <row r="9103">
      <c r="A9103">
        <f>TEST_DATA!A9103</f>
        <v/>
      </c>
      <c r="B9103">
        <f>TEST_DATA!B9103</f>
        <v/>
      </c>
      <c r="C9103">
        <f>TEST_DATA!C9103</f>
        <v/>
      </c>
      <c r="D9103">
        <f>TEST_DATA!D9103</f>
        <v/>
      </c>
      <c r="E9103">
        <f>TEST_DATA!E9103</f>
        <v/>
      </c>
    </row>
    <row r="9104">
      <c r="A9104">
        <f>TEST_DATA!A9104</f>
        <v/>
      </c>
      <c r="B9104">
        <f>TEST_DATA!B9104</f>
        <v/>
      </c>
      <c r="C9104">
        <f>TEST_DATA!C9104</f>
        <v/>
      </c>
      <c r="D9104">
        <f>TEST_DATA!D9104</f>
        <v/>
      </c>
      <c r="E9104">
        <f>TEST_DATA!E9104</f>
        <v/>
      </c>
    </row>
    <row r="9105">
      <c r="A9105">
        <f>TEST_DATA!A9105</f>
        <v/>
      </c>
      <c r="B9105">
        <f>TEST_DATA!B9105</f>
        <v/>
      </c>
      <c r="C9105">
        <f>TEST_DATA!C9105</f>
        <v/>
      </c>
      <c r="D9105">
        <f>TEST_DATA!D9105</f>
        <v/>
      </c>
      <c r="E9105">
        <f>TEST_DATA!E9105</f>
        <v/>
      </c>
    </row>
    <row r="9106">
      <c r="A9106">
        <f>TEST_DATA!A9106</f>
        <v/>
      </c>
      <c r="B9106">
        <f>TEST_DATA!B9106</f>
        <v/>
      </c>
      <c r="C9106">
        <f>TEST_DATA!C9106</f>
        <v/>
      </c>
      <c r="D9106">
        <f>TEST_DATA!D9106</f>
        <v/>
      </c>
      <c r="E9106">
        <f>TEST_DATA!E9106</f>
        <v/>
      </c>
    </row>
    <row r="9107">
      <c r="A9107">
        <f>TEST_DATA!A9107</f>
        <v/>
      </c>
      <c r="B9107">
        <f>TEST_DATA!B9107</f>
        <v/>
      </c>
      <c r="C9107">
        <f>TEST_DATA!C9107</f>
        <v/>
      </c>
      <c r="D9107">
        <f>TEST_DATA!D9107</f>
        <v/>
      </c>
      <c r="E9107">
        <f>TEST_DATA!E9107</f>
        <v/>
      </c>
    </row>
    <row r="9108">
      <c r="A9108">
        <f>TEST_DATA!A9108</f>
        <v/>
      </c>
      <c r="B9108">
        <f>TEST_DATA!B9108</f>
        <v/>
      </c>
      <c r="C9108">
        <f>TEST_DATA!C9108</f>
        <v/>
      </c>
      <c r="D9108">
        <f>TEST_DATA!D9108</f>
        <v/>
      </c>
      <c r="E9108">
        <f>TEST_DATA!E9108</f>
        <v/>
      </c>
    </row>
    <row r="9109">
      <c r="A9109">
        <f>TEST_DATA!A9109</f>
        <v/>
      </c>
      <c r="B9109">
        <f>TEST_DATA!B9109</f>
        <v/>
      </c>
      <c r="C9109">
        <f>TEST_DATA!C9109</f>
        <v/>
      </c>
      <c r="D9109">
        <f>TEST_DATA!D9109</f>
        <v/>
      </c>
      <c r="E9109">
        <f>TEST_DATA!E9109</f>
        <v/>
      </c>
    </row>
    <row r="9110">
      <c r="A9110">
        <f>TEST_DATA!A9110</f>
        <v/>
      </c>
      <c r="B9110">
        <f>TEST_DATA!B9110</f>
        <v/>
      </c>
      <c r="C9110">
        <f>TEST_DATA!C9110</f>
        <v/>
      </c>
      <c r="D9110">
        <f>TEST_DATA!D9110</f>
        <v/>
      </c>
      <c r="E9110">
        <f>TEST_DATA!E9110</f>
        <v/>
      </c>
    </row>
    <row r="9111">
      <c r="A9111">
        <f>TEST_DATA!A9111</f>
        <v/>
      </c>
      <c r="B9111">
        <f>TEST_DATA!B9111</f>
        <v/>
      </c>
      <c r="C9111">
        <f>TEST_DATA!C9111</f>
        <v/>
      </c>
      <c r="D9111">
        <f>TEST_DATA!D9111</f>
        <v/>
      </c>
      <c r="E9111">
        <f>TEST_DATA!E9111</f>
        <v/>
      </c>
    </row>
    <row r="9112">
      <c r="A9112">
        <f>TEST_DATA!A9112</f>
        <v/>
      </c>
      <c r="B9112">
        <f>TEST_DATA!B9112</f>
        <v/>
      </c>
      <c r="C9112">
        <f>TEST_DATA!C9112</f>
        <v/>
      </c>
      <c r="D9112">
        <f>TEST_DATA!D9112</f>
        <v/>
      </c>
      <c r="E9112">
        <f>TEST_DATA!E9112</f>
        <v/>
      </c>
    </row>
    <row r="9113">
      <c r="A9113">
        <f>TEST_DATA!A9113</f>
        <v/>
      </c>
      <c r="B9113">
        <f>TEST_DATA!B9113</f>
        <v/>
      </c>
      <c r="C9113">
        <f>TEST_DATA!C9113</f>
        <v/>
      </c>
      <c r="D9113">
        <f>TEST_DATA!D9113</f>
        <v/>
      </c>
      <c r="E9113">
        <f>TEST_DATA!E9113</f>
        <v/>
      </c>
    </row>
    <row r="9114">
      <c r="A9114">
        <f>TEST_DATA!A9114</f>
        <v/>
      </c>
      <c r="B9114">
        <f>TEST_DATA!B9114</f>
        <v/>
      </c>
      <c r="C9114">
        <f>TEST_DATA!C9114</f>
        <v/>
      </c>
      <c r="D9114">
        <f>TEST_DATA!D9114</f>
        <v/>
      </c>
      <c r="E9114">
        <f>TEST_DATA!E9114</f>
        <v/>
      </c>
    </row>
    <row r="9115">
      <c r="A9115">
        <f>TEST_DATA!A9115</f>
        <v/>
      </c>
      <c r="B9115">
        <f>TEST_DATA!B9115</f>
        <v/>
      </c>
      <c r="C9115">
        <f>TEST_DATA!C9115</f>
        <v/>
      </c>
      <c r="D9115">
        <f>TEST_DATA!D9115</f>
        <v/>
      </c>
      <c r="E9115">
        <f>TEST_DATA!E9115</f>
        <v/>
      </c>
    </row>
    <row r="9116">
      <c r="A9116">
        <f>TEST_DATA!A9116</f>
        <v/>
      </c>
      <c r="B9116">
        <f>TEST_DATA!B9116</f>
        <v/>
      </c>
      <c r="C9116">
        <f>TEST_DATA!C9116</f>
        <v/>
      </c>
      <c r="D9116">
        <f>TEST_DATA!D9116</f>
        <v/>
      </c>
      <c r="E9116">
        <f>TEST_DATA!E9116</f>
        <v/>
      </c>
    </row>
    <row r="9117">
      <c r="A9117">
        <f>TEST_DATA!A9117</f>
        <v/>
      </c>
      <c r="B9117">
        <f>TEST_DATA!B9117</f>
        <v/>
      </c>
      <c r="C9117">
        <f>TEST_DATA!C9117</f>
        <v/>
      </c>
      <c r="D9117">
        <f>TEST_DATA!D9117</f>
        <v/>
      </c>
      <c r="E9117">
        <f>TEST_DATA!E9117</f>
        <v/>
      </c>
    </row>
    <row r="9118">
      <c r="A9118">
        <f>TEST_DATA!A9118</f>
        <v/>
      </c>
      <c r="B9118">
        <f>TEST_DATA!B9118</f>
        <v/>
      </c>
      <c r="C9118">
        <f>TEST_DATA!C9118</f>
        <v/>
      </c>
      <c r="D9118">
        <f>TEST_DATA!D9118</f>
        <v/>
      </c>
      <c r="E9118">
        <f>TEST_DATA!E9118</f>
        <v/>
      </c>
    </row>
    <row r="9119">
      <c r="A9119">
        <f>TEST_DATA!A9119</f>
        <v/>
      </c>
      <c r="B9119">
        <f>TEST_DATA!B9119</f>
        <v/>
      </c>
      <c r="C9119">
        <f>TEST_DATA!C9119</f>
        <v/>
      </c>
      <c r="D9119">
        <f>TEST_DATA!D9119</f>
        <v/>
      </c>
      <c r="E9119">
        <f>TEST_DATA!E9119</f>
        <v/>
      </c>
    </row>
    <row r="9120">
      <c r="A9120">
        <f>TEST_DATA!A9120</f>
        <v/>
      </c>
      <c r="B9120">
        <f>TEST_DATA!B9120</f>
        <v/>
      </c>
      <c r="C9120">
        <f>TEST_DATA!C9120</f>
        <v/>
      </c>
      <c r="D9120">
        <f>TEST_DATA!D9120</f>
        <v/>
      </c>
      <c r="E9120">
        <f>TEST_DATA!E9120</f>
        <v/>
      </c>
    </row>
    <row r="9121">
      <c r="A9121">
        <f>TEST_DATA!A9121</f>
        <v/>
      </c>
      <c r="B9121">
        <f>TEST_DATA!B9121</f>
        <v/>
      </c>
      <c r="C9121">
        <f>TEST_DATA!C9121</f>
        <v/>
      </c>
      <c r="D9121">
        <f>TEST_DATA!D9121</f>
        <v/>
      </c>
      <c r="E9121">
        <f>TEST_DATA!E9121</f>
        <v/>
      </c>
    </row>
    <row r="9122">
      <c r="A9122">
        <f>TEST_DATA!A9122</f>
        <v/>
      </c>
      <c r="B9122">
        <f>TEST_DATA!B9122</f>
        <v/>
      </c>
      <c r="C9122">
        <f>TEST_DATA!C9122</f>
        <v/>
      </c>
      <c r="D9122">
        <f>TEST_DATA!D9122</f>
        <v/>
      </c>
      <c r="E9122">
        <f>TEST_DATA!E9122</f>
        <v/>
      </c>
    </row>
    <row r="9123">
      <c r="A9123">
        <f>TEST_DATA!A9123</f>
        <v/>
      </c>
      <c r="B9123">
        <f>TEST_DATA!B9123</f>
        <v/>
      </c>
      <c r="C9123">
        <f>TEST_DATA!C9123</f>
        <v/>
      </c>
      <c r="D9123">
        <f>TEST_DATA!D9123</f>
        <v/>
      </c>
      <c r="E9123">
        <f>TEST_DATA!E9123</f>
        <v/>
      </c>
    </row>
    <row r="9124">
      <c r="A9124">
        <f>TEST_DATA!A9124</f>
        <v/>
      </c>
      <c r="B9124">
        <f>TEST_DATA!B9124</f>
        <v/>
      </c>
      <c r="C9124">
        <f>TEST_DATA!C9124</f>
        <v/>
      </c>
      <c r="D9124">
        <f>TEST_DATA!D9124</f>
        <v/>
      </c>
      <c r="E9124">
        <f>TEST_DATA!E9124</f>
        <v/>
      </c>
    </row>
    <row r="9125">
      <c r="A9125">
        <f>TEST_DATA!A9125</f>
        <v/>
      </c>
      <c r="B9125">
        <f>TEST_DATA!B9125</f>
        <v/>
      </c>
      <c r="C9125">
        <f>TEST_DATA!C9125</f>
        <v/>
      </c>
      <c r="D9125">
        <f>TEST_DATA!D9125</f>
        <v/>
      </c>
      <c r="E9125">
        <f>TEST_DATA!E9125</f>
        <v/>
      </c>
    </row>
    <row r="9126">
      <c r="A9126">
        <f>TEST_DATA!A9126</f>
        <v/>
      </c>
      <c r="B9126">
        <f>TEST_DATA!B9126</f>
        <v/>
      </c>
      <c r="C9126">
        <f>TEST_DATA!C9126</f>
        <v/>
      </c>
      <c r="D9126">
        <f>TEST_DATA!D9126</f>
        <v/>
      </c>
      <c r="E9126">
        <f>TEST_DATA!E9126</f>
        <v/>
      </c>
    </row>
    <row r="9127">
      <c r="A9127">
        <f>TEST_DATA!A9127</f>
        <v/>
      </c>
      <c r="B9127">
        <f>TEST_DATA!B9127</f>
        <v/>
      </c>
      <c r="C9127">
        <f>TEST_DATA!C9127</f>
        <v/>
      </c>
      <c r="D9127">
        <f>TEST_DATA!D9127</f>
        <v/>
      </c>
      <c r="E9127">
        <f>TEST_DATA!E9127</f>
        <v/>
      </c>
    </row>
    <row r="9128">
      <c r="A9128">
        <f>TEST_DATA!A9128</f>
        <v/>
      </c>
      <c r="B9128">
        <f>TEST_DATA!B9128</f>
        <v/>
      </c>
      <c r="C9128">
        <f>TEST_DATA!C9128</f>
        <v/>
      </c>
      <c r="D9128">
        <f>TEST_DATA!D9128</f>
        <v/>
      </c>
      <c r="E9128">
        <f>TEST_DATA!E9128</f>
        <v/>
      </c>
    </row>
    <row r="9129">
      <c r="A9129">
        <f>TEST_DATA!A9129</f>
        <v/>
      </c>
      <c r="B9129">
        <f>TEST_DATA!B9129</f>
        <v/>
      </c>
      <c r="C9129">
        <f>TEST_DATA!C9129</f>
        <v/>
      </c>
      <c r="D9129">
        <f>TEST_DATA!D9129</f>
        <v/>
      </c>
      <c r="E9129">
        <f>TEST_DATA!E9129</f>
        <v/>
      </c>
    </row>
    <row r="9130">
      <c r="A9130">
        <f>TEST_DATA!A9130</f>
        <v/>
      </c>
      <c r="B9130">
        <f>TEST_DATA!B9130</f>
        <v/>
      </c>
      <c r="C9130">
        <f>TEST_DATA!C9130</f>
        <v/>
      </c>
      <c r="D9130">
        <f>TEST_DATA!D9130</f>
        <v/>
      </c>
      <c r="E9130">
        <f>TEST_DATA!E9130</f>
        <v/>
      </c>
    </row>
    <row r="9131">
      <c r="A9131">
        <f>TEST_DATA!A9131</f>
        <v/>
      </c>
      <c r="B9131">
        <f>TEST_DATA!B9131</f>
        <v/>
      </c>
      <c r="C9131">
        <f>TEST_DATA!C9131</f>
        <v/>
      </c>
      <c r="D9131">
        <f>TEST_DATA!D9131</f>
        <v/>
      </c>
      <c r="E9131">
        <f>TEST_DATA!E9131</f>
        <v/>
      </c>
    </row>
    <row r="9132">
      <c r="A9132">
        <f>TEST_DATA!A9132</f>
        <v/>
      </c>
      <c r="B9132">
        <f>TEST_DATA!B9132</f>
        <v/>
      </c>
      <c r="C9132">
        <f>TEST_DATA!C9132</f>
        <v/>
      </c>
      <c r="D9132">
        <f>TEST_DATA!D9132</f>
        <v/>
      </c>
      <c r="E9132">
        <f>TEST_DATA!E9132</f>
        <v/>
      </c>
    </row>
    <row r="9133">
      <c r="A9133">
        <f>TEST_DATA!A9133</f>
        <v/>
      </c>
      <c r="B9133">
        <f>TEST_DATA!B9133</f>
        <v/>
      </c>
      <c r="C9133">
        <f>TEST_DATA!C9133</f>
        <v/>
      </c>
      <c r="D9133">
        <f>TEST_DATA!D9133</f>
        <v/>
      </c>
      <c r="E9133">
        <f>TEST_DATA!E9133</f>
        <v/>
      </c>
    </row>
    <row r="9134">
      <c r="A9134">
        <f>TEST_DATA!A9134</f>
        <v/>
      </c>
      <c r="B9134">
        <f>TEST_DATA!B9134</f>
        <v/>
      </c>
      <c r="C9134">
        <f>TEST_DATA!C9134</f>
        <v/>
      </c>
      <c r="D9134">
        <f>TEST_DATA!D9134</f>
        <v/>
      </c>
      <c r="E9134">
        <f>TEST_DATA!E9134</f>
        <v/>
      </c>
    </row>
    <row r="9135">
      <c r="A9135">
        <f>TEST_DATA!A9135</f>
        <v/>
      </c>
      <c r="B9135">
        <f>TEST_DATA!B9135</f>
        <v/>
      </c>
      <c r="C9135">
        <f>TEST_DATA!C9135</f>
        <v/>
      </c>
      <c r="D9135">
        <f>TEST_DATA!D9135</f>
        <v/>
      </c>
      <c r="E9135">
        <f>TEST_DATA!E9135</f>
        <v/>
      </c>
    </row>
    <row r="9136">
      <c r="A9136">
        <f>TEST_DATA!A9136</f>
        <v/>
      </c>
      <c r="B9136">
        <f>TEST_DATA!B9136</f>
        <v/>
      </c>
      <c r="C9136">
        <f>TEST_DATA!C9136</f>
        <v/>
      </c>
      <c r="D9136">
        <f>TEST_DATA!D9136</f>
        <v/>
      </c>
      <c r="E9136">
        <f>TEST_DATA!E9136</f>
        <v/>
      </c>
    </row>
    <row r="9137">
      <c r="A9137">
        <f>TEST_DATA!A9137</f>
        <v/>
      </c>
      <c r="B9137">
        <f>TEST_DATA!B9137</f>
        <v/>
      </c>
      <c r="C9137">
        <f>TEST_DATA!C9137</f>
        <v/>
      </c>
      <c r="D9137">
        <f>TEST_DATA!D9137</f>
        <v/>
      </c>
      <c r="E9137">
        <f>TEST_DATA!E9137</f>
        <v/>
      </c>
    </row>
    <row r="9138">
      <c r="A9138">
        <f>TEST_DATA!A9138</f>
        <v/>
      </c>
      <c r="B9138">
        <f>TEST_DATA!B9138</f>
        <v/>
      </c>
      <c r="C9138">
        <f>TEST_DATA!C9138</f>
        <v/>
      </c>
      <c r="D9138">
        <f>TEST_DATA!D9138</f>
        <v/>
      </c>
      <c r="E9138">
        <f>TEST_DATA!E9138</f>
        <v/>
      </c>
    </row>
    <row r="9139">
      <c r="A9139">
        <f>TEST_DATA!A9139</f>
        <v/>
      </c>
      <c r="B9139">
        <f>TEST_DATA!B9139</f>
        <v/>
      </c>
      <c r="C9139">
        <f>TEST_DATA!C9139</f>
        <v/>
      </c>
      <c r="D9139">
        <f>TEST_DATA!D9139</f>
        <v/>
      </c>
      <c r="E9139">
        <f>TEST_DATA!E9139</f>
        <v/>
      </c>
    </row>
    <row r="9140">
      <c r="A9140">
        <f>TEST_DATA!A9140</f>
        <v/>
      </c>
      <c r="B9140">
        <f>TEST_DATA!B9140</f>
        <v/>
      </c>
      <c r="C9140">
        <f>TEST_DATA!C9140</f>
        <v/>
      </c>
      <c r="D9140">
        <f>TEST_DATA!D9140</f>
        <v/>
      </c>
      <c r="E9140">
        <f>TEST_DATA!E9140</f>
        <v/>
      </c>
    </row>
    <row r="9141">
      <c r="A9141">
        <f>TEST_DATA!A9141</f>
        <v/>
      </c>
      <c r="B9141">
        <f>TEST_DATA!B9141</f>
        <v/>
      </c>
      <c r="C9141">
        <f>TEST_DATA!C9141</f>
        <v/>
      </c>
      <c r="D9141">
        <f>TEST_DATA!D9141</f>
        <v/>
      </c>
      <c r="E9141">
        <f>TEST_DATA!E9141</f>
        <v/>
      </c>
    </row>
    <row r="9142">
      <c r="A9142">
        <f>TEST_DATA!A9142</f>
        <v/>
      </c>
      <c r="B9142">
        <f>TEST_DATA!B9142</f>
        <v/>
      </c>
      <c r="C9142">
        <f>TEST_DATA!C9142</f>
        <v/>
      </c>
      <c r="D9142">
        <f>TEST_DATA!D9142</f>
        <v/>
      </c>
      <c r="E9142">
        <f>TEST_DATA!E9142</f>
        <v/>
      </c>
    </row>
    <row r="9143">
      <c r="A9143">
        <f>TEST_DATA!A9143</f>
        <v/>
      </c>
      <c r="B9143">
        <f>TEST_DATA!B9143</f>
        <v/>
      </c>
      <c r="C9143">
        <f>TEST_DATA!C9143</f>
        <v/>
      </c>
      <c r="D9143">
        <f>TEST_DATA!D9143</f>
        <v/>
      </c>
      <c r="E9143">
        <f>TEST_DATA!E9143</f>
        <v/>
      </c>
    </row>
    <row r="9144">
      <c r="A9144">
        <f>TEST_DATA!A9144</f>
        <v/>
      </c>
      <c r="B9144">
        <f>TEST_DATA!B9144</f>
        <v/>
      </c>
      <c r="C9144">
        <f>TEST_DATA!C9144</f>
        <v/>
      </c>
      <c r="D9144">
        <f>TEST_DATA!D9144</f>
        <v/>
      </c>
      <c r="E9144">
        <f>TEST_DATA!E9144</f>
        <v/>
      </c>
    </row>
    <row r="9145">
      <c r="A9145">
        <f>TEST_DATA!A9145</f>
        <v/>
      </c>
      <c r="B9145">
        <f>TEST_DATA!B9145</f>
        <v/>
      </c>
      <c r="C9145">
        <f>TEST_DATA!C9145</f>
        <v/>
      </c>
      <c r="D9145">
        <f>TEST_DATA!D9145</f>
        <v/>
      </c>
      <c r="E9145">
        <f>TEST_DATA!E9145</f>
        <v/>
      </c>
    </row>
    <row r="9146">
      <c r="A9146">
        <f>TEST_DATA!A9146</f>
        <v/>
      </c>
      <c r="B9146">
        <f>TEST_DATA!B9146</f>
        <v/>
      </c>
      <c r="C9146">
        <f>TEST_DATA!C9146</f>
        <v/>
      </c>
      <c r="D9146">
        <f>TEST_DATA!D9146</f>
        <v/>
      </c>
      <c r="E9146">
        <f>TEST_DATA!E9146</f>
        <v/>
      </c>
    </row>
    <row r="9147">
      <c r="A9147">
        <f>TEST_DATA!A9147</f>
        <v/>
      </c>
      <c r="B9147">
        <f>TEST_DATA!B9147</f>
        <v/>
      </c>
      <c r="C9147">
        <f>TEST_DATA!C9147</f>
        <v/>
      </c>
      <c r="D9147">
        <f>TEST_DATA!D9147</f>
        <v/>
      </c>
      <c r="E9147">
        <f>TEST_DATA!E9147</f>
        <v/>
      </c>
    </row>
    <row r="9148">
      <c r="A9148">
        <f>TEST_DATA!A9148</f>
        <v/>
      </c>
      <c r="B9148">
        <f>TEST_DATA!B9148</f>
        <v/>
      </c>
      <c r="C9148">
        <f>TEST_DATA!C9148</f>
        <v/>
      </c>
      <c r="D9148">
        <f>TEST_DATA!D9148</f>
        <v/>
      </c>
      <c r="E9148">
        <f>TEST_DATA!E9148</f>
        <v/>
      </c>
    </row>
    <row r="9149">
      <c r="A9149">
        <f>TEST_DATA!A9149</f>
        <v/>
      </c>
      <c r="B9149">
        <f>TEST_DATA!B9149</f>
        <v/>
      </c>
      <c r="C9149">
        <f>TEST_DATA!C9149</f>
        <v/>
      </c>
      <c r="D9149">
        <f>TEST_DATA!D9149</f>
        <v/>
      </c>
      <c r="E9149">
        <f>TEST_DATA!E9149</f>
        <v/>
      </c>
    </row>
    <row r="9150">
      <c r="A9150">
        <f>TEST_DATA!A9150</f>
        <v/>
      </c>
      <c r="B9150">
        <f>TEST_DATA!B9150</f>
        <v/>
      </c>
      <c r="C9150">
        <f>TEST_DATA!C9150</f>
        <v/>
      </c>
      <c r="D9150">
        <f>TEST_DATA!D9150</f>
        <v/>
      </c>
      <c r="E9150">
        <f>TEST_DATA!E9150</f>
        <v/>
      </c>
    </row>
    <row r="9151">
      <c r="A9151">
        <f>TEST_DATA!A9151</f>
        <v/>
      </c>
      <c r="B9151">
        <f>TEST_DATA!B9151</f>
        <v/>
      </c>
      <c r="C9151">
        <f>TEST_DATA!C9151</f>
        <v/>
      </c>
      <c r="D9151">
        <f>TEST_DATA!D9151</f>
        <v/>
      </c>
      <c r="E9151">
        <f>TEST_DATA!E9151</f>
        <v/>
      </c>
    </row>
    <row r="9152">
      <c r="A9152">
        <f>TEST_DATA!A9152</f>
        <v/>
      </c>
      <c r="B9152">
        <f>TEST_DATA!B9152</f>
        <v/>
      </c>
      <c r="C9152">
        <f>TEST_DATA!C9152</f>
        <v/>
      </c>
      <c r="D9152">
        <f>TEST_DATA!D9152</f>
        <v/>
      </c>
      <c r="E9152">
        <f>TEST_DATA!E9152</f>
        <v/>
      </c>
    </row>
    <row r="9153">
      <c r="A9153">
        <f>TEST_DATA!A9153</f>
        <v/>
      </c>
      <c r="B9153">
        <f>TEST_DATA!B9153</f>
        <v/>
      </c>
      <c r="C9153">
        <f>TEST_DATA!C9153</f>
        <v/>
      </c>
      <c r="D9153">
        <f>TEST_DATA!D9153</f>
        <v/>
      </c>
      <c r="E9153">
        <f>TEST_DATA!E9153</f>
        <v/>
      </c>
    </row>
    <row r="9154">
      <c r="A9154">
        <f>TEST_DATA!A9154</f>
        <v/>
      </c>
      <c r="B9154">
        <f>TEST_DATA!B9154</f>
        <v/>
      </c>
      <c r="C9154">
        <f>TEST_DATA!C9154</f>
        <v/>
      </c>
      <c r="D9154">
        <f>TEST_DATA!D9154</f>
        <v/>
      </c>
      <c r="E9154">
        <f>TEST_DATA!E9154</f>
        <v/>
      </c>
    </row>
    <row r="9155">
      <c r="A9155">
        <f>TEST_DATA!A9155</f>
        <v/>
      </c>
      <c r="B9155">
        <f>TEST_DATA!B9155</f>
        <v/>
      </c>
      <c r="C9155">
        <f>TEST_DATA!C9155</f>
        <v/>
      </c>
      <c r="D9155">
        <f>TEST_DATA!D9155</f>
        <v/>
      </c>
      <c r="E9155">
        <f>TEST_DATA!E9155</f>
        <v/>
      </c>
    </row>
    <row r="9156">
      <c r="A9156">
        <f>TEST_DATA!A9156</f>
        <v/>
      </c>
      <c r="B9156">
        <f>TEST_DATA!B9156</f>
        <v/>
      </c>
      <c r="C9156">
        <f>TEST_DATA!C9156</f>
        <v/>
      </c>
      <c r="D9156">
        <f>TEST_DATA!D9156</f>
        <v/>
      </c>
      <c r="E9156">
        <f>TEST_DATA!E9156</f>
        <v/>
      </c>
    </row>
    <row r="9157">
      <c r="A9157">
        <f>TEST_DATA!A9157</f>
        <v/>
      </c>
      <c r="B9157">
        <f>TEST_DATA!B9157</f>
        <v/>
      </c>
      <c r="C9157">
        <f>TEST_DATA!C9157</f>
        <v/>
      </c>
      <c r="D9157">
        <f>TEST_DATA!D9157</f>
        <v/>
      </c>
      <c r="E9157">
        <f>TEST_DATA!E9157</f>
        <v/>
      </c>
    </row>
    <row r="9158">
      <c r="A9158">
        <f>TEST_DATA!A9158</f>
        <v/>
      </c>
      <c r="B9158">
        <f>TEST_DATA!B9158</f>
        <v/>
      </c>
      <c r="C9158">
        <f>TEST_DATA!C9158</f>
        <v/>
      </c>
      <c r="D9158">
        <f>TEST_DATA!D9158</f>
        <v/>
      </c>
      <c r="E9158">
        <f>TEST_DATA!E9158</f>
        <v/>
      </c>
    </row>
    <row r="9159">
      <c r="A9159">
        <f>TEST_DATA!A9159</f>
        <v/>
      </c>
      <c r="B9159">
        <f>TEST_DATA!B9159</f>
        <v/>
      </c>
      <c r="C9159">
        <f>TEST_DATA!C9159</f>
        <v/>
      </c>
      <c r="D9159">
        <f>TEST_DATA!D9159</f>
        <v/>
      </c>
      <c r="E9159">
        <f>TEST_DATA!E9159</f>
        <v/>
      </c>
    </row>
    <row r="9160">
      <c r="A9160">
        <f>TEST_DATA!A9160</f>
        <v/>
      </c>
      <c r="B9160">
        <f>TEST_DATA!B9160</f>
        <v/>
      </c>
      <c r="C9160">
        <f>TEST_DATA!C9160</f>
        <v/>
      </c>
      <c r="D9160">
        <f>TEST_DATA!D9160</f>
        <v/>
      </c>
      <c r="E9160">
        <f>TEST_DATA!E9160</f>
        <v/>
      </c>
    </row>
    <row r="9161">
      <c r="A9161">
        <f>TEST_DATA!A9161</f>
        <v/>
      </c>
      <c r="B9161">
        <f>TEST_DATA!B9161</f>
        <v/>
      </c>
      <c r="C9161">
        <f>TEST_DATA!C9161</f>
        <v/>
      </c>
      <c r="D9161">
        <f>TEST_DATA!D9161</f>
        <v/>
      </c>
      <c r="E9161">
        <f>TEST_DATA!E9161</f>
        <v/>
      </c>
    </row>
    <row r="9162">
      <c r="A9162">
        <f>TEST_DATA!A9162</f>
        <v/>
      </c>
      <c r="B9162">
        <f>TEST_DATA!B9162</f>
        <v/>
      </c>
      <c r="C9162">
        <f>TEST_DATA!C9162</f>
        <v/>
      </c>
      <c r="D9162">
        <f>TEST_DATA!D9162</f>
        <v/>
      </c>
      <c r="E9162">
        <f>TEST_DATA!E9162</f>
        <v/>
      </c>
    </row>
    <row r="9163">
      <c r="A9163">
        <f>TEST_DATA!A9163</f>
        <v/>
      </c>
      <c r="B9163">
        <f>TEST_DATA!B9163</f>
        <v/>
      </c>
      <c r="C9163">
        <f>TEST_DATA!C9163</f>
        <v/>
      </c>
      <c r="D9163">
        <f>TEST_DATA!D9163</f>
        <v/>
      </c>
      <c r="E9163">
        <f>TEST_DATA!E9163</f>
        <v/>
      </c>
    </row>
    <row r="9164">
      <c r="A9164">
        <f>TEST_DATA!A9164</f>
        <v/>
      </c>
      <c r="B9164">
        <f>TEST_DATA!B9164</f>
        <v/>
      </c>
      <c r="C9164">
        <f>TEST_DATA!C9164</f>
        <v/>
      </c>
      <c r="D9164">
        <f>TEST_DATA!D9164</f>
        <v/>
      </c>
      <c r="E9164">
        <f>TEST_DATA!E9164</f>
        <v/>
      </c>
    </row>
    <row r="9165">
      <c r="A9165">
        <f>TEST_DATA!A9165</f>
        <v/>
      </c>
      <c r="B9165">
        <f>TEST_DATA!B9165</f>
        <v/>
      </c>
      <c r="C9165">
        <f>TEST_DATA!C9165</f>
        <v/>
      </c>
      <c r="D9165">
        <f>TEST_DATA!D9165</f>
        <v/>
      </c>
      <c r="E9165">
        <f>TEST_DATA!E9165</f>
        <v/>
      </c>
    </row>
    <row r="9166">
      <c r="A9166">
        <f>TEST_DATA!A9166</f>
        <v/>
      </c>
      <c r="B9166">
        <f>TEST_DATA!B9166</f>
        <v/>
      </c>
      <c r="C9166">
        <f>TEST_DATA!C9166</f>
        <v/>
      </c>
      <c r="D9166">
        <f>TEST_DATA!D9166</f>
        <v/>
      </c>
      <c r="E9166">
        <f>TEST_DATA!E9166</f>
        <v/>
      </c>
    </row>
    <row r="9167">
      <c r="A9167">
        <f>TEST_DATA!A9167</f>
        <v/>
      </c>
      <c r="B9167">
        <f>TEST_DATA!B9167</f>
        <v/>
      </c>
      <c r="C9167">
        <f>TEST_DATA!C9167</f>
        <v/>
      </c>
      <c r="D9167">
        <f>TEST_DATA!D9167</f>
        <v/>
      </c>
      <c r="E9167">
        <f>TEST_DATA!E9167</f>
        <v/>
      </c>
    </row>
    <row r="9168">
      <c r="A9168">
        <f>TEST_DATA!A9168</f>
        <v/>
      </c>
      <c r="B9168">
        <f>TEST_DATA!B9168</f>
        <v/>
      </c>
      <c r="C9168">
        <f>TEST_DATA!C9168</f>
        <v/>
      </c>
      <c r="D9168">
        <f>TEST_DATA!D9168</f>
        <v/>
      </c>
      <c r="E9168">
        <f>TEST_DATA!E9168</f>
        <v/>
      </c>
    </row>
    <row r="9169">
      <c r="A9169">
        <f>TEST_DATA!A9169</f>
        <v/>
      </c>
      <c r="B9169">
        <f>TEST_DATA!B9169</f>
        <v/>
      </c>
      <c r="C9169">
        <f>TEST_DATA!C9169</f>
        <v/>
      </c>
      <c r="D9169">
        <f>TEST_DATA!D9169</f>
        <v/>
      </c>
      <c r="E9169">
        <f>TEST_DATA!E9169</f>
        <v/>
      </c>
    </row>
    <row r="9170">
      <c r="A9170">
        <f>TEST_DATA!A9170</f>
        <v/>
      </c>
      <c r="B9170">
        <f>TEST_DATA!B9170</f>
        <v/>
      </c>
      <c r="C9170">
        <f>TEST_DATA!C9170</f>
        <v/>
      </c>
      <c r="D9170">
        <f>TEST_DATA!D9170</f>
        <v/>
      </c>
      <c r="E9170">
        <f>TEST_DATA!E9170</f>
        <v/>
      </c>
    </row>
    <row r="9171">
      <c r="A9171">
        <f>TEST_DATA!A9171</f>
        <v/>
      </c>
      <c r="B9171">
        <f>TEST_DATA!B9171</f>
        <v/>
      </c>
      <c r="C9171">
        <f>TEST_DATA!C9171</f>
        <v/>
      </c>
      <c r="D9171">
        <f>TEST_DATA!D9171</f>
        <v/>
      </c>
      <c r="E9171">
        <f>TEST_DATA!E9171</f>
        <v/>
      </c>
    </row>
    <row r="9172">
      <c r="A9172">
        <f>TEST_DATA!A9172</f>
        <v/>
      </c>
      <c r="B9172">
        <f>TEST_DATA!B9172</f>
        <v/>
      </c>
      <c r="C9172">
        <f>TEST_DATA!C9172</f>
        <v/>
      </c>
      <c r="D9172">
        <f>TEST_DATA!D9172</f>
        <v/>
      </c>
      <c r="E9172">
        <f>TEST_DATA!E9172</f>
        <v/>
      </c>
    </row>
    <row r="9173">
      <c r="A9173">
        <f>TEST_DATA!A9173</f>
        <v/>
      </c>
      <c r="B9173">
        <f>TEST_DATA!B9173</f>
        <v/>
      </c>
      <c r="C9173">
        <f>TEST_DATA!C9173</f>
        <v/>
      </c>
      <c r="D9173">
        <f>TEST_DATA!D9173</f>
        <v/>
      </c>
      <c r="E9173">
        <f>TEST_DATA!E9173</f>
        <v/>
      </c>
    </row>
    <row r="9174">
      <c r="A9174">
        <f>TEST_DATA!A9174</f>
        <v/>
      </c>
      <c r="B9174">
        <f>TEST_DATA!B9174</f>
        <v/>
      </c>
      <c r="C9174">
        <f>TEST_DATA!C9174</f>
        <v/>
      </c>
      <c r="D9174">
        <f>TEST_DATA!D9174</f>
        <v/>
      </c>
      <c r="E9174">
        <f>TEST_DATA!E9174</f>
        <v/>
      </c>
    </row>
    <row r="9175">
      <c r="A9175">
        <f>TEST_DATA!A9175</f>
        <v/>
      </c>
      <c r="B9175">
        <f>TEST_DATA!B9175</f>
        <v/>
      </c>
      <c r="C9175">
        <f>TEST_DATA!C9175</f>
        <v/>
      </c>
      <c r="D9175">
        <f>TEST_DATA!D9175</f>
        <v/>
      </c>
      <c r="E9175">
        <f>TEST_DATA!E9175</f>
        <v/>
      </c>
    </row>
    <row r="9176">
      <c r="A9176">
        <f>TEST_DATA!A9176</f>
        <v/>
      </c>
      <c r="B9176">
        <f>TEST_DATA!B9176</f>
        <v/>
      </c>
      <c r="C9176">
        <f>TEST_DATA!C9176</f>
        <v/>
      </c>
      <c r="D9176">
        <f>TEST_DATA!D9176</f>
        <v/>
      </c>
      <c r="E9176">
        <f>TEST_DATA!E9176</f>
        <v/>
      </c>
    </row>
    <row r="9177">
      <c r="A9177">
        <f>TEST_DATA!A9177</f>
        <v/>
      </c>
      <c r="B9177">
        <f>TEST_DATA!B9177</f>
        <v/>
      </c>
      <c r="C9177">
        <f>TEST_DATA!C9177</f>
        <v/>
      </c>
      <c r="D9177">
        <f>TEST_DATA!D9177</f>
        <v/>
      </c>
      <c r="E9177">
        <f>TEST_DATA!E9177</f>
        <v/>
      </c>
    </row>
    <row r="9178">
      <c r="A9178">
        <f>TEST_DATA!A9178</f>
        <v/>
      </c>
      <c r="B9178">
        <f>TEST_DATA!B9178</f>
        <v/>
      </c>
      <c r="C9178">
        <f>TEST_DATA!C9178</f>
        <v/>
      </c>
      <c r="D9178">
        <f>TEST_DATA!D9178</f>
        <v/>
      </c>
      <c r="E9178">
        <f>TEST_DATA!E9178</f>
        <v/>
      </c>
    </row>
    <row r="9179">
      <c r="A9179">
        <f>TEST_DATA!A9179</f>
        <v/>
      </c>
      <c r="B9179">
        <f>TEST_DATA!B9179</f>
        <v/>
      </c>
      <c r="C9179">
        <f>TEST_DATA!C9179</f>
        <v/>
      </c>
      <c r="D9179">
        <f>TEST_DATA!D9179</f>
        <v/>
      </c>
      <c r="E9179">
        <f>TEST_DATA!E9179</f>
        <v/>
      </c>
    </row>
    <row r="9180">
      <c r="A9180">
        <f>TEST_DATA!A9180</f>
        <v/>
      </c>
      <c r="B9180">
        <f>TEST_DATA!B9180</f>
        <v/>
      </c>
      <c r="C9180">
        <f>TEST_DATA!C9180</f>
        <v/>
      </c>
      <c r="D9180">
        <f>TEST_DATA!D9180</f>
        <v/>
      </c>
      <c r="E9180">
        <f>TEST_DATA!E9180</f>
        <v/>
      </c>
    </row>
    <row r="9181">
      <c r="A9181">
        <f>TEST_DATA!A9181</f>
        <v/>
      </c>
      <c r="B9181">
        <f>TEST_DATA!B9181</f>
        <v/>
      </c>
      <c r="C9181">
        <f>TEST_DATA!C9181</f>
        <v/>
      </c>
      <c r="D9181">
        <f>TEST_DATA!D9181</f>
        <v/>
      </c>
      <c r="E9181">
        <f>TEST_DATA!E9181</f>
        <v/>
      </c>
    </row>
    <row r="9182">
      <c r="A9182">
        <f>TEST_DATA!A9182</f>
        <v/>
      </c>
      <c r="B9182">
        <f>TEST_DATA!B9182</f>
        <v/>
      </c>
      <c r="C9182">
        <f>TEST_DATA!C9182</f>
        <v/>
      </c>
      <c r="D9182">
        <f>TEST_DATA!D9182</f>
        <v/>
      </c>
      <c r="E9182">
        <f>TEST_DATA!E9182</f>
        <v/>
      </c>
    </row>
    <row r="9183">
      <c r="A9183">
        <f>TEST_DATA!A9183</f>
        <v/>
      </c>
      <c r="B9183">
        <f>TEST_DATA!B9183</f>
        <v/>
      </c>
      <c r="C9183">
        <f>TEST_DATA!C9183</f>
        <v/>
      </c>
      <c r="D9183">
        <f>TEST_DATA!D9183</f>
        <v/>
      </c>
      <c r="E9183">
        <f>TEST_DATA!E9183</f>
        <v/>
      </c>
    </row>
    <row r="9184">
      <c r="A9184">
        <f>TEST_DATA!A9184</f>
        <v/>
      </c>
      <c r="B9184">
        <f>TEST_DATA!B9184</f>
        <v/>
      </c>
      <c r="C9184">
        <f>TEST_DATA!C9184</f>
        <v/>
      </c>
      <c r="D9184">
        <f>TEST_DATA!D9184</f>
        <v/>
      </c>
      <c r="E9184">
        <f>TEST_DATA!E9184</f>
        <v/>
      </c>
    </row>
    <row r="9185">
      <c r="A9185">
        <f>TEST_DATA!A9185</f>
        <v/>
      </c>
      <c r="B9185">
        <f>TEST_DATA!B9185</f>
        <v/>
      </c>
      <c r="C9185">
        <f>TEST_DATA!C9185</f>
        <v/>
      </c>
      <c r="D9185">
        <f>TEST_DATA!D9185</f>
        <v/>
      </c>
      <c r="E9185">
        <f>TEST_DATA!E9185</f>
        <v/>
      </c>
    </row>
    <row r="9186">
      <c r="A9186">
        <f>TEST_DATA!A9186</f>
        <v/>
      </c>
      <c r="B9186">
        <f>TEST_DATA!B9186</f>
        <v/>
      </c>
      <c r="C9186">
        <f>TEST_DATA!C9186</f>
        <v/>
      </c>
      <c r="D9186">
        <f>TEST_DATA!D9186</f>
        <v/>
      </c>
      <c r="E9186">
        <f>TEST_DATA!E9186</f>
        <v/>
      </c>
    </row>
    <row r="9187">
      <c r="A9187">
        <f>TEST_DATA!A9187</f>
        <v/>
      </c>
      <c r="B9187">
        <f>TEST_DATA!B9187</f>
        <v/>
      </c>
      <c r="C9187">
        <f>TEST_DATA!C9187</f>
        <v/>
      </c>
      <c r="D9187">
        <f>TEST_DATA!D9187</f>
        <v/>
      </c>
      <c r="E9187">
        <f>TEST_DATA!E9187</f>
        <v/>
      </c>
    </row>
    <row r="9188">
      <c r="A9188">
        <f>TEST_DATA!A9188</f>
        <v/>
      </c>
      <c r="B9188">
        <f>TEST_DATA!B9188</f>
        <v/>
      </c>
      <c r="C9188">
        <f>TEST_DATA!C9188</f>
        <v/>
      </c>
      <c r="D9188">
        <f>TEST_DATA!D9188</f>
        <v/>
      </c>
      <c r="E9188">
        <f>TEST_DATA!E9188</f>
        <v/>
      </c>
    </row>
    <row r="9189">
      <c r="A9189">
        <f>TEST_DATA!A9189</f>
        <v/>
      </c>
      <c r="B9189">
        <f>TEST_DATA!B9189</f>
        <v/>
      </c>
      <c r="C9189">
        <f>TEST_DATA!C9189</f>
        <v/>
      </c>
      <c r="D9189">
        <f>TEST_DATA!D9189</f>
        <v/>
      </c>
      <c r="E9189">
        <f>TEST_DATA!E9189</f>
        <v/>
      </c>
    </row>
    <row r="9190">
      <c r="A9190">
        <f>TEST_DATA!A9190</f>
        <v/>
      </c>
      <c r="B9190">
        <f>TEST_DATA!B9190</f>
        <v/>
      </c>
      <c r="C9190">
        <f>TEST_DATA!C9190</f>
        <v/>
      </c>
      <c r="D9190">
        <f>TEST_DATA!D9190</f>
        <v/>
      </c>
      <c r="E9190">
        <f>TEST_DATA!E9190</f>
        <v/>
      </c>
    </row>
    <row r="9191">
      <c r="A9191">
        <f>TEST_DATA!A9191</f>
        <v/>
      </c>
      <c r="B9191">
        <f>TEST_DATA!B9191</f>
        <v/>
      </c>
      <c r="C9191">
        <f>TEST_DATA!C9191</f>
        <v/>
      </c>
      <c r="D9191">
        <f>TEST_DATA!D9191</f>
        <v/>
      </c>
      <c r="E9191">
        <f>TEST_DATA!E9191</f>
        <v/>
      </c>
    </row>
    <row r="9192">
      <c r="A9192">
        <f>TEST_DATA!A9192</f>
        <v/>
      </c>
      <c r="B9192">
        <f>TEST_DATA!B9192</f>
        <v/>
      </c>
      <c r="C9192">
        <f>TEST_DATA!C9192</f>
        <v/>
      </c>
      <c r="D9192">
        <f>TEST_DATA!D9192</f>
        <v/>
      </c>
      <c r="E9192">
        <f>TEST_DATA!E9192</f>
        <v/>
      </c>
    </row>
    <row r="9193">
      <c r="A9193">
        <f>TEST_DATA!A9193</f>
        <v/>
      </c>
      <c r="B9193">
        <f>TEST_DATA!B9193</f>
        <v/>
      </c>
      <c r="C9193">
        <f>TEST_DATA!C9193</f>
        <v/>
      </c>
      <c r="D9193">
        <f>TEST_DATA!D9193</f>
        <v/>
      </c>
      <c r="E9193">
        <f>TEST_DATA!E9193</f>
        <v/>
      </c>
    </row>
    <row r="9194">
      <c r="A9194">
        <f>TEST_DATA!A9194</f>
        <v/>
      </c>
      <c r="B9194">
        <f>TEST_DATA!B9194</f>
        <v/>
      </c>
      <c r="C9194">
        <f>TEST_DATA!C9194</f>
        <v/>
      </c>
      <c r="D9194">
        <f>TEST_DATA!D9194</f>
        <v/>
      </c>
      <c r="E9194">
        <f>TEST_DATA!E9194</f>
        <v/>
      </c>
    </row>
    <row r="9195">
      <c r="A9195">
        <f>TEST_DATA!A9195</f>
        <v/>
      </c>
      <c r="B9195">
        <f>TEST_DATA!B9195</f>
        <v/>
      </c>
      <c r="C9195">
        <f>TEST_DATA!C9195</f>
        <v/>
      </c>
      <c r="D9195">
        <f>TEST_DATA!D9195</f>
        <v/>
      </c>
      <c r="E9195">
        <f>TEST_DATA!E9195</f>
        <v/>
      </c>
    </row>
    <row r="9196">
      <c r="A9196">
        <f>TEST_DATA!A9196</f>
        <v/>
      </c>
      <c r="B9196">
        <f>TEST_DATA!B9196</f>
        <v/>
      </c>
      <c r="C9196">
        <f>TEST_DATA!C9196</f>
        <v/>
      </c>
      <c r="D9196">
        <f>TEST_DATA!D9196</f>
        <v/>
      </c>
      <c r="E9196">
        <f>TEST_DATA!E9196</f>
        <v/>
      </c>
    </row>
    <row r="9197">
      <c r="A9197">
        <f>TEST_DATA!A9197</f>
        <v/>
      </c>
      <c r="B9197">
        <f>TEST_DATA!B9197</f>
        <v/>
      </c>
      <c r="C9197">
        <f>TEST_DATA!C9197</f>
        <v/>
      </c>
      <c r="D9197">
        <f>TEST_DATA!D9197</f>
        <v/>
      </c>
      <c r="E9197">
        <f>TEST_DATA!E9197</f>
        <v/>
      </c>
    </row>
    <row r="9198">
      <c r="A9198">
        <f>TEST_DATA!A9198</f>
        <v/>
      </c>
      <c r="B9198">
        <f>TEST_DATA!B9198</f>
        <v/>
      </c>
      <c r="C9198">
        <f>TEST_DATA!C9198</f>
        <v/>
      </c>
      <c r="D9198">
        <f>TEST_DATA!D9198</f>
        <v/>
      </c>
      <c r="E9198">
        <f>TEST_DATA!E9198</f>
        <v/>
      </c>
    </row>
    <row r="9199">
      <c r="A9199">
        <f>TEST_DATA!A9199</f>
        <v/>
      </c>
      <c r="B9199">
        <f>TEST_DATA!B9199</f>
        <v/>
      </c>
      <c r="C9199">
        <f>TEST_DATA!C9199</f>
        <v/>
      </c>
      <c r="D9199">
        <f>TEST_DATA!D9199</f>
        <v/>
      </c>
      <c r="E9199">
        <f>TEST_DATA!E9199</f>
        <v/>
      </c>
    </row>
    <row r="9200">
      <c r="A9200">
        <f>TEST_DATA!A9200</f>
        <v/>
      </c>
      <c r="B9200">
        <f>TEST_DATA!B9200</f>
        <v/>
      </c>
      <c r="C9200">
        <f>TEST_DATA!C9200</f>
        <v/>
      </c>
      <c r="D9200">
        <f>TEST_DATA!D9200</f>
        <v/>
      </c>
      <c r="E9200">
        <f>TEST_DATA!E9200</f>
        <v/>
      </c>
    </row>
    <row r="9201">
      <c r="A9201">
        <f>TEST_DATA!A9201</f>
        <v/>
      </c>
      <c r="B9201">
        <f>TEST_DATA!B9201</f>
        <v/>
      </c>
      <c r="C9201">
        <f>TEST_DATA!C9201</f>
        <v/>
      </c>
      <c r="D9201">
        <f>TEST_DATA!D9201</f>
        <v/>
      </c>
      <c r="E9201">
        <f>TEST_DATA!E9201</f>
        <v/>
      </c>
    </row>
    <row r="9202">
      <c r="A9202">
        <f>TEST_DATA!A9202</f>
        <v/>
      </c>
      <c r="B9202">
        <f>TEST_DATA!B9202</f>
        <v/>
      </c>
      <c r="C9202">
        <f>TEST_DATA!C9202</f>
        <v/>
      </c>
      <c r="D9202">
        <f>TEST_DATA!D9202</f>
        <v/>
      </c>
      <c r="E9202">
        <f>TEST_DATA!E9202</f>
        <v/>
      </c>
    </row>
    <row r="9203">
      <c r="A9203">
        <f>TEST_DATA!A9203</f>
        <v/>
      </c>
      <c r="B9203">
        <f>TEST_DATA!B9203</f>
        <v/>
      </c>
      <c r="C9203">
        <f>TEST_DATA!C9203</f>
        <v/>
      </c>
      <c r="D9203">
        <f>TEST_DATA!D9203</f>
        <v/>
      </c>
      <c r="E9203">
        <f>TEST_DATA!E9203</f>
        <v/>
      </c>
    </row>
    <row r="9204">
      <c r="A9204">
        <f>TEST_DATA!A9204</f>
        <v/>
      </c>
      <c r="B9204">
        <f>TEST_DATA!B9204</f>
        <v/>
      </c>
      <c r="C9204">
        <f>TEST_DATA!C9204</f>
        <v/>
      </c>
      <c r="D9204">
        <f>TEST_DATA!D9204</f>
        <v/>
      </c>
      <c r="E9204">
        <f>TEST_DATA!E9204</f>
        <v/>
      </c>
    </row>
    <row r="9205">
      <c r="A9205">
        <f>TEST_DATA!A9205</f>
        <v/>
      </c>
      <c r="B9205">
        <f>TEST_DATA!B9205</f>
        <v/>
      </c>
      <c r="C9205">
        <f>TEST_DATA!C9205</f>
        <v/>
      </c>
      <c r="D9205">
        <f>TEST_DATA!D9205</f>
        <v/>
      </c>
      <c r="E9205">
        <f>TEST_DATA!E9205</f>
        <v/>
      </c>
    </row>
    <row r="9206">
      <c r="A9206">
        <f>TEST_DATA!A9206</f>
        <v/>
      </c>
      <c r="B9206">
        <f>TEST_DATA!B9206</f>
        <v/>
      </c>
      <c r="C9206">
        <f>TEST_DATA!C9206</f>
        <v/>
      </c>
      <c r="D9206">
        <f>TEST_DATA!D9206</f>
        <v/>
      </c>
      <c r="E9206">
        <f>TEST_DATA!E9206</f>
        <v/>
      </c>
    </row>
    <row r="9207">
      <c r="A9207">
        <f>TEST_DATA!A9207</f>
        <v/>
      </c>
      <c r="B9207">
        <f>TEST_DATA!B9207</f>
        <v/>
      </c>
      <c r="C9207">
        <f>TEST_DATA!C9207</f>
        <v/>
      </c>
      <c r="D9207">
        <f>TEST_DATA!D9207</f>
        <v/>
      </c>
      <c r="E9207">
        <f>TEST_DATA!E9207</f>
        <v/>
      </c>
    </row>
    <row r="9208">
      <c r="A9208">
        <f>TEST_DATA!A9208</f>
        <v/>
      </c>
      <c r="B9208">
        <f>TEST_DATA!B9208</f>
        <v/>
      </c>
      <c r="C9208">
        <f>TEST_DATA!C9208</f>
        <v/>
      </c>
      <c r="D9208">
        <f>TEST_DATA!D9208</f>
        <v/>
      </c>
      <c r="E9208">
        <f>TEST_DATA!E9208</f>
        <v/>
      </c>
    </row>
    <row r="9209">
      <c r="A9209">
        <f>TEST_DATA!A9209</f>
        <v/>
      </c>
      <c r="B9209">
        <f>TEST_DATA!B9209</f>
        <v/>
      </c>
      <c r="C9209">
        <f>TEST_DATA!C9209</f>
        <v/>
      </c>
      <c r="D9209">
        <f>TEST_DATA!D9209</f>
        <v/>
      </c>
      <c r="E9209">
        <f>TEST_DATA!E9209</f>
        <v/>
      </c>
    </row>
    <row r="9210">
      <c r="A9210">
        <f>TEST_DATA!A9210</f>
        <v/>
      </c>
      <c r="B9210">
        <f>TEST_DATA!B9210</f>
        <v/>
      </c>
      <c r="C9210">
        <f>TEST_DATA!C9210</f>
        <v/>
      </c>
      <c r="D9210">
        <f>TEST_DATA!D9210</f>
        <v/>
      </c>
      <c r="E9210">
        <f>TEST_DATA!E9210</f>
        <v/>
      </c>
    </row>
    <row r="9211">
      <c r="A9211">
        <f>TEST_DATA!A9211</f>
        <v/>
      </c>
      <c r="B9211">
        <f>TEST_DATA!B9211</f>
        <v/>
      </c>
      <c r="C9211">
        <f>TEST_DATA!C9211</f>
        <v/>
      </c>
      <c r="D9211">
        <f>TEST_DATA!D9211</f>
        <v/>
      </c>
      <c r="E9211">
        <f>TEST_DATA!E9211</f>
        <v/>
      </c>
    </row>
    <row r="9212">
      <c r="A9212">
        <f>TEST_DATA!A9212</f>
        <v/>
      </c>
      <c r="B9212">
        <f>TEST_DATA!B9212</f>
        <v/>
      </c>
      <c r="C9212">
        <f>TEST_DATA!C9212</f>
        <v/>
      </c>
      <c r="D9212">
        <f>TEST_DATA!D9212</f>
        <v/>
      </c>
      <c r="E9212">
        <f>TEST_DATA!E9212</f>
        <v/>
      </c>
    </row>
    <row r="9213">
      <c r="A9213">
        <f>TEST_DATA!A9213</f>
        <v/>
      </c>
      <c r="B9213">
        <f>TEST_DATA!B9213</f>
        <v/>
      </c>
      <c r="C9213">
        <f>TEST_DATA!C9213</f>
        <v/>
      </c>
      <c r="D9213">
        <f>TEST_DATA!D9213</f>
        <v/>
      </c>
      <c r="E9213">
        <f>TEST_DATA!E9213</f>
        <v/>
      </c>
    </row>
    <row r="9214">
      <c r="A9214">
        <f>TEST_DATA!A9214</f>
        <v/>
      </c>
      <c r="B9214">
        <f>TEST_DATA!B9214</f>
        <v/>
      </c>
      <c r="C9214">
        <f>TEST_DATA!C9214</f>
        <v/>
      </c>
      <c r="D9214">
        <f>TEST_DATA!D9214</f>
        <v/>
      </c>
      <c r="E9214">
        <f>TEST_DATA!E9214</f>
        <v/>
      </c>
    </row>
    <row r="9215">
      <c r="A9215">
        <f>TEST_DATA!A9215</f>
        <v/>
      </c>
      <c r="B9215">
        <f>TEST_DATA!B9215</f>
        <v/>
      </c>
      <c r="C9215">
        <f>TEST_DATA!C9215</f>
        <v/>
      </c>
      <c r="D9215">
        <f>TEST_DATA!D9215</f>
        <v/>
      </c>
      <c r="E9215">
        <f>TEST_DATA!E9215</f>
        <v/>
      </c>
    </row>
    <row r="9216">
      <c r="A9216">
        <f>TEST_DATA!A9216</f>
        <v/>
      </c>
      <c r="B9216">
        <f>TEST_DATA!B9216</f>
        <v/>
      </c>
      <c r="C9216">
        <f>TEST_DATA!C9216</f>
        <v/>
      </c>
      <c r="D9216">
        <f>TEST_DATA!D9216</f>
        <v/>
      </c>
      <c r="E9216">
        <f>TEST_DATA!E9216</f>
        <v/>
      </c>
    </row>
    <row r="9217">
      <c r="A9217">
        <f>TEST_DATA!A9217</f>
        <v/>
      </c>
      <c r="B9217">
        <f>TEST_DATA!B9217</f>
        <v/>
      </c>
      <c r="C9217">
        <f>TEST_DATA!C9217</f>
        <v/>
      </c>
      <c r="D9217">
        <f>TEST_DATA!D9217</f>
        <v/>
      </c>
      <c r="E9217">
        <f>TEST_DATA!E9217</f>
        <v/>
      </c>
    </row>
    <row r="9218">
      <c r="A9218">
        <f>TEST_DATA!A9218</f>
        <v/>
      </c>
      <c r="B9218">
        <f>TEST_DATA!B9218</f>
        <v/>
      </c>
      <c r="C9218">
        <f>TEST_DATA!C9218</f>
        <v/>
      </c>
      <c r="D9218">
        <f>TEST_DATA!D9218</f>
        <v/>
      </c>
      <c r="E9218">
        <f>TEST_DATA!E9218</f>
        <v/>
      </c>
    </row>
    <row r="9219">
      <c r="A9219">
        <f>TEST_DATA!A9219</f>
        <v/>
      </c>
      <c r="B9219">
        <f>TEST_DATA!B9219</f>
        <v/>
      </c>
      <c r="C9219">
        <f>TEST_DATA!C9219</f>
        <v/>
      </c>
      <c r="D9219">
        <f>TEST_DATA!D9219</f>
        <v/>
      </c>
      <c r="E9219">
        <f>TEST_DATA!E9219</f>
        <v/>
      </c>
    </row>
    <row r="9220">
      <c r="A9220">
        <f>TEST_DATA!A9220</f>
        <v/>
      </c>
      <c r="B9220">
        <f>TEST_DATA!B9220</f>
        <v/>
      </c>
      <c r="C9220">
        <f>TEST_DATA!C9220</f>
        <v/>
      </c>
      <c r="D9220">
        <f>TEST_DATA!D9220</f>
        <v/>
      </c>
      <c r="E9220">
        <f>TEST_DATA!E9220</f>
        <v/>
      </c>
    </row>
    <row r="9221">
      <c r="A9221">
        <f>TEST_DATA!A9221</f>
        <v/>
      </c>
      <c r="B9221">
        <f>TEST_DATA!B9221</f>
        <v/>
      </c>
      <c r="C9221">
        <f>TEST_DATA!C9221</f>
        <v/>
      </c>
      <c r="D9221">
        <f>TEST_DATA!D9221</f>
        <v/>
      </c>
      <c r="E9221">
        <f>TEST_DATA!E9221</f>
        <v/>
      </c>
    </row>
    <row r="9222">
      <c r="A9222">
        <f>TEST_DATA!A9222</f>
        <v/>
      </c>
      <c r="B9222">
        <f>TEST_DATA!B9222</f>
        <v/>
      </c>
      <c r="C9222">
        <f>TEST_DATA!C9222</f>
        <v/>
      </c>
      <c r="D9222">
        <f>TEST_DATA!D9222</f>
        <v/>
      </c>
      <c r="E9222">
        <f>TEST_DATA!E9222</f>
        <v/>
      </c>
    </row>
    <row r="9223">
      <c r="A9223">
        <f>TEST_DATA!A9223</f>
        <v/>
      </c>
      <c r="B9223">
        <f>TEST_DATA!B9223</f>
        <v/>
      </c>
      <c r="C9223">
        <f>TEST_DATA!C9223</f>
        <v/>
      </c>
      <c r="D9223">
        <f>TEST_DATA!D9223</f>
        <v/>
      </c>
      <c r="E9223">
        <f>TEST_DATA!E9223</f>
        <v/>
      </c>
    </row>
    <row r="9224">
      <c r="A9224">
        <f>TEST_DATA!A9224</f>
        <v/>
      </c>
      <c r="B9224">
        <f>TEST_DATA!B9224</f>
        <v/>
      </c>
      <c r="C9224">
        <f>TEST_DATA!C9224</f>
        <v/>
      </c>
      <c r="D9224">
        <f>TEST_DATA!D9224</f>
        <v/>
      </c>
      <c r="E9224">
        <f>TEST_DATA!E9224</f>
        <v/>
      </c>
    </row>
    <row r="9225">
      <c r="A9225">
        <f>TEST_DATA!A9225</f>
        <v/>
      </c>
      <c r="B9225">
        <f>TEST_DATA!B9225</f>
        <v/>
      </c>
      <c r="C9225">
        <f>TEST_DATA!C9225</f>
        <v/>
      </c>
      <c r="D9225">
        <f>TEST_DATA!D9225</f>
        <v/>
      </c>
      <c r="E9225">
        <f>TEST_DATA!E9225</f>
        <v/>
      </c>
    </row>
    <row r="9226">
      <c r="A9226">
        <f>TEST_DATA!A9226</f>
        <v/>
      </c>
      <c r="B9226">
        <f>TEST_DATA!B9226</f>
        <v/>
      </c>
      <c r="C9226">
        <f>TEST_DATA!C9226</f>
        <v/>
      </c>
      <c r="D9226">
        <f>TEST_DATA!D9226</f>
        <v/>
      </c>
      <c r="E9226">
        <f>TEST_DATA!E9226</f>
        <v/>
      </c>
    </row>
    <row r="9227">
      <c r="A9227">
        <f>TEST_DATA!A9227</f>
        <v/>
      </c>
      <c r="B9227">
        <f>TEST_DATA!B9227</f>
        <v/>
      </c>
      <c r="C9227">
        <f>TEST_DATA!C9227</f>
        <v/>
      </c>
      <c r="D9227">
        <f>TEST_DATA!D9227</f>
        <v/>
      </c>
      <c r="E9227">
        <f>TEST_DATA!E9227</f>
        <v/>
      </c>
    </row>
    <row r="9228">
      <c r="A9228">
        <f>TEST_DATA!A9228</f>
        <v/>
      </c>
      <c r="B9228">
        <f>TEST_DATA!B9228</f>
        <v/>
      </c>
      <c r="C9228">
        <f>TEST_DATA!C9228</f>
        <v/>
      </c>
      <c r="D9228">
        <f>TEST_DATA!D9228</f>
        <v/>
      </c>
      <c r="E9228">
        <f>TEST_DATA!E9228</f>
        <v/>
      </c>
    </row>
    <row r="9229">
      <c r="A9229">
        <f>TEST_DATA!A9229</f>
        <v/>
      </c>
      <c r="B9229">
        <f>TEST_DATA!B9229</f>
        <v/>
      </c>
      <c r="C9229">
        <f>TEST_DATA!C9229</f>
        <v/>
      </c>
      <c r="D9229">
        <f>TEST_DATA!D9229</f>
        <v/>
      </c>
      <c r="E9229">
        <f>TEST_DATA!E9229</f>
        <v/>
      </c>
    </row>
    <row r="9230">
      <c r="A9230">
        <f>TEST_DATA!A9230</f>
        <v/>
      </c>
      <c r="B9230">
        <f>TEST_DATA!B9230</f>
        <v/>
      </c>
      <c r="C9230">
        <f>TEST_DATA!C9230</f>
        <v/>
      </c>
      <c r="D9230">
        <f>TEST_DATA!D9230</f>
        <v/>
      </c>
      <c r="E9230">
        <f>TEST_DATA!E9230</f>
        <v/>
      </c>
    </row>
    <row r="9231">
      <c r="A9231">
        <f>TEST_DATA!A9231</f>
        <v/>
      </c>
      <c r="B9231">
        <f>TEST_DATA!B9231</f>
        <v/>
      </c>
      <c r="C9231">
        <f>TEST_DATA!C9231</f>
        <v/>
      </c>
      <c r="D9231">
        <f>TEST_DATA!D9231</f>
        <v/>
      </c>
      <c r="E9231">
        <f>TEST_DATA!E9231</f>
        <v/>
      </c>
    </row>
    <row r="9232">
      <c r="A9232">
        <f>TEST_DATA!A9232</f>
        <v/>
      </c>
      <c r="B9232">
        <f>TEST_DATA!B9232</f>
        <v/>
      </c>
      <c r="C9232">
        <f>TEST_DATA!C9232</f>
        <v/>
      </c>
      <c r="D9232">
        <f>TEST_DATA!D9232</f>
        <v/>
      </c>
      <c r="E9232">
        <f>TEST_DATA!E9232</f>
        <v/>
      </c>
    </row>
    <row r="9233">
      <c r="A9233">
        <f>TEST_DATA!A9233</f>
        <v/>
      </c>
      <c r="B9233">
        <f>TEST_DATA!B9233</f>
        <v/>
      </c>
      <c r="C9233">
        <f>TEST_DATA!C9233</f>
        <v/>
      </c>
      <c r="D9233">
        <f>TEST_DATA!D9233</f>
        <v/>
      </c>
      <c r="E9233">
        <f>TEST_DATA!E9233</f>
        <v/>
      </c>
    </row>
    <row r="9234">
      <c r="A9234">
        <f>TEST_DATA!A9234</f>
        <v/>
      </c>
      <c r="B9234">
        <f>TEST_DATA!B9234</f>
        <v/>
      </c>
      <c r="C9234">
        <f>TEST_DATA!C9234</f>
        <v/>
      </c>
      <c r="D9234">
        <f>TEST_DATA!D9234</f>
        <v/>
      </c>
      <c r="E9234">
        <f>TEST_DATA!E9234</f>
        <v/>
      </c>
    </row>
    <row r="9235">
      <c r="A9235">
        <f>TEST_DATA!A9235</f>
        <v/>
      </c>
      <c r="B9235">
        <f>TEST_DATA!B9235</f>
        <v/>
      </c>
      <c r="C9235">
        <f>TEST_DATA!C9235</f>
        <v/>
      </c>
      <c r="D9235">
        <f>TEST_DATA!D9235</f>
        <v/>
      </c>
      <c r="E9235">
        <f>TEST_DATA!E9235</f>
        <v/>
      </c>
    </row>
    <row r="9236">
      <c r="A9236">
        <f>TEST_DATA!A9236</f>
        <v/>
      </c>
      <c r="B9236">
        <f>TEST_DATA!B9236</f>
        <v/>
      </c>
      <c r="C9236">
        <f>TEST_DATA!C9236</f>
        <v/>
      </c>
      <c r="D9236">
        <f>TEST_DATA!D9236</f>
        <v/>
      </c>
      <c r="E9236">
        <f>TEST_DATA!E9236</f>
        <v/>
      </c>
    </row>
    <row r="9237">
      <c r="A9237">
        <f>TEST_DATA!A9237</f>
        <v/>
      </c>
      <c r="B9237">
        <f>TEST_DATA!B9237</f>
        <v/>
      </c>
      <c r="C9237">
        <f>TEST_DATA!C9237</f>
        <v/>
      </c>
      <c r="D9237">
        <f>TEST_DATA!D9237</f>
        <v/>
      </c>
      <c r="E9237">
        <f>TEST_DATA!E9237</f>
        <v/>
      </c>
    </row>
    <row r="9238">
      <c r="A9238">
        <f>TEST_DATA!A9238</f>
        <v/>
      </c>
      <c r="B9238">
        <f>TEST_DATA!B9238</f>
        <v/>
      </c>
      <c r="C9238">
        <f>TEST_DATA!C9238</f>
        <v/>
      </c>
      <c r="D9238">
        <f>TEST_DATA!D9238</f>
        <v/>
      </c>
      <c r="E9238">
        <f>TEST_DATA!E9238</f>
        <v/>
      </c>
    </row>
    <row r="9239">
      <c r="A9239">
        <f>TEST_DATA!A9239</f>
        <v/>
      </c>
      <c r="B9239">
        <f>TEST_DATA!B9239</f>
        <v/>
      </c>
      <c r="C9239">
        <f>TEST_DATA!C9239</f>
        <v/>
      </c>
      <c r="D9239">
        <f>TEST_DATA!D9239</f>
        <v/>
      </c>
      <c r="E9239">
        <f>TEST_DATA!E9239</f>
        <v/>
      </c>
    </row>
    <row r="9240">
      <c r="A9240">
        <f>TEST_DATA!A9240</f>
        <v/>
      </c>
      <c r="B9240">
        <f>TEST_DATA!B9240</f>
        <v/>
      </c>
      <c r="C9240">
        <f>TEST_DATA!C9240</f>
        <v/>
      </c>
      <c r="D9240">
        <f>TEST_DATA!D9240</f>
        <v/>
      </c>
      <c r="E9240">
        <f>TEST_DATA!E9240</f>
        <v/>
      </c>
    </row>
    <row r="9241">
      <c r="A9241">
        <f>TEST_DATA!A9241</f>
        <v/>
      </c>
      <c r="B9241">
        <f>TEST_DATA!B9241</f>
        <v/>
      </c>
      <c r="C9241">
        <f>TEST_DATA!C9241</f>
        <v/>
      </c>
      <c r="D9241">
        <f>TEST_DATA!D9241</f>
        <v/>
      </c>
      <c r="E9241">
        <f>TEST_DATA!E9241</f>
        <v/>
      </c>
    </row>
    <row r="9242">
      <c r="A9242">
        <f>TEST_DATA!A9242</f>
        <v/>
      </c>
      <c r="B9242">
        <f>TEST_DATA!B9242</f>
        <v/>
      </c>
      <c r="C9242">
        <f>TEST_DATA!C9242</f>
        <v/>
      </c>
      <c r="D9242">
        <f>TEST_DATA!D9242</f>
        <v/>
      </c>
      <c r="E9242">
        <f>TEST_DATA!E9242</f>
        <v/>
      </c>
    </row>
    <row r="9243">
      <c r="A9243">
        <f>TEST_DATA!A9243</f>
        <v/>
      </c>
      <c r="B9243">
        <f>TEST_DATA!B9243</f>
        <v/>
      </c>
      <c r="C9243">
        <f>TEST_DATA!C9243</f>
        <v/>
      </c>
      <c r="D9243">
        <f>TEST_DATA!D9243</f>
        <v/>
      </c>
      <c r="E9243">
        <f>TEST_DATA!E9243</f>
        <v/>
      </c>
    </row>
    <row r="9244">
      <c r="A9244">
        <f>TEST_DATA!A9244</f>
        <v/>
      </c>
      <c r="B9244">
        <f>TEST_DATA!B9244</f>
        <v/>
      </c>
      <c r="C9244">
        <f>TEST_DATA!C9244</f>
        <v/>
      </c>
      <c r="D9244">
        <f>TEST_DATA!D9244</f>
        <v/>
      </c>
      <c r="E9244">
        <f>TEST_DATA!E9244</f>
        <v/>
      </c>
    </row>
    <row r="9245">
      <c r="A9245">
        <f>TEST_DATA!A9245</f>
        <v/>
      </c>
      <c r="B9245">
        <f>TEST_DATA!B9245</f>
        <v/>
      </c>
      <c r="C9245">
        <f>TEST_DATA!C9245</f>
        <v/>
      </c>
      <c r="D9245">
        <f>TEST_DATA!D9245</f>
        <v/>
      </c>
      <c r="E9245">
        <f>TEST_DATA!E9245</f>
        <v/>
      </c>
    </row>
    <row r="9246">
      <c r="A9246">
        <f>TEST_DATA!A9246</f>
        <v/>
      </c>
      <c r="B9246">
        <f>TEST_DATA!B9246</f>
        <v/>
      </c>
      <c r="C9246">
        <f>TEST_DATA!C9246</f>
        <v/>
      </c>
      <c r="D9246">
        <f>TEST_DATA!D9246</f>
        <v/>
      </c>
      <c r="E9246">
        <f>TEST_DATA!E9246</f>
        <v/>
      </c>
    </row>
    <row r="9247">
      <c r="A9247">
        <f>TEST_DATA!A9247</f>
        <v/>
      </c>
      <c r="B9247">
        <f>TEST_DATA!B9247</f>
        <v/>
      </c>
      <c r="C9247">
        <f>TEST_DATA!C9247</f>
        <v/>
      </c>
      <c r="D9247">
        <f>TEST_DATA!D9247</f>
        <v/>
      </c>
      <c r="E9247">
        <f>TEST_DATA!E9247</f>
        <v/>
      </c>
    </row>
    <row r="9248">
      <c r="A9248">
        <f>TEST_DATA!A9248</f>
        <v/>
      </c>
      <c r="B9248">
        <f>TEST_DATA!B9248</f>
        <v/>
      </c>
      <c r="C9248">
        <f>TEST_DATA!C9248</f>
        <v/>
      </c>
      <c r="D9248">
        <f>TEST_DATA!D9248</f>
        <v/>
      </c>
      <c r="E9248">
        <f>TEST_DATA!E9248</f>
        <v/>
      </c>
    </row>
    <row r="9249">
      <c r="A9249">
        <f>TEST_DATA!A9249</f>
        <v/>
      </c>
      <c r="B9249">
        <f>TEST_DATA!B9249</f>
        <v/>
      </c>
      <c r="C9249">
        <f>TEST_DATA!C9249</f>
        <v/>
      </c>
      <c r="D9249">
        <f>TEST_DATA!D9249</f>
        <v/>
      </c>
      <c r="E9249">
        <f>TEST_DATA!E9249</f>
        <v/>
      </c>
    </row>
    <row r="9250">
      <c r="A9250">
        <f>TEST_DATA!A9250</f>
        <v/>
      </c>
      <c r="B9250">
        <f>TEST_DATA!B9250</f>
        <v/>
      </c>
      <c r="C9250">
        <f>TEST_DATA!C9250</f>
        <v/>
      </c>
      <c r="D9250">
        <f>TEST_DATA!D9250</f>
        <v/>
      </c>
      <c r="E9250">
        <f>TEST_DATA!E9250</f>
        <v/>
      </c>
    </row>
    <row r="9251">
      <c r="A9251">
        <f>TEST_DATA!A9251</f>
        <v/>
      </c>
      <c r="B9251">
        <f>TEST_DATA!B9251</f>
        <v/>
      </c>
      <c r="C9251">
        <f>TEST_DATA!C9251</f>
        <v/>
      </c>
      <c r="D9251">
        <f>TEST_DATA!D9251</f>
        <v/>
      </c>
      <c r="E9251">
        <f>TEST_DATA!E9251</f>
        <v/>
      </c>
    </row>
    <row r="9252">
      <c r="A9252">
        <f>TEST_DATA!A9252</f>
        <v/>
      </c>
      <c r="B9252">
        <f>TEST_DATA!B9252</f>
        <v/>
      </c>
      <c r="C9252">
        <f>TEST_DATA!C9252</f>
        <v/>
      </c>
      <c r="D9252">
        <f>TEST_DATA!D9252</f>
        <v/>
      </c>
      <c r="E9252">
        <f>TEST_DATA!E9252</f>
        <v/>
      </c>
    </row>
    <row r="9253">
      <c r="A9253">
        <f>TEST_DATA!A9253</f>
        <v/>
      </c>
      <c r="B9253">
        <f>TEST_DATA!B9253</f>
        <v/>
      </c>
      <c r="C9253">
        <f>TEST_DATA!C9253</f>
        <v/>
      </c>
      <c r="D9253">
        <f>TEST_DATA!D9253</f>
        <v/>
      </c>
      <c r="E9253">
        <f>TEST_DATA!E9253</f>
        <v/>
      </c>
    </row>
    <row r="9254">
      <c r="A9254">
        <f>TEST_DATA!A9254</f>
        <v/>
      </c>
      <c r="B9254">
        <f>TEST_DATA!B9254</f>
        <v/>
      </c>
      <c r="C9254">
        <f>TEST_DATA!C9254</f>
        <v/>
      </c>
      <c r="D9254">
        <f>TEST_DATA!D9254</f>
        <v/>
      </c>
      <c r="E9254">
        <f>TEST_DATA!E9254</f>
        <v/>
      </c>
    </row>
    <row r="9255">
      <c r="A9255">
        <f>TEST_DATA!A9255</f>
        <v/>
      </c>
      <c r="B9255">
        <f>TEST_DATA!B9255</f>
        <v/>
      </c>
      <c r="C9255">
        <f>TEST_DATA!C9255</f>
        <v/>
      </c>
      <c r="D9255">
        <f>TEST_DATA!D9255</f>
        <v/>
      </c>
      <c r="E9255">
        <f>TEST_DATA!E9255</f>
        <v/>
      </c>
    </row>
    <row r="9256">
      <c r="A9256">
        <f>TEST_DATA!A9256</f>
        <v/>
      </c>
      <c r="B9256">
        <f>TEST_DATA!B9256</f>
        <v/>
      </c>
      <c r="C9256">
        <f>TEST_DATA!C9256</f>
        <v/>
      </c>
      <c r="D9256">
        <f>TEST_DATA!D9256</f>
        <v/>
      </c>
      <c r="E9256">
        <f>TEST_DATA!E9256</f>
        <v/>
      </c>
    </row>
    <row r="9257">
      <c r="A9257">
        <f>TEST_DATA!A9257</f>
        <v/>
      </c>
      <c r="B9257">
        <f>TEST_DATA!B9257</f>
        <v/>
      </c>
      <c r="C9257">
        <f>TEST_DATA!C9257</f>
        <v/>
      </c>
      <c r="D9257">
        <f>TEST_DATA!D9257</f>
        <v/>
      </c>
      <c r="E9257">
        <f>TEST_DATA!E9257</f>
        <v/>
      </c>
    </row>
    <row r="9258">
      <c r="A9258">
        <f>TEST_DATA!A9258</f>
        <v/>
      </c>
      <c r="B9258">
        <f>TEST_DATA!B9258</f>
        <v/>
      </c>
      <c r="C9258">
        <f>TEST_DATA!C9258</f>
        <v/>
      </c>
      <c r="D9258">
        <f>TEST_DATA!D9258</f>
        <v/>
      </c>
      <c r="E9258">
        <f>TEST_DATA!E9258</f>
        <v/>
      </c>
    </row>
    <row r="9259">
      <c r="A9259">
        <f>TEST_DATA!A9259</f>
        <v/>
      </c>
      <c r="B9259">
        <f>TEST_DATA!B9259</f>
        <v/>
      </c>
      <c r="C9259">
        <f>TEST_DATA!C9259</f>
        <v/>
      </c>
      <c r="D9259">
        <f>TEST_DATA!D9259</f>
        <v/>
      </c>
      <c r="E9259">
        <f>TEST_DATA!E9259</f>
        <v/>
      </c>
    </row>
    <row r="9260">
      <c r="A9260">
        <f>TEST_DATA!A9260</f>
        <v/>
      </c>
      <c r="B9260">
        <f>TEST_DATA!B9260</f>
        <v/>
      </c>
      <c r="C9260">
        <f>TEST_DATA!C9260</f>
        <v/>
      </c>
      <c r="D9260">
        <f>TEST_DATA!D9260</f>
        <v/>
      </c>
      <c r="E9260">
        <f>TEST_DATA!E9260</f>
        <v/>
      </c>
    </row>
    <row r="9261">
      <c r="A9261">
        <f>TEST_DATA!A9261</f>
        <v/>
      </c>
      <c r="B9261">
        <f>TEST_DATA!B9261</f>
        <v/>
      </c>
      <c r="C9261">
        <f>TEST_DATA!C9261</f>
        <v/>
      </c>
      <c r="D9261">
        <f>TEST_DATA!D9261</f>
        <v/>
      </c>
      <c r="E9261">
        <f>TEST_DATA!E9261</f>
        <v/>
      </c>
    </row>
    <row r="9262">
      <c r="A9262">
        <f>TEST_DATA!A9262</f>
        <v/>
      </c>
      <c r="B9262">
        <f>TEST_DATA!B9262</f>
        <v/>
      </c>
      <c r="C9262">
        <f>TEST_DATA!C9262</f>
        <v/>
      </c>
      <c r="D9262">
        <f>TEST_DATA!D9262</f>
        <v/>
      </c>
      <c r="E9262">
        <f>TEST_DATA!E9262</f>
        <v/>
      </c>
    </row>
    <row r="9263">
      <c r="A9263">
        <f>TEST_DATA!A9263</f>
        <v/>
      </c>
      <c r="B9263">
        <f>TEST_DATA!B9263</f>
        <v/>
      </c>
      <c r="C9263">
        <f>TEST_DATA!C9263</f>
        <v/>
      </c>
      <c r="D9263">
        <f>TEST_DATA!D9263</f>
        <v/>
      </c>
      <c r="E9263">
        <f>TEST_DATA!E9263</f>
        <v/>
      </c>
    </row>
    <row r="9264">
      <c r="A9264">
        <f>TEST_DATA!A9264</f>
        <v/>
      </c>
      <c r="B9264">
        <f>TEST_DATA!B9264</f>
        <v/>
      </c>
      <c r="C9264">
        <f>TEST_DATA!C9264</f>
        <v/>
      </c>
      <c r="D9264">
        <f>TEST_DATA!D9264</f>
        <v/>
      </c>
      <c r="E9264">
        <f>TEST_DATA!E9264</f>
        <v/>
      </c>
    </row>
    <row r="9265">
      <c r="A9265">
        <f>TEST_DATA!A9265</f>
        <v/>
      </c>
      <c r="B9265">
        <f>TEST_DATA!B9265</f>
        <v/>
      </c>
      <c r="C9265">
        <f>TEST_DATA!C9265</f>
        <v/>
      </c>
      <c r="D9265">
        <f>TEST_DATA!D9265</f>
        <v/>
      </c>
      <c r="E9265">
        <f>TEST_DATA!E9265</f>
        <v/>
      </c>
    </row>
    <row r="9266">
      <c r="A9266">
        <f>TEST_DATA!A9266</f>
        <v/>
      </c>
      <c r="B9266">
        <f>TEST_DATA!B9266</f>
        <v/>
      </c>
      <c r="C9266">
        <f>TEST_DATA!C9266</f>
        <v/>
      </c>
      <c r="D9266">
        <f>TEST_DATA!D9266</f>
        <v/>
      </c>
      <c r="E9266">
        <f>TEST_DATA!E9266</f>
        <v/>
      </c>
    </row>
    <row r="9267">
      <c r="A9267">
        <f>TEST_DATA!A9267</f>
        <v/>
      </c>
      <c r="B9267">
        <f>TEST_DATA!B9267</f>
        <v/>
      </c>
      <c r="C9267">
        <f>TEST_DATA!C9267</f>
        <v/>
      </c>
      <c r="D9267">
        <f>TEST_DATA!D9267</f>
        <v/>
      </c>
      <c r="E9267">
        <f>TEST_DATA!E9267</f>
        <v/>
      </c>
    </row>
    <row r="9268">
      <c r="A9268">
        <f>TEST_DATA!A9268</f>
        <v/>
      </c>
      <c r="B9268">
        <f>TEST_DATA!B9268</f>
        <v/>
      </c>
      <c r="C9268">
        <f>TEST_DATA!C9268</f>
        <v/>
      </c>
      <c r="D9268">
        <f>TEST_DATA!D9268</f>
        <v/>
      </c>
      <c r="E9268">
        <f>TEST_DATA!E9268</f>
        <v/>
      </c>
    </row>
    <row r="9269">
      <c r="A9269">
        <f>TEST_DATA!A9269</f>
        <v/>
      </c>
      <c r="B9269">
        <f>TEST_DATA!B9269</f>
        <v/>
      </c>
      <c r="C9269">
        <f>TEST_DATA!C9269</f>
        <v/>
      </c>
      <c r="D9269">
        <f>TEST_DATA!D9269</f>
        <v/>
      </c>
      <c r="E9269">
        <f>TEST_DATA!E9269</f>
        <v/>
      </c>
    </row>
    <row r="9270">
      <c r="A9270">
        <f>TEST_DATA!A9270</f>
        <v/>
      </c>
      <c r="B9270">
        <f>TEST_DATA!B9270</f>
        <v/>
      </c>
      <c r="C9270">
        <f>TEST_DATA!C9270</f>
        <v/>
      </c>
      <c r="D9270">
        <f>TEST_DATA!D9270</f>
        <v/>
      </c>
      <c r="E9270">
        <f>TEST_DATA!E9270</f>
        <v/>
      </c>
    </row>
    <row r="9271">
      <c r="A9271">
        <f>TEST_DATA!A9271</f>
        <v/>
      </c>
      <c r="B9271">
        <f>TEST_DATA!B9271</f>
        <v/>
      </c>
      <c r="C9271">
        <f>TEST_DATA!C9271</f>
        <v/>
      </c>
      <c r="D9271">
        <f>TEST_DATA!D9271</f>
        <v/>
      </c>
      <c r="E9271">
        <f>TEST_DATA!E9271</f>
        <v/>
      </c>
    </row>
    <row r="9272">
      <c r="A9272">
        <f>TEST_DATA!A9272</f>
        <v/>
      </c>
      <c r="B9272">
        <f>TEST_DATA!B9272</f>
        <v/>
      </c>
      <c r="C9272">
        <f>TEST_DATA!C9272</f>
        <v/>
      </c>
      <c r="D9272">
        <f>TEST_DATA!D9272</f>
        <v/>
      </c>
      <c r="E9272">
        <f>TEST_DATA!E9272</f>
        <v/>
      </c>
    </row>
    <row r="9273">
      <c r="A9273">
        <f>TEST_DATA!A9273</f>
        <v/>
      </c>
      <c r="B9273">
        <f>TEST_DATA!B9273</f>
        <v/>
      </c>
      <c r="C9273">
        <f>TEST_DATA!C9273</f>
        <v/>
      </c>
      <c r="D9273">
        <f>TEST_DATA!D9273</f>
        <v/>
      </c>
      <c r="E9273">
        <f>TEST_DATA!E9273</f>
        <v/>
      </c>
    </row>
    <row r="9274">
      <c r="A9274">
        <f>TEST_DATA!A9274</f>
        <v/>
      </c>
      <c r="B9274">
        <f>TEST_DATA!B9274</f>
        <v/>
      </c>
      <c r="C9274">
        <f>TEST_DATA!C9274</f>
        <v/>
      </c>
      <c r="D9274">
        <f>TEST_DATA!D9274</f>
        <v/>
      </c>
      <c r="E9274">
        <f>TEST_DATA!E9274</f>
        <v/>
      </c>
    </row>
    <row r="9275">
      <c r="A9275">
        <f>TEST_DATA!A9275</f>
        <v/>
      </c>
      <c r="B9275">
        <f>TEST_DATA!B9275</f>
        <v/>
      </c>
      <c r="C9275">
        <f>TEST_DATA!C9275</f>
        <v/>
      </c>
      <c r="D9275">
        <f>TEST_DATA!D9275</f>
        <v/>
      </c>
      <c r="E9275">
        <f>TEST_DATA!E9275</f>
        <v/>
      </c>
    </row>
    <row r="9276">
      <c r="A9276">
        <f>TEST_DATA!A9276</f>
        <v/>
      </c>
      <c r="B9276">
        <f>TEST_DATA!B9276</f>
        <v/>
      </c>
      <c r="C9276">
        <f>TEST_DATA!C9276</f>
        <v/>
      </c>
      <c r="D9276">
        <f>TEST_DATA!D9276</f>
        <v/>
      </c>
      <c r="E9276">
        <f>TEST_DATA!E9276</f>
        <v/>
      </c>
    </row>
    <row r="9277">
      <c r="A9277">
        <f>TEST_DATA!A9277</f>
        <v/>
      </c>
      <c r="B9277">
        <f>TEST_DATA!B9277</f>
        <v/>
      </c>
      <c r="C9277">
        <f>TEST_DATA!C9277</f>
        <v/>
      </c>
      <c r="D9277">
        <f>TEST_DATA!D9277</f>
        <v/>
      </c>
      <c r="E9277">
        <f>TEST_DATA!E9277</f>
        <v/>
      </c>
    </row>
    <row r="9278">
      <c r="A9278">
        <f>TEST_DATA!A9278</f>
        <v/>
      </c>
      <c r="B9278">
        <f>TEST_DATA!B9278</f>
        <v/>
      </c>
      <c r="C9278">
        <f>TEST_DATA!C9278</f>
        <v/>
      </c>
      <c r="D9278">
        <f>TEST_DATA!D9278</f>
        <v/>
      </c>
      <c r="E9278">
        <f>TEST_DATA!E9278</f>
        <v/>
      </c>
    </row>
    <row r="9279">
      <c r="A9279">
        <f>TEST_DATA!A9279</f>
        <v/>
      </c>
      <c r="B9279">
        <f>TEST_DATA!B9279</f>
        <v/>
      </c>
      <c r="C9279">
        <f>TEST_DATA!C9279</f>
        <v/>
      </c>
      <c r="D9279">
        <f>TEST_DATA!D9279</f>
        <v/>
      </c>
      <c r="E9279">
        <f>TEST_DATA!E9279</f>
        <v/>
      </c>
    </row>
    <row r="9280">
      <c r="A9280">
        <f>TEST_DATA!A9280</f>
        <v/>
      </c>
      <c r="B9280">
        <f>TEST_DATA!B9280</f>
        <v/>
      </c>
      <c r="C9280">
        <f>TEST_DATA!C9280</f>
        <v/>
      </c>
      <c r="D9280">
        <f>TEST_DATA!D9280</f>
        <v/>
      </c>
      <c r="E9280">
        <f>TEST_DATA!E9280</f>
        <v/>
      </c>
    </row>
    <row r="9281">
      <c r="A9281">
        <f>TEST_DATA!A9281</f>
        <v/>
      </c>
      <c r="B9281">
        <f>TEST_DATA!B9281</f>
        <v/>
      </c>
      <c r="C9281">
        <f>TEST_DATA!C9281</f>
        <v/>
      </c>
      <c r="D9281">
        <f>TEST_DATA!D9281</f>
        <v/>
      </c>
      <c r="E9281">
        <f>TEST_DATA!E9281</f>
        <v/>
      </c>
    </row>
    <row r="9282">
      <c r="A9282">
        <f>TEST_DATA!A9282</f>
        <v/>
      </c>
      <c r="B9282">
        <f>TEST_DATA!B9282</f>
        <v/>
      </c>
      <c r="C9282">
        <f>TEST_DATA!C9282</f>
        <v/>
      </c>
      <c r="D9282">
        <f>TEST_DATA!D9282</f>
        <v/>
      </c>
      <c r="E9282">
        <f>TEST_DATA!E9282</f>
        <v/>
      </c>
    </row>
    <row r="9283">
      <c r="A9283">
        <f>TEST_DATA!A9283</f>
        <v/>
      </c>
      <c r="B9283">
        <f>TEST_DATA!B9283</f>
        <v/>
      </c>
      <c r="C9283">
        <f>TEST_DATA!C9283</f>
        <v/>
      </c>
      <c r="D9283">
        <f>TEST_DATA!D9283</f>
        <v/>
      </c>
      <c r="E9283">
        <f>TEST_DATA!E9283</f>
        <v/>
      </c>
    </row>
    <row r="9284">
      <c r="A9284">
        <f>TEST_DATA!A9284</f>
        <v/>
      </c>
      <c r="B9284">
        <f>TEST_DATA!B9284</f>
        <v/>
      </c>
      <c r="C9284">
        <f>TEST_DATA!C9284</f>
        <v/>
      </c>
      <c r="D9284">
        <f>TEST_DATA!D9284</f>
        <v/>
      </c>
      <c r="E9284">
        <f>TEST_DATA!E9284</f>
        <v/>
      </c>
    </row>
    <row r="9285">
      <c r="A9285">
        <f>TEST_DATA!A9285</f>
        <v/>
      </c>
      <c r="B9285">
        <f>TEST_DATA!B9285</f>
        <v/>
      </c>
      <c r="C9285">
        <f>TEST_DATA!C9285</f>
        <v/>
      </c>
      <c r="D9285">
        <f>TEST_DATA!D9285</f>
        <v/>
      </c>
      <c r="E9285">
        <f>TEST_DATA!E9285</f>
        <v/>
      </c>
    </row>
    <row r="9286">
      <c r="A9286">
        <f>TEST_DATA!A9286</f>
        <v/>
      </c>
      <c r="B9286">
        <f>TEST_DATA!B9286</f>
        <v/>
      </c>
      <c r="C9286">
        <f>TEST_DATA!C9286</f>
        <v/>
      </c>
      <c r="D9286">
        <f>TEST_DATA!D9286</f>
        <v/>
      </c>
      <c r="E9286">
        <f>TEST_DATA!E9286</f>
        <v/>
      </c>
    </row>
    <row r="9287">
      <c r="A9287">
        <f>TEST_DATA!A9287</f>
        <v/>
      </c>
      <c r="B9287">
        <f>TEST_DATA!B9287</f>
        <v/>
      </c>
      <c r="C9287">
        <f>TEST_DATA!C9287</f>
        <v/>
      </c>
      <c r="D9287">
        <f>TEST_DATA!D9287</f>
        <v/>
      </c>
      <c r="E9287">
        <f>TEST_DATA!E9287</f>
        <v/>
      </c>
    </row>
    <row r="9288">
      <c r="A9288">
        <f>TEST_DATA!A9288</f>
        <v/>
      </c>
      <c r="B9288">
        <f>TEST_DATA!B9288</f>
        <v/>
      </c>
      <c r="C9288">
        <f>TEST_DATA!C9288</f>
        <v/>
      </c>
      <c r="D9288">
        <f>TEST_DATA!D9288</f>
        <v/>
      </c>
      <c r="E9288">
        <f>TEST_DATA!E9288</f>
        <v/>
      </c>
    </row>
    <row r="9289">
      <c r="A9289">
        <f>TEST_DATA!A9289</f>
        <v/>
      </c>
      <c r="B9289">
        <f>TEST_DATA!B9289</f>
        <v/>
      </c>
      <c r="C9289">
        <f>TEST_DATA!C9289</f>
        <v/>
      </c>
      <c r="D9289">
        <f>TEST_DATA!D9289</f>
        <v/>
      </c>
      <c r="E9289">
        <f>TEST_DATA!E9289</f>
        <v/>
      </c>
    </row>
    <row r="9290">
      <c r="A9290">
        <f>TEST_DATA!A9290</f>
        <v/>
      </c>
      <c r="B9290">
        <f>TEST_DATA!B9290</f>
        <v/>
      </c>
      <c r="C9290">
        <f>TEST_DATA!C9290</f>
        <v/>
      </c>
      <c r="D9290">
        <f>TEST_DATA!D9290</f>
        <v/>
      </c>
      <c r="E9290">
        <f>TEST_DATA!E9290</f>
        <v/>
      </c>
    </row>
    <row r="9291">
      <c r="A9291">
        <f>TEST_DATA!A9291</f>
        <v/>
      </c>
      <c r="B9291">
        <f>TEST_DATA!B9291</f>
        <v/>
      </c>
      <c r="C9291">
        <f>TEST_DATA!C9291</f>
        <v/>
      </c>
      <c r="D9291">
        <f>TEST_DATA!D9291</f>
        <v/>
      </c>
      <c r="E9291">
        <f>TEST_DATA!E9291</f>
        <v/>
      </c>
    </row>
    <row r="9292">
      <c r="A9292">
        <f>TEST_DATA!A9292</f>
        <v/>
      </c>
      <c r="B9292">
        <f>TEST_DATA!B9292</f>
        <v/>
      </c>
      <c r="C9292">
        <f>TEST_DATA!C9292</f>
        <v/>
      </c>
      <c r="D9292">
        <f>TEST_DATA!D9292</f>
        <v/>
      </c>
      <c r="E9292">
        <f>TEST_DATA!E9292</f>
        <v/>
      </c>
    </row>
    <row r="9293">
      <c r="A9293">
        <f>TEST_DATA!A9293</f>
        <v/>
      </c>
      <c r="B9293">
        <f>TEST_DATA!B9293</f>
        <v/>
      </c>
      <c r="C9293">
        <f>TEST_DATA!C9293</f>
        <v/>
      </c>
      <c r="D9293">
        <f>TEST_DATA!D9293</f>
        <v/>
      </c>
      <c r="E9293">
        <f>TEST_DATA!E9293</f>
        <v/>
      </c>
    </row>
    <row r="9294">
      <c r="A9294">
        <f>TEST_DATA!A9294</f>
        <v/>
      </c>
      <c r="B9294">
        <f>TEST_DATA!B9294</f>
        <v/>
      </c>
      <c r="C9294">
        <f>TEST_DATA!C9294</f>
        <v/>
      </c>
      <c r="D9294">
        <f>TEST_DATA!D9294</f>
        <v/>
      </c>
      <c r="E9294">
        <f>TEST_DATA!E9294</f>
        <v/>
      </c>
    </row>
    <row r="9295">
      <c r="A9295">
        <f>TEST_DATA!A9295</f>
        <v/>
      </c>
      <c r="B9295">
        <f>TEST_DATA!B9295</f>
        <v/>
      </c>
      <c r="C9295">
        <f>TEST_DATA!C9295</f>
        <v/>
      </c>
      <c r="D9295">
        <f>TEST_DATA!D9295</f>
        <v/>
      </c>
      <c r="E9295">
        <f>TEST_DATA!E9295</f>
        <v/>
      </c>
    </row>
    <row r="9296">
      <c r="A9296">
        <f>TEST_DATA!A9296</f>
        <v/>
      </c>
      <c r="B9296">
        <f>TEST_DATA!B9296</f>
        <v/>
      </c>
      <c r="C9296">
        <f>TEST_DATA!C9296</f>
        <v/>
      </c>
      <c r="D9296">
        <f>TEST_DATA!D9296</f>
        <v/>
      </c>
      <c r="E9296">
        <f>TEST_DATA!E9296</f>
        <v/>
      </c>
    </row>
    <row r="9297">
      <c r="A9297">
        <f>TEST_DATA!A9297</f>
        <v/>
      </c>
      <c r="B9297">
        <f>TEST_DATA!B9297</f>
        <v/>
      </c>
      <c r="C9297">
        <f>TEST_DATA!C9297</f>
        <v/>
      </c>
      <c r="D9297">
        <f>TEST_DATA!D9297</f>
        <v/>
      </c>
      <c r="E9297">
        <f>TEST_DATA!E9297</f>
        <v/>
      </c>
    </row>
    <row r="9298">
      <c r="A9298">
        <f>TEST_DATA!A9298</f>
        <v/>
      </c>
      <c r="B9298">
        <f>TEST_DATA!B9298</f>
        <v/>
      </c>
      <c r="C9298">
        <f>TEST_DATA!C9298</f>
        <v/>
      </c>
      <c r="D9298">
        <f>TEST_DATA!D9298</f>
        <v/>
      </c>
      <c r="E9298">
        <f>TEST_DATA!E9298</f>
        <v/>
      </c>
    </row>
    <row r="9299">
      <c r="A9299">
        <f>TEST_DATA!A9299</f>
        <v/>
      </c>
      <c r="B9299">
        <f>TEST_DATA!B9299</f>
        <v/>
      </c>
      <c r="C9299">
        <f>TEST_DATA!C9299</f>
        <v/>
      </c>
      <c r="D9299">
        <f>TEST_DATA!D9299</f>
        <v/>
      </c>
      <c r="E9299">
        <f>TEST_DATA!E9299</f>
        <v/>
      </c>
    </row>
    <row r="9300">
      <c r="A9300">
        <f>TEST_DATA!A9300</f>
        <v/>
      </c>
      <c r="B9300">
        <f>TEST_DATA!B9300</f>
        <v/>
      </c>
      <c r="C9300">
        <f>TEST_DATA!C9300</f>
        <v/>
      </c>
      <c r="D9300">
        <f>TEST_DATA!D9300</f>
        <v/>
      </c>
      <c r="E9300">
        <f>TEST_DATA!E9300</f>
        <v/>
      </c>
    </row>
    <row r="9301">
      <c r="A9301">
        <f>TEST_DATA!A9301</f>
        <v/>
      </c>
      <c r="B9301">
        <f>TEST_DATA!B9301</f>
        <v/>
      </c>
      <c r="C9301">
        <f>TEST_DATA!C9301</f>
        <v/>
      </c>
      <c r="D9301">
        <f>TEST_DATA!D9301</f>
        <v/>
      </c>
      <c r="E9301">
        <f>TEST_DATA!E9301</f>
        <v/>
      </c>
    </row>
    <row r="9302">
      <c r="A9302">
        <f>TEST_DATA!A9302</f>
        <v/>
      </c>
      <c r="B9302">
        <f>TEST_DATA!B9302</f>
        <v/>
      </c>
      <c r="C9302">
        <f>TEST_DATA!C9302</f>
        <v/>
      </c>
      <c r="D9302">
        <f>TEST_DATA!D9302</f>
        <v/>
      </c>
      <c r="E9302">
        <f>TEST_DATA!E9302</f>
        <v/>
      </c>
    </row>
    <row r="9303">
      <c r="A9303">
        <f>TEST_DATA!A9303</f>
        <v/>
      </c>
      <c r="B9303">
        <f>TEST_DATA!B9303</f>
        <v/>
      </c>
      <c r="C9303">
        <f>TEST_DATA!C9303</f>
        <v/>
      </c>
      <c r="D9303">
        <f>TEST_DATA!D9303</f>
        <v/>
      </c>
      <c r="E9303">
        <f>TEST_DATA!E9303</f>
        <v/>
      </c>
    </row>
    <row r="9304">
      <c r="A9304">
        <f>TEST_DATA!A9304</f>
        <v/>
      </c>
      <c r="B9304">
        <f>TEST_DATA!B9304</f>
        <v/>
      </c>
      <c r="C9304">
        <f>TEST_DATA!C9304</f>
        <v/>
      </c>
      <c r="D9304">
        <f>TEST_DATA!D9304</f>
        <v/>
      </c>
      <c r="E9304">
        <f>TEST_DATA!E9304</f>
        <v/>
      </c>
    </row>
    <row r="9305">
      <c r="A9305">
        <f>TEST_DATA!A9305</f>
        <v/>
      </c>
      <c r="B9305">
        <f>TEST_DATA!B9305</f>
        <v/>
      </c>
      <c r="C9305">
        <f>TEST_DATA!C9305</f>
        <v/>
      </c>
      <c r="D9305">
        <f>TEST_DATA!D9305</f>
        <v/>
      </c>
      <c r="E9305">
        <f>TEST_DATA!E9305</f>
        <v/>
      </c>
    </row>
    <row r="9306">
      <c r="A9306">
        <f>TEST_DATA!A9306</f>
        <v/>
      </c>
      <c r="B9306">
        <f>TEST_DATA!B9306</f>
        <v/>
      </c>
      <c r="C9306">
        <f>TEST_DATA!C9306</f>
        <v/>
      </c>
      <c r="D9306">
        <f>TEST_DATA!D9306</f>
        <v/>
      </c>
      <c r="E9306">
        <f>TEST_DATA!E9306</f>
        <v/>
      </c>
    </row>
    <row r="9307">
      <c r="A9307">
        <f>TEST_DATA!A9307</f>
        <v/>
      </c>
      <c r="B9307">
        <f>TEST_DATA!B9307</f>
        <v/>
      </c>
      <c r="C9307">
        <f>TEST_DATA!C9307</f>
        <v/>
      </c>
      <c r="D9307">
        <f>TEST_DATA!D9307</f>
        <v/>
      </c>
      <c r="E9307">
        <f>TEST_DATA!E9307</f>
        <v/>
      </c>
    </row>
    <row r="9308">
      <c r="A9308">
        <f>TEST_DATA!A9308</f>
        <v/>
      </c>
      <c r="B9308">
        <f>TEST_DATA!B9308</f>
        <v/>
      </c>
      <c r="C9308">
        <f>TEST_DATA!C9308</f>
        <v/>
      </c>
      <c r="D9308">
        <f>TEST_DATA!D9308</f>
        <v/>
      </c>
      <c r="E9308">
        <f>TEST_DATA!E9308</f>
        <v/>
      </c>
    </row>
    <row r="9309">
      <c r="A9309">
        <f>TEST_DATA!A9309</f>
        <v/>
      </c>
      <c r="B9309">
        <f>TEST_DATA!B9309</f>
        <v/>
      </c>
      <c r="C9309">
        <f>TEST_DATA!C9309</f>
        <v/>
      </c>
      <c r="D9309">
        <f>TEST_DATA!D9309</f>
        <v/>
      </c>
      <c r="E9309">
        <f>TEST_DATA!E9309</f>
        <v/>
      </c>
    </row>
    <row r="9310">
      <c r="A9310">
        <f>TEST_DATA!A9310</f>
        <v/>
      </c>
      <c r="B9310">
        <f>TEST_DATA!B9310</f>
        <v/>
      </c>
      <c r="C9310">
        <f>TEST_DATA!C9310</f>
        <v/>
      </c>
      <c r="D9310">
        <f>TEST_DATA!D9310</f>
        <v/>
      </c>
      <c r="E9310">
        <f>TEST_DATA!E9310</f>
        <v/>
      </c>
    </row>
    <row r="9311">
      <c r="A9311">
        <f>TEST_DATA!A9311</f>
        <v/>
      </c>
      <c r="B9311">
        <f>TEST_DATA!B9311</f>
        <v/>
      </c>
      <c r="C9311">
        <f>TEST_DATA!C9311</f>
        <v/>
      </c>
      <c r="D9311">
        <f>TEST_DATA!D9311</f>
        <v/>
      </c>
      <c r="E9311">
        <f>TEST_DATA!E9311</f>
        <v/>
      </c>
    </row>
    <row r="9312">
      <c r="A9312">
        <f>TEST_DATA!A9312</f>
        <v/>
      </c>
      <c r="B9312">
        <f>TEST_DATA!B9312</f>
        <v/>
      </c>
      <c r="C9312">
        <f>TEST_DATA!C9312</f>
        <v/>
      </c>
      <c r="D9312">
        <f>TEST_DATA!D9312</f>
        <v/>
      </c>
      <c r="E9312">
        <f>TEST_DATA!E9312</f>
        <v/>
      </c>
    </row>
    <row r="9313">
      <c r="A9313">
        <f>TEST_DATA!A9313</f>
        <v/>
      </c>
      <c r="B9313">
        <f>TEST_DATA!B9313</f>
        <v/>
      </c>
      <c r="C9313">
        <f>TEST_DATA!C9313</f>
        <v/>
      </c>
      <c r="D9313">
        <f>TEST_DATA!D9313</f>
        <v/>
      </c>
      <c r="E9313">
        <f>TEST_DATA!E9313</f>
        <v/>
      </c>
    </row>
    <row r="9314">
      <c r="A9314">
        <f>TEST_DATA!A9314</f>
        <v/>
      </c>
      <c r="B9314">
        <f>TEST_DATA!B9314</f>
        <v/>
      </c>
      <c r="C9314">
        <f>TEST_DATA!C9314</f>
        <v/>
      </c>
      <c r="D9314">
        <f>TEST_DATA!D9314</f>
        <v/>
      </c>
      <c r="E9314">
        <f>TEST_DATA!E9314</f>
        <v/>
      </c>
    </row>
    <row r="9315">
      <c r="A9315">
        <f>TEST_DATA!A9315</f>
        <v/>
      </c>
      <c r="B9315">
        <f>TEST_DATA!B9315</f>
        <v/>
      </c>
      <c r="C9315">
        <f>TEST_DATA!C9315</f>
        <v/>
      </c>
      <c r="D9315">
        <f>TEST_DATA!D9315</f>
        <v/>
      </c>
      <c r="E9315">
        <f>TEST_DATA!E9315</f>
        <v/>
      </c>
    </row>
    <row r="9316">
      <c r="A9316">
        <f>TEST_DATA!A9316</f>
        <v/>
      </c>
      <c r="B9316">
        <f>TEST_DATA!B9316</f>
        <v/>
      </c>
      <c r="C9316">
        <f>TEST_DATA!C9316</f>
        <v/>
      </c>
      <c r="D9316">
        <f>TEST_DATA!D9316</f>
        <v/>
      </c>
      <c r="E9316">
        <f>TEST_DATA!E9316</f>
        <v/>
      </c>
    </row>
    <row r="9317">
      <c r="A9317">
        <f>TEST_DATA!A9317</f>
        <v/>
      </c>
      <c r="B9317">
        <f>TEST_DATA!B9317</f>
        <v/>
      </c>
      <c r="C9317">
        <f>TEST_DATA!C9317</f>
        <v/>
      </c>
      <c r="D9317">
        <f>TEST_DATA!D9317</f>
        <v/>
      </c>
      <c r="E9317">
        <f>TEST_DATA!E9317</f>
        <v/>
      </c>
    </row>
    <row r="9318">
      <c r="A9318">
        <f>TEST_DATA!A9318</f>
        <v/>
      </c>
      <c r="B9318">
        <f>TEST_DATA!B9318</f>
        <v/>
      </c>
      <c r="C9318">
        <f>TEST_DATA!C9318</f>
        <v/>
      </c>
      <c r="D9318">
        <f>TEST_DATA!D9318</f>
        <v/>
      </c>
      <c r="E9318">
        <f>TEST_DATA!E9318</f>
        <v/>
      </c>
    </row>
    <row r="9319">
      <c r="A9319">
        <f>TEST_DATA!A9319</f>
        <v/>
      </c>
      <c r="B9319">
        <f>TEST_DATA!B9319</f>
        <v/>
      </c>
      <c r="C9319">
        <f>TEST_DATA!C9319</f>
        <v/>
      </c>
      <c r="D9319">
        <f>TEST_DATA!D9319</f>
        <v/>
      </c>
      <c r="E9319">
        <f>TEST_DATA!E9319</f>
        <v/>
      </c>
    </row>
    <row r="9320">
      <c r="A9320">
        <f>TEST_DATA!A9320</f>
        <v/>
      </c>
      <c r="B9320">
        <f>TEST_DATA!B9320</f>
        <v/>
      </c>
      <c r="C9320">
        <f>TEST_DATA!C9320</f>
        <v/>
      </c>
      <c r="D9320">
        <f>TEST_DATA!D9320</f>
        <v/>
      </c>
      <c r="E9320">
        <f>TEST_DATA!E9320</f>
        <v/>
      </c>
    </row>
    <row r="9321">
      <c r="A9321">
        <f>TEST_DATA!A9321</f>
        <v/>
      </c>
      <c r="B9321">
        <f>TEST_DATA!B9321</f>
        <v/>
      </c>
      <c r="C9321">
        <f>TEST_DATA!C9321</f>
        <v/>
      </c>
      <c r="D9321">
        <f>TEST_DATA!D9321</f>
        <v/>
      </c>
      <c r="E9321">
        <f>TEST_DATA!E9321</f>
        <v/>
      </c>
    </row>
    <row r="9322">
      <c r="A9322">
        <f>TEST_DATA!A9322</f>
        <v/>
      </c>
      <c r="B9322">
        <f>TEST_DATA!B9322</f>
        <v/>
      </c>
      <c r="C9322">
        <f>TEST_DATA!C9322</f>
        <v/>
      </c>
      <c r="D9322">
        <f>TEST_DATA!D9322</f>
        <v/>
      </c>
      <c r="E9322">
        <f>TEST_DATA!E9322</f>
        <v/>
      </c>
    </row>
    <row r="9323">
      <c r="A9323">
        <f>TEST_DATA!A9323</f>
        <v/>
      </c>
      <c r="B9323">
        <f>TEST_DATA!B9323</f>
        <v/>
      </c>
      <c r="C9323">
        <f>TEST_DATA!C9323</f>
        <v/>
      </c>
      <c r="D9323">
        <f>TEST_DATA!D9323</f>
        <v/>
      </c>
      <c r="E9323">
        <f>TEST_DATA!E9323</f>
        <v/>
      </c>
    </row>
    <row r="9324">
      <c r="A9324">
        <f>TEST_DATA!A9324</f>
        <v/>
      </c>
      <c r="B9324">
        <f>TEST_DATA!B9324</f>
        <v/>
      </c>
      <c r="C9324">
        <f>TEST_DATA!C9324</f>
        <v/>
      </c>
      <c r="D9324">
        <f>TEST_DATA!D9324</f>
        <v/>
      </c>
      <c r="E9324">
        <f>TEST_DATA!E9324</f>
        <v/>
      </c>
    </row>
    <row r="9325">
      <c r="A9325">
        <f>TEST_DATA!A9325</f>
        <v/>
      </c>
      <c r="B9325">
        <f>TEST_DATA!B9325</f>
        <v/>
      </c>
      <c r="C9325">
        <f>TEST_DATA!C9325</f>
        <v/>
      </c>
      <c r="D9325">
        <f>TEST_DATA!D9325</f>
        <v/>
      </c>
      <c r="E9325">
        <f>TEST_DATA!E9325</f>
        <v/>
      </c>
    </row>
    <row r="9326">
      <c r="A9326">
        <f>TEST_DATA!A9326</f>
        <v/>
      </c>
      <c r="B9326">
        <f>TEST_DATA!B9326</f>
        <v/>
      </c>
      <c r="C9326">
        <f>TEST_DATA!C9326</f>
        <v/>
      </c>
      <c r="D9326">
        <f>TEST_DATA!D9326</f>
        <v/>
      </c>
      <c r="E9326">
        <f>TEST_DATA!E9326</f>
        <v/>
      </c>
    </row>
    <row r="9327">
      <c r="A9327">
        <f>TEST_DATA!A9327</f>
        <v/>
      </c>
      <c r="B9327">
        <f>TEST_DATA!B9327</f>
        <v/>
      </c>
      <c r="C9327">
        <f>TEST_DATA!C9327</f>
        <v/>
      </c>
      <c r="D9327">
        <f>TEST_DATA!D9327</f>
        <v/>
      </c>
      <c r="E9327">
        <f>TEST_DATA!E9327</f>
        <v/>
      </c>
    </row>
    <row r="9328">
      <c r="A9328">
        <f>TEST_DATA!A9328</f>
        <v/>
      </c>
      <c r="B9328">
        <f>TEST_DATA!B9328</f>
        <v/>
      </c>
      <c r="C9328">
        <f>TEST_DATA!C9328</f>
        <v/>
      </c>
      <c r="D9328">
        <f>TEST_DATA!D9328</f>
        <v/>
      </c>
      <c r="E9328">
        <f>TEST_DATA!E9328</f>
        <v/>
      </c>
    </row>
    <row r="9329">
      <c r="A9329">
        <f>TEST_DATA!A9329</f>
        <v/>
      </c>
      <c r="B9329">
        <f>TEST_DATA!B9329</f>
        <v/>
      </c>
      <c r="C9329">
        <f>TEST_DATA!C9329</f>
        <v/>
      </c>
      <c r="D9329">
        <f>TEST_DATA!D9329</f>
        <v/>
      </c>
      <c r="E9329">
        <f>TEST_DATA!E9329</f>
        <v/>
      </c>
    </row>
    <row r="9330">
      <c r="A9330">
        <f>TEST_DATA!A9330</f>
        <v/>
      </c>
      <c r="B9330">
        <f>TEST_DATA!B9330</f>
        <v/>
      </c>
      <c r="C9330">
        <f>TEST_DATA!C9330</f>
        <v/>
      </c>
      <c r="D9330">
        <f>TEST_DATA!D9330</f>
        <v/>
      </c>
      <c r="E9330">
        <f>TEST_DATA!E9330</f>
        <v/>
      </c>
    </row>
    <row r="9331">
      <c r="A9331">
        <f>TEST_DATA!A9331</f>
        <v/>
      </c>
      <c r="B9331">
        <f>TEST_DATA!B9331</f>
        <v/>
      </c>
      <c r="C9331">
        <f>TEST_DATA!C9331</f>
        <v/>
      </c>
      <c r="D9331">
        <f>TEST_DATA!D9331</f>
        <v/>
      </c>
      <c r="E9331">
        <f>TEST_DATA!E9331</f>
        <v/>
      </c>
    </row>
    <row r="9332">
      <c r="A9332">
        <f>TEST_DATA!A9332</f>
        <v/>
      </c>
      <c r="B9332">
        <f>TEST_DATA!B9332</f>
        <v/>
      </c>
      <c r="C9332">
        <f>TEST_DATA!C9332</f>
        <v/>
      </c>
      <c r="D9332">
        <f>TEST_DATA!D9332</f>
        <v/>
      </c>
      <c r="E9332">
        <f>TEST_DATA!E9332</f>
        <v/>
      </c>
    </row>
    <row r="9333">
      <c r="A9333">
        <f>TEST_DATA!A9333</f>
        <v/>
      </c>
      <c r="B9333">
        <f>TEST_DATA!B9333</f>
        <v/>
      </c>
      <c r="C9333">
        <f>TEST_DATA!C9333</f>
        <v/>
      </c>
      <c r="D9333">
        <f>TEST_DATA!D9333</f>
        <v/>
      </c>
      <c r="E9333">
        <f>TEST_DATA!E9333</f>
        <v/>
      </c>
    </row>
    <row r="9334">
      <c r="A9334">
        <f>TEST_DATA!A9334</f>
        <v/>
      </c>
      <c r="B9334">
        <f>TEST_DATA!B9334</f>
        <v/>
      </c>
      <c r="C9334">
        <f>TEST_DATA!C9334</f>
        <v/>
      </c>
      <c r="D9334">
        <f>TEST_DATA!D9334</f>
        <v/>
      </c>
      <c r="E9334">
        <f>TEST_DATA!E9334</f>
        <v/>
      </c>
    </row>
    <row r="9335">
      <c r="A9335">
        <f>TEST_DATA!A9335</f>
        <v/>
      </c>
      <c r="B9335">
        <f>TEST_DATA!B9335</f>
        <v/>
      </c>
      <c r="C9335">
        <f>TEST_DATA!C9335</f>
        <v/>
      </c>
      <c r="D9335">
        <f>TEST_DATA!D9335</f>
        <v/>
      </c>
      <c r="E9335">
        <f>TEST_DATA!E9335</f>
        <v/>
      </c>
    </row>
    <row r="9336">
      <c r="A9336">
        <f>TEST_DATA!A9336</f>
        <v/>
      </c>
      <c r="B9336">
        <f>TEST_DATA!B9336</f>
        <v/>
      </c>
      <c r="C9336">
        <f>TEST_DATA!C9336</f>
        <v/>
      </c>
      <c r="D9336">
        <f>TEST_DATA!D9336</f>
        <v/>
      </c>
      <c r="E9336">
        <f>TEST_DATA!E9336</f>
        <v/>
      </c>
    </row>
    <row r="9337">
      <c r="A9337">
        <f>TEST_DATA!A9337</f>
        <v/>
      </c>
      <c r="B9337">
        <f>TEST_DATA!B9337</f>
        <v/>
      </c>
      <c r="C9337">
        <f>TEST_DATA!C9337</f>
        <v/>
      </c>
      <c r="D9337">
        <f>TEST_DATA!D9337</f>
        <v/>
      </c>
      <c r="E9337">
        <f>TEST_DATA!E9337</f>
        <v/>
      </c>
    </row>
    <row r="9338">
      <c r="A9338">
        <f>TEST_DATA!A9338</f>
        <v/>
      </c>
      <c r="B9338">
        <f>TEST_DATA!B9338</f>
        <v/>
      </c>
      <c r="C9338">
        <f>TEST_DATA!C9338</f>
        <v/>
      </c>
      <c r="D9338">
        <f>TEST_DATA!D9338</f>
        <v/>
      </c>
      <c r="E9338">
        <f>TEST_DATA!E9338</f>
        <v/>
      </c>
    </row>
    <row r="9339">
      <c r="A9339">
        <f>TEST_DATA!A9339</f>
        <v/>
      </c>
      <c r="B9339">
        <f>TEST_DATA!B9339</f>
        <v/>
      </c>
      <c r="C9339">
        <f>TEST_DATA!C9339</f>
        <v/>
      </c>
      <c r="D9339">
        <f>TEST_DATA!D9339</f>
        <v/>
      </c>
      <c r="E9339">
        <f>TEST_DATA!E9339</f>
        <v/>
      </c>
    </row>
    <row r="9340">
      <c r="A9340">
        <f>TEST_DATA!A9340</f>
        <v/>
      </c>
      <c r="B9340">
        <f>TEST_DATA!B9340</f>
        <v/>
      </c>
      <c r="C9340">
        <f>TEST_DATA!C9340</f>
        <v/>
      </c>
      <c r="D9340">
        <f>TEST_DATA!D9340</f>
        <v/>
      </c>
      <c r="E9340">
        <f>TEST_DATA!E9340</f>
        <v/>
      </c>
    </row>
    <row r="9341">
      <c r="A9341">
        <f>TEST_DATA!A9341</f>
        <v/>
      </c>
      <c r="B9341">
        <f>TEST_DATA!B9341</f>
        <v/>
      </c>
      <c r="C9341">
        <f>TEST_DATA!C9341</f>
        <v/>
      </c>
      <c r="D9341">
        <f>TEST_DATA!D9341</f>
        <v/>
      </c>
      <c r="E9341">
        <f>TEST_DATA!E9341</f>
        <v/>
      </c>
    </row>
    <row r="9342">
      <c r="A9342">
        <f>TEST_DATA!A9342</f>
        <v/>
      </c>
      <c r="B9342">
        <f>TEST_DATA!B9342</f>
        <v/>
      </c>
      <c r="C9342">
        <f>TEST_DATA!C9342</f>
        <v/>
      </c>
      <c r="D9342">
        <f>TEST_DATA!D9342</f>
        <v/>
      </c>
      <c r="E9342">
        <f>TEST_DATA!E9342</f>
        <v/>
      </c>
    </row>
    <row r="9343">
      <c r="A9343">
        <f>TEST_DATA!A9343</f>
        <v/>
      </c>
      <c r="B9343">
        <f>TEST_DATA!B9343</f>
        <v/>
      </c>
      <c r="C9343">
        <f>TEST_DATA!C9343</f>
        <v/>
      </c>
      <c r="D9343">
        <f>TEST_DATA!D9343</f>
        <v/>
      </c>
      <c r="E9343">
        <f>TEST_DATA!E9343</f>
        <v/>
      </c>
    </row>
    <row r="9344">
      <c r="A9344">
        <f>TEST_DATA!A9344</f>
        <v/>
      </c>
      <c r="B9344">
        <f>TEST_DATA!B9344</f>
        <v/>
      </c>
      <c r="C9344">
        <f>TEST_DATA!C9344</f>
        <v/>
      </c>
      <c r="D9344">
        <f>TEST_DATA!D9344</f>
        <v/>
      </c>
      <c r="E9344">
        <f>TEST_DATA!E9344</f>
        <v/>
      </c>
    </row>
    <row r="9345">
      <c r="A9345">
        <f>TEST_DATA!A9345</f>
        <v/>
      </c>
      <c r="B9345">
        <f>TEST_DATA!B9345</f>
        <v/>
      </c>
      <c r="C9345">
        <f>TEST_DATA!C9345</f>
        <v/>
      </c>
      <c r="D9345">
        <f>TEST_DATA!D9345</f>
        <v/>
      </c>
      <c r="E9345">
        <f>TEST_DATA!E9345</f>
        <v/>
      </c>
    </row>
    <row r="9346">
      <c r="A9346">
        <f>TEST_DATA!A9346</f>
        <v/>
      </c>
      <c r="B9346">
        <f>TEST_DATA!B9346</f>
        <v/>
      </c>
      <c r="C9346">
        <f>TEST_DATA!C9346</f>
        <v/>
      </c>
      <c r="D9346">
        <f>TEST_DATA!D9346</f>
        <v/>
      </c>
      <c r="E9346">
        <f>TEST_DATA!E9346</f>
        <v/>
      </c>
    </row>
    <row r="9347">
      <c r="A9347">
        <f>TEST_DATA!A9347</f>
        <v/>
      </c>
      <c r="B9347">
        <f>TEST_DATA!B9347</f>
        <v/>
      </c>
      <c r="C9347">
        <f>TEST_DATA!C9347</f>
        <v/>
      </c>
      <c r="D9347">
        <f>TEST_DATA!D9347</f>
        <v/>
      </c>
      <c r="E9347">
        <f>TEST_DATA!E9347</f>
        <v/>
      </c>
    </row>
    <row r="9348">
      <c r="A9348">
        <f>TEST_DATA!A9348</f>
        <v/>
      </c>
      <c r="B9348">
        <f>TEST_DATA!B9348</f>
        <v/>
      </c>
      <c r="C9348">
        <f>TEST_DATA!C9348</f>
        <v/>
      </c>
      <c r="D9348">
        <f>TEST_DATA!D9348</f>
        <v/>
      </c>
      <c r="E9348">
        <f>TEST_DATA!E9348</f>
        <v/>
      </c>
    </row>
    <row r="9349">
      <c r="A9349">
        <f>TEST_DATA!A9349</f>
        <v/>
      </c>
      <c r="B9349">
        <f>TEST_DATA!B9349</f>
        <v/>
      </c>
      <c r="C9349">
        <f>TEST_DATA!C9349</f>
        <v/>
      </c>
      <c r="D9349">
        <f>TEST_DATA!D9349</f>
        <v/>
      </c>
      <c r="E9349">
        <f>TEST_DATA!E9349</f>
        <v/>
      </c>
    </row>
    <row r="9350">
      <c r="A9350">
        <f>TEST_DATA!A9350</f>
        <v/>
      </c>
      <c r="B9350">
        <f>TEST_DATA!B9350</f>
        <v/>
      </c>
      <c r="C9350">
        <f>TEST_DATA!C9350</f>
        <v/>
      </c>
      <c r="D9350">
        <f>TEST_DATA!D9350</f>
        <v/>
      </c>
      <c r="E9350">
        <f>TEST_DATA!E9350</f>
        <v/>
      </c>
    </row>
    <row r="9351">
      <c r="A9351">
        <f>TEST_DATA!A9351</f>
        <v/>
      </c>
      <c r="B9351">
        <f>TEST_DATA!B9351</f>
        <v/>
      </c>
      <c r="C9351">
        <f>TEST_DATA!C9351</f>
        <v/>
      </c>
      <c r="D9351">
        <f>TEST_DATA!D9351</f>
        <v/>
      </c>
      <c r="E9351">
        <f>TEST_DATA!E9351</f>
        <v/>
      </c>
    </row>
    <row r="9352">
      <c r="A9352">
        <f>TEST_DATA!A9352</f>
        <v/>
      </c>
      <c r="B9352">
        <f>TEST_DATA!B9352</f>
        <v/>
      </c>
      <c r="C9352">
        <f>TEST_DATA!C9352</f>
        <v/>
      </c>
      <c r="D9352">
        <f>TEST_DATA!D9352</f>
        <v/>
      </c>
      <c r="E9352">
        <f>TEST_DATA!E9352</f>
        <v/>
      </c>
    </row>
    <row r="9353">
      <c r="A9353">
        <f>TEST_DATA!A9353</f>
        <v/>
      </c>
      <c r="B9353">
        <f>TEST_DATA!B9353</f>
        <v/>
      </c>
      <c r="C9353">
        <f>TEST_DATA!C9353</f>
        <v/>
      </c>
      <c r="D9353">
        <f>TEST_DATA!D9353</f>
        <v/>
      </c>
      <c r="E9353">
        <f>TEST_DATA!E9353</f>
        <v/>
      </c>
    </row>
    <row r="9354">
      <c r="A9354">
        <f>TEST_DATA!A9354</f>
        <v/>
      </c>
      <c r="B9354">
        <f>TEST_DATA!B9354</f>
        <v/>
      </c>
      <c r="C9354">
        <f>TEST_DATA!C9354</f>
        <v/>
      </c>
      <c r="D9354">
        <f>TEST_DATA!D9354</f>
        <v/>
      </c>
      <c r="E9354">
        <f>TEST_DATA!E9354</f>
        <v/>
      </c>
    </row>
    <row r="9355">
      <c r="A9355">
        <f>TEST_DATA!A9355</f>
        <v/>
      </c>
      <c r="B9355">
        <f>TEST_DATA!B9355</f>
        <v/>
      </c>
      <c r="C9355">
        <f>TEST_DATA!C9355</f>
        <v/>
      </c>
      <c r="D9355">
        <f>TEST_DATA!D9355</f>
        <v/>
      </c>
      <c r="E9355">
        <f>TEST_DATA!E9355</f>
        <v/>
      </c>
    </row>
    <row r="9356">
      <c r="A9356">
        <f>TEST_DATA!A9356</f>
        <v/>
      </c>
      <c r="B9356">
        <f>TEST_DATA!B9356</f>
        <v/>
      </c>
      <c r="C9356">
        <f>TEST_DATA!C9356</f>
        <v/>
      </c>
      <c r="D9356">
        <f>TEST_DATA!D9356</f>
        <v/>
      </c>
      <c r="E9356">
        <f>TEST_DATA!E9356</f>
        <v/>
      </c>
    </row>
    <row r="9357">
      <c r="A9357">
        <f>TEST_DATA!A9357</f>
        <v/>
      </c>
      <c r="B9357">
        <f>TEST_DATA!B9357</f>
        <v/>
      </c>
      <c r="C9357">
        <f>TEST_DATA!C9357</f>
        <v/>
      </c>
      <c r="D9357">
        <f>TEST_DATA!D9357</f>
        <v/>
      </c>
      <c r="E9357">
        <f>TEST_DATA!E9357</f>
        <v/>
      </c>
    </row>
    <row r="9358">
      <c r="A9358">
        <f>TEST_DATA!A9358</f>
        <v/>
      </c>
      <c r="B9358">
        <f>TEST_DATA!B9358</f>
        <v/>
      </c>
      <c r="C9358">
        <f>TEST_DATA!C9358</f>
        <v/>
      </c>
      <c r="D9358">
        <f>TEST_DATA!D9358</f>
        <v/>
      </c>
      <c r="E9358">
        <f>TEST_DATA!E9358</f>
        <v/>
      </c>
    </row>
    <row r="9359">
      <c r="A9359">
        <f>TEST_DATA!A9359</f>
        <v/>
      </c>
      <c r="B9359">
        <f>TEST_DATA!B9359</f>
        <v/>
      </c>
      <c r="C9359">
        <f>TEST_DATA!C9359</f>
        <v/>
      </c>
      <c r="D9359">
        <f>TEST_DATA!D9359</f>
        <v/>
      </c>
      <c r="E9359">
        <f>TEST_DATA!E9359</f>
        <v/>
      </c>
    </row>
    <row r="9360">
      <c r="A9360">
        <f>TEST_DATA!A9360</f>
        <v/>
      </c>
      <c r="B9360">
        <f>TEST_DATA!B9360</f>
        <v/>
      </c>
      <c r="C9360">
        <f>TEST_DATA!C9360</f>
        <v/>
      </c>
      <c r="D9360">
        <f>TEST_DATA!D9360</f>
        <v/>
      </c>
      <c r="E9360">
        <f>TEST_DATA!E9360</f>
        <v/>
      </c>
    </row>
    <row r="9361">
      <c r="A9361">
        <f>TEST_DATA!A9361</f>
        <v/>
      </c>
      <c r="B9361">
        <f>TEST_DATA!B9361</f>
        <v/>
      </c>
      <c r="C9361">
        <f>TEST_DATA!C9361</f>
        <v/>
      </c>
      <c r="D9361">
        <f>TEST_DATA!D9361</f>
        <v/>
      </c>
      <c r="E9361">
        <f>TEST_DATA!E9361</f>
        <v/>
      </c>
    </row>
    <row r="9362">
      <c r="A9362">
        <f>TEST_DATA!A9362</f>
        <v/>
      </c>
      <c r="B9362">
        <f>TEST_DATA!B9362</f>
        <v/>
      </c>
      <c r="C9362">
        <f>TEST_DATA!C9362</f>
        <v/>
      </c>
      <c r="D9362">
        <f>TEST_DATA!D9362</f>
        <v/>
      </c>
      <c r="E9362">
        <f>TEST_DATA!E9362</f>
        <v/>
      </c>
    </row>
    <row r="9363">
      <c r="A9363">
        <f>TEST_DATA!A9363</f>
        <v/>
      </c>
      <c r="B9363">
        <f>TEST_DATA!B9363</f>
        <v/>
      </c>
      <c r="C9363">
        <f>TEST_DATA!C9363</f>
        <v/>
      </c>
      <c r="D9363">
        <f>TEST_DATA!D9363</f>
        <v/>
      </c>
      <c r="E9363">
        <f>TEST_DATA!E9363</f>
        <v/>
      </c>
    </row>
    <row r="9364">
      <c r="A9364">
        <f>TEST_DATA!A9364</f>
        <v/>
      </c>
      <c r="B9364">
        <f>TEST_DATA!B9364</f>
        <v/>
      </c>
      <c r="C9364">
        <f>TEST_DATA!C9364</f>
        <v/>
      </c>
      <c r="D9364">
        <f>TEST_DATA!D9364</f>
        <v/>
      </c>
      <c r="E9364">
        <f>TEST_DATA!E9364</f>
        <v/>
      </c>
    </row>
    <row r="9365">
      <c r="A9365">
        <f>TEST_DATA!A9365</f>
        <v/>
      </c>
      <c r="B9365">
        <f>TEST_DATA!B9365</f>
        <v/>
      </c>
      <c r="C9365">
        <f>TEST_DATA!C9365</f>
        <v/>
      </c>
      <c r="D9365">
        <f>TEST_DATA!D9365</f>
        <v/>
      </c>
      <c r="E9365">
        <f>TEST_DATA!E9365</f>
        <v/>
      </c>
    </row>
    <row r="9366">
      <c r="A9366">
        <f>TEST_DATA!A9366</f>
        <v/>
      </c>
      <c r="B9366">
        <f>TEST_DATA!B9366</f>
        <v/>
      </c>
      <c r="C9366">
        <f>TEST_DATA!C9366</f>
        <v/>
      </c>
      <c r="D9366">
        <f>TEST_DATA!D9366</f>
        <v/>
      </c>
      <c r="E9366">
        <f>TEST_DATA!E9366</f>
        <v/>
      </c>
    </row>
    <row r="9367">
      <c r="A9367">
        <f>TEST_DATA!A9367</f>
        <v/>
      </c>
      <c r="B9367">
        <f>TEST_DATA!B9367</f>
        <v/>
      </c>
      <c r="C9367">
        <f>TEST_DATA!C9367</f>
        <v/>
      </c>
      <c r="D9367">
        <f>TEST_DATA!D9367</f>
        <v/>
      </c>
      <c r="E9367">
        <f>TEST_DATA!E9367</f>
        <v/>
      </c>
    </row>
    <row r="9368">
      <c r="A9368">
        <f>TEST_DATA!A9368</f>
        <v/>
      </c>
      <c r="B9368">
        <f>TEST_DATA!B9368</f>
        <v/>
      </c>
      <c r="C9368">
        <f>TEST_DATA!C9368</f>
        <v/>
      </c>
      <c r="D9368">
        <f>TEST_DATA!D9368</f>
        <v/>
      </c>
      <c r="E9368">
        <f>TEST_DATA!E9368</f>
        <v/>
      </c>
    </row>
    <row r="9369">
      <c r="A9369">
        <f>TEST_DATA!A9369</f>
        <v/>
      </c>
      <c r="B9369">
        <f>TEST_DATA!B9369</f>
        <v/>
      </c>
      <c r="C9369">
        <f>TEST_DATA!C9369</f>
        <v/>
      </c>
      <c r="D9369">
        <f>TEST_DATA!D9369</f>
        <v/>
      </c>
      <c r="E9369">
        <f>TEST_DATA!E9369</f>
        <v/>
      </c>
    </row>
    <row r="9370">
      <c r="A9370">
        <f>TEST_DATA!A9370</f>
        <v/>
      </c>
      <c r="B9370">
        <f>TEST_DATA!B9370</f>
        <v/>
      </c>
      <c r="C9370">
        <f>TEST_DATA!C9370</f>
        <v/>
      </c>
      <c r="D9370">
        <f>TEST_DATA!D9370</f>
        <v/>
      </c>
      <c r="E9370">
        <f>TEST_DATA!E9370</f>
        <v/>
      </c>
    </row>
    <row r="9371">
      <c r="A9371">
        <f>TEST_DATA!A9371</f>
        <v/>
      </c>
      <c r="B9371">
        <f>TEST_DATA!B9371</f>
        <v/>
      </c>
      <c r="C9371">
        <f>TEST_DATA!C9371</f>
        <v/>
      </c>
      <c r="D9371">
        <f>TEST_DATA!D9371</f>
        <v/>
      </c>
      <c r="E9371">
        <f>TEST_DATA!E9371</f>
        <v/>
      </c>
    </row>
    <row r="9372">
      <c r="A9372">
        <f>TEST_DATA!A9372</f>
        <v/>
      </c>
      <c r="B9372">
        <f>TEST_DATA!B9372</f>
        <v/>
      </c>
      <c r="C9372">
        <f>TEST_DATA!C9372</f>
        <v/>
      </c>
      <c r="D9372">
        <f>TEST_DATA!D9372</f>
        <v/>
      </c>
      <c r="E9372">
        <f>TEST_DATA!E9372</f>
        <v/>
      </c>
    </row>
    <row r="9373">
      <c r="A9373">
        <f>TEST_DATA!A9373</f>
        <v/>
      </c>
      <c r="B9373">
        <f>TEST_DATA!B9373</f>
        <v/>
      </c>
      <c r="C9373">
        <f>TEST_DATA!C9373</f>
        <v/>
      </c>
      <c r="D9373">
        <f>TEST_DATA!D9373</f>
        <v/>
      </c>
      <c r="E9373">
        <f>TEST_DATA!E9373</f>
        <v/>
      </c>
    </row>
    <row r="9374">
      <c r="A9374">
        <f>TEST_DATA!A9374</f>
        <v/>
      </c>
      <c r="B9374">
        <f>TEST_DATA!B9374</f>
        <v/>
      </c>
      <c r="C9374">
        <f>TEST_DATA!C9374</f>
        <v/>
      </c>
      <c r="D9374">
        <f>TEST_DATA!D9374</f>
        <v/>
      </c>
      <c r="E9374">
        <f>TEST_DATA!E9374</f>
        <v/>
      </c>
    </row>
    <row r="9375">
      <c r="A9375">
        <f>TEST_DATA!A9375</f>
        <v/>
      </c>
      <c r="B9375">
        <f>TEST_DATA!B9375</f>
        <v/>
      </c>
      <c r="C9375">
        <f>TEST_DATA!C9375</f>
        <v/>
      </c>
      <c r="D9375">
        <f>TEST_DATA!D9375</f>
        <v/>
      </c>
      <c r="E9375">
        <f>TEST_DATA!E9375</f>
        <v/>
      </c>
    </row>
    <row r="9376">
      <c r="A9376">
        <f>TEST_DATA!A9376</f>
        <v/>
      </c>
      <c r="B9376">
        <f>TEST_DATA!B9376</f>
        <v/>
      </c>
      <c r="C9376">
        <f>TEST_DATA!C9376</f>
        <v/>
      </c>
      <c r="D9376">
        <f>TEST_DATA!D9376</f>
        <v/>
      </c>
      <c r="E9376">
        <f>TEST_DATA!E9376</f>
        <v/>
      </c>
    </row>
    <row r="9377">
      <c r="A9377">
        <f>TEST_DATA!A9377</f>
        <v/>
      </c>
      <c r="B9377">
        <f>TEST_DATA!B9377</f>
        <v/>
      </c>
      <c r="C9377">
        <f>TEST_DATA!C9377</f>
        <v/>
      </c>
      <c r="D9377">
        <f>TEST_DATA!D9377</f>
        <v/>
      </c>
      <c r="E9377">
        <f>TEST_DATA!E9377</f>
        <v/>
      </c>
    </row>
    <row r="9378">
      <c r="A9378">
        <f>TEST_DATA!A9378</f>
        <v/>
      </c>
      <c r="B9378">
        <f>TEST_DATA!B9378</f>
        <v/>
      </c>
      <c r="C9378">
        <f>TEST_DATA!C9378</f>
        <v/>
      </c>
      <c r="D9378">
        <f>TEST_DATA!D9378</f>
        <v/>
      </c>
      <c r="E9378">
        <f>TEST_DATA!E9378</f>
        <v/>
      </c>
    </row>
    <row r="9379">
      <c r="A9379">
        <f>TEST_DATA!A9379</f>
        <v/>
      </c>
      <c r="B9379">
        <f>TEST_DATA!B9379</f>
        <v/>
      </c>
      <c r="C9379">
        <f>TEST_DATA!C9379</f>
        <v/>
      </c>
      <c r="D9379">
        <f>TEST_DATA!D9379</f>
        <v/>
      </c>
      <c r="E9379">
        <f>TEST_DATA!E9379</f>
        <v/>
      </c>
    </row>
    <row r="9380">
      <c r="A9380">
        <f>TEST_DATA!A9380</f>
        <v/>
      </c>
      <c r="B9380">
        <f>TEST_DATA!B9380</f>
        <v/>
      </c>
      <c r="C9380">
        <f>TEST_DATA!C9380</f>
        <v/>
      </c>
      <c r="D9380">
        <f>TEST_DATA!D9380</f>
        <v/>
      </c>
      <c r="E9380">
        <f>TEST_DATA!E9380</f>
        <v/>
      </c>
    </row>
    <row r="9381">
      <c r="A9381">
        <f>TEST_DATA!A9381</f>
        <v/>
      </c>
      <c r="B9381">
        <f>TEST_DATA!B9381</f>
        <v/>
      </c>
      <c r="C9381">
        <f>TEST_DATA!C9381</f>
        <v/>
      </c>
      <c r="D9381">
        <f>TEST_DATA!D9381</f>
        <v/>
      </c>
      <c r="E9381">
        <f>TEST_DATA!E9381</f>
        <v/>
      </c>
    </row>
    <row r="9382">
      <c r="A9382">
        <f>TEST_DATA!A9382</f>
        <v/>
      </c>
      <c r="B9382">
        <f>TEST_DATA!B9382</f>
        <v/>
      </c>
      <c r="C9382">
        <f>TEST_DATA!C9382</f>
        <v/>
      </c>
      <c r="D9382">
        <f>TEST_DATA!D9382</f>
        <v/>
      </c>
      <c r="E9382">
        <f>TEST_DATA!E9382</f>
        <v/>
      </c>
    </row>
    <row r="9383">
      <c r="A9383">
        <f>TEST_DATA!A9383</f>
        <v/>
      </c>
      <c r="B9383">
        <f>TEST_DATA!B9383</f>
        <v/>
      </c>
      <c r="C9383">
        <f>TEST_DATA!C9383</f>
        <v/>
      </c>
      <c r="D9383">
        <f>TEST_DATA!D9383</f>
        <v/>
      </c>
      <c r="E9383">
        <f>TEST_DATA!E9383</f>
        <v/>
      </c>
    </row>
    <row r="9384">
      <c r="A9384">
        <f>TEST_DATA!A9384</f>
        <v/>
      </c>
      <c r="B9384">
        <f>TEST_DATA!B9384</f>
        <v/>
      </c>
      <c r="C9384">
        <f>TEST_DATA!C9384</f>
        <v/>
      </c>
      <c r="D9384">
        <f>TEST_DATA!D9384</f>
        <v/>
      </c>
      <c r="E9384">
        <f>TEST_DATA!E9384</f>
        <v/>
      </c>
    </row>
    <row r="9385">
      <c r="A9385">
        <f>TEST_DATA!A9385</f>
        <v/>
      </c>
      <c r="B9385">
        <f>TEST_DATA!B9385</f>
        <v/>
      </c>
      <c r="C9385">
        <f>TEST_DATA!C9385</f>
        <v/>
      </c>
      <c r="D9385">
        <f>TEST_DATA!D9385</f>
        <v/>
      </c>
      <c r="E9385">
        <f>TEST_DATA!E9385</f>
        <v/>
      </c>
    </row>
    <row r="9386">
      <c r="A9386">
        <f>TEST_DATA!A9386</f>
        <v/>
      </c>
      <c r="B9386">
        <f>TEST_DATA!B9386</f>
        <v/>
      </c>
      <c r="C9386">
        <f>TEST_DATA!C9386</f>
        <v/>
      </c>
      <c r="D9386">
        <f>TEST_DATA!D9386</f>
        <v/>
      </c>
      <c r="E9386">
        <f>TEST_DATA!E9386</f>
        <v/>
      </c>
    </row>
    <row r="9387">
      <c r="A9387">
        <f>TEST_DATA!A9387</f>
        <v/>
      </c>
      <c r="B9387">
        <f>TEST_DATA!B9387</f>
        <v/>
      </c>
      <c r="C9387">
        <f>TEST_DATA!C9387</f>
        <v/>
      </c>
      <c r="D9387">
        <f>TEST_DATA!D9387</f>
        <v/>
      </c>
      <c r="E9387">
        <f>TEST_DATA!E9387</f>
        <v/>
      </c>
    </row>
    <row r="9388">
      <c r="A9388">
        <f>TEST_DATA!A9388</f>
        <v/>
      </c>
      <c r="B9388">
        <f>TEST_DATA!B9388</f>
        <v/>
      </c>
      <c r="C9388">
        <f>TEST_DATA!C9388</f>
        <v/>
      </c>
      <c r="D9388">
        <f>TEST_DATA!D9388</f>
        <v/>
      </c>
      <c r="E9388">
        <f>TEST_DATA!E9388</f>
        <v/>
      </c>
    </row>
    <row r="9389">
      <c r="A9389">
        <f>TEST_DATA!A9389</f>
        <v/>
      </c>
      <c r="B9389">
        <f>TEST_DATA!B9389</f>
        <v/>
      </c>
      <c r="C9389">
        <f>TEST_DATA!C9389</f>
        <v/>
      </c>
      <c r="D9389">
        <f>TEST_DATA!D9389</f>
        <v/>
      </c>
      <c r="E9389">
        <f>TEST_DATA!E9389</f>
        <v/>
      </c>
    </row>
    <row r="9390">
      <c r="A9390">
        <f>TEST_DATA!A9390</f>
        <v/>
      </c>
      <c r="B9390">
        <f>TEST_DATA!B9390</f>
        <v/>
      </c>
      <c r="C9390">
        <f>TEST_DATA!C9390</f>
        <v/>
      </c>
      <c r="D9390">
        <f>TEST_DATA!D9390</f>
        <v/>
      </c>
      <c r="E9390">
        <f>TEST_DATA!E9390</f>
        <v/>
      </c>
    </row>
    <row r="9391">
      <c r="A9391">
        <f>TEST_DATA!A9391</f>
        <v/>
      </c>
      <c r="B9391">
        <f>TEST_DATA!B9391</f>
        <v/>
      </c>
      <c r="C9391">
        <f>TEST_DATA!C9391</f>
        <v/>
      </c>
      <c r="D9391">
        <f>TEST_DATA!D9391</f>
        <v/>
      </c>
      <c r="E9391">
        <f>TEST_DATA!E9391</f>
        <v/>
      </c>
    </row>
    <row r="9392">
      <c r="A9392">
        <f>TEST_DATA!A9392</f>
        <v/>
      </c>
      <c r="B9392">
        <f>TEST_DATA!B9392</f>
        <v/>
      </c>
      <c r="C9392">
        <f>TEST_DATA!C9392</f>
        <v/>
      </c>
      <c r="D9392">
        <f>TEST_DATA!D9392</f>
        <v/>
      </c>
      <c r="E9392">
        <f>TEST_DATA!E9392</f>
        <v/>
      </c>
    </row>
    <row r="9393">
      <c r="A9393">
        <f>TEST_DATA!A9393</f>
        <v/>
      </c>
      <c r="B9393">
        <f>TEST_DATA!B9393</f>
        <v/>
      </c>
      <c r="C9393">
        <f>TEST_DATA!C9393</f>
        <v/>
      </c>
      <c r="D9393">
        <f>TEST_DATA!D9393</f>
        <v/>
      </c>
      <c r="E9393">
        <f>TEST_DATA!E9393</f>
        <v/>
      </c>
    </row>
    <row r="9394">
      <c r="A9394">
        <f>TEST_DATA!A9394</f>
        <v/>
      </c>
      <c r="B9394">
        <f>TEST_DATA!B9394</f>
        <v/>
      </c>
      <c r="C9394">
        <f>TEST_DATA!C9394</f>
        <v/>
      </c>
      <c r="D9394">
        <f>TEST_DATA!D9394</f>
        <v/>
      </c>
      <c r="E9394">
        <f>TEST_DATA!E9394</f>
        <v/>
      </c>
    </row>
    <row r="9395">
      <c r="A9395">
        <f>TEST_DATA!A9395</f>
        <v/>
      </c>
      <c r="B9395">
        <f>TEST_DATA!B9395</f>
        <v/>
      </c>
      <c r="C9395">
        <f>TEST_DATA!C9395</f>
        <v/>
      </c>
      <c r="D9395">
        <f>TEST_DATA!D9395</f>
        <v/>
      </c>
      <c r="E9395">
        <f>TEST_DATA!E9395</f>
        <v/>
      </c>
    </row>
    <row r="9396">
      <c r="A9396">
        <f>TEST_DATA!A9396</f>
        <v/>
      </c>
      <c r="B9396">
        <f>TEST_DATA!B9396</f>
        <v/>
      </c>
      <c r="C9396">
        <f>TEST_DATA!C9396</f>
        <v/>
      </c>
      <c r="D9396">
        <f>TEST_DATA!D9396</f>
        <v/>
      </c>
      <c r="E9396">
        <f>TEST_DATA!E9396</f>
        <v/>
      </c>
    </row>
    <row r="9397">
      <c r="A9397">
        <f>TEST_DATA!A9397</f>
        <v/>
      </c>
      <c r="B9397">
        <f>TEST_DATA!B9397</f>
        <v/>
      </c>
      <c r="C9397">
        <f>TEST_DATA!C9397</f>
        <v/>
      </c>
      <c r="D9397">
        <f>TEST_DATA!D9397</f>
        <v/>
      </c>
      <c r="E9397">
        <f>TEST_DATA!E9397</f>
        <v/>
      </c>
    </row>
    <row r="9398">
      <c r="A9398">
        <f>TEST_DATA!A9398</f>
        <v/>
      </c>
      <c r="B9398">
        <f>TEST_DATA!B9398</f>
        <v/>
      </c>
      <c r="C9398">
        <f>TEST_DATA!C9398</f>
        <v/>
      </c>
      <c r="D9398">
        <f>TEST_DATA!D9398</f>
        <v/>
      </c>
      <c r="E9398">
        <f>TEST_DATA!E9398</f>
        <v/>
      </c>
    </row>
    <row r="9399">
      <c r="A9399">
        <f>TEST_DATA!A9399</f>
        <v/>
      </c>
      <c r="B9399">
        <f>TEST_DATA!B9399</f>
        <v/>
      </c>
      <c r="C9399">
        <f>TEST_DATA!C9399</f>
        <v/>
      </c>
      <c r="D9399">
        <f>TEST_DATA!D9399</f>
        <v/>
      </c>
      <c r="E9399">
        <f>TEST_DATA!E9399</f>
        <v/>
      </c>
    </row>
    <row r="9400">
      <c r="A9400">
        <f>TEST_DATA!A9400</f>
        <v/>
      </c>
      <c r="B9400">
        <f>TEST_DATA!B9400</f>
        <v/>
      </c>
      <c r="C9400">
        <f>TEST_DATA!C9400</f>
        <v/>
      </c>
      <c r="D9400">
        <f>TEST_DATA!D9400</f>
        <v/>
      </c>
      <c r="E9400">
        <f>TEST_DATA!E9400</f>
        <v/>
      </c>
    </row>
    <row r="9401">
      <c r="A9401">
        <f>TEST_DATA!A9401</f>
        <v/>
      </c>
      <c r="B9401">
        <f>TEST_DATA!B9401</f>
        <v/>
      </c>
      <c r="C9401">
        <f>TEST_DATA!C9401</f>
        <v/>
      </c>
      <c r="D9401">
        <f>TEST_DATA!D9401</f>
        <v/>
      </c>
      <c r="E9401">
        <f>TEST_DATA!E9401</f>
        <v/>
      </c>
    </row>
    <row r="9402">
      <c r="A9402">
        <f>TEST_DATA!A9402</f>
        <v/>
      </c>
      <c r="B9402">
        <f>TEST_DATA!B9402</f>
        <v/>
      </c>
      <c r="C9402">
        <f>TEST_DATA!C9402</f>
        <v/>
      </c>
      <c r="D9402">
        <f>TEST_DATA!D9402</f>
        <v/>
      </c>
      <c r="E9402">
        <f>TEST_DATA!E9402</f>
        <v/>
      </c>
    </row>
    <row r="9403">
      <c r="A9403">
        <f>TEST_DATA!A9403</f>
        <v/>
      </c>
      <c r="B9403">
        <f>TEST_DATA!B9403</f>
        <v/>
      </c>
      <c r="C9403">
        <f>TEST_DATA!C9403</f>
        <v/>
      </c>
      <c r="D9403">
        <f>TEST_DATA!D9403</f>
        <v/>
      </c>
      <c r="E9403">
        <f>TEST_DATA!E9403</f>
        <v/>
      </c>
    </row>
    <row r="9404">
      <c r="A9404">
        <f>TEST_DATA!A9404</f>
        <v/>
      </c>
      <c r="B9404">
        <f>TEST_DATA!B9404</f>
        <v/>
      </c>
      <c r="C9404">
        <f>TEST_DATA!C9404</f>
        <v/>
      </c>
      <c r="D9404">
        <f>TEST_DATA!D9404</f>
        <v/>
      </c>
      <c r="E9404">
        <f>TEST_DATA!E9404</f>
        <v/>
      </c>
    </row>
    <row r="9405">
      <c r="A9405">
        <f>TEST_DATA!A9405</f>
        <v/>
      </c>
      <c r="B9405">
        <f>TEST_DATA!B9405</f>
        <v/>
      </c>
      <c r="C9405">
        <f>TEST_DATA!C9405</f>
        <v/>
      </c>
      <c r="D9405">
        <f>TEST_DATA!D9405</f>
        <v/>
      </c>
      <c r="E9405">
        <f>TEST_DATA!E9405</f>
        <v/>
      </c>
    </row>
    <row r="9406">
      <c r="A9406">
        <f>TEST_DATA!A9406</f>
        <v/>
      </c>
      <c r="B9406">
        <f>TEST_DATA!B9406</f>
        <v/>
      </c>
      <c r="C9406">
        <f>TEST_DATA!C9406</f>
        <v/>
      </c>
      <c r="D9406">
        <f>TEST_DATA!D9406</f>
        <v/>
      </c>
      <c r="E9406">
        <f>TEST_DATA!E9406</f>
        <v/>
      </c>
    </row>
    <row r="9407">
      <c r="A9407">
        <f>TEST_DATA!A9407</f>
        <v/>
      </c>
      <c r="B9407">
        <f>TEST_DATA!B9407</f>
        <v/>
      </c>
      <c r="C9407">
        <f>TEST_DATA!C9407</f>
        <v/>
      </c>
      <c r="D9407">
        <f>TEST_DATA!D9407</f>
        <v/>
      </c>
      <c r="E9407">
        <f>TEST_DATA!E9407</f>
        <v/>
      </c>
    </row>
    <row r="9408">
      <c r="A9408">
        <f>TEST_DATA!A9408</f>
        <v/>
      </c>
      <c r="B9408">
        <f>TEST_DATA!B9408</f>
        <v/>
      </c>
      <c r="C9408">
        <f>TEST_DATA!C9408</f>
        <v/>
      </c>
      <c r="D9408">
        <f>TEST_DATA!D9408</f>
        <v/>
      </c>
      <c r="E9408">
        <f>TEST_DATA!E9408</f>
        <v/>
      </c>
    </row>
    <row r="9409">
      <c r="A9409">
        <f>TEST_DATA!A9409</f>
        <v/>
      </c>
      <c r="B9409">
        <f>TEST_DATA!B9409</f>
        <v/>
      </c>
      <c r="C9409">
        <f>TEST_DATA!C9409</f>
        <v/>
      </c>
      <c r="D9409">
        <f>TEST_DATA!D9409</f>
        <v/>
      </c>
      <c r="E9409">
        <f>TEST_DATA!E9409</f>
        <v/>
      </c>
    </row>
    <row r="9410">
      <c r="A9410">
        <f>TEST_DATA!A9410</f>
        <v/>
      </c>
      <c r="B9410">
        <f>TEST_DATA!B9410</f>
        <v/>
      </c>
      <c r="C9410">
        <f>TEST_DATA!C9410</f>
        <v/>
      </c>
      <c r="D9410">
        <f>TEST_DATA!D9410</f>
        <v/>
      </c>
      <c r="E9410">
        <f>TEST_DATA!E9410</f>
        <v/>
      </c>
    </row>
    <row r="9411">
      <c r="A9411">
        <f>TEST_DATA!A9411</f>
        <v/>
      </c>
      <c r="B9411">
        <f>TEST_DATA!B9411</f>
        <v/>
      </c>
      <c r="C9411">
        <f>TEST_DATA!C9411</f>
        <v/>
      </c>
      <c r="D9411">
        <f>TEST_DATA!D9411</f>
        <v/>
      </c>
      <c r="E9411">
        <f>TEST_DATA!E9411</f>
        <v/>
      </c>
    </row>
    <row r="9412">
      <c r="A9412">
        <f>TEST_DATA!A9412</f>
        <v/>
      </c>
      <c r="B9412">
        <f>TEST_DATA!B9412</f>
        <v/>
      </c>
      <c r="C9412">
        <f>TEST_DATA!C9412</f>
        <v/>
      </c>
      <c r="D9412">
        <f>TEST_DATA!D9412</f>
        <v/>
      </c>
      <c r="E9412">
        <f>TEST_DATA!E9412</f>
        <v/>
      </c>
    </row>
    <row r="9413">
      <c r="A9413">
        <f>TEST_DATA!A9413</f>
        <v/>
      </c>
      <c r="B9413">
        <f>TEST_DATA!B9413</f>
        <v/>
      </c>
      <c r="C9413">
        <f>TEST_DATA!C9413</f>
        <v/>
      </c>
      <c r="D9413">
        <f>TEST_DATA!D9413</f>
        <v/>
      </c>
      <c r="E9413">
        <f>TEST_DATA!E9413</f>
        <v/>
      </c>
    </row>
    <row r="9414">
      <c r="A9414">
        <f>TEST_DATA!A9414</f>
        <v/>
      </c>
      <c r="B9414">
        <f>TEST_DATA!B9414</f>
        <v/>
      </c>
      <c r="C9414">
        <f>TEST_DATA!C9414</f>
        <v/>
      </c>
      <c r="D9414">
        <f>TEST_DATA!D9414</f>
        <v/>
      </c>
      <c r="E9414">
        <f>TEST_DATA!E9414</f>
        <v/>
      </c>
    </row>
    <row r="9415">
      <c r="A9415">
        <f>TEST_DATA!A9415</f>
        <v/>
      </c>
      <c r="B9415">
        <f>TEST_DATA!B9415</f>
        <v/>
      </c>
      <c r="C9415">
        <f>TEST_DATA!C9415</f>
        <v/>
      </c>
      <c r="D9415">
        <f>TEST_DATA!D9415</f>
        <v/>
      </c>
      <c r="E9415">
        <f>TEST_DATA!E9415</f>
        <v/>
      </c>
    </row>
    <row r="9416">
      <c r="A9416">
        <f>TEST_DATA!A9416</f>
        <v/>
      </c>
      <c r="B9416">
        <f>TEST_DATA!B9416</f>
        <v/>
      </c>
      <c r="C9416">
        <f>TEST_DATA!C9416</f>
        <v/>
      </c>
      <c r="D9416">
        <f>TEST_DATA!D9416</f>
        <v/>
      </c>
      <c r="E9416">
        <f>TEST_DATA!E9416</f>
        <v/>
      </c>
    </row>
    <row r="9417">
      <c r="A9417">
        <f>TEST_DATA!A9417</f>
        <v/>
      </c>
      <c r="B9417">
        <f>TEST_DATA!B9417</f>
        <v/>
      </c>
      <c r="C9417">
        <f>TEST_DATA!C9417</f>
        <v/>
      </c>
      <c r="D9417">
        <f>TEST_DATA!D9417</f>
        <v/>
      </c>
      <c r="E9417">
        <f>TEST_DATA!E9417</f>
        <v/>
      </c>
    </row>
    <row r="9418">
      <c r="A9418">
        <f>TEST_DATA!A9418</f>
        <v/>
      </c>
      <c r="B9418">
        <f>TEST_DATA!B9418</f>
        <v/>
      </c>
      <c r="C9418">
        <f>TEST_DATA!C9418</f>
        <v/>
      </c>
      <c r="D9418">
        <f>TEST_DATA!D9418</f>
        <v/>
      </c>
      <c r="E9418">
        <f>TEST_DATA!E9418</f>
        <v/>
      </c>
    </row>
    <row r="9419">
      <c r="A9419">
        <f>TEST_DATA!A9419</f>
        <v/>
      </c>
      <c r="B9419">
        <f>TEST_DATA!B9419</f>
        <v/>
      </c>
      <c r="C9419">
        <f>TEST_DATA!C9419</f>
        <v/>
      </c>
      <c r="D9419">
        <f>TEST_DATA!D9419</f>
        <v/>
      </c>
      <c r="E9419">
        <f>TEST_DATA!E9419</f>
        <v/>
      </c>
    </row>
    <row r="9420">
      <c r="A9420">
        <f>TEST_DATA!A9420</f>
        <v/>
      </c>
      <c r="B9420">
        <f>TEST_DATA!B9420</f>
        <v/>
      </c>
      <c r="C9420">
        <f>TEST_DATA!C9420</f>
        <v/>
      </c>
      <c r="D9420">
        <f>TEST_DATA!D9420</f>
        <v/>
      </c>
      <c r="E9420">
        <f>TEST_DATA!E9420</f>
        <v/>
      </c>
    </row>
    <row r="9421">
      <c r="A9421">
        <f>TEST_DATA!A9421</f>
        <v/>
      </c>
      <c r="B9421">
        <f>TEST_DATA!B9421</f>
        <v/>
      </c>
      <c r="C9421">
        <f>TEST_DATA!C9421</f>
        <v/>
      </c>
      <c r="D9421">
        <f>TEST_DATA!D9421</f>
        <v/>
      </c>
      <c r="E9421">
        <f>TEST_DATA!E9421</f>
        <v/>
      </c>
    </row>
    <row r="9422">
      <c r="A9422">
        <f>TEST_DATA!A9422</f>
        <v/>
      </c>
      <c r="B9422">
        <f>TEST_DATA!B9422</f>
        <v/>
      </c>
      <c r="C9422">
        <f>TEST_DATA!C9422</f>
        <v/>
      </c>
      <c r="D9422">
        <f>TEST_DATA!D9422</f>
        <v/>
      </c>
      <c r="E9422">
        <f>TEST_DATA!E9422</f>
        <v/>
      </c>
    </row>
    <row r="9423">
      <c r="A9423">
        <f>TEST_DATA!A9423</f>
        <v/>
      </c>
      <c r="B9423">
        <f>TEST_DATA!B9423</f>
        <v/>
      </c>
      <c r="C9423">
        <f>TEST_DATA!C9423</f>
        <v/>
      </c>
      <c r="D9423">
        <f>TEST_DATA!D9423</f>
        <v/>
      </c>
      <c r="E9423">
        <f>TEST_DATA!E9423</f>
        <v/>
      </c>
    </row>
    <row r="9424">
      <c r="A9424">
        <f>TEST_DATA!A9424</f>
        <v/>
      </c>
      <c r="B9424">
        <f>TEST_DATA!B9424</f>
        <v/>
      </c>
      <c r="C9424">
        <f>TEST_DATA!C9424</f>
        <v/>
      </c>
      <c r="D9424">
        <f>TEST_DATA!D9424</f>
        <v/>
      </c>
      <c r="E9424">
        <f>TEST_DATA!E9424</f>
        <v/>
      </c>
    </row>
    <row r="9425">
      <c r="A9425">
        <f>TEST_DATA!A9425</f>
        <v/>
      </c>
      <c r="B9425">
        <f>TEST_DATA!B9425</f>
        <v/>
      </c>
      <c r="C9425">
        <f>TEST_DATA!C9425</f>
        <v/>
      </c>
      <c r="D9425">
        <f>TEST_DATA!D9425</f>
        <v/>
      </c>
      <c r="E9425">
        <f>TEST_DATA!E9425</f>
        <v/>
      </c>
    </row>
    <row r="9426">
      <c r="A9426">
        <f>TEST_DATA!A9426</f>
        <v/>
      </c>
      <c r="B9426">
        <f>TEST_DATA!B9426</f>
        <v/>
      </c>
      <c r="C9426">
        <f>TEST_DATA!C9426</f>
        <v/>
      </c>
      <c r="D9426">
        <f>TEST_DATA!D9426</f>
        <v/>
      </c>
      <c r="E9426">
        <f>TEST_DATA!E9426</f>
        <v/>
      </c>
    </row>
    <row r="9427">
      <c r="A9427">
        <f>TEST_DATA!A9427</f>
        <v/>
      </c>
      <c r="B9427">
        <f>TEST_DATA!B9427</f>
        <v/>
      </c>
      <c r="C9427">
        <f>TEST_DATA!C9427</f>
        <v/>
      </c>
      <c r="D9427">
        <f>TEST_DATA!D9427</f>
        <v/>
      </c>
      <c r="E9427">
        <f>TEST_DATA!E9427</f>
        <v/>
      </c>
    </row>
    <row r="9428">
      <c r="A9428">
        <f>TEST_DATA!A9428</f>
        <v/>
      </c>
      <c r="B9428">
        <f>TEST_DATA!B9428</f>
        <v/>
      </c>
      <c r="C9428">
        <f>TEST_DATA!C9428</f>
        <v/>
      </c>
      <c r="D9428">
        <f>TEST_DATA!D9428</f>
        <v/>
      </c>
      <c r="E9428">
        <f>TEST_DATA!E9428</f>
        <v/>
      </c>
    </row>
    <row r="9429">
      <c r="A9429">
        <f>TEST_DATA!A9429</f>
        <v/>
      </c>
      <c r="B9429">
        <f>TEST_DATA!B9429</f>
        <v/>
      </c>
      <c r="C9429">
        <f>TEST_DATA!C9429</f>
        <v/>
      </c>
      <c r="D9429">
        <f>TEST_DATA!D9429</f>
        <v/>
      </c>
      <c r="E9429">
        <f>TEST_DATA!E9429</f>
        <v/>
      </c>
    </row>
    <row r="9430">
      <c r="A9430">
        <f>TEST_DATA!A9430</f>
        <v/>
      </c>
      <c r="B9430">
        <f>TEST_DATA!B9430</f>
        <v/>
      </c>
      <c r="C9430">
        <f>TEST_DATA!C9430</f>
        <v/>
      </c>
      <c r="D9430">
        <f>TEST_DATA!D9430</f>
        <v/>
      </c>
      <c r="E9430">
        <f>TEST_DATA!E9430</f>
        <v/>
      </c>
    </row>
    <row r="9431">
      <c r="A9431">
        <f>TEST_DATA!A9431</f>
        <v/>
      </c>
      <c r="B9431">
        <f>TEST_DATA!B9431</f>
        <v/>
      </c>
      <c r="C9431">
        <f>TEST_DATA!C9431</f>
        <v/>
      </c>
      <c r="D9431">
        <f>TEST_DATA!D9431</f>
        <v/>
      </c>
      <c r="E9431">
        <f>TEST_DATA!E9431</f>
        <v/>
      </c>
    </row>
    <row r="9432">
      <c r="A9432">
        <f>TEST_DATA!A9432</f>
        <v/>
      </c>
      <c r="B9432">
        <f>TEST_DATA!B9432</f>
        <v/>
      </c>
      <c r="C9432">
        <f>TEST_DATA!C9432</f>
        <v/>
      </c>
      <c r="D9432">
        <f>TEST_DATA!D9432</f>
        <v/>
      </c>
      <c r="E9432">
        <f>TEST_DATA!E9432</f>
        <v/>
      </c>
    </row>
    <row r="9433">
      <c r="A9433">
        <f>TEST_DATA!A9433</f>
        <v/>
      </c>
      <c r="B9433">
        <f>TEST_DATA!B9433</f>
        <v/>
      </c>
      <c r="C9433">
        <f>TEST_DATA!C9433</f>
        <v/>
      </c>
      <c r="D9433">
        <f>TEST_DATA!D9433</f>
        <v/>
      </c>
      <c r="E9433">
        <f>TEST_DATA!E9433</f>
        <v/>
      </c>
    </row>
    <row r="9434">
      <c r="A9434">
        <f>TEST_DATA!A9434</f>
        <v/>
      </c>
      <c r="B9434">
        <f>TEST_DATA!B9434</f>
        <v/>
      </c>
      <c r="C9434">
        <f>TEST_DATA!C9434</f>
        <v/>
      </c>
      <c r="D9434">
        <f>TEST_DATA!D9434</f>
        <v/>
      </c>
      <c r="E9434">
        <f>TEST_DATA!E9434</f>
        <v/>
      </c>
    </row>
    <row r="9435">
      <c r="A9435">
        <f>TEST_DATA!A9435</f>
        <v/>
      </c>
      <c r="B9435">
        <f>TEST_DATA!B9435</f>
        <v/>
      </c>
      <c r="C9435">
        <f>TEST_DATA!C9435</f>
        <v/>
      </c>
      <c r="D9435">
        <f>TEST_DATA!D9435</f>
        <v/>
      </c>
      <c r="E9435">
        <f>TEST_DATA!E9435</f>
        <v/>
      </c>
    </row>
    <row r="9436">
      <c r="A9436">
        <f>TEST_DATA!A9436</f>
        <v/>
      </c>
      <c r="B9436">
        <f>TEST_DATA!B9436</f>
        <v/>
      </c>
      <c r="C9436">
        <f>TEST_DATA!C9436</f>
        <v/>
      </c>
      <c r="D9436">
        <f>TEST_DATA!D9436</f>
        <v/>
      </c>
      <c r="E9436">
        <f>TEST_DATA!E9436</f>
        <v/>
      </c>
    </row>
    <row r="9437">
      <c r="A9437">
        <f>TEST_DATA!A9437</f>
        <v/>
      </c>
      <c r="B9437">
        <f>TEST_DATA!B9437</f>
        <v/>
      </c>
      <c r="C9437">
        <f>TEST_DATA!C9437</f>
        <v/>
      </c>
      <c r="D9437">
        <f>TEST_DATA!D9437</f>
        <v/>
      </c>
      <c r="E9437">
        <f>TEST_DATA!E9437</f>
        <v/>
      </c>
    </row>
    <row r="9438">
      <c r="A9438">
        <f>TEST_DATA!A9438</f>
        <v/>
      </c>
      <c r="B9438">
        <f>TEST_DATA!B9438</f>
        <v/>
      </c>
      <c r="C9438">
        <f>TEST_DATA!C9438</f>
        <v/>
      </c>
      <c r="D9438">
        <f>TEST_DATA!D9438</f>
        <v/>
      </c>
      <c r="E9438">
        <f>TEST_DATA!E9438</f>
        <v/>
      </c>
    </row>
    <row r="9439">
      <c r="A9439">
        <f>TEST_DATA!A9439</f>
        <v/>
      </c>
      <c r="B9439">
        <f>TEST_DATA!B9439</f>
        <v/>
      </c>
      <c r="C9439">
        <f>TEST_DATA!C9439</f>
        <v/>
      </c>
      <c r="D9439">
        <f>TEST_DATA!D9439</f>
        <v/>
      </c>
      <c r="E9439">
        <f>TEST_DATA!E9439</f>
        <v/>
      </c>
    </row>
    <row r="9440">
      <c r="A9440">
        <f>TEST_DATA!A9440</f>
        <v/>
      </c>
      <c r="B9440">
        <f>TEST_DATA!B9440</f>
        <v/>
      </c>
      <c r="C9440">
        <f>TEST_DATA!C9440</f>
        <v/>
      </c>
      <c r="D9440">
        <f>TEST_DATA!D9440</f>
        <v/>
      </c>
      <c r="E9440">
        <f>TEST_DATA!E9440</f>
        <v/>
      </c>
    </row>
    <row r="9441">
      <c r="A9441">
        <f>TEST_DATA!A9441</f>
        <v/>
      </c>
      <c r="B9441">
        <f>TEST_DATA!B9441</f>
        <v/>
      </c>
      <c r="C9441">
        <f>TEST_DATA!C9441</f>
        <v/>
      </c>
      <c r="D9441">
        <f>TEST_DATA!D9441</f>
        <v/>
      </c>
      <c r="E9441">
        <f>TEST_DATA!E9441</f>
        <v/>
      </c>
    </row>
    <row r="9442">
      <c r="A9442">
        <f>TEST_DATA!A9442</f>
        <v/>
      </c>
      <c r="B9442">
        <f>TEST_DATA!B9442</f>
        <v/>
      </c>
      <c r="C9442">
        <f>TEST_DATA!C9442</f>
        <v/>
      </c>
      <c r="D9442">
        <f>TEST_DATA!D9442</f>
        <v/>
      </c>
      <c r="E9442">
        <f>TEST_DATA!E9442</f>
        <v/>
      </c>
    </row>
    <row r="9443">
      <c r="A9443">
        <f>TEST_DATA!A9443</f>
        <v/>
      </c>
      <c r="B9443">
        <f>TEST_DATA!B9443</f>
        <v/>
      </c>
      <c r="C9443">
        <f>TEST_DATA!C9443</f>
        <v/>
      </c>
      <c r="D9443">
        <f>TEST_DATA!D9443</f>
        <v/>
      </c>
      <c r="E9443">
        <f>TEST_DATA!E9443</f>
        <v/>
      </c>
    </row>
    <row r="9444">
      <c r="A9444">
        <f>TEST_DATA!A9444</f>
        <v/>
      </c>
      <c r="B9444">
        <f>TEST_DATA!B9444</f>
        <v/>
      </c>
      <c r="C9444">
        <f>TEST_DATA!C9444</f>
        <v/>
      </c>
      <c r="D9444">
        <f>TEST_DATA!D9444</f>
        <v/>
      </c>
      <c r="E9444">
        <f>TEST_DATA!E9444</f>
        <v/>
      </c>
    </row>
    <row r="9445">
      <c r="A9445">
        <f>TEST_DATA!A9445</f>
        <v/>
      </c>
      <c r="B9445">
        <f>TEST_DATA!B9445</f>
        <v/>
      </c>
      <c r="C9445">
        <f>TEST_DATA!C9445</f>
        <v/>
      </c>
      <c r="D9445">
        <f>TEST_DATA!D9445</f>
        <v/>
      </c>
      <c r="E9445">
        <f>TEST_DATA!E9445</f>
        <v/>
      </c>
    </row>
    <row r="9446">
      <c r="A9446">
        <f>TEST_DATA!A9446</f>
        <v/>
      </c>
      <c r="B9446">
        <f>TEST_DATA!B9446</f>
        <v/>
      </c>
      <c r="C9446">
        <f>TEST_DATA!C9446</f>
        <v/>
      </c>
      <c r="D9446">
        <f>TEST_DATA!D9446</f>
        <v/>
      </c>
      <c r="E9446">
        <f>TEST_DATA!E9446</f>
        <v/>
      </c>
    </row>
    <row r="9447">
      <c r="A9447">
        <f>TEST_DATA!A9447</f>
        <v/>
      </c>
      <c r="B9447">
        <f>TEST_DATA!B9447</f>
        <v/>
      </c>
      <c r="C9447">
        <f>TEST_DATA!C9447</f>
        <v/>
      </c>
      <c r="D9447">
        <f>TEST_DATA!D9447</f>
        <v/>
      </c>
      <c r="E9447">
        <f>TEST_DATA!E9447</f>
        <v/>
      </c>
    </row>
    <row r="9448">
      <c r="A9448">
        <f>TEST_DATA!A9448</f>
        <v/>
      </c>
      <c r="B9448">
        <f>TEST_DATA!B9448</f>
        <v/>
      </c>
      <c r="C9448">
        <f>TEST_DATA!C9448</f>
        <v/>
      </c>
      <c r="D9448">
        <f>TEST_DATA!D9448</f>
        <v/>
      </c>
      <c r="E9448">
        <f>TEST_DATA!E9448</f>
        <v/>
      </c>
    </row>
    <row r="9449">
      <c r="A9449">
        <f>TEST_DATA!A9449</f>
        <v/>
      </c>
      <c r="B9449">
        <f>TEST_DATA!B9449</f>
        <v/>
      </c>
      <c r="C9449">
        <f>TEST_DATA!C9449</f>
        <v/>
      </c>
      <c r="D9449">
        <f>TEST_DATA!D9449</f>
        <v/>
      </c>
      <c r="E9449">
        <f>TEST_DATA!E9449</f>
        <v/>
      </c>
    </row>
    <row r="9450">
      <c r="A9450">
        <f>TEST_DATA!A9450</f>
        <v/>
      </c>
      <c r="B9450">
        <f>TEST_DATA!B9450</f>
        <v/>
      </c>
      <c r="C9450">
        <f>TEST_DATA!C9450</f>
        <v/>
      </c>
      <c r="D9450">
        <f>TEST_DATA!D9450</f>
        <v/>
      </c>
      <c r="E9450">
        <f>TEST_DATA!E9450</f>
        <v/>
      </c>
    </row>
    <row r="9451">
      <c r="A9451">
        <f>TEST_DATA!A9451</f>
        <v/>
      </c>
      <c r="B9451">
        <f>TEST_DATA!B9451</f>
        <v/>
      </c>
      <c r="C9451">
        <f>TEST_DATA!C9451</f>
        <v/>
      </c>
      <c r="D9451">
        <f>TEST_DATA!D9451</f>
        <v/>
      </c>
      <c r="E9451">
        <f>TEST_DATA!E9451</f>
        <v/>
      </c>
    </row>
    <row r="9452">
      <c r="A9452">
        <f>TEST_DATA!A9452</f>
        <v/>
      </c>
      <c r="B9452">
        <f>TEST_DATA!B9452</f>
        <v/>
      </c>
      <c r="C9452">
        <f>TEST_DATA!C9452</f>
        <v/>
      </c>
      <c r="D9452">
        <f>TEST_DATA!D9452</f>
        <v/>
      </c>
      <c r="E9452">
        <f>TEST_DATA!E9452</f>
        <v/>
      </c>
    </row>
    <row r="9453">
      <c r="A9453">
        <f>TEST_DATA!A9453</f>
        <v/>
      </c>
      <c r="B9453">
        <f>TEST_DATA!B9453</f>
        <v/>
      </c>
      <c r="C9453">
        <f>TEST_DATA!C9453</f>
        <v/>
      </c>
      <c r="D9453">
        <f>TEST_DATA!D9453</f>
        <v/>
      </c>
      <c r="E9453">
        <f>TEST_DATA!E9453</f>
        <v/>
      </c>
    </row>
    <row r="9454">
      <c r="A9454">
        <f>TEST_DATA!A9454</f>
        <v/>
      </c>
      <c r="B9454">
        <f>TEST_DATA!B9454</f>
        <v/>
      </c>
      <c r="C9454">
        <f>TEST_DATA!C9454</f>
        <v/>
      </c>
      <c r="D9454">
        <f>TEST_DATA!D9454</f>
        <v/>
      </c>
      <c r="E9454">
        <f>TEST_DATA!E9454</f>
        <v/>
      </c>
    </row>
    <row r="9455">
      <c r="A9455">
        <f>TEST_DATA!A9455</f>
        <v/>
      </c>
      <c r="B9455">
        <f>TEST_DATA!B9455</f>
        <v/>
      </c>
      <c r="C9455">
        <f>TEST_DATA!C9455</f>
        <v/>
      </c>
      <c r="D9455">
        <f>TEST_DATA!D9455</f>
        <v/>
      </c>
      <c r="E9455">
        <f>TEST_DATA!E9455</f>
        <v/>
      </c>
    </row>
    <row r="9456">
      <c r="A9456">
        <f>TEST_DATA!A9456</f>
        <v/>
      </c>
      <c r="B9456">
        <f>TEST_DATA!B9456</f>
        <v/>
      </c>
      <c r="C9456">
        <f>TEST_DATA!C9456</f>
        <v/>
      </c>
      <c r="D9456">
        <f>TEST_DATA!D9456</f>
        <v/>
      </c>
      <c r="E9456">
        <f>TEST_DATA!E9456</f>
        <v/>
      </c>
    </row>
    <row r="9457">
      <c r="A9457">
        <f>TEST_DATA!A9457</f>
        <v/>
      </c>
      <c r="B9457">
        <f>TEST_DATA!B9457</f>
        <v/>
      </c>
      <c r="C9457">
        <f>TEST_DATA!C9457</f>
        <v/>
      </c>
      <c r="D9457">
        <f>TEST_DATA!D9457</f>
        <v/>
      </c>
      <c r="E9457">
        <f>TEST_DATA!E9457</f>
        <v/>
      </c>
    </row>
    <row r="9458">
      <c r="A9458">
        <f>TEST_DATA!A9458</f>
        <v/>
      </c>
      <c r="B9458">
        <f>TEST_DATA!B9458</f>
        <v/>
      </c>
      <c r="C9458">
        <f>TEST_DATA!C9458</f>
        <v/>
      </c>
      <c r="D9458">
        <f>TEST_DATA!D9458</f>
        <v/>
      </c>
      <c r="E9458">
        <f>TEST_DATA!E9458</f>
        <v/>
      </c>
    </row>
    <row r="9459">
      <c r="A9459">
        <f>TEST_DATA!A9459</f>
        <v/>
      </c>
      <c r="B9459">
        <f>TEST_DATA!B9459</f>
        <v/>
      </c>
      <c r="C9459">
        <f>TEST_DATA!C9459</f>
        <v/>
      </c>
      <c r="D9459">
        <f>TEST_DATA!D9459</f>
        <v/>
      </c>
      <c r="E9459">
        <f>TEST_DATA!E9459</f>
        <v/>
      </c>
    </row>
    <row r="9460">
      <c r="A9460">
        <f>TEST_DATA!A9460</f>
        <v/>
      </c>
      <c r="B9460">
        <f>TEST_DATA!B9460</f>
        <v/>
      </c>
      <c r="C9460">
        <f>TEST_DATA!C9460</f>
        <v/>
      </c>
      <c r="D9460">
        <f>TEST_DATA!D9460</f>
        <v/>
      </c>
      <c r="E9460">
        <f>TEST_DATA!E9460</f>
        <v/>
      </c>
    </row>
    <row r="9461">
      <c r="A9461">
        <f>TEST_DATA!A9461</f>
        <v/>
      </c>
      <c r="B9461">
        <f>TEST_DATA!B9461</f>
        <v/>
      </c>
      <c r="C9461">
        <f>TEST_DATA!C9461</f>
        <v/>
      </c>
      <c r="D9461">
        <f>TEST_DATA!D9461</f>
        <v/>
      </c>
      <c r="E9461">
        <f>TEST_DATA!E9461</f>
        <v/>
      </c>
    </row>
    <row r="9462">
      <c r="A9462">
        <f>TEST_DATA!A9462</f>
        <v/>
      </c>
      <c r="B9462">
        <f>TEST_DATA!B9462</f>
        <v/>
      </c>
      <c r="C9462">
        <f>TEST_DATA!C9462</f>
        <v/>
      </c>
      <c r="D9462">
        <f>TEST_DATA!D9462</f>
        <v/>
      </c>
      <c r="E9462">
        <f>TEST_DATA!E9462</f>
        <v/>
      </c>
    </row>
    <row r="9463">
      <c r="A9463">
        <f>TEST_DATA!A9463</f>
        <v/>
      </c>
      <c r="B9463">
        <f>TEST_DATA!B9463</f>
        <v/>
      </c>
      <c r="C9463">
        <f>TEST_DATA!C9463</f>
        <v/>
      </c>
      <c r="D9463">
        <f>TEST_DATA!D9463</f>
        <v/>
      </c>
      <c r="E9463">
        <f>TEST_DATA!E9463</f>
        <v/>
      </c>
    </row>
    <row r="9464">
      <c r="A9464">
        <f>TEST_DATA!A9464</f>
        <v/>
      </c>
      <c r="B9464">
        <f>TEST_DATA!B9464</f>
        <v/>
      </c>
      <c r="C9464">
        <f>TEST_DATA!C9464</f>
        <v/>
      </c>
      <c r="D9464">
        <f>TEST_DATA!D9464</f>
        <v/>
      </c>
      <c r="E9464">
        <f>TEST_DATA!E9464</f>
        <v/>
      </c>
    </row>
    <row r="9465">
      <c r="A9465">
        <f>TEST_DATA!A9465</f>
        <v/>
      </c>
      <c r="B9465">
        <f>TEST_DATA!B9465</f>
        <v/>
      </c>
      <c r="C9465">
        <f>TEST_DATA!C9465</f>
        <v/>
      </c>
      <c r="D9465">
        <f>TEST_DATA!D9465</f>
        <v/>
      </c>
      <c r="E9465">
        <f>TEST_DATA!E9465</f>
        <v/>
      </c>
    </row>
    <row r="9466">
      <c r="A9466">
        <f>TEST_DATA!A9466</f>
        <v/>
      </c>
      <c r="B9466">
        <f>TEST_DATA!B9466</f>
        <v/>
      </c>
      <c r="C9466">
        <f>TEST_DATA!C9466</f>
        <v/>
      </c>
      <c r="D9466">
        <f>TEST_DATA!D9466</f>
        <v/>
      </c>
      <c r="E9466">
        <f>TEST_DATA!E9466</f>
        <v/>
      </c>
    </row>
    <row r="9467">
      <c r="A9467">
        <f>TEST_DATA!A9467</f>
        <v/>
      </c>
      <c r="B9467">
        <f>TEST_DATA!B9467</f>
        <v/>
      </c>
      <c r="C9467">
        <f>TEST_DATA!C9467</f>
        <v/>
      </c>
      <c r="D9467">
        <f>TEST_DATA!D9467</f>
        <v/>
      </c>
      <c r="E9467">
        <f>TEST_DATA!E9467</f>
        <v/>
      </c>
    </row>
    <row r="9468">
      <c r="A9468">
        <f>TEST_DATA!A9468</f>
        <v/>
      </c>
      <c r="B9468">
        <f>TEST_DATA!B9468</f>
        <v/>
      </c>
      <c r="C9468">
        <f>TEST_DATA!C9468</f>
        <v/>
      </c>
      <c r="D9468">
        <f>TEST_DATA!D9468</f>
        <v/>
      </c>
      <c r="E9468">
        <f>TEST_DATA!E9468</f>
        <v/>
      </c>
    </row>
    <row r="9469">
      <c r="A9469">
        <f>TEST_DATA!A9469</f>
        <v/>
      </c>
      <c r="B9469">
        <f>TEST_DATA!B9469</f>
        <v/>
      </c>
      <c r="C9469">
        <f>TEST_DATA!C9469</f>
        <v/>
      </c>
      <c r="D9469">
        <f>TEST_DATA!D9469</f>
        <v/>
      </c>
      <c r="E9469">
        <f>TEST_DATA!E9469</f>
        <v/>
      </c>
    </row>
    <row r="9470">
      <c r="A9470">
        <f>TEST_DATA!A9470</f>
        <v/>
      </c>
      <c r="B9470">
        <f>TEST_DATA!B9470</f>
        <v/>
      </c>
      <c r="C9470">
        <f>TEST_DATA!C9470</f>
        <v/>
      </c>
      <c r="D9470">
        <f>TEST_DATA!D9470</f>
        <v/>
      </c>
      <c r="E9470">
        <f>TEST_DATA!E9470</f>
        <v/>
      </c>
    </row>
    <row r="9471">
      <c r="A9471">
        <f>TEST_DATA!A9471</f>
        <v/>
      </c>
      <c r="B9471">
        <f>TEST_DATA!B9471</f>
        <v/>
      </c>
      <c r="C9471">
        <f>TEST_DATA!C9471</f>
        <v/>
      </c>
      <c r="D9471">
        <f>TEST_DATA!D9471</f>
        <v/>
      </c>
      <c r="E9471">
        <f>TEST_DATA!E9471</f>
        <v/>
      </c>
    </row>
    <row r="9472">
      <c r="A9472">
        <f>TEST_DATA!A9472</f>
        <v/>
      </c>
      <c r="B9472">
        <f>TEST_DATA!B9472</f>
        <v/>
      </c>
      <c r="C9472">
        <f>TEST_DATA!C9472</f>
        <v/>
      </c>
      <c r="D9472">
        <f>TEST_DATA!D9472</f>
        <v/>
      </c>
      <c r="E9472">
        <f>TEST_DATA!E9472</f>
        <v/>
      </c>
    </row>
    <row r="9473">
      <c r="A9473">
        <f>TEST_DATA!A9473</f>
        <v/>
      </c>
      <c r="B9473">
        <f>TEST_DATA!B9473</f>
        <v/>
      </c>
      <c r="C9473">
        <f>TEST_DATA!C9473</f>
        <v/>
      </c>
      <c r="D9473">
        <f>TEST_DATA!D9473</f>
        <v/>
      </c>
      <c r="E9473">
        <f>TEST_DATA!E9473</f>
        <v/>
      </c>
    </row>
    <row r="9474">
      <c r="A9474">
        <f>TEST_DATA!A9474</f>
        <v/>
      </c>
      <c r="B9474">
        <f>TEST_DATA!B9474</f>
        <v/>
      </c>
      <c r="C9474">
        <f>TEST_DATA!C9474</f>
        <v/>
      </c>
      <c r="D9474">
        <f>TEST_DATA!D9474</f>
        <v/>
      </c>
      <c r="E9474">
        <f>TEST_DATA!E9474</f>
        <v/>
      </c>
    </row>
    <row r="9475">
      <c r="A9475">
        <f>TEST_DATA!A9475</f>
        <v/>
      </c>
      <c r="B9475">
        <f>TEST_DATA!B9475</f>
        <v/>
      </c>
      <c r="C9475">
        <f>TEST_DATA!C9475</f>
        <v/>
      </c>
      <c r="D9475">
        <f>TEST_DATA!D9475</f>
        <v/>
      </c>
      <c r="E9475">
        <f>TEST_DATA!E9475</f>
        <v/>
      </c>
    </row>
    <row r="9476">
      <c r="A9476">
        <f>TEST_DATA!A9476</f>
        <v/>
      </c>
      <c r="B9476">
        <f>TEST_DATA!B9476</f>
        <v/>
      </c>
      <c r="C9476">
        <f>TEST_DATA!C9476</f>
        <v/>
      </c>
      <c r="D9476">
        <f>TEST_DATA!D9476</f>
        <v/>
      </c>
      <c r="E9476">
        <f>TEST_DATA!E9476</f>
        <v/>
      </c>
    </row>
    <row r="9477">
      <c r="A9477">
        <f>TEST_DATA!A9477</f>
        <v/>
      </c>
      <c r="B9477">
        <f>TEST_DATA!B9477</f>
        <v/>
      </c>
      <c r="C9477">
        <f>TEST_DATA!C9477</f>
        <v/>
      </c>
      <c r="D9477">
        <f>TEST_DATA!D9477</f>
        <v/>
      </c>
      <c r="E9477">
        <f>TEST_DATA!E9477</f>
        <v/>
      </c>
    </row>
    <row r="9478">
      <c r="A9478">
        <f>TEST_DATA!A9478</f>
        <v/>
      </c>
      <c r="B9478">
        <f>TEST_DATA!B9478</f>
        <v/>
      </c>
      <c r="C9478">
        <f>TEST_DATA!C9478</f>
        <v/>
      </c>
      <c r="D9478">
        <f>TEST_DATA!D9478</f>
        <v/>
      </c>
      <c r="E9478">
        <f>TEST_DATA!E9478</f>
        <v/>
      </c>
    </row>
    <row r="9479">
      <c r="A9479">
        <f>TEST_DATA!A9479</f>
        <v/>
      </c>
      <c r="B9479">
        <f>TEST_DATA!B9479</f>
        <v/>
      </c>
      <c r="C9479">
        <f>TEST_DATA!C9479</f>
        <v/>
      </c>
      <c r="D9479">
        <f>TEST_DATA!D9479</f>
        <v/>
      </c>
      <c r="E9479">
        <f>TEST_DATA!E9479</f>
        <v/>
      </c>
    </row>
    <row r="9480">
      <c r="A9480">
        <f>TEST_DATA!A9480</f>
        <v/>
      </c>
      <c r="B9480">
        <f>TEST_DATA!B9480</f>
        <v/>
      </c>
      <c r="C9480">
        <f>TEST_DATA!C9480</f>
        <v/>
      </c>
      <c r="D9480">
        <f>TEST_DATA!D9480</f>
        <v/>
      </c>
      <c r="E9480">
        <f>TEST_DATA!E9480</f>
        <v/>
      </c>
    </row>
    <row r="9481">
      <c r="A9481">
        <f>TEST_DATA!A9481</f>
        <v/>
      </c>
      <c r="B9481">
        <f>TEST_DATA!B9481</f>
        <v/>
      </c>
      <c r="C9481">
        <f>TEST_DATA!C9481</f>
        <v/>
      </c>
      <c r="D9481">
        <f>TEST_DATA!D9481</f>
        <v/>
      </c>
      <c r="E9481">
        <f>TEST_DATA!E9481</f>
        <v/>
      </c>
    </row>
    <row r="9482">
      <c r="A9482">
        <f>TEST_DATA!A9482</f>
        <v/>
      </c>
      <c r="B9482">
        <f>TEST_DATA!B9482</f>
        <v/>
      </c>
      <c r="C9482">
        <f>TEST_DATA!C9482</f>
        <v/>
      </c>
      <c r="D9482">
        <f>TEST_DATA!D9482</f>
        <v/>
      </c>
      <c r="E9482">
        <f>TEST_DATA!E9482</f>
        <v/>
      </c>
    </row>
    <row r="9483">
      <c r="A9483">
        <f>TEST_DATA!A9483</f>
        <v/>
      </c>
      <c r="B9483">
        <f>TEST_DATA!B9483</f>
        <v/>
      </c>
      <c r="C9483">
        <f>TEST_DATA!C9483</f>
        <v/>
      </c>
      <c r="D9483">
        <f>TEST_DATA!D9483</f>
        <v/>
      </c>
      <c r="E9483">
        <f>TEST_DATA!E9483</f>
        <v/>
      </c>
    </row>
    <row r="9484">
      <c r="A9484">
        <f>TEST_DATA!A9484</f>
        <v/>
      </c>
      <c r="B9484">
        <f>TEST_DATA!B9484</f>
        <v/>
      </c>
      <c r="C9484">
        <f>TEST_DATA!C9484</f>
        <v/>
      </c>
      <c r="D9484">
        <f>TEST_DATA!D9484</f>
        <v/>
      </c>
      <c r="E9484">
        <f>TEST_DATA!E9484</f>
        <v/>
      </c>
    </row>
    <row r="9485">
      <c r="A9485">
        <f>TEST_DATA!A9485</f>
        <v/>
      </c>
      <c r="B9485">
        <f>TEST_DATA!B9485</f>
        <v/>
      </c>
      <c r="C9485">
        <f>TEST_DATA!C9485</f>
        <v/>
      </c>
      <c r="D9485">
        <f>TEST_DATA!D9485</f>
        <v/>
      </c>
      <c r="E9485">
        <f>TEST_DATA!E9485</f>
        <v/>
      </c>
    </row>
    <row r="9486">
      <c r="A9486">
        <f>TEST_DATA!A9486</f>
        <v/>
      </c>
      <c r="B9486">
        <f>TEST_DATA!B9486</f>
        <v/>
      </c>
      <c r="C9486">
        <f>TEST_DATA!C9486</f>
        <v/>
      </c>
      <c r="D9486">
        <f>TEST_DATA!D9486</f>
        <v/>
      </c>
      <c r="E9486">
        <f>TEST_DATA!E9486</f>
        <v/>
      </c>
    </row>
    <row r="9487">
      <c r="A9487">
        <f>TEST_DATA!A9487</f>
        <v/>
      </c>
      <c r="B9487">
        <f>TEST_DATA!B9487</f>
        <v/>
      </c>
      <c r="C9487">
        <f>TEST_DATA!C9487</f>
        <v/>
      </c>
      <c r="D9487">
        <f>TEST_DATA!D9487</f>
        <v/>
      </c>
      <c r="E9487">
        <f>TEST_DATA!E9487</f>
        <v/>
      </c>
    </row>
    <row r="9488">
      <c r="A9488">
        <f>TEST_DATA!A9488</f>
        <v/>
      </c>
      <c r="B9488">
        <f>TEST_DATA!B9488</f>
        <v/>
      </c>
      <c r="C9488">
        <f>TEST_DATA!C9488</f>
        <v/>
      </c>
      <c r="D9488">
        <f>TEST_DATA!D9488</f>
        <v/>
      </c>
      <c r="E9488">
        <f>TEST_DATA!E9488</f>
        <v/>
      </c>
    </row>
    <row r="9489">
      <c r="A9489">
        <f>TEST_DATA!A9489</f>
        <v/>
      </c>
      <c r="B9489">
        <f>TEST_DATA!B9489</f>
        <v/>
      </c>
      <c r="C9489">
        <f>TEST_DATA!C9489</f>
        <v/>
      </c>
      <c r="D9489">
        <f>TEST_DATA!D9489</f>
        <v/>
      </c>
      <c r="E9489">
        <f>TEST_DATA!E9489</f>
        <v/>
      </c>
    </row>
    <row r="9490">
      <c r="A9490">
        <f>TEST_DATA!A9490</f>
        <v/>
      </c>
      <c r="B9490">
        <f>TEST_DATA!B9490</f>
        <v/>
      </c>
      <c r="C9490">
        <f>TEST_DATA!C9490</f>
        <v/>
      </c>
      <c r="D9490">
        <f>TEST_DATA!D9490</f>
        <v/>
      </c>
      <c r="E9490">
        <f>TEST_DATA!E9490</f>
        <v/>
      </c>
    </row>
    <row r="9491">
      <c r="A9491">
        <f>TEST_DATA!A9491</f>
        <v/>
      </c>
      <c r="B9491">
        <f>TEST_DATA!B9491</f>
        <v/>
      </c>
      <c r="C9491">
        <f>TEST_DATA!C9491</f>
        <v/>
      </c>
      <c r="D9491">
        <f>TEST_DATA!D9491</f>
        <v/>
      </c>
      <c r="E9491">
        <f>TEST_DATA!E9491</f>
        <v/>
      </c>
    </row>
    <row r="9492">
      <c r="A9492">
        <f>TEST_DATA!A9492</f>
        <v/>
      </c>
      <c r="B9492">
        <f>TEST_DATA!B9492</f>
        <v/>
      </c>
      <c r="C9492">
        <f>TEST_DATA!C9492</f>
        <v/>
      </c>
      <c r="D9492">
        <f>TEST_DATA!D9492</f>
        <v/>
      </c>
      <c r="E9492">
        <f>TEST_DATA!E9492</f>
        <v/>
      </c>
    </row>
    <row r="9493">
      <c r="A9493">
        <f>TEST_DATA!A9493</f>
        <v/>
      </c>
      <c r="B9493">
        <f>TEST_DATA!B9493</f>
        <v/>
      </c>
      <c r="C9493">
        <f>TEST_DATA!C9493</f>
        <v/>
      </c>
      <c r="D9493">
        <f>TEST_DATA!D9493</f>
        <v/>
      </c>
      <c r="E9493">
        <f>TEST_DATA!E9493</f>
        <v/>
      </c>
    </row>
    <row r="9494">
      <c r="A9494">
        <f>TEST_DATA!A9494</f>
        <v/>
      </c>
      <c r="B9494">
        <f>TEST_DATA!B9494</f>
        <v/>
      </c>
      <c r="C9494">
        <f>TEST_DATA!C9494</f>
        <v/>
      </c>
      <c r="D9494">
        <f>TEST_DATA!D9494</f>
        <v/>
      </c>
      <c r="E9494">
        <f>TEST_DATA!E9494</f>
        <v/>
      </c>
    </row>
    <row r="9495">
      <c r="A9495">
        <f>TEST_DATA!A9495</f>
        <v/>
      </c>
      <c r="B9495">
        <f>TEST_DATA!B9495</f>
        <v/>
      </c>
      <c r="C9495">
        <f>TEST_DATA!C9495</f>
        <v/>
      </c>
      <c r="D9495">
        <f>TEST_DATA!D9495</f>
        <v/>
      </c>
      <c r="E9495">
        <f>TEST_DATA!E9495</f>
        <v/>
      </c>
    </row>
    <row r="9496">
      <c r="A9496">
        <f>TEST_DATA!A9496</f>
        <v/>
      </c>
      <c r="B9496">
        <f>TEST_DATA!B9496</f>
        <v/>
      </c>
      <c r="C9496">
        <f>TEST_DATA!C9496</f>
        <v/>
      </c>
      <c r="D9496">
        <f>TEST_DATA!D9496</f>
        <v/>
      </c>
      <c r="E9496">
        <f>TEST_DATA!E9496</f>
        <v/>
      </c>
    </row>
    <row r="9497">
      <c r="A9497">
        <f>TEST_DATA!A9497</f>
        <v/>
      </c>
      <c r="B9497">
        <f>TEST_DATA!B9497</f>
        <v/>
      </c>
      <c r="C9497">
        <f>TEST_DATA!C9497</f>
        <v/>
      </c>
      <c r="D9497">
        <f>TEST_DATA!D9497</f>
        <v/>
      </c>
      <c r="E9497">
        <f>TEST_DATA!E9497</f>
        <v/>
      </c>
    </row>
    <row r="9498">
      <c r="A9498">
        <f>TEST_DATA!A9498</f>
        <v/>
      </c>
      <c r="B9498">
        <f>TEST_DATA!B9498</f>
        <v/>
      </c>
      <c r="C9498">
        <f>TEST_DATA!C9498</f>
        <v/>
      </c>
      <c r="D9498">
        <f>TEST_DATA!D9498</f>
        <v/>
      </c>
      <c r="E9498">
        <f>TEST_DATA!E9498</f>
        <v/>
      </c>
    </row>
    <row r="9499">
      <c r="A9499">
        <f>TEST_DATA!A9499</f>
        <v/>
      </c>
      <c r="B9499">
        <f>TEST_DATA!B9499</f>
        <v/>
      </c>
      <c r="C9499">
        <f>TEST_DATA!C9499</f>
        <v/>
      </c>
      <c r="D9499">
        <f>TEST_DATA!D9499</f>
        <v/>
      </c>
      <c r="E9499">
        <f>TEST_DATA!E9499</f>
        <v/>
      </c>
    </row>
    <row r="9500">
      <c r="A9500">
        <f>TEST_DATA!A9500</f>
        <v/>
      </c>
      <c r="B9500">
        <f>TEST_DATA!B9500</f>
        <v/>
      </c>
      <c r="C9500">
        <f>TEST_DATA!C9500</f>
        <v/>
      </c>
      <c r="D9500">
        <f>TEST_DATA!D9500</f>
        <v/>
      </c>
      <c r="E9500">
        <f>TEST_DATA!E9500</f>
        <v/>
      </c>
    </row>
    <row r="9501">
      <c r="A9501">
        <f>TEST_DATA!A9501</f>
        <v/>
      </c>
      <c r="B9501">
        <f>TEST_DATA!B9501</f>
        <v/>
      </c>
      <c r="C9501">
        <f>TEST_DATA!C9501</f>
        <v/>
      </c>
      <c r="D9501">
        <f>TEST_DATA!D9501</f>
        <v/>
      </c>
      <c r="E9501">
        <f>TEST_DATA!E9501</f>
        <v/>
      </c>
    </row>
    <row r="9502">
      <c r="A9502">
        <f>TEST_DATA!A9502</f>
        <v/>
      </c>
      <c r="B9502">
        <f>TEST_DATA!B9502</f>
        <v/>
      </c>
      <c r="C9502">
        <f>TEST_DATA!C9502</f>
        <v/>
      </c>
      <c r="D9502">
        <f>TEST_DATA!D9502</f>
        <v/>
      </c>
      <c r="E9502">
        <f>TEST_DATA!E9502</f>
        <v/>
      </c>
    </row>
    <row r="9503">
      <c r="A9503">
        <f>TEST_DATA!A9503</f>
        <v/>
      </c>
      <c r="B9503">
        <f>TEST_DATA!B9503</f>
        <v/>
      </c>
      <c r="C9503">
        <f>TEST_DATA!C9503</f>
        <v/>
      </c>
      <c r="D9503">
        <f>TEST_DATA!D9503</f>
        <v/>
      </c>
      <c r="E9503">
        <f>TEST_DATA!E9503</f>
        <v/>
      </c>
    </row>
    <row r="9504">
      <c r="A9504">
        <f>TEST_DATA!A9504</f>
        <v/>
      </c>
      <c r="B9504">
        <f>TEST_DATA!B9504</f>
        <v/>
      </c>
      <c r="C9504">
        <f>TEST_DATA!C9504</f>
        <v/>
      </c>
      <c r="D9504">
        <f>TEST_DATA!D9504</f>
        <v/>
      </c>
      <c r="E9504">
        <f>TEST_DATA!E9504</f>
        <v/>
      </c>
    </row>
    <row r="9505">
      <c r="A9505">
        <f>TEST_DATA!A9505</f>
        <v/>
      </c>
      <c r="B9505">
        <f>TEST_DATA!B9505</f>
        <v/>
      </c>
      <c r="C9505">
        <f>TEST_DATA!C9505</f>
        <v/>
      </c>
      <c r="D9505">
        <f>TEST_DATA!D9505</f>
        <v/>
      </c>
      <c r="E9505">
        <f>TEST_DATA!E9505</f>
        <v/>
      </c>
    </row>
    <row r="9506">
      <c r="A9506">
        <f>TEST_DATA!A9506</f>
        <v/>
      </c>
      <c r="B9506">
        <f>TEST_DATA!B9506</f>
        <v/>
      </c>
      <c r="C9506">
        <f>TEST_DATA!C9506</f>
        <v/>
      </c>
      <c r="D9506">
        <f>TEST_DATA!D9506</f>
        <v/>
      </c>
      <c r="E9506">
        <f>TEST_DATA!E9506</f>
        <v/>
      </c>
    </row>
    <row r="9507">
      <c r="A9507">
        <f>TEST_DATA!A9507</f>
        <v/>
      </c>
      <c r="B9507">
        <f>TEST_DATA!B9507</f>
        <v/>
      </c>
      <c r="C9507">
        <f>TEST_DATA!C9507</f>
        <v/>
      </c>
      <c r="D9507">
        <f>TEST_DATA!D9507</f>
        <v/>
      </c>
      <c r="E9507">
        <f>TEST_DATA!E9507</f>
        <v/>
      </c>
    </row>
    <row r="9508">
      <c r="A9508">
        <f>TEST_DATA!A9508</f>
        <v/>
      </c>
      <c r="B9508">
        <f>TEST_DATA!B9508</f>
        <v/>
      </c>
      <c r="C9508">
        <f>TEST_DATA!C9508</f>
        <v/>
      </c>
      <c r="D9508">
        <f>TEST_DATA!D9508</f>
        <v/>
      </c>
      <c r="E9508">
        <f>TEST_DATA!E9508</f>
        <v/>
      </c>
    </row>
    <row r="9509">
      <c r="A9509">
        <f>TEST_DATA!A9509</f>
        <v/>
      </c>
      <c r="B9509">
        <f>TEST_DATA!B9509</f>
        <v/>
      </c>
      <c r="C9509">
        <f>TEST_DATA!C9509</f>
        <v/>
      </c>
      <c r="D9509">
        <f>TEST_DATA!D9509</f>
        <v/>
      </c>
      <c r="E9509">
        <f>TEST_DATA!E9509</f>
        <v/>
      </c>
    </row>
    <row r="9510">
      <c r="A9510">
        <f>TEST_DATA!A9510</f>
        <v/>
      </c>
      <c r="B9510">
        <f>TEST_DATA!B9510</f>
        <v/>
      </c>
      <c r="C9510">
        <f>TEST_DATA!C9510</f>
        <v/>
      </c>
      <c r="D9510">
        <f>TEST_DATA!D9510</f>
        <v/>
      </c>
      <c r="E9510">
        <f>TEST_DATA!E9510</f>
        <v/>
      </c>
    </row>
    <row r="9511">
      <c r="A9511">
        <f>TEST_DATA!A9511</f>
        <v/>
      </c>
      <c r="B9511">
        <f>TEST_DATA!B9511</f>
        <v/>
      </c>
      <c r="C9511">
        <f>TEST_DATA!C9511</f>
        <v/>
      </c>
      <c r="D9511">
        <f>TEST_DATA!D9511</f>
        <v/>
      </c>
      <c r="E9511">
        <f>TEST_DATA!E9511</f>
        <v/>
      </c>
    </row>
    <row r="9512">
      <c r="A9512">
        <f>TEST_DATA!A9512</f>
        <v/>
      </c>
      <c r="B9512">
        <f>TEST_DATA!B9512</f>
        <v/>
      </c>
      <c r="C9512">
        <f>TEST_DATA!C9512</f>
        <v/>
      </c>
      <c r="D9512">
        <f>TEST_DATA!D9512</f>
        <v/>
      </c>
      <c r="E9512">
        <f>TEST_DATA!E9512</f>
        <v/>
      </c>
    </row>
    <row r="9513">
      <c r="A9513">
        <f>TEST_DATA!A9513</f>
        <v/>
      </c>
      <c r="B9513">
        <f>TEST_DATA!B9513</f>
        <v/>
      </c>
      <c r="C9513">
        <f>TEST_DATA!C9513</f>
        <v/>
      </c>
      <c r="D9513">
        <f>TEST_DATA!D9513</f>
        <v/>
      </c>
      <c r="E9513">
        <f>TEST_DATA!E9513</f>
        <v/>
      </c>
    </row>
    <row r="9514">
      <c r="A9514">
        <f>TEST_DATA!A9514</f>
        <v/>
      </c>
      <c r="B9514">
        <f>TEST_DATA!B9514</f>
        <v/>
      </c>
      <c r="C9514">
        <f>TEST_DATA!C9514</f>
        <v/>
      </c>
      <c r="D9514">
        <f>TEST_DATA!D9514</f>
        <v/>
      </c>
      <c r="E9514">
        <f>TEST_DATA!E9514</f>
        <v/>
      </c>
    </row>
    <row r="9515">
      <c r="A9515">
        <f>TEST_DATA!A9515</f>
        <v/>
      </c>
      <c r="B9515">
        <f>TEST_DATA!B9515</f>
        <v/>
      </c>
      <c r="C9515">
        <f>TEST_DATA!C9515</f>
        <v/>
      </c>
      <c r="D9515">
        <f>TEST_DATA!D9515</f>
        <v/>
      </c>
      <c r="E9515">
        <f>TEST_DATA!E9515</f>
        <v/>
      </c>
    </row>
    <row r="9516">
      <c r="A9516">
        <f>TEST_DATA!A9516</f>
        <v/>
      </c>
      <c r="B9516">
        <f>TEST_DATA!B9516</f>
        <v/>
      </c>
      <c r="C9516">
        <f>TEST_DATA!C9516</f>
        <v/>
      </c>
      <c r="D9516">
        <f>TEST_DATA!D9516</f>
        <v/>
      </c>
      <c r="E9516">
        <f>TEST_DATA!E9516</f>
        <v/>
      </c>
    </row>
    <row r="9517">
      <c r="A9517">
        <f>TEST_DATA!A9517</f>
        <v/>
      </c>
      <c r="B9517">
        <f>TEST_DATA!B9517</f>
        <v/>
      </c>
      <c r="C9517">
        <f>TEST_DATA!C9517</f>
        <v/>
      </c>
      <c r="D9517">
        <f>TEST_DATA!D9517</f>
        <v/>
      </c>
      <c r="E9517">
        <f>TEST_DATA!E9517</f>
        <v/>
      </c>
    </row>
    <row r="9518">
      <c r="A9518">
        <f>TEST_DATA!A9518</f>
        <v/>
      </c>
      <c r="B9518">
        <f>TEST_DATA!B9518</f>
        <v/>
      </c>
      <c r="C9518">
        <f>TEST_DATA!C9518</f>
        <v/>
      </c>
      <c r="D9518">
        <f>TEST_DATA!D9518</f>
        <v/>
      </c>
      <c r="E9518">
        <f>TEST_DATA!E9518</f>
        <v/>
      </c>
    </row>
    <row r="9519">
      <c r="A9519">
        <f>TEST_DATA!A9519</f>
        <v/>
      </c>
      <c r="B9519">
        <f>TEST_DATA!B9519</f>
        <v/>
      </c>
      <c r="C9519">
        <f>TEST_DATA!C9519</f>
        <v/>
      </c>
      <c r="D9519">
        <f>TEST_DATA!D9519</f>
        <v/>
      </c>
      <c r="E9519">
        <f>TEST_DATA!E9519</f>
        <v/>
      </c>
    </row>
    <row r="9520">
      <c r="A9520">
        <f>TEST_DATA!A9520</f>
        <v/>
      </c>
      <c r="B9520">
        <f>TEST_DATA!B9520</f>
        <v/>
      </c>
      <c r="C9520">
        <f>TEST_DATA!C9520</f>
        <v/>
      </c>
      <c r="D9520">
        <f>TEST_DATA!D9520</f>
        <v/>
      </c>
      <c r="E9520">
        <f>TEST_DATA!E9520</f>
        <v/>
      </c>
    </row>
    <row r="9521">
      <c r="A9521">
        <f>TEST_DATA!A9521</f>
        <v/>
      </c>
      <c r="B9521">
        <f>TEST_DATA!B9521</f>
        <v/>
      </c>
      <c r="C9521">
        <f>TEST_DATA!C9521</f>
        <v/>
      </c>
      <c r="D9521">
        <f>TEST_DATA!D9521</f>
        <v/>
      </c>
      <c r="E9521">
        <f>TEST_DATA!E9521</f>
        <v/>
      </c>
    </row>
    <row r="9522">
      <c r="A9522">
        <f>TEST_DATA!A9522</f>
        <v/>
      </c>
      <c r="B9522">
        <f>TEST_DATA!B9522</f>
        <v/>
      </c>
      <c r="C9522">
        <f>TEST_DATA!C9522</f>
        <v/>
      </c>
      <c r="D9522">
        <f>TEST_DATA!D9522</f>
        <v/>
      </c>
      <c r="E9522">
        <f>TEST_DATA!E9522</f>
        <v/>
      </c>
    </row>
    <row r="9523">
      <c r="A9523">
        <f>TEST_DATA!A9523</f>
        <v/>
      </c>
      <c r="B9523">
        <f>TEST_DATA!B9523</f>
        <v/>
      </c>
      <c r="C9523">
        <f>TEST_DATA!C9523</f>
        <v/>
      </c>
      <c r="D9523">
        <f>TEST_DATA!D9523</f>
        <v/>
      </c>
      <c r="E9523">
        <f>TEST_DATA!E9523</f>
        <v/>
      </c>
    </row>
    <row r="9524">
      <c r="A9524">
        <f>TEST_DATA!A9524</f>
        <v/>
      </c>
      <c r="B9524">
        <f>TEST_DATA!B9524</f>
        <v/>
      </c>
      <c r="C9524">
        <f>TEST_DATA!C9524</f>
        <v/>
      </c>
      <c r="D9524">
        <f>TEST_DATA!D9524</f>
        <v/>
      </c>
      <c r="E9524">
        <f>TEST_DATA!E9524</f>
        <v/>
      </c>
    </row>
    <row r="9525">
      <c r="A9525">
        <f>TEST_DATA!A9525</f>
        <v/>
      </c>
      <c r="B9525">
        <f>TEST_DATA!B9525</f>
        <v/>
      </c>
      <c r="C9525">
        <f>TEST_DATA!C9525</f>
        <v/>
      </c>
      <c r="D9525">
        <f>TEST_DATA!D9525</f>
        <v/>
      </c>
      <c r="E9525">
        <f>TEST_DATA!E9525</f>
        <v/>
      </c>
    </row>
    <row r="9526">
      <c r="A9526">
        <f>TEST_DATA!A9526</f>
        <v/>
      </c>
      <c r="B9526">
        <f>TEST_DATA!B9526</f>
        <v/>
      </c>
      <c r="C9526">
        <f>TEST_DATA!C9526</f>
        <v/>
      </c>
      <c r="D9526">
        <f>TEST_DATA!D9526</f>
        <v/>
      </c>
      <c r="E9526">
        <f>TEST_DATA!E9526</f>
        <v/>
      </c>
    </row>
    <row r="9527">
      <c r="A9527">
        <f>TEST_DATA!A9527</f>
        <v/>
      </c>
      <c r="B9527">
        <f>TEST_DATA!B9527</f>
        <v/>
      </c>
      <c r="C9527">
        <f>TEST_DATA!C9527</f>
        <v/>
      </c>
      <c r="D9527">
        <f>TEST_DATA!D9527</f>
        <v/>
      </c>
      <c r="E9527">
        <f>TEST_DATA!E9527</f>
        <v/>
      </c>
    </row>
    <row r="9528">
      <c r="A9528">
        <f>TEST_DATA!A9528</f>
        <v/>
      </c>
      <c r="B9528">
        <f>TEST_DATA!B9528</f>
        <v/>
      </c>
      <c r="C9528">
        <f>TEST_DATA!C9528</f>
        <v/>
      </c>
      <c r="D9528">
        <f>TEST_DATA!D9528</f>
        <v/>
      </c>
      <c r="E9528">
        <f>TEST_DATA!E9528</f>
        <v/>
      </c>
    </row>
    <row r="9529">
      <c r="A9529">
        <f>TEST_DATA!A9529</f>
        <v/>
      </c>
      <c r="B9529">
        <f>TEST_DATA!B9529</f>
        <v/>
      </c>
      <c r="C9529">
        <f>TEST_DATA!C9529</f>
        <v/>
      </c>
      <c r="D9529">
        <f>TEST_DATA!D9529</f>
        <v/>
      </c>
      <c r="E9529">
        <f>TEST_DATA!E9529</f>
        <v/>
      </c>
    </row>
    <row r="9530">
      <c r="A9530">
        <f>TEST_DATA!A9530</f>
        <v/>
      </c>
      <c r="B9530">
        <f>TEST_DATA!B9530</f>
        <v/>
      </c>
      <c r="C9530">
        <f>TEST_DATA!C9530</f>
        <v/>
      </c>
      <c r="D9530">
        <f>TEST_DATA!D9530</f>
        <v/>
      </c>
      <c r="E9530">
        <f>TEST_DATA!E9530</f>
        <v/>
      </c>
    </row>
    <row r="9531">
      <c r="A9531">
        <f>TEST_DATA!A9531</f>
        <v/>
      </c>
      <c r="B9531">
        <f>TEST_DATA!B9531</f>
        <v/>
      </c>
      <c r="C9531">
        <f>TEST_DATA!C9531</f>
        <v/>
      </c>
      <c r="D9531">
        <f>TEST_DATA!D9531</f>
        <v/>
      </c>
      <c r="E9531">
        <f>TEST_DATA!E9531</f>
        <v/>
      </c>
    </row>
    <row r="9532">
      <c r="A9532">
        <f>TEST_DATA!A9532</f>
        <v/>
      </c>
      <c r="B9532">
        <f>TEST_DATA!B9532</f>
        <v/>
      </c>
      <c r="C9532">
        <f>TEST_DATA!C9532</f>
        <v/>
      </c>
      <c r="D9532">
        <f>TEST_DATA!D9532</f>
        <v/>
      </c>
      <c r="E9532">
        <f>TEST_DATA!E9532</f>
        <v/>
      </c>
    </row>
    <row r="9533">
      <c r="A9533">
        <f>TEST_DATA!A9533</f>
        <v/>
      </c>
      <c r="B9533">
        <f>TEST_DATA!B9533</f>
        <v/>
      </c>
      <c r="C9533">
        <f>TEST_DATA!C9533</f>
        <v/>
      </c>
      <c r="D9533">
        <f>TEST_DATA!D9533</f>
        <v/>
      </c>
      <c r="E9533">
        <f>TEST_DATA!E9533</f>
        <v/>
      </c>
    </row>
    <row r="9534">
      <c r="A9534">
        <f>TEST_DATA!A9534</f>
        <v/>
      </c>
      <c r="B9534">
        <f>TEST_DATA!B9534</f>
        <v/>
      </c>
      <c r="C9534">
        <f>TEST_DATA!C9534</f>
        <v/>
      </c>
      <c r="D9534">
        <f>TEST_DATA!D9534</f>
        <v/>
      </c>
      <c r="E9534">
        <f>TEST_DATA!E9534</f>
        <v/>
      </c>
    </row>
    <row r="9535">
      <c r="A9535">
        <f>TEST_DATA!A9535</f>
        <v/>
      </c>
      <c r="B9535">
        <f>TEST_DATA!B9535</f>
        <v/>
      </c>
      <c r="C9535">
        <f>TEST_DATA!C9535</f>
        <v/>
      </c>
      <c r="D9535">
        <f>TEST_DATA!D9535</f>
        <v/>
      </c>
      <c r="E9535">
        <f>TEST_DATA!E9535</f>
        <v/>
      </c>
    </row>
    <row r="9536">
      <c r="A9536">
        <f>TEST_DATA!A9536</f>
        <v/>
      </c>
      <c r="B9536">
        <f>TEST_DATA!B9536</f>
        <v/>
      </c>
      <c r="C9536">
        <f>TEST_DATA!C9536</f>
        <v/>
      </c>
      <c r="D9536">
        <f>TEST_DATA!D9536</f>
        <v/>
      </c>
      <c r="E9536">
        <f>TEST_DATA!E9536</f>
        <v/>
      </c>
    </row>
    <row r="9537">
      <c r="A9537">
        <f>TEST_DATA!A9537</f>
        <v/>
      </c>
      <c r="B9537">
        <f>TEST_DATA!B9537</f>
        <v/>
      </c>
      <c r="C9537">
        <f>TEST_DATA!C9537</f>
        <v/>
      </c>
      <c r="D9537">
        <f>TEST_DATA!D9537</f>
        <v/>
      </c>
      <c r="E9537">
        <f>TEST_DATA!E9537</f>
        <v/>
      </c>
    </row>
    <row r="9538">
      <c r="A9538">
        <f>TEST_DATA!A9538</f>
        <v/>
      </c>
      <c r="B9538">
        <f>TEST_DATA!B9538</f>
        <v/>
      </c>
      <c r="C9538">
        <f>TEST_DATA!C9538</f>
        <v/>
      </c>
      <c r="D9538">
        <f>TEST_DATA!D9538</f>
        <v/>
      </c>
      <c r="E9538">
        <f>TEST_DATA!E9538</f>
        <v/>
      </c>
    </row>
    <row r="9539">
      <c r="A9539">
        <f>TEST_DATA!A9539</f>
        <v/>
      </c>
      <c r="B9539">
        <f>TEST_DATA!B9539</f>
        <v/>
      </c>
      <c r="C9539">
        <f>TEST_DATA!C9539</f>
        <v/>
      </c>
      <c r="D9539">
        <f>TEST_DATA!D9539</f>
        <v/>
      </c>
      <c r="E9539">
        <f>TEST_DATA!E9539</f>
        <v/>
      </c>
    </row>
    <row r="9540">
      <c r="A9540">
        <f>TEST_DATA!A9540</f>
        <v/>
      </c>
      <c r="B9540">
        <f>TEST_DATA!B9540</f>
        <v/>
      </c>
      <c r="C9540">
        <f>TEST_DATA!C9540</f>
        <v/>
      </c>
      <c r="D9540">
        <f>TEST_DATA!D9540</f>
        <v/>
      </c>
      <c r="E9540">
        <f>TEST_DATA!E9540</f>
        <v/>
      </c>
    </row>
    <row r="9541">
      <c r="A9541">
        <f>TEST_DATA!A9541</f>
        <v/>
      </c>
      <c r="B9541">
        <f>TEST_DATA!B9541</f>
        <v/>
      </c>
      <c r="C9541">
        <f>TEST_DATA!C9541</f>
        <v/>
      </c>
      <c r="D9541">
        <f>TEST_DATA!D9541</f>
        <v/>
      </c>
      <c r="E9541">
        <f>TEST_DATA!E9541</f>
        <v/>
      </c>
    </row>
    <row r="9542">
      <c r="A9542">
        <f>TEST_DATA!A9542</f>
        <v/>
      </c>
      <c r="B9542">
        <f>TEST_DATA!B9542</f>
        <v/>
      </c>
      <c r="C9542">
        <f>TEST_DATA!C9542</f>
        <v/>
      </c>
      <c r="D9542">
        <f>TEST_DATA!D9542</f>
        <v/>
      </c>
      <c r="E9542">
        <f>TEST_DATA!E9542</f>
        <v/>
      </c>
    </row>
    <row r="9543">
      <c r="A9543">
        <f>TEST_DATA!A9543</f>
        <v/>
      </c>
      <c r="B9543">
        <f>TEST_DATA!B9543</f>
        <v/>
      </c>
      <c r="C9543">
        <f>TEST_DATA!C9543</f>
        <v/>
      </c>
      <c r="D9543">
        <f>TEST_DATA!D9543</f>
        <v/>
      </c>
      <c r="E9543">
        <f>TEST_DATA!E9543</f>
        <v/>
      </c>
    </row>
    <row r="9544">
      <c r="A9544">
        <f>TEST_DATA!A9544</f>
        <v/>
      </c>
      <c r="B9544">
        <f>TEST_DATA!B9544</f>
        <v/>
      </c>
      <c r="C9544">
        <f>TEST_DATA!C9544</f>
        <v/>
      </c>
      <c r="D9544">
        <f>TEST_DATA!D9544</f>
        <v/>
      </c>
      <c r="E9544">
        <f>TEST_DATA!E9544</f>
        <v/>
      </c>
    </row>
    <row r="9545">
      <c r="A9545">
        <f>TEST_DATA!A9545</f>
        <v/>
      </c>
      <c r="B9545">
        <f>TEST_DATA!B9545</f>
        <v/>
      </c>
      <c r="C9545">
        <f>TEST_DATA!C9545</f>
        <v/>
      </c>
      <c r="D9545">
        <f>TEST_DATA!D9545</f>
        <v/>
      </c>
      <c r="E9545">
        <f>TEST_DATA!E9545</f>
        <v/>
      </c>
    </row>
    <row r="9546">
      <c r="A9546">
        <f>TEST_DATA!A9546</f>
        <v/>
      </c>
      <c r="B9546">
        <f>TEST_DATA!B9546</f>
        <v/>
      </c>
      <c r="C9546">
        <f>TEST_DATA!C9546</f>
        <v/>
      </c>
      <c r="D9546">
        <f>TEST_DATA!D9546</f>
        <v/>
      </c>
      <c r="E9546">
        <f>TEST_DATA!E9546</f>
        <v/>
      </c>
    </row>
    <row r="9547">
      <c r="A9547">
        <f>TEST_DATA!A9547</f>
        <v/>
      </c>
      <c r="B9547">
        <f>TEST_DATA!B9547</f>
        <v/>
      </c>
      <c r="C9547">
        <f>TEST_DATA!C9547</f>
        <v/>
      </c>
      <c r="D9547">
        <f>TEST_DATA!D9547</f>
        <v/>
      </c>
      <c r="E9547">
        <f>TEST_DATA!E9547</f>
        <v/>
      </c>
    </row>
    <row r="9548">
      <c r="A9548">
        <f>TEST_DATA!A9548</f>
        <v/>
      </c>
      <c r="B9548">
        <f>TEST_DATA!B9548</f>
        <v/>
      </c>
      <c r="C9548">
        <f>TEST_DATA!C9548</f>
        <v/>
      </c>
      <c r="D9548">
        <f>TEST_DATA!D9548</f>
        <v/>
      </c>
      <c r="E9548">
        <f>TEST_DATA!E9548</f>
        <v/>
      </c>
    </row>
    <row r="9549">
      <c r="A9549">
        <f>TEST_DATA!A9549</f>
        <v/>
      </c>
      <c r="B9549">
        <f>TEST_DATA!B9549</f>
        <v/>
      </c>
      <c r="C9549">
        <f>TEST_DATA!C9549</f>
        <v/>
      </c>
      <c r="D9549">
        <f>TEST_DATA!D9549</f>
        <v/>
      </c>
      <c r="E9549">
        <f>TEST_DATA!E9549</f>
        <v/>
      </c>
    </row>
    <row r="9550">
      <c r="A9550">
        <f>TEST_DATA!A9550</f>
        <v/>
      </c>
      <c r="B9550">
        <f>TEST_DATA!B9550</f>
        <v/>
      </c>
      <c r="C9550">
        <f>TEST_DATA!C9550</f>
        <v/>
      </c>
      <c r="D9550">
        <f>TEST_DATA!D9550</f>
        <v/>
      </c>
      <c r="E9550">
        <f>TEST_DATA!E9550</f>
        <v/>
      </c>
    </row>
    <row r="9551">
      <c r="A9551">
        <f>TEST_DATA!A9551</f>
        <v/>
      </c>
      <c r="B9551">
        <f>TEST_DATA!B9551</f>
        <v/>
      </c>
      <c r="C9551">
        <f>TEST_DATA!C9551</f>
        <v/>
      </c>
      <c r="D9551">
        <f>TEST_DATA!D9551</f>
        <v/>
      </c>
      <c r="E9551">
        <f>TEST_DATA!E9551</f>
        <v/>
      </c>
    </row>
    <row r="9552">
      <c r="A9552">
        <f>TEST_DATA!A9552</f>
        <v/>
      </c>
      <c r="B9552">
        <f>TEST_DATA!B9552</f>
        <v/>
      </c>
      <c r="C9552">
        <f>TEST_DATA!C9552</f>
        <v/>
      </c>
      <c r="D9552">
        <f>TEST_DATA!D9552</f>
        <v/>
      </c>
      <c r="E9552">
        <f>TEST_DATA!E9552</f>
        <v/>
      </c>
    </row>
    <row r="9553">
      <c r="A9553">
        <f>TEST_DATA!A9553</f>
        <v/>
      </c>
      <c r="B9553">
        <f>TEST_DATA!B9553</f>
        <v/>
      </c>
      <c r="C9553">
        <f>TEST_DATA!C9553</f>
        <v/>
      </c>
      <c r="D9553">
        <f>TEST_DATA!D9553</f>
        <v/>
      </c>
      <c r="E9553">
        <f>TEST_DATA!E9553</f>
        <v/>
      </c>
    </row>
    <row r="9554">
      <c r="A9554">
        <f>TEST_DATA!A9554</f>
        <v/>
      </c>
      <c r="B9554">
        <f>TEST_DATA!B9554</f>
        <v/>
      </c>
      <c r="C9554">
        <f>TEST_DATA!C9554</f>
        <v/>
      </c>
      <c r="D9554">
        <f>TEST_DATA!D9554</f>
        <v/>
      </c>
      <c r="E9554">
        <f>TEST_DATA!E9554</f>
        <v/>
      </c>
    </row>
    <row r="9555">
      <c r="A9555">
        <f>TEST_DATA!A9555</f>
        <v/>
      </c>
      <c r="B9555">
        <f>TEST_DATA!B9555</f>
        <v/>
      </c>
      <c r="C9555">
        <f>TEST_DATA!C9555</f>
        <v/>
      </c>
      <c r="D9555">
        <f>TEST_DATA!D9555</f>
        <v/>
      </c>
      <c r="E9555">
        <f>TEST_DATA!E9555</f>
        <v/>
      </c>
    </row>
    <row r="9556">
      <c r="A9556">
        <f>TEST_DATA!A9556</f>
        <v/>
      </c>
      <c r="B9556">
        <f>TEST_DATA!B9556</f>
        <v/>
      </c>
      <c r="C9556">
        <f>TEST_DATA!C9556</f>
        <v/>
      </c>
      <c r="D9556">
        <f>TEST_DATA!D9556</f>
        <v/>
      </c>
      <c r="E9556">
        <f>TEST_DATA!E9556</f>
        <v/>
      </c>
    </row>
    <row r="9557">
      <c r="A9557">
        <f>TEST_DATA!A9557</f>
        <v/>
      </c>
      <c r="B9557">
        <f>TEST_DATA!B9557</f>
        <v/>
      </c>
      <c r="C9557">
        <f>TEST_DATA!C9557</f>
        <v/>
      </c>
      <c r="D9557">
        <f>TEST_DATA!D9557</f>
        <v/>
      </c>
      <c r="E9557">
        <f>TEST_DATA!E9557</f>
        <v/>
      </c>
    </row>
    <row r="9558">
      <c r="A9558">
        <f>TEST_DATA!A9558</f>
        <v/>
      </c>
      <c r="B9558">
        <f>TEST_DATA!B9558</f>
        <v/>
      </c>
      <c r="C9558">
        <f>TEST_DATA!C9558</f>
        <v/>
      </c>
      <c r="D9558">
        <f>TEST_DATA!D9558</f>
        <v/>
      </c>
      <c r="E9558">
        <f>TEST_DATA!E9558</f>
        <v/>
      </c>
    </row>
    <row r="9559">
      <c r="A9559">
        <f>TEST_DATA!A9559</f>
        <v/>
      </c>
      <c r="B9559">
        <f>TEST_DATA!B9559</f>
        <v/>
      </c>
      <c r="C9559">
        <f>TEST_DATA!C9559</f>
        <v/>
      </c>
      <c r="D9559">
        <f>TEST_DATA!D9559</f>
        <v/>
      </c>
      <c r="E9559">
        <f>TEST_DATA!E9559</f>
        <v/>
      </c>
    </row>
    <row r="9560">
      <c r="A9560">
        <f>TEST_DATA!A9560</f>
        <v/>
      </c>
      <c r="B9560">
        <f>TEST_DATA!B9560</f>
        <v/>
      </c>
      <c r="C9560">
        <f>TEST_DATA!C9560</f>
        <v/>
      </c>
      <c r="D9560">
        <f>TEST_DATA!D9560</f>
        <v/>
      </c>
      <c r="E9560">
        <f>TEST_DATA!E9560</f>
        <v/>
      </c>
    </row>
    <row r="9561">
      <c r="A9561">
        <f>TEST_DATA!A9561</f>
        <v/>
      </c>
      <c r="B9561">
        <f>TEST_DATA!B9561</f>
        <v/>
      </c>
      <c r="C9561">
        <f>TEST_DATA!C9561</f>
        <v/>
      </c>
      <c r="D9561">
        <f>TEST_DATA!D9561</f>
        <v/>
      </c>
      <c r="E9561">
        <f>TEST_DATA!E9561</f>
        <v/>
      </c>
    </row>
    <row r="9562">
      <c r="A9562">
        <f>TEST_DATA!A9562</f>
        <v/>
      </c>
      <c r="B9562">
        <f>TEST_DATA!B9562</f>
        <v/>
      </c>
      <c r="C9562">
        <f>TEST_DATA!C9562</f>
        <v/>
      </c>
      <c r="D9562">
        <f>TEST_DATA!D9562</f>
        <v/>
      </c>
      <c r="E9562">
        <f>TEST_DATA!E9562</f>
        <v/>
      </c>
    </row>
    <row r="9563">
      <c r="A9563">
        <f>TEST_DATA!A9563</f>
        <v/>
      </c>
      <c r="B9563">
        <f>TEST_DATA!B9563</f>
        <v/>
      </c>
      <c r="C9563">
        <f>TEST_DATA!C9563</f>
        <v/>
      </c>
      <c r="D9563">
        <f>TEST_DATA!D9563</f>
        <v/>
      </c>
      <c r="E9563">
        <f>TEST_DATA!E9563</f>
        <v/>
      </c>
    </row>
    <row r="9564">
      <c r="A9564">
        <f>TEST_DATA!A9564</f>
        <v/>
      </c>
      <c r="B9564">
        <f>TEST_DATA!B9564</f>
        <v/>
      </c>
      <c r="C9564">
        <f>TEST_DATA!C9564</f>
        <v/>
      </c>
      <c r="D9564">
        <f>TEST_DATA!D9564</f>
        <v/>
      </c>
      <c r="E9564">
        <f>TEST_DATA!E9564</f>
        <v/>
      </c>
    </row>
    <row r="9565">
      <c r="A9565">
        <f>TEST_DATA!A9565</f>
        <v/>
      </c>
      <c r="B9565">
        <f>TEST_DATA!B9565</f>
        <v/>
      </c>
      <c r="C9565">
        <f>TEST_DATA!C9565</f>
        <v/>
      </c>
      <c r="D9565">
        <f>TEST_DATA!D9565</f>
        <v/>
      </c>
      <c r="E9565">
        <f>TEST_DATA!E9565</f>
        <v/>
      </c>
    </row>
    <row r="9566">
      <c r="A9566">
        <f>TEST_DATA!A9566</f>
        <v/>
      </c>
      <c r="B9566">
        <f>TEST_DATA!B9566</f>
        <v/>
      </c>
      <c r="C9566">
        <f>TEST_DATA!C9566</f>
        <v/>
      </c>
      <c r="D9566">
        <f>TEST_DATA!D9566</f>
        <v/>
      </c>
      <c r="E9566">
        <f>TEST_DATA!E9566</f>
        <v/>
      </c>
    </row>
    <row r="9567">
      <c r="A9567">
        <f>TEST_DATA!A9567</f>
        <v/>
      </c>
      <c r="B9567">
        <f>TEST_DATA!B9567</f>
        <v/>
      </c>
      <c r="C9567">
        <f>TEST_DATA!C9567</f>
        <v/>
      </c>
      <c r="D9567">
        <f>TEST_DATA!D9567</f>
        <v/>
      </c>
      <c r="E9567">
        <f>TEST_DATA!E9567</f>
        <v/>
      </c>
    </row>
    <row r="9568">
      <c r="A9568">
        <f>TEST_DATA!A9568</f>
        <v/>
      </c>
      <c r="B9568">
        <f>TEST_DATA!B9568</f>
        <v/>
      </c>
      <c r="C9568">
        <f>TEST_DATA!C9568</f>
        <v/>
      </c>
      <c r="D9568">
        <f>TEST_DATA!D9568</f>
        <v/>
      </c>
      <c r="E9568">
        <f>TEST_DATA!E9568</f>
        <v/>
      </c>
    </row>
    <row r="9569">
      <c r="A9569">
        <f>TEST_DATA!A9569</f>
        <v/>
      </c>
      <c r="B9569">
        <f>TEST_DATA!B9569</f>
        <v/>
      </c>
      <c r="C9569">
        <f>TEST_DATA!C9569</f>
        <v/>
      </c>
      <c r="D9569">
        <f>TEST_DATA!D9569</f>
        <v/>
      </c>
      <c r="E9569">
        <f>TEST_DATA!E9569</f>
        <v/>
      </c>
    </row>
    <row r="9570">
      <c r="A9570">
        <f>TEST_DATA!A9570</f>
        <v/>
      </c>
      <c r="B9570">
        <f>TEST_DATA!B9570</f>
        <v/>
      </c>
      <c r="C9570">
        <f>TEST_DATA!C9570</f>
        <v/>
      </c>
      <c r="D9570">
        <f>TEST_DATA!D9570</f>
        <v/>
      </c>
      <c r="E9570">
        <f>TEST_DATA!E9570</f>
        <v/>
      </c>
    </row>
    <row r="9571">
      <c r="A9571">
        <f>TEST_DATA!A9571</f>
        <v/>
      </c>
      <c r="B9571">
        <f>TEST_DATA!B9571</f>
        <v/>
      </c>
      <c r="C9571">
        <f>TEST_DATA!C9571</f>
        <v/>
      </c>
      <c r="D9571">
        <f>TEST_DATA!D9571</f>
        <v/>
      </c>
      <c r="E9571">
        <f>TEST_DATA!E9571</f>
        <v/>
      </c>
    </row>
    <row r="9572">
      <c r="A9572">
        <f>TEST_DATA!A9572</f>
        <v/>
      </c>
      <c r="B9572">
        <f>TEST_DATA!B9572</f>
        <v/>
      </c>
      <c r="C9572">
        <f>TEST_DATA!C9572</f>
        <v/>
      </c>
      <c r="D9572">
        <f>TEST_DATA!D9572</f>
        <v/>
      </c>
      <c r="E9572">
        <f>TEST_DATA!E9572</f>
        <v/>
      </c>
    </row>
    <row r="9573">
      <c r="A9573">
        <f>TEST_DATA!A9573</f>
        <v/>
      </c>
      <c r="B9573">
        <f>TEST_DATA!B9573</f>
        <v/>
      </c>
      <c r="C9573">
        <f>TEST_DATA!C9573</f>
        <v/>
      </c>
      <c r="D9573">
        <f>TEST_DATA!D9573</f>
        <v/>
      </c>
      <c r="E9573">
        <f>TEST_DATA!E9573</f>
        <v/>
      </c>
    </row>
    <row r="9574">
      <c r="A9574">
        <f>TEST_DATA!A9574</f>
        <v/>
      </c>
      <c r="B9574">
        <f>TEST_DATA!B9574</f>
        <v/>
      </c>
      <c r="C9574">
        <f>TEST_DATA!C9574</f>
        <v/>
      </c>
      <c r="D9574">
        <f>TEST_DATA!D9574</f>
        <v/>
      </c>
      <c r="E9574">
        <f>TEST_DATA!E9574</f>
        <v/>
      </c>
    </row>
    <row r="9575">
      <c r="A9575">
        <f>TEST_DATA!A9575</f>
        <v/>
      </c>
      <c r="B9575">
        <f>TEST_DATA!B9575</f>
        <v/>
      </c>
      <c r="C9575">
        <f>TEST_DATA!C9575</f>
        <v/>
      </c>
      <c r="D9575">
        <f>TEST_DATA!D9575</f>
        <v/>
      </c>
      <c r="E9575">
        <f>TEST_DATA!E9575</f>
        <v/>
      </c>
    </row>
    <row r="9576">
      <c r="A9576">
        <f>TEST_DATA!A9576</f>
        <v/>
      </c>
      <c r="B9576">
        <f>TEST_DATA!B9576</f>
        <v/>
      </c>
      <c r="C9576">
        <f>TEST_DATA!C9576</f>
        <v/>
      </c>
      <c r="D9576">
        <f>TEST_DATA!D9576</f>
        <v/>
      </c>
      <c r="E9576">
        <f>TEST_DATA!E9576</f>
        <v/>
      </c>
    </row>
    <row r="9577">
      <c r="A9577">
        <f>TEST_DATA!A9577</f>
        <v/>
      </c>
      <c r="B9577">
        <f>TEST_DATA!B9577</f>
        <v/>
      </c>
      <c r="C9577">
        <f>TEST_DATA!C9577</f>
        <v/>
      </c>
      <c r="D9577">
        <f>TEST_DATA!D9577</f>
        <v/>
      </c>
      <c r="E9577">
        <f>TEST_DATA!E9577</f>
        <v/>
      </c>
    </row>
    <row r="9578">
      <c r="A9578">
        <f>TEST_DATA!A9578</f>
        <v/>
      </c>
      <c r="B9578">
        <f>TEST_DATA!B9578</f>
        <v/>
      </c>
      <c r="C9578">
        <f>TEST_DATA!C9578</f>
        <v/>
      </c>
      <c r="D9578">
        <f>TEST_DATA!D9578</f>
        <v/>
      </c>
      <c r="E9578">
        <f>TEST_DATA!E9578</f>
        <v/>
      </c>
    </row>
    <row r="9579">
      <c r="A9579">
        <f>TEST_DATA!A9579</f>
        <v/>
      </c>
      <c r="B9579">
        <f>TEST_DATA!B9579</f>
        <v/>
      </c>
      <c r="C9579">
        <f>TEST_DATA!C9579</f>
        <v/>
      </c>
      <c r="D9579">
        <f>TEST_DATA!D9579</f>
        <v/>
      </c>
      <c r="E9579">
        <f>TEST_DATA!E9579</f>
        <v/>
      </c>
    </row>
    <row r="9580">
      <c r="A9580">
        <f>TEST_DATA!A9580</f>
        <v/>
      </c>
      <c r="B9580">
        <f>TEST_DATA!B9580</f>
        <v/>
      </c>
      <c r="C9580">
        <f>TEST_DATA!C9580</f>
        <v/>
      </c>
      <c r="D9580">
        <f>TEST_DATA!D9580</f>
        <v/>
      </c>
      <c r="E9580">
        <f>TEST_DATA!E9580</f>
        <v/>
      </c>
    </row>
    <row r="9581">
      <c r="A9581">
        <f>TEST_DATA!A9581</f>
        <v/>
      </c>
      <c r="B9581">
        <f>TEST_DATA!B9581</f>
        <v/>
      </c>
      <c r="C9581">
        <f>TEST_DATA!C9581</f>
        <v/>
      </c>
      <c r="D9581">
        <f>TEST_DATA!D9581</f>
        <v/>
      </c>
      <c r="E9581">
        <f>TEST_DATA!E9581</f>
        <v/>
      </c>
    </row>
    <row r="9582">
      <c r="A9582">
        <f>TEST_DATA!A9582</f>
        <v/>
      </c>
      <c r="B9582">
        <f>TEST_DATA!B9582</f>
        <v/>
      </c>
      <c r="C9582">
        <f>TEST_DATA!C9582</f>
        <v/>
      </c>
      <c r="D9582">
        <f>TEST_DATA!D9582</f>
        <v/>
      </c>
      <c r="E9582">
        <f>TEST_DATA!E9582</f>
        <v/>
      </c>
    </row>
    <row r="9583">
      <c r="A9583">
        <f>TEST_DATA!A9583</f>
        <v/>
      </c>
      <c r="B9583">
        <f>TEST_DATA!B9583</f>
        <v/>
      </c>
      <c r="C9583">
        <f>TEST_DATA!C9583</f>
        <v/>
      </c>
      <c r="D9583">
        <f>TEST_DATA!D9583</f>
        <v/>
      </c>
      <c r="E9583">
        <f>TEST_DATA!E9583</f>
        <v/>
      </c>
    </row>
    <row r="9584">
      <c r="A9584">
        <f>TEST_DATA!A9584</f>
        <v/>
      </c>
      <c r="B9584">
        <f>TEST_DATA!B9584</f>
        <v/>
      </c>
      <c r="C9584">
        <f>TEST_DATA!C9584</f>
        <v/>
      </c>
      <c r="D9584">
        <f>TEST_DATA!D9584</f>
        <v/>
      </c>
      <c r="E9584">
        <f>TEST_DATA!E9584</f>
        <v/>
      </c>
    </row>
    <row r="9585">
      <c r="A9585">
        <f>TEST_DATA!A9585</f>
        <v/>
      </c>
      <c r="B9585">
        <f>TEST_DATA!B9585</f>
        <v/>
      </c>
      <c r="C9585">
        <f>TEST_DATA!C9585</f>
        <v/>
      </c>
      <c r="D9585">
        <f>TEST_DATA!D9585</f>
        <v/>
      </c>
      <c r="E9585">
        <f>TEST_DATA!E9585</f>
        <v/>
      </c>
    </row>
    <row r="9586">
      <c r="A9586">
        <f>TEST_DATA!A9586</f>
        <v/>
      </c>
      <c r="B9586">
        <f>TEST_DATA!B9586</f>
        <v/>
      </c>
      <c r="C9586">
        <f>TEST_DATA!C9586</f>
        <v/>
      </c>
      <c r="D9586">
        <f>TEST_DATA!D9586</f>
        <v/>
      </c>
      <c r="E9586">
        <f>TEST_DATA!E9586</f>
        <v/>
      </c>
    </row>
    <row r="9587">
      <c r="A9587">
        <f>TEST_DATA!A9587</f>
        <v/>
      </c>
      <c r="B9587">
        <f>TEST_DATA!B9587</f>
        <v/>
      </c>
      <c r="C9587">
        <f>TEST_DATA!C9587</f>
        <v/>
      </c>
      <c r="D9587">
        <f>TEST_DATA!D9587</f>
        <v/>
      </c>
      <c r="E9587">
        <f>TEST_DATA!E9587</f>
        <v/>
      </c>
    </row>
    <row r="9588">
      <c r="A9588">
        <f>TEST_DATA!A9588</f>
        <v/>
      </c>
      <c r="B9588">
        <f>TEST_DATA!B9588</f>
        <v/>
      </c>
      <c r="C9588">
        <f>TEST_DATA!C9588</f>
        <v/>
      </c>
      <c r="D9588">
        <f>TEST_DATA!D9588</f>
        <v/>
      </c>
      <c r="E9588">
        <f>TEST_DATA!E9588</f>
        <v/>
      </c>
    </row>
    <row r="9589">
      <c r="A9589">
        <f>TEST_DATA!A9589</f>
        <v/>
      </c>
      <c r="B9589">
        <f>TEST_DATA!B9589</f>
        <v/>
      </c>
      <c r="C9589">
        <f>TEST_DATA!C9589</f>
        <v/>
      </c>
      <c r="D9589">
        <f>TEST_DATA!D9589</f>
        <v/>
      </c>
      <c r="E9589">
        <f>TEST_DATA!E9589</f>
        <v/>
      </c>
    </row>
    <row r="9590">
      <c r="A9590">
        <f>TEST_DATA!A9590</f>
        <v/>
      </c>
      <c r="B9590">
        <f>TEST_DATA!B9590</f>
        <v/>
      </c>
      <c r="C9590">
        <f>TEST_DATA!C9590</f>
        <v/>
      </c>
      <c r="D9590">
        <f>TEST_DATA!D9590</f>
        <v/>
      </c>
      <c r="E9590">
        <f>TEST_DATA!E9590</f>
        <v/>
      </c>
    </row>
    <row r="9591">
      <c r="A9591">
        <f>TEST_DATA!A9591</f>
        <v/>
      </c>
      <c r="B9591">
        <f>TEST_DATA!B9591</f>
        <v/>
      </c>
      <c r="C9591">
        <f>TEST_DATA!C9591</f>
        <v/>
      </c>
      <c r="D9591">
        <f>TEST_DATA!D9591</f>
        <v/>
      </c>
      <c r="E9591">
        <f>TEST_DATA!E9591</f>
        <v/>
      </c>
    </row>
    <row r="9592">
      <c r="A9592">
        <f>TEST_DATA!A9592</f>
        <v/>
      </c>
      <c r="B9592">
        <f>TEST_DATA!B9592</f>
        <v/>
      </c>
      <c r="C9592">
        <f>TEST_DATA!C9592</f>
        <v/>
      </c>
      <c r="D9592">
        <f>TEST_DATA!D9592</f>
        <v/>
      </c>
      <c r="E9592">
        <f>TEST_DATA!E9592</f>
        <v/>
      </c>
    </row>
    <row r="9593">
      <c r="A9593">
        <f>TEST_DATA!A9593</f>
        <v/>
      </c>
      <c r="B9593">
        <f>TEST_DATA!B9593</f>
        <v/>
      </c>
      <c r="C9593">
        <f>TEST_DATA!C9593</f>
        <v/>
      </c>
      <c r="D9593">
        <f>TEST_DATA!D9593</f>
        <v/>
      </c>
      <c r="E9593">
        <f>TEST_DATA!E9593</f>
        <v/>
      </c>
    </row>
    <row r="9594">
      <c r="A9594">
        <f>TEST_DATA!A9594</f>
        <v/>
      </c>
      <c r="B9594">
        <f>TEST_DATA!B9594</f>
        <v/>
      </c>
      <c r="C9594">
        <f>TEST_DATA!C9594</f>
        <v/>
      </c>
      <c r="D9594">
        <f>TEST_DATA!D9594</f>
        <v/>
      </c>
      <c r="E9594">
        <f>TEST_DATA!E9594</f>
        <v/>
      </c>
    </row>
    <row r="9595">
      <c r="A9595">
        <f>TEST_DATA!A9595</f>
        <v/>
      </c>
      <c r="B9595">
        <f>TEST_DATA!B9595</f>
        <v/>
      </c>
      <c r="C9595">
        <f>TEST_DATA!C9595</f>
        <v/>
      </c>
      <c r="D9595">
        <f>TEST_DATA!D9595</f>
        <v/>
      </c>
      <c r="E9595">
        <f>TEST_DATA!E9595</f>
        <v/>
      </c>
    </row>
    <row r="9596">
      <c r="A9596">
        <f>TEST_DATA!A9596</f>
        <v/>
      </c>
      <c r="B9596">
        <f>TEST_DATA!B9596</f>
        <v/>
      </c>
      <c r="C9596">
        <f>TEST_DATA!C9596</f>
        <v/>
      </c>
      <c r="D9596">
        <f>TEST_DATA!D9596</f>
        <v/>
      </c>
      <c r="E9596">
        <f>TEST_DATA!E9596</f>
        <v/>
      </c>
    </row>
    <row r="9597">
      <c r="A9597">
        <f>TEST_DATA!A9597</f>
        <v/>
      </c>
      <c r="B9597">
        <f>TEST_DATA!B9597</f>
        <v/>
      </c>
      <c r="C9597">
        <f>TEST_DATA!C9597</f>
        <v/>
      </c>
      <c r="D9597">
        <f>TEST_DATA!D9597</f>
        <v/>
      </c>
      <c r="E9597">
        <f>TEST_DATA!E9597</f>
        <v/>
      </c>
    </row>
    <row r="9598">
      <c r="A9598">
        <f>TEST_DATA!A9598</f>
        <v/>
      </c>
      <c r="B9598">
        <f>TEST_DATA!B9598</f>
        <v/>
      </c>
      <c r="C9598">
        <f>TEST_DATA!C9598</f>
        <v/>
      </c>
      <c r="D9598">
        <f>TEST_DATA!D9598</f>
        <v/>
      </c>
      <c r="E9598">
        <f>TEST_DATA!E9598</f>
        <v/>
      </c>
    </row>
    <row r="9599">
      <c r="A9599">
        <f>TEST_DATA!A9599</f>
        <v/>
      </c>
      <c r="B9599">
        <f>TEST_DATA!B9599</f>
        <v/>
      </c>
      <c r="C9599">
        <f>TEST_DATA!C9599</f>
        <v/>
      </c>
      <c r="D9599">
        <f>TEST_DATA!D9599</f>
        <v/>
      </c>
      <c r="E9599">
        <f>TEST_DATA!E9599</f>
        <v/>
      </c>
    </row>
    <row r="9600">
      <c r="A9600">
        <f>TEST_DATA!A9600</f>
        <v/>
      </c>
      <c r="B9600">
        <f>TEST_DATA!B9600</f>
        <v/>
      </c>
      <c r="C9600">
        <f>TEST_DATA!C9600</f>
        <v/>
      </c>
      <c r="D9600">
        <f>TEST_DATA!D9600</f>
        <v/>
      </c>
      <c r="E9600">
        <f>TEST_DATA!E9600</f>
        <v/>
      </c>
    </row>
    <row r="9601">
      <c r="A9601">
        <f>TEST_DATA!A9601</f>
        <v/>
      </c>
      <c r="B9601">
        <f>TEST_DATA!B9601</f>
        <v/>
      </c>
      <c r="C9601">
        <f>TEST_DATA!C9601</f>
        <v/>
      </c>
      <c r="D9601">
        <f>TEST_DATA!D9601</f>
        <v/>
      </c>
      <c r="E9601">
        <f>TEST_DATA!E9601</f>
        <v/>
      </c>
    </row>
    <row r="9602">
      <c r="A9602">
        <f>TEST_DATA!A9602</f>
        <v/>
      </c>
      <c r="B9602">
        <f>TEST_DATA!B9602</f>
        <v/>
      </c>
      <c r="C9602">
        <f>TEST_DATA!C9602</f>
        <v/>
      </c>
      <c r="D9602">
        <f>TEST_DATA!D9602</f>
        <v/>
      </c>
      <c r="E9602">
        <f>TEST_DATA!E9602</f>
        <v/>
      </c>
    </row>
    <row r="9603">
      <c r="A9603">
        <f>TEST_DATA!A9603</f>
        <v/>
      </c>
      <c r="B9603">
        <f>TEST_DATA!B9603</f>
        <v/>
      </c>
      <c r="C9603">
        <f>TEST_DATA!C9603</f>
        <v/>
      </c>
      <c r="D9603">
        <f>TEST_DATA!D9603</f>
        <v/>
      </c>
      <c r="E9603">
        <f>TEST_DATA!E9603</f>
        <v/>
      </c>
    </row>
    <row r="9604">
      <c r="A9604">
        <f>TEST_DATA!A9604</f>
        <v/>
      </c>
      <c r="B9604">
        <f>TEST_DATA!B9604</f>
        <v/>
      </c>
      <c r="C9604">
        <f>TEST_DATA!C9604</f>
        <v/>
      </c>
      <c r="D9604">
        <f>TEST_DATA!D9604</f>
        <v/>
      </c>
      <c r="E9604">
        <f>TEST_DATA!E9604</f>
        <v/>
      </c>
    </row>
    <row r="9605">
      <c r="A9605">
        <f>TEST_DATA!A9605</f>
        <v/>
      </c>
      <c r="B9605">
        <f>TEST_DATA!B9605</f>
        <v/>
      </c>
      <c r="C9605">
        <f>TEST_DATA!C9605</f>
        <v/>
      </c>
      <c r="D9605">
        <f>TEST_DATA!D9605</f>
        <v/>
      </c>
      <c r="E9605">
        <f>TEST_DATA!E9605</f>
        <v/>
      </c>
    </row>
    <row r="9606">
      <c r="A9606">
        <f>TEST_DATA!A9606</f>
        <v/>
      </c>
      <c r="B9606">
        <f>TEST_DATA!B9606</f>
        <v/>
      </c>
      <c r="C9606">
        <f>TEST_DATA!C9606</f>
        <v/>
      </c>
      <c r="D9606">
        <f>TEST_DATA!D9606</f>
        <v/>
      </c>
      <c r="E9606">
        <f>TEST_DATA!E9606</f>
        <v/>
      </c>
    </row>
    <row r="9607">
      <c r="A9607">
        <f>TEST_DATA!A9607</f>
        <v/>
      </c>
      <c r="B9607">
        <f>TEST_DATA!B9607</f>
        <v/>
      </c>
      <c r="C9607">
        <f>TEST_DATA!C9607</f>
        <v/>
      </c>
      <c r="D9607">
        <f>TEST_DATA!D9607</f>
        <v/>
      </c>
      <c r="E9607">
        <f>TEST_DATA!E9607</f>
        <v/>
      </c>
    </row>
    <row r="9608">
      <c r="A9608">
        <f>TEST_DATA!A9608</f>
        <v/>
      </c>
      <c r="B9608">
        <f>TEST_DATA!B9608</f>
        <v/>
      </c>
      <c r="C9608">
        <f>TEST_DATA!C9608</f>
        <v/>
      </c>
      <c r="D9608">
        <f>TEST_DATA!D9608</f>
        <v/>
      </c>
      <c r="E9608">
        <f>TEST_DATA!E9608</f>
        <v/>
      </c>
    </row>
    <row r="9609">
      <c r="A9609">
        <f>TEST_DATA!A9609</f>
        <v/>
      </c>
      <c r="B9609">
        <f>TEST_DATA!B9609</f>
        <v/>
      </c>
      <c r="C9609">
        <f>TEST_DATA!C9609</f>
        <v/>
      </c>
      <c r="D9609">
        <f>TEST_DATA!D9609</f>
        <v/>
      </c>
      <c r="E9609">
        <f>TEST_DATA!E9609</f>
        <v/>
      </c>
    </row>
    <row r="9610">
      <c r="A9610">
        <f>TEST_DATA!A9610</f>
        <v/>
      </c>
      <c r="B9610">
        <f>TEST_DATA!B9610</f>
        <v/>
      </c>
      <c r="C9610">
        <f>TEST_DATA!C9610</f>
        <v/>
      </c>
      <c r="D9610">
        <f>TEST_DATA!D9610</f>
        <v/>
      </c>
      <c r="E9610">
        <f>TEST_DATA!E9610</f>
        <v/>
      </c>
    </row>
    <row r="9611">
      <c r="A9611">
        <f>TEST_DATA!A9611</f>
        <v/>
      </c>
      <c r="B9611">
        <f>TEST_DATA!B9611</f>
        <v/>
      </c>
      <c r="C9611">
        <f>TEST_DATA!C9611</f>
        <v/>
      </c>
      <c r="D9611">
        <f>TEST_DATA!D9611</f>
        <v/>
      </c>
      <c r="E9611">
        <f>TEST_DATA!E9611</f>
        <v/>
      </c>
    </row>
    <row r="9612">
      <c r="A9612">
        <f>TEST_DATA!A9612</f>
        <v/>
      </c>
      <c r="B9612">
        <f>TEST_DATA!B9612</f>
        <v/>
      </c>
      <c r="C9612">
        <f>TEST_DATA!C9612</f>
        <v/>
      </c>
      <c r="D9612">
        <f>TEST_DATA!D9612</f>
        <v/>
      </c>
      <c r="E9612">
        <f>TEST_DATA!E9612</f>
        <v/>
      </c>
    </row>
    <row r="9613">
      <c r="A9613">
        <f>TEST_DATA!A9613</f>
        <v/>
      </c>
      <c r="B9613">
        <f>TEST_DATA!B9613</f>
        <v/>
      </c>
      <c r="C9613">
        <f>TEST_DATA!C9613</f>
        <v/>
      </c>
      <c r="D9613">
        <f>TEST_DATA!D9613</f>
        <v/>
      </c>
      <c r="E9613">
        <f>TEST_DATA!E9613</f>
        <v/>
      </c>
    </row>
    <row r="9614">
      <c r="A9614">
        <f>TEST_DATA!A9614</f>
        <v/>
      </c>
      <c r="B9614">
        <f>TEST_DATA!B9614</f>
        <v/>
      </c>
      <c r="C9614">
        <f>TEST_DATA!C9614</f>
        <v/>
      </c>
      <c r="D9614">
        <f>TEST_DATA!D9614</f>
        <v/>
      </c>
      <c r="E9614">
        <f>TEST_DATA!E9614</f>
        <v/>
      </c>
    </row>
    <row r="9615">
      <c r="A9615">
        <f>TEST_DATA!A9615</f>
        <v/>
      </c>
      <c r="B9615">
        <f>TEST_DATA!B9615</f>
        <v/>
      </c>
      <c r="C9615">
        <f>TEST_DATA!C9615</f>
        <v/>
      </c>
      <c r="D9615">
        <f>TEST_DATA!D9615</f>
        <v/>
      </c>
      <c r="E9615">
        <f>TEST_DATA!E9615</f>
        <v/>
      </c>
    </row>
    <row r="9616">
      <c r="A9616">
        <f>TEST_DATA!A9616</f>
        <v/>
      </c>
      <c r="B9616">
        <f>TEST_DATA!B9616</f>
        <v/>
      </c>
      <c r="C9616">
        <f>TEST_DATA!C9616</f>
        <v/>
      </c>
      <c r="D9616">
        <f>TEST_DATA!D9616</f>
        <v/>
      </c>
      <c r="E9616">
        <f>TEST_DATA!E9616</f>
        <v/>
      </c>
    </row>
    <row r="9617">
      <c r="A9617">
        <f>TEST_DATA!A9617</f>
        <v/>
      </c>
      <c r="B9617">
        <f>TEST_DATA!B9617</f>
        <v/>
      </c>
      <c r="C9617">
        <f>TEST_DATA!C9617</f>
        <v/>
      </c>
      <c r="D9617">
        <f>TEST_DATA!D9617</f>
        <v/>
      </c>
      <c r="E9617">
        <f>TEST_DATA!E9617</f>
        <v/>
      </c>
    </row>
    <row r="9618">
      <c r="A9618">
        <f>TEST_DATA!A9618</f>
        <v/>
      </c>
      <c r="B9618">
        <f>TEST_DATA!B9618</f>
        <v/>
      </c>
      <c r="C9618">
        <f>TEST_DATA!C9618</f>
        <v/>
      </c>
      <c r="D9618">
        <f>TEST_DATA!D9618</f>
        <v/>
      </c>
      <c r="E9618">
        <f>TEST_DATA!E9618</f>
        <v/>
      </c>
    </row>
    <row r="9619">
      <c r="A9619">
        <f>TEST_DATA!A9619</f>
        <v/>
      </c>
      <c r="B9619">
        <f>TEST_DATA!B9619</f>
        <v/>
      </c>
      <c r="C9619">
        <f>TEST_DATA!C9619</f>
        <v/>
      </c>
      <c r="D9619">
        <f>TEST_DATA!D9619</f>
        <v/>
      </c>
      <c r="E9619">
        <f>TEST_DATA!E9619</f>
        <v/>
      </c>
    </row>
    <row r="9620">
      <c r="A9620">
        <f>TEST_DATA!A9620</f>
        <v/>
      </c>
      <c r="B9620">
        <f>TEST_DATA!B9620</f>
        <v/>
      </c>
      <c r="C9620">
        <f>TEST_DATA!C9620</f>
        <v/>
      </c>
      <c r="D9620">
        <f>TEST_DATA!D9620</f>
        <v/>
      </c>
      <c r="E9620">
        <f>TEST_DATA!E9620</f>
        <v/>
      </c>
    </row>
    <row r="9621">
      <c r="A9621">
        <f>TEST_DATA!A9621</f>
        <v/>
      </c>
      <c r="B9621">
        <f>TEST_DATA!B9621</f>
        <v/>
      </c>
      <c r="C9621">
        <f>TEST_DATA!C9621</f>
        <v/>
      </c>
      <c r="D9621">
        <f>TEST_DATA!D9621</f>
        <v/>
      </c>
      <c r="E9621">
        <f>TEST_DATA!E9621</f>
        <v/>
      </c>
    </row>
    <row r="9622">
      <c r="A9622">
        <f>TEST_DATA!A9622</f>
        <v/>
      </c>
      <c r="B9622">
        <f>TEST_DATA!B9622</f>
        <v/>
      </c>
      <c r="C9622">
        <f>TEST_DATA!C9622</f>
        <v/>
      </c>
      <c r="D9622">
        <f>TEST_DATA!D9622</f>
        <v/>
      </c>
      <c r="E9622">
        <f>TEST_DATA!E9622</f>
        <v/>
      </c>
    </row>
    <row r="9623">
      <c r="A9623">
        <f>TEST_DATA!A9623</f>
        <v/>
      </c>
      <c r="B9623">
        <f>TEST_DATA!B9623</f>
        <v/>
      </c>
      <c r="C9623">
        <f>TEST_DATA!C9623</f>
        <v/>
      </c>
      <c r="D9623">
        <f>TEST_DATA!D9623</f>
        <v/>
      </c>
      <c r="E9623">
        <f>TEST_DATA!E9623</f>
        <v/>
      </c>
    </row>
    <row r="9624">
      <c r="A9624">
        <f>TEST_DATA!A9624</f>
        <v/>
      </c>
      <c r="B9624">
        <f>TEST_DATA!B9624</f>
        <v/>
      </c>
      <c r="C9624">
        <f>TEST_DATA!C9624</f>
        <v/>
      </c>
      <c r="D9624">
        <f>TEST_DATA!D9624</f>
        <v/>
      </c>
      <c r="E9624">
        <f>TEST_DATA!E9624</f>
        <v/>
      </c>
    </row>
    <row r="9625">
      <c r="A9625">
        <f>TEST_DATA!A9625</f>
        <v/>
      </c>
      <c r="B9625">
        <f>TEST_DATA!B9625</f>
        <v/>
      </c>
      <c r="C9625">
        <f>TEST_DATA!C9625</f>
        <v/>
      </c>
      <c r="D9625">
        <f>TEST_DATA!D9625</f>
        <v/>
      </c>
      <c r="E9625">
        <f>TEST_DATA!E9625</f>
        <v/>
      </c>
    </row>
    <row r="9626">
      <c r="A9626">
        <f>TEST_DATA!A9626</f>
        <v/>
      </c>
      <c r="B9626">
        <f>TEST_DATA!B9626</f>
        <v/>
      </c>
      <c r="C9626">
        <f>TEST_DATA!C9626</f>
        <v/>
      </c>
      <c r="D9626">
        <f>TEST_DATA!D9626</f>
        <v/>
      </c>
      <c r="E9626">
        <f>TEST_DATA!E9626</f>
        <v/>
      </c>
    </row>
    <row r="9627">
      <c r="A9627">
        <f>TEST_DATA!A9627</f>
        <v/>
      </c>
      <c r="B9627">
        <f>TEST_DATA!B9627</f>
        <v/>
      </c>
      <c r="C9627">
        <f>TEST_DATA!C9627</f>
        <v/>
      </c>
      <c r="D9627">
        <f>TEST_DATA!D9627</f>
        <v/>
      </c>
      <c r="E9627">
        <f>TEST_DATA!E9627</f>
        <v/>
      </c>
    </row>
    <row r="9628">
      <c r="A9628">
        <f>TEST_DATA!A9628</f>
        <v/>
      </c>
      <c r="B9628">
        <f>TEST_DATA!B9628</f>
        <v/>
      </c>
      <c r="C9628">
        <f>TEST_DATA!C9628</f>
        <v/>
      </c>
      <c r="D9628">
        <f>TEST_DATA!D9628</f>
        <v/>
      </c>
      <c r="E9628">
        <f>TEST_DATA!E9628</f>
        <v/>
      </c>
    </row>
    <row r="9629">
      <c r="A9629">
        <f>TEST_DATA!A9629</f>
        <v/>
      </c>
      <c r="B9629">
        <f>TEST_DATA!B9629</f>
        <v/>
      </c>
      <c r="C9629">
        <f>TEST_DATA!C9629</f>
        <v/>
      </c>
      <c r="D9629">
        <f>TEST_DATA!D9629</f>
        <v/>
      </c>
      <c r="E9629">
        <f>TEST_DATA!E9629</f>
        <v/>
      </c>
    </row>
    <row r="9630">
      <c r="A9630">
        <f>TEST_DATA!A9630</f>
        <v/>
      </c>
      <c r="B9630">
        <f>TEST_DATA!B9630</f>
        <v/>
      </c>
      <c r="C9630">
        <f>TEST_DATA!C9630</f>
        <v/>
      </c>
      <c r="D9630">
        <f>TEST_DATA!D9630</f>
        <v/>
      </c>
      <c r="E9630">
        <f>TEST_DATA!E9630</f>
        <v/>
      </c>
    </row>
    <row r="9631">
      <c r="A9631">
        <f>TEST_DATA!A9631</f>
        <v/>
      </c>
      <c r="B9631">
        <f>TEST_DATA!B9631</f>
        <v/>
      </c>
      <c r="C9631">
        <f>TEST_DATA!C9631</f>
        <v/>
      </c>
      <c r="D9631">
        <f>TEST_DATA!D9631</f>
        <v/>
      </c>
      <c r="E9631">
        <f>TEST_DATA!E9631</f>
        <v/>
      </c>
    </row>
    <row r="9632">
      <c r="A9632">
        <f>TEST_DATA!A9632</f>
        <v/>
      </c>
      <c r="B9632">
        <f>TEST_DATA!B9632</f>
        <v/>
      </c>
      <c r="C9632">
        <f>TEST_DATA!C9632</f>
        <v/>
      </c>
      <c r="D9632">
        <f>TEST_DATA!D9632</f>
        <v/>
      </c>
      <c r="E9632">
        <f>TEST_DATA!E9632</f>
        <v/>
      </c>
    </row>
    <row r="9633">
      <c r="A9633">
        <f>TEST_DATA!A9633</f>
        <v/>
      </c>
      <c r="B9633">
        <f>TEST_DATA!B9633</f>
        <v/>
      </c>
      <c r="C9633">
        <f>TEST_DATA!C9633</f>
        <v/>
      </c>
      <c r="D9633">
        <f>TEST_DATA!D9633</f>
        <v/>
      </c>
      <c r="E9633">
        <f>TEST_DATA!E9633</f>
        <v/>
      </c>
    </row>
    <row r="9634">
      <c r="A9634">
        <f>TEST_DATA!A9634</f>
        <v/>
      </c>
      <c r="B9634">
        <f>TEST_DATA!B9634</f>
        <v/>
      </c>
      <c r="C9634">
        <f>TEST_DATA!C9634</f>
        <v/>
      </c>
      <c r="D9634">
        <f>TEST_DATA!D9634</f>
        <v/>
      </c>
      <c r="E9634">
        <f>TEST_DATA!E9634</f>
        <v/>
      </c>
    </row>
    <row r="9635">
      <c r="A9635">
        <f>TEST_DATA!A9635</f>
        <v/>
      </c>
      <c r="B9635">
        <f>TEST_DATA!B9635</f>
        <v/>
      </c>
      <c r="C9635">
        <f>TEST_DATA!C9635</f>
        <v/>
      </c>
      <c r="D9635">
        <f>TEST_DATA!D9635</f>
        <v/>
      </c>
      <c r="E9635">
        <f>TEST_DATA!E9635</f>
        <v/>
      </c>
    </row>
    <row r="9636">
      <c r="A9636">
        <f>TEST_DATA!A9636</f>
        <v/>
      </c>
      <c r="B9636">
        <f>TEST_DATA!B9636</f>
        <v/>
      </c>
      <c r="C9636">
        <f>TEST_DATA!C9636</f>
        <v/>
      </c>
      <c r="D9636">
        <f>TEST_DATA!D9636</f>
        <v/>
      </c>
      <c r="E9636">
        <f>TEST_DATA!E9636</f>
        <v/>
      </c>
    </row>
    <row r="9637">
      <c r="A9637">
        <f>TEST_DATA!A9637</f>
        <v/>
      </c>
      <c r="B9637">
        <f>TEST_DATA!B9637</f>
        <v/>
      </c>
      <c r="C9637">
        <f>TEST_DATA!C9637</f>
        <v/>
      </c>
      <c r="D9637">
        <f>TEST_DATA!D9637</f>
        <v/>
      </c>
      <c r="E9637">
        <f>TEST_DATA!E9637</f>
        <v/>
      </c>
    </row>
    <row r="9638">
      <c r="A9638">
        <f>TEST_DATA!A9638</f>
        <v/>
      </c>
      <c r="B9638">
        <f>TEST_DATA!B9638</f>
        <v/>
      </c>
      <c r="C9638">
        <f>TEST_DATA!C9638</f>
        <v/>
      </c>
      <c r="D9638">
        <f>TEST_DATA!D9638</f>
        <v/>
      </c>
      <c r="E9638">
        <f>TEST_DATA!E9638</f>
        <v/>
      </c>
    </row>
    <row r="9639">
      <c r="A9639">
        <f>TEST_DATA!A9639</f>
        <v/>
      </c>
      <c r="B9639">
        <f>TEST_DATA!B9639</f>
        <v/>
      </c>
      <c r="C9639">
        <f>TEST_DATA!C9639</f>
        <v/>
      </c>
      <c r="D9639">
        <f>TEST_DATA!D9639</f>
        <v/>
      </c>
      <c r="E9639">
        <f>TEST_DATA!E9639</f>
        <v/>
      </c>
    </row>
    <row r="9640">
      <c r="A9640">
        <f>TEST_DATA!A9640</f>
        <v/>
      </c>
      <c r="B9640">
        <f>TEST_DATA!B9640</f>
        <v/>
      </c>
      <c r="C9640">
        <f>TEST_DATA!C9640</f>
        <v/>
      </c>
      <c r="D9640">
        <f>TEST_DATA!D9640</f>
        <v/>
      </c>
      <c r="E9640">
        <f>TEST_DATA!E9640</f>
        <v/>
      </c>
    </row>
    <row r="9641">
      <c r="A9641">
        <f>TEST_DATA!A9641</f>
        <v/>
      </c>
      <c r="B9641">
        <f>TEST_DATA!B9641</f>
        <v/>
      </c>
      <c r="C9641">
        <f>TEST_DATA!C9641</f>
        <v/>
      </c>
      <c r="D9641">
        <f>TEST_DATA!D9641</f>
        <v/>
      </c>
      <c r="E9641">
        <f>TEST_DATA!E9641</f>
        <v/>
      </c>
    </row>
    <row r="9642">
      <c r="A9642">
        <f>TEST_DATA!A9642</f>
        <v/>
      </c>
      <c r="B9642">
        <f>TEST_DATA!B9642</f>
        <v/>
      </c>
      <c r="C9642">
        <f>TEST_DATA!C9642</f>
        <v/>
      </c>
      <c r="D9642">
        <f>TEST_DATA!D9642</f>
        <v/>
      </c>
      <c r="E9642">
        <f>TEST_DATA!E9642</f>
        <v/>
      </c>
    </row>
    <row r="9643">
      <c r="A9643">
        <f>TEST_DATA!A9643</f>
        <v/>
      </c>
      <c r="B9643">
        <f>TEST_DATA!B9643</f>
        <v/>
      </c>
      <c r="C9643">
        <f>TEST_DATA!C9643</f>
        <v/>
      </c>
      <c r="D9643">
        <f>TEST_DATA!D9643</f>
        <v/>
      </c>
      <c r="E9643">
        <f>TEST_DATA!E9643</f>
        <v/>
      </c>
    </row>
    <row r="9644">
      <c r="A9644">
        <f>TEST_DATA!A9644</f>
        <v/>
      </c>
      <c r="B9644">
        <f>TEST_DATA!B9644</f>
        <v/>
      </c>
      <c r="C9644">
        <f>TEST_DATA!C9644</f>
        <v/>
      </c>
      <c r="D9644">
        <f>TEST_DATA!D9644</f>
        <v/>
      </c>
      <c r="E9644">
        <f>TEST_DATA!E9644</f>
        <v/>
      </c>
    </row>
    <row r="9645">
      <c r="A9645">
        <f>TEST_DATA!A9645</f>
        <v/>
      </c>
      <c r="B9645">
        <f>TEST_DATA!B9645</f>
        <v/>
      </c>
      <c r="C9645">
        <f>TEST_DATA!C9645</f>
        <v/>
      </c>
      <c r="D9645">
        <f>TEST_DATA!D9645</f>
        <v/>
      </c>
      <c r="E9645">
        <f>TEST_DATA!E9645</f>
        <v/>
      </c>
    </row>
    <row r="9646">
      <c r="A9646">
        <f>TEST_DATA!A9646</f>
        <v/>
      </c>
      <c r="B9646">
        <f>TEST_DATA!B9646</f>
        <v/>
      </c>
      <c r="C9646">
        <f>TEST_DATA!C9646</f>
        <v/>
      </c>
      <c r="D9646">
        <f>TEST_DATA!D9646</f>
        <v/>
      </c>
      <c r="E9646">
        <f>TEST_DATA!E9646</f>
        <v/>
      </c>
    </row>
    <row r="9647">
      <c r="A9647">
        <f>TEST_DATA!A9647</f>
        <v/>
      </c>
      <c r="B9647">
        <f>TEST_DATA!B9647</f>
        <v/>
      </c>
      <c r="C9647">
        <f>TEST_DATA!C9647</f>
        <v/>
      </c>
      <c r="D9647">
        <f>TEST_DATA!D9647</f>
        <v/>
      </c>
      <c r="E9647">
        <f>TEST_DATA!E9647</f>
        <v/>
      </c>
    </row>
    <row r="9648">
      <c r="A9648">
        <f>TEST_DATA!A9648</f>
        <v/>
      </c>
      <c r="B9648">
        <f>TEST_DATA!B9648</f>
        <v/>
      </c>
      <c r="C9648">
        <f>TEST_DATA!C9648</f>
        <v/>
      </c>
      <c r="D9648">
        <f>TEST_DATA!D9648</f>
        <v/>
      </c>
      <c r="E9648">
        <f>TEST_DATA!E9648</f>
        <v/>
      </c>
    </row>
    <row r="9649">
      <c r="A9649">
        <f>TEST_DATA!A9649</f>
        <v/>
      </c>
      <c r="B9649">
        <f>TEST_DATA!B9649</f>
        <v/>
      </c>
      <c r="C9649">
        <f>TEST_DATA!C9649</f>
        <v/>
      </c>
      <c r="D9649">
        <f>TEST_DATA!D9649</f>
        <v/>
      </c>
      <c r="E9649">
        <f>TEST_DATA!E9649</f>
        <v/>
      </c>
    </row>
    <row r="9650">
      <c r="A9650">
        <f>TEST_DATA!A9650</f>
        <v/>
      </c>
      <c r="B9650">
        <f>TEST_DATA!B9650</f>
        <v/>
      </c>
      <c r="C9650">
        <f>TEST_DATA!C9650</f>
        <v/>
      </c>
      <c r="D9650">
        <f>TEST_DATA!D9650</f>
        <v/>
      </c>
      <c r="E9650">
        <f>TEST_DATA!E9650</f>
        <v/>
      </c>
    </row>
    <row r="9651">
      <c r="A9651">
        <f>TEST_DATA!A9651</f>
        <v/>
      </c>
      <c r="B9651">
        <f>TEST_DATA!B9651</f>
        <v/>
      </c>
      <c r="C9651">
        <f>TEST_DATA!C9651</f>
        <v/>
      </c>
      <c r="D9651">
        <f>TEST_DATA!D9651</f>
        <v/>
      </c>
      <c r="E9651">
        <f>TEST_DATA!E9651</f>
        <v/>
      </c>
    </row>
    <row r="9652">
      <c r="A9652">
        <f>TEST_DATA!A9652</f>
        <v/>
      </c>
      <c r="B9652">
        <f>TEST_DATA!B9652</f>
        <v/>
      </c>
      <c r="C9652">
        <f>TEST_DATA!C9652</f>
        <v/>
      </c>
      <c r="D9652">
        <f>TEST_DATA!D9652</f>
        <v/>
      </c>
      <c r="E9652">
        <f>TEST_DATA!E9652</f>
        <v/>
      </c>
    </row>
    <row r="9653">
      <c r="A9653">
        <f>TEST_DATA!A9653</f>
        <v/>
      </c>
      <c r="B9653">
        <f>TEST_DATA!B9653</f>
        <v/>
      </c>
      <c r="C9653">
        <f>TEST_DATA!C9653</f>
        <v/>
      </c>
      <c r="D9653">
        <f>TEST_DATA!D9653</f>
        <v/>
      </c>
      <c r="E9653">
        <f>TEST_DATA!E9653</f>
        <v/>
      </c>
    </row>
    <row r="9654">
      <c r="A9654">
        <f>TEST_DATA!A9654</f>
        <v/>
      </c>
      <c r="B9654">
        <f>TEST_DATA!B9654</f>
        <v/>
      </c>
      <c r="C9654">
        <f>TEST_DATA!C9654</f>
        <v/>
      </c>
      <c r="D9654">
        <f>TEST_DATA!D9654</f>
        <v/>
      </c>
      <c r="E9654">
        <f>TEST_DATA!E9654</f>
        <v/>
      </c>
    </row>
    <row r="9655">
      <c r="A9655">
        <f>TEST_DATA!A9655</f>
        <v/>
      </c>
      <c r="B9655">
        <f>TEST_DATA!B9655</f>
        <v/>
      </c>
      <c r="C9655">
        <f>TEST_DATA!C9655</f>
        <v/>
      </c>
      <c r="D9655">
        <f>TEST_DATA!D9655</f>
        <v/>
      </c>
      <c r="E9655">
        <f>TEST_DATA!E9655</f>
        <v/>
      </c>
    </row>
    <row r="9656">
      <c r="A9656">
        <f>TEST_DATA!A9656</f>
        <v/>
      </c>
      <c r="B9656">
        <f>TEST_DATA!B9656</f>
        <v/>
      </c>
      <c r="C9656">
        <f>TEST_DATA!C9656</f>
        <v/>
      </c>
      <c r="D9656">
        <f>TEST_DATA!D9656</f>
        <v/>
      </c>
      <c r="E9656">
        <f>TEST_DATA!E9656</f>
        <v/>
      </c>
    </row>
    <row r="9657">
      <c r="A9657">
        <f>TEST_DATA!A9657</f>
        <v/>
      </c>
      <c r="B9657">
        <f>TEST_DATA!B9657</f>
        <v/>
      </c>
      <c r="C9657">
        <f>TEST_DATA!C9657</f>
        <v/>
      </c>
      <c r="D9657">
        <f>TEST_DATA!D9657</f>
        <v/>
      </c>
      <c r="E9657">
        <f>TEST_DATA!E9657</f>
        <v/>
      </c>
    </row>
    <row r="9658">
      <c r="A9658">
        <f>TEST_DATA!A9658</f>
        <v/>
      </c>
      <c r="B9658">
        <f>TEST_DATA!B9658</f>
        <v/>
      </c>
      <c r="C9658">
        <f>TEST_DATA!C9658</f>
        <v/>
      </c>
      <c r="D9658">
        <f>TEST_DATA!D9658</f>
        <v/>
      </c>
      <c r="E9658">
        <f>TEST_DATA!E9658</f>
        <v/>
      </c>
    </row>
    <row r="9659">
      <c r="A9659">
        <f>TEST_DATA!A9659</f>
        <v/>
      </c>
      <c r="B9659">
        <f>TEST_DATA!B9659</f>
        <v/>
      </c>
      <c r="C9659">
        <f>TEST_DATA!C9659</f>
        <v/>
      </c>
      <c r="D9659">
        <f>TEST_DATA!D9659</f>
        <v/>
      </c>
      <c r="E9659">
        <f>TEST_DATA!E9659</f>
        <v/>
      </c>
    </row>
    <row r="9660">
      <c r="A9660">
        <f>TEST_DATA!A9660</f>
        <v/>
      </c>
      <c r="B9660">
        <f>TEST_DATA!B9660</f>
        <v/>
      </c>
      <c r="C9660">
        <f>TEST_DATA!C9660</f>
        <v/>
      </c>
      <c r="D9660">
        <f>TEST_DATA!D9660</f>
        <v/>
      </c>
      <c r="E9660">
        <f>TEST_DATA!E9660</f>
        <v/>
      </c>
    </row>
    <row r="9661">
      <c r="A9661">
        <f>TEST_DATA!A9661</f>
        <v/>
      </c>
      <c r="B9661">
        <f>TEST_DATA!B9661</f>
        <v/>
      </c>
      <c r="C9661">
        <f>TEST_DATA!C9661</f>
        <v/>
      </c>
      <c r="D9661">
        <f>TEST_DATA!D9661</f>
        <v/>
      </c>
      <c r="E9661">
        <f>TEST_DATA!E9661</f>
        <v/>
      </c>
    </row>
    <row r="9662">
      <c r="A9662">
        <f>TEST_DATA!A9662</f>
        <v/>
      </c>
      <c r="B9662">
        <f>TEST_DATA!B9662</f>
        <v/>
      </c>
      <c r="C9662">
        <f>TEST_DATA!C9662</f>
        <v/>
      </c>
      <c r="D9662">
        <f>TEST_DATA!D9662</f>
        <v/>
      </c>
      <c r="E9662">
        <f>TEST_DATA!E9662</f>
        <v/>
      </c>
    </row>
    <row r="9663">
      <c r="A9663">
        <f>TEST_DATA!A9663</f>
        <v/>
      </c>
      <c r="B9663">
        <f>TEST_DATA!B9663</f>
        <v/>
      </c>
      <c r="C9663">
        <f>TEST_DATA!C9663</f>
        <v/>
      </c>
      <c r="D9663">
        <f>TEST_DATA!D9663</f>
        <v/>
      </c>
      <c r="E9663">
        <f>TEST_DATA!E9663</f>
        <v/>
      </c>
    </row>
    <row r="9664">
      <c r="A9664">
        <f>TEST_DATA!A9664</f>
        <v/>
      </c>
      <c r="B9664">
        <f>TEST_DATA!B9664</f>
        <v/>
      </c>
      <c r="C9664">
        <f>TEST_DATA!C9664</f>
        <v/>
      </c>
      <c r="D9664">
        <f>TEST_DATA!D9664</f>
        <v/>
      </c>
      <c r="E9664">
        <f>TEST_DATA!E9664</f>
        <v/>
      </c>
    </row>
    <row r="9665">
      <c r="A9665">
        <f>TEST_DATA!A9665</f>
        <v/>
      </c>
      <c r="B9665">
        <f>TEST_DATA!B9665</f>
        <v/>
      </c>
      <c r="C9665">
        <f>TEST_DATA!C9665</f>
        <v/>
      </c>
      <c r="D9665">
        <f>TEST_DATA!D9665</f>
        <v/>
      </c>
      <c r="E9665">
        <f>TEST_DATA!E9665</f>
        <v/>
      </c>
    </row>
    <row r="9666">
      <c r="A9666">
        <f>TEST_DATA!A9666</f>
        <v/>
      </c>
      <c r="B9666">
        <f>TEST_DATA!B9666</f>
        <v/>
      </c>
      <c r="C9666">
        <f>TEST_DATA!C9666</f>
        <v/>
      </c>
      <c r="D9666">
        <f>TEST_DATA!D9666</f>
        <v/>
      </c>
      <c r="E9666">
        <f>TEST_DATA!E9666</f>
        <v/>
      </c>
    </row>
    <row r="9667">
      <c r="A9667">
        <f>TEST_DATA!A9667</f>
        <v/>
      </c>
      <c r="B9667">
        <f>TEST_DATA!B9667</f>
        <v/>
      </c>
      <c r="C9667">
        <f>TEST_DATA!C9667</f>
        <v/>
      </c>
      <c r="D9667">
        <f>TEST_DATA!D9667</f>
        <v/>
      </c>
      <c r="E9667">
        <f>TEST_DATA!E9667</f>
        <v/>
      </c>
    </row>
    <row r="9668">
      <c r="A9668">
        <f>TEST_DATA!A9668</f>
        <v/>
      </c>
      <c r="B9668">
        <f>TEST_DATA!B9668</f>
        <v/>
      </c>
      <c r="C9668">
        <f>TEST_DATA!C9668</f>
        <v/>
      </c>
      <c r="D9668">
        <f>TEST_DATA!D9668</f>
        <v/>
      </c>
      <c r="E9668">
        <f>TEST_DATA!E9668</f>
        <v/>
      </c>
    </row>
    <row r="9669">
      <c r="A9669">
        <f>TEST_DATA!A9669</f>
        <v/>
      </c>
      <c r="B9669">
        <f>TEST_DATA!B9669</f>
        <v/>
      </c>
      <c r="C9669">
        <f>TEST_DATA!C9669</f>
        <v/>
      </c>
      <c r="D9669">
        <f>TEST_DATA!D9669</f>
        <v/>
      </c>
      <c r="E9669">
        <f>TEST_DATA!E9669</f>
        <v/>
      </c>
    </row>
    <row r="9670">
      <c r="A9670">
        <f>TEST_DATA!A9670</f>
        <v/>
      </c>
      <c r="B9670">
        <f>TEST_DATA!B9670</f>
        <v/>
      </c>
      <c r="C9670">
        <f>TEST_DATA!C9670</f>
        <v/>
      </c>
      <c r="D9670">
        <f>TEST_DATA!D9670</f>
        <v/>
      </c>
      <c r="E9670">
        <f>TEST_DATA!E9670</f>
        <v/>
      </c>
    </row>
    <row r="9671">
      <c r="A9671">
        <f>TEST_DATA!A9671</f>
        <v/>
      </c>
      <c r="B9671">
        <f>TEST_DATA!B9671</f>
        <v/>
      </c>
      <c r="C9671">
        <f>TEST_DATA!C9671</f>
        <v/>
      </c>
      <c r="D9671">
        <f>TEST_DATA!D9671</f>
        <v/>
      </c>
      <c r="E9671">
        <f>TEST_DATA!E9671</f>
        <v/>
      </c>
    </row>
    <row r="9672">
      <c r="A9672">
        <f>TEST_DATA!A9672</f>
        <v/>
      </c>
      <c r="B9672">
        <f>TEST_DATA!B9672</f>
        <v/>
      </c>
      <c r="C9672">
        <f>TEST_DATA!C9672</f>
        <v/>
      </c>
      <c r="D9672">
        <f>TEST_DATA!D9672</f>
        <v/>
      </c>
      <c r="E9672">
        <f>TEST_DATA!E9672</f>
        <v/>
      </c>
    </row>
    <row r="9673">
      <c r="A9673">
        <f>TEST_DATA!A9673</f>
        <v/>
      </c>
      <c r="B9673">
        <f>TEST_DATA!B9673</f>
        <v/>
      </c>
      <c r="C9673">
        <f>TEST_DATA!C9673</f>
        <v/>
      </c>
      <c r="D9673">
        <f>TEST_DATA!D9673</f>
        <v/>
      </c>
      <c r="E9673">
        <f>TEST_DATA!E9673</f>
        <v/>
      </c>
    </row>
    <row r="9674">
      <c r="A9674">
        <f>TEST_DATA!A9674</f>
        <v/>
      </c>
      <c r="B9674">
        <f>TEST_DATA!B9674</f>
        <v/>
      </c>
      <c r="C9674">
        <f>TEST_DATA!C9674</f>
        <v/>
      </c>
      <c r="D9674">
        <f>TEST_DATA!D9674</f>
        <v/>
      </c>
      <c r="E9674">
        <f>TEST_DATA!E9674</f>
        <v/>
      </c>
    </row>
    <row r="9675">
      <c r="A9675">
        <f>TEST_DATA!A9675</f>
        <v/>
      </c>
      <c r="B9675">
        <f>TEST_DATA!B9675</f>
        <v/>
      </c>
      <c r="C9675">
        <f>TEST_DATA!C9675</f>
        <v/>
      </c>
      <c r="D9675">
        <f>TEST_DATA!D9675</f>
        <v/>
      </c>
      <c r="E9675">
        <f>TEST_DATA!E9675</f>
        <v/>
      </c>
    </row>
    <row r="9676">
      <c r="A9676">
        <f>TEST_DATA!A9676</f>
        <v/>
      </c>
      <c r="B9676">
        <f>TEST_DATA!B9676</f>
        <v/>
      </c>
      <c r="C9676">
        <f>TEST_DATA!C9676</f>
        <v/>
      </c>
      <c r="D9676">
        <f>TEST_DATA!D9676</f>
        <v/>
      </c>
      <c r="E9676">
        <f>TEST_DATA!E9676</f>
        <v/>
      </c>
    </row>
    <row r="9677">
      <c r="A9677">
        <f>TEST_DATA!A9677</f>
        <v/>
      </c>
      <c r="B9677">
        <f>TEST_DATA!B9677</f>
        <v/>
      </c>
      <c r="C9677">
        <f>TEST_DATA!C9677</f>
        <v/>
      </c>
      <c r="D9677">
        <f>TEST_DATA!D9677</f>
        <v/>
      </c>
      <c r="E9677">
        <f>TEST_DATA!E9677</f>
        <v/>
      </c>
    </row>
    <row r="9678">
      <c r="A9678">
        <f>TEST_DATA!A9678</f>
        <v/>
      </c>
      <c r="B9678">
        <f>TEST_DATA!B9678</f>
        <v/>
      </c>
      <c r="C9678">
        <f>TEST_DATA!C9678</f>
        <v/>
      </c>
      <c r="D9678">
        <f>TEST_DATA!D9678</f>
        <v/>
      </c>
      <c r="E9678">
        <f>TEST_DATA!E9678</f>
        <v/>
      </c>
    </row>
    <row r="9679">
      <c r="A9679">
        <f>TEST_DATA!A9679</f>
        <v/>
      </c>
      <c r="B9679">
        <f>TEST_DATA!B9679</f>
        <v/>
      </c>
      <c r="C9679">
        <f>TEST_DATA!C9679</f>
        <v/>
      </c>
      <c r="D9679">
        <f>TEST_DATA!D9679</f>
        <v/>
      </c>
      <c r="E9679">
        <f>TEST_DATA!E9679</f>
        <v/>
      </c>
    </row>
    <row r="9680">
      <c r="A9680">
        <f>TEST_DATA!A9680</f>
        <v/>
      </c>
      <c r="B9680">
        <f>TEST_DATA!B9680</f>
        <v/>
      </c>
      <c r="C9680">
        <f>TEST_DATA!C9680</f>
        <v/>
      </c>
      <c r="D9680">
        <f>TEST_DATA!D9680</f>
        <v/>
      </c>
      <c r="E9680">
        <f>TEST_DATA!E9680</f>
        <v/>
      </c>
    </row>
    <row r="9681">
      <c r="A9681">
        <f>TEST_DATA!A9681</f>
        <v/>
      </c>
      <c r="B9681">
        <f>TEST_DATA!B9681</f>
        <v/>
      </c>
      <c r="C9681">
        <f>TEST_DATA!C9681</f>
        <v/>
      </c>
      <c r="D9681">
        <f>TEST_DATA!D9681</f>
        <v/>
      </c>
      <c r="E9681">
        <f>TEST_DATA!E9681</f>
        <v/>
      </c>
    </row>
    <row r="9682">
      <c r="A9682">
        <f>TEST_DATA!A9682</f>
        <v/>
      </c>
      <c r="B9682">
        <f>TEST_DATA!B9682</f>
        <v/>
      </c>
      <c r="C9682">
        <f>TEST_DATA!C9682</f>
        <v/>
      </c>
      <c r="D9682">
        <f>TEST_DATA!D9682</f>
        <v/>
      </c>
      <c r="E9682">
        <f>TEST_DATA!E9682</f>
        <v/>
      </c>
    </row>
    <row r="9683">
      <c r="A9683">
        <f>TEST_DATA!A9683</f>
        <v/>
      </c>
      <c r="B9683">
        <f>TEST_DATA!B9683</f>
        <v/>
      </c>
      <c r="C9683">
        <f>TEST_DATA!C9683</f>
        <v/>
      </c>
      <c r="D9683">
        <f>TEST_DATA!D9683</f>
        <v/>
      </c>
      <c r="E9683">
        <f>TEST_DATA!E9683</f>
        <v/>
      </c>
    </row>
    <row r="9684">
      <c r="A9684">
        <f>TEST_DATA!A9684</f>
        <v/>
      </c>
      <c r="B9684">
        <f>TEST_DATA!B9684</f>
        <v/>
      </c>
      <c r="C9684">
        <f>TEST_DATA!C9684</f>
        <v/>
      </c>
      <c r="D9684">
        <f>TEST_DATA!D9684</f>
        <v/>
      </c>
      <c r="E9684">
        <f>TEST_DATA!E9684</f>
        <v/>
      </c>
    </row>
    <row r="9685">
      <c r="A9685">
        <f>TEST_DATA!A9685</f>
        <v/>
      </c>
      <c r="B9685">
        <f>TEST_DATA!B9685</f>
        <v/>
      </c>
      <c r="C9685">
        <f>TEST_DATA!C9685</f>
        <v/>
      </c>
      <c r="D9685">
        <f>TEST_DATA!D9685</f>
        <v/>
      </c>
      <c r="E9685">
        <f>TEST_DATA!E9685</f>
        <v/>
      </c>
    </row>
    <row r="9686">
      <c r="A9686">
        <f>TEST_DATA!A9686</f>
        <v/>
      </c>
      <c r="B9686">
        <f>TEST_DATA!B9686</f>
        <v/>
      </c>
      <c r="C9686">
        <f>TEST_DATA!C9686</f>
        <v/>
      </c>
      <c r="D9686">
        <f>TEST_DATA!D9686</f>
        <v/>
      </c>
      <c r="E9686">
        <f>TEST_DATA!E9686</f>
        <v/>
      </c>
    </row>
    <row r="9687">
      <c r="A9687">
        <f>TEST_DATA!A9687</f>
        <v/>
      </c>
      <c r="B9687">
        <f>TEST_DATA!B9687</f>
        <v/>
      </c>
      <c r="C9687">
        <f>TEST_DATA!C9687</f>
        <v/>
      </c>
      <c r="D9687">
        <f>TEST_DATA!D9687</f>
        <v/>
      </c>
      <c r="E9687">
        <f>TEST_DATA!E9687</f>
        <v/>
      </c>
    </row>
    <row r="9688">
      <c r="A9688">
        <f>TEST_DATA!A9688</f>
        <v/>
      </c>
      <c r="B9688">
        <f>TEST_DATA!B9688</f>
        <v/>
      </c>
      <c r="C9688">
        <f>TEST_DATA!C9688</f>
        <v/>
      </c>
      <c r="D9688">
        <f>TEST_DATA!D9688</f>
        <v/>
      </c>
      <c r="E9688">
        <f>TEST_DATA!E9688</f>
        <v/>
      </c>
    </row>
    <row r="9689">
      <c r="A9689">
        <f>TEST_DATA!A9689</f>
        <v/>
      </c>
      <c r="B9689">
        <f>TEST_DATA!B9689</f>
        <v/>
      </c>
      <c r="C9689">
        <f>TEST_DATA!C9689</f>
        <v/>
      </c>
      <c r="D9689">
        <f>TEST_DATA!D9689</f>
        <v/>
      </c>
      <c r="E9689">
        <f>TEST_DATA!E9689</f>
        <v/>
      </c>
    </row>
    <row r="9690">
      <c r="A9690">
        <f>TEST_DATA!A9690</f>
        <v/>
      </c>
      <c r="B9690">
        <f>TEST_DATA!B9690</f>
        <v/>
      </c>
      <c r="C9690">
        <f>TEST_DATA!C9690</f>
        <v/>
      </c>
      <c r="D9690">
        <f>TEST_DATA!D9690</f>
        <v/>
      </c>
      <c r="E9690">
        <f>TEST_DATA!E9690</f>
        <v/>
      </c>
    </row>
    <row r="9691">
      <c r="A9691">
        <f>TEST_DATA!A9691</f>
        <v/>
      </c>
      <c r="B9691">
        <f>TEST_DATA!B9691</f>
        <v/>
      </c>
      <c r="C9691">
        <f>TEST_DATA!C9691</f>
        <v/>
      </c>
      <c r="D9691">
        <f>TEST_DATA!D9691</f>
        <v/>
      </c>
      <c r="E9691">
        <f>TEST_DATA!E9691</f>
        <v/>
      </c>
    </row>
    <row r="9692">
      <c r="A9692">
        <f>TEST_DATA!A9692</f>
        <v/>
      </c>
      <c r="B9692">
        <f>TEST_DATA!B9692</f>
        <v/>
      </c>
      <c r="C9692">
        <f>TEST_DATA!C9692</f>
        <v/>
      </c>
      <c r="D9692">
        <f>TEST_DATA!D9692</f>
        <v/>
      </c>
      <c r="E9692">
        <f>TEST_DATA!E9692</f>
        <v/>
      </c>
    </row>
    <row r="9693">
      <c r="A9693">
        <f>TEST_DATA!A9693</f>
        <v/>
      </c>
      <c r="B9693">
        <f>TEST_DATA!B9693</f>
        <v/>
      </c>
      <c r="C9693">
        <f>TEST_DATA!C9693</f>
        <v/>
      </c>
      <c r="D9693">
        <f>TEST_DATA!D9693</f>
        <v/>
      </c>
      <c r="E9693">
        <f>TEST_DATA!E9693</f>
        <v/>
      </c>
    </row>
    <row r="9694">
      <c r="A9694">
        <f>TEST_DATA!A9694</f>
        <v/>
      </c>
      <c r="B9694">
        <f>TEST_DATA!B9694</f>
        <v/>
      </c>
      <c r="C9694">
        <f>TEST_DATA!C9694</f>
        <v/>
      </c>
      <c r="D9694">
        <f>TEST_DATA!D9694</f>
        <v/>
      </c>
      <c r="E9694">
        <f>TEST_DATA!E9694</f>
        <v/>
      </c>
    </row>
    <row r="9695">
      <c r="A9695">
        <f>TEST_DATA!A9695</f>
        <v/>
      </c>
      <c r="B9695">
        <f>TEST_DATA!B9695</f>
        <v/>
      </c>
      <c r="C9695">
        <f>TEST_DATA!C9695</f>
        <v/>
      </c>
      <c r="D9695">
        <f>TEST_DATA!D9695</f>
        <v/>
      </c>
      <c r="E9695">
        <f>TEST_DATA!E9695</f>
        <v/>
      </c>
    </row>
    <row r="9696">
      <c r="A9696">
        <f>TEST_DATA!A9696</f>
        <v/>
      </c>
      <c r="B9696">
        <f>TEST_DATA!B9696</f>
        <v/>
      </c>
      <c r="C9696">
        <f>TEST_DATA!C9696</f>
        <v/>
      </c>
      <c r="D9696">
        <f>TEST_DATA!D9696</f>
        <v/>
      </c>
      <c r="E9696">
        <f>TEST_DATA!E9696</f>
        <v/>
      </c>
    </row>
    <row r="9697">
      <c r="A9697">
        <f>TEST_DATA!A9697</f>
        <v/>
      </c>
      <c r="B9697">
        <f>TEST_DATA!B9697</f>
        <v/>
      </c>
      <c r="C9697">
        <f>TEST_DATA!C9697</f>
        <v/>
      </c>
      <c r="D9697">
        <f>TEST_DATA!D9697</f>
        <v/>
      </c>
      <c r="E9697">
        <f>TEST_DATA!E9697</f>
        <v/>
      </c>
    </row>
    <row r="9698">
      <c r="A9698">
        <f>TEST_DATA!A9698</f>
        <v/>
      </c>
      <c r="B9698">
        <f>TEST_DATA!B9698</f>
        <v/>
      </c>
      <c r="C9698">
        <f>TEST_DATA!C9698</f>
        <v/>
      </c>
      <c r="D9698">
        <f>TEST_DATA!D9698</f>
        <v/>
      </c>
      <c r="E9698">
        <f>TEST_DATA!E9698</f>
        <v/>
      </c>
    </row>
    <row r="9699">
      <c r="A9699">
        <f>TEST_DATA!A9699</f>
        <v/>
      </c>
      <c r="B9699">
        <f>TEST_DATA!B9699</f>
        <v/>
      </c>
      <c r="C9699">
        <f>TEST_DATA!C9699</f>
        <v/>
      </c>
      <c r="D9699">
        <f>TEST_DATA!D9699</f>
        <v/>
      </c>
      <c r="E9699">
        <f>TEST_DATA!E9699</f>
        <v/>
      </c>
    </row>
    <row r="9700">
      <c r="A9700">
        <f>TEST_DATA!A9700</f>
        <v/>
      </c>
      <c r="B9700">
        <f>TEST_DATA!B9700</f>
        <v/>
      </c>
      <c r="C9700">
        <f>TEST_DATA!C9700</f>
        <v/>
      </c>
      <c r="D9700">
        <f>TEST_DATA!D9700</f>
        <v/>
      </c>
      <c r="E9700">
        <f>TEST_DATA!E9700</f>
        <v/>
      </c>
    </row>
    <row r="9701">
      <c r="A9701">
        <f>TEST_DATA!A9701</f>
        <v/>
      </c>
      <c r="B9701">
        <f>TEST_DATA!B9701</f>
        <v/>
      </c>
      <c r="C9701">
        <f>TEST_DATA!C9701</f>
        <v/>
      </c>
      <c r="D9701">
        <f>TEST_DATA!D9701</f>
        <v/>
      </c>
      <c r="E9701">
        <f>TEST_DATA!E9701</f>
        <v/>
      </c>
    </row>
    <row r="9702">
      <c r="A9702">
        <f>TEST_DATA!A9702</f>
        <v/>
      </c>
      <c r="B9702">
        <f>TEST_DATA!B9702</f>
        <v/>
      </c>
      <c r="C9702">
        <f>TEST_DATA!C9702</f>
        <v/>
      </c>
      <c r="D9702">
        <f>TEST_DATA!D9702</f>
        <v/>
      </c>
      <c r="E9702">
        <f>TEST_DATA!E9702</f>
        <v/>
      </c>
    </row>
    <row r="9703">
      <c r="A9703">
        <f>TEST_DATA!A9703</f>
        <v/>
      </c>
      <c r="B9703">
        <f>TEST_DATA!B9703</f>
        <v/>
      </c>
      <c r="C9703">
        <f>TEST_DATA!C9703</f>
        <v/>
      </c>
      <c r="D9703">
        <f>TEST_DATA!D9703</f>
        <v/>
      </c>
      <c r="E9703">
        <f>TEST_DATA!E9703</f>
        <v/>
      </c>
    </row>
    <row r="9704">
      <c r="A9704">
        <f>TEST_DATA!A9704</f>
        <v/>
      </c>
      <c r="B9704">
        <f>TEST_DATA!B9704</f>
        <v/>
      </c>
      <c r="C9704">
        <f>TEST_DATA!C9704</f>
        <v/>
      </c>
      <c r="D9704">
        <f>TEST_DATA!D9704</f>
        <v/>
      </c>
      <c r="E9704">
        <f>TEST_DATA!E9704</f>
        <v/>
      </c>
    </row>
    <row r="9705">
      <c r="A9705">
        <f>TEST_DATA!A9705</f>
        <v/>
      </c>
      <c r="B9705">
        <f>TEST_DATA!B9705</f>
        <v/>
      </c>
      <c r="C9705">
        <f>TEST_DATA!C9705</f>
        <v/>
      </c>
      <c r="D9705">
        <f>TEST_DATA!D9705</f>
        <v/>
      </c>
      <c r="E9705">
        <f>TEST_DATA!E9705</f>
        <v/>
      </c>
    </row>
    <row r="9706">
      <c r="A9706">
        <f>TEST_DATA!A9706</f>
        <v/>
      </c>
      <c r="B9706">
        <f>TEST_DATA!B9706</f>
        <v/>
      </c>
      <c r="C9706">
        <f>TEST_DATA!C9706</f>
        <v/>
      </c>
      <c r="D9706">
        <f>TEST_DATA!D9706</f>
        <v/>
      </c>
      <c r="E9706">
        <f>TEST_DATA!E9706</f>
        <v/>
      </c>
    </row>
    <row r="9707">
      <c r="A9707">
        <f>TEST_DATA!A9707</f>
        <v/>
      </c>
      <c r="B9707">
        <f>TEST_DATA!B9707</f>
        <v/>
      </c>
      <c r="C9707">
        <f>TEST_DATA!C9707</f>
        <v/>
      </c>
      <c r="D9707">
        <f>TEST_DATA!D9707</f>
        <v/>
      </c>
      <c r="E9707">
        <f>TEST_DATA!E9707</f>
        <v/>
      </c>
    </row>
    <row r="9708">
      <c r="A9708">
        <f>TEST_DATA!A9708</f>
        <v/>
      </c>
      <c r="B9708">
        <f>TEST_DATA!B9708</f>
        <v/>
      </c>
      <c r="C9708">
        <f>TEST_DATA!C9708</f>
        <v/>
      </c>
      <c r="D9708">
        <f>TEST_DATA!D9708</f>
        <v/>
      </c>
      <c r="E9708">
        <f>TEST_DATA!E9708</f>
        <v/>
      </c>
    </row>
    <row r="9709">
      <c r="A9709">
        <f>TEST_DATA!A9709</f>
        <v/>
      </c>
      <c r="B9709">
        <f>TEST_DATA!B9709</f>
        <v/>
      </c>
      <c r="C9709">
        <f>TEST_DATA!C9709</f>
        <v/>
      </c>
      <c r="D9709">
        <f>TEST_DATA!D9709</f>
        <v/>
      </c>
      <c r="E9709">
        <f>TEST_DATA!E9709</f>
        <v/>
      </c>
    </row>
    <row r="9710">
      <c r="A9710">
        <f>TEST_DATA!A9710</f>
        <v/>
      </c>
      <c r="B9710">
        <f>TEST_DATA!B9710</f>
        <v/>
      </c>
      <c r="C9710">
        <f>TEST_DATA!C9710</f>
        <v/>
      </c>
      <c r="D9710">
        <f>TEST_DATA!D9710</f>
        <v/>
      </c>
      <c r="E9710">
        <f>TEST_DATA!E9710</f>
        <v/>
      </c>
    </row>
    <row r="9711">
      <c r="A9711">
        <f>TEST_DATA!A9711</f>
        <v/>
      </c>
      <c r="B9711">
        <f>TEST_DATA!B9711</f>
        <v/>
      </c>
      <c r="C9711">
        <f>TEST_DATA!C9711</f>
        <v/>
      </c>
      <c r="D9711">
        <f>TEST_DATA!D9711</f>
        <v/>
      </c>
      <c r="E9711">
        <f>TEST_DATA!E9711</f>
        <v/>
      </c>
    </row>
    <row r="9712">
      <c r="A9712">
        <f>TEST_DATA!A9712</f>
        <v/>
      </c>
      <c r="B9712">
        <f>TEST_DATA!B9712</f>
        <v/>
      </c>
      <c r="C9712">
        <f>TEST_DATA!C9712</f>
        <v/>
      </c>
      <c r="D9712">
        <f>TEST_DATA!D9712</f>
        <v/>
      </c>
      <c r="E9712">
        <f>TEST_DATA!E9712</f>
        <v/>
      </c>
    </row>
    <row r="9713">
      <c r="A9713">
        <f>TEST_DATA!A9713</f>
        <v/>
      </c>
      <c r="B9713">
        <f>TEST_DATA!B9713</f>
        <v/>
      </c>
      <c r="C9713">
        <f>TEST_DATA!C9713</f>
        <v/>
      </c>
      <c r="D9713">
        <f>TEST_DATA!D9713</f>
        <v/>
      </c>
      <c r="E9713">
        <f>TEST_DATA!E9713</f>
        <v/>
      </c>
    </row>
    <row r="9714">
      <c r="A9714">
        <f>TEST_DATA!A9714</f>
        <v/>
      </c>
      <c r="B9714">
        <f>TEST_DATA!B9714</f>
        <v/>
      </c>
      <c r="C9714">
        <f>TEST_DATA!C9714</f>
        <v/>
      </c>
      <c r="D9714">
        <f>TEST_DATA!D9714</f>
        <v/>
      </c>
      <c r="E9714">
        <f>TEST_DATA!E9714</f>
        <v/>
      </c>
    </row>
    <row r="9715">
      <c r="A9715">
        <f>TEST_DATA!A9715</f>
        <v/>
      </c>
      <c r="B9715">
        <f>TEST_DATA!B9715</f>
        <v/>
      </c>
      <c r="C9715">
        <f>TEST_DATA!C9715</f>
        <v/>
      </c>
      <c r="D9715">
        <f>TEST_DATA!D9715</f>
        <v/>
      </c>
      <c r="E9715">
        <f>TEST_DATA!E9715</f>
        <v/>
      </c>
    </row>
    <row r="9716">
      <c r="A9716">
        <f>TEST_DATA!A9716</f>
        <v/>
      </c>
      <c r="B9716">
        <f>TEST_DATA!B9716</f>
        <v/>
      </c>
      <c r="C9716">
        <f>TEST_DATA!C9716</f>
        <v/>
      </c>
      <c r="D9716">
        <f>TEST_DATA!D9716</f>
        <v/>
      </c>
      <c r="E9716">
        <f>TEST_DATA!E9716</f>
        <v/>
      </c>
    </row>
    <row r="9717">
      <c r="A9717">
        <f>TEST_DATA!A9717</f>
        <v/>
      </c>
      <c r="B9717">
        <f>TEST_DATA!B9717</f>
        <v/>
      </c>
      <c r="C9717">
        <f>TEST_DATA!C9717</f>
        <v/>
      </c>
      <c r="D9717">
        <f>TEST_DATA!D9717</f>
        <v/>
      </c>
      <c r="E9717">
        <f>TEST_DATA!E9717</f>
        <v/>
      </c>
    </row>
    <row r="9718">
      <c r="A9718">
        <f>TEST_DATA!A9718</f>
        <v/>
      </c>
      <c r="B9718">
        <f>TEST_DATA!B9718</f>
        <v/>
      </c>
      <c r="C9718">
        <f>TEST_DATA!C9718</f>
        <v/>
      </c>
      <c r="D9718">
        <f>TEST_DATA!D9718</f>
        <v/>
      </c>
      <c r="E9718">
        <f>TEST_DATA!E9718</f>
        <v/>
      </c>
    </row>
    <row r="9719">
      <c r="A9719">
        <f>TEST_DATA!A9719</f>
        <v/>
      </c>
      <c r="B9719">
        <f>TEST_DATA!B9719</f>
        <v/>
      </c>
      <c r="C9719">
        <f>TEST_DATA!C9719</f>
        <v/>
      </c>
      <c r="D9719">
        <f>TEST_DATA!D9719</f>
        <v/>
      </c>
      <c r="E9719">
        <f>TEST_DATA!E9719</f>
        <v/>
      </c>
    </row>
    <row r="9720">
      <c r="A9720">
        <f>TEST_DATA!A9720</f>
        <v/>
      </c>
      <c r="B9720">
        <f>TEST_DATA!B9720</f>
        <v/>
      </c>
      <c r="C9720">
        <f>TEST_DATA!C9720</f>
        <v/>
      </c>
      <c r="D9720">
        <f>TEST_DATA!D9720</f>
        <v/>
      </c>
      <c r="E9720">
        <f>TEST_DATA!E9720</f>
        <v/>
      </c>
    </row>
    <row r="9721">
      <c r="A9721">
        <f>TEST_DATA!A9721</f>
        <v/>
      </c>
      <c r="B9721">
        <f>TEST_DATA!B9721</f>
        <v/>
      </c>
      <c r="C9721">
        <f>TEST_DATA!C9721</f>
        <v/>
      </c>
      <c r="D9721">
        <f>TEST_DATA!D9721</f>
        <v/>
      </c>
      <c r="E9721">
        <f>TEST_DATA!E9721</f>
        <v/>
      </c>
    </row>
    <row r="9722">
      <c r="A9722">
        <f>TEST_DATA!A9722</f>
        <v/>
      </c>
      <c r="B9722">
        <f>TEST_DATA!B9722</f>
        <v/>
      </c>
      <c r="C9722">
        <f>TEST_DATA!C9722</f>
        <v/>
      </c>
      <c r="D9722">
        <f>TEST_DATA!D9722</f>
        <v/>
      </c>
      <c r="E9722">
        <f>TEST_DATA!E9722</f>
        <v/>
      </c>
    </row>
    <row r="9723">
      <c r="A9723">
        <f>TEST_DATA!A9723</f>
        <v/>
      </c>
      <c r="B9723">
        <f>TEST_DATA!B9723</f>
        <v/>
      </c>
      <c r="C9723">
        <f>TEST_DATA!C9723</f>
        <v/>
      </c>
      <c r="D9723">
        <f>TEST_DATA!D9723</f>
        <v/>
      </c>
      <c r="E9723">
        <f>TEST_DATA!E9723</f>
        <v/>
      </c>
    </row>
    <row r="9724">
      <c r="A9724">
        <f>TEST_DATA!A9724</f>
        <v/>
      </c>
      <c r="B9724">
        <f>TEST_DATA!B9724</f>
        <v/>
      </c>
      <c r="C9724">
        <f>TEST_DATA!C9724</f>
        <v/>
      </c>
      <c r="D9724">
        <f>TEST_DATA!D9724</f>
        <v/>
      </c>
      <c r="E9724">
        <f>TEST_DATA!E9724</f>
        <v/>
      </c>
    </row>
    <row r="9725">
      <c r="A9725">
        <f>TEST_DATA!A9725</f>
        <v/>
      </c>
      <c r="B9725">
        <f>TEST_DATA!B9725</f>
        <v/>
      </c>
      <c r="C9725">
        <f>TEST_DATA!C9725</f>
        <v/>
      </c>
      <c r="D9725">
        <f>TEST_DATA!D9725</f>
        <v/>
      </c>
      <c r="E9725">
        <f>TEST_DATA!E9725</f>
        <v/>
      </c>
    </row>
    <row r="9726">
      <c r="A9726">
        <f>TEST_DATA!A9726</f>
        <v/>
      </c>
      <c r="B9726">
        <f>TEST_DATA!B9726</f>
        <v/>
      </c>
      <c r="C9726">
        <f>TEST_DATA!C9726</f>
        <v/>
      </c>
      <c r="D9726">
        <f>TEST_DATA!D9726</f>
        <v/>
      </c>
      <c r="E9726">
        <f>TEST_DATA!E9726</f>
        <v/>
      </c>
    </row>
    <row r="9727">
      <c r="A9727">
        <f>TEST_DATA!A9727</f>
        <v/>
      </c>
      <c r="B9727">
        <f>TEST_DATA!B9727</f>
        <v/>
      </c>
      <c r="C9727">
        <f>TEST_DATA!C9727</f>
        <v/>
      </c>
      <c r="D9727">
        <f>TEST_DATA!D9727</f>
        <v/>
      </c>
      <c r="E9727">
        <f>TEST_DATA!E9727</f>
        <v/>
      </c>
    </row>
    <row r="9728">
      <c r="A9728">
        <f>TEST_DATA!A9728</f>
        <v/>
      </c>
      <c r="B9728">
        <f>TEST_DATA!B9728</f>
        <v/>
      </c>
      <c r="C9728">
        <f>TEST_DATA!C9728</f>
        <v/>
      </c>
      <c r="D9728">
        <f>TEST_DATA!D9728</f>
        <v/>
      </c>
      <c r="E9728">
        <f>TEST_DATA!E9728</f>
        <v/>
      </c>
    </row>
    <row r="9729">
      <c r="A9729">
        <f>TEST_DATA!A9729</f>
        <v/>
      </c>
      <c r="B9729">
        <f>TEST_DATA!B9729</f>
        <v/>
      </c>
      <c r="C9729">
        <f>TEST_DATA!C9729</f>
        <v/>
      </c>
      <c r="D9729">
        <f>TEST_DATA!D9729</f>
        <v/>
      </c>
      <c r="E9729">
        <f>TEST_DATA!E9729</f>
        <v/>
      </c>
    </row>
    <row r="9730">
      <c r="A9730">
        <f>TEST_DATA!A9730</f>
        <v/>
      </c>
      <c r="B9730">
        <f>TEST_DATA!B9730</f>
        <v/>
      </c>
      <c r="C9730">
        <f>TEST_DATA!C9730</f>
        <v/>
      </c>
      <c r="D9730">
        <f>TEST_DATA!D9730</f>
        <v/>
      </c>
      <c r="E9730">
        <f>TEST_DATA!E9730</f>
        <v/>
      </c>
    </row>
    <row r="9731">
      <c r="A9731">
        <f>TEST_DATA!A9731</f>
        <v/>
      </c>
      <c r="B9731">
        <f>TEST_DATA!B9731</f>
        <v/>
      </c>
      <c r="C9731">
        <f>TEST_DATA!C9731</f>
        <v/>
      </c>
      <c r="D9731">
        <f>TEST_DATA!D9731</f>
        <v/>
      </c>
      <c r="E9731">
        <f>TEST_DATA!E9731</f>
        <v/>
      </c>
    </row>
    <row r="9732">
      <c r="A9732">
        <f>TEST_DATA!A9732</f>
        <v/>
      </c>
      <c r="B9732">
        <f>TEST_DATA!B9732</f>
        <v/>
      </c>
      <c r="C9732">
        <f>TEST_DATA!C9732</f>
        <v/>
      </c>
      <c r="D9732">
        <f>TEST_DATA!D9732</f>
        <v/>
      </c>
      <c r="E9732">
        <f>TEST_DATA!E9732</f>
        <v/>
      </c>
    </row>
    <row r="9733">
      <c r="A9733">
        <f>TEST_DATA!A9733</f>
        <v/>
      </c>
      <c r="B9733">
        <f>TEST_DATA!B9733</f>
        <v/>
      </c>
      <c r="C9733">
        <f>TEST_DATA!C9733</f>
        <v/>
      </c>
      <c r="D9733">
        <f>TEST_DATA!D9733</f>
        <v/>
      </c>
      <c r="E9733">
        <f>TEST_DATA!E9733</f>
        <v/>
      </c>
    </row>
    <row r="9734">
      <c r="A9734">
        <f>TEST_DATA!A9734</f>
        <v/>
      </c>
      <c r="B9734">
        <f>TEST_DATA!B9734</f>
        <v/>
      </c>
      <c r="C9734">
        <f>TEST_DATA!C9734</f>
        <v/>
      </c>
      <c r="D9734">
        <f>TEST_DATA!D9734</f>
        <v/>
      </c>
      <c r="E9734">
        <f>TEST_DATA!E9734</f>
        <v/>
      </c>
    </row>
    <row r="9735">
      <c r="A9735">
        <f>TEST_DATA!A9735</f>
        <v/>
      </c>
      <c r="B9735">
        <f>TEST_DATA!B9735</f>
        <v/>
      </c>
      <c r="C9735">
        <f>TEST_DATA!C9735</f>
        <v/>
      </c>
      <c r="D9735">
        <f>TEST_DATA!D9735</f>
        <v/>
      </c>
      <c r="E9735">
        <f>TEST_DATA!E9735</f>
        <v/>
      </c>
    </row>
    <row r="9736">
      <c r="A9736">
        <f>TEST_DATA!A9736</f>
        <v/>
      </c>
      <c r="B9736">
        <f>TEST_DATA!B9736</f>
        <v/>
      </c>
      <c r="C9736">
        <f>TEST_DATA!C9736</f>
        <v/>
      </c>
      <c r="D9736">
        <f>TEST_DATA!D9736</f>
        <v/>
      </c>
      <c r="E9736">
        <f>TEST_DATA!E9736</f>
        <v/>
      </c>
    </row>
    <row r="9737">
      <c r="A9737">
        <f>TEST_DATA!A9737</f>
        <v/>
      </c>
      <c r="B9737">
        <f>TEST_DATA!B9737</f>
        <v/>
      </c>
      <c r="C9737">
        <f>TEST_DATA!C9737</f>
        <v/>
      </c>
      <c r="D9737">
        <f>TEST_DATA!D9737</f>
        <v/>
      </c>
      <c r="E9737">
        <f>TEST_DATA!E9737</f>
        <v/>
      </c>
    </row>
    <row r="9738">
      <c r="A9738">
        <f>TEST_DATA!A9738</f>
        <v/>
      </c>
      <c r="B9738">
        <f>TEST_DATA!B9738</f>
        <v/>
      </c>
      <c r="C9738">
        <f>TEST_DATA!C9738</f>
        <v/>
      </c>
      <c r="D9738">
        <f>TEST_DATA!D9738</f>
        <v/>
      </c>
      <c r="E9738">
        <f>TEST_DATA!E9738</f>
        <v/>
      </c>
    </row>
    <row r="9739">
      <c r="A9739">
        <f>TEST_DATA!A9739</f>
        <v/>
      </c>
      <c r="B9739">
        <f>TEST_DATA!B9739</f>
        <v/>
      </c>
      <c r="C9739">
        <f>TEST_DATA!C9739</f>
        <v/>
      </c>
      <c r="D9739">
        <f>TEST_DATA!D9739</f>
        <v/>
      </c>
      <c r="E9739">
        <f>TEST_DATA!E9739</f>
        <v/>
      </c>
    </row>
    <row r="9740">
      <c r="A9740">
        <f>TEST_DATA!A9740</f>
        <v/>
      </c>
      <c r="B9740">
        <f>TEST_DATA!B9740</f>
        <v/>
      </c>
      <c r="C9740">
        <f>TEST_DATA!C9740</f>
        <v/>
      </c>
      <c r="D9740">
        <f>TEST_DATA!D9740</f>
        <v/>
      </c>
      <c r="E9740">
        <f>TEST_DATA!E9740</f>
        <v/>
      </c>
    </row>
    <row r="9741">
      <c r="A9741">
        <f>TEST_DATA!A9741</f>
        <v/>
      </c>
      <c r="B9741">
        <f>TEST_DATA!B9741</f>
        <v/>
      </c>
      <c r="C9741">
        <f>TEST_DATA!C9741</f>
        <v/>
      </c>
      <c r="D9741">
        <f>TEST_DATA!D9741</f>
        <v/>
      </c>
      <c r="E9741">
        <f>TEST_DATA!E9741</f>
        <v/>
      </c>
    </row>
    <row r="9742">
      <c r="A9742">
        <f>TEST_DATA!A9742</f>
        <v/>
      </c>
      <c r="B9742">
        <f>TEST_DATA!B9742</f>
        <v/>
      </c>
      <c r="C9742">
        <f>TEST_DATA!C9742</f>
        <v/>
      </c>
      <c r="D9742">
        <f>TEST_DATA!D9742</f>
        <v/>
      </c>
      <c r="E9742">
        <f>TEST_DATA!E9742</f>
        <v/>
      </c>
    </row>
    <row r="9743">
      <c r="A9743">
        <f>TEST_DATA!A9743</f>
        <v/>
      </c>
      <c r="B9743">
        <f>TEST_DATA!B9743</f>
        <v/>
      </c>
      <c r="C9743">
        <f>TEST_DATA!C9743</f>
        <v/>
      </c>
      <c r="D9743">
        <f>TEST_DATA!D9743</f>
        <v/>
      </c>
      <c r="E9743">
        <f>TEST_DATA!E9743</f>
        <v/>
      </c>
    </row>
    <row r="9744">
      <c r="A9744">
        <f>TEST_DATA!A9744</f>
        <v/>
      </c>
      <c r="B9744">
        <f>TEST_DATA!B9744</f>
        <v/>
      </c>
      <c r="C9744">
        <f>TEST_DATA!C9744</f>
        <v/>
      </c>
      <c r="D9744">
        <f>TEST_DATA!D9744</f>
        <v/>
      </c>
      <c r="E9744">
        <f>TEST_DATA!E9744</f>
        <v/>
      </c>
    </row>
    <row r="9745">
      <c r="A9745">
        <f>TEST_DATA!A9745</f>
        <v/>
      </c>
      <c r="B9745">
        <f>TEST_DATA!B9745</f>
        <v/>
      </c>
      <c r="C9745">
        <f>TEST_DATA!C9745</f>
        <v/>
      </c>
      <c r="D9745">
        <f>TEST_DATA!D9745</f>
        <v/>
      </c>
      <c r="E9745">
        <f>TEST_DATA!E9745</f>
        <v/>
      </c>
    </row>
    <row r="9746">
      <c r="A9746">
        <f>TEST_DATA!A9746</f>
        <v/>
      </c>
      <c r="B9746">
        <f>TEST_DATA!B9746</f>
        <v/>
      </c>
      <c r="C9746">
        <f>TEST_DATA!C9746</f>
        <v/>
      </c>
      <c r="D9746">
        <f>TEST_DATA!D9746</f>
        <v/>
      </c>
      <c r="E9746">
        <f>TEST_DATA!E9746</f>
        <v/>
      </c>
    </row>
    <row r="9747">
      <c r="A9747">
        <f>TEST_DATA!A9747</f>
        <v/>
      </c>
      <c r="B9747">
        <f>TEST_DATA!B9747</f>
        <v/>
      </c>
      <c r="C9747">
        <f>TEST_DATA!C9747</f>
        <v/>
      </c>
      <c r="D9747">
        <f>TEST_DATA!D9747</f>
        <v/>
      </c>
      <c r="E9747">
        <f>TEST_DATA!E9747</f>
        <v/>
      </c>
    </row>
    <row r="9748">
      <c r="A9748">
        <f>TEST_DATA!A9748</f>
        <v/>
      </c>
      <c r="B9748">
        <f>TEST_DATA!B9748</f>
        <v/>
      </c>
      <c r="C9748">
        <f>TEST_DATA!C9748</f>
        <v/>
      </c>
      <c r="D9748">
        <f>TEST_DATA!D9748</f>
        <v/>
      </c>
      <c r="E9748">
        <f>TEST_DATA!E9748</f>
        <v/>
      </c>
    </row>
    <row r="9749">
      <c r="A9749">
        <f>TEST_DATA!A9749</f>
        <v/>
      </c>
      <c r="B9749">
        <f>TEST_DATA!B9749</f>
        <v/>
      </c>
      <c r="C9749">
        <f>TEST_DATA!C9749</f>
        <v/>
      </c>
      <c r="D9749">
        <f>TEST_DATA!D9749</f>
        <v/>
      </c>
      <c r="E9749">
        <f>TEST_DATA!E9749</f>
        <v/>
      </c>
    </row>
    <row r="9750">
      <c r="A9750">
        <f>TEST_DATA!A9750</f>
        <v/>
      </c>
      <c r="B9750">
        <f>TEST_DATA!B9750</f>
        <v/>
      </c>
      <c r="C9750">
        <f>TEST_DATA!C9750</f>
        <v/>
      </c>
      <c r="D9750">
        <f>TEST_DATA!D9750</f>
        <v/>
      </c>
      <c r="E9750">
        <f>TEST_DATA!E9750</f>
        <v/>
      </c>
    </row>
    <row r="9751">
      <c r="A9751">
        <f>TEST_DATA!A9751</f>
        <v/>
      </c>
      <c r="B9751">
        <f>TEST_DATA!B9751</f>
        <v/>
      </c>
      <c r="C9751">
        <f>TEST_DATA!C9751</f>
        <v/>
      </c>
      <c r="D9751">
        <f>TEST_DATA!D9751</f>
        <v/>
      </c>
      <c r="E9751">
        <f>TEST_DATA!E9751</f>
        <v/>
      </c>
    </row>
    <row r="9752">
      <c r="A9752">
        <f>TEST_DATA!A9752</f>
        <v/>
      </c>
      <c r="B9752">
        <f>TEST_DATA!B9752</f>
        <v/>
      </c>
      <c r="C9752">
        <f>TEST_DATA!C9752</f>
        <v/>
      </c>
      <c r="D9752">
        <f>TEST_DATA!D9752</f>
        <v/>
      </c>
      <c r="E9752">
        <f>TEST_DATA!E9752</f>
        <v/>
      </c>
    </row>
    <row r="9753">
      <c r="A9753">
        <f>TEST_DATA!A9753</f>
        <v/>
      </c>
      <c r="B9753">
        <f>TEST_DATA!B9753</f>
        <v/>
      </c>
      <c r="C9753">
        <f>TEST_DATA!C9753</f>
        <v/>
      </c>
      <c r="D9753">
        <f>TEST_DATA!D9753</f>
        <v/>
      </c>
      <c r="E9753">
        <f>TEST_DATA!E9753</f>
        <v/>
      </c>
    </row>
    <row r="9754">
      <c r="A9754">
        <f>TEST_DATA!A9754</f>
        <v/>
      </c>
      <c r="B9754">
        <f>TEST_DATA!B9754</f>
        <v/>
      </c>
      <c r="C9754">
        <f>TEST_DATA!C9754</f>
        <v/>
      </c>
      <c r="D9754">
        <f>TEST_DATA!D9754</f>
        <v/>
      </c>
      <c r="E9754">
        <f>TEST_DATA!E9754</f>
        <v/>
      </c>
    </row>
    <row r="9755">
      <c r="A9755">
        <f>TEST_DATA!A9755</f>
        <v/>
      </c>
      <c r="B9755">
        <f>TEST_DATA!B9755</f>
        <v/>
      </c>
      <c r="C9755">
        <f>TEST_DATA!C9755</f>
        <v/>
      </c>
      <c r="D9755">
        <f>TEST_DATA!D9755</f>
        <v/>
      </c>
      <c r="E9755">
        <f>TEST_DATA!E9755</f>
        <v/>
      </c>
    </row>
    <row r="9756">
      <c r="A9756">
        <f>TEST_DATA!A9756</f>
        <v/>
      </c>
      <c r="B9756">
        <f>TEST_DATA!B9756</f>
        <v/>
      </c>
      <c r="C9756">
        <f>TEST_DATA!C9756</f>
        <v/>
      </c>
      <c r="D9756">
        <f>TEST_DATA!D9756</f>
        <v/>
      </c>
      <c r="E9756">
        <f>TEST_DATA!E9756</f>
        <v/>
      </c>
    </row>
    <row r="9757">
      <c r="A9757">
        <f>TEST_DATA!A9757</f>
        <v/>
      </c>
      <c r="B9757">
        <f>TEST_DATA!B9757</f>
        <v/>
      </c>
      <c r="C9757">
        <f>TEST_DATA!C9757</f>
        <v/>
      </c>
      <c r="D9757">
        <f>TEST_DATA!D9757</f>
        <v/>
      </c>
      <c r="E9757">
        <f>TEST_DATA!E9757</f>
        <v/>
      </c>
    </row>
    <row r="9758">
      <c r="A9758">
        <f>TEST_DATA!A9758</f>
        <v/>
      </c>
      <c r="B9758">
        <f>TEST_DATA!B9758</f>
        <v/>
      </c>
      <c r="C9758">
        <f>TEST_DATA!C9758</f>
        <v/>
      </c>
      <c r="D9758">
        <f>TEST_DATA!D9758</f>
        <v/>
      </c>
      <c r="E9758">
        <f>TEST_DATA!E9758</f>
        <v/>
      </c>
    </row>
    <row r="9759">
      <c r="A9759">
        <f>TEST_DATA!A9759</f>
        <v/>
      </c>
      <c r="B9759">
        <f>TEST_DATA!B9759</f>
        <v/>
      </c>
      <c r="C9759">
        <f>TEST_DATA!C9759</f>
        <v/>
      </c>
      <c r="D9759">
        <f>TEST_DATA!D9759</f>
        <v/>
      </c>
      <c r="E9759">
        <f>TEST_DATA!E9759</f>
        <v/>
      </c>
    </row>
    <row r="9760">
      <c r="A9760">
        <f>TEST_DATA!A9760</f>
        <v/>
      </c>
      <c r="B9760">
        <f>TEST_DATA!B9760</f>
        <v/>
      </c>
      <c r="C9760">
        <f>TEST_DATA!C9760</f>
        <v/>
      </c>
      <c r="D9760">
        <f>TEST_DATA!D9760</f>
        <v/>
      </c>
      <c r="E9760">
        <f>TEST_DATA!E9760</f>
        <v/>
      </c>
    </row>
    <row r="9761">
      <c r="A9761">
        <f>TEST_DATA!A9761</f>
        <v/>
      </c>
      <c r="B9761">
        <f>TEST_DATA!B9761</f>
        <v/>
      </c>
      <c r="C9761">
        <f>TEST_DATA!C9761</f>
        <v/>
      </c>
      <c r="D9761">
        <f>TEST_DATA!D9761</f>
        <v/>
      </c>
      <c r="E9761">
        <f>TEST_DATA!E9761</f>
        <v/>
      </c>
    </row>
    <row r="9762">
      <c r="A9762">
        <f>TEST_DATA!A9762</f>
        <v/>
      </c>
      <c r="B9762">
        <f>TEST_DATA!B9762</f>
        <v/>
      </c>
      <c r="C9762">
        <f>TEST_DATA!C9762</f>
        <v/>
      </c>
      <c r="D9762">
        <f>TEST_DATA!D9762</f>
        <v/>
      </c>
      <c r="E9762">
        <f>TEST_DATA!E9762</f>
        <v/>
      </c>
    </row>
    <row r="9763">
      <c r="A9763">
        <f>TEST_DATA!A9763</f>
        <v/>
      </c>
      <c r="B9763">
        <f>TEST_DATA!B9763</f>
        <v/>
      </c>
      <c r="C9763">
        <f>TEST_DATA!C9763</f>
        <v/>
      </c>
      <c r="D9763">
        <f>TEST_DATA!D9763</f>
        <v/>
      </c>
      <c r="E9763">
        <f>TEST_DATA!E9763</f>
        <v/>
      </c>
    </row>
    <row r="9764">
      <c r="A9764">
        <f>TEST_DATA!A9764</f>
        <v/>
      </c>
      <c r="B9764">
        <f>TEST_DATA!B9764</f>
        <v/>
      </c>
      <c r="C9764">
        <f>TEST_DATA!C9764</f>
        <v/>
      </c>
      <c r="D9764">
        <f>TEST_DATA!D9764</f>
        <v/>
      </c>
      <c r="E9764">
        <f>TEST_DATA!E9764</f>
        <v/>
      </c>
    </row>
    <row r="9765">
      <c r="A9765">
        <f>TEST_DATA!A9765</f>
        <v/>
      </c>
      <c r="B9765">
        <f>TEST_DATA!B9765</f>
        <v/>
      </c>
      <c r="C9765">
        <f>TEST_DATA!C9765</f>
        <v/>
      </c>
      <c r="D9765">
        <f>TEST_DATA!D9765</f>
        <v/>
      </c>
      <c r="E9765">
        <f>TEST_DATA!E9765</f>
        <v/>
      </c>
    </row>
    <row r="9766">
      <c r="A9766">
        <f>TEST_DATA!A9766</f>
        <v/>
      </c>
      <c r="B9766">
        <f>TEST_DATA!B9766</f>
        <v/>
      </c>
      <c r="C9766">
        <f>TEST_DATA!C9766</f>
        <v/>
      </c>
      <c r="D9766">
        <f>TEST_DATA!D9766</f>
        <v/>
      </c>
      <c r="E9766">
        <f>TEST_DATA!E9766</f>
        <v/>
      </c>
    </row>
    <row r="9767">
      <c r="A9767">
        <f>TEST_DATA!A9767</f>
        <v/>
      </c>
      <c r="B9767">
        <f>TEST_DATA!B9767</f>
        <v/>
      </c>
      <c r="C9767">
        <f>TEST_DATA!C9767</f>
        <v/>
      </c>
      <c r="D9767">
        <f>TEST_DATA!D9767</f>
        <v/>
      </c>
      <c r="E9767">
        <f>TEST_DATA!E9767</f>
        <v/>
      </c>
    </row>
    <row r="9768">
      <c r="A9768">
        <f>TEST_DATA!A9768</f>
        <v/>
      </c>
      <c r="B9768">
        <f>TEST_DATA!B9768</f>
        <v/>
      </c>
      <c r="C9768">
        <f>TEST_DATA!C9768</f>
        <v/>
      </c>
      <c r="D9768">
        <f>TEST_DATA!D9768</f>
        <v/>
      </c>
      <c r="E9768">
        <f>TEST_DATA!E9768</f>
        <v/>
      </c>
    </row>
    <row r="9769">
      <c r="A9769">
        <f>TEST_DATA!A9769</f>
        <v/>
      </c>
      <c r="B9769">
        <f>TEST_DATA!B9769</f>
        <v/>
      </c>
      <c r="C9769">
        <f>TEST_DATA!C9769</f>
        <v/>
      </c>
      <c r="D9769">
        <f>TEST_DATA!D9769</f>
        <v/>
      </c>
      <c r="E9769">
        <f>TEST_DATA!E9769</f>
        <v/>
      </c>
    </row>
    <row r="9770">
      <c r="A9770">
        <f>TEST_DATA!A9770</f>
        <v/>
      </c>
      <c r="B9770">
        <f>TEST_DATA!B9770</f>
        <v/>
      </c>
      <c r="C9770">
        <f>TEST_DATA!C9770</f>
        <v/>
      </c>
      <c r="D9770">
        <f>TEST_DATA!D9770</f>
        <v/>
      </c>
      <c r="E9770">
        <f>TEST_DATA!E9770</f>
        <v/>
      </c>
    </row>
    <row r="9771">
      <c r="A9771">
        <f>TEST_DATA!A9771</f>
        <v/>
      </c>
      <c r="B9771">
        <f>TEST_DATA!B9771</f>
        <v/>
      </c>
      <c r="C9771">
        <f>TEST_DATA!C9771</f>
        <v/>
      </c>
      <c r="D9771">
        <f>TEST_DATA!D9771</f>
        <v/>
      </c>
      <c r="E9771">
        <f>TEST_DATA!E9771</f>
        <v/>
      </c>
    </row>
    <row r="9772">
      <c r="A9772">
        <f>TEST_DATA!A9772</f>
        <v/>
      </c>
      <c r="B9772">
        <f>TEST_DATA!B9772</f>
        <v/>
      </c>
      <c r="C9772">
        <f>TEST_DATA!C9772</f>
        <v/>
      </c>
      <c r="D9772">
        <f>TEST_DATA!D9772</f>
        <v/>
      </c>
      <c r="E9772">
        <f>TEST_DATA!E9772</f>
        <v/>
      </c>
    </row>
    <row r="9773">
      <c r="A9773">
        <f>TEST_DATA!A9773</f>
        <v/>
      </c>
      <c r="B9773">
        <f>TEST_DATA!B9773</f>
        <v/>
      </c>
      <c r="C9773">
        <f>TEST_DATA!C9773</f>
        <v/>
      </c>
      <c r="D9773">
        <f>TEST_DATA!D9773</f>
        <v/>
      </c>
      <c r="E9773">
        <f>TEST_DATA!E9773</f>
        <v/>
      </c>
    </row>
    <row r="9774">
      <c r="A9774">
        <f>TEST_DATA!A9774</f>
        <v/>
      </c>
      <c r="B9774">
        <f>TEST_DATA!B9774</f>
        <v/>
      </c>
      <c r="C9774">
        <f>TEST_DATA!C9774</f>
        <v/>
      </c>
      <c r="D9774">
        <f>TEST_DATA!D9774</f>
        <v/>
      </c>
      <c r="E9774">
        <f>TEST_DATA!E9774</f>
        <v/>
      </c>
    </row>
    <row r="9775">
      <c r="A9775">
        <f>TEST_DATA!A9775</f>
        <v/>
      </c>
      <c r="B9775">
        <f>TEST_DATA!B9775</f>
        <v/>
      </c>
      <c r="C9775">
        <f>TEST_DATA!C9775</f>
        <v/>
      </c>
      <c r="D9775">
        <f>TEST_DATA!D9775</f>
        <v/>
      </c>
      <c r="E9775">
        <f>TEST_DATA!E9775</f>
        <v/>
      </c>
    </row>
    <row r="9776">
      <c r="A9776">
        <f>TEST_DATA!A9776</f>
        <v/>
      </c>
      <c r="B9776">
        <f>TEST_DATA!B9776</f>
        <v/>
      </c>
      <c r="C9776">
        <f>TEST_DATA!C9776</f>
        <v/>
      </c>
      <c r="D9776">
        <f>TEST_DATA!D9776</f>
        <v/>
      </c>
      <c r="E9776">
        <f>TEST_DATA!E9776</f>
        <v/>
      </c>
    </row>
    <row r="9777">
      <c r="A9777">
        <f>TEST_DATA!A9777</f>
        <v/>
      </c>
      <c r="B9777">
        <f>TEST_DATA!B9777</f>
        <v/>
      </c>
      <c r="C9777">
        <f>TEST_DATA!C9777</f>
        <v/>
      </c>
      <c r="D9777">
        <f>TEST_DATA!D9777</f>
        <v/>
      </c>
      <c r="E9777">
        <f>TEST_DATA!E9777</f>
        <v/>
      </c>
    </row>
    <row r="9778">
      <c r="A9778">
        <f>TEST_DATA!A9778</f>
        <v/>
      </c>
      <c r="B9778">
        <f>TEST_DATA!B9778</f>
        <v/>
      </c>
      <c r="C9778">
        <f>TEST_DATA!C9778</f>
        <v/>
      </c>
      <c r="D9778">
        <f>TEST_DATA!D9778</f>
        <v/>
      </c>
      <c r="E9778">
        <f>TEST_DATA!E9778</f>
        <v/>
      </c>
    </row>
    <row r="9779">
      <c r="A9779">
        <f>TEST_DATA!A9779</f>
        <v/>
      </c>
      <c r="B9779">
        <f>TEST_DATA!B9779</f>
        <v/>
      </c>
      <c r="C9779">
        <f>TEST_DATA!C9779</f>
        <v/>
      </c>
      <c r="D9779">
        <f>TEST_DATA!D9779</f>
        <v/>
      </c>
      <c r="E9779">
        <f>TEST_DATA!E9779</f>
        <v/>
      </c>
    </row>
    <row r="9780">
      <c r="A9780">
        <f>TEST_DATA!A9780</f>
        <v/>
      </c>
      <c r="B9780">
        <f>TEST_DATA!B9780</f>
        <v/>
      </c>
      <c r="C9780">
        <f>TEST_DATA!C9780</f>
        <v/>
      </c>
      <c r="D9780">
        <f>TEST_DATA!D9780</f>
        <v/>
      </c>
      <c r="E9780">
        <f>TEST_DATA!E9780</f>
        <v/>
      </c>
    </row>
    <row r="9781">
      <c r="A9781">
        <f>TEST_DATA!A9781</f>
        <v/>
      </c>
      <c r="B9781">
        <f>TEST_DATA!B9781</f>
        <v/>
      </c>
      <c r="C9781">
        <f>TEST_DATA!C9781</f>
        <v/>
      </c>
      <c r="D9781">
        <f>TEST_DATA!D9781</f>
        <v/>
      </c>
      <c r="E9781">
        <f>TEST_DATA!E9781</f>
        <v/>
      </c>
    </row>
    <row r="9782">
      <c r="A9782">
        <f>TEST_DATA!A9782</f>
        <v/>
      </c>
      <c r="B9782">
        <f>TEST_DATA!B9782</f>
        <v/>
      </c>
      <c r="C9782">
        <f>TEST_DATA!C9782</f>
        <v/>
      </c>
      <c r="D9782">
        <f>TEST_DATA!D9782</f>
        <v/>
      </c>
      <c r="E9782">
        <f>TEST_DATA!E9782</f>
        <v/>
      </c>
    </row>
    <row r="9783">
      <c r="A9783">
        <f>TEST_DATA!A9783</f>
        <v/>
      </c>
      <c r="B9783">
        <f>TEST_DATA!B9783</f>
        <v/>
      </c>
      <c r="C9783">
        <f>TEST_DATA!C9783</f>
        <v/>
      </c>
      <c r="D9783">
        <f>TEST_DATA!D9783</f>
        <v/>
      </c>
      <c r="E9783">
        <f>TEST_DATA!E9783</f>
        <v/>
      </c>
    </row>
    <row r="9784">
      <c r="A9784">
        <f>TEST_DATA!A9784</f>
        <v/>
      </c>
      <c r="B9784">
        <f>TEST_DATA!B9784</f>
        <v/>
      </c>
      <c r="C9784">
        <f>TEST_DATA!C9784</f>
        <v/>
      </c>
      <c r="D9784">
        <f>TEST_DATA!D9784</f>
        <v/>
      </c>
      <c r="E9784">
        <f>TEST_DATA!E9784</f>
        <v/>
      </c>
    </row>
    <row r="9785">
      <c r="A9785">
        <f>TEST_DATA!A9785</f>
        <v/>
      </c>
      <c r="B9785">
        <f>TEST_DATA!B9785</f>
        <v/>
      </c>
      <c r="C9785">
        <f>TEST_DATA!C9785</f>
        <v/>
      </c>
      <c r="D9785">
        <f>TEST_DATA!D9785</f>
        <v/>
      </c>
      <c r="E9785">
        <f>TEST_DATA!E9785</f>
        <v/>
      </c>
    </row>
    <row r="9786">
      <c r="A9786">
        <f>TEST_DATA!A9786</f>
        <v/>
      </c>
      <c r="B9786">
        <f>TEST_DATA!B9786</f>
        <v/>
      </c>
      <c r="C9786">
        <f>TEST_DATA!C9786</f>
        <v/>
      </c>
      <c r="D9786">
        <f>TEST_DATA!D9786</f>
        <v/>
      </c>
      <c r="E9786">
        <f>TEST_DATA!E9786</f>
        <v/>
      </c>
    </row>
    <row r="9787">
      <c r="A9787">
        <f>TEST_DATA!A9787</f>
        <v/>
      </c>
      <c r="B9787">
        <f>TEST_DATA!B9787</f>
        <v/>
      </c>
      <c r="C9787">
        <f>TEST_DATA!C9787</f>
        <v/>
      </c>
      <c r="D9787">
        <f>TEST_DATA!D9787</f>
        <v/>
      </c>
      <c r="E9787">
        <f>TEST_DATA!E9787</f>
        <v/>
      </c>
    </row>
    <row r="9788">
      <c r="A9788">
        <f>TEST_DATA!A9788</f>
        <v/>
      </c>
      <c r="B9788">
        <f>TEST_DATA!B9788</f>
        <v/>
      </c>
      <c r="C9788">
        <f>TEST_DATA!C9788</f>
        <v/>
      </c>
      <c r="D9788">
        <f>TEST_DATA!D9788</f>
        <v/>
      </c>
      <c r="E9788">
        <f>TEST_DATA!E9788</f>
        <v/>
      </c>
    </row>
    <row r="9789">
      <c r="A9789">
        <f>TEST_DATA!A9789</f>
        <v/>
      </c>
      <c r="B9789">
        <f>TEST_DATA!B9789</f>
        <v/>
      </c>
      <c r="C9789">
        <f>TEST_DATA!C9789</f>
        <v/>
      </c>
      <c r="D9789">
        <f>TEST_DATA!D9789</f>
        <v/>
      </c>
      <c r="E9789">
        <f>TEST_DATA!E9789</f>
        <v/>
      </c>
    </row>
    <row r="9790">
      <c r="A9790">
        <f>TEST_DATA!A9790</f>
        <v/>
      </c>
      <c r="B9790">
        <f>TEST_DATA!B9790</f>
        <v/>
      </c>
      <c r="C9790">
        <f>TEST_DATA!C9790</f>
        <v/>
      </c>
      <c r="D9790">
        <f>TEST_DATA!D9790</f>
        <v/>
      </c>
      <c r="E9790">
        <f>TEST_DATA!E9790</f>
        <v/>
      </c>
    </row>
    <row r="9791">
      <c r="A9791">
        <f>TEST_DATA!A9791</f>
        <v/>
      </c>
      <c r="B9791">
        <f>TEST_DATA!B9791</f>
        <v/>
      </c>
      <c r="C9791">
        <f>TEST_DATA!C9791</f>
        <v/>
      </c>
      <c r="D9791">
        <f>TEST_DATA!D9791</f>
        <v/>
      </c>
      <c r="E9791">
        <f>TEST_DATA!E9791</f>
        <v/>
      </c>
    </row>
    <row r="9792">
      <c r="A9792">
        <f>TEST_DATA!A9792</f>
        <v/>
      </c>
      <c r="B9792">
        <f>TEST_DATA!B9792</f>
        <v/>
      </c>
      <c r="C9792">
        <f>TEST_DATA!C9792</f>
        <v/>
      </c>
      <c r="D9792">
        <f>TEST_DATA!D9792</f>
        <v/>
      </c>
      <c r="E9792">
        <f>TEST_DATA!E9792</f>
        <v/>
      </c>
    </row>
    <row r="9793">
      <c r="A9793">
        <f>TEST_DATA!A9793</f>
        <v/>
      </c>
      <c r="B9793">
        <f>TEST_DATA!B9793</f>
        <v/>
      </c>
      <c r="C9793">
        <f>TEST_DATA!C9793</f>
        <v/>
      </c>
      <c r="D9793">
        <f>TEST_DATA!D9793</f>
        <v/>
      </c>
      <c r="E9793">
        <f>TEST_DATA!E9793</f>
        <v/>
      </c>
    </row>
    <row r="9794">
      <c r="A9794">
        <f>TEST_DATA!A9794</f>
        <v/>
      </c>
      <c r="B9794">
        <f>TEST_DATA!B9794</f>
        <v/>
      </c>
      <c r="C9794">
        <f>TEST_DATA!C9794</f>
        <v/>
      </c>
      <c r="D9794">
        <f>TEST_DATA!D9794</f>
        <v/>
      </c>
      <c r="E9794">
        <f>TEST_DATA!E9794</f>
        <v/>
      </c>
    </row>
    <row r="9795">
      <c r="A9795">
        <f>TEST_DATA!A9795</f>
        <v/>
      </c>
      <c r="B9795">
        <f>TEST_DATA!B9795</f>
        <v/>
      </c>
      <c r="C9795">
        <f>TEST_DATA!C9795</f>
        <v/>
      </c>
      <c r="D9795">
        <f>TEST_DATA!D9795</f>
        <v/>
      </c>
      <c r="E9795">
        <f>TEST_DATA!E9795</f>
        <v/>
      </c>
    </row>
    <row r="9796">
      <c r="A9796">
        <f>TEST_DATA!A9796</f>
        <v/>
      </c>
      <c r="B9796">
        <f>TEST_DATA!B9796</f>
        <v/>
      </c>
      <c r="C9796">
        <f>TEST_DATA!C9796</f>
        <v/>
      </c>
      <c r="D9796">
        <f>TEST_DATA!D9796</f>
        <v/>
      </c>
      <c r="E9796">
        <f>TEST_DATA!E9796</f>
        <v/>
      </c>
    </row>
    <row r="9797">
      <c r="A9797">
        <f>TEST_DATA!A9797</f>
        <v/>
      </c>
      <c r="B9797">
        <f>TEST_DATA!B9797</f>
        <v/>
      </c>
      <c r="C9797">
        <f>TEST_DATA!C9797</f>
        <v/>
      </c>
      <c r="D9797">
        <f>TEST_DATA!D9797</f>
        <v/>
      </c>
      <c r="E9797">
        <f>TEST_DATA!E9797</f>
        <v/>
      </c>
    </row>
    <row r="9798">
      <c r="A9798">
        <f>TEST_DATA!A9798</f>
        <v/>
      </c>
      <c r="B9798">
        <f>TEST_DATA!B9798</f>
        <v/>
      </c>
      <c r="C9798">
        <f>TEST_DATA!C9798</f>
        <v/>
      </c>
      <c r="D9798">
        <f>TEST_DATA!D9798</f>
        <v/>
      </c>
      <c r="E9798">
        <f>TEST_DATA!E9798</f>
        <v/>
      </c>
    </row>
    <row r="9799">
      <c r="A9799">
        <f>TEST_DATA!A9799</f>
        <v/>
      </c>
      <c r="B9799">
        <f>TEST_DATA!B9799</f>
        <v/>
      </c>
      <c r="C9799">
        <f>TEST_DATA!C9799</f>
        <v/>
      </c>
      <c r="D9799">
        <f>TEST_DATA!D9799</f>
        <v/>
      </c>
      <c r="E9799">
        <f>TEST_DATA!E9799</f>
        <v/>
      </c>
    </row>
    <row r="9800">
      <c r="A9800">
        <f>TEST_DATA!A9800</f>
        <v/>
      </c>
      <c r="B9800">
        <f>TEST_DATA!B9800</f>
        <v/>
      </c>
      <c r="C9800">
        <f>TEST_DATA!C9800</f>
        <v/>
      </c>
      <c r="D9800">
        <f>TEST_DATA!D9800</f>
        <v/>
      </c>
      <c r="E9800">
        <f>TEST_DATA!E9800</f>
        <v/>
      </c>
    </row>
    <row r="9801">
      <c r="A9801">
        <f>TEST_DATA!A9801</f>
        <v/>
      </c>
      <c r="B9801">
        <f>TEST_DATA!B9801</f>
        <v/>
      </c>
      <c r="C9801">
        <f>TEST_DATA!C9801</f>
        <v/>
      </c>
      <c r="D9801">
        <f>TEST_DATA!D9801</f>
        <v/>
      </c>
      <c r="E9801">
        <f>TEST_DATA!E9801</f>
        <v/>
      </c>
    </row>
    <row r="9802">
      <c r="A9802">
        <f>TEST_DATA!A9802</f>
        <v/>
      </c>
      <c r="B9802">
        <f>TEST_DATA!B9802</f>
        <v/>
      </c>
      <c r="C9802">
        <f>TEST_DATA!C9802</f>
        <v/>
      </c>
      <c r="D9802">
        <f>TEST_DATA!D9802</f>
        <v/>
      </c>
      <c r="E9802">
        <f>TEST_DATA!E9802</f>
        <v/>
      </c>
    </row>
    <row r="9803">
      <c r="A9803">
        <f>TEST_DATA!A9803</f>
        <v/>
      </c>
      <c r="B9803">
        <f>TEST_DATA!B9803</f>
        <v/>
      </c>
      <c r="C9803">
        <f>TEST_DATA!C9803</f>
        <v/>
      </c>
      <c r="D9803">
        <f>TEST_DATA!D9803</f>
        <v/>
      </c>
      <c r="E9803">
        <f>TEST_DATA!E9803</f>
        <v/>
      </c>
    </row>
    <row r="9804">
      <c r="A9804">
        <f>TEST_DATA!A9804</f>
        <v/>
      </c>
      <c r="B9804">
        <f>TEST_DATA!B9804</f>
        <v/>
      </c>
      <c r="C9804">
        <f>TEST_DATA!C9804</f>
        <v/>
      </c>
      <c r="D9804">
        <f>TEST_DATA!D9804</f>
        <v/>
      </c>
      <c r="E9804">
        <f>TEST_DATA!E9804</f>
        <v/>
      </c>
    </row>
    <row r="9805">
      <c r="A9805">
        <f>TEST_DATA!A9805</f>
        <v/>
      </c>
      <c r="B9805">
        <f>TEST_DATA!B9805</f>
        <v/>
      </c>
      <c r="C9805">
        <f>TEST_DATA!C9805</f>
        <v/>
      </c>
      <c r="D9805">
        <f>TEST_DATA!D9805</f>
        <v/>
      </c>
      <c r="E9805">
        <f>TEST_DATA!E9805</f>
        <v/>
      </c>
    </row>
    <row r="9806">
      <c r="A9806">
        <f>TEST_DATA!A9806</f>
        <v/>
      </c>
      <c r="B9806">
        <f>TEST_DATA!B9806</f>
        <v/>
      </c>
      <c r="C9806">
        <f>TEST_DATA!C9806</f>
        <v/>
      </c>
      <c r="D9806">
        <f>TEST_DATA!D9806</f>
        <v/>
      </c>
      <c r="E9806">
        <f>TEST_DATA!E9806</f>
        <v/>
      </c>
    </row>
    <row r="9807">
      <c r="A9807">
        <f>TEST_DATA!A9807</f>
        <v/>
      </c>
      <c r="B9807">
        <f>TEST_DATA!B9807</f>
        <v/>
      </c>
      <c r="C9807">
        <f>TEST_DATA!C9807</f>
        <v/>
      </c>
      <c r="D9807">
        <f>TEST_DATA!D9807</f>
        <v/>
      </c>
      <c r="E9807">
        <f>TEST_DATA!E9807</f>
        <v/>
      </c>
    </row>
    <row r="9808">
      <c r="A9808">
        <f>TEST_DATA!A9808</f>
        <v/>
      </c>
      <c r="B9808">
        <f>TEST_DATA!B9808</f>
        <v/>
      </c>
      <c r="C9808">
        <f>TEST_DATA!C9808</f>
        <v/>
      </c>
      <c r="D9808">
        <f>TEST_DATA!D9808</f>
        <v/>
      </c>
      <c r="E9808">
        <f>TEST_DATA!E9808</f>
        <v/>
      </c>
    </row>
    <row r="9809">
      <c r="A9809">
        <f>TEST_DATA!A9809</f>
        <v/>
      </c>
      <c r="B9809">
        <f>TEST_DATA!B9809</f>
        <v/>
      </c>
      <c r="C9809">
        <f>TEST_DATA!C9809</f>
        <v/>
      </c>
      <c r="D9809">
        <f>TEST_DATA!D9809</f>
        <v/>
      </c>
      <c r="E9809">
        <f>TEST_DATA!E9809</f>
        <v/>
      </c>
    </row>
    <row r="9810">
      <c r="A9810">
        <f>TEST_DATA!A9810</f>
        <v/>
      </c>
      <c r="B9810">
        <f>TEST_DATA!B9810</f>
        <v/>
      </c>
      <c r="C9810">
        <f>TEST_DATA!C9810</f>
        <v/>
      </c>
      <c r="D9810">
        <f>TEST_DATA!D9810</f>
        <v/>
      </c>
      <c r="E9810">
        <f>TEST_DATA!E9810</f>
        <v/>
      </c>
    </row>
    <row r="9811">
      <c r="A9811">
        <f>TEST_DATA!A9811</f>
        <v/>
      </c>
      <c r="B9811">
        <f>TEST_DATA!B9811</f>
        <v/>
      </c>
      <c r="C9811">
        <f>TEST_DATA!C9811</f>
        <v/>
      </c>
      <c r="D9811">
        <f>TEST_DATA!D9811</f>
        <v/>
      </c>
      <c r="E9811">
        <f>TEST_DATA!E9811</f>
        <v/>
      </c>
    </row>
    <row r="9812">
      <c r="A9812">
        <f>TEST_DATA!A9812</f>
        <v/>
      </c>
      <c r="B9812">
        <f>TEST_DATA!B9812</f>
        <v/>
      </c>
      <c r="C9812">
        <f>TEST_DATA!C9812</f>
        <v/>
      </c>
      <c r="D9812">
        <f>TEST_DATA!D9812</f>
        <v/>
      </c>
      <c r="E9812">
        <f>TEST_DATA!E9812</f>
        <v/>
      </c>
    </row>
    <row r="9813">
      <c r="A9813">
        <f>TEST_DATA!A9813</f>
        <v/>
      </c>
      <c r="B9813">
        <f>TEST_DATA!B9813</f>
        <v/>
      </c>
      <c r="C9813">
        <f>TEST_DATA!C9813</f>
        <v/>
      </c>
      <c r="D9813">
        <f>TEST_DATA!D9813</f>
        <v/>
      </c>
      <c r="E9813">
        <f>TEST_DATA!E9813</f>
        <v/>
      </c>
    </row>
    <row r="9814">
      <c r="A9814">
        <f>TEST_DATA!A9814</f>
        <v/>
      </c>
      <c r="B9814">
        <f>TEST_DATA!B9814</f>
        <v/>
      </c>
      <c r="C9814">
        <f>TEST_DATA!C9814</f>
        <v/>
      </c>
      <c r="D9814">
        <f>TEST_DATA!D9814</f>
        <v/>
      </c>
      <c r="E9814">
        <f>TEST_DATA!E9814</f>
        <v/>
      </c>
    </row>
    <row r="9815">
      <c r="A9815">
        <f>TEST_DATA!A9815</f>
        <v/>
      </c>
      <c r="B9815">
        <f>TEST_DATA!B9815</f>
        <v/>
      </c>
      <c r="C9815">
        <f>TEST_DATA!C9815</f>
        <v/>
      </c>
      <c r="D9815">
        <f>TEST_DATA!D9815</f>
        <v/>
      </c>
      <c r="E9815">
        <f>TEST_DATA!E9815</f>
        <v/>
      </c>
    </row>
    <row r="9816">
      <c r="A9816">
        <f>TEST_DATA!A9816</f>
        <v/>
      </c>
      <c r="B9816">
        <f>TEST_DATA!B9816</f>
        <v/>
      </c>
      <c r="C9816">
        <f>TEST_DATA!C9816</f>
        <v/>
      </c>
      <c r="D9816">
        <f>TEST_DATA!D9816</f>
        <v/>
      </c>
      <c r="E9816">
        <f>TEST_DATA!E9816</f>
        <v/>
      </c>
    </row>
    <row r="9817">
      <c r="A9817">
        <f>TEST_DATA!A9817</f>
        <v/>
      </c>
      <c r="B9817">
        <f>TEST_DATA!B9817</f>
        <v/>
      </c>
      <c r="C9817">
        <f>TEST_DATA!C9817</f>
        <v/>
      </c>
      <c r="D9817">
        <f>TEST_DATA!D9817</f>
        <v/>
      </c>
      <c r="E9817">
        <f>TEST_DATA!E9817</f>
        <v/>
      </c>
    </row>
    <row r="9818">
      <c r="A9818">
        <f>TEST_DATA!A9818</f>
        <v/>
      </c>
      <c r="B9818">
        <f>TEST_DATA!B9818</f>
        <v/>
      </c>
      <c r="C9818">
        <f>TEST_DATA!C9818</f>
        <v/>
      </c>
      <c r="D9818">
        <f>TEST_DATA!D9818</f>
        <v/>
      </c>
      <c r="E9818">
        <f>TEST_DATA!E9818</f>
        <v/>
      </c>
    </row>
    <row r="9819">
      <c r="A9819">
        <f>TEST_DATA!A9819</f>
        <v/>
      </c>
      <c r="B9819">
        <f>TEST_DATA!B9819</f>
        <v/>
      </c>
      <c r="C9819">
        <f>TEST_DATA!C9819</f>
        <v/>
      </c>
      <c r="D9819">
        <f>TEST_DATA!D9819</f>
        <v/>
      </c>
      <c r="E9819">
        <f>TEST_DATA!E9819</f>
        <v/>
      </c>
    </row>
    <row r="9820">
      <c r="A9820">
        <f>TEST_DATA!A9820</f>
        <v/>
      </c>
      <c r="B9820">
        <f>TEST_DATA!B9820</f>
        <v/>
      </c>
      <c r="C9820">
        <f>TEST_DATA!C9820</f>
        <v/>
      </c>
      <c r="D9820">
        <f>TEST_DATA!D9820</f>
        <v/>
      </c>
      <c r="E9820">
        <f>TEST_DATA!E9820</f>
        <v/>
      </c>
    </row>
    <row r="9821">
      <c r="A9821">
        <f>TEST_DATA!A9821</f>
        <v/>
      </c>
      <c r="B9821">
        <f>TEST_DATA!B9821</f>
        <v/>
      </c>
      <c r="C9821">
        <f>TEST_DATA!C9821</f>
        <v/>
      </c>
      <c r="D9821">
        <f>TEST_DATA!D9821</f>
        <v/>
      </c>
      <c r="E9821">
        <f>TEST_DATA!E9821</f>
        <v/>
      </c>
    </row>
    <row r="9822">
      <c r="A9822">
        <f>TEST_DATA!A9822</f>
        <v/>
      </c>
      <c r="B9822">
        <f>TEST_DATA!B9822</f>
        <v/>
      </c>
      <c r="C9822">
        <f>TEST_DATA!C9822</f>
        <v/>
      </c>
      <c r="D9822">
        <f>TEST_DATA!D9822</f>
        <v/>
      </c>
      <c r="E9822">
        <f>TEST_DATA!E9822</f>
        <v/>
      </c>
    </row>
    <row r="9823">
      <c r="A9823">
        <f>TEST_DATA!A9823</f>
        <v/>
      </c>
      <c r="B9823">
        <f>TEST_DATA!B9823</f>
        <v/>
      </c>
      <c r="C9823">
        <f>TEST_DATA!C9823</f>
        <v/>
      </c>
      <c r="D9823">
        <f>TEST_DATA!D9823</f>
        <v/>
      </c>
      <c r="E9823">
        <f>TEST_DATA!E9823</f>
        <v/>
      </c>
    </row>
    <row r="9824">
      <c r="A9824">
        <f>TEST_DATA!A9824</f>
        <v/>
      </c>
      <c r="B9824">
        <f>TEST_DATA!B9824</f>
        <v/>
      </c>
      <c r="C9824">
        <f>TEST_DATA!C9824</f>
        <v/>
      </c>
      <c r="D9824">
        <f>TEST_DATA!D9824</f>
        <v/>
      </c>
      <c r="E9824">
        <f>TEST_DATA!E9824</f>
        <v/>
      </c>
    </row>
    <row r="9825">
      <c r="A9825">
        <f>TEST_DATA!A9825</f>
        <v/>
      </c>
      <c r="B9825">
        <f>TEST_DATA!B9825</f>
        <v/>
      </c>
      <c r="C9825">
        <f>TEST_DATA!C9825</f>
        <v/>
      </c>
      <c r="D9825">
        <f>TEST_DATA!D9825</f>
        <v/>
      </c>
      <c r="E9825">
        <f>TEST_DATA!E9825</f>
        <v/>
      </c>
    </row>
    <row r="9826">
      <c r="A9826">
        <f>TEST_DATA!A9826</f>
        <v/>
      </c>
      <c r="B9826">
        <f>TEST_DATA!B9826</f>
        <v/>
      </c>
      <c r="C9826">
        <f>TEST_DATA!C9826</f>
        <v/>
      </c>
      <c r="D9826">
        <f>TEST_DATA!D9826</f>
        <v/>
      </c>
      <c r="E9826">
        <f>TEST_DATA!E9826</f>
        <v/>
      </c>
    </row>
    <row r="9827">
      <c r="A9827">
        <f>TEST_DATA!A9827</f>
        <v/>
      </c>
      <c r="B9827">
        <f>TEST_DATA!B9827</f>
        <v/>
      </c>
      <c r="C9827">
        <f>TEST_DATA!C9827</f>
        <v/>
      </c>
      <c r="D9827">
        <f>TEST_DATA!D9827</f>
        <v/>
      </c>
      <c r="E9827">
        <f>TEST_DATA!E9827</f>
        <v/>
      </c>
    </row>
    <row r="9828">
      <c r="A9828">
        <f>TEST_DATA!A9828</f>
        <v/>
      </c>
      <c r="B9828">
        <f>TEST_DATA!B9828</f>
        <v/>
      </c>
      <c r="C9828">
        <f>TEST_DATA!C9828</f>
        <v/>
      </c>
      <c r="D9828">
        <f>TEST_DATA!D9828</f>
        <v/>
      </c>
      <c r="E9828">
        <f>TEST_DATA!E9828</f>
        <v/>
      </c>
    </row>
    <row r="9829">
      <c r="A9829">
        <f>TEST_DATA!A9829</f>
        <v/>
      </c>
      <c r="B9829">
        <f>TEST_DATA!B9829</f>
        <v/>
      </c>
      <c r="C9829">
        <f>TEST_DATA!C9829</f>
        <v/>
      </c>
      <c r="D9829">
        <f>TEST_DATA!D9829</f>
        <v/>
      </c>
      <c r="E9829">
        <f>TEST_DATA!E9829</f>
        <v/>
      </c>
    </row>
    <row r="9830">
      <c r="A9830">
        <f>TEST_DATA!A9830</f>
        <v/>
      </c>
      <c r="B9830">
        <f>TEST_DATA!B9830</f>
        <v/>
      </c>
      <c r="C9830">
        <f>TEST_DATA!C9830</f>
        <v/>
      </c>
      <c r="D9830">
        <f>TEST_DATA!D9830</f>
        <v/>
      </c>
      <c r="E9830">
        <f>TEST_DATA!E9830</f>
        <v/>
      </c>
    </row>
    <row r="9831">
      <c r="A9831">
        <f>TEST_DATA!A9831</f>
        <v/>
      </c>
      <c r="B9831">
        <f>TEST_DATA!B9831</f>
        <v/>
      </c>
      <c r="C9831">
        <f>TEST_DATA!C9831</f>
        <v/>
      </c>
      <c r="D9831">
        <f>TEST_DATA!D9831</f>
        <v/>
      </c>
      <c r="E9831">
        <f>TEST_DATA!E9831</f>
        <v/>
      </c>
    </row>
    <row r="9832">
      <c r="A9832">
        <f>TEST_DATA!A9832</f>
        <v/>
      </c>
      <c r="B9832">
        <f>TEST_DATA!B9832</f>
        <v/>
      </c>
      <c r="C9832">
        <f>TEST_DATA!C9832</f>
        <v/>
      </c>
      <c r="D9832">
        <f>TEST_DATA!D9832</f>
        <v/>
      </c>
      <c r="E9832">
        <f>TEST_DATA!E9832</f>
        <v/>
      </c>
    </row>
    <row r="9833">
      <c r="A9833">
        <f>TEST_DATA!A9833</f>
        <v/>
      </c>
      <c r="B9833">
        <f>TEST_DATA!B9833</f>
        <v/>
      </c>
      <c r="C9833">
        <f>TEST_DATA!C9833</f>
        <v/>
      </c>
      <c r="D9833">
        <f>TEST_DATA!D9833</f>
        <v/>
      </c>
      <c r="E9833">
        <f>TEST_DATA!E9833</f>
        <v/>
      </c>
    </row>
    <row r="9834">
      <c r="A9834">
        <f>TEST_DATA!A9834</f>
        <v/>
      </c>
      <c r="B9834">
        <f>TEST_DATA!B9834</f>
        <v/>
      </c>
      <c r="C9834">
        <f>TEST_DATA!C9834</f>
        <v/>
      </c>
      <c r="D9834">
        <f>TEST_DATA!D9834</f>
        <v/>
      </c>
      <c r="E9834">
        <f>TEST_DATA!E9834</f>
        <v/>
      </c>
    </row>
    <row r="9835">
      <c r="A9835">
        <f>TEST_DATA!A9835</f>
        <v/>
      </c>
      <c r="B9835">
        <f>TEST_DATA!B9835</f>
        <v/>
      </c>
      <c r="C9835">
        <f>TEST_DATA!C9835</f>
        <v/>
      </c>
      <c r="D9835">
        <f>TEST_DATA!D9835</f>
        <v/>
      </c>
      <c r="E9835">
        <f>TEST_DATA!E9835</f>
        <v/>
      </c>
    </row>
    <row r="9836">
      <c r="A9836">
        <f>TEST_DATA!A9836</f>
        <v/>
      </c>
      <c r="B9836">
        <f>TEST_DATA!B9836</f>
        <v/>
      </c>
      <c r="C9836">
        <f>TEST_DATA!C9836</f>
        <v/>
      </c>
      <c r="D9836">
        <f>TEST_DATA!D9836</f>
        <v/>
      </c>
      <c r="E9836">
        <f>TEST_DATA!E9836</f>
        <v/>
      </c>
    </row>
    <row r="9837">
      <c r="A9837">
        <f>TEST_DATA!A9837</f>
        <v/>
      </c>
      <c r="B9837">
        <f>TEST_DATA!B9837</f>
        <v/>
      </c>
      <c r="C9837">
        <f>TEST_DATA!C9837</f>
        <v/>
      </c>
      <c r="D9837">
        <f>TEST_DATA!D9837</f>
        <v/>
      </c>
      <c r="E9837">
        <f>TEST_DATA!E9837</f>
        <v/>
      </c>
    </row>
    <row r="9838">
      <c r="A9838">
        <f>TEST_DATA!A9838</f>
        <v/>
      </c>
      <c r="B9838">
        <f>TEST_DATA!B9838</f>
        <v/>
      </c>
      <c r="C9838">
        <f>TEST_DATA!C9838</f>
        <v/>
      </c>
      <c r="D9838">
        <f>TEST_DATA!D9838</f>
        <v/>
      </c>
      <c r="E9838">
        <f>TEST_DATA!E9838</f>
        <v/>
      </c>
    </row>
    <row r="9839">
      <c r="A9839">
        <f>TEST_DATA!A9839</f>
        <v/>
      </c>
      <c r="B9839">
        <f>TEST_DATA!B9839</f>
        <v/>
      </c>
      <c r="C9839">
        <f>TEST_DATA!C9839</f>
        <v/>
      </c>
      <c r="D9839">
        <f>TEST_DATA!D9839</f>
        <v/>
      </c>
      <c r="E9839">
        <f>TEST_DATA!E9839</f>
        <v/>
      </c>
    </row>
    <row r="9840">
      <c r="A9840">
        <f>TEST_DATA!A9840</f>
        <v/>
      </c>
      <c r="B9840">
        <f>TEST_DATA!B9840</f>
        <v/>
      </c>
      <c r="C9840">
        <f>TEST_DATA!C9840</f>
        <v/>
      </c>
      <c r="D9840">
        <f>TEST_DATA!D9840</f>
        <v/>
      </c>
      <c r="E9840">
        <f>TEST_DATA!E9840</f>
        <v/>
      </c>
    </row>
    <row r="9841">
      <c r="A9841">
        <f>TEST_DATA!A9841</f>
        <v/>
      </c>
      <c r="B9841">
        <f>TEST_DATA!B9841</f>
        <v/>
      </c>
      <c r="C9841">
        <f>TEST_DATA!C9841</f>
        <v/>
      </c>
      <c r="D9841">
        <f>TEST_DATA!D9841</f>
        <v/>
      </c>
      <c r="E9841">
        <f>TEST_DATA!E9841</f>
        <v/>
      </c>
    </row>
    <row r="9842">
      <c r="A9842">
        <f>TEST_DATA!A9842</f>
        <v/>
      </c>
      <c r="B9842">
        <f>TEST_DATA!B9842</f>
        <v/>
      </c>
      <c r="C9842">
        <f>TEST_DATA!C9842</f>
        <v/>
      </c>
      <c r="D9842">
        <f>TEST_DATA!D9842</f>
        <v/>
      </c>
      <c r="E9842">
        <f>TEST_DATA!E9842</f>
        <v/>
      </c>
    </row>
    <row r="9843">
      <c r="A9843">
        <f>TEST_DATA!A9843</f>
        <v/>
      </c>
      <c r="B9843">
        <f>TEST_DATA!B9843</f>
        <v/>
      </c>
      <c r="C9843">
        <f>TEST_DATA!C9843</f>
        <v/>
      </c>
      <c r="D9843">
        <f>TEST_DATA!D9843</f>
        <v/>
      </c>
      <c r="E9843">
        <f>TEST_DATA!E9843</f>
        <v/>
      </c>
    </row>
    <row r="9844">
      <c r="A9844">
        <f>TEST_DATA!A9844</f>
        <v/>
      </c>
      <c r="B9844">
        <f>TEST_DATA!B9844</f>
        <v/>
      </c>
      <c r="C9844">
        <f>TEST_DATA!C9844</f>
        <v/>
      </c>
      <c r="D9844">
        <f>TEST_DATA!D9844</f>
        <v/>
      </c>
      <c r="E9844">
        <f>TEST_DATA!E9844</f>
        <v/>
      </c>
    </row>
    <row r="9845">
      <c r="A9845">
        <f>TEST_DATA!A9845</f>
        <v/>
      </c>
      <c r="B9845">
        <f>TEST_DATA!B9845</f>
        <v/>
      </c>
      <c r="C9845">
        <f>TEST_DATA!C9845</f>
        <v/>
      </c>
      <c r="D9845">
        <f>TEST_DATA!D9845</f>
        <v/>
      </c>
      <c r="E9845">
        <f>TEST_DATA!E9845</f>
        <v/>
      </c>
    </row>
    <row r="9846">
      <c r="A9846">
        <f>TEST_DATA!A9846</f>
        <v/>
      </c>
      <c r="B9846">
        <f>TEST_DATA!B9846</f>
        <v/>
      </c>
      <c r="C9846">
        <f>TEST_DATA!C9846</f>
        <v/>
      </c>
      <c r="D9846">
        <f>TEST_DATA!D9846</f>
        <v/>
      </c>
      <c r="E9846">
        <f>TEST_DATA!E9846</f>
        <v/>
      </c>
    </row>
    <row r="9847">
      <c r="A9847">
        <f>TEST_DATA!A9847</f>
        <v/>
      </c>
      <c r="B9847">
        <f>TEST_DATA!B9847</f>
        <v/>
      </c>
      <c r="C9847">
        <f>TEST_DATA!C9847</f>
        <v/>
      </c>
      <c r="D9847">
        <f>TEST_DATA!D9847</f>
        <v/>
      </c>
      <c r="E9847">
        <f>TEST_DATA!E9847</f>
        <v/>
      </c>
    </row>
    <row r="9848">
      <c r="A9848">
        <f>TEST_DATA!A9848</f>
        <v/>
      </c>
      <c r="B9848">
        <f>TEST_DATA!B9848</f>
        <v/>
      </c>
      <c r="C9848">
        <f>TEST_DATA!C9848</f>
        <v/>
      </c>
      <c r="D9848">
        <f>TEST_DATA!D9848</f>
        <v/>
      </c>
      <c r="E9848">
        <f>TEST_DATA!E9848</f>
        <v/>
      </c>
    </row>
    <row r="9849">
      <c r="A9849">
        <f>TEST_DATA!A9849</f>
        <v/>
      </c>
      <c r="B9849">
        <f>TEST_DATA!B9849</f>
        <v/>
      </c>
      <c r="C9849">
        <f>TEST_DATA!C9849</f>
        <v/>
      </c>
      <c r="D9849">
        <f>TEST_DATA!D9849</f>
        <v/>
      </c>
      <c r="E9849">
        <f>TEST_DATA!E9849</f>
        <v/>
      </c>
    </row>
    <row r="9850">
      <c r="A9850">
        <f>TEST_DATA!A9850</f>
        <v/>
      </c>
      <c r="B9850">
        <f>TEST_DATA!B9850</f>
        <v/>
      </c>
      <c r="C9850">
        <f>TEST_DATA!C9850</f>
        <v/>
      </c>
      <c r="D9850">
        <f>TEST_DATA!D9850</f>
        <v/>
      </c>
      <c r="E9850">
        <f>TEST_DATA!E9850</f>
        <v/>
      </c>
    </row>
    <row r="9851">
      <c r="A9851">
        <f>TEST_DATA!A9851</f>
        <v/>
      </c>
      <c r="B9851">
        <f>TEST_DATA!B9851</f>
        <v/>
      </c>
      <c r="C9851">
        <f>TEST_DATA!C9851</f>
        <v/>
      </c>
      <c r="D9851">
        <f>TEST_DATA!D9851</f>
        <v/>
      </c>
      <c r="E9851">
        <f>TEST_DATA!E9851</f>
        <v/>
      </c>
    </row>
    <row r="9852">
      <c r="A9852">
        <f>TEST_DATA!A9852</f>
        <v/>
      </c>
      <c r="B9852">
        <f>TEST_DATA!B9852</f>
        <v/>
      </c>
      <c r="C9852">
        <f>TEST_DATA!C9852</f>
        <v/>
      </c>
      <c r="D9852">
        <f>TEST_DATA!D9852</f>
        <v/>
      </c>
      <c r="E9852">
        <f>TEST_DATA!E9852</f>
        <v/>
      </c>
    </row>
    <row r="9853">
      <c r="A9853">
        <f>TEST_DATA!A9853</f>
        <v/>
      </c>
      <c r="B9853">
        <f>TEST_DATA!B9853</f>
        <v/>
      </c>
      <c r="C9853">
        <f>TEST_DATA!C9853</f>
        <v/>
      </c>
      <c r="D9853">
        <f>TEST_DATA!D9853</f>
        <v/>
      </c>
      <c r="E9853">
        <f>TEST_DATA!E9853</f>
        <v/>
      </c>
    </row>
    <row r="9854">
      <c r="A9854">
        <f>TEST_DATA!A9854</f>
        <v/>
      </c>
      <c r="B9854">
        <f>TEST_DATA!B9854</f>
        <v/>
      </c>
      <c r="C9854">
        <f>TEST_DATA!C9854</f>
        <v/>
      </c>
      <c r="D9854">
        <f>TEST_DATA!D9854</f>
        <v/>
      </c>
      <c r="E9854">
        <f>TEST_DATA!E9854</f>
        <v/>
      </c>
    </row>
    <row r="9855">
      <c r="A9855">
        <f>TEST_DATA!A9855</f>
        <v/>
      </c>
      <c r="B9855">
        <f>TEST_DATA!B9855</f>
        <v/>
      </c>
      <c r="C9855">
        <f>TEST_DATA!C9855</f>
        <v/>
      </c>
      <c r="D9855">
        <f>TEST_DATA!D9855</f>
        <v/>
      </c>
      <c r="E9855">
        <f>TEST_DATA!E9855</f>
        <v/>
      </c>
    </row>
    <row r="9856">
      <c r="A9856">
        <f>TEST_DATA!A9856</f>
        <v/>
      </c>
      <c r="B9856">
        <f>TEST_DATA!B9856</f>
        <v/>
      </c>
      <c r="C9856">
        <f>TEST_DATA!C9856</f>
        <v/>
      </c>
      <c r="D9856">
        <f>TEST_DATA!D9856</f>
        <v/>
      </c>
      <c r="E9856">
        <f>TEST_DATA!E9856</f>
        <v/>
      </c>
    </row>
    <row r="9857">
      <c r="A9857">
        <f>TEST_DATA!A9857</f>
        <v/>
      </c>
      <c r="B9857">
        <f>TEST_DATA!B9857</f>
        <v/>
      </c>
      <c r="C9857">
        <f>TEST_DATA!C9857</f>
        <v/>
      </c>
      <c r="D9857">
        <f>TEST_DATA!D9857</f>
        <v/>
      </c>
      <c r="E9857">
        <f>TEST_DATA!E9857</f>
        <v/>
      </c>
    </row>
    <row r="9858">
      <c r="A9858">
        <f>TEST_DATA!A9858</f>
        <v/>
      </c>
      <c r="B9858">
        <f>TEST_DATA!B9858</f>
        <v/>
      </c>
      <c r="C9858">
        <f>TEST_DATA!C9858</f>
        <v/>
      </c>
      <c r="D9858">
        <f>TEST_DATA!D9858</f>
        <v/>
      </c>
      <c r="E9858">
        <f>TEST_DATA!E9858</f>
        <v/>
      </c>
    </row>
    <row r="9859">
      <c r="A9859">
        <f>TEST_DATA!A9859</f>
        <v/>
      </c>
      <c r="B9859">
        <f>TEST_DATA!B9859</f>
        <v/>
      </c>
      <c r="C9859">
        <f>TEST_DATA!C9859</f>
        <v/>
      </c>
      <c r="D9859">
        <f>TEST_DATA!D9859</f>
        <v/>
      </c>
      <c r="E9859">
        <f>TEST_DATA!E9859</f>
        <v/>
      </c>
    </row>
    <row r="9860">
      <c r="A9860">
        <f>TEST_DATA!A9860</f>
        <v/>
      </c>
      <c r="B9860">
        <f>TEST_DATA!B9860</f>
        <v/>
      </c>
      <c r="C9860">
        <f>TEST_DATA!C9860</f>
        <v/>
      </c>
      <c r="D9860">
        <f>TEST_DATA!D9860</f>
        <v/>
      </c>
      <c r="E9860">
        <f>TEST_DATA!E9860</f>
        <v/>
      </c>
    </row>
    <row r="9861">
      <c r="A9861">
        <f>TEST_DATA!A9861</f>
        <v/>
      </c>
      <c r="B9861">
        <f>TEST_DATA!B9861</f>
        <v/>
      </c>
      <c r="C9861">
        <f>TEST_DATA!C9861</f>
        <v/>
      </c>
      <c r="D9861">
        <f>TEST_DATA!D9861</f>
        <v/>
      </c>
      <c r="E9861">
        <f>TEST_DATA!E9861</f>
        <v/>
      </c>
    </row>
    <row r="9862">
      <c r="A9862">
        <f>TEST_DATA!A9862</f>
        <v/>
      </c>
      <c r="B9862">
        <f>TEST_DATA!B9862</f>
        <v/>
      </c>
      <c r="C9862">
        <f>TEST_DATA!C9862</f>
        <v/>
      </c>
      <c r="D9862">
        <f>TEST_DATA!D9862</f>
        <v/>
      </c>
      <c r="E9862">
        <f>TEST_DATA!E9862</f>
        <v/>
      </c>
    </row>
    <row r="9863">
      <c r="A9863">
        <f>TEST_DATA!A9863</f>
        <v/>
      </c>
      <c r="B9863">
        <f>TEST_DATA!B9863</f>
        <v/>
      </c>
      <c r="C9863">
        <f>TEST_DATA!C9863</f>
        <v/>
      </c>
      <c r="D9863">
        <f>TEST_DATA!D9863</f>
        <v/>
      </c>
      <c r="E9863">
        <f>TEST_DATA!E9863</f>
        <v/>
      </c>
    </row>
    <row r="9864">
      <c r="A9864">
        <f>TEST_DATA!A9864</f>
        <v/>
      </c>
      <c r="B9864">
        <f>TEST_DATA!B9864</f>
        <v/>
      </c>
      <c r="C9864">
        <f>TEST_DATA!C9864</f>
        <v/>
      </c>
      <c r="D9864">
        <f>TEST_DATA!D9864</f>
        <v/>
      </c>
      <c r="E9864">
        <f>TEST_DATA!E9864</f>
        <v/>
      </c>
    </row>
    <row r="9865">
      <c r="A9865">
        <f>TEST_DATA!A9865</f>
        <v/>
      </c>
      <c r="B9865">
        <f>TEST_DATA!B9865</f>
        <v/>
      </c>
      <c r="C9865">
        <f>TEST_DATA!C9865</f>
        <v/>
      </c>
      <c r="D9865">
        <f>TEST_DATA!D9865</f>
        <v/>
      </c>
      <c r="E9865">
        <f>TEST_DATA!E9865</f>
        <v/>
      </c>
    </row>
    <row r="9866">
      <c r="A9866">
        <f>TEST_DATA!A9866</f>
        <v/>
      </c>
      <c r="B9866">
        <f>TEST_DATA!B9866</f>
        <v/>
      </c>
      <c r="C9866">
        <f>TEST_DATA!C9866</f>
        <v/>
      </c>
      <c r="D9866">
        <f>TEST_DATA!D9866</f>
        <v/>
      </c>
      <c r="E9866">
        <f>TEST_DATA!E9866</f>
        <v/>
      </c>
    </row>
    <row r="9867">
      <c r="A9867">
        <f>TEST_DATA!A9867</f>
        <v/>
      </c>
      <c r="B9867">
        <f>TEST_DATA!B9867</f>
        <v/>
      </c>
      <c r="C9867">
        <f>TEST_DATA!C9867</f>
        <v/>
      </c>
      <c r="D9867">
        <f>TEST_DATA!D9867</f>
        <v/>
      </c>
      <c r="E9867">
        <f>TEST_DATA!E9867</f>
        <v/>
      </c>
    </row>
    <row r="9868">
      <c r="A9868">
        <f>TEST_DATA!A9868</f>
        <v/>
      </c>
      <c r="B9868">
        <f>TEST_DATA!B9868</f>
        <v/>
      </c>
      <c r="C9868">
        <f>TEST_DATA!C9868</f>
        <v/>
      </c>
      <c r="D9868">
        <f>TEST_DATA!D9868</f>
        <v/>
      </c>
      <c r="E9868">
        <f>TEST_DATA!E9868</f>
        <v/>
      </c>
    </row>
    <row r="9869">
      <c r="A9869">
        <f>TEST_DATA!A9869</f>
        <v/>
      </c>
      <c r="B9869">
        <f>TEST_DATA!B9869</f>
        <v/>
      </c>
      <c r="C9869">
        <f>TEST_DATA!C9869</f>
        <v/>
      </c>
      <c r="D9869">
        <f>TEST_DATA!D9869</f>
        <v/>
      </c>
      <c r="E9869">
        <f>TEST_DATA!E9869</f>
        <v/>
      </c>
    </row>
    <row r="9870">
      <c r="A9870">
        <f>TEST_DATA!A9870</f>
        <v/>
      </c>
      <c r="B9870">
        <f>TEST_DATA!B9870</f>
        <v/>
      </c>
      <c r="C9870">
        <f>TEST_DATA!C9870</f>
        <v/>
      </c>
      <c r="D9870">
        <f>TEST_DATA!D9870</f>
        <v/>
      </c>
      <c r="E9870">
        <f>TEST_DATA!E9870</f>
        <v/>
      </c>
    </row>
    <row r="9871">
      <c r="A9871">
        <f>TEST_DATA!A9871</f>
        <v/>
      </c>
      <c r="B9871">
        <f>TEST_DATA!B9871</f>
        <v/>
      </c>
      <c r="C9871">
        <f>TEST_DATA!C9871</f>
        <v/>
      </c>
      <c r="D9871">
        <f>TEST_DATA!D9871</f>
        <v/>
      </c>
      <c r="E9871">
        <f>TEST_DATA!E9871</f>
        <v/>
      </c>
    </row>
    <row r="9872">
      <c r="A9872">
        <f>TEST_DATA!A9872</f>
        <v/>
      </c>
      <c r="B9872">
        <f>TEST_DATA!B9872</f>
        <v/>
      </c>
      <c r="C9872">
        <f>TEST_DATA!C9872</f>
        <v/>
      </c>
      <c r="D9872">
        <f>TEST_DATA!D9872</f>
        <v/>
      </c>
      <c r="E9872">
        <f>TEST_DATA!E9872</f>
        <v/>
      </c>
    </row>
    <row r="9873">
      <c r="A9873">
        <f>TEST_DATA!A9873</f>
        <v/>
      </c>
      <c r="B9873">
        <f>TEST_DATA!B9873</f>
        <v/>
      </c>
      <c r="C9873">
        <f>TEST_DATA!C9873</f>
        <v/>
      </c>
      <c r="D9873">
        <f>TEST_DATA!D9873</f>
        <v/>
      </c>
      <c r="E9873">
        <f>TEST_DATA!E9873</f>
        <v/>
      </c>
    </row>
    <row r="9874">
      <c r="A9874">
        <f>TEST_DATA!A9874</f>
        <v/>
      </c>
      <c r="B9874">
        <f>TEST_DATA!B9874</f>
        <v/>
      </c>
      <c r="C9874">
        <f>TEST_DATA!C9874</f>
        <v/>
      </c>
      <c r="D9874">
        <f>TEST_DATA!D9874</f>
        <v/>
      </c>
      <c r="E9874">
        <f>TEST_DATA!E9874</f>
        <v/>
      </c>
    </row>
    <row r="9875">
      <c r="A9875">
        <f>TEST_DATA!A9875</f>
        <v/>
      </c>
      <c r="B9875">
        <f>TEST_DATA!B9875</f>
        <v/>
      </c>
      <c r="C9875">
        <f>TEST_DATA!C9875</f>
        <v/>
      </c>
      <c r="D9875">
        <f>TEST_DATA!D9875</f>
        <v/>
      </c>
      <c r="E9875">
        <f>TEST_DATA!E9875</f>
        <v/>
      </c>
    </row>
    <row r="9876">
      <c r="A9876">
        <f>TEST_DATA!A9876</f>
        <v/>
      </c>
      <c r="B9876">
        <f>TEST_DATA!B9876</f>
        <v/>
      </c>
      <c r="C9876">
        <f>TEST_DATA!C9876</f>
        <v/>
      </c>
      <c r="D9876">
        <f>TEST_DATA!D9876</f>
        <v/>
      </c>
      <c r="E9876">
        <f>TEST_DATA!E9876</f>
        <v/>
      </c>
    </row>
    <row r="9877">
      <c r="A9877">
        <f>TEST_DATA!A9877</f>
        <v/>
      </c>
      <c r="B9877">
        <f>TEST_DATA!B9877</f>
        <v/>
      </c>
      <c r="C9877">
        <f>TEST_DATA!C9877</f>
        <v/>
      </c>
      <c r="D9877">
        <f>TEST_DATA!D9877</f>
        <v/>
      </c>
      <c r="E9877">
        <f>TEST_DATA!E9877</f>
        <v/>
      </c>
    </row>
    <row r="9878">
      <c r="A9878">
        <f>TEST_DATA!A9878</f>
        <v/>
      </c>
      <c r="B9878">
        <f>TEST_DATA!B9878</f>
        <v/>
      </c>
      <c r="C9878">
        <f>TEST_DATA!C9878</f>
        <v/>
      </c>
      <c r="D9878">
        <f>TEST_DATA!D9878</f>
        <v/>
      </c>
      <c r="E9878">
        <f>TEST_DATA!E9878</f>
        <v/>
      </c>
    </row>
    <row r="9879">
      <c r="A9879">
        <f>TEST_DATA!A9879</f>
        <v/>
      </c>
      <c r="B9879">
        <f>TEST_DATA!B9879</f>
        <v/>
      </c>
      <c r="C9879">
        <f>TEST_DATA!C9879</f>
        <v/>
      </c>
      <c r="D9879">
        <f>TEST_DATA!D9879</f>
        <v/>
      </c>
      <c r="E9879">
        <f>TEST_DATA!E9879</f>
        <v/>
      </c>
    </row>
    <row r="9880">
      <c r="A9880">
        <f>TEST_DATA!A9880</f>
        <v/>
      </c>
      <c r="B9880">
        <f>TEST_DATA!B9880</f>
        <v/>
      </c>
      <c r="C9880">
        <f>TEST_DATA!C9880</f>
        <v/>
      </c>
      <c r="D9880">
        <f>TEST_DATA!D9880</f>
        <v/>
      </c>
      <c r="E9880">
        <f>TEST_DATA!E9880</f>
        <v/>
      </c>
    </row>
    <row r="9881">
      <c r="A9881">
        <f>TEST_DATA!A9881</f>
        <v/>
      </c>
      <c r="B9881">
        <f>TEST_DATA!B9881</f>
        <v/>
      </c>
      <c r="C9881">
        <f>TEST_DATA!C9881</f>
        <v/>
      </c>
      <c r="D9881">
        <f>TEST_DATA!D9881</f>
        <v/>
      </c>
      <c r="E9881">
        <f>TEST_DATA!E9881</f>
        <v/>
      </c>
    </row>
    <row r="9882">
      <c r="A9882">
        <f>TEST_DATA!A9882</f>
        <v/>
      </c>
      <c r="B9882">
        <f>TEST_DATA!B9882</f>
        <v/>
      </c>
      <c r="C9882">
        <f>TEST_DATA!C9882</f>
        <v/>
      </c>
      <c r="D9882">
        <f>TEST_DATA!D9882</f>
        <v/>
      </c>
      <c r="E9882">
        <f>TEST_DATA!E9882</f>
        <v/>
      </c>
    </row>
    <row r="9883">
      <c r="A9883">
        <f>TEST_DATA!A9883</f>
        <v/>
      </c>
      <c r="B9883">
        <f>TEST_DATA!B9883</f>
        <v/>
      </c>
      <c r="C9883">
        <f>TEST_DATA!C9883</f>
        <v/>
      </c>
      <c r="D9883">
        <f>TEST_DATA!D9883</f>
        <v/>
      </c>
      <c r="E9883">
        <f>TEST_DATA!E9883</f>
        <v/>
      </c>
    </row>
    <row r="9884">
      <c r="A9884">
        <f>TEST_DATA!A9884</f>
        <v/>
      </c>
      <c r="B9884">
        <f>TEST_DATA!B9884</f>
        <v/>
      </c>
      <c r="C9884">
        <f>TEST_DATA!C9884</f>
        <v/>
      </c>
      <c r="D9884">
        <f>TEST_DATA!D9884</f>
        <v/>
      </c>
      <c r="E9884">
        <f>TEST_DATA!E9884</f>
        <v/>
      </c>
    </row>
    <row r="9885">
      <c r="A9885">
        <f>TEST_DATA!A9885</f>
        <v/>
      </c>
      <c r="B9885">
        <f>TEST_DATA!B9885</f>
        <v/>
      </c>
      <c r="C9885">
        <f>TEST_DATA!C9885</f>
        <v/>
      </c>
      <c r="D9885">
        <f>TEST_DATA!D9885</f>
        <v/>
      </c>
      <c r="E9885">
        <f>TEST_DATA!E9885</f>
        <v/>
      </c>
    </row>
    <row r="9886">
      <c r="A9886">
        <f>TEST_DATA!A9886</f>
        <v/>
      </c>
      <c r="B9886">
        <f>TEST_DATA!B9886</f>
        <v/>
      </c>
      <c r="C9886">
        <f>TEST_DATA!C9886</f>
        <v/>
      </c>
      <c r="D9886">
        <f>TEST_DATA!D9886</f>
        <v/>
      </c>
      <c r="E9886">
        <f>TEST_DATA!E9886</f>
        <v/>
      </c>
    </row>
    <row r="9887">
      <c r="A9887">
        <f>TEST_DATA!A9887</f>
        <v/>
      </c>
      <c r="B9887">
        <f>TEST_DATA!B9887</f>
        <v/>
      </c>
      <c r="C9887">
        <f>TEST_DATA!C9887</f>
        <v/>
      </c>
      <c r="D9887">
        <f>TEST_DATA!D9887</f>
        <v/>
      </c>
      <c r="E9887">
        <f>TEST_DATA!E9887</f>
        <v/>
      </c>
    </row>
    <row r="9888">
      <c r="A9888">
        <f>TEST_DATA!A9888</f>
        <v/>
      </c>
      <c r="B9888">
        <f>TEST_DATA!B9888</f>
        <v/>
      </c>
      <c r="C9888">
        <f>TEST_DATA!C9888</f>
        <v/>
      </c>
      <c r="D9888">
        <f>TEST_DATA!D9888</f>
        <v/>
      </c>
      <c r="E9888">
        <f>TEST_DATA!E9888</f>
        <v/>
      </c>
    </row>
    <row r="9889">
      <c r="A9889">
        <f>TEST_DATA!A9889</f>
        <v/>
      </c>
      <c r="B9889">
        <f>TEST_DATA!B9889</f>
        <v/>
      </c>
      <c r="C9889">
        <f>TEST_DATA!C9889</f>
        <v/>
      </c>
      <c r="D9889">
        <f>TEST_DATA!D9889</f>
        <v/>
      </c>
      <c r="E9889">
        <f>TEST_DATA!E9889</f>
        <v/>
      </c>
    </row>
    <row r="9890">
      <c r="A9890">
        <f>TEST_DATA!A9890</f>
        <v/>
      </c>
      <c r="B9890">
        <f>TEST_DATA!B9890</f>
        <v/>
      </c>
      <c r="C9890">
        <f>TEST_DATA!C9890</f>
        <v/>
      </c>
      <c r="D9890">
        <f>TEST_DATA!D9890</f>
        <v/>
      </c>
      <c r="E9890">
        <f>TEST_DATA!E9890</f>
        <v/>
      </c>
    </row>
    <row r="9891">
      <c r="A9891">
        <f>TEST_DATA!A9891</f>
        <v/>
      </c>
      <c r="B9891">
        <f>TEST_DATA!B9891</f>
        <v/>
      </c>
      <c r="C9891">
        <f>TEST_DATA!C9891</f>
        <v/>
      </c>
      <c r="D9891">
        <f>TEST_DATA!D9891</f>
        <v/>
      </c>
      <c r="E9891">
        <f>TEST_DATA!E9891</f>
        <v/>
      </c>
    </row>
    <row r="9892">
      <c r="A9892">
        <f>TEST_DATA!A9892</f>
        <v/>
      </c>
      <c r="B9892">
        <f>TEST_DATA!B9892</f>
        <v/>
      </c>
      <c r="C9892">
        <f>TEST_DATA!C9892</f>
        <v/>
      </c>
      <c r="D9892">
        <f>TEST_DATA!D9892</f>
        <v/>
      </c>
      <c r="E9892">
        <f>TEST_DATA!E9892</f>
        <v/>
      </c>
    </row>
    <row r="9893">
      <c r="A9893">
        <f>TEST_DATA!A9893</f>
        <v/>
      </c>
      <c r="B9893">
        <f>TEST_DATA!B9893</f>
        <v/>
      </c>
      <c r="C9893">
        <f>TEST_DATA!C9893</f>
        <v/>
      </c>
      <c r="D9893">
        <f>TEST_DATA!D9893</f>
        <v/>
      </c>
      <c r="E9893">
        <f>TEST_DATA!E9893</f>
        <v/>
      </c>
    </row>
    <row r="9894">
      <c r="A9894">
        <f>TEST_DATA!A9894</f>
        <v/>
      </c>
      <c r="B9894">
        <f>TEST_DATA!B9894</f>
        <v/>
      </c>
      <c r="C9894">
        <f>TEST_DATA!C9894</f>
        <v/>
      </c>
      <c r="D9894">
        <f>TEST_DATA!D9894</f>
        <v/>
      </c>
      <c r="E9894">
        <f>TEST_DATA!E9894</f>
        <v/>
      </c>
    </row>
    <row r="9895">
      <c r="A9895">
        <f>TEST_DATA!A9895</f>
        <v/>
      </c>
      <c r="B9895">
        <f>TEST_DATA!B9895</f>
        <v/>
      </c>
      <c r="C9895">
        <f>TEST_DATA!C9895</f>
        <v/>
      </c>
      <c r="D9895">
        <f>TEST_DATA!D9895</f>
        <v/>
      </c>
      <c r="E9895">
        <f>TEST_DATA!E9895</f>
        <v/>
      </c>
    </row>
    <row r="9896">
      <c r="A9896">
        <f>TEST_DATA!A9896</f>
        <v/>
      </c>
      <c r="B9896">
        <f>TEST_DATA!B9896</f>
        <v/>
      </c>
      <c r="C9896">
        <f>TEST_DATA!C9896</f>
        <v/>
      </c>
      <c r="D9896">
        <f>TEST_DATA!D9896</f>
        <v/>
      </c>
      <c r="E9896">
        <f>TEST_DATA!E9896</f>
        <v/>
      </c>
    </row>
    <row r="9897">
      <c r="A9897">
        <f>TEST_DATA!A9897</f>
        <v/>
      </c>
      <c r="B9897">
        <f>TEST_DATA!B9897</f>
        <v/>
      </c>
      <c r="C9897">
        <f>TEST_DATA!C9897</f>
        <v/>
      </c>
      <c r="D9897">
        <f>TEST_DATA!D9897</f>
        <v/>
      </c>
      <c r="E9897">
        <f>TEST_DATA!E9897</f>
        <v/>
      </c>
    </row>
    <row r="9898">
      <c r="A9898">
        <f>TEST_DATA!A9898</f>
        <v/>
      </c>
      <c r="B9898">
        <f>TEST_DATA!B9898</f>
        <v/>
      </c>
      <c r="C9898">
        <f>TEST_DATA!C9898</f>
        <v/>
      </c>
      <c r="D9898">
        <f>TEST_DATA!D9898</f>
        <v/>
      </c>
      <c r="E9898">
        <f>TEST_DATA!E9898</f>
        <v/>
      </c>
    </row>
    <row r="9899">
      <c r="A9899">
        <f>TEST_DATA!A9899</f>
        <v/>
      </c>
      <c r="B9899">
        <f>TEST_DATA!B9899</f>
        <v/>
      </c>
      <c r="C9899">
        <f>TEST_DATA!C9899</f>
        <v/>
      </c>
      <c r="D9899">
        <f>TEST_DATA!D9899</f>
        <v/>
      </c>
      <c r="E9899">
        <f>TEST_DATA!E9899</f>
        <v/>
      </c>
    </row>
    <row r="9900">
      <c r="A9900">
        <f>TEST_DATA!A9900</f>
        <v/>
      </c>
      <c r="B9900">
        <f>TEST_DATA!B9900</f>
        <v/>
      </c>
      <c r="C9900">
        <f>TEST_DATA!C9900</f>
        <v/>
      </c>
      <c r="D9900">
        <f>TEST_DATA!D9900</f>
        <v/>
      </c>
      <c r="E9900">
        <f>TEST_DATA!E9900</f>
        <v/>
      </c>
    </row>
    <row r="9901">
      <c r="A9901">
        <f>TEST_DATA!A9901</f>
        <v/>
      </c>
      <c r="B9901">
        <f>TEST_DATA!B9901</f>
        <v/>
      </c>
      <c r="C9901">
        <f>TEST_DATA!C9901</f>
        <v/>
      </c>
      <c r="D9901">
        <f>TEST_DATA!D9901</f>
        <v/>
      </c>
      <c r="E9901">
        <f>TEST_DATA!E9901</f>
        <v/>
      </c>
    </row>
    <row r="9902">
      <c r="A9902">
        <f>TEST_DATA!A9902</f>
        <v/>
      </c>
      <c r="B9902">
        <f>TEST_DATA!B9902</f>
        <v/>
      </c>
      <c r="C9902">
        <f>TEST_DATA!C9902</f>
        <v/>
      </c>
      <c r="D9902">
        <f>TEST_DATA!D9902</f>
        <v/>
      </c>
      <c r="E9902">
        <f>TEST_DATA!E9902</f>
        <v/>
      </c>
    </row>
    <row r="9903">
      <c r="A9903">
        <f>TEST_DATA!A9903</f>
        <v/>
      </c>
      <c r="B9903">
        <f>TEST_DATA!B9903</f>
        <v/>
      </c>
      <c r="C9903">
        <f>TEST_DATA!C9903</f>
        <v/>
      </c>
      <c r="D9903">
        <f>TEST_DATA!D9903</f>
        <v/>
      </c>
      <c r="E9903">
        <f>TEST_DATA!E9903</f>
        <v/>
      </c>
    </row>
    <row r="9904">
      <c r="A9904">
        <f>TEST_DATA!A9904</f>
        <v/>
      </c>
      <c r="B9904">
        <f>TEST_DATA!B9904</f>
        <v/>
      </c>
      <c r="C9904">
        <f>TEST_DATA!C9904</f>
        <v/>
      </c>
      <c r="D9904">
        <f>TEST_DATA!D9904</f>
        <v/>
      </c>
      <c r="E9904">
        <f>TEST_DATA!E9904</f>
        <v/>
      </c>
    </row>
    <row r="9905">
      <c r="A9905">
        <f>TEST_DATA!A9905</f>
        <v/>
      </c>
      <c r="B9905">
        <f>TEST_DATA!B9905</f>
        <v/>
      </c>
      <c r="C9905">
        <f>TEST_DATA!C9905</f>
        <v/>
      </c>
      <c r="D9905">
        <f>TEST_DATA!D9905</f>
        <v/>
      </c>
      <c r="E9905">
        <f>TEST_DATA!E9905</f>
        <v/>
      </c>
    </row>
    <row r="9906">
      <c r="A9906">
        <f>TEST_DATA!A9906</f>
        <v/>
      </c>
      <c r="B9906">
        <f>TEST_DATA!B9906</f>
        <v/>
      </c>
      <c r="C9906">
        <f>TEST_DATA!C9906</f>
        <v/>
      </c>
      <c r="D9906">
        <f>TEST_DATA!D9906</f>
        <v/>
      </c>
      <c r="E9906">
        <f>TEST_DATA!E9906</f>
        <v/>
      </c>
    </row>
    <row r="9907">
      <c r="A9907">
        <f>TEST_DATA!A9907</f>
        <v/>
      </c>
      <c r="B9907">
        <f>TEST_DATA!B9907</f>
        <v/>
      </c>
      <c r="C9907">
        <f>TEST_DATA!C9907</f>
        <v/>
      </c>
      <c r="D9907">
        <f>TEST_DATA!D9907</f>
        <v/>
      </c>
      <c r="E9907">
        <f>TEST_DATA!E9907</f>
        <v/>
      </c>
    </row>
    <row r="9908">
      <c r="A9908">
        <f>TEST_DATA!A9908</f>
        <v/>
      </c>
      <c r="B9908">
        <f>TEST_DATA!B9908</f>
        <v/>
      </c>
      <c r="C9908">
        <f>TEST_DATA!C9908</f>
        <v/>
      </c>
      <c r="D9908">
        <f>TEST_DATA!D9908</f>
        <v/>
      </c>
      <c r="E9908">
        <f>TEST_DATA!E9908</f>
        <v/>
      </c>
    </row>
    <row r="9909">
      <c r="A9909">
        <f>TEST_DATA!A9909</f>
        <v/>
      </c>
      <c r="B9909">
        <f>TEST_DATA!B9909</f>
        <v/>
      </c>
      <c r="C9909">
        <f>TEST_DATA!C9909</f>
        <v/>
      </c>
      <c r="D9909">
        <f>TEST_DATA!D9909</f>
        <v/>
      </c>
      <c r="E9909">
        <f>TEST_DATA!E9909</f>
        <v/>
      </c>
    </row>
    <row r="9910">
      <c r="A9910">
        <f>TEST_DATA!A9910</f>
        <v/>
      </c>
      <c r="B9910">
        <f>TEST_DATA!B9910</f>
        <v/>
      </c>
      <c r="C9910">
        <f>TEST_DATA!C9910</f>
        <v/>
      </c>
      <c r="D9910">
        <f>TEST_DATA!D9910</f>
        <v/>
      </c>
      <c r="E9910">
        <f>TEST_DATA!E9910</f>
        <v/>
      </c>
    </row>
    <row r="9911">
      <c r="A9911">
        <f>TEST_DATA!A9911</f>
        <v/>
      </c>
      <c r="B9911">
        <f>TEST_DATA!B9911</f>
        <v/>
      </c>
      <c r="C9911">
        <f>TEST_DATA!C9911</f>
        <v/>
      </c>
      <c r="D9911">
        <f>TEST_DATA!D9911</f>
        <v/>
      </c>
      <c r="E9911">
        <f>TEST_DATA!E9911</f>
        <v/>
      </c>
    </row>
    <row r="9912">
      <c r="A9912">
        <f>TEST_DATA!A9912</f>
        <v/>
      </c>
      <c r="B9912">
        <f>TEST_DATA!B9912</f>
        <v/>
      </c>
      <c r="C9912">
        <f>TEST_DATA!C9912</f>
        <v/>
      </c>
      <c r="D9912">
        <f>TEST_DATA!D9912</f>
        <v/>
      </c>
      <c r="E9912">
        <f>TEST_DATA!E9912</f>
        <v/>
      </c>
    </row>
    <row r="9913">
      <c r="A9913">
        <f>TEST_DATA!A9913</f>
        <v/>
      </c>
      <c r="B9913">
        <f>TEST_DATA!B9913</f>
        <v/>
      </c>
      <c r="C9913">
        <f>TEST_DATA!C9913</f>
        <v/>
      </c>
      <c r="D9913">
        <f>TEST_DATA!D9913</f>
        <v/>
      </c>
      <c r="E9913">
        <f>TEST_DATA!E9913</f>
        <v/>
      </c>
    </row>
    <row r="9914">
      <c r="A9914">
        <f>TEST_DATA!A9914</f>
        <v/>
      </c>
      <c r="B9914">
        <f>TEST_DATA!B9914</f>
        <v/>
      </c>
      <c r="C9914">
        <f>TEST_DATA!C9914</f>
        <v/>
      </c>
      <c r="D9914">
        <f>TEST_DATA!D9914</f>
        <v/>
      </c>
      <c r="E9914">
        <f>TEST_DATA!E9914</f>
        <v/>
      </c>
    </row>
    <row r="9915">
      <c r="A9915">
        <f>TEST_DATA!A9915</f>
        <v/>
      </c>
      <c r="B9915">
        <f>TEST_DATA!B9915</f>
        <v/>
      </c>
      <c r="C9915">
        <f>TEST_DATA!C9915</f>
        <v/>
      </c>
      <c r="D9915">
        <f>TEST_DATA!D9915</f>
        <v/>
      </c>
      <c r="E9915">
        <f>TEST_DATA!E9915</f>
        <v/>
      </c>
    </row>
    <row r="9916">
      <c r="A9916">
        <f>TEST_DATA!A9916</f>
        <v/>
      </c>
      <c r="B9916">
        <f>TEST_DATA!B9916</f>
        <v/>
      </c>
      <c r="C9916">
        <f>TEST_DATA!C9916</f>
        <v/>
      </c>
      <c r="D9916">
        <f>TEST_DATA!D9916</f>
        <v/>
      </c>
      <c r="E9916">
        <f>TEST_DATA!E9916</f>
        <v/>
      </c>
    </row>
    <row r="9917">
      <c r="A9917">
        <f>TEST_DATA!A9917</f>
        <v/>
      </c>
      <c r="B9917">
        <f>TEST_DATA!B9917</f>
        <v/>
      </c>
      <c r="C9917">
        <f>TEST_DATA!C9917</f>
        <v/>
      </c>
      <c r="D9917">
        <f>TEST_DATA!D9917</f>
        <v/>
      </c>
      <c r="E9917">
        <f>TEST_DATA!E9917</f>
        <v/>
      </c>
    </row>
    <row r="9918">
      <c r="A9918">
        <f>TEST_DATA!A9918</f>
        <v/>
      </c>
      <c r="B9918">
        <f>TEST_DATA!B9918</f>
        <v/>
      </c>
      <c r="C9918">
        <f>TEST_DATA!C9918</f>
        <v/>
      </c>
      <c r="D9918">
        <f>TEST_DATA!D9918</f>
        <v/>
      </c>
      <c r="E9918">
        <f>TEST_DATA!E9918</f>
        <v/>
      </c>
    </row>
    <row r="9919">
      <c r="A9919">
        <f>TEST_DATA!A9919</f>
        <v/>
      </c>
      <c r="B9919">
        <f>TEST_DATA!B9919</f>
        <v/>
      </c>
      <c r="C9919">
        <f>TEST_DATA!C9919</f>
        <v/>
      </c>
      <c r="D9919">
        <f>TEST_DATA!D9919</f>
        <v/>
      </c>
      <c r="E9919">
        <f>TEST_DATA!E9919</f>
        <v/>
      </c>
    </row>
    <row r="9920">
      <c r="A9920">
        <f>TEST_DATA!A9920</f>
        <v/>
      </c>
      <c r="B9920">
        <f>TEST_DATA!B9920</f>
        <v/>
      </c>
      <c r="C9920">
        <f>TEST_DATA!C9920</f>
        <v/>
      </c>
      <c r="D9920">
        <f>TEST_DATA!D9920</f>
        <v/>
      </c>
      <c r="E9920">
        <f>TEST_DATA!E9920</f>
        <v/>
      </c>
    </row>
    <row r="9921">
      <c r="A9921">
        <f>TEST_DATA!A9921</f>
        <v/>
      </c>
      <c r="B9921">
        <f>TEST_DATA!B9921</f>
        <v/>
      </c>
      <c r="C9921">
        <f>TEST_DATA!C9921</f>
        <v/>
      </c>
      <c r="D9921">
        <f>TEST_DATA!D9921</f>
        <v/>
      </c>
      <c r="E9921">
        <f>TEST_DATA!E9921</f>
        <v/>
      </c>
    </row>
    <row r="9922">
      <c r="A9922">
        <f>TEST_DATA!A9922</f>
        <v/>
      </c>
      <c r="B9922">
        <f>TEST_DATA!B9922</f>
        <v/>
      </c>
      <c r="C9922">
        <f>TEST_DATA!C9922</f>
        <v/>
      </c>
      <c r="D9922">
        <f>TEST_DATA!D9922</f>
        <v/>
      </c>
      <c r="E9922">
        <f>TEST_DATA!E9922</f>
        <v/>
      </c>
    </row>
    <row r="9923">
      <c r="A9923">
        <f>TEST_DATA!A9923</f>
        <v/>
      </c>
      <c r="B9923">
        <f>TEST_DATA!B9923</f>
        <v/>
      </c>
      <c r="C9923">
        <f>TEST_DATA!C9923</f>
        <v/>
      </c>
      <c r="D9923">
        <f>TEST_DATA!D9923</f>
        <v/>
      </c>
      <c r="E9923">
        <f>TEST_DATA!E9923</f>
        <v/>
      </c>
    </row>
    <row r="9924">
      <c r="A9924">
        <f>TEST_DATA!A9924</f>
        <v/>
      </c>
      <c r="B9924">
        <f>TEST_DATA!B9924</f>
        <v/>
      </c>
      <c r="C9924">
        <f>TEST_DATA!C9924</f>
        <v/>
      </c>
      <c r="D9924">
        <f>TEST_DATA!D9924</f>
        <v/>
      </c>
      <c r="E9924">
        <f>TEST_DATA!E9924</f>
        <v/>
      </c>
    </row>
    <row r="9925">
      <c r="A9925">
        <f>TEST_DATA!A9925</f>
        <v/>
      </c>
      <c r="B9925">
        <f>TEST_DATA!B9925</f>
        <v/>
      </c>
      <c r="C9925">
        <f>TEST_DATA!C9925</f>
        <v/>
      </c>
      <c r="D9925">
        <f>TEST_DATA!D9925</f>
        <v/>
      </c>
      <c r="E9925">
        <f>TEST_DATA!E9925</f>
        <v/>
      </c>
    </row>
    <row r="9926">
      <c r="A9926">
        <f>TEST_DATA!A9926</f>
        <v/>
      </c>
      <c r="B9926">
        <f>TEST_DATA!B9926</f>
        <v/>
      </c>
      <c r="C9926">
        <f>TEST_DATA!C9926</f>
        <v/>
      </c>
      <c r="D9926">
        <f>TEST_DATA!D9926</f>
        <v/>
      </c>
      <c r="E9926">
        <f>TEST_DATA!E9926</f>
        <v/>
      </c>
    </row>
    <row r="9927">
      <c r="A9927">
        <f>TEST_DATA!A9927</f>
        <v/>
      </c>
      <c r="B9927">
        <f>TEST_DATA!B9927</f>
        <v/>
      </c>
      <c r="C9927">
        <f>TEST_DATA!C9927</f>
        <v/>
      </c>
      <c r="D9927">
        <f>TEST_DATA!D9927</f>
        <v/>
      </c>
      <c r="E9927">
        <f>TEST_DATA!E9927</f>
        <v/>
      </c>
    </row>
    <row r="9928">
      <c r="A9928">
        <f>TEST_DATA!A9928</f>
        <v/>
      </c>
      <c r="B9928">
        <f>TEST_DATA!B9928</f>
        <v/>
      </c>
      <c r="C9928">
        <f>TEST_DATA!C9928</f>
        <v/>
      </c>
      <c r="D9928">
        <f>TEST_DATA!D9928</f>
        <v/>
      </c>
      <c r="E9928">
        <f>TEST_DATA!E9928</f>
        <v/>
      </c>
    </row>
    <row r="9929">
      <c r="A9929">
        <f>TEST_DATA!A9929</f>
        <v/>
      </c>
      <c r="B9929">
        <f>TEST_DATA!B9929</f>
        <v/>
      </c>
      <c r="C9929">
        <f>TEST_DATA!C9929</f>
        <v/>
      </c>
      <c r="D9929">
        <f>TEST_DATA!D9929</f>
        <v/>
      </c>
      <c r="E9929">
        <f>TEST_DATA!E9929</f>
        <v/>
      </c>
    </row>
    <row r="9930">
      <c r="A9930">
        <f>TEST_DATA!A9930</f>
        <v/>
      </c>
      <c r="B9930">
        <f>TEST_DATA!B9930</f>
        <v/>
      </c>
      <c r="C9930">
        <f>TEST_DATA!C9930</f>
        <v/>
      </c>
      <c r="D9930">
        <f>TEST_DATA!D9930</f>
        <v/>
      </c>
      <c r="E9930">
        <f>TEST_DATA!E9930</f>
        <v/>
      </c>
    </row>
    <row r="9931">
      <c r="A9931">
        <f>TEST_DATA!A9931</f>
        <v/>
      </c>
      <c r="B9931">
        <f>TEST_DATA!B9931</f>
        <v/>
      </c>
      <c r="C9931">
        <f>TEST_DATA!C9931</f>
        <v/>
      </c>
      <c r="D9931">
        <f>TEST_DATA!D9931</f>
        <v/>
      </c>
      <c r="E9931">
        <f>TEST_DATA!E9931</f>
        <v/>
      </c>
    </row>
    <row r="9932">
      <c r="A9932">
        <f>TEST_DATA!A9932</f>
        <v/>
      </c>
      <c r="B9932">
        <f>TEST_DATA!B9932</f>
        <v/>
      </c>
      <c r="C9932">
        <f>TEST_DATA!C9932</f>
        <v/>
      </c>
      <c r="D9932">
        <f>TEST_DATA!D9932</f>
        <v/>
      </c>
      <c r="E9932">
        <f>TEST_DATA!E9932</f>
        <v/>
      </c>
    </row>
    <row r="9933">
      <c r="A9933">
        <f>TEST_DATA!A9933</f>
        <v/>
      </c>
      <c r="B9933">
        <f>TEST_DATA!B9933</f>
        <v/>
      </c>
      <c r="C9933">
        <f>TEST_DATA!C9933</f>
        <v/>
      </c>
      <c r="D9933">
        <f>TEST_DATA!D9933</f>
        <v/>
      </c>
      <c r="E9933">
        <f>TEST_DATA!E9933</f>
        <v/>
      </c>
    </row>
    <row r="9934">
      <c r="A9934">
        <f>TEST_DATA!A9934</f>
        <v/>
      </c>
      <c r="B9934">
        <f>TEST_DATA!B9934</f>
        <v/>
      </c>
      <c r="C9934">
        <f>TEST_DATA!C9934</f>
        <v/>
      </c>
      <c r="D9934">
        <f>TEST_DATA!D9934</f>
        <v/>
      </c>
      <c r="E9934">
        <f>TEST_DATA!E9934</f>
        <v/>
      </c>
    </row>
    <row r="9935">
      <c r="A9935">
        <f>TEST_DATA!A9935</f>
        <v/>
      </c>
      <c r="B9935">
        <f>TEST_DATA!B9935</f>
        <v/>
      </c>
      <c r="C9935">
        <f>TEST_DATA!C9935</f>
        <v/>
      </c>
      <c r="D9935">
        <f>TEST_DATA!D9935</f>
        <v/>
      </c>
      <c r="E9935">
        <f>TEST_DATA!E9935</f>
        <v/>
      </c>
    </row>
    <row r="9936">
      <c r="A9936">
        <f>TEST_DATA!A9936</f>
        <v/>
      </c>
      <c r="B9936">
        <f>TEST_DATA!B9936</f>
        <v/>
      </c>
      <c r="C9936">
        <f>TEST_DATA!C9936</f>
        <v/>
      </c>
      <c r="D9936">
        <f>TEST_DATA!D9936</f>
        <v/>
      </c>
      <c r="E9936">
        <f>TEST_DATA!E9936</f>
        <v/>
      </c>
    </row>
    <row r="9937">
      <c r="A9937">
        <f>TEST_DATA!A9937</f>
        <v/>
      </c>
      <c r="B9937">
        <f>TEST_DATA!B9937</f>
        <v/>
      </c>
      <c r="C9937">
        <f>TEST_DATA!C9937</f>
        <v/>
      </c>
      <c r="D9937">
        <f>TEST_DATA!D9937</f>
        <v/>
      </c>
      <c r="E9937">
        <f>TEST_DATA!E9937</f>
        <v/>
      </c>
    </row>
    <row r="9938">
      <c r="A9938">
        <f>TEST_DATA!A9938</f>
        <v/>
      </c>
      <c r="B9938">
        <f>TEST_DATA!B9938</f>
        <v/>
      </c>
      <c r="C9938">
        <f>TEST_DATA!C9938</f>
        <v/>
      </c>
      <c r="D9938">
        <f>TEST_DATA!D9938</f>
        <v/>
      </c>
      <c r="E9938">
        <f>TEST_DATA!E9938</f>
        <v/>
      </c>
    </row>
    <row r="9939">
      <c r="A9939">
        <f>TEST_DATA!A9939</f>
        <v/>
      </c>
      <c r="B9939">
        <f>TEST_DATA!B9939</f>
        <v/>
      </c>
      <c r="C9939">
        <f>TEST_DATA!C9939</f>
        <v/>
      </c>
      <c r="D9939">
        <f>TEST_DATA!D9939</f>
        <v/>
      </c>
      <c r="E9939">
        <f>TEST_DATA!E9939</f>
        <v/>
      </c>
    </row>
    <row r="9940">
      <c r="A9940">
        <f>TEST_DATA!A9940</f>
        <v/>
      </c>
      <c r="B9940">
        <f>TEST_DATA!B9940</f>
        <v/>
      </c>
      <c r="C9940">
        <f>TEST_DATA!C9940</f>
        <v/>
      </c>
      <c r="D9940">
        <f>TEST_DATA!D9940</f>
        <v/>
      </c>
      <c r="E9940">
        <f>TEST_DATA!E9940</f>
        <v/>
      </c>
    </row>
    <row r="9941">
      <c r="A9941">
        <f>TEST_DATA!A9941</f>
        <v/>
      </c>
      <c r="B9941">
        <f>TEST_DATA!B9941</f>
        <v/>
      </c>
      <c r="C9941">
        <f>TEST_DATA!C9941</f>
        <v/>
      </c>
      <c r="D9941">
        <f>TEST_DATA!D9941</f>
        <v/>
      </c>
      <c r="E9941">
        <f>TEST_DATA!E9941</f>
        <v/>
      </c>
    </row>
    <row r="9942">
      <c r="A9942">
        <f>TEST_DATA!A9942</f>
        <v/>
      </c>
      <c r="B9942">
        <f>TEST_DATA!B9942</f>
        <v/>
      </c>
      <c r="C9942">
        <f>TEST_DATA!C9942</f>
        <v/>
      </c>
      <c r="D9942">
        <f>TEST_DATA!D9942</f>
        <v/>
      </c>
      <c r="E9942">
        <f>TEST_DATA!E9942</f>
        <v/>
      </c>
    </row>
    <row r="9943">
      <c r="A9943">
        <f>TEST_DATA!A9943</f>
        <v/>
      </c>
      <c r="B9943">
        <f>TEST_DATA!B9943</f>
        <v/>
      </c>
      <c r="C9943">
        <f>TEST_DATA!C9943</f>
        <v/>
      </c>
      <c r="D9943">
        <f>TEST_DATA!D9943</f>
        <v/>
      </c>
      <c r="E9943">
        <f>TEST_DATA!E9943</f>
        <v/>
      </c>
    </row>
    <row r="9944">
      <c r="A9944">
        <f>TEST_DATA!A9944</f>
        <v/>
      </c>
      <c r="B9944">
        <f>TEST_DATA!B9944</f>
        <v/>
      </c>
      <c r="C9944">
        <f>TEST_DATA!C9944</f>
        <v/>
      </c>
      <c r="D9944">
        <f>TEST_DATA!D9944</f>
        <v/>
      </c>
      <c r="E9944">
        <f>TEST_DATA!E9944</f>
        <v/>
      </c>
    </row>
    <row r="9945">
      <c r="A9945">
        <f>TEST_DATA!A9945</f>
        <v/>
      </c>
      <c r="B9945">
        <f>TEST_DATA!B9945</f>
        <v/>
      </c>
      <c r="C9945">
        <f>TEST_DATA!C9945</f>
        <v/>
      </c>
      <c r="D9945">
        <f>TEST_DATA!D9945</f>
        <v/>
      </c>
      <c r="E9945">
        <f>TEST_DATA!E9945</f>
        <v/>
      </c>
    </row>
    <row r="9946">
      <c r="A9946">
        <f>TEST_DATA!A9946</f>
        <v/>
      </c>
      <c r="B9946">
        <f>TEST_DATA!B9946</f>
        <v/>
      </c>
      <c r="C9946">
        <f>TEST_DATA!C9946</f>
        <v/>
      </c>
      <c r="D9946">
        <f>TEST_DATA!D9946</f>
        <v/>
      </c>
      <c r="E9946">
        <f>TEST_DATA!E9946</f>
        <v/>
      </c>
    </row>
    <row r="9947">
      <c r="A9947">
        <f>TEST_DATA!A9947</f>
        <v/>
      </c>
      <c r="B9947">
        <f>TEST_DATA!B9947</f>
        <v/>
      </c>
      <c r="C9947">
        <f>TEST_DATA!C9947</f>
        <v/>
      </c>
      <c r="D9947">
        <f>TEST_DATA!D9947</f>
        <v/>
      </c>
      <c r="E9947">
        <f>TEST_DATA!E9947</f>
        <v/>
      </c>
    </row>
    <row r="9948">
      <c r="A9948">
        <f>TEST_DATA!A9948</f>
        <v/>
      </c>
      <c r="B9948">
        <f>TEST_DATA!B9948</f>
        <v/>
      </c>
      <c r="C9948">
        <f>TEST_DATA!C9948</f>
        <v/>
      </c>
      <c r="D9948">
        <f>TEST_DATA!D9948</f>
        <v/>
      </c>
      <c r="E9948">
        <f>TEST_DATA!E9948</f>
        <v/>
      </c>
    </row>
    <row r="9949">
      <c r="A9949">
        <f>TEST_DATA!A9949</f>
        <v/>
      </c>
      <c r="B9949">
        <f>TEST_DATA!B9949</f>
        <v/>
      </c>
      <c r="C9949">
        <f>TEST_DATA!C9949</f>
        <v/>
      </c>
      <c r="D9949">
        <f>TEST_DATA!D9949</f>
        <v/>
      </c>
      <c r="E9949">
        <f>TEST_DATA!E9949</f>
        <v/>
      </c>
    </row>
    <row r="9950">
      <c r="A9950">
        <f>TEST_DATA!A9950</f>
        <v/>
      </c>
      <c r="B9950">
        <f>TEST_DATA!B9950</f>
        <v/>
      </c>
      <c r="C9950">
        <f>TEST_DATA!C9950</f>
        <v/>
      </c>
      <c r="D9950">
        <f>TEST_DATA!D9950</f>
        <v/>
      </c>
      <c r="E9950">
        <f>TEST_DATA!E9950</f>
        <v/>
      </c>
    </row>
    <row r="9951">
      <c r="A9951">
        <f>TEST_DATA!A9951</f>
        <v/>
      </c>
      <c r="B9951">
        <f>TEST_DATA!B9951</f>
        <v/>
      </c>
      <c r="C9951">
        <f>TEST_DATA!C9951</f>
        <v/>
      </c>
      <c r="D9951">
        <f>TEST_DATA!D9951</f>
        <v/>
      </c>
      <c r="E9951">
        <f>TEST_DATA!E9951</f>
        <v/>
      </c>
    </row>
    <row r="9952">
      <c r="A9952">
        <f>TEST_DATA!A9952</f>
        <v/>
      </c>
      <c r="B9952">
        <f>TEST_DATA!B9952</f>
        <v/>
      </c>
      <c r="C9952">
        <f>TEST_DATA!C9952</f>
        <v/>
      </c>
      <c r="D9952">
        <f>TEST_DATA!D9952</f>
        <v/>
      </c>
      <c r="E9952">
        <f>TEST_DATA!E9952</f>
        <v/>
      </c>
    </row>
    <row r="9953">
      <c r="A9953">
        <f>TEST_DATA!A9953</f>
        <v/>
      </c>
      <c r="B9953">
        <f>TEST_DATA!B9953</f>
        <v/>
      </c>
      <c r="C9953">
        <f>TEST_DATA!C9953</f>
        <v/>
      </c>
      <c r="D9953">
        <f>TEST_DATA!D9953</f>
        <v/>
      </c>
      <c r="E9953">
        <f>TEST_DATA!E9953</f>
        <v/>
      </c>
    </row>
    <row r="9954">
      <c r="A9954">
        <f>TEST_DATA!A9954</f>
        <v/>
      </c>
      <c r="B9954">
        <f>TEST_DATA!B9954</f>
        <v/>
      </c>
      <c r="C9954">
        <f>TEST_DATA!C9954</f>
        <v/>
      </c>
      <c r="D9954">
        <f>TEST_DATA!D9954</f>
        <v/>
      </c>
      <c r="E9954">
        <f>TEST_DATA!E9954</f>
        <v/>
      </c>
    </row>
    <row r="9955">
      <c r="A9955">
        <f>TEST_DATA!A9955</f>
        <v/>
      </c>
      <c r="B9955">
        <f>TEST_DATA!B9955</f>
        <v/>
      </c>
      <c r="C9955">
        <f>TEST_DATA!C9955</f>
        <v/>
      </c>
      <c r="D9955">
        <f>TEST_DATA!D9955</f>
        <v/>
      </c>
      <c r="E9955">
        <f>TEST_DATA!E9955</f>
        <v/>
      </c>
    </row>
    <row r="9956">
      <c r="A9956">
        <f>TEST_DATA!A9956</f>
        <v/>
      </c>
      <c r="B9956">
        <f>TEST_DATA!B9956</f>
        <v/>
      </c>
      <c r="C9956">
        <f>TEST_DATA!C9956</f>
        <v/>
      </c>
      <c r="D9956">
        <f>TEST_DATA!D9956</f>
        <v/>
      </c>
      <c r="E9956">
        <f>TEST_DATA!E9956</f>
        <v/>
      </c>
    </row>
    <row r="9957">
      <c r="A9957">
        <f>TEST_DATA!A9957</f>
        <v/>
      </c>
      <c r="B9957">
        <f>TEST_DATA!B9957</f>
        <v/>
      </c>
      <c r="C9957">
        <f>TEST_DATA!C9957</f>
        <v/>
      </c>
      <c r="D9957">
        <f>TEST_DATA!D9957</f>
        <v/>
      </c>
      <c r="E9957">
        <f>TEST_DATA!E9957</f>
        <v/>
      </c>
    </row>
    <row r="9958">
      <c r="A9958">
        <f>TEST_DATA!A9958</f>
        <v/>
      </c>
      <c r="B9958">
        <f>TEST_DATA!B9958</f>
        <v/>
      </c>
      <c r="C9958">
        <f>TEST_DATA!C9958</f>
        <v/>
      </c>
      <c r="D9958">
        <f>TEST_DATA!D9958</f>
        <v/>
      </c>
      <c r="E9958">
        <f>TEST_DATA!E9958</f>
        <v/>
      </c>
    </row>
    <row r="9959">
      <c r="A9959">
        <f>TEST_DATA!A9959</f>
        <v/>
      </c>
      <c r="B9959">
        <f>TEST_DATA!B9959</f>
        <v/>
      </c>
      <c r="C9959">
        <f>TEST_DATA!C9959</f>
        <v/>
      </c>
      <c r="D9959">
        <f>TEST_DATA!D9959</f>
        <v/>
      </c>
      <c r="E9959">
        <f>TEST_DATA!E9959</f>
        <v/>
      </c>
    </row>
    <row r="9960">
      <c r="A9960">
        <f>TEST_DATA!A9960</f>
        <v/>
      </c>
      <c r="B9960">
        <f>TEST_DATA!B9960</f>
        <v/>
      </c>
      <c r="C9960">
        <f>TEST_DATA!C9960</f>
        <v/>
      </c>
      <c r="D9960">
        <f>TEST_DATA!D9960</f>
        <v/>
      </c>
      <c r="E9960">
        <f>TEST_DATA!E9960</f>
        <v/>
      </c>
    </row>
    <row r="9961">
      <c r="A9961">
        <f>TEST_DATA!A9961</f>
        <v/>
      </c>
      <c r="B9961">
        <f>TEST_DATA!B9961</f>
        <v/>
      </c>
      <c r="C9961">
        <f>TEST_DATA!C9961</f>
        <v/>
      </c>
      <c r="D9961">
        <f>TEST_DATA!D9961</f>
        <v/>
      </c>
      <c r="E9961">
        <f>TEST_DATA!E9961</f>
        <v/>
      </c>
    </row>
    <row r="9962">
      <c r="A9962">
        <f>TEST_DATA!A9962</f>
        <v/>
      </c>
      <c r="B9962">
        <f>TEST_DATA!B9962</f>
        <v/>
      </c>
      <c r="C9962">
        <f>TEST_DATA!C9962</f>
        <v/>
      </c>
      <c r="D9962">
        <f>TEST_DATA!D9962</f>
        <v/>
      </c>
      <c r="E9962">
        <f>TEST_DATA!E9962</f>
        <v/>
      </c>
    </row>
    <row r="9963">
      <c r="A9963">
        <f>TEST_DATA!A9963</f>
        <v/>
      </c>
      <c r="B9963">
        <f>TEST_DATA!B9963</f>
        <v/>
      </c>
      <c r="C9963">
        <f>TEST_DATA!C9963</f>
        <v/>
      </c>
      <c r="D9963">
        <f>TEST_DATA!D9963</f>
        <v/>
      </c>
      <c r="E9963">
        <f>TEST_DATA!E9963</f>
        <v/>
      </c>
    </row>
    <row r="9964">
      <c r="A9964">
        <f>TEST_DATA!A9964</f>
        <v/>
      </c>
      <c r="B9964">
        <f>TEST_DATA!B9964</f>
        <v/>
      </c>
      <c r="C9964">
        <f>TEST_DATA!C9964</f>
        <v/>
      </c>
      <c r="D9964">
        <f>TEST_DATA!D9964</f>
        <v/>
      </c>
      <c r="E9964">
        <f>TEST_DATA!E9964</f>
        <v/>
      </c>
    </row>
    <row r="9965">
      <c r="A9965">
        <f>TEST_DATA!A9965</f>
        <v/>
      </c>
      <c r="B9965">
        <f>TEST_DATA!B9965</f>
        <v/>
      </c>
      <c r="C9965">
        <f>TEST_DATA!C9965</f>
        <v/>
      </c>
      <c r="D9965">
        <f>TEST_DATA!D9965</f>
        <v/>
      </c>
      <c r="E9965">
        <f>TEST_DATA!E9965</f>
        <v/>
      </c>
    </row>
    <row r="9966">
      <c r="A9966">
        <f>TEST_DATA!A9966</f>
        <v/>
      </c>
      <c r="B9966">
        <f>TEST_DATA!B9966</f>
        <v/>
      </c>
      <c r="C9966">
        <f>TEST_DATA!C9966</f>
        <v/>
      </c>
      <c r="D9966">
        <f>TEST_DATA!D9966</f>
        <v/>
      </c>
      <c r="E9966">
        <f>TEST_DATA!E9966</f>
        <v/>
      </c>
    </row>
    <row r="9967">
      <c r="A9967">
        <f>TEST_DATA!A9967</f>
        <v/>
      </c>
      <c r="B9967">
        <f>TEST_DATA!B9967</f>
        <v/>
      </c>
      <c r="C9967">
        <f>TEST_DATA!C9967</f>
        <v/>
      </c>
      <c r="D9967">
        <f>TEST_DATA!D9967</f>
        <v/>
      </c>
      <c r="E9967">
        <f>TEST_DATA!E9967</f>
        <v/>
      </c>
    </row>
    <row r="9968">
      <c r="A9968">
        <f>TEST_DATA!A9968</f>
        <v/>
      </c>
      <c r="B9968">
        <f>TEST_DATA!B9968</f>
        <v/>
      </c>
      <c r="C9968">
        <f>TEST_DATA!C9968</f>
        <v/>
      </c>
      <c r="D9968">
        <f>TEST_DATA!D9968</f>
        <v/>
      </c>
      <c r="E9968">
        <f>TEST_DATA!E9968</f>
        <v/>
      </c>
    </row>
    <row r="9969">
      <c r="A9969">
        <f>TEST_DATA!A9969</f>
        <v/>
      </c>
      <c r="B9969">
        <f>TEST_DATA!B9969</f>
        <v/>
      </c>
      <c r="C9969">
        <f>TEST_DATA!C9969</f>
        <v/>
      </c>
      <c r="D9969">
        <f>TEST_DATA!D9969</f>
        <v/>
      </c>
      <c r="E9969">
        <f>TEST_DATA!E9969</f>
        <v/>
      </c>
    </row>
    <row r="9970">
      <c r="A9970">
        <f>TEST_DATA!A9970</f>
        <v/>
      </c>
      <c r="B9970">
        <f>TEST_DATA!B9970</f>
        <v/>
      </c>
      <c r="C9970">
        <f>TEST_DATA!C9970</f>
        <v/>
      </c>
      <c r="D9970">
        <f>TEST_DATA!D9970</f>
        <v/>
      </c>
      <c r="E9970">
        <f>TEST_DATA!E9970</f>
        <v/>
      </c>
    </row>
    <row r="9971">
      <c r="A9971">
        <f>TEST_DATA!A9971</f>
        <v/>
      </c>
      <c r="B9971">
        <f>TEST_DATA!B9971</f>
        <v/>
      </c>
      <c r="C9971">
        <f>TEST_DATA!C9971</f>
        <v/>
      </c>
      <c r="D9971">
        <f>TEST_DATA!D9971</f>
        <v/>
      </c>
      <c r="E9971">
        <f>TEST_DATA!E9971</f>
        <v/>
      </c>
    </row>
    <row r="9972">
      <c r="A9972">
        <f>TEST_DATA!A9972</f>
        <v/>
      </c>
      <c r="B9972">
        <f>TEST_DATA!B9972</f>
        <v/>
      </c>
      <c r="C9972">
        <f>TEST_DATA!C9972</f>
        <v/>
      </c>
      <c r="D9972">
        <f>TEST_DATA!D9972</f>
        <v/>
      </c>
      <c r="E9972">
        <f>TEST_DATA!E9972</f>
        <v/>
      </c>
    </row>
    <row r="9973">
      <c r="A9973">
        <f>TEST_DATA!A9973</f>
        <v/>
      </c>
      <c r="B9973">
        <f>TEST_DATA!B9973</f>
        <v/>
      </c>
      <c r="C9973">
        <f>TEST_DATA!C9973</f>
        <v/>
      </c>
      <c r="D9973">
        <f>TEST_DATA!D9973</f>
        <v/>
      </c>
      <c r="E9973">
        <f>TEST_DATA!E9973</f>
        <v/>
      </c>
    </row>
    <row r="9974">
      <c r="A9974">
        <f>TEST_DATA!A9974</f>
        <v/>
      </c>
      <c r="B9974">
        <f>TEST_DATA!B9974</f>
        <v/>
      </c>
      <c r="C9974">
        <f>TEST_DATA!C9974</f>
        <v/>
      </c>
      <c r="D9974">
        <f>TEST_DATA!D9974</f>
        <v/>
      </c>
      <c r="E9974">
        <f>TEST_DATA!E9974</f>
        <v/>
      </c>
    </row>
    <row r="9975">
      <c r="A9975">
        <f>TEST_DATA!A9975</f>
        <v/>
      </c>
      <c r="B9975">
        <f>TEST_DATA!B9975</f>
        <v/>
      </c>
      <c r="C9975">
        <f>TEST_DATA!C9975</f>
        <v/>
      </c>
      <c r="D9975">
        <f>TEST_DATA!D9975</f>
        <v/>
      </c>
      <c r="E9975">
        <f>TEST_DATA!E9975</f>
        <v/>
      </c>
    </row>
    <row r="9976">
      <c r="A9976">
        <f>TEST_DATA!A9976</f>
        <v/>
      </c>
      <c r="B9976">
        <f>TEST_DATA!B9976</f>
        <v/>
      </c>
      <c r="C9976">
        <f>TEST_DATA!C9976</f>
        <v/>
      </c>
      <c r="D9976">
        <f>TEST_DATA!D9976</f>
        <v/>
      </c>
      <c r="E9976">
        <f>TEST_DATA!E9976</f>
        <v/>
      </c>
    </row>
    <row r="9977">
      <c r="A9977">
        <f>TEST_DATA!A9977</f>
        <v/>
      </c>
      <c r="B9977">
        <f>TEST_DATA!B9977</f>
        <v/>
      </c>
      <c r="C9977">
        <f>TEST_DATA!C9977</f>
        <v/>
      </c>
      <c r="D9977">
        <f>TEST_DATA!D9977</f>
        <v/>
      </c>
      <c r="E9977">
        <f>TEST_DATA!E9977</f>
        <v/>
      </c>
    </row>
    <row r="9978">
      <c r="A9978">
        <f>TEST_DATA!A9978</f>
        <v/>
      </c>
      <c r="B9978">
        <f>TEST_DATA!B9978</f>
        <v/>
      </c>
      <c r="C9978">
        <f>TEST_DATA!C9978</f>
        <v/>
      </c>
      <c r="D9978">
        <f>TEST_DATA!D9978</f>
        <v/>
      </c>
      <c r="E9978">
        <f>TEST_DATA!E9978</f>
        <v/>
      </c>
    </row>
    <row r="9979">
      <c r="A9979">
        <f>TEST_DATA!A9979</f>
        <v/>
      </c>
      <c r="B9979">
        <f>TEST_DATA!B9979</f>
        <v/>
      </c>
      <c r="C9979">
        <f>TEST_DATA!C9979</f>
        <v/>
      </c>
      <c r="D9979">
        <f>TEST_DATA!D9979</f>
        <v/>
      </c>
      <c r="E9979">
        <f>TEST_DATA!E9979</f>
        <v/>
      </c>
    </row>
    <row r="9980">
      <c r="A9980">
        <f>TEST_DATA!A9980</f>
        <v/>
      </c>
      <c r="B9980">
        <f>TEST_DATA!B9980</f>
        <v/>
      </c>
      <c r="C9980">
        <f>TEST_DATA!C9980</f>
        <v/>
      </c>
      <c r="D9980">
        <f>TEST_DATA!D9980</f>
        <v/>
      </c>
      <c r="E9980">
        <f>TEST_DATA!E9980</f>
        <v/>
      </c>
    </row>
    <row r="9981">
      <c r="A9981">
        <f>TEST_DATA!A9981</f>
        <v/>
      </c>
      <c r="B9981">
        <f>TEST_DATA!B9981</f>
        <v/>
      </c>
      <c r="C9981">
        <f>TEST_DATA!C9981</f>
        <v/>
      </c>
      <c r="D9981">
        <f>TEST_DATA!D9981</f>
        <v/>
      </c>
      <c r="E9981">
        <f>TEST_DATA!E9981</f>
        <v/>
      </c>
    </row>
    <row r="9982">
      <c r="A9982">
        <f>TEST_DATA!A9982</f>
        <v/>
      </c>
      <c r="B9982">
        <f>TEST_DATA!B9982</f>
        <v/>
      </c>
      <c r="C9982">
        <f>TEST_DATA!C9982</f>
        <v/>
      </c>
      <c r="D9982">
        <f>TEST_DATA!D9982</f>
        <v/>
      </c>
      <c r="E9982">
        <f>TEST_DATA!E9982</f>
        <v/>
      </c>
    </row>
    <row r="9983">
      <c r="A9983">
        <f>TEST_DATA!A9983</f>
        <v/>
      </c>
      <c r="B9983">
        <f>TEST_DATA!B9983</f>
        <v/>
      </c>
      <c r="C9983">
        <f>TEST_DATA!C9983</f>
        <v/>
      </c>
      <c r="D9983">
        <f>TEST_DATA!D9983</f>
        <v/>
      </c>
      <c r="E9983">
        <f>TEST_DATA!E9983</f>
        <v/>
      </c>
    </row>
    <row r="9984">
      <c r="A9984">
        <f>TEST_DATA!A9984</f>
        <v/>
      </c>
      <c r="B9984">
        <f>TEST_DATA!B9984</f>
        <v/>
      </c>
      <c r="C9984">
        <f>TEST_DATA!C9984</f>
        <v/>
      </c>
      <c r="D9984">
        <f>TEST_DATA!D9984</f>
        <v/>
      </c>
      <c r="E9984">
        <f>TEST_DATA!E9984</f>
        <v/>
      </c>
    </row>
    <row r="9985">
      <c r="A9985">
        <f>TEST_DATA!A9985</f>
        <v/>
      </c>
      <c r="B9985">
        <f>TEST_DATA!B9985</f>
        <v/>
      </c>
      <c r="C9985">
        <f>TEST_DATA!C9985</f>
        <v/>
      </c>
      <c r="D9985">
        <f>TEST_DATA!D9985</f>
        <v/>
      </c>
      <c r="E9985">
        <f>TEST_DATA!E9985</f>
        <v/>
      </c>
    </row>
    <row r="9986">
      <c r="A9986">
        <f>TEST_DATA!A9986</f>
        <v/>
      </c>
      <c r="B9986">
        <f>TEST_DATA!B9986</f>
        <v/>
      </c>
      <c r="C9986">
        <f>TEST_DATA!C9986</f>
        <v/>
      </c>
      <c r="D9986">
        <f>TEST_DATA!D9986</f>
        <v/>
      </c>
      <c r="E9986">
        <f>TEST_DATA!E9986</f>
        <v/>
      </c>
    </row>
    <row r="9987">
      <c r="A9987">
        <f>TEST_DATA!A9987</f>
        <v/>
      </c>
      <c r="B9987">
        <f>TEST_DATA!B9987</f>
        <v/>
      </c>
      <c r="C9987">
        <f>TEST_DATA!C9987</f>
        <v/>
      </c>
      <c r="D9987">
        <f>TEST_DATA!D9987</f>
        <v/>
      </c>
      <c r="E9987">
        <f>TEST_DATA!E9987</f>
        <v/>
      </c>
    </row>
    <row r="9988">
      <c r="A9988">
        <f>TEST_DATA!A9988</f>
        <v/>
      </c>
      <c r="B9988">
        <f>TEST_DATA!B9988</f>
        <v/>
      </c>
      <c r="C9988">
        <f>TEST_DATA!C9988</f>
        <v/>
      </c>
      <c r="D9988">
        <f>TEST_DATA!D9988</f>
        <v/>
      </c>
      <c r="E9988">
        <f>TEST_DATA!E9988</f>
        <v/>
      </c>
    </row>
    <row r="9989">
      <c r="A9989">
        <f>TEST_DATA!A9989</f>
        <v/>
      </c>
      <c r="B9989">
        <f>TEST_DATA!B9989</f>
        <v/>
      </c>
      <c r="C9989">
        <f>TEST_DATA!C9989</f>
        <v/>
      </c>
      <c r="D9989">
        <f>TEST_DATA!D9989</f>
        <v/>
      </c>
      <c r="E9989">
        <f>TEST_DATA!E9989</f>
        <v/>
      </c>
    </row>
    <row r="9990">
      <c r="A9990">
        <f>TEST_DATA!A9990</f>
        <v/>
      </c>
      <c r="B9990">
        <f>TEST_DATA!B9990</f>
        <v/>
      </c>
      <c r="C9990">
        <f>TEST_DATA!C9990</f>
        <v/>
      </c>
      <c r="D9990">
        <f>TEST_DATA!D9990</f>
        <v/>
      </c>
      <c r="E9990">
        <f>TEST_DATA!E9990</f>
        <v/>
      </c>
    </row>
    <row r="9991">
      <c r="A9991">
        <f>TEST_DATA!A9991</f>
        <v/>
      </c>
      <c r="B9991">
        <f>TEST_DATA!B9991</f>
        <v/>
      </c>
      <c r="C9991">
        <f>TEST_DATA!C9991</f>
        <v/>
      </c>
      <c r="D9991">
        <f>TEST_DATA!D9991</f>
        <v/>
      </c>
      <c r="E9991">
        <f>TEST_DATA!E9991</f>
        <v/>
      </c>
    </row>
    <row r="9992">
      <c r="A9992">
        <f>TEST_DATA!A9992</f>
        <v/>
      </c>
      <c r="B9992">
        <f>TEST_DATA!B9992</f>
        <v/>
      </c>
      <c r="C9992">
        <f>TEST_DATA!C9992</f>
        <v/>
      </c>
      <c r="D9992">
        <f>TEST_DATA!D9992</f>
        <v/>
      </c>
      <c r="E9992">
        <f>TEST_DATA!E9992</f>
        <v/>
      </c>
    </row>
    <row r="9993">
      <c r="A9993">
        <f>TEST_DATA!A9993</f>
        <v/>
      </c>
      <c r="B9993">
        <f>TEST_DATA!B9993</f>
        <v/>
      </c>
      <c r="C9993">
        <f>TEST_DATA!C9993</f>
        <v/>
      </c>
      <c r="D9993">
        <f>TEST_DATA!D9993</f>
        <v/>
      </c>
      <c r="E9993">
        <f>TEST_DATA!E9993</f>
        <v/>
      </c>
    </row>
    <row r="9994">
      <c r="A9994">
        <f>TEST_DATA!A9994</f>
        <v/>
      </c>
      <c r="B9994">
        <f>TEST_DATA!B9994</f>
        <v/>
      </c>
      <c r="C9994">
        <f>TEST_DATA!C9994</f>
        <v/>
      </c>
      <c r="D9994">
        <f>TEST_DATA!D9994</f>
        <v/>
      </c>
      <c r="E9994">
        <f>TEST_DATA!E9994</f>
        <v/>
      </c>
    </row>
    <row r="9995">
      <c r="A9995">
        <f>TEST_DATA!A9995</f>
        <v/>
      </c>
      <c r="B9995">
        <f>TEST_DATA!B9995</f>
        <v/>
      </c>
      <c r="C9995">
        <f>TEST_DATA!C9995</f>
        <v/>
      </c>
      <c r="D9995">
        <f>TEST_DATA!D9995</f>
        <v/>
      </c>
      <c r="E9995">
        <f>TEST_DATA!E9995</f>
        <v/>
      </c>
    </row>
    <row r="9996">
      <c r="A9996">
        <f>TEST_DATA!A9996</f>
        <v/>
      </c>
      <c r="B9996">
        <f>TEST_DATA!B9996</f>
        <v/>
      </c>
      <c r="C9996">
        <f>TEST_DATA!C9996</f>
        <v/>
      </c>
      <c r="D9996">
        <f>TEST_DATA!D9996</f>
        <v/>
      </c>
      <c r="E9996">
        <f>TEST_DATA!E9996</f>
        <v/>
      </c>
    </row>
    <row r="9997">
      <c r="A9997">
        <f>TEST_DATA!A9997</f>
        <v/>
      </c>
      <c r="B9997">
        <f>TEST_DATA!B9997</f>
        <v/>
      </c>
      <c r="C9997">
        <f>TEST_DATA!C9997</f>
        <v/>
      </c>
      <c r="D9997">
        <f>TEST_DATA!D9997</f>
        <v/>
      </c>
      <c r="E9997">
        <f>TEST_DATA!E9997</f>
        <v/>
      </c>
    </row>
    <row r="9998">
      <c r="A9998">
        <f>TEST_DATA!A9998</f>
        <v/>
      </c>
      <c r="B9998">
        <f>TEST_DATA!B9998</f>
        <v/>
      </c>
      <c r="C9998">
        <f>TEST_DATA!C9998</f>
        <v/>
      </c>
      <c r="D9998">
        <f>TEST_DATA!D9998</f>
        <v/>
      </c>
      <c r="E9998">
        <f>TEST_DATA!E9998</f>
        <v/>
      </c>
    </row>
    <row r="9999">
      <c r="A9999">
        <f>TEST_DATA!A9999</f>
        <v/>
      </c>
      <c r="B9999">
        <f>TEST_DATA!B9999</f>
        <v/>
      </c>
      <c r="C9999">
        <f>TEST_DATA!C9999</f>
        <v/>
      </c>
      <c r="D9999">
        <f>TEST_DATA!D9999</f>
        <v/>
      </c>
      <c r="E9999">
        <f>TEST_DATA!E9999</f>
        <v/>
      </c>
    </row>
    <row r="10000">
      <c r="A10000">
        <f>TEST_DATA!A10000</f>
        <v/>
      </c>
      <c r="B10000">
        <f>TEST_DATA!B10000</f>
        <v/>
      </c>
      <c r="C10000">
        <f>TEST_DATA!C10000</f>
        <v/>
      </c>
      <c r="D10000">
        <f>TEST_DATA!D10000</f>
        <v/>
      </c>
      <c r="E10000">
        <f>TEST_DATA!E10000</f>
        <v/>
      </c>
    </row>
    <row r="10001">
      <c r="A10001">
        <f>TEST_DATA!A10001</f>
        <v/>
      </c>
      <c r="B10001">
        <f>TEST_DATA!B10001</f>
        <v/>
      </c>
      <c r="C10001">
        <f>TEST_DATA!C10001</f>
        <v/>
      </c>
      <c r="D10001">
        <f>TEST_DATA!D10001</f>
        <v/>
      </c>
      <c r="E10001">
        <f>TEST_DATA!E10001</f>
        <v/>
      </c>
    </row>
    <row r="10002">
      <c r="A10002">
        <f>TEST_DATA!A10002</f>
        <v/>
      </c>
      <c r="B10002">
        <f>TEST_DATA!B10002</f>
        <v/>
      </c>
      <c r="C10002">
        <f>TEST_DATA!C10002</f>
        <v/>
      </c>
      <c r="D10002">
        <f>TEST_DATA!D10002</f>
        <v/>
      </c>
      <c r="E10002">
        <f>TEST_DATA!E10002</f>
        <v/>
      </c>
    </row>
    <row r="10003">
      <c r="A10003">
        <f>TEST_DATA!A10003</f>
        <v/>
      </c>
      <c r="B10003">
        <f>TEST_DATA!B10003</f>
        <v/>
      </c>
      <c r="C10003">
        <f>TEST_DATA!C10003</f>
        <v/>
      </c>
      <c r="D10003">
        <f>TEST_DATA!D10003</f>
        <v/>
      </c>
      <c r="E10003">
        <f>TEST_DATA!E10003</f>
        <v/>
      </c>
    </row>
    <row r="10004">
      <c r="A10004">
        <f>TEST_DATA!A10004</f>
        <v/>
      </c>
      <c r="B10004">
        <f>TEST_DATA!B10004</f>
        <v/>
      </c>
      <c r="C10004">
        <f>TEST_DATA!C10004</f>
        <v/>
      </c>
      <c r="D10004">
        <f>TEST_DATA!D10004</f>
        <v/>
      </c>
      <c r="E10004">
        <f>TEST_DATA!E10004</f>
        <v/>
      </c>
    </row>
    <row r="10005">
      <c r="A10005">
        <f>TEST_DATA!A10005</f>
        <v/>
      </c>
      <c r="B10005">
        <f>TEST_DATA!B10005</f>
        <v/>
      </c>
      <c r="C10005">
        <f>TEST_DATA!C10005</f>
        <v/>
      </c>
      <c r="D10005">
        <f>TEST_DATA!D10005</f>
        <v/>
      </c>
      <c r="E10005">
        <f>TEST_DATA!E10005</f>
        <v/>
      </c>
    </row>
    <row r="10006">
      <c r="A10006">
        <f>TEST_DATA!A10006</f>
        <v/>
      </c>
      <c r="B10006">
        <f>TEST_DATA!B10006</f>
        <v/>
      </c>
      <c r="C10006">
        <f>TEST_DATA!C10006</f>
        <v/>
      </c>
      <c r="D10006">
        <f>TEST_DATA!D10006</f>
        <v/>
      </c>
      <c r="E10006">
        <f>TEST_DATA!E10006</f>
        <v/>
      </c>
    </row>
    <row r="10007">
      <c r="A10007">
        <f>TEST_DATA!A10007</f>
        <v/>
      </c>
      <c r="B10007">
        <f>TEST_DATA!B10007</f>
        <v/>
      </c>
      <c r="C10007">
        <f>TEST_DATA!C10007</f>
        <v/>
      </c>
      <c r="D10007">
        <f>TEST_DATA!D10007</f>
        <v/>
      </c>
      <c r="E10007">
        <f>TEST_DATA!E10007</f>
        <v/>
      </c>
    </row>
    <row r="10008">
      <c r="A10008">
        <f>TEST_DATA!A10008</f>
        <v/>
      </c>
      <c r="B10008">
        <f>TEST_DATA!B10008</f>
        <v/>
      </c>
      <c r="C10008">
        <f>TEST_DATA!C10008</f>
        <v/>
      </c>
      <c r="D10008">
        <f>TEST_DATA!D10008</f>
        <v/>
      </c>
      <c r="E10008">
        <f>TEST_DATA!E10008</f>
        <v/>
      </c>
    </row>
    <row r="10009">
      <c r="A10009">
        <f>TEST_DATA!A10009</f>
        <v/>
      </c>
      <c r="B10009">
        <f>TEST_DATA!B10009</f>
        <v/>
      </c>
      <c r="C10009">
        <f>TEST_DATA!C10009</f>
        <v/>
      </c>
      <c r="D10009">
        <f>TEST_DATA!D10009</f>
        <v/>
      </c>
      <c r="E10009">
        <f>TEST_DATA!E10009</f>
        <v/>
      </c>
    </row>
    <row r="10010">
      <c r="A10010">
        <f>TEST_DATA!A10010</f>
        <v/>
      </c>
      <c r="B10010">
        <f>TEST_DATA!B10010</f>
        <v/>
      </c>
      <c r="C10010">
        <f>TEST_DATA!C10010</f>
        <v/>
      </c>
      <c r="D10010">
        <f>TEST_DATA!D10010</f>
        <v/>
      </c>
      <c r="E10010">
        <f>TEST_DATA!E10010</f>
        <v/>
      </c>
    </row>
    <row r="10011">
      <c r="A10011">
        <f>TEST_DATA!A10011</f>
        <v/>
      </c>
      <c r="B10011">
        <f>TEST_DATA!B10011</f>
        <v/>
      </c>
      <c r="C10011">
        <f>TEST_DATA!C10011</f>
        <v/>
      </c>
      <c r="D10011">
        <f>TEST_DATA!D10011</f>
        <v/>
      </c>
      <c r="E10011">
        <f>TEST_DATA!E10011</f>
        <v/>
      </c>
    </row>
    <row r="10012">
      <c r="A10012">
        <f>TEST_DATA!A10012</f>
        <v/>
      </c>
      <c r="B10012">
        <f>TEST_DATA!B10012</f>
        <v/>
      </c>
      <c r="C10012">
        <f>TEST_DATA!C10012</f>
        <v/>
      </c>
      <c r="D10012">
        <f>TEST_DATA!D10012</f>
        <v/>
      </c>
      <c r="E10012">
        <f>TEST_DATA!E10012</f>
        <v/>
      </c>
    </row>
    <row r="10013">
      <c r="A10013">
        <f>TEST_DATA!A10013</f>
        <v/>
      </c>
      <c r="B10013">
        <f>TEST_DATA!B10013</f>
        <v/>
      </c>
      <c r="C10013">
        <f>TEST_DATA!C10013</f>
        <v/>
      </c>
      <c r="D10013">
        <f>TEST_DATA!D10013</f>
        <v/>
      </c>
      <c r="E10013">
        <f>TEST_DATA!E10013</f>
        <v/>
      </c>
    </row>
    <row r="10014">
      <c r="A10014">
        <f>TEST_DATA!A10014</f>
        <v/>
      </c>
      <c r="B10014">
        <f>TEST_DATA!B10014</f>
        <v/>
      </c>
      <c r="C10014">
        <f>TEST_DATA!C10014</f>
        <v/>
      </c>
      <c r="D10014">
        <f>TEST_DATA!D10014</f>
        <v/>
      </c>
      <c r="E10014">
        <f>TEST_DATA!E10014</f>
        <v/>
      </c>
    </row>
    <row r="10015">
      <c r="A10015">
        <f>TEST_DATA!A10015</f>
        <v/>
      </c>
      <c r="B10015">
        <f>TEST_DATA!B10015</f>
        <v/>
      </c>
      <c r="C10015">
        <f>TEST_DATA!C10015</f>
        <v/>
      </c>
      <c r="D10015">
        <f>TEST_DATA!D10015</f>
        <v/>
      </c>
      <c r="E10015">
        <f>TEST_DATA!E10015</f>
        <v/>
      </c>
    </row>
    <row r="10016">
      <c r="A10016">
        <f>TEST_DATA!A10016</f>
        <v/>
      </c>
      <c r="B10016">
        <f>TEST_DATA!B10016</f>
        <v/>
      </c>
      <c r="C10016">
        <f>TEST_DATA!C10016</f>
        <v/>
      </c>
      <c r="D10016">
        <f>TEST_DATA!D10016</f>
        <v/>
      </c>
      <c r="E10016">
        <f>TEST_DATA!E10016</f>
        <v/>
      </c>
    </row>
    <row r="10017">
      <c r="A10017">
        <f>TEST_DATA!A10017</f>
        <v/>
      </c>
      <c r="B10017">
        <f>TEST_DATA!B10017</f>
        <v/>
      </c>
      <c r="C10017">
        <f>TEST_DATA!C10017</f>
        <v/>
      </c>
      <c r="D10017">
        <f>TEST_DATA!D10017</f>
        <v/>
      </c>
      <c r="E10017">
        <f>TEST_DATA!E10017</f>
        <v/>
      </c>
    </row>
    <row r="10018">
      <c r="A10018">
        <f>TEST_DATA!A10018</f>
        <v/>
      </c>
      <c r="B10018">
        <f>TEST_DATA!B10018</f>
        <v/>
      </c>
      <c r="C10018">
        <f>TEST_DATA!C10018</f>
        <v/>
      </c>
      <c r="D10018">
        <f>TEST_DATA!D10018</f>
        <v/>
      </c>
      <c r="E10018">
        <f>TEST_DATA!E10018</f>
        <v/>
      </c>
    </row>
    <row r="10019">
      <c r="A10019">
        <f>TEST_DATA!A10019</f>
        <v/>
      </c>
      <c r="B10019">
        <f>TEST_DATA!B10019</f>
        <v/>
      </c>
      <c r="C10019">
        <f>TEST_DATA!C10019</f>
        <v/>
      </c>
      <c r="D10019">
        <f>TEST_DATA!D10019</f>
        <v/>
      </c>
      <c r="E10019">
        <f>TEST_DATA!E10019</f>
        <v/>
      </c>
    </row>
    <row r="10020">
      <c r="A10020">
        <f>TEST_DATA!A10020</f>
        <v/>
      </c>
      <c r="B10020">
        <f>TEST_DATA!B10020</f>
        <v/>
      </c>
      <c r="C10020">
        <f>TEST_DATA!C10020</f>
        <v/>
      </c>
      <c r="D10020">
        <f>TEST_DATA!D10020</f>
        <v/>
      </c>
      <c r="E10020">
        <f>TEST_DATA!E10020</f>
        <v/>
      </c>
    </row>
    <row r="10021">
      <c r="A10021">
        <f>TEST_DATA!A10021</f>
        <v/>
      </c>
      <c r="B10021">
        <f>TEST_DATA!B10021</f>
        <v/>
      </c>
      <c r="C10021">
        <f>TEST_DATA!C10021</f>
        <v/>
      </c>
      <c r="D10021">
        <f>TEST_DATA!D10021</f>
        <v/>
      </c>
      <c r="E10021">
        <f>TEST_DATA!E10021</f>
        <v/>
      </c>
    </row>
    <row r="10022">
      <c r="A10022">
        <f>TEST_DATA!A10022</f>
        <v/>
      </c>
      <c r="B10022">
        <f>TEST_DATA!B10022</f>
        <v/>
      </c>
      <c r="C10022">
        <f>TEST_DATA!C10022</f>
        <v/>
      </c>
      <c r="D10022">
        <f>TEST_DATA!D10022</f>
        <v/>
      </c>
      <c r="E10022">
        <f>TEST_DATA!E10022</f>
        <v/>
      </c>
    </row>
    <row r="10023">
      <c r="A10023">
        <f>TEST_DATA!A10023</f>
        <v/>
      </c>
      <c r="B10023">
        <f>TEST_DATA!B10023</f>
        <v/>
      </c>
      <c r="C10023">
        <f>TEST_DATA!C10023</f>
        <v/>
      </c>
      <c r="D10023">
        <f>TEST_DATA!D10023</f>
        <v/>
      </c>
      <c r="E10023">
        <f>TEST_DATA!E10023</f>
        <v/>
      </c>
    </row>
    <row r="10024">
      <c r="A10024">
        <f>TEST_DATA!A10024</f>
        <v/>
      </c>
      <c r="B10024">
        <f>TEST_DATA!B10024</f>
        <v/>
      </c>
      <c r="C10024">
        <f>TEST_DATA!C10024</f>
        <v/>
      </c>
      <c r="D10024">
        <f>TEST_DATA!D10024</f>
        <v/>
      </c>
      <c r="E10024">
        <f>TEST_DATA!E10024</f>
        <v/>
      </c>
    </row>
    <row r="10025">
      <c r="A10025">
        <f>TEST_DATA!A10025</f>
        <v/>
      </c>
      <c r="B10025">
        <f>TEST_DATA!B10025</f>
        <v/>
      </c>
      <c r="C10025">
        <f>TEST_DATA!C10025</f>
        <v/>
      </c>
      <c r="D10025">
        <f>TEST_DATA!D10025</f>
        <v/>
      </c>
      <c r="E10025">
        <f>TEST_DATA!E10025</f>
        <v/>
      </c>
    </row>
    <row r="10026">
      <c r="A10026">
        <f>TEST_DATA!A10026</f>
        <v/>
      </c>
      <c r="B10026">
        <f>TEST_DATA!B10026</f>
        <v/>
      </c>
      <c r="C10026">
        <f>TEST_DATA!C10026</f>
        <v/>
      </c>
      <c r="D10026">
        <f>TEST_DATA!D10026</f>
        <v/>
      </c>
      <c r="E10026">
        <f>TEST_DATA!E10026</f>
        <v/>
      </c>
    </row>
    <row r="10027">
      <c r="A10027">
        <f>TEST_DATA!A10027</f>
        <v/>
      </c>
      <c r="B10027">
        <f>TEST_DATA!B10027</f>
        <v/>
      </c>
      <c r="C10027">
        <f>TEST_DATA!C10027</f>
        <v/>
      </c>
      <c r="D10027">
        <f>TEST_DATA!D10027</f>
        <v/>
      </c>
      <c r="E10027">
        <f>TEST_DATA!E10027</f>
        <v/>
      </c>
    </row>
    <row r="10028">
      <c r="A10028">
        <f>TEST_DATA!A10028</f>
        <v/>
      </c>
      <c r="B10028">
        <f>TEST_DATA!B10028</f>
        <v/>
      </c>
      <c r="C10028">
        <f>TEST_DATA!C10028</f>
        <v/>
      </c>
      <c r="D10028">
        <f>TEST_DATA!D10028</f>
        <v/>
      </c>
      <c r="E10028">
        <f>TEST_DATA!E10028</f>
        <v/>
      </c>
    </row>
    <row r="10029">
      <c r="A10029">
        <f>TEST_DATA!A10029</f>
        <v/>
      </c>
      <c r="B10029">
        <f>TEST_DATA!B10029</f>
        <v/>
      </c>
      <c r="C10029">
        <f>TEST_DATA!C10029</f>
        <v/>
      </c>
      <c r="D10029">
        <f>TEST_DATA!D10029</f>
        <v/>
      </c>
      <c r="E10029">
        <f>TEST_DATA!E10029</f>
        <v/>
      </c>
    </row>
    <row r="10030">
      <c r="A10030">
        <f>TEST_DATA!A10030</f>
        <v/>
      </c>
      <c r="B10030">
        <f>TEST_DATA!B10030</f>
        <v/>
      </c>
      <c r="C10030">
        <f>TEST_DATA!C10030</f>
        <v/>
      </c>
      <c r="D10030">
        <f>TEST_DATA!D10030</f>
        <v/>
      </c>
      <c r="E10030">
        <f>TEST_DATA!E10030</f>
        <v/>
      </c>
    </row>
    <row r="10031">
      <c r="A10031">
        <f>TEST_DATA!A10031</f>
        <v/>
      </c>
      <c r="B10031">
        <f>TEST_DATA!B10031</f>
        <v/>
      </c>
      <c r="C10031">
        <f>TEST_DATA!C10031</f>
        <v/>
      </c>
      <c r="D10031">
        <f>TEST_DATA!D10031</f>
        <v/>
      </c>
      <c r="E10031">
        <f>TEST_DATA!E10031</f>
        <v/>
      </c>
    </row>
    <row r="10032">
      <c r="A10032">
        <f>TEST_DATA!A10032</f>
        <v/>
      </c>
      <c r="B10032">
        <f>TEST_DATA!B10032</f>
        <v/>
      </c>
      <c r="C10032">
        <f>TEST_DATA!C10032</f>
        <v/>
      </c>
      <c r="D10032">
        <f>TEST_DATA!D10032</f>
        <v/>
      </c>
      <c r="E10032">
        <f>TEST_DATA!E10032</f>
        <v/>
      </c>
    </row>
    <row r="10033">
      <c r="A10033">
        <f>TEST_DATA!A10033</f>
        <v/>
      </c>
      <c r="B10033">
        <f>TEST_DATA!B10033</f>
        <v/>
      </c>
      <c r="C10033">
        <f>TEST_DATA!C10033</f>
        <v/>
      </c>
      <c r="D10033">
        <f>TEST_DATA!D10033</f>
        <v/>
      </c>
      <c r="E10033">
        <f>TEST_DATA!E10033</f>
        <v/>
      </c>
    </row>
    <row r="10034">
      <c r="A10034">
        <f>TEST_DATA!A10034</f>
        <v/>
      </c>
      <c r="B10034">
        <f>TEST_DATA!B10034</f>
        <v/>
      </c>
      <c r="C10034">
        <f>TEST_DATA!C10034</f>
        <v/>
      </c>
      <c r="D10034">
        <f>TEST_DATA!D10034</f>
        <v/>
      </c>
      <c r="E10034">
        <f>TEST_DATA!E10034</f>
        <v/>
      </c>
    </row>
    <row r="10035">
      <c r="A10035">
        <f>TEST_DATA!A10035</f>
        <v/>
      </c>
      <c r="B10035">
        <f>TEST_DATA!B10035</f>
        <v/>
      </c>
      <c r="C10035">
        <f>TEST_DATA!C10035</f>
        <v/>
      </c>
      <c r="D10035">
        <f>TEST_DATA!D10035</f>
        <v/>
      </c>
      <c r="E10035">
        <f>TEST_DATA!E10035</f>
        <v/>
      </c>
    </row>
    <row r="10036">
      <c r="A10036">
        <f>TEST_DATA!A10036</f>
        <v/>
      </c>
      <c r="B10036">
        <f>TEST_DATA!B10036</f>
        <v/>
      </c>
      <c r="C10036">
        <f>TEST_DATA!C10036</f>
        <v/>
      </c>
      <c r="D10036">
        <f>TEST_DATA!D10036</f>
        <v/>
      </c>
      <c r="E10036">
        <f>TEST_DATA!E10036</f>
        <v/>
      </c>
    </row>
    <row r="10037">
      <c r="A10037">
        <f>TEST_DATA!A10037</f>
        <v/>
      </c>
      <c r="B10037">
        <f>TEST_DATA!B10037</f>
        <v/>
      </c>
      <c r="C10037">
        <f>TEST_DATA!C10037</f>
        <v/>
      </c>
      <c r="D10037">
        <f>TEST_DATA!D10037</f>
        <v/>
      </c>
      <c r="E10037">
        <f>TEST_DATA!E10037</f>
        <v/>
      </c>
    </row>
    <row r="10038">
      <c r="A10038">
        <f>TEST_DATA!A10038</f>
        <v/>
      </c>
      <c r="B10038">
        <f>TEST_DATA!B10038</f>
        <v/>
      </c>
      <c r="C10038">
        <f>TEST_DATA!C10038</f>
        <v/>
      </c>
      <c r="D10038">
        <f>TEST_DATA!D10038</f>
        <v/>
      </c>
      <c r="E10038">
        <f>TEST_DATA!E10038</f>
        <v/>
      </c>
    </row>
    <row r="10039">
      <c r="A10039">
        <f>TEST_DATA!A10039</f>
        <v/>
      </c>
      <c r="B10039">
        <f>TEST_DATA!B10039</f>
        <v/>
      </c>
      <c r="C10039">
        <f>TEST_DATA!C10039</f>
        <v/>
      </c>
      <c r="D10039">
        <f>TEST_DATA!D10039</f>
        <v/>
      </c>
      <c r="E10039">
        <f>TEST_DATA!E10039</f>
        <v/>
      </c>
    </row>
    <row r="10040">
      <c r="A10040">
        <f>TEST_DATA!A10040</f>
        <v/>
      </c>
      <c r="B10040">
        <f>TEST_DATA!B10040</f>
        <v/>
      </c>
      <c r="C10040">
        <f>TEST_DATA!C10040</f>
        <v/>
      </c>
      <c r="D10040">
        <f>TEST_DATA!D10040</f>
        <v/>
      </c>
      <c r="E10040">
        <f>TEST_DATA!E10040</f>
        <v/>
      </c>
    </row>
    <row r="10041">
      <c r="A10041">
        <f>TEST_DATA!A10041</f>
        <v/>
      </c>
      <c r="B10041">
        <f>TEST_DATA!B10041</f>
        <v/>
      </c>
      <c r="C10041">
        <f>TEST_DATA!C10041</f>
        <v/>
      </c>
      <c r="D10041">
        <f>TEST_DATA!D10041</f>
        <v/>
      </c>
      <c r="E10041">
        <f>TEST_DATA!E10041</f>
        <v/>
      </c>
    </row>
    <row r="10042">
      <c r="A10042">
        <f>TEST_DATA!A10042</f>
        <v/>
      </c>
      <c r="B10042">
        <f>TEST_DATA!B10042</f>
        <v/>
      </c>
      <c r="C10042">
        <f>TEST_DATA!C10042</f>
        <v/>
      </c>
      <c r="D10042">
        <f>TEST_DATA!D10042</f>
        <v/>
      </c>
      <c r="E10042">
        <f>TEST_DATA!E10042</f>
        <v/>
      </c>
    </row>
    <row r="10043">
      <c r="A10043">
        <f>TEST_DATA!A10043</f>
        <v/>
      </c>
      <c r="B10043">
        <f>TEST_DATA!B10043</f>
        <v/>
      </c>
      <c r="C10043">
        <f>TEST_DATA!C10043</f>
        <v/>
      </c>
      <c r="D10043">
        <f>TEST_DATA!D10043</f>
        <v/>
      </c>
      <c r="E10043">
        <f>TEST_DATA!E10043</f>
        <v/>
      </c>
    </row>
    <row r="10044">
      <c r="A10044">
        <f>TEST_DATA!A10044</f>
        <v/>
      </c>
      <c r="B10044">
        <f>TEST_DATA!B10044</f>
        <v/>
      </c>
      <c r="C10044">
        <f>TEST_DATA!C10044</f>
        <v/>
      </c>
      <c r="D10044">
        <f>TEST_DATA!D10044</f>
        <v/>
      </c>
      <c r="E10044">
        <f>TEST_DATA!E10044</f>
        <v/>
      </c>
    </row>
    <row r="10045">
      <c r="A10045">
        <f>TEST_DATA!A10045</f>
        <v/>
      </c>
      <c r="B10045">
        <f>TEST_DATA!B10045</f>
        <v/>
      </c>
      <c r="C10045">
        <f>TEST_DATA!C10045</f>
        <v/>
      </c>
      <c r="D10045">
        <f>TEST_DATA!D10045</f>
        <v/>
      </c>
      <c r="E10045">
        <f>TEST_DATA!E10045</f>
        <v/>
      </c>
    </row>
    <row r="10046">
      <c r="A10046">
        <f>TEST_DATA!A10046</f>
        <v/>
      </c>
      <c r="B10046">
        <f>TEST_DATA!B10046</f>
        <v/>
      </c>
      <c r="C10046">
        <f>TEST_DATA!C10046</f>
        <v/>
      </c>
      <c r="D10046">
        <f>TEST_DATA!D10046</f>
        <v/>
      </c>
      <c r="E10046">
        <f>TEST_DATA!E10046</f>
        <v/>
      </c>
    </row>
    <row r="10047">
      <c r="A10047">
        <f>TEST_DATA!A10047</f>
        <v/>
      </c>
      <c r="B10047">
        <f>TEST_DATA!B10047</f>
        <v/>
      </c>
      <c r="C10047">
        <f>TEST_DATA!C10047</f>
        <v/>
      </c>
      <c r="D10047">
        <f>TEST_DATA!D10047</f>
        <v/>
      </c>
      <c r="E10047">
        <f>TEST_DATA!E10047</f>
        <v/>
      </c>
    </row>
    <row r="10048">
      <c r="A10048">
        <f>TEST_DATA!A10048</f>
        <v/>
      </c>
      <c r="B10048">
        <f>TEST_DATA!B10048</f>
        <v/>
      </c>
      <c r="C10048">
        <f>TEST_DATA!C10048</f>
        <v/>
      </c>
      <c r="D10048">
        <f>TEST_DATA!D10048</f>
        <v/>
      </c>
      <c r="E10048">
        <f>TEST_DATA!E10048</f>
        <v/>
      </c>
    </row>
    <row r="10049">
      <c r="A10049">
        <f>TEST_DATA!A10049</f>
        <v/>
      </c>
      <c r="B10049">
        <f>TEST_DATA!B10049</f>
        <v/>
      </c>
      <c r="C10049">
        <f>TEST_DATA!C10049</f>
        <v/>
      </c>
      <c r="D10049">
        <f>TEST_DATA!D10049</f>
        <v/>
      </c>
      <c r="E10049">
        <f>TEST_DATA!E10049</f>
        <v/>
      </c>
    </row>
    <row r="10050">
      <c r="A10050">
        <f>TEST_DATA!A10050</f>
        <v/>
      </c>
      <c r="B10050">
        <f>TEST_DATA!B10050</f>
        <v/>
      </c>
      <c r="C10050">
        <f>TEST_DATA!C10050</f>
        <v/>
      </c>
      <c r="D10050">
        <f>TEST_DATA!D10050</f>
        <v/>
      </c>
      <c r="E10050">
        <f>TEST_DATA!E10050</f>
        <v/>
      </c>
    </row>
    <row r="10051">
      <c r="A10051">
        <f>TEST_DATA!A10051</f>
        <v/>
      </c>
      <c r="B10051">
        <f>TEST_DATA!B10051</f>
        <v/>
      </c>
      <c r="C10051">
        <f>TEST_DATA!C10051</f>
        <v/>
      </c>
      <c r="D10051">
        <f>TEST_DATA!D10051</f>
        <v/>
      </c>
      <c r="E10051">
        <f>TEST_DATA!E10051</f>
        <v/>
      </c>
    </row>
    <row r="10052">
      <c r="A10052">
        <f>TEST_DATA!A10052</f>
        <v/>
      </c>
      <c r="B10052">
        <f>TEST_DATA!B10052</f>
        <v/>
      </c>
      <c r="C10052">
        <f>TEST_DATA!C10052</f>
        <v/>
      </c>
      <c r="D10052">
        <f>TEST_DATA!D10052</f>
        <v/>
      </c>
      <c r="E10052">
        <f>TEST_DATA!E10052</f>
        <v/>
      </c>
    </row>
    <row r="10053">
      <c r="A10053">
        <f>TEST_DATA!A10053</f>
        <v/>
      </c>
      <c r="B10053">
        <f>TEST_DATA!B10053</f>
        <v/>
      </c>
      <c r="C10053">
        <f>TEST_DATA!C10053</f>
        <v/>
      </c>
      <c r="D10053">
        <f>TEST_DATA!D10053</f>
        <v/>
      </c>
      <c r="E10053">
        <f>TEST_DATA!E10053</f>
        <v/>
      </c>
    </row>
    <row r="10054">
      <c r="A10054">
        <f>TEST_DATA!A10054</f>
        <v/>
      </c>
      <c r="B10054">
        <f>TEST_DATA!B10054</f>
        <v/>
      </c>
      <c r="C10054">
        <f>TEST_DATA!C10054</f>
        <v/>
      </c>
      <c r="D10054">
        <f>TEST_DATA!D10054</f>
        <v/>
      </c>
      <c r="E10054">
        <f>TEST_DATA!E10054</f>
        <v/>
      </c>
    </row>
    <row r="10055">
      <c r="A10055">
        <f>TEST_DATA!A10055</f>
        <v/>
      </c>
      <c r="B10055">
        <f>TEST_DATA!B10055</f>
        <v/>
      </c>
      <c r="C10055">
        <f>TEST_DATA!C10055</f>
        <v/>
      </c>
      <c r="D10055">
        <f>TEST_DATA!D10055</f>
        <v/>
      </c>
      <c r="E10055">
        <f>TEST_DATA!E10055</f>
        <v/>
      </c>
    </row>
    <row r="10056">
      <c r="A10056">
        <f>TEST_DATA!A10056</f>
        <v/>
      </c>
      <c r="B10056">
        <f>TEST_DATA!B10056</f>
        <v/>
      </c>
      <c r="C10056">
        <f>TEST_DATA!C10056</f>
        <v/>
      </c>
      <c r="D10056">
        <f>TEST_DATA!D10056</f>
        <v/>
      </c>
      <c r="E10056">
        <f>TEST_DATA!E10056</f>
        <v/>
      </c>
    </row>
    <row r="10057">
      <c r="A10057">
        <f>TEST_DATA!A10057</f>
        <v/>
      </c>
      <c r="B10057">
        <f>TEST_DATA!B10057</f>
        <v/>
      </c>
      <c r="C10057">
        <f>TEST_DATA!C10057</f>
        <v/>
      </c>
      <c r="D10057">
        <f>TEST_DATA!D10057</f>
        <v/>
      </c>
      <c r="E10057">
        <f>TEST_DATA!E10057</f>
        <v/>
      </c>
    </row>
    <row r="10058">
      <c r="A10058">
        <f>TEST_DATA!A10058</f>
        <v/>
      </c>
      <c r="B10058">
        <f>TEST_DATA!B10058</f>
        <v/>
      </c>
      <c r="C10058">
        <f>TEST_DATA!C10058</f>
        <v/>
      </c>
      <c r="D10058">
        <f>TEST_DATA!D10058</f>
        <v/>
      </c>
      <c r="E10058">
        <f>TEST_DATA!E10058</f>
        <v/>
      </c>
    </row>
    <row r="10059">
      <c r="A10059">
        <f>TEST_DATA!A10059</f>
        <v/>
      </c>
      <c r="B10059">
        <f>TEST_DATA!B10059</f>
        <v/>
      </c>
      <c r="C10059">
        <f>TEST_DATA!C10059</f>
        <v/>
      </c>
      <c r="D10059">
        <f>TEST_DATA!D10059</f>
        <v/>
      </c>
      <c r="E10059">
        <f>TEST_DATA!E10059</f>
        <v/>
      </c>
    </row>
    <row r="10060">
      <c r="A10060">
        <f>TEST_DATA!A10060</f>
        <v/>
      </c>
      <c r="B10060">
        <f>TEST_DATA!B10060</f>
        <v/>
      </c>
      <c r="C10060">
        <f>TEST_DATA!C10060</f>
        <v/>
      </c>
      <c r="D10060">
        <f>TEST_DATA!D10060</f>
        <v/>
      </c>
      <c r="E10060">
        <f>TEST_DATA!E10060</f>
        <v/>
      </c>
    </row>
    <row r="10061">
      <c r="A10061">
        <f>TEST_DATA!A10061</f>
        <v/>
      </c>
      <c r="B10061">
        <f>TEST_DATA!B10061</f>
        <v/>
      </c>
      <c r="C10061">
        <f>TEST_DATA!C10061</f>
        <v/>
      </c>
      <c r="D10061">
        <f>TEST_DATA!D10061</f>
        <v/>
      </c>
      <c r="E10061">
        <f>TEST_DATA!E10061</f>
        <v/>
      </c>
    </row>
    <row r="10062">
      <c r="A10062">
        <f>TEST_DATA!A10062</f>
        <v/>
      </c>
      <c r="B10062">
        <f>TEST_DATA!B10062</f>
        <v/>
      </c>
      <c r="C10062">
        <f>TEST_DATA!C10062</f>
        <v/>
      </c>
      <c r="D10062">
        <f>TEST_DATA!D10062</f>
        <v/>
      </c>
      <c r="E10062">
        <f>TEST_DATA!E10062</f>
        <v/>
      </c>
    </row>
    <row r="10063">
      <c r="A10063">
        <f>TEST_DATA!A10063</f>
        <v/>
      </c>
      <c r="B10063">
        <f>TEST_DATA!B10063</f>
        <v/>
      </c>
      <c r="C10063">
        <f>TEST_DATA!C10063</f>
        <v/>
      </c>
      <c r="D10063">
        <f>TEST_DATA!D10063</f>
        <v/>
      </c>
      <c r="E10063">
        <f>TEST_DATA!E10063</f>
        <v/>
      </c>
    </row>
    <row r="10064">
      <c r="A10064">
        <f>TEST_DATA!A10064</f>
        <v/>
      </c>
      <c r="B10064">
        <f>TEST_DATA!B10064</f>
        <v/>
      </c>
      <c r="C10064">
        <f>TEST_DATA!C10064</f>
        <v/>
      </c>
      <c r="D10064">
        <f>TEST_DATA!D10064</f>
        <v/>
      </c>
      <c r="E10064">
        <f>TEST_DATA!E10064</f>
        <v/>
      </c>
    </row>
    <row r="10065">
      <c r="A10065">
        <f>TEST_DATA!A10065</f>
        <v/>
      </c>
      <c r="B10065">
        <f>TEST_DATA!B10065</f>
        <v/>
      </c>
      <c r="C10065">
        <f>TEST_DATA!C10065</f>
        <v/>
      </c>
      <c r="D10065">
        <f>TEST_DATA!D10065</f>
        <v/>
      </c>
      <c r="E10065">
        <f>TEST_DATA!E10065</f>
        <v/>
      </c>
    </row>
    <row r="10066">
      <c r="A10066">
        <f>TEST_DATA!A10066</f>
        <v/>
      </c>
      <c r="B10066">
        <f>TEST_DATA!B10066</f>
        <v/>
      </c>
      <c r="C10066">
        <f>TEST_DATA!C10066</f>
        <v/>
      </c>
      <c r="D10066">
        <f>TEST_DATA!D10066</f>
        <v/>
      </c>
      <c r="E10066">
        <f>TEST_DATA!E10066</f>
        <v/>
      </c>
    </row>
    <row r="10067">
      <c r="A10067">
        <f>TEST_DATA!A10067</f>
        <v/>
      </c>
      <c r="B10067">
        <f>TEST_DATA!B10067</f>
        <v/>
      </c>
      <c r="C10067">
        <f>TEST_DATA!C10067</f>
        <v/>
      </c>
      <c r="D10067">
        <f>TEST_DATA!D10067</f>
        <v/>
      </c>
      <c r="E10067">
        <f>TEST_DATA!E10067</f>
        <v/>
      </c>
    </row>
    <row r="10068">
      <c r="A10068">
        <f>TEST_DATA!A10068</f>
        <v/>
      </c>
      <c r="B10068">
        <f>TEST_DATA!B10068</f>
        <v/>
      </c>
      <c r="C10068">
        <f>TEST_DATA!C10068</f>
        <v/>
      </c>
      <c r="D10068">
        <f>TEST_DATA!D10068</f>
        <v/>
      </c>
      <c r="E10068">
        <f>TEST_DATA!E10068</f>
        <v/>
      </c>
    </row>
    <row r="10069">
      <c r="A10069">
        <f>TEST_DATA!A10069</f>
        <v/>
      </c>
      <c r="B10069">
        <f>TEST_DATA!B10069</f>
        <v/>
      </c>
      <c r="C10069">
        <f>TEST_DATA!C10069</f>
        <v/>
      </c>
      <c r="D10069">
        <f>TEST_DATA!D10069</f>
        <v/>
      </c>
      <c r="E10069">
        <f>TEST_DATA!E10069</f>
        <v/>
      </c>
    </row>
    <row r="10070">
      <c r="A10070">
        <f>TEST_DATA!A10070</f>
        <v/>
      </c>
      <c r="B10070">
        <f>TEST_DATA!B10070</f>
        <v/>
      </c>
      <c r="C10070">
        <f>TEST_DATA!C10070</f>
        <v/>
      </c>
      <c r="D10070">
        <f>TEST_DATA!D10070</f>
        <v/>
      </c>
      <c r="E10070">
        <f>TEST_DATA!E10070</f>
        <v/>
      </c>
    </row>
    <row r="10071">
      <c r="A10071">
        <f>TEST_DATA!A10071</f>
        <v/>
      </c>
      <c r="B10071">
        <f>TEST_DATA!B10071</f>
        <v/>
      </c>
      <c r="C10071">
        <f>TEST_DATA!C10071</f>
        <v/>
      </c>
      <c r="D10071">
        <f>TEST_DATA!D10071</f>
        <v/>
      </c>
      <c r="E10071">
        <f>TEST_DATA!E10071</f>
        <v/>
      </c>
    </row>
    <row r="10072">
      <c r="A10072">
        <f>TEST_DATA!A10072</f>
        <v/>
      </c>
      <c r="B10072">
        <f>TEST_DATA!B10072</f>
        <v/>
      </c>
      <c r="C10072">
        <f>TEST_DATA!C10072</f>
        <v/>
      </c>
      <c r="D10072">
        <f>TEST_DATA!D10072</f>
        <v/>
      </c>
      <c r="E10072">
        <f>TEST_DATA!E10072</f>
        <v/>
      </c>
    </row>
    <row r="10073">
      <c r="A10073">
        <f>TEST_DATA!A10073</f>
        <v/>
      </c>
      <c r="B10073">
        <f>TEST_DATA!B10073</f>
        <v/>
      </c>
      <c r="C10073">
        <f>TEST_DATA!C10073</f>
        <v/>
      </c>
      <c r="D10073">
        <f>TEST_DATA!D10073</f>
        <v/>
      </c>
      <c r="E10073">
        <f>TEST_DATA!E10073</f>
        <v/>
      </c>
    </row>
    <row r="10074">
      <c r="A10074">
        <f>TEST_DATA!A10074</f>
        <v/>
      </c>
      <c r="B10074">
        <f>TEST_DATA!B10074</f>
        <v/>
      </c>
      <c r="C10074">
        <f>TEST_DATA!C10074</f>
        <v/>
      </c>
      <c r="D10074">
        <f>TEST_DATA!D10074</f>
        <v/>
      </c>
      <c r="E10074">
        <f>TEST_DATA!E10074</f>
        <v/>
      </c>
    </row>
    <row r="10075">
      <c r="A10075">
        <f>TEST_DATA!A10075</f>
        <v/>
      </c>
      <c r="B10075">
        <f>TEST_DATA!B10075</f>
        <v/>
      </c>
      <c r="C10075">
        <f>TEST_DATA!C10075</f>
        <v/>
      </c>
      <c r="D10075">
        <f>TEST_DATA!D10075</f>
        <v/>
      </c>
      <c r="E10075">
        <f>TEST_DATA!E10075</f>
        <v/>
      </c>
    </row>
    <row r="10076">
      <c r="A10076">
        <f>TEST_DATA!A10076</f>
        <v/>
      </c>
      <c r="B10076">
        <f>TEST_DATA!B10076</f>
        <v/>
      </c>
      <c r="C10076">
        <f>TEST_DATA!C10076</f>
        <v/>
      </c>
      <c r="D10076">
        <f>TEST_DATA!D10076</f>
        <v/>
      </c>
      <c r="E10076">
        <f>TEST_DATA!E10076</f>
        <v/>
      </c>
    </row>
    <row r="10077">
      <c r="A10077">
        <f>TEST_DATA!A10077</f>
        <v/>
      </c>
      <c r="B10077">
        <f>TEST_DATA!B10077</f>
        <v/>
      </c>
      <c r="C10077">
        <f>TEST_DATA!C10077</f>
        <v/>
      </c>
      <c r="D10077">
        <f>TEST_DATA!D10077</f>
        <v/>
      </c>
      <c r="E10077">
        <f>TEST_DATA!E10077</f>
        <v/>
      </c>
    </row>
    <row r="10078">
      <c r="A10078">
        <f>TEST_DATA!A10078</f>
        <v/>
      </c>
      <c r="B10078">
        <f>TEST_DATA!B10078</f>
        <v/>
      </c>
      <c r="C10078">
        <f>TEST_DATA!C10078</f>
        <v/>
      </c>
      <c r="D10078">
        <f>TEST_DATA!D10078</f>
        <v/>
      </c>
      <c r="E10078">
        <f>TEST_DATA!E10078</f>
        <v/>
      </c>
    </row>
    <row r="10079">
      <c r="A10079">
        <f>TEST_DATA!A10079</f>
        <v/>
      </c>
      <c r="B10079">
        <f>TEST_DATA!B10079</f>
        <v/>
      </c>
      <c r="C10079">
        <f>TEST_DATA!C10079</f>
        <v/>
      </c>
      <c r="D10079">
        <f>TEST_DATA!D10079</f>
        <v/>
      </c>
      <c r="E10079">
        <f>TEST_DATA!E10079</f>
        <v/>
      </c>
    </row>
    <row r="10080">
      <c r="A10080">
        <f>TEST_DATA!A10080</f>
        <v/>
      </c>
      <c r="B10080">
        <f>TEST_DATA!B10080</f>
        <v/>
      </c>
      <c r="C10080">
        <f>TEST_DATA!C10080</f>
        <v/>
      </c>
      <c r="D10080">
        <f>TEST_DATA!D10080</f>
        <v/>
      </c>
      <c r="E10080">
        <f>TEST_DATA!E10080</f>
        <v/>
      </c>
    </row>
    <row r="10081">
      <c r="A10081">
        <f>TEST_DATA!A10081</f>
        <v/>
      </c>
      <c r="B10081">
        <f>TEST_DATA!B10081</f>
        <v/>
      </c>
      <c r="C10081">
        <f>TEST_DATA!C10081</f>
        <v/>
      </c>
      <c r="D10081">
        <f>TEST_DATA!D10081</f>
        <v/>
      </c>
      <c r="E10081">
        <f>TEST_DATA!E10081</f>
        <v/>
      </c>
    </row>
    <row r="10082">
      <c r="A10082">
        <f>TEST_DATA!A10082</f>
        <v/>
      </c>
      <c r="B10082">
        <f>TEST_DATA!B10082</f>
        <v/>
      </c>
      <c r="C10082">
        <f>TEST_DATA!C10082</f>
        <v/>
      </c>
      <c r="D10082">
        <f>TEST_DATA!D10082</f>
        <v/>
      </c>
      <c r="E10082">
        <f>TEST_DATA!E10082</f>
        <v/>
      </c>
    </row>
    <row r="10083">
      <c r="A10083">
        <f>TEST_DATA!A10083</f>
        <v/>
      </c>
      <c r="B10083">
        <f>TEST_DATA!B10083</f>
        <v/>
      </c>
      <c r="C10083">
        <f>TEST_DATA!C10083</f>
        <v/>
      </c>
      <c r="D10083">
        <f>TEST_DATA!D10083</f>
        <v/>
      </c>
      <c r="E10083">
        <f>TEST_DATA!E10083</f>
        <v/>
      </c>
    </row>
    <row r="10084">
      <c r="A10084">
        <f>TEST_DATA!A10084</f>
        <v/>
      </c>
      <c r="B10084">
        <f>TEST_DATA!B10084</f>
        <v/>
      </c>
      <c r="C10084">
        <f>TEST_DATA!C10084</f>
        <v/>
      </c>
      <c r="D10084">
        <f>TEST_DATA!D10084</f>
        <v/>
      </c>
      <c r="E10084">
        <f>TEST_DATA!E10084</f>
        <v/>
      </c>
    </row>
    <row r="10085">
      <c r="A10085">
        <f>TEST_DATA!A10085</f>
        <v/>
      </c>
      <c r="B10085">
        <f>TEST_DATA!B10085</f>
        <v/>
      </c>
      <c r="C10085">
        <f>TEST_DATA!C10085</f>
        <v/>
      </c>
      <c r="D10085">
        <f>TEST_DATA!D10085</f>
        <v/>
      </c>
      <c r="E10085">
        <f>TEST_DATA!E10085</f>
        <v/>
      </c>
    </row>
    <row r="10086">
      <c r="A10086">
        <f>TEST_DATA!A10086</f>
        <v/>
      </c>
      <c r="B10086">
        <f>TEST_DATA!B10086</f>
        <v/>
      </c>
      <c r="C10086">
        <f>TEST_DATA!C10086</f>
        <v/>
      </c>
      <c r="D10086">
        <f>TEST_DATA!D10086</f>
        <v/>
      </c>
      <c r="E10086">
        <f>TEST_DATA!E10086</f>
        <v/>
      </c>
    </row>
    <row r="10087">
      <c r="A10087">
        <f>TEST_DATA!A10087</f>
        <v/>
      </c>
      <c r="B10087">
        <f>TEST_DATA!B10087</f>
        <v/>
      </c>
      <c r="C10087">
        <f>TEST_DATA!C10087</f>
        <v/>
      </c>
      <c r="D10087">
        <f>TEST_DATA!D10087</f>
        <v/>
      </c>
      <c r="E10087">
        <f>TEST_DATA!E10087</f>
        <v/>
      </c>
    </row>
    <row r="10088">
      <c r="A10088">
        <f>TEST_DATA!A10088</f>
        <v/>
      </c>
      <c r="B10088">
        <f>TEST_DATA!B10088</f>
        <v/>
      </c>
      <c r="C10088">
        <f>TEST_DATA!C10088</f>
        <v/>
      </c>
      <c r="D10088">
        <f>TEST_DATA!D10088</f>
        <v/>
      </c>
      <c r="E10088">
        <f>TEST_DATA!E10088</f>
        <v/>
      </c>
    </row>
    <row r="10089">
      <c r="A10089">
        <f>TEST_DATA!A10089</f>
        <v/>
      </c>
      <c r="B10089">
        <f>TEST_DATA!B10089</f>
        <v/>
      </c>
      <c r="C10089">
        <f>TEST_DATA!C10089</f>
        <v/>
      </c>
      <c r="D10089">
        <f>TEST_DATA!D10089</f>
        <v/>
      </c>
      <c r="E10089">
        <f>TEST_DATA!E10089</f>
        <v/>
      </c>
    </row>
    <row r="10090">
      <c r="A10090">
        <f>TEST_DATA!A10090</f>
        <v/>
      </c>
      <c r="B10090">
        <f>TEST_DATA!B10090</f>
        <v/>
      </c>
      <c r="C10090">
        <f>TEST_DATA!C10090</f>
        <v/>
      </c>
      <c r="D10090">
        <f>TEST_DATA!D10090</f>
        <v/>
      </c>
      <c r="E10090">
        <f>TEST_DATA!E10090</f>
        <v/>
      </c>
    </row>
    <row r="10091">
      <c r="A10091">
        <f>TEST_DATA!A10091</f>
        <v/>
      </c>
      <c r="B10091">
        <f>TEST_DATA!B10091</f>
        <v/>
      </c>
      <c r="C10091">
        <f>TEST_DATA!C10091</f>
        <v/>
      </c>
      <c r="D10091">
        <f>TEST_DATA!D10091</f>
        <v/>
      </c>
      <c r="E10091">
        <f>TEST_DATA!E10091</f>
        <v/>
      </c>
    </row>
    <row r="10092">
      <c r="A10092">
        <f>TEST_DATA!A10092</f>
        <v/>
      </c>
      <c r="B10092">
        <f>TEST_DATA!B10092</f>
        <v/>
      </c>
      <c r="C10092">
        <f>TEST_DATA!C10092</f>
        <v/>
      </c>
      <c r="D10092">
        <f>TEST_DATA!D10092</f>
        <v/>
      </c>
      <c r="E10092">
        <f>TEST_DATA!E10092</f>
        <v/>
      </c>
    </row>
    <row r="10093">
      <c r="A10093">
        <f>TEST_DATA!A10093</f>
        <v/>
      </c>
      <c r="B10093">
        <f>TEST_DATA!B10093</f>
        <v/>
      </c>
      <c r="C10093">
        <f>TEST_DATA!C10093</f>
        <v/>
      </c>
      <c r="D10093">
        <f>TEST_DATA!D10093</f>
        <v/>
      </c>
      <c r="E10093">
        <f>TEST_DATA!E10093</f>
        <v/>
      </c>
    </row>
    <row r="10094">
      <c r="A10094">
        <f>TEST_DATA!A10094</f>
        <v/>
      </c>
      <c r="B10094">
        <f>TEST_DATA!B10094</f>
        <v/>
      </c>
      <c r="C10094">
        <f>TEST_DATA!C10094</f>
        <v/>
      </c>
      <c r="D10094">
        <f>TEST_DATA!D10094</f>
        <v/>
      </c>
      <c r="E10094">
        <f>TEST_DATA!E10094</f>
        <v/>
      </c>
    </row>
    <row r="10095">
      <c r="A10095">
        <f>TEST_DATA!A10095</f>
        <v/>
      </c>
      <c r="B10095">
        <f>TEST_DATA!B10095</f>
        <v/>
      </c>
      <c r="C10095">
        <f>TEST_DATA!C10095</f>
        <v/>
      </c>
      <c r="D10095">
        <f>TEST_DATA!D10095</f>
        <v/>
      </c>
      <c r="E10095">
        <f>TEST_DATA!E10095</f>
        <v/>
      </c>
    </row>
    <row r="10096">
      <c r="A10096">
        <f>TEST_DATA!A10096</f>
        <v/>
      </c>
      <c r="B10096">
        <f>TEST_DATA!B10096</f>
        <v/>
      </c>
      <c r="C10096">
        <f>TEST_DATA!C10096</f>
        <v/>
      </c>
      <c r="D10096">
        <f>TEST_DATA!D10096</f>
        <v/>
      </c>
      <c r="E10096">
        <f>TEST_DATA!E10096</f>
        <v/>
      </c>
    </row>
    <row r="10097">
      <c r="A10097">
        <f>TEST_DATA!A10097</f>
        <v/>
      </c>
      <c r="B10097">
        <f>TEST_DATA!B10097</f>
        <v/>
      </c>
      <c r="C10097">
        <f>TEST_DATA!C10097</f>
        <v/>
      </c>
      <c r="D10097">
        <f>TEST_DATA!D10097</f>
        <v/>
      </c>
      <c r="E10097">
        <f>TEST_DATA!E10097</f>
        <v/>
      </c>
    </row>
    <row r="10098">
      <c r="A10098">
        <f>TEST_DATA!A10098</f>
        <v/>
      </c>
      <c r="B10098">
        <f>TEST_DATA!B10098</f>
        <v/>
      </c>
      <c r="C10098">
        <f>TEST_DATA!C10098</f>
        <v/>
      </c>
      <c r="D10098">
        <f>TEST_DATA!D10098</f>
        <v/>
      </c>
      <c r="E10098">
        <f>TEST_DATA!E10098</f>
        <v/>
      </c>
    </row>
    <row r="10099">
      <c r="A10099">
        <f>TEST_DATA!A10099</f>
        <v/>
      </c>
      <c r="B10099">
        <f>TEST_DATA!B10099</f>
        <v/>
      </c>
      <c r="C10099">
        <f>TEST_DATA!C10099</f>
        <v/>
      </c>
      <c r="D10099">
        <f>TEST_DATA!D10099</f>
        <v/>
      </c>
      <c r="E10099">
        <f>TEST_DATA!E10099</f>
        <v/>
      </c>
    </row>
    <row r="10100">
      <c r="A10100">
        <f>TEST_DATA!A10100</f>
        <v/>
      </c>
      <c r="B10100">
        <f>TEST_DATA!B10100</f>
        <v/>
      </c>
      <c r="C10100">
        <f>TEST_DATA!C10100</f>
        <v/>
      </c>
      <c r="D10100">
        <f>TEST_DATA!D10100</f>
        <v/>
      </c>
      <c r="E10100">
        <f>TEST_DATA!E10100</f>
        <v/>
      </c>
    </row>
    <row r="10101">
      <c r="A10101">
        <f>TEST_DATA!A10101</f>
        <v/>
      </c>
      <c r="B10101">
        <f>TEST_DATA!B10101</f>
        <v/>
      </c>
      <c r="C10101">
        <f>TEST_DATA!C10101</f>
        <v/>
      </c>
      <c r="D10101">
        <f>TEST_DATA!D10101</f>
        <v/>
      </c>
      <c r="E10101">
        <f>TEST_DATA!E10101</f>
        <v/>
      </c>
    </row>
    <row r="10102">
      <c r="A10102">
        <f>TEST_DATA!A10102</f>
        <v/>
      </c>
      <c r="B10102">
        <f>TEST_DATA!B10102</f>
        <v/>
      </c>
      <c r="C10102">
        <f>TEST_DATA!C10102</f>
        <v/>
      </c>
      <c r="D10102">
        <f>TEST_DATA!D10102</f>
        <v/>
      </c>
      <c r="E10102">
        <f>TEST_DATA!E10102</f>
        <v/>
      </c>
    </row>
    <row r="10103">
      <c r="A10103">
        <f>TEST_DATA!A10103</f>
        <v/>
      </c>
      <c r="B10103">
        <f>TEST_DATA!B10103</f>
        <v/>
      </c>
      <c r="C10103">
        <f>TEST_DATA!C10103</f>
        <v/>
      </c>
      <c r="D10103">
        <f>TEST_DATA!D10103</f>
        <v/>
      </c>
      <c r="E10103">
        <f>TEST_DATA!E10103</f>
        <v/>
      </c>
    </row>
    <row r="10104">
      <c r="A10104">
        <f>TEST_DATA!A10104</f>
        <v/>
      </c>
      <c r="B10104">
        <f>TEST_DATA!B10104</f>
        <v/>
      </c>
      <c r="C10104">
        <f>TEST_DATA!C10104</f>
        <v/>
      </c>
      <c r="D10104">
        <f>TEST_DATA!D10104</f>
        <v/>
      </c>
      <c r="E10104">
        <f>TEST_DATA!E10104</f>
        <v/>
      </c>
    </row>
    <row r="10105">
      <c r="A10105">
        <f>TEST_DATA!A10105</f>
        <v/>
      </c>
      <c r="B10105">
        <f>TEST_DATA!B10105</f>
        <v/>
      </c>
      <c r="C10105">
        <f>TEST_DATA!C10105</f>
        <v/>
      </c>
      <c r="D10105">
        <f>TEST_DATA!D10105</f>
        <v/>
      </c>
      <c r="E10105">
        <f>TEST_DATA!E10105</f>
        <v/>
      </c>
    </row>
    <row r="10106">
      <c r="A10106">
        <f>TEST_DATA!A10106</f>
        <v/>
      </c>
      <c r="B10106">
        <f>TEST_DATA!B10106</f>
        <v/>
      </c>
      <c r="C10106">
        <f>TEST_DATA!C10106</f>
        <v/>
      </c>
      <c r="D10106">
        <f>TEST_DATA!D10106</f>
        <v/>
      </c>
      <c r="E10106">
        <f>TEST_DATA!E10106</f>
        <v/>
      </c>
    </row>
    <row r="10107">
      <c r="A10107">
        <f>TEST_DATA!A10107</f>
        <v/>
      </c>
      <c r="B10107">
        <f>TEST_DATA!B10107</f>
        <v/>
      </c>
      <c r="C10107">
        <f>TEST_DATA!C10107</f>
        <v/>
      </c>
      <c r="D10107">
        <f>TEST_DATA!D10107</f>
        <v/>
      </c>
      <c r="E10107">
        <f>TEST_DATA!E10107</f>
        <v/>
      </c>
    </row>
    <row r="10108">
      <c r="A10108">
        <f>TEST_DATA!A10108</f>
        <v/>
      </c>
      <c r="B10108">
        <f>TEST_DATA!B10108</f>
        <v/>
      </c>
      <c r="C10108">
        <f>TEST_DATA!C10108</f>
        <v/>
      </c>
      <c r="D10108">
        <f>TEST_DATA!D10108</f>
        <v/>
      </c>
      <c r="E10108">
        <f>TEST_DATA!E10108</f>
        <v/>
      </c>
    </row>
    <row r="10109">
      <c r="A10109">
        <f>TEST_DATA!A10109</f>
        <v/>
      </c>
      <c r="B10109">
        <f>TEST_DATA!B10109</f>
        <v/>
      </c>
      <c r="C10109">
        <f>TEST_DATA!C10109</f>
        <v/>
      </c>
      <c r="D10109">
        <f>TEST_DATA!D10109</f>
        <v/>
      </c>
      <c r="E10109">
        <f>TEST_DATA!E10109</f>
        <v/>
      </c>
    </row>
    <row r="10110">
      <c r="A10110">
        <f>TEST_DATA!A10110</f>
        <v/>
      </c>
      <c r="B10110">
        <f>TEST_DATA!B10110</f>
        <v/>
      </c>
      <c r="C10110">
        <f>TEST_DATA!C10110</f>
        <v/>
      </c>
      <c r="D10110">
        <f>TEST_DATA!D10110</f>
        <v/>
      </c>
      <c r="E10110">
        <f>TEST_DATA!E10110</f>
        <v/>
      </c>
    </row>
    <row r="10111">
      <c r="A10111">
        <f>TEST_DATA!A10111</f>
        <v/>
      </c>
      <c r="B10111">
        <f>TEST_DATA!B10111</f>
        <v/>
      </c>
      <c r="C10111">
        <f>TEST_DATA!C10111</f>
        <v/>
      </c>
      <c r="D10111">
        <f>TEST_DATA!D10111</f>
        <v/>
      </c>
      <c r="E10111">
        <f>TEST_DATA!E10111</f>
        <v/>
      </c>
    </row>
    <row r="10112">
      <c r="A10112">
        <f>TEST_DATA!A10112</f>
        <v/>
      </c>
      <c r="B10112">
        <f>TEST_DATA!B10112</f>
        <v/>
      </c>
      <c r="C10112">
        <f>TEST_DATA!C10112</f>
        <v/>
      </c>
      <c r="D10112">
        <f>TEST_DATA!D10112</f>
        <v/>
      </c>
      <c r="E10112">
        <f>TEST_DATA!E10112</f>
        <v/>
      </c>
    </row>
    <row r="10113">
      <c r="A10113">
        <f>TEST_DATA!A10113</f>
        <v/>
      </c>
      <c r="B10113">
        <f>TEST_DATA!B10113</f>
        <v/>
      </c>
      <c r="C10113">
        <f>TEST_DATA!C10113</f>
        <v/>
      </c>
      <c r="D10113">
        <f>TEST_DATA!D10113</f>
        <v/>
      </c>
      <c r="E10113">
        <f>TEST_DATA!E10113</f>
        <v/>
      </c>
    </row>
    <row r="10114">
      <c r="A10114">
        <f>TEST_DATA!A10114</f>
        <v/>
      </c>
      <c r="B10114">
        <f>TEST_DATA!B10114</f>
        <v/>
      </c>
      <c r="C10114">
        <f>TEST_DATA!C10114</f>
        <v/>
      </c>
      <c r="D10114">
        <f>TEST_DATA!D10114</f>
        <v/>
      </c>
      <c r="E10114">
        <f>TEST_DATA!E10114</f>
        <v/>
      </c>
    </row>
    <row r="10115">
      <c r="A10115">
        <f>TEST_DATA!A10115</f>
        <v/>
      </c>
      <c r="B10115">
        <f>TEST_DATA!B10115</f>
        <v/>
      </c>
      <c r="C10115">
        <f>TEST_DATA!C10115</f>
        <v/>
      </c>
      <c r="D10115">
        <f>TEST_DATA!D10115</f>
        <v/>
      </c>
      <c r="E10115">
        <f>TEST_DATA!E10115</f>
        <v/>
      </c>
    </row>
    <row r="10116">
      <c r="A10116">
        <f>TEST_DATA!A10116</f>
        <v/>
      </c>
      <c r="B10116">
        <f>TEST_DATA!B10116</f>
        <v/>
      </c>
      <c r="C10116">
        <f>TEST_DATA!C10116</f>
        <v/>
      </c>
      <c r="D10116">
        <f>TEST_DATA!D10116</f>
        <v/>
      </c>
      <c r="E10116">
        <f>TEST_DATA!E10116</f>
        <v/>
      </c>
    </row>
    <row r="10117">
      <c r="A10117">
        <f>TEST_DATA!A10117</f>
        <v/>
      </c>
      <c r="B10117">
        <f>TEST_DATA!B10117</f>
        <v/>
      </c>
      <c r="C10117">
        <f>TEST_DATA!C10117</f>
        <v/>
      </c>
      <c r="D10117">
        <f>TEST_DATA!D10117</f>
        <v/>
      </c>
      <c r="E10117">
        <f>TEST_DATA!E10117</f>
        <v/>
      </c>
    </row>
    <row r="10118">
      <c r="A10118">
        <f>TEST_DATA!A10118</f>
        <v/>
      </c>
      <c r="B10118">
        <f>TEST_DATA!B10118</f>
        <v/>
      </c>
      <c r="C10118">
        <f>TEST_DATA!C10118</f>
        <v/>
      </c>
      <c r="D10118">
        <f>TEST_DATA!D10118</f>
        <v/>
      </c>
      <c r="E10118">
        <f>TEST_DATA!E10118</f>
        <v/>
      </c>
    </row>
    <row r="10119">
      <c r="A10119">
        <f>TEST_DATA!A10119</f>
        <v/>
      </c>
      <c r="B10119">
        <f>TEST_DATA!B10119</f>
        <v/>
      </c>
      <c r="C10119">
        <f>TEST_DATA!C10119</f>
        <v/>
      </c>
      <c r="D10119">
        <f>TEST_DATA!D10119</f>
        <v/>
      </c>
      <c r="E10119">
        <f>TEST_DATA!E10119</f>
        <v/>
      </c>
    </row>
    <row r="10120">
      <c r="A10120">
        <f>TEST_DATA!A10120</f>
        <v/>
      </c>
      <c r="B10120">
        <f>TEST_DATA!B10120</f>
        <v/>
      </c>
      <c r="C10120">
        <f>TEST_DATA!C10120</f>
        <v/>
      </c>
      <c r="D10120">
        <f>TEST_DATA!D10120</f>
        <v/>
      </c>
      <c r="E10120">
        <f>TEST_DATA!E10120</f>
        <v/>
      </c>
    </row>
    <row r="10121">
      <c r="A10121">
        <f>TEST_DATA!A10121</f>
        <v/>
      </c>
      <c r="B10121">
        <f>TEST_DATA!B10121</f>
        <v/>
      </c>
      <c r="C10121">
        <f>TEST_DATA!C10121</f>
        <v/>
      </c>
      <c r="D10121">
        <f>TEST_DATA!D10121</f>
        <v/>
      </c>
      <c r="E10121">
        <f>TEST_DATA!E10121</f>
        <v/>
      </c>
    </row>
    <row r="10122">
      <c r="A10122">
        <f>TEST_DATA!A10122</f>
        <v/>
      </c>
      <c r="B10122">
        <f>TEST_DATA!B10122</f>
        <v/>
      </c>
      <c r="C10122">
        <f>TEST_DATA!C10122</f>
        <v/>
      </c>
      <c r="D10122">
        <f>TEST_DATA!D10122</f>
        <v/>
      </c>
      <c r="E10122">
        <f>TEST_DATA!E10122</f>
        <v/>
      </c>
    </row>
    <row r="10123">
      <c r="A10123">
        <f>TEST_DATA!A10123</f>
        <v/>
      </c>
      <c r="B10123">
        <f>TEST_DATA!B10123</f>
        <v/>
      </c>
      <c r="C10123">
        <f>TEST_DATA!C10123</f>
        <v/>
      </c>
      <c r="D10123">
        <f>TEST_DATA!D10123</f>
        <v/>
      </c>
      <c r="E10123">
        <f>TEST_DATA!E10123</f>
        <v/>
      </c>
    </row>
    <row r="10124">
      <c r="A10124">
        <f>TEST_DATA!A10124</f>
        <v/>
      </c>
      <c r="B10124">
        <f>TEST_DATA!B10124</f>
        <v/>
      </c>
      <c r="C10124">
        <f>TEST_DATA!C10124</f>
        <v/>
      </c>
      <c r="D10124">
        <f>TEST_DATA!D10124</f>
        <v/>
      </c>
      <c r="E10124">
        <f>TEST_DATA!E10124</f>
        <v/>
      </c>
    </row>
    <row r="10125">
      <c r="A10125">
        <f>TEST_DATA!A10125</f>
        <v/>
      </c>
      <c r="B10125">
        <f>TEST_DATA!B10125</f>
        <v/>
      </c>
      <c r="C10125">
        <f>TEST_DATA!C10125</f>
        <v/>
      </c>
      <c r="D10125">
        <f>TEST_DATA!D10125</f>
        <v/>
      </c>
      <c r="E10125">
        <f>TEST_DATA!E10125</f>
        <v/>
      </c>
    </row>
    <row r="10126">
      <c r="A10126">
        <f>TEST_DATA!A10126</f>
        <v/>
      </c>
      <c r="B10126">
        <f>TEST_DATA!B10126</f>
        <v/>
      </c>
      <c r="C10126">
        <f>TEST_DATA!C10126</f>
        <v/>
      </c>
      <c r="D10126">
        <f>TEST_DATA!D10126</f>
        <v/>
      </c>
      <c r="E10126">
        <f>TEST_DATA!E10126</f>
        <v/>
      </c>
    </row>
    <row r="10127">
      <c r="A10127">
        <f>TEST_DATA!A10127</f>
        <v/>
      </c>
      <c r="B10127">
        <f>TEST_DATA!B10127</f>
        <v/>
      </c>
      <c r="C10127">
        <f>TEST_DATA!C10127</f>
        <v/>
      </c>
      <c r="D10127">
        <f>TEST_DATA!D10127</f>
        <v/>
      </c>
      <c r="E10127">
        <f>TEST_DATA!E10127</f>
        <v/>
      </c>
    </row>
    <row r="10128">
      <c r="A10128">
        <f>TEST_DATA!A10128</f>
        <v/>
      </c>
      <c r="B10128">
        <f>TEST_DATA!B10128</f>
        <v/>
      </c>
      <c r="C10128">
        <f>TEST_DATA!C10128</f>
        <v/>
      </c>
      <c r="D10128">
        <f>TEST_DATA!D10128</f>
        <v/>
      </c>
      <c r="E10128">
        <f>TEST_DATA!E10128</f>
        <v/>
      </c>
    </row>
    <row r="10129">
      <c r="A10129">
        <f>TEST_DATA!A10129</f>
        <v/>
      </c>
      <c r="B10129">
        <f>TEST_DATA!B10129</f>
        <v/>
      </c>
      <c r="C10129">
        <f>TEST_DATA!C10129</f>
        <v/>
      </c>
      <c r="D10129">
        <f>TEST_DATA!D10129</f>
        <v/>
      </c>
      <c r="E10129">
        <f>TEST_DATA!E10129</f>
        <v/>
      </c>
    </row>
    <row r="10130">
      <c r="A10130">
        <f>TEST_DATA!A10130</f>
        <v/>
      </c>
      <c r="B10130">
        <f>TEST_DATA!B10130</f>
        <v/>
      </c>
      <c r="C10130">
        <f>TEST_DATA!C10130</f>
        <v/>
      </c>
      <c r="D10130">
        <f>TEST_DATA!D10130</f>
        <v/>
      </c>
      <c r="E10130">
        <f>TEST_DATA!E10130</f>
        <v/>
      </c>
    </row>
    <row r="10131">
      <c r="A10131">
        <f>TEST_DATA!A10131</f>
        <v/>
      </c>
      <c r="B10131">
        <f>TEST_DATA!B10131</f>
        <v/>
      </c>
      <c r="C10131">
        <f>TEST_DATA!C10131</f>
        <v/>
      </c>
      <c r="D10131">
        <f>TEST_DATA!D10131</f>
        <v/>
      </c>
      <c r="E10131">
        <f>TEST_DATA!E10131</f>
        <v/>
      </c>
    </row>
    <row r="10132">
      <c r="A10132">
        <f>TEST_DATA!A10132</f>
        <v/>
      </c>
      <c r="B10132">
        <f>TEST_DATA!B10132</f>
        <v/>
      </c>
      <c r="C10132">
        <f>TEST_DATA!C10132</f>
        <v/>
      </c>
      <c r="D10132">
        <f>TEST_DATA!D10132</f>
        <v/>
      </c>
      <c r="E10132">
        <f>TEST_DATA!E10132</f>
        <v/>
      </c>
    </row>
    <row r="10133">
      <c r="A10133">
        <f>TEST_DATA!A10133</f>
        <v/>
      </c>
      <c r="B10133">
        <f>TEST_DATA!B10133</f>
        <v/>
      </c>
      <c r="C10133">
        <f>TEST_DATA!C10133</f>
        <v/>
      </c>
      <c r="D10133">
        <f>TEST_DATA!D10133</f>
        <v/>
      </c>
      <c r="E10133">
        <f>TEST_DATA!E10133</f>
        <v/>
      </c>
    </row>
    <row r="10134">
      <c r="A10134">
        <f>TEST_DATA!A10134</f>
        <v/>
      </c>
      <c r="B10134">
        <f>TEST_DATA!B10134</f>
        <v/>
      </c>
      <c r="C10134">
        <f>TEST_DATA!C10134</f>
        <v/>
      </c>
      <c r="D10134">
        <f>TEST_DATA!D10134</f>
        <v/>
      </c>
      <c r="E10134">
        <f>TEST_DATA!E10134</f>
        <v/>
      </c>
    </row>
    <row r="10135">
      <c r="A10135">
        <f>TEST_DATA!A10135</f>
        <v/>
      </c>
      <c r="B10135">
        <f>TEST_DATA!B10135</f>
        <v/>
      </c>
      <c r="C10135">
        <f>TEST_DATA!C10135</f>
        <v/>
      </c>
      <c r="D10135">
        <f>TEST_DATA!D10135</f>
        <v/>
      </c>
      <c r="E10135">
        <f>TEST_DATA!E10135</f>
        <v/>
      </c>
    </row>
    <row r="10136">
      <c r="A10136">
        <f>TEST_DATA!A10136</f>
        <v/>
      </c>
      <c r="B10136">
        <f>TEST_DATA!B10136</f>
        <v/>
      </c>
      <c r="C10136">
        <f>TEST_DATA!C10136</f>
        <v/>
      </c>
      <c r="D10136">
        <f>TEST_DATA!D10136</f>
        <v/>
      </c>
      <c r="E10136">
        <f>TEST_DATA!E10136</f>
        <v/>
      </c>
    </row>
    <row r="10137">
      <c r="A10137">
        <f>TEST_DATA!A10137</f>
        <v/>
      </c>
      <c r="B10137">
        <f>TEST_DATA!B10137</f>
        <v/>
      </c>
      <c r="C10137">
        <f>TEST_DATA!C10137</f>
        <v/>
      </c>
      <c r="D10137">
        <f>TEST_DATA!D10137</f>
        <v/>
      </c>
      <c r="E10137">
        <f>TEST_DATA!E10137</f>
        <v/>
      </c>
    </row>
    <row r="10138">
      <c r="A10138">
        <f>TEST_DATA!A10138</f>
        <v/>
      </c>
      <c r="B10138">
        <f>TEST_DATA!B10138</f>
        <v/>
      </c>
      <c r="C10138">
        <f>TEST_DATA!C10138</f>
        <v/>
      </c>
      <c r="D10138">
        <f>TEST_DATA!D10138</f>
        <v/>
      </c>
      <c r="E10138">
        <f>TEST_DATA!E10138</f>
        <v/>
      </c>
    </row>
    <row r="10139">
      <c r="A10139">
        <f>TEST_DATA!A10139</f>
        <v/>
      </c>
      <c r="B10139">
        <f>TEST_DATA!B10139</f>
        <v/>
      </c>
      <c r="C10139">
        <f>TEST_DATA!C10139</f>
        <v/>
      </c>
      <c r="D10139">
        <f>TEST_DATA!D10139</f>
        <v/>
      </c>
      <c r="E10139">
        <f>TEST_DATA!E10139</f>
        <v/>
      </c>
    </row>
    <row r="10140">
      <c r="A10140">
        <f>TEST_DATA!A10140</f>
        <v/>
      </c>
      <c r="B10140">
        <f>TEST_DATA!B10140</f>
        <v/>
      </c>
      <c r="C10140">
        <f>TEST_DATA!C10140</f>
        <v/>
      </c>
      <c r="D10140">
        <f>TEST_DATA!D10140</f>
        <v/>
      </c>
      <c r="E10140">
        <f>TEST_DATA!E10140</f>
        <v/>
      </c>
    </row>
    <row r="10141">
      <c r="A10141">
        <f>TEST_DATA!A10141</f>
        <v/>
      </c>
      <c r="B10141">
        <f>TEST_DATA!B10141</f>
        <v/>
      </c>
      <c r="C10141">
        <f>TEST_DATA!C10141</f>
        <v/>
      </c>
      <c r="D10141">
        <f>TEST_DATA!D10141</f>
        <v/>
      </c>
      <c r="E10141">
        <f>TEST_DATA!E10141</f>
        <v/>
      </c>
    </row>
    <row r="10142">
      <c r="A10142">
        <f>TEST_DATA!A10142</f>
        <v/>
      </c>
      <c r="B10142">
        <f>TEST_DATA!B10142</f>
        <v/>
      </c>
      <c r="C10142">
        <f>TEST_DATA!C10142</f>
        <v/>
      </c>
      <c r="D10142">
        <f>TEST_DATA!D10142</f>
        <v/>
      </c>
      <c r="E10142">
        <f>TEST_DATA!E10142</f>
        <v/>
      </c>
    </row>
    <row r="10143">
      <c r="A10143">
        <f>TEST_DATA!A10143</f>
        <v/>
      </c>
      <c r="B10143">
        <f>TEST_DATA!B10143</f>
        <v/>
      </c>
      <c r="C10143">
        <f>TEST_DATA!C10143</f>
        <v/>
      </c>
      <c r="D10143">
        <f>TEST_DATA!D10143</f>
        <v/>
      </c>
      <c r="E10143">
        <f>TEST_DATA!E10143</f>
        <v/>
      </c>
    </row>
    <row r="10144">
      <c r="A10144">
        <f>TEST_DATA!A10144</f>
        <v/>
      </c>
      <c r="B10144">
        <f>TEST_DATA!B10144</f>
        <v/>
      </c>
      <c r="C10144">
        <f>TEST_DATA!C10144</f>
        <v/>
      </c>
      <c r="D10144">
        <f>TEST_DATA!D10144</f>
        <v/>
      </c>
      <c r="E10144">
        <f>TEST_DATA!E10144</f>
        <v/>
      </c>
    </row>
    <row r="10145">
      <c r="A10145">
        <f>TEST_DATA!A10145</f>
        <v/>
      </c>
      <c r="B10145">
        <f>TEST_DATA!B10145</f>
        <v/>
      </c>
      <c r="C10145">
        <f>TEST_DATA!C10145</f>
        <v/>
      </c>
      <c r="D10145">
        <f>TEST_DATA!D10145</f>
        <v/>
      </c>
      <c r="E10145">
        <f>TEST_DATA!E10145</f>
        <v/>
      </c>
    </row>
    <row r="10146">
      <c r="A10146">
        <f>TEST_DATA!A10146</f>
        <v/>
      </c>
      <c r="B10146">
        <f>TEST_DATA!B10146</f>
        <v/>
      </c>
      <c r="C10146">
        <f>TEST_DATA!C10146</f>
        <v/>
      </c>
      <c r="D10146">
        <f>TEST_DATA!D10146</f>
        <v/>
      </c>
      <c r="E10146">
        <f>TEST_DATA!E10146</f>
        <v/>
      </c>
    </row>
    <row r="10147">
      <c r="A10147">
        <f>TEST_DATA!A10147</f>
        <v/>
      </c>
      <c r="B10147">
        <f>TEST_DATA!B10147</f>
        <v/>
      </c>
      <c r="C10147">
        <f>TEST_DATA!C10147</f>
        <v/>
      </c>
      <c r="D10147">
        <f>TEST_DATA!D10147</f>
        <v/>
      </c>
      <c r="E10147">
        <f>TEST_DATA!E10147</f>
        <v/>
      </c>
    </row>
    <row r="10148">
      <c r="A10148">
        <f>TEST_DATA!A10148</f>
        <v/>
      </c>
      <c r="B10148">
        <f>TEST_DATA!B10148</f>
        <v/>
      </c>
      <c r="C10148">
        <f>TEST_DATA!C10148</f>
        <v/>
      </c>
      <c r="D10148">
        <f>TEST_DATA!D10148</f>
        <v/>
      </c>
      <c r="E10148">
        <f>TEST_DATA!E10148</f>
        <v/>
      </c>
    </row>
    <row r="10149">
      <c r="A10149">
        <f>TEST_DATA!A10149</f>
        <v/>
      </c>
      <c r="B10149">
        <f>TEST_DATA!B10149</f>
        <v/>
      </c>
      <c r="C10149">
        <f>TEST_DATA!C10149</f>
        <v/>
      </c>
      <c r="D10149">
        <f>TEST_DATA!D10149</f>
        <v/>
      </c>
      <c r="E10149">
        <f>TEST_DATA!E10149</f>
        <v/>
      </c>
    </row>
    <row r="10150">
      <c r="A10150">
        <f>TEST_DATA!A10150</f>
        <v/>
      </c>
      <c r="B10150">
        <f>TEST_DATA!B10150</f>
        <v/>
      </c>
      <c r="C10150">
        <f>TEST_DATA!C10150</f>
        <v/>
      </c>
      <c r="D10150">
        <f>TEST_DATA!D10150</f>
        <v/>
      </c>
      <c r="E10150">
        <f>TEST_DATA!E10150</f>
        <v/>
      </c>
    </row>
    <row r="10151">
      <c r="A10151">
        <f>TEST_DATA!A10151</f>
        <v/>
      </c>
      <c r="B10151">
        <f>TEST_DATA!B10151</f>
        <v/>
      </c>
      <c r="C10151">
        <f>TEST_DATA!C10151</f>
        <v/>
      </c>
      <c r="D10151">
        <f>TEST_DATA!D10151</f>
        <v/>
      </c>
      <c r="E10151">
        <f>TEST_DATA!E10151</f>
        <v/>
      </c>
    </row>
    <row r="10152">
      <c r="A10152">
        <f>TEST_DATA!A10152</f>
        <v/>
      </c>
      <c r="B10152">
        <f>TEST_DATA!B10152</f>
        <v/>
      </c>
      <c r="C10152">
        <f>TEST_DATA!C10152</f>
        <v/>
      </c>
      <c r="D10152">
        <f>TEST_DATA!D10152</f>
        <v/>
      </c>
      <c r="E10152">
        <f>TEST_DATA!E10152</f>
        <v/>
      </c>
    </row>
    <row r="10153">
      <c r="A10153">
        <f>TEST_DATA!A10153</f>
        <v/>
      </c>
      <c r="B10153">
        <f>TEST_DATA!B10153</f>
        <v/>
      </c>
      <c r="C10153">
        <f>TEST_DATA!C10153</f>
        <v/>
      </c>
      <c r="D10153">
        <f>TEST_DATA!D10153</f>
        <v/>
      </c>
      <c r="E10153">
        <f>TEST_DATA!E10153</f>
        <v/>
      </c>
    </row>
    <row r="10154">
      <c r="A10154">
        <f>TEST_DATA!A10154</f>
        <v/>
      </c>
      <c r="B10154">
        <f>TEST_DATA!B10154</f>
        <v/>
      </c>
      <c r="C10154">
        <f>TEST_DATA!C10154</f>
        <v/>
      </c>
      <c r="D10154">
        <f>TEST_DATA!D10154</f>
        <v/>
      </c>
      <c r="E10154">
        <f>TEST_DATA!E10154</f>
        <v/>
      </c>
    </row>
    <row r="10155">
      <c r="A10155">
        <f>TEST_DATA!A10155</f>
        <v/>
      </c>
      <c r="B10155">
        <f>TEST_DATA!B10155</f>
        <v/>
      </c>
      <c r="C10155">
        <f>TEST_DATA!C10155</f>
        <v/>
      </c>
      <c r="D10155">
        <f>TEST_DATA!D10155</f>
        <v/>
      </c>
      <c r="E10155">
        <f>TEST_DATA!E10155</f>
        <v/>
      </c>
    </row>
    <row r="10156">
      <c r="A10156">
        <f>TEST_DATA!A10156</f>
        <v/>
      </c>
      <c r="B10156">
        <f>TEST_DATA!B10156</f>
        <v/>
      </c>
      <c r="C10156">
        <f>TEST_DATA!C10156</f>
        <v/>
      </c>
      <c r="D10156">
        <f>TEST_DATA!D10156</f>
        <v/>
      </c>
      <c r="E10156">
        <f>TEST_DATA!E10156</f>
        <v/>
      </c>
    </row>
    <row r="10157">
      <c r="A10157">
        <f>TEST_DATA!A10157</f>
        <v/>
      </c>
      <c r="B10157">
        <f>TEST_DATA!B10157</f>
        <v/>
      </c>
      <c r="C10157">
        <f>TEST_DATA!C10157</f>
        <v/>
      </c>
      <c r="D10157">
        <f>TEST_DATA!D10157</f>
        <v/>
      </c>
      <c r="E10157">
        <f>TEST_DATA!E10157</f>
        <v/>
      </c>
    </row>
    <row r="10158">
      <c r="A10158">
        <f>TEST_DATA!A10158</f>
        <v/>
      </c>
      <c r="B10158">
        <f>TEST_DATA!B10158</f>
        <v/>
      </c>
      <c r="C10158">
        <f>TEST_DATA!C10158</f>
        <v/>
      </c>
      <c r="D10158">
        <f>TEST_DATA!D10158</f>
        <v/>
      </c>
      <c r="E10158">
        <f>TEST_DATA!E10158</f>
        <v/>
      </c>
    </row>
    <row r="10159">
      <c r="A10159">
        <f>TEST_DATA!A10159</f>
        <v/>
      </c>
      <c r="B10159">
        <f>TEST_DATA!B10159</f>
        <v/>
      </c>
      <c r="C10159">
        <f>TEST_DATA!C10159</f>
        <v/>
      </c>
      <c r="D10159">
        <f>TEST_DATA!D10159</f>
        <v/>
      </c>
      <c r="E10159">
        <f>TEST_DATA!E10159</f>
        <v/>
      </c>
    </row>
    <row r="10160">
      <c r="A10160">
        <f>TEST_DATA!A10160</f>
        <v/>
      </c>
      <c r="B10160">
        <f>TEST_DATA!B10160</f>
        <v/>
      </c>
      <c r="C10160">
        <f>TEST_DATA!C10160</f>
        <v/>
      </c>
      <c r="D10160">
        <f>TEST_DATA!D10160</f>
        <v/>
      </c>
      <c r="E10160">
        <f>TEST_DATA!E10160</f>
        <v/>
      </c>
    </row>
    <row r="10161">
      <c r="A10161">
        <f>TEST_DATA!A10161</f>
        <v/>
      </c>
      <c r="B10161">
        <f>TEST_DATA!B10161</f>
        <v/>
      </c>
      <c r="C10161">
        <f>TEST_DATA!C10161</f>
        <v/>
      </c>
      <c r="D10161">
        <f>TEST_DATA!D10161</f>
        <v/>
      </c>
      <c r="E10161">
        <f>TEST_DATA!E10161</f>
        <v/>
      </c>
    </row>
    <row r="10162">
      <c r="A10162">
        <f>TEST_DATA!A10162</f>
        <v/>
      </c>
      <c r="B10162">
        <f>TEST_DATA!B10162</f>
        <v/>
      </c>
      <c r="C10162">
        <f>TEST_DATA!C10162</f>
        <v/>
      </c>
      <c r="D10162">
        <f>TEST_DATA!D10162</f>
        <v/>
      </c>
      <c r="E10162">
        <f>TEST_DATA!E10162</f>
        <v/>
      </c>
    </row>
    <row r="10163">
      <c r="A10163">
        <f>TEST_DATA!A10163</f>
        <v/>
      </c>
      <c r="B10163">
        <f>TEST_DATA!B10163</f>
        <v/>
      </c>
      <c r="C10163">
        <f>TEST_DATA!C10163</f>
        <v/>
      </c>
      <c r="D10163">
        <f>TEST_DATA!D10163</f>
        <v/>
      </c>
      <c r="E10163">
        <f>TEST_DATA!E10163</f>
        <v/>
      </c>
    </row>
    <row r="10164">
      <c r="A10164">
        <f>TEST_DATA!A10164</f>
        <v/>
      </c>
      <c r="B10164">
        <f>TEST_DATA!B10164</f>
        <v/>
      </c>
      <c r="C10164">
        <f>TEST_DATA!C10164</f>
        <v/>
      </c>
      <c r="D10164">
        <f>TEST_DATA!D10164</f>
        <v/>
      </c>
      <c r="E10164">
        <f>TEST_DATA!E10164</f>
        <v/>
      </c>
    </row>
    <row r="10165">
      <c r="A10165">
        <f>TEST_DATA!A10165</f>
        <v/>
      </c>
      <c r="B10165">
        <f>TEST_DATA!B10165</f>
        <v/>
      </c>
      <c r="C10165">
        <f>TEST_DATA!C10165</f>
        <v/>
      </c>
      <c r="D10165">
        <f>TEST_DATA!D10165</f>
        <v/>
      </c>
      <c r="E10165">
        <f>TEST_DATA!E10165</f>
        <v/>
      </c>
    </row>
    <row r="10166">
      <c r="A10166">
        <f>TEST_DATA!A10166</f>
        <v/>
      </c>
      <c r="B10166">
        <f>TEST_DATA!B10166</f>
        <v/>
      </c>
      <c r="C10166">
        <f>TEST_DATA!C10166</f>
        <v/>
      </c>
      <c r="D10166">
        <f>TEST_DATA!D10166</f>
        <v/>
      </c>
      <c r="E10166">
        <f>TEST_DATA!E10166</f>
        <v/>
      </c>
    </row>
    <row r="10167">
      <c r="A10167">
        <f>TEST_DATA!A10167</f>
        <v/>
      </c>
      <c r="B10167">
        <f>TEST_DATA!B10167</f>
        <v/>
      </c>
      <c r="C10167">
        <f>TEST_DATA!C10167</f>
        <v/>
      </c>
      <c r="D10167">
        <f>TEST_DATA!D10167</f>
        <v/>
      </c>
      <c r="E10167">
        <f>TEST_DATA!E10167</f>
        <v/>
      </c>
    </row>
    <row r="10168">
      <c r="A10168">
        <f>TEST_DATA!A10168</f>
        <v/>
      </c>
      <c r="B10168">
        <f>TEST_DATA!B10168</f>
        <v/>
      </c>
      <c r="C10168">
        <f>TEST_DATA!C10168</f>
        <v/>
      </c>
      <c r="D10168">
        <f>TEST_DATA!D10168</f>
        <v/>
      </c>
      <c r="E10168">
        <f>TEST_DATA!E10168</f>
        <v/>
      </c>
    </row>
    <row r="10169">
      <c r="A10169">
        <f>TEST_DATA!A10169</f>
        <v/>
      </c>
      <c r="B10169">
        <f>TEST_DATA!B10169</f>
        <v/>
      </c>
      <c r="C10169">
        <f>TEST_DATA!C10169</f>
        <v/>
      </c>
      <c r="D10169">
        <f>TEST_DATA!D10169</f>
        <v/>
      </c>
      <c r="E10169">
        <f>TEST_DATA!E10169</f>
        <v/>
      </c>
    </row>
    <row r="10170">
      <c r="A10170">
        <f>TEST_DATA!A10170</f>
        <v/>
      </c>
      <c r="B10170">
        <f>TEST_DATA!B10170</f>
        <v/>
      </c>
      <c r="C10170">
        <f>TEST_DATA!C10170</f>
        <v/>
      </c>
      <c r="D10170">
        <f>TEST_DATA!D10170</f>
        <v/>
      </c>
      <c r="E10170">
        <f>TEST_DATA!E10170</f>
        <v/>
      </c>
    </row>
    <row r="10171">
      <c r="A10171">
        <f>TEST_DATA!A10171</f>
        <v/>
      </c>
      <c r="B10171">
        <f>TEST_DATA!B10171</f>
        <v/>
      </c>
      <c r="C10171">
        <f>TEST_DATA!C10171</f>
        <v/>
      </c>
      <c r="D10171">
        <f>TEST_DATA!D10171</f>
        <v/>
      </c>
      <c r="E10171">
        <f>TEST_DATA!E10171</f>
        <v/>
      </c>
    </row>
    <row r="10172">
      <c r="A10172">
        <f>TEST_DATA!A10172</f>
        <v/>
      </c>
      <c r="B10172">
        <f>TEST_DATA!B10172</f>
        <v/>
      </c>
      <c r="C10172">
        <f>TEST_DATA!C10172</f>
        <v/>
      </c>
      <c r="D10172">
        <f>TEST_DATA!D10172</f>
        <v/>
      </c>
      <c r="E10172">
        <f>TEST_DATA!E10172</f>
        <v/>
      </c>
    </row>
    <row r="10173">
      <c r="A10173">
        <f>TEST_DATA!A10173</f>
        <v/>
      </c>
      <c r="B10173">
        <f>TEST_DATA!B10173</f>
        <v/>
      </c>
      <c r="C10173">
        <f>TEST_DATA!C10173</f>
        <v/>
      </c>
      <c r="D10173">
        <f>TEST_DATA!D10173</f>
        <v/>
      </c>
      <c r="E10173">
        <f>TEST_DATA!E10173</f>
        <v/>
      </c>
    </row>
    <row r="10174">
      <c r="A10174">
        <f>TEST_DATA!A10174</f>
        <v/>
      </c>
      <c r="B10174">
        <f>TEST_DATA!B10174</f>
        <v/>
      </c>
      <c r="C10174">
        <f>TEST_DATA!C10174</f>
        <v/>
      </c>
      <c r="D10174">
        <f>TEST_DATA!D10174</f>
        <v/>
      </c>
      <c r="E10174">
        <f>TEST_DATA!E10174</f>
        <v/>
      </c>
    </row>
    <row r="10175">
      <c r="A10175">
        <f>TEST_DATA!A10175</f>
        <v/>
      </c>
      <c r="B10175">
        <f>TEST_DATA!B10175</f>
        <v/>
      </c>
      <c r="C10175">
        <f>TEST_DATA!C10175</f>
        <v/>
      </c>
      <c r="D10175">
        <f>TEST_DATA!D10175</f>
        <v/>
      </c>
      <c r="E10175">
        <f>TEST_DATA!E10175</f>
        <v/>
      </c>
    </row>
    <row r="10176">
      <c r="A10176">
        <f>TEST_DATA!A10176</f>
        <v/>
      </c>
      <c r="B10176">
        <f>TEST_DATA!B10176</f>
        <v/>
      </c>
      <c r="C10176">
        <f>TEST_DATA!C10176</f>
        <v/>
      </c>
      <c r="D10176">
        <f>TEST_DATA!D10176</f>
        <v/>
      </c>
      <c r="E10176">
        <f>TEST_DATA!E10176</f>
        <v/>
      </c>
    </row>
    <row r="10177">
      <c r="A10177">
        <f>TEST_DATA!A10177</f>
        <v/>
      </c>
      <c r="B10177">
        <f>TEST_DATA!B10177</f>
        <v/>
      </c>
      <c r="C10177">
        <f>TEST_DATA!C10177</f>
        <v/>
      </c>
      <c r="D10177">
        <f>TEST_DATA!D10177</f>
        <v/>
      </c>
      <c r="E10177">
        <f>TEST_DATA!E10177</f>
        <v/>
      </c>
    </row>
    <row r="10178">
      <c r="A10178">
        <f>TEST_DATA!A10178</f>
        <v/>
      </c>
      <c r="B10178">
        <f>TEST_DATA!B10178</f>
        <v/>
      </c>
      <c r="C10178">
        <f>TEST_DATA!C10178</f>
        <v/>
      </c>
      <c r="D10178">
        <f>TEST_DATA!D10178</f>
        <v/>
      </c>
      <c r="E10178">
        <f>TEST_DATA!E10178</f>
        <v/>
      </c>
    </row>
    <row r="10179">
      <c r="A10179">
        <f>TEST_DATA!A10179</f>
        <v/>
      </c>
      <c r="B10179">
        <f>TEST_DATA!B10179</f>
        <v/>
      </c>
      <c r="C10179">
        <f>TEST_DATA!C10179</f>
        <v/>
      </c>
      <c r="D10179">
        <f>TEST_DATA!D10179</f>
        <v/>
      </c>
      <c r="E10179">
        <f>TEST_DATA!E10179</f>
        <v/>
      </c>
    </row>
    <row r="10180">
      <c r="A10180">
        <f>TEST_DATA!A10180</f>
        <v/>
      </c>
      <c r="B10180">
        <f>TEST_DATA!B10180</f>
        <v/>
      </c>
      <c r="C10180">
        <f>TEST_DATA!C10180</f>
        <v/>
      </c>
      <c r="D10180">
        <f>TEST_DATA!D10180</f>
        <v/>
      </c>
      <c r="E10180">
        <f>TEST_DATA!E10180</f>
        <v/>
      </c>
    </row>
    <row r="10181">
      <c r="A10181">
        <f>TEST_DATA!A10181</f>
        <v/>
      </c>
      <c r="B10181">
        <f>TEST_DATA!B10181</f>
        <v/>
      </c>
      <c r="C10181">
        <f>TEST_DATA!C10181</f>
        <v/>
      </c>
      <c r="D10181">
        <f>TEST_DATA!D10181</f>
        <v/>
      </c>
      <c r="E10181">
        <f>TEST_DATA!E10181</f>
        <v/>
      </c>
    </row>
    <row r="10182">
      <c r="A10182">
        <f>TEST_DATA!A10182</f>
        <v/>
      </c>
      <c r="B10182">
        <f>TEST_DATA!B10182</f>
        <v/>
      </c>
      <c r="C10182">
        <f>TEST_DATA!C10182</f>
        <v/>
      </c>
      <c r="D10182">
        <f>TEST_DATA!D10182</f>
        <v/>
      </c>
      <c r="E10182">
        <f>TEST_DATA!E10182</f>
        <v/>
      </c>
    </row>
    <row r="10183">
      <c r="A10183">
        <f>TEST_DATA!A10183</f>
        <v/>
      </c>
      <c r="B10183">
        <f>TEST_DATA!B10183</f>
        <v/>
      </c>
      <c r="C10183">
        <f>TEST_DATA!C10183</f>
        <v/>
      </c>
      <c r="D10183">
        <f>TEST_DATA!D10183</f>
        <v/>
      </c>
      <c r="E10183">
        <f>TEST_DATA!E10183</f>
        <v/>
      </c>
    </row>
    <row r="10184">
      <c r="A10184">
        <f>TEST_DATA!A10184</f>
        <v/>
      </c>
      <c r="B10184">
        <f>TEST_DATA!B10184</f>
        <v/>
      </c>
      <c r="C10184">
        <f>TEST_DATA!C10184</f>
        <v/>
      </c>
      <c r="D10184">
        <f>TEST_DATA!D10184</f>
        <v/>
      </c>
      <c r="E10184">
        <f>TEST_DATA!E10184</f>
        <v/>
      </c>
    </row>
    <row r="10185">
      <c r="A10185">
        <f>TEST_DATA!A10185</f>
        <v/>
      </c>
      <c r="B10185">
        <f>TEST_DATA!B10185</f>
        <v/>
      </c>
      <c r="C10185">
        <f>TEST_DATA!C10185</f>
        <v/>
      </c>
      <c r="D10185">
        <f>TEST_DATA!D10185</f>
        <v/>
      </c>
      <c r="E10185">
        <f>TEST_DATA!E10185</f>
        <v/>
      </c>
    </row>
    <row r="10186">
      <c r="A10186">
        <f>TEST_DATA!A10186</f>
        <v/>
      </c>
      <c r="B10186">
        <f>TEST_DATA!B10186</f>
        <v/>
      </c>
      <c r="C10186">
        <f>TEST_DATA!C10186</f>
        <v/>
      </c>
      <c r="D10186">
        <f>TEST_DATA!D10186</f>
        <v/>
      </c>
      <c r="E10186">
        <f>TEST_DATA!E10186</f>
        <v/>
      </c>
    </row>
    <row r="10187">
      <c r="A10187">
        <f>TEST_DATA!A10187</f>
        <v/>
      </c>
      <c r="B10187">
        <f>TEST_DATA!B10187</f>
        <v/>
      </c>
      <c r="C10187">
        <f>TEST_DATA!C10187</f>
        <v/>
      </c>
      <c r="D10187">
        <f>TEST_DATA!D10187</f>
        <v/>
      </c>
      <c r="E10187">
        <f>TEST_DATA!E10187</f>
        <v/>
      </c>
    </row>
    <row r="10188">
      <c r="A10188">
        <f>TEST_DATA!A10188</f>
        <v/>
      </c>
      <c r="B10188">
        <f>TEST_DATA!B10188</f>
        <v/>
      </c>
      <c r="C10188">
        <f>TEST_DATA!C10188</f>
        <v/>
      </c>
      <c r="D10188">
        <f>TEST_DATA!D10188</f>
        <v/>
      </c>
      <c r="E10188">
        <f>TEST_DATA!E10188</f>
        <v/>
      </c>
    </row>
    <row r="10189">
      <c r="A10189">
        <f>TEST_DATA!A10189</f>
        <v/>
      </c>
      <c r="B10189">
        <f>TEST_DATA!B10189</f>
        <v/>
      </c>
      <c r="C10189">
        <f>TEST_DATA!C10189</f>
        <v/>
      </c>
      <c r="D10189">
        <f>TEST_DATA!D10189</f>
        <v/>
      </c>
      <c r="E10189">
        <f>TEST_DATA!E10189</f>
        <v/>
      </c>
    </row>
    <row r="10190">
      <c r="A10190">
        <f>TEST_DATA!A10190</f>
        <v/>
      </c>
      <c r="B10190">
        <f>TEST_DATA!B10190</f>
        <v/>
      </c>
      <c r="C10190">
        <f>TEST_DATA!C10190</f>
        <v/>
      </c>
      <c r="D10190">
        <f>TEST_DATA!D10190</f>
        <v/>
      </c>
      <c r="E10190">
        <f>TEST_DATA!E10190</f>
        <v/>
      </c>
    </row>
    <row r="10191">
      <c r="A10191">
        <f>TEST_DATA!A10191</f>
        <v/>
      </c>
      <c r="B10191">
        <f>TEST_DATA!B10191</f>
        <v/>
      </c>
      <c r="C10191">
        <f>TEST_DATA!C10191</f>
        <v/>
      </c>
      <c r="D10191">
        <f>TEST_DATA!D10191</f>
        <v/>
      </c>
      <c r="E10191">
        <f>TEST_DATA!E10191</f>
        <v/>
      </c>
    </row>
    <row r="10192">
      <c r="A10192">
        <f>TEST_DATA!A10192</f>
        <v/>
      </c>
      <c r="B10192">
        <f>TEST_DATA!B10192</f>
        <v/>
      </c>
      <c r="C10192">
        <f>TEST_DATA!C10192</f>
        <v/>
      </c>
      <c r="D10192">
        <f>TEST_DATA!D10192</f>
        <v/>
      </c>
      <c r="E10192">
        <f>TEST_DATA!E10192</f>
        <v/>
      </c>
    </row>
    <row r="10193">
      <c r="A10193">
        <f>TEST_DATA!A10193</f>
        <v/>
      </c>
      <c r="B10193">
        <f>TEST_DATA!B10193</f>
        <v/>
      </c>
      <c r="C10193">
        <f>TEST_DATA!C10193</f>
        <v/>
      </c>
      <c r="D10193">
        <f>TEST_DATA!D10193</f>
        <v/>
      </c>
      <c r="E10193">
        <f>TEST_DATA!E10193</f>
        <v/>
      </c>
    </row>
    <row r="10194">
      <c r="A10194">
        <f>TEST_DATA!A10194</f>
        <v/>
      </c>
      <c r="B10194">
        <f>TEST_DATA!B10194</f>
        <v/>
      </c>
      <c r="C10194">
        <f>TEST_DATA!C10194</f>
        <v/>
      </c>
      <c r="D10194">
        <f>TEST_DATA!D10194</f>
        <v/>
      </c>
      <c r="E10194">
        <f>TEST_DATA!E10194</f>
        <v/>
      </c>
    </row>
    <row r="10195">
      <c r="A10195">
        <f>TEST_DATA!A10195</f>
        <v/>
      </c>
      <c r="B10195">
        <f>TEST_DATA!B10195</f>
        <v/>
      </c>
      <c r="C10195">
        <f>TEST_DATA!C10195</f>
        <v/>
      </c>
      <c r="D10195">
        <f>TEST_DATA!D10195</f>
        <v/>
      </c>
      <c r="E10195">
        <f>TEST_DATA!E10195</f>
        <v/>
      </c>
    </row>
    <row r="10196">
      <c r="A10196">
        <f>TEST_DATA!A10196</f>
        <v/>
      </c>
      <c r="B10196">
        <f>TEST_DATA!B10196</f>
        <v/>
      </c>
      <c r="C10196">
        <f>TEST_DATA!C10196</f>
        <v/>
      </c>
      <c r="D10196">
        <f>TEST_DATA!D10196</f>
        <v/>
      </c>
      <c r="E10196">
        <f>TEST_DATA!E10196</f>
        <v/>
      </c>
    </row>
    <row r="10197">
      <c r="A10197">
        <f>TEST_DATA!A10197</f>
        <v/>
      </c>
      <c r="B10197">
        <f>TEST_DATA!B10197</f>
        <v/>
      </c>
      <c r="C10197">
        <f>TEST_DATA!C10197</f>
        <v/>
      </c>
      <c r="D10197">
        <f>TEST_DATA!D10197</f>
        <v/>
      </c>
      <c r="E10197">
        <f>TEST_DATA!E10197</f>
        <v/>
      </c>
    </row>
    <row r="10198">
      <c r="A10198">
        <f>TEST_DATA!A10198</f>
        <v/>
      </c>
      <c r="B10198">
        <f>TEST_DATA!B10198</f>
        <v/>
      </c>
      <c r="C10198">
        <f>TEST_DATA!C10198</f>
        <v/>
      </c>
      <c r="D10198">
        <f>TEST_DATA!D10198</f>
        <v/>
      </c>
      <c r="E10198">
        <f>TEST_DATA!E10198</f>
        <v/>
      </c>
    </row>
    <row r="10199">
      <c r="A10199">
        <f>TEST_DATA!A10199</f>
        <v/>
      </c>
      <c r="B10199">
        <f>TEST_DATA!B10199</f>
        <v/>
      </c>
      <c r="C10199">
        <f>TEST_DATA!C10199</f>
        <v/>
      </c>
      <c r="D10199">
        <f>TEST_DATA!D10199</f>
        <v/>
      </c>
      <c r="E10199">
        <f>TEST_DATA!E10199</f>
        <v/>
      </c>
    </row>
    <row r="10200">
      <c r="A10200">
        <f>TEST_DATA!A10200</f>
        <v/>
      </c>
      <c r="B10200">
        <f>TEST_DATA!B10200</f>
        <v/>
      </c>
      <c r="C10200">
        <f>TEST_DATA!C10200</f>
        <v/>
      </c>
      <c r="D10200">
        <f>TEST_DATA!D10200</f>
        <v/>
      </c>
      <c r="E10200">
        <f>TEST_DATA!E10200</f>
        <v/>
      </c>
    </row>
    <row r="10201">
      <c r="A10201">
        <f>TEST_DATA!A10201</f>
        <v/>
      </c>
      <c r="B10201">
        <f>TEST_DATA!B10201</f>
        <v/>
      </c>
      <c r="C10201">
        <f>TEST_DATA!C10201</f>
        <v/>
      </c>
      <c r="D10201">
        <f>TEST_DATA!D10201</f>
        <v/>
      </c>
      <c r="E10201">
        <f>TEST_DATA!E10201</f>
        <v/>
      </c>
    </row>
    <row r="10202">
      <c r="A10202">
        <f>TEST_DATA!A10202</f>
        <v/>
      </c>
      <c r="B10202">
        <f>TEST_DATA!B10202</f>
        <v/>
      </c>
      <c r="C10202">
        <f>TEST_DATA!C10202</f>
        <v/>
      </c>
      <c r="D10202">
        <f>TEST_DATA!D10202</f>
        <v/>
      </c>
      <c r="E10202">
        <f>TEST_DATA!E10202</f>
        <v/>
      </c>
    </row>
    <row r="10203">
      <c r="A10203">
        <f>TEST_DATA!A10203</f>
        <v/>
      </c>
      <c r="B10203">
        <f>TEST_DATA!B10203</f>
        <v/>
      </c>
      <c r="C10203">
        <f>TEST_DATA!C10203</f>
        <v/>
      </c>
      <c r="D10203">
        <f>TEST_DATA!D10203</f>
        <v/>
      </c>
      <c r="E10203">
        <f>TEST_DATA!E10203</f>
        <v/>
      </c>
    </row>
    <row r="10204">
      <c r="A10204">
        <f>TEST_DATA!A10204</f>
        <v/>
      </c>
      <c r="B10204">
        <f>TEST_DATA!B10204</f>
        <v/>
      </c>
      <c r="C10204">
        <f>TEST_DATA!C10204</f>
        <v/>
      </c>
      <c r="D10204">
        <f>TEST_DATA!D10204</f>
        <v/>
      </c>
      <c r="E10204">
        <f>TEST_DATA!E10204</f>
        <v/>
      </c>
    </row>
    <row r="10205">
      <c r="A10205">
        <f>TEST_DATA!A10205</f>
        <v/>
      </c>
      <c r="B10205">
        <f>TEST_DATA!B10205</f>
        <v/>
      </c>
      <c r="C10205">
        <f>TEST_DATA!C10205</f>
        <v/>
      </c>
      <c r="D10205">
        <f>TEST_DATA!D10205</f>
        <v/>
      </c>
      <c r="E10205">
        <f>TEST_DATA!E10205</f>
        <v/>
      </c>
    </row>
    <row r="10206">
      <c r="A10206">
        <f>TEST_DATA!A10206</f>
        <v/>
      </c>
      <c r="B10206">
        <f>TEST_DATA!B10206</f>
        <v/>
      </c>
      <c r="C10206">
        <f>TEST_DATA!C10206</f>
        <v/>
      </c>
      <c r="D10206">
        <f>TEST_DATA!D10206</f>
        <v/>
      </c>
      <c r="E10206">
        <f>TEST_DATA!E10206</f>
        <v/>
      </c>
    </row>
    <row r="10207">
      <c r="A10207">
        <f>TEST_DATA!A10207</f>
        <v/>
      </c>
      <c r="B10207">
        <f>TEST_DATA!B10207</f>
        <v/>
      </c>
      <c r="C10207">
        <f>TEST_DATA!C10207</f>
        <v/>
      </c>
      <c r="D10207">
        <f>TEST_DATA!D10207</f>
        <v/>
      </c>
      <c r="E10207">
        <f>TEST_DATA!E10207</f>
        <v/>
      </c>
    </row>
    <row r="10208">
      <c r="A10208">
        <f>TEST_DATA!A10208</f>
        <v/>
      </c>
      <c r="B10208">
        <f>TEST_DATA!B10208</f>
        <v/>
      </c>
      <c r="C10208">
        <f>TEST_DATA!C10208</f>
        <v/>
      </c>
      <c r="D10208">
        <f>TEST_DATA!D10208</f>
        <v/>
      </c>
      <c r="E10208">
        <f>TEST_DATA!E10208</f>
        <v/>
      </c>
    </row>
    <row r="10209">
      <c r="A10209">
        <f>TEST_DATA!A10209</f>
        <v/>
      </c>
      <c r="B10209">
        <f>TEST_DATA!B10209</f>
        <v/>
      </c>
      <c r="C10209">
        <f>TEST_DATA!C10209</f>
        <v/>
      </c>
      <c r="D10209">
        <f>TEST_DATA!D10209</f>
        <v/>
      </c>
      <c r="E10209">
        <f>TEST_DATA!E10209</f>
        <v/>
      </c>
    </row>
    <row r="10210">
      <c r="A10210">
        <f>TEST_DATA!A10210</f>
        <v/>
      </c>
      <c r="B10210">
        <f>TEST_DATA!B10210</f>
        <v/>
      </c>
      <c r="C10210">
        <f>TEST_DATA!C10210</f>
        <v/>
      </c>
      <c r="D10210">
        <f>TEST_DATA!D10210</f>
        <v/>
      </c>
      <c r="E10210">
        <f>TEST_DATA!E10210</f>
        <v/>
      </c>
    </row>
    <row r="10211">
      <c r="A10211">
        <f>TEST_DATA!A10211</f>
        <v/>
      </c>
      <c r="B10211">
        <f>TEST_DATA!B10211</f>
        <v/>
      </c>
      <c r="C10211">
        <f>TEST_DATA!C10211</f>
        <v/>
      </c>
      <c r="D10211">
        <f>TEST_DATA!D10211</f>
        <v/>
      </c>
      <c r="E10211">
        <f>TEST_DATA!E10211</f>
        <v/>
      </c>
    </row>
    <row r="10212">
      <c r="A10212">
        <f>TEST_DATA!A10212</f>
        <v/>
      </c>
      <c r="B10212">
        <f>TEST_DATA!B10212</f>
        <v/>
      </c>
      <c r="C10212">
        <f>TEST_DATA!C10212</f>
        <v/>
      </c>
      <c r="D10212">
        <f>TEST_DATA!D10212</f>
        <v/>
      </c>
      <c r="E10212">
        <f>TEST_DATA!E10212</f>
        <v/>
      </c>
    </row>
    <row r="10213">
      <c r="A10213">
        <f>TEST_DATA!A10213</f>
        <v/>
      </c>
      <c r="B10213">
        <f>TEST_DATA!B10213</f>
        <v/>
      </c>
      <c r="C10213">
        <f>TEST_DATA!C10213</f>
        <v/>
      </c>
      <c r="D10213">
        <f>TEST_DATA!D10213</f>
        <v/>
      </c>
      <c r="E10213">
        <f>TEST_DATA!E10213</f>
        <v/>
      </c>
    </row>
    <row r="10214">
      <c r="A10214">
        <f>TEST_DATA!A10214</f>
        <v/>
      </c>
      <c r="B10214">
        <f>TEST_DATA!B10214</f>
        <v/>
      </c>
      <c r="C10214">
        <f>TEST_DATA!C10214</f>
        <v/>
      </c>
      <c r="D10214">
        <f>TEST_DATA!D10214</f>
        <v/>
      </c>
      <c r="E10214">
        <f>TEST_DATA!E10214</f>
        <v/>
      </c>
    </row>
    <row r="10215">
      <c r="A10215">
        <f>TEST_DATA!A10215</f>
        <v/>
      </c>
      <c r="B10215">
        <f>TEST_DATA!B10215</f>
        <v/>
      </c>
      <c r="C10215">
        <f>TEST_DATA!C10215</f>
        <v/>
      </c>
      <c r="D10215">
        <f>TEST_DATA!D10215</f>
        <v/>
      </c>
      <c r="E10215">
        <f>TEST_DATA!E10215</f>
        <v/>
      </c>
    </row>
    <row r="10216">
      <c r="A10216">
        <f>TEST_DATA!A10216</f>
        <v/>
      </c>
      <c r="B10216">
        <f>TEST_DATA!B10216</f>
        <v/>
      </c>
      <c r="C10216">
        <f>TEST_DATA!C10216</f>
        <v/>
      </c>
      <c r="D10216">
        <f>TEST_DATA!D10216</f>
        <v/>
      </c>
      <c r="E10216">
        <f>TEST_DATA!E10216</f>
        <v/>
      </c>
    </row>
    <row r="10217">
      <c r="A10217">
        <f>TEST_DATA!A10217</f>
        <v/>
      </c>
      <c r="B10217">
        <f>TEST_DATA!B10217</f>
        <v/>
      </c>
      <c r="C10217">
        <f>TEST_DATA!C10217</f>
        <v/>
      </c>
      <c r="D10217">
        <f>TEST_DATA!D10217</f>
        <v/>
      </c>
      <c r="E10217">
        <f>TEST_DATA!E10217</f>
        <v/>
      </c>
    </row>
    <row r="10218">
      <c r="A10218">
        <f>TEST_DATA!A10218</f>
        <v/>
      </c>
      <c r="B10218">
        <f>TEST_DATA!B10218</f>
        <v/>
      </c>
      <c r="C10218">
        <f>TEST_DATA!C10218</f>
        <v/>
      </c>
      <c r="D10218">
        <f>TEST_DATA!D10218</f>
        <v/>
      </c>
      <c r="E10218">
        <f>TEST_DATA!E10218</f>
        <v/>
      </c>
    </row>
    <row r="10219">
      <c r="A10219">
        <f>TEST_DATA!A10219</f>
        <v/>
      </c>
      <c r="B10219">
        <f>TEST_DATA!B10219</f>
        <v/>
      </c>
      <c r="C10219">
        <f>TEST_DATA!C10219</f>
        <v/>
      </c>
      <c r="D10219">
        <f>TEST_DATA!D10219</f>
        <v/>
      </c>
      <c r="E10219">
        <f>TEST_DATA!E10219</f>
        <v/>
      </c>
    </row>
    <row r="10220">
      <c r="A10220">
        <f>TEST_DATA!A10220</f>
        <v/>
      </c>
      <c r="B10220">
        <f>TEST_DATA!B10220</f>
        <v/>
      </c>
      <c r="C10220">
        <f>TEST_DATA!C10220</f>
        <v/>
      </c>
      <c r="D10220">
        <f>TEST_DATA!D10220</f>
        <v/>
      </c>
      <c r="E10220">
        <f>TEST_DATA!E10220</f>
        <v/>
      </c>
    </row>
    <row r="10221">
      <c r="A10221">
        <f>TEST_DATA!A10221</f>
        <v/>
      </c>
      <c r="B10221">
        <f>TEST_DATA!B10221</f>
        <v/>
      </c>
      <c r="C10221">
        <f>TEST_DATA!C10221</f>
        <v/>
      </c>
      <c r="D10221">
        <f>TEST_DATA!D10221</f>
        <v/>
      </c>
      <c r="E10221">
        <f>TEST_DATA!E10221</f>
        <v/>
      </c>
    </row>
    <row r="10222">
      <c r="A10222">
        <f>TEST_DATA!A10222</f>
        <v/>
      </c>
      <c r="B10222">
        <f>TEST_DATA!B10222</f>
        <v/>
      </c>
      <c r="C10222">
        <f>TEST_DATA!C10222</f>
        <v/>
      </c>
      <c r="D10222">
        <f>TEST_DATA!D10222</f>
        <v/>
      </c>
      <c r="E10222">
        <f>TEST_DATA!E10222</f>
        <v/>
      </c>
    </row>
    <row r="10223">
      <c r="A10223">
        <f>TEST_DATA!A10223</f>
        <v/>
      </c>
      <c r="B10223">
        <f>TEST_DATA!B10223</f>
        <v/>
      </c>
      <c r="C10223">
        <f>TEST_DATA!C10223</f>
        <v/>
      </c>
      <c r="D10223">
        <f>TEST_DATA!D10223</f>
        <v/>
      </c>
      <c r="E10223">
        <f>TEST_DATA!E10223</f>
        <v/>
      </c>
    </row>
    <row r="10224">
      <c r="A10224">
        <f>TEST_DATA!A10224</f>
        <v/>
      </c>
      <c r="B10224">
        <f>TEST_DATA!B10224</f>
        <v/>
      </c>
      <c r="C10224">
        <f>TEST_DATA!C10224</f>
        <v/>
      </c>
      <c r="D10224">
        <f>TEST_DATA!D10224</f>
        <v/>
      </c>
      <c r="E10224">
        <f>TEST_DATA!E10224</f>
        <v/>
      </c>
    </row>
    <row r="10225">
      <c r="A10225">
        <f>TEST_DATA!A10225</f>
        <v/>
      </c>
      <c r="B10225">
        <f>TEST_DATA!B10225</f>
        <v/>
      </c>
      <c r="C10225">
        <f>TEST_DATA!C10225</f>
        <v/>
      </c>
      <c r="D10225">
        <f>TEST_DATA!D10225</f>
        <v/>
      </c>
      <c r="E10225">
        <f>TEST_DATA!E10225</f>
        <v/>
      </c>
    </row>
    <row r="10226">
      <c r="A10226">
        <f>TEST_DATA!A10226</f>
        <v/>
      </c>
      <c r="B10226">
        <f>TEST_DATA!B10226</f>
        <v/>
      </c>
      <c r="C10226">
        <f>TEST_DATA!C10226</f>
        <v/>
      </c>
      <c r="D10226">
        <f>TEST_DATA!D10226</f>
        <v/>
      </c>
      <c r="E10226">
        <f>TEST_DATA!E10226</f>
        <v/>
      </c>
    </row>
    <row r="10227">
      <c r="A10227">
        <f>TEST_DATA!A10227</f>
        <v/>
      </c>
      <c r="B10227">
        <f>TEST_DATA!B10227</f>
        <v/>
      </c>
      <c r="C10227">
        <f>TEST_DATA!C10227</f>
        <v/>
      </c>
      <c r="D10227">
        <f>TEST_DATA!D10227</f>
        <v/>
      </c>
      <c r="E10227">
        <f>TEST_DATA!E10227</f>
        <v/>
      </c>
    </row>
    <row r="10228">
      <c r="A10228">
        <f>TEST_DATA!A10228</f>
        <v/>
      </c>
      <c r="B10228">
        <f>TEST_DATA!B10228</f>
        <v/>
      </c>
      <c r="C10228">
        <f>TEST_DATA!C10228</f>
        <v/>
      </c>
      <c r="D10228">
        <f>TEST_DATA!D10228</f>
        <v/>
      </c>
      <c r="E10228">
        <f>TEST_DATA!E10228</f>
        <v/>
      </c>
    </row>
    <row r="10229">
      <c r="A10229">
        <f>TEST_DATA!A10229</f>
        <v/>
      </c>
      <c r="B10229">
        <f>TEST_DATA!B10229</f>
        <v/>
      </c>
      <c r="C10229">
        <f>TEST_DATA!C10229</f>
        <v/>
      </c>
      <c r="D10229">
        <f>TEST_DATA!D10229</f>
        <v/>
      </c>
      <c r="E10229">
        <f>TEST_DATA!E10229</f>
        <v/>
      </c>
    </row>
    <row r="10230">
      <c r="A10230">
        <f>TEST_DATA!A10230</f>
        <v/>
      </c>
      <c r="B10230">
        <f>TEST_DATA!B10230</f>
        <v/>
      </c>
      <c r="C10230">
        <f>TEST_DATA!C10230</f>
        <v/>
      </c>
      <c r="D10230">
        <f>TEST_DATA!D10230</f>
        <v/>
      </c>
      <c r="E10230">
        <f>TEST_DATA!E10230</f>
        <v/>
      </c>
    </row>
    <row r="10231">
      <c r="A10231">
        <f>TEST_DATA!A10231</f>
        <v/>
      </c>
      <c r="B10231">
        <f>TEST_DATA!B10231</f>
        <v/>
      </c>
      <c r="C10231">
        <f>TEST_DATA!C10231</f>
        <v/>
      </c>
      <c r="D10231">
        <f>TEST_DATA!D10231</f>
        <v/>
      </c>
      <c r="E10231">
        <f>TEST_DATA!E10231</f>
        <v/>
      </c>
    </row>
    <row r="10232">
      <c r="A10232">
        <f>TEST_DATA!A10232</f>
        <v/>
      </c>
      <c r="B10232">
        <f>TEST_DATA!B10232</f>
        <v/>
      </c>
      <c r="C10232">
        <f>TEST_DATA!C10232</f>
        <v/>
      </c>
      <c r="D10232">
        <f>TEST_DATA!D10232</f>
        <v/>
      </c>
      <c r="E10232">
        <f>TEST_DATA!E10232</f>
        <v/>
      </c>
    </row>
    <row r="10233">
      <c r="A10233">
        <f>TEST_DATA!A10233</f>
        <v/>
      </c>
      <c r="B10233">
        <f>TEST_DATA!B10233</f>
        <v/>
      </c>
      <c r="C10233">
        <f>TEST_DATA!C10233</f>
        <v/>
      </c>
      <c r="D10233">
        <f>TEST_DATA!D10233</f>
        <v/>
      </c>
      <c r="E10233">
        <f>TEST_DATA!E10233</f>
        <v/>
      </c>
    </row>
    <row r="10234">
      <c r="A10234">
        <f>TEST_DATA!A10234</f>
        <v/>
      </c>
      <c r="B10234">
        <f>TEST_DATA!B10234</f>
        <v/>
      </c>
      <c r="C10234">
        <f>TEST_DATA!C10234</f>
        <v/>
      </c>
      <c r="D10234">
        <f>TEST_DATA!D10234</f>
        <v/>
      </c>
      <c r="E10234">
        <f>TEST_DATA!E10234</f>
        <v/>
      </c>
    </row>
    <row r="10235">
      <c r="A10235">
        <f>TEST_DATA!A10235</f>
        <v/>
      </c>
      <c r="B10235">
        <f>TEST_DATA!B10235</f>
        <v/>
      </c>
      <c r="C10235">
        <f>TEST_DATA!C10235</f>
        <v/>
      </c>
      <c r="D10235">
        <f>TEST_DATA!D10235</f>
        <v/>
      </c>
      <c r="E10235">
        <f>TEST_DATA!E10235</f>
        <v/>
      </c>
    </row>
    <row r="10236">
      <c r="A10236">
        <f>TEST_DATA!A10236</f>
        <v/>
      </c>
      <c r="B10236">
        <f>TEST_DATA!B10236</f>
        <v/>
      </c>
      <c r="C10236">
        <f>TEST_DATA!C10236</f>
        <v/>
      </c>
      <c r="D10236">
        <f>TEST_DATA!D10236</f>
        <v/>
      </c>
      <c r="E10236">
        <f>TEST_DATA!E10236</f>
        <v/>
      </c>
    </row>
    <row r="10237">
      <c r="A10237">
        <f>TEST_DATA!A10237</f>
        <v/>
      </c>
      <c r="B10237">
        <f>TEST_DATA!B10237</f>
        <v/>
      </c>
      <c r="C10237">
        <f>TEST_DATA!C10237</f>
        <v/>
      </c>
      <c r="D10237">
        <f>TEST_DATA!D10237</f>
        <v/>
      </c>
      <c r="E10237">
        <f>TEST_DATA!E10237</f>
        <v/>
      </c>
    </row>
    <row r="10238">
      <c r="A10238">
        <f>TEST_DATA!A10238</f>
        <v/>
      </c>
      <c r="B10238">
        <f>TEST_DATA!B10238</f>
        <v/>
      </c>
      <c r="C10238">
        <f>TEST_DATA!C10238</f>
        <v/>
      </c>
      <c r="D10238">
        <f>TEST_DATA!D10238</f>
        <v/>
      </c>
      <c r="E10238">
        <f>TEST_DATA!E10238</f>
        <v/>
      </c>
    </row>
    <row r="10239">
      <c r="A10239">
        <f>TEST_DATA!A10239</f>
        <v/>
      </c>
      <c r="B10239">
        <f>TEST_DATA!B10239</f>
        <v/>
      </c>
      <c r="C10239">
        <f>TEST_DATA!C10239</f>
        <v/>
      </c>
      <c r="D10239">
        <f>TEST_DATA!D10239</f>
        <v/>
      </c>
      <c r="E10239">
        <f>TEST_DATA!E10239</f>
        <v/>
      </c>
    </row>
    <row r="10240">
      <c r="A10240">
        <f>TEST_DATA!A10240</f>
        <v/>
      </c>
      <c r="B10240">
        <f>TEST_DATA!B10240</f>
        <v/>
      </c>
      <c r="C10240">
        <f>TEST_DATA!C10240</f>
        <v/>
      </c>
      <c r="D10240">
        <f>TEST_DATA!D10240</f>
        <v/>
      </c>
      <c r="E10240">
        <f>TEST_DATA!E10240</f>
        <v/>
      </c>
    </row>
    <row r="10241">
      <c r="A10241">
        <f>TEST_DATA!A10241</f>
        <v/>
      </c>
      <c r="B10241">
        <f>TEST_DATA!B10241</f>
        <v/>
      </c>
      <c r="C10241">
        <f>TEST_DATA!C10241</f>
        <v/>
      </c>
      <c r="D10241">
        <f>TEST_DATA!D10241</f>
        <v/>
      </c>
      <c r="E10241">
        <f>TEST_DATA!E10241</f>
        <v/>
      </c>
    </row>
    <row r="10242">
      <c r="A10242">
        <f>TEST_DATA!A10242</f>
        <v/>
      </c>
      <c r="B10242">
        <f>TEST_DATA!B10242</f>
        <v/>
      </c>
      <c r="C10242">
        <f>TEST_DATA!C10242</f>
        <v/>
      </c>
      <c r="D10242">
        <f>TEST_DATA!D10242</f>
        <v/>
      </c>
      <c r="E10242">
        <f>TEST_DATA!E10242</f>
        <v/>
      </c>
    </row>
    <row r="10243">
      <c r="A10243">
        <f>TEST_DATA!A10243</f>
        <v/>
      </c>
      <c r="B10243">
        <f>TEST_DATA!B10243</f>
        <v/>
      </c>
      <c r="C10243">
        <f>TEST_DATA!C10243</f>
        <v/>
      </c>
      <c r="D10243">
        <f>TEST_DATA!D10243</f>
        <v/>
      </c>
      <c r="E10243">
        <f>TEST_DATA!E10243</f>
        <v/>
      </c>
    </row>
    <row r="10244">
      <c r="A10244">
        <f>TEST_DATA!A10244</f>
        <v/>
      </c>
      <c r="B10244">
        <f>TEST_DATA!B10244</f>
        <v/>
      </c>
      <c r="C10244">
        <f>TEST_DATA!C10244</f>
        <v/>
      </c>
      <c r="D10244">
        <f>TEST_DATA!D10244</f>
        <v/>
      </c>
      <c r="E10244">
        <f>TEST_DATA!E10244</f>
        <v/>
      </c>
    </row>
    <row r="10245">
      <c r="A10245">
        <f>TEST_DATA!A10245</f>
        <v/>
      </c>
      <c r="B10245">
        <f>TEST_DATA!B10245</f>
        <v/>
      </c>
      <c r="C10245">
        <f>TEST_DATA!C10245</f>
        <v/>
      </c>
      <c r="D10245">
        <f>TEST_DATA!D10245</f>
        <v/>
      </c>
      <c r="E10245">
        <f>TEST_DATA!E10245</f>
        <v/>
      </c>
    </row>
    <row r="10246">
      <c r="A10246">
        <f>TEST_DATA!A10246</f>
        <v/>
      </c>
      <c r="B10246">
        <f>TEST_DATA!B10246</f>
        <v/>
      </c>
      <c r="C10246">
        <f>TEST_DATA!C10246</f>
        <v/>
      </c>
      <c r="D10246">
        <f>TEST_DATA!D10246</f>
        <v/>
      </c>
      <c r="E10246">
        <f>TEST_DATA!E10246</f>
        <v/>
      </c>
    </row>
    <row r="10247">
      <c r="A10247">
        <f>TEST_DATA!A10247</f>
        <v/>
      </c>
      <c r="B10247">
        <f>TEST_DATA!B10247</f>
        <v/>
      </c>
      <c r="C10247">
        <f>TEST_DATA!C10247</f>
        <v/>
      </c>
      <c r="D10247">
        <f>TEST_DATA!D10247</f>
        <v/>
      </c>
      <c r="E10247">
        <f>TEST_DATA!E10247</f>
        <v/>
      </c>
    </row>
    <row r="10248">
      <c r="A10248">
        <f>TEST_DATA!A10248</f>
        <v/>
      </c>
      <c r="B10248">
        <f>TEST_DATA!B10248</f>
        <v/>
      </c>
      <c r="C10248">
        <f>TEST_DATA!C10248</f>
        <v/>
      </c>
      <c r="D10248">
        <f>TEST_DATA!D10248</f>
        <v/>
      </c>
      <c r="E10248">
        <f>TEST_DATA!E10248</f>
        <v/>
      </c>
    </row>
    <row r="10249">
      <c r="A10249">
        <f>TEST_DATA!A10249</f>
        <v/>
      </c>
      <c r="B10249">
        <f>TEST_DATA!B10249</f>
        <v/>
      </c>
      <c r="C10249">
        <f>TEST_DATA!C10249</f>
        <v/>
      </c>
      <c r="D10249">
        <f>TEST_DATA!D10249</f>
        <v/>
      </c>
      <c r="E10249">
        <f>TEST_DATA!E10249</f>
        <v/>
      </c>
    </row>
    <row r="10250">
      <c r="A10250">
        <f>TEST_DATA!A10250</f>
        <v/>
      </c>
      <c r="B10250">
        <f>TEST_DATA!B10250</f>
        <v/>
      </c>
      <c r="C10250">
        <f>TEST_DATA!C10250</f>
        <v/>
      </c>
      <c r="D10250">
        <f>TEST_DATA!D10250</f>
        <v/>
      </c>
      <c r="E10250">
        <f>TEST_DATA!E10250</f>
        <v/>
      </c>
    </row>
    <row r="10251">
      <c r="A10251">
        <f>TEST_DATA!A10251</f>
        <v/>
      </c>
      <c r="B10251">
        <f>TEST_DATA!B10251</f>
        <v/>
      </c>
      <c r="C10251">
        <f>TEST_DATA!C10251</f>
        <v/>
      </c>
      <c r="D10251">
        <f>TEST_DATA!D10251</f>
        <v/>
      </c>
      <c r="E10251">
        <f>TEST_DATA!E10251</f>
        <v/>
      </c>
    </row>
    <row r="10252">
      <c r="A10252">
        <f>TEST_DATA!A10252</f>
        <v/>
      </c>
      <c r="B10252">
        <f>TEST_DATA!B10252</f>
        <v/>
      </c>
      <c r="C10252">
        <f>TEST_DATA!C10252</f>
        <v/>
      </c>
      <c r="D10252">
        <f>TEST_DATA!D10252</f>
        <v/>
      </c>
      <c r="E10252">
        <f>TEST_DATA!E10252</f>
        <v/>
      </c>
    </row>
    <row r="10253">
      <c r="A10253">
        <f>TEST_DATA!A10253</f>
        <v/>
      </c>
      <c r="B10253">
        <f>TEST_DATA!B10253</f>
        <v/>
      </c>
      <c r="C10253">
        <f>TEST_DATA!C10253</f>
        <v/>
      </c>
      <c r="D10253">
        <f>TEST_DATA!D10253</f>
        <v/>
      </c>
      <c r="E10253">
        <f>TEST_DATA!E10253</f>
        <v/>
      </c>
    </row>
    <row r="10254">
      <c r="A10254">
        <f>TEST_DATA!A10254</f>
        <v/>
      </c>
      <c r="B10254">
        <f>TEST_DATA!B10254</f>
        <v/>
      </c>
      <c r="C10254">
        <f>TEST_DATA!C10254</f>
        <v/>
      </c>
      <c r="D10254">
        <f>TEST_DATA!D10254</f>
        <v/>
      </c>
      <c r="E10254">
        <f>TEST_DATA!E10254</f>
        <v/>
      </c>
    </row>
    <row r="10255">
      <c r="A10255">
        <f>TEST_DATA!A10255</f>
        <v/>
      </c>
      <c r="B10255">
        <f>TEST_DATA!B10255</f>
        <v/>
      </c>
      <c r="C10255">
        <f>TEST_DATA!C10255</f>
        <v/>
      </c>
      <c r="D10255">
        <f>TEST_DATA!D10255</f>
        <v/>
      </c>
      <c r="E10255">
        <f>TEST_DATA!E10255</f>
        <v/>
      </c>
    </row>
    <row r="10256">
      <c r="A10256">
        <f>TEST_DATA!A10256</f>
        <v/>
      </c>
      <c r="B10256">
        <f>TEST_DATA!B10256</f>
        <v/>
      </c>
      <c r="C10256">
        <f>TEST_DATA!C10256</f>
        <v/>
      </c>
      <c r="D10256">
        <f>TEST_DATA!D10256</f>
        <v/>
      </c>
      <c r="E10256">
        <f>TEST_DATA!E10256</f>
        <v/>
      </c>
    </row>
    <row r="10257">
      <c r="A10257">
        <f>TEST_DATA!A10257</f>
        <v/>
      </c>
      <c r="B10257">
        <f>TEST_DATA!B10257</f>
        <v/>
      </c>
      <c r="C10257">
        <f>TEST_DATA!C10257</f>
        <v/>
      </c>
      <c r="D10257">
        <f>TEST_DATA!D10257</f>
        <v/>
      </c>
      <c r="E10257">
        <f>TEST_DATA!E10257</f>
        <v/>
      </c>
    </row>
    <row r="10258">
      <c r="A10258">
        <f>TEST_DATA!A10258</f>
        <v/>
      </c>
      <c r="B10258">
        <f>TEST_DATA!B10258</f>
        <v/>
      </c>
      <c r="C10258">
        <f>TEST_DATA!C10258</f>
        <v/>
      </c>
      <c r="D10258">
        <f>TEST_DATA!D10258</f>
        <v/>
      </c>
      <c r="E10258">
        <f>TEST_DATA!E10258</f>
        <v/>
      </c>
    </row>
    <row r="10259">
      <c r="A10259">
        <f>TEST_DATA!A10259</f>
        <v/>
      </c>
      <c r="B10259">
        <f>TEST_DATA!B10259</f>
        <v/>
      </c>
      <c r="C10259">
        <f>TEST_DATA!C10259</f>
        <v/>
      </c>
      <c r="D10259">
        <f>TEST_DATA!D10259</f>
        <v/>
      </c>
      <c r="E10259">
        <f>TEST_DATA!E10259</f>
        <v/>
      </c>
    </row>
    <row r="10260">
      <c r="A10260">
        <f>TEST_DATA!A10260</f>
        <v/>
      </c>
      <c r="B10260">
        <f>TEST_DATA!B10260</f>
        <v/>
      </c>
      <c r="C10260">
        <f>TEST_DATA!C10260</f>
        <v/>
      </c>
      <c r="D10260">
        <f>TEST_DATA!D10260</f>
        <v/>
      </c>
      <c r="E10260">
        <f>TEST_DATA!E10260</f>
        <v/>
      </c>
    </row>
    <row r="10261">
      <c r="A10261">
        <f>TEST_DATA!A10261</f>
        <v/>
      </c>
      <c r="B10261">
        <f>TEST_DATA!B10261</f>
        <v/>
      </c>
      <c r="C10261">
        <f>TEST_DATA!C10261</f>
        <v/>
      </c>
      <c r="D10261">
        <f>TEST_DATA!D10261</f>
        <v/>
      </c>
      <c r="E10261">
        <f>TEST_DATA!E10261</f>
        <v/>
      </c>
    </row>
    <row r="10262">
      <c r="A10262">
        <f>TEST_DATA!A10262</f>
        <v/>
      </c>
      <c r="B10262">
        <f>TEST_DATA!B10262</f>
        <v/>
      </c>
      <c r="C10262">
        <f>TEST_DATA!C10262</f>
        <v/>
      </c>
      <c r="D10262">
        <f>TEST_DATA!D10262</f>
        <v/>
      </c>
      <c r="E10262">
        <f>TEST_DATA!E10262</f>
        <v/>
      </c>
    </row>
    <row r="10263">
      <c r="A10263">
        <f>TEST_DATA!A10263</f>
        <v/>
      </c>
      <c r="B10263">
        <f>TEST_DATA!B10263</f>
        <v/>
      </c>
      <c r="C10263">
        <f>TEST_DATA!C10263</f>
        <v/>
      </c>
      <c r="D10263">
        <f>TEST_DATA!D10263</f>
        <v/>
      </c>
      <c r="E10263">
        <f>TEST_DATA!E10263</f>
        <v/>
      </c>
    </row>
    <row r="10264">
      <c r="A10264">
        <f>TEST_DATA!A10264</f>
        <v/>
      </c>
      <c r="B10264">
        <f>TEST_DATA!B10264</f>
        <v/>
      </c>
      <c r="C10264">
        <f>TEST_DATA!C10264</f>
        <v/>
      </c>
      <c r="D10264">
        <f>TEST_DATA!D10264</f>
        <v/>
      </c>
      <c r="E10264">
        <f>TEST_DATA!E10264</f>
        <v/>
      </c>
    </row>
    <row r="10265">
      <c r="A10265">
        <f>TEST_DATA!A10265</f>
        <v/>
      </c>
      <c r="B10265">
        <f>TEST_DATA!B10265</f>
        <v/>
      </c>
      <c r="C10265">
        <f>TEST_DATA!C10265</f>
        <v/>
      </c>
      <c r="D10265">
        <f>TEST_DATA!D10265</f>
        <v/>
      </c>
      <c r="E10265">
        <f>TEST_DATA!E10265</f>
        <v/>
      </c>
    </row>
    <row r="10266">
      <c r="A10266">
        <f>TEST_DATA!A10266</f>
        <v/>
      </c>
      <c r="B10266">
        <f>TEST_DATA!B10266</f>
        <v/>
      </c>
      <c r="C10266">
        <f>TEST_DATA!C10266</f>
        <v/>
      </c>
      <c r="D10266">
        <f>TEST_DATA!D10266</f>
        <v/>
      </c>
      <c r="E10266">
        <f>TEST_DATA!E10266</f>
        <v/>
      </c>
    </row>
    <row r="10267">
      <c r="A10267">
        <f>TEST_DATA!A10267</f>
        <v/>
      </c>
      <c r="B10267">
        <f>TEST_DATA!B10267</f>
        <v/>
      </c>
      <c r="C10267">
        <f>TEST_DATA!C10267</f>
        <v/>
      </c>
      <c r="D10267">
        <f>TEST_DATA!D10267</f>
        <v/>
      </c>
      <c r="E10267">
        <f>TEST_DATA!E10267</f>
        <v/>
      </c>
    </row>
    <row r="10268">
      <c r="A10268">
        <f>TEST_DATA!A10268</f>
        <v/>
      </c>
      <c r="B10268">
        <f>TEST_DATA!B10268</f>
        <v/>
      </c>
      <c r="C10268">
        <f>TEST_DATA!C10268</f>
        <v/>
      </c>
      <c r="D10268">
        <f>TEST_DATA!D10268</f>
        <v/>
      </c>
      <c r="E10268">
        <f>TEST_DATA!E10268</f>
        <v/>
      </c>
    </row>
    <row r="10269">
      <c r="A10269">
        <f>TEST_DATA!A10269</f>
        <v/>
      </c>
      <c r="B10269">
        <f>TEST_DATA!B10269</f>
        <v/>
      </c>
      <c r="C10269">
        <f>TEST_DATA!C10269</f>
        <v/>
      </c>
      <c r="D10269">
        <f>TEST_DATA!D10269</f>
        <v/>
      </c>
      <c r="E10269">
        <f>TEST_DATA!E10269</f>
        <v/>
      </c>
    </row>
    <row r="10270">
      <c r="A10270">
        <f>TEST_DATA!A10270</f>
        <v/>
      </c>
      <c r="B10270">
        <f>TEST_DATA!B10270</f>
        <v/>
      </c>
      <c r="C10270">
        <f>TEST_DATA!C10270</f>
        <v/>
      </c>
      <c r="D10270">
        <f>TEST_DATA!D10270</f>
        <v/>
      </c>
      <c r="E10270">
        <f>TEST_DATA!E10270</f>
        <v/>
      </c>
    </row>
    <row r="10271">
      <c r="A10271">
        <f>TEST_DATA!A10271</f>
        <v/>
      </c>
      <c r="B10271">
        <f>TEST_DATA!B10271</f>
        <v/>
      </c>
      <c r="C10271">
        <f>TEST_DATA!C10271</f>
        <v/>
      </c>
      <c r="D10271">
        <f>TEST_DATA!D10271</f>
        <v/>
      </c>
      <c r="E10271">
        <f>TEST_DATA!E10271</f>
        <v/>
      </c>
    </row>
    <row r="10272">
      <c r="A10272">
        <f>TEST_DATA!A10272</f>
        <v/>
      </c>
      <c r="B10272">
        <f>TEST_DATA!B10272</f>
        <v/>
      </c>
      <c r="C10272">
        <f>TEST_DATA!C10272</f>
        <v/>
      </c>
      <c r="D10272">
        <f>TEST_DATA!D10272</f>
        <v/>
      </c>
      <c r="E10272">
        <f>TEST_DATA!E10272</f>
        <v/>
      </c>
    </row>
    <row r="10273">
      <c r="A10273">
        <f>TEST_DATA!A10273</f>
        <v/>
      </c>
      <c r="B10273">
        <f>TEST_DATA!B10273</f>
        <v/>
      </c>
      <c r="C10273">
        <f>TEST_DATA!C10273</f>
        <v/>
      </c>
      <c r="D10273">
        <f>TEST_DATA!D10273</f>
        <v/>
      </c>
      <c r="E10273">
        <f>TEST_DATA!E10273</f>
        <v/>
      </c>
    </row>
    <row r="10274">
      <c r="A10274">
        <f>TEST_DATA!A10274</f>
        <v/>
      </c>
      <c r="B10274">
        <f>TEST_DATA!B10274</f>
        <v/>
      </c>
      <c r="C10274">
        <f>TEST_DATA!C10274</f>
        <v/>
      </c>
      <c r="D10274">
        <f>TEST_DATA!D10274</f>
        <v/>
      </c>
      <c r="E10274">
        <f>TEST_DATA!E10274</f>
        <v/>
      </c>
    </row>
    <row r="10275">
      <c r="A10275">
        <f>TEST_DATA!A10275</f>
        <v/>
      </c>
      <c r="B10275">
        <f>TEST_DATA!B10275</f>
        <v/>
      </c>
      <c r="C10275">
        <f>TEST_DATA!C10275</f>
        <v/>
      </c>
      <c r="D10275">
        <f>TEST_DATA!D10275</f>
        <v/>
      </c>
      <c r="E10275">
        <f>TEST_DATA!E10275</f>
        <v/>
      </c>
    </row>
    <row r="10276">
      <c r="A10276">
        <f>TEST_DATA!A10276</f>
        <v/>
      </c>
      <c r="B10276">
        <f>TEST_DATA!B10276</f>
        <v/>
      </c>
      <c r="C10276">
        <f>TEST_DATA!C10276</f>
        <v/>
      </c>
      <c r="D10276">
        <f>TEST_DATA!D10276</f>
        <v/>
      </c>
      <c r="E10276">
        <f>TEST_DATA!E10276</f>
        <v/>
      </c>
    </row>
    <row r="10277">
      <c r="A10277">
        <f>TEST_DATA!A10277</f>
        <v/>
      </c>
      <c r="B10277">
        <f>TEST_DATA!B10277</f>
        <v/>
      </c>
      <c r="C10277">
        <f>TEST_DATA!C10277</f>
        <v/>
      </c>
      <c r="D10277">
        <f>TEST_DATA!D10277</f>
        <v/>
      </c>
      <c r="E10277">
        <f>TEST_DATA!E10277</f>
        <v/>
      </c>
    </row>
    <row r="10278">
      <c r="A10278">
        <f>TEST_DATA!A10278</f>
        <v/>
      </c>
      <c r="B10278">
        <f>TEST_DATA!B10278</f>
        <v/>
      </c>
      <c r="C10278">
        <f>TEST_DATA!C10278</f>
        <v/>
      </c>
      <c r="D10278">
        <f>TEST_DATA!D10278</f>
        <v/>
      </c>
      <c r="E10278">
        <f>TEST_DATA!E10278</f>
        <v/>
      </c>
    </row>
    <row r="10279">
      <c r="A10279">
        <f>TEST_DATA!A10279</f>
        <v/>
      </c>
      <c r="B10279">
        <f>TEST_DATA!B10279</f>
        <v/>
      </c>
      <c r="C10279">
        <f>TEST_DATA!C10279</f>
        <v/>
      </c>
      <c r="D10279">
        <f>TEST_DATA!D10279</f>
        <v/>
      </c>
      <c r="E10279">
        <f>TEST_DATA!E10279</f>
        <v/>
      </c>
    </row>
    <row r="10280">
      <c r="A10280">
        <f>TEST_DATA!A10280</f>
        <v/>
      </c>
      <c r="B10280">
        <f>TEST_DATA!B10280</f>
        <v/>
      </c>
      <c r="C10280">
        <f>TEST_DATA!C10280</f>
        <v/>
      </c>
      <c r="D10280">
        <f>TEST_DATA!D10280</f>
        <v/>
      </c>
      <c r="E10280">
        <f>TEST_DATA!E10280</f>
        <v/>
      </c>
    </row>
    <row r="10281">
      <c r="A10281">
        <f>TEST_DATA!A10281</f>
        <v/>
      </c>
      <c r="B10281">
        <f>TEST_DATA!B10281</f>
        <v/>
      </c>
      <c r="C10281">
        <f>TEST_DATA!C10281</f>
        <v/>
      </c>
      <c r="D10281">
        <f>TEST_DATA!D10281</f>
        <v/>
      </c>
      <c r="E10281">
        <f>TEST_DATA!E10281</f>
        <v/>
      </c>
    </row>
    <row r="10282">
      <c r="A10282">
        <f>TEST_DATA!A10282</f>
        <v/>
      </c>
      <c r="B10282">
        <f>TEST_DATA!B10282</f>
        <v/>
      </c>
      <c r="C10282">
        <f>TEST_DATA!C10282</f>
        <v/>
      </c>
      <c r="D10282">
        <f>TEST_DATA!D10282</f>
        <v/>
      </c>
      <c r="E10282">
        <f>TEST_DATA!E10282</f>
        <v/>
      </c>
    </row>
    <row r="10283">
      <c r="A10283">
        <f>TEST_DATA!A10283</f>
        <v/>
      </c>
      <c r="B10283">
        <f>TEST_DATA!B10283</f>
        <v/>
      </c>
      <c r="C10283">
        <f>TEST_DATA!C10283</f>
        <v/>
      </c>
      <c r="D10283">
        <f>TEST_DATA!D10283</f>
        <v/>
      </c>
      <c r="E10283">
        <f>TEST_DATA!E10283</f>
        <v/>
      </c>
    </row>
    <row r="10284">
      <c r="A10284">
        <f>TEST_DATA!A10284</f>
        <v/>
      </c>
      <c r="B10284">
        <f>TEST_DATA!B10284</f>
        <v/>
      </c>
      <c r="C10284">
        <f>TEST_DATA!C10284</f>
        <v/>
      </c>
      <c r="D10284">
        <f>TEST_DATA!D10284</f>
        <v/>
      </c>
      <c r="E10284">
        <f>TEST_DATA!E10284</f>
        <v/>
      </c>
    </row>
    <row r="10285">
      <c r="A10285">
        <f>TEST_DATA!A10285</f>
        <v/>
      </c>
      <c r="B10285">
        <f>TEST_DATA!B10285</f>
        <v/>
      </c>
      <c r="C10285">
        <f>TEST_DATA!C10285</f>
        <v/>
      </c>
      <c r="D10285">
        <f>TEST_DATA!D10285</f>
        <v/>
      </c>
      <c r="E10285">
        <f>TEST_DATA!E10285</f>
        <v/>
      </c>
    </row>
    <row r="10286">
      <c r="A10286">
        <f>TEST_DATA!A10286</f>
        <v/>
      </c>
      <c r="B10286">
        <f>TEST_DATA!B10286</f>
        <v/>
      </c>
      <c r="C10286">
        <f>TEST_DATA!C10286</f>
        <v/>
      </c>
      <c r="D10286">
        <f>TEST_DATA!D10286</f>
        <v/>
      </c>
      <c r="E10286">
        <f>TEST_DATA!E10286</f>
        <v/>
      </c>
    </row>
    <row r="10287">
      <c r="A10287">
        <f>TEST_DATA!A10287</f>
        <v/>
      </c>
      <c r="B10287">
        <f>TEST_DATA!B10287</f>
        <v/>
      </c>
      <c r="C10287">
        <f>TEST_DATA!C10287</f>
        <v/>
      </c>
      <c r="D10287">
        <f>TEST_DATA!D10287</f>
        <v/>
      </c>
      <c r="E10287">
        <f>TEST_DATA!E10287</f>
        <v/>
      </c>
    </row>
    <row r="10288">
      <c r="A10288">
        <f>TEST_DATA!A10288</f>
        <v/>
      </c>
      <c r="B10288">
        <f>TEST_DATA!B10288</f>
        <v/>
      </c>
      <c r="C10288">
        <f>TEST_DATA!C10288</f>
        <v/>
      </c>
      <c r="D10288">
        <f>TEST_DATA!D10288</f>
        <v/>
      </c>
      <c r="E10288">
        <f>TEST_DATA!E10288</f>
        <v/>
      </c>
    </row>
    <row r="10289">
      <c r="A10289">
        <f>TEST_DATA!A10289</f>
        <v/>
      </c>
      <c r="B10289">
        <f>TEST_DATA!B10289</f>
        <v/>
      </c>
      <c r="C10289">
        <f>TEST_DATA!C10289</f>
        <v/>
      </c>
      <c r="D10289">
        <f>TEST_DATA!D10289</f>
        <v/>
      </c>
      <c r="E10289">
        <f>TEST_DATA!E10289</f>
        <v/>
      </c>
    </row>
    <row r="10290">
      <c r="A10290">
        <f>TEST_DATA!A10290</f>
        <v/>
      </c>
      <c r="B10290">
        <f>TEST_DATA!B10290</f>
        <v/>
      </c>
      <c r="C10290">
        <f>TEST_DATA!C10290</f>
        <v/>
      </c>
      <c r="D10290">
        <f>TEST_DATA!D10290</f>
        <v/>
      </c>
      <c r="E10290">
        <f>TEST_DATA!E10290</f>
        <v/>
      </c>
    </row>
    <row r="10291">
      <c r="A10291">
        <f>TEST_DATA!A10291</f>
        <v/>
      </c>
      <c r="B10291">
        <f>TEST_DATA!B10291</f>
        <v/>
      </c>
      <c r="C10291">
        <f>TEST_DATA!C10291</f>
        <v/>
      </c>
      <c r="D10291">
        <f>TEST_DATA!D10291</f>
        <v/>
      </c>
      <c r="E10291">
        <f>TEST_DATA!E10291</f>
        <v/>
      </c>
    </row>
    <row r="10292">
      <c r="A10292">
        <f>TEST_DATA!A10292</f>
        <v/>
      </c>
      <c r="B10292">
        <f>TEST_DATA!B10292</f>
        <v/>
      </c>
      <c r="C10292">
        <f>TEST_DATA!C10292</f>
        <v/>
      </c>
      <c r="D10292">
        <f>TEST_DATA!D10292</f>
        <v/>
      </c>
      <c r="E10292">
        <f>TEST_DATA!E10292</f>
        <v/>
      </c>
    </row>
    <row r="10293">
      <c r="A10293">
        <f>TEST_DATA!A10293</f>
        <v/>
      </c>
      <c r="B10293">
        <f>TEST_DATA!B10293</f>
        <v/>
      </c>
      <c r="C10293">
        <f>TEST_DATA!C10293</f>
        <v/>
      </c>
      <c r="D10293">
        <f>TEST_DATA!D10293</f>
        <v/>
      </c>
      <c r="E10293">
        <f>TEST_DATA!E10293</f>
        <v/>
      </c>
    </row>
    <row r="10294">
      <c r="A10294">
        <f>TEST_DATA!A10294</f>
        <v/>
      </c>
      <c r="B10294">
        <f>TEST_DATA!B10294</f>
        <v/>
      </c>
      <c r="C10294">
        <f>TEST_DATA!C10294</f>
        <v/>
      </c>
      <c r="D10294">
        <f>TEST_DATA!D10294</f>
        <v/>
      </c>
      <c r="E10294">
        <f>TEST_DATA!E10294</f>
        <v/>
      </c>
    </row>
    <row r="10295">
      <c r="A10295">
        <f>TEST_DATA!A10295</f>
        <v/>
      </c>
      <c r="B10295">
        <f>TEST_DATA!B10295</f>
        <v/>
      </c>
      <c r="C10295">
        <f>TEST_DATA!C10295</f>
        <v/>
      </c>
      <c r="D10295">
        <f>TEST_DATA!D10295</f>
        <v/>
      </c>
      <c r="E10295">
        <f>TEST_DATA!E10295</f>
        <v/>
      </c>
    </row>
    <row r="10296">
      <c r="A10296">
        <f>TEST_DATA!A10296</f>
        <v/>
      </c>
      <c r="B10296">
        <f>TEST_DATA!B10296</f>
        <v/>
      </c>
      <c r="C10296">
        <f>TEST_DATA!C10296</f>
        <v/>
      </c>
      <c r="D10296">
        <f>TEST_DATA!D10296</f>
        <v/>
      </c>
      <c r="E10296">
        <f>TEST_DATA!E10296</f>
        <v/>
      </c>
    </row>
    <row r="10297">
      <c r="A10297">
        <f>TEST_DATA!A10297</f>
        <v/>
      </c>
      <c r="B10297">
        <f>TEST_DATA!B10297</f>
        <v/>
      </c>
      <c r="C10297">
        <f>TEST_DATA!C10297</f>
        <v/>
      </c>
      <c r="D10297">
        <f>TEST_DATA!D10297</f>
        <v/>
      </c>
      <c r="E10297">
        <f>TEST_DATA!E10297</f>
        <v/>
      </c>
    </row>
    <row r="10298">
      <c r="A10298">
        <f>TEST_DATA!A10298</f>
        <v/>
      </c>
      <c r="B10298">
        <f>TEST_DATA!B10298</f>
        <v/>
      </c>
      <c r="C10298">
        <f>TEST_DATA!C10298</f>
        <v/>
      </c>
      <c r="D10298">
        <f>TEST_DATA!D10298</f>
        <v/>
      </c>
      <c r="E10298">
        <f>TEST_DATA!E10298</f>
        <v/>
      </c>
    </row>
    <row r="10299">
      <c r="A10299">
        <f>TEST_DATA!A10299</f>
        <v/>
      </c>
      <c r="B10299">
        <f>TEST_DATA!B10299</f>
        <v/>
      </c>
      <c r="C10299">
        <f>TEST_DATA!C10299</f>
        <v/>
      </c>
      <c r="D10299">
        <f>TEST_DATA!D10299</f>
        <v/>
      </c>
      <c r="E10299">
        <f>TEST_DATA!E10299</f>
        <v/>
      </c>
    </row>
    <row r="10300">
      <c r="A10300">
        <f>TEST_DATA!A10300</f>
        <v/>
      </c>
      <c r="B10300">
        <f>TEST_DATA!B10300</f>
        <v/>
      </c>
      <c r="C10300">
        <f>TEST_DATA!C10300</f>
        <v/>
      </c>
      <c r="D10300">
        <f>TEST_DATA!D10300</f>
        <v/>
      </c>
      <c r="E10300">
        <f>TEST_DATA!E10300</f>
        <v/>
      </c>
    </row>
    <row r="10301">
      <c r="A10301">
        <f>TEST_DATA!A10301</f>
        <v/>
      </c>
      <c r="B10301">
        <f>TEST_DATA!B10301</f>
        <v/>
      </c>
      <c r="C10301">
        <f>TEST_DATA!C10301</f>
        <v/>
      </c>
      <c r="D10301">
        <f>TEST_DATA!D10301</f>
        <v/>
      </c>
      <c r="E10301">
        <f>TEST_DATA!E10301</f>
        <v/>
      </c>
    </row>
    <row r="10302">
      <c r="A10302">
        <f>TEST_DATA!A10302</f>
        <v/>
      </c>
      <c r="B10302">
        <f>TEST_DATA!B10302</f>
        <v/>
      </c>
      <c r="C10302">
        <f>TEST_DATA!C10302</f>
        <v/>
      </c>
      <c r="D10302">
        <f>TEST_DATA!D10302</f>
        <v/>
      </c>
      <c r="E10302">
        <f>TEST_DATA!E10302</f>
        <v/>
      </c>
    </row>
    <row r="10303">
      <c r="A10303">
        <f>TEST_DATA!A10303</f>
        <v/>
      </c>
      <c r="B10303">
        <f>TEST_DATA!B10303</f>
        <v/>
      </c>
      <c r="C10303">
        <f>TEST_DATA!C10303</f>
        <v/>
      </c>
      <c r="D10303">
        <f>TEST_DATA!D10303</f>
        <v/>
      </c>
      <c r="E10303">
        <f>TEST_DATA!E10303</f>
        <v/>
      </c>
    </row>
    <row r="10304">
      <c r="A10304">
        <f>TEST_DATA!A10304</f>
        <v/>
      </c>
      <c r="B10304">
        <f>TEST_DATA!B10304</f>
        <v/>
      </c>
      <c r="C10304">
        <f>TEST_DATA!C10304</f>
        <v/>
      </c>
      <c r="D10304">
        <f>TEST_DATA!D10304</f>
        <v/>
      </c>
      <c r="E10304">
        <f>TEST_DATA!E10304</f>
        <v/>
      </c>
    </row>
    <row r="10305">
      <c r="A10305">
        <f>TEST_DATA!A10305</f>
        <v/>
      </c>
      <c r="B10305">
        <f>TEST_DATA!B10305</f>
        <v/>
      </c>
      <c r="C10305">
        <f>TEST_DATA!C10305</f>
        <v/>
      </c>
      <c r="D10305">
        <f>TEST_DATA!D10305</f>
        <v/>
      </c>
      <c r="E10305">
        <f>TEST_DATA!E10305</f>
        <v/>
      </c>
    </row>
    <row r="10306">
      <c r="A10306">
        <f>TEST_DATA!A10306</f>
        <v/>
      </c>
      <c r="B10306">
        <f>TEST_DATA!B10306</f>
        <v/>
      </c>
      <c r="C10306">
        <f>TEST_DATA!C10306</f>
        <v/>
      </c>
      <c r="D10306">
        <f>TEST_DATA!D10306</f>
        <v/>
      </c>
      <c r="E10306">
        <f>TEST_DATA!E10306</f>
        <v/>
      </c>
    </row>
    <row r="10307">
      <c r="A10307">
        <f>TEST_DATA!A10307</f>
        <v/>
      </c>
      <c r="B10307">
        <f>TEST_DATA!B10307</f>
        <v/>
      </c>
      <c r="C10307">
        <f>TEST_DATA!C10307</f>
        <v/>
      </c>
      <c r="D10307">
        <f>TEST_DATA!D10307</f>
        <v/>
      </c>
      <c r="E10307">
        <f>TEST_DATA!E10307</f>
        <v/>
      </c>
    </row>
    <row r="10308">
      <c r="A10308">
        <f>TEST_DATA!A10308</f>
        <v/>
      </c>
      <c r="B10308">
        <f>TEST_DATA!B10308</f>
        <v/>
      </c>
      <c r="C10308">
        <f>TEST_DATA!C10308</f>
        <v/>
      </c>
      <c r="D10308">
        <f>TEST_DATA!D10308</f>
        <v/>
      </c>
      <c r="E10308">
        <f>TEST_DATA!E10308</f>
        <v/>
      </c>
    </row>
    <row r="10309">
      <c r="A10309">
        <f>TEST_DATA!A10309</f>
        <v/>
      </c>
      <c r="B10309">
        <f>TEST_DATA!B10309</f>
        <v/>
      </c>
      <c r="C10309">
        <f>TEST_DATA!C10309</f>
        <v/>
      </c>
      <c r="D10309">
        <f>TEST_DATA!D10309</f>
        <v/>
      </c>
      <c r="E10309">
        <f>TEST_DATA!E10309</f>
        <v/>
      </c>
    </row>
    <row r="10310">
      <c r="A10310">
        <f>TEST_DATA!A10310</f>
        <v/>
      </c>
      <c r="B10310">
        <f>TEST_DATA!B10310</f>
        <v/>
      </c>
      <c r="C10310">
        <f>TEST_DATA!C10310</f>
        <v/>
      </c>
      <c r="D10310">
        <f>TEST_DATA!D10310</f>
        <v/>
      </c>
      <c r="E10310">
        <f>TEST_DATA!E10310</f>
        <v/>
      </c>
    </row>
    <row r="10311">
      <c r="A10311">
        <f>TEST_DATA!A10311</f>
        <v/>
      </c>
      <c r="B10311">
        <f>TEST_DATA!B10311</f>
        <v/>
      </c>
      <c r="C10311">
        <f>TEST_DATA!C10311</f>
        <v/>
      </c>
      <c r="D10311">
        <f>TEST_DATA!D10311</f>
        <v/>
      </c>
      <c r="E10311">
        <f>TEST_DATA!E10311</f>
        <v/>
      </c>
    </row>
    <row r="10312">
      <c r="A10312">
        <f>TEST_DATA!A10312</f>
        <v/>
      </c>
      <c r="B10312">
        <f>TEST_DATA!B10312</f>
        <v/>
      </c>
      <c r="C10312">
        <f>TEST_DATA!C10312</f>
        <v/>
      </c>
      <c r="D10312">
        <f>TEST_DATA!D10312</f>
        <v/>
      </c>
      <c r="E10312">
        <f>TEST_DATA!E10312</f>
        <v/>
      </c>
    </row>
    <row r="10313">
      <c r="A10313">
        <f>TEST_DATA!A10313</f>
        <v/>
      </c>
      <c r="B10313">
        <f>TEST_DATA!B10313</f>
        <v/>
      </c>
      <c r="C10313">
        <f>TEST_DATA!C10313</f>
        <v/>
      </c>
      <c r="D10313">
        <f>TEST_DATA!D10313</f>
        <v/>
      </c>
      <c r="E10313">
        <f>TEST_DATA!E10313</f>
        <v/>
      </c>
    </row>
    <row r="10314">
      <c r="A10314">
        <f>TEST_DATA!A10314</f>
        <v/>
      </c>
      <c r="B10314">
        <f>TEST_DATA!B10314</f>
        <v/>
      </c>
      <c r="C10314">
        <f>TEST_DATA!C10314</f>
        <v/>
      </c>
      <c r="D10314">
        <f>TEST_DATA!D10314</f>
        <v/>
      </c>
      <c r="E10314">
        <f>TEST_DATA!E10314</f>
        <v/>
      </c>
    </row>
    <row r="10315">
      <c r="A10315">
        <f>TEST_DATA!A10315</f>
        <v/>
      </c>
      <c r="B10315">
        <f>TEST_DATA!B10315</f>
        <v/>
      </c>
      <c r="C10315">
        <f>TEST_DATA!C10315</f>
        <v/>
      </c>
      <c r="D10315">
        <f>TEST_DATA!D10315</f>
        <v/>
      </c>
      <c r="E10315">
        <f>TEST_DATA!E10315</f>
        <v/>
      </c>
    </row>
    <row r="10316">
      <c r="A10316">
        <f>TEST_DATA!A10316</f>
        <v/>
      </c>
      <c r="B10316">
        <f>TEST_DATA!B10316</f>
        <v/>
      </c>
      <c r="C10316">
        <f>TEST_DATA!C10316</f>
        <v/>
      </c>
      <c r="D10316">
        <f>TEST_DATA!D10316</f>
        <v/>
      </c>
      <c r="E10316">
        <f>TEST_DATA!E10316</f>
        <v/>
      </c>
    </row>
    <row r="10317">
      <c r="A10317">
        <f>TEST_DATA!A10317</f>
        <v/>
      </c>
      <c r="B10317">
        <f>TEST_DATA!B10317</f>
        <v/>
      </c>
      <c r="C10317">
        <f>TEST_DATA!C10317</f>
        <v/>
      </c>
      <c r="D10317">
        <f>TEST_DATA!D10317</f>
        <v/>
      </c>
      <c r="E10317">
        <f>TEST_DATA!E10317</f>
        <v/>
      </c>
    </row>
    <row r="10318">
      <c r="A10318">
        <f>TEST_DATA!A10318</f>
        <v/>
      </c>
      <c r="B10318">
        <f>TEST_DATA!B10318</f>
        <v/>
      </c>
      <c r="C10318">
        <f>TEST_DATA!C10318</f>
        <v/>
      </c>
      <c r="D10318">
        <f>TEST_DATA!D10318</f>
        <v/>
      </c>
      <c r="E10318">
        <f>TEST_DATA!E10318</f>
        <v/>
      </c>
    </row>
    <row r="10319">
      <c r="A10319">
        <f>TEST_DATA!A10319</f>
        <v/>
      </c>
      <c r="B10319">
        <f>TEST_DATA!B10319</f>
        <v/>
      </c>
      <c r="C10319">
        <f>TEST_DATA!C10319</f>
        <v/>
      </c>
      <c r="D10319">
        <f>TEST_DATA!D10319</f>
        <v/>
      </c>
      <c r="E10319">
        <f>TEST_DATA!E10319</f>
        <v/>
      </c>
    </row>
    <row r="10320">
      <c r="A10320">
        <f>TEST_DATA!A10320</f>
        <v/>
      </c>
      <c r="B10320">
        <f>TEST_DATA!B10320</f>
        <v/>
      </c>
      <c r="C10320">
        <f>TEST_DATA!C10320</f>
        <v/>
      </c>
      <c r="D10320">
        <f>TEST_DATA!D10320</f>
        <v/>
      </c>
      <c r="E10320">
        <f>TEST_DATA!E10320</f>
        <v/>
      </c>
    </row>
    <row r="10321">
      <c r="A10321">
        <f>TEST_DATA!A10321</f>
        <v/>
      </c>
      <c r="B10321">
        <f>TEST_DATA!B10321</f>
        <v/>
      </c>
      <c r="C10321">
        <f>TEST_DATA!C10321</f>
        <v/>
      </c>
      <c r="D10321">
        <f>TEST_DATA!D10321</f>
        <v/>
      </c>
      <c r="E10321">
        <f>TEST_DATA!E10321</f>
        <v/>
      </c>
    </row>
    <row r="10322">
      <c r="A10322">
        <f>TEST_DATA!A10322</f>
        <v/>
      </c>
      <c r="B10322">
        <f>TEST_DATA!B10322</f>
        <v/>
      </c>
      <c r="C10322">
        <f>TEST_DATA!C10322</f>
        <v/>
      </c>
      <c r="D10322">
        <f>TEST_DATA!D10322</f>
        <v/>
      </c>
      <c r="E10322">
        <f>TEST_DATA!E10322</f>
        <v/>
      </c>
    </row>
    <row r="10323">
      <c r="A10323">
        <f>TEST_DATA!A10323</f>
        <v/>
      </c>
      <c r="B10323">
        <f>TEST_DATA!B10323</f>
        <v/>
      </c>
      <c r="C10323">
        <f>TEST_DATA!C10323</f>
        <v/>
      </c>
      <c r="D10323">
        <f>TEST_DATA!D10323</f>
        <v/>
      </c>
      <c r="E10323">
        <f>TEST_DATA!E10323</f>
        <v/>
      </c>
    </row>
    <row r="10324">
      <c r="A10324">
        <f>TEST_DATA!A10324</f>
        <v/>
      </c>
      <c r="B10324">
        <f>TEST_DATA!B10324</f>
        <v/>
      </c>
      <c r="C10324">
        <f>TEST_DATA!C10324</f>
        <v/>
      </c>
      <c r="D10324">
        <f>TEST_DATA!D10324</f>
        <v/>
      </c>
      <c r="E10324">
        <f>TEST_DATA!E10324</f>
        <v/>
      </c>
    </row>
    <row r="10325">
      <c r="A10325">
        <f>TEST_DATA!A10325</f>
        <v/>
      </c>
      <c r="B10325">
        <f>TEST_DATA!B10325</f>
        <v/>
      </c>
      <c r="C10325">
        <f>TEST_DATA!C10325</f>
        <v/>
      </c>
      <c r="D10325">
        <f>TEST_DATA!D10325</f>
        <v/>
      </c>
      <c r="E10325">
        <f>TEST_DATA!E10325</f>
        <v/>
      </c>
    </row>
    <row r="10326">
      <c r="A10326">
        <f>TEST_DATA!A10326</f>
        <v/>
      </c>
      <c r="B10326">
        <f>TEST_DATA!B10326</f>
        <v/>
      </c>
      <c r="C10326">
        <f>TEST_DATA!C10326</f>
        <v/>
      </c>
      <c r="D10326">
        <f>TEST_DATA!D10326</f>
        <v/>
      </c>
      <c r="E10326">
        <f>TEST_DATA!E10326</f>
        <v/>
      </c>
    </row>
    <row r="10327">
      <c r="A10327">
        <f>TEST_DATA!A10327</f>
        <v/>
      </c>
      <c r="B10327">
        <f>TEST_DATA!B10327</f>
        <v/>
      </c>
      <c r="C10327">
        <f>TEST_DATA!C10327</f>
        <v/>
      </c>
      <c r="D10327">
        <f>TEST_DATA!D10327</f>
        <v/>
      </c>
      <c r="E10327">
        <f>TEST_DATA!E10327</f>
        <v/>
      </c>
    </row>
    <row r="10328">
      <c r="A10328">
        <f>TEST_DATA!A10328</f>
        <v/>
      </c>
      <c r="B10328">
        <f>TEST_DATA!B10328</f>
        <v/>
      </c>
      <c r="C10328">
        <f>TEST_DATA!C10328</f>
        <v/>
      </c>
      <c r="D10328">
        <f>TEST_DATA!D10328</f>
        <v/>
      </c>
      <c r="E10328">
        <f>TEST_DATA!E10328</f>
        <v/>
      </c>
    </row>
    <row r="10329">
      <c r="A10329">
        <f>TEST_DATA!A10329</f>
        <v/>
      </c>
      <c r="B10329">
        <f>TEST_DATA!B10329</f>
        <v/>
      </c>
      <c r="C10329">
        <f>TEST_DATA!C10329</f>
        <v/>
      </c>
      <c r="D10329">
        <f>TEST_DATA!D10329</f>
        <v/>
      </c>
      <c r="E10329">
        <f>TEST_DATA!E10329</f>
        <v/>
      </c>
    </row>
    <row r="10330">
      <c r="A10330">
        <f>TEST_DATA!A10330</f>
        <v/>
      </c>
      <c r="B10330">
        <f>TEST_DATA!B10330</f>
        <v/>
      </c>
      <c r="C10330">
        <f>TEST_DATA!C10330</f>
        <v/>
      </c>
      <c r="D10330">
        <f>TEST_DATA!D10330</f>
        <v/>
      </c>
      <c r="E10330">
        <f>TEST_DATA!E10330</f>
        <v/>
      </c>
    </row>
    <row r="10331">
      <c r="A10331">
        <f>TEST_DATA!A10331</f>
        <v/>
      </c>
      <c r="B10331">
        <f>TEST_DATA!B10331</f>
        <v/>
      </c>
      <c r="C10331">
        <f>TEST_DATA!C10331</f>
        <v/>
      </c>
      <c r="D10331">
        <f>TEST_DATA!D10331</f>
        <v/>
      </c>
      <c r="E10331">
        <f>TEST_DATA!E10331</f>
        <v/>
      </c>
    </row>
    <row r="10332">
      <c r="A10332">
        <f>TEST_DATA!A10332</f>
        <v/>
      </c>
      <c r="B10332">
        <f>TEST_DATA!B10332</f>
        <v/>
      </c>
      <c r="C10332">
        <f>TEST_DATA!C10332</f>
        <v/>
      </c>
      <c r="D10332">
        <f>TEST_DATA!D10332</f>
        <v/>
      </c>
      <c r="E10332">
        <f>TEST_DATA!E10332</f>
        <v/>
      </c>
    </row>
    <row r="10333">
      <c r="A10333">
        <f>TEST_DATA!A10333</f>
        <v/>
      </c>
      <c r="B10333">
        <f>TEST_DATA!B10333</f>
        <v/>
      </c>
      <c r="C10333">
        <f>TEST_DATA!C10333</f>
        <v/>
      </c>
      <c r="D10333">
        <f>TEST_DATA!D10333</f>
        <v/>
      </c>
      <c r="E10333">
        <f>TEST_DATA!E10333</f>
        <v/>
      </c>
    </row>
    <row r="10334">
      <c r="A10334">
        <f>TEST_DATA!A10334</f>
        <v/>
      </c>
      <c r="B10334">
        <f>TEST_DATA!B10334</f>
        <v/>
      </c>
      <c r="C10334">
        <f>TEST_DATA!C10334</f>
        <v/>
      </c>
      <c r="D10334">
        <f>TEST_DATA!D10334</f>
        <v/>
      </c>
      <c r="E10334">
        <f>TEST_DATA!E10334</f>
        <v/>
      </c>
    </row>
    <row r="10335">
      <c r="A10335">
        <f>TEST_DATA!A10335</f>
        <v/>
      </c>
      <c r="B10335">
        <f>TEST_DATA!B10335</f>
        <v/>
      </c>
      <c r="C10335">
        <f>TEST_DATA!C10335</f>
        <v/>
      </c>
      <c r="D10335">
        <f>TEST_DATA!D10335</f>
        <v/>
      </c>
      <c r="E10335">
        <f>TEST_DATA!E10335</f>
        <v/>
      </c>
    </row>
    <row r="10336">
      <c r="A10336">
        <f>TEST_DATA!A10336</f>
        <v/>
      </c>
      <c r="B10336">
        <f>TEST_DATA!B10336</f>
        <v/>
      </c>
      <c r="C10336">
        <f>TEST_DATA!C10336</f>
        <v/>
      </c>
      <c r="D10336">
        <f>TEST_DATA!D10336</f>
        <v/>
      </c>
      <c r="E10336">
        <f>TEST_DATA!E10336</f>
        <v/>
      </c>
    </row>
    <row r="10337">
      <c r="A10337">
        <f>TEST_DATA!A10337</f>
        <v/>
      </c>
      <c r="B10337">
        <f>TEST_DATA!B10337</f>
        <v/>
      </c>
      <c r="C10337">
        <f>TEST_DATA!C10337</f>
        <v/>
      </c>
      <c r="D10337">
        <f>TEST_DATA!D10337</f>
        <v/>
      </c>
      <c r="E10337">
        <f>TEST_DATA!E10337</f>
        <v/>
      </c>
    </row>
    <row r="10338">
      <c r="A10338">
        <f>TEST_DATA!A10338</f>
        <v/>
      </c>
      <c r="B10338">
        <f>TEST_DATA!B10338</f>
        <v/>
      </c>
      <c r="C10338">
        <f>TEST_DATA!C10338</f>
        <v/>
      </c>
      <c r="D10338">
        <f>TEST_DATA!D10338</f>
        <v/>
      </c>
      <c r="E10338">
        <f>TEST_DATA!E10338</f>
        <v/>
      </c>
    </row>
    <row r="10339">
      <c r="A10339">
        <f>TEST_DATA!A10339</f>
        <v/>
      </c>
      <c r="B10339">
        <f>TEST_DATA!B10339</f>
        <v/>
      </c>
      <c r="C10339">
        <f>TEST_DATA!C10339</f>
        <v/>
      </c>
      <c r="D10339">
        <f>TEST_DATA!D10339</f>
        <v/>
      </c>
      <c r="E10339">
        <f>TEST_DATA!E10339</f>
        <v/>
      </c>
    </row>
    <row r="10340">
      <c r="A10340">
        <f>TEST_DATA!A10340</f>
        <v/>
      </c>
      <c r="B10340">
        <f>TEST_DATA!B10340</f>
        <v/>
      </c>
      <c r="C10340">
        <f>TEST_DATA!C10340</f>
        <v/>
      </c>
      <c r="D10340">
        <f>TEST_DATA!D10340</f>
        <v/>
      </c>
      <c r="E10340">
        <f>TEST_DATA!E10340</f>
        <v/>
      </c>
    </row>
    <row r="10341">
      <c r="A10341">
        <f>TEST_DATA!A10341</f>
        <v/>
      </c>
      <c r="B10341">
        <f>TEST_DATA!B10341</f>
        <v/>
      </c>
      <c r="C10341">
        <f>TEST_DATA!C10341</f>
        <v/>
      </c>
      <c r="D10341">
        <f>TEST_DATA!D10341</f>
        <v/>
      </c>
      <c r="E10341">
        <f>TEST_DATA!E10341</f>
        <v/>
      </c>
    </row>
    <row r="10342">
      <c r="A10342">
        <f>TEST_DATA!A10342</f>
        <v/>
      </c>
      <c r="B10342">
        <f>TEST_DATA!B10342</f>
        <v/>
      </c>
      <c r="C10342">
        <f>TEST_DATA!C10342</f>
        <v/>
      </c>
      <c r="D10342">
        <f>TEST_DATA!D10342</f>
        <v/>
      </c>
      <c r="E10342">
        <f>TEST_DATA!E10342</f>
        <v/>
      </c>
    </row>
    <row r="10343">
      <c r="A10343">
        <f>TEST_DATA!A10343</f>
        <v/>
      </c>
      <c r="B10343">
        <f>TEST_DATA!B10343</f>
        <v/>
      </c>
      <c r="C10343">
        <f>TEST_DATA!C10343</f>
        <v/>
      </c>
      <c r="D10343">
        <f>TEST_DATA!D10343</f>
        <v/>
      </c>
      <c r="E10343">
        <f>TEST_DATA!E10343</f>
        <v/>
      </c>
    </row>
    <row r="10344">
      <c r="A10344">
        <f>TEST_DATA!A10344</f>
        <v/>
      </c>
      <c r="B10344">
        <f>TEST_DATA!B10344</f>
        <v/>
      </c>
      <c r="C10344">
        <f>TEST_DATA!C10344</f>
        <v/>
      </c>
      <c r="D10344">
        <f>TEST_DATA!D10344</f>
        <v/>
      </c>
      <c r="E10344">
        <f>TEST_DATA!E10344</f>
        <v/>
      </c>
    </row>
    <row r="10345">
      <c r="A10345">
        <f>TEST_DATA!A10345</f>
        <v/>
      </c>
      <c r="B10345">
        <f>TEST_DATA!B10345</f>
        <v/>
      </c>
      <c r="C10345">
        <f>TEST_DATA!C10345</f>
        <v/>
      </c>
      <c r="D10345">
        <f>TEST_DATA!D10345</f>
        <v/>
      </c>
      <c r="E10345">
        <f>TEST_DATA!E10345</f>
        <v/>
      </c>
    </row>
    <row r="10346">
      <c r="A10346">
        <f>TEST_DATA!A10346</f>
        <v/>
      </c>
      <c r="B10346">
        <f>TEST_DATA!B10346</f>
        <v/>
      </c>
      <c r="C10346">
        <f>TEST_DATA!C10346</f>
        <v/>
      </c>
      <c r="D10346">
        <f>TEST_DATA!D10346</f>
        <v/>
      </c>
      <c r="E10346">
        <f>TEST_DATA!E10346</f>
        <v/>
      </c>
    </row>
    <row r="10347">
      <c r="A10347">
        <f>TEST_DATA!A10347</f>
        <v/>
      </c>
      <c r="B10347">
        <f>TEST_DATA!B10347</f>
        <v/>
      </c>
      <c r="C10347">
        <f>TEST_DATA!C10347</f>
        <v/>
      </c>
      <c r="D10347">
        <f>TEST_DATA!D10347</f>
        <v/>
      </c>
      <c r="E10347">
        <f>TEST_DATA!E10347</f>
        <v/>
      </c>
    </row>
    <row r="10348">
      <c r="A10348">
        <f>TEST_DATA!A10348</f>
        <v/>
      </c>
      <c r="B10348">
        <f>TEST_DATA!B10348</f>
        <v/>
      </c>
      <c r="C10348">
        <f>TEST_DATA!C10348</f>
        <v/>
      </c>
      <c r="D10348">
        <f>TEST_DATA!D10348</f>
        <v/>
      </c>
      <c r="E10348">
        <f>TEST_DATA!E10348</f>
        <v/>
      </c>
    </row>
    <row r="10349">
      <c r="A10349">
        <f>TEST_DATA!A10349</f>
        <v/>
      </c>
      <c r="B10349">
        <f>TEST_DATA!B10349</f>
        <v/>
      </c>
      <c r="C10349">
        <f>TEST_DATA!C10349</f>
        <v/>
      </c>
      <c r="D10349">
        <f>TEST_DATA!D10349</f>
        <v/>
      </c>
      <c r="E10349">
        <f>TEST_DATA!E10349</f>
        <v/>
      </c>
    </row>
    <row r="10350">
      <c r="A10350">
        <f>TEST_DATA!A10350</f>
        <v/>
      </c>
      <c r="B10350">
        <f>TEST_DATA!B10350</f>
        <v/>
      </c>
      <c r="C10350">
        <f>TEST_DATA!C10350</f>
        <v/>
      </c>
      <c r="D10350">
        <f>TEST_DATA!D10350</f>
        <v/>
      </c>
      <c r="E10350">
        <f>TEST_DATA!E10350</f>
        <v/>
      </c>
    </row>
    <row r="10351">
      <c r="A10351">
        <f>TEST_DATA!A10351</f>
        <v/>
      </c>
      <c r="B10351">
        <f>TEST_DATA!B10351</f>
        <v/>
      </c>
      <c r="C10351">
        <f>TEST_DATA!C10351</f>
        <v/>
      </c>
      <c r="D10351">
        <f>TEST_DATA!D10351</f>
        <v/>
      </c>
      <c r="E10351">
        <f>TEST_DATA!E10351</f>
        <v/>
      </c>
    </row>
    <row r="10352">
      <c r="A10352">
        <f>TEST_DATA!A10352</f>
        <v/>
      </c>
      <c r="B10352">
        <f>TEST_DATA!B10352</f>
        <v/>
      </c>
      <c r="C10352">
        <f>TEST_DATA!C10352</f>
        <v/>
      </c>
      <c r="D10352">
        <f>TEST_DATA!D10352</f>
        <v/>
      </c>
      <c r="E10352">
        <f>TEST_DATA!E10352</f>
        <v/>
      </c>
    </row>
    <row r="10353">
      <c r="A10353">
        <f>TEST_DATA!A10353</f>
        <v/>
      </c>
      <c r="B10353">
        <f>TEST_DATA!B10353</f>
        <v/>
      </c>
      <c r="C10353">
        <f>TEST_DATA!C10353</f>
        <v/>
      </c>
      <c r="D10353">
        <f>TEST_DATA!D10353</f>
        <v/>
      </c>
      <c r="E10353">
        <f>TEST_DATA!E10353</f>
        <v/>
      </c>
    </row>
    <row r="10354">
      <c r="A10354">
        <f>TEST_DATA!A10354</f>
        <v/>
      </c>
      <c r="B10354">
        <f>TEST_DATA!B10354</f>
        <v/>
      </c>
      <c r="C10354">
        <f>TEST_DATA!C10354</f>
        <v/>
      </c>
      <c r="D10354">
        <f>TEST_DATA!D10354</f>
        <v/>
      </c>
      <c r="E10354">
        <f>TEST_DATA!E10354</f>
        <v/>
      </c>
    </row>
    <row r="10355">
      <c r="A10355">
        <f>TEST_DATA!A10355</f>
        <v/>
      </c>
      <c r="B10355">
        <f>TEST_DATA!B10355</f>
        <v/>
      </c>
      <c r="C10355">
        <f>TEST_DATA!C10355</f>
        <v/>
      </c>
      <c r="D10355">
        <f>TEST_DATA!D10355</f>
        <v/>
      </c>
      <c r="E10355">
        <f>TEST_DATA!E10355</f>
        <v/>
      </c>
    </row>
    <row r="10356">
      <c r="A10356">
        <f>TEST_DATA!A10356</f>
        <v/>
      </c>
      <c r="B10356">
        <f>TEST_DATA!B10356</f>
        <v/>
      </c>
      <c r="C10356">
        <f>TEST_DATA!C10356</f>
        <v/>
      </c>
      <c r="D10356">
        <f>TEST_DATA!D10356</f>
        <v/>
      </c>
      <c r="E10356">
        <f>TEST_DATA!E10356</f>
        <v/>
      </c>
    </row>
    <row r="10357">
      <c r="A10357">
        <f>TEST_DATA!A10357</f>
        <v/>
      </c>
      <c r="B10357">
        <f>TEST_DATA!B10357</f>
        <v/>
      </c>
      <c r="C10357">
        <f>TEST_DATA!C10357</f>
        <v/>
      </c>
      <c r="D10357">
        <f>TEST_DATA!D10357</f>
        <v/>
      </c>
      <c r="E10357">
        <f>TEST_DATA!E10357</f>
        <v/>
      </c>
    </row>
    <row r="10358">
      <c r="A10358">
        <f>TEST_DATA!A10358</f>
        <v/>
      </c>
      <c r="B10358">
        <f>TEST_DATA!B10358</f>
        <v/>
      </c>
      <c r="C10358">
        <f>TEST_DATA!C10358</f>
        <v/>
      </c>
      <c r="D10358">
        <f>TEST_DATA!D10358</f>
        <v/>
      </c>
      <c r="E10358">
        <f>TEST_DATA!E10358</f>
        <v/>
      </c>
    </row>
    <row r="10359">
      <c r="A10359">
        <f>TEST_DATA!A10359</f>
        <v/>
      </c>
      <c r="B10359">
        <f>TEST_DATA!B10359</f>
        <v/>
      </c>
      <c r="C10359">
        <f>TEST_DATA!C10359</f>
        <v/>
      </c>
      <c r="D10359">
        <f>TEST_DATA!D10359</f>
        <v/>
      </c>
      <c r="E10359">
        <f>TEST_DATA!E10359</f>
        <v/>
      </c>
    </row>
    <row r="10360">
      <c r="A10360">
        <f>TEST_DATA!A10360</f>
        <v/>
      </c>
      <c r="B10360">
        <f>TEST_DATA!B10360</f>
        <v/>
      </c>
      <c r="C10360">
        <f>TEST_DATA!C10360</f>
        <v/>
      </c>
      <c r="D10360">
        <f>TEST_DATA!D10360</f>
        <v/>
      </c>
      <c r="E10360">
        <f>TEST_DATA!E10360</f>
        <v/>
      </c>
    </row>
    <row r="10361">
      <c r="A10361">
        <f>TEST_DATA!A10361</f>
        <v/>
      </c>
      <c r="B10361">
        <f>TEST_DATA!B10361</f>
        <v/>
      </c>
      <c r="C10361">
        <f>TEST_DATA!C10361</f>
        <v/>
      </c>
      <c r="D10361">
        <f>TEST_DATA!D10361</f>
        <v/>
      </c>
      <c r="E10361">
        <f>TEST_DATA!E10361</f>
        <v/>
      </c>
    </row>
    <row r="10362">
      <c r="A10362">
        <f>TEST_DATA!A10362</f>
        <v/>
      </c>
      <c r="B10362">
        <f>TEST_DATA!B10362</f>
        <v/>
      </c>
      <c r="C10362">
        <f>TEST_DATA!C10362</f>
        <v/>
      </c>
      <c r="D10362">
        <f>TEST_DATA!D10362</f>
        <v/>
      </c>
      <c r="E10362">
        <f>TEST_DATA!E10362</f>
        <v/>
      </c>
    </row>
    <row r="10363">
      <c r="A10363">
        <f>TEST_DATA!A10363</f>
        <v/>
      </c>
      <c r="B10363">
        <f>TEST_DATA!B10363</f>
        <v/>
      </c>
      <c r="C10363">
        <f>TEST_DATA!C10363</f>
        <v/>
      </c>
      <c r="D10363">
        <f>TEST_DATA!D10363</f>
        <v/>
      </c>
      <c r="E10363">
        <f>TEST_DATA!E10363</f>
        <v/>
      </c>
    </row>
    <row r="10364">
      <c r="A10364">
        <f>TEST_DATA!A10364</f>
        <v/>
      </c>
      <c r="B10364">
        <f>TEST_DATA!B10364</f>
        <v/>
      </c>
      <c r="C10364">
        <f>TEST_DATA!C10364</f>
        <v/>
      </c>
      <c r="D10364">
        <f>TEST_DATA!D10364</f>
        <v/>
      </c>
      <c r="E10364">
        <f>TEST_DATA!E10364</f>
        <v/>
      </c>
    </row>
    <row r="10365">
      <c r="A10365">
        <f>TEST_DATA!A10365</f>
        <v/>
      </c>
      <c r="B10365">
        <f>TEST_DATA!B10365</f>
        <v/>
      </c>
      <c r="C10365">
        <f>TEST_DATA!C10365</f>
        <v/>
      </c>
      <c r="D10365">
        <f>TEST_DATA!D10365</f>
        <v/>
      </c>
      <c r="E10365">
        <f>TEST_DATA!E10365</f>
        <v/>
      </c>
    </row>
    <row r="10366">
      <c r="A10366">
        <f>TEST_DATA!A10366</f>
        <v/>
      </c>
      <c r="B10366">
        <f>TEST_DATA!B10366</f>
        <v/>
      </c>
      <c r="C10366">
        <f>TEST_DATA!C10366</f>
        <v/>
      </c>
      <c r="D10366">
        <f>TEST_DATA!D10366</f>
        <v/>
      </c>
      <c r="E10366">
        <f>TEST_DATA!E10366</f>
        <v/>
      </c>
    </row>
    <row r="10367">
      <c r="A10367">
        <f>TEST_DATA!A10367</f>
        <v/>
      </c>
      <c r="B10367">
        <f>TEST_DATA!B10367</f>
        <v/>
      </c>
      <c r="C10367">
        <f>TEST_DATA!C10367</f>
        <v/>
      </c>
      <c r="D10367">
        <f>TEST_DATA!D10367</f>
        <v/>
      </c>
      <c r="E10367">
        <f>TEST_DATA!E10367</f>
        <v/>
      </c>
    </row>
    <row r="10368">
      <c r="A10368">
        <f>TEST_DATA!A10368</f>
        <v/>
      </c>
      <c r="B10368">
        <f>TEST_DATA!B10368</f>
        <v/>
      </c>
      <c r="C10368">
        <f>TEST_DATA!C10368</f>
        <v/>
      </c>
      <c r="D10368">
        <f>TEST_DATA!D10368</f>
        <v/>
      </c>
      <c r="E10368">
        <f>TEST_DATA!E10368</f>
        <v/>
      </c>
    </row>
    <row r="10369">
      <c r="A10369">
        <f>TEST_DATA!A10369</f>
        <v/>
      </c>
      <c r="B10369">
        <f>TEST_DATA!B10369</f>
        <v/>
      </c>
      <c r="C10369">
        <f>TEST_DATA!C10369</f>
        <v/>
      </c>
      <c r="D10369">
        <f>TEST_DATA!D10369</f>
        <v/>
      </c>
      <c r="E10369">
        <f>TEST_DATA!E10369</f>
        <v/>
      </c>
    </row>
    <row r="10370">
      <c r="A10370">
        <f>TEST_DATA!A10370</f>
        <v/>
      </c>
      <c r="B10370">
        <f>TEST_DATA!B10370</f>
        <v/>
      </c>
      <c r="C10370">
        <f>TEST_DATA!C10370</f>
        <v/>
      </c>
      <c r="D10370">
        <f>TEST_DATA!D10370</f>
        <v/>
      </c>
      <c r="E10370">
        <f>TEST_DATA!E10370</f>
        <v/>
      </c>
    </row>
    <row r="10371">
      <c r="A10371">
        <f>TEST_DATA!A10371</f>
        <v/>
      </c>
      <c r="B10371">
        <f>TEST_DATA!B10371</f>
        <v/>
      </c>
      <c r="C10371">
        <f>TEST_DATA!C10371</f>
        <v/>
      </c>
      <c r="D10371">
        <f>TEST_DATA!D10371</f>
        <v/>
      </c>
      <c r="E10371">
        <f>TEST_DATA!E10371</f>
        <v/>
      </c>
    </row>
    <row r="10372">
      <c r="A10372">
        <f>TEST_DATA!A10372</f>
        <v/>
      </c>
      <c r="B10372">
        <f>TEST_DATA!B10372</f>
        <v/>
      </c>
      <c r="C10372">
        <f>TEST_DATA!C10372</f>
        <v/>
      </c>
      <c r="D10372">
        <f>TEST_DATA!D10372</f>
        <v/>
      </c>
      <c r="E10372">
        <f>TEST_DATA!E10372</f>
        <v/>
      </c>
    </row>
    <row r="10373">
      <c r="A10373">
        <f>TEST_DATA!A10373</f>
        <v/>
      </c>
      <c r="B10373">
        <f>TEST_DATA!B10373</f>
        <v/>
      </c>
      <c r="C10373">
        <f>TEST_DATA!C10373</f>
        <v/>
      </c>
      <c r="D10373">
        <f>TEST_DATA!D10373</f>
        <v/>
      </c>
      <c r="E10373">
        <f>TEST_DATA!E10373</f>
        <v/>
      </c>
    </row>
    <row r="10374">
      <c r="A10374">
        <f>TEST_DATA!A10374</f>
        <v/>
      </c>
      <c r="B10374">
        <f>TEST_DATA!B10374</f>
        <v/>
      </c>
      <c r="C10374">
        <f>TEST_DATA!C10374</f>
        <v/>
      </c>
      <c r="D10374">
        <f>TEST_DATA!D10374</f>
        <v/>
      </c>
      <c r="E10374">
        <f>TEST_DATA!E10374</f>
        <v/>
      </c>
    </row>
    <row r="10375">
      <c r="A10375">
        <f>TEST_DATA!A10375</f>
        <v/>
      </c>
      <c r="B10375">
        <f>TEST_DATA!B10375</f>
        <v/>
      </c>
      <c r="C10375">
        <f>TEST_DATA!C10375</f>
        <v/>
      </c>
      <c r="D10375">
        <f>TEST_DATA!D10375</f>
        <v/>
      </c>
      <c r="E10375">
        <f>TEST_DATA!E10375</f>
        <v/>
      </c>
    </row>
    <row r="10376">
      <c r="A10376">
        <f>TEST_DATA!A10376</f>
        <v/>
      </c>
      <c r="B10376">
        <f>TEST_DATA!B10376</f>
        <v/>
      </c>
      <c r="C10376">
        <f>TEST_DATA!C10376</f>
        <v/>
      </c>
      <c r="D10376">
        <f>TEST_DATA!D10376</f>
        <v/>
      </c>
      <c r="E10376">
        <f>TEST_DATA!E10376</f>
        <v/>
      </c>
    </row>
    <row r="10377">
      <c r="A10377">
        <f>TEST_DATA!A10377</f>
        <v/>
      </c>
      <c r="B10377">
        <f>TEST_DATA!B10377</f>
        <v/>
      </c>
      <c r="C10377">
        <f>TEST_DATA!C10377</f>
        <v/>
      </c>
      <c r="D10377">
        <f>TEST_DATA!D10377</f>
        <v/>
      </c>
      <c r="E10377">
        <f>TEST_DATA!E10377</f>
        <v/>
      </c>
    </row>
    <row r="10378">
      <c r="A10378">
        <f>TEST_DATA!A10378</f>
        <v/>
      </c>
      <c r="B10378">
        <f>TEST_DATA!B10378</f>
        <v/>
      </c>
      <c r="C10378">
        <f>TEST_DATA!C10378</f>
        <v/>
      </c>
      <c r="D10378">
        <f>TEST_DATA!D10378</f>
        <v/>
      </c>
      <c r="E10378">
        <f>TEST_DATA!E10378</f>
        <v/>
      </c>
    </row>
    <row r="10379">
      <c r="A10379">
        <f>TEST_DATA!A10379</f>
        <v/>
      </c>
      <c r="B10379">
        <f>TEST_DATA!B10379</f>
        <v/>
      </c>
      <c r="C10379">
        <f>TEST_DATA!C10379</f>
        <v/>
      </c>
      <c r="D10379">
        <f>TEST_DATA!D10379</f>
        <v/>
      </c>
      <c r="E10379">
        <f>TEST_DATA!E10379</f>
        <v/>
      </c>
    </row>
    <row r="10380">
      <c r="A10380">
        <f>TEST_DATA!A10380</f>
        <v/>
      </c>
      <c r="B10380">
        <f>TEST_DATA!B10380</f>
        <v/>
      </c>
      <c r="C10380">
        <f>TEST_DATA!C10380</f>
        <v/>
      </c>
      <c r="D10380">
        <f>TEST_DATA!D10380</f>
        <v/>
      </c>
      <c r="E10380">
        <f>TEST_DATA!E10380</f>
        <v/>
      </c>
    </row>
    <row r="10381">
      <c r="A10381">
        <f>TEST_DATA!A10381</f>
        <v/>
      </c>
      <c r="B10381">
        <f>TEST_DATA!B10381</f>
        <v/>
      </c>
      <c r="C10381">
        <f>TEST_DATA!C10381</f>
        <v/>
      </c>
      <c r="D10381">
        <f>TEST_DATA!D10381</f>
        <v/>
      </c>
      <c r="E10381">
        <f>TEST_DATA!E10381</f>
        <v/>
      </c>
    </row>
    <row r="10382">
      <c r="A10382">
        <f>TEST_DATA!A10382</f>
        <v/>
      </c>
      <c r="B10382">
        <f>TEST_DATA!B10382</f>
        <v/>
      </c>
      <c r="C10382">
        <f>TEST_DATA!C10382</f>
        <v/>
      </c>
      <c r="D10382">
        <f>TEST_DATA!D10382</f>
        <v/>
      </c>
      <c r="E10382">
        <f>TEST_DATA!E10382</f>
        <v/>
      </c>
    </row>
    <row r="10383">
      <c r="A10383">
        <f>TEST_DATA!A10383</f>
        <v/>
      </c>
      <c r="B10383">
        <f>TEST_DATA!B10383</f>
        <v/>
      </c>
      <c r="C10383">
        <f>TEST_DATA!C10383</f>
        <v/>
      </c>
      <c r="D10383">
        <f>TEST_DATA!D10383</f>
        <v/>
      </c>
      <c r="E10383">
        <f>TEST_DATA!E10383</f>
        <v/>
      </c>
    </row>
    <row r="10384">
      <c r="A10384">
        <f>TEST_DATA!A10384</f>
        <v/>
      </c>
      <c r="B10384">
        <f>TEST_DATA!B10384</f>
        <v/>
      </c>
      <c r="C10384">
        <f>TEST_DATA!C10384</f>
        <v/>
      </c>
      <c r="D10384">
        <f>TEST_DATA!D10384</f>
        <v/>
      </c>
      <c r="E10384">
        <f>TEST_DATA!E10384</f>
        <v/>
      </c>
    </row>
    <row r="10385">
      <c r="A10385">
        <f>TEST_DATA!A10385</f>
        <v/>
      </c>
      <c r="B10385">
        <f>TEST_DATA!B10385</f>
        <v/>
      </c>
      <c r="C10385">
        <f>TEST_DATA!C10385</f>
        <v/>
      </c>
      <c r="D10385">
        <f>TEST_DATA!D10385</f>
        <v/>
      </c>
      <c r="E10385">
        <f>TEST_DATA!E10385</f>
        <v/>
      </c>
    </row>
    <row r="10386">
      <c r="A10386">
        <f>TEST_DATA!A10386</f>
        <v/>
      </c>
      <c r="B10386">
        <f>TEST_DATA!B10386</f>
        <v/>
      </c>
      <c r="C10386">
        <f>TEST_DATA!C10386</f>
        <v/>
      </c>
      <c r="D10386">
        <f>TEST_DATA!D10386</f>
        <v/>
      </c>
      <c r="E10386">
        <f>TEST_DATA!E10386</f>
        <v/>
      </c>
    </row>
    <row r="10387">
      <c r="A10387">
        <f>TEST_DATA!A10387</f>
        <v/>
      </c>
      <c r="B10387">
        <f>TEST_DATA!B10387</f>
        <v/>
      </c>
      <c r="C10387">
        <f>TEST_DATA!C10387</f>
        <v/>
      </c>
      <c r="D10387">
        <f>TEST_DATA!D10387</f>
        <v/>
      </c>
      <c r="E10387">
        <f>TEST_DATA!E10387</f>
        <v/>
      </c>
    </row>
    <row r="10388">
      <c r="A10388">
        <f>TEST_DATA!A10388</f>
        <v/>
      </c>
      <c r="B10388">
        <f>TEST_DATA!B10388</f>
        <v/>
      </c>
      <c r="C10388">
        <f>TEST_DATA!C10388</f>
        <v/>
      </c>
      <c r="D10388">
        <f>TEST_DATA!D10388</f>
        <v/>
      </c>
      <c r="E10388">
        <f>TEST_DATA!E10388</f>
        <v/>
      </c>
    </row>
    <row r="10389">
      <c r="A10389">
        <f>TEST_DATA!A10389</f>
        <v/>
      </c>
      <c r="B10389">
        <f>TEST_DATA!B10389</f>
        <v/>
      </c>
      <c r="C10389">
        <f>TEST_DATA!C10389</f>
        <v/>
      </c>
      <c r="D10389">
        <f>TEST_DATA!D10389</f>
        <v/>
      </c>
      <c r="E10389">
        <f>TEST_DATA!E10389</f>
        <v/>
      </c>
    </row>
    <row r="10390">
      <c r="A10390">
        <f>TEST_DATA!A10390</f>
        <v/>
      </c>
      <c r="B10390">
        <f>TEST_DATA!B10390</f>
        <v/>
      </c>
      <c r="C10390">
        <f>TEST_DATA!C10390</f>
        <v/>
      </c>
      <c r="D10390">
        <f>TEST_DATA!D10390</f>
        <v/>
      </c>
      <c r="E10390">
        <f>TEST_DATA!E10390</f>
        <v/>
      </c>
    </row>
    <row r="10391">
      <c r="A10391">
        <f>TEST_DATA!A10391</f>
        <v/>
      </c>
      <c r="B10391">
        <f>TEST_DATA!B10391</f>
        <v/>
      </c>
      <c r="C10391">
        <f>TEST_DATA!C10391</f>
        <v/>
      </c>
      <c r="D10391">
        <f>TEST_DATA!D10391</f>
        <v/>
      </c>
      <c r="E10391">
        <f>TEST_DATA!E10391</f>
        <v/>
      </c>
    </row>
    <row r="10392">
      <c r="A10392">
        <f>TEST_DATA!A10392</f>
        <v/>
      </c>
      <c r="B10392">
        <f>TEST_DATA!B10392</f>
        <v/>
      </c>
      <c r="C10392">
        <f>TEST_DATA!C10392</f>
        <v/>
      </c>
      <c r="D10392">
        <f>TEST_DATA!D10392</f>
        <v/>
      </c>
      <c r="E10392">
        <f>TEST_DATA!E10392</f>
        <v/>
      </c>
    </row>
    <row r="10393">
      <c r="A10393">
        <f>TEST_DATA!A10393</f>
        <v/>
      </c>
      <c r="B10393">
        <f>TEST_DATA!B10393</f>
        <v/>
      </c>
      <c r="C10393">
        <f>TEST_DATA!C10393</f>
        <v/>
      </c>
      <c r="D10393">
        <f>TEST_DATA!D10393</f>
        <v/>
      </c>
      <c r="E10393">
        <f>TEST_DATA!E10393</f>
        <v/>
      </c>
    </row>
    <row r="10394">
      <c r="A10394">
        <f>TEST_DATA!A10394</f>
        <v/>
      </c>
      <c r="B10394">
        <f>TEST_DATA!B10394</f>
        <v/>
      </c>
      <c r="C10394">
        <f>TEST_DATA!C10394</f>
        <v/>
      </c>
      <c r="D10394">
        <f>TEST_DATA!D10394</f>
        <v/>
      </c>
      <c r="E10394">
        <f>TEST_DATA!E10394</f>
        <v/>
      </c>
    </row>
    <row r="10395">
      <c r="A10395">
        <f>TEST_DATA!A10395</f>
        <v/>
      </c>
      <c r="B10395">
        <f>TEST_DATA!B10395</f>
        <v/>
      </c>
      <c r="C10395">
        <f>TEST_DATA!C10395</f>
        <v/>
      </c>
      <c r="D10395">
        <f>TEST_DATA!D10395</f>
        <v/>
      </c>
      <c r="E10395">
        <f>TEST_DATA!E10395</f>
        <v/>
      </c>
    </row>
    <row r="10396">
      <c r="A10396">
        <f>TEST_DATA!A10396</f>
        <v/>
      </c>
      <c r="B10396">
        <f>TEST_DATA!B10396</f>
        <v/>
      </c>
      <c r="C10396">
        <f>TEST_DATA!C10396</f>
        <v/>
      </c>
      <c r="D10396">
        <f>TEST_DATA!D10396</f>
        <v/>
      </c>
      <c r="E10396">
        <f>TEST_DATA!E10396</f>
        <v/>
      </c>
    </row>
    <row r="10397">
      <c r="A10397">
        <f>TEST_DATA!A10397</f>
        <v/>
      </c>
      <c r="B10397">
        <f>TEST_DATA!B10397</f>
        <v/>
      </c>
      <c r="C10397">
        <f>TEST_DATA!C10397</f>
        <v/>
      </c>
      <c r="D10397">
        <f>TEST_DATA!D10397</f>
        <v/>
      </c>
      <c r="E10397">
        <f>TEST_DATA!E10397</f>
        <v/>
      </c>
    </row>
    <row r="10398">
      <c r="A10398">
        <f>TEST_DATA!A10398</f>
        <v/>
      </c>
      <c r="B10398">
        <f>TEST_DATA!B10398</f>
        <v/>
      </c>
      <c r="C10398">
        <f>TEST_DATA!C10398</f>
        <v/>
      </c>
      <c r="D10398">
        <f>TEST_DATA!D10398</f>
        <v/>
      </c>
      <c r="E10398">
        <f>TEST_DATA!E10398</f>
        <v/>
      </c>
    </row>
    <row r="10399">
      <c r="A10399">
        <f>TEST_DATA!A10399</f>
        <v/>
      </c>
      <c r="B10399">
        <f>TEST_DATA!B10399</f>
        <v/>
      </c>
      <c r="C10399">
        <f>TEST_DATA!C10399</f>
        <v/>
      </c>
      <c r="D10399">
        <f>TEST_DATA!D10399</f>
        <v/>
      </c>
      <c r="E10399">
        <f>TEST_DATA!E10399</f>
        <v/>
      </c>
    </row>
    <row r="10400">
      <c r="A10400">
        <f>TEST_DATA!A10400</f>
        <v/>
      </c>
      <c r="B10400">
        <f>TEST_DATA!B10400</f>
        <v/>
      </c>
      <c r="C10400">
        <f>TEST_DATA!C10400</f>
        <v/>
      </c>
      <c r="D10400">
        <f>TEST_DATA!D10400</f>
        <v/>
      </c>
      <c r="E10400">
        <f>TEST_DATA!E10400</f>
        <v/>
      </c>
    </row>
    <row r="10401">
      <c r="A10401">
        <f>TEST_DATA!A10401</f>
        <v/>
      </c>
      <c r="B10401">
        <f>TEST_DATA!B10401</f>
        <v/>
      </c>
      <c r="C10401">
        <f>TEST_DATA!C10401</f>
        <v/>
      </c>
      <c r="D10401">
        <f>TEST_DATA!D10401</f>
        <v/>
      </c>
      <c r="E10401">
        <f>TEST_DATA!E10401</f>
        <v/>
      </c>
    </row>
    <row r="10402">
      <c r="A10402">
        <f>TEST_DATA!A10402</f>
        <v/>
      </c>
      <c r="B10402">
        <f>TEST_DATA!B10402</f>
        <v/>
      </c>
      <c r="C10402">
        <f>TEST_DATA!C10402</f>
        <v/>
      </c>
      <c r="D10402">
        <f>TEST_DATA!D10402</f>
        <v/>
      </c>
      <c r="E10402">
        <f>TEST_DATA!E10402</f>
        <v/>
      </c>
    </row>
    <row r="10403">
      <c r="A10403">
        <f>TEST_DATA!A10403</f>
        <v/>
      </c>
      <c r="B10403">
        <f>TEST_DATA!B10403</f>
        <v/>
      </c>
      <c r="C10403">
        <f>TEST_DATA!C10403</f>
        <v/>
      </c>
      <c r="D10403">
        <f>TEST_DATA!D10403</f>
        <v/>
      </c>
      <c r="E10403">
        <f>TEST_DATA!E10403</f>
        <v/>
      </c>
    </row>
    <row r="10404">
      <c r="A10404">
        <f>TEST_DATA!A10404</f>
        <v/>
      </c>
      <c r="B10404">
        <f>TEST_DATA!B10404</f>
        <v/>
      </c>
      <c r="C10404">
        <f>TEST_DATA!C10404</f>
        <v/>
      </c>
      <c r="D10404">
        <f>TEST_DATA!D10404</f>
        <v/>
      </c>
      <c r="E10404">
        <f>TEST_DATA!E10404</f>
        <v/>
      </c>
    </row>
    <row r="10405">
      <c r="A10405">
        <f>TEST_DATA!A10405</f>
        <v/>
      </c>
      <c r="B10405">
        <f>TEST_DATA!B10405</f>
        <v/>
      </c>
      <c r="C10405">
        <f>TEST_DATA!C10405</f>
        <v/>
      </c>
      <c r="D10405">
        <f>TEST_DATA!D10405</f>
        <v/>
      </c>
      <c r="E10405">
        <f>TEST_DATA!E10405</f>
        <v/>
      </c>
    </row>
    <row r="10406">
      <c r="A10406">
        <f>TEST_DATA!A10406</f>
        <v/>
      </c>
      <c r="B10406">
        <f>TEST_DATA!B10406</f>
        <v/>
      </c>
      <c r="C10406">
        <f>TEST_DATA!C10406</f>
        <v/>
      </c>
      <c r="D10406">
        <f>TEST_DATA!D10406</f>
        <v/>
      </c>
      <c r="E10406">
        <f>TEST_DATA!E10406</f>
        <v/>
      </c>
    </row>
    <row r="10407">
      <c r="A10407">
        <f>TEST_DATA!A10407</f>
        <v/>
      </c>
      <c r="B10407">
        <f>TEST_DATA!B10407</f>
        <v/>
      </c>
      <c r="C10407">
        <f>TEST_DATA!C10407</f>
        <v/>
      </c>
      <c r="D10407">
        <f>TEST_DATA!D10407</f>
        <v/>
      </c>
      <c r="E10407">
        <f>TEST_DATA!E10407</f>
        <v/>
      </c>
    </row>
    <row r="10408">
      <c r="A10408">
        <f>TEST_DATA!A10408</f>
        <v/>
      </c>
      <c r="B10408">
        <f>TEST_DATA!B10408</f>
        <v/>
      </c>
      <c r="C10408">
        <f>TEST_DATA!C10408</f>
        <v/>
      </c>
      <c r="D10408">
        <f>TEST_DATA!D10408</f>
        <v/>
      </c>
      <c r="E10408">
        <f>TEST_DATA!E10408</f>
        <v/>
      </c>
    </row>
    <row r="10409">
      <c r="A10409">
        <f>TEST_DATA!A10409</f>
        <v/>
      </c>
      <c r="B10409">
        <f>TEST_DATA!B10409</f>
        <v/>
      </c>
      <c r="C10409">
        <f>TEST_DATA!C10409</f>
        <v/>
      </c>
      <c r="D10409">
        <f>TEST_DATA!D10409</f>
        <v/>
      </c>
      <c r="E10409">
        <f>TEST_DATA!E10409</f>
        <v/>
      </c>
    </row>
    <row r="10410">
      <c r="A10410">
        <f>TEST_DATA!A10410</f>
        <v/>
      </c>
      <c r="B10410">
        <f>TEST_DATA!B10410</f>
        <v/>
      </c>
      <c r="C10410">
        <f>TEST_DATA!C10410</f>
        <v/>
      </c>
      <c r="D10410">
        <f>TEST_DATA!D10410</f>
        <v/>
      </c>
      <c r="E10410">
        <f>TEST_DATA!E10410</f>
        <v/>
      </c>
    </row>
    <row r="10411">
      <c r="A10411">
        <f>TEST_DATA!A10411</f>
        <v/>
      </c>
      <c r="B10411">
        <f>TEST_DATA!B10411</f>
        <v/>
      </c>
      <c r="C10411">
        <f>TEST_DATA!C10411</f>
        <v/>
      </c>
      <c r="D10411">
        <f>TEST_DATA!D10411</f>
        <v/>
      </c>
      <c r="E10411">
        <f>TEST_DATA!E10411</f>
        <v/>
      </c>
    </row>
    <row r="10412">
      <c r="A10412">
        <f>TEST_DATA!A10412</f>
        <v/>
      </c>
      <c r="B10412">
        <f>TEST_DATA!B10412</f>
        <v/>
      </c>
      <c r="C10412">
        <f>TEST_DATA!C10412</f>
        <v/>
      </c>
      <c r="D10412">
        <f>TEST_DATA!D10412</f>
        <v/>
      </c>
      <c r="E10412">
        <f>TEST_DATA!E10412</f>
        <v/>
      </c>
    </row>
    <row r="10413">
      <c r="A10413">
        <f>TEST_DATA!A10413</f>
        <v/>
      </c>
      <c r="B10413">
        <f>TEST_DATA!B10413</f>
        <v/>
      </c>
      <c r="C10413">
        <f>TEST_DATA!C10413</f>
        <v/>
      </c>
      <c r="D10413">
        <f>TEST_DATA!D10413</f>
        <v/>
      </c>
      <c r="E10413">
        <f>TEST_DATA!E10413</f>
        <v/>
      </c>
    </row>
    <row r="10414">
      <c r="A10414">
        <f>TEST_DATA!A10414</f>
        <v/>
      </c>
      <c r="B10414">
        <f>TEST_DATA!B10414</f>
        <v/>
      </c>
      <c r="C10414">
        <f>TEST_DATA!C10414</f>
        <v/>
      </c>
      <c r="D10414">
        <f>TEST_DATA!D10414</f>
        <v/>
      </c>
      <c r="E10414">
        <f>TEST_DATA!E10414</f>
        <v/>
      </c>
    </row>
    <row r="10415">
      <c r="A10415">
        <f>TEST_DATA!A10415</f>
        <v/>
      </c>
      <c r="B10415">
        <f>TEST_DATA!B10415</f>
        <v/>
      </c>
      <c r="C10415">
        <f>TEST_DATA!C10415</f>
        <v/>
      </c>
      <c r="D10415">
        <f>TEST_DATA!D10415</f>
        <v/>
      </c>
      <c r="E10415">
        <f>TEST_DATA!E10415</f>
        <v/>
      </c>
    </row>
    <row r="10416">
      <c r="A10416">
        <f>TEST_DATA!A10416</f>
        <v/>
      </c>
      <c r="B10416">
        <f>TEST_DATA!B10416</f>
        <v/>
      </c>
      <c r="C10416">
        <f>TEST_DATA!C10416</f>
        <v/>
      </c>
      <c r="D10416">
        <f>TEST_DATA!D10416</f>
        <v/>
      </c>
      <c r="E10416">
        <f>TEST_DATA!E10416</f>
        <v/>
      </c>
    </row>
    <row r="10417">
      <c r="A10417">
        <f>TEST_DATA!A10417</f>
        <v/>
      </c>
      <c r="B10417">
        <f>TEST_DATA!B10417</f>
        <v/>
      </c>
      <c r="C10417">
        <f>TEST_DATA!C10417</f>
        <v/>
      </c>
      <c r="D10417">
        <f>TEST_DATA!D10417</f>
        <v/>
      </c>
      <c r="E10417">
        <f>TEST_DATA!E10417</f>
        <v/>
      </c>
    </row>
    <row r="10418">
      <c r="A10418">
        <f>TEST_DATA!A10418</f>
        <v/>
      </c>
      <c r="B10418">
        <f>TEST_DATA!B10418</f>
        <v/>
      </c>
      <c r="C10418">
        <f>TEST_DATA!C10418</f>
        <v/>
      </c>
      <c r="D10418">
        <f>TEST_DATA!D10418</f>
        <v/>
      </c>
      <c r="E10418">
        <f>TEST_DATA!E10418</f>
        <v/>
      </c>
    </row>
    <row r="10419">
      <c r="A10419">
        <f>TEST_DATA!A10419</f>
        <v/>
      </c>
      <c r="B10419">
        <f>TEST_DATA!B10419</f>
        <v/>
      </c>
      <c r="C10419">
        <f>TEST_DATA!C10419</f>
        <v/>
      </c>
      <c r="D10419">
        <f>TEST_DATA!D10419</f>
        <v/>
      </c>
      <c r="E10419">
        <f>TEST_DATA!E10419</f>
        <v/>
      </c>
    </row>
    <row r="10420">
      <c r="A10420">
        <f>TEST_DATA!A10420</f>
        <v/>
      </c>
      <c r="B10420">
        <f>TEST_DATA!B10420</f>
        <v/>
      </c>
      <c r="C10420">
        <f>TEST_DATA!C10420</f>
        <v/>
      </c>
      <c r="D10420">
        <f>TEST_DATA!D10420</f>
        <v/>
      </c>
      <c r="E10420">
        <f>TEST_DATA!E10420</f>
        <v/>
      </c>
    </row>
    <row r="10421">
      <c r="A10421">
        <f>TEST_DATA!A10421</f>
        <v/>
      </c>
      <c r="B10421">
        <f>TEST_DATA!B10421</f>
        <v/>
      </c>
      <c r="C10421">
        <f>TEST_DATA!C10421</f>
        <v/>
      </c>
      <c r="D10421">
        <f>TEST_DATA!D10421</f>
        <v/>
      </c>
      <c r="E10421">
        <f>TEST_DATA!E10421</f>
        <v/>
      </c>
    </row>
    <row r="10422">
      <c r="A10422">
        <f>TEST_DATA!A10422</f>
        <v/>
      </c>
      <c r="B10422">
        <f>TEST_DATA!B10422</f>
        <v/>
      </c>
      <c r="C10422">
        <f>TEST_DATA!C10422</f>
        <v/>
      </c>
      <c r="D10422">
        <f>TEST_DATA!D10422</f>
        <v/>
      </c>
      <c r="E10422">
        <f>TEST_DATA!E10422</f>
        <v/>
      </c>
    </row>
    <row r="10423">
      <c r="A10423">
        <f>TEST_DATA!A10423</f>
        <v/>
      </c>
      <c r="B10423">
        <f>TEST_DATA!B10423</f>
        <v/>
      </c>
      <c r="C10423">
        <f>TEST_DATA!C10423</f>
        <v/>
      </c>
      <c r="D10423">
        <f>TEST_DATA!D10423</f>
        <v/>
      </c>
      <c r="E10423">
        <f>TEST_DATA!E10423</f>
        <v/>
      </c>
    </row>
    <row r="10424">
      <c r="A10424">
        <f>TEST_DATA!A10424</f>
        <v/>
      </c>
      <c r="B10424">
        <f>TEST_DATA!B10424</f>
        <v/>
      </c>
      <c r="C10424">
        <f>TEST_DATA!C10424</f>
        <v/>
      </c>
      <c r="D10424">
        <f>TEST_DATA!D10424</f>
        <v/>
      </c>
      <c r="E10424">
        <f>TEST_DATA!E10424</f>
        <v/>
      </c>
    </row>
    <row r="10425">
      <c r="A10425">
        <f>TEST_DATA!A10425</f>
        <v/>
      </c>
      <c r="B10425">
        <f>TEST_DATA!B10425</f>
        <v/>
      </c>
      <c r="C10425">
        <f>TEST_DATA!C10425</f>
        <v/>
      </c>
      <c r="D10425">
        <f>TEST_DATA!D10425</f>
        <v/>
      </c>
      <c r="E10425">
        <f>TEST_DATA!E10425</f>
        <v/>
      </c>
    </row>
    <row r="10426">
      <c r="A10426">
        <f>TEST_DATA!A10426</f>
        <v/>
      </c>
      <c r="B10426">
        <f>TEST_DATA!B10426</f>
        <v/>
      </c>
      <c r="C10426">
        <f>TEST_DATA!C10426</f>
        <v/>
      </c>
      <c r="D10426">
        <f>TEST_DATA!D10426</f>
        <v/>
      </c>
      <c r="E10426">
        <f>TEST_DATA!E10426</f>
        <v/>
      </c>
    </row>
    <row r="10427">
      <c r="A10427">
        <f>TEST_DATA!A10427</f>
        <v/>
      </c>
      <c r="B10427">
        <f>TEST_DATA!B10427</f>
        <v/>
      </c>
      <c r="C10427">
        <f>TEST_DATA!C10427</f>
        <v/>
      </c>
      <c r="D10427">
        <f>TEST_DATA!D10427</f>
        <v/>
      </c>
      <c r="E10427">
        <f>TEST_DATA!E10427</f>
        <v/>
      </c>
    </row>
    <row r="10428">
      <c r="A10428">
        <f>TEST_DATA!A10428</f>
        <v/>
      </c>
      <c r="B10428">
        <f>TEST_DATA!B10428</f>
        <v/>
      </c>
      <c r="C10428">
        <f>TEST_DATA!C10428</f>
        <v/>
      </c>
      <c r="D10428">
        <f>TEST_DATA!D10428</f>
        <v/>
      </c>
      <c r="E10428">
        <f>TEST_DATA!E10428</f>
        <v/>
      </c>
    </row>
    <row r="10429">
      <c r="A10429">
        <f>TEST_DATA!A10429</f>
        <v/>
      </c>
      <c r="B10429">
        <f>TEST_DATA!B10429</f>
        <v/>
      </c>
      <c r="C10429">
        <f>TEST_DATA!C10429</f>
        <v/>
      </c>
      <c r="D10429">
        <f>TEST_DATA!D10429</f>
        <v/>
      </c>
      <c r="E10429">
        <f>TEST_DATA!E10429</f>
        <v/>
      </c>
    </row>
    <row r="10430">
      <c r="A10430">
        <f>TEST_DATA!A10430</f>
        <v/>
      </c>
      <c r="B10430">
        <f>TEST_DATA!B10430</f>
        <v/>
      </c>
      <c r="C10430">
        <f>TEST_DATA!C10430</f>
        <v/>
      </c>
      <c r="D10430">
        <f>TEST_DATA!D10430</f>
        <v/>
      </c>
      <c r="E10430">
        <f>TEST_DATA!E10430</f>
        <v/>
      </c>
    </row>
    <row r="10431">
      <c r="A10431">
        <f>TEST_DATA!A10431</f>
        <v/>
      </c>
      <c r="B10431">
        <f>TEST_DATA!B10431</f>
        <v/>
      </c>
      <c r="C10431">
        <f>TEST_DATA!C10431</f>
        <v/>
      </c>
      <c r="D10431">
        <f>TEST_DATA!D10431</f>
        <v/>
      </c>
      <c r="E10431">
        <f>TEST_DATA!E10431</f>
        <v/>
      </c>
    </row>
    <row r="10432">
      <c r="A10432">
        <f>TEST_DATA!A10432</f>
        <v/>
      </c>
      <c r="B10432">
        <f>TEST_DATA!B10432</f>
        <v/>
      </c>
      <c r="C10432">
        <f>TEST_DATA!C10432</f>
        <v/>
      </c>
      <c r="D10432">
        <f>TEST_DATA!D10432</f>
        <v/>
      </c>
      <c r="E10432">
        <f>TEST_DATA!E10432</f>
        <v/>
      </c>
    </row>
    <row r="10433">
      <c r="A10433">
        <f>TEST_DATA!A10433</f>
        <v/>
      </c>
      <c r="B10433">
        <f>TEST_DATA!B10433</f>
        <v/>
      </c>
      <c r="C10433">
        <f>TEST_DATA!C10433</f>
        <v/>
      </c>
      <c r="D10433">
        <f>TEST_DATA!D10433</f>
        <v/>
      </c>
      <c r="E10433">
        <f>TEST_DATA!E10433</f>
        <v/>
      </c>
    </row>
    <row r="10434">
      <c r="A10434">
        <f>TEST_DATA!A10434</f>
        <v/>
      </c>
      <c r="B10434">
        <f>TEST_DATA!B10434</f>
        <v/>
      </c>
      <c r="C10434">
        <f>TEST_DATA!C10434</f>
        <v/>
      </c>
      <c r="D10434">
        <f>TEST_DATA!D10434</f>
        <v/>
      </c>
      <c r="E10434">
        <f>TEST_DATA!E10434</f>
        <v/>
      </c>
    </row>
    <row r="10435">
      <c r="A10435">
        <f>TEST_DATA!A10435</f>
        <v/>
      </c>
      <c r="B10435">
        <f>TEST_DATA!B10435</f>
        <v/>
      </c>
      <c r="C10435">
        <f>TEST_DATA!C10435</f>
        <v/>
      </c>
      <c r="D10435">
        <f>TEST_DATA!D10435</f>
        <v/>
      </c>
      <c r="E10435">
        <f>TEST_DATA!E10435</f>
        <v/>
      </c>
    </row>
    <row r="10436">
      <c r="A10436">
        <f>TEST_DATA!A10436</f>
        <v/>
      </c>
      <c r="B10436">
        <f>TEST_DATA!B10436</f>
        <v/>
      </c>
      <c r="C10436">
        <f>TEST_DATA!C10436</f>
        <v/>
      </c>
      <c r="D10436">
        <f>TEST_DATA!D10436</f>
        <v/>
      </c>
      <c r="E10436">
        <f>TEST_DATA!E10436</f>
        <v/>
      </c>
    </row>
    <row r="10437">
      <c r="A10437">
        <f>TEST_DATA!A10437</f>
        <v/>
      </c>
      <c r="B10437">
        <f>TEST_DATA!B10437</f>
        <v/>
      </c>
      <c r="C10437">
        <f>TEST_DATA!C10437</f>
        <v/>
      </c>
      <c r="D10437">
        <f>TEST_DATA!D10437</f>
        <v/>
      </c>
      <c r="E10437">
        <f>TEST_DATA!E10437</f>
        <v/>
      </c>
    </row>
    <row r="10438">
      <c r="A10438">
        <f>TEST_DATA!A10438</f>
        <v/>
      </c>
      <c r="B10438">
        <f>TEST_DATA!B10438</f>
        <v/>
      </c>
      <c r="C10438">
        <f>TEST_DATA!C10438</f>
        <v/>
      </c>
      <c r="D10438">
        <f>TEST_DATA!D10438</f>
        <v/>
      </c>
      <c r="E10438">
        <f>TEST_DATA!E10438</f>
        <v/>
      </c>
    </row>
    <row r="10439">
      <c r="A10439">
        <f>TEST_DATA!A10439</f>
        <v/>
      </c>
      <c r="B10439">
        <f>TEST_DATA!B10439</f>
        <v/>
      </c>
      <c r="C10439">
        <f>TEST_DATA!C10439</f>
        <v/>
      </c>
      <c r="D10439">
        <f>TEST_DATA!D10439</f>
        <v/>
      </c>
      <c r="E10439">
        <f>TEST_DATA!E10439</f>
        <v/>
      </c>
    </row>
    <row r="10440">
      <c r="A10440">
        <f>TEST_DATA!A10440</f>
        <v/>
      </c>
      <c r="B10440">
        <f>TEST_DATA!B10440</f>
        <v/>
      </c>
      <c r="C10440">
        <f>TEST_DATA!C10440</f>
        <v/>
      </c>
      <c r="D10440">
        <f>TEST_DATA!D10440</f>
        <v/>
      </c>
      <c r="E10440">
        <f>TEST_DATA!E10440</f>
        <v/>
      </c>
    </row>
    <row r="10441">
      <c r="A10441">
        <f>TEST_DATA!A10441</f>
        <v/>
      </c>
      <c r="B10441">
        <f>TEST_DATA!B10441</f>
        <v/>
      </c>
      <c r="C10441">
        <f>TEST_DATA!C10441</f>
        <v/>
      </c>
      <c r="D10441">
        <f>TEST_DATA!D10441</f>
        <v/>
      </c>
      <c r="E10441">
        <f>TEST_DATA!E10441</f>
        <v/>
      </c>
    </row>
    <row r="10442">
      <c r="A10442">
        <f>TEST_DATA!A10442</f>
        <v/>
      </c>
      <c r="B10442">
        <f>TEST_DATA!B10442</f>
        <v/>
      </c>
      <c r="C10442">
        <f>TEST_DATA!C10442</f>
        <v/>
      </c>
      <c r="D10442">
        <f>TEST_DATA!D10442</f>
        <v/>
      </c>
      <c r="E10442">
        <f>TEST_DATA!E10442</f>
        <v/>
      </c>
    </row>
    <row r="10443">
      <c r="A10443">
        <f>TEST_DATA!A10443</f>
        <v/>
      </c>
      <c r="B10443">
        <f>TEST_DATA!B10443</f>
        <v/>
      </c>
      <c r="C10443">
        <f>TEST_DATA!C10443</f>
        <v/>
      </c>
      <c r="D10443">
        <f>TEST_DATA!D10443</f>
        <v/>
      </c>
      <c r="E10443">
        <f>TEST_DATA!E10443</f>
        <v/>
      </c>
    </row>
    <row r="10444">
      <c r="A10444">
        <f>TEST_DATA!A10444</f>
        <v/>
      </c>
      <c r="B10444">
        <f>TEST_DATA!B10444</f>
        <v/>
      </c>
      <c r="C10444">
        <f>TEST_DATA!C10444</f>
        <v/>
      </c>
      <c r="D10444">
        <f>TEST_DATA!D10444</f>
        <v/>
      </c>
      <c r="E10444">
        <f>TEST_DATA!E10444</f>
        <v/>
      </c>
    </row>
    <row r="10445">
      <c r="A10445">
        <f>TEST_DATA!A10445</f>
        <v/>
      </c>
      <c r="B10445">
        <f>TEST_DATA!B10445</f>
        <v/>
      </c>
      <c r="C10445">
        <f>TEST_DATA!C10445</f>
        <v/>
      </c>
      <c r="D10445">
        <f>TEST_DATA!D10445</f>
        <v/>
      </c>
      <c r="E10445">
        <f>TEST_DATA!E10445</f>
        <v/>
      </c>
    </row>
    <row r="10446">
      <c r="A10446">
        <f>TEST_DATA!A10446</f>
        <v/>
      </c>
      <c r="B10446">
        <f>TEST_DATA!B10446</f>
        <v/>
      </c>
      <c r="C10446">
        <f>TEST_DATA!C10446</f>
        <v/>
      </c>
      <c r="D10446">
        <f>TEST_DATA!D10446</f>
        <v/>
      </c>
      <c r="E10446">
        <f>TEST_DATA!E10446</f>
        <v/>
      </c>
    </row>
    <row r="10447">
      <c r="A10447">
        <f>TEST_DATA!A10447</f>
        <v/>
      </c>
      <c r="B10447">
        <f>TEST_DATA!B10447</f>
        <v/>
      </c>
      <c r="C10447">
        <f>TEST_DATA!C10447</f>
        <v/>
      </c>
      <c r="D10447">
        <f>TEST_DATA!D10447</f>
        <v/>
      </c>
      <c r="E10447">
        <f>TEST_DATA!E10447</f>
        <v/>
      </c>
    </row>
    <row r="10448">
      <c r="A10448">
        <f>TEST_DATA!A10448</f>
        <v/>
      </c>
      <c r="B10448">
        <f>TEST_DATA!B10448</f>
        <v/>
      </c>
      <c r="C10448">
        <f>TEST_DATA!C10448</f>
        <v/>
      </c>
      <c r="D10448">
        <f>TEST_DATA!D10448</f>
        <v/>
      </c>
      <c r="E10448">
        <f>TEST_DATA!E10448</f>
        <v/>
      </c>
    </row>
    <row r="10449">
      <c r="A10449">
        <f>TEST_DATA!A10449</f>
        <v/>
      </c>
      <c r="B10449">
        <f>TEST_DATA!B10449</f>
        <v/>
      </c>
      <c r="C10449">
        <f>TEST_DATA!C10449</f>
        <v/>
      </c>
      <c r="D10449">
        <f>TEST_DATA!D10449</f>
        <v/>
      </c>
      <c r="E10449">
        <f>TEST_DATA!E10449</f>
        <v/>
      </c>
    </row>
    <row r="10450">
      <c r="A10450">
        <f>TEST_DATA!A10450</f>
        <v/>
      </c>
      <c r="B10450">
        <f>TEST_DATA!B10450</f>
        <v/>
      </c>
      <c r="C10450">
        <f>TEST_DATA!C10450</f>
        <v/>
      </c>
      <c r="D10450">
        <f>TEST_DATA!D10450</f>
        <v/>
      </c>
      <c r="E10450">
        <f>TEST_DATA!E10450</f>
        <v/>
      </c>
    </row>
    <row r="10451">
      <c r="A10451">
        <f>TEST_DATA!A10451</f>
        <v/>
      </c>
      <c r="B10451">
        <f>TEST_DATA!B10451</f>
        <v/>
      </c>
      <c r="C10451">
        <f>TEST_DATA!C10451</f>
        <v/>
      </c>
      <c r="D10451">
        <f>TEST_DATA!D10451</f>
        <v/>
      </c>
      <c r="E10451">
        <f>TEST_DATA!E10451</f>
        <v/>
      </c>
    </row>
    <row r="10452">
      <c r="A10452">
        <f>TEST_DATA!A10452</f>
        <v/>
      </c>
      <c r="B10452">
        <f>TEST_DATA!B10452</f>
        <v/>
      </c>
      <c r="C10452">
        <f>TEST_DATA!C10452</f>
        <v/>
      </c>
      <c r="D10452">
        <f>TEST_DATA!D10452</f>
        <v/>
      </c>
      <c r="E10452">
        <f>TEST_DATA!E10452</f>
        <v/>
      </c>
    </row>
    <row r="10453">
      <c r="A10453">
        <f>TEST_DATA!A10453</f>
        <v/>
      </c>
      <c r="B10453">
        <f>TEST_DATA!B10453</f>
        <v/>
      </c>
      <c r="C10453">
        <f>TEST_DATA!C10453</f>
        <v/>
      </c>
      <c r="D10453">
        <f>TEST_DATA!D10453</f>
        <v/>
      </c>
      <c r="E10453">
        <f>TEST_DATA!E10453</f>
        <v/>
      </c>
    </row>
    <row r="10454">
      <c r="A10454">
        <f>TEST_DATA!A10454</f>
        <v/>
      </c>
      <c r="B10454">
        <f>TEST_DATA!B10454</f>
        <v/>
      </c>
      <c r="C10454">
        <f>TEST_DATA!C10454</f>
        <v/>
      </c>
      <c r="D10454">
        <f>TEST_DATA!D10454</f>
        <v/>
      </c>
      <c r="E10454">
        <f>TEST_DATA!E10454</f>
        <v/>
      </c>
    </row>
    <row r="10455">
      <c r="A10455">
        <f>TEST_DATA!A10455</f>
        <v/>
      </c>
      <c r="B10455">
        <f>TEST_DATA!B10455</f>
        <v/>
      </c>
      <c r="C10455">
        <f>TEST_DATA!C10455</f>
        <v/>
      </c>
      <c r="D10455">
        <f>TEST_DATA!D10455</f>
        <v/>
      </c>
      <c r="E10455">
        <f>TEST_DATA!E10455</f>
        <v/>
      </c>
    </row>
    <row r="10456">
      <c r="A10456">
        <f>TEST_DATA!A10456</f>
        <v/>
      </c>
      <c r="B10456">
        <f>TEST_DATA!B10456</f>
        <v/>
      </c>
      <c r="C10456">
        <f>TEST_DATA!C10456</f>
        <v/>
      </c>
      <c r="D10456">
        <f>TEST_DATA!D10456</f>
        <v/>
      </c>
      <c r="E10456">
        <f>TEST_DATA!E10456</f>
        <v/>
      </c>
    </row>
    <row r="10457">
      <c r="A10457">
        <f>TEST_DATA!A10457</f>
        <v/>
      </c>
      <c r="B10457">
        <f>TEST_DATA!B10457</f>
        <v/>
      </c>
      <c r="C10457">
        <f>TEST_DATA!C10457</f>
        <v/>
      </c>
      <c r="D10457">
        <f>TEST_DATA!D10457</f>
        <v/>
      </c>
      <c r="E10457">
        <f>TEST_DATA!E10457</f>
        <v/>
      </c>
    </row>
    <row r="10458">
      <c r="A10458">
        <f>TEST_DATA!A10458</f>
        <v/>
      </c>
      <c r="B10458">
        <f>TEST_DATA!B10458</f>
        <v/>
      </c>
      <c r="C10458">
        <f>TEST_DATA!C10458</f>
        <v/>
      </c>
      <c r="D10458">
        <f>TEST_DATA!D10458</f>
        <v/>
      </c>
      <c r="E10458">
        <f>TEST_DATA!E10458</f>
        <v/>
      </c>
    </row>
    <row r="10459">
      <c r="A10459">
        <f>TEST_DATA!A10459</f>
        <v/>
      </c>
      <c r="B10459">
        <f>TEST_DATA!B10459</f>
        <v/>
      </c>
      <c r="C10459">
        <f>TEST_DATA!C10459</f>
        <v/>
      </c>
      <c r="D10459">
        <f>TEST_DATA!D10459</f>
        <v/>
      </c>
      <c r="E10459">
        <f>TEST_DATA!E10459</f>
        <v/>
      </c>
    </row>
    <row r="10460">
      <c r="A10460">
        <f>TEST_DATA!A10460</f>
        <v/>
      </c>
      <c r="B10460">
        <f>TEST_DATA!B10460</f>
        <v/>
      </c>
      <c r="C10460">
        <f>TEST_DATA!C10460</f>
        <v/>
      </c>
      <c r="D10460">
        <f>TEST_DATA!D10460</f>
        <v/>
      </c>
      <c r="E10460">
        <f>TEST_DATA!E10460</f>
        <v/>
      </c>
    </row>
    <row r="10461">
      <c r="A10461">
        <f>TEST_DATA!A10461</f>
        <v/>
      </c>
      <c r="B10461">
        <f>TEST_DATA!B10461</f>
        <v/>
      </c>
      <c r="C10461">
        <f>TEST_DATA!C10461</f>
        <v/>
      </c>
      <c r="D10461">
        <f>TEST_DATA!D10461</f>
        <v/>
      </c>
      <c r="E10461">
        <f>TEST_DATA!E10461</f>
        <v/>
      </c>
    </row>
    <row r="10462">
      <c r="A10462">
        <f>TEST_DATA!A10462</f>
        <v/>
      </c>
      <c r="B10462">
        <f>TEST_DATA!B10462</f>
        <v/>
      </c>
      <c r="C10462">
        <f>TEST_DATA!C10462</f>
        <v/>
      </c>
      <c r="D10462">
        <f>TEST_DATA!D10462</f>
        <v/>
      </c>
      <c r="E10462">
        <f>TEST_DATA!E10462</f>
        <v/>
      </c>
    </row>
    <row r="10463">
      <c r="A10463">
        <f>TEST_DATA!A10463</f>
        <v/>
      </c>
      <c r="B10463">
        <f>TEST_DATA!B10463</f>
        <v/>
      </c>
      <c r="C10463">
        <f>TEST_DATA!C10463</f>
        <v/>
      </c>
      <c r="D10463">
        <f>TEST_DATA!D10463</f>
        <v/>
      </c>
      <c r="E10463">
        <f>TEST_DATA!E10463</f>
        <v/>
      </c>
    </row>
    <row r="10464">
      <c r="A10464">
        <f>TEST_DATA!A10464</f>
        <v/>
      </c>
      <c r="B10464">
        <f>TEST_DATA!B10464</f>
        <v/>
      </c>
      <c r="C10464">
        <f>TEST_DATA!C10464</f>
        <v/>
      </c>
      <c r="D10464">
        <f>TEST_DATA!D10464</f>
        <v/>
      </c>
      <c r="E10464">
        <f>TEST_DATA!E10464</f>
        <v/>
      </c>
    </row>
    <row r="10465">
      <c r="A10465">
        <f>TEST_DATA!A10465</f>
        <v/>
      </c>
      <c r="B10465">
        <f>TEST_DATA!B10465</f>
        <v/>
      </c>
      <c r="C10465">
        <f>TEST_DATA!C10465</f>
        <v/>
      </c>
      <c r="D10465">
        <f>TEST_DATA!D10465</f>
        <v/>
      </c>
      <c r="E10465">
        <f>TEST_DATA!E10465</f>
        <v/>
      </c>
    </row>
    <row r="10466">
      <c r="A10466">
        <f>TEST_DATA!A10466</f>
        <v/>
      </c>
      <c r="B10466">
        <f>TEST_DATA!B10466</f>
        <v/>
      </c>
      <c r="C10466">
        <f>TEST_DATA!C10466</f>
        <v/>
      </c>
      <c r="D10466">
        <f>TEST_DATA!D10466</f>
        <v/>
      </c>
      <c r="E10466">
        <f>TEST_DATA!E10466</f>
        <v/>
      </c>
    </row>
    <row r="10467">
      <c r="A10467">
        <f>TEST_DATA!A10467</f>
        <v/>
      </c>
      <c r="B10467">
        <f>TEST_DATA!B10467</f>
        <v/>
      </c>
      <c r="C10467">
        <f>TEST_DATA!C10467</f>
        <v/>
      </c>
      <c r="D10467">
        <f>TEST_DATA!D10467</f>
        <v/>
      </c>
      <c r="E10467">
        <f>TEST_DATA!E10467</f>
        <v/>
      </c>
    </row>
    <row r="10468">
      <c r="A10468">
        <f>TEST_DATA!A10468</f>
        <v/>
      </c>
      <c r="B10468">
        <f>TEST_DATA!B10468</f>
        <v/>
      </c>
      <c r="C10468">
        <f>TEST_DATA!C10468</f>
        <v/>
      </c>
      <c r="D10468">
        <f>TEST_DATA!D10468</f>
        <v/>
      </c>
      <c r="E10468">
        <f>TEST_DATA!E10468</f>
        <v/>
      </c>
    </row>
    <row r="10469">
      <c r="A10469">
        <f>TEST_DATA!A10469</f>
        <v/>
      </c>
      <c r="B10469">
        <f>TEST_DATA!B10469</f>
        <v/>
      </c>
      <c r="C10469">
        <f>TEST_DATA!C10469</f>
        <v/>
      </c>
      <c r="D10469">
        <f>TEST_DATA!D10469</f>
        <v/>
      </c>
      <c r="E10469">
        <f>TEST_DATA!E10469</f>
        <v/>
      </c>
    </row>
    <row r="10470">
      <c r="A10470">
        <f>TEST_DATA!A10470</f>
        <v/>
      </c>
      <c r="B10470">
        <f>TEST_DATA!B10470</f>
        <v/>
      </c>
      <c r="C10470">
        <f>TEST_DATA!C10470</f>
        <v/>
      </c>
      <c r="D10470">
        <f>TEST_DATA!D10470</f>
        <v/>
      </c>
      <c r="E10470">
        <f>TEST_DATA!E10470</f>
        <v/>
      </c>
    </row>
    <row r="10471">
      <c r="A10471">
        <f>TEST_DATA!A10471</f>
        <v/>
      </c>
      <c r="B10471">
        <f>TEST_DATA!B10471</f>
        <v/>
      </c>
      <c r="C10471">
        <f>TEST_DATA!C10471</f>
        <v/>
      </c>
      <c r="D10471">
        <f>TEST_DATA!D10471</f>
        <v/>
      </c>
      <c r="E10471">
        <f>TEST_DATA!E10471</f>
        <v/>
      </c>
    </row>
    <row r="10472">
      <c r="A10472">
        <f>TEST_DATA!A10472</f>
        <v/>
      </c>
      <c r="B10472">
        <f>TEST_DATA!B10472</f>
        <v/>
      </c>
      <c r="C10472">
        <f>TEST_DATA!C10472</f>
        <v/>
      </c>
      <c r="D10472">
        <f>TEST_DATA!D10472</f>
        <v/>
      </c>
      <c r="E10472">
        <f>TEST_DATA!E10472</f>
        <v/>
      </c>
    </row>
    <row r="10473">
      <c r="A10473">
        <f>TEST_DATA!A10473</f>
        <v/>
      </c>
      <c r="B10473">
        <f>TEST_DATA!B10473</f>
        <v/>
      </c>
      <c r="C10473">
        <f>TEST_DATA!C10473</f>
        <v/>
      </c>
      <c r="D10473">
        <f>TEST_DATA!D10473</f>
        <v/>
      </c>
      <c r="E10473">
        <f>TEST_DATA!E10473</f>
        <v/>
      </c>
    </row>
    <row r="10474">
      <c r="A10474">
        <f>TEST_DATA!A10474</f>
        <v/>
      </c>
      <c r="B10474">
        <f>TEST_DATA!B10474</f>
        <v/>
      </c>
      <c r="C10474">
        <f>TEST_DATA!C10474</f>
        <v/>
      </c>
      <c r="D10474">
        <f>TEST_DATA!D10474</f>
        <v/>
      </c>
      <c r="E10474">
        <f>TEST_DATA!E10474</f>
        <v/>
      </c>
    </row>
    <row r="10475">
      <c r="A10475">
        <f>TEST_DATA!A10475</f>
        <v/>
      </c>
      <c r="B10475">
        <f>TEST_DATA!B10475</f>
        <v/>
      </c>
      <c r="C10475">
        <f>TEST_DATA!C10475</f>
        <v/>
      </c>
      <c r="D10475">
        <f>TEST_DATA!D10475</f>
        <v/>
      </c>
      <c r="E10475">
        <f>TEST_DATA!E10475</f>
        <v/>
      </c>
    </row>
    <row r="10476">
      <c r="A10476">
        <f>TEST_DATA!A10476</f>
        <v/>
      </c>
      <c r="B10476">
        <f>TEST_DATA!B10476</f>
        <v/>
      </c>
      <c r="C10476">
        <f>TEST_DATA!C10476</f>
        <v/>
      </c>
      <c r="D10476">
        <f>TEST_DATA!D10476</f>
        <v/>
      </c>
      <c r="E10476">
        <f>TEST_DATA!E10476</f>
        <v/>
      </c>
    </row>
    <row r="10477">
      <c r="A10477">
        <f>TEST_DATA!A10477</f>
        <v/>
      </c>
      <c r="B10477">
        <f>TEST_DATA!B10477</f>
        <v/>
      </c>
      <c r="C10477">
        <f>TEST_DATA!C10477</f>
        <v/>
      </c>
      <c r="D10477">
        <f>TEST_DATA!D10477</f>
        <v/>
      </c>
      <c r="E10477">
        <f>TEST_DATA!E10477</f>
        <v/>
      </c>
    </row>
    <row r="10478">
      <c r="A10478">
        <f>TEST_DATA!A10478</f>
        <v/>
      </c>
      <c r="B10478">
        <f>TEST_DATA!B10478</f>
        <v/>
      </c>
      <c r="C10478">
        <f>TEST_DATA!C10478</f>
        <v/>
      </c>
      <c r="D10478">
        <f>TEST_DATA!D10478</f>
        <v/>
      </c>
      <c r="E10478">
        <f>TEST_DATA!E10478</f>
        <v/>
      </c>
    </row>
    <row r="10479">
      <c r="A10479">
        <f>TEST_DATA!A10479</f>
        <v/>
      </c>
      <c r="B10479">
        <f>TEST_DATA!B10479</f>
        <v/>
      </c>
      <c r="C10479">
        <f>TEST_DATA!C10479</f>
        <v/>
      </c>
      <c r="D10479">
        <f>TEST_DATA!D10479</f>
        <v/>
      </c>
      <c r="E10479">
        <f>TEST_DATA!E10479</f>
        <v/>
      </c>
    </row>
    <row r="10480">
      <c r="A10480">
        <f>TEST_DATA!A10480</f>
        <v/>
      </c>
      <c r="B10480">
        <f>TEST_DATA!B10480</f>
        <v/>
      </c>
      <c r="C10480">
        <f>TEST_DATA!C10480</f>
        <v/>
      </c>
      <c r="D10480">
        <f>TEST_DATA!D10480</f>
        <v/>
      </c>
      <c r="E10480">
        <f>TEST_DATA!E10480</f>
        <v/>
      </c>
    </row>
    <row r="10481">
      <c r="A10481">
        <f>TEST_DATA!A10481</f>
        <v/>
      </c>
      <c r="B10481">
        <f>TEST_DATA!B10481</f>
        <v/>
      </c>
      <c r="C10481">
        <f>TEST_DATA!C10481</f>
        <v/>
      </c>
      <c r="D10481">
        <f>TEST_DATA!D10481</f>
        <v/>
      </c>
      <c r="E10481">
        <f>TEST_DATA!E10481</f>
        <v/>
      </c>
    </row>
    <row r="10482">
      <c r="A10482">
        <f>TEST_DATA!A10482</f>
        <v/>
      </c>
      <c r="B10482">
        <f>TEST_DATA!B10482</f>
        <v/>
      </c>
      <c r="C10482">
        <f>TEST_DATA!C10482</f>
        <v/>
      </c>
      <c r="D10482">
        <f>TEST_DATA!D10482</f>
        <v/>
      </c>
      <c r="E10482">
        <f>TEST_DATA!E10482</f>
        <v/>
      </c>
    </row>
    <row r="10483">
      <c r="A10483">
        <f>TEST_DATA!A10483</f>
        <v/>
      </c>
      <c r="B10483">
        <f>TEST_DATA!B10483</f>
        <v/>
      </c>
      <c r="C10483">
        <f>TEST_DATA!C10483</f>
        <v/>
      </c>
      <c r="D10483">
        <f>TEST_DATA!D10483</f>
        <v/>
      </c>
      <c r="E10483">
        <f>TEST_DATA!E10483</f>
        <v/>
      </c>
    </row>
    <row r="10484">
      <c r="A10484">
        <f>TEST_DATA!A10484</f>
        <v/>
      </c>
      <c r="B10484">
        <f>TEST_DATA!B10484</f>
        <v/>
      </c>
      <c r="C10484">
        <f>TEST_DATA!C10484</f>
        <v/>
      </c>
      <c r="D10484">
        <f>TEST_DATA!D10484</f>
        <v/>
      </c>
      <c r="E10484">
        <f>TEST_DATA!E10484</f>
        <v/>
      </c>
    </row>
    <row r="10485">
      <c r="A10485">
        <f>TEST_DATA!A10485</f>
        <v/>
      </c>
      <c r="B10485">
        <f>TEST_DATA!B10485</f>
        <v/>
      </c>
      <c r="C10485">
        <f>TEST_DATA!C10485</f>
        <v/>
      </c>
      <c r="D10485">
        <f>TEST_DATA!D10485</f>
        <v/>
      </c>
      <c r="E10485">
        <f>TEST_DATA!E10485</f>
        <v/>
      </c>
    </row>
    <row r="10486">
      <c r="A10486">
        <f>TEST_DATA!A10486</f>
        <v/>
      </c>
      <c r="B10486">
        <f>TEST_DATA!B10486</f>
        <v/>
      </c>
      <c r="C10486">
        <f>TEST_DATA!C10486</f>
        <v/>
      </c>
      <c r="D10486">
        <f>TEST_DATA!D10486</f>
        <v/>
      </c>
      <c r="E10486">
        <f>TEST_DATA!E10486</f>
        <v/>
      </c>
    </row>
    <row r="10487">
      <c r="A10487">
        <f>TEST_DATA!A10487</f>
        <v/>
      </c>
      <c r="B10487">
        <f>TEST_DATA!B10487</f>
        <v/>
      </c>
      <c r="C10487">
        <f>TEST_DATA!C10487</f>
        <v/>
      </c>
      <c r="D10487">
        <f>TEST_DATA!D10487</f>
        <v/>
      </c>
      <c r="E10487">
        <f>TEST_DATA!E10487</f>
        <v/>
      </c>
    </row>
    <row r="10488">
      <c r="A10488">
        <f>TEST_DATA!A10488</f>
        <v/>
      </c>
      <c r="B10488">
        <f>TEST_DATA!B10488</f>
        <v/>
      </c>
      <c r="C10488">
        <f>TEST_DATA!C10488</f>
        <v/>
      </c>
      <c r="D10488">
        <f>TEST_DATA!D10488</f>
        <v/>
      </c>
      <c r="E10488">
        <f>TEST_DATA!E10488</f>
        <v/>
      </c>
    </row>
    <row r="10489">
      <c r="A10489">
        <f>TEST_DATA!A10489</f>
        <v/>
      </c>
      <c r="B10489">
        <f>TEST_DATA!B10489</f>
        <v/>
      </c>
      <c r="C10489">
        <f>TEST_DATA!C10489</f>
        <v/>
      </c>
      <c r="D10489">
        <f>TEST_DATA!D10489</f>
        <v/>
      </c>
      <c r="E10489">
        <f>TEST_DATA!E10489</f>
        <v/>
      </c>
    </row>
    <row r="10490">
      <c r="A10490">
        <f>TEST_DATA!A10490</f>
        <v/>
      </c>
      <c r="B10490">
        <f>TEST_DATA!B10490</f>
        <v/>
      </c>
      <c r="C10490">
        <f>TEST_DATA!C10490</f>
        <v/>
      </c>
      <c r="D10490">
        <f>TEST_DATA!D10490</f>
        <v/>
      </c>
      <c r="E10490">
        <f>TEST_DATA!E10490</f>
        <v/>
      </c>
    </row>
    <row r="10491">
      <c r="A10491">
        <f>TEST_DATA!A10491</f>
        <v/>
      </c>
      <c r="B10491">
        <f>TEST_DATA!B10491</f>
        <v/>
      </c>
      <c r="C10491">
        <f>TEST_DATA!C10491</f>
        <v/>
      </c>
      <c r="D10491">
        <f>TEST_DATA!D10491</f>
        <v/>
      </c>
      <c r="E10491">
        <f>TEST_DATA!E10491</f>
        <v/>
      </c>
    </row>
    <row r="10492">
      <c r="A10492">
        <f>TEST_DATA!A10492</f>
        <v/>
      </c>
      <c r="B10492">
        <f>TEST_DATA!B10492</f>
        <v/>
      </c>
      <c r="C10492">
        <f>TEST_DATA!C10492</f>
        <v/>
      </c>
      <c r="D10492">
        <f>TEST_DATA!D10492</f>
        <v/>
      </c>
      <c r="E10492">
        <f>TEST_DATA!E10492</f>
        <v/>
      </c>
    </row>
    <row r="10493">
      <c r="A10493">
        <f>TEST_DATA!A10493</f>
        <v/>
      </c>
      <c r="B10493">
        <f>TEST_DATA!B10493</f>
        <v/>
      </c>
      <c r="C10493">
        <f>TEST_DATA!C10493</f>
        <v/>
      </c>
      <c r="D10493">
        <f>TEST_DATA!D10493</f>
        <v/>
      </c>
      <c r="E10493">
        <f>TEST_DATA!E10493</f>
        <v/>
      </c>
    </row>
    <row r="10494">
      <c r="A10494">
        <f>TEST_DATA!A10494</f>
        <v/>
      </c>
      <c r="B10494">
        <f>TEST_DATA!B10494</f>
        <v/>
      </c>
      <c r="C10494">
        <f>TEST_DATA!C10494</f>
        <v/>
      </c>
      <c r="D10494">
        <f>TEST_DATA!D10494</f>
        <v/>
      </c>
      <c r="E10494">
        <f>TEST_DATA!E10494</f>
        <v/>
      </c>
    </row>
    <row r="10495">
      <c r="A10495">
        <f>TEST_DATA!A10495</f>
        <v/>
      </c>
      <c r="B10495">
        <f>TEST_DATA!B10495</f>
        <v/>
      </c>
      <c r="C10495">
        <f>TEST_DATA!C10495</f>
        <v/>
      </c>
      <c r="D10495">
        <f>TEST_DATA!D10495</f>
        <v/>
      </c>
      <c r="E10495">
        <f>TEST_DATA!E10495</f>
        <v/>
      </c>
    </row>
    <row r="10496">
      <c r="A10496">
        <f>TEST_DATA!A10496</f>
        <v/>
      </c>
      <c r="B10496">
        <f>TEST_DATA!B10496</f>
        <v/>
      </c>
      <c r="C10496">
        <f>TEST_DATA!C10496</f>
        <v/>
      </c>
      <c r="D10496">
        <f>TEST_DATA!D10496</f>
        <v/>
      </c>
      <c r="E10496">
        <f>TEST_DATA!E10496</f>
        <v/>
      </c>
    </row>
    <row r="10497">
      <c r="A10497">
        <f>TEST_DATA!A10497</f>
        <v/>
      </c>
      <c r="B10497">
        <f>TEST_DATA!B10497</f>
        <v/>
      </c>
      <c r="C10497">
        <f>TEST_DATA!C10497</f>
        <v/>
      </c>
      <c r="D10497">
        <f>TEST_DATA!D10497</f>
        <v/>
      </c>
      <c r="E10497">
        <f>TEST_DATA!E10497</f>
        <v/>
      </c>
    </row>
    <row r="10498">
      <c r="A10498">
        <f>TEST_DATA!A10498</f>
        <v/>
      </c>
      <c r="B10498">
        <f>TEST_DATA!B10498</f>
        <v/>
      </c>
      <c r="C10498">
        <f>TEST_DATA!C10498</f>
        <v/>
      </c>
      <c r="D10498">
        <f>TEST_DATA!D10498</f>
        <v/>
      </c>
      <c r="E10498">
        <f>TEST_DATA!E10498</f>
        <v/>
      </c>
    </row>
    <row r="10499">
      <c r="A10499">
        <f>TEST_DATA!A10499</f>
        <v/>
      </c>
      <c r="B10499">
        <f>TEST_DATA!B10499</f>
        <v/>
      </c>
      <c r="C10499">
        <f>TEST_DATA!C10499</f>
        <v/>
      </c>
      <c r="D10499">
        <f>TEST_DATA!D10499</f>
        <v/>
      </c>
      <c r="E10499">
        <f>TEST_DATA!E10499</f>
        <v/>
      </c>
    </row>
    <row r="10500">
      <c r="A10500">
        <f>TEST_DATA!A10500</f>
        <v/>
      </c>
      <c r="B10500">
        <f>TEST_DATA!B10500</f>
        <v/>
      </c>
      <c r="C10500">
        <f>TEST_DATA!C10500</f>
        <v/>
      </c>
      <c r="D10500">
        <f>TEST_DATA!D10500</f>
        <v/>
      </c>
      <c r="E10500">
        <f>TEST_DATA!E10500</f>
        <v/>
      </c>
    </row>
    <row r="10501">
      <c r="A10501">
        <f>TEST_DATA!A10501</f>
        <v/>
      </c>
      <c r="B10501">
        <f>TEST_DATA!B10501</f>
        <v/>
      </c>
      <c r="C10501">
        <f>TEST_DATA!C10501</f>
        <v/>
      </c>
      <c r="D10501">
        <f>TEST_DATA!D10501</f>
        <v/>
      </c>
      <c r="E10501">
        <f>TEST_DATA!E10501</f>
        <v/>
      </c>
    </row>
    <row r="10502">
      <c r="A10502">
        <f>TEST_DATA!A10502</f>
        <v/>
      </c>
      <c r="B10502">
        <f>TEST_DATA!B10502</f>
        <v/>
      </c>
      <c r="C10502">
        <f>TEST_DATA!C10502</f>
        <v/>
      </c>
      <c r="D10502">
        <f>TEST_DATA!D10502</f>
        <v/>
      </c>
      <c r="E10502">
        <f>TEST_DATA!E10502</f>
        <v/>
      </c>
    </row>
    <row r="10503">
      <c r="A10503">
        <f>TEST_DATA!A10503</f>
        <v/>
      </c>
      <c r="B10503">
        <f>TEST_DATA!B10503</f>
        <v/>
      </c>
      <c r="C10503">
        <f>TEST_DATA!C10503</f>
        <v/>
      </c>
      <c r="D10503">
        <f>TEST_DATA!D10503</f>
        <v/>
      </c>
      <c r="E10503">
        <f>TEST_DATA!E10503</f>
        <v/>
      </c>
    </row>
    <row r="10504">
      <c r="A10504">
        <f>TEST_DATA!A10504</f>
        <v/>
      </c>
      <c r="B10504">
        <f>TEST_DATA!B10504</f>
        <v/>
      </c>
      <c r="C10504">
        <f>TEST_DATA!C10504</f>
        <v/>
      </c>
      <c r="D10504">
        <f>TEST_DATA!D10504</f>
        <v/>
      </c>
      <c r="E10504">
        <f>TEST_DATA!E10504</f>
        <v/>
      </c>
    </row>
    <row r="10505">
      <c r="A10505">
        <f>TEST_DATA!A10505</f>
        <v/>
      </c>
      <c r="B10505">
        <f>TEST_DATA!B10505</f>
        <v/>
      </c>
      <c r="C10505">
        <f>TEST_DATA!C10505</f>
        <v/>
      </c>
      <c r="D10505">
        <f>TEST_DATA!D10505</f>
        <v/>
      </c>
      <c r="E10505">
        <f>TEST_DATA!E10505</f>
        <v/>
      </c>
    </row>
    <row r="10506">
      <c r="A10506">
        <f>TEST_DATA!A10506</f>
        <v/>
      </c>
      <c r="B10506">
        <f>TEST_DATA!B10506</f>
        <v/>
      </c>
      <c r="C10506">
        <f>TEST_DATA!C10506</f>
        <v/>
      </c>
      <c r="D10506">
        <f>TEST_DATA!D10506</f>
        <v/>
      </c>
      <c r="E10506">
        <f>TEST_DATA!E10506</f>
        <v/>
      </c>
    </row>
    <row r="10507">
      <c r="A10507">
        <f>TEST_DATA!A10507</f>
        <v/>
      </c>
      <c r="B10507">
        <f>TEST_DATA!B10507</f>
        <v/>
      </c>
      <c r="C10507">
        <f>TEST_DATA!C10507</f>
        <v/>
      </c>
      <c r="D10507">
        <f>TEST_DATA!D10507</f>
        <v/>
      </c>
      <c r="E10507">
        <f>TEST_DATA!E10507</f>
        <v/>
      </c>
    </row>
    <row r="10508">
      <c r="A10508">
        <f>TEST_DATA!A10508</f>
        <v/>
      </c>
      <c r="B10508">
        <f>TEST_DATA!B10508</f>
        <v/>
      </c>
      <c r="C10508">
        <f>TEST_DATA!C10508</f>
        <v/>
      </c>
      <c r="D10508">
        <f>TEST_DATA!D10508</f>
        <v/>
      </c>
      <c r="E10508">
        <f>TEST_DATA!E10508</f>
        <v/>
      </c>
    </row>
    <row r="10509">
      <c r="A10509">
        <f>TEST_DATA!A10509</f>
        <v/>
      </c>
      <c r="B10509">
        <f>TEST_DATA!B10509</f>
        <v/>
      </c>
      <c r="C10509">
        <f>TEST_DATA!C10509</f>
        <v/>
      </c>
      <c r="D10509">
        <f>TEST_DATA!D10509</f>
        <v/>
      </c>
      <c r="E10509">
        <f>TEST_DATA!E10509</f>
        <v/>
      </c>
    </row>
    <row r="10510">
      <c r="A10510">
        <f>TEST_DATA!A10510</f>
        <v/>
      </c>
      <c r="B10510">
        <f>TEST_DATA!B10510</f>
        <v/>
      </c>
      <c r="C10510">
        <f>TEST_DATA!C10510</f>
        <v/>
      </c>
      <c r="D10510">
        <f>TEST_DATA!D10510</f>
        <v/>
      </c>
      <c r="E10510">
        <f>TEST_DATA!E10510</f>
        <v/>
      </c>
    </row>
    <row r="10511">
      <c r="A10511">
        <f>TEST_DATA!A10511</f>
        <v/>
      </c>
      <c r="B10511">
        <f>TEST_DATA!B10511</f>
        <v/>
      </c>
      <c r="C10511">
        <f>TEST_DATA!C10511</f>
        <v/>
      </c>
      <c r="D10511">
        <f>TEST_DATA!D10511</f>
        <v/>
      </c>
      <c r="E10511">
        <f>TEST_DATA!E10511</f>
        <v/>
      </c>
    </row>
    <row r="10512">
      <c r="A10512">
        <f>TEST_DATA!A10512</f>
        <v/>
      </c>
      <c r="B10512">
        <f>TEST_DATA!B10512</f>
        <v/>
      </c>
      <c r="C10512">
        <f>TEST_DATA!C10512</f>
        <v/>
      </c>
      <c r="D10512">
        <f>TEST_DATA!D10512</f>
        <v/>
      </c>
      <c r="E10512">
        <f>TEST_DATA!E10512</f>
        <v/>
      </c>
    </row>
    <row r="10513">
      <c r="A10513">
        <f>TEST_DATA!A10513</f>
        <v/>
      </c>
      <c r="B10513">
        <f>TEST_DATA!B10513</f>
        <v/>
      </c>
      <c r="C10513">
        <f>TEST_DATA!C10513</f>
        <v/>
      </c>
      <c r="D10513">
        <f>TEST_DATA!D10513</f>
        <v/>
      </c>
      <c r="E10513">
        <f>TEST_DATA!E10513</f>
        <v/>
      </c>
    </row>
    <row r="10514">
      <c r="A10514">
        <f>TEST_DATA!A10514</f>
        <v/>
      </c>
      <c r="B10514">
        <f>TEST_DATA!B10514</f>
        <v/>
      </c>
      <c r="C10514">
        <f>TEST_DATA!C10514</f>
        <v/>
      </c>
      <c r="D10514">
        <f>TEST_DATA!D10514</f>
        <v/>
      </c>
      <c r="E10514">
        <f>TEST_DATA!E10514</f>
        <v/>
      </c>
    </row>
    <row r="10515">
      <c r="A10515">
        <f>TEST_DATA!A10515</f>
        <v/>
      </c>
      <c r="B10515">
        <f>TEST_DATA!B10515</f>
        <v/>
      </c>
      <c r="C10515">
        <f>TEST_DATA!C10515</f>
        <v/>
      </c>
      <c r="D10515">
        <f>TEST_DATA!D10515</f>
        <v/>
      </c>
      <c r="E10515">
        <f>TEST_DATA!E10515</f>
        <v/>
      </c>
    </row>
    <row r="10516">
      <c r="A10516">
        <f>TEST_DATA!A10516</f>
        <v/>
      </c>
      <c r="B10516">
        <f>TEST_DATA!B10516</f>
        <v/>
      </c>
      <c r="C10516">
        <f>TEST_DATA!C10516</f>
        <v/>
      </c>
      <c r="D10516">
        <f>TEST_DATA!D10516</f>
        <v/>
      </c>
      <c r="E10516">
        <f>TEST_DATA!E10516</f>
        <v/>
      </c>
    </row>
    <row r="10517">
      <c r="A10517">
        <f>TEST_DATA!A10517</f>
        <v/>
      </c>
      <c r="B10517">
        <f>TEST_DATA!B10517</f>
        <v/>
      </c>
      <c r="C10517">
        <f>TEST_DATA!C10517</f>
        <v/>
      </c>
      <c r="D10517">
        <f>TEST_DATA!D10517</f>
        <v/>
      </c>
      <c r="E10517">
        <f>TEST_DATA!E10517</f>
        <v/>
      </c>
    </row>
    <row r="10518">
      <c r="A10518">
        <f>TEST_DATA!A10518</f>
        <v/>
      </c>
      <c r="B10518">
        <f>TEST_DATA!B10518</f>
        <v/>
      </c>
      <c r="C10518">
        <f>TEST_DATA!C10518</f>
        <v/>
      </c>
      <c r="D10518">
        <f>TEST_DATA!D10518</f>
        <v/>
      </c>
      <c r="E10518">
        <f>TEST_DATA!E10518</f>
        <v/>
      </c>
    </row>
    <row r="10519">
      <c r="A10519">
        <f>TEST_DATA!A10519</f>
        <v/>
      </c>
      <c r="B10519">
        <f>TEST_DATA!B10519</f>
        <v/>
      </c>
      <c r="C10519">
        <f>TEST_DATA!C10519</f>
        <v/>
      </c>
      <c r="D10519">
        <f>TEST_DATA!D10519</f>
        <v/>
      </c>
      <c r="E10519">
        <f>TEST_DATA!E10519</f>
        <v/>
      </c>
    </row>
    <row r="10520">
      <c r="A10520">
        <f>TEST_DATA!A10520</f>
        <v/>
      </c>
      <c r="B10520">
        <f>TEST_DATA!B10520</f>
        <v/>
      </c>
      <c r="C10520">
        <f>TEST_DATA!C10520</f>
        <v/>
      </c>
      <c r="D10520">
        <f>TEST_DATA!D10520</f>
        <v/>
      </c>
      <c r="E10520">
        <f>TEST_DATA!E10520</f>
        <v/>
      </c>
    </row>
    <row r="10521">
      <c r="A10521">
        <f>TEST_DATA!A10521</f>
        <v/>
      </c>
      <c r="B10521">
        <f>TEST_DATA!B10521</f>
        <v/>
      </c>
      <c r="C10521">
        <f>TEST_DATA!C10521</f>
        <v/>
      </c>
      <c r="D10521">
        <f>TEST_DATA!D10521</f>
        <v/>
      </c>
      <c r="E10521">
        <f>TEST_DATA!E10521</f>
        <v/>
      </c>
    </row>
    <row r="10522">
      <c r="A10522">
        <f>TEST_DATA!A10522</f>
        <v/>
      </c>
      <c r="B10522">
        <f>TEST_DATA!B10522</f>
        <v/>
      </c>
      <c r="C10522">
        <f>TEST_DATA!C10522</f>
        <v/>
      </c>
      <c r="D10522">
        <f>TEST_DATA!D10522</f>
        <v/>
      </c>
      <c r="E10522">
        <f>TEST_DATA!E10522</f>
        <v/>
      </c>
    </row>
    <row r="10523">
      <c r="A10523">
        <f>TEST_DATA!A10523</f>
        <v/>
      </c>
      <c r="B10523">
        <f>TEST_DATA!B10523</f>
        <v/>
      </c>
      <c r="C10523">
        <f>TEST_DATA!C10523</f>
        <v/>
      </c>
      <c r="D10523">
        <f>TEST_DATA!D10523</f>
        <v/>
      </c>
      <c r="E10523">
        <f>TEST_DATA!E10523</f>
        <v/>
      </c>
    </row>
    <row r="10524">
      <c r="A10524">
        <f>TEST_DATA!A10524</f>
        <v/>
      </c>
      <c r="B10524">
        <f>TEST_DATA!B10524</f>
        <v/>
      </c>
      <c r="C10524">
        <f>TEST_DATA!C10524</f>
        <v/>
      </c>
      <c r="D10524">
        <f>TEST_DATA!D10524</f>
        <v/>
      </c>
      <c r="E10524">
        <f>TEST_DATA!E10524</f>
        <v/>
      </c>
    </row>
    <row r="10525">
      <c r="A10525">
        <f>TEST_DATA!A10525</f>
        <v/>
      </c>
      <c r="B10525">
        <f>TEST_DATA!B10525</f>
        <v/>
      </c>
      <c r="C10525">
        <f>TEST_DATA!C10525</f>
        <v/>
      </c>
      <c r="D10525">
        <f>TEST_DATA!D10525</f>
        <v/>
      </c>
      <c r="E10525">
        <f>TEST_DATA!E10525</f>
        <v/>
      </c>
    </row>
    <row r="10526">
      <c r="A10526">
        <f>TEST_DATA!A10526</f>
        <v/>
      </c>
      <c r="B10526">
        <f>TEST_DATA!B10526</f>
        <v/>
      </c>
      <c r="C10526">
        <f>TEST_DATA!C10526</f>
        <v/>
      </c>
      <c r="D10526">
        <f>TEST_DATA!D10526</f>
        <v/>
      </c>
      <c r="E10526">
        <f>TEST_DATA!E10526</f>
        <v/>
      </c>
    </row>
    <row r="10527">
      <c r="A10527">
        <f>TEST_DATA!A10527</f>
        <v/>
      </c>
      <c r="B10527">
        <f>TEST_DATA!B10527</f>
        <v/>
      </c>
      <c r="C10527">
        <f>TEST_DATA!C10527</f>
        <v/>
      </c>
      <c r="D10527">
        <f>TEST_DATA!D10527</f>
        <v/>
      </c>
      <c r="E10527">
        <f>TEST_DATA!E10527</f>
        <v/>
      </c>
    </row>
    <row r="10528">
      <c r="A10528">
        <f>TEST_DATA!A10528</f>
        <v/>
      </c>
      <c r="B10528">
        <f>TEST_DATA!B10528</f>
        <v/>
      </c>
      <c r="C10528">
        <f>TEST_DATA!C10528</f>
        <v/>
      </c>
      <c r="D10528">
        <f>TEST_DATA!D10528</f>
        <v/>
      </c>
      <c r="E10528">
        <f>TEST_DATA!E10528</f>
        <v/>
      </c>
    </row>
    <row r="10529">
      <c r="A10529">
        <f>TEST_DATA!A10529</f>
        <v/>
      </c>
      <c r="B10529">
        <f>TEST_DATA!B10529</f>
        <v/>
      </c>
      <c r="C10529">
        <f>TEST_DATA!C10529</f>
        <v/>
      </c>
      <c r="D10529">
        <f>TEST_DATA!D10529</f>
        <v/>
      </c>
      <c r="E10529">
        <f>TEST_DATA!E10529</f>
        <v/>
      </c>
    </row>
    <row r="10530">
      <c r="A10530">
        <f>TEST_DATA!A10530</f>
        <v/>
      </c>
      <c r="B10530">
        <f>TEST_DATA!B10530</f>
        <v/>
      </c>
      <c r="C10530">
        <f>TEST_DATA!C10530</f>
        <v/>
      </c>
      <c r="D10530">
        <f>TEST_DATA!D10530</f>
        <v/>
      </c>
      <c r="E10530">
        <f>TEST_DATA!E10530</f>
        <v/>
      </c>
    </row>
    <row r="10531">
      <c r="A10531">
        <f>TEST_DATA!A10531</f>
        <v/>
      </c>
      <c r="B10531">
        <f>TEST_DATA!B10531</f>
        <v/>
      </c>
      <c r="C10531">
        <f>TEST_DATA!C10531</f>
        <v/>
      </c>
      <c r="D10531">
        <f>TEST_DATA!D10531</f>
        <v/>
      </c>
      <c r="E10531">
        <f>TEST_DATA!E10531</f>
        <v/>
      </c>
    </row>
    <row r="10532">
      <c r="A10532">
        <f>TEST_DATA!A10532</f>
        <v/>
      </c>
      <c r="B10532">
        <f>TEST_DATA!B10532</f>
        <v/>
      </c>
      <c r="C10532">
        <f>TEST_DATA!C10532</f>
        <v/>
      </c>
      <c r="D10532">
        <f>TEST_DATA!D10532</f>
        <v/>
      </c>
      <c r="E10532">
        <f>TEST_DATA!E10532</f>
        <v/>
      </c>
    </row>
    <row r="10533">
      <c r="A10533">
        <f>TEST_DATA!A10533</f>
        <v/>
      </c>
      <c r="B10533">
        <f>TEST_DATA!B10533</f>
        <v/>
      </c>
      <c r="C10533">
        <f>TEST_DATA!C10533</f>
        <v/>
      </c>
      <c r="D10533">
        <f>TEST_DATA!D10533</f>
        <v/>
      </c>
      <c r="E10533">
        <f>TEST_DATA!E10533</f>
        <v/>
      </c>
    </row>
    <row r="10534">
      <c r="A10534">
        <f>TEST_DATA!A10534</f>
        <v/>
      </c>
      <c r="B10534">
        <f>TEST_DATA!B10534</f>
        <v/>
      </c>
      <c r="C10534">
        <f>TEST_DATA!C10534</f>
        <v/>
      </c>
      <c r="D10534">
        <f>TEST_DATA!D10534</f>
        <v/>
      </c>
      <c r="E10534">
        <f>TEST_DATA!E10534</f>
        <v/>
      </c>
    </row>
    <row r="10535">
      <c r="A10535">
        <f>TEST_DATA!A10535</f>
        <v/>
      </c>
      <c r="B10535">
        <f>TEST_DATA!B10535</f>
        <v/>
      </c>
      <c r="C10535">
        <f>TEST_DATA!C10535</f>
        <v/>
      </c>
      <c r="D10535">
        <f>TEST_DATA!D10535</f>
        <v/>
      </c>
      <c r="E10535">
        <f>TEST_DATA!E10535</f>
        <v/>
      </c>
    </row>
    <row r="10536">
      <c r="A10536">
        <f>TEST_DATA!A10536</f>
        <v/>
      </c>
      <c r="B10536">
        <f>TEST_DATA!B10536</f>
        <v/>
      </c>
      <c r="C10536">
        <f>TEST_DATA!C10536</f>
        <v/>
      </c>
      <c r="D10536">
        <f>TEST_DATA!D10536</f>
        <v/>
      </c>
      <c r="E10536">
        <f>TEST_DATA!E10536</f>
        <v/>
      </c>
    </row>
    <row r="10537">
      <c r="A10537">
        <f>TEST_DATA!A10537</f>
        <v/>
      </c>
      <c r="B10537">
        <f>TEST_DATA!B10537</f>
        <v/>
      </c>
      <c r="C10537">
        <f>TEST_DATA!C10537</f>
        <v/>
      </c>
      <c r="D10537">
        <f>TEST_DATA!D10537</f>
        <v/>
      </c>
      <c r="E10537">
        <f>TEST_DATA!E10537</f>
        <v/>
      </c>
    </row>
    <row r="10538">
      <c r="A10538">
        <f>TEST_DATA!A10538</f>
        <v/>
      </c>
      <c r="B10538">
        <f>TEST_DATA!B10538</f>
        <v/>
      </c>
      <c r="C10538">
        <f>TEST_DATA!C10538</f>
        <v/>
      </c>
      <c r="D10538">
        <f>TEST_DATA!D10538</f>
        <v/>
      </c>
      <c r="E10538">
        <f>TEST_DATA!E10538</f>
        <v/>
      </c>
    </row>
    <row r="10539">
      <c r="A10539">
        <f>TEST_DATA!A10539</f>
        <v/>
      </c>
      <c r="B10539">
        <f>TEST_DATA!B10539</f>
        <v/>
      </c>
      <c r="C10539">
        <f>TEST_DATA!C10539</f>
        <v/>
      </c>
      <c r="D10539">
        <f>TEST_DATA!D10539</f>
        <v/>
      </c>
      <c r="E10539">
        <f>TEST_DATA!E10539</f>
        <v/>
      </c>
    </row>
    <row r="10540">
      <c r="A10540">
        <f>TEST_DATA!A10540</f>
        <v/>
      </c>
      <c r="B10540">
        <f>TEST_DATA!B10540</f>
        <v/>
      </c>
      <c r="C10540">
        <f>TEST_DATA!C10540</f>
        <v/>
      </c>
      <c r="D10540">
        <f>TEST_DATA!D10540</f>
        <v/>
      </c>
      <c r="E10540">
        <f>TEST_DATA!E10540</f>
        <v/>
      </c>
    </row>
    <row r="10541">
      <c r="A10541">
        <f>TEST_DATA!A10541</f>
        <v/>
      </c>
      <c r="B10541">
        <f>TEST_DATA!B10541</f>
        <v/>
      </c>
      <c r="C10541">
        <f>TEST_DATA!C10541</f>
        <v/>
      </c>
      <c r="D10541">
        <f>TEST_DATA!D10541</f>
        <v/>
      </c>
      <c r="E10541">
        <f>TEST_DATA!E10541</f>
        <v/>
      </c>
    </row>
    <row r="10542">
      <c r="A10542">
        <f>TEST_DATA!A10542</f>
        <v/>
      </c>
      <c r="B10542">
        <f>TEST_DATA!B10542</f>
        <v/>
      </c>
      <c r="C10542">
        <f>TEST_DATA!C10542</f>
        <v/>
      </c>
      <c r="D10542">
        <f>TEST_DATA!D10542</f>
        <v/>
      </c>
      <c r="E10542">
        <f>TEST_DATA!E10542</f>
        <v/>
      </c>
    </row>
    <row r="10543">
      <c r="A10543">
        <f>TEST_DATA!A10543</f>
        <v/>
      </c>
      <c r="B10543">
        <f>TEST_DATA!B10543</f>
        <v/>
      </c>
      <c r="C10543">
        <f>TEST_DATA!C10543</f>
        <v/>
      </c>
      <c r="D10543">
        <f>TEST_DATA!D10543</f>
        <v/>
      </c>
      <c r="E10543">
        <f>TEST_DATA!E10543</f>
        <v/>
      </c>
    </row>
    <row r="10544">
      <c r="A10544">
        <f>TEST_DATA!A10544</f>
        <v/>
      </c>
      <c r="B10544">
        <f>TEST_DATA!B10544</f>
        <v/>
      </c>
      <c r="C10544">
        <f>TEST_DATA!C10544</f>
        <v/>
      </c>
      <c r="D10544">
        <f>TEST_DATA!D10544</f>
        <v/>
      </c>
      <c r="E10544">
        <f>TEST_DATA!E10544</f>
        <v/>
      </c>
    </row>
    <row r="10545">
      <c r="A10545">
        <f>TEST_DATA!A10545</f>
        <v/>
      </c>
      <c r="B10545">
        <f>TEST_DATA!B10545</f>
        <v/>
      </c>
      <c r="C10545">
        <f>TEST_DATA!C10545</f>
        <v/>
      </c>
      <c r="D10545">
        <f>TEST_DATA!D10545</f>
        <v/>
      </c>
      <c r="E10545">
        <f>TEST_DATA!E10545</f>
        <v/>
      </c>
    </row>
    <row r="10546">
      <c r="A10546">
        <f>TEST_DATA!A10546</f>
        <v/>
      </c>
      <c r="B10546">
        <f>TEST_DATA!B10546</f>
        <v/>
      </c>
      <c r="C10546">
        <f>TEST_DATA!C10546</f>
        <v/>
      </c>
      <c r="D10546">
        <f>TEST_DATA!D10546</f>
        <v/>
      </c>
      <c r="E10546">
        <f>TEST_DATA!E10546</f>
        <v/>
      </c>
    </row>
    <row r="10547">
      <c r="A10547">
        <f>TEST_DATA!A10547</f>
        <v/>
      </c>
      <c r="B10547">
        <f>TEST_DATA!B10547</f>
        <v/>
      </c>
      <c r="C10547">
        <f>TEST_DATA!C10547</f>
        <v/>
      </c>
      <c r="D10547">
        <f>TEST_DATA!D10547</f>
        <v/>
      </c>
      <c r="E10547">
        <f>TEST_DATA!E10547</f>
        <v/>
      </c>
    </row>
    <row r="10548">
      <c r="A10548">
        <f>TEST_DATA!A10548</f>
        <v/>
      </c>
      <c r="B10548">
        <f>TEST_DATA!B10548</f>
        <v/>
      </c>
      <c r="C10548">
        <f>TEST_DATA!C10548</f>
        <v/>
      </c>
      <c r="D10548">
        <f>TEST_DATA!D10548</f>
        <v/>
      </c>
      <c r="E10548">
        <f>TEST_DATA!E10548</f>
        <v/>
      </c>
    </row>
    <row r="10549">
      <c r="A10549">
        <f>TEST_DATA!A10549</f>
        <v/>
      </c>
      <c r="B10549">
        <f>TEST_DATA!B10549</f>
        <v/>
      </c>
      <c r="C10549">
        <f>TEST_DATA!C10549</f>
        <v/>
      </c>
      <c r="D10549">
        <f>TEST_DATA!D10549</f>
        <v/>
      </c>
      <c r="E10549">
        <f>TEST_DATA!E10549</f>
        <v/>
      </c>
    </row>
    <row r="10550">
      <c r="A10550">
        <f>TEST_DATA!A10550</f>
        <v/>
      </c>
      <c r="B10550">
        <f>TEST_DATA!B10550</f>
        <v/>
      </c>
      <c r="C10550">
        <f>TEST_DATA!C10550</f>
        <v/>
      </c>
      <c r="D10550">
        <f>TEST_DATA!D10550</f>
        <v/>
      </c>
      <c r="E10550">
        <f>TEST_DATA!E10550</f>
        <v/>
      </c>
    </row>
    <row r="10551">
      <c r="A10551">
        <f>TEST_DATA!A10551</f>
        <v/>
      </c>
      <c r="B10551">
        <f>TEST_DATA!B10551</f>
        <v/>
      </c>
      <c r="C10551">
        <f>TEST_DATA!C10551</f>
        <v/>
      </c>
      <c r="D10551">
        <f>TEST_DATA!D10551</f>
        <v/>
      </c>
      <c r="E10551">
        <f>TEST_DATA!E10551</f>
        <v/>
      </c>
    </row>
    <row r="10552">
      <c r="A10552">
        <f>TEST_DATA!A10552</f>
        <v/>
      </c>
      <c r="B10552">
        <f>TEST_DATA!B10552</f>
        <v/>
      </c>
      <c r="C10552">
        <f>TEST_DATA!C10552</f>
        <v/>
      </c>
      <c r="D10552">
        <f>TEST_DATA!D10552</f>
        <v/>
      </c>
      <c r="E10552">
        <f>TEST_DATA!E10552</f>
        <v/>
      </c>
    </row>
    <row r="10553">
      <c r="A10553">
        <f>TEST_DATA!A10553</f>
        <v/>
      </c>
      <c r="B10553">
        <f>TEST_DATA!B10553</f>
        <v/>
      </c>
      <c r="C10553">
        <f>TEST_DATA!C10553</f>
        <v/>
      </c>
      <c r="D10553">
        <f>TEST_DATA!D10553</f>
        <v/>
      </c>
      <c r="E10553">
        <f>TEST_DATA!E10553</f>
        <v/>
      </c>
    </row>
    <row r="10554">
      <c r="A10554">
        <f>TEST_DATA!A10554</f>
        <v/>
      </c>
      <c r="B10554">
        <f>TEST_DATA!B10554</f>
        <v/>
      </c>
      <c r="C10554">
        <f>TEST_DATA!C10554</f>
        <v/>
      </c>
      <c r="D10554">
        <f>TEST_DATA!D10554</f>
        <v/>
      </c>
      <c r="E10554">
        <f>TEST_DATA!E10554</f>
        <v/>
      </c>
    </row>
    <row r="10555">
      <c r="A10555">
        <f>TEST_DATA!A10555</f>
        <v/>
      </c>
      <c r="B10555">
        <f>TEST_DATA!B10555</f>
        <v/>
      </c>
      <c r="C10555">
        <f>TEST_DATA!C10555</f>
        <v/>
      </c>
      <c r="D10555">
        <f>TEST_DATA!D10555</f>
        <v/>
      </c>
      <c r="E10555">
        <f>TEST_DATA!E10555</f>
        <v/>
      </c>
    </row>
    <row r="10556">
      <c r="A10556">
        <f>TEST_DATA!A10556</f>
        <v/>
      </c>
      <c r="B10556">
        <f>TEST_DATA!B10556</f>
        <v/>
      </c>
      <c r="C10556">
        <f>TEST_DATA!C10556</f>
        <v/>
      </c>
      <c r="D10556">
        <f>TEST_DATA!D10556</f>
        <v/>
      </c>
      <c r="E10556">
        <f>TEST_DATA!E10556</f>
        <v/>
      </c>
    </row>
    <row r="10557">
      <c r="A10557">
        <f>TEST_DATA!A10557</f>
        <v/>
      </c>
      <c r="B10557">
        <f>TEST_DATA!B10557</f>
        <v/>
      </c>
      <c r="C10557">
        <f>TEST_DATA!C10557</f>
        <v/>
      </c>
      <c r="D10557">
        <f>TEST_DATA!D10557</f>
        <v/>
      </c>
      <c r="E10557">
        <f>TEST_DATA!E10557</f>
        <v/>
      </c>
    </row>
    <row r="10558">
      <c r="A10558">
        <f>TEST_DATA!A10558</f>
        <v/>
      </c>
      <c r="B10558">
        <f>TEST_DATA!B10558</f>
        <v/>
      </c>
      <c r="C10558">
        <f>TEST_DATA!C10558</f>
        <v/>
      </c>
      <c r="D10558">
        <f>TEST_DATA!D10558</f>
        <v/>
      </c>
      <c r="E10558">
        <f>TEST_DATA!E10558</f>
        <v/>
      </c>
    </row>
    <row r="10559">
      <c r="A10559">
        <f>TEST_DATA!A10559</f>
        <v/>
      </c>
      <c r="B10559">
        <f>TEST_DATA!B10559</f>
        <v/>
      </c>
      <c r="C10559">
        <f>TEST_DATA!C10559</f>
        <v/>
      </c>
      <c r="D10559">
        <f>TEST_DATA!D10559</f>
        <v/>
      </c>
      <c r="E10559">
        <f>TEST_DATA!E10559</f>
        <v/>
      </c>
    </row>
    <row r="10560">
      <c r="A10560">
        <f>TEST_DATA!A10560</f>
        <v/>
      </c>
      <c r="B10560">
        <f>TEST_DATA!B10560</f>
        <v/>
      </c>
      <c r="C10560">
        <f>TEST_DATA!C10560</f>
        <v/>
      </c>
      <c r="D10560">
        <f>TEST_DATA!D10560</f>
        <v/>
      </c>
      <c r="E10560">
        <f>TEST_DATA!E10560</f>
        <v/>
      </c>
    </row>
    <row r="10561">
      <c r="A10561">
        <f>TEST_DATA!A10561</f>
        <v/>
      </c>
      <c r="B10561">
        <f>TEST_DATA!B10561</f>
        <v/>
      </c>
      <c r="C10561">
        <f>TEST_DATA!C10561</f>
        <v/>
      </c>
      <c r="D10561">
        <f>TEST_DATA!D10561</f>
        <v/>
      </c>
      <c r="E10561">
        <f>TEST_DATA!E10561</f>
        <v/>
      </c>
    </row>
    <row r="10562">
      <c r="A10562">
        <f>TEST_DATA!A10562</f>
        <v/>
      </c>
      <c r="B10562">
        <f>TEST_DATA!B10562</f>
        <v/>
      </c>
      <c r="C10562">
        <f>TEST_DATA!C10562</f>
        <v/>
      </c>
      <c r="D10562">
        <f>TEST_DATA!D10562</f>
        <v/>
      </c>
      <c r="E10562">
        <f>TEST_DATA!E10562</f>
        <v/>
      </c>
    </row>
    <row r="10563">
      <c r="A10563">
        <f>TEST_DATA!A10563</f>
        <v/>
      </c>
      <c r="B10563">
        <f>TEST_DATA!B10563</f>
        <v/>
      </c>
      <c r="C10563">
        <f>TEST_DATA!C10563</f>
        <v/>
      </c>
      <c r="D10563">
        <f>TEST_DATA!D10563</f>
        <v/>
      </c>
      <c r="E10563">
        <f>TEST_DATA!E10563</f>
        <v/>
      </c>
    </row>
    <row r="10564">
      <c r="A10564">
        <f>TEST_DATA!A10564</f>
        <v/>
      </c>
      <c r="B10564">
        <f>TEST_DATA!B10564</f>
        <v/>
      </c>
      <c r="C10564">
        <f>TEST_DATA!C10564</f>
        <v/>
      </c>
      <c r="D10564">
        <f>TEST_DATA!D10564</f>
        <v/>
      </c>
      <c r="E10564">
        <f>TEST_DATA!E10564</f>
        <v/>
      </c>
    </row>
    <row r="10565">
      <c r="A10565">
        <f>TEST_DATA!A10565</f>
        <v/>
      </c>
      <c r="B10565">
        <f>TEST_DATA!B10565</f>
        <v/>
      </c>
      <c r="C10565">
        <f>TEST_DATA!C10565</f>
        <v/>
      </c>
      <c r="D10565">
        <f>TEST_DATA!D10565</f>
        <v/>
      </c>
      <c r="E10565">
        <f>TEST_DATA!E10565</f>
        <v/>
      </c>
    </row>
    <row r="10566">
      <c r="A10566">
        <f>TEST_DATA!A10566</f>
        <v/>
      </c>
      <c r="B10566">
        <f>TEST_DATA!B10566</f>
        <v/>
      </c>
      <c r="C10566">
        <f>TEST_DATA!C10566</f>
        <v/>
      </c>
      <c r="D10566">
        <f>TEST_DATA!D10566</f>
        <v/>
      </c>
      <c r="E10566">
        <f>TEST_DATA!E10566</f>
        <v/>
      </c>
    </row>
    <row r="10567">
      <c r="A10567">
        <f>TEST_DATA!A10567</f>
        <v/>
      </c>
      <c r="B10567">
        <f>TEST_DATA!B10567</f>
        <v/>
      </c>
      <c r="C10567">
        <f>TEST_DATA!C10567</f>
        <v/>
      </c>
      <c r="D10567">
        <f>TEST_DATA!D10567</f>
        <v/>
      </c>
      <c r="E10567">
        <f>TEST_DATA!E10567</f>
        <v/>
      </c>
    </row>
    <row r="10568">
      <c r="A10568">
        <f>TEST_DATA!A10568</f>
        <v/>
      </c>
      <c r="B10568">
        <f>TEST_DATA!B10568</f>
        <v/>
      </c>
      <c r="C10568">
        <f>TEST_DATA!C10568</f>
        <v/>
      </c>
      <c r="D10568">
        <f>TEST_DATA!D10568</f>
        <v/>
      </c>
      <c r="E10568">
        <f>TEST_DATA!E10568</f>
        <v/>
      </c>
    </row>
    <row r="10569">
      <c r="A10569">
        <f>TEST_DATA!A10569</f>
        <v/>
      </c>
      <c r="B10569">
        <f>TEST_DATA!B10569</f>
        <v/>
      </c>
      <c r="C10569">
        <f>TEST_DATA!C10569</f>
        <v/>
      </c>
      <c r="D10569">
        <f>TEST_DATA!D10569</f>
        <v/>
      </c>
      <c r="E10569">
        <f>TEST_DATA!E10569</f>
        <v/>
      </c>
    </row>
    <row r="10570">
      <c r="A10570">
        <f>TEST_DATA!A10570</f>
        <v/>
      </c>
      <c r="B10570">
        <f>TEST_DATA!B10570</f>
        <v/>
      </c>
      <c r="C10570">
        <f>TEST_DATA!C10570</f>
        <v/>
      </c>
      <c r="D10570">
        <f>TEST_DATA!D10570</f>
        <v/>
      </c>
      <c r="E10570">
        <f>TEST_DATA!E10570</f>
        <v/>
      </c>
    </row>
    <row r="10571">
      <c r="A10571">
        <f>TEST_DATA!A10571</f>
        <v/>
      </c>
      <c r="B10571">
        <f>TEST_DATA!B10571</f>
        <v/>
      </c>
      <c r="C10571">
        <f>TEST_DATA!C10571</f>
        <v/>
      </c>
      <c r="D10571">
        <f>TEST_DATA!D10571</f>
        <v/>
      </c>
      <c r="E10571">
        <f>TEST_DATA!E10571</f>
        <v/>
      </c>
    </row>
    <row r="10572">
      <c r="A10572">
        <f>TEST_DATA!A10572</f>
        <v/>
      </c>
      <c r="B10572">
        <f>TEST_DATA!B10572</f>
        <v/>
      </c>
      <c r="C10572">
        <f>TEST_DATA!C10572</f>
        <v/>
      </c>
      <c r="D10572">
        <f>TEST_DATA!D10572</f>
        <v/>
      </c>
      <c r="E10572">
        <f>TEST_DATA!E10572</f>
        <v/>
      </c>
    </row>
    <row r="10573">
      <c r="A10573">
        <f>TEST_DATA!A10573</f>
        <v/>
      </c>
      <c r="B10573">
        <f>TEST_DATA!B10573</f>
        <v/>
      </c>
      <c r="C10573">
        <f>TEST_DATA!C10573</f>
        <v/>
      </c>
      <c r="D10573">
        <f>TEST_DATA!D10573</f>
        <v/>
      </c>
      <c r="E10573">
        <f>TEST_DATA!E10573</f>
        <v/>
      </c>
    </row>
    <row r="10574">
      <c r="A10574">
        <f>TEST_DATA!A10574</f>
        <v/>
      </c>
      <c r="B10574">
        <f>TEST_DATA!B10574</f>
        <v/>
      </c>
      <c r="C10574">
        <f>TEST_DATA!C10574</f>
        <v/>
      </c>
      <c r="D10574">
        <f>TEST_DATA!D10574</f>
        <v/>
      </c>
      <c r="E10574">
        <f>TEST_DATA!E10574</f>
        <v/>
      </c>
    </row>
    <row r="10575">
      <c r="A10575">
        <f>TEST_DATA!A10575</f>
        <v/>
      </c>
      <c r="B10575">
        <f>TEST_DATA!B10575</f>
        <v/>
      </c>
      <c r="C10575">
        <f>TEST_DATA!C10575</f>
        <v/>
      </c>
      <c r="D10575">
        <f>TEST_DATA!D10575</f>
        <v/>
      </c>
      <c r="E10575">
        <f>TEST_DATA!E10575</f>
        <v/>
      </c>
    </row>
    <row r="10576">
      <c r="A10576">
        <f>TEST_DATA!A10576</f>
        <v/>
      </c>
      <c r="B10576">
        <f>TEST_DATA!B10576</f>
        <v/>
      </c>
      <c r="C10576">
        <f>TEST_DATA!C10576</f>
        <v/>
      </c>
      <c r="D10576">
        <f>TEST_DATA!D10576</f>
        <v/>
      </c>
      <c r="E10576">
        <f>TEST_DATA!E10576</f>
        <v/>
      </c>
    </row>
    <row r="10577">
      <c r="A10577">
        <f>TEST_DATA!A10577</f>
        <v/>
      </c>
      <c r="B10577">
        <f>TEST_DATA!B10577</f>
        <v/>
      </c>
      <c r="C10577">
        <f>TEST_DATA!C10577</f>
        <v/>
      </c>
      <c r="D10577">
        <f>TEST_DATA!D10577</f>
        <v/>
      </c>
      <c r="E10577">
        <f>TEST_DATA!E10577</f>
        <v/>
      </c>
    </row>
    <row r="10578">
      <c r="A10578">
        <f>TEST_DATA!A10578</f>
        <v/>
      </c>
      <c r="B10578">
        <f>TEST_DATA!B10578</f>
        <v/>
      </c>
      <c r="C10578">
        <f>TEST_DATA!C10578</f>
        <v/>
      </c>
      <c r="D10578">
        <f>TEST_DATA!D10578</f>
        <v/>
      </c>
      <c r="E10578">
        <f>TEST_DATA!E10578</f>
        <v/>
      </c>
    </row>
    <row r="10579">
      <c r="A10579">
        <f>TEST_DATA!A10579</f>
        <v/>
      </c>
      <c r="B10579">
        <f>TEST_DATA!B10579</f>
        <v/>
      </c>
      <c r="C10579">
        <f>TEST_DATA!C10579</f>
        <v/>
      </c>
      <c r="D10579">
        <f>TEST_DATA!D10579</f>
        <v/>
      </c>
      <c r="E10579">
        <f>TEST_DATA!E10579</f>
        <v/>
      </c>
    </row>
    <row r="10580">
      <c r="A10580">
        <f>TEST_DATA!A10580</f>
        <v/>
      </c>
      <c r="B10580">
        <f>TEST_DATA!B10580</f>
        <v/>
      </c>
      <c r="C10580">
        <f>TEST_DATA!C10580</f>
        <v/>
      </c>
      <c r="D10580">
        <f>TEST_DATA!D10580</f>
        <v/>
      </c>
      <c r="E10580">
        <f>TEST_DATA!E10580</f>
        <v/>
      </c>
    </row>
    <row r="10581">
      <c r="A10581">
        <f>TEST_DATA!A10581</f>
        <v/>
      </c>
      <c r="B10581">
        <f>TEST_DATA!B10581</f>
        <v/>
      </c>
      <c r="C10581">
        <f>TEST_DATA!C10581</f>
        <v/>
      </c>
      <c r="D10581">
        <f>TEST_DATA!D10581</f>
        <v/>
      </c>
      <c r="E10581">
        <f>TEST_DATA!E10581</f>
        <v/>
      </c>
    </row>
    <row r="10582">
      <c r="A10582">
        <f>TEST_DATA!A10582</f>
        <v/>
      </c>
      <c r="B10582">
        <f>TEST_DATA!B10582</f>
        <v/>
      </c>
      <c r="C10582">
        <f>TEST_DATA!C10582</f>
        <v/>
      </c>
      <c r="D10582">
        <f>TEST_DATA!D10582</f>
        <v/>
      </c>
      <c r="E10582">
        <f>TEST_DATA!E10582</f>
        <v/>
      </c>
    </row>
    <row r="10583">
      <c r="A10583">
        <f>TEST_DATA!A10583</f>
        <v/>
      </c>
      <c r="B10583">
        <f>TEST_DATA!B10583</f>
        <v/>
      </c>
      <c r="C10583">
        <f>TEST_DATA!C10583</f>
        <v/>
      </c>
      <c r="D10583">
        <f>TEST_DATA!D10583</f>
        <v/>
      </c>
      <c r="E10583">
        <f>TEST_DATA!E10583</f>
        <v/>
      </c>
    </row>
    <row r="10584">
      <c r="A10584">
        <f>TEST_DATA!A10584</f>
        <v/>
      </c>
      <c r="B10584">
        <f>TEST_DATA!B10584</f>
        <v/>
      </c>
      <c r="C10584">
        <f>TEST_DATA!C10584</f>
        <v/>
      </c>
      <c r="D10584">
        <f>TEST_DATA!D10584</f>
        <v/>
      </c>
      <c r="E10584">
        <f>TEST_DATA!E10584</f>
        <v/>
      </c>
    </row>
    <row r="10585">
      <c r="A10585">
        <f>TEST_DATA!A10585</f>
        <v/>
      </c>
      <c r="B10585">
        <f>TEST_DATA!B10585</f>
        <v/>
      </c>
      <c r="C10585">
        <f>TEST_DATA!C10585</f>
        <v/>
      </c>
      <c r="D10585">
        <f>TEST_DATA!D10585</f>
        <v/>
      </c>
      <c r="E10585">
        <f>TEST_DATA!E10585</f>
        <v/>
      </c>
    </row>
    <row r="10586">
      <c r="A10586">
        <f>TEST_DATA!A10586</f>
        <v/>
      </c>
      <c r="B10586">
        <f>TEST_DATA!B10586</f>
        <v/>
      </c>
      <c r="C10586">
        <f>TEST_DATA!C10586</f>
        <v/>
      </c>
      <c r="D10586">
        <f>TEST_DATA!D10586</f>
        <v/>
      </c>
      <c r="E10586">
        <f>TEST_DATA!E10586</f>
        <v/>
      </c>
    </row>
    <row r="10587">
      <c r="A10587">
        <f>TEST_DATA!A10587</f>
        <v/>
      </c>
      <c r="B10587">
        <f>TEST_DATA!B10587</f>
        <v/>
      </c>
      <c r="C10587">
        <f>TEST_DATA!C10587</f>
        <v/>
      </c>
      <c r="D10587">
        <f>TEST_DATA!D10587</f>
        <v/>
      </c>
      <c r="E10587">
        <f>TEST_DATA!E10587</f>
        <v/>
      </c>
    </row>
    <row r="10588">
      <c r="A10588">
        <f>TEST_DATA!A10588</f>
        <v/>
      </c>
      <c r="B10588">
        <f>TEST_DATA!B10588</f>
        <v/>
      </c>
      <c r="C10588">
        <f>TEST_DATA!C10588</f>
        <v/>
      </c>
      <c r="D10588">
        <f>TEST_DATA!D10588</f>
        <v/>
      </c>
      <c r="E10588">
        <f>TEST_DATA!E10588</f>
        <v/>
      </c>
    </row>
    <row r="10589">
      <c r="A10589">
        <f>TEST_DATA!A10589</f>
        <v/>
      </c>
      <c r="B10589">
        <f>TEST_DATA!B10589</f>
        <v/>
      </c>
      <c r="C10589">
        <f>TEST_DATA!C10589</f>
        <v/>
      </c>
      <c r="D10589">
        <f>TEST_DATA!D10589</f>
        <v/>
      </c>
      <c r="E10589">
        <f>TEST_DATA!E10589</f>
        <v/>
      </c>
    </row>
    <row r="10590">
      <c r="A10590">
        <f>TEST_DATA!A10590</f>
        <v/>
      </c>
      <c r="B10590">
        <f>TEST_DATA!B10590</f>
        <v/>
      </c>
      <c r="C10590">
        <f>TEST_DATA!C10590</f>
        <v/>
      </c>
      <c r="D10590">
        <f>TEST_DATA!D10590</f>
        <v/>
      </c>
      <c r="E10590">
        <f>TEST_DATA!E10590</f>
        <v/>
      </c>
    </row>
    <row r="10591">
      <c r="A10591">
        <f>TEST_DATA!A10591</f>
        <v/>
      </c>
      <c r="B10591">
        <f>TEST_DATA!B10591</f>
        <v/>
      </c>
      <c r="C10591">
        <f>TEST_DATA!C10591</f>
        <v/>
      </c>
      <c r="D10591">
        <f>TEST_DATA!D10591</f>
        <v/>
      </c>
      <c r="E10591">
        <f>TEST_DATA!E10591</f>
        <v/>
      </c>
    </row>
    <row r="10592">
      <c r="A10592">
        <f>TEST_DATA!A10592</f>
        <v/>
      </c>
      <c r="B10592">
        <f>TEST_DATA!B10592</f>
        <v/>
      </c>
      <c r="C10592">
        <f>TEST_DATA!C10592</f>
        <v/>
      </c>
      <c r="D10592">
        <f>TEST_DATA!D10592</f>
        <v/>
      </c>
      <c r="E10592">
        <f>TEST_DATA!E10592</f>
        <v/>
      </c>
    </row>
    <row r="10593">
      <c r="A10593">
        <f>TEST_DATA!A10593</f>
        <v/>
      </c>
      <c r="B10593">
        <f>TEST_DATA!B10593</f>
        <v/>
      </c>
      <c r="C10593">
        <f>TEST_DATA!C10593</f>
        <v/>
      </c>
      <c r="D10593">
        <f>TEST_DATA!D10593</f>
        <v/>
      </c>
      <c r="E10593">
        <f>TEST_DATA!E10593</f>
        <v/>
      </c>
    </row>
    <row r="10594">
      <c r="A10594">
        <f>TEST_DATA!A10594</f>
        <v/>
      </c>
      <c r="B10594">
        <f>TEST_DATA!B10594</f>
        <v/>
      </c>
      <c r="C10594">
        <f>TEST_DATA!C10594</f>
        <v/>
      </c>
      <c r="D10594">
        <f>TEST_DATA!D10594</f>
        <v/>
      </c>
      <c r="E10594">
        <f>TEST_DATA!E10594</f>
        <v/>
      </c>
    </row>
    <row r="10595">
      <c r="A10595">
        <f>TEST_DATA!A10595</f>
        <v/>
      </c>
      <c r="B10595">
        <f>TEST_DATA!B10595</f>
        <v/>
      </c>
      <c r="C10595">
        <f>TEST_DATA!C10595</f>
        <v/>
      </c>
      <c r="D10595">
        <f>TEST_DATA!D10595</f>
        <v/>
      </c>
      <c r="E10595">
        <f>TEST_DATA!E10595</f>
        <v/>
      </c>
    </row>
    <row r="10596">
      <c r="A10596">
        <f>TEST_DATA!A10596</f>
        <v/>
      </c>
      <c r="B10596">
        <f>TEST_DATA!B10596</f>
        <v/>
      </c>
      <c r="C10596">
        <f>TEST_DATA!C10596</f>
        <v/>
      </c>
      <c r="D10596">
        <f>TEST_DATA!D10596</f>
        <v/>
      </c>
      <c r="E10596">
        <f>TEST_DATA!E10596</f>
        <v/>
      </c>
    </row>
    <row r="10597">
      <c r="A10597">
        <f>TEST_DATA!A10597</f>
        <v/>
      </c>
      <c r="B10597">
        <f>TEST_DATA!B10597</f>
        <v/>
      </c>
      <c r="C10597">
        <f>TEST_DATA!C10597</f>
        <v/>
      </c>
      <c r="D10597">
        <f>TEST_DATA!D10597</f>
        <v/>
      </c>
      <c r="E10597">
        <f>TEST_DATA!E10597</f>
        <v/>
      </c>
    </row>
    <row r="10598">
      <c r="A10598">
        <f>TEST_DATA!A10598</f>
        <v/>
      </c>
      <c r="B10598">
        <f>TEST_DATA!B10598</f>
        <v/>
      </c>
      <c r="C10598">
        <f>TEST_DATA!C10598</f>
        <v/>
      </c>
      <c r="D10598">
        <f>TEST_DATA!D10598</f>
        <v/>
      </c>
      <c r="E10598">
        <f>TEST_DATA!E10598</f>
        <v/>
      </c>
    </row>
    <row r="10599">
      <c r="A10599">
        <f>TEST_DATA!A10599</f>
        <v/>
      </c>
      <c r="B10599">
        <f>TEST_DATA!B10599</f>
        <v/>
      </c>
      <c r="C10599">
        <f>TEST_DATA!C10599</f>
        <v/>
      </c>
      <c r="D10599">
        <f>TEST_DATA!D10599</f>
        <v/>
      </c>
      <c r="E10599">
        <f>TEST_DATA!E10599</f>
        <v/>
      </c>
    </row>
    <row r="10600">
      <c r="A10600">
        <f>TEST_DATA!A10600</f>
        <v/>
      </c>
      <c r="B10600">
        <f>TEST_DATA!B10600</f>
        <v/>
      </c>
      <c r="C10600">
        <f>TEST_DATA!C10600</f>
        <v/>
      </c>
      <c r="D10600">
        <f>TEST_DATA!D10600</f>
        <v/>
      </c>
      <c r="E10600">
        <f>TEST_DATA!E10600</f>
        <v/>
      </c>
    </row>
    <row r="10601">
      <c r="A10601">
        <f>TEST_DATA!A10601</f>
        <v/>
      </c>
      <c r="B10601">
        <f>TEST_DATA!B10601</f>
        <v/>
      </c>
      <c r="C10601">
        <f>TEST_DATA!C10601</f>
        <v/>
      </c>
      <c r="D10601">
        <f>TEST_DATA!D10601</f>
        <v/>
      </c>
      <c r="E10601">
        <f>TEST_DATA!E10601</f>
        <v/>
      </c>
    </row>
    <row r="10602">
      <c r="A10602">
        <f>TEST_DATA!A10602</f>
        <v/>
      </c>
      <c r="B10602">
        <f>TEST_DATA!B10602</f>
        <v/>
      </c>
      <c r="C10602">
        <f>TEST_DATA!C10602</f>
        <v/>
      </c>
      <c r="D10602">
        <f>TEST_DATA!D10602</f>
        <v/>
      </c>
      <c r="E10602">
        <f>TEST_DATA!E10602</f>
        <v/>
      </c>
    </row>
    <row r="10603">
      <c r="A10603">
        <f>TEST_DATA!A10603</f>
        <v/>
      </c>
      <c r="B10603">
        <f>TEST_DATA!B10603</f>
        <v/>
      </c>
      <c r="C10603">
        <f>TEST_DATA!C10603</f>
        <v/>
      </c>
      <c r="D10603">
        <f>TEST_DATA!D10603</f>
        <v/>
      </c>
      <c r="E10603">
        <f>TEST_DATA!E10603</f>
        <v/>
      </c>
    </row>
    <row r="10604">
      <c r="A10604">
        <f>TEST_DATA!A10604</f>
        <v/>
      </c>
      <c r="B10604">
        <f>TEST_DATA!B10604</f>
        <v/>
      </c>
      <c r="C10604">
        <f>TEST_DATA!C10604</f>
        <v/>
      </c>
      <c r="D10604">
        <f>TEST_DATA!D10604</f>
        <v/>
      </c>
      <c r="E10604">
        <f>TEST_DATA!E10604</f>
        <v/>
      </c>
    </row>
    <row r="10605">
      <c r="A10605">
        <f>TEST_DATA!A10605</f>
        <v/>
      </c>
      <c r="B10605">
        <f>TEST_DATA!B10605</f>
        <v/>
      </c>
      <c r="C10605">
        <f>TEST_DATA!C10605</f>
        <v/>
      </c>
      <c r="D10605">
        <f>TEST_DATA!D10605</f>
        <v/>
      </c>
      <c r="E10605">
        <f>TEST_DATA!E10605</f>
        <v/>
      </c>
    </row>
    <row r="10606">
      <c r="A10606">
        <f>TEST_DATA!A10606</f>
        <v/>
      </c>
      <c r="B10606">
        <f>TEST_DATA!B10606</f>
        <v/>
      </c>
      <c r="C10606">
        <f>TEST_DATA!C10606</f>
        <v/>
      </c>
      <c r="D10606">
        <f>TEST_DATA!D10606</f>
        <v/>
      </c>
      <c r="E10606">
        <f>TEST_DATA!E10606</f>
        <v/>
      </c>
    </row>
    <row r="10607">
      <c r="A10607">
        <f>TEST_DATA!A10607</f>
        <v/>
      </c>
      <c r="B10607">
        <f>TEST_DATA!B10607</f>
        <v/>
      </c>
      <c r="C10607">
        <f>TEST_DATA!C10607</f>
        <v/>
      </c>
      <c r="D10607">
        <f>TEST_DATA!D10607</f>
        <v/>
      </c>
      <c r="E10607">
        <f>TEST_DATA!E10607</f>
        <v/>
      </c>
    </row>
    <row r="10608">
      <c r="A10608">
        <f>TEST_DATA!A10608</f>
        <v/>
      </c>
      <c r="B10608">
        <f>TEST_DATA!B10608</f>
        <v/>
      </c>
      <c r="C10608">
        <f>TEST_DATA!C10608</f>
        <v/>
      </c>
      <c r="D10608">
        <f>TEST_DATA!D10608</f>
        <v/>
      </c>
      <c r="E10608">
        <f>TEST_DATA!E10608</f>
        <v/>
      </c>
    </row>
    <row r="10609">
      <c r="A10609">
        <f>TEST_DATA!A10609</f>
        <v/>
      </c>
      <c r="B10609">
        <f>TEST_DATA!B10609</f>
        <v/>
      </c>
      <c r="C10609">
        <f>TEST_DATA!C10609</f>
        <v/>
      </c>
      <c r="D10609">
        <f>TEST_DATA!D10609</f>
        <v/>
      </c>
      <c r="E10609">
        <f>TEST_DATA!E10609</f>
        <v/>
      </c>
    </row>
    <row r="10610">
      <c r="A10610">
        <f>TEST_DATA!A10610</f>
        <v/>
      </c>
      <c r="B10610">
        <f>TEST_DATA!B10610</f>
        <v/>
      </c>
      <c r="C10610">
        <f>TEST_DATA!C10610</f>
        <v/>
      </c>
      <c r="D10610">
        <f>TEST_DATA!D10610</f>
        <v/>
      </c>
      <c r="E10610">
        <f>TEST_DATA!E10610</f>
        <v/>
      </c>
    </row>
    <row r="10611">
      <c r="A10611">
        <f>TEST_DATA!A10611</f>
        <v/>
      </c>
      <c r="B10611">
        <f>TEST_DATA!B10611</f>
        <v/>
      </c>
      <c r="C10611">
        <f>TEST_DATA!C10611</f>
        <v/>
      </c>
      <c r="D10611">
        <f>TEST_DATA!D10611</f>
        <v/>
      </c>
      <c r="E10611">
        <f>TEST_DATA!E10611</f>
        <v/>
      </c>
    </row>
    <row r="10612">
      <c r="A10612">
        <f>TEST_DATA!A10612</f>
        <v/>
      </c>
      <c r="B10612">
        <f>TEST_DATA!B10612</f>
        <v/>
      </c>
      <c r="C10612">
        <f>TEST_DATA!C10612</f>
        <v/>
      </c>
      <c r="D10612">
        <f>TEST_DATA!D10612</f>
        <v/>
      </c>
      <c r="E10612">
        <f>TEST_DATA!E10612</f>
        <v/>
      </c>
    </row>
    <row r="10613">
      <c r="A10613">
        <f>TEST_DATA!A10613</f>
        <v/>
      </c>
      <c r="B10613">
        <f>TEST_DATA!B10613</f>
        <v/>
      </c>
      <c r="C10613">
        <f>TEST_DATA!C10613</f>
        <v/>
      </c>
      <c r="D10613">
        <f>TEST_DATA!D10613</f>
        <v/>
      </c>
      <c r="E10613">
        <f>TEST_DATA!E10613</f>
        <v/>
      </c>
    </row>
    <row r="10614">
      <c r="A10614">
        <f>TEST_DATA!A10614</f>
        <v/>
      </c>
      <c r="B10614">
        <f>TEST_DATA!B10614</f>
        <v/>
      </c>
      <c r="C10614">
        <f>TEST_DATA!C10614</f>
        <v/>
      </c>
      <c r="D10614">
        <f>TEST_DATA!D10614</f>
        <v/>
      </c>
      <c r="E10614">
        <f>TEST_DATA!E10614</f>
        <v/>
      </c>
    </row>
    <row r="10615">
      <c r="A10615">
        <f>TEST_DATA!A10615</f>
        <v/>
      </c>
      <c r="B10615">
        <f>TEST_DATA!B10615</f>
        <v/>
      </c>
      <c r="C10615">
        <f>TEST_DATA!C10615</f>
        <v/>
      </c>
      <c r="D10615">
        <f>TEST_DATA!D10615</f>
        <v/>
      </c>
      <c r="E10615">
        <f>TEST_DATA!E10615</f>
        <v/>
      </c>
    </row>
    <row r="10616">
      <c r="A10616">
        <f>TEST_DATA!A10616</f>
        <v/>
      </c>
      <c r="B10616">
        <f>TEST_DATA!B10616</f>
        <v/>
      </c>
      <c r="C10616">
        <f>TEST_DATA!C10616</f>
        <v/>
      </c>
      <c r="D10616">
        <f>TEST_DATA!D10616</f>
        <v/>
      </c>
      <c r="E10616">
        <f>TEST_DATA!E10616</f>
        <v/>
      </c>
    </row>
    <row r="10617">
      <c r="A10617">
        <f>TEST_DATA!A10617</f>
        <v/>
      </c>
      <c r="B10617">
        <f>TEST_DATA!B10617</f>
        <v/>
      </c>
      <c r="C10617">
        <f>TEST_DATA!C10617</f>
        <v/>
      </c>
      <c r="D10617">
        <f>TEST_DATA!D10617</f>
        <v/>
      </c>
      <c r="E10617">
        <f>TEST_DATA!E10617</f>
        <v/>
      </c>
    </row>
    <row r="10618">
      <c r="A10618">
        <f>TEST_DATA!A10618</f>
        <v/>
      </c>
      <c r="B10618">
        <f>TEST_DATA!B10618</f>
        <v/>
      </c>
      <c r="C10618">
        <f>TEST_DATA!C10618</f>
        <v/>
      </c>
      <c r="D10618">
        <f>TEST_DATA!D10618</f>
        <v/>
      </c>
      <c r="E10618">
        <f>TEST_DATA!E10618</f>
        <v/>
      </c>
    </row>
    <row r="10619">
      <c r="A10619">
        <f>TEST_DATA!A10619</f>
        <v/>
      </c>
      <c r="B10619">
        <f>TEST_DATA!B10619</f>
        <v/>
      </c>
      <c r="C10619">
        <f>TEST_DATA!C10619</f>
        <v/>
      </c>
      <c r="D10619">
        <f>TEST_DATA!D10619</f>
        <v/>
      </c>
      <c r="E10619">
        <f>TEST_DATA!E10619</f>
        <v/>
      </c>
    </row>
    <row r="10620">
      <c r="A10620">
        <f>TEST_DATA!A10620</f>
        <v/>
      </c>
      <c r="B10620">
        <f>TEST_DATA!B10620</f>
        <v/>
      </c>
      <c r="C10620">
        <f>TEST_DATA!C10620</f>
        <v/>
      </c>
      <c r="D10620">
        <f>TEST_DATA!D10620</f>
        <v/>
      </c>
      <c r="E10620">
        <f>TEST_DATA!E10620</f>
        <v/>
      </c>
    </row>
    <row r="10621">
      <c r="A10621">
        <f>TEST_DATA!A10621</f>
        <v/>
      </c>
      <c r="B10621">
        <f>TEST_DATA!B10621</f>
        <v/>
      </c>
      <c r="C10621">
        <f>TEST_DATA!C10621</f>
        <v/>
      </c>
      <c r="D10621">
        <f>TEST_DATA!D10621</f>
        <v/>
      </c>
      <c r="E10621">
        <f>TEST_DATA!E10621</f>
        <v/>
      </c>
    </row>
    <row r="10622">
      <c r="A10622">
        <f>TEST_DATA!A10622</f>
        <v/>
      </c>
      <c r="B10622">
        <f>TEST_DATA!B10622</f>
        <v/>
      </c>
      <c r="C10622">
        <f>TEST_DATA!C10622</f>
        <v/>
      </c>
      <c r="D10622">
        <f>TEST_DATA!D10622</f>
        <v/>
      </c>
      <c r="E10622">
        <f>TEST_DATA!E10622</f>
        <v/>
      </c>
    </row>
    <row r="10623">
      <c r="A10623">
        <f>TEST_DATA!A10623</f>
        <v/>
      </c>
      <c r="B10623">
        <f>TEST_DATA!B10623</f>
        <v/>
      </c>
      <c r="C10623">
        <f>TEST_DATA!C10623</f>
        <v/>
      </c>
      <c r="D10623">
        <f>TEST_DATA!D10623</f>
        <v/>
      </c>
      <c r="E10623">
        <f>TEST_DATA!E10623</f>
        <v/>
      </c>
    </row>
    <row r="10624">
      <c r="A10624">
        <f>TEST_DATA!A10624</f>
        <v/>
      </c>
      <c r="B10624">
        <f>TEST_DATA!B10624</f>
        <v/>
      </c>
      <c r="C10624">
        <f>TEST_DATA!C10624</f>
        <v/>
      </c>
      <c r="D10624">
        <f>TEST_DATA!D10624</f>
        <v/>
      </c>
      <c r="E10624">
        <f>TEST_DATA!E10624</f>
        <v/>
      </c>
    </row>
    <row r="10625">
      <c r="A10625">
        <f>TEST_DATA!A10625</f>
        <v/>
      </c>
      <c r="B10625">
        <f>TEST_DATA!B10625</f>
        <v/>
      </c>
      <c r="C10625">
        <f>TEST_DATA!C10625</f>
        <v/>
      </c>
      <c r="D10625">
        <f>TEST_DATA!D10625</f>
        <v/>
      </c>
      <c r="E10625">
        <f>TEST_DATA!E10625</f>
        <v/>
      </c>
    </row>
    <row r="10626">
      <c r="A10626">
        <f>TEST_DATA!A10626</f>
        <v/>
      </c>
      <c r="B10626">
        <f>TEST_DATA!B10626</f>
        <v/>
      </c>
      <c r="C10626">
        <f>TEST_DATA!C10626</f>
        <v/>
      </c>
      <c r="D10626">
        <f>TEST_DATA!D10626</f>
        <v/>
      </c>
      <c r="E10626">
        <f>TEST_DATA!E10626</f>
        <v/>
      </c>
    </row>
    <row r="10627">
      <c r="A10627">
        <f>TEST_DATA!A10627</f>
        <v/>
      </c>
      <c r="B10627">
        <f>TEST_DATA!B10627</f>
        <v/>
      </c>
      <c r="C10627">
        <f>TEST_DATA!C10627</f>
        <v/>
      </c>
      <c r="D10627">
        <f>TEST_DATA!D10627</f>
        <v/>
      </c>
      <c r="E10627">
        <f>TEST_DATA!E10627</f>
        <v/>
      </c>
    </row>
    <row r="10628">
      <c r="A10628">
        <f>TEST_DATA!A10628</f>
        <v/>
      </c>
      <c r="B10628">
        <f>TEST_DATA!B10628</f>
        <v/>
      </c>
      <c r="C10628">
        <f>TEST_DATA!C10628</f>
        <v/>
      </c>
      <c r="D10628">
        <f>TEST_DATA!D10628</f>
        <v/>
      </c>
      <c r="E10628">
        <f>TEST_DATA!E10628</f>
        <v/>
      </c>
    </row>
    <row r="10629">
      <c r="A10629">
        <f>TEST_DATA!A10629</f>
        <v/>
      </c>
      <c r="B10629">
        <f>TEST_DATA!B10629</f>
        <v/>
      </c>
      <c r="C10629">
        <f>TEST_DATA!C10629</f>
        <v/>
      </c>
      <c r="D10629">
        <f>TEST_DATA!D10629</f>
        <v/>
      </c>
      <c r="E10629">
        <f>TEST_DATA!E10629</f>
        <v/>
      </c>
    </row>
    <row r="10630">
      <c r="A10630">
        <f>TEST_DATA!A10630</f>
        <v/>
      </c>
      <c r="B10630">
        <f>TEST_DATA!B10630</f>
        <v/>
      </c>
      <c r="C10630">
        <f>TEST_DATA!C10630</f>
        <v/>
      </c>
      <c r="D10630">
        <f>TEST_DATA!D10630</f>
        <v/>
      </c>
      <c r="E10630">
        <f>TEST_DATA!E10630</f>
        <v/>
      </c>
    </row>
    <row r="10631">
      <c r="A10631">
        <f>TEST_DATA!A10631</f>
        <v/>
      </c>
      <c r="B10631">
        <f>TEST_DATA!B10631</f>
        <v/>
      </c>
      <c r="C10631">
        <f>TEST_DATA!C10631</f>
        <v/>
      </c>
      <c r="D10631">
        <f>TEST_DATA!D10631</f>
        <v/>
      </c>
      <c r="E10631">
        <f>TEST_DATA!E10631</f>
        <v/>
      </c>
    </row>
    <row r="10632">
      <c r="A10632">
        <f>TEST_DATA!A10632</f>
        <v/>
      </c>
      <c r="B10632">
        <f>TEST_DATA!B10632</f>
        <v/>
      </c>
      <c r="C10632">
        <f>TEST_DATA!C10632</f>
        <v/>
      </c>
      <c r="D10632">
        <f>TEST_DATA!D10632</f>
        <v/>
      </c>
      <c r="E10632">
        <f>TEST_DATA!E10632</f>
        <v/>
      </c>
    </row>
    <row r="10633">
      <c r="A10633">
        <f>TEST_DATA!A10633</f>
        <v/>
      </c>
      <c r="B10633">
        <f>TEST_DATA!B10633</f>
        <v/>
      </c>
      <c r="C10633">
        <f>TEST_DATA!C10633</f>
        <v/>
      </c>
      <c r="D10633">
        <f>TEST_DATA!D10633</f>
        <v/>
      </c>
      <c r="E10633">
        <f>TEST_DATA!E10633</f>
        <v/>
      </c>
    </row>
    <row r="10634">
      <c r="A10634">
        <f>TEST_DATA!A10634</f>
        <v/>
      </c>
      <c r="B10634">
        <f>TEST_DATA!B10634</f>
        <v/>
      </c>
      <c r="C10634">
        <f>TEST_DATA!C10634</f>
        <v/>
      </c>
      <c r="D10634">
        <f>TEST_DATA!D10634</f>
        <v/>
      </c>
      <c r="E10634">
        <f>TEST_DATA!E10634</f>
        <v/>
      </c>
    </row>
    <row r="10635">
      <c r="A10635">
        <f>TEST_DATA!A10635</f>
        <v/>
      </c>
      <c r="B10635">
        <f>TEST_DATA!B10635</f>
        <v/>
      </c>
      <c r="C10635">
        <f>TEST_DATA!C10635</f>
        <v/>
      </c>
      <c r="D10635">
        <f>TEST_DATA!D10635</f>
        <v/>
      </c>
      <c r="E10635">
        <f>TEST_DATA!E10635</f>
        <v/>
      </c>
    </row>
    <row r="10636">
      <c r="A10636">
        <f>TEST_DATA!A10636</f>
        <v/>
      </c>
      <c r="B10636">
        <f>TEST_DATA!B10636</f>
        <v/>
      </c>
      <c r="C10636">
        <f>TEST_DATA!C10636</f>
        <v/>
      </c>
      <c r="D10636">
        <f>TEST_DATA!D10636</f>
        <v/>
      </c>
      <c r="E10636">
        <f>TEST_DATA!E10636</f>
        <v/>
      </c>
    </row>
    <row r="10637">
      <c r="A10637">
        <f>TEST_DATA!A10637</f>
        <v/>
      </c>
      <c r="B10637">
        <f>TEST_DATA!B10637</f>
        <v/>
      </c>
      <c r="C10637">
        <f>TEST_DATA!C10637</f>
        <v/>
      </c>
      <c r="D10637">
        <f>TEST_DATA!D10637</f>
        <v/>
      </c>
      <c r="E10637">
        <f>TEST_DATA!E10637</f>
        <v/>
      </c>
    </row>
    <row r="10638">
      <c r="A10638">
        <f>TEST_DATA!A10638</f>
        <v/>
      </c>
      <c r="B10638">
        <f>TEST_DATA!B10638</f>
        <v/>
      </c>
      <c r="C10638">
        <f>TEST_DATA!C10638</f>
        <v/>
      </c>
      <c r="D10638">
        <f>TEST_DATA!D10638</f>
        <v/>
      </c>
      <c r="E10638">
        <f>TEST_DATA!E10638</f>
        <v/>
      </c>
    </row>
    <row r="10639">
      <c r="A10639">
        <f>TEST_DATA!A10639</f>
        <v/>
      </c>
      <c r="B10639">
        <f>TEST_DATA!B10639</f>
        <v/>
      </c>
      <c r="C10639">
        <f>TEST_DATA!C10639</f>
        <v/>
      </c>
      <c r="D10639">
        <f>TEST_DATA!D10639</f>
        <v/>
      </c>
      <c r="E10639">
        <f>TEST_DATA!E10639</f>
        <v/>
      </c>
    </row>
    <row r="10640">
      <c r="A10640">
        <f>TEST_DATA!A10640</f>
        <v/>
      </c>
      <c r="B10640">
        <f>TEST_DATA!B10640</f>
        <v/>
      </c>
      <c r="C10640">
        <f>TEST_DATA!C10640</f>
        <v/>
      </c>
      <c r="D10640">
        <f>TEST_DATA!D10640</f>
        <v/>
      </c>
      <c r="E10640">
        <f>TEST_DATA!E10640</f>
        <v/>
      </c>
    </row>
    <row r="10641">
      <c r="A10641">
        <f>TEST_DATA!A10641</f>
        <v/>
      </c>
      <c r="B10641">
        <f>TEST_DATA!B10641</f>
        <v/>
      </c>
      <c r="C10641">
        <f>TEST_DATA!C10641</f>
        <v/>
      </c>
      <c r="D10641">
        <f>TEST_DATA!D10641</f>
        <v/>
      </c>
      <c r="E10641">
        <f>TEST_DATA!E10641</f>
        <v/>
      </c>
    </row>
    <row r="10642">
      <c r="A10642">
        <f>TEST_DATA!A10642</f>
        <v/>
      </c>
      <c r="B10642">
        <f>TEST_DATA!B10642</f>
        <v/>
      </c>
      <c r="C10642">
        <f>TEST_DATA!C10642</f>
        <v/>
      </c>
      <c r="D10642">
        <f>TEST_DATA!D10642</f>
        <v/>
      </c>
      <c r="E10642">
        <f>TEST_DATA!E10642</f>
        <v/>
      </c>
    </row>
    <row r="10643">
      <c r="A10643">
        <f>TEST_DATA!A10643</f>
        <v/>
      </c>
      <c r="B10643">
        <f>TEST_DATA!B10643</f>
        <v/>
      </c>
      <c r="C10643">
        <f>TEST_DATA!C10643</f>
        <v/>
      </c>
      <c r="D10643">
        <f>TEST_DATA!D10643</f>
        <v/>
      </c>
      <c r="E10643">
        <f>TEST_DATA!E10643</f>
        <v/>
      </c>
    </row>
    <row r="10644">
      <c r="A10644">
        <f>TEST_DATA!A10644</f>
        <v/>
      </c>
      <c r="B10644">
        <f>TEST_DATA!B10644</f>
        <v/>
      </c>
      <c r="C10644">
        <f>TEST_DATA!C10644</f>
        <v/>
      </c>
      <c r="D10644">
        <f>TEST_DATA!D10644</f>
        <v/>
      </c>
      <c r="E10644">
        <f>TEST_DATA!E10644</f>
        <v/>
      </c>
    </row>
    <row r="10645">
      <c r="A10645">
        <f>TEST_DATA!A10645</f>
        <v/>
      </c>
      <c r="B10645">
        <f>TEST_DATA!B10645</f>
        <v/>
      </c>
      <c r="C10645">
        <f>TEST_DATA!C10645</f>
        <v/>
      </c>
      <c r="D10645">
        <f>TEST_DATA!D10645</f>
        <v/>
      </c>
      <c r="E10645">
        <f>TEST_DATA!E10645</f>
        <v/>
      </c>
    </row>
    <row r="10646">
      <c r="A10646">
        <f>TEST_DATA!A10646</f>
        <v/>
      </c>
      <c r="B10646">
        <f>TEST_DATA!B10646</f>
        <v/>
      </c>
      <c r="C10646">
        <f>TEST_DATA!C10646</f>
        <v/>
      </c>
      <c r="D10646">
        <f>TEST_DATA!D10646</f>
        <v/>
      </c>
      <c r="E10646">
        <f>TEST_DATA!E10646</f>
        <v/>
      </c>
    </row>
    <row r="10647">
      <c r="A10647">
        <f>TEST_DATA!A10647</f>
        <v/>
      </c>
      <c r="B10647">
        <f>TEST_DATA!B10647</f>
        <v/>
      </c>
      <c r="C10647">
        <f>TEST_DATA!C10647</f>
        <v/>
      </c>
      <c r="D10647">
        <f>TEST_DATA!D10647</f>
        <v/>
      </c>
      <c r="E10647">
        <f>TEST_DATA!E10647</f>
        <v/>
      </c>
    </row>
    <row r="10648">
      <c r="A10648">
        <f>TEST_DATA!A10648</f>
        <v/>
      </c>
      <c r="B10648">
        <f>TEST_DATA!B10648</f>
        <v/>
      </c>
      <c r="C10648">
        <f>TEST_DATA!C10648</f>
        <v/>
      </c>
      <c r="D10648">
        <f>TEST_DATA!D10648</f>
        <v/>
      </c>
      <c r="E10648">
        <f>TEST_DATA!E10648</f>
        <v/>
      </c>
    </row>
    <row r="10649">
      <c r="A10649">
        <f>TEST_DATA!A10649</f>
        <v/>
      </c>
      <c r="B10649">
        <f>TEST_DATA!B10649</f>
        <v/>
      </c>
      <c r="C10649">
        <f>TEST_DATA!C10649</f>
        <v/>
      </c>
      <c r="D10649">
        <f>TEST_DATA!D10649</f>
        <v/>
      </c>
      <c r="E10649">
        <f>TEST_DATA!E10649</f>
        <v/>
      </c>
    </row>
    <row r="10650">
      <c r="A10650">
        <f>TEST_DATA!A10650</f>
        <v/>
      </c>
      <c r="B10650">
        <f>TEST_DATA!B10650</f>
        <v/>
      </c>
      <c r="C10650">
        <f>TEST_DATA!C10650</f>
        <v/>
      </c>
      <c r="D10650">
        <f>TEST_DATA!D10650</f>
        <v/>
      </c>
      <c r="E10650">
        <f>TEST_DATA!E10650</f>
        <v/>
      </c>
    </row>
    <row r="10651">
      <c r="A10651">
        <f>TEST_DATA!A10651</f>
        <v/>
      </c>
      <c r="B10651">
        <f>TEST_DATA!B10651</f>
        <v/>
      </c>
      <c r="C10651">
        <f>TEST_DATA!C10651</f>
        <v/>
      </c>
      <c r="D10651">
        <f>TEST_DATA!D10651</f>
        <v/>
      </c>
      <c r="E10651">
        <f>TEST_DATA!E10651</f>
        <v/>
      </c>
    </row>
    <row r="10652">
      <c r="A10652">
        <f>TEST_DATA!A10652</f>
        <v/>
      </c>
      <c r="B10652">
        <f>TEST_DATA!B10652</f>
        <v/>
      </c>
      <c r="C10652">
        <f>TEST_DATA!C10652</f>
        <v/>
      </c>
      <c r="D10652">
        <f>TEST_DATA!D10652</f>
        <v/>
      </c>
      <c r="E10652">
        <f>TEST_DATA!E10652</f>
        <v/>
      </c>
    </row>
    <row r="10653">
      <c r="A10653">
        <f>TEST_DATA!A10653</f>
        <v/>
      </c>
      <c r="B10653">
        <f>TEST_DATA!B10653</f>
        <v/>
      </c>
      <c r="C10653">
        <f>TEST_DATA!C10653</f>
        <v/>
      </c>
      <c r="D10653">
        <f>TEST_DATA!D10653</f>
        <v/>
      </c>
      <c r="E10653">
        <f>TEST_DATA!E10653</f>
        <v/>
      </c>
    </row>
    <row r="10654">
      <c r="A10654">
        <f>TEST_DATA!A10654</f>
        <v/>
      </c>
      <c r="B10654">
        <f>TEST_DATA!B10654</f>
        <v/>
      </c>
      <c r="C10654">
        <f>TEST_DATA!C10654</f>
        <v/>
      </c>
      <c r="D10654">
        <f>TEST_DATA!D10654</f>
        <v/>
      </c>
      <c r="E10654">
        <f>TEST_DATA!E10654</f>
        <v/>
      </c>
    </row>
    <row r="10655">
      <c r="A10655">
        <f>TEST_DATA!A10655</f>
        <v/>
      </c>
      <c r="B10655">
        <f>TEST_DATA!B10655</f>
        <v/>
      </c>
      <c r="C10655">
        <f>TEST_DATA!C10655</f>
        <v/>
      </c>
      <c r="D10655">
        <f>TEST_DATA!D10655</f>
        <v/>
      </c>
      <c r="E10655">
        <f>TEST_DATA!E10655</f>
        <v/>
      </c>
    </row>
    <row r="10656">
      <c r="A10656">
        <f>TEST_DATA!A10656</f>
        <v/>
      </c>
      <c r="B10656">
        <f>TEST_DATA!B10656</f>
        <v/>
      </c>
      <c r="C10656">
        <f>TEST_DATA!C10656</f>
        <v/>
      </c>
      <c r="D10656">
        <f>TEST_DATA!D10656</f>
        <v/>
      </c>
      <c r="E10656">
        <f>TEST_DATA!E10656</f>
        <v/>
      </c>
    </row>
    <row r="10657">
      <c r="A10657">
        <f>TEST_DATA!A10657</f>
        <v/>
      </c>
      <c r="B10657">
        <f>TEST_DATA!B10657</f>
        <v/>
      </c>
      <c r="C10657">
        <f>TEST_DATA!C10657</f>
        <v/>
      </c>
      <c r="D10657">
        <f>TEST_DATA!D10657</f>
        <v/>
      </c>
      <c r="E10657">
        <f>TEST_DATA!E10657</f>
        <v/>
      </c>
    </row>
    <row r="10658">
      <c r="A10658">
        <f>TEST_DATA!A10658</f>
        <v/>
      </c>
      <c r="B10658">
        <f>TEST_DATA!B10658</f>
        <v/>
      </c>
      <c r="C10658">
        <f>TEST_DATA!C10658</f>
        <v/>
      </c>
      <c r="D10658">
        <f>TEST_DATA!D10658</f>
        <v/>
      </c>
      <c r="E10658">
        <f>TEST_DATA!E10658</f>
        <v/>
      </c>
    </row>
    <row r="10659">
      <c r="A10659">
        <f>TEST_DATA!A10659</f>
        <v/>
      </c>
      <c r="B10659">
        <f>TEST_DATA!B10659</f>
        <v/>
      </c>
      <c r="C10659">
        <f>TEST_DATA!C10659</f>
        <v/>
      </c>
      <c r="D10659">
        <f>TEST_DATA!D10659</f>
        <v/>
      </c>
      <c r="E10659">
        <f>TEST_DATA!E10659</f>
        <v/>
      </c>
    </row>
    <row r="10660">
      <c r="A10660">
        <f>TEST_DATA!A10660</f>
        <v/>
      </c>
      <c r="B10660">
        <f>TEST_DATA!B10660</f>
        <v/>
      </c>
      <c r="C10660">
        <f>TEST_DATA!C10660</f>
        <v/>
      </c>
      <c r="D10660">
        <f>TEST_DATA!D10660</f>
        <v/>
      </c>
      <c r="E10660">
        <f>TEST_DATA!E10660</f>
        <v/>
      </c>
    </row>
    <row r="10661">
      <c r="A10661">
        <f>TEST_DATA!A10661</f>
        <v/>
      </c>
      <c r="B10661">
        <f>TEST_DATA!B10661</f>
        <v/>
      </c>
      <c r="C10661">
        <f>TEST_DATA!C10661</f>
        <v/>
      </c>
      <c r="D10661">
        <f>TEST_DATA!D10661</f>
        <v/>
      </c>
      <c r="E10661">
        <f>TEST_DATA!E10661</f>
        <v/>
      </c>
    </row>
    <row r="10662">
      <c r="A10662">
        <f>TEST_DATA!A10662</f>
        <v/>
      </c>
      <c r="B10662">
        <f>TEST_DATA!B10662</f>
        <v/>
      </c>
      <c r="C10662">
        <f>TEST_DATA!C10662</f>
        <v/>
      </c>
      <c r="D10662">
        <f>TEST_DATA!D10662</f>
        <v/>
      </c>
      <c r="E10662">
        <f>TEST_DATA!E10662</f>
        <v/>
      </c>
    </row>
    <row r="10663">
      <c r="A10663">
        <f>TEST_DATA!A10663</f>
        <v/>
      </c>
      <c r="B10663">
        <f>TEST_DATA!B10663</f>
        <v/>
      </c>
      <c r="C10663">
        <f>TEST_DATA!C10663</f>
        <v/>
      </c>
      <c r="D10663">
        <f>TEST_DATA!D10663</f>
        <v/>
      </c>
      <c r="E10663">
        <f>TEST_DATA!E10663</f>
        <v/>
      </c>
    </row>
    <row r="10664">
      <c r="A10664">
        <f>TEST_DATA!A10664</f>
        <v/>
      </c>
      <c r="B10664">
        <f>TEST_DATA!B10664</f>
        <v/>
      </c>
      <c r="C10664">
        <f>TEST_DATA!C10664</f>
        <v/>
      </c>
      <c r="D10664">
        <f>TEST_DATA!D10664</f>
        <v/>
      </c>
      <c r="E10664">
        <f>TEST_DATA!E10664</f>
        <v/>
      </c>
    </row>
    <row r="10665">
      <c r="A10665">
        <f>TEST_DATA!A10665</f>
        <v/>
      </c>
      <c r="B10665">
        <f>TEST_DATA!B10665</f>
        <v/>
      </c>
      <c r="C10665">
        <f>TEST_DATA!C10665</f>
        <v/>
      </c>
      <c r="D10665">
        <f>TEST_DATA!D10665</f>
        <v/>
      </c>
      <c r="E10665">
        <f>TEST_DATA!E10665</f>
        <v/>
      </c>
    </row>
    <row r="10666">
      <c r="A10666">
        <f>TEST_DATA!A10666</f>
        <v/>
      </c>
      <c r="B10666">
        <f>TEST_DATA!B10666</f>
        <v/>
      </c>
      <c r="C10666">
        <f>TEST_DATA!C10666</f>
        <v/>
      </c>
      <c r="D10666">
        <f>TEST_DATA!D10666</f>
        <v/>
      </c>
      <c r="E10666">
        <f>TEST_DATA!E10666</f>
        <v/>
      </c>
    </row>
    <row r="10667">
      <c r="A10667">
        <f>TEST_DATA!A10667</f>
        <v/>
      </c>
      <c r="B10667">
        <f>TEST_DATA!B10667</f>
        <v/>
      </c>
      <c r="C10667">
        <f>TEST_DATA!C10667</f>
        <v/>
      </c>
      <c r="D10667">
        <f>TEST_DATA!D10667</f>
        <v/>
      </c>
      <c r="E10667">
        <f>TEST_DATA!E10667</f>
        <v/>
      </c>
    </row>
    <row r="10668">
      <c r="A10668">
        <f>TEST_DATA!A10668</f>
        <v/>
      </c>
      <c r="B10668">
        <f>TEST_DATA!B10668</f>
        <v/>
      </c>
      <c r="C10668">
        <f>TEST_DATA!C10668</f>
        <v/>
      </c>
      <c r="D10668">
        <f>TEST_DATA!D10668</f>
        <v/>
      </c>
      <c r="E10668">
        <f>TEST_DATA!E10668</f>
        <v/>
      </c>
    </row>
    <row r="10669">
      <c r="A10669">
        <f>TEST_DATA!A10669</f>
        <v/>
      </c>
      <c r="B10669">
        <f>TEST_DATA!B10669</f>
        <v/>
      </c>
      <c r="C10669">
        <f>TEST_DATA!C10669</f>
        <v/>
      </c>
      <c r="D10669">
        <f>TEST_DATA!D10669</f>
        <v/>
      </c>
      <c r="E10669">
        <f>TEST_DATA!E10669</f>
        <v/>
      </c>
    </row>
    <row r="10670">
      <c r="A10670">
        <f>TEST_DATA!A10670</f>
        <v/>
      </c>
      <c r="B10670">
        <f>TEST_DATA!B10670</f>
        <v/>
      </c>
      <c r="C10670">
        <f>TEST_DATA!C10670</f>
        <v/>
      </c>
      <c r="D10670">
        <f>TEST_DATA!D10670</f>
        <v/>
      </c>
      <c r="E10670">
        <f>TEST_DATA!E10670</f>
        <v/>
      </c>
    </row>
    <row r="10671">
      <c r="A10671">
        <f>TEST_DATA!A10671</f>
        <v/>
      </c>
      <c r="B10671">
        <f>TEST_DATA!B10671</f>
        <v/>
      </c>
      <c r="C10671">
        <f>TEST_DATA!C10671</f>
        <v/>
      </c>
      <c r="D10671">
        <f>TEST_DATA!D10671</f>
        <v/>
      </c>
      <c r="E10671">
        <f>TEST_DATA!E10671</f>
        <v/>
      </c>
    </row>
    <row r="10672">
      <c r="A10672">
        <f>TEST_DATA!A10672</f>
        <v/>
      </c>
      <c r="B10672">
        <f>TEST_DATA!B10672</f>
        <v/>
      </c>
      <c r="C10672">
        <f>TEST_DATA!C10672</f>
        <v/>
      </c>
      <c r="D10672">
        <f>TEST_DATA!D10672</f>
        <v/>
      </c>
      <c r="E10672">
        <f>TEST_DATA!E10672</f>
        <v/>
      </c>
    </row>
    <row r="10673">
      <c r="A10673">
        <f>TEST_DATA!A10673</f>
        <v/>
      </c>
      <c r="B10673">
        <f>TEST_DATA!B10673</f>
        <v/>
      </c>
      <c r="C10673">
        <f>TEST_DATA!C10673</f>
        <v/>
      </c>
      <c r="D10673">
        <f>TEST_DATA!D10673</f>
        <v/>
      </c>
      <c r="E10673">
        <f>TEST_DATA!E10673</f>
        <v/>
      </c>
    </row>
    <row r="10674">
      <c r="A10674">
        <f>TEST_DATA!A10674</f>
        <v/>
      </c>
      <c r="B10674">
        <f>TEST_DATA!B10674</f>
        <v/>
      </c>
      <c r="C10674">
        <f>TEST_DATA!C10674</f>
        <v/>
      </c>
      <c r="D10674">
        <f>TEST_DATA!D10674</f>
        <v/>
      </c>
      <c r="E10674">
        <f>TEST_DATA!E10674</f>
        <v/>
      </c>
    </row>
    <row r="10675">
      <c r="A10675">
        <f>TEST_DATA!A10675</f>
        <v/>
      </c>
      <c r="B10675">
        <f>TEST_DATA!B10675</f>
        <v/>
      </c>
      <c r="C10675">
        <f>TEST_DATA!C10675</f>
        <v/>
      </c>
      <c r="D10675">
        <f>TEST_DATA!D10675</f>
        <v/>
      </c>
      <c r="E10675">
        <f>TEST_DATA!E10675</f>
        <v/>
      </c>
    </row>
    <row r="10676">
      <c r="A10676">
        <f>TEST_DATA!A10676</f>
        <v/>
      </c>
      <c r="B10676">
        <f>TEST_DATA!B10676</f>
        <v/>
      </c>
      <c r="C10676">
        <f>TEST_DATA!C10676</f>
        <v/>
      </c>
      <c r="D10676">
        <f>TEST_DATA!D10676</f>
        <v/>
      </c>
      <c r="E10676">
        <f>TEST_DATA!E10676</f>
        <v/>
      </c>
    </row>
    <row r="10677">
      <c r="A10677">
        <f>TEST_DATA!A10677</f>
        <v/>
      </c>
      <c r="B10677">
        <f>TEST_DATA!B10677</f>
        <v/>
      </c>
      <c r="C10677">
        <f>TEST_DATA!C10677</f>
        <v/>
      </c>
      <c r="D10677">
        <f>TEST_DATA!D10677</f>
        <v/>
      </c>
      <c r="E10677">
        <f>TEST_DATA!E10677</f>
        <v/>
      </c>
    </row>
    <row r="10678">
      <c r="A10678">
        <f>TEST_DATA!A10678</f>
        <v/>
      </c>
      <c r="B10678">
        <f>TEST_DATA!B10678</f>
        <v/>
      </c>
      <c r="C10678">
        <f>TEST_DATA!C10678</f>
        <v/>
      </c>
      <c r="D10678">
        <f>TEST_DATA!D10678</f>
        <v/>
      </c>
      <c r="E10678">
        <f>TEST_DATA!E10678</f>
        <v/>
      </c>
    </row>
    <row r="10679">
      <c r="A10679">
        <f>TEST_DATA!A10679</f>
        <v/>
      </c>
      <c r="B10679">
        <f>TEST_DATA!B10679</f>
        <v/>
      </c>
      <c r="C10679">
        <f>TEST_DATA!C10679</f>
        <v/>
      </c>
      <c r="D10679">
        <f>TEST_DATA!D10679</f>
        <v/>
      </c>
      <c r="E10679">
        <f>TEST_DATA!E10679</f>
        <v/>
      </c>
    </row>
    <row r="10680">
      <c r="A10680">
        <f>TEST_DATA!A10680</f>
        <v/>
      </c>
      <c r="B10680">
        <f>TEST_DATA!B10680</f>
        <v/>
      </c>
      <c r="C10680">
        <f>TEST_DATA!C10680</f>
        <v/>
      </c>
      <c r="D10680">
        <f>TEST_DATA!D10680</f>
        <v/>
      </c>
      <c r="E10680">
        <f>TEST_DATA!E10680</f>
        <v/>
      </c>
    </row>
    <row r="10681">
      <c r="A10681">
        <f>TEST_DATA!A10681</f>
        <v/>
      </c>
      <c r="B10681">
        <f>TEST_DATA!B10681</f>
        <v/>
      </c>
      <c r="C10681">
        <f>TEST_DATA!C10681</f>
        <v/>
      </c>
      <c r="D10681">
        <f>TEST_DATA!D10681</f>
        <v/>
      </c>
      <c r="E10681">
        <f>TEST_DATA!E10681</f>
        <v/>
      </c>
    </row>
    <row r="10682">
      <c r="A10682">
        <f>TEST_DATA!A10682</f>
        <v/>
      </c>
      <c r="B10682">
        <f>TEST_DATA!B10682</f>
        <v/>
      </c>
      <c r="C10682">
        <f>TEST_DATA!C10682</f>
        <v/>
      </c>
      <c r="D10682">
        <f>TEST_DATA!D10682</f>
        <v/>
      </c>
      <c r="E10682">
        <f>TEST_DATA!E10682</f>
        <v/>
      </c>
    </row>
    <row r="10683">
      <c r="A10683">
        <f>TEST_DATA!A10683</f>
        <v/>
      </c>
      <c r="B10683">
        <f>TEST_DATA!B10683</f>
        <v/>
      </c>
      <c r="C10683">
        <f>TEST_DATA!C10683</f>
        <v/>
      </c>
      <c r="D10683">
        <f>TEST_DATA!D10683</f>
        <v/>
      </c>
      <c r="E10683">
        <f>TEST_DATA!E10683</f>
        <v/>
      </c>
    </row>
    <row r="10684">
      <c r="A10684">
        <f>TEST_DATA!A10684</f>
        <v/>
      </c>
      <c r="B10684">
        <f>TEST_DATA!B10684</f>
        <v/>
      </c>
      <c r="C10684">
        <f>TEST_DATA!C10684</f>
        <v/>
      </c>
      <c r="D10684">
        <f>TEST_DATA!D10684</f>
        <v/>
      </c>
      <c r="E10684">
        <f>TEST_DATA!E10684</f>
        <v/>
      </c>
    </row>
    <row r="10685">
      <c r="A10685">
        <f>TEST_DATA!A10685</f>
        <v/>
      </c>
      <c r="B10685">
        <f>TEST_DATA!B10685</f>
        <v/>
      </c>
      <c r="C10685">
        <f>TEST_DATA!C10685</f>
        <v/>
      </c>
      <c r="D10685">
        <f>TEST_DATA!D10685</f>
        <v/>
      </c>
      <c r="E10685">
        <f>TEST_DATA!E10685</f>
        <v/>
      </c>
    </row>
    <row r="10686">
      <c r="A10686">
        <f>TEST_DATA!A10686</f>
        <v/>
      </c>
      <c r="B10686">
        <f>TEST_DATA!B10686</f>
        <v/>
      </c>
      <c r="C10686">
        <f>TEST_DATA!C10686</f>
        <v/>
      </c>
      <c r="D10686">
        <f>TEST_DATA!D10686</f>
        <v/>
      </c>
      <c r="E10686">
        <f>TEST_DATA!E10686</f>
        <v/>
      </c>
    </row>
    <row r="10687">
      <c r="A10687">
        <f>TEST_DATA!A10687</f>
        <v/>
      </c>
      <c r="B10687">
        <f>TEST_DATA!B10687</f>
        <v/>
      </c>
      <c r="C10687">
        <f>TEST_DATA!C10687</f>
        <v/>
      </c>
      <c r="D10687">
        <f>TEST_DATA!D10687</f>
        <v/>
      </c>
      <c r="E10687">
        <f>TEST_DATA!E10687</f>
        <v/>
      </c>
    </row>
    <row r="10688">
      <c r="A10688">
        <f>TEST_DATA!A10688</f>
        <v/>
      </c>
      <c r="B10688">
        <f>TEST_DATA!B10688</f>
        <v/>
      </c>
      <c r="C10688">
        <f>TEST_DATA!C10688</f>
        <v/>
      </c>
      <c r="D10688">
        <f>TEST_DATA!D10688</f>
        <v/>
      </c>
      <c r="E10688">
        <f>TEST_DATA!E10688</f>
        <v/>
      </c>
    </row>
    <row r="10689">
      <c r="A10689">
        <f>TEST_DATA!A10689</f>
        <v/>
      </c>
      <c r="B10689">
        <f>TEST_DATA!B10689</f>
        <v/>
      </c>
      <c r="C10689">
        <f>TEST_DATA!C10689</f>
        <v/>
      </c>
      <c r="D10689">
        <f>TEST_DATA!D10689</f>
        <v/>
      </c>
      <c r="E10689">
        <f>TEST_DATA!E10689</f>
        <v/>
      </c>
    </row>
    <row r="10690">
      <c r="A10690">
        <f>TEST_DATA!A10690</f>
        <v/>
      </c>
      <c r="B10690">
        <f>TEST_DATA!B10690</f>
        <v/>
      </c>
      <c r="C10690">
        <f>TEST_DATA!C10690</f>
        <v/>
      </c>
      <c r="D10690">
        <f>TEST_DATA!D10690</f>
        <v/>
      </c>
      <c r="E10690">
        <f>TEST_DATA!E10690</f>
        <v/>
      </c>
    </row>
    <row r="10691">
      <c r="A10691">
        <f>TEST_DATA!A10691</f>
        <v/>
      </c>
      <c r="B10691">
        <f>TEST_DATA!B10691</f>
        <v/>
      </c>
      <c r="C10691">
        <f>TEST_DATA!C10691</f>
        <v/>
      </c>
      <c r="D10691">
        <f>TEST_DATA!D10691</f>
        <v/>
      </c>
      <c r="E10691">
        <f>TEST_DATA!E10691</f>
        <v/>
      </c>
    </row>
    <row r="10692">
      <c r="A10692">
        <f>TEST_DATA!A10692</f>
        <v/>
      </c>
      <c r="B10692">
        <f>TEST_DATA!B10692</f>
        <v/>
      </c>
      <c r="C10692">
        <f>TEST_DATA!C10692</f>
        <v/>
      </c>
      <c r="D10692">
        <f>TEST_DATA!D10692</f>
        <v/>
      </c>
      <c r="E10692">
        <f>TEST_DATA!E10692</f>
        <v/>
      </c>
    </row>
    <row r="10693">
      <c r="A10693">
        <f>TEST_DATA!A10693</f>
        <v/>
      </c>
      <c r="B10693">
        <f>TEST_DATA!B10693</f>
        <v/>
      </c>
      <c r="C10693">
        <f>TEST_DATA!C10693</f>
        <v/>
      </c>
      <c r="D10693">
        <f>TEST_DATA!D10693</f>
        <v/>
      </c>
      <c r="E10693">
        <f>TEST_DATA!E10693</f>
        <v/>
      </c>
    </row>
    <row r="10694">
      <c r="A10694">
        <f>TEST_DATA!A10694</f>
        <v/>
      </c>
      <c r="B10694">
        <f>TEST_DATA!B10694</f>
        <v/>
      </c>
      <c r="C10694">
        <f>TEST_DATA!C10694</f>
        <v/>
      </c>
      <c r="D10694">
        <f>TEST_DATA!D10694</f>
        <v/>
      </c>
      <c r="E10694">
        <f>TEST_DATA!E10694</f>
        <v/>
      </c>
    </row>
    <row r="10695">
      <c r="A10695">
        <f>TEST_DATA!A10695</f>
        <v/>
      </c>
      <c r="B10695">
        <f>TEST_DATA!B10695</f>
        <v/>
      </c>
      <c r="C10695">
        <f>TEST_DATA!C10695</f>
        <v/>
      </c>
      <c r="D10695">
        <f>TEST_DATA!D10695</f>
        <v/>
      </c>
      <c r="E10695">
        <f>TEST_DATA!E10695</f>
        <v/>
      </c>
    </row>
    <row r="10696">
      <c r="A10696">
        <f>TEST_DATA!A10696</f>
        <v/>
      </c>
      <c r="B10696">
        <f>TEST_DATA!B10696</f>
        <v/>
      </c>
      <c r="C10696">
        <f>TEST_DATA!C10696</f>
        <v/>
      </c>
      <c r="D10696">
        <f>TEST_DATA!D10696</f>
        <v/>
      </c>
      <c r="E10696">
        <f>TEST_DATA!E10696</f>
        <v/>
      </c>
    </row>
    <row r="10697">
      <c r="A10697">
        <f>TEST_DATA!A10697</f>
        <v/>
      </c>
      <c r="B10697">
        <f>TEST_DATA!B10697</f>
        <v/>
      </c>
      <c r="C10697">
        <f>TEST_DATA!C10697</f>
        <v/>
      </c>
      <c r="D10697">
        <f>TEST_DATA!D10697</f>
        <v/>
      </c>
      <c r="E10697">
        <f>TEST_DATA!E10697</f>
        <v/>
      </c>
    </row>
    <row r="10698">
      <c r="A10698">
        <f>TEST_DATA!A10698</f>
        <v/>
      </c>
      <c r="B10698">
        <f>TEST_DATA!B10698</f>
        <v/>
      </c>
      <c r="C10698">
        <f>TEST_DATA!C10698</f>
        <v/>
      </c>
      <c r="D10698">
        <f>TEST_DATA!D10698</f>
        <v/>
      </c>
      <c r="E10698">
        <f>TEST_DATA!E10698</f>
        <v/>
      </c>
    </row>
    <row r="10699">
      <c r="A10699">
        <f>TEST_DATA!A10699</f>
        <v/>
      </c>
      <c r="B10699">
        <f>TEST_DATA!B10699</f>
        <v/>
      </c>
      <c r="C10699">
        <f>TEST_DATA!C10699</f>
        <v/>
      </c>
      <c r="D10699">
        <f>TEST_DATA!D10699</f>
        <v/>
      </c>
      <c r="E10699">
        <f>TEST_DATA!E10699</f>
        <v/>
      </c>
    </row>
    <row r="10700">
      <c r="A10700">
        <f>TEST_DATA!A10700</f>
        <v/>
      </c>
      <c r="B10700">
        <f>TEST_DATA!B10700</f>
        <v/>
      </c>
      <c r="C10700">
        <f>TEST_DATA!C10700</f>
        <v/>
      </c>
      <c r="D10700">
        <f>TEST_DATA!D10700</f>
        <v/>
      </c>
      <c r="E10700">
        <f>TEST_DATA!E10700</f>
        <v/>
      </c>
    </row>
    <row r="10701">
      <c r="A10701">
        <f>TEST_DATA!A10701</f>
        <v/>
      </c>
      <c r="B10701">
        <f>TEST_DATA!B10701</f>
        <v/>
      </c>
      <c r="C10701">
        <f>TEST_DATA!C10701</f>
        <v/>
      </c>
      <c r="D10701">
        <f>TEST_DATA!D10701</f>
        <v/>
      </c>
      <c r="E10701">
        <f>TEST_DATA!E10701</f>
        <v/>
      </c>
    </row>
    <row r="10702">
      <c r="A10702">
        <f>TEST_DATA!A10702</f>
        <v/>
      </c>
      <c r="B10702">
        <f>TEST_DATA!B10702</f>
        <v/>
      </c>
      <c r="C10702">
        <f>TEST_DATA!C10702</f>
        <v/>
      </c>
      <c r="D10702">
        <f>TEST_DATA!D10702</f>
        <v/>
      </c>
      <c r="E10702">
        <f>TEST_DATA!E10702</f>
        <v/>
      </c>
    </row>
    <row r="10703">
      <c r="A10703">
        <f>TEST_DATA!A10703</f>
        <v/>
      </c>
      <c r="B10703">
        <f>TEST_DATA!B10703</f>
        <v/>
      </c>
      <c r="C10703">
        <f>TEST_DATA!C10703</f>
        <v/>
      </c>
      <c r="D10703">
        <f>TEST_DATA!D10703</f>
        <v/>
      </c>
      <c r="E10703">
        <f>TEST_DATA!E10703</f>
        <v/>
      </c>
    </row>
    <row r="10704">
      <c r="A10704">
        <f>TEST_DATA!A10704</f>
        <v/>
      </c>
      <c r="B10704">
        <f>TEST_DATA!B10704</f>
        <v/>
      </c>
      <c r="C10704">
        <f>TEST_DATA!C10704</f>
        <v/>
      </c>
      <c r="D10704">
        <f>TEST_DATA!D10704</f>
        <v/>
      </c>
      <c r="E10704">
        <f>TEST_DATA!E10704</f>
        <v/>
      </c>
    </row>
    <row r="10705">
      <c r="A10705">
        <f>TEST_DATA!A10705</f>
        <v/>
      </c>
      <c r="B10705">
        <f>TEST_DATA!B10705</f>
        <v/>
      </c>
      <c r="C10705">
        <f>TEST_DATA!C10705</f>
        <v/>
      </c>
      <c r="D10705">
        <f>TEST_DATA!D10705</f>
        <v/>
      </c>
      <c r="E10705">
        <f>TEST_DATA!E10705</f>
        <v/>
      </c>
    </row>
    <row r="10706">
      <c r="A10706">
        <f>TEST_DATA!A10706</f>
        <v/>
      </c>
      <c r="B10706">
        <f>TEST_DATA!B10706</f>
        <v/>
      </c>
      <c r="C10706">
        <f>TEST_DATA!C10706</f>
        <v/>
      </c>
      <c r="D10706">
        <f>TEST_DATA!D10706</f>
        <v/>
      </c>
      <c r="E10706">
        <f>TEST_DATA!E10706</f>
        <v/>
      </c>
    </row>
    <row r="10707">
      <c r="A10707">
        <f>TEST_DATA!A10707</f>
        <v/>
      </c>
      <c r="B10707">
        <f>TEST_DATA!B10707</f>
        <v/>
      </c>
      <c r="C10707">
        <f>TEST_DATA!C10707</f>
        <v/>
      </c>
      <c r="D10707">
        <f>TEST_DATA!D10707</f>
        <v/>
      </c>
      <c r="E10707">
        <f>TEST_DATA!E10707</f>
        <v/>
      </c>
    </row>
    <row r="10708">
      <c r="A10708">
        <f>TEST_DATA!A10708</f>
        <v/>
      </c>
      <c r="B10708">
        <f>TEST_DATA!B10708</f>
        <v/>
      </c>
      <c r="C10708">
        <f>TEST_DATA!C10708</f>
        <v/>
      </c>
      <c r="D10708">
        <f>TEST_DATA!D10708</f>
        <v/>
      </c>
      <c r="E10708">
        <f>TEST_DATA!E10708</f>
        <v/>
      </c>
    </row>
    <row r="10709">
      <c r="A10709">
        <f>TEST_DATA!A10709</f>
        <v/>
      </c>
      <c r="B10709">
        <f>TEST_DATA!B10709</f>
        <v/>
      </c>
      <c r="C10709">
        <f>TEST_DATA!C10709</f>
        <v/>
      </c>
      <c r="D10709">
        <f>TEST_DATA!D10709</f>
        <v/>
      </c>
      <c r="E10709">
        <f>TEST_DATA!E10709</f>
        <v/>
      </c>
    </row>
    <row r="10710">
      <c r="A10710">
        <f>TEST_DATA!A10710</f>
        <v/>
      </c>
      <c r="B10710">
        <f>TEST_DATA!B10710</f>
        <v/>
      </c>
      <c r="C10710">
        <f>TEST_DATA!C10710</f>
        <v/>
      </c>
      <c r="D10710">
        <f>TEST_DATA!D10710</f>
        <v/>
      </c>
      <c r="E10710">
        <f>TEST_DATA!E10710</f>
        <v/>
      </c>
    </row>
    <row r="10711">
      <c r="A10711">
        <f>TEST_DATA!A10711</f>
        <v/>
      </c>
      <c r="B10711">
        <f>TEST_DATA!B10711</f>
        <v/>
      </c>
      <c r="C10711">
        <f>TEST_DATA!C10711</f>
        <v/>
      </c>
      <c r="D10711">
        <f>TEST_DATA!D10711</f>
        <v/>
      </c>
      <c r="E10711">
        <f>TEST_DATA!E10711</f>
        <v/>
      </c>
    </row>
    <row r="10712">
      <c r="A10712">
        <f>TEST_DATA!A10712</f>
        <v/>
      </c>
      <c r="B10712">
        <f>TEST_DATA!B10712</f>
        <v/>
      </c>
      <c r="C10712">
        <f>TEST_DATA!C10712</f>
        <v/>
      </c>
      <c r="D10712">
        <f>TEST_DATA!D10712</f>
        <v/>
      </c>
      <c r="E10712">
        <f>TEST_DATA!E10712</f>
        <v/>
      </c>
    </row>
    <row r="10713">
      <c r="A10713">
        <f>TEST_DATA!A10713</f>
        <v/>
      </c>
      <c r="B10713">
        <f>TEST_DATA!B10713</f>
        <v/>
      </c>
      <c r="C10713">
        <f>TEST_DATA!C10713</f>
        <v/>
      </c>
      <c r="D10713">
        <f>TEST_DATA!D10713</f>
        <v/>
      </c>
      <c r="E10713">
        <f>TEST_DATA!E10713</f>
        <v/>
      </c>
    </row>
    <row r="10714">
      <c r="A10714">
        <f>TEST_DATA!A10714</f>
        <v/>
      </c>
      <c r="B10714">
        <f>TEST_DATA!B10714</f>
        <v/>
      </c>
      <c r="C10714">
        <f>TEST_DATA!C10714</f>
        <v/>
      </c>
      <c r="D10714">
        <f>TEST_DATA!D10714</f>
        <v/>
      </c>
      <c r="E10714">
        <f>TEST_DATA!E10714</f>
        <v/>
      </c>
    </row>
    <row r="10715">
      <c r="A10715">
        <f>TEST_DATA!A10715</f>
        <v/>
      </c>
      <c r="B10715">
        <f>TEST_DATA!B10715</f>
        <v/>
      </c>
      <c r="C10715">
        <f>TEST_DATA!C10715</f>
        <v/>
      </c>
      <c r="D10715">
        <f>TEST_DATA!D10715</f>
        <v/>
      </c>
      <c r="E10715">
        <f>TEST_DATA!E10715</f>
        <v/>
      </c>
    </row>
    <row r="10716">
      <c r="A10716">
        <f>TEST_DATA!A10716</f>
        <v/>
      </c>
      <c r="B10716">
        <f>TEST_DATA!B10716</f>
        <v/>
      </c>
      <c r="C10716">
        <f>TEST_DATA!C10716</f>
        <v/>
      </c>
      <c r="D10716">
        <f>TEST_DATA!D10716</f>
        <v/>
      </c>
      <c r="E10716">
        <f>TEST_DATA!E10716</f>
        <v/>
      </c>
    </row>
    <row r="10717">
      <c r="A10717">
        <f>TEST_DATA!A10717</f>
        <v/>
      </c>
      <c r="B10717">
        <f>TEST_DATA!B10717</f>
        <v/>
      </c>
      <c r="C10717">
        <f>TEST_DATA!C10717</f>
        <v/>
      </c>
      <c r="D10717">
        <f>TEST_DATA!D10717</f>
        <v/>
      </c>
      <c r="E10717">
        <f>TEST_DATA!E10717</f>
        <v/>
      </c>
    </row>
    <row r="10718">
      <c r="A10718">
        <f>TEST_DATA!A10718</f>
        <v/>
      </c>
      <c r="B10718">
        <f>TEST_DATA!B10718</f>
        <v/>
      </c>
      <c r="C10718">
        <f>TEST_DATA!C10718</f>
        <v/>
      </c>
      <c r="D10718">
        <f>TEST_DATA!D10718</f>
        <v/>
      </c>
      <c r="E10718">
        <f>TEST_DATA!E10718</f>
        <v/>
      </c>
    </row>
    <row r="10719">
      <c r="A10719">
        <f>TEST_DATA!A10719</f>
        <v/>
      </c>
      <c r="B10719">
        <f>TEST_DATA!B10719</f>
        <v/>
      </c>
      <c r="C10719">
        <f>TEST_DATA!C10719</f>
        <v/>
      </c>
      <c r="D10719">
        <f>TEST_DATA!D10719</f>
        <v/>
      </c>
      <c r="E10719">
        <f>TEST_DATA!E10719</f>
        <v/>
      </c>
    </row>
    <row r="10720">
      <c r="A10720">
        <f>TEST_DATA!A10720</f>
        <v/>
      </c>
      <c r="B10720">
        <f>TEST_DATA!B10720</f>
        <v/>
      </c>
      <c r="C10720">
        <f>TEST_DATA!C10720</f>
        <v/>
      </c>
      <c r="D10720">
        <f>TEST_DATA!D10720</f>
        <v/>
      </c>
      <c r="E10720">
        <f>TEST_DATA!E10720</f>
        <v/>
      </c>
    </row>
    <row r="10721">
      <c r="A10721">
        <f>TEST_DATA!A10721</f>
        <v/>
      </c>
      <c r="B10721">
        <f>TEST_DATA!B10721</f>
        <v/>
      </c>
      <c r="C10721">
        <f>TEST_DATA!C10721</f>
        <v/>
      </c>
      <c r="D10721">
        <f>TEST_DATA!D10721</f>
        <v/>
      </c>
      <c r="E10721">
        <f>TEST_DATA!E10721</f>
        <v/>
      </c>
    </row>
    <row r="10722">
      <c r="A10722">
        <f>TEST_DATA!A10722</f>
        <v/>
      </c>
      <c r="B10722">
        <f>TEST_DATA!B10722</f>
        <v/>
      </c>
      <c r="C10722">
        <f>TEST_DATA!C10722</f>
        <v/>
      </c>
      <c r="D10722">
        <f>TEST_DATA!D10722</f>
        <v/>
      </c>
      <c r="E10722">
        <f>TEST_DATA!E10722</f>
        <v/>
      </c>
    </row>
    <row r="10723">
      <c r="A10723">
        <f>TEST_DATA!A10723</f>
        <v/>
      </c>
      <c r="B10723">
        <f>TEST_DATA!B10723</f>
        <v/>
      </c>
      <c r="C10723">
        <f>TEST_DATA!C10723</f>
        <v/>
      </c>
      <c r="D10723">
        <f>TEST_DATA!D10723</f>
        <v/>
      </c>
      <c r="E10723">
        <f>TEST_DATA!E10723</f>
        <v/>
      </c>
    </row>
    <row r="10724">
      <c r="A10724">
        <f>TEST_DATA!A10724</f>
        <v/>
      </c>
      <c r="B10724">
        <f>TEST_DATA!B10724</f>
        <v/>
      </c>
      <c r="C10724">
        <f>TEST_DATA!C10724</f>
        <v/>
      </c>
      <c r="D10724">
        <f>TEST_DATA!D10724</f>
        <v/>
      </c>
      <c r="E10724">
        <f>TEST_DATA!E10724</f>
        <v/>
      </c>
    </row>
    <row r="10725">
      <c r="A10725">
        <f>TEST_DATA!A10725</f>
        <v/>
      </c>
      <c r="B10725">
        <f>TEST_DATA!B10725</f>
        <v/>
      </c>
      <c r="C10725">
        <f>TEST_DATA!C10725</f>
        <v/>
      </c>
      <c r="D10725">
        <f>TEST_DATA!D10725</f>
        <v/>
      </c>
      <c r="E10725">
        <f>TEST_DATA!E10725</f>
        <v/>
      </c>
    </row>
    <row r="10726">
      <c r="A10726">
        <f>TEST_DATA!A10726</f>
        <v/>
      </c>
      <c r="B10726">
        <f>TEST_DATA!B10726</f>
        <v/>
      </c>
      <c r="C10726">
        <f>TEST_DATA!C10726</f>
        <v/>
      </c>
      <c r="D10726">
        <f>TEST_DATA!D10726</f>
        <v/>
      </c>
      <c r="E10726">
        <f>TEST_DATA!E10726</f>
        <v/>
      </c>
    </row>
    <row r="10727">
      <c r="A10727">
        <f>TEST_DATA!A10727</f>
        <v/>
      </c>
      <c r="B10727">
        <f>TEST_DATA!B10727</f>
        <v/>
      </c>
      <c r="C10727">
        <f>TEST_DATA!C10727</f>
        <v/>
      </c>
      <c r="D10727">
        <f>TEST_DATA!D10727</f>
        <v/>
      </c>
      <c r="E10727">
        <f>TEST_DATA!E10727</f>
        <v/>
      </c>
    </row>
    <row r="10728">
      <c r="A10728">
        <f>TEST_DATA!A10728</f>
        <v/>
      </c>
      <c r="B10728">
        <f>TEST_DATA!B10728</f>
        <v/>
      </c>
      <c r="C10728">
        <f>TEST_DATA!C10728</f>
        <v/>
      </c>
      <c r="D10728">
        <f>TEST_DATA!D10728</f>
        <v/>
      </c>
      <c r="E10728">
        <f>TEST_DATA!E10728</f>
        <v/>
      </c>
    </row>
    <row r="10729">
      <c r="A10729">
        <f>TEST_DATA!A10729</f>
        <v/>
      </c>
      <c r="B10729">
        <f>TEST_DATA!B10729</f>
        <v/>
      </c>
      <c r="C10729">
        <f>TEST_DATA!C10729</f>
        <v/>
      </c>
      <c r="D10729">
        <f>TEST_DATA!D10729</f>
        <v/>
      </c>
      <c r="E10729">
        <f>TEST_DATA!E10729</f>
        <v/>
      </c>
    </row>
    <row r="10730">
      <c r="A10730">
        <f>TEST_DATA!A10730</f>
        <v/>
      </c>
      <c r="B10730">
        <f>TEST_DATA!B10730</f>
        <v/>
      </c>
      <c r="C10730">
        <f>TEST_DATA!C10730</f>
        <v/>
      </c>
      <c r="D10730">
        <f>TEST_DATA!D10730</f>
        <v/>
      </c>
      <c r="E10730">
        <f>TEST_DATA!E10730</f>
        <v/>
      </c>
    </row>
    <row r="10731">
      <c r="A10731">
        <f>TEST_DATA!A10731</f>
        <v/>
      </c>
      <c r="B10731">
        <f>TEST_DATA!B10731</f>
        <v/>
      </c>
      <c r="C10731">
        <f>TEST_DATA!C10731</f>
        <v/>
      </c>
      <c r="D10731">
        <f>TEST_DATA!D10731</f>
        <v/>
      </c>
      <c r="E10731">
        <f>TEST_DATA!E10731</f>
        <v/>
      </c>
    </row>
    <row r="10732">
      <c r="A10732">
        <f>TEST_DATA!A10732</f>
        <v/>
      </c>
      <c r="B10732">
        <f>TEST_DATA!B10732</f>
        <v/>
      </c>
      <c r="C10732">
        <f>TEST_DATA!C10732</f>
        <v/>
      </c>
      <c r="D10732">
        <f>TEST_DATA!D10732</f>
        <v/>
      </c>
      <c r="E10732">
        <f>TEST_DATA!E10732</f>
        <v/>
      </c>
    </row>
    <row r="10733">
      <c r="A10733">
        <f>TEST_DATA!A10733</f>
        <v/>
      </c>
      <c r="B10733">
        <f>TEST_DATA!B10733</f>
        <v/>
      </c>
      <c r="C10733">
        <f>TEST_DATA!C10733</f>
        <v/>
      </c>
      <c r="D10733">
        <f>TEST_DATA!D10733</f>
        <v/>
      </c>
      <c r="E10733">
        <f>TEST_DATA!E10733</f>
        <v/>
      </c>
    </row>
    <row r="10734">
      <c r="A10734">
        <f>TEST_DATA!A10734</f>
        <v/>
      </c>
      <c r="B10734">
        <f>TEST_DATA!B10734</f>
        <v/>
      </c>
      <c r="C10734">
        <f>TEST_DATA!C10734</f>
        <v/>
      </c>
      <c r="D10734">
        <f>TEST_DATA!D10734</f>
        <v/>
      </c>
      <c r="E10734">
        <f>TEST_DATA!E10734</f>
        <v/>
      </c>
    </row>
    <row r="10735">
      <c r="A10735">
        <f>TEST_DATA!A10735</f>
        <v/>
      </c>
      <c r="B10735">
        <f>TEST_DATA!B10735</f>
        <v/>
      </c>
      <c r="C10735">
        <f>TEST_DATA!C10735</f>
        <v/>
      </c>
      <c r="D10735">
        <f>TEST_DATA!D10735</f>
        <v/>
      </c>
      <c r="E10735">
        <f>TEST_DATA!E10735</f>
        <v/>
      </c>
    </row>
    <row r="10736">
      <c r="A10736">
        <f>TEST_DATA!A10736</f>
        <v/>
      </c>
      <c r="B10736">
        <f>TEST_DATA!B10736</f>
        <v/>
      </c>
      <c r="C10736">
        <f>TEST_DATA!C10736</f>
        <v/>
      </c>
      <c r="D10736">
        <f>TEST_DATA!D10736</f>
        <v/>
      </c>
      <c r="E10736">
        <f>TEST_DATA!E10736</f>
        <v/>
      </c>
    </row>
    <row r="10737">
      <c r="A10737">
        <f>TEST_DATA!A10737</f>
        <v/>
      </c>
      <c r="B10737">
        <f>TEST_DATA!B10737</f>
        <v/>
      </c>
      <c r="C10737">
        <f>TEST_DATA!C10737</f>
        <v/>
      </c>
      <c r="D10737">
        <f>TEST_DATA!D10737</f>
        <v/>
      </c>
      <c r="E10737">
        <f>TEST_DATA!E10737</f>
        <v/>
      </c>
    </row>
    <row r="10738">
      <c r="A10738">
        <f>TEST_DATA!A10738</f>
        <v/>
      </c>
      <c r="B10738">
        <f>TEST_DATA!B10738</f>
        <v/>
      </c>
      <c r="C10738">
        <f>TEST_DATA!C10738</f>
        <v/>
      </c>
      <c r="D10738">
        <f>TEST_DATA!D10738</f>
        <v/>
      </c>
      <c r="E10738">
        <f>TEST_DATA!E10738</f>
        <v/>
      </c>
    </row>
    <row r="10739">
      <c r="A10739">
        <f>TEST_DATA!A10739</f>
        <v/>
      </c>
      <c r="B10739">
        <f>TEST_DATA!B10739</f>
        <v/>
      </c>
      <c r="C10739">
        <f>TEST_DATA!C10739</f>
        <v/>
      </c>
      <c r="D10739">
        <f>TEST_DATA!D10739</f>
        <v/>
      </c>
      <c r="E10739">
        <f>TEST_DATA!E10739</f>
        <v/>
      </c>
    </row>
    <row r="10740">
      <c r="A10740">
        <f>TEST_DATA!A10740</f>
        <v/>
      </c>
      <c r="B10740">
        <f>TEST_DATA!B10740</f>
        <v/>
      </c>
      <c r="C10740">
        <f>TEST_DATA!C10740</f>
        <v/>
      </c>
      <c r="D10740">
        <f>TEST_DATA!D10740</f>
        <v/>
      </c>
      <c r="E10740">
        <f>TEST_DATA!E10740</f>
        <v/>
      </c>
    </row>
    <row r="10741">
      <c r="A10741">
        <f>TEST_DATA!A10741</f>
        <v/>
      </c>
      <c r="B10741">
        <f>TEST_DATA!B10741</f>
        <v/>
      </c>
      <c r="C10741">
        <f>TEST_DATA!C10741</f>
        <v/>
      </c>
      <c r="D10741">
        <f>TEST_DATA!D10741</f>
        <v/>
      </c>
      <c r="E10741">
        <f>TEST_DATA!E10741</f>
        <v/>
      </c>
    </row>
    <row r="10742">
      <c r="A10742">
        <f>TEST_DATA!A10742</f>
        <v/>
      </c>
      <c r="B10742">
        <f>TEST_DATA!B10742</f>
        <v/>
      </c>
      <c r="C10742">
        <f>TEST_DATA!C10742</f>
        <v/>
      </c>
      <c r="D10742">
        <f>TEST_DATA!D10742</f>
        <v/>
      </c>
      <c r="E10742">
        <f>TEST_DATA!E10742</f>
        <v/>
      </c>
    </row>
    <row r="10743">
      <c r="A10743">
        <f>TEST_DATA!A10743</f>
        <v/>
      </c>
      <c r="B10743">
        <f>TEST_DATA!B10743</f>
        <v/>
      </c>
      <c r="C10743">
        <f>TEST_DATA!C10743</f>
        <v/>
      </c>
      <c r="D10743">
        <f>TEST_DATA!D10743</f>
        <v/>
      </c>
      <c r="E10743">
        <f>TEST_DATA!E10743</f>
        <v/>
      </c>
    </row>
    <row r="10744">
      <c r="A10744">
        <f>TEST_DATA!A10744</f>
        <v/>
      </c>
      <c r="B10744">
        <f>TEST_DATA!B10744</f>
        <v/>
      </c>
      <c r="C10744">
        <f>TEST_DATA!C10744</f>
        <v/>
      </c>
      <c r="D10744">
        <f>TEST_DATA!D10744</f>
        <v/>
      </c>
      <c r="E10744">
        <f>TEST_DATA!E10744</f>
        <v/>
      </c>
    </row>
    <row r="10745">
      <c r="A10745">
        <f>TEST_DATA!A10745</f>
        <v/>
      </c>
      <c r="B10745">
        <f>TEST_DATA!B10745</f>
        <v/>
      </c>
      <c r="C10745">
        <f>TEST_DATA!C10745</f>
        <v/>
      </c>
      <c r="D10745">
        <f>TEST_DATA!D10745</f>
        <v/>
      </c>
      <c r="E10745">
        <f>TEST_DATA!E10745</f>
        <v/>
      </c>
    </row>
    <row r="10746">
      <c r="A10746">
        <f>TEST_DATA!A10746</f>
        <v/>
      </c>
      <c r="B10746">
        <f>TEST_DATA!B10746</f>
        <v/>
      </c>
      <c r="C10746">
        <f>TEST_DATA!C10746</f>
        <v/>
      </c>
      <c r="D10746">
        <f>TEST_DATA!D10746</f>
        <v/>
      </c>
      <c r="E10746">
        <f>TEST_DATA!E10746</f>
        <v/>
      </c>
    </row>
    <row r="10747">
      <c r="A10747">
        <f>TEST_DATA!A10747</f>
        <v/>
      </c>
      <c r="B10747">
        <f>TEST_DATA!B10747</f>
        <v/>
      </c>
      <c r="C10747">
        <f>TEST_DATA!C10747</f>
        <v/>
      </c>
      <c r="D10747">
        <f>TEST_DATA!D10747</f>
        <v/>
      </c>
      <c r="E10747">
        <f>TEST_DATA!E10747</f>
        <v/>
      </c>
    </row>
    <row r="10748">
      <c r="A10748">
        <f>TEST_DATA!A10748</f>
        <v/>
      </c>
      <c r="B10748">
        <f>TEST_DATA!B10748</f>
        <v/>
      </c>
      <c r="C10748">
        <f>TEST_DATA!C10748</f>
        <v/>
      </c>
      <c r="D10748">
        <f>TEST_DATA!D10748</f>
        <v/>
      </c>
      <c r="E10748">
        <f>TEST_DATA!E10748</f>
        <v/>
      </c>
    </row>
    <row r="10749">
      <c r="A10749">
        <f>TEST_DATA!A10749</f>
        <v/>
      </c>
      <c r="B10749">
        <f>TEST_DATA!B10749</f>
        <v/>
      </c>
      <c r="C10749">
        <f>TEST_DATA!C10749</f>
        <v/>
      </c>
      <c r="D10749">
        <f>TEST_DATA!D10749</f>
        <v/>
      </c>
      <c r="E10749">
        <f>TEST_DATA!E10749</f>
        <v/>
      </c>
    </row>
    <row r="10750">
      <c r="A10750">
        <f>TEST_DATA!A10750</f>
        <v/>
      </c>
      <c r="B10750">
        <f>TEST_DATA!B10750</f>
        <v/>
      </c>
      <c r="C10750">
        <f>TEST_DATA!C10750</f>
        <v/>
      </c>
      <c r="D10750">
        <f>TEST_DATA!D10750</f>
        <v/>
      </c>
      <c r="E10750">
        <f>TEST_DATA!E10750</f>
        <v/>
      </c>
    </row>
    <row r="10751">
      <c r="A10751">
        <f>TEST_DATA!A10751</f>
        <v/>
      </c>
      <c r="B10751">
        <f>TEST_DATA!B10751</f>
        <v/>
      </c>
      <c r="C10751">
        <f>TEST_DATA!C10751</f>
        <v/>
      </c>
      <c r="D10751">
        <f>TEST_DATA!D10751</f>
        <v/>
      </c>
      <c r="E10751">
        <f>TEST_DATA!E10751</f>
        <v/>
      </c>
    </row>
    <row r="10752">
      <c r="A10752">
        <f>TEST_DATA!A10752</f>
        <v/>
      </c>
      <c r="B10752">
        <f>TEST_DATA!B10752</f>
        <v/>
      </c>
      <c r="C10752">
        <f>TEST_DATA!C10752</f>
        <v/>
      </c>
      <c r="D10752">
        <f>TEST_DATA!D10752</f>
        <v/>
      </c>
      <c r="E10752">
        <f>TEST_DATA!E10752</f>
        <v/>
      </c>
    </row>
    <row r="10753">
      <c r="A10753">
        <f>TEST_DATA!A10753</f>
        <v/>
      </c>
      <c r="B10753">
        <f>TEST_DATA!B10753</f>
        <v/>
      </c>
      <c r="C10753">
        <f>TEST_DATA!C10753</f>
        <v/>
      </c>
      <c r="D10753">
        <f>TEST_DATA!D10753</f>
        <v/>
      </c>
      <c r="E10753">
        <f>TEST_DATA!E10753</f>
        <v/>
      </c>
    </row>
    <row r="10754">
      <c r="A10754">
        <f>TEST_DATA!A10754</f>
        <v/>
      </c>
      <c r="B10754">
        <f>TEST_DATA!B10754</f>
        <v/>
      </c>
      <c r="C10754">
        <f>TEST_DATA!C10754</f>
        <v/>
      </c>
      <c r="D10754">
        <f>TEST_DATA!D10754</f>
        <v/>
      </c>
      <c r="E10754">
        <f>TEST_DATA!E10754</f>
        <v/>
      </c>
    </row>
    <row r="10755">
      <c r="A10755">
        <f>TEST_DATA!A10755</f>
        <v/>
      </c>
      <c r="B10755">
        <f>TEST_DATA!B10755</f>
        <v/>
      </c>
      <c r="C10755">
        <f>TEST_DATA!C10755</f>
        <v/>
      </c>
      <c r="D10755">
        <f>TEST_DATA!D10755</f>
        <v/>
      </c>
      <c r="E10755">
        <f>TEST_DATA!E10755</f>
        <v/>
      </c>
    </row>
    <row r="10756">
      <c r="A10756">
        <f>TEST_DATA!A10756</f>
        <v/>
      </c>
      <c r="B10756">
        <f>TEST_DATA!B10756</f>
        <v/>
      </c>
      <c r="C10756">
        <f>TEST_DATA!C10756</f>
        <v/>
      </c>
      <c r="D10756">
        <f>TEST_DATA!D10756</f>
        <v/>
      </c>
      <c r="E10756">
        <f>TEST_DATA!E10756</f>
        <v/>
      </c>
    </row>
    <row r="10757">
      <c r="A10757">
        <f>TEST_DATA!A10757</f>
        <v/>
      </c>
      <c r="B10757">
        <f>TEST_DATA!B10757</f>
        <v/>
      </c>
      <c r="C10757">
        <f>TEST_DATA!C10757</f>
        <v/>
      </c>
      <c r="D10757">
        <f>TEST_DATA!D10757</f>
        <v/>
      </c>
      <c r="E10757">
        <f>TEST_DATA!E10757</f>
        <v/>
      </c>
    </row>
    <row r="10758">
      <c r="A10758">
        <f>TEST_DATA!A10758</f>
        <v/>
      </c>
      <c r="B10758">
        <f>TEST_DATA!B10758</f>
        <v/>
      </c>
      <c r="C10758">
        <f>TEST_DATA!C10758</f>
        <v/>
      </c>
      <c r="D10758">
        <f>TEST_DATA!D10758</f>
        <v/>
      </c>
      <c r="E10758">
        <f>TEST_DATA!E10758</f>
        <v/>
      </c>
    </row>
    <row r="10759">
      <c r="A10759">
        <f>TEST_DATA!A10759</f>
        <v/>
      </c>
      <c r="B10759">
        <f>TEST_DATA!B10759</f>
        <v/>
      </c>
      <c r="C10759">
        <f>TEST_DATA!C10759</f>
        <v/>
      </c>
      <c r="D10759">
        <f>TEST_DATA!D10759</f>
        <v/>
      </c>
      <c r="E10759">
        <f>TEST_DATA!E10759</f>
        <v/>
      </c>
    </row>
    <row r="10760">
      <c r="A10760">
        <f>TEST_DATA!A10760</f>
        <v/>
      </c>
      <c r="B10760">
        <f>TEST_DATA!B10760</f>
        <v/>
      </c>
      <c r="C10760">
        <f>TEST_DATA!C10760</f>
        <v/>
      </c>
      <c r="D10760">
        <f>TEST_DATA!D10760</f>
        <v/>
      </c>
      <c r="E10760">
        <f>TEST_DATA!E10760</f>
        <v/>
      </c>
    </row>
    <row r="10761">
      <c r="A10761">
        <f>TEST_DATA!A10761</f>
        <v/>
      </c>
      <c r="B10761">
        <f>TEST_DATA!B10761</f>
        <v/>
      </c>
      <c r="C10761">
        <f>TEST_DATA!C10761</f>
        <v/>
      </c>
      <c r="D10761">
        <f>TEST_DATA!D10761</f>
        <v/>
      </c>
      <c r="E10761">
        <f>TEST_DATA!E10761</f>
        <v/>
      </c>
    </row>
    <row r="10762">
      <c r="A10762">
        <f>TEST_DATA!A10762</f>
        <v/>
      </c>
      <c r="B10762">
        <f>TEST_DATA!B10762</f>
        <v/>
      </c>
      <c r="C10762">
        <f>TEST_DATA!C10762</f>
        <v/>
      </c>
      <c r="D10762">
        <f>TEST_DATA!D10762</f>
        <v/>
      </c>
      <c r="E10762">
        <f>TEST_DATA!E10762</f>
        <v/>
      </c>
    </row>
    <row r="10763">
      <c r="A10763">
        <f>TEST_DATA!A10763</f>
        <v/>
      </c>
      <c r="B10763">
        <f>TEST_DATA!B10763</f>
        <v/>
      </c>
      <c r="C10763">
        <f>TEST_DATA!C10763</f>
        <v/>
      </c>
      <c r="D10763">
        <f>TEST_DATA!D10763</f>
        <v/>
      </c>
      <c r="E10763">
        <f>TEST_DATA!E10763</f>
        <v/>
      </c>
    </row>
    <row r="10764">
      <c r="A10764">
        <f>TEST_DATA!A10764</f>
        <v/>
      </c>
      <c r="B10764">
        <f>TEST_DATA!B10764</f>
        <v/>
      </c>
      <c r="C10764">
        <f>TEST_DATA!C10764</f>
        <v/>
      </c>
      <c r="D10764">
        <f>TEST_DATA!D10764</f>
        <v/>
      </c>
      <c r="E10764">
        <f>TEST_DATA!E10764</f>
        <v/>
      </c>
    </row>
    <row r="10765">
      <c r="A10765">
        <f>TEST_DATA!A10765</f>
        <v/>
      </c>
      <c r="B10765">
        <f>TEST_DATA!B10765</f>
        <v/>
      </c>
      <c r="C10765">
        <f>TEST_DATA!C10765</f>
        <v/>
      </c>
      <c r="D10765">
        <f>TEST_DATA!D10765</f>
        <v/>
      </c>
      <c r="E10765">
        <f>TEST_DATA!E10765</f>
        <v/>
      </c>
    </row>
    <row r="10766">
      <c r="A10766">
        <f>TEST_DATA!A10766</f>
        <v/>
      </c>
      <c r="B10766">
        <f>TEST_DATA!B10766</f>
        <v/>
      </c>
      <c r="C10766">
        <f>TEST_DATA!C10766</f>
        <v/>
      </c>
      <c r="D10766">
        <f>TEST_DATA!D10766</f>
        <v/>
      </c>
      <c r="E10766">
        <f>TEST_DATA!E10766</f>
        <v/>
      </c>
    </row>
    <row r="10767">
      <c r="A10767">
        <f>TEST_DATA!A10767</f>
        <v/>
      </c>
      <c r="B10767">
        <f>TEST_DATA!B10767</f>
        <v/>
      </c>
      <c r="C10767">
        <f>TEST_DATA!C10767</f>
        <v/>
      </c>
      <c r="D10767">
        <f>TEST_DATA!D10767</f>
        <v/>
      </c>
      <c r="E10767">
        <f>TEST_DATA!E10767</f>
        <v/>
      </c>
    </row>
    <row r="10768">
      <c r="A10768">
        <f>TEST_DATA!A10768</f>
        <v/>
      </c>
      <c r="B10768">
        <f>TEST_DATA!B10768</f>
        <v/>
      </c>
      <c r="C10768">
        <f>TEST_DATA!C10768</f>
        <v/>
      </c>
      <c r="D10768">
        <f>TEST_DATA!D10768</f>
        <v/>
      </c>
      <c r="E10768">
        <f>TEST_DATA!E10768</f>
        <v/>
      </c>
    </row>
    <row r="10769">
      <c r="A10769">
        <f>TEST_DATA!A10769</f>
        <v/>
      </c>
      <c r="B10769">
        <f>TEST_DATA!B10769</f>
        <v/>
      </c>
      <c r="C10769">
        <f>TEST_DATA!C10769</f>
        <v/>
      </c>
      <c r="D10769">
        <f>TEST_DATA!D10769</f>
        <v/>
      </c>
      <c r="E10769">
        <f>TEST_DATA!E10769</f>
        <v/>
      </c>
    </row>
    <row r="10770">
      <c r="A10770">
        <f>TEST_DATA!A10770</f>
        <v/>
      </c>
      <c r="B10770">
        <f>TEST_DATA!B10770</f>
        <v/>
      </c>
      <c r="C10770">
        <f>TEST_DATA!C10770</f>
        <v/>
      </c>
      <c r="D10770">
        <f>TEST_DATA!D10770</f>
        <v/>
      </c>
      <c r="E10770">
        <f>TEST_DATA!E10770</f>
        <v/>
      </c>
    </row>
    <row r="10771">
      <c r="A10771">
        <f>TEST_DATA!A10771</f>
        <v/>
      </c>
      <c r="B10771">
        <f>TEST_DATA!B10771</f>
        <v/>
      </c>
      <c r="C10771">
        <f>TEST_DATA!C10771</f>
        <v/>
      </c>
      <c r="D10771">
        <f>TEST_DATA!D10771</f>
        <v/>
      </c>
      <c r="E10771">
        <f>TEST_DATA!E10771</f>
        <v/>
      </c>
    </row>
    <row r="10772">
      <c r="A10772">
        <f>TEST_DATA!A10772</f>
        <v/>
      </c>
      <c r="B10772">
        <f>TEST_DATA!B10772</f>
        <v/>
      </c>
      <c r="C10772">
        <f>TEST_DATA!C10772</f>
        <v/>
      </c>
      <c r="D10772">
        <f>TEST_DATA!D10772</f>
        <v/>
      </c>
      <c r="E10772">
        <f>TEST_DATA!E10772</f>
        <v/>
      </c>
    </row>
    <row r="10773">
      <c r="A10773">
        <f>TEST_DATA!A10773</f>
        <v/>
      </c>
      <c r="B10773">
        <f>TEST_DATA!B10773</f>
        <v/>
      </c>
      <c r="C10773">
        <f>TEST_DATA!C10773</f>
        <v/>
      </c>
      <c r="D10773">
        <f>TEST_DATA!D10773</f>
        <v/>
      </c>
      <c r="E10773">
        <f>TEST_DATA!E10773</f>
        <v/>
      </c>
    </row>
    <row r="10774">
      <c r="A10774">
        <f>TEST_DATA!A10774</f>
        <v/>
      </c>
      <c r="B10774">
        <f>TEST_DATA!B10774</f>
        <v/>
      </c>
      <c r="C10774">
        <f>TEST_DATA!C10774</f>
        <v/>
      </c>
      <c r="D10774">
        <f>TEST_DATA!D10774</f>
        <v/>
      </c>
      <c r="E10774">
        <f>TEST_DATA!E10774</f>
        <v/>
      </c>
    </row>
    <row r="10775">
      <c r="A10775">
        <f>TEST_DATA!A10775</f>
        <v/>
      </c>
      <c r="B10775">
        <f>TEST_DATA!B10775</f>
        <v/>
      </c>
      <c r="C10775">
        <f>TEST_DATA!C10775</f>
        <v/>
      </c>
      <c r="D10775">
        <f>TEST_DATA!D10775</f>
        <v/>
      </c>
      <c r="E10775">
        <f>TEST_DATA!E10775</f>
        <v/>
      </c>
    </row>
    <row r="10776">
      <c r="A10776">
        <f>TEST_DATA!A10776</f>
        <v/>
      </c>
      <c r="B10776">
        <f>TEST_DATA!B10776</f>
        <v/>
      </c>
      <c r="C10776">
        <f>TEST_DATA!C10776</f>
        <v/>
      </c>
      <c r="D10776">
        <f>TEST_DATA!D10776</f>
        <v/>
      </c>
      <c r="E10776">
        <f>TEST_DATA!E10776</f>
        <v/>
      </c>
    </row>
    <row r="10777">
      <c r="A10777">
        <f>TEST_DATA!A10777</f>
        <v/>
      </c>
      <c r="B10777">
        <f>TEST_DATA!B10777</f>
        <v/>
      </c>
      <c r="C10777">
        <f>TEST_DATA!C10777</f>
        <v/>
      </c>
      <c r="D10777">
        <f>TEST_DATA!D10777</f>
        <v/>
      </c>
      <c r="E10777">
        <f>TEST_DATA!E10777</f>
        <v/>
      </c>
    </row>
    <row r="10778">
      <c r="A10778">
        <f>TEST_DATA!A10778</f>
        <v/>
      </c>
      <c r="B10778">
        <f>TEST_DATA!B10778</f>
        <v/>
      </c>
      <c r="C10778">
        <f>TEST_DATA!C10778</f>
        <v/>
      </c>
      <c r="D10778">
        <f>TEST_DATA!D10778</f>
        <v/>
      </c>
      <c r="E10778">
        <f>TEST_DATA!E10778</f>
        <v/>
      </c>
    </row>
    <row r="10779">
      <c r="A10779">
        <f>TEST_DATA!A10779</f>
        <v/>
      </c>
      <c r="B10779">
        <f>TEST_DATA!B10779</f>
        <v/>
      </c>
      <c r="C10779">
        <f>TEST_DATA!C10779</f>
        <v/>
      </c>
      <c r="D10779">
        <f>TEST_DATA!D10779</f>
        <v/>
      </c>
      <c r="E10779">
        <f>TEST_DATA!E10779</f>
        <v/>
      </c>
    </row>
    <row r="10780">
      <c r="A10780">
        <f>TEST_DATA!A10780</f>
        <v/>
      </c>
      <c r="B10780">
        <f>TEST_DATA!B10780</f>
        <v/>
      </c>
      <c r="C10780">
        <f>TEST_DATA!C10780</f>
        <v/>
      </c>
      <c r="D10780">
        <f>TEST_DATA!D10780</f>
        <v/>
      </c>
      <c r="E10780">
        <f>TEST_DATA!E10780</f>
        <v/>
      </c>
    </row>
    <row r="10781">
      <c r="A10781">
        <f>TEST_DATA!A10781</f>
        <v/>
      </c>
      <c r="B10781">
        <f>TEST_DATA!B10781</f>
        <v/>
      </c>
      <c r="C10781">
        <f>TEST_DATA!C10781</f>
        <v/>
      </c>
      <c r="D10781">
        <f>TEST_DATA!D10781</f>
        <v/>
      </c>
      <c r="E10781">
        <f>TEST_DATA!E10781</f>
        <v/>
      </c>
    </row>
    <row r="10782">
      <c r="A10782">
        <f>TEST_DATA!A10782</f>
        <v/>
      </c>
      <c r="B10782">
        <f>TEST_DATA!B10782</f>
        <v/>
      </c>
      <c r="C10782">
        <f>TEST_DATA!C10782</f>
        <v/>
      </c>
      <c r="D10782">
        <f>TEST_DATA!D10782</f>
        <v/>
      </c>
      <c r="E10782">
        <f>TEST_DATA!E10782</f>
        <v/>
      </c>
    </row>
    <row r="10783">
      <c r="A10783">
        <f>TEST_DATA!A10783</f>
        <v/>
      </c>
      <c r="B10783">
        <f>TEST_DATA!B10783</f>
        <v/>
      </c>
      <c r="C10783">
        <f>TEST_DATA!C10783</f>
        <v/>
      </c>
      <c r="D10783">
        <f>TEST_DATA!D10783</f>
        <v/>
      </c>
      <c r="E10783">
        <f>TEST_DATA!E10783</f>
        <v/>
      </c>
    </row>
    <row r="10784">
      <c r="A10784">
        <f>TEST_DATA!A10784</f>
        <v/>
      </c>
      <c r="B10784">
        <f>TEST_DATA!B10784</f>
        <v/>
      </c>
      <c r="C10784">
        <f>TEST_DATA!C10784</f>
        <v/>
      </c>
      <c r="D10784">
        <f>TEST_DATA!D10784</f>
        <v/>
      </c>
      <c r="E10784">
        <f>TEST_DATA!E10784</f>
        <v/>
      </c>
    </row>
    <row r="10785">
      <c r="A10785">
        <f>TEST_DATA!A10785</f>
        <v/>
      </c>
      <c r="B10785">
        <f>TEST_DATA!B10785</f>
        <v/>
      </c>
      <c r="C10785">
        <f>TEST_DATA!C10785</f>
        <v/>
      </c>
      <c r="D10785">
        <f>TEST_DATA!D10785</f>
        <v/>
      </c>
      <c r="E10785">
        <f>TEST_DATA!E10785</f>
        <v/>
      </c>
    </row>
    <row r="10786">
      <c r="A10786">
        <f>TEST_DATA!A10786</f>
        <v/>
      </c>
      <c r="B10786">
        <f>TEST_DATA!B10786</f>
        <v/>
      </c>
      <c r="C10786">
        <f>TEST_DATA!C10786</f>
        <v/>
      </c>
      <c r="D10786">
        <f>TEST_DATA!D10786</f>
        <v/>
      </c>
      <c r="E10786">
        <f>TEST_DATA!E10786</f>
        <v/>
      </c>
    </row>
    <row r="10787">
      <c r="A10787">
        <f>TEST_DATA!A10787</f>
        <v/>
      </c>
      <c r="B10787">
        <f>TEST_DATA!B10787</f>
        <v/>
      </c>
      <c r="C10787">
        <f>TEST_DATA!C10787</f>
        <v/>
      </c>
      <c r="D10787">
        <f>TEST_DATA!D10787</f>
        <v/>
      </c>
      <c r="E10787">
        <f>TEST_DATA!E10787</f>
        <v/>
      </c>
    </row>
    <row r="10788">
      <c r="A10788">
        <f>TEST_DATA!A10788</f>
        <v/>
      </c>
      <c r="B10788">
        <f>TEST_DATA!B10788</f>
        <v/>
      </c>
      <c r="C10788">
        <f>TEST_DATA!C10788</f>
        <v/>
      </c>
      <c r="D10788">
        <f>TEST_DATA!D10788</f>
        <v/>
      </c>
      <c r="E10788">
        <f>TEST_DATA!E10788</f>
        <v/>
      </c>
    </row>
    <row r="10789">
      <c r="A10789">
        <f>TEST_DATA!A10789</f>
        <v/>
      </c>
      <c r="B10789">
        <f>TEST_DATA!B10789</f>
        <v/>
      </c>
      <c r="C10789">
        <f>TEST_DATA!C10789</f>
        <v/>
      </c>
      <c r="D10789">
        <f>TEST_DATA!D10789</f>
        <v/>
      </c>
      <c r="E10789">
        <f>TEST_DATA!E10789</f>
        <v/>
      </c>
    </row>
    <row r="10790">
      <c r="A10790">
        <f>TEST_DATA!A10790</f>
        <v/>
      </c>
      <c r="B10790">
        <f>TEST_DATA!B10790</f>
        <v/>
      </c>
      <c r="C10790">
        <f>TEST_DATA!C10790</f>
        <v/>
      </c>
      <c r="D10790">
        <f>TEST_DATA!D10790</f>
        <v/>
      </c>
      <c r="E10790">
        <f>TEST_DATA!E10790</f>
        <v/>
      </c>
    </row>
    <row r="10791">
      <c r="A10791">
        <f>TEST_DATA!A10791</f>
        <v/>
      </c>
      <c r="B10791">
        <f>TEST_DATA!B10791</f>
        <v/>
      </c>
      <c r="C10791">
        <f>TEST_DATA!C10791</f>
        <v/>
      </c>
      <c r="D10791">
        <f>TEST_DATA!D10791</f>
        <v/>
      </c>
      <c r="E10791">
        <f>TEST_DATA!E10791</f>
        <v/>
      </c>
    </row>
    <row r="10792">
      <c r="A10792">
        <f>TEST_DATA!A10792</f>
        <v/>
      </c>
      <c r="B10792">
        <f>TEST_DATA!B10792</f>
        <v/>
      </c>
      <c r="C10792">
        <f>TEST_DATA!C10792</f>
        <v/>
      </c>
      <c r="D10792">
        <f>TEST_DATA!D10792</f>
        <v/>
      </c>
      <c r="E10792">
        <f>TEST_DATA!E10792</f>
        <v/>
      </c>
    </row>
    <row r="10793">
      <c r="A10793">
        <f>TEST_DATA!A10793</f>
        <v/>
      </c>
      <c r="B10793">
        <f>TEST_DATA!B10793</f>
        <v/>
      </c>
      <c r="C10793">
        <f>TEST_DATA!C10793</f>
        <v/>
      </c>
      <c r="D10793">
        <f>TEST_DATA!D10793</f>
        <v/>
      </c>
      <c r="E10793">
        <f>TEST_DATA!E10793</f>
        <v/>
      </c>
    </row>
    <row r="10794">
      <c r="A10794">
        <f>TEST_DATA!A10794</f>
        <v/>
      </c>
      <c r="B10794">
        <f>TEST_DATA!B10794</f>
        <v/>
      </c>
      <c r="C10794">
        <f>TEST_DATA!C10794</f>
        <v/>
      </c>
      <c r="D10794">
        <f>TEST_DATA!D10794</f>
        <v/>
      </c>
      <c r="E10794">
        <f>TEST_DATA!E10794</f>
        <v/>
      </c>
    </row>
    <row r="10795">
      <c r="A10795">
        <f>TEST_DATA!A10795</f>
        <v/>
      </c>
      <c r="B10795">
        <f>TEST_DATA!B10795</f>
        <v/>
      </c>
      <c r="C10795">
        <f>TEST_DATA!C10795</f>
        <v/>
      </c>
      <c r="D10795">
        <f>TEST_DATA!D10795</f>
        <v/>
      </c>
      <c r="E10795">
        <f>TEST_DATA!E10795</f>
        <v/>
      </c>
    </row>
    <row r="10796">
      <c r="A10796">
        <f>TEST_DATA!A10796</f>
        <v/>
      </c>
      <c r="B10796">
        <f>TEST_DATA!B10796</f>
        <v/>
      </c>
      <c r="C10796">
        <f>TEST_DATA!C10796</f>
        <v/>
      </c>
      <c r="D10796">
        <f>TEST_DATA!D10796</f>
        <v/>
      </c>
      <c r="E10796">
        <f>TEST_DATA!E10796</f>
        <v/>
      </c>
    </row>
    <row r="10797">
      <c r="A10797">
        <f>TEST_DATA!A10797</f>
        <v/>
      </c>
      <c r="B10797">
        <f>TEST_DATA!B10797</f>
        <v/>
      </c>
      <c r="C10797">
        <f>TEST_DATA!C10797</f>
        <v/>
      </c>
      <c r="D10797">
        <f>TEST_DATA!D10797</f>
        <v/>
      </c>
      <c r="E10797">
        <f>TEST_DATA!E10797</f>
        <v/>
      </c>
    </row>
    <row r="10798">
      <c r="A10798">
        <f>TEST_DATA!A10798</f>
        <v/>
      </c>
      <c r="B10798">
        <f>TEST_DATA!B10798</f>
        <v/>
      </c>
      <c r="C10798">
        <f>TEST_DATA!C10798</f>
        <v/>
      </c>
      <c r="D10798">
        <f>TEST_DATA!D10798</f>
        <v/>
      </c>
      <c r="E10798">
        <f>TEST_DATA!E10798</f>
        <v/>
      </c>
    </row>
    <row r="10799">
      <c r="A10799">
        <f>TEST_DATA!A10799</f>
        <v/>
      </c>
      <c r="B10799">
        <f>TEST_DATA!B10799</f>
        <v/>
      </c>
      <c r="C10799">
        <f>TEST_DATA!C10799</f>
        <v/>
      </c>
      <c r="D10799">
        <f>TEST_DATA!D10799</f>
        <v/>
      </c>
      <c r="E10799">
        <f>TEST_DATA!E10799</f>
        <v/>
      </c>
    </row>
    <row r="10800">
      <c r="A10800">
        <f>TEST_DATA!A10800</f>
        <v/>
      </c>
      <c r="B10800">
        <f>TEST_DATA!B10800</f>
        <v/>
      </c>
      <c r="C10800">
        <f>TEST_DATA!C10800</f>
        <v/>
      </c>
      <c r="D10800">
        <f>TEST_DATA!D10800</f>
        <v/>
      </c>
      <c r="E10800">
        <f>TEST_DATA!E10800</f>
        <v/>
      </c>
    </row>
    <row r="10801">
      <c r="A10801">
        <f>TEST_DATA!A10801</f>
        <v/>
      </c>
      <c r="B10801">
        <f>TEST_DATA!B10801</f>
        <v/>
      </c>
      <c r="C10801">
        <f>TEST_DATA!C10801</f>
        <v/>
      </c>
      <c r="D10801">
        <f>TEST_DATA!D10801</f>
        <v/>
      </c>
      <c r="E10801">
        <f>TEST_DATA!E10801</f>
        <v/>
      </c>
    </row>
    <row r="10802">
      <c r="A10802">
        <f>TEST_DATA!A10802</f>
        <v/>
      </c>
      <c r="B10802">
        <f>TEST_DATA!B10802</f>
        <v/>
      </c>
      <c r="C10802">
        <f>TEST_DATA!C10802</f>
        <v/>
      </c>
      <c r="D10802">
        <f>TEST_DATA!D10802</f>
        <v/>
      </c>
      <c r="E10802">
        <f>TEST_DATA!E10802</f>
        <v/>
      </c>
    </row>
    <row r="10803">
      <c r="A10803">
        <f>TEST_DATA!A10803</f>
        <v/>
      </c>
      <c r="B10803">
        <f>TEST_DATA!B10803</f>
        <v/>
      </c>
      <c r="C10803">
        <f>TEST_DATA!C10803</f>
        <v/>
      </c>
      <c r="D10803">
        <f>TEST_DATA!D10803</f>
        <v/>
      </c>
      <c r="E10803">
        <f>TEST_DATA!E10803</f>
        <v/>
      </c>
    </row>
    <row r="10804">
      <c r="A10804">
        <f>TEST_DATA!A10804</f>
        <v/>
      </c>
      <c r="B10804">
        <f>TEST_DATA!B10804</f>
        <v/>
      </c>
      <c r="C10804">
        <f>TEST_DATA!C10804</f>
        <v/>
      </c>
      <c r="D10804">
        <f>TEST_DATA!D10804</f>
        <v/>
      </c>
      <c r="E10804">
        <f>TEST_DATA!E10804</f>
        <v/>
      </c>
    </row>
    <row r="10805">
      <c r="A10805">
        <f>TEST_DATA!A10805</f>
        <v/>
      </c>
      <c r="B10805">
        <f>TEST_DATA!B10805</f>
        <v/>
      </c>
      <c r="C10805">
        <f>TEST_DATA!C10805</f>
        <v/>
      </c>
      <c r="D10805">
        <f>TEST_DATA!D10805</f>
        <v/>
      </c>
      <c r="E10805">
        <f>TEST_DATA!E10805</f>
        <v/>
      </c>
    </row>
    <row r="10806">
      <c r="A10806">
        <f>TEST_DATA!A10806</f>
        <v/>
      </c>
      <c r="B10806">
        <f>TEST_DATA!B10806</f>
        <v/>
      </c>
      <c r="C10806">
        <f>TEST_DATA!C10806</f>
        <v/>
      </c>
      <c r="D10806">
        <f>TEST_DATA!D10806</f>
        <v/>
      </c>
      <c r="E10806">
        <f>TEST_DATA!E10806</f>
        <v/>
      </c>
    </row>
    <row r="10807">
      <c r="A10807">
        <f>TEST_DATA!A10807</f>
        <v/>
      </c>
      <c r="B10807">
        <f>TEST_DATA!B10807</f>
        <v/>
      </c>
      <c r="C10807">
        <f>TEST_DATA!C10807</f>
        <v/>
      </c>
      <c r="D10807">
        <f>TEST_DATA!D10807</f>
        <v/>
      </c>
      <c r="E10807">
        <f>TEST_DATA!E10807</f>
        <v/>
      </c>
    </row>
    <row r="10808">
      <c r="A10808">
        <f>TEST_DATA!A10808</f>
        <v/>
      </c>
      <c r="B10808">
        <f>TEST_DATA!B10808</f>
        <v/>
      </c>
      <c r="C10808">
        <f>TEST_DATA!C10808</f>
        <v/>
      </c>
      <c r="D10808">
        <f>TEST_DATA!D10808</f>
        <v/>
      </c>
      <c r="E10808">
        <f>TEST_DATA!E10808</f>
        <v/>
      </c>
    </row>
    <row r="10809">
      <c r="A10809">
        <f>TEST_DATA!A10809</f>
        <v/>
      </c>
      <c r="B10809">
        <f>TEST_DATA!B10809</f>
        <v/>
      </c>
      <c r="C10809">
        <f>TEST_DATA!C10809</f>
        <v/>
      </c>
      <c r="D10809">
        <f>TEST_DATA!D10809</f>
        <v/>
      </c>
      <c r="E10809">
        <f>TEST_DATA!E10809</f>
        <v/>
      </c>
    </row>
    <row r="10810">
      <c r="A10810">
        <f>TEST_DATA!A10810</f>
        <v/>
      </c>
      <c r="B10810">
        <f>TEST_DATA!B10810</f>
        <v/>
      </c>
      <c r="C10810">
        <f>TEST_DATA!C10810</f>
        <v/>
      </c>
      <c r="D10810">
        <f>TEST_DATA!D10810</f>
        <v/>
      </c>
      <c r="E10810">
        <f>TEST_DATA!E10810</f>
        <v/>
      </c>
    </row>
    <row r="10811">
      <c r="A10811">
        <f>TEST_DATA!A10811</f>
        <v/>
      </c>
      <c r="B10811">
        <f>TEST_DATA!B10811</f>
        <v/>
      </c>
      <c r="C10811">
        <f>TEST_DATA!C10811</f>
        <v/>
      </c>
      <c r="D10811">
        <f>TEST_DATA!D10811</f>
        <v/>
      </c>
      <c r="E10811">
        <f>TEST_DATA!E10811</f>
        <v/>
      </c>
    </row>
    <row r="10812">
      <c r="A10812">
        <f>TEST_DATA!A10812</f>
        <v/>
      </c>
      <c r="B10812">
        <f>TEST_DATA!B10812</f>
        <v/>
      </c>
      <c r="C10812">
        <f>TEST_DATA!C10812</f>
        <v/>
      </c>
      <c r="D10812">
        <f>TEST_DATA!D10812</f>
        <v/>
      </c>
      <c r="E10812">
        <f>TEST_DATA!E10812</f>
        <v/>
      </c>
    </row>
    <row r="10813">
      <c r="A10813">
        <f>TEST_DATA!A10813</f>
        <v/>
      </c>
      <c r="B10813">
        <f>TEST_DATA!B10813</f>
        <v/>
      </c>
      <c r="C10813">
        <f>TEST_DATA!C10813</f>
        <v/>
      </c>
      <c r="D10813">
        <f>TEST_DATA!D10813</f>
        <v/>
      </c>
      <c r="E10813">
        <f>TEST_DATA!E10813</f>
        <v/>
      </c>
    </row>
    <row r="10814">
      <c r="A10814">
        <f>TEST_DATA!A10814</f>
        <v/>
      </c>
      <c r="B10814">
        <f>TEST_DATA!B10814</f>
        <v/>
      </c>
      <c r="C10814">
        <f>TEST_DATA!C10814</f>
        <v/>
      </c>
      <c r="D10814">
        <f>TEST_DATA!D10814</f>
        <v/>
      </c>
      <c r="E10814">
        <f>TEST_DATA!E10814</f>
        <v/>
      </c>
    </row>
    <row r="10815">
      <c r="A10815">
        <f>TEST_DATA!A10815</f>
        <v/>
      </c>
      <c r="B10815">
        <f>TEST_DATA!B10815</f>
        <v/>
      </c>
      <c r="C10815">
        <f>TEST_DATA!C10815</f>
        <v/>
      </c>
      <c r="D10815">
        <f>TEST_DATA!D10815</f>
        <v/>
      </c>
      <c r="E10815">
        <f>TEST_DATA!E10815</f>
        <v/>
      </c>
    </row>
    <row r="10816">
      <c r="A10816">
        <f>TEST_DATA!A10816</f>
        <v/>
      </c>
      <c r="B10816">
        <f>TEST_DATA!B10816</f>
        <v/>
      </c>
      <c r="C10816">
        <f>TEST_DATA!C10816</f>
        <v/>
      </c>
      <c r="D10816">
        <f>TEST_DATA!D10816</f>
        <v/>
      </c>
      <c r="E10816">
        <f>TEST_DATA!E10816</f>
        <v/>
      </c>
    </row>
    <row r="10817">
      <c r="A10817">
        <f>TEST_DATA!A10817</f>
        <v/>
      </c>
      <c r="B10817">
        <f>TEST_DATA!B10817</f>
        <v/>
      </c>
      <c r="C10817">
        <f>TEST_DATA!C10817</f>
        <v/>
      </c>
      <c r="D10817">
        <f>TEST_DATA!D10817</f>
        <v/>
      </c>
      <c r="E10817">
        <f>TEST_DATA!E10817</f>
        <v/>
      </c>
    </row>
    <row r="10818">
      <c r="A10818">
        <f>TEST_DATA!A10818</f>
        <v/>
      </c>
      <c r="B10818">
        <f>TEST_DATA!B10818</f>
        <v/>
      </c>
      <c r="C10818">
        <f>TEST_DATA!C10818</f>
        <v/>
      </c>
      <c r="D10818">
        <f>TEST_DATA!D10818</f>
        <v/>
      </c>
      <c r="E10818">
        <f>TEST_DATA!E10818</f>
        <v/>
      </c>
    </row>
    <row r="10819">
      <c r="A10819">
        <f>TEST_DATA!A10819</f>
        <v/>
      </c>
      <c r="B10819">
        <f>TEST_DATA!B10819</f>
        <v/>
      </c>
      <c r="C10819">
        <f>TEST_DATA!C10819</f>
        <v/>
      </c>
      <c r="D10819">
        <f>TEST_DATA!D10819</f>
        <v/>
      </c>
      <c r="E10819">
        <f>TEST_DATA!E10819</f>
        <v/>
      </c>
    </row>
    <row r="10820">
      <c r="A10820">
        <f>TEST_DATA!A10820</f>
        <v/>
      </c>
      <c r="B10820">
        <f>TEST_DATA!B10820</f>
        <v/>
      </c>
      <c r="C10820">
        <f>TEST_DATA!C10820</f>
        <v/>
      </c>
      <c r="D10820">
        <f>TEST_DATA!D10820</f>
        <v/>
      </c>
      <c r="E10820">
        <f>TEST_DATA!E10820</f>
        <v/>
      </c>
    </row>
    <row r="10821">
      <c r="A10821">
        <f>TEST_DATA!A10821</f>
        <v/>
      </c>
      <c r="B10821">
        <f>TEST_DATA!B10821</f>
        <v/>
      </c>
      <c r="C10821">
        <f>TEST_DATA!C10821</f>
        <v/>
      </c>
      <c r="D10821">
        <f>TEST_DATA!D10821</f>
        <v/>
      </c>
      <c r="E10821">
        <f>TEST_DATA!E10821</f>
        <v/>
      </c>
    </row>
    <row r="10822">
      <c r="A10822">
        <f>TEST_DATA!A10822</f>
        <v/>
      </c>
      <c r="B10822">
        <f>TEST_DATA!B10822</f>
        <v/>
      </c>
      <c r="C10822">
        <f>TEST_DATA!C10822</f>
        <v/>
      </c>
      <c r="D10822">
        <f>TEST_DATA!D10822</f>
        <v/>
      </c>
      <c r="E10822">
        <f>TEST_DATA!E10822</f>
        <v/>
      </c>
    </row>
    <row r="10823">
      <c r="A10823">
        <f>TEST_DATA!A10823</f>
        <v/>
      </c>
      <c r="B10823">
        <f>TEST_DATA!B10823</f>
        <v/>
      </c>
      <c r="C10823">
        <f>TEST_DATA!C10823</f>
        <v/>
      </c>
      <c r="D10823">
        <f>TEST_DATA!D10823</f>
        <v/>
      </c>
      <c r="E10823">
        <f>TEST_DATA!E10823</f>
        <v/>
      </c>
    </row>
    <row r="10824">
      <c r="A10824">
        <f>TEST_DATA!A10824</f>
        <v/>
      </c>
      <c r="B10824">
        <f>TEST_DATA!B10824</f>
        <v/>
      </c>
      <c r="C10824">
        <f>TEST_DATA!C10824</f>
        <v/>
      </c>
      <c r="D10824">
        <f>TEST_DATA!D10824</f>
        <v/>
      </c>
      <c r="E10824">
        <f>TEST_DATA!E10824</f>
        <v/>
      </c>
    </row>
    <row r="10825">
      <c r="A10825">
        <f>TEST_DATA!A10825</f>
        <v/>
      </c>
      <c r="B10825">
        <f>TEST_DATA!B10825</f>
        <v/>
      </c>
      <c r="C10825">
        <f>TEST_DATA!C10825</f>
        <v/>
      </c>
      <c r="D10825">
        <f>TEST_DATA!D10825</f>
        <v/>
      </c>
      <c r="E10825">
        <f>TEST_DATA!E10825</f>
        <v/>
      </c>
    </row>
    <row r="10826">
      <c r="A10826">
        <f>TEST_DATA!A10826</f>
        <v/>
      </c>
      <c r="B10826">
        <f>TEST_DATA!B10826</f>
        <v/>
      </c>
      <c r="C10826">
        <f>TEST_DATA!C10826</f>
        <v/>
      </c>
      <c r="D10826">
        <f>TEST_DATA!D10826</f>
        <v/>
      </c>
      <c r="E10826">
        <f>TEST_DATA!E10826</f>
        <v/>
      </c>
    </row>
    <row r="10827">
      <c r="A10827">
        <f>TEST_DATA!A10827</f>
        <v/>
      </c>
      <c r="B10827">
        <f>TEST_DATA!B10827</f>
        <v/>
      </c>
      <c r="C10827">
        <f>TEST_DATA!C10827</f>
        <v/>
      </c>
      <c r="D10827">
        <f>TEST_DATA!D10827</f>
        <v/>
      </c>
      <c r="E10827">
        <f>TEST_DATA!E10827</f>
        <v/>
      </c>
    </row>
    <row r="10828">
      <c r="A10828">
        <f>TEST_DATA!A10828</f>
        <v/>
      </c>
      <c r="B10828">
        <f>TEST_DATA!B10828</f>
        <v/>
      </c>
      <c r="C10828">
        <f>TEST_DATA!C10828</f>
        <v/>
      </c>
      <c r="D10828">
        <f>TEST_DATA!D10828</f>
        <v/>
      </c>
      <c r="E10828">
        <f>TEST_DATA!E10828</f>
        <v/>
      </c>
    </row>
    <row r="10829">
      <c r="A10829">
        <f>TEST_DATA!A10829</f>
        <v/>
      </c>
      <c r="B10829">
        <f>TEST_DATA!B10829</f>
        <v/>
      </c>
      <c r="C10829">
        <f>TEST_DATA!C10829</f>
        <v/>
      </c>
      <c r="D10829">
        <f>TEST_DATA!D10829</f>
        <v/>
      </c>
      <c r="E10829">
        <f>TEST_DATA!E10829</f>
        <v/>
      </c>
    </row>
    <row r="10830">
      <c r="A10830">
        <f>TEST_DATA!A10830</f>
        <v/>
      </c>
      <c r="B10830">
        <f>TEST_DATA!B10830</f>
        <v/>
      </c>
      <c r="C10830">
        <f>TEST_DATA!C10830</f>
        <v/>
      </c>
      <c r="D10830">
        <f>TEST_DATA!D10830</f>
        <v/>
      </c>
      <c r="E10830">
        <f>TEST_DATA!E10830</f>
        <v/>
      </c>
    </row>
    <row r="10831">
      <c r="A10831">
        <f>TEST_DATA!A10831</f>
        <v/>
      </c>
      <c r="B10831">
        <f>TEST_DATA!B10831</f>
        <v/>
      </c>
      <c r="C10831">
        <f>TEST_DATA!C10831</f>
        <v/>
      </c>
      <c r="D10831">
        <f>TEST_DATA!D10831</f>
        <v/>
      </c>
      <c r="E10831">
        <f>TEST_DATA!E10831</f>
        <v/>
      </c>
    </row>
    <row r="10832">
      <c r="A10832">
        <f>TEST_DATA!A10832</f>
        <v/>
      </c>
      <c r="B10832">
        <f>TEST_DATA!B10832</f>
        <v/>
      </c>
      <c r="C10832">
        <f>TEST_DATA!C10832</f>
        <v/>
      </c>
      <c r="D10832">
        <f>TEST_DATA!D10832</f>
        <v/>
      </c>
      <c r="E10832">
        <f>TEST_DATA!E10832</f>
        <v/>
      </c>
    </row>
    <row r="10833">
      <c r="A10833">
        <f>TEST_DATA!A10833</f>
        <v/>
      </c>
      <c r="B10833">
        <f>TEST_DATA!B10833</f>
        <v/>
      </c>
      <c r="C10833">
        <f>TEST_DATA!C10833</f>
        <v/>
      </c>
      <c r="D10833">
        <f>TEST_DATA!D10833</f>
        <v/>
      </c>
      <c r="E10833">
        <f>TEST_DATA!E10833</f>
        <v/>
      </c>
    </row>
    <row r="10834">
      <c r="A10834">
        <f>TEST_DATA!A10834</f>
        <v/>
      </c>
      <c r="B10834">
        <f>TEST_DATA!B10834</f>
        <v/>
      </c>
      <c r="C10834">
        <f>TEST_DATA!C10834</f>
        <v/>
      </c>
      <c r="D10834">
        <f>TEST_DATA!D10834</f>
        <v/>
      </c>
      <c r="E10834">
        <f>TEST_DATA!E10834</f>
        <v/>
      </c>
    </row>
    <row r="10835">
      <c r="A10835">
        <f>TEST_DATA!A10835</f>
        <v/>
      </c>
      <c r="B10835">
        <f>TEST_DATA!B10835</f>
        <v/>
      </c>
      <c r="C10835">
        <f>TEST_DATA!C10835</f>
        <v/>
      </c>
      <c r="D10835">
        <f>TEST_DATA!D10835</f>
        <v/>
      </c>
      <c r="E10835">
        <f>TEST_DATA!E10835</f>
        <v/>
      </c>
    </row>
    <row r="10836">
      <c r="A10836">
        <f>TEST_DATA!A10836</f>
        <v/>
      </c>
      <c r="B10836">
        <f>TEST_DATA!B10836</f>
        <v/>
      </c>
      <c r="C10836">
        <f>TEST_DATA!C10836</f>
        <v/>
      </c>
      <c r="D10836">
        <f>TEST_DATA!D10836</f>
        <v/>
      </c>
      <c r="E10836">
        <f>TEST_DATA!E10836</f>
        <v/>
      </c>
    </row>
    <row r="10837">
      <c r="A10837">
        <f>TEST_DATA!A10837</f>
        <v/>
      </c>
      <c r="B10837">
        <f>TEST_DATA!B10837</f>
        <v/>
      </c>
      <c r="C10837">
        <f>TEST_DATA!C10837</f>
        <v/>
      </c>
      <c r="D10837">
        <f>TEST_DATA!D10837</f>
        <v/>
      </c>
      <c r="E10837">
        <f>TEST_DATA!E10837</f>
        <v/>
      </c>
    </row>
    <row r="10838">
      <c r="A10838">
        <f>TEST_DATA!A10838</f>
        <v/>
      </c>
      <c r="B10838">
        <f>TEST_DATA!B10838</f>
        <v/>
      </c>
      <c r="C10838">
        <f>TEST_DATA!C10838</f>
        <v/>
      </c>
      <c r="D10838">
        <f>TEST_DATA!D10838</f>
        <v/>
      </c>
      <c r="E10838">
        <f>TEST_DATA!E10838</f>
        <v/>
      </c>
    </row>
    <row r="10839">
      <c r="A10839">
        <f>TEST_DATA!A10839</f>
        <v/>
      </c>
      <c r="B10839">
        <f>TEST_DATA!B10839</f>
        <v/>
      </c>
      <c r="C10839">
        <f>TEST_DATA!C10839</f>
        <v/>
      </c>
      <c r="D10839">
        <f>TEST_DATA!D10839</f>
        <v/>
      </c>
      <c r="E10839">
        <f>TEST_DATA!E10839</f>
        <v/>
      </c>
    </row>
    <row r="10840">
      <c r="A10840">
        <f>TEST_DATA!A10840</f>
        <v/>
      </c>
      <c r="B10840">
        <f>TEST_DATA!B10840</f>
        <v/>
      </c>
      <c r="C10840">
        <f>TEST_DATA!C10840</f>
        <v/>
      </c>
      <c r="D10840">
        <f>TEST_DATA!D10840</f>
        <v/>
      </c>
      <c r="E10840">
        <f>TEST_DATA!E10840</f>
        <v/>
      </c>
    </row>
    <row r="10841">
      <c r="A10841">
        <f>TEST_DATA!A10841</f>
        <v/>
      </c>
      <c r="B10841">
        <f>TEST_DATA!B10841</f>
        <v/>
      </c>
      <c r="C10841">
        <f>TEST_DATA!C10841</f>
        <v/>
      </c>
      <c r="D10841">
        <f>TEST_DATA!D10841</f>
        <v/>
      </c>
      <c r="E10841">
        <f>TEST_DATA!E10841</f>
        <v/>
      </c>
    </row>
    <row r="10842">
      <c r="A10842">
        <f>TEST_DATA!A10842</f>
        <v/>
      </c>
      <c r="B10842">
        <f>TEST_DATA!B10842</f>
        <v/>
      </c>
      <c r="C10842">
        <f>TEST_DATA!C10842</f>
        <v/>
      </c>
      <c r="D10842">
        <f>TEST_DATA!D10842</f>
        <v/>
      </c>
      <c r="E10842">
        <f>TEST_DATA!E10842</f>
        <v/>
      </c>
    </row>
    <row r="10843">
      <c r="A10843">
        <f>TEST_DATA!A10843</f>
        <v/>
      </c>
      <c r="B10843">
        <f>TEST_DATA!B10843</f>
        <v/>
      </c>
      <c r="C10843">
        <f>TEST_DATA!C10843</f>
        <v/>
      </c>
      <c r="D10843">
        <f>TEST_DATA!D10843</f>
        <v/>
      </c>
      <c r="E10843">
        <f>TEST_DATA!E10843</f>
        <v/>
      </c>
    </row>
    <row r="10844">
      <c r="A10844">
        <f>TEST_DATA!A10844</f>
        <v/>
      </c>
      <c r="B10844">
        <f>TEST_DATA!B10844</f>
        <v/>
      </c>
      <c r="C10844">
        <f>TEST_DATA!C10844</f>
        <v/>
      </c>
      <c r="D10844">
        <f>TEST_DATA!D10844</f>
        <v/>
      </c>
      <c r="E10844">
        <f>TEST_DATA!E10844</f>
        <v/>
      </c>
    </row>
    <row r="10845">
      <c r="A10845">
        <f>TEST_DATA!A10845</f>
        <v/>
      </c>
      <c r="B10845">
        <f>TEST_DATA!B10845</f>
        <v/>
      </c>
      <c r="C10845">
        <f>TEST_DATA!C10845</f>
        <v/>
      </c>
      <c r="D10845">
        <f>TEST_DATA!D10845</f>
        <v/>
      </c>
      <c r="E10845">
        <f>TEST_DATA!E10845</f>
        <v/>
      </c>
    </row>
    <row r="10846">
      <c r="A10846">
        <f>TEST_DATA!A10846</f>
        <v/>
      </c>
      <c r="B10846">
        <f>TEST_DATA!B10846</f>
        <v/>
      </c>
      <c r="C10846">
        <f>TEST_DATA!C10846</f>
        <v/>
      </c>
      <c r="D10846">
        <f>TEST_DATA!D10846</f>
        <v/>
      </c>
      <c r="E10846">
        <f>TEST_DATA!E10846</f>
        <v/>
      </c>
    </row>
    <row r="10847">
      <c r="A10847">
        <f>TEST_DATA!A10847</f>
        <v/>
      </c>
      <c r="B10847">
        <f>TEST_DATA!B10847</f>
        <v/>
      </c>
      <c r="C10847">
        <f>TEST_DATA!C10847</f>
        <v/>
      </c>
      <c r="D10847">
        <f>TEST_DATA!D10847</f>
        <v/>
      </c>
      <c r="E10847">
        <f>TEST_DATA!E10847</f>
        <v/>
      </c>
    </row>
    <row r="10848">
      <c r="A10848">
        <f>TEST_DATA!A10848</f>
        <v/>
      </c>
      <c r="B10848">
        <f>TEST_DATA!B10848</f>
        <v/>
      </c>
      <c r="C10848">
        <f>TEST_DATA!C10848</f>
        <v/>
      </c>
      <c r="D10848">
        <f>TEST_DATA!D10848</f>
        <v/>
      </c>
      <c r="E10848">
        <f>TEST_DATA!E10848</f>
        <v/>
      </c>
    </row>
    <row r="10849">
      <c r="A10849">
        <f>TEST_DATA!A10849</f>
        <v/>
      </c>
      <c r="B10849">
        <f>TEST_DATA!B10849</f>
        <v/>
      </c>
      <c r="C10849">
        <f>TEST_DATA!C10849</f>
        <v/>
      </c>
      <c r="D10849">
        <f>TEST_DATA!D10849</f>
        <v/>
      </c>
      <c r="E10849">
        <f>TEST_DATA!E10849</f>
        <v/>
      </c>
    </row>
    <row r="10850">
      <c r="A10850">
        <f>TEST_DATA!A10850</f>
        <v/>
      </c>
      <c r="B10850">
        <f>TEST_DATA!B10850</f>
        <v/>
      </c>
      <c r="C10850">
        <f>TEST_DATA!C10850</f>
        <v/>
      </c>
      <c r="D10850">
        <f>TEST_DATA!D10850</f>
        <v/>
      </c>
      <c r="E10850">
        <f>TEST_DATA!E10850</f>
        <v/>
      </c>
    </row>
    <row r="10851">
      <c r="A10851">
        <f>TEST_DATA!A10851</f>
        <v/>
      </c>
      <c r="B10851">
        <f>TEST_DATA!B10851</f>
        <v/>
      </c>
      <c r="C10851">
        <f>TEST_DATA!C10851</f>
        <v/>
      </c>
      <c r="D10851">
        <f>TEST_DATA!D10851</f>
        <v/>
      </c>
      <c r="E10851">
        <f>TEST_DATA!E10851</f>
        <v/>
      </c>
    </row>
    <row r="10852">
      <c r="A10852">
        <f>TEST_DATA!A10852</f>
        <v/>
      </c>
      <c r="B10852">
        <f>TEST_DATA!B10852</f>
        <v/>
      </c>
      <c r="C10852">
        <f>TEST_DATA!C10852</f>
        <v/>
      </c>
      <c r="D10852">
        <f>TEST_DATA!D10852</f>
        <v/>
      </c>
      <c r="E10852">
        <f>TEST_DATA!E10852</f>
        <v/>
      </c>
    </row>
    <row r="10853">
      <c r="A10853">
        <f>TEST_DATA!A10853</f>
        <v/>
      </c>
      <c r="B10853">
        <f>TEST_DATA!B10853</f>
        <v/>
      </c>
      <c r="C10853">
        <f>TEST_DATA!C10853</f>
        <v/>
      </c>
      <c r="D10853">
        <f>TEST_DATA!D10853</f>
        <v/>
      </c>
      <c r="E10853">
        <f>TEST_DATA!E10853</f>
        <v/>
      </c>
    </row>
    <row r="10854">
      <c r="A10854">
        <f>TEST_DATA!A10854</f>
        <v/>
      </c>
      <c r="B10854">
        <f>TEST_DATA!B10854</f>
        <v/>
      </c>
      <c r="C10854">
        <f>TEST_DATA!C10854</f>
        <v/>
      </c>
      <c r="D10854">
        <f>TEST_DATA!D10854</f>
        <v/>
      </c>
      <c r="E10854">
        <f>TEST_DATA!E10854</f>
        <v/>
      </c>
    </row>
    <row r="10855">
      <c r="A10855">
        <f>TEST_DATA!A10855</f>
        <v/>
      </c>
      <c r="B10855">
        <f>TEST_DATA!B10855</f>
        <v/>
      </c>
      <c r="C10855">
        <f>TEST_DATA!C10855</f>
        <v/>
      </c>
      <c r="D10855">
        <f>TEST_DATA!D10855</f>
        <v/>
      </c>
      <c r="E10855">
        <f>TEST_DATA!E10855</f>
        <v/>
      </c>
    </row>
    <row r="10856">
      <c r="A10856">
        <f>TEST_DATA!A10856</f>
        <v/>
      </c>
      <c r="B10856">
        <f>TEST_DATA!B10856</f>
        <v/>
      </c>
      <c r="C10856">
        <f>TEST_DATA!C10856</f>
        <v/>
      </c>
      <c r="D10856">
        <f>TEST_DATA!D10856</f>
        <v/>
      </c>
      <c r="E10856">
        <f>TEST_DATA!E10856</f>
        <v/>
      </c>
    </row>
    <row r="10857">
      <c r="A10857">
        <f>TEST_DATA!A10857</f>
        <v/>
      </c>
      <c r="B10857">
        <f>TEST_DATA!B10857</f>
        <v/>
      </c>
      <c r="C10857">
        <f>TEST_DATA!C10857</f>
        <v/>
      </c>
      <c r="D10857">
        <f>TEST_DATA!D10857</f>
        <v/>
      </c>
      <c r="E10857">
        <f>TEST_DATA!E10857</f>
        <v/>
      </c>
    </row>
    <row r="10858">
      <c r="A10858">
        <f>TEST_DATA!A10858</f>
        <v/>
      </c>
      <c r="B10858">
        <f>TEST_DATA!B10858</f>
        <v/>
      </c>
      <c r="C10858">
        <f>TEST_DATA!C10858</f>
        <v/>
      </c>
      <c r="D10858">
        <f>TEST_DATA!D10858</f>
        <v/>
      </c>
      <c r="E10858">
        <f>TEST_DATA!E10858</f>
        <v/>
      </c>
    </row>
    <row r="10859">
      <c r="A10859">
        <f>TEST_DATA!A10859</f>
        <v/>
      </c>
      <c r="B10859">
        <f>TEST_DATA!B10859</f>
        <v/>
      </c>
      <c r="C10859">
        <f>TEST_DATA!C10859</f>
        <v/>
      </c>
      <c r="D10859">
        <f>TEST_DATA!D10859</f>
        <v/>
      </c>
      <c r="E10859">
        <f>TEST_DATA!E10859</f>
        <v/>
      </c>
    </row>
    <row r="10860">
      <c r="A10860">
        <f>TEST_DATA!A10860</f>
        <v/>
      </c>
      <c r="B10860">
        <f>TEST_DATA!B10860</f>
        <v/>
      </c>
      <c r="C10860">
        <f>TEST_DATA!C10860</f>
        <v/>
      </c>
      <c r="D10860">
        <f>TEST_DATA!D10860</f>
        <v/>
      </c>
      <c r="E10860">
        <f>TEST_DATA!E10860</f>
        <v/>
      </c>
    </row>
    <row r="10861">
      <c r="A10861">
        <f>TEST_DATA!A10861</f>
        <v/>
      </c>
      <c r="B10861">
        <f>TEST_DATA!B10861</f>
        <v/>
      </c>
      <c r="C10861">
        <f>TEST_DATA!C10861</f>
        <v/>
      </c>
      <c r="D10861">
        <f>TEST_DATA!D10861</f>
        <v/>
      </c>
      <c r="E10861">
        <f>TEST_DATA!E10861</f>
        <v/>
      </c>
    </row>
    <row r="10862">
      <c r="A10862">
        <f>TEST_DATA!A10862</f>
        <v/>
      </c>
      <c r="B10862">
        <f>TEST_DATA!B10862</f>
        <v/>
      </c>
      <c r="C10862">
        <f>TEST_DATA!C10862</f>
        <v/>
      </c>
      <c r="D10862">
        <f>TEST_DATA!D10862</f>
        <v/>
      </c>
      <c r="E10862">
        <f>TEST_DATA!E10862</f>
        <v/>
      </c>
    </row>
    <row r="10863">
      <c r="A10863">
        <f>TEST_DATA!A10863</f>
        <v/>
      </c>
      <c r="B10863">
        <f>TEST_DATA!B10863</f>
        <v/>
      </c>
      <c r="C10863">
        <f>TEST_DATA!C10863</f>
        <v/>
      </c>
      <c r="D10863">
        <f>TEST_DATA!D10863</f>
        <v/>
      </c>
      <c r="E10863">
        <f>TEST_DATA!E10863</f>
        <v/>
      </c>
    </row>
    <row r="10864">
      <c r="A10864">
        <f>TEST_DATA!A10864</f>
        <v/>
      </c>
      <c r="B10864">
        <f>TEST_DATA!B10864</f>
        <v/>
      </c>
      <c r="C10864">
        <f>TEST_DATA!C10864</f>
        <v/>
      </c>
      <c r="D10864">
        <f>TEST_DATA!D10864</f>
        <v/>
      </c>
      <c r="E10864">
        <f>TEST_DATA!E10864</f>
        <v/>
      </c>
    </row>
    <row r="10865">
      <c r="A10865">
        <f>TEST_DATA!A10865</f>
        <v/>
      </c>
      <c r="B10865">
        <f>TEST_DATA!B10865</f>
        <v/>
      </c>
      <c r="C10865">
        <f>TEST_DATA!C10865</f>
        <v/>
      </c>
      <c r="D10865">
        <f>TEST_DATA!D10865</f>
        <v/>
      </c>
      <c r="E10865">
        <f>TEST_DATA!E10865</f>
        <v/>
      </c>
    </row>
    <row r="10866">
      <c r="A10866">
        <f>TEST_DATA!A10866</f>
        <v/>
      </c>
      <c r="B10866">
        <f>TEST_DATA!B10866</f>
        <v/>
      </c>
      <c r="C10866">
        <f>TEST_DATA!C10866</f>
        <v/>
      </c>
      <c r="D10866">
        <f>TEST_DATA!D10866</f>
        <v/>
      </c>
      <c r="E10866">
        <f>TEST_DATA!E10866</f>
        <v/>
      </c>
    </row>
    <row r="10867">
      <c r="A10867">
        <f>TEST_DATA!A10867</f>
        <v/>
      </c>
      <c r="B10867">
        <f>TEST_DATA!B10867</f>
        <v/>
      </c>
      <c r="C10867">
        <f>TEST_DATA!C10867</f>
        <v/>
      </c>
      <c r="D10867">
        <f>TEST_DATA!D10867</f>
        <v/>
      </c>
      <c r="E10867">
        <f>TEST_DATA!E10867</f>
        <v/>
      </c>
    </row>
    <row r="10868">
      <c r="A10868">
        <f>TEST_DATA!A10868</f>
        <v/>
      </c>
      <c r="B10868">
        <f>TEST_DATA!B10868</f>
        <v/>
      </c>
      <c r="C10868">
        <f>TEST_DATA!C10868</f>
        <v/>
      </c>
      <c r="D10868">
        <f>TEST_DATA!D10868</f>
        <v/>
      </c>
      <c r="E10868">
        <f>TEST_DATA!E10868</f>
        <v/>
      </c>
    </row>
    <row r="10869">
      <c r="A10869">
        <f>TEST_DATA!A10869</f>
        <v/>
      </c>
      <c r="B10869">
        <f>TEST_DATA!B10869</f>
        <v/>
      </c>
      <c r="C10869">
        <f>TEST_DATA!C10869</f>
        <v/>
      </c>
      <c r="D10869">
        <f>TEST_DATA!D10869</f>
        <v/>
      </c>
      <c r="E10869">
        <f>TEST_DATA!E10869</f>
        <v/>
      </c>
    </row>
    <row r="10870">
      <c r="A10870">
        <f>TEST_DATA!A10870</f>
        <v/>
      </c>
      <c r="B10870">
        <f>TEST_DATA!B10870</f>
        <v/>
      </c>
      <c r="C10870">
        <f>TEST_DATA!C10870</f>
        <v/>
      </c>
      <c r="D10870">
        <f>TEST_DATA!D10870</f>
        <v/>
      </c>
      <c r="E10870">
        <f>TEST_DATA!E10870</f>
        <v/>
      </c>
    </row>
    <row r="10871">
      <c r="A10871">
        <f>TEST_DATA!A10871</f>
        <v/>
      </c>
      <c r="B10871">
        <f>TEST_DATA!B10871</f>
        <v/>
      </c>
      <c r="C10871">
        <f>TEST_DATA!C10871</f>
        <v/>
      </c>
      <c r="D10871">
        <f>TEST_DATA!D10871</f>
        <v/>
      </c>
      <c r="E10871">
        <f>TEST_DATA!E10871</f>
        <v/>
      </c>
    </row>
    <row r="10872">
      <c r="A10872">
        <f>TEST_DATA!A10872</f>
        <v/>
      </c>
      <c r="B10872">
        <f>TEST_DATA!B10872</f>
        <v/>
      </c>
      <c r="C10872">
        <f>TEST_DATA!C10872</f>
        <v/>
      </c>
      <c r="D10872">
        <f>TEST_DATA!D10872</f>
        <v/>
      </c>
      <c r="E10872">
        <f>TEST_DATA!E10872</f>
        <v/>
      </c>
    </row>
    <row r="10873">
      <c r="A10873">
        <f>TEST_DATA!A10873</f>
        <v/>
      </c>
      <c r="B10873">
        <f>TEST_DATA!B10873</f>
        <v/>
      </c>
      <c r="C10873">
        <f>TEST_DATA!C10873</f>
        <v/>
      </c>
      <c r="D10873">
        <f>TEST_DATA!D10873</f>
        <v/>
      </c>
      <c r="E10873">
        <f>TEST_DATA!E10873</f>
        <v/>
      </c>
    </row>
    <row r="10874">
      <c r="A10874">
        <f>TEST_DATA!A10874</f>
        <v/>
      </c>
      <c r="B10874">
        <f>TEST_DATA!B10874</f>
        <v/>
      </c>
      <c r="C10874">
        <f>TEST_DATA!C10874</f>
        <v/>
      </c>
      <c r="D10874">
        <f>TEST_DATA!D10874</f>
        <v/>
      </c>
      <c r="E10874">
        <f>TEST_DATA!E10874</f>
        <v/>
      </c>
    </row>
    <row r="10875">
      <c r="A10875">
        <f>TEST_DATA!A10875</f>
        <v/>
      </c>
      <c r="B10875">
        <f>TEST_DATA!B10875</f>
        <v/>
      </c>
      <c r="C10875">
        <f>TEST_DATA!C10875</f>
        <v/>
      </c>
      <c r="D10875">
        <f>TEST_DATA!D10875</f>
        <v/>
      </c>
      <c r="E10875">
        <f>TEST_DATA!E10875</f>
        <v/>
      </c>
    </row>
    <row r="10876">
      <c r="A10876">
        <f>TEST_DATA!A10876</f>
        <v/>
      </c>
      <c r="B10876">
        <f>TEST_DATA!B10876</f>
        <v/>
      </c>
      <c r="C10876">
        <f>TEST_DATA!C10876</f>
        <v/>
      </c>
      <c r="D10876">
        <f>TEST_DATA!D10876</f>
        <v/>
      </c>
      <c r="E10876">
        <f>TEST_DATA!E10876</f>
        <v/>
      </c>
    </row>
    <row r="10877">
      <c r="A10877">
        <f>TEST_DATA!A10877</f>
        <v/>
      </c>
      <c r="B10877">
        <f>TEST_DATA!B10877</f>
        <v/>
      </c>
      <c r="C10877">
        <f>TEST_DATA!C10877</f>
        <v/>
      </c>
      <c r="D10877">
        <f>TEST_DATA!D10877</f>
        <v/>
      </c>
      <c r="E10877">
        <f>TEST_DATA!E10877</f>
        <v/>
      </c>
    </row>
    <row r="10878">
      <c r="A10878">
        <f>TEST_DATA!A10878</f>
        <v/>
      </c>
      <c r="B10878">
        <f>TEST_DATA!B10878</f>
        <v/>
      </c>
      <c r="C10878">
        <f>TEST_DATA!C10878</f>
        <v/>
      </c>
      <c r="D10878">
        <f>TEST_DATA!D10878</f>
        <v/>
      </c>
      <c r="E10878">
        <f>TEST_DATA!E10878</f>
        <v/>
      </c>
    </row>
    <row r="10879">
      <c r="A10879">
        <f>TEST_DATA!A10879</f>
        <v/>
      </c>
      <c r="B10879">
        <f>TEST_DATA!B10879</f>
        <v/>
      </c>
      <c r="C10879">
        <f>TEST_DATA!C10879</f>
        <v/>
      </c>
      <c r="D10879">
        <f>TEST_DATA!D10879</f>
        <v/>
      </c>
      <c r="E10879">
        <f>TEST_DATA!E10879</f>
        <v/>
      </c>
    </row>
    <row r="10880">
      <c r="A10880">
        <f>TEST_DATA!A10880</f>
        <v/>
      </c>
      <c r="B10880">
        <f>TEST_DATA!B10880</f>
        <v/>
      </c>
      <c r="C10880">
        <f>TEST_DATA!C10880</f>
        <v/>
      </c>
      <c r="D10880">
        <f>TEST_DATA!D10880</f>
        <v/>
      </c>
      <c r="E10880">
        <f>TEST_DATA!E10880</f>
        <v/>
      </c>
    </row>
    <row r="10881">
      <c r="A10881">
        <f>TEST_DATA!A10881</f>
        <v/>
      </c>
      <c r="B10881">
        <f>TEST_DATA!B10881</f>
        <v/>
      </c>
      <c r="C10881">
        <f>TEST_DATA!C10881</f>
        <v/>
      </c>
      <c r="D10881">
        <f>TEST_DATA!D10881</f>
        <v/>
      </c>
      <c r="E10881">
        <f>TEST_DATA!E10881</f>
        <v/>
      </c>
    </row>
    <row r="10882">
      <c r="A10882">
        <f>TEST_DATA!A10882</f>
        <v/>
      </c>
      <c r="B10882">
        <f>TEST_DATA!B10882</f>
        <v/>
      </c>
      <c r="C10882">
        <f>TEST_DATA!C10882</f>
        <v/>
      </c>
      <c r="D10882">
        <f>TEST_DATA!D10882</f>
        <v/>
      </c>
      <c r="E10882">
        <f>TEST_DATA!E10882</f>
        <v/>
      </c>
    </row>
    <row r="10883">
      <c r="A10883">
        <f>TEST_DATA!A10883</f>
        <v/>
      </c>
      <c r="B10883">
        <f>TEST_DATA!B10883</f>
        <v/>
      </c>
      <c r="C10883">
        <f>TEST_DATA!C10883</f>
        <v/>
      </c>
      <c r="D10883">
        <f>TEST_DATA!D10883</f>
        <v/>
      </c>
      <c r="E10883">
        <f>TEST_DATA!E10883</f>
        <v/>
      </c>
    </row>
    <row r="10884">
      <c r="A10884">
        <f>TEST_DATA!A10884</f>
        <v/>
      </c>
      <c r="B10884">
        <f>TEST_DATA!B10884</f>
        <v/>
      </c>
      <c r="C10884">
        <f>TEST_DATA!C10884</f>
        <v/>
      </c>
      <c r="D10884">
        <f>TEST_DATA!D10884</f>
        <v/>
      </c>
      <c r="E10884">
        <f>TEST_DATA!E10884</f>
        <v/>
      </c>
    </row>
    <row r="10885">
      <c r="A10885">
        <f>TEST_DATA!A10885</f>
        <v/>
      </c>
      <c r="B10885">
        <f>TEST_DATA!B10885</f>
        <v/>
      </c>
      <c r="C10885">
        <f>TEST_DATA!C10885</f>
        <v/>
      </c>
      <c r="D10885">
        <f>TEST_DATA!D10885</f>
        <v/>
      </c>
      <c r="E10885">
        <f>TEST_DATA!E10885</f>
        <v/>
      </c>
    </row>
    <row r="10886">
      <c r="A10886">
        <f>TEST_DATA!A10886</f>
        <v/>
      </c>
      <c r="B10886">
        <f>TEST_DATA!B10886</f>
        <v/>
      </c>
      <c r="C10886">
        <f>TEST_DATA!C10886</f>
        <v/>
      </c>
      <c r="D10886">
        <f>TEST_DATA!D10886</f>
        <v/>
      </c>
      <c r="E10886">
        <f>TEST_DATA!E10886</f>
        <v/>
      </c>
    </row>
    <row r="10887">
      <c r="A10887">
        <f>TEST_DATA!A10887</f>
        <v/>
      </c>
      <c r="B10887">
        <f>TEST_DATA!B10887</f>
        <v/>
      </c>
      <c r="C10887">
        <f>TEST_DATA!C10887</f>
        <v/>
      </c>
      <c r="D10887">
        <f>TEST_DATA!D10887</f>
        <v/>
      </c>
      <c r="E10887">
        <f>TEST_DATA!E10887</f>
        <v/>
      </c>
    </row>
    <row r="10888">
      <c r="A10888">
        <f>TEST_DATA!A10888</f>
        <v/>
      </c>
      <c r="B10888">
        <f>TEST_DATA!B10888</f>
        <v/>
      </c>
      <c r="C10888">
        <f>TEST_DATA!C10888</f>
        <v/>
      </c>
      <c r="D10888">
        <f>TEST_DATA!D10888</f>
        <v/>
      </c>
      <c r="E10888">
        <f>TEST_DATA!E10888</f>
        <v/>
      </c>
    </row>
    <row r="10889">
      <c r="A10889">
        <f>TEST_DATA!A10889</f>
        <v/>
      </c>
      <c r="B10889">
        <f>TEST_DATA!B10889</f>
        <v/>
      </c>
      <c r="C10889">
        <f>TEST_DATA!C10889</f>
        <v/>
      </c>
      <c r="D10889">
        <f>TEST_DATA!D10889</f>
        <v/>
      </c>
      <c r="E10889">
        <f>TEST_DATA!E10889</f>
        <v/>
      </c>
    </row>
    <row r="10890">
      <c r="A10890">
        <f>TEST_DATA!A10890</f>
        <v/>
      </c>
      <c r="B10890">
        <f>TEST_DATA!B10890</f>
        <v/>
      </c>
      <c r="C10890">
        <f>TEST_DATA!C10890</f>
        <v/>
      </c>
      <c r="D10890">
        <f>TEST_DATA!D10890</f>
        <v/>
      </c>
      <c r="E10890">
        <f>TEST_DATA!E10890</f>
        <v/>
      </c>
    </row>
    <row r="10891">
      <c r="A10891">
        <f>TEST_DATA!A10891</f>
        <v/>
      </c>
      <c r="B10891">
        <f>TEST_DATA!B10891</f>
        <v/>
      </c>
      <c r="C10891">
        <f>TEST_DATA!C10891</f>
        <v/>
      </c>
      <c r="D10891">
        <f>TEST_DATA!D10891</f>
        <v/>
      </c>
      <c r="E10891">
        <f>TEST_DATA!E10891</f>
        <v/>
      </c>
    </row>
    <row r="10892">
      <c r="A10892">
        <f>TEST_DATA!A10892</f>
        <v/>
      </c>
      <c r="B10892">
        <f>TEST_DATA!B10892</f>
        <v/>
      </c>
      <c r="C10892">
        <f>TEST_DATA!C10892</f>
        <v/>
      </c>
      <c r="D10892">
        <f>TEST_DATA!D10892</f>
        <v/>
      </c>
      <c r="E10892">
        <f>TEST_DATA!E10892</f>
        <v/>
      </c>
    </row>
    <row r="10893">
      <c r="A10893">
        <f>TEST_DATA!A10893</f>
        <v/>
      </c>
      <c r="B10893">
        <f>TEST_DATA!B10893</f>
        <v/>
      </c>
      <c r="C10893">
        <f>TEST_DATA!C10893</f>
        <v/>
      </c>
      <c r="D10893">
        <f>TEST_DATA!D10893</f>
        <v/>
      </c>
      <c r="E10893">
        <f>TEST_DATA!E10893</f>
        <v/>
      </c>
    </row>
    <row r="10894">
      <c r="A10894">
        <f>TEST_DATA!A10894</f>
        <v/>
      </c>
      <c r="B10894">
        <f>TEST_DATA!B10894</f>
        <v/>
      </c>
      <c r="C10894">
        <f>TEST_DATA!C10894</f>
        <v/>
      </c>
      <c r="D10894">
        <f>TEST_DATA!D10894</f>
        <v/>
      </c>
      <c r="E10894">
        <f>TEST_DATA!E10894</f>
        <v/>
      </c>
    </row>
    <row r="10895">
      <c r="A10895">
        <f>TEST_DATA!A10895</f>
        <v/>
      </c>
      <c r="B10895">
        <f>TEST_DATA!B10895</f>
        <v/>
      </c>
      <c r="C10895">
        <f>TEST_DATA!C10895</f>
        <v/>
      </c>
      <c r="D10895">
        <f>TEST_DATA!D10895</f>
        <v/>
      </c>
      <c r="E10895">
        <f>TEST_DATA!E10895</f>
        <v/>
      </c>
    </row>
    <row r="10896">
      <c r="A10896">
        <f>TEST_DATA!A10896</f>
        <v/>
      </c>
      <c r="B10896">
        <f>TEST_DATA!B10896</f>
        <v/>
      </c>
      <c r="C10896">
        <f>TEST_DATA!C10896</f>
        <v/>
      </c>
      <c r="D10896">
        <f>TEST_DATA!D10896</f>
        <v/>
      </c>
      <c r="E10896">
        <f>TEST_DATA!E10896</f>
        <v/>
      </c>
    </row>
    <row r="10897">
      <c r="A10897">
        <f>TEST_DATA!A10897</f>
        <v/>
      </c>
      <c r="B10897">
        <f>TEST_DATA!B10897</f>
        <v/>
      </c>
      <c r="C10897">
        <f>TEST_DATA!C10897</f>
        <v/>
      </c>
      <c r="D10897">
        <f>TEST_DATA!D10897</f>
        <v/>
      </c>
      <c r="E10897">
        <f>TEST_DATA!E10897</f>
        <v/>
      </c>
    </row>
    <row r="10898">
      <c r="A10898">
        <f>TEST_DATA!A10898</f>
        <v/>
      </c>
      <c r="B10898">
        <f>TEST_DATA!B10898</f>
        <v/>
      </c>
      <c r="C10898">
        <f>TEST_DATA!C10898</f>
        <v/>
      </c>
      <c r="D10898">
        <f>TEST_DATA!D10898</f>
        <v/>
      </c>
      <c r="E10898">
        <f>TEST_DATA!E10898</f>
        <v/>
      </c>
    </row>
    <row r="10899">
      <c r="A10899">
        <f>TEST_DATA!A10899</f>
        <v/>
      </c>
      <c r="B10899">
        <f>TEST_DATA!B10899</f>
        <v/>
      </c>
      <c r="C10899">
        <f>TEST_DATA!C10899</f>
        <v/>
      </c>
      <c r="D10899">
        <f>TEST_DATA!D10899</f>
        <v/>
      </c>
      <c r="E10899">
        <f>TEST_DATA!E10899</f>
        <v/>
      </c>
    </row>
    <row r="10900">
      <c r="A10900">
        <f>TEST_DATA!A10900</f>
        <v/>
      </c>
      <c r="B10900">
        <f>TEST_DATA!B10900</f>
        <v/>
      </c>
      <c r="C10900">
        <f>TEST_DATA!C10900</f>
        <v/>
      </c>
      <c r="D10900">
        <f>TEST_DATA!D10900</f>
        <v/>
      </c>
      <c r="E10900">
        <f>TEST_DATA!E10900</f>
        <v/>
      </c>
    </row>
    <row r="10901">
      <c r="A10901">
        <f>TEST_DATA!A10901</f>
        <v/>
      </c>
      <c r="B10901">
        <f>TEST_DATA!B10901</f>
        <v/>
      </c>
      <c r="C10901">
        <f>TEST_DATA!C10901</f>
        <v/>
      </c>
      <c r="D10901">
        <f>TEST_DATA!D10901</f>
        <v/>
      </c>
      <c r="E10901">
        <f>TEST_DATA!E10901</f>
        <v/>
      </c>
    </row>
    <row r="10902">
      <c r="A10902">
        <f>TEST_DATA!A10902</f>
        <v/>
      </c>
      <c r="B10902">
        <f>TEST_DATA!B10902</f>
        <v/>
      </c>
      <c r="C10902">
        <f>TEST_DATA!C10902</f>
        <v/>
      </c>
      <c r="D10902">
        <f>TEST_DATA!D10902</f>
        <v/>
      </c>
      <c r="E10902">
        <f>TEST_DATA!E10902</f>
        <v/>
      </c>
    </row>
    <row r="10903">
      <c r="A10903">
        <f>TEST_DATA!A10903</f>
        <v/>
      </c>
      <c r="B10903">
        <f>TEST_DATA!B10903</f>
        <v/>
      </c>
      <c r="C10903">
        <f>TEST_DATA!C10903</f>
        <v/>
      </c>
      <c r="D10903">
        <f>TEST_DATA!D10903</f>
        <v/>
      </c>
      <c r="E10903">
        <f>TEST_DATA!E10903</f>
        <v/>
      </c>
    </row>
    <row r="10904">
      <c r="A10904">
        <f>TEST_DATA!A10904</f>
        <v/>
      </c>
      <c r="B10904">
        <f>TEST_DATA!B10904</f>
        <v/>
      </c>
      <c r="C10904">
        <f>TEST_DATA!C10904</f>
        <v/>
      </c>
      <c r="D10904">
        <f>TEST_DATA!D10904</f>
        <v/>
      </c>
      <c r="E10904">
        <f>TEST_DATA!E10904</f>
        <v/>
      </c>
    </row>
    <row r="10905">
      <c r="A10905">
        <f>TEST_DATA!A10905</f>
        <v/>
      </c>
      <c r="B10905">
        <f>TEST_DATA!B10905</f>
        <v/>
      </c>
      <c r="C10905">
        <f>TEST_DATA!C10905</f>
        <v/>
      </c>
      <c r="D10905">
        <f>TEST_DATA!D10905</f>
        <v/>
      </c>
      <c r="E10905">
        <f>TEST_DATA!E10905</f>
        <v/>
      </c>
    </row>
    <row r="10906">
      <c r="A10906">
        <f>TEST_DATA!A10906</f>
        <v/>
      </c>
      <c r="B10906">
        <f>TEST_DATA!B10906</f>
        <v/>
      </c>
      <c r="C10906">
        <f>TEST_DATA!C10906</f>
        <v/>
      </c>
      <c r="D10906">
        <f>TEST_DATA!D10906</f>
        <v/>
      </c>
      <c r="E10906">
        <f>TEST_DATA!E10906</f>
        <v/>
      </c>
    </row>
    <row r="10907">
      <c r="A10907">
        <f>TEST_DATA!A10907</f>
        <v/>
      </c>
      <c r="B10907">
        <f>TEST_DATA!B10907</f>
        <v/>
      </c>
      <c r="C10907">
        <f>TEST_DATA!C10907</f>
        <v/>
      </c>
      <c r="D10907">
        <f>TEST_DATA!D10907</f>
        <v/>
      </c>
      <c r="E10907">
        <f>TEST_DATA!E10907</f>
        <v/>
      </c>
    </row>
    <row r="10908">
      <c r="A10908">
        <f>TEST_DATA!A10908</f>
        <v/>
      </c>
      <c r="B10908">
        <f>TEST_DATA!B10908</f>
        <v/>
      </c>
      <c r="C10908">
        <f>TEST_DATA!C10908</f>
        <v/>
      </c>
      <c r="D10908">
        <f>TEST_DATA!D10908</f>
        <v/>
      </c>
      <c r="E10908">
        <f>TEST_DATA!E10908</f>
        <v/>
      </c>
    </row>
    <row r="10909">
      <c r="A10909">
        <f>TEST_DATA!A10909</f>
        <v/>
      </c>
      <c r="B10909">
        <f>TEST_DATA!B10909</f>
        <v/>
      </c>
      <c r="C10909">
        <f>TEST_DATA!C10909</f>
        <v/>
      </c>
      <c r="D10909">
        <f>TEST_DATA!D10909</f>
        <v/>
      </c>
      <c r="E10909">
        <f>TEST_DATA!E10909</f>
        <v/>
      </c>
    </row>
    <row r="10910">
      <c r="A10910">
        <f>TEST_DATA!A10910</f>
        <v/>
      </c>
      <c r="B10910">
        <f>TEST_DATA!B10910</f>
        <v/>
      </c>
      <c r="C10910">
        <f>TEST_DATA!C10910</f>
        <v/>
      </c>
      <c r="D10910">
        <f>TEST_DATA!D10910</f>
        <v/>
      </c>
      <c r="E10910">
        <f>TEST_DATA!E10910</f>
        <v/>
      </c>
    </row>
    <row r="10911">
      <c r="A10911">
        <f>TEST_DATA!A10911</f>
        <v/>
      </c>
      <c r="B10911">
        <f>TEST_DATA!B10911</f>
        <v/>
      </c>
      <c r="C10911">
        <f>TEST_DATA!C10911</f>
        <v/>
      </c>
      <c r="D10911">
        <f>TEST_DATA!D10911</f>
        <v/>
      </c>
      <c r="E10911">
        <f>TEST_DATA!E10911</f>
        <v/>
      </c>
    </row>
    <row r="10912">
      <c r="A10912">
        <f>TEST_DATA!A10912</f>
        <v/>
      </c>
      <c r="B10912">
        <f>TEST_DATA!B10912</f>
        <v/>
      </c>
      <c r="C10912">
        <f>TEST_DATA!C10912</f>
        <v/>
      </c>
      <c r="D10912">
        <f>TEST_DATA!D10912</f>
        <v/>
      </c>
      <c r="E10912">
        <f>TEST_DATA!E10912</f>
        <v/>
      </c>
    </row>
    <row r="10913">
      <c r="A10913">
        <f>TEST_DATA!A10913</f>
        <v/>
      </c>
      <c r="B10913">
        <f>TEST_DATA!B10913</f>
        <v/>
      </c>
      <c r="C10913">
        <f>TEST_DATA!C10913</f>
        <v/>
      </c>
      <c r="D10913">
        <f>TEST_DATA!D10913</f>
        <v/>
      </c>
      <c r="E10913">
        <f>TEST_DATA!E10913</f>
        <v/>
      </c>
    </row>
    <row r="10914">
      <c r="A10914">
        <f>TEST_DATA!A10914</f>
        <v/>
      </c>
      <c r="B10914">
        <f>TEST_DATA!B10914</f>
        <v/>
      </c>
      <c r="C10914">
        <f>TEST_DATA!C10914</f>
        <v/>
      </c>
      <c r="D10914">
        <f>TEST_DATA!D10914</f>
        <v/>
      </c>
      <c r="E10914">
        <f>TEST_DATA!E10914</f>
        <v/>
      </c>
    </row>
    <row r="10915">
      <c r="A10915">
        <f>TEST_DATA!A10915</f>
        <v/>
      </c>
      <c r="B10915">
        <f>TEST_DATA!B10915</f>
        <v/>
      </c>
      <c r="C10915">
        <f>TEST_DATA!C10915</f>
        <v/>
      </c>
      <c r="D10915">
        <f>TEST_DATA!D10915</f>
        <v/>
      </c>
      <c r="E10915">
        <f>TEST_DATA!E10915</f>
        <v/>
      </c>
    </row>
    <row r="10916">
      <c r="A10916">
        <f>TEST_DATA!A10916</f>
        <v/>
      </c>
      <c r="B10916">
        <f>TEST_DATA!B10916</f>
        <v/>
      </c>
      <c r="C10916">
        <f>TEST_DATA!C10916</f>
        <v/>
      </c>
      <c r="D10916">
        <f>TEST_DATA!D10916</f>
        <v/>
      </c>
      <c r="E10916">
        <f>TEST_DATA!E10916</f>
        <v/>
      </c>
    </row>
    <row r="10917">
      <c r="A10917">
        <f>TEST_DATA!A10917</f>
        <v/>
      </c>
      <c r="B10917">
        <f>TEST_DATA!B10917</f>
        <v/>
      </c>
      <c r="C10917">
        <f>TEST_DATA!C10917</f>
        <v/>
      </c>
      <c r="D10917">
        <f>TEST_DATA!D10917</f>
        <v/>
      </c>
      <c r="E10917">
        <f>TEST_DATA!E10917</f>
        <v/>
      </c>
    </row>
    <row r="10918">
      <c r="A10918">
        <f>TEST_DATA!A10918</f>
        <v/>
      </c>
      <c r="B10918">
        <f>TEST_DATA!B10918</f>
        <v/>
      </c>
      <c r="C10918">
        <f>TEST_DATA!C10918</f>
        <v/>
      </c>
      <c r="D10918">
        <f>TEST_DATA!D10918</f>
        <v/>
      </c>
      <c r="E10918">
        <f>TEST_DATA!E10918</f>
        <v/>
      </c>
    </row>
    <row r="10919">
      <c r="A10919">
        <f>TEST_DATA!A10919</f>
        <v/>
      </c>
      <c r="B10919">
        <f>TEST_DATA!B10919</f>
        <v/>
      </c>
      <c r="C10919">
        <f>TEST_DATA!C10919</f>
        <v/>
      </c>
      <c r="D10919">
        <f>TEST_DATA!D10919</f>
        <v/>
      </c>
      <c r="E10919">
        <f>TEST_DATA!E10919</f>
        <v/>
      </c>
    </row>
    <row r="10920">
      <c r="A10920">
        <f>TEST_DATA!A10920</f>
        <v/>
      </c>
      <c r="B10920">
        <f>TEST_DATA!B10920</f>
        <v/>
      </c>
      <c r="C10920">
        <f>TEST_DATA!C10920</f>
        <v/>
      </c>
      <c r="D10920">
        <f>TEST_DATA!D10920</f>
        <v/>
      </c>
      <c r="E10920">
        <f>TEST_DATA!E10920</f>
        <v/>
      </c>
    </row>
    <row r="10921">
      <c r="A10921">
        <f>TEST_DATA!A10921</f>
        <v/>
      </c>
      <c r="B10921">
        <f>TEST_DATA!B10921</f>
        <v/>
      </c>
      <c r="C10921">
        <f>TEST_DATA!C10921</f>
        <v/>
      </c>
      <c r="D10921">
        <f>TEST_DATA!D10921</f>
        <v/>
      </c>
      <c r="E10921">
        <f>TEST_DATA!E10921</f>
        <v/>
      </c>
    </row>
    <row r="10922">
      <c r="A10922">
        <f>TEST_DATA!A10922</f>
        <v/>
      </c>
      <c r="B10922">
        <f>TEST_DATA!B10922</f>
        <v/>
      </c>
      <c r="C10922">
        <f>TEST_DATA!C10922</f>
        <v/>
      </c>
      <c r="D10922">
        <f>TEST_DATA!D10922</f>
        <v/>
      </c>
      <c r="E10922">
        <f>TEST_DATA!E10922</f>
        <v/>
      </c>
    </row>
    <row r="10923">
      <c r="A10923">
        <f>TEST_DATA!A10923</f>
        <v/>
      </c>
      <c r="B10923">
        <f>TEST_DATA!B10923</f>
        <v/>
      </c>
      <c r="C10923">
        <f>TEST_DATA!C10923</f>
        <v/>
      </c>
      <c r="D10923">
        <f>TEST_DATA!D10923</f>
        <v/>
      </c>
      <c r="E10923">
        <f>TEST_DATA!E10923</f>
        <v/>
      </c>
    </row>
    <row r="10924">
      <c r="A10924">
        <f>TEST_DATA!A10924</f>
        <v/>
      </c>
      <c r="B10924">
        <f>TEST_DATA!B10924</f>
        <v/>
      </c>
      <c r="C10924">
        <f>TEST_DATA!C10924</f>
        <v/>
      </c>
      <c r="D10924">
        <f>TEST_DATA!D10924</f>
        <v/>
      </c>
      <c r="E10924">
        <f>TEST_DATA!E10924</f>
        <v/>
      </c>
    </row>
    <row r="10925">
      <c r="A10925">
        <f>TEST_DATA!A10925</f>
        <v/>
      </c>
      <c r="B10925">
        <f>TEST_DATA!B10925</f>
        <v/>
      </c>
      <c r="C10925">
        <f>TEST_DATA!C10925</f>
        <v/>
      </c>
      <c r="D10925">
        <f>TEST_DATA!D10925</f>
        <v/>
      </c>
      <c r="E10925">
        <f>TEST_DATA!E10925</f>
        <v/>
      </c>
    </row>
    <row r="10926">
      <c r="A10926">
        <f>TEST_DATA!A10926</f>
        <v/>
      </c>
      <c r="B10926">
        <f>TEST_DATA!B10926</f>
        <v/>
      </c>
      <c r="C10926">
        <f>TEST_DATA!C10926</f>
        <v/>
      </c>
      <c r="D10926">
        <f>TEST_DATA!D10926</f>
        <v/>
      </c>
      <c r="E10926">
        <f>TEST_DATA!E10926</f>
        <v/>
      </c>
    </row>
    <row r="10927">
      <c r="A10927">
        <f>TEST_DATA!A10927</f>
        <v/>
      </c>
      <c r="B10927">
        <f>TEST_DATA!B10927</f>
        <v/>
      </c>
      <c r="C10927">
        <f>TEST_DATA!C10927</f>
        <v/>
      </c>
      <c r="D10927">
        <f>TEST_DATA!D10927</f>
        <v/>
      </c>
      <c r="E10927">
        <f>TEST_DATA!E10927</f>
        <v/>
      </c>
    </row>
    <row r="10928">
      <c r="A10928">
        <f>TEST_DATA!A10928</f>
        <v/>
      </c>
      <c r="B10928">
        <f>TEST_DATA!B10928</f>
        <v/>
      </c>
      <c r="C10928">
        <f>TEST_DATA!C10928</f>
        <v/>
      </c>
      <c r="D10928">
        <f>TEST_DATA!D10928</f>
        <v/>
      </c>
      <c r="E10928">
        <f>TEST_DATA!E10928</f>
        <v/>
      </c>
    </row>
    <row r="10929">
      <c r="A10929">
        <f>TEST_DATA!A10929</f>
        <v/>
      </c>
      <c r="B10929">
        <f>TEST_DATA!B10929</f>
        <v/>
      </c>
      <c r="C10929">
        <f>TEST_DATA!C10929</f>
        <v/>
      </c>
      <c r="D10929">
        <f>TEST_DATA!D10929</f>
        <v/>
      </c>
      <c r="E10929">
        <f>TEST_DATA!E10929</f>
        <v/>
      </c>
    </row>
    <row r="10930">
      <c r="A10930">
        <f>TEST_DATA!A10930</f>
        <v/>
      </c>
      <c r="B10930">
        <f>TEST_DATA!B10930</f>
        <v/>
      </c>
      <c r="C10930">
        <f>TEST_DATA!C10930</f>
        <v/>
      </c>
      <c r="D10930">
        <f>TEST_DATA!D10930</f>
        <v/>
      </c>
      <c r="E10930">
        <f>TEST_DATA!E10930</f>
        <v/>
      </c>
    </row>
    <row r="10931">
      <c r="A10931">
        <f>TEST_DATA!A10931</f>
        <v/>
      </c>
      <c r="B10931">
        <f>TEST_DATA!B10931</f>
        <v/>
      </c>
      <c r="C10931">
        <f>TEST_DATA!C10931</f>
        <v/>
      </c>
      <c r="D10931">
        <f>TEST_DATA!D10931</f>
        <v/>
      </c>
      <c r="E10931">
        <f>TEST_DATA!E10931</f>
        <v/>
      </c>
    </row>
    <row r="10932">
      <c r="A10932">
        <f>TEST_DATA!A10932</f>
        <v/>
      </c>
      <c r="B10932">
        <f>TEST_DATA!B10932</f>
        <v/>
      </c>
      <c r="C10932">
        <f>TEST_DATA!C10932</f>
        <v/>
      </c>
      <c r="D10932">
        <f>TEST_DATA!D10932</f>
        <v/>
      </c>
      <c r="E10932">
        <f>TEST_DATA!E10932</f>
        <v/>
      </c>
    </row>
    <row r="10933">
      <c r="A10933">
        <f>TEST_DATA!A10933</f>
        <v/>
      </c>
      <c r="B10933">
        <f>TEST_DATA!B10933</f>
        <v/>
      </c>
      <c r="C10933">
        <f>TEST_DATA!C10933</f>
        <v/>
      </c>
      <c r="D10933">
        <f>TEST_DATA!D10933</f>
        <v/>
      </c>
      <c r="E10933">
        <f>TEST_DATA!E10933</f>
        <v/>
      </c>
    </row>
    <row r="10934">
      <c r="A10934">
        <f>TEST_DATA!A10934</f>
        <v/>
      </c>
      <c r="B10934">
        <f>TEST_DATA!B10934</f>
        <v/>
      </c>
      <c r="C10934">
        <f>TEST_DATA!C10934</f>
        <v/>
      </c>
      <c r="D10934">
        <f>TEST_DATA!D10934</f>
        <v/>
      </c>
      <c r="E10934">
        <f>TEST_DATA!E10934</f>
        <v/>
      </c>
    </row>
    <row r="10935">
      <c r="A10935">
        <f>TEST_DATA!A10935</f>
        <v/>
      </c>
      <c r="B10935">
        <f>TEST_DATA!B10935</f>
        <v/>
      </c>
      <c r="C10935">
        <f>TEST_DATA!C10935</f>
        <v/>
      </c>
      <c r="D10935">
        <f>TEST_DATA!D10935</f>
        <v/>
      </c>
      <c r="E10935">
        <f>TEST_DATA!E10935</f>
        <v/>
      </c>
    </row>
    <row r="10936">
      <c r="A10936">
        <f>TEST_DATA!A10936</f>
        <v/>
      </c>
      <c r="B10936">
        <f>TEST_DATA!B10936</f>
        <v/>
      </c>
      <c r="C10936">
        <f>TEST_DATA!C10936</f>
        <v/>
      </c>
      <c r="D10936">
        <f>TEST_DATA!D10936</f>
        <v/>
      </c>
      <c r="E10936">
        <f>TEST_DATA!E10936</f>
        <v/>
      </c>
    </row>
    <row r="10937">
      <c r="A10937">
        <f>TEST_DATA!A10937</f>
        <v/>
      </c>
      <c r="B10937">
        <f>TEST_DATA!B10937</f>
        <v/>
      </c>
      <c r="C10937">
        <f>TEST_DATA!C10937</f>
        <v/>
      </c>
      <c r="D10937">
        <f>TEST_DATA!D10937</f>
        <v/>
      </c>
      <c r="E10937">
        <f>TEST_DATA!E10937</f>
        <v/>
      </c>
    </row>
    <row r="10938">
      <c r="A10938">
        <f>TEST_DATA!A10938</f>
        <v/>
      </c>
      <c r="B10938">
        <f>TEST_DATA!B10938</f>
        <v/>
      </c>
      <c r="C10938">
        <f>TEST_DATA!C10938</f>
        <v/>
      </c>
      <c r="D10938">
        <f>TEST_DATA!D10938</f>
        <v/>
      </c>
      <c r="E10938">
        <f>TEST_DATA!E10938</f>
        <v/>
      </c>
    </row>
    <row r="10939">
      <c r="A10939">
        <f>TEST_DATA!A10939</f>
        <v/>
      </c>
      <c r="B10939">
        <f>TEST_DATA!B10939</f>
        <v/>
      </c>
      <c r="C10939">
        <f>TEST_DATA!C10939</f>
        <v/>
      </c>
      <c r="D10939">
        <f>TEST_DATA!D10939</f>
        <v/>
      </c>
      <c r="E10939">
        <f>TEST_DATA!E10939</f>
        <v/>
      </c>
    </row>
    <row r="10940">
      <c r="A10940">
        <f>TEST_DATA!A10940</f>
        <v/>
      </c>
      <c r="B10940">
        <f>TEST_DATA!B10940</f>
        <v/>
      </c>
      <c r="C10940">
        <f>TEST_DATA!C10940</f>
        <v/>
      </c>
      <c r="D10940">
        <f>TEST_DATA!D10940</f>
        <v/>
      </c>
      <c r="E10940">
        <f>TEST_DATA!E10940</f>
        <v/>
      </c>
    </row>
    <row r="10941">
      <c r="A10941">
        <f>TEST_DATA!A10941</f>
        <v/>
      </c>
      <c r="B10941">
        <f>TEST_DATA!B10941</f>
        <v/>
      </c>
      <c r="C10941">
        <f>TEST_DATA!C10941</f>
        <v/>
      </c>
      <c r="D10941">
        <f>TEST_DATA!D10941</f>
        <v/>
      </c>
      <c r="E10941">
        <f>TEST_DATA!E10941</f>
        <v/>
      </c>
    </row>
    <row r="10942">
      <c r="A10942">
        <f>TEST_DATA!A10942</f>
        <v/>
      </c>
      <c r="B10942">
        <f>TEST_DATA!B10942</f>
        <v/>
      </c>
      <c r="C10942">
        <f>TEST_DATA!C10942</f>
        <v/>
      </c>
      <c r="D10942">
        <f>TEST_DATA!D10942</f>
        <v/>
      </c>
      <c r="E10942">
        <f>TEST_DATA!E10942</f>
        <v/>
      </c>
    </row>
    <row r="10943">
      <c r="A10943">
        <f>TEST_DATA!A10943</f>
        <v/>
      </c>
      <c r="B10943">
        <f>TEST_DATA!B10943</f>
        <v/>
      </c>
      <c r="C10943">
        <f>TEST_DATA!C10943</f>
        <v/>
      </c>
      <c r="D10943">
        <f>TEST_DATA!D10943</f>
        <v/>
      </c>
      <c r="E10943">
        <f>TEST_DATA!E10943</f>
        <v/>
      </c>
    </row>
    <row r="10944">
      <c r="A10944">
        <f>TEST_DATA!A10944</f>
        <v/>
      </c>
      <c r="B10944">
        <f>TEST_DATA!B10944</f>
        <v/>
      </c>
      <c r="C10944">
        <f>TEST_DATA!C10944</f>
        <v/>
      </c>
      <c r="D10944">
        <f>TEST_DATA!D10944</f>
        <v/>
      </c>
      <c r="E10944">
        <f>TEST_DATA!E10944</f>
        <v/>
      </c>
    </row>
    <row r="10945">
      <c r="A10945">
        <f>TEST_DATA!A10945</f>
        <v/>
      </c>
      <c r="B10945">
        <f>TEST_DATA!B10945</f>
        <v/>
      </c>
      <c r="C10945">
        <f>TEST_DATA!C10945</f>
        <v/>
      </c>
      <c r="D10945">
        <f>TEST_DATA!D10945</f>
        <v/>
      </c>
      <c r="E10945">
        <f>TEST_DATA!E10945</f>
        <v/>
      </c>
    </row>
    <row r="10946">
      <c r="A10946">
        <f>TEST_DATA!A10946</f>
        <v/>
      </c>
      <c r="B10946">
        <f>TEST_DATA!B10946</f>
        <v/>
      </c>
      <c r="C10946">
        <f>TEST_DATA!C10946</f>
        <v/>
      </c>
      <c r="D10946">
        <f>TEST_DATA!D10946</f>
        <v/>
      </c>
      <c r="E10946">
        <f>TEST_DATA!E10946</f>
        <v/>
      </c>
    </row>
    <row r="10947">
      <c r="A10947">
        <f>TEST_DATA!A10947</f>
        <v/>
      </c>
      <c r="B10947">
        <f>TEST_DATA!B10947</f>
        <v/>
      </c>
      <c r="C10947">
        <f>TEST_DATA!C10947</f>
        <v/>
      </c>
      <c r="D10947">
        <f>TEST_DATA!D10947</f>
        <v/>
      </c>
      <c r="E10947">
        <f>TEST_DATA!E10947</f>
        <v/>
      </c>
    </row>
    <row r="10948">
      <c r="A10948">
        <f>TEST_DATA!A10948</f>
        <v/>
      </c>
      <c r="B10948">
        <f>TEST_DATA!B10948</f>
        <v/>
      </c>
      <c r="C10948">
        <f>TEST_DATA!C10948</f>
        <v/>
      </c>
      <c r="D10948">
        <f>TEST_DATA!D10948</f>
        <v/>
      </c>
      <c r="E10948">
        <f>TEST_DATA!E10948</f>
        <v/>
      </c>
    </row>
    <row r="10949">
      <c r="A10949">
        <f>TEST_DATA!A10949</f>
        <v/>
      </c>
      <c r="B10949">
        <f>TEST_DATA!B10949</f>
        <v/>
      </c>
      <c r="C10949">
        <f>TEST_DATA!C10949</f>
        <v/>
      </c>
      <c r="D10949">
        <f>TEST_DATA!D10949</f>
        <v/>
      </c>
      <c r="E10949">
        <f>TEST_DATA!E10949</f>
        <v/>
      </c>
    </row>
    <row r="10950">
      <c r="A10950">
        <f>TEST_DATA!A10950</f>
        <v/>
      </c>
      <c r="B10950">
        <f>TEST_DATA!B10950</f>
        <v/>
      </c>
      <c r="C10950">
        <f>TEST_DATA!C10950</f>
        <v/>
      </c>
      <c r="D10950">
        <f>TEST_DATA!D10950</f>
        <v/>
      </c>
      <c r="E10950">
        <f>TEST_DATA!E10950</f>
        <v/>
      </c>
    </row>
    <row r="10951">
      <c r="A10951">
        <f>TEST_DATA!A10951</f>
        <v/>
      </c>
      <c r="B10951">
        <f>TEST_DATA!B10951</f>
        <v/>
      </c>
      <c r="C10951">
        <f>TEST_DATA!C10951</f>
        <v/>
      </c>
      <c r="D10951">
        <f>TEST_DATA!D10951</f>
        <v/>
      </c>
      <c r="E10951">
        <f>TEST_DATA!E10951</f>
        <v/>
      </c>
    </row>
    <row r="10952">
      <c r="A10952">
        <f>TEST_DATA!A10952</f>
        <v/>
      </c>
      <c r="B10952">
        <f>TEST_DATA!B10952</f>
        <v/>
      </c>
      <c r="C10952">
        <f>TEST_DATA!C10952</f>
        <v/>
      </c>
      <c r="D10952">
        <f>TEST_DATA!D10952</f>
        <v/>
      </c>
      <c r="E10952">
        <f>TEST_DATA!E10952</f>
        <v/>
      </c>
    </row>
    <row r="10953">
      <c r="A10953">
        <f>TEST_DATA!A10953</f>
        <v/>
      </c>
      <c r="B10953">
        <f>TEST_DATA!B10953</f>
        <v/>
      </c>
      <c r="C10953">
        <f>TEST_DATA!C10953</f>
        <v/>
      </c>
      <c r="D10953">
        <f>TEST_DATA!D10953</f>
        <v/>
      </c>
      <c r="E10953">
        <f>TEST_DATA!E10953</f>
        <v/>
      </c>
    </row>
    <row r="10954">
      <c r="A10954">
        <f>TEST_DATA!A10954</f>
        <v/>
      </c>
      <c r="B10954">
        <f>TEST_DATA!B10954</f>
        <v/>
      </c>
      <c r="C10954">
        <f>TEST_DATA!C10954</f>
        <v/>
      </c>
      <c r="D10954">
        <f>TEST_DATA!D10954</f>
        <v/>
      </c>
      <c r="E10954">
        <f>TEST_DATA!E10954</f>
        <v/>
      </c>
    </row>
    <row r="10955">
      <c r="A10955">
        <f>TEST_DATA!A10955</f>
        <v/>
      </c>
      <c r="B10955">
        <f>TEST_DATA!B10955</f>
        <v/>
      </c>
      <c r="C10955">
        <f>TEST_DATA!C10955</f>
        <v/>
      </c>
      <c r="D10955">
        <f>TEST_DATA!D10955</f>
        <v/>
      </c>
      <c r="E10955">
        <f>TEST_DATA!E10955</f>
        <v/>
      </c>
    </row>
    <row r="10956">
      <c r="A10956">
        <f>TEST_DATA!A10956</f>
        <v/>
      </c>
      <c r="B10956">
        <f>TEST_DATA!B10956</f>
        <v/>
      </c>
      <c r="C10956">
        <f>TEST_DATA!C10956</f>
        <v/>
      </c>
      <c r="D10956">
        <f>TEST_DATA!D10956</f>
        <v/>
      </c>
      <c r="E10956">
        <f>TEST_DATA!E10956</f>
        <v/>
      </c>
    </row>
    <row r="10957">
      <c r="A10957">
        <f>TEST_DATA!A10957</f>
        <v/>
      </c>
      <c r="B10957">
        <f>TEST_DATA!B10957</f>
        <v/>
      </c>
      <c r="C10957">
        <f>TEST_DATA!C10957</f>
        <v/>
      </c>
      <c r="D10957">
        <f>TEST_DATA!D10957</f>
        <v/>
      </c>
      <c r="E10957">
        <f>TEST_DATA!E10957</f>
        <v/>
      </c>
    </row>
    <row r="10958">
      <c r="A10958">
        <f>TEST_DATA!A10958</f>
        <v/>
      </c>
      <c r="B10958">
        <f>TEST_DATA!B10958</f>
        <v/>
      </c>
      <c r="C10958">
        <f>TEST_DATA!C10958</f>
        <v/>
      </c>
      <c r="D10958">
        <f>TEST_DATA!D10958</f>
        <v/>
      </c>
      <c r="E10958">
        <f>TEST_DATA!E10958</f>
        <v/>
      </c>
    </row>
    <row r="10959">
      <c r="A10959">
        <f>TEST_DATA!A10959</f>
        <v/>
      </c>
      <c r="B10959">
        <f>TEST_DATA!B10959</f>
        <v/>
      </c>
      <c r="C10959">
        <f>TEST_DATA!C10959</f>
        <v/>
      </c>
      <c r="D10959">
        <f>TEST_DATA!D10959</f>
        <v/>
      </c>
      <c r="E10959">
        <f>TEST_DATA!E10959</f>
        <v/>
      </c>
    </row>
    <row r="10960">
      <c r="A10960">
        <f>TEST_DATA!A10960</f>
        <v/>
      </c>
      <c r="B10960">
        <f>TEST_DATA!B10960</f>
        <v/>
      </c>
      <c r="C10960">
        <f>TEST_DATA!C10960</f>
        <v/>
      </c>
      <c r="D10960">
        <f>TEST_DATA!D10960</f>
        <v/>
      </c>
      <c r="E10960">
        <f>TEST_DATA!E10960</f>
        <v/>
      </c>
    </row>
    <row r="10961">
      <c r="A10961">
        <f>TEST_DATA!A10961</f>
        <v/>
      </c>
      <c r="B10961">
        <f>TEST_DATA!B10961</f>
        <v/>
      </c>
      <c r="C10961">
        <f>TEST_DATA!C10961</f>
        <v/>
      </c>
      <c r="D10961">
        <f>TEST_DATA!D10961</f>
        <v/>
      </c>
      <c r="E10961">
        <f>TEST_DATA!E10961</f>
        <v/>
      </c>
    </row>
    <row r="10962">
      <c r="A10962">
        <f>TEST_DATA!A10962</f>
        <v/>
      </c>
      <c r="B10962">
        <f>TEST_DATA!B10962</f>
        <v/>
      </c>
      <c r="C10962">
        <f>TEST_DATA!C10962</f>
        <v/>
      </c>
      <c r="D10962">
        <f>TEST_DATA!D10962</f>
        <v/>
      </c>
      <c r="E10962">
        <f>TEST_DATA!E10962</f>
        <v/>
      </c>
    </row>
    <row r="10963">
      <c r="A10963">
        <f>TEST_DATA!A10963</f>
        <v/>
      </c>
      <c r="B10963">
        <f>TEST_DATA!B10963</f>
        <v/>
      </c>
      <c r="C10963">
        <f>TEST_DATA!C10963</f>
        <v/>
      </c>
      <c r="D10963">
        <f>TEST_DATA!D10963</f>
        <v/>
      </c>
      <c r="E10963">
        <f>TEST_DATA!E10963</f>
        <v/>
      </c>
    </row>
    <row r="10964">
      <c r="A10964">
        <f>TEST_DATA!A10964</f>
        <v/>
      </c>
      <c r="B10964">
        <f>TEST_DATA!B10964</f>
        <v/>
      </c>
      <c r="C10964">
        <f>TEST_DATA!C10964</f>
        <v/>
      </c>
      <c r="D10964">
        <f>TEST_DATA!D10964</f>
        <v/>
      </c>
      <c r="E10964">
        <f>TEST_DATA!E10964</f>
        <v/>
      </c>
    </row>
    <row r="10965">
      <c r="A10965">
        <f>TEST_DATA!A10965</f>
        <v/>
      </c>
      <c r="B10965">
        <f>TEST_DATA!B10965</f>
        <v/>
      </c>
      <c r="C10965">
        <f>TEST_DATA!C10965</f>
        <v/>
      </c>
      <c r="D10965">
        <f>TEST_DATA!D10965</f>
        <v/>
      </c>
      <c r="E10965">
        <f>TEST_DATA!E10965</f>
        <v/>
      </c>
    </row>
    <row r="10966">
      <c r="A10966">
        <f>TEST_DATA!A10966</f>
        <v/>
      </c>
      <c r="B10966">
        <f>TEST_DATA!B10966</f>
        <v/>
      </c>
      <c r="C10966">
        <f>TEST_DATA!C10966</f>
        <v/>
      </c>
      <c r="D10966">
        <f>TEST_DATA!D10966</f>
        <v/>
      </c>
      <c r="E10966">
        <f>TEST_DATA!E10966</f>
        <v/>
      </c>
    </row>
    <row r="10967">
      <c r="A10967">
        <f>TEST_DATA!A10967</f>
        <v/>
      </c>
      <c r="B10967">
        <f>TEST_DATA!B10967</f>
        <v/>
      </c>
      <c r="C10967">
        <f>TEST_DATA!C10967</f>
        <v/>
      </c>
      <c r="D10967">
        <f>TEST_DATA!D10967</f>
        <v/>
      </c>
      <c r="E10967">
        <f>TEST_DATA!E10967</f>
        <v/>
      </c>
    </row>
    <row r="10968">
      <c r="A10968">
        <f>TEST_DATA!A10968</f>
        <v/>
      </c>
      <c r="B10968">
        <f>TEST_DATA!B10968</f>
        <v/>
      </c>
      <c r="C10968">
        <f>TEST_DATA!C10968</f>
        <v/>
      </c>
      <c r="D10968">
        <f>TEST_DATA!D10968</f>
        <v/>
      </c>
      <c r="E10968">
        <f>TEST_DATA!E10968</f>
        <v/>
      </c>
    </row>
    <row r="10969">
      <c r="A10969">
        <f>TEST_DATA!A10969</f>
        <v/>
      </c>
      <c r="B10969">
        <f>TEST_DATA!B10969</f>
        <v/>
      </c>
      <c r="C10969">
        <f>TEST_DATA!C10969</f>
        <v/>
      </c>
      <c r="D10969">
        <f>TEST_DATA!D10969</f>
        <v/>
      </c>
      <c r="E10969">
        <f>TEST_DATA!E10969</f>
        <v/>
      </c>
    </row>
    <row r="10970">
      <c r="A10970">
        <f>TEST_DATA!A10970</f>
        <v/>
      </c>
      <c r="B10970">
        <f>TEST_DATA!B10970</f>
        <v/>
      </c>
      <c r="C10970">
        <f>TEST_DATA!C10970</f>
        <v/>
      </c>
      <c r="D10970">
        <f>TEST_DATA!D10970</f>
        <v/>
      </c>
      <c r="E10970">
        <f>TEST_DATA!E10970</f>
        <v/>
      </c>
    </row>
    <row r="10971">
      <c r="A10971">
        <f>TEST_DATA!A10971</f>
        <v/>
      </c>
      <c r="B10971">
        <f>TEST_DATA!B10971</f>
        <v/>
      </c>
      <c r="C10971">
        <f>TEST_DATA!C10971</f>
        <v/>
      </c>
      <c r="D10971">
        <f>TEST_DATA!D10971</f>
        <v/>
      </c>
      <c r="E10971">
        <f>TEST_DATA!E10971</f>
        <v/>
      </c>
    </row>
    <row r="10972">
      <c r="A10972">
        <f>TEST_DATA!A10972</f>
        <v/>
      </c>
      <c r="B10972">
        <f>TEST_DATA!B10972</f>
        <v/>
      </c>
      <c r="C10972">
        <f>TEST_DATA!C10972</f>
        <v/>
      </c>
      <c r="D10972">
        <f>TEST_DATA!D10972</f>
        <v/>
      </c>
      <c r="E10972">
        <f>TEST_DATA!E10972</f>
        <v/>
      </c>
    </row>
    <row r="10973">
      <c r="A10973">
        <f>TEST_DATA!A10973</f>
        <v/>
      </c>
      <c r="B10973">
        <f>TEST_DATA!B10973</f>
        <v/>
      </c>
      <c r="C10973">
        <f>TEST_DATA!C10973</f>
        <v/>
      </c>
      <c r="D10973">
        <f>TEST_DATA!D10973</f>
        <v/>
      </c>
      <c r="E10973">
        <f>TEST_DATA!E10973</f>
        <v/>
      </c>
    </row>
    <row r="10974">
      <c r="A10974">
        <f>TEST_DATA!A10974</f>
        <v/>
      </c>
      <c r="B10974">
        <f>TEST_DATA!B10974</f>
        <v/>
      </c>
      <c r="C10974">
        <f>TEST_DATA!C10974</f>
        <v/>
      </c>
      <c r="D10974">
        <f>TEST_DATA!D10974</f>
        <v/>
      </c>
      <c r="E10974">
        <f>TEST_DATA!E10974</f>
        <v/>
      </c>
    </row>
    <row r="10975">
      <c r="A10975">
        <f>TEST_DATA!A10975</f>
        <v/>
      </c>
      <c r="B10975">
        <f>TEST_DATA!B10975</f>
        <v/>
      </c>
      <c r="C10975">
        <f>TEST_DATA!C10975</f>
        <v/>
      </c>
      <c r="D10975">
        <f>TEST_DATA!D10975</f>
        <v/>
      </c>
      <c r="E10975">
        <f>TEST_DATA!E10975</f>
        <v/>
      </c>
    </row>
    <row r="10976">
      <c r="A10976">
        <f>TEST_DATA!A10976</f>
        <v/>
      </c>
      <c r="B10976">
        <f>TEST_DATA!B10976</f>
        <v/>
      </c>
      <c r="C10976">
        <f>TEST_DATA!C10976</f>
        <v/>
      </c>
      <c r="D10976">
        <f>TEST_DATA!D10976</f>
        <v/>
      </c>
      <c r="E10976">
        <f>TEST_DATA!E10976</f>
        <v/>
      </c>
    </row>
    <row r="10977">
      <c r="A10977">
        <f>TEST_DATA!A10977</f>
        <v/>
      </c>
      <c r="B10977">
        <f>TEST_DATA!B10977</f>
        <v/>
      </c>
      <c r="C10977">
        <f>TEST_DATA!C10977</f>
        <v/>
      </c>
      <c r="D10977">
        <f>TEST_DATA!D10977</f>
        <v/>
      </c>
      <c r="E10977">
        <f>TEST_DATA!E10977</f>
        <v/>
      </c>
    </row>
    <row r="10978">
      <c r="A10978">
        <f>TEST_DATA!A10978</f>
        <v/>
      </c>
      <c r="B10978">
        <f>TEST_DATA!B10978</f>
        <v/>
      </c>
      <c r="C10978">
        <f>TEST_DATA!C10978</f>
        <v/>
      </c>
      <c r="D10978">
        <f>TEST_DATA!D10978</f>
        <v/>
      </c>
      <c r="E10978">
        <f>TEST_DATA!E10978</f>
        <v/>
      </c>
    </row>
    <row r="10979">
      <c r="A10979">
        <f>TEST_DATA!A10979</f>
        <v/>
      </c>
      <c r="B10979">
        <f>TEST_DATA!B10979</f>
        <v/>
      </c>
      <c r="C10979">
        <f>TEST_DATA!C10979</f>
        <v/>
      </c>
      <c r="D10979">
        <f>TEST_DATA!D10979</f>
        <v/>
      </c>
      <c r="E10979">
        <f>TEST_DATA!E10979</f>
        <v/>
      </c>
    </row>
    <row r="10980">
      <c r="A10980">
        <f>TEST_DATA!A10980</f>
        <v/>
      </c>
      <c r="B10980">
        <f>TEST_DATA!B10980</f>
        <v/>
      </c>
      <c r="C10980">
        <f>TEST_DATA!C10980</f>
        <v/>
      </c>
      <c r="D10980">
        <f>TEST_DATA!D10980</f>
        <v/>
      </c>
      <c r="E10980">
        <f>TEST_DATA!E10980</f>
        <v/>
      </c>
    </row>
    <row r="10981">
      <c r="A10981">
        <f>TEST_DATA!A10981</f>
        <v/>
      </c>
      <c r="B10981">
        <f>TEST_DATA!B10981</f>
        <v/>
      </c>
      <c r="C10981">
        <f>TEST_DATA!C10981</f>
        <v/>
      </c>
      <c r="D10981">
        <f>TEST_DATA!D10981</f>
        <v/>
      </c>
      <c r="E10981">
        <f>TEST_DATA!E10981</f>
        <v/>
      </c>
    </row>
    <row r="10982">
      <c r="A10982">
        <f>TEST_DATA!A10982</f>
        <v/>
      </c>
      <c r="B10982">
        <f>TEST_DATA!B10982</f>
        <v/>
      </c>
      <c r="C10982">
        <f>TEST_DATA!C10982</f>
        <v/>
      </c>
      <c r="D10982">
        <f>TEST_DATA!D10982</f>
        <v/>
      </c>
      <c r="E10982">
        <f>TEST_DATA!E10982</f>
        <v/>
      </c>
    </row>
    <row r="10983">
      <c r="A10983">
        <f>TEST_DATA!A10983</f>
        <v/>
      </c>
      <c r="B10983">
        <f>TEST_DATA!B10983</f>
        <v/>
      </c>
      <c r="C10983">
        <f>TEST_DATA!C10983</f>
        <v/>
      </c>
      <c r="D10983">
        <f>TEST_DATA!D10983</f>
        <v/>
      </c>
      <c r="E10983">
        <f>TEST_DATA!E10983</f>
        <v/>
      </c>
    </row>
    <row r="10984">
      <c r="A10984">
        <f>TEST_DATA!A10984</f>
        <v/>
      </c>
      <c r="B10984">
        <f>TEST_DATA!B10984</f>
        <v/>
      </c>
      <c r="C10984">
        <f>TEST_DATA!C10984</f>
        <v/>
      </c>
      <c r="D10984">
        <f>TEST_DATA!D10984</f>
        <v/>
      </c>
      <c r="E10984">
        <f>TEST_DATA!E10984</f>
        <v/>
      </c>
    </row>
    <row r="10985">
      <c r="A10985">
        <f>TEST_DATA!A10985</f>
        <v/>
      </c>
      <c r="B10985">
        <f>TEST_DATA!B10985</f>
        <v/>
      </c>
      <c r="C10985">
        <f>TEST_DATA!C10985</f>
        <v/>
      </c>
      <c r="D10985">
        <f>TEST_DATA!D10985</f>
        <v/>
      </c>
      <c r="E10985">
        <f>TEST_DATA!E10985</f>
        <v/>
      </c>
    </row>
    <row r="10986">
      <c r="A10986">
        <f>TEST_DATA!A10986</f>
        <v/>
      </c>
      <c r="B10986">
        <f>TEST_DATA!B10986</f>
        <v/>
      </c>
      <c r="C10986">
        <f>TEST_DATA!C10986</f>
        <v/>
      </c>
      <c r="D10986">
        <f>TEST_DATA!D10986</f>
        <v/>
      </c>
      <c r="E10986">
        <f>TEST_DATA!E10986</f>
        <v/>
      </c>
    </row>
    <row r="10987">
      <c r="A10987">
        <f>TEST_DATA!A10987</f>
        <v/>
      </c>
      <c r="B10987">
        <f>TEST_DATA!B10987</f>
        <v/>
      </c>
      <c r="C10987">
        <f>TEST_DATA!C10987</f>
        <v/>
      </c>
      <c r="D10987">
        <f>TEST_DATA!D10987</f>
        <v/>
      </c>
      <c r="E10987">
        <f>TEST_DATA!E10987</f>
        <v/>
      </c>
    </row>
    <row r="10988">
      <c r="A10988">
        <f>TEST_DATA!A10988</f>
        <v/>
      </c>
      <c r="B10988">
        <f>TEST_DATA!B10988</f>
        <v/>
      </c>
      <c r="C10988">
        <f>TEST_DATA!C10988</f>
        <v/>
      </c>
      <c r="D10988">
        <f>TEST_DATA!D10988</f>
        <v/>
      </c>
      <c r="E10988">
        <f>TEST_DATA!E10988</f>
        <v/>
      </c>
    </row>
    <row r="10989">
      <c r="A10989">
        <f>TEST_DATA!A10989</f>
        <v/>
      </c>
      <c r="B10989">
        <f>TEST_DATA!B10989</f>
        <v/>
      </c>
      <c r="C10989">
        <f>TEST_DATA!C10989</f>
        <v/>
      </c>
      <c r="D10989">
        <f>TEST_DATA!D10989</f>
        <v/>
      </c>
      <c r="E10989">
        <f>TEST_DATA!E10989</f>
        <v/>
      </c>
    </row>
    <row r="10990">
      <c r="A10990">
        <f>TEST_DATA!A10990</f>
        <v/>
      </c>
      <c r="B10990">
        <f>TEST_DATA!B10990</f>
        <v/>
      </c>
      <c r="C10990">
        <f>TEST_DATA!C10990</f>
        <v/>
      </c>
      <c r="D10990">
        <f>TEST_DATA!D10990</f>
        <v/>
      </c>
      <c r="E10990">
        <f>TEST_DATA!E10990</f>
        <v/>
      </c>
    </row>
    <row r="10991">
      <c r="A10991">
        <f>TEST_DATA!A10991</f>
        <v/>
      </c>
      <c r="B10991">
        <f>TEST_DATA!B10991</f>
        <v/>
      </c>
      <c r="C10991">
        <f>TEST_DATA!C10991</f>
        <v/>
      </c>
      <c r="D10991">
        <f>TEST_DATA!D10991</f>
        <v/>
      </c>
      <c r="E10991">
        <f>TEST_DATA!E10991</f>
        <v/>
      </c>
    </row>
    <row r="10992">
      <c r="A10992">
        <f>TEST_DATA!A10992</f>
        <v/>
      </c>
      <c r="B10992">
        <f>TEST_DATA!B10992</f>
        <v/>
      </c>
      <c r="C10992">
        <f>TEST_DATA!C10992</f>
        <v/>
      </c>
      <c r="D10992">
        <f>TEST_DATA!D10992</f>
        <v/>
      </c>
      <c r="E10992">
        <f>TEST_DATA!E10992</f>
        <v/>
      </c>
    </row>
    <row r="10993">
      <c r="A10993">
        <f>TEST_DATA!A10993</f>
        <v/>
      </c>
      <c r="B10993">
        <f>TEST_DATA!B10993</f>
        <v/>
      </c>
      <c r="C10993">
        <f>TEST_DATA!C10993</f>
        <v/>
      </c>
      <c r="D10993">
        <f>TEST_DATA!D10993</f>
        <v/>
      </c>
      <c r="E10993">
        <f>TEST_DATA!E10993</f>
        <v/>
      </c>
    </row>
    <row r="10994">
      <c r="A10994">
        <f>TEST_DATA!A10994</f>
        <v/>
      </c>
      <c r="B10994">
        <f>TEST_DATA!B10994</f>
        <v/>
      </c>
      <c r="C10994">
        <f>TEST_DATA!C10994</f>
        <v/>
      </c>
      <c r="D10994">
        <f>TEST_DATA!D10994</f>
        <v/>
      </c>
      <c r="E10994">
        <f>TEST_DATA!E10994</f>
        <v/>
      </c>
    </row>
    <row r="10995">
      <c r="A10995">
        <f>TEST_DATA!A10995</f>
        <v/>
      </c>
      <c r="B10995">
        <f>TEST_DATA!B10995</f>
        <v/>
      </c>
      <c r="C10995">
        <f>TEST_DATA!C10995</f>
        <v/>
      </c>
      <c r="D10995">
        <f>TEST_DATA!D10995</f>
        <v/>
      </c>
      <c r="E10995">
        <f>TEST_DATA!E10995</f>
        <v/>
      </c>
    </row>
    <row r="10996">
      <c r="A10996">
        <f>TEST_DATA!A10996</f>
        <v/>
      </c>
      <c r="B10996">
        <f>TEST_DATA!B10996</f>
        <v/>
      </c>
      <c r="C10996">
        <f>TEST_DATA!C10996</f>
        <v/>
      </c>
      <c r="D10996">
        <f>TEST_DATA!D10996</f>
        <v/>
      </c>
      <c r="E10996">
        <f>TEST_DATA!E10996</f>
        <v/>
      </c>
    </row>
    <row r="10997">
      <c r="A10997">
        <f>TEST_DATA!A10997</f>
        <v/>
      </c>
      <c r="B10997">
        <f>TEST_DATA!B10997</f>
        <v/>
      </c>
      <c r="C10997">
        <f>TEST_DATA!C10997</f>
        <v/>
      </c>
      <c r="D10997">
        <f>TEST_DATA!D10997</f>
        <v/>
      </c>
      <c r="E10997">
        <f>TEST_DATA!E10997</f>
        <v/>
      </c>
    </row>
    <row r="10998">
      <c r="A10998">
        <f>TEST_DATA!A10998</f>
        <v/>
      </c>
      <c r="B10998">
        <f>TEST_DATA!B10998</f>
        <v/>
      </c>
      <c r="C10998">
        <f>TEST_DATA!C10998</f>
        <v/>
      </c>
      <c r="D10998">
        <f>TEST_DATA!D10998</f>
        <v/>
      </c>
      <c r="E10998">
        <f>TEST_DATA!E10998</f>
        <v/>
      </c>
    </row>
    <row r="10999">
      <c r="A10999">
        <f>TEST_DATA!A10999</f>
        <v/>
      </c>
      <c r="B10999">
        <f>TEST_DATA!B10999</f>
        <v/>
      </c>
      <c r="C10999">
        <f>TEST_DATA!C10999</f>
        <v/>
      </c>
      <c r="D10999">
        <f>TEST_DATA!D10999</f>
        <v/>
      </c>
      <c r="E10999">
        <f>TEST_DATA!E10999</f>
        <v/>
      </c>
    </row>
    <row r="11000">
      <c r="A11000">
        <f>TEST_DATA!A11000</f>
        <v/>
      </c>
      <c r="B11000">
        <f>TEST_DATA!B11000</f>
        <v/>
      </c>
      <c r="C11000">
        <f>TEST_DATA!C11000</f>
        <v/>
      </c>
      <c r="D11000">
        <f>TEST_DATA!D11000</f>
        <v/>
      </c>
      <c r="E11000">
        <f>TEST_DATA!E11000</f>
        <v/>
      </c>
    </row>
    <row r="11001">
      <c r="A11001">
        <f>TEST_DATA!A11001</f>
        <v/>
      </c>
      <c r="B11001">
        <f>TEST_DATA!B11001</f>
        <v/>
      </c>
      <c r="C11001">
        <f>TEST_DATA!C11001</f>
        <v/>
      </c>
      <c r="D11001">
        <f>TEST_DATA!D11001</f>
        <v/>
      </c>
      <c r="E11001">
        <f>TEST_DATA!E11001</f>
        <v/>
      </c>
    </row>
    <row r="11002">
      <c r="A11002">
        <f>TEST_DATA!A11002</f>
        <v/>
      </c>
      <c r="B11002">
        <f>TEST_DATA!B11002</f>
        <v/>
      </c>
      <c r="C11002">
        <f>TEST_DATA!C11002</f>
        <v/>
      </c>
      <c r="D11002">
        <f>TEST_DATA!D11002</f>
        <v/>
      </c>
      <c r="E11002">
        <f>TEST_DATA!E11002</f>
        <v/>
      </c>
    </row>
    <row r="11003">
      <c r="A11003">
        <f>TEST_DATA!A11003</f>
        <v/>
      </c>
      <c r="B11003">
        <f>TEST_DATA!B11003</f>
        <v/>
      </c>
      <c r="C11003">
        <f>TEST_DATA!C11003</f>
        <v/>
      </c>
      <c r="D11003">
        <f>TEST_DATA!D11003</f>
        <v/>
      </c>
      <c r="E11003">
        <f>TEST_DATA!E11003</f>
        <v/>
      </c>
    </row>
    <row r="11004">
      <c r="A11004">
        <f>TEST_DATA!A11004</f>
        <v/>
      </c>
      <c r="B11004">
        <f>TEST_DATA!B11004</f>
        <v/>
      </c>
      <c r="C11004">
        <f>TEST_DATA!C11004</f>
        <v/>
      </c>
      <c r="D11004">
        <f>TEST_DATA!D11004</f>
        <v/>
      </c>
      <c r="E11004">
        <f>TEST_DATA!E11004</f>
        <v/>
      </c>
    </row>
    <row r="11005">
      <c r="A11005">
        <f>TEST_DATA!A11005</f>
        <v/>
      </c>
      <c r="B11005">
        <f>TEST_DATA!B11005</f>
        <v/>
      </c>
      <c r="C11005">
        <f>TEST_DATA!C11005</f>
        <v/>
      </c>
      <c r="D11005">
        <f>TEST_DATA!D11005</f>
        <v/>
      </c>
      <c r="E11005">
        <f>TEST_DATA!E11005</f>
        <v/>
      </c>
    </row>
    <row r="11006">
      <c r="A11006">
        <f>TEST_DATA!A11006</f>
        <v/>
      </c>
      <c r="B11006">
        <f>TEST_DATA!B11006</f>
        <v/>
      </c>
      <c r="C11006">
        <f>TEST_DATA!C11006</f>
        <v/>
      </c>
      <c r="D11006">
        <f>TEST_DATA!D11006</f>
        <v/>
      </c>
      <c r="E11006">
        <f>TEST_DATA!E11006</f>
        <v/>
      </c>
    </row>
    <row r="11007">
      <c r="A11007">
        <f>TEST_DATA!A11007</f>
        <v/>
      </c>
      <c r="B11007">
        <f>TEST_DATA!B11007</f>
        <v/>
      </c>
      <c r="C11007">
        <f>TEST_DATA!C11007</f>
        <v/>
      </c>
      <c r="D11007">
        <f>TEST_DATA!D11007</f>
        <v/>
      </c>
      <c r="E11007">
        <f>TEST_DATA!E11007</f>
        <v/>
      </c>
    </row>
    <row r="11008">
      <c r="A11008">
        <f>TEST_DATA!A11008</f>
        <v/>
      </c>
      <c r="B11008">
        <f>TEST_DATA!B11008</f>
        <v/>
      </c>
      <c r="C11008">
        <f>TEST_DATA!C11008</f>
        <v/>
      </c>
      <c r="D11008">
        <f>TEST_DATA!D11008</f>
        <v/>
      </c>
      <c r="E11008">
        <f>TEST_DATA!E11008</f>
        <v/>
      </c>
    </row>
    <row r="11009">
      <c r="A11009">
        <f>TEST_DATA!A11009</f>
        <v/>
      </c>
      <c r="B11009">
        <f>TEST_DATA!B11009</f>
        <v/>
      </c>
      <c r="C11009">
        <f>TEST_DATA!C11009</f>
        <v/>
      </c>
      <c r="D11009">
        <f>TEST_DATA!D11009</f>
        <v/>
      </c>
      <c r="E11009">
        <f>TEST_DATA!E11009</f>
        <v/>
      </c>
    </row>
    <row r="11010">
      <c r="A11010">
        <f>TEST_DATA!A11010</f>
        <v/>
      </c>
      <c r="B11010">
        <f>TEST_DATA!B11010</f>
        <v/>
      </c>
      <c r="C11010">
        <f>TEST_DATA!C11010</f>
        <v/>
      </c>
      <c r="D11010">
        <f>TEST_DATA!D11010</f>
        <v/>
      </c>
      <c r="E11010">
        <f>TEST_DATA!E11010</f>
        <v/>
      </c>
    </row>
    <row r="11011">
      <c r="A11011">
        <f>TEST_DATA!A11011</f>
        <v/>
      </c>
      <c r="B11011">
        <f>TEST_DATA!B11011</f>
        <v/>
      </c>
      <c r="C11011">
        <f>TEST_DATA!C11011</f>
        <v/>
      </c>
      <c r="D11011">
        <f>TEST_DATA!D11011</f>
        <v/>
      </c>
      <c r="E11011">
        <f>TEST_DATA!E11011</f>
        <v/>
      </c>
    </row>
    <row r="11012">
      <c r="A11012">
        <f>TEST_DATA!A11012</f>
        <v/>
      </c>
      <c r="B11012">
        <f>TEST_DATA!B11012</f>
        <v/>
      </c>
      <c r="C11012">
        <f>TEST_DATA!C11012</f>
        <v/>
      </c>
      <c r="D11012">
        <f>TEST_DATA!D11012</f>
        <v/>
      </c>
      <c r="E11012">
        <f>TEST_DATA!E11012</f>
        <v/>
      </c>
    </row>
    <row r="11013">
      <c r="A11013">
        <f>TEST_DATA!A11013</f>
        <v/>
      </c>
      <c r="B11013">
        <f>TEST_DATA!B11013</f>
        <v/>
      </c>
      <c r="C11013">
        <f>TEST_DATA!C11013</f>
        <v/>
      </c>
      <c r="D11013">
        <f>TEST_DATA!D11013</f>
        <v/>
      </c>
      <c r="E11013">
        <f>TEST_DATA!E11013</f>
        <v/>
      </c>
    </row>
    <row r="11014">
      <c r="A11014">
        <f>TEST_DATA!A11014</f>
        <v/>
      </c>
      <c r="B11014">
        <f>TEST_DATA!B11014</f>
        <v/>
      </c>
      <c r="C11014">
        <f>TEST_DATA!C11014</f>
        <v/>
      </c>
      <c r="D11014">
        <f>TEST_DATA!D11014</f>
        <v/>
      </c>
      <c r="E11014">
        <f>TEST_DATA!E11014</f>
        <v/>
      </c>
    </row>
    <row r="11015">
      <c r="A11015">
        <f>TEST_DATA!A11015</f>
        <v/>
      </c>
      <c r="B11015">
        <f>TEST_DATA!B11015</f>
        <v/>
      </c>
      <c r="C11015">
        <f>TEST_DATA!C11015</f>
        <v/>
      </c>
      <c r="D11015">
        <f>TEST_DATA!D11015</f>
        <v/>
      </c>
      <c r="E11015">
        <f>TEST_DATA!E11015</f>
        <v/>
      </c>
    </row>
    <row r="11016">
      <c r="A11016">
        <f>TEST_DATA!A11016</f>
        <v/>
      </c>
      <c r="B11016">
        <f>TEST_DATA!B11016</f>
        <v/>
      </c>
      <c r="C11016">
        <f>TEST_DATA!C11016</f>
        <v/>
      </c>
      <c r="D11016">
        <f>TEST_DATA!D11016</f>
        <v/>
      </c>
      <c r="E11016">
        <f>TEST_DATA!E11016</f>
        <v/>
      </c>
    </row>
    <row r="11017">
      <c r="A11017">
        <f>TEST_DATA!A11017</f>
        <v/>
      </c>
      <c r="B11017">
        <f>TEST_DATA!B11017</f>
        <v/>
      </c>
      <c r="C11017">
        <f>TEST_DATA!C11017</f>
        <v/>
      </c>
      <c r="D11017">
        <f>TEST_DATA!D11017</f>
        <v/>
      </c>
      <c r="E11017">
        <f>TEST_DATA!E11017</f>
        <v/>
      </c>
    </row>
    <row r="11018">
      <c r="A11018">
        <f>TEST_DATA!A11018</f>
        <v/>
      </c>
      <c r="B11018">
        <f>TEST_DATA!B11018</f>
        <v/>
      </c>
      <c r="C11018">
        <f>TEST_DATA!C11018</f>
        <v/>
      </c>
      <c r="D11018">
        <f>TEST_DATA!D11018</f>
        <v/>
      </c>
      <c r="E11018">
        <f>TEST_DATA!E11018</f>
        <v/>
      </c>
    </row>
    <row r="11019">
      <c r="A11019">
        <f>TEST_DATA!A11019</f>
        <v/>
      </c>
      <c r="B11019">
        <f>TEST_DATA!B11019</f>
        <v/>
      </c>
      <c r="C11019">
        <f>TEST_DATA!C11019</f>
        <v/>
      </c>
      <c r="D11019">
        <f>TEST_DATA!D11019</f>
        <v/>
      </c>
      <c r="E11019">
        <f>TEST_DATA!E11019</f>
        <v/>
      </c>
    </row>
    <row r="11020">
      <c r="A11020">
        <f>TEST_DATA!A11020</f>
        <v/>
      </c>
      <c r="B11020">
        <f>TEST_DATA!B11020</f>
        <v/>
      </c>
      <c r="C11020">
        <f>TEST_DATA!C11020</f>
        <v/>
      </c>
      <c r="D11020">
        <f>TEST_DATA!D11020</f>
        <v/>
      </c>
      <c r="E11020">
        <f>TEST_DATA!E11020</f>
        <v/>
      </c>
    </row>
    <row r="11021">
      <c r="A11021">
        <f>TEST_DATA!A11021</f>
        <v/>
      </c>
      <c r="B11021">
        <f>TEST_DATA!B11021</f>
        <v/>
      </c>
      <c r="C11021">
        <f>TEST_DATA!C11021</f>
        <v/>
      </c>
      <c r="D11021">
        <f>TEST_DATA!D11021</f>
        <v/>
      </c>
      <c r="E11021">
        <f>TEST_DATA!E11021</f>
        <v/>
      </c>
    </row>
    <row r="11022">
      <c r="A11022">
        <f>TEST_DATA!A11022</f>
        <v/>
      </c>
      <c r="B11022">
        <f>TEST_DATA!B11022</f>
        <v/>
      </c>
      <c r="C11022">
        <f>TEST_DATA!C11022</f>
        <v/>
      </c>
      <c r="D11022">
        <f>TEST_DATA!D11022</f>
        <v/>
      </c>
      <c r="E11022">
        <f>TEST_DATA!E11022</f>
        <v/>
      </c>
    </row>
    <row r="11023">
      <c r="A11023">
        <f>TEST_DATA!A11023</f>
        <v/>
      </c>
      <c r="B11023">
        <f>TEST_DATA!B11023</f>
        <v/>
      </c>
      <c r="C11023">
        <f>TEST_DATA!C11023</f>
        <v/>
      </c>
      <c r="D11023">
        <f>TEST_DATA!D11023</f>
        <v/>
      </c>
      <c r="E11023">
        <f>TEST_DATA!E11023</f>
        <v/>
      </c>
    </row>
    <row r="11024">
      <c r="A11024">
        <f>TEST_DATA!A11024</f>
        <v/>
      </c>
      <c r="B11024">
        <f>TEST_DATA!B11024</f>
        <v/>
      </c>
      <c r="C11024">
        <f>TEST_DATA!C11024</f>
        <v/>
      </c>
      <c r="D11024">
        <f>TEST_DATA!D11024</f>
        <v/>
      </c>
      <c r="E11024">
        <f>TEST_DATA!E11024</f>
        <v/>
      </c>
    </row>
    <row r="11025">
      <c r="A11025">
        <f>TEST_DATA!A11025</f>
        <v/>
      </c>
      <c r="B11025">
        <f>TEST_DATA!B11025</f>
        <v/>
      </c>
      <c r="C11025">
        <f>TEST_DATA!C11025</f>
        <v/>
      </c>
      <c r="D11025">
        <f>TEST_DATA!D11025</f>
        <v/>
      </c>
      <c r="E11025">
        <f>TEST_DATA!E11025</f>
        <v/>
      </c>
    </row>
    <row r="11026">
      <c r="A11026">
        <f>TEST_DATA!A11026</f>
        <v/>
      </c>
      <c r="B11026">
        <f>TEST_DATA!B11026</f>
        <v/>
      </c>
      <c r="C11026">
        <f>TEST_DATA!C11026</f>
        <v/>
      </c>
      <c r="D11026">
        <f>TEST_DATA!D11026</f>
        <v/>
      </c>
      <c r="E11026">
        <f>TEST_DATA!E11026</f>
        <v/>
      </c>
    </row>
    <row r="11027">
      <c r="A11027">
        <f>TEST_DATA!A11027</f>
        <v/>
      </c>
      <c r="B11027">
        <f>TEST_DATA!B11027</f>
        <v/>
      </c>
      <c r="C11027">
        <f>TEST_DATA!C11027</f>
        <v/>
      </c>
      <c r="D11027">
        <f>TEST_DATA!D11027</f>
        <v/>
      </c>
      <c r="E11027">
        <f>TEST_DATA!E11027</f>
        <v/>
      </c>
    </row>
    <row r="11028">
      <c r="A11028">
        <f>TEST_DATA!A11028</f>
        <v/>
      </c>
      <c r="B11028">
        <f>TEST_DATA!B11028</f>
        <v/>
      </c>
      <c r="C11028">
        <f>TEST_DATA!C11028</f>
        <v/>
      </c>
      <c r="D11028">
        <f>TEST_DATA!D11028</f>
        <v/>
      </c>
      <c r="E11028">
        <f>TEST_DATA!E11028</f>
        <v/>
      </c>
    </row>
    <row r="11029">
      <c r="A11029">
        <f>TEST_DATA!A11029</f>
        <v/>
      </c>
      <c r="B11029">
        <f>TEST_DATA!B11029</f>
        <v/>
      </c>
      <c r="C11029">
        <f>TEST_DATA!C11029</f>
        <v/>
      </c>
      <c r="D11029">
        <f>TEST_DATA!D11029</f>
        <v/>
      </c>
      <c r="E11029">
        <f>TEST_DATA!E11029</f>
        <v/>
      </c>
    </row>
    <row r="11030">
      <c r="A11030">
        <f>TEST_DATA!A11030</f>
        <v/>
      </c>
      <c r="B11030">
        <f>TEST_DATA!B11030</f>
        <v/>
      </c>
      <c r="C11030">
        <f>TEST_DATA!C11030</f>
        <v/>
      </c>
      <c r="D11030">
        <f>TEST_DATA!D11030</f>
        <v/>
      </c>
      <c r="E11030">
        <f>TEST_DATA!E11030</f>
        <v/>
      </c>
    </row>
    <row r="11031">
      <c r="A11031">
        <f>TEST_DATA!A11031</f>
        <v/>
      </c>
      <c r="B11031">
        <f>TEST_DATA!B11031</f>
        <v/>
      </c>
      <c r="C11031">
        <f>TEST_DATA!C11031</f>
        <v/>
      </c>
      <c r="D11031">
        <f>TEST_DATA!D11031</f>
        <v/>
      </c>
      <c r="E11031">
        <f>TEST_DATA!E11031</f>
        <v/>
      </c>
    </row>
    <row r="11032">
      <c r="A11032">
        <f>TEST_DATA!A11032</f>
        <v/>
      </c>
      <c r="B11032">
        <f>TEST_DATA!B11032</f>
        <v/>
      </c>
      <c r="C11032">
        <f>TEST_DATA!C11032</f>
        <v/>
      </c>
      <c r="D11032">
        <f>TEST_DATA!D11032</f>
        <v/>
      </c>
      <c r="E11032">
        <f>TEST_DATA!E11032</f>
        <v/>
      </c>
    </row>
    <row r="11033">
      <c r="A11033">
        <f>TEST_DATA!A11033</f>
        <v/>
      </c>
      <c r="B11033">
        <f>TEST_DATA!B11033</f>
        <v/>
      </c>
      <c r="C11033">
        <f>TEST_DATA!C11033</f>
        <v/>
      </c>
      <c r="D11033">
        <f>TEST_DATA!D11033</f>
        <v/>
      </c>
      <c r="E11033">
        <f>TEST_DATA!E11033</f>
        <v/>
      </c>
    </row>
    <row r="11034">
      <c r="A11034">
        <f>TEST_DATA!A11034</f>
        <v/>
      </c>
      <c r="B11034">
        <f>TEST_DATA!B11034</f>
        <v/>
      </c>
      <c r="C11034">
        <f>TEST_DATA!C11034</f>
        <v/>
      </c>
      <c r="D11034">
        <f>TEST_DATA!D11034</f>
        <v/>
      </c>
      <c r="E11034">
        <f>TEST_DATA!E11034</f>
        <v/>
      </c>
    </row>
    <row r="11035">
      <c r="A11035">
        <f>TEST_DATA!A11035</f>
        <v/>
      </c>
      <c r="B11035">
        <f>TEST_DATA!B11035</f>
        <v/>
      </c>
      <c r="C11035">
        <f>TEST_DATA!C11035</f>
        <v/>
      </c>
      <c r="D11035">
        <f>TEST_DATA!D11035</f>
        <v/>
      </c>
      <c r="E11035">
        <f>TEST_DATA!E11035</f>
        <v/>
      </c>
    </row>
    <row r="11036">
      <c r="A11036">
        <f>TEST_DATA!A11036</f>
        <v/>
      </c>
      <c r="B11036">
        <f>TEST_DATA!B11036</f>
        <v/>
      </c>
      <c r="C11036">
        <f>TEST_DATA!C11036</f>
        <v/>
      </c>
      <c r="D11036">
        <f>TEST_DATA!D11036</f>
        <v/>
      </c>
      <c r="E11036">
        <f>TEST_DATA!E11036</f>
        <v/>
      </c>
    </row>
    <row r="11037">
      <c r="A11037">
        <f>TEST_DATA!A11037</f>
        <v/>
      </c>
      <c r="B11037">
        <f>TEST_DATA!B11037</f>
        <v/>
      </c>
      <c r="C11037">
        <f>TEST_DATA!C11037</f>
        <v/>
      </c>
      <c r="D11037">
        <f>TEST_DATA!D11037</f>
        <v/>
      </c>
      <c r="E11037">
        <f>TEST_DATA!E11037</f>
        <v/>
      </c>
    </row>
    <row r="11038">
      <c r="A11038">
        <f>TEST_DATA!A11038</f>
        <v/>
      </c>
      <c r="B11038">
        <f>TEST_DATA!B11038</f>
        <v/>
      </c>
      <c r="C11038">
        <f>TEST_DATA!C11038</f>
        <v/>
      </c>
      <c r="D11038">
        <f>TEST_DATA!D11038</f>
        <v/>
      </c>
      <c r="E11038">
        <f>TEST_DATA!E11038</f>
        <v/>
      </c>
    </row>
    <row r="11039">
      <c r="A11039">
        <f>TEST_DATA!A11039</f>
        <v/>
      </c>
      <c r="B11039">
        <f>TEST_DATA!B11039</f>
        <v/>
      </c>
      <c r="C11039">
        <f>TEST_DATA!C11039</f>
        <v/>
      </c>
      <c r="D11039">
        <f>TEST_DATA!D11039</f>
        <v/>
      </c>
      <c r="E11039">
        <f>TEST_DATA!E11039</f>
        <v/>
      </c>
    </row>
    <row r="11040">
      <c r="A11040">
        <f>TEST_DATA!A11040</f>
        <v/>
      </c>
      <c r="B11040">
        <f>TEST_DATA!B11040</f>
        <v/>
      </c>
      <c r="C11040">
        <f>TEST_DATA!C11040</f>
        <v/>
      </c>
      <c r="D11040">
        <f>TEST_DATA!D11040</f>
        <v/>
      </c>
      <c r="E11040">
        <f>TEST_DATA!E11040</f>
        <v/>
      </c>
    </row>
    <row r="11041">
      <c r="A11041">
        <f>TEST_DATA!A11041</f>
        <v/>
      </c>
      <c r="B11041">
        <f>TEST_DATA!B11041</f>
        <v/>
      </c>
      <c r="C11041">
        <f>TEST_DATA!C11041</f>
        <v/>
      </c>
      <c r="D11041">
        <f>TEST_DATA!D11041</f>
        <v/>
      </c>
      <c r="E11041">
        <f>TEST_DATA!E11041</f>
        <v/>
      </c>
    </row>
    <row r="11042">
      <c r="A11042">
        <f>TEST_DATA!A11042</f>
        <v/>
      </c>
      <c r="B11042">
        <f>TEST_DATA!B11042</f>
        <v/>
      </c>
      <c r="C11042">
        <f>TEST_DATA!C11042</f>
        <v/>
      </c>
      <c r="D11042">
        <f>TEST_DATA!D11042</f>
        <v/>
      </c>
      <c r="E11042">
        <f>TEST_DATA!E11042</f>
        <v/>
      </c>
    </row>
    <row r="11043">
      <c r="A11043">
        <f>TEST_DATA!A11043</f>
        <v/>
      </c>
      <c r="B11043">
        <f>TEST_DATA!B11043</f>
        <v/>
      </c>
      <c r="C11043">
        <f>TEST_DATA!C11043</f>
        <v/>
      </c>
      <c r="D11043">
        <f>TEST_DATA!D11043</f>
        <v/>
      </c>
      <c r="E11043">
        <f>TEST_DATA!E11043</f>
        <v/>
      </c>
    </row>
    <row r="11044">
      <c r="A11044">
        <f>TEST_DATA!A11044</f>
        <v/>
      </c>
      <c r="B11044">
        <f>TEST_DATA!B11044</f>
        <v/>
      </c>
      <c r="C11044">
        <f>TEST_DATA!C11044</f>
        <v/>
      </c>
      <c r="D11044">
        <f>TEST_DATA!D11044</f>
        <v/>
      </c>
      <c r="E11044">
        <f>TEST_DATA!E11044</f>
        <v/>
      </c>
    </row>
    <row r="11045">
      <c r="A11045">
        <f>TEST_DATA!A11045</f>
        <v/>
      </c>
      <c r="B11045">
        <f>TEST_DATA!B11045</f>
        <v/>
      </c>
      <c r="C11045">
        <f>TEST_DATA!C11045</f>
        <v/>
      </c>
      <c r="D11045">
        <f>TEST_DATA!D11045</f>
        <v/>
      </c>
      <c r="E11045">
        <f>TEST_DATA!E11045</f>
        <v/>
      </c>
    </row>
    <row r="11046">
      <c r="A11046">
        <f>TEST_DATA!A11046</f>
        <v/>
      </c>
      <c r="B11046">
        <f>TEST_DATA!B11046</f>
        <v/>
      </c>
      <c r="C11046">
        <f>TEST_DATA!C11046</f>
        <v/>
      </c>
      <c r="D11046">
        <f>TEST_DATA!D11046</f>
        <v/>
      </c>
      <c r="E11046">
        <f>TEST_DATA!E11046</f>
        <v/>
      </c>
    </row>
    <row r="11047">
      <c r="A11047">
        <f>TEST_DATA!A11047</f>
        <v/>
      </c>
      <c r="B11047">
        <f>TEST_DATA!B11047</f>
        <v/>
      </c>
      <c r="C11047">
        <f>TEST_DATA!C11047</f>
        <v/>
      </c>
      <c r="D11047">
        <f>TEST_DATA!D11047</f>
        <v/>
      </c>
      <c r="E11047">
        <f>TEST_DATA!E11047</f>
        <v/>
      </c>
    </row>
    <row r="11048">
      <c r="A11048">
        <f>TEST_DATA!A11048</f>
        <v/>
      </c>
      <c r="B11048">
        <f>TEST_DATA!B11048</f>
        <v/>
      </c>
      <c r="C11048">
        <f>TEST_DATA!C11048</f>
        <v/>
      </c>
      <c r="D11048">
        <f>TEST_DATA!D11048</f>
        <v/>
      </c>
      <c r="E11048">
        <f>TEST_DATA!E11048</f>
        <v/>
      </c>
    </row>
    <row r="11049">
      <c r="A11049">
        <f>TEST_DATA!A11049</f>
        <v/>
      </c>
      <c r="B11049">
        <f>TEST_DATA!B11049</f>
        <v/>
      </c>
      <c r="C11049">
        <f>TEST_DATA!C11049</f>
        <v/>
      </c>
      <c r="D11049">
        <f>TEST_DATA!D11049</f>
        <v/>
      </c>
      <c r="E11049">
        <f>TEST_DATA!E11049</f>
        <v/>
      </c>
    </row>
    <row r="11050">
      <c r="A11050">
        <f>TEST_DATA!A11050</f>
        <v/>
      </c>
      <c r="B11050">
        <f>TEST_DATA!B11050</f>
        <v/>
      </c>
      <c r="C11050">
        <f>TEST_DATA!C11050</f>
        <v/>
      </c>
      <c r="D11050">
        <f>TEST_DATA!D11050</f>
        <v/>
      </c>
      <c r="E11050">
        <f>TEST_DATA!E11050</f>
        <v/>
      </c>
    </row>
    <row r="11051">
      <c r="A11051">
        <f>TEST_DATA!A11051</f>
        <v/>
      </c>
      <c r="B11051">
        <f>TEST_DATA!B11051</f>
        <v/>
      </c>
      <c r="C11051">
        <f>TEST_DATA!C11051</f>
        <v/>
      </c>
      <c r="D11051">
        <f>TEST_DATA!D11051</f>
        <v/>
      </c>
      <c r="E11051">
        <f>TEST_DATA!E11051</f>
        <v/>
      </c>
    </row>
    <row r="11052">
      <c r="A11052">
        <f>TEST_DATA!A11052</f>
        <v/>
      </c>
      <c r="B11052">
        <f>TEST_DATA!B11052</f>
        <v/>
      </c>
      <c r="C11052">
        <f>TEST_DATA!C11052</f>
        <v/>
      </c>
      <c r="D11052">
        <f>TEST_DATA!D11052</f>
        <v/>
      </c>
      <c r="E11052">
        <f>TEST_DATA!E11052</f>
        <v/>
      </c>
    </row>
    <row r="11053">
      <c r="A11053">
        <f>TEST_DATA!A11053</f>
        <v/>
      </c>
      <c r="B11053">
        <f>TEST_DATA!B11053</f>
        <v/>
      </c>
      <c r="C11053">
        <f>TEST_DATA!C11053</f>
        <v/>
      </c>
      <c r="D11053">
        <f>TEST_DATA!D11053</f>
        <v/>
      </c>
      <c r="E11053">
        <f>TEST_DATA!E11053</f>
        <v/>
      </c>
    </row>
    <row r="11054">
      <c r="A11054">
        <f>TEST_DATA!A11054</f>
        <v/>
      </c>
      <c r="B11054">
        <f>TEST_DATA!B11054</f>
        <v/>
      </c>
      <c r="C11054">
        <f>TEST_DATA!C11054</f>
        <v/>
      </c>
      <c r="D11054">
        <f>TEST_DATA!D11054</f>
        <v/>
      </c>
      <c r="E11054">
        <f>TEST_DATA!E11054</f>
        <v/>
      </c>
    </row>
    <row r="11055">
      <c r="A11055">
        <f>TEST_DATA!A11055</f>
        <v/>
      </c>
      <c r="B11055">
        <f>TEST_DATA!B11055</f>
        <v/>
      </c>
      <c r="C11055">
        <f>TEST_DATA!C11055</f>
        <v/>
      </c>
      <c r="D11055">
        <f>TEST_DATA!D11055</f>
        <v/>
      </c>
      <c r="E11055">
        <f>TEST_DATA!E11055</f>
        <v/>
      </c>
    </row>
    <row r="11056">
      <c r="A11056">
        <f>TEST_DATA!A11056</f>
        <v/>
      </c>
      <c r="B11056">
        <f>TEST_DATA!B11056</f>
        <v/>
      </c>
      <c r="C11056">
        <f>TEST_DATA!C11056</f>
        <v/>
      </c>
      <c r="D11056">
        <f>TEST_DATA!D11056</f>
        <v/>
      </c>
      <c r="E11056">
        <f>TEST_DATA!E11056</f>
        <v/>
      </c>
    </row>
    <row r="11057">
      <c r="A11057">
        <f>TEST_DATA!A11057</f>
        <v/>
      </c>
      <c r="B11057">
        <f>TEST_DATA!B11057</f>
        <v/>
      </c>
      <c r="C11057">
        <f>TEST_DATA!C11057</f>
        <v/>
      </c>
      <c r="D11057">
        <f>TEST_DATA!D11057</f>
        <v/>
      </c>
      <c r="E11057">
        <f>TEST_DATA!E11057</f>
        <v/>
      </c>
    </row>
    <row r="11058">
      <c r="A11058">
        <f>TEST_DATA!A11058</f>
        <v/>
      </c>
      <c r="B11058">
        <f>TEST_DATA!B11058</f>
        <v/>
      </c>
      <c r="C11058">
        <f>TEST_DATA!C11058</f>
        <v/>
      </c>
      <c r="D11058">
        <f>TEST_DATA!D11058</f>
        <v/>
      </c>
      <c r="E11058">
        <f>TEST_DATA!E11058</f>
        <v/>
      </c>
    </row>
    <row r="11059">
      <c r="A11059">
        <f>TEST_DATA!A11059</f>
        <v/>
      </c>
      <c r="B11059">
        <f>TEST_DATA!B11059</f>
        <v/>
      </c>
      <c r="C11059">
        <f>TEST_DATA!C11059</f>
        <v/>
      </c>
      <c r="D11059">
        <f>TEST_DATA!D11059</f>
        <v/>
      </c>
      <c r="E11059">
        <f>TEST_DATA!E11059</f>
        <v/>
      </c>
    </row>
    <row r="11060">
      <c r="A11060">
        <f>TEST_DATA!A11060</f>
        <v/>
      </c>
      <c r="B11060">
        <f>TEST_DATA!B11060</f>
        <v/>
      </c>
      <c r="C11060">
        <f>TEST_DATA!C11060</f>
        <v/>
      </c>
      <c r="D11060">
        <f>TEST_DATA!D11060</f>
        <v/>
      </c>
      <c r="E11060">
        <f>TEST_DATA!E11060</f>
        <v/>
      </c>
    </row>
    <row r="11061">
      <c r="A11061">
        <f>TEST_DATA!A11061</f>
        <v/>
      </c>
      <c r="B11061">
        <f>TEST_DATA!B11061</f>
        <v/>
      </c>
      <c r="C11061">
        <f>TEST_DATA!C11061</f>
        <v/>
      </c>
      <c r="D11061">
        <f>TEST_DATA!D11061</f>
        <v/>
      </c>
      <c r="E11061">
        <f>TEST_DATA!E11061</f>
        <v/>
      </c>
    </row>
    <row r="11062">
      <c r="A11062">
        <f>TEST_DATA!A11062</f>
        <v/>
      </c>
      <c r="B11062">
        <f>TEST_DATA!B11062</f>
        <v/>
      </c>
      <c r="C11062">
        <f>TEST_DATA!C11062</f>
        <v/>
      </c>
      <c r="D11062">
        <f>TEST_DATA!D11062</f>
        <v/>
      </c>
      <c r="E11062">
        <f>TEST_DATA!E11062</f>
        <v/>
      </c>
    </row>
    <row r="11063">
      <c r="A11063">
        <f>TEST_DATA!A11063</f>
        <v/>
      </c>
      <c r="B11063">
        <f>TEST_DATA!B11063</f>
        <v/>
      </c>
      <c r="C11063">
        <f>TEST_DATA!C11063</f>
        <v/>
      </c>
      <c r="D11063">
        <f>TEST_DATA!D11063</f>
        <v/>
      </c>
      <c r="E11063">
        <f>TEST_DATA!E11063</f>
        <v/>
      </c>
    </row>
    <row r="11064">
      <c r="A11064">
        <f>TEST_DATA!A11064</f>
        <v/>
      </c>
      <c r="B11064">
        <f>TEST_DATA!B11064</f>
        <v/>
      </c>
      <c r="C11064">
        <f>TEST_DATA!C11064</f>
        <v/>
      </c>
      <c r="D11064">
        <f>TEST_DATA!D11064</f>
        <v/>
      </c>
      <c r="E11064">
        <f>TEST_DATA!E11064</f>
        <v/>
      </c>
    </row>
    <row r="11065">
      <c r="A11065">
        <f>TEST_DATA!A11065</f>
        <v/>
      </c>
      <c r="B11065">
        <f>TEST_DATA!B11065</f>
        <v/>
      </c>
      <c r="C11065">
        <f>TEST_DATA!C11065</f>
        <v/>
      </c>
      <c r="D11065">
        <f>TEST_DATA!D11065</f>
        <v/>
      </c>
      <c r="E11065">
        <f>TEST_DATA!E11065</f>
        <v/>
      </c>
    </row>
    <row r="11066">
      <c r="A11066">
        <f>TEST_DATA!A11066</f>
        <v/>
      </c>
      <c r="B11066">
        <f>TEST_DATA!B11066</f>
        <v/>
      </c>
      <c r="C11066">
        <f>TEST_DATA!C11066</f>
        <v/>
      </c>
      <c r="D11066">
        <f>TEST_DATA!D11066</f>
        <v/>
      </c>
      <c r="E11066">
        <f>TEST_DATA!E11066</f>
        <v/>
      </c>
    </row>
    <row r="11067">
      <c r="A11067">
        <f>TEST_DATA!A11067</f>
        <v/>
      </c>
      <c r="B11067">
        <f>TEST_DATA!B11067</f>
        <v/>
      </c>
      <c r="C11067">
        <f>TEST_DATA!C11067</f>
        <v/>
      </c>
      <c r="D11067">
        <f>TEST_DATA!D11067</f>
        <v/>
      </c>
      <c r="E11067">
        <f>TEST_DATA!E11067</f>
        <v/>
      </c>
    </row>
    <row r="11068">
      <c r="A11068">
        <f>TEST_DATA!A11068</f>
        <v/>
      </c>
      <c r="B11068">
        <f>TEST_DATA!B11068</f>
        <v/>
      </c>
      <c r="C11068">
        <f>TEST_DATA!C11068</f>
        <v/>
      </c>
      <c r="D11068">
        <f>TEST_DATA!D11068</f>
        <v/>
      </c>
      <c r="E11068">
        <f>TEST_DATA!E11068</f>
        <v/>
      </c>
    </row>
    <row r="11069">
      <c r="A11069">
        <f>TEST_DATA!A11069</f>
        <v/>
      </c>
      <c r="B11069">
        <f>TEST_DATA!B11069</f>
        <v/>
      </c>
      <c r="C11069">
        <f>TEST_DATA!C11069</f>
        <v/>
      </c>
      <c r="D11069">
        <f>TEST_DATA!D11069</f>
        <v/>
      </c>
      <c r="E11069">
        <f>TEST_DATA!E11069</f>
        <v/>
      </c>
    </row>
    <row r="11070">
      <c r="A11070">
        <f>TEST_DATA!A11070</f>
        <v/>
      </c>
      <c r="B11070">
        <f>TEST_DATA!B11070</f>
        <v/>
      </c>
      <c r="C11070">
        <f>TEST_DATA!C11070</f>
        <v/>
      </c>
      <c r="D11070">
        <f>TEST_DATA!D11070</f>
        <v/>
      </c>
      <c r="E11070">
        <f>TEST_DATA!E11070</f>
        <v/>
      </c>
    </row>
    <row r="11071">
      <c r="A11071">
        <f>TEST_DATA!A11071</f>
        <v/>
      </c>
      <c r="B11071">
        <f>TEST_DATA!B11071</f>
        <v/>
      </c>
      <c r="C11071">
        <f>TEST_DATA!C11071</f>
        <v/>
      </c>
      <c r="D11071">
        <f>TEST_DATA!D11071</f>
        <v/>
      </c>
      <c r="E11071">
        <f>TEST_DATA!E11071</f>
        <v/>
      </c>
    </row>
    <row r="11072">
      <c r="A11072">
        <f>TEST_DATA!A11072</f>
        <v/>
      </c>
      <c r="B11072">
        <f>TEST_DATA!B11072</f>
        <v/>
      </c>
      <c r="C11072">
        <f>TEST_DATA!C11072</f>
        <v/>
      </c>
      <c r="D11072">
        <f>TEST_DATA!D11072</f>
        <v/>
      </c>
      <c r="E11072">
        <f>TEST_DATA!E11072</f>
        <v/>
      </c>
    </row>
    <row r="11073">
      <c r="A11073">
        <f>TEST_DATA!A11073</f>
        <v/>
      </c>
      <c r="B11073">
        <f>TEST_DATA!B11073</f>
        <v/>
      </c>
      <c r="C11073">
        <f>TEST_DATA!C11073</f>
        <v/>
      </c>
      <c r="D11073">
        <f>TEST_DATA!D11073</f>
        <v/>
      </c>
      <c r="E11073">
        <f>TEST_DATA!E11073</f>
        <v/>
      </c>
    </row>
    <row r="11074">
      <c r="A11074">
        <f>TEST_DATA!A11074</f>
        <v/>
      </c>
      <c r="B11074">
        <f>TEST_DATA!B11074</f>
        <v/>
      </c>
      <c r="C11074">
        <f>TEST_DATA!C11074</f>
        <v/>
      </c>
      <c r="D11074">
        <f>TEST_DATA!D11074</f>
        <v/>
      </c>
      <c r="E11074">
        <f>TEST_DATA!E11074</f>
        <v/>
      </c>
    </row>
    <row r="11075">
      <c r="A11075">
        <f>TEST_DATA!A11075</f>
        <v/>
      </c>
      <c r="B11075">
        <f>TEST_DATA!B11075</f>
        <v/>
      </c>
      <c r="C11075">
        <f>TEST_DATA!C11075</f>
        <v/>
      </c>
      <c r="D11075">
        <f>TEST_DATA!D11075</f>
        <v/>
      </c>
      <c r="E11075">
        <f>TEST_DATA!E11075</f>
        <v/>
      </c>
    </row>
    <row r="11076">
      <c r="A11076">
        <f>TEST_DATA!A11076</f>
        <v/>
      </c>
      <c r="B11076">
        <f>TEST_DATA!B11076</f>
        <v/>
      </c>
      <c r="C11076">
        <f>TEST_DATA!C11076</f>
        <v/>
      </c>
      <c r="D11076">
        <f>TEST_DATA!D11076</f>
        <v/>
      </c>
      <c r="E11076">
        <f>TEST_DATA!E11076</f>
        <v/>
      </c>
    </row>
    <row r="11077">
      <c r="A11077">
        <f>TEST_DATA!A11077</f>
        <v/>
      </c>
      <c r="B11077">
        <f>TEST_DATA!B11077</f>
        <v/>
      </c>
      <c r="C11077">
        <f>TEST_DATA!C11077</f>
        <v/>
      </c>
      <c r="D11077">
        <f>TEST_DATA!D11077</f>
        <v/>
      </c>
      <c r="E11077">
        <f>TEST_DATA!E11077</f>
        <v/>
      </c>
    </row>
    <row r="11078">
      <c r="A11078">
        <f>TEST_DATA!A11078</f>
        <v/>
      </c>
      <c r="B11078">
        <f>TEST_DATA!B11078</f>
        <v/>
      </c>
      <c r="C11078">
        <f>TEST_DATA!C11078</f>
        <v/>
      </c>
      <c r="D11078">
        <f>TEST_DATA!D11078</f>
        <v/>
      </c>
      <c r="E11078">
        <f>TEST_DATA!E11078</f>
        <v/>
      </c>
    </row>
    <row r="11079">
      <c r="A11079">
        <f>TEST_DATA!A11079</f>
        <v/>
      </c>
      <c r="B11079">
        <f>TEST_DATA!B11079</f>
        <v/>
      </c>
      <c r="C11079">
        <f>TEST_DATA!C11079</f>
        <v/>
      </c>
      <c r="D11079">
        <f>TEST_DATA!D11079</f>
        <v/>
      </c>
      <c r="E11079">
        <f>TEST_DATA!E11079</f>
        <v/>
      </c>
    </row>
    <row r="11080">
      <c r="A11080">
        <f>TEST_DATA!A11080</f>
        <v/>
      </c>
      <c r="B11080">
        <f>TEST_DATA!B11080</f>
        <v/>
      </c>
      <c r="C11080">
        <f>TEST_DATA!C11080</f>
        <v/>
      </c>
      <c r="D11080">
        <f>TEST_DATA!D11080</f>
        <v/>
      </c>
      <c r="E11080">
        <f>TEST_DATA!E11080</f>
        <v/>
      </c>
    </row>
    <row r="11081">
      <c r="A11081">
        <f>TEST_DATA!A11081</f>
        <v/>
      </c>
      <c r="B11081">
        <f>TEST_DATA!B11081</f>
        <v/>
      </c>
      <c r="C11081">
        <f>TEST_DATA!C11081</f>
        <v/>
      </c>
      <c r="D11081">
        <f>TEST_DATA!D11081</f>
        <v/>
      </c>
      <c r="E11081">
        <f>TEST_DATA!E11081</f>
        <v/>
      </c>
    </row>
    <row r="11082">
      <c r="A11082">
        <f>TEST_DATA!A11082</f>
        <v/>
      </c>
      <c r="B11082">
        <f>TEST_DATA!B11082</f>
        <v/>
      </c>
      <c r="C11082">
        <f>TEST_DATA!C11082</f>
        <v/>
      </c>
      <c r="D11082">
        <f>TEST_DATA!D11082</f>
        <v/>
      </c>
      <c r="E11082">
        <f>TEST_DATA!E11082</f>
        <v/>
      </c>
    </row>
    <row r="11083">
      <c r="A11083">
        <f>TEST_DATA!A11083</f>
        <v/>
      </c>
      <c r="B11083">
        <f>TEST_DATA!B11083</f>
        <v/>
      </c>
      <c r="C11083">
        <f>TEST_DATA!C11083</f>
        <v/>
      </c>
      <c r="D11083">
        <f>TEST_DATA!D11083</f>
        <v/>
      </c>
      <c r="E11083">
        <f>TEST_DATA!E11083</f>
        <v/>
      </c>
    </row>
    <row r="11084">
      <c r="A11084">
        <f>TEST_DATA!A11084</f>
        <v/>
      </c>
      <c r="B11084">
        <f>TEST_DATA!B11084</f>
        <v/>
      </c>
      <c r="C11084">
        <f>TEST_DATA!C11084</f>
        <v/>
      </c>
      <c r="D11084">
        <f>TEST_DATA!D11084</f>
        <v/>
      </c>
      <c r="E11084">
        <f>TEST_DATA!E11084</f>
        <v/>
      </c>
    </row>
    <row r="11085">
      <c r="A11085">
        <f>TEST_DATA!A11085</f>
        <v/>
      </c>
      <c r="B11085">
        <f>TEST_DATA!B11085</f>
        <v/>
      </c>
      <c r="C11085">
        <f>TEST_DATA!C11085</f>
        <v/>
      </c>
      <c r="D11085">
        <f>TEST_DATA!D11085</f>
        <v/>
      </c>
      <c r="E11085">
        <f>TEST_DATA!E11085</f>
        <v/>
      </c>
    </row>
    <row r="11086">
      <c r="A11086">
        <f>TEST_DATA!A11086</f>
        <v/>
      </c>
      <c r="B11086">
        <f>TEST_DATA!B11086</f>
        <v/>
      </c>
      <c r="C11086">
        <f>TEST_DATA!C11086</f>
        <v/>
      </c>
      <c r="D11086">
        <f>TEST_DATA!D11086</f>
        <v/>
      </c>
      <c r="E11086">
        <f>TEST_DATA!E11086</f>
        <v/>
      </c>
    </row>
    <row r="11087">
      <c r="A11087">
        <f>TEST_DATA!A11087</f>
        <v/>
      </c>
      <c r="B11087">
        <f>TEST_DATA!B11087</f>
        <v/>
      </c>
      <c r="C11087">
        <f>TEST_DATA!C11087</f>
        <v/>
      </c>
      <c r="D11087">
        <f>TEST_DATA!D11087</f>
        <v/>
      </c>
      <c r="E11087">
        <f>TEST_DATA!E11087</f>
        <v/>
      </c>
    </row>
    <row r="11088">
      <c r="A11088">
        <f>TEST_DATA!A11088</f>
        <v/>
      </c>
      <c r="B11088">
        <f>TEST_DATA!B11088</f>
        <v/>
      </c>
      <c r="C11088">
        <f>TEST_DATA!C11088</f>
        <v/>
      </c>
      <c r="D11088">
        <f>TEST_DATA!D11088</f>
        <v/>
      </c>
      <c r="E11088">
        <f>TEST_DATA!E11088</f>
        <v/>
      </c>
    </row>
    <row r="11089">
      <c r="A11089">
        <f>TEST_DATA!A11089</f>
        <v/>
      </c>
      <c r="B11089">
        <f>TEST_DATA!B11089</f>
        <v/>
      </c>
      <c r="C11089">
        <f>TEST_DATA!C11089</f>
        <v/>
      </c>
      <c r="D11089">
        <f>TEST_DATA!D11089</f>
        <v/>
      </c>
      <c r="E11089">
        <f>TEST_DATA!E11089</f>
        <v/>
      </c>
    </row>
    <row r="11090">
      <c r="A11090">
        <f>TEST_DATA!A11090</f>
        <v/>
      </c>
      <c r="B11090">
        <f>TEST_DATA!B11090</f>
        <v/>
      </c>
      <c r="C11090">
        <f>TEST_DATA!C11090</f>
        <v/>
      </c>
      <c r="D11090">
        <f>TEST_DATA!D11090</f>
        <v/>
      </c>
      <c r="E11090">
        <f>TEST_DATA!E11090</f>
        <v/>
      </c>
    </row>
    <row r="11091">
      <c r="A11091">
        <f>TEST_DATA!A11091</f>
        <v/>
      </c>
      <c r="B11091">
        <f>TEST_DATA!B11091</f>
        <v/>
      </c>
      <c r="C11091">
        <f>TEST_DATA!C11091</f>
        <v/>
      </c>
      <c r="D11091">
        <f>TEST_DATA!D11091</f>
        <v/>
      </c>
      <c r="E11091">
        <f>TEST_DATA!E11091</f>
        <v/>
      </c>
    </row>
    <row r="11092">
      <c r="A11092">
        <f>TEST_DATA!A11092</f>
        <v/>
      </c>
      <c r="B11092">
        <f>TEST_DATA!B11092</f>
        <v/>
      </c>
      <c r="C11092">
        <f>TEST_DATA!C11092</f>
        <v/>
      </c>
      <c r="D11092">
        <f>TEST_DATA!D11092</f>
        <v/>
      </c>
      <c r="E11092">
        <f>TEST_DATA!E11092</f>
        <v/>
      </c>
    </row>
    <row r="11093">
      <c r="A11093">
        <f>TEST_DATA!A11093</f>
        <v/>
      </c>
      <c r="B11093">
        <f>TEST_DATA!B11093</f>
        <v/>
      </c>
      <c r="C11093">
        <f>TEST_DATA!C11093</f>
        <v/>
      </c>
      <c r="D11093">
        <f>TEST_DATA!D11093</f>
        <v/>
      </c>
      <c r="E11093">
        <f>TEST_DATA!E11093</f>
        <v/>
      </c>
    </row>
    <row r="11094">
      <c r="A11094">
        <f>TEST_DATA!A11094</f>
        <v/>
      </c>
      <c r="B11094">
        <f>TEST_DATA!B11094</f>
        <v/>
      </c>
      <c r="C11094">
        <f>TEST_DATA!C11094</f>
        <v/>
      </c>
      <c r="D11094">
        <f>TEST_DATA!D11094</f>
        <v/>
      </c>
      <c r="E11094">
        <f>TEST_DATA!E11094</f>
        <v/>
      </c>
    </row>
    <row r="11095">
      <c r="A11095">
        <f>TEST_DATA!A11095</f>
        <v/>
      </c>
      <c r="B11095">
        <f>TEST_DATA!B11095</f>
        <v/>
      </c>
      <c r="C11095">
        <f>TEST_DATA!C11095</f>
        <v/>
      </c>
      <c r="D11095">
        <f>TEST_DATA!D11095</f>
        <v/>
      </c>
      <c r="E11095">
        <f>TEST_DATA!E11095</f>
        <v/>
      </c>
    </row>
    <row r="11096">
      <c r="A11096">
        <f>TEST_DATA!A11096</f>
        <v/>
      </c>
      <c r="B11096">
        <f>TEST_DATA!B11096</f>
        <v/>
      </c>
      <c r="C11096">
        <f>TEST_DATA!C11096</f>
        <v/>
      </c>
      <c r="D11096">
        <f>TEST_DATA!D11096</f>
        <v/>
      </c>
      <c r="E11096">
        <f>TEST_DATA!E11096</f>
        <v/>
      </c>
    </row>
    <row r="11097">
      <c r="A11097">
        <f>TEST_DATA!A11097</f>
        <v/>
      </c>
      <c r="B11097">
        <f>TEST_DATA!B11097</f>
        <v/>
      </c>
      <c r="C11097">
        <f>TEST_DATA!C11097</f>
        <v/>
      </c>
      <c r="D11097">
        <f>TEST_DATA!D11097</f>
        <v/>
      </c>
      <c r="E11097">
        <f>TEST_DATA!E11097</f>
        <v/>
      </c>
    </row>
    <row r="11098">
      <c r="A11098">
        <f>TEST_DATA!A11098</f>
        <v/>
      </c>
      <c r="B11098">
        <f>TEST_DATA!B11098</f>
        <v/>
      </c>
      <c r="C11098">
        <f>TEST_DATA!C11098</f>
        <v/>
      </c>
      <c r="D11098">
        <f>TEST_DATA!D11098</f>
        <v/>
      </c>
      <c r="E11098">
        <f>TEST_DATA!E11098</f>
        <v/>
      </c>
    </row>
    <row r="11099">
      <c r="A11099">
        <f>TEST_DATA!A11099</f>
        <v/>
      </c>
      <c r="B11099">
        <f>TEST_DATA!B11099</f>
        <v/>
      </c>
      <c r="C11099">
        <f>TEST_DATA!C11099</f>
        <v/>
      </c>
      <c r="D11099">
        <f>TEST_DATA!D11099</f>
        <v/>
      </c>
      <c r="E11099">
        <f>TEST_DATA!E11099</f>
        <v/>
      </c>
    </row>
    <row r="11100">
      <c r="A11100">
        <f>TEST_DATA!A11100</f>
        <v/>
      </c>
      <c r="B11100">
        <f>TEST_DATA!B11100</f>
        <v/>
      </c>
      <c r="C11100">
        <f>TEST_DATA!C11100</f>
        <v/>
      </c>
      <c r="D11100">
        <f>TEST_DATA!D11100</f>
        <v/>
      </c>
      <c r="E11100">
        <f>TEST_DATA!E11100</f>
        <v/>
      </c>
    </row>
    <row r="11101">
      <c r="A11101">
        <f>TEST_DATA!A11101</f>
        <v/>
      </c>
      <c r="B11101">
        <f>TEST_DATA!B11101</f>
        <v/>
      </c>
      <c r="C11101">
        <f>TEST_DATA!C11101</f>
        <v/>
      </c>
      <c r="D11101">
        <f>TEST_DATA!D11101</f>
        <v/>
      </c>
      <c r="E11101">
        <f>TEST_DATA!E11101</f>
        <v/>
      </c>
    </row>
    <row r="11102">
      <c r="A11102">
        <f>TEST_DATA!A11102</f>
        <v/>
      </c>
      <c r="B11102">
        <f>TEST_DATA!B11102</f>
        <v/>
      </c>
      <c r="C11102">
        <f>TEST_DATA!C11102</f>
        <v/>
      </c>
      <c r="D11102">
        <f>TEST_DATA!D11102</f>
        <v/>
      </c>
      <c r="E11102">
        <f>TEST_DATA!E11102</f>
        <v/>
      </c>
    </row>
    <row r="11103">
      <c r="A11103">
        <f>TEST_DATA!A11103</f>
        <v/>
      </c>
      <c r="B11103">
        <f>TEST_DATA!B11103</f>
        <v/>
      </c>
      <c r="C11103">
        <f>TEST_DATA!C11103</f>
        <v/>
      </c>
      <c r="D11103">
        <f>TEST_DATA!D11103</f>
        <v/>
      </c>
      <c r="E11103">
        <f>TEST_DATA!E11103</f>
        <v/>
      </c>
    </row>
    <row r="11104">
      <c r="A11104">
        <f>TEST_DATA!A11104</f>
        <v/>
      </c>
      <c r="B11104">
        <f>TEST_DATA!B11104</f>
        <v/>
      </c>
      <c r="C11104">
        <f>TEST_DATA!C11104</f>
        <v/>
      </c>
      <c r="D11104">
        <f>TEST_DATA!D11104</f>
        <v/>
      </c>
      <c r="E11104">
        <f>TEST_DATA!E11104</f>
        <v/>
      </c>
    </row>
    <row r="11105">
      <c r="A11105">
        <f>TEST_DATA!A11105</f>
        <v/>
      </c>
      <c r="B11105">
        <f>TEST_DATA!B11105</f>
        <v/>
      </c>
      <c r="C11105">
        <f>TEST_DATA!C11105</f>
        <v/>
      </c>
      <c r="D11105">
        <f>TEST_DATA!D11105</f>
        <v/>
      </c>
      <c r="E11105">
        <f>TEST_DATA!E11105</f>
        <v/>
      </c>
    </row>
    <row r="11106">
      <c r="A11106">
        <f>TEST_DATA!A11106</f>
        <v/>
      </c>
      <c r="B11106">
        <f>TEST_DATA!B11106</f>
        <v/>
      </c>
      <c r="C11106">
        <f>TEST_DATA!C11106</f>
        <v/>
      </c>
      <c r="D11106">
        <f>TEST_DATA!D11106</f>
        <v/>
      </c>
      <c r="E11106">
        <f>TEST_DATA!E11106</f>
        <v/>
      </c>
    </row>
    <row r="11107">
      <c r="A11107">
        <f>TEST_DATA!A11107</f>
        <v/>
      </c>
      <c r="B11107">
        <f>TEST_DATA!B11107</f>
        <v/>
      </c>
      <c r="C11107">
        <f>TEST_DATA!C11107</f>
        <v/>
      </c>
      <c r="D11107">
        <f>TEST_DATA!D11107</f>
        <v/>
      </c>
      <c r="E11107">
        <f>TEST_DATA!E11107</f>
        <v/>
      </c>
    </row>
    <row r="11108">
      <c r="A11108">
        <f>TEST_DATA!A11108</f>
        <v/>
      </c>
      <c r="B11108">
        <f>TEST_DATA!B11108</f>
        <v/>
      </c>
      <c r="C11108">
        <f>TEST_DATA!C11108</f>
        <v/>
      </c>
      <c r="D11108">
        <f>TEST_DATA!D11108</f>
        <v/>
      </c>
      <c r="E11108">
        <f>TEST_DATA!E11108</f>
        <v/>
      </c>
    </row>
    <row r="11109">
      <c r="A11109">
        <f>TEST_DATA!A11109</f>
        <v/>
      </c>
      <c r="B11109">
        <f>TEST_DATA!B11109</f>
        <v/>
      </c>
      <c r="C11109">
        <f>TEST_DATA!C11109</f>
        <v/>
      </c>
      <c r="D11109">
        <f>TEST_DATA!D11109</f>
        <v/>
      </c>
      <c r="E11109">
        <f>TEST_DATA!E11109</f>
        <v/>
      </c>
    </row>
    <row r="11110">
      <c r="A11110">
        <f>TEST_DATA!A11110</f>
        <v/>
      </c>
      <c r="B11110">
        <f>TEST_DATA!B11110</f>
        <v/>
      </c>
      <c r="C11110">
        <f>TEST_DATA!C11110</f>
        <v/>
      </c>
      <c r="D11110">
        <f>TEST_DATA!D11110</f>
        <v/>
      </c>
      <c r="E11110">
        <f>TEST_DATA!E11110</f>
        <v/>
      </c>
    </row>
    <row r="11111">
      <c r="A11111">
        <f>TEST_DATA!A11111</f>
        <v/>
      </c>
      <c r="B11111">
        <f>TEST_DATA!B11111</f>
        <v/>
      </c>
      <c r="C11111">
        <f>TEST_DATA!C11111</f>
        <v/>
      </c>
      <c r="D11111">
        <f>TEST_DATA!D11111</f>
        <v/>
      </c>
      <c r="E11111">
        <f>TEST_DATA!E11111</f>
        <v/>
      </c>
    </row>
    <row r="11112">
      <c r="A11112">
        <f>TEST_DATA!A11112</f>
        <v/>
      </c>
      <c r="B11112">
        <f>TEST_DATA!B11112</f>
        <v/>
      </c>
      <c r="C11112">
        <f>TEST_DATA!C11112</f>
        <v/>
      </c>
      <c r="D11112">
        <f>TEST_DATA!D11112</f>
        <v/>
      </c>
      <c r="E11112">
        <f>TEST_DATA!E11112</f>
        <v/>
      </c>
    </row>
    <row r="11113">
      <c r="A11113">
        <f>TEST_DATA!A11113</f>
        <v/>
      </c>
      <c r="B11113">
        <f>TEST_DATA!B11113</f>
        <v/>
      </c>
      <c r="C11113">
        <f>TEST_DATA!C11113</f>
        <v/>
      </c>
      <c r="D11113">
        <f>TEST_DATA!D11113</f>
        <v/>
      </c>
      <c r="E11113">
        <f>TEST_DATA!E11113</f>
        <v/>
      </c>
    </row>
    <row r="11114">
      <c r="A11114">
        <f>TEST_DATA!A11114</f>
        <v/>
      </c>
      <c r="B11114">
        <f>TEST_DATA!B11114</f>
        <v/>
      </c>
      <c r="C11114">
        <f>TEST_DATA!C11114</f>
        <v/>
      </c>
      <c r="D11114">
        <f>TEST_DATA!D11114</f>
        <v/>
      </c>
      <c r="E11114">
        <f>TEST_DATA!E11114</f>
        <v/>
      </c>
    </row>
    <row r="11115">
      <c r="A11115">
        <f>TEST_DATA!A11115</f>
        <v/>
      </c>
      <c r="B11115">
        <f>TEST_DATA!B11115</f>
        <v/>
      </c>
      <c r="C11115">
        <f>TEST_DATA!C11115</f>
        <v/>
      </c>
      <c r="D11115">
        <f>TEST_DATA!D11115</f>
        <v/>
      </c>
      <c r="E11115">
        <f>TEST_DATA!E11115</f>
        <v/>
      </c>
    </row>
    <row r="11116">
      <c r="A11116">
        <f>TEST_DATA!A11116</f>
        <v/>
      </c>
      <c r="B11116">
        <f>TEST_DATA!B11116</f>
        <v/>
      </c>
      <c r="C11116">
        <f>TEST_DATA!C11116</f>
        <v/>
      </c>
      <c r="D11116">
        <f>TEST_DATA!D11116</f>
        <v/>
      </c>
      <c r="E11116">
        <f>TEST_DATA!E11116</f>
        <v/>
      </c>
    </row>
    <row r="11117">
      <c r="A11117">
        <f>TEST_DATA!A11117</f>
        <v/>
      </c>
      <c r="B11117">
        <f>TEST_DATA!B11117</f>
        <v/>
      </c>
      <c r="C11117">
        <f>TEST_DATA!C11117</f>
        <v/>
      </c>
      <c r="D11117">
        <f>TEST_DATA!D11117</f>
        <v/>
      </c>
      <c r="E11117">
        <f>TEST_DATA!E11117</f>
        <v/>
      </c>
    </row>
    <row r="11118">
      <c r="A11118">
        <f>TEST_DATA!A11118</f>
        <v/>
      </c>
      <c r="B11118">
        <f>TEST_DATA!B11118</f>
        <v/>
      </c>
      <c r="C11118">
        <f>TEST_DATA!C11118</f>
        <v/>
      </c>
      <c r="D11118">
        <f>TEST_DATA!D11118</f>
        <v/>
      </c>
      <c r="E11118">
        <f>TEST_DATA!E11118</f>
        <v/>
      </c>
    </row>
    <row r="11119">
      <c r="A11119">
        <f>TEST_DATA!A11119</f>
        <v/>
      </c>
      <c r="B11119">
        <f>TEST_DATA!B11119</f>
        <v/>
      </c>
      <c r="C11119">
        <f>TEST_DATA!C11119</f>
        <v/>
      </c>
      <c r="D11119">
        <f>TEST_DATA!D11119</f>
        <v/>
      </c>
      <c r="E11119">
        <f>TEST_DATA!E11119</f>
        <v/>
      </c>
    </row>
    <row r="11120">
      <c r="A11120">
        <f>TEST_DATA!A11120</f>
        <v/>
      </c>
      <c r="B11120">
        <f>TEST_DATA!B11120</f>
        <v/>
      </c>
      <c r="C11120">
        <f>TEST_DATA!C11120</f>
        <v/>
      </c>
      <c r="D11120">
        <f>TEST_DATA!D11120</f>
        <v/>
      </c>
      <c r="E11120">
        <f>TEST_DATA!E11120</f>
        <v/>
      </c>
    </row>
    <row r="11121">
      <c r="A11121">
        <f>TEST_DATA!A11121</f>
        <v/>
      </c>
      <c r="B11121">
        <f>TEST_DATA!B11121</f>
        <v/>
      </c>
      <c r="C11121">
        <f>TEST_DATA!C11121</f>
        <v/>
      </c>
      <c r="D11121">
        <f>TEST_DATA!D11121</f>
        <v/>
      </c>
      <c r="E11121">
        <f>TEST_DATA!E11121</f>
        <v/>
      </c>
    </row>
    <row r="11122">
      <c r="A11122">
        <f>TEST_DATA!A11122</f>
        <v/>
      </c>
      <c r="B11122">
        <f>TEST_DATA!B11122</f>
        <v/>
      </c>
      <c r="C11122">
        <f>TEST_DATA!C11122</f>
        <v/>
      </c>
      <c r="D11122">
        <f>TEST_DATA!D11122</f>
        <v/>
      </c>
      <c r="E11122">
        <f>TEST_DATA!E11122</f>
        <v/>
      </c>
    </row>
    <row r="11123">
      <c r="A11123">
        <f>TEST_DATA!A11123</f>
        <v/>
      </c>
      <c r="B11123">
        <f>TEST_DATA!B11123</f>
        <v/>
      </c>
      <c r="C11123">
        <f>TEST_DATA!C11123</f>
        <v/>
      </c>
      <c r="D11123">
        <f>TEST_DATA!D11123</f>
        <v/>
      </c>
      <c r="E11123">
        <f>TEST_DATA!E11123</f>
        <v/>
      </c>
    </row>
    <row r="11124">
      <c r="A11124">
        <f>TEST_DATA!A11124</f>
        <v/>
      </c>
      <c r="B11124">
        <f>TEST_DATA!B11124</f>
        <v/>
      </c>
      <c r="C11124">
        <f>TEST_DATA!C11124</f>
        <v/>
      </c>
      <c r="D11124">
        <f>TEST_DATA!D11124</f>
        <v/>
      </c>
      <c r="E11124">
        <f>TEST_DATA!E11124</f>
        <v/>
      </c>
    </row>
    <row r="11125">
      <c r="A11125">
        <f>TEST_DATA!A11125</f>
        <v/>
      </c>
      <c r="B11125">
        <f>TEST_DATA!B11125</f>
        <v/>
      </c>
      <c r="C11125">
        <f>TEST_DATA!C11125</f>
        <v/>
      </c>
      <c r="D11125">
        <f>TEST_DATA!D11125</f>
        <v/>
      </c>
      <c r="E11125">
        <f>TEST_DATA!E11125</f>
        <v/>
      </c>
    </row>
    <row r="11126">
      <c r="A11126">
        <f>TEST_DATA!A11126</f>
        <v/>
      </c>
      <c r="B11126">
        <f>TEST_DATA!B11126</f>
        <v/>
      </c>
      <c r="C11126">
        <f>TEST_DATA!C11126</f>
        <v/>
      </c>
      <c r="D11126">
        <f>TEST_DATA!D11126</f>
        <v/>
      </c>
      <c r="E11126">
        <f>TEST_DATA!E11126</f>
        <v/>
      </c>
    </row>
    <row r="11127">
      <c r="A11127">
        <f>TEST_DATA!A11127</f>
        <v/>
      </c>
      <c r="B11127">
        <f>TEST_DATA!B11127</f>
        <v/>
      </c>
      <c r="C11127">
        <f>TEST_DATA!C11127</f>
        <v/>
      </c>
      <c r="D11127">
        <f>TEST_DATA!D11127</f>
        <v/>
      </c>
      <c r="E11127">
        <f>TEST_DATA!E11127</f>
        <v/>
      </c>
    </row>
    <row r="11128">
      <c r="A11128">
        <f>TEST_DATA!A11128</f>
        <v/>
      </c>
      <c r="B11128">
        <f>TEST_DATA!B11128</f>
        <v/>
      </c>
      <c r="C11128">
        <f>TEST_DATA!C11128</f>
        <v/>
      </c>
      <c r="D11128">
        <f>TEST_DATA!D11128</f>
        <v/>
      </c>
      <c r="E11128">
        <f>TEST_DATA!E11128</f>
        <v/>
      </c>
    </row>
    <row r="11129">
      <c r="A11129">
        <f>TEST_DATA!A11129</f>
        <v/>
      </c>
      <c r="B11129">
        <f>TEST_DATA!B11129</f>
        <v/>
      </c>
      <c r="C11129">
        <f>TEST_DATA!C11129</f>
        <v/>
      </c>
      <c r="D11129">
        <f>TEST_DATA!D11129</f>
        <v/>
      </c>
      <c r="E11129">
        <f>TEST_DATA!E11129</f>
        <v/>
      </c>
    </row>
    <row r="11130">
      <c r="A11130">
        <f>TEST_DATA!A11130</f>
        <v/>
      </c>
      <c r="B11130">
        <f>TEST_DATA!B11130</f>
        <v/>
      </c>
      <c r="C11130">
        <f>TEST_DATA!C11130</f>
        <v/>
      </c>
      <c r="D11130">
        <f>TEST_DATA!D11130</f>
        <v/>
      </c>
      <c r="E11130">
        <f>TEST_DATA!E11130</f>
        <v/>
      </c>
    </row>
    <row r="11131">
      <c r="A11131">
        <f>TEST_DATA!A11131</f>
        <v/>
      </c>
      <c r="B11131">
        <f>TEST_DATA!B11131</f>
        <v/>
      </c>
      <c r="C11131">
        <f>TEST_DATA!C11131</f>
        <v/>
      </c>
      <c r="D11131">
        <f>TEST_DATA!D11131</f>
        <v/>
      </c>
      <c r="E11131">
        <f>TEST_DATA!E11131</f>
        <v/>
      </c>
    </row>
    <row r="11132">
      <c r="A11132">
        <f>TEST_DATA!A11132</f>
        <v/>
      </c>
      <c r="B11132">
        <f>TEST_DATA!B11132</f>
        <v/>
      </c>
      <c r="C11132">
        <f>TEST_DATA!C11132</f>
        <v/>
      </c>
      <c r="D11132">
        <f>TEST_DATA!D11132</f>
        <v/>
      </c>
      <c r="E11132">
        <f>TEST_DATA!E11132</f>
        <v/>
      </c>
    </row>
    <row r="11133">
      <c r="A11133">
        <f>TEST_DATA!A11133</f>
        <v/>
      </c>
      <c r="B11133">
        <f>TEST_DATA!B11133</f>
        <v/>
      </c>
      <c r="C11133">
        <f>TEST_DATA!C11133</f>
        <v/>
      </c>
      <c r="D11133">
        <f>TEST_DATA!D11133</f>
        <v/>
      </c>
      <c r="E11133">
        <f>TEST_DATA!E11133</f>
        <v/>
      </c>
    </row>
    <row r="11134">
      <c r="A11134">
        <f>TEST_DATA!A11134</f>
        <v/>
      </c>
      <c r="B11134">
        <f>TEST_DATA!B11134</f>
        <v/>
      </c>
      <c r="C11134">
        <f>TEST_DATA!C11134</f>
        <v/>
      </c>
      <c r="D11134">
        <f>TEST_DATA!D11134</f>
        <v/>
      </c>
      <c r="E11134">
        <f>TEST_DATA!E11134</f>
        <v/>
      </c>
    </row>
    <row r="11135">
      <c r="A11135">
        <f>TEST_DATA!A11135</f>
        <v/>
      </c>
      <c r="B11135">
        <f>TEST_DATA!B11135</f>
        <v/>
      </c>
      <c r="C11135">
        <f>TEST_DATA!C11135</f>
        <v/>
      </c>
      <c r="D11135">
        <f>TEST_DATA!D11135</f>
        <v/>
      </c>
      <c r="E11135">
        <f>TEST_DATA!E11135</f>
        <v/>
      </c>
    </row>
    <row r="11136">
      <c r="A11136">
        <f>TEST_DATA!A11136</f>
        <v/>
      </c>
      <c r="B11136">
        <f>TEST_DATA!B11136</f>
        <v/>
      </c>
      <c r="C11136">
        <f>TEST_DATA!C11136</f>
        <v/>
      </c>
      <c r="D11136">
        <f>TEST_DATA!D11136</f>
        <v/>
      </c>
      <c r="E11136">
        <f>TEST_DATA!E11136</f>
        <v/>
      </c>
    </row>
    <row r="11137">
      <c r="A11137">
        <f>TEST_DATA!A11137</f>
        <v/>
      </c>
      <c r="B11137">
        <f>TEST_DATA!B11137</f>
        <v/>
      </c>
      <c r="C11137">
        <f>TEST_DATA!C11137</f>
        <v/>
      </c>
      <c r="D11137">
        <f>TEST_DATA!D11137</f>
        <v/>
      </c>
      <c r="E11137">
        <f>TEST_DATA!E11137</f>
        <v/>
      </c>
    </row>
    <row r="11138">
      <c r="A11138">
        <f>TEST_DATA!A11138</f>
        <v/>
      </c>
      <c r="B11138">
        <f>TEST_DATA!B11138</f>
        <v/>
      </c>
      <c r="C11138">
        <f>TEST_DATA!C11138</f>
        <v/>
      </c>
      <c r="D11138">
        <f>TEST_DATA!D11138</f>
        <v/>
      </c>
      <c r="E11138">
        <f>TEST_DATA!E11138</f>
        <v/>
      </c>
    </row>
    <row r="11139">
      <c r="A11139">
        <f>TEST_DATA!A11139</f>
        <v/>
      </c>
      <c r="B11139">
        <f>TEST_DATA!B11139</f>
        <v/>
      </c>
      <c r="C11139">
        <f>TEST_DATA!C11139</f>
        <v/>
      </c>
      <c r="D11139">
        <f>TEST_DATA!D11139</f>
        <v/>
      </c>
      <c r="E11139">
        <f>TEST_DATA!E11139</f>
        <v/>
      </c>
    </row>
    <row r="11140">
      <c r="A11140">
        <f>TEST_DATA!A11140</f>
        <v/>
      </c>
      <c r="B11140">
        <f>TEST_DATA!B11140</f>
        <v/>
      </c>
      <c r="C11140">
        <f>TEST_DATA!C11140</f>
        <v/>
      </c>
      <c r="D11140">
        <f>TEST_DATA!D11140</f>
        <v/>
      </c>
      <c r="E11140">
        <f>TEST_DATA!E11140</f>
        <v/>
      </c>
    </row>
    <row r="11141">
      <c r="A11141">
        <f>TEST_DATA!A11141</f>
        <v/>
      </c>
      <c r="B11141">
        <f>TEST_DATA!B11141</f>
        <v/>
      </c>
      <c r="C11141">
        <f>TEST_DATA!C11141</f>
        <v/>
      </c>
      <c r="D11141">
        <f>TEST_DATA!D11141</f>
        <v/>
      </c>
      <c r="E11141">
        <f>TEST_DATA!E11141</f>
        <v/>
      </c>
    </row>
    <row r="11142">
      <c r="A11142">
        <f>TEST_DATA!A11142</f>
        <v/>
      </c>
      <c r="B11142">
        <f>TEST_DATA!B11142</f>
        <v/>
      </c>
      <c r="C11142">
        <f>TEST_DATA!C11142</f>
        <v/>
      </c>
      <c r="D11142">
        <f>TEST_DATA!D11142</f>
        <v/>
      </c>
      <c r="E11142">
        <f>TEST_DATA!E11142</f>
        <v/>
      </c>
    </row>
    <row r="11143">
      <c r="A11143">
        <f>TEST_DATA!A11143</f>
        <v/>
      </c>
      <c r="B11143">
        <f>TEST_DATA!B11143</f>
        <v/>
      </c>
      <c r="C11143">
        <f>TEST_DATA!C11143</f>
        <v/>
      </c>
      <c r="D11143">
        <f>TEST_DATA!D11143</f>
        <v/>
      </c>
      <c r="E11143">
        <f>TEST_DATA!E11143</f>
        <v/>
      </c>
    </row>
    <row r="11144">
      <c r="A11144">
        <f>TEST_DATA!A11144</f>
        <v/>
      </c>
      <c r="B11144">
        <f>TEST_DATA!B11144</f>
        <v/>
      </c>
      <c r="C11144">
        <f>TEST_DATA!C11144</f>
        <v/>
      </c>
      <c r="D11144">
        <f>TEST_DATA!D11144</f>
        <v/>
      </c>
      <c r="E11144">
        <f>TEST_DATA!E11144</f>
        <v/>
      </c>
    </row>
    <row r="11145">
      <c r="A11145">
        <f>TEST_DATA!A11145</f>
        <v/>
      </c>
      <c r="B11145">
        <f>TEST_DATA!B11145</f>
        <v/>
      </c>
      <c r="C11145">
        <f>TEST_DATA!C11145</f>
        <v/>
      </c>
      <c r="D11145">
        <f>TEST_DATA!D11145</f>
        <v/>
      </c>
      <c r="E11145">
        <f>TEST_DATA!E11145</f>
        <v/>
      </c>
    </row>
    <row r="11146">
      <c r="A11146">
        <f>TEST_DATA!A11146</f>
        <v/>
      </c>
      <c r="B11146">
        <f>TEST_DATA!B11146</f>
        <v/>
      </c>
      <c r="C11146">
        <f>TEST_DATA!C11146</f>
        <v/>
      </c>
      <c r="D11146">
        <f>TEST_DATA!D11146</f>
        <v/>
      </c>
      <c r="E11146">
        <f>TEST_DATA!E11146</f>
        <v/>
      </c>
    </row>
    <row r="11147">
      <c r="A11147">
        <f>TEST_DATA!A11147</f>
        <v/>
      </c>
      <c r="B11147">
        <f>TEST_DATA!B11147</f>
        <v/>
      </c>
      <c r="C11147">
        <f>TEST_DATA!C11147</f>
        <v/>
      </c>
      <c r="D11147">
        <f>TEST_DATA!D11147</f>
        <v/>
      </c>
      <c r="E11147">
        <f>TEST_DATA!E11147</f>
        <v/>
      </c>
    </row>
    <row r="11148">
      <c r="A11148">
        <f>TEST_DATA!A11148</f>
        <v/>
      </c>
      <c r="B11148">
        <f>TEST_DATA!B11148</f>
        <v/>
      </c>
      <c r="C11148">
        <f>TEST_DATA!C11148</f>
        <v/>
      </c>
      <c r="D11148">
        <f>TEST_DATA!D11148</f>
        <v/>
      </c>
      <c r="E11148">
        <f>TEST_DATA!E11148</f>
        <v/>
      </c>
    </row>
    <row r="11149">
      <c r="A11149">
        <f>TEST_DATA!A11149</f>
        <v/>
      </c>
      <c r="B11149">
        <f>TEST_DATA!B11149</f>
        <v/>
      </c>
      <c r="C11149">
        <f>TEST_DATA!C11149</f>
        <v/>
      </c>
      <c r="D11149">
        <f>TEST_DATA!D11149</f>
        <v/>
      </c>
      <c r="E11149">
        <f>TEST_DATA!E11149</f>
        <v/>
      </c>
    </row>
    <row r="11150">
      <c r="A11150">
        <f>TEST_DATA!A11150</f>
        <v/>
      </c>
      <c r="B11150">
        <f>TEST_DATA!B11150</f>
        <v/>
      </c>
      <c r="C11150">
        <f>TEST_DATA!C11150</f>
        <v/>
      </c>
      <c r="D11150">
        <f>TEST_DATA!D11150</f>
        <v/>
      </c>
      <c r="E11150">
        <f>TEST_DATA!E11150</f>
        <v/>
      </c>
    </row>
    <row r="11151">
      <c r="A11151">
        <f>TEST_DATA!A11151</f>
        <v/>
      </c>
      <c r="B11151">
        <f>TEST_DATA!B11151</f>
        <v/>
      </c>
      <c r="C11151">
        <f>TEST_DATA!C11151</f>
        <v/>
      </c>
      <c r="D11151">
        <f>TEST_DATA!D11151</f>
        <v/>
      </c>
      <c r="E11151">
        <f>TEST_DATA!E11151</f>
        <v/>
      </c>
    </row>
    <row r="11152">
      <c r="A11152">
        <f>TEST_DATA!A11152</f>
        <v/>
      </c>
      <c r="B11152">
        <f>TEST_DATA!B11152</f>
        <v/>
      </c>
      <c r="C11152">
        <f>TEST_DATA!C11152</f>
        <v/>
      </c>
      <c r="D11152">
        <f>TEST_DATA!D11152</f>
        <v/>
      </c>
      <c r="E11152">
        <f>TEST_DATA!E11152</f>
        <v/>
      </c>
    </row>
    <row r="11153">
      <c r="A11153">
        <f>TEST_DATA!A11153</f>
        <v/>
      </c>
      <c r="B11153">
        <f>TEST_DATA!B11153</f>
        <v/>
      </c>
      <c r="C11153">
        <f>TEST_DATA!C11153</f>
        <v/>
      </c>
      <c r="D11153">
        <f>TEST_DATA!D11153</f>
        <v/>
      </c>
      <c r="E11153">
        <f>TEST_DATA!E11153</f>
        <v/>
      </c>
    </row>
    <row r="11154">
      <c r="A11154">
        <f>TEST_DATA!A11154</f>
        <v/>
      </c>
      <c r="B11154">
        <f>TEST_DATA!B11154</f>
        <v/>
      </c>
      <c r="C11154">
        <f>TEST_DATA!C11154</f>
        <v/>
      </c>
      <c r="D11154">
        <f>TEST_DATA!D11154</f>
        <v/>
      </c>
      <c r="E11154">
        <f>TEST_DATA!E11154</f>
        <v/>
      </c>
    </row>
    <row r="11155">
      <c r="A11155">
        <f>TEST_DATA!A11155</f>
        <v/>
      </c>
      <c r="B11155">
        <f>TEST_DATA!B11155</f>
        <v/>
      </c>
      <c r="C11155">
        <f>TEST_DATA!C11155</f>
        <v/>
      </c>
      <c r="D11155">
        <f>TEST_DATA!D11155</f>
        <v/>
      </c>
      <c r="E11155">
        <f>TEST_DATA!E11155</f>
        <v/>
      </c>
    </row>
    <row r="11156">
      <c r="A11156">
        <f>TEST_DATA!A11156</f>
        <v/>
      </c>
      <c r="B11156">
        <f>TEST_DATA!B11156</f>
        <v/>
      </c>
      <c r="C11156">
        <f>TEST_DATA!C11156</f>
        <v/>
      </c>
      <c r="D11156">
        <f>TEST_DATA!D11156</f>
        <v/>
      </c>
      <c r="E11156">
        <f>TEST_DATA!E11156</f>
        <v/>
      </c>
    </row>
    <row r="11157">
      <c r="A11157">
        <f>TEST_DATA!A11157</f>
        <v/>
      </c>
      <c r="B11157">
        <f>TEST_DATA!B11157</f>
        <v/>
      </c>
      <c r="C11157">
        <f>TEST_DATA!C11157</f>
        <v/>
      </c>
      <c r="D11157">
        <f>TEST_DATA!D11157</f>
        <v/>
      </c>
      <c r="E11157">
        <f>TEST_DATA!E11157</f>
        <v/>
      </c>
    </row>
    <row r="11158">
      <c r="A11158">
        <f>TEST_DATA!A11158</f>
        <v/>
      </c>
      <c r="B11158">
        <f>TEST_DATA!B11158</f>
        <v/>
      </c>
      <c r="C11158">
        <f>TEST_DATA!C11158</f>
        <v/>
      </c>
      <c r="D11158">
        <f>TEST_DATA!D11158</f>
        <v/>
      </c>
      <c r="E11158">
        <f>TEST_DATA!E11158</f>
        <v/>
      </c>
    </row>
    <row r="11159">
      <c r="A11159">
        <f>TEST_DATA!A11159</f>
        <v/>
      </c>
      <c r="B11159">
        <f>TEST_DATA!B11159</f>
        <v/>
      </c>
      <c r="C11159">
        <f>TEST_DATA!C11159</f>
        <v/>
      </c>
      <c r="D11159">
        <f>TEST_DATA!D11159</f>
        <v/>
      </c>
      <c r="E11159">
        <f>TEST_DATA!E11159</f>
        <v/>
      </c>
    </row>
    <row r="11160">
      <c r="A11160">
        <f>TEST_DATA!A11160</f>
        <v/>
      </c>
      <c r="B11160">
        <f>TEST_DATA!B11160</f>
        <v/>
      </c>
      <c r="C11160">
        <f>TEST_DATA!C11160</f>
        <v/>
      </c>
      <c r="D11160">
        <f>TEST_DATA!D11160</f>
        <v/>
      </c>
      <c r="E11160">
        <f>TEST_DATA!E11160</f>
        <v/>
      </c>
    </row>
    <row r="11161">
      <c r="A11161">
        <f>TEST_DATA!A11161</f>
        <v/>
      </c>
      <c r="B11161">
        <f>TEST_DATA!B11161</f>
        <v/>
      </c>
      <c r="C11161">
        <f>TEST_DATA!C11161</f>
        <v/>
      </c>
      <c r="D11161">
        <f>TEST_DATA!D11161</f>
        <v/>
      </c>
      <c r="E11161">
        <f>TEST_DATA!E11161</f>
        <v/>
      </c>
    </row>
    <row r="11162">
      <c r="A11162">
        <f>TEST_DATA!A11162</f>
        <v/>
      </c>
      <c r="B11162">
        <f>TEST_DATA!B11162</f>
        <v/>
      </c>
      <c r="C11162">
        <f>TEST_DATA!C11162</f>
        <v/>
      </c>
      <c r="D11162">
        <f>TEST_DATA!D11162</f>
        <v/>
      </c>
      <c r="E11162">
        <f>TEST_DATA!E11162</f>
        <v/>
      </c>
    </row>
    <row r="11163">
      <c r="A11163">
        <f>TEST_DATA!A11163</f>
        <v/>
      </c>
      <c r="B11163">
        <f>TEST_DATA!B11163</f>
        <v/>
      </c>
      <c r="C11163">
        <f>TEST_DATA!C11163</f>
        <v/>
      </c>
      <c r="D11163">
        <f>TEST_DATA!D11163</f>
        <v/>
      </c>
      <c r="E11163">
        <f>TEST_DATA!E11163</f>
        <v/>
      </c>
    </row>
    <row r="11164">
      <c r="A11164">
        <f>TEST_DATA!A11164</f>
        <v/>
      </c>
      <c r="B11164">
        <f>TEST_DATA!B11164</f>
        <v/>
      </c>
      <c r="C11164">
        <f>TEST_DATA!C11164</f>
        <v/>
      </c>
      <c r="D11164">
        <f>TEST_DATA!D11164</f>
        <v/>
      </c>
      <c r="E11164">
        <f>TEST_DATA!E11164</f>
        <v/>
      </c>
    </row>
    <row r="11165">
      <c r="A11165">
        <f>TEST_DATA!A11165</f>
        <v/>
      </c>
      <c r="B11165">
        <f>TEST_DATA!B11165</f>
        <v/>
      </c>
      <c r="C11165">
        <f>TEST_DATA!C11165</f>
        <v/>
      </c>
      <c r="D11165">
        <f>TEST_DATA!D11165</f>
        <v/>
      </c>
      <c r="E11165">
        <f>TEST_DATA!E11165</f>
        <v/>
      </c>
    </row>
    <row r="11166">
      <c r="A11166">
        <f>TEST_DATA!A11166</f>
        <v/>
      </c>
      <c r="B11166">
        <f>TEST_DATA!B11166</f>
        <v/>
      </c>
      <c r="C11166">
        <f>TEST_DATA!C11166</f>
        <v/>
      </c>
      <c r="D11166">
        <f>TEST_DATA!D11166</f>
        <v/>
      </c>
      <c r="E11166">
        <f>TEST_DATA!E11166</f>
        <v/>
      </c>
    </row>
    <row r="11167">
      <c r="A11167">
        <f>TEST_DATA!A11167</f>
        <v/>
      </c>
      <c r="B11167">
        <f>TEST_DATA!B11167</f>
        <v/>
      </c>
      <c r="C11167">
        <f>TEST_DATA!C11167</f>
        <v/>
      </c>
      <c r="D11167">
        <f>TEST_DATA!D11167</f>
        <v/>
      </c>
      <c r="E11167">
        <f>TEST_DATA!E11167</f>
        <v/>
      </c>
    </row>
    <row r="11168">
      <c r="A11168">
        <f>TEST_DATA!A11168</f>
        <v/>
      </c>
      <c r="B11168">
        <f>TEST_DATA!B11168</f>
        <v/>
      </c>
      <c r="C11168">
        <f>TEST_DATA!C11168</f>
        <v/>
      </c>
      <c r="D11168">
        <f>TEST_DATA!D11168</f>
        <v/>
      </c>
      <c r="E11168">
        <f>TEST_DATA!E11168</f>
        <v/>
      </c>
    </row>
    <row r="11169">
      <c r="A11169">
        <f>TEST_DATA!A11169</f>
        <v/>
      </c>
      <c r="B11169">
        <f>TEST_DATA!B11169</f>
        <v/>
      </c>
      <c r="C11169">
        <f>TEST_DATA!C11169</f>
        <v/>
      </c>
      <c r="D11169">
        <f>TEST_DATA!D11169</f>
        <v/>
      </c>
      <c r="E11169">
        <f>TEST_DATA!E11169</f>
        <v/>
      </c>
    </row>
    <row r="11170">
      <c r="A11170">
        <f>TEST_DATA!A11170</f>
        <v/>
      </c>
      <c r="B11170">
        <f>TEST_DATA!B11170</f>
        <v/>
      </c>
      <c r="C11170">
        <f>TEST_DATA!C11170</f>
        <v/>
      </c>
      <c r="D11170">
        <f>TEST_DATA!D11170</f>
        <v/>
      </c>
      <c r="E11170">
        <f>TEST_DATA!E11170</f>
        <v/>
      </c>
    </row>
    <row r="11171">
      <c r="A11171">
        <f>TEST_DATA!A11171</f>
        <v/>
      </c>
      <c r="B11171">
        <f>TEST_DATA!B11171</f>
        <v/>
      </c>
      <c r="C11171">
        <f>TEST_DATA!C11171</f>
        <v/>
      </c>
      <c r="D11171">
        <f>TEST_DATA!D11171</f>
        <v/>
      </c>
      <c r="E11171">
        <f>TEST_DATA!E11171</f>
        <v/>
      </c>
    </row>
    <row r="11172">
      <c r="A11172">
        <f>TEST_DATA!A11172</f>
        <v/>
      </c>
      <c r="B11172">
        <f>TEST_DATA!B11172</f>
        <v/>
      </c>
      <c r="C11172">
        <f>TEST_DATA!C11172</f>
        <v/>
      </c>
      <c r="D11172">
        <f>TEST_DATA!D11172</f>
        <v/>
      </c>
      <c r="E11172">
        <f>TEST_DATA!E11172</f>
        <v/>
      </c>
    </row>
    <row r="11173">
      <c r="A11173">
        <f>TEST_DATA!A11173</f>
        <v/>
      </c>
      <c r="B11173">
        <f>TEST_DATA!B11173</f>
        <v/>
      </c>
      <c r="C11173">
        <f>TEST_DATA!C11173</f>
        <v/>
      </c>
      <c r="D11173">
        <f>TEST_DATA!D11173</f>
        <v/>
      </c>
      <c r="E11173">
        <f>TEST_DATA!E11173</f>
        <v/>
      </c>
    </row>
    <row r="11174">
      <c r="A11174">
        <f>TEST_DATA!A11174</f>
        <v/>
      </c>
      <c r="B11174">
        <f>TEST_DATA!B11174</f>
        <v/>
      </c>
      <c r="C11174">
        <f>TEST_DATA!C11174</f>
        <v/>
      </c>
      <c r="D11174">
        <f>TEST_DATA!D11174</f>
        <v/>
      </c>
      <c r="E11174">
        <f>TEST_DATA!E11174</f>
        <v/>
      </c>
    </row>
    <row r="11175">
      <c r="A11175">
        <f>TEST_DATA!A11175</f>
        <v/>
      </c>
      <c r="B11175">
        <f>TEST_DATA!B11175</f>
        <v/>
      </c>
      <c r="C11175">
        <f>TEST_DATA!C11175</f>
        <v/>
      </c>
      <c r="D11175">
        <f>TEST_DATA!D11175</f>
        <v/>
      </c>
      <c r="E11175">
        <f>TEST_DATA!E11175</f>
        <v/>
      </c>
    </row>
    <row r="11176">
      <c r="A11176">
        <f>TEST_DATA!A11176</f>
        <v/>
      </c>
      <c r="B11176">
        <f>TEST_DATA!B11176</f>
        <v/>
      </c>
      <c r="C11176">
        <f>TEST_DATA!C11176</f>
        <v/>
      </c>
      <c r="D11176">
        <f>TEST_DATA!D11176</f>
        <v/>
      </c>
      <c r="E11176">
        <f>TEST_DATA!E11176</f>
        <v/>
      </c>
    </row>
    <row r="11177">
      <c r="A11177">
        <f>TEST_DATA!A11177</f>
        <v/>
      </c>
      <c r="B11177">
        <f>TEST_DATA!B11177</f>
        <v/>
      </c>
      <c r="C11177">
        <f>TEST_DATA!C11177</f>
        <v/>
      </c>
      <c r="D11177">
        <f>TEST_DATA!D11177</f>
        <v/>
      </c>
      <c r="E11177">
        <f>TEST_DATA!E11177</f>
        <v/>
      </c>
    </row>
    <row r="11178">
      <c r="A11178">
        <f>TEST_DATA!A11178</f>
        <v/>
      </c>
      <c r="B11178">
        <f>TEST_DATA!B11178</f>
        <v/>
      </c>
      <c r="C11178">
        <f>TEST_DATA!C11178</f>
        <v/>
      </c>
      <c r="D11178">
        <f>TEST_DATA!D11178</f>
        <v/>
      </c>
      <c r="E11178">
        <f>TEST_DATA!E11178</f>
        <v/>
      </c>
    </row>
    <row r="11179">
      <c r="A11179">
        <f>TEST_DATA!A11179</f>
        <v/>
      </c>
      <c r="B11179">
        <f>TEST_DATA!B11179</f>
        <v/>
      </c>
      <c r="C11179">
        <f>TEST_DATA!C11179</f>
        <v/>
      </c>
      <c r="D11179">
        <f>TEST_DATA!D11179</f>
        <v/>
      </c>
      <c r="E11179">
        <f>TEST_DATA!E11179</f>
        <v/>
      </c>
    </row>
    <row r="11180">
      <c r="A11180">
        <f>TEST_DATA!A11180</f>
        <v/>
      </c>
      <c r="B11180">
        <f>TEST_DATA!B11180</f>
        <v/>
      </c>
      <c r="C11180">
        <f>TEST_DATA!C11180</f>
        <v/>
      </c>
      <c r="D11180">
        <f>TEST_DATA!D11180</f>
        <v/>
      </c>
      <c r="E11180">
        <f>TEST_DATA!E11180</f>
        <v/>
      </c>
    </row>
    <row r="11181">
      <c r="A11181">
        <f>TEST_DATA!A11181</f>
        <v/>
      </c>
      <c r="B11181">
        <f>TEST_DATA!B11181</f>
        <v/>
      </c>
      <c r="C11181">
        <f>TEST_DATA!C11181</f>
        <v/>
      </c>
      <c r="D11181">
        <f>TEST_DATA!D11181</f>
        <v/>
      </c>
      <c r="E11181">
        <f>TEST_DATA!E11181</f>
        <v/>
      </c>
    </row>
    <row r="11182">
      <c r="A11182">
        <f>TEST_DATA!A11182</f>
        <v/>
      </c>
      <c r="B11182">
        <f>TEST_DATA!B11182</f>
        <v/>
      </c>
      <c r="C11182">
        <f>TEST_DATA!C11182</f>
        <v/>
      </c>
      <c r="D11182">
        <f>TEST_DATA!D11182</f>
        <v/>
      </c>
      <c r="E11182">
        <f>TEST_DATA!E11182</f>
        <v/>
      </c>
    </row>
    <row r="11183">
      <c r="A11183">
        <f>TEST_DATA!A11183</f>
        <v/>
      </c>
      <c r="B11183">
        <f>TEST_DATA!B11183</f>
        <v/>
      </c>
      <c r="C11183">
        <f>TEST_DATA!C11183</f>
        <v/>
      </c>
      <c r="D11183">
        <f>TEST_DATA!D11183</f>
        <v/>
      </c>
      <c r="E11183">
        <f>TEST_DATA!E11183</f>
        <v/>
      </c>
    </row>
    <row r="11184">
      <c r="A11184">
        <f>TEST_DATA!A11184</f>
        <v/>
      </c>
      <c r="B11184">
        <f>TEST_DATA!B11184</f>
        <v/>
      </c>
      <c r="C11184">
        <f>TEST_DATA!C11184</f>
        <v/>
      </c>
      <c r="D11184">
        <f>TEST_DATA!D11184</f>
        <v/>
      </c>
      <c r="E11184">
        <f>TEST_DATA!E11184</f>
        <v/>
      </c>
    </row>
    <row r="11185">
      <c r="A11185">
        <f>TEST_DATA!A11185</f>
        <v/>
      </c>
      <c r="B11185">
        <f>TEST_DATA!B11185</f>
        <v/>
      </c>
      <c r="C11185">
        <f>TEST_DATA!C11185</f>
        <v/>
      </c>
      <c r="D11185">
        <f>TEST_DATA!D11185</f>
        <v/>
      </c>
      <c r="E11185">
        <f>TEST_DATA!E11185</f>
        <v/>
      </c>
    </row>
    <row r="11186">
      <c r="A11186">
        <f>TEST_DATA!A11186</f>
        <v/>
      </c>
      <c r="B11186">
        <f>TEST_DATA!B11186</f>
        <v/>
      </c>
      <c r="C11186">
        <f>TEST_DATA!C11186</f>
        <v/>
      </c>
      <c r="D11186">
        <f>TEST_DATA!D11186</f>
        <v/>
      </c>
      <c r="E11186">
        <f>TEST_DATA!E11186</f>
        <v/>
      </c>
    </row>
    <row r="11187">
      <c r="A11187">
        <f>TEST_DATA!A11187</f>
        <v/>
      </c>
      <c r="B11187">
        <f>TEST_DATA!B11187</f>
        <v/>
      </c>
      <c r="C11187">
        <f>TEST_DATA!C11187</f>
        <v/>
      </c>
      <c r="D11187">
        <f>TEST_DATA!D11187</f>
        <v/>
      </c>
      <c r="E11187">
        <f>TEST_DATA!E11187</f>
        <v/>
      </c>
    </row>
    <row r="11188">
      <c r="A11188">
        <f>TEST_DATA!A11188</f>
        <v/>
      </c>
      <c r="B11188">
        <f>TEST_DATA!B11188</f>
        <v/>
      </c>
      <c r="C11188">
        <f>TEST_DATA!C11188</f>
        <v/>
      </c>
      <c r="D11188">
        <f>TEST_DATA!D11188</f>
        <v/>
      </c>
      <c r="E11188">
        <f>TEST_DATA!E11188</f>
        <v/>
      </c>
    </row>
    <row r="11189">
      <c r="A11189">
        <f>TEST_DATA!A11189</f>
        <v/>
      </c>
      <c r="B11189">
        <f>TEST_DATA!B11189</f>
        <v/>
      </c>
      <c r="C11189">
        <f>TEST_DATA!C11189</f>
        <v/>
      </c>
      <c r="D11189">
        <f>TEST_DATA!D11189</f>
        <v/>
      </c>
      <c r="E11189">
        <f>TEST_DATA!E11189</f>
        <v/>
      </c>
    </row>
    <row r="11190">
      <c r="A11190">
        <f>TEST_DATA!A11190</f>
        <v/>
      </c>
      <c r="B11190">
        <f>TEST_DATA!B11190</f>
        <v/>
      </c>
      <c r="C11190">
        <f>TEST_DATA!C11190</f>
        <v/>
      </c>
      <c r="D11190">
        <f>TEST_DATA!D11190</f>
        <v/>
      </c>
      <c r="E11190">
        <f>TEST_DATA!E11190</f>
        <v/>
      </c>
    </row>
    <row r="11191">
      <c r="A11191">
        <f>TEST_DATA!A11191</f>
        <v/>
      </c>
      <c r="B11191">
        <f>TEST_DATA!B11191</f>
        <v/>
      </c>
      <c r="C11191">
        <f>TEST_DATA!C11191</f>
        <v/>
      </c>
      <c r="D11191">
        <f>TEST_DATA!D11191</f>
        <v/>
      </c>
      <c r="E11191">
        <f>TEST_DATA!E11191</f>
        <v/>
      </c>
    </row>
    <row r="11192">
      <c r="A11192">
        <f>TEST_DATA!A11192</f>
        <v/>
      </c>
      <c r="B11192">
        <f>TEST_DATA!B11192</f>
        <v/>
      </c>
      <c r="C11192">
        <f>TEST_DATA!C11192</f>
        <v/>
      </c>
      <c r="D11192">
        <f>TEST_DATA!D11192</f>
        <v/>
      </c>
      <c r="E11192">
        <f>TEST_DATA!E11192</f>
        <v/>
      </c>
    </row>
    <row r="11193">
      <c r="A11193">
        <f>TEST_DATA!A11193</f>
        <v/>
      </c>
      <c r="B11193">
        <f>TEST_DATA!B11193</f>
        <v/>
      </c>
      <c r="C11193">
        <f>TEST_DATA!C11193</f>
        <v/>
      </c>
      <c r="D11193">
        <f>TEST_DATA!D11193</f>
        <v/>
      </c>
      <c r="E11193">
        <f>TEST_DATA!E11193</f>
        <v/>
      </c>
    </row>
    <row r="11194">
      <c r="A11194">
        <f>TEST_DATA!A11194</f>
        <v/>
      </c>
      <c r="B11194">
        <f>TEST_DATA!B11194</f>
        <v/>
      </c>
      <c r="C11194">
        <f>TEST_DATA!C11194</f>
        <v/>
      </c>
      <c r="D11194">
        <f>TEST_DATA!D11194</f>
        <v/>
      </c>
      <c r="E11194">
        <f>TEST_DATA!E11194</f>
        <v/>
      </c>
    </row>
    <row r="11195">
      <c r="A11195">
        <f>TEST_DATA!A11195</f>
        <v/>
      </c>
      <c r="B11195">
        <f>TEST_DATA!B11195</f>
        <v/>
      </c>
      <c r="C11195">
        <f>TEST_DATA!C11195</f>
        <v/>
      </c>
      <c r="D11195">
        <f>TEST_DATA!D11195</f>
        <v/>
      </c>
      <c r="E11195">
        <f>TEST_DATA!E11195</f>
        <v/>
      </c>
    </row>
    <row r="11196">
      <c r="A11196">
        <f>TEST_DATA!A11196</f>
        <v/>
      </c>
      <c r="B11196">
        <f>TEST_DATA!B11196</f>
        <v/>
      </c>
      <c r="C11196">
        <f>TEST_DATA!C11196</f>
        <v/>
      </c>
      <c r="D11196">
        <f>TEST_DATA!D11196</f>
        <v/>
      </c>
      <c r="E11196">
        <f>TEST_DATA!E11196</f>
        <v/>
      </c>
    </row>
    <row r="11197">
      <c r="A11197">
        <f>TEST_DATA!A11197</f>
        <v/>
      </c>
      <c r="B11197">
        <f>TEST_DATA!B11197</f>
        <v/>
      </c>
      <c r="C11197">
        <f>TEST_DATA!C11197</f>
        <v/>
      </c>
      <c r="D11197">
        <f>TEST_DATA!D11197</f>
        <v/>
      </c>
      <c r="E11197">
        <f>TEST_DATA!E11197</f>
        <v/>
      </c>
    </row>
    <row r="11198">
      <c r="A11198">
        <f>TEST_DATA!A11198</f>
        <v/>
      </c>
      <c r="B11198">
        <f>TEST_DATA!B11198</f>
        <v/>
      </c>
      <c r="C11198">
        <f>TEST_DATA!C11198</f>
        <v/>
      </c>
      <c r="D11198">
        <f>TEST_DATA!D11198</f>
        <v/>
      </c>
      <c r="E11198">
        <f>TEST_DATA!E11198</f>
        <v/>
      </c>
    </row>
    <row r="11199">
      <c r="A11199">
        <f>TEST_DATA!A11199</f>
        <v/>
      </c>
      <c r="B11199">
        <f>TEST_DATA!B11199</f>
        <v/>
      </c>
      <c r="C11199">
        <f>TEST_DATA!C11199</f>
        <v/>
      </c>
      <c r="D11199">
        <f>TEST_DATA!D11199</f>
        <v/>
      </c>
      <c r="E11199">
        <f>TEST_DATA!E11199</f>
        <v/>
      </c>
    </row>
    <row r="11200">
      <c r="A11200">
        <f>TEST_DATA!A11200</f>
        <v/>
      </c>
      <c r="B11200">
        <f>TEST_DATA!B11200</f>
        <v/>
      </c>
      <c r="C11200">
        <f>TEST_DATA!C11200</f>
        <v/>
      </c>
      <c r="D11200">
        <f>TEST_DATA!D11200</f>
        <v/>
      </c>
      <c r="E11200">
        <f>TEST_DATA!E11200</f>
        <v/>
      </c>
    </row>
    <row r="11201">
      <c r="A11201">
        <f>TEST_DATA!A11201</f>
        <v/>
      </c>
      <c r="B11201">
        <f>TEST_DATA!B11201</f>
        <v/>
      </c>
      <c r="C11201">
        <f>TEST_DATA!C11201</f>
        <v/>
      </c>
      <c r="D11201">
        <f>TEST_DATA!D11201</f>
        <v/>
      </c>
      <c r="E11201">
        <f>TEST_DATA!E11201</f>
        <v/>
      </c>
    </row>
    <row r="11202">
      <c r="A11202">
        <f>TEST_DATA!A11202</f>
        <v/>
      </c>
      <c r="B11202">
        <f>TEST_DATA!B11202</f>
        <v/>
      </c>
      <c r="C11202">
        <f>TEST_DATA!C11202</f>
        <v/>
      </c>
      <c r="D11202">
        <f>TEST_DATA!D11202</f>
        <v/>
      </c>
      <c r="E11202">
        <f>TEST_DATA!E11202</f>
        <v/>
      </c>
    </row>
    <row r="11203">
      <c r="A11203">
        <f>TEST_DATA!A11203</f>
        <v/>
      </c>
      <c r="B11203">
        <f>TEST_DATA!B11203</f>
        <v/>
      </c>
      <c r="C11203">
        <f>TEST_DATA!C11203</f>
        <v/>
      </c>
      <c r="D11203">
        <f>TEST_DATA!D11203</f>
        <v/>
      </c>
      <c r="E11203">
        <f>TEST_DATA!E11203</f>
        <v/>
      </c>
    </row>
    <row r="11204">
      <c r="A11204">
        <f>TEST_DATA!A11204</f>
        <v/>
      </c>
      <c r="B11204">
        <f>TEST_DATA!B11204</f>
        <v/>
      </c>
      <c r="C11204">
        <f>TEST_DATA!C11204</f>
        <v/>
      </c>
      <c r="D11204">
        <f>TEST_DATA!D11204</f>
        <v/>
      </c>
      <c r="E11204">
        <f>TEST_DATA!E11204</f>
        <v/>
      </c>
    </row>
    <row r="11205">
      <c r="A11205">
        <f>TEST_DATA!A11205</f>
        <v/>
      </c>
      <c r="B11205">
        <f>TEST_DATA!B11205</f>
        <v/>
      </c>
      <c r="C11205">
        <f>TEST_DATA!C11205</f>
        <v/>
      </c>
      <c r="D11205">
        <f>TEST_DATA!D11205</f>
        <v/>
      </c>
      <c r="E11205">
        <f>TEST_DATA!E11205</f>
        <v/>
      </c>
    </row>
    <row r="11206">
      <c r="A11206">
        <f>TEST_DATA!A11206</f>
        <v/>
      </c>
      <c r="B11206">
        <f>TEST_DATA!B11206</f>
        <v/>
      </c>
      <c r="C11206">
        <f>TEST_DATA!C11206</f>
        <v/>
      </c>
      <c r="D11206">
        <f>TEST_DATA!D11206</f>
        <v/>
      </c>
      <c r="E11206">
        <f>TEST_DATA!E11206</f>
        <v/>
      </c>
    </row>
    <row r="11207">
      <c r="A11207">
        <f>TEST_DATA!A11207</f>
        <v/>
      </c>
      <c r="B11207">
        <f>TEST_DATA!B11207</f>
        <v/>
      </c>
      <c r="C11207">
        <f>TEST_DATA!C11207</f>
        <v/>
      </c>
      <c r="D11207">
        <f>TEST_DATA!D11207</f>
        <v/>
      </c>
      <c r="E11207">
        <f>TEST_DATA!E11207</f>
        <v/>
      </c>
    </row>
    <row r="11208">
      <c r="A11208">
        <f>TEST_DATA!A11208</f>
        <v/>
      </c>
      <c r="B11208">
        <f>TEST_DATA!B11208</f>
        <v/>
      </c>
      <c r="C11208">
        <f>TEST_DATA!C11208</f>
        <v/>
      </c>
      <c r="D11208">
        <f>TEST_DATA!D11208</f>
        <v/>
      </c>
      <c r="E11208">
        <f>TEST_DATA!E11208</f>
        <v/>
      </c>
    </row>
    <row r="11209">
      <c r="A11209">
        <f>TEST_DATA!A11209</f>
        <v/>
      </c>
      <c r="B11209">
        <f>TEST_DATA!B11209</f>
        <v/>
      </c>
      <c r="C11209">
        <f>TEST_DATA!C11209</f>
        <v/>
      </c>
      <c r="D11209">
        <f>TEST_DATA!D11209</f>
        <v/>
      </c>
      <c r="E11209">
        <f>TEST_DATA!E11209</f>
        <v/>
      </c>
    </row>
    <row r="11210">
      <c r="A11210">
        <f>TEST_DATA!A11210</f>
        <v/>
      </c>
      <c r="B11210">
        <f>TEST_DATA!B11210</f>
        <v/>
      </c>
      <c r="C11210">
        <f>TEST_DATA!C11210</f>
        <v/>
      </c>
      <c r="D11210">
        <f>TEST_DATA!D11210</f>
        <v/>
      </c>
      <c r="E11210">
        <f>TEST_DATA!E11210</f>
        <v/>
      </c>
    </row>
    <row r="11211">
      <c r="A11211">
        <f>TEST_DATA!A11211</f>
        <v/>
      </c>
      <c r="B11211">
        <f>TEST_DATA!B11211</f>
        <v/>
      </c>
      <c r="C11211">
        <f>TEST_DATA!C11211</f>
        <v/>
      </c>
      <c r="D11211">
        <f>TEST_DATA!D11211</f>
        <v/>
      </c>
      <c r="E11211">
        <f>TEST_DATA!E11211</f>
        <v/>
      </c>
    </row>
    <row r="11212">
      <c r="A11212">
        <f>TEST_DATA!A11212</f>
        <v/>
      </c>
      <c r="B11212">
        <f>TEST_DATA!B11212</f>
        <v/>
      </c>
      <c r="C11212">
        <f>TEST_DATA!C11212</f>
        <v/>
      </c>
      <c r="D11212">
        <f>TEST_DATA!D11212</f>
        <v/>
      </c>
      <c r="E11212">
        <f>TEST_DATA!E11212</f>
        <v/>
      </c>
    </row>
    <row r="11213">
      <c r="A11213">
        <f>TEST_DATA!A11213</f>
        <v/>
      </c>
      <c r="B11213">
        <f>TEST_DATA!B11213</f>
        <v/>
      </c>
      <c r="C11213">
        <f>TEST_DATA!C11213</f>
        <v/>
      </c>
      <c r="D11213">
        <f>TEST_DATA!D11213</f>
        <v/>
      </c>
      <c r="E11213">
        <f>TEST_DATA!E11213</f>
        <v/>
      </c>
    </row>
    <row r="11214">
      <c r="A11214">
        <f>TEST_DATA!A11214</f>
        <v/>
      </c>
      <c r="B11214">
        <f>TEST_DATA!B11214</f>
        <v/>
      </c>
      <c r="C11214">
        <f>TEST_DATA!C11214</f>
        <v/>
      </c>
      <c r="D11214">
        <f>TEST_DATA!D11214</f>
        <v/>
      </c>
      <c r="E11214">
        <f>TEST_DATA!E11214</f>
        <v/>
      </c>
    </row>
    <row r="11215">
      <c r="A11215">
        <f>TEST_DATA!A11215</f>
        <v/>
      </c>
      <c r="B11215">
        <f>TEST_DATA!B11215</f>
        <v/>
      </c>
      <c r="C11215">
        <f>TEST_DATA!C11215</f>
        <v/>
      </c>
      <c r="D11215">
        <f>TEST_DATA!D11215</f>
        <v/>
      </c>
      <c r="E11215">
        <f>TEST_DATA!E11215</f>
        <v/>
      </c>
    </row>
    <row r="11216">
      <c r="A11216">
        <f>TEST_DATA!A11216</f>
        <v/>
      </c>
      <c r="B11216">
        <f>TEST_DATA!B11216</f>
        <v/>
      </c>
      <c r="C11216">
        <f>TEST_DATA!C11216</f>
        <v/>
      </c>
      <c r="D11216">
        <f>TEST_DATA!D11216</f>
        <v/>
      </c>
      <c r="E11216">
        <f>TEST_DATA!E11216</f>
        <v/>
      </c>
    </row>
    <row r="11217">
      <c r="A11217">
        <f>TEST_DATA!A11217</f>
        <v/>
      </c>
      <c r="B11217">
        <f>TEST_DATA!B11217</f>
        <v/>
      </c>
      <c r="C11217">
        <f>TEST_DATA!C11217</f>
        <v/>
      </c>
      <c r="D11217">
        <f>TEST_DATA!D11217</f>
        <v/>
      </c>
      <c r="E11217">
        <f>TEST_DATA!E11217</f>
        <v/>
      </c>
    </row>
    <row r="11218">
      <c r="A11218">
        <f>TEST_DATA!A11218</f>
        <v/>
      </c>
      <c r="B11218">
        <f>TEST_DATA!B11218</f>
        <v/>
      </c>
      <c r="C11218">
        <f>TEST_DATA!C11218</f>
        <v/>
      </c>
      <c r="D11218">
        <f>TEST_DATA!D11218</f>
        <v/>
      </c>
      <c r="E11218">
        <f>TEST_DATA!E11218</f>
        <v/>
      </c>
    </row>
    <row r="11219">
      <c r="A11219">
        <f>TEST_DATA!A11219</f>
        <v/>
      </c>
      <c r="B11219">
        <f>TEST_DATA!B11219</f>
        <v/>
      </c>
      <c r="C11219">
        <f>TEST_DATA!C11219</f>
        <v/>
      </c>
      <c r="D11219">
        <f>TEST_DATA!D11219</f>
        <v/>
      </c>
      <c r="E11219">
        <f>TEST_DATA!E11219</f>
        <v/>
      </c>
    </row>
    <row r="11220">
      <c r="A11220">
        <f>TEST_DATA!A11220</f>
        <v/>
      </c>
      <c r="B11220">
        <f>TEST_DATA!B11220</f>
        <v/>
      </c>
      <c r="C11220">
        <f>TEST_DATA!C11220</f>
        <v/>
      </c>
      <c r="D11220">
        <f>TEST_DATA!D11220</f>
        <v/>
      </c>
      <c r="E11220">
        <f>TEST_DATA!E11220</f>
        <v/>
      </c>
    </row>
    <row r="11221">
      <c r="A11221">
        <f>TEST_DATA!A11221</f>
        <v/>
      </c>
      <c r="B11221">
        <f>TEST_DATA!B11221</f>
        <v/>
      </c>
      <c r="C11221">
        <f>TEST_DATA!C11221</f>
        <v/>
      </c>
      <c r="D11221">
        <f>TEST_DATA!D11221</f>
        <v/>
      </c>
      <c r="E11221">
        <f>TEST_DATA!E11221</f>
        <v/>
      </c>
    </row>
    <row r="11222">
      <c r="A11222">
        <f>TEST_DATA!A11222</f>
        <v/>
      </c>
      <c r="B11222">
        <f>TEST_DATA!B11222</f>
        <v/>
      </c>
      <c r="C11222">
        <f>TEST_DATA!C11222</f>
        <v/>
      </c>
      <c r="D11222">
        <f>TEST_DATA!D11222</f>
        <v/>
      </c>
      <c r="E11222">
        <f>TEST_DATA!E11222</f>
        <v/>
      </c>
    </row>
    <row r="11223">
      <c r="A11223">
        <f>TEST_DATA!A11223</f>
        <v/>
      </c>
      <c r="B11223">
        <f>TEST_DATA!B11223</f>
        <v/>
      </c>
      <c r="C11223">
        <f>TEST_DATA!C11223</f>
        <v/>
      </c>
      <c r="D11223">
        <f>TEST_DATA!D11223</f>
        <v/>
      </c>
      <c r="E11223">
        <f>TEST_DATA!E11223</f>
        <v/>
      </c>
    </row>
    <row r="11224">
      <c r="A11224">
        <f>TEST_DATA!A11224</f>
        <v/>
      </c>
      <c r="B11224">
        <f>TEST_DATA!B11224</f>
        <v/>
      </c>
      <c r="C11224">
        <f>TEST_DATA!C11224</f>
        <v/>
      </c>
      <c r="D11224">
        <f>TEST_DATA!D11224</f>
        <v/>
      </c>
      <c r="E11224">
        <f>TEST_DATA!E11224</f>
        <v/>
      </c>
    </row>
    <row r="11225">
      <c r="A11225">
        <f>TEST_DATA!A11225</f>
        <v/>
      </c>
      <c r="B11225">
        <f>TEST_DATA!B11225</f>
        <v/>
      </c>
      <c r="C11225">
        <f>TEST_DATA!C11225</f>
        <v/>
      </c>
      <c r="D11225">
        <f>TEST_DATA!D11225</f>
        <v/>
      </c>
      <c r="E11225">
        <f>TEST_DATA!E11225</f>
        <v/>
      </c>
    </row>
    <row r="11226">
      <c r="A11226">
        <f>TEST_DATA!A11226</f>
        <v/>
      </c>
      <c r="B11226">
        <f>TEST_DATA!B11226</f>
        <v/>
      </c>
      <c r="C11226">
        <f>TEST_DATA!C11226</f>
        <v/>
      </c>
      <c r="D11226">
        <f>TEST_DATA!D11226</f>
        <v/>
      </c>
      <c r="E11226">
        <f>TEST_DATA!E11226</f>
        <v/>
      </c>
    </row>
    <row r="11227">
      <c r="A11227">
        <f>TEST_DATA!A11227</f>
        <v/>
      </c>
      <c r="B11227">
        <f>TEST_DATA!B11227</f>
        <v/>
      </c>
      <c r="C11227">
        <f>TEST_DATA!C11227</f>
        <v/>
      </c>
      <c r="D11227">
        <f>TEST_DATA!D11227</f>
        <v/>
      </c>
      <c r="E11227">
        <f>TEST_DATA!E11227</f>
        <v/>
      </c>
    </row>
    <row r="11228">
      <c r="A11228">
        <f>TEST_DATA!A11228</f>
        <v/>
      </c>
      <c r="B11228">
        <f>TEST_DATA!B11228</f>
        <v/>
      </c>
      <c r="C11228">
        <f>TEST_DATA!C11228</f>
        <v/>
      </c>
      <c r="D11228">
        <f>TEST_DATA!D11228</f>
        <v/>
      </c>
      <c r="E11228">
        <f>TEST_DATA!E11228</f>
        <v/>
      </c>
    </row>
    <row r="11229">
      <c r="A11229">
        <f>TEST_DATA!A11229</f>
        <v/>
      </c>
      <c r="B11229">
        <f>TEST_DATA!B11229</f>
        <v/>
      </c>
      <c r="C11229">
        <f>TEST_DATA!C11229</f>
        <v/>
      </c>
      <c r="D11229">
        <f>TEST_DATA!D11229</f>
        <v/>
      </c>
      <c r="E11229">
        <f>TEST_DATA!E11229</f>
        <v/>
      </c>
    </row>
    <row r="11230">
      <c r="A11230">
        <f>TEST_DATA!A11230</f>
        <v/>
      </c>
      <c r="B11230">
        <f>TEST_DATA!B11230</f>
        <v/>
      </c>
      <c r="C11230">
        <f>TEST_DATA!C11230</f>
        <v/>
      </c>
      <c r="D11230">
        <f>TEST_DATA!D11230</f>
        <v/>
      </c>
      <c r="E11230">
        <f>TEST_DATA!E11230</f>
        <v/>
      </c>
    </row>
    <row r="11231">
      <c r="A11231">
        <f>TEST_DATA!A11231</f>
        <v/>
      </c>
      <c r="B11231">
        <f>TEST_DATA!B11231</f>
        <v/>
      </c>
      <c r="C11231">
        <f>TEST_DATA!C11231</f>
        <v/>
      </c>
      <c r="D11231">
        <f>TEST_DATA!D11231</f>
        <v/>
      </c>
      <c r="E11231">
        <f>TEST_DATA!E11231</f>
        <v/>
      </c>
    </row>
    <row r="11232">
      <c r="A11232">
        <f>TEST_DATA!A11232</f>
        <v/>
      </c>
      <c r="B11232">
        <f>TEST_DATA!B11232</f>
        <v/>
      </c>
      <c r="C11232">
        <f>TEST_DATA!C11232</f>
        <v/>
      </c>
      <c r="D11232">
        <f>TEST_DATA!D11232</f>
        <v/>
      </c>
      <c r="E11232">
        <f>TEST_DATA!E11232</f>
        <v/>
      </c>
    </row>
    <row r="11233">
      <c r="A11233">
        <f>TEST_DATA!A11233</f>
        <v/>
      </c>
      <c r="B11233">
        <f>TEST_DATA!B11233</f>
        <v/>
      </c>
      <c r="C11233">
        <f>TEST_DATA!C11233</f>
        <v/>
      </c>
      <c r="D11233">
        <f>TEST_DATA!D11233</f>
        <v/>
      </c>
      <c r="E11233">
        <f>TEST_DATA!E11233</f>
        <v/>
      </c>
    </row>
    <row r="11234">
      <c r="A11234">
        <f>TEST_DATA!A11234</f>
        <v/>
      </c>
      <c r="B11234">
        <f>TEST_DATA!B11234</f>
        <v/>
      </c>
      <c r="C11234">
        <f>TEST_DATA!C11234</f>
        <v/>
      </c>
      <c r="D11234">
        <f>TEST_DATA!D11234</f>
        <v/>
      </c>
      <c r="E11234">
        <f>TEST_DATA!E11234</f>
        <v/>
      </c>
    </row>
    <row r="11235">
      <c r="A11235">
        <f>TEST_DATA!A11235</f>
        <v/>
      </c>
      <c r="B11235">
        <f>TEST_DATA!B11235</f>
        <v/>
      </c>
      <c r="C11235">
        <f>TEST_DATA!C11235</f>
        <v/>
      </c>
      <c r="D11235">
        <f>TEST_DATA!D11235</f>
        <v/>
      </c>
      <c r="E11235">
        <f>TEST_DATA!E11235</f>
        <v/>
      </c>
    </row>
    <row r="11236">
      <c r="A11236">
        <f>TEST_DATA!A11236</f>
        <v/>
      </c>
      <c r="B11236">
        <f>TEST_DATA!B11236</f>
        <v/>
      </c>
      <c r="C11236">
        <f>TEST_DATA!C11236</f>
        <v/>
      </c>
      <c r="D11236">
        <f>TEST_DATA!D11236</f>
        <v/>
      </c>
      <c r="E11236">
        <f>TEST_DATA!E11236</f>
        <v/>
      </c>
    </row>
    <row r="11237">
      <c r="A11237">
        <f>TEST_DATA!A11237</f>
        <v/>
      </c>
      <c r="B11237">
        <f>TEST_DATA!B11237</f>
        <v/>
      </c>
      <c r="C11237">
        <f>TEST_DATA!C11237</f>
        <v/>
      </c>
      <c r="D11237">
        <f>TEST_DATA!D11237</f>
        <v/>
      </c>
      <c r="E11237">
        <f>TEST_DATA!E11237</f>
        <v/>
      </c>
    </row>
    <row r="11238">
      <c r="A11238">
        <f>TEST_DATA!A11238</f>
        <v/>
      </c>
      <c r="B11238">
        <f>TEST_DATA!B11238</f>
        <v/>
      </c>
      <c r="C11238">
        <f>TEST_DATA!C11238</f>
        <v/>
      </c>
      <c r="D11238">
        <f>TEST_DATA!D11238</f>
        <v/>
      </c>
      <c r="E11238">
        <f>TEST_DATA!E11238</f>
        <v/>
      </c>
    </row>
    <row r="11239">
      <c r="A11239">
        <f>TEST_DATA!A11239</f>
        <v/>
      </c>
      <c r="B11239">
        <f>TEST_DATA!B11239</f>
        <v/>
      </c>
      <c r="C11239">
        <f>TEST_DATA!C11239</f>
        <v/>
      </c>
      <c r="D11239">
        <f>TEST_DATA!D11239</f>
        <v/>
      </c>
      <c r="E11239">
        <f>TEST_DATA!E11239</f>
        <v/>
      </c>
    </row>
    <row r="11240">
      <c r="A11240">
        <f>TEST_DATA!A11240</f>
        <v/>
      </c>
      <c r="B11240">
        <f>TEST_DATA!B11240</f>
        <v/>
      </c>
      <c r="C11240">
        <f>TEST_DATA!C11240</f>
        <v/>
      </c>
      <c r="D11240">
        <f>TEST_DATA!D11240</f>
        <v/>
      </c>
      <c r="E11240">
        <f>TEST_DATA!E11240</f>
        <v/>
      </c>
    </row>
    <row r="11241">
      <c r="A11241">
        <f>TEST_DATA!A11241</f>
        <v/>
      </c>
      <c r="B11241">
        <f>TEST_DATA!B11241</f>
        <v/>
      </c>
      <c r="C11241">
        <f>TEST_DATA!C11241</f>
        <v/>
      </c>
      <c r="D11241">
        <f>TEST_DATA!D11241</f>
        <v/>
      </c>
      <c r="E11241">
        <f>TEST_DATA!E11241</f>
        <v/>
      </c>
    </row>
    <row r="11242">
      <c r="A11242">
        <f>TEST_DATA!A11242</f>
        <v/>
      </c>
      <c r="B11242">
        <f>TEST_DATA!B11242</f>
        <v/>
      </c>
      <c r="C11242">
        <f>TEST_DATA!C11242</f>
        <v/>
      </c>
      <c r="D11242">
        <f>TEST_DATA!D11242</f>
        <v/>
      </c>
      <c r="E11242">
        <f>TEST_DATA!E11242</f>
        <v/>
      </c>
    </row>
    <row r="11243">
      <c r="A11243">
        <f>TEST_DATA!A11243</f>
        <v/>
      </c>
      <c r="B11243">
        <f>TEST_DATA!B11243</f>
        <v/>
      </c>
      <c r="C11243">
        <f>TEST_DATA!C11243</f>
        <v/>
      </c>
      <c r="D11243">
        <f>TEST_DATA!D11243</f>
        <v/>
      </c>
      <c r="E11243">
        <f>TEST_DATA!E11243</f>
        <v/>
      </c>
    </row>
    <row r="11244">
      <c r="A11244">
        <f>TEST_DATA!A11244</f>
        <v/>
      </c>
      <c r="B11244">
        <f>TEST_DATA!B11244</f>
        <v/>
      </c>
      <c r="C11244">
        <f>TEST_DATA!C11244</f>
        <v/>
      </c>
      <c r="D11244">
        <f>TEST_DATA!D11244</f>
        <v/>
      </c>
      <c r="E11244">
        <f>TEST_DATA!E11244</f>
        <v/>
      </c>
    </row>
    <row r="11245">
      <c r="A11245">
        <f>TEST_DATA!A11245</f>
        <v/>
      </c>
      <c r="B11245">
        <f>TEST_DATA!B11245</f>
        <v/>
      </c>
      <c r="C11245">
        <f>TEST_DATA!C11245</f>
        <v/>
      </c>
      <c r="D11245">
        <f>TEST_DATA!D11245</f>
        <v/>
      </c>
      <c r="E11245">
        <f>TEST_DATA!E11245</f>
        <v/>
      </c>
    </row>
    <row r="11246">
      <c r="A11246">
        <f>TEST_DATA!A11246</f>
        <v/>
      </c>
      <c r="B11246">
        <f>TEST_DATA!B11246</f>
        <v/>
      </c>
      <c r="C11246">
        <f>TEST_DATA!C11246</f>
        <v/>
      </c>
      <c r="D11246">
        <f>TEST_DATA!D11246</f>
        <v/>
      </c>
      <c r="E11246">
        <f>TEST_DATA!E11246</f>
        <v/>
      </c>
    </row>
    <row r="11247">
      <c r="A11247">
        <f>TEST_DATA!A11247</f>
        <v/>
      </c>
      <c r="B11247">
        <f>TEST_DATA!B11247</f>
        <v/>
      </c>
      <c r="C11247">
        <f>TEST_DATA!C11247</f>
        <v/>
      </c>
      <c r="D11247">
        <f>TEST_DATA!D11247</f>
        <v/>
      </c>
      <c r="E11247">
        <f>TEST_DATA!E11247</f>
        <v/>
      </c>
    </row>
    <row r="11248">
      <c r="A11248">
        <f>TEST_DATA!A11248</f>
        <v/>
      </c>
      <c r="B11248">
        <f>TEST_DATA!B11248</f>
        <v/>
      </c>
      <c r="C11248">
        <f>TEST_DATA!C11248</f>
        <v/>
      </c>
      <c r="D11248">
        <f>TEST_DATA!D11248</f>
        <v/>
      </c>
      <c r="E11248">
        <f>TEST_DATA!E11248</f>
        <v/>
      </c>
    </row>
    <row r="11249">
      <c r="A11249">
        <f>TEST_DATA!A11249</f>
        <v/>
      </c>
      <c r="B11249">
        <f>TEST_DATA!B11249</f>
        <v/>
      </c>
      <c r="C11249">
        <f>TEST_DATA!C11249</f>
        <v/>
      </c>
      <c r="D11249">
        <f>TEST_DATA!D11249</f>
        <v/>
      </c>
      <c r="E11249">
        <f>TEST_DATA!E11249</f>
        <v/>
      </c>
    </row>
    <row r="11250">
      <c r="A11250">
        <f>TEST_DATA!A11250</f>
        <v/>
      </c>
      <c r="B11250">
        <f>TEST_DATA!B11250</f>
        <v/>
      </c>
      <c r="C11250">
        <f>TEST_DATA!C11250</f>
        <v/>
      </c>
      <c r="D11250">
        <f>TEST_DATA!D11250</f>
        <v/>
      </c>
      <c r="E11250">
        <f>TEST_DATA!E11250</f>
        <v/>
      </c>
    </row>
    <row r="11251">
      <c r="A11251">
        <f>TEST_DATA!A11251</f>
        <v/>
      </c>
      <c r="B11251">
        <f>TEST_DATA!B11251</f>
        <v/>
      </c>
      <c r="C11251">
        <f>TEST_DATA!C11251</f>
        <v/>
      </c>
      <c r="D11251">
        <f>TEST_DATA!D11251</f>
        <v/>
      </c>
      <c r="E11251">
        <f>TEST_DATA!E11251</f>
        <v/>
      </c>
    </row>
    <row r="11252">
      <c r="A11252">
        <f>TEST_DATA!A11252</f>
        <v/>
      </c>
      <c r="B11252">
        <f>TEST_DATA!B11252</f>
        <v/>
      </c>
      <c r="C11252">
        <f>TEST_DATA!C11252</f>
        <v/>
      </c>
      <c r="D11252">
        <f>TEST_DATA!D11252</f>
        <v/>
      </c>
      <c r="E11252">
        <f>TEST_DATA!E11252</f>
        <v/>
      </c>
    </row>
    <row r="11253">
      <c r="A11253">
        <f>TEST_DATA!A11253</f>
        <v/>
      </c>
      <c r="B11253">
        <f>TEST_DATA!B11253</f>
        <v/>
      </c>
      <c r="C11253">
        <f>TEST_DATA!C11253</f>
        <v/>
      </c>
      <c r="D11253">
        <f>TEST_DATA!D11253</f>
        <v/>
      </c>
      <c r="E11253">
        <f>TEST_DATA!E11253</f>
        <v/>
      </c>
    </row>
    <row r="11254">
      <c r="A11254">
        <f>TEST_DATA!A11254</f>
        <v/>
      </c>
      <c r="B11254">
        <f>TEST_DATA!B11254</f>
        <v/>
      </c>
      <c r="C11254">
        <f>TEST_DATA!C11254</f>
        <v/>
      </c>
      <c r="D11254">
        <f>TEST_DATA!D11254</f>
        <v/>
      </c>
      <c r="E11254">
        <f>TEST_DATA!E11254</f>
        <v/>
      </c>
    </row>
    <row r="11255">
      <c r="A11255">
        <f>TEST_DATA!A11255</f>
        <v/>
      </c>
      <c r="B11255">
        <f>TEST_DATA!B11255</f>
        <v/>
      </c>
      <c r="C11255">
        <f>TEST_DATA!C11255</f>
        <v/>
      </c>
      <c r="D11255">
        <f>TEST_DATA!D11255</f>
        <v/>
      </c>
      <c r="E11255">
        <f>TEST_DATA!E11255</f>
        <v/>
      </c>
    </row>
    <row r="11256">
      <c r="A11256">
        <f>TEST_DATA!A11256</f>
        <v/>
      </c>
      <c r="B11256">
        <f>TEST_DATA!B11256</f>
        <v/>
      </c>
      <c r="C11256">
        <f>TEST_DATA!C11256</f>
        <v/>
      </c>
      <c r="D11256">
        <f>TEST_DATA!D11256</f>
        <v/>
      </c>
      <c r="E11256">
        <f>TEST_DATA!E11256</f>
        <v/>
      </c>
    </row>
    <row r="11257">
      <c r="A11257">
        <f>TEST_DATA!A11257</f>
        <v/>
      </c>
      <c r="B11257">
        <f>TEST_DATA!B11257</f>
        <v/>
      </c>
      <c r="C11257">
        <f>TEST_DATA!C11257</f>
        <v/>
      </c>
      <c r="D11257">
        <f>TEST_DATA!D11257</f>
        <v/>
      </c>
      <c r="E11257">
        <f>TEST_DATA!E11257</f>
        <v/>
      </c>
    </row>
    <row r="11258">
      <c r="A11258">
        <f>TEST_DATA!A11258</f>
        <v/>
      </c>
      <c r="B11258">
        <f>TEST_DATA!B11258</f>
        <v/>
      </c>
      <c r="C11258">
        <f>TEST_DATA!C11258</f>
        <v/>
      </c>
      <c r="D11258">
        <f>TEST_DATA!D11258</f>
        <v/>
      </c>
      <c r="E11258">
        <f>TEST_DATA!E11258</f>
        <v/>
      </c>
    </row>
    <row r="11259">
      <c r="A11259">
        <f>TEST_DATA!A11259</f>
        <v/>
      </c>
      <c r="B11259">
        <f>TEST_DATA!B11259</f>
        <v/>
      </c>
      <c r="C11259">
        <f>TEST_DATA!C11259</f>
        <v/>
      </c>
      <c r="D11259">
        <f>TEST_DATA!D11259</f>
        <v/>
      </c>
      <c r="E11259">
        <f>TEST_DATA!E11259</f>
        <v/>
      </c>
    </row>
    <row r="11260">
      <c r="A11260">
        <f>TEST_DATA!A11260</f>
        <v/>
      </c>
      <c r="B11260">
        <f>TEST_DATA!B11260</f>
        <v/>
      </c>
      <c r="C11260">
        <f>TEST_DATA!C11260</f>
        <v/>
      </c>
      <c r="D11260">
        <f>TEST_DATA!D11260</f>
        <v/>
      </c>
      <c r="E11260">
        <f>TEST_DATA!E11260</f>
        <v/>
      </c>
    </row>
    <row r="11261">
      <c r="A11261">
        <f>TEST_DATA!A11261</f>
        <v/>
      </c>
      <c r="B11261">
        <f>TEST_DATA!B11261</f>
        <v/>
      </c>
      <c r="C11261">
        <f>TEST_DATA!C11261</f>
        <v/>
      </c>
      <c r="D11261">
        <f>TEST_DATA!D11261</f>
        <v/>
      </c>
      <c r="E11261">
        <f>TEST_DATA!E11261</f>
        <v/>
      </c>
    </row>
    <row r="11262">
      <c r="A11262">
        <f>TEST_DATA!A11262</f>
        <v/>
      </c>
      <c r="B11262">
        <f>TEST_DATA!B11262</f>
        <v/>
      </c>
      <c r="C11262">
        <f>TEST_DATA!C11262</f>
        <v/>
      </c>
      <c r="D11262">
        <f>TEST_DATA!D11262</f>
        <v/>
      </c>
      <c r="E11262">
        <f>TEST_DATA!E11262</f>
        <v/>
      </c>
    </row>
    <row r="11263">
      <c r="A11263">
        <f>TEST_DATA!A11263</f>
        <v/>
      </c>
      <c r="B11263">
        <f>TEST_DATA!B11263</f>
        <v/>
      </c>
      <c r="C11263">
        <f>TEST_DATA!C11263</f>
        <v/>
      </c>
      <c r="D11263">
        <f>TEST_DATA!D11263</f>
        <v/>
      </c>
      <c r="E11263">
        <f>TEST_DATA!E11263</f>
        <v/>
      </c>
    </row>
    <row r="11264">
      <c r="A11264">
        <f>TEST_DATA!A11264</f>
        <v/>
      </c>
      <c r="B11264">
        <f>TEST_DATA!B11264</f>
        <v/>
      </c>
      <c r="C11264">
        <f>TEST_DATA!C11264</f>
        <v/>
      </c>
      <c r="D11264">
        <f>TEST_DATA!D11264</f>
        <v/>
      </c>
      <c r="E11264">
        <f>TEST_DATA!E11264</f>
        <v/>
      </c>
    </row>
    <row r="11265">
      <c r="A11265">
        <f>TEST_DATA!A11265</f>
        <v/>
      </c>
      <c r="B11265">
        <f>TEST_DATA!B11265</f>
        <v/>
      </c>
      <c r="C11265">
        <f>TEST_DATA!C11265</f>
        <v/>
      </c>
      <c r="D11265">
        <f>TEST_DATA!D11265</f>
        <v/>
      </c>
      <c r="E11265">
        <f>TEST_DATA!E11265</f>
        <v/>
      </c>
    </row>
    <row r="11266">
      <c r="A11266">
        <f>TEST_DATA!A11266</f>
        <v/>
      </c>
      <c r="B11266">
        <f>TEST_DATA!B11266</f>
        <v/>
      </c>
      <c r="C11266">
        <f>TEST_DATA!C11266</f>
        <v/>
      </c>
      <c r="D11266">
        <f>TEST_DATA!D11266</f>
        <v/>
      </c>
      <c r="E11266">
        <f>TEST_DATA!E11266</f>
        <v/>
      </c>
    </row>
    <row r="11267">
      <c r="A11267">
        <f>TEST_DATA!A11267</f>
        <v/>
      </c>
      <c r="B11267">
        <f>TEST_DATA!B11267</f>
        <v/>
      </c>
      <c r="C11267">
        <f>TEST_DATA!C11267</f>
        <v/>
      </c>
      <c r="D11267">
        <f>TEST_DATA!D11267</f>
        <v/>
      </c>
      <c r="E11267">
        <f>TEST_DATA!E11267</f>
        <v/>
      </c>
    </row>
    <row r="11268">
      <c r="A11268">
        <f>TEST_DATA!A11268</f>
        <v/>
      </c>
      <c r="B11268">
        <f>TEST_DATA!B11268</f>
        <v/>
      </c>
      <c r="C11268">
        <f>TEST_DATA!C11268</f>
        <v/>
      </c>
      <c r="D11268">
        <f>TEST_DATA!D11268</f>
        <v/>
      </c>
      <c r="E11268">
        <f>TEST_DATA!E11268</f>
        <v/>
      </c>
    </row>
    <row r="11269">
      <c r="A11269">
        <f>TEST_DATA!A11269</f>
        <v/>
      </c>
      <c r="B11269">
        <f>TEST_DATA!B11269</f>
        <v/>
      </c>
      <c r="C11269">
        <f>TEST_DATA!C11269</f>
        <v/>
      </c>
      <c r="D11269">
        <f>TEST_DATA!D11269</f>
        <v/>
      </c>
      <c r="E11269">
        <f>TEST_DATA!E11269</f>
        <v/>
      </c>
    </row>
    <row r="11270">
      <c r="A11270">
        <f>TEST_DATA!A11270</f>
        <v/>
      </c>
      <c r="B11270">
        <f>TEST_DATA!B11270</f>
        <v/>
      </c>
      <c r="C11270">
        <f>TEST_DATA!C11270</f>
        <v/>
      </c>
      <c r="D11270">
        <f>TEST_DATA!D11270</f>
        <v/>
      </c>
      <c r="E11270">
        <f>TEST_DATA!E11270</f>
        <v/>
      </c>
    </row>
    <row r="11271">
      <c r="A11271">
        <f>TEST_DATA!A11271</f>
        <v/>
      </c>
      <c r="B11271">
        <f>TEST_DATA!B11271</f>
        <v/>
      </c>
      <c r="C11271">
        <f>TEST_DATA!C11271</f>
        <v/>
      </c>
      <c r="D11271">
        <f>TEST_DATA!D11271</f>
        <v/>
      </c>
      <c r="E11271">
        <f>TEST_DATA!E11271</f>
        <v/>
      </c>
    </row>
    <row r="11272">
      <c r="A11272">
        <f>TEST_DATA!A11272</f>
        <v/>
      </c>
      <c r="B11272">
        <f>TEST_DATA!B11272</f>
        <v/>
      </c>
      <c r="C11272">
        <f>TEST_DATA!C11272</f>
        <v/>
      </c>
      <c r="D11272">
        <f>TEST_DATA!D11272</f>
        <v/>
      </c>
      <c r="E11272">
        <f>TEST_DATA!E11272</f>
        <v/>
      </c>
    </row>
    <row r="11273">
      <c r="A11273">
        <f>TEST_DATA!A11273</f>
        <v/>
      </c>
      <c r="B11273">
        <f>TEST_DATA!B11273</f>
        <v/>
      </c>
      <c r="C11273">
        <f>TEST_DATA!C11273</f>
        <v/>
      </c>
      <c r="D11273">
        <f>TEST_DATA!D11273</f>
        <v/>
      </c>
      <c r="E11273">
        <f>TEST_DATA!E11273</f>
        <v/>
      </c>
    </row>
    <row r="11274">
      <c r="A11274">
        <f>TEST_DATA!A11274</f>
        <v/>
      </c>
      <c r="B11274">
        <f>TEST_DATA!B11274</f>
        <v/>
      </c>
      <c r="C11274">
        <f>TEST_DATA!C11274</f>
        <v/>
      </c>
      <c r="D11274">
        <f>TEST_DATA!D11274</f>
        <v/>
      </c>
      <c r="E11274">
        <f>TEST_DATA!E11274</f>
        <v/>
      </c>
    </row>
    <row r="11275">
      <c r="A11275">
        <f>TEST_DATA!A11275</f>
        <v/>
      </c>
      <c r="B11275">
        <f>TEST_DATA!B11275</f>
        <v/>
      </c>
      <c r="C11275">
        <f>TEST_DATA!C11275</f>
        <v/>
      </c>
      <c r="D11275">
        <f>TEST_DATA!D11275</f>
        <v/>
      </c>
      <c r="E11275">
        <f>TEST_DATA!E11275</f>
        <v/>
      </c>
    </row>
    <row r="11276">
      <c r="A11276">
        <f>TEST_DATA!A11276</f>
        <v/>
      </c>
      <c r="B11276">
        <f>TEST_DATA!B11276</f>
        <v/>
      </c>
      <c r="C11276">
        <f>TEST_DATA!C11276</f>
        <v/>
      </c>
      <c r="D11276">
        <f>TEST_DATA!D11276</f>
        <v/>
      </c>
      <c r="E11276">
        <f>TEST_DATA!E11276</f>
        <v/>
      </c>
    </row>
    <row r="11277">
      <c r="A11277">
        <f>TEST_DATA!A11277</f>
        <v/>
      </c>
      <c r="B11277">
        <f>TEST_DATA!B11277</f>
        <v/>
      </c>
      <c r="C11277">
        <f>TEST_DATA!C11277</f>
        <v/>
      </c>
      <c r="D11277">
        <f>TEST_DATA!D11277</f>
        <v/>
      </c>
      <c r="E11277">
        <f>TEST_DATA!E11277</f>
        <v/>
      </c>
    </row>
    <row r="11278">
      <c r="A11278">
        <f>TEST_DATA!A11278</f>
        <v/>
      </c>
      <c r="B11278">
        <f>TEST_DATA!B11278</f>
        <v/>
      </c>
      <c r="C11278">
        <f>TEST_DATA!C11278</f>
        <v/>
      </c>
      <c r="D11278">
        <f>TEST_DATA!D11278</f>
        <v/>
      </c>
      <c r="E11278">
        <f>TEST_DATA!E11278</f>
        <v/>
      </c>
    </row>
    <row r="11279">
      <c r="A11279">
        <f>TEST_DATA!A11279</f>
        <v/>
      </c>
      <c r="B11279">
        <f>TEST_DATA!B11279</f>
        <v/>
      </c>
      <c r="C11279">
        <f>TEST_DATA!C11279</f>
        <v/>
      </c>
      <c r="D11279">
        <f>TEST_DATA!D11279</f>
        <v/>
      </c>
      <c r="E11279">
        <f>TEST_DATA!E11279</f>
        <v/>
      </c>
    </row>
    <row r="11280">
      <c r="A11280">
        <f>TEST_DATA!A11280</f>
        <v/>
      </c>
      <c r="B11280">
        <f>TEST_DATA!B11280</f>
        <v/>
      </c>
      <c r="C11280">
        <f>TEST_DATA!C11280</f>
        <v/>
      </c>
      <c r="D11280">
        <f>TEST_DATA!D11280</f>
        <v/>
      </c>
      <c r="E11280">
        <f>TEST_DATA!E11280</f>
        <v/>
      </c>
    </row>
    <row r="11281">
      <c r="A11281">
        <f>TEST_DATA!A11281</f>
        <v/>
      </c>
      <c r="B11281">
        <f>TEST_DATA!B11281</f>
        <v/>
      </c>
      <c r="C11281">
        <f>TEST_DATA!C11281</f>
        <v/>
      </c>
      <c r="D11281">
        <f>TEST_DATA!D11281</f>
        <v/>
      </c>
      <c r="E11281">
        <f>TEST_DATA!E11281</f>
        <v/>
      </c>
    </row>
    <row r="11282">
      <c r="A11282">
        <f>TEST_DATA!A11282</f>
        <v/>
      </c>
      <c r="B11282">
        <f>TEST_DATA!B11282</f>
        <v/>
      </c>
      <c r="C11282">
        <f>TEST_DATA!C11282</f>
        <v/>
      </c>
      <c r="D11282">
        <f>TEST_DATA!D11282</f>
        <v/>
      </c>
      <c r="E11282">
        <f>TEST_DATA!E11282</f>
        <v/>
      </c>
    </row>
    <row r="11283">
      <c r="A11283">
        <f>TEST_DATA!A11283</f>
        <v/>
      </c>
      <c r="B11283">
        <f>TEST_DATA!B11283</f>
        <v/>
      </c>
      <c r="C11283">
        <f>TEST_DATA!C11283</f>
        <v/>
      </c>
      <c r="D11283">
        <f>TEST_DATA!D11283</f>
        <v/>
      </c>
      <c r="E11283">
        <f>TEST_DATA!E11283</f>
        <v/>
      </c>
    </row>
    <row r="11284">
      <c r="A11284">
        <f>TEST_DATA!A11284</f>
        <v/>
      </c>
      <c r="B11284">
        <f>TEST_DATA!B11284</f>
        <v/>
      </c>
      <c r="C11284">
        <f>TEST_DATA!C11284</f>
        <v/>
      </c>
      <c r="D11284">
        <f>TEST_DATA!D11284</f>
        <v/>
      </c>
      <c r="E11284">
        <f>TEST_DATA!E11284</f>
        <v/>
      </c>
    </row>
    <row r="11285">
      <c r="A11285">
        <f>TEST_DATA!A11285</f>
        <v/>
      </c>
      <c r="B11285">
        <f>TEST_DATA!B11285</f>
        <v/>
      </c>
      <c r="C11285">
        <f>TEST_DATA!C11285</f>
        <v/>
      </c>
      <c r="D11285">
        <f>TEST_DATA!D11285</f>
        <v/>
      </c>
      <c r="E11285">
        <f>TEST_DATA!E11285</f>
        <v/>
      </c>
    </row>
    <row r="11286">
      <c r="A11286">
        <f>TEST_DATA!A11286</f>
        <v/>
      </c>
      <c r="B11286">
        <f>TEST_DATA!B11286</f>
        <v/>
      </c>
      <c r="C11286">
        <f>TEST_DATA!C11286</f>
        <v/>
      </c>
      <c r="D11286">
        <f>TEST_DATA!D11286</f>
        <v/>
      </c>
      <c r="E11286">
        <f>TEST_DATA!E11286</f>
        <v/>
      </c>
    </row>
    <row r="11287">
      <c r="A11287">
        <f>TEST_DATA!A11287</f>
        <v/>
      </c>
      <c r="B11287">
        <f>TEST_DATA!B11287</f>
        <v/>
      </c>
      <c r="C11287">
        <f>TEST_DATA!C11287</f>
        <v/>
      </c>
      <c r="D11287">
        <f>TEST_DATA!D11287</f>
        <v/>
      </c>
      <c r="E11287">
        <f>TEST_DATA!E11287</f>
        <v/>
      </c>
    </row>
    <row r="11288">
      <c r="A11288">
        <f>TEST_DATA!A11288</f>
        <v/>
      </c>
      <c r="B11288">
        <f>TEST_DATA!B11288</f>
        <v/>
      </c>
      <c r="C11288">
        <f>TEST_DATA!C11288</f>
        <v/>
      </c>
      <c r="D11288">
        <f>TEST_DATA!D11288</f>
        <v/>
      </c>
      <c r="E11288">
        <f>TEST_DATA!E11288</f>
        <v/>
      </c>
    </row>
    <row r="11289">
      <c r="A11289">
        <f>TEST_DATA!A11289</f>
        <v/>
      </c>
      <c r="B11289">
        <f>TEST_DATA!B11289</f>
        <v/>
      </c>
      <c r="C11289">
        <f>TEST_DATA!C11289</f>
        <v/>
      </c>
      <c r="D11289">
        <f>TEST_DATA!D11289</f>
        <v/>
      </c>
      <c r="E11289">
        <f>TEST_DATA!E11289</f>
        <v/>
      </c>
    </row>
    <row r="11290">
      <c r="A11290">
        <f>TEST_DATA!A11290</f>
        <v/>
      </c>
      <c r="B11290">
        <f>TEST_DATA!B11290</f>
        <v/>
      </c>
      <c r="C11290">
        <f>TEST_DATA!C11290</f>
        <v/>
      </c>
      <c r="D11290">
        <f>TEST_DATA!D11290</f>
        <v/>
      </c>
      <c r="E11290">
        <f>TEST_DATA!E11290</f>
        <v/>
      </c>
    </row>
    <row r="11291">
      <c r="A11291">
        <f>TEST_DATA!A11291</f>
        <v/>
      </c>
      <c r="B11291">
        <f>TEST_DATA!B11291</f>
        <v/>
      </c>
      <c r="C11291">
        <f>TEST_DATA!C11291</f>
        <v/>
      </c>
      <c r="D11291">
        <f>TEST_DATA!D11291</f>
        <v/>
      </c>
      <c r="E11291">
        <f>TEST_DATA!E11291</f>
        <v/>
      </c>
    </row>
    <row r="11292">
      <c r="A11292">
        <f>TEST_DATA!A11292</f>
        <v/>
      </c>
      <c r="B11292">
        <f>TEST_DATA!B11292</f>
        <v/>
      </c>
      <c r="C11292">
        <f>TEST_DATA!C11292</f>
        <v/>
      </c>
      <c r="D11292">
        <f>TEST_DATA!D11292</f>
        <v/>
      </c>
      <c r="E11292">
        <f>TEST_DATA!E11292</f>
        <v/>
      </c>
    </row>
    <row r="11293">
      <c r="A11293">
        <f>TEST_DATA!A11293</f>
        <v/>
      </c>
      <c r="B11293">
        <f>TEST_DATA!B11293</f>
        <v/>
      </c>
      <c r="C11293">
        <f>TEST_DATA!C11293</f>
        <v/>
      </c>
      <c r="D11293">
        <f>TEST_DATA!D11293</f>
        <v/>
      </c>
      <c r="E11293">
        <f>TEST_DATA!E11293</f>
        <v/>
      </c>
    </row>
    <row r="11294">
      <c r="A11294">
        <f>TEST_DATA!A11294</f>
        <v/>
      </c>
      <c r="B11294">
        <f>TEST_DATA!B11294</f>
        <v/>
      </c>
      <c r="C11294">
        <f>TEST_DATA!C11294</f>
        <v/>
      </c>
      <c r="D11294">
        <f>TEST_DATA!D11294</f>
        <v/>
      </c>
      <c r="E11294">
        <f>TEST_DATA!E11294</f>
        <v/>
      </c>
    </row>
    <row r="11295">
      <c r="A11295">
        <f>TEST_DATA!A11295</f>
        <v/>
      </c>
      <c r="B11295">
        <f>TEST_DATA!B11295</f>
        <v/>
      </c>
      <c r="C11295">
        <f>TEST_DATA!C11295</f>
        <v/>
      </c>
      <c r="D11295">
        <f>TEST_DATA!D11295</f>
        <v/>
      </c>
      <c r="E11295">
        <f>TEST_DATA!E11295</f>
        <v/>
      </c>
    </row>
    <row r="11296">
      <c r="A11296">
        <f>TEST_DATA!A11296</f>
        <v/>
      </c>
      <c r="B11296">
        <f>TEST_DATA!B11296</f>
        <v/>
      </c>
      <c r="C11296">
        <f>TEST_DATA!C11296</f>
        <v/>
      </c>
      <c r="D11296">
        <f>TEST_DATA!D11296</f>
        <v/>
      </c>
      <c r="E11296">
        <f>TEST_DATA!E11296</f>
        <v/>
      </c>
    </row>
    <row r="11297">
      <c r="A11297">
        <f>TEST_DATA!A11297</f>
        <v/>
      </c>
      <c r="B11297">
        <f>TEST_DATA!B11297</f>
        <v/>
      </c>
      <c r="C11297">
        <f>TEST_DATA!C11297</f>
        <v/>
      </c>
      <c r="D11297">
        <f>TEST_DATA!D11297</f>
        <v/>
      </c>
      <c r="E11297">
        <f>TEST_DATA!E11297</f>
        <v/>
      </c>
    </row>
    <row r="11298">
      <c r="A11298">
        <f>TEST_DATA!A11298</f>
        <v/>
      </c>
      <c r="B11298">
        <f>TEST_DATA!B11298</f>
        <v/>
      </c>
      <c r="C11298">
        <f>TEST_DATA!C11298</f>
        <v/>
      </c>
      <c r="D11298">
        <f>TEST_DATA!D11298</f>
        <v/>
      </c>
      <c r="E11298">
        <f>TEST_DATA!E11298</f>
        <v/>
      </c>
    </row>
    <row r="11299">
      <c r="A11299">
        <f>TEST_DATA!A11299</f>
        <v/>
      </c>
      <c r="B11299">
        <f>TEST_DATA!B11299</f>
        <v/>
      </c>
      <c r="C11299">
        <f>TEST_DATA!C11299</f>
        <v/>
      </c>
      <c r="D11299">
        <f>TEST_DATA!D11299</f>
        <v/>
      </c>
      <c r="E11299">
        <f>TEST_DATA!E11299</f>
        <v/>
      </c>
    </row>
    <row r="11300">
      <c r="A11300">
        <f>TEST_DATA!A11300</f>
        <v/>
      </c>
      <c r="B11300">
        <f>TEST_DATA!B11300</f>
        <v/>
      </c>
      <c r="C11300">
        <f>TEST_DATA!C11300</f>
        <v/>
      </c>
      <c r="D11300">
        <f>TEST_DATA!D11300</f>
        <v/>
      </c>
      <c r="E11300">
        <f>TEST_DATA!E11300</f>
        <v/>
      </c>
    </row>
    <row r="11301">
      <c r="A11301">
        <f>TEST_DATA!A11301</f>
        <v/>
      </c>
      <c r="B11301">
        <f>TEST_DATA!B11301</f>
        <v/>
      </c>
      <c r="C11301">
        <f>TEST_DATA!C11301</f>
        <v/>
      </c>
      <c r="D11301">
        <f>TEST_DATA!D11301</f>
        <v/>
      </c>
      <c r="E11301">
        <f>TEST_DATA!E11301</f>
        <v/>
      </c>
    </row>
    <row r="11302">
      <c r="A11302">
        <f>TEST_DATA!A11302</f>
        <v/>
      </c>
      <c r="B11302">
        <f>TEST_DATA!B11302</f>
        <v/>
      </c>
      <c r="C11302">
        <f>TEST_DATA!C11302</f>
        <v/>
      </c>
      <c r="D11302">
        <f>TEST_DATA!D11302</f>
        <v/>
      </c>
      <c r="E11302">
        <f>TEST_DATA!E11302</f>
        <v/>
      </c>
    </row>
    <row r="11303">
      <c r="A11303">
        <f>TEST_DATA!A11303</f>
        <v/>
      </c>
      <c r="B11303">
        <f>TEST_DATA!B11303</f>
        <v/>
      </c>
      <c r="C11303">
        <f>TEST_DATA!C11303</f>
        <v/>
      </c>
      <c r="D11303">
        <f>TEST_DATA!D11303</f>
        <v/>
      </c>
      <c r="E11303">
        <f>TEST_DATA!E11303</f>
        <v/>
      </c>
    </row>
    <row r="11304">
      <c r="A11304">
        <f>TEST_DATA!A11304</f>
        <v/>
      </c>
      <c r="B11304">
        <f>TEST_DATA!B11304</f>
        <v/>
      </c>
      <c r="C11304">
        <f>TEST_DATA!C11304</f>
        <v/>
      </c>
      <c r="D11304">
        <f>TEST_DATA!D11304</f>
        <v/>
      </c>
      <c r="E11304">
        <f>TEST_DATA!E11304</f>
        <v/>
      </c>
    </row>
    <row r="11305">
      <c r="A11305">
        <f>TEST_DATA!A11305</f>
        <v/>
      </c>
      <c r="B11305">
        <f>TEST_DATA!B11305</f>
        <v/>
      </c>
      <c r="C11305">
        <f>TEST_DATA!C11305</f>
        <v/>
      </c>
      <c r="D11305">
        <f>TEST_DATA!D11305</f>
        <v/>
      </c>
      <c r="E11305">
        <f>TEST_DATA!E11305</f>
        <v/>
      </c>
    </row>
    <row r="11306">
      <c r="A11306">
        <f>TEST_DATA!A11306</f>
        <v/>
      </c>
      <c r="B11306">
        <f>TEST_DATA!B11306</f>
        <v/>
      </c>
      <c r="C11306">
        <f>TEST_DATA!C11306</f>
        <v/>
      </c>
      <c r="D11306">
        <f>TEST_DATA!D11306</f>
        <v/>
      </c>
      <c r="E11306">
        <f>TEST_DATA!E11306</f>
        <v/>
      </c>
    </row>
    <row r="11307">
      <c r="A11307">
        <f>TEST_DATA!A11307</f>
        <v/>
      </c>
      <c r="B11307">
        <f>TEST_DATA!B11307</f>
        <v/>
      </c>
      <c r="C11307">
        <f>TEST_DATA!C11307</f>
        <v/>
      </c>
      <c r="D11307">
        <f>TEST_DATA!D11307</f>
        <v/>
      </c>
      <c r="E11307">
        <f>TEST_DATA!E11307</f>
        <v/>
      </c>
    </row>
    <row r="11308">
      <c r="A11308">
        <f>TEST_DATA!A11308</f>
        <v/>
      </c>
      <c r="B11308">
        <f>TEST_DATA!B11308</f>
        <v/>
      </c>
      <c r="C11308">
        <f>TEST_DATA!C11308</f>
        <v/>
      </c>
      <c r="D11308">
        <f>TEST_DATA!D11308</f>
        <v/>
      </c>
      <c r="E11308">
        <f>TEST_DATA!E11308</f>
        <v/>
      </c>
    </row>
    <row r="11309">
      <c r="A11309">
        <f>TEST_DATA!A11309</f>
        <v/>
      </c>
      <c r="B11309">
        <f>TEST_DATA!B11309</f>
        <v/>
      </c>
      <c r="C11309">
        <f>TEST_DATA!C11309</f>
        <v/>
      </c>
      <c r="D11309">
        <f>TEST_DATA!D11309</f>
        <v/>
      </c>
      <c r="E11309">
        <f>TEST_DATA!E11309</f>
        <v/>
      </c>
    </row>
    <row r="11310">
      <c r="A11310">
        <f>TEST_DATA!A11310</f>
        <v/>
      </c>
      <c r="B11310">
        <f>TEST_DATA!B11310</f>
        <v/>
      </c>
      <c r="C11310">
        <f>TEST_DATA!C11310</f>
        <v/>
      </c>
      <c r="D11310">
        <f>TEST_DATA!D11310</f>
        <v/>
      </c>
      <c r="E11310">
        <f>TEST_DATA!E11310</f>
        <v/>
      </c>
    </row>
    <row r="11311">
      <c r="A11311">
        <f>TEST_DATA!A11311</f>
        <v/>
      </c>
      <c r="B11311">
        <f>TEST_DATA!B11311</f>
        <v/>
      </c>
      <c r="C11311">
        <f>TEST_DATA!C11311</f>
        <v/>
      </c>
      <c r="D11311">
        <f>TEST_DATA!D11311</f>
        <v/>
      </c>
      <c r="E11311">
        <f>TEST_DATA!E11311</f>
        <v/>
      </c>
    </row>
    <row r="11312">
      <c r="A11312">
        <f>TEST_DATA!A11312</f>
        <v/>
      </c>
      <c r="B11312">
        <f>TEST_DATA!B11312</f>
        <v/>
      </c>
      <c r="C11312">
        <f>TEST_DATA!C11312</f>
        <v/>
      </c>
      <c r="D11312">
        <f>TEST_DATA!D11312</f>
        <v/>
      </c>
      <c r="E11312">
        <f>TEST_DATA!E11312</f>
        <v/>
      </c>
    </row>
    <row r="11313">
      <c r="A11313">
        <f>TEST_DATA!A11313</f>
        <v/>
      </c>
      <c r="B11313">
        <f>TEST_DATA!B11313</f>
        <v/>
      </c>
      <c r="C11313">
        <f>TEST_DATA!C11313</f>
        <v/>
      </c>
      <c r="D11313">
        <f>TEST_DATA!D11313</f>
        <v/>
      </c>
      <c r="E11313">
        <f>TEST_DATA!E11313</f>
        <v/>
      </c>
    </row>
    <row r="11314">
      <c r="A11314">
        <f>TEST_DATA!A11314</f>
        <v/>
      </c>
      <c r="B11314">
        <f>TEST_DATA!B11314</f>
        <v/>
      </c>
      <c r="C11314">
        <f>TEST_DATA!C11314</f>
        <v/>
      </c>
      <c r="D11314">
        <f>TEST_DATA!D11314</f>
        <v/>
      </c>
      <c r="E11314">
        <f>TEST_DATA!E11314</f>
        <v/>
      </c>
    </row>
    <row r="11315">
      <c r="A11315">
        <f>TEST_DATA!A11315</f>
        <v/>
      </c>
      <c r="B11315">
        <f>TEST_DATA!B11315</f>
        <v/>
      </c>
      <c r="C11315">
        <f>TEST_DATA!C11315</f>
        <v/>
      </c>
      <c r="D11315">
        <f>TEST_DATA!D11315</f>
        <v/>
      </c>
      <c r="E11315">
        <f>TEST_DATA!E11315</f>
        <v/>
      </c>
    </row>
    <row r="11316">
      <c r="A11316">
        <f>TEST_DATA!A11316</f>
        <v/>
      </c>
      <c r="B11316">
        <f>TEST_DATA!B11316</f>
        <v/>
      </c>
      <c r="C11316">
        <f>TEST_DATA!C11316</f>
        <v/>
      </c>
      <c r="D11316">
        <f>TEST_DATA!D11316</f>
        <v/>
      </c>
      <c r="E11316">
        <f>TEST_DATA!E11316</f>
        <v/>
      </c>
    </row>
    <row r="11317">
      <c r="A11317">
        <f>TEST_DATA!A11317</f>
        <v/>
      </c>
      <c r="B11317">
        <f>TEST_DATA!B11317</f>
        <v/>
      </c>
      <c r="C11317">
        <f>TEST_DATA!C11317</f>
        <v/>
      </c>
      <c r="D11317">
        <f>TEST_DATA!D11317</f>
        <v/>
      </c>
      <c r="E11317">
        <f>TEST_DATA!E11317</f>
        <v/>
      </c>
    </row>
    <row r="11318">
      <c r="A11318">
        <f>TEST_DATA!A11318</f>
        <v/>
      </c>
      <c r="B11318">
        <f>TEST_DATA!B11318</f>
        <v/>
      </c>
      <c r="C11318">
        <f>TEST_DATA!C11318</f>
        <v/>
      </c>
      <c r="D11318">
        <f>TEST_DATA!D11318</f>
        <v/>
      </c>
      <c r="E11318">
        <f>TEST_DATA!E11318</f>
        <v/>
      </c>
    </row>
    <row r="11319">
      <c r="A11319">
        <f>TEST_DATA!A11319</f>
        <v/>
      </c>
      <c r="B11319">
        <f>TEST_DATA!B11319</f>
        <v/>
      </c>
      <c r="C11319">
        <f>TEST_DATA!C11319</f>
        <v/>
      </c>
      <c r="D11319">
        <f>TEST_DATA!D11319</f>
        <v/>
      </c>
      <c r="E11319">
        <f>TEST_DATA!E11319</f>
        <v/>
      </c>
    </row>
    <row r="11320">
      <c r="A11320">
        <f>TEST_DATA!A11320</f>
        <v/>
      </c>
      <c r="B11320">
        <f>TEST_DATA!B11320</f>
        <v/>
      </c>
      <c r="C11320">
        <f>TEST_DATA!C11320</f>
        <v/>
      </c>
      <c r="D11320">
        <f>TEST_DATA!D11320</f>
        <v/>
      </c>
      <c r="E11320">
        <f>TEST_DATA!E11320</f>
        <v/>
      </c>
    </row>
    <row r="11321">
      <c r="A11321">
        <f>TEST_DATA!A11321</f>
        <v/>
      </c>
      <c r="B11321">
        <f>TEST_DATA!B11321</f>
        <v/>
      </c>
      <c r="C11321">
        <f>TEST_DATA!C11321</f>
        <v/>
      </c>
      <c r="D11321">
        <f>TEST_DATA!D11321</f>
        <v/>
      </c>
      <c r="E11321">
        <f>TEST_DATA!E11321</f>
        <v/>
      </c>
    </row>
    <row r="11322">
      <c r="A11322">
        <f>TEST_DATA!A11322</f>
        <v/>
      </c>
      <c r="B11322">
        <f>TEST_DATA!B11322</f>
        <v/>
      </c>
      <c r="C11322">
        <f>TEST_DATA!C11322</f>
        <v/>
      </c>
      <c r="D11322">
        <f>TEST_DATA!D11322</f>
        <v/>
      </c>
      <c r="E11322">
        <f>TEST_DATA!E11322</f>
        <v/>
      </c>
    </row>
    <row r="11323">
      <c r="A11323">
        <f>TEST_DATA!A11323</f>
        <v/>
      </c>
      <c r="B11323">
        <f>TEST_DATA!B11323</f>
        <v/>
      </c>
      <c r="C11323">
        <f>TEST_DATA!C11323</f>
        <v/>
      </c>
      <c r="D11323">
        <f>TEST_DATA!D11323</f>
        <v/>
      </c>
      <c r="E11323">
        <f>TEST_DATA!E11323</f>
        <v/>
      </c>
    </row>
    <row r="11324">
      <c r="A11324">
        <f>TEST_DATA!A11324</f>
        <v/>
      </c>
      <c r="B11324">
        <f>TEST_DATA!B11324</f>
        <v/>
      </c>
      <c r="C11324">
        <f>TEST_DATA!C11324</f>
        <v/>
      </c>
      <c r="D11324">
        <f>TEST_DATA!D11324</f>
        <v/>
      </c>
      <c r="E11324">
        <f>TEST_DATA!E11324</f>
        <v/>
      </c>
    </row>
    <row r="11325">
      <c r="A11325">
        <f>TEST_DATA!A11325</f>
        <v/>
      </c>
      <c r="B11325">
        <f>TEST_DATA!B11325</f>
        <v/>
      </c>
      <c r="C11325">
        <f>TEST_DATA!C11325</f>
        <v/>
      </c>
      <c r="D11325">
        <f>TEST_DATA!D11325</f>
        <v/>
      </c>
      <c r="E11325">
        <f>TEST_DATA!E11325</f>
        <v/>
      </c>
    </row>
    <row r="11326">
      <c r="A11326">
        <f>TEST_DATA!A11326</f>
        <v/>
      </c>
      <c r="B11326">
        <f>TEST_DATA!B11326</f>
        <v/>
      </c>
      <c r="C11326">
        <f>TEST_DATA!C11326</f>
        <v/>
      </c>
      <c r="D11326">
        <f>TEST_DATA!D11326</f>
        <v/>
      </c>
      <c r="E11326">
        <f>TEST_DATA!E11326</f>
        <v/>
      </c>
    </row>
    <row r="11327">
      <c r="A11327">
        <f>TEST_DATA!A11327</f>
        <v/>
      </c>
      <c r="B11327">
        <f>TEST_DATA!B11327</f>
        <v/>
      </c>
      <c r="C11327">
        <f>TEST_DATA!C11327</f>
        <v/>
      </c>
      <c r="D11327">
        <f>TEST_DATA!D11327</f>
        <v/>
      </c>
      <c r="E11327">
        <f>TEST_DATA!E11327</f>
        <v/>
      </c>
    </row>
    <row r="11328">
      <c r="A11328">
        <f>TEST_DATA!A11328</f>
        <v/>
      </c>
      <c r="B11328">
        <f>TEST_DATA!B11328</f>
        <v/>
      </c>
      <c r="C11328">
        <f>TEST_DATA!C11328</f>
        <v/>
      </c>
      <c r="D11328">
        <f>TEST_DATA!D11328</f>
        <v/>
      </c>
      <c r="E11328">
        <f>TEST_DATA!E11328</f>
        <v/>
      </c>
    </row>
    <row r="11329">
      <c r="A11329">
        <f>TEST_DATA!A11329</f>
        <v/>
      </c>
      <c r="B11329">
        <f>TEST_DATA!B11329</f>
        <v/>
      </c>
      <c r="C11329">
        <f>TEST_DATA!C11329</f>
        <v/>
      </c>
      <c r="D11329">
        <f>TEST_DATA!D11329</f>
        <v/>
      </c>
      <c r="E11329">
        <f>TEST_DATA!E11329</f>
        <v/>
      </c>
    </row>
    <row r="11330">
      <c r="A11330">
        <f>TEST_DATA!A11330</f>
        <v/>
      </c>
      <c r="B11330">
        <f>TEST_DATA!B11330</f>
        <v/>
      </c>
      <c r="C11330">
        <f>TEST_DATA!C11330</f>
        <v/>
      </c>
      <c r="D11330">
        <f>TEST_DATA!D11330</f>
        <v/>
      </c>
      <c r="E11330">
        <f>TEST_DATA!E11330</f>
        <v/>
      </c>
    </row>
    <row r="11331">
      <c r="A11331">
        <f>TEST_DATA!A11331</f>
        <v/>
      </c>
      <c r="B11331">
        <f>TEST_DATA!B11331</f>
        <v/>
      </c>
      <c r="C11331">
        <f>TEST_DATA!C11331</f>
        <v/>
      </c>
      <c r="D11331">
        <f>TEST_DATA!D11331</f>
        <v/>
      </c>
      <c r="E11331">
        <f>TEST_DATA!E11331</f>
        <v/>
      </c>
    </row>
    <row r="11332">
      <c r="A11332">
        <f>TEST_DATA!A11332</f>
        <v/>
      </c>
      <c r="B11332">
        <f>TEST_DATA!B11332</f>
        <v/>
      </c>
      <c r="C11332">
        <f>TEST_DATA!C11332</f>
        <v/>
      </c>
      <c r="D11332">
        <f>TEST_DATA!D11332</f>
        <v/>
      </c>
      <c r="E11332">
        <f>TEST_DATA!E11332</f>
        <v/>
      </c>
    </row>
    <row r="11333">
      <c r="A11333">
        <f>TEST_DATA!A11333</f>
        <v/>
      </c>
      <c r="B11333">
        <f>TEST_DATA!B11333</f>
        <v/>
      </c>
      <c r="C11333">
        <f>TEST_DATA!C11333</f>
        <v/>
      </c>
      <c r="D11333">
        <f>TEST_DATA!D11333</f>
        <v/>
      </c>
      <c r="E11333">
        <f>TEST_DATA!E11333</f>
        <v/>
      </c>
    </row>
    <row r="11334">
      <c r="A11334">
        <f>TEST_DATA!A11334</f>
        <v/>
      </c>
      <c r="B11334">
        <f>TEST_DATA!B11334</f>
        <v/>
      </c>
      <c r="C11334">
        <f>TEST_DATA!C11334</f>
        <v/>
      </c>
      <c r="D11334">
        <f>TEST_DATA!D11334</f>
        <v/>
      </c>
      <c r="E11334">
        <f>TEST_DATA!E11334</f>
        <v/>
      </c>
    </row>
    <row r="11335">
      <c r="A11335">
        <f>TEST_DATA!A11335</f>
        <v/>
      </c>
      <c r="B11335">
        <f>TEST_DATA!B11335</f>
        <v/>
      </c>
      <c r="C11335">
        <f>TEST_DATA!C11335</f>
        <v/>
      </c>
      <c r="D11335">
        <f>TEST_DATA!D11335</f>
        <v/>
      </c>
      <c r="E11335">
        <f>TEST_DATA!E11335</f>
        <v/>
      </c>
    </row>
    <row r="11336">
      <c r="A11336">
        <f>TEST_DATA!A11336</f>
        <v/>
      </c>
      <c r="B11336">
        <f>TEST_DATA!B11336</f>
        <v/>
      </c>
      <c r="C11336">
        <f>TEST_DATA!C11336</f>
        <v/>
      </c>
      <c r="D11336">
        <f>TEST_DATA!D11336</f>
        <v/>
      </c>
      <c r="E11336">
        <f>TEST_DATA!E11336</f>
        <v/>
      </c>
    </row>
    <row r="11337">
      <c r="A11337">
        <f>TEST_DATA!A11337</f>
        <v/>
      </c>
      <c r="B11337">
        <f>TEST_DATA!B11337</f>
        <v/>
      </c>
      <c r="C11337">
        <f>TEST_DATA!C11337</f>
        <v/>
      </c>
      <c r="D11337">
        <f>TEST_DATA!D11337</f>
        <v/>
      </c>
      <c r="E11337">
        <f>TEST_DATA!E11337</f>
        <v/>
      </c>
    </row>
    <row r="11338">
      <c r="A11338">
        <f>TEST_DATA!A11338</f>
        <v/>
      </c>
      <c r="B11338">
        <f>TEST_DATA!B11338</f>
        <v/>
      </c>
      <c r="C11338">
        <f>TEST_DATA!C11338</f>
        <v/>
      </c>
      <c r="D11338">
        <f>TEST_DATA!D11338</f>
        <v/>
      </c>
      <c r="E11338">
        <f>TEST_DATA!E11338</f>
        <v/>
      </c>
    </row>
    <row r="11339">
      <c r="A11339">
        <f>TEST_DATA!A11339</f>
        <v/>
      </c>
      <c r="B11339">
        <f>TEST_DATA!B11339</f>
        <v/>
      </c>
      <c r="C11339">
        <f>TEST_DATA!C11339</f>
        <v/>
      </c>
      <c r="D11339">
        <f>TEST_DATA!D11339</f>
        <v/>
      </c>
      <c r="E11339">
        <f>TEST_DATA!E11339</f>
        <v/>
      </c>
    </row>
    <row r="11340">
      <c r="A11340">
        <f>TEST_DATA!A11340</f>
        <v/>
      </c>
      <c r="B11340">
        <f>TEST_DATA!B11340</f>
        <v/>
      </c>
      <c r="C11340">
        <f>TEST_DATA!C11340</f>
        <v/>
      </c>
      <c r="D11340">
        <f>TEST_DATA!D11340</f>
        <v/>
      </c>
      <c r="E11340">
        <f>TEST_DATA!E11340</f>
        <v/>
      </c>
    </row>
    <row r="11341">
      <c r="A11341">
        <f>TEST_DATA!A11341</f>
        <v/>
      </c>
      <c r="B11341">
        <f>TEST_DATA!B11341</f>
        <v/>
      </c>
      <c r="C11341">
        <f>TEST_DATA!C11341</f>
        <v/>
      </c>
      <c r="D11341">
        <f>TEST_DATA!D11341</f>
        <v/>
      </c>
      <c r="E11341">
        <f>TEST_DATA!E11341</f>
        <v/>
      </c>
    </row>
    <row r="11342">
      <c r="A11342">
        <f>TEST_DATA!A11342</f>
        <v/>
      </c>
      <c r="B11342">
        <f>TEST_DATA!B11342</f>
        <v/>
      </c>
      <c r="C11342">
        <f>TEST_DATA!C11342</f>
        <v/>
      </c>
      <c r="D11342">
        <f>TEST_DATA!D11342</f>
        <v/>
      </c>
      <c r="E11342">
        <f>TEST_DATA!E11342</f>
        <v/>
      </c>
    </row>
    <row r="11343">
      <c r="A11343">
        <f>TEST_DATA!A11343</f>
        <v/>
      </c>
      <c r="B11343">
        <f>TEST_DATA!B11343</f>
        <v/>
      </c>
      <c r="C11343">
        <f>TEST_DATA!C11343</f>
        <v/>
      </c>
      <c r="D11343">
        <f>TEST_DATA!D11343</f>
        <v/>
      </c>
      <c r="E11343">
        <f>TEST_DATA!E11343</f>
        <v/>
      </c>
    </row>
    <row r="11344">
      <c r="A11344">
        <f>TEST_DATA!A11344</f>
        <v/>
      </c>
      <c r="B11344">
        <f>TEST_DATA!B11344</f>
        <v/>
      </c>
      <c r="C11344">
        <f>TEST_DATA!C11344</f>
        <v/>
      </c>
      <c r="D11344">
        <f>TEST_DATA!D11344</f>
        <v/>
      </c>
      <c r="E11344">
        <f>TEST_DATA!E11344</f>
        <v/>
      </c>
    </row>
    <row r="11345">
      <c r="A11345">
        <f>TEST_DATA!A11345</f>
        <v/>
      </c>
      <c r="B11345">
        <f>TEST_DATA!B11345</f>
        <v/>
      </c>
      <c r="C11345">
        <f>TEST_DATA!C11345</f>
        <v/>
      </c>
      <c r="D11345">
        <f>TEST_DATA!D11345</f>
        <v/>
      </c>
      <c r="E11345">
        <f>TEST_DATA!E11345</f>
        <v/>
      </c>
    </row>
    <row r="11346">
      <c r="A11346">
        <f>TEST_DATA!A11346</f>
        <v/>
      </c>
      <c r="B11346">
        <f>TEST_DATA!B11346</f>
        <v/>
      </c>
      <c r="C11346">
        <f>TEST_DATA!C11346</f>
        <v/>
      </c>
      <c r="D11346">
        <f>TEST_DATA!D11346</f>
        <v/>
      </c>
      <c r="E11346">
        <f>TEST_DATA!E11346</f>
        <v/>
      </c>
    </row>
    <row r="11347">
      <c r="A11347">
        <f>TEST_DATA!A11347</f>
        <v/>
      </c>
      <c r="B11347">
        <f>TEST_DATA!B11347</f>
        <v/>
      </c>
      <c r="C11347">
        <f>TEST_DATA!C11347</f>
        <v/>
      </c>
      <c r="D11347">
        <f>TEST_DATA!D11347</f>
        <v/>
      </c>
      <c r="E11347">
        <f>TEST_DATA!E11347</f>
        <v/>
      </c>
    </row>
    <row r="11348">
      <c r="A11348">
        <f>TEST_DATA!A11348</f>
        <v/>
      </c>
      <c r="B11348">
        <f>TEST_DATA!B11348</f>
        <v/>
      </c>
      <c r="C11348">
        <f>TEST_DATA!C11348</f>
        <v/>
      </c>
      <c r="D11348">
        <f>TEST_DATA!D11348</f>
        <v/>
      </c>
      <c r="E11348">
        <f>TEST_DATA!E11348</f>
        <v/>
      </c>
    </row>
    <row r="11349">
      <c r="A11349">
        <f>TEST_DATA!A11349</f>
        <v/>
      </c>
      <c r="B11349">
        <f>TEST_DATA!B11349</f>
        <v/>
      </c>
      <c r="C11349">
        <f>TEST_DATA!C11349</f>
        <v/>
      </c>
      <c r="D11349">
        <f>TEST_DATA!D11349</f>
        <v/>
      </c>
      <c r="E11349">
        <f>TEST_DATA!E11349</f>
        <v/>
      </c>
    </row>
    <row r="11350">
      <c r="A11350">
        <f>TEST_DATA!A11350</f>
        <v/>
      </c>
      <c r="B11350">
        <f>TEST_DATA!B11350</f>
        <v/>
      </c>
      <c r="C11350">
        <f>TEST_DATA!C11350</f>
        <v/>
      </c>
      <c r="D11350">
        <f>TEST_DATA!D11350</f>
        <v/>
      </c>
      <c r="E11350">
        <f>TEST_DATA!E11350</f>
        <v/>
      </c>
    </row>
    <row r="11351">
      <c r="A11351">
        <f>TEST_DATA!A11351</f>
        <v/>
      </c>
      <c r="B11351">
        <f>TEST_DATA!B11351</f>
        <v/>
      </c>
      <c r="C11351">
        <f>TEST_DATA!C11351</f>
        <v/>
      </c>
      <c r="D11351">
        <f>TEST_DATA!D11351</f>
        <v/>
      </c>
      <c r="E11351">
        <f>TEST_DATA!E11351</f>
        <v/>
      </c>
    </row>
    <row r="11352">
      <c r="A11352">
        <f>TEST_DATA!A11352</f>
        <v/>
      </c>
      <c r="B11352">
        <f>TEST_DATA!B11352</f>
        <v/>
      </c>
      <c r="C11352">
        <f>TEST_DATA!C11352</f>
        <v/>
      </c>
      <c r="D11352">
        <f>TEST_DATA!D11352</f>
        <v/>
      </c>
      <c r="E11352">
        <f>TEST_DATA!E11352</f>
        <v/>
      </c>
    </row>
    <row r="11353">
      <c r="A11353">
        <f>TEST_DATA!A11353</f>
        <v/>
      </c>
      <c r="B11353">
        <f>TEST_DATA!B11353</f>
        <v/>
      </c>
      <c r="C11353">
        <f>TEST_DATA!C11353</f>
        <v/>
      </c>
      <c r="D11353">
        <f>TEST_DATA!D11353</f>
        <v/>
      </c>
      <c r="E11353">
        <f>TEST_DATA!E11353</f>
        <v/>
      </c>
    </row>
    <row r="11354">
      <c r="A11354">
        <f>TEST_DATA!A11354</f>
        <v/>
      </c>
      <c r="B11354">
        <f>TEST_DATA!B11354</f>
        <v/>
      </c>
      <c r="C11354">
        <f>TEST_DATA!C11354</f>
        <v/>
      </c>
      <c r="D11354">
        <f>TEST_DATA!D11354</f>
        <v/>
      </c>
      <c r="E11354">
        <f>TEST_DATA!E11354</f>
        <v/>
      </c>
    </row>
    <row r="11355">
      <c r="A11355">
        <f>TEST_DATA!A11355</f>
        <v/>
      </c>
      <c r="B11355">
        <f>TEST_DATA!B11355</f>
        <v/>
      </c>
      <c r="C11355">
        <f>TEST_DATA!C11355</f>
        <v/>
      </c>
      <c r="D11355">
        <f>TEST_DATA!D11355</f>
        <v/>
      </c>
      <c r="E11355">
        <f>TEST_DATA!E11355</f>
        <v/>
      </c>
    </row>
    <row r="11356">
      <c r="A11356">
        <f>TEST_DATA!A11356</f>
        <v/>
      </c>
      <c r="B11356">
        <f>TEST_DATA!B11356</f>
        <v/>
      </c>
      <c r="C11356">
        <f>TEST_DATA!C11356</f>
        <v/>
      </c>
      <c r="D11356">
        <f>TEST_DATA!D11356</f>
        <v/>
      </c>
      <c r="E11356">
        <f>TEST_DATA!E11356</f>
        <v/>
      </c>
    </row>
    <row r="11357">
      <c r="A11357">
        <f>TEST_DATA!A11357</f>
        <v/>
      </c>
      <c r="B11357">
        <f>TEST_DATA!B11357</f>
        <v/>
      </c>
      <c r="C11357">
        <f>TEST_DATA!C11357</f>
        <v/>
      </c>
      <c r="D11357">
        <f>TEST_DATA!D11357</f>
        <v/>
      </c>
      <c r="E11357">
        <f>TEST_DATA!E11357</f>
        <v/>
      </c>
    </row>
    <row r="11358">
      <c r="A11358">
        <f>TEST_DATA!A11358</f>
        <v/>
      </c>
      <c r="B11358">
        <f>TEST_DATA!B11358</f>
        <v/>
      </c>
      <c r="C11358">
        <f>TEST_DATA!C11358</f>
        <v/>
      </c>
      <c r="D11358">
        <f>TEST_DATA!D11358</f>
        <v/>
      </c>
      <c r="E11358">
        <f>TEST_DATA!E11358</f>
        <v/>
      </c>
    </row>
    <row r="11359">
      <c r="A11359">
        <f>TEST_DATA!A11359</f>
        <v/>
      </c>
      <c r="B11359">
        <f>TEST_DATA!B11359</f>
        <v/>
      </c>
      <c r="C11359">
        <f>TEST_DATA!C11359</f>
        <v/>
      </c>
      <c r="D11359">
        <f>TEST_DATA!D11359</f>
        <v/>
      </c>
      <c r="E11359">
        <f>TEST_DATA!E11359</f>
        <v/>
      </c>
    </row>
    <row r="11360">
      <c r="A11360">
        <f>TEST_DATA!A11360</f>
        <v/>
      </c>
      <c r="B11360">
        <f>TEST_DATA!B11360</f>
        <v/>
      </c>
      <c r="C11360">
        <f>TEST_DATA!C11360</f>
        <v/>
      </c>
      <c r="D11360">
        <f>TEST_DATA!D11360</f>
        <v/>
      </c>
      <c r="E11360">
        <f>TEST_DATA!E11360</f>
        <v/>
      </c>
    </row>
    <row r="11361">
      <c r="A11361">
        <f>TEST_DATA!A11361</f>
        <v/>
      </c>
      <c r="B11361">
        <f>TEST_DATA!B11361</f>
        <v/>
      </c>
      <c r="C11361">
        <f>TEST_DATA!C11361</f>
        <v/>
      </c>
      <c r="D11361">
        <f>TEST_DATA!D11361</f>
        <v/>
      </c>
      <c r="E11361">
        <f>TEST_DATA!E11361</f>
        <v/>
      </c>
    </row>
    <row r="11362">
      <c r="A11362">
        <f>TEST_DATA!A11362</f>
        <v/>
      </c>
      <c r="B11362">
        <f>TEST_DATA!B11362</f>
        <v/>
      </c>
      <c r="C11362">
        <f>TEST_DATA!C11362</f>
        <v/>
      </c>
      <c r="D11362">
        <f>TEST_DATA!D11362</f>
        <v/>
      </c>
      <c r="E11362">
        <f>TEST_DATA!E11362</f>
        <v/>
      </c>
    </row>
    <row r="11363">
      <c r="A11363">
        <f>TEST_DATA!A11363</f>
        <v/>
      </c>
      <c r="B11363">
        <f>TEST_DATA!B11363</f>
        <v/>
      </c>
      <c r="C11363">
        <f>TEST_DATA!C11363</f>
        <v/>
      </c>
      <c r="D11363">
        <f>TEST_DATA!D11363</f>
        <v/>
      </c>
      <c r="E11363">
        <f>TEST_DATA!E11363</f>
        <v/>
      </c>
    </row>
    <row r="11364">
      <c r="A11364">
        <f>TEST_DATA!A11364</f>
        <v/>
      </c>
      <c r="B11364">
        <f>TEST_DATA!B11364</f>
        <v/>
      </c>
      <c r="C11364">
        <f>TEST_DATA!C11364</f>
        <v/>
      </c>
      <c r="D11364">
        <f>TEST_DATA!D11364</f>
        <v/>
      </c>
      <c r="E11364">
        <f>TEST_DATA!E11364</f>
        <v/>
      </c>
    </row>
    <row r="11365">
      <c r="A11365">
        <f>TEST_DATA!A11365</f>
        <v/>
      </c>
      <c r="B11365">
        <f>TEST_DATA!B11365</f>
        <v/>
      </c>
      <c r="C11365">
        <f>TEST_DATA!C11365</f>
        <v/>
      </c>
      <c r="D11365">
        <f>TEST_DATA!D11365</f>
        <v/>
      </c>
      <c r="E11365">
        <f>TEST_DATA!E11365</f>
        <v/>
      </c>
    </row>
    <row r="11366">
      <c r="A11366">
        <f>TEST_DATA!A11366</f>
        <v/>
      </c>
      <c r="B11366">
        <f>TEST_DATA!B11366</f>
        <v/>
      </c>
      <c r="C11366">
        <f>TEST_DATA!C11366</f>
        <v/>
      </c>
      <c r="D11366">
        <f>TEST_DATA!D11366</f>
        <v/>
      </c>
      <c r="E11366">
        <f>TEST_DATA!E11366</f>
        <v/>
      </c>
    </row>
    <row r="11367">
      <c r="A11367">
        <f>TEST_DATA!A11367</f>
        <v/>
      </c>
      <c r="B11367">
        <f>TEST_DATA!B11367</f>
        <v/>
      </c>
      <c r="C11367">
        <f>TEST_DATA!C11367</f>
        <v/>
      </c>
      <c r="D11367">
        <f>TEST_DATA!D11367</f>
        <v/>
      </c>
      <c r="E11367">
        <f>TEST_DATA!E11367</f>
        <v/>
      </c>
    </row>
    <row r="11368">
      <c r="A11368">
        <f>TEST_DATA!A11368</f>
        <v/>
      </c>
      <c r="B11368">
        <f>TEST_DATA!B11368</f>
        <v/>
      </c>
      <c r="C11368">
        <f>TEST_DATA!C11368</f>
        <v/>
      </c>
      <c r="D11368">
        <f>TEST_DATA!D11368</f>
        <v/>
      </c>
      <c r="E11368">
        <f>TEST_DATA!E11368</f>
        <v/>
      </c>
    </row>
    <row r="11369">
      <c r="A11369">
        <f>TEST_DATA!A11369</f>
        <v/>
      </c>
      <c r="B11369">
        <f>TEST_DATA!B11369</f>
        <v/>
      </c>
      <c r="C11369">
        <f>TEST_DATA!C11369</f>
        <v/>
      </c>
      <c r="D11369">
        <f>TEST_DATA!D11369</f>
        <v/>
      </c>
      <c r="E11369">
        <f>TEST_DATA!E11369</f>
        <v/>
      </c>
    </row>
    <row r="11370">
      <c r="A11370">
        <f>TEST_DATA!A11370</f>
        <v/>
      </c>
      <c r="B11370">
        <f>TEST_DATA!B11370</f>
        <v/>
      </c>
      <c r="C11370">
        <f>TEST_DATA!C11370</f>
        <v/>
      </c>
      <c r="D11370">
        <f>TEST_DATA!D11370</f>
        <v/>
      </c>
      <c r="E11370">
        <f>TEST_DATA!E11370</f>
        <v/>
      </c>
    </row>
    <row r="11371">
      <c r="A11371">
        <f>TEST_DATA!A11371</f>
        <v/>
      </c>
      <c r="B11371">
        <f>TEST_DATA!B11371</f>
        <v/>
      </c>
      <c r="C11371">
        <f>TEST_DATA!C11371</f>
        <v/>
      </c>
      <c r="D11371">
        <f>TEST_DATA!D11371</f>
        <v/>
      </c>
      <c r="E11371">
        <f>TEST_DATA!E11371</f>
        <v/>
      </c>
    </row>
    <row r="11372">
      <c r="A11372">
        <f>TEST_DATA!A11372</f>
        <v/>
      </c>
      <c r="B11372">
        <f>TEST_DATA!B11372</f>
        <v/>
      </c>
      <c r="C11372">
        <f>TEST_DATA!C11372</f>
        <v/>
      </c>
      <c r="D11372">
        <f>TEST_DATA!D11372</f>
        <v/>
      </c>
      <c r="E11372">
        <f>TEST_DATA!E11372</f>
        <v/>
      </c>
    </row>
    <row r="11373">
      <c r="A11373">
        <f>TEST_DATA!A11373</f>
        <v/>
      </c>
      <c r="B11373">
        <f>TEST_DATA!B11373</f>
        <v/>
      </c>
      <c r="C11373">
        <f>TEST_DATA!C11373</f>
        <v/>
      </c>
      <c r="D11373">
        <f>TEST_DATA!D11373</f>
        <v/>
      </c>
      <c r="E11373">
        <f>TEST_DATA!E11373</f>
        <v/>
      </c>
    </row>
    <row r="11374">
      <c r="A11374">
        <f>TEST_DATA!A11374</f>
        <v/>
      </c>
      <c r="B11374">
        <f>TEST_DATA!B11374</f>
        <v/>
      </c>
      <c r="C11374">
        <f>TEST_DATA!C11374</f>
        <v/>
      </c>
      <c r="D11374">
        <f>TEST_DATA!D11374</f>
        <v/>
      </c>
      <c r="E11374">
        <f>TEST_DATA!E11374</f>
        <v/>
      </c>
    </row>
    <row r="11375">
      <c r="A11375">
        <f>TEST_DATA!A11375</f>
        <v/>
      </c>
      <c r="B11375">
        <f>TEST_DATA!B11375</f>
        <v/>
      </c>
      <c r="C11375">
        <f>TEST_DATA!C11375</f>
        <v/>
      </c>
      <c r="D11375">
        <f>TEST_DATA!D11375</f>
        <v/>
      </c>
      <c r="E11375">
        <f>TEST_DATA!E11375</f>
        <v/>
      </c>
    </row>
    <row r="11376">
      <c r="A11376">
        <f>TEST_DATA!A11376</f>
        <v/>
      </c>
      <c r="B11376">
        <f>TEST_DATA!B11376</f>
        <v/>
      </c>
      <c r="C11376">
        <f>TEST_DATA!C11376</f>
        <v/>
      </c>
      <c r="D11376">
        <f>TEST_DATA!D11376</f>
        <v/>
      </c>
      <c r="E11376">
        <f>TEST_DATA!E11376</f>
        <v/>
      </c>
    </row>
    <row r="11377">
      <c r="A11377">
        <f>TEST_DATA!A11377</f>
        <v/>
      </c>
      <c r="B11377">
        <f>TEST_DATA!B11377</f>
        <v/>
      </c>
      <c r="C11377">
        <f>TEST_DATA!C11377</f>
        <v/>
      </c>
      <c r="D11377">
        <f>TEST_DATA!D11377</f>
        <v/>
      </c>
      <c r="E11377">
        <f>TEST_DATA!E11377</f>
        <v/>
      </c>
    </row>
    <row r="11378">
      <c r="A11378">
        <f>TEST_DATA!A11378</f>
        <v/>
      </c>
      <c r="B11378">
        <f>TEST_DATA!B11378</f>
        <v/>
      </c>
      <c r="C11378">
        <f>TEST_DATA!C11378</f>
        <v/>
      </c>
      <c r="D11378">
        <f>TEST_DATA!D11378</f>
        <v/>
      </c>
      <c r="E11378">
        <f>TEST_DATA!E11378</f>
        <v/>
      </c>
    </row>
    <row r="11379">
      <c r="A11379">
        <f>TEST_DATA!A11379</f>
        <v/>
      </c>
      <c r="B11379">
        <f>TEST_DATA!B11379</f>
        <v/>
      </c>
      <c r="C11379">
        <f>TEST_DATA!C11379</f>
        <v/>
      </c>
      <c r="D11379">
        <f>TEST_DATA!D11379</f>
        <v/>
      </c>
      <c r="E11379">
        <f>TEST_DATA!E11379</f>
        <v/>
      </c>
    </row>
    <row r="11380">
      <c r="A11380">
        <f>TEST_DATA!A11380</f>
        <v/>
      </c>
      <c r="B11380">
        <f>TEST_DATA!B11380</f>
        <v/>
      </c>
      <c r="C11380">
        <f>TEST_DATA!C11380</f>
        <v/>
      </c>
      <c r="D11380">
        <f>TEST_DATA!D11380</f>
        <v/>
      </c>
      <c r="E11380">
        <f>TEST_DATA!E11380</f>
        <v/>
      </c>
    </row>
    <row r="11381">
      <c r="A11381">
        <f>TEST_DATA!A11381</f>
        <v/>
      </c>
      <c r="B11381">
        <f>TEST_DATA!B11381</f>
        <v/>
      </c>
      <c r="C11381">
        <f>TEST_DATA!C11381</f>
        <v/>
      </c>
      <c r="D11381">
        <f>TEST_DATA!D11381</f>
        <v/>
      </c>
      <c r="E11381">
        <f>TEST_DATA!E11381</f>
        <v/>
      </c>
    </row>
    <row r="11382">
      <c r="A11382">
        <f>TEST_DATA!A11382</f>
        <v/>
      </c>
      <c r="B11382">
        <f>TEST_DATA!B11382</f>
        <v/>
      </c>
      <c r="C11382">
        <f>TEST_DATA!C11382</f>
        <v/>
      </c>
      <c r="D11382">
        <f>TEST_DATA!D11382</f>
        <v/>
      </c>
      <c r="E11382">
        <f>TEST_DATA!E11382</f>
        <v/>
      </c>
    </row>
    <row r="11383">
      <c r="A11383">
        <f>TEST_DATA!A11383</f>
        <v/>
      </c>
      <c r="B11383">
        <f>TEST_DATA!B11383</f>
        <v/>
      </c>
      <c r="C11383">
        <f>TEST_DATA!C11383</f>
        <v/>
      </c>
      <c r="D11383">
        <f>TEST_DATA!D11383</f>
        <v/>
      </c>
      <c r="E11383">
        <f>TEST_DATA!E11383</f>
        <v/>
      </c>
    </row>
    <row r="11384">
      <c r="A11384">
        <f>TEST_DATA!A11384</f>
        <v/>
      </c>
      <c r="B11384">
        <f>TEST_DATA!B11384</f>
        <v/>
      </c>
      <c r="C11384">
        <f>TEST_DATA!C11384</f>
        <v/>
      </c>
      <c r="D11384">
        <f>TEST_DATA!D11384</f>
        <v/>
      </c>
      <c r="E11384">
        <f>TEST_DATA!E11384</f>
        <v/>
      </c>
    </row>
    <row r="11385">
      <c r="A11385">
        <f>TEST_DATA!A11385</f>
        <v/>
      </c>
      <c r="B11385">
        <f>TEST_DATA!B11385</f>
        <v/>
      </c>
      <c r="C11385">
        <f>TEST_DATA!C11385</f>
        <v/>
      </c>
      <c r="D11385">
        <f>TEST_DATA!D11385</f>
        <v/>
      </c>
      <c r="E11385">
        <f>TEST_DATA!E11385</f>
        <v/>
      </c>
    </row>
    <row r="11386">
      <c r="A11386">
        <f>TEST_DATA!A11386</f>
        <v/>
      </c>
      <c r="B11386">
        <f>TEST_DATA!B11386</f>
        <v/>
      </c>
      <c r="C11386">
        <f>TEST_DATA!C11386</f>
        <v/>
      </c>
      <c r="D11386">
        <f>TEST_DATA!D11386</f>
        <v/>
      </c>
      <c r="E11386">
        <f>TEST_DATA!E11386</f>
        <v/>
      </c>
    </row>
    <row r="11387">
      <c r="A11387">
        <f>TEST_DATA!A11387</f>
        <v/>
      </c>
      <c r="B11387">
        <f>TEST_DATA!B11387</f>
        <v/>
      </c>
      <c r="C11387">
        <f>TEST_DATA!C11387</f>
        <v/>
      </c>
      <c r="D11387">
        <f>TEST_DATA!D11387</f>
        <v/>
      </c>
      <c r="E11387">
        <f>TEST_DATA!E11387</f>
        <v/>
      </c>
    </row>
    <row r="11388">
      <c r="A11388">
        <f>TEST_DATA!A11388</f>
        <v/>
      </c>
      <c r="B11388">
        <f>TEST_DATA!B11388</f>
        <v/>
      </c>
      <c r="C11388">
        <f>TEST_DATA!C11388</f>
        <v/>
      </c>
      <c r="D11388">
        <f>TEST_DATA!D11388</f>
        <v/>
      </c>
      <c r="E11388">
        <f>TEST_DATA!E11388</f>
        <v/>
      </c>
    </row>
    <row r="11389">
      <c r="A11389">
        <f>TEST_DATA!A11389</f>
        <v/>
      </c>
      <c r="B11389">
        <f>TEST_DATA!B11389</f>
        <v/>
      </c>
      <c r="C11389">
        <f>TEST_DATA!C11389</f>
        <v/>
      </c>
      <c r="D11389">
        <f>TEST_DATA!D11389</f>
        <v/>
      </c>
      <c r="E11389">
        <f>TEST_DATA!E11389</f>
        <v/>
      </c>
    </row>
    <row r="11390">
      <c r="A11390">
        <f>TEST_DATA!A11390</f>
        <v/>
      </c>
      <c r="B11390">
        <f>TEST_DATA!B11390</f>
        <v/>
      </c>
      <c r="C11390">
        <f>TEST_DATA!C11390</f>
        <v/>
      </c>
      <c r="D11390">
        <f>TEST_DATA!D11390</f>
        <v/>
      </c>
      <c r="E11390">
        <f>TEST_DATA!E11390</f>
        <v/>
      </c>
    </row>
    <row r="11391">
      <c r="A11391">
        <f>TEST_DATA!A11391</f>
        <v/>
      </c>
      <c r="B11391">
        <f>TEST_DATA!B11391</f>
        <v/>
      </c>
      <c r="C11391">
        <f>TEST_DATA!C11391</f>
        <v/>
      </c>
      <c r="D11391">
        <f>TEST_DATA!D11391</f>
        <v/>
      </c>
      <c r="E11391">
        <f>TEST_DATA!E11391</f>
        <v/>
      </c>
    </row>
    <row r="11392">
      <c r="A11392">
        <f>TEST_DATA!A11392</f>
        <v/>
      </c>
      <c r="B11392">
        <f>TEST_DATA!B11392</f>
        <v/>
      </c>
      <c r="C11392">
        <f>TEST_DATA!C11392</f>
        <v/>
      </c>
      <c r="D11392">
        <f>TEST_DATA!D11392</f>
        <v/>
      </c>
      <c r="E11392">
        <f>TEST_DATA!E11392</f>
        <v/>
      </c>
    </row>
    <row r="11393">
      <c r="A11393">
        <f>TEST_DATA!A11393</f>
        <v/>
      </c>
      <c r="B11393">
        <f>TEST_DATA!B11393</f>
        <v/>
      </c>
      <c r="C11393">
        <f>TEST_DATA!C11393</f>
        <v/>
      </c>
      <c r="D11393">
        <f>TEST_DATA!D11393</f>
        <v/>
      </c>
      <c r="E11393">
        <f>TEST_DATA!E11393</f>
        <v/>
      </c>
    </row>
    <row r="11394">
      <c r="A11394">
        <f>TEST_DATA!A11394</f>
        <v/>
      </c>
      <c r="B11394">
        <f>TEST_DATA!B11394</f>
        <v/>
      </c>
      <c r="C11394">
        <f>TEST_DATA!C11394</f>
        <v/>
      </c>
      <c r="D11394">
        <f>TEST_DATA!D11394</f>
        <v/>
      </c>
      <c r="E11394">
        <f>TEST_DATA!E11394</f>
        <v/>
      </c>
    </row>
    <row r="11395">
      <c r="A11395">
        <f>TEST_DATA!A11395</f>
        <v/>
      </c>
      <c r="B11395">
        <f>TEST_DATA!B11395</f>
        <v/>
      </c>
      <c r="C11395">
        <f>TEST_DATA!C11395</f>
        <v/>
      </c>
      <c r="D11395">
        <f>TEST_DATA!D11395</f>
        <v/>
      </c>
      <c r="E11395">
        <f>TEST_DATA!E11395</f>
        <v/>
      </c>
    </row>
    <row r="11396">
      <c r="A11396">
        <f>TEST_DATA!A11396</f>
        <v/>
      </c>
      <c r="B11396">
        <f>TEST_DATA!B11396</f>
        <v/>
      </c>
      <c r="C11396">
        <f>TEST_DATA!C11396</f>
        <v/>
      </c>
      <c r="D11396">
        <f>TEST_DATA!D11396</f>
        <v/>
      </c>
      <c r="E11396">
        <f>TEST_DATA!E11396</f>
        <v/>
      </c>
    </row>
    <row r="11397">
      <c r="A11397">
        <f>TEST_DATA!A11397</f>
        <v/>
      </c>
      <c r="B11397">
        <f>TEST_DATA!B11397</f>
        <v/>
      </c>
      <c r="C11397">
        <f>TEST_DATA!C11397</f>
        <v/>
      </c>
      <c r="D11397">
        <f>TEST_DATA!D11397</f>
        <v/>
      </c>
      <c r="E11397">
        <f>TEST_DATA!E11397</f>
        <v/>
      </c>
    </row>
    <row r="11398">
      <c r="A11398">
        <f>TEST_DATA!A11398</f>
        <v/>
      </c>
      <c r="B11398">
        <f>TEST_DATA!B11398</f>
        <v/>
      </c>
      <c r="C11398">
        <f>TEST_DATA!C11398</f>
        <v/>
      </c>
      <c r="D11398">
        <f>TEST_DATA!D11398</f>
        <v/>
      </c>
      <c r="E11398">
        <f>TEST_DATA!E11398</f>
        <v/>
      </c>
    </row>
    <row r="11399">
      <c r="A11399">
        <f>TEST_DATA!A11399</f>
        <v/>
      </c>
      <c r="B11399">
        <f>TEST_DATA!B11399</f>
        <v/>
      </c>
      <c r="C11399">
        <f>TEST_DATA!C11399</f>
        <v/>
      </c>
      <c r="D11399">
        <f>TEST_DATA!D11399</f>
        <v/>
      </c>
      <c r="E11399">
        <f>TEST_DATA!E11399</f>
        <v/>
      </c>
    </row>
    <row r="11400">
      <c r="A11400">
        <f>TEST_DATA!A11400</f>
        <v/>
      </c>
      <c r="B11400">
        <f>TEST_DATA!B11400</f>
        <v/>
      </c>
      <c r="C11400">
        <f>TEST_DATA!C11400</f>
        <v/>
      </c>
      <c r="D11400">
        <f>TEST_DATA!D11400</f>
        <v/>
      </c>
      <c r="E11400">
        <f>TEST_DATA!E11400</f>
        <v/>
      </c>
    </row>
    <row r="11401">
      <c r="A11401">
        <f>TEST_DATA!A11401</f>
        <v/>
      </c>
      <c r="B11401">
        <f>TEST_DATA!B11401</f>
        <v/>
      </c>
      <c r="C11401">
        <f>TEST_DATA!C11401</f>
        <v/>
      </c>
      <c r="D11401">
        <f>TEST_DATA!D11401</f>
        <v/>
      </c>
      <c r="E11401">
        <f>TEST_DATA!E11401</f>
        <v/>
      </c>
    </row>
    <row r="11402">
      <c r="A11402">
        <f>TEST_DATA!A11402</f>
        <v/>
      </c>
      <c r="B11402">
        <f>TEST_DATA!B11402</f>
        <v/>
      </c>
      <c r="C11402">
        <f>TEST_DATA!C11402</f>
        <v/>
      </c>
      <c r="D11402">
        <f>TEST_DATA!D11402</f>
        <v/>
      </c>
      <c r="E11402">
        <f>TEST_DATA!E11402</f>
        <v/>
      </c>
    </row>
    <row r="11403">
      <c r="A11403">
        <f>TEST_DATA!A11403</f>
        <v/>
      </c>
      <c r="B11403">
        <f>TEST_DATA!B11403</f>
        <v/>
      </c>
      <c r="C11403">
        <f>TEST_DATA!C11403</f>
        <v/>
      </c>
      <c r="D11403">
        <f>TEST_DATA!D11403</f>
        <v/>
      </c>
      <c r="E11403">
        <f>TEST_DATA!E11403</f>
        <v/>
      </c>
    </row>
    <row r="11404">
      <c r="A11404">
        <f>TEST_DATA!A11404</f>
        <v/>
      </c>
      <c r="B11404">
        <f>TEST_DATA!B11404</f>
        <v/>
      </c>
      <c r="C11404">
        <f>TEST_DATA!C11404</f>
        <v/>
      </c>
      <c r="D11404">
        <f>TEST_DATA!D11404</f>
        <v/>
      </c>
      <c r="E11404">
        <f>TEST_DATA!E11404</f>
        <v/>
      </c>
    </row>
    <row r="11405">
      <c r="A11405">
        <f>TEST_DATA!A11405</f>
        <v/>
      </c>
      <c r="B11405">
        <f>TEST_DATA!B11405</f>
        <v/>
      </c>
      <c r="C11405">
        <f>TEST_DATA!C11405</f>
        <v/>
      </c>
      <c r="D11405">
        <f>TEST_DATA!D11405</f>
        <v/>
      </c>
      <c r="E11405">
        <f>TEST_DATA!E11405</f>
        <v/>
      </c>
    </row>
    <row r="11406">
      <c r="A11406">
        <f>TEST_DATA!A11406</f>
        <v/>
      </c>
      <c r="B11406">
        <f>TEST_DATA!B11406</f>
        <v/>
      </c>
      <c r="C11406">
        <f>TEST_DATA!C11406</f>
        <v/>
      </c>
      <c r="D11406">
        <f>TEST_DATA!D11406</f>
        <v/>
      </c>
      <c r="E11406">
        <f>TEST_DATA!E11406</f>
        <v/>
      </c>
    </row>
    <row r="11407">
      <c r="A11407">
        <f>TEST_DATA!A11407</f>
        <v/>
      </c>
      <c r="B11407">
        <f>TEST_DATA!B11407</f>
        <v/>
      </c>
      <c r="C11407">
        <f>TEST_DATA!C11407</f>
        <v/>
      </c>
      <c r="D11407">
        <f>TEST_DATA!D11407</f>
        <v/>
      </c>
      <c r="E11407">
        <f>TEST_DATA!E11407</f>
        <v/>
      </c>
    </row>
    <row r="11408">
      <c r="A11408">
        <f>TEST_DATA!A11408</f>
        <v/>
      </c>
      <c r="B11408">
        <f>TEST_DATA!B11408</f>
        <v/>
      </c>
      <c r="C11408">
        <f>TEST_DATA!C11408</f>
        <v/>
      </c>
      <c r="D11408">
        <f>TEST_DATA!D11408</f>
        <v/>
      </c>
      <c r="E11408">
        <f>TEST_DATA!E11408</f>
        <v/>
      </c>
    </row>
    <row r="11409">
      <c r="A11409">
        <f>TEST_DATA!A11409</f>
        <v/>
      </c>
      <c r="B11409">
        <f>TEST_DATA!B11409</f>
        <v/>
      </c>
      <c r="C11409">
        <f>TEST_DATA!C11409</f>
        <v/>
      </c>
      <c r="D11409">
        <f>TEST_DATA!D11409</f>
        <v/>
      </c>
      <c r="E11409">
        <f>TEST_DATA!E11409</f>
        <v/>
      </c>
    </row>
    <row r="11410">
      <c r="A11410">
        <f>TEST_DATA!A11410</f>
        <v/>
      </c>
      <c r="B11410">
        <f>TEST_DATA!B11410</f>
        <v/>
      </c>
      <c r="C11410">
        <f>TEST_DATA!C11410</f>
        <v/>
      </c>
      <c r="D11410">
        <f>TEST_DATA!D11410</f>
        <v/>
      </c>
      <c r="E11410">
        <f>TEST_DATA!E11410</f>
        <v/>
      </c>
    </row>
    <row r="11411">
      <c r="A11411">
        <f>TEST_DATA!A11411</f>
        <v/>
      </c>
      <c r="B11411">
        <f>TEST_DATA!B11411</f>
        <v/>
      </c>
      <c r="C11411">
        <f>TEST_DATA!C11411</f>
        <v/>
      </c>
      <c r="D11411">
        <f>TEST_DATA!D11411</f>
        <v/>
      </c>
      <c r="E11411">
        <f>TEST_DATA!E11411</f>
        <v/>
      </c>
    </row>
    <row r="11412">
      <c r="A11412">
        <f>TEST_DATA!A11412</f>
        <v/>
      </c>
      <c r="B11412">
        <f>TEST_DATA!B11412</f>
        <v/>
      </c>
      <c r="C11412">
        <f>TEST_DATA!C11412</f>
        <v/>
      </c>
      <c r="D11412">
        <f>TEST_DATA!D11412</f>
        <v/>
      </c>
      <c r="E11412">
        <f>TEST_DATA!E11412</f>
        <v/>
      </c>
    </row>
    <row r="11413">
      <c r="A11413">
        <f>TEST_DATA!A11413</f>
        <v/>
      </c>
      <c r="B11413">
        <f>TEST_DATA!B11413</f>
        <v/>
      </c>
      <c r="C11413">
        <f>TEST_DATA!C11413</f>
        <v/>
      </c>
      <c r="D11413">
        <f>TEST_DATA!D11413</f>
        <v/>
      </c>
      <c r="E11413">
        <f>TEST_DATA!E11413</f>
        <v/>
      </c>
    </row>
    <row r="11414">
      <c r="A11414">
        <f>TEST_DATA!A11414</f>
        <v/>
      </c>
      <c r="B11414">
        <f>TEST_DATA!B11414</f>
        <v/>
      </c>
      <c r="C11414">
        <f>TEST_DATA!C11414</f>
        <v/>
      </c>
      <c r="D11414">
        <f>TEST_DATA!D11414</f>
        <v/>
      </c>
      <c r="E11414">
        <f>TEST_DATA!E11414</f>
        <v/>
      </c>
    </row>
    <row r="11415">
      <c r="A11415">
        <f>TEST_DATA!A11415</f>
        <v/>
      </c>
      <c r="B11415">
        <f>TEST_DATA!B11415</f>
        <v/>
      </c>
      <c r="C11415">
        <f>TEST_DATA!C11415</f>
        <v/>
      </c>
      <c r="D11415">
        <f>TEST_DATA!D11415</f>
        <v/>
      </c>
      <c r="E11415">
        <f>TEST_DATA!E11415</f>
        <v/>
      </c>
    </row>
    <row r="11416">
      <c r="A11416">
        <f>TEST_DATA!A11416</f>
        <v/>
      </c>
      <c r="B11416">
        <f>TEST_DATA!B11416</f>
        <v/>
      </c>
      <c r="C11416">
        <f>TEST_DATA!C11416</f>
        <v/>
      </c>
      <c r="D11416">
        <f>TEST_DATA!D11416</f>
        <v/>
      </c>
      <c r="E11416">
        <f>TEST_DATA!E11416</f>
        <v/>
      </c>
    </row>
    <row r="11417">
      <c r="A11417">
        <f>TEST_DATA!A11417</f>
        <v/>
      </c>
      <c r="B11417">
        <f>TEST_DATA!B11417</f>
        <v/>
      </c>
      <c r="C11417">
        <f>TEST_DATA!C11417</f>
        <v/>
      </c>
      <c r="D11417">
        <f>TEST_DATA!D11417</f>
        <v/>
      </c>
      <c r="E11417">
        <f>TEST_DATA!E11417</f>
        <v/>
      </c>
    </row>
    <row r="11418">
      <c r="A11418">
        <f>TEST_DATA!A11418</f>
        <v/>
      </c>
      <c r="B11418">
        <f>TEST_DATA!B11418</f>
        <v/>
      </c>
      <c r="C11418">
        <f>TEST_DATA!C11418</f>
        <v/>
      </c>
      <c r="D11418">
        <f>TEST_DATA!D11418</f>
        <v/>
      </c>
      <c r="E11418">
        <f>TEST_DATA!E11418</f>
        <v/>
      </c>
    </row>
    <row r="11419">
      <c r="A11419">
        <f>TEST_DATA!A11419</f>
        <v/>
      </c>
      <c r="B11419">
        <f>TEST_DATA!B11419</f>
        <v/>
      </c>
      <c r="C11419">
        <f>TEST_DATA!C11419</f>
        <v/>
      </c>
      <c r="D11419">
        <f>TEST_DATA!D11419</f>
        <v/>
      </c>
      <c r="E11419">
        <f>TEST_DATA!E11419</f>
        <v/>
      </c>
    </row>
    <row r="11420">
      <c r="A11420">
        <f>TEST_DATA!A11420</f>
        <v/>
      </c>
      <c r="B11420">
        <f>TEST_DATA!B11420</f>
        <v/>
      </c>
      <c r="C11420">
        <f>TEST_DATA!C11420</f>
        <v/>
      </c>
      <c r="D11420">
        <f>TEST_DATA!D11420</f>
        <v/>
      </c>
      <c r="E11420">
        <f>TEST_DATA!E11420</f>
        <v/>
      </c>
    </row>
    <row r="11421">
      <c r="A11421">
        <f>TEST_DATA!A11421</f>
        <v/>
      </c>
      <c r="B11421">
        <f>TEST_DATA!B11421</f>
        <v/>
      </c>
      <c r="C11421">
        <f>TEST_DATA!C11421</f>
        <v/>
      </c>
      <c r="D11421">
        <f>TEST_DATA!D11421</f>
        <v/>
      </c>
      <c r="E11421">
        <f>TEST_DATA!E11421</f>
        <v/>
      </c>
    </row>
    <row r="11422">
      <c r="A11422">
        <f>TEST_DATA!A11422</f>
        <v/>
      </c>
      <c r="B11422">
        <f>TEST_DATA!B11422</f>
        <v/>
      </c>
      <c r="C11422">
        <f>TEST_DATA!C11422</f>
        <v/>
      </c>
      <c r="D11422">
        <f>TEST_DATA!D11422</f>
        <v/>
      </c>
      <c r="E11422">
        <f>TEST_DATA!E11422</f>
        <v/>
      </c>
    </row>
    <row r="11423">
      <c r="A11423">
        <f>TEST_DATA!A11423</f>
        <v/>
      </c>
      <c r="B11423">
        <f>TEST_DATA!B11423</f>
        <v/>
      </c>
      <c r="C11423">
        <f>TEST_DATA!C11423</f>
        <v/>
      </c>
      <c r="D11423">
        <f>TEST_DATA!D11423</f>
        <v/>
      </c>
      <c r="E11423">
        <f>TEST_DATA!E11423</f>
        <v/>
      </c>
    </row>
    <row r="11424">
      <c r="A11424">
        <f>TEST_DATA!A11424</f>
        <v/>
      </c>
      <c r="B11424">
        <f>TEST_DATA!B11424</f>
        <v/>
      </c>
      <c r="C11424">
        <f>TEST_DATA!C11424</f>
        <v/>
      </c>
      <c r="D11424">
        <f>TEST_DATA!D11424</f>
        <v/>
      </c>
      <c r="E11424">
        <f>TEST_DATA!E11424</f>
        <v/>
      </c>
    </row>
    <row r="11425">
      <c r="A11425">
        <f>TEST_DATA!A11425</f>
        <v/>
      </c>
      <c r="B11425">
        <f>TEST_DATA!B11425</f>
        <v/>
      </c>
      <c r="C11425">
        <f>TEST_DATA!C11425</f>
        <v/>
      </c>
      <c r="D11425">
        <f>TEST_DATA!D11425</f>
        <v/>
      </c>
      <c r="E11425">
        <f>TEST_DATA!E11425</f>
        <v/>
      </c>
    </row>
    <row r="11426">
      <c r="A11426">
        <f>TEST_DATA!A11426</f>
        <v/>
      </c>
      <c r="B11426">
        <f>TEST_DATA!B11426</f>
        <v/>
      </c>
      <c r="C11426">
        <f>TEST_DATA!C11426</f>
        <v/>
      </c>
      <c r="D11426">
        <f>TEST_DATA!D11426</f>
        <v/>
      </c>
      <c r="E11426">
        <f>TEST_DATA!E11426</f>
        <v/>
      </c>
    </row>
    <row r="11427">
      <c r="A11427">
        <f>TEST_DATA!A11427</f>
        <v/>
      </c>
      <c r="B11427">
        <f>TEST_DATA!B11427</f>
        <v/>
      </c>
      <c r="C11427">
        <f>TEST_DATA!C11427</f>
        <v/>
      </c>
      <c r="D11427">
        <f>TEST_DATA!D11427</f>
        <v/>
      </c>
      <c r="E11427">
        <f>TEST_DATA!E11427</f>
        <v/>
      </c>
    </row>
    <row r="11428">
      <c r="A11428">
        <f>TEST_DATA!A11428</f>
        <v/>
      </c>
      <c r="B11428">
        <f>TEST_DATA!B11428</f>
        <v/>
      </c>
      <c r="C11428">
        <f>TEST_DATA!C11428</f>
        <v/>
      </c>
      <c r="D11428">
        <f>TEST_DATA!D11428</f>
        <v/>
      </c>
      <c r="E11428">
        <f>TEST_DATA!E11428</f>
        <v/>
      </c>
    </row>
    <row r="11429">
      <c r="A11429">
        <f>TEST_DATA!A11429</f>
        <v/>
      </c>
      <c r="B11429">
        <f>TEST_DATA!B11429</f>
        <v/>
      </c>
      <c r="C11429">
        <f>TEST_DATA!C11429</f>
        <v/>
      </c>
      <c r="D11429">
        <f>TEST_DATA!D11429</f>
        <v/>
      </c>
      <c r="E11429">
        <f>TEST_DATA!E11429</f>
        <v/>
      </c>
    </row>
    <row r="11430">
      <c r="A11430">
        <f>TEST_DATA!A11430</f>
        <v/>
      </c>
      <c r="B11430">
        <f>TEST_DATA!B11430</f>
        <v/>
      </c>
      <c r="C11430">
        <f>TEST_DATA!C11430</f>
        <v/>
      </c>
      <c r="D11430">
        <f>TEST_DATA!D11430</f>
        <v/>
      </c>
      <c r="E11430">
        <f>TEST_DATA!E11430</f>
        <v/>
      </c>
    </row>
    <row r="11431">
      <c r="A11431">
        <f>TEST_DATA!A11431</f>
        <v/>
      </c>
      <c r="B11431">
        <f>TEST_DATA!B11431</f>
        <v/>
      </c>
      <c r="C11431">
        <f>TEST_DATA!C11431</f>
        <v/>
      </c>
      <c r="D11431">
        <f>TEST_DATA!D11431</f>
        <v/>
      </c>
      <c r="E11431">
        <f>TEST_DATA!E11431</f>
        <v/>
      </c>
    </row>
    <row r="11432">
      <c r="A11432">
        <f>TEST_DATA!A11432</f>
        <v/>
      </c>
      <c r="B11432">
        <f>TEST_DATA!B11432</f>
        <v/>
      </c>
      <c r="C11432">
        <f>TEST_DATA!C11432</f>
        <v/>
      </c>
      <c r="D11432">
        <f>TEST_DATA!D11432</f>
        <v/>
      </c>
      <c r="E11432">
        <f>TEST_DATA!E11432</f>
        <v/>
      </c>
    </row>
    <row r="11433">
      <c r="A11433">
        <f>TEST_DATA!A11433</f>
        <v/>
      </c>
      <c r="B11433">
        <f>TEST_DATA!B11433</f>
        <v/>
      </c>
      <c r="C11433">
        <f>TEST_DATA!C11433</f>
        <v/>
      </c>
      <c r="D11433">
        <f>TEST_DATA!D11433</f>
        <v/>
      </c>
      <c r="E11433">
        <f>TEST_DATA!E11433</f>
        <v/>
      </c>
    </row>
    <row r="11434">
      <c r="A11434">
        <f>TEST_DATA!A11434</f>
        <v/>
      </c>
      <c r="B11434">
        <f>TEST_DATA!B11434</f>
        <v/>
      </c>
      <c r="C11434">
        <f>TEST_DATA!C11434</f>
        <v/>
      </c>
      <c r="D11434">
        <f>TEST_DATA!D11434</f>
        <v/>
      </c>
      <c r="E11434">
        <f>TEST_DATA!E11434</f>
        <v/>
      </c>
    </row>
    <row r="11435">
      <c r="A11435">
        <f>TEST_DATA!A11435</f>
        <v/>
      </c>
      <c r="B11435">
        <f>TEST_DATA!B11435</f>
        <v/>
      </c>
      <c r="C11435">
        <f>TEST_DATA!C11435</f>
        <v/>
      </c>
      <c r="D11435">
        <f>TEST_DATA!D11435</f>
        <v/>
      </c>
      <c r="E11435">
        <f>TEST_DATA!E11435</f>
        <v/>
      </c>
    </row>
    <row r="11436">
      <c r="A11436">
        <f>TEST_DATA!A11436</f>
        <v/>
      </c>
      <c r="B11436">
        <f>TEST_DATA!B11436</f>
        <v/>
      </c>
      <c r="C11436">
        <f>TEST_DATA!C11436</f>
        <v/>
      </c>
      <c r="D11436">
        <f>TEST_DATA!D11436</f>
        <v/>
      </c>
      <c r="E11436">
        <f>TEST_DATA!E11436</f>
        <v/>
      </c>
    </row>
    <row r="11437">
      <c r="A11437">
        <f>TEST_DATA!A11437</f>
        <v/>
      </c>
      <c r="B11437">
        <f>TEST_DATA!B11437</f>
        <v/>
      </c>
      <c r="C11437">
        <f>TEST_DATA!C11437</f>
        <v/>
      </c>
      <c r="D11437">
        <f>TEST_DATA!D11437</f>
        <v/>
      </c>
      <c r="E11437">
        <f>TEST_DATA!E11437</f>
        <v/>
      </c>
    </row>
    <row r="11438">
      <c r="A11438">
        <f>TEST_DATA!A11438</f>
        <v/>
      </c>
      <c r="B11438">
        <f>TEST_DATA!B11438</f>
        <v/>
      </c>
      <c r="C11438">
        <f>TEST_DATA!C11438</f>
        <v/>
      </c>
      <c r="D11438">
        <f>TEST_DATA!D11438</f>
        <v/>
      </c>
      <c r="E11438">
        <f>TEST_DATA!E11438</f>
        <v/>
      </c>
    </row>
    <row r="11439">
      <c r="A11439">
        <f>TEST_DATA!A11439</f>
        <v/>
      </c>
      <c r="B11439">
        <f>TEST_DATA!B11439</f>
        <v/>
      </c>
      <c r="C11439">
        <f>TEST_DATA!C11439</f>
        <v/>
      </c>
      <c r="D11439">
        <f>TEST_DATA!D11439</f>
        <v/>
      </c>
      <c r="E11439">
        <f>TEST_DATA!E11439</f>
        <v/>
      </c>
    </row>
    <row r="11440">
      <c r="A11440">
        <f>TEST_DATA!A11440</f>
        <v/>
      </c>
      <c r="B11440">
        <f>TEST_DATA!B11440</f>
        <v/>
      </c>
      <c r="C11440">
        <f>TEST_DATA!C11440</f>
        <v/>
      </c>
      <c r="D11440">
        <f>TEST_DATA!D11440</f>
        <v/>
      </c>
      <c r="E11440">
        <f>TEST_DATA!E11440</f>
        <v/>
      </c>
    </row>
    <row r="11441">
      <c r="A11441">
        <f>TEST_DATA!A11441</f>
        <v/>
      </c>
      <c r="B11441">
        <f>TEST_DATA!B11441</f>
        <v/>
      </c>
      <c r="C11441">
        <f>TEST_DATA!C11441</f>
        <v/>
      </c>
      <c r="D11441">
        <f>TEST_DATA!D11441</f>
        <v/>
      </c>
      <c r="E11441">
        <f>TEST_DATA!E11441</f>
        <v/>
      </c>
    </row>
    <row r="11442">
      <c r="A11442">
        <f>TEST_DATA!A11442</f>
        <v/>
      </c>
      <c r="B11442">
        <f>TEST_DATA!B11442</f>
        <v/>
      </c>
      <c r="C11442">
        <f>TEST_DATA!C11442</f>
        <v/>
      </c>
      <c r="D11442">
        <f>TEST_DATA!D11442</f>
        <v/>
      </c>
      <c r="E11442">
        <f>TEST_DATA!E11442</f>
        <v/>
      </c>
    </row>
    <row r="11443">
      <c r="A11443">
        <f>TEST_DATA!A11443</f>
        <v/>
      </c>
      <c r="B11443">
        <f>TEST_DATA!B11443</f>
        <v/>
      </c>
      <c r="C11443">
        <f>TEST_DATA!C11443</f>
        <v/>
      </c>
      <c r="D11443">
        <f>TEST_DATA!D11443</f>
        <v/>
      </c>
      <c r="E11443">
        <f>TEST_DATA!E11443</f>
        <v/>
      </c>
    </row>
    <row r="11444">
      <c r="A11444">
        <f>TEST_DATA!A11444</f>
        <v/>
      </c>
      <c r="B11444">
        <f>TEST_DATA!B11444</f>
        <v/>
      </c>
      <c r="C11444">
        <f>TEST_DATA!C11444</f>
        <v/>
      </c>
      <c r="D11444">
        <f>TEST_DATA!D11444</f>
        <v/>
      </c>
      <c r="E11444">
        <f>TEST_DATA!E11444</f>
        <v/>
      </c>
    </row>
    <row r="11445">
      <c r="A11445">
        <f>TEST_DATA!A11445</f>
        <v/>
      </c>
      <c r="B11445">
        <f>TEST_DATA!B11445</f>
        <v/>
      </c>
      <c r="C11445">
        <f>TEST_DATA!C11445</f>
        <v/>
      </c>
      <c r="D11445">
        <f>TEST_DATA!D11445</f>
        <v/>
      </c>
      <c r="E11445">
        <f>TEST_DATA!E11445</f>
        <v/>
      </c>
    </row>
    <row r="11446">
      <c r="A11446">
        <f>TEST_DATA!A11446</f>
        <v/>
      </c>
      <c r="B11446">
        <f>TEST_DATA!B11446</f>
        <v/>
      </c>
      <c r="C11446">
        <f>TEST_DATA!C11446</f>
        <v/>
      </c>
      <c r="D11446">
        <f>TEST_DATA!D11446</f>
        <v/>
      </c>
      <c r="E11446">
        <f>TEST_DATA!E11446</f>
        <v/>
      </c>
    </row>
    <row r="11447">
      <c r="A11447">
        <f>TEST_DATA!A11447</f>
        <v/>
      </c>
      <c r="B11447">
        <f>TEST_DATA!B11447</f>
        <v/>
      </c>
      <c r="C11447">
        <f>TEST_DATA!C11447</f>
        <v/>
      </c>
      <c r="D11447">
        <f>TEST_DATA!D11447</f>
        <v/>
      </c>
      <c r="E11447">
        <f>TEST_DATA!E11447</f>
        <v/>
      </c>
    </row>
    <row r="11448">
      <c r="A11448">
        <f>TEST_DATA!A11448</f>
        <v/>
      </c>
      <c r="B11448">
        <f>TEST_DATA!B11448</f>
        <v/>
      </c>
      <c r="C11448">
        <f>TEST_DATA!C11448</f>
        <v/>
      </c>
      <c r="D11448">
        <f>TEST_DATA!D11448</f>
        <v/>
      </c>
      <c r="E11448">
        <f>TEST_DATA!E11448</f>
        <v/>
      </c>
    </row>
    <row r="11449">
      <c r="A11449">
        <f>TEST_DATA!A11449</f>
        <v/>
      </c>
      <c r="B11449">
        <f>TEST_DATA!B11449</f>
        <v/>
      </c>
      <c r="C11449">
        <f>TEST_DATA!C11449</f>
        <v/>
      </c>
      <c r="D11449">
        <f>TEST_DATA!D11449</f>
        <v/>
      </c>
      <c r="E11449">
        <f>TEST_DATA!E11449</f>
        <v/>
      </c>
    </row>
    <row r="11450">
      <c r="A11450">
        <f>TEST_DATA!A11450</f>
        <v/>
      </c>
      <c r="B11450">
        <f>TEST_DATA!B11450</f>
        <v/>
      </c>
      <c r="C11450">
        <f>TEST_DATA!C11450</f>
        <v/>
      </c>
      <c r="D11450">
        <f>TEST_DATA!D11450</f>
        <v/>
      </c>
      <c r="E11450">
        <f>TEST_DATA!E11450</f>
        <v/>
      </c>
    </row>
    <row r="11451">
      <c r="A11451">
        <f>TEST_DATA!A11451</f>
        <v/>
      </c>
      <c r="B11451">
        <f>TEST_DATA!B11451</f>
        <v/>
      </c>
      <c r="C11451">
        <f>TEST_DATA!C11451</f>
        <v/>
      </c>
      <c r="D11451">
        <f>TEST_DATA!D11451</f>
        <v/>
      </c>
      <c r="E11451">
        <f>TEST_DATA!E11451</f>
        <v/>
      </c>
    </row>
    <row r="11452">
      <c r="A11452">
        <f>TEST_DATA!A11452</f>
        <v/>
      </c>
      <c r="B11452">
        <f>TEST_DATA!B11452</f>
        <v/>
      </c>
      <c r="C11452">
        <f>TEST_DATA!C11452</f>
        <v/>
      </c>
      <c r="D11452">
        <f>TEST_DATA!D11452</f>
        <v/>
      </c>
      <c r="E11452">
        <f>TEST_DATA!E11452</f>
        <v/>
      </c>
    </row>
    <row r="11453">
      <c r="A11453">
        <f>TEST_DATA!A11453</f>
        <v/>
      </c>
      <c r="B11453">
        <f>TEST_DATA!B11453</f>
        <v/>
      </c>
      <c r="C11453">
        <f>TEST_DATA!C11453</f>
        <v/>
      </c>
      <c r="D11453">
        <f>TEST_DATA!D11453</f>
        <v/>
      </c>
      <c r="E11453">
        <f>TEST_DATA!E11453</f>
        <v/>
      </c>
    </row>
    <row r="11454">
      <c r="A11454">
        <f>TEST_DATA!A11454</f>
        <v/>
      </c>
      <c r="B11454">
        <f>TEST_DATA!B11454</f>
        <v/>
      </c>
      <c r="C11454">
        <f>TEST_DATA!C11454</f>
        <v/>
      </c>
      <c r="D11454">
        <f>TEST_DATA!D11454</f>
        <v/>
      </c>
      <c r="E11454">
        <f>TEST_DATA!E11454</f>
        <v/>
      </c>
    </row>
    <row r="11455">
      <c r="A11455">
        <f>TEST_DATA!A11455</f>
        <v/>
      </c>
      <c r="B11455">
        <f>TEST_DATA!B11455</f>
        <v/>
      </c>
      <c r="C11455">
        <f>TEST_DATA!C11455</f>
        <v/>
      </c>
      <c r="D11455">
        <f>TEST_DATA!D11455</f>
        <v/>
      </c>
      <c r="E11455">
        <f>TEST_DATA!E11455</f>
        <v/>
      </c>
    </row>
    <row r="11456">
      <c r="A11456">
        <f>TEST_DATA!A11456</f>
        <v/>
      </c>
      <c r="B11456">
        <f>TEST_DATA!B11456</f>
        <v/>
      </c>
      <c r="C11456">
        <f>TEST_DATA!C11456</f>
        <v/>
      </c>
      <c r="D11456">
        <f>TEST_DATA!D11456</f>
        <v/>
      </c>
      <c r="E11456">
        <f>TEST_DATA!E11456</f>
        <v/>
      </c>
    </row>
    <row r="11457">
      <c r="A11457">
        <f>TEST_DATA!A11457</f>
        <v/>
      </c>
      <c r="B11457">
        <f>TEST_DATA!B11457</f>
        <v/>
      </c>
      <c r="C11457">
        <f>TEST_DATA!C11457</f>
        <v/>
      </c>
      <c r="D11457">
        <f>TEST_DATA!D11457</f>
        <v/>
      </c>
      <c r="E11457">
        <f>TEST_DATA!E11457</f>
        <v/>
      </c>
    </row>
    <row r="11458">
      <c r="A11458">
        <f>TEST_DATA!A11458</f>
        <v/>
      </c>
      <c r="B11458">
        <f>TEST_DATA!B11458</f>
        <v/>
      </c>
      <c r="C11458">
        <f>TEST_DATA!C11458</f>
        <v/>
      </c>
      <c r="D11458">
        <f>TEST_DATA!D11458</f>
        <v/>
      </c>
      <c r="E11458">
        <f>TEST_DATA!E11458</f>
        <v/>
      </c>
    </row>
    <row r="11459">
      <c r="A11459">
        <f>TEST_DATA!A11459</f>
        <v/>
      </c>
      <c r="B11459">
        <f>TEST_DATA!B11459</f>
        <v/>
      </c>
      <c r="C11459">
        <f>TEST_DATA!C11459</f>
        <v/>
      </c>
      <c r="D11459">
        <f>TEST_DATA!D11459</f>
        <v/>
      </c>
      <c r="E11459">
        <f>TEST_DATA!E11459</f>
        <v/>
      </c>
    </row>
    <row r="11460">
      <c r="A11460">
        <f>TEST_DATA!A11460</f>
        <v/>
      </c>
      <c r="B11460">
        <f>TEST_DATA!B11460</f>
        <v/>
      </c>
      <c r="C11460">
        <f>TEST_DATA!C11460</f>
        <v/>
      </c>
      <c r="D11460">
        <f>TEST_DATA!D11460</f>
        <v/>
      </c>
      <c r="E11460">
        <f>TEST_DATA!E11460</f>
        <v/>
      </c>
    </row>
    <row r="11461">
      <c r="A11461">
        <f>TEST_DATA!A11461</f>
        <v/>
      </c>
      <c r="B11461">
        <f>TEST_DATA!B11461</f>
        <v/>
      </c>
      <c r="C11461">
        <f>TEST_DATA!C11461</f>
        <v/>
      </c>
      <c r="D11461">
        <f>TEST_DATA!D11461</f>
        <v/>
      </c>
      <c r="E11461">
        <f>TEST_DATA!E11461</f>
        <v/>
      </c>
    </row>
    <row r="11462">
      <c r="A11462">
        <f>TEST_DATA!A11462</f>
        <v/>
      </c>
      <c r="B11462">
        <f>TEST_DATA!B11462</f>
        <v/>
      </c>
      <c r="C11462">
        <f>TEST_DATA!C11462</f>
        <v/>
      </c>
      <c r="D11462">
        <f>TEST_DATA!D11462</f>
        <v/>
      </c>
      <c r="E11462">
        <f>TEST_DATA!E11462</f>
        <v/>
      </c>
    </row>
    <row r="11463">
      <c r="A11463">
        <f>TEST_DATA!A11463</f>
        <v/>
      </c>
      <c r="B11463">
        <f>TEST_DATA!B11463</f>
        <v/>
      </c>
      <c r="C11463">
        <f>TEST_DATA!C11463</f>
        <v/>
      </c>
      <c r="D11463">
        <f>TEST_DATA!D11463</f>
        <v/>
      </c>
      <c r="E11463">
        <f>TEST_DATA!E11463</f>
        <v/>
      </c>
    </row>
    <row r="11464">
      <c r="A11464">
        <f>TEST_DATA!A11464</f>
        <v/>
      </c>
      <c r="B11464">
        <f>TEST_DATA!B11464</f>
        <v/>
      </c>
      <c r="C11464">
        <f>TEST_DATA!C11464</f>
        <v/>
      </c>
      <c r="D11464">
        <f>TEST_DATA!D11464</f>
        <v/>
      </c>
      <c r="E11464">
        <f>TEST_DATA!E11464</f>
        <v/>
      </c>
    </row>
    <row r="11465">
      <c r="A11465">
        <f>TEST_DATA!A11465</f>
        <v/>
      </c>
      <c r="B11465">
        <f>TEST_DATA!B11465</f>
        <v/>
      </c>
      <c r="C11465">
        <f>TEST_DATA!C11465</f>
        <v/>
      </c>
      <c r="D11465">
        <f>TEST_DATA!D11465</f>
        <v/>
      </c>
      <c r="E11465">
        <f>TEST_DATA!E11465</f>
        <v/>
      </c>
    </row>
    <row r="11466">
      <c r="A11466">
        <f>TEST_DATA!A11466</f>
        <v/>
      </c>
      <c r="B11466">
        <f>TEST_DATA!B11466</f>
        <v/>
      </c>
      <c r="C11466">
        <f>TEST_DATA!C11466</f>
        <v/>
      </c>
      <c r="D11466">
        <f>TEST_DATA!D11466</f>
        <v/>
      </c>
      <c r="E11466">
        <f>TEST_DATA!E11466</f>
        <v/>
      </c>
    </row>
    <row r="11467">
      <c r="A11467">
        <f>TEST_DATA!A11467</f>
        <v/>
      </c>
      <c r="B11467">
        <f>TEST_DATA!B11467</f>
        <v/>
      </c>
      <c r="C11467">
        <f>TEST_DATA!C11467</f>
        <v/>
      </c>
      <c r="D11467">
        <f>TEST_DATA!D11467</f>
        <v/>
      </c>
      <c r="E11467">
        <f>TEST_DATA!E11467</f>
        <v/>
      </c>
    </row>
    <row r="11468">
      <c r="A11468">
        <f>TEST_DATA!A11468</f>
        <v/>
      </c>
      <c r="B11468">
        <f>TEST_DATA!B11468</f>
        <v/>
      </c>
      <c r="C11468">
        <f>TEST_DATA!C11468</f>
        <v/>
      </c>
      <c r="D11468">
        <f>TEST_DATA!D11468</f>
        <v/>
      </c>
      <c r="E11468">
        <f>TEST_DATA!E11468</f>
        <v/>
      </c>
    </row>
    <row r="11469">
      <c r="A11469">
        <f>TEST_DATA!A11469</f>
        <v/>
      </c>
      <c r="B11469">
        <f>TEST_DATA!B11469</f>
        <v/>
      </c>
      <c r="C11469">
        <f>TEST_DATA!C11469</f>
        <v/>
      </c>
      <c r="D11469">
        <f>TEST_DATA!D11469</f>
        <v/>
      </c>
      <c r="E11469">
        <f>TEST_DATA!E11469</f>
        <v/>
      </c>
    </row>
    <row r="11470">
      <c r="A11470">
        <f>TEST_DATA!A11470</f>
        <v/>
      </c>
      <c r="B11470">
        <f>TEST_DATA!B11470</f>
        <v/>
      </c>
      <c r="C11470">
        <f>TEST_DATA!C11470</f>
        <v/>
      </c>
      <c r="D11470">
        <f>TEST_DATA!D11470</f>
        <v/>
      </c>
      <c r="E11470">
        <f>TEST_DATA!E11470</f>
        <v/>
      </c>
    </row>
    <row r="11471">
      <c r="A11471">
        <f>TEST_DATA!A11471</f>
        <v/>
      </c>
      <c r="B11471">
        <f>TEST_DATA!B11471</f>
        <v/>
      </c>
      <c r="C11471">
        <f>TEST_DATA!C11471</f>
        <v/>
      </c>
      <c r="D11471">
        <f>TEST_DATA!D11471</f>
        <v/>
      </c>
      <c r="E11471">
        <f>TEST_DATA!E11471</f>
        <v/>
      </c>
    </row>
    <row r="11472">
      <c r="A11472">
        <f>TEST_DATA!A11472</f>
        <v/>
      </c>
      <c r="B11472">
        <f>TEST_DATA!B11472</f>
        <v/>
      </c>
      <c r="C11472">
        <f>TEST_DATA!C11472</f>
        <v/>
      </c>
      <c r="D11472">
        <f>TEST_DATA!D11472</f>
        <v/>
      </c>
      <c r="E11472">
        <f>TEST_DATA!E11472</f>
        <v/>
      </c>
    </row>
    <row r="11473">
      <c r="A11473">
        <f>TEST_DATA!A11473</f>
        <v/>
      </c>
      <c r="B11473">
        <f>TEST_DATA!B11473</f>
        <v/>
      </c>
      <c r="C11473">
        <f>TEST_DATA!C11473</f>
        <v/>
      </c>
      <c r="D11473">
        <f>TEST_DATA!D11473</f>
        <v/>
      </c>
      <c r="E11473">
        <f>TEST_DATA!E11473</f>
        <v/>
      </c>
    </row>
    <row r="11474">
      <c r="A11474">
        <f>TEST_DATA!A11474</f>
        <v/>
      </c>
      <c r="B11474">
        <f>TEST_DATA!B11474</f>
        <v/>
      </c>
      <c r="C11474">
        <f>TEST_DATA!C11474</f>
        <v/>
      </c>
      <c r="D11474">
        <f>TEST_DATA!D11474</f>
        <v/>
      </c>
      <c r="E11474">
        <f>TEST_DATA!E11474</f>
        <v/>
      </c>
    </row>
    <row r="11475">
      <c r="A11475">
        <f>TEST_DATA!A11475</f>
        <v/>
      </c>
      <c r="B11475">
        <f>TEST_DATA!B11475</f>
        <v/>
      </c>
      <c r="C11475">
        <f>TEST_DATA!C11475</f>
        <v/>
      </c>
      <c r="D11475">
        <f>TEST_DATA!D11475</f>
        <v/>
      </c>
      <c r="E11475">
        <f>TEST_DATA!E11475</f>
        <v/>
      </c>
    </row>
    <row r="11476">
      <c r="A11476">
        <f>TEST_DATA!A11476</f>
        <v/>
      </c>
      <c r="B11476">
        <f>TEST_DATA!B11476</f>
        <v/>
      </c>
      <c r="C11476">
        <f>TEST_DATA!C11476</f>
        <v/>
      </c>
      <c r="D11476">
        <f>TEST_DATA!D11476</f>
        <v/>
      </c>
      <c r="E11476">
        <f>TEST_DATA!E11476</f>
        <v/>
      </c>
    </row>
    <row r="11477">
      <c r="A11477">
        <f>TEST_DATA!A11477</f>
        <v/>
      </c>
      <c r="B11477">
        <f>TEST_DATA!B11477</f>
        <v/>
      </c>
      <c r="C11477">
        <f>TEST_DATA!C11477</f>
        <v/>
      </c>
      <c r="D11477">
        <f>TEST_DATA!D11477</f>
        <v/>
      </c>
      <c r="E11477">
        <f>TEST_DATA!E11477</f>
        <v/>
      </c>
    </row>
    <row r="11478">
      <c r="A11478">
        <f>TEST_DATA!A11478</f>
        <v/>
      </c>
      <c r="B11478">
        <f>TEST_DATA!B11478</f>
        <v/>
      </c>
      <c r="C11478">
        <f>TEST_DATA!C11478</f>
        <v/>
      </c>
      <c r="D11478">
        <f>TEST_DATA!D11478</f>
        <v/>
      </c>
      <c r="E11478">
        <f>TEST_DATA!E11478</f>
        <v/>
      </c>
    </row>
    <row r="11479">
      <c r="A11479">
        <f>TEST_DATA!A11479</f>
        <v/>
      </c>
      <c r="B11479">
        <f>TEST_DATA!B11479</f>
        <v/>
      </c>
      <c r="C11479">
        <f>TEST_DATA!C11479</f>
        <v/>
      </c>
      <c r="D11479">
        <f>TEST_DATA!D11479</f>
        <v/>
      </c>
      <c r="E11479">
        <f>TEST_DATA!E11479</f>
        <v/>
      </c>
    </row>
    <row r="11480">
      <c r="A11480">
        <f>TEST_DATA!A11480</f>
        <v/>
      </c>
      <c r="B11480">
        <f>TEST_DATA!B11480</f>
        <v/>
      </c>
      <c r="C11480">
        <f>TEST_DATA!C11480</f>
        <v/>
      </c>
      <c r="D11480">
        <f>TEST_DATA!D11480</f>
        <v/>
      </c>
      <c r="E11480">
        <f>TEST_DATA!E11480</f>
        <v/>
      </c>
    </row>
    <row r="11481">
      <c r="A11481">
        <f>TEST_DATA!A11481</f>
        <v/>
      </c>
      <c r="B11481">
        <f>TEST_DATA!B11481</f>
        <v/>
      </c>
      <c r="C11481">
        <f>TEST_DATA!C11481</f>
        <v/>
      </c>
      <c r="D11481">
        <f>TEST_DATA!D11481</f>
        <v/>
      </c>
      <c r="E11481">
        <f>TEST_DATA!E11481</f>
        <v/>
      </c>
    </row>
    <row r="11482">
      <c r="A11482">
        <f>TEST_DATA!A11482</f>
        <v/>
      </c>
      <c r="B11482">
        <f>TEST_DATA!B11482</f>
        <v/>
      </c>
      <c r="C11482">
        <f>TEST_DATA!C11482</f>
        <v/>
      </c>
      <c r="D11482">
        <f>TEST_DATA!D11482</f>
        <v/>
      </c>
      <c r="E11482">
        <f>TEST_DATA!E11482</f>
        <v/>
      </c>
    </row>
    <row r="11483">
      <c r="A11483">
        <f>TEST_DATA!A11483</f>
        <v/>
      </c>
      <c r="B11483">
        <f>TEST_DATA!B11483</f>
        <v/>
      </c>
      <c r="C11483">
        <f>TEST_DATA!C11483</f>
        <v/>
      </c>
      <c r="D11483">
        <f>TEST_DATA!D11483</f>
        <v/>
      </c>
      <c r="E11483">
        <f>TEST_DATA!E11483</f>
        <v/>
      </c>
    </row>
    <row r="11484">
      <c r="A11484">
        <f>TEST_DATA!A11484</f>
        <v/>
      </c>
      <c r="B11484">
        <f>TEST_DATA!B11484</f>
        <v/>
      </c>
      <c r="C11484">
        <f>TEST_DATA!C11484</f>
        <v/>
      </c>
      <c r="D11484">
        <f>TEST_DATA!D11484</f>
        <v/>
      </c>
      <c r="E11484">
        <f>TEST_DATA!E11484</f>
        <v/>
      </c>
    </row>
    <row r="11485">
      <c r="A11485">
        <f>TEST_DATA!A11485</f>
        <v/>
      </c>
      <c r="B11485">
        <f>TEST_DATA!B11485</f>
        <v/>
      </c>
      <c r="C11485">
        <f>TEST_DATA!C11485</f>
        <v/>
      </c>
      <c r="D11485">
        <f>TEST_DATA!D11485</f>
        <v/>
      </c>
      <c r="E11485">
        <f>TEST_DATA!E11485</f>
        <v/>
      </c>
    </row>
    <row r="11486">
      <c r="A11486">
        <f>TEST_DATA!A11486</f>
        <v/>
      </c>
      <c r="B11486">
        <f>TEST_DATA!B11486</f>
        <v/>
      </c>
      <c r="C11486">
        <f>TEST_DATA!C11486</f>
        <v/>
      </c>
      <c r="D11486">
        <f>TEST_DATA!D11486</f>
        <v/>
      </c>
      <c r="E11486">
        <f>TEST_DATA!E11486</f>
        <v/>
      </c>
    </row>
    <row r="11487">
      <c r="A11487">
        <f>TEST_DATA!A11487</f>
        <v/>
      </c>
      <c r="B11487">
        <f>TEST_DATA!B11487</f>
        <v/>
      </c>
      <c r="C11487">
        <f>TEST_DATA!C11487</f>
        <v/>
      </c>
      <c r="D11487">
        <f>TEST_DATA!D11487</f>
        <v/>
      </c>
      <c r="E11487">
        <f>TEST_DATA!E11487</f>
        <v/>
      </c>
    </row>
    <row r="11488">
      <c r="A11488">
        <f>TEST_DATA!A11488</f>
        <v/>
      </c>
      <c r="B11488">
        <f>TEST_DATA!B11488</f>
        <v/>
      </c>
      <c r="C11488">
        <f>TEST_DATA!C11488</f>
        <v/>
      </c>
      <c r="D11488">
        <f>TEST_DATA!D11488</f>
        <v/>
      </c>
      <c r="E11488">
        <f>TEST_DATA!E11488</f>
        <v/>
      </c>
    </row>
    <row r="11489">
      <c r="A11489">
        <f>TEST_DATA!A11489</f>
        <v/>
      </c>
      <c r="B11489">
        <f>TEST_DATA!B11489</f>
        <v/>
      </c>
      <c r="C11489">
        <f>TEST_DATA!C11489</f>
        <v/>
      </c>
      <c r="D11489">
        <f>TEST_DATA!D11489</f>
        <v/>
      </c>
      <c r="E11489">
        <f>TEST_DATA!E11489</f>
        <v/>
      </c>
    </row>
    <row r="11490">
      <c r="A11490">
        <f>TEST_DATA!A11490</f>
        <v/>
      </c>
      <c r="B11490">
        <f>TEST_DATA!B11490</f>
        <v/>
      </c>
      <c r="C11490">
        <f>TEST_DATA!C11490</f>
        <v/>
      </c>
      <c r="D11490">
        <f>TEST_DATA!D11490</f>
        <v/>
      </c>
      <c r="E11490">
        <f>TEST_DATA!E11490</f>
        <v/>
      </c>
    </row>
    <row r="11491">
      <c r="A11491">
        <f>TEST_DATA!A11491</f>
        <v/>
      </c>
      <c r="B11491">
        <f>TEST_DATA!B11491</f>
        <v/>
      </c>
      <c r="C11491">
        <f>TEST_DATA!C11491</f>
        <v/>
      </c>
      <c r="D11491">
        <f>TEST_DATA!D11491</f>
        <v/>
      </c>
      <c r="E11491">
        <f>TEST_DATA!E11491</f>
        <v/>
      </c>
    </row>
    <row r="11492">
      <c r="A11492">
        <f>TEST_DATA!A11492</f>
        <v/>
      </c>
      <c r="B11492">
        <f>TEST_DATA!B11492</f>
        <v/>
      </c>
      <c r="C11492">
        <f>TEST_DATA!C11492</f>
        <v/>
      </c>
      <c r="D11492">
        <f>TEST_DATA!D11492</f>
        <v/>
      </c>
      <c r="E11492">
        <f>TEST_DATA!E11492</f>
        <v/>
      </c>
    </row>
    <row r="11493">
      <c r="A11493">
        <f>TEST_DATA!A11493</f>
        <v/>
      </c>
      <c r="B11493">
        <f>TEST_DATA!B11493</f>
        <v/>
      </c>
      <c r="C11493">
        <f>TEST_DATA!C11493</f>
        <v/>
      </c>
      <c r="D11493">
        <f>TEST_DATA!D11493</f>
        <v/>
      </c>
      <c r="E11493">
        <f>TEST_DATA!E11493</f>
        <v/>
      </c>
    </row>
    <row r="11494">
      <c r="A11494">
        <f>TEST_DATA!A11494</f>
        <v/>
      </c>
      <c r="B11494">
        <f>TEST_DATA!B11494</f>
        <v/>
      </c>
      <c r="C11494">
        <f>TEST_DATA!C11494</f>
        <v/>
      </c>
      <c r="D11494">
        <f>TEST_DATA!D11494</f>
        <v/>
      </c>
      <c r="E11494">
        <f>TEST_DATA!E11494</f>
        <v/>
      </c>
    </row>
    <row r="11495">
      <c r="A11495">
        <f>TEST_DATA!A11495</f>
        <v/>
      </c>
      <c r="B11495">
        <f>TEST_DATA!B11495</f>
        <v/>
      </c>
      <c r="C11495">
        <f>TEST_DATA!C11495</f>
        <v/>
      </c>
      <c r="D11495">
        <f>TEST_DATA!D11495</f>
        <v/>
      </c>
      <c r="E11495">
        <f>TEST_DATA!E11495</f>
        <v/>
      </c>
    </row>
    <row r="11496">
      <c r="A11496">
        <f>TEST_DATA!A11496</f>
        <v/>
      </c>
      <c r="B11496">
        <f>TEST_DATA!B11496</f>
        <v/>
      </c>
      <c r="C11496">
        <f>TEST_DATA!C11496</f>
        <v/>
      </c>
      <c r="D11496">
        <f>TEST_DATA!D11496</f>
        <v/>
      </c>
      <c r="E11496">
        <f>TEST_DATA!E11496</f>
        <v/>
      </c>
    </row>
    <row r="11497">
      <c r="A11497">
        <f>TEST_DATA!A11497</f>
        <v/>
      </c>
      <c r="B11497">
        <f>TEST_DATA!B11497</f>
        <v/>
      </c>
      <c r="C11497">
        <f>TEST_DATA!C11497</f>
        <v/>
      </c>
      <c r="D11497">
        <f>TEST_DATA!D11497</f>
        <v/>
      </c>
      <c r="E11497">
        <f>TEST_DATA!E11497</f>
        <v/>
      </c>
    </row>
    <row r="11498">
      <c r="A11498">
        <f>TEST_DATA!A11498</f>
        <v/>
      </c>
      <c r="B11498">
        <f>TEST_DATA!B11498</f>
        <v/>
      </c>
      <c r="C11498">
        <f>TEST_DATA!C11498</f>
        <v/>
      </c>
      <c r="D11498">
        <f>TEST_DATA!D11498</f>
        <v/>
      </c>
      <c r="E11498">
        <f>TEST_DATA!E11498</f>
        <v/>
      </c>
    </row>
    <row r="11499">
      <c r="A11499">
        <f>TEST_DATA!A11499</f>
        <v/>
      </c>
      <c r="B11499">
        <f>TEST_DATA!B11499</f>
        <v/>
      </c>
      <c r="C11499">
        <f>TEST_DATA!C11499</f>
        <v/>
      </c>
      <c r="D11499">
        <f>TEST_DATA!D11499</f>
        <v/>
      </c>
      <c r="E11499">
        <f>TEST_DATA!E11499</f>
        <v/>
      </c>
    </row>
    <row r="11500">
      <c r="A11500">
        <f>TEST_DATA!A11500</f>
        <v/>
      </c>
      <c r="B11500">
        <f>TEST_DATA!B11500</f>
        <v/>
      </c>
      <c r="C11500">
        <f>TEST_DATA!C11500</f>
        <v/>
      </c>
      <c r="D11500">
        <f>TEST_DATA!D11500</f>
        <v/>
      </c>
      <c r="E11500">
        <f>TEST_DATA!E11500</f>
        <v/>
      </c>
    </row>
    <row r="11501">
      <c r="A11501">
        <f>TEST_DATA!A11501</f>
        <v/>
      </c>
      <c r="B11501">
        <f>TEST_DATA!B11501</f>
        <v/>
      </c>
      <c r="C11501">
        <f>TEST_DATA!C11501</f>
        <v/>
      </c>
      <c r="D11501">
        <f>TEST_DATA!D11501</f>
        <v/>
      </c>
      <c r="E11501">
        <f>TEST_DATA!E11501</f>
        <v/>
      </c>
    </row>
    <row r="11502">
      <c r="A11502">
        <f>TEST_DATA!A11502</f>
        <v/>
      </c>
      <c r="B11502">
        <f>TEST_DATA!B11502</f>
        <v/>
      </c>
      <c r="C11502">
        <f>TEST_DATA!C11502</f>
        <v/>
      </c>
      <c r="D11502">
        <f>TEST_DATA!D11502</f>
        <v/>
      </c>
      <c r="E11502">
        <f>TEST_DATA!E11502</f>
        <v/>
      </c>
    </row>
    <row r="11503">
      <c r="A11503">
        <f>TEST_DATA!A11503</f>
        <v/>
      </c>
      <c r="B11503">
        <f>TEST_DATA!B11503</f>
        <v/>
      </c>
      <c r="C11503">
        <f>TEST_DATA!C11503</f>
        <v/>
      </c>
      <c r="D11503">
        <f>TEST_DATA!D11503</f>
        <v/>
      </c>
      <c r="E11503">
        <f>TEST_DATA!E11503</f>
        <v/>
      </c>
    </row>
    <row r="11504">
      <c r="A11504">
        <f>TEST_DATA!A11504</f>
        <v/>
      </c>
      <c r="B11504">
        <f>TEST_DATA!B11504</f>
        <v/>
      </c>
      <c r="C11504">
        <f>TEST_DATA!C11504</f>
        <v/>
      </c>
      <c r="D11504">
        <f>TEST_DATA!D11504</f>
        <v/>
      </c>
      <c r="E11504">
        <f>TEST_DATA!E11504</f>
        <v/>
      </c>
    </row>
    <row r="11505">
      <c r="A11505">
        <f>TEST_DATA!A11505</f>
        <v/>
      </c>
      <c r="B11505">
        <f>TEST_DATA!B11505</f>
        <v/>
      </c>
      <c r="C11505">
        <f>TEST_DATA!C11505</f>
        <v/>
      </c>
      <c r="D11505">
        <f>TEST_DATA!D11505</f>
        <v/>
      </c>
      <c r="E11505">
        <f>TEST_DATA!E11505</f>
        <v/>
      </c>
    </row>
    <row r="11506">
      <c r="A11506">
        <f>TEST_DATA!A11506</f>
        <v/>
      </c>
      <c r="B11506">
        <f>TEST_DATA!B11506</f>
        <v/>
      </c>
      <c r="C11506">
        <f>TEST_DATA!C11506</f>
        <v/>
      </c>
      <c r="D11506">
        <f>TEST_DATA!D11506</f>
        <v/>
      </c>
      <c r="E11506">
        <f>TEST_DATA!E11506</f>
        <v/>
      </c>
    </row>
    <row r="11507">
      <c r="A11507">
        <f>TEST_DATA!A11507</f>
        <v/>
      </c>
      <c r="B11507">
        <f>TEST_DATA!B11507</f>
        <v/>
      </c>
      <c r="C11507">
        <f>TEST_DATA!C11507</f>
        <v/>
      </c>
      <c r="D11507">
        <f>TEST_DATA!D11507</f>
        <v/>
      </c>
      <c r="E11507">
        <f>TEST_DATA!E11507</f>
        <v/>
      </c>
    </row>
    <row r="11508">
      <c r="A11508">
        <f>TEST_DATA!A11508</f>
        <v/>
      </c>
      <c r="B11508">
        <f>TEST_DATA!B11508</f>
        <v/>
      </c>
      <c r="C11508">
        <f>TEST_DATA!C11508</f>
        <v/>
      </c>
      <c r="D11508">
        <f>TEST_DATA!D11508</f>
        <v/>
      </c>
      <c r="E11508">
        <f>TEST_DATA!E11508</f>
        <v/>
      </c>
    </row>
    <row r="11509">
      <c r="A11509">
        <f>TEST_DATA!A11509</f>
        <v/>
      </c>
      <c r="B11509">
        <f>TEST_DATA!B11509</f>
        <v/>
      </c>
      <c r="C11509">
        <f>TEST_DATA!C11509</f>
        <v/>
      </c>
      <c r="D11509">
        <f>TEST_DATA!D11509</f>
        <v/>
      </c>
      <c r="E11509">
        <f>TEST_DATA!E11509</f>
        <v/>
      </c>
    </row>
    <row r="11510">
      <c r="A11510">
        <f>TEST_DATA!A11510</f>
        <v/>
      </c>
      <c r="B11510">
        <f>TEST_DATA!B11510</f>
        <v/>
      </c>
      <c r="C11510">
        <f>TEST_DATA!C11510</f>
        <v/>
      </c>
      <c r="D11510">
        <f>TEST_DATA!D11510</f>
        <v/>
      </c>
      <c r="E11510">
        <f>TEST_DATA!E11510</f>
        <v/>
      </c>
    </row>
    <row r="11511">
      <c r="A11511">
        <f>TEST_DATA!A11511</f>
        <v/>
      </c>
      <c r="B11511">
        <f>TEST_DATA!B11511</f>
        <v/>
      </c>
      <c r="C11511">
        <f>TEST_DATA!C11511</f>
        <v/>
      </c>
      <c r="D11511">
        <f>TEST_DATA!D11511</f>
        <v/>
      </c>
      <c r="E11511">
        <f>TEST_DATA!E11511</f>
        <v/>
      </c>
    </row>
    <row r="11512">
      <c r="A11512">
        <f>TEST_DATA!A11512</f>
        <v/>
      </c>
      <c r="B11512">
        <f>TEST_DATA!B11512</f>
        <v/>
      </c>
      <c r="C11512">
        <f>TEST_DATA!C11512</f>
        <v/>
      </c>
      <c r="D11512">
        <f>TEST_DATA!D11512</f>
        <v/>
      </c>
      <c r="E11512">
        <f>TEST_DATA!E11512</f>
        <v/>
      </c>
    </row>
    <row r="11513">
      <c r="A11513">
        <f>TEST_DATA!A11513</f>
        <v/>
      </c>
      <c r="B11513">
        <f>TEST_DATA!B11513</f>
        <v/>
      </c>
      <c r="C11513">
        <f>TEST_DATA!C11513</f>
        <v/>
      </c>
      <c r="D11513">
        <f>TEST_DATA!D11513</f>
        <v/>
      </c>
      <c r="E11513">
        <f>TEST_DATA!E11513</f>
        <v/>
      </c>
    </row>
    <row r="11514">
      <c r="A11514">
        <f>TEST_DATA!A11514</f>
        <v/>
      </c>
      <c r="B11514">
        <f>TEST_DATA!B11514</f>
        <v/>
      </c>
      <c r="C11514">
        <f>TEST_DATA!C11514</f>
        <v/>
      </c>
      <c r="D11514">
        <f>TEST_DATA!D11514</f>
        <v/>
      </c>
      <c r="E11514">
        <f>TEST_DATA!E11514</f>
        <v/>
      </c>
    </row>
    <row r="11515">
      <c r="A11515">
        <f>TEST_DATA!A11515</f>
        <v/>
      </c>
      <c r="B11515">
        <f>TEST_DATA!B11515</f>
        <v/>
      </c>
      <c r="C11515">
        <f>TEST_DATA!C11515</f>
        <v/>
      </c>
      <c r="D11515">
        <f>TEST_DATA!D11515</f>
        <v/>
      </c>
      <c r="E11515">
        <f>TEST_DATA!E11515</f>
        <v/>
      </c>
    </row>
    <row r="11516">
      <c r="A11516">
        <f>TEST_DATA!A11516</f>
        <v/>
      </c>
      <c r="B11516">
        <f>TEST_DATA!B11516</f>
        <v/>
      </c>
      <c r="C11516">
        <f>TEST_DATA!C11516</f>
        <v/>
      </c>
      <c r="D11516">
        <f>TEST_DATA!D11516</f>
        <v/>
      </c>
      <c r="E11516">
        <f>TEST_DATA!E11516</f>
        <v/>
      </c>
    </row>
    <row r="11517">
      <c r="A11517">
        <f>TEST_DATA!A11517</f>
        <v/>
      </c>
      <c r="B11517">
        <f>TEST_DATA!B11517</f>
        <v/>
      </c>
      <c r="C11517">
        <f>TEST_DATA!C11517</f>
        <v/>
      </c>
      <c r="D11517">
        <f>TEST_DATA!D11517</f>
        <v/>
      </c>
      <c r="E11517">
        <f>TEST_DATA!E11517</f>
        <v/>
      </c>
    </row>
    <row r="11518">
      <c r="A11518">
        <f>TEST_DATA!A11518</f>
        <v/>
      </c>
      <c r="B11518">
        <f>TEST_DATA!B11518</f>
        <v/>
      </c>
      <c r="C11518">
        <f>TEST_DATA!C11518</f>
        <v/>
      </c>
      <c r="D11518">
        <f>TEST_DATA!D11518</f>
        <v/>
      </c>
      <c r="E11518">
        <f>TEST_DATA!E11518</f>
        <v/>
      </c>
    </row>
    <row r="11519">
      <c r="A11519">
        <f>TEST_DATA!A11519</f>
        <v/>
      </c>
      <c r="B11519">
        <f>TEST_DATA!B11519</f>
        <v/>
      </c>
      <c r="C11519">
        <f>TEST_DATA!C11519</f>
        <v/>
      </c>
      <c r="D11519">
        <f>TEST_DATA!D11519</f>
        <v/>
      </c>
      <c r="E11519">
        <f>TEST_DATA!E11519</f>
        <v/>
      </c>
    </row>
    <row r="11520">
      <c r="A11520">
        <f>TEST_DATA!A11520</f>
        <v/>
      </c>
      <c r="B11520">
        <f>TEST_DATA!B11520</f>
        <v/>
      </c>
      <c r="C11520">
        <f>TEST_DATA!C11520</f>
        <v/>
      </c>
      <c r="D11520">
        <f>TEST_DATA!D11520</f>
        <v/>
      </c>
      <c r="E11520">
        <f>TEST_DATA!E11520</f>
        <v/>
      </c>
    </row>
    <row r="11521">
      <c r="A11521">
        <f>TEST_DATA!A11521</f>
        <v/>
      </c>
      <c r="B11521">
        <f>TEST_DATA!B11521</f>
        <v/>
      </c>
      <c r="C11521">
        <f>TEST_DATA!C11521</f>
        <v/>
      </c>
      <c r="D11521">
        <f>TEST_DATA!D11521</f>
        <v/>
      </c>
      <c r="E11521">
        <f>TEST_DATA!E11521</f>
        <v/>
      </c>
    </row>
    <row r="11522">
      <c r="A11522">
        <f>TEST_DATA!A11522</f>
        <v/>
      </c>
      <c r="B11522">
        <f>TEST_DATA!B11522</f>
        <v/>
      </c>
      <c r="C11522">
        <f>TEST_DATA!C11522</f>
        <v/>
      </c>
      <c r="D11522">
        <f>TEST_DATA!D11522</f>
        <v/>
      </c>
      <c r="E11522">
        <f>TEST_DATA!E11522</f>
        <v/>
      </c>
    </row>
    <row r="11523">
      <c r="A11523">
        <f>TEST_DATA!A11523</f>
        <v/>
      </c>
      <c r="B11523">
        <f>TEST_DATA!B11523</f>
        <v/>
      </c>
      <c r="C11523">
        <f>TEST_DATA!C11523</f>
        <v/>
      </c>
      <c r="D11523">
        <f>TEST_DATA!D11523</f>
        <v/>
      </c>
      <c r="E11523">
        <f>TEST_DATA!E11523</f>
        <v/>
      </c>
    </row>
    <row r="11524">
      <c r="A11524">
        <f>TEST_DATA!A11524</f>
        <v/>
      </c>
      <c r="B11524">
        <f>TEST_DATA!B11524</f>
        <v/>
      </c>
      <c r="C11524">
        <f>TEST_DATA!C11524</f>
        <v/>
      </c>
      <c r="D11524">
        <f>TEST_DATA!D11524</f>
        <v/>
      </c>
      <c r="E11524">
        <f>TEST_DATA!E11524</f>
        <v/>
      </c>
    </row>
    <row r="11525">
      <c r="A11525">
        <f>TEST_DATA!A11525</f>
        <v/>
      </c>
      <c r="B11525">
        <f>TEST_DATA!B11525</f>
        <v/>
      </c>
      <c r="C11525">
        <f>TEST_DATA!C11525</f>
        <v/>
      </c>
      <c r="D11525">
        <f>TEST_DATA!D11525</f>
        <v/>
      </c>
      <c r="E11525">
        <f>TEST_DATA!E11525</f>
        <v/>
      </c>
    </row>
    <row r="11526">
      <c r="A11526">
        <f>TEST_DATA!A11526</f>
        <v/>
      </c>
      <c r="B11526">
        <f>TEST_DATA!B11526</f>
        <v/>
      </c>
      <c r="C11526">
        <f>TEST_DATA!C11526</f>
        <v/>
      </c>
      <c r="D11526">
        <f>TEST_DATA!D11526</f>
        <v/>
      </c>
      <c r="E11526">
        <f>TEST_DATA!E11526</f>
        <v/>
      </c>
    </row>
    <row r="11527">
      <c r="A11527">
        <f>TEST_DATA!A11527</f>
        <v/>
      </c>
      <c r="B11527">
        <f>TEST_DATA!B11527</f>
        <v/>
      </c>
      <c r="C11527">
        <f>TEST_DATA!C11527</f>
        <v/>
      </c>
      <c r="D11527">
        <f>TEST_DATA!D11527</f>
        <v/>
      </c>
      <c r="E11527">
        <f>TEST_DATA!E11527</f>
        <v/>
      </c>
    </row>
    <row r="11528">
      <c r="A11528">
        <f>TEST_DATA!A11528</f>
        <v/>
      </c>
      <c r="B11528">
        <f>TEST_DATA!B11528</f>
        <v/>
      </c>
      <c r="C11528">
        <f>TEST_DATA!C11528</f>
        <v/>
      </c>
      <c r="D11528">
        <f>TEST_DATA!D11528</f>
        <v/>
      </c>
      <c r="E11528">
        <f>TEST_DATA!E11528</f>
        <v/>
      </c>
    </row>
    <row r="11529">
      <c r="A11529">
        <f>TEST_DATA!A11529</f>
        <v/>
      </c>
      <c r="B11529">
        <f>TEST_DATA!B11529</f>
        <v/>
      </c>
      <c r="C11529">
        <f>TEST_DATA!C11529</f>
        <v/>
      </c>
      <c r="D11529">
        <f>TEST_DATA!D11529</f>
        <v/>
      </c>
      <c r="E11529">
        <f>TEST_DATA!E11529</f>
        <v/>
      </c>
    </row>
    <row r="11530">
      <c r="A11530">
        <f>TEST_DATA!A11530</f>
        <v/>
      </c>
      <c r="B11530">
        <f>TEST_DATA!B11530</f>
        <v/>
      </c>
      <c r="C11530">
        <f>TEST_DATA!C11530</f>
        <v/>
      </c>
      <c r="D11530">
        <f>TEST_DATA!D11530</f>
        <v/>
      </c>
      <c r="E11530">
        <f>TEST_DATA!E11530</f>
        <v/>
      </c>
    </row>
    <row r="11531">
      <c r="A11531">
        <f>TEST_DATA!A11531</f>
        <v/>
      </c>
      <c r="B11531">
        <f>TEST_DATA!B11531</f>
        <v/>
      </c>
      <c r="C11531">
        <f>TEST_DATA!C11531</f>
        <v/>
      </c>
      <c r="D11531">
        <f>TEST_DATA!D11531</f>
        <v/>
      </c>
      <c r="E11531">
        <f>TEST_DATA!E11531</f>
        <v/>
      </c>
    </row>
    <row r="11532">
      <c r="A11532">
        <f>TEST_DATA!A11532</f>
        <v/>
      </c>
      <c r="B11532">
        <f>TEST_DATA!B11532</f>
        <v/>
      </c>
      <c r="C11532">
        <f>TEST_DATA!C11532</f>
        <v/>
      </c>
      <c r="D11532">
        <f>TEST_DATA!D11532</f>
        <v/>
      </c>
      <c r="E11532">
        <f>TEST_DATA!E11532</f>
        <v/>
      </c>
    </row>
    <row r="11533">
      <c r="A11533">
        <f>TEST_DATA!A11533</f>
        <v/>
      </c>
      <c r="B11533">
        <f>TEST_DATA!B11533</f>
        <v/>
      </c>
      <c r="C11533">
        <f>TEST_DATA!C11533</f>
        <v/>
      </c>
      <c r="D11533">
        <f>TEST_DATA!D11533</f>
        <v/>
      </c>
      <c r="E11533">
        <f>TEST_DATA!E11533</f>
        <v/>
      </c>
    </row>
    <row r="11534">
      <c r="A11534">
        <f>TEST_DATA!A11534</f>
        <v/>
      </c>
      <c r="B11534">
        <f>TEST_DATA!B11534</f>
        <v/>
      </c>
      <c r="C11534">
        <f>TEST_DATA!C11534</f>
        <v/>
      </c>
      <c r="D11534">
        <f>TEST_DATA!D11534</f>
        <v/>
      </c>
      <c r="E11534">
        <f>TEST_DATA!E11534</f>
        <v/>
      </c>
    </row>
    <row r="11535">
      <c r="A11535">
        <f>TEST_DATA!A11535</f>
        <v/>
      </c>
      <c r="B11535">
        <f>TEST_DATA!B11535</f>
        <v/>
      </c>
      <c r="C11535">
        <f>TEST_DATA!C11535</f>
        <v/>
      </c>
      <c r="D11535">
        <f>TEST_DATA!D11535</f>
        <v/>
      </c>
      <c r="E11535">
        <f>TEST_DATA!E11535</f>
        <v/>
      </c>
    </row>
    <row r="11536">
      <c r="A11536">
        <f>TEST_DATA!A11536</f>
        <v/>
      </c>
      <c r="B11536">
        <f>TEST_DATA!B11536</f>
        <v/>
      </c>
      <c r="C11536">
        <f>TEST_DATA!C11536</f>
        <v/>
      </c>
      <c r="D11536">
        <f>TEST_DATA!D11536</f>
        <v/>
      </c>
      <c r="E11536">
        <f>TEST_DATA!E11536</f>
        <v/>
      </c>
    </row>
    <row r="11537">
      <c r="A11537">
        <f>TEST_DATA!A11537</f>
        <v/>
      </c>
      <c r="B11537">
        <f>TEST_DATA!B11537</f>
        <v/>
      </c>
      <c r="C11537">
        <f>TEST_DATA!C11537</f>
        <v/>
      </c>
      <c r="D11537">
        <f>TEST_DATA!D11537</f>
        <v/>
      </c>
      <c r="E11537">
        <f>TEST_DATA!E11537</f>
        <v/>
      </c>
    </row>
    <row r="11538">
      <c r="A11538">
        <f>TEST_DATA!A11538</f>
        <v/>
      </c>
      <c r="B11538">
        <f>TEST_DATA!B11538</f>
        <v/>
      </c>
      <c r="C11538">
        <f>TEST_DATA!C11538</f>
        <v/>
      </c>
      <c r="D11538">
        <f>TEST_DATA!D11538</f>
        <v/>
      </c>
      <c r="E11538">
        <f>TEST_DATA!E11538</f>
        <v/>
      </c>
    </row>
    <row r="11539">
      <c r="A11539">
        <f>TEST_DATA!A11539</f>
        <v/>
      </c>
      <c r="B11539">
        <f>TEST_DATA!B11539</f>
        <v/>
      </c>
      <c r="C11539">
        <f>TEST_DATA!C11539</f>
        <v/>
      </c>
      <c r="D11539">
        <f>TEST_DATA!D11539</f>
        <v/>
      </c>
      <c r="E11539">
        <f>TEST_DATA!E11539</f>
        <v/>
      </c>
    </row>
    <row r="11540">
      <c r="A11540">
        <f>TEST_DATA!A11540</f>
        <v/>
      </c>
      <c r="B11540">
        <f>TEST_DATA!B11540</f>
        <v/>
      </c>
      <c r="C11540">
        <f>TEST_DATA!C11540</f>
        <v/>
      </c>
      <c r="D11540">
        <f>TEST_DATA!D11540</f>
        <v/>
      </c>
      <c r="E11540">
        <f>TEST_DATA!E11540</f>
        <v/>
      </c>
    </row>
    <row r="11541">
      <c r="A11541">
        <f>TEST_DATA!A11541</f>
        <v/>
      </c>
      <c r="B11541">
        <f>TEST_DATA!B11541</f>
        <v/>
      </c>
      <c r="C11541">
        <f>TEST_DATA!C11541</f>
        <v/>
      </c>
      <c r="D11541">
        <f>TEST_DATA!D11541</f>
        <v/>
      </c>
      <c r="E11541">
        <f>TEST_DATA!E11541</f>
        <v/>
      </c>
    </row>
    <row r="11542">
      <c r="A11542">
        <f>TEST_DATA!A11542</f>
        <v/>
      </c>
      <c r="B11542">
        <f>TEST_DATA!B11542</f>
        <v/>
      </c>
      <c r="C11542">
        <f>TEST_DATA!C11542</f>
        <v/>
      </c>
      <c r="D11542">
        <f>TEST_DATA!D11542</f>
        <v/>
      </c>
      <c r="E11542">
        <f>TEST_DATA!E11542</f>
        <v/>
      </c>
    </row>
    <row r="11543">
      <c r="A11543">
        <f>TEST_DATA!A11543</f>
        <v/>
      </c>
      <c r="B11543">
        <f>TEST_DATA!B11543</f>
        <v/>
      </c>
      <c r="C11543">
        <f>TEST_DATA!C11543</f>
        <v/>
      </c>
      <c r="D11543">
        <f>TEST_DATA!D11543</f>
        <v/>
      </c>
      <c r="E11543">
        <f>TEST_DATA!E11543</f>
        <v/>
      </c>
    </row>
    <row r="11544">
      <c r="A11544">
        <f>TEST_DATA!A11544</f>
        <v/>
      </c>
      <c r="B11544">
        <f>TEST_DATA!B11544</f>
        <v/>
      </c>
      <c r="C11544">
        <f>TEST_DATA!C11544</f>
        <v/>
      </c>
      <c r="D11544">
        <f>TEST_DATA!D11544</f>
        <v/>
      </c>
      <c r="E11544">
        <f>TEST_DATA!E11544</f>
        <v/>
      </c>
    </row>
    <row r="11545">
      <c r="A11545">
        <f>TEST_DATA!A11545</f>
        <v/>
      </c>
      <c r="B11545">
        <f>TEST_DATA!B11545</f>
        <v/>
      </c>
      <c r="C11545">
        <f>TEST_DATA!C11545</f>
        <v/>
      </c>
      <c r="D11545">
        <f>TEST_DATA!D11545</f>
        <v/>
      </c>
      <c r="E11545">
        <f>TEST_DATA!E11545</f>
        <v/>
      </c>
    </row>
    <row r="11546">
      <c r="A11546">
        <f>TEST_DATA!A11546</f>
        <v/>
      </c>
      <c r="B11546">
        <f>TEST_DATA!B11546</f>
        <v/>
      </c>
      <c r="C11546">
        <f>TEST_DATA!C11546</f>
        <v/>
      </c>
      <c r="D11546">
        <f>TEST_DATA!D11546</f>
        <v/>
      </c>
      <c r="E11546">
        <f>TEST_DATA!E11546</f>
        <v/>
      </c>
    </row>
    <row r="11547">
      <c r="A11547">
        <f>TEST_DATA!A11547</f>
        <v/>
      </c>
      <c r="B11547">
        <f>TEST_DATA!B11547</f>
        <v/>
      </c>
      <c r="C11547">
        <f>TEST_DATA!C11547</f>
        <v/>
      </c>
      <c r="D11547">
        <f>TEST_DATA!D11547</f>
        <v/>
      </c>
      <c r="E11547">
        <f>TEST_DATA!E11547</f>
        <v/>
      </c>
    </row>
    <row r="11548">
      <c r="A11548">
        <f>TEST_DATA!A11548</f>
        <v/>
      </c>
      <c r="B11548">
        <f>TEST_DATA!B11548</f>
        <v/>
      </c>
      <c r="C11548">
        <f>TEST_DATA!C11548</f>
        <v/>
      </c>
      <c r="D11548">
        <f>TEST_DATA!D11548</f>
        <v/>
      </c>
      <c r="E11548">
        <f>TEST_DATA!E11548</f>
        <v/>
      </c>
    </row>
    <row r="11549">
      <c r="A11549">
        <f>TEST_DATA!A11549</f>
        <v/>
      </c>
      <c r="B11549">
        <f>TEST_DATA!B11549</f>
        <v/>
      </c>
      <c r="C11549">
        <f>TEST_DATA!C11549</f>
        <v/>
      </c>
      <c r="D11549">
        <f>TEST_DATA!D11549</f>
        <v/>
      </c>
      <c r="E11549">
        <f>TEST_DATA!E11549</f>
        <v/>
      </c>
    </row>
    <row r="11550">
      <c r="A11550">
        <f>TEST_DATA!A11550</f>
        <v/>
      </c>
      <c r="B11550">
        <f>TEST_DATA!B11550</f>
        <v/>
      </c>
      <c r="C11550">
        <f>TEST_DATA!C11550</f>
        <v/>
      </c>
      <c r="D11550">
        <f>TEST_DATA!D11550</f>
        <v/>
      </c>
      <c r="E11550">
        <f>TEST_DATA!E11550</f>
        <v/>
      </c>
    </row>
    <row r="11551">
      <c r="A11551">
        <f>TEST_DATA!A11551</f>
        <v/>
      </c>
      <c r="B11551">
        <f>TEST_DATA!B11551</f>
        <v/>
      </c>
      <c r="C11551">
        <f>TEST_DATA!C11551</f>
        <v/>
      </c>
      <c r="D11551">
        <f>TEST_DATA!D11551</f>
        <v/>
      </c>
      <c r="E11551">
        <f>TEST_DATA!E11551</f>
        <v/>
      </c>
    </row>
    <row r="11552">
      <c r="A11552">
        <f>TEST_DATA!A11552</f>
        <v/>
      </c>
      <c r="B11552">
        <f>TEST_DATA!B11552</f>
        <v/>
      </c>
      <c r="C11552">
        <f>TEST_DATA!C11552</f>
        <v/>
      </c>
      <c r="D11552">
        <f>TEST_DATA!D11552</f>
        <v/>
      </c>
      <c r="E11552">
        <f>TEST_DATA!E11552</f>
        <v/>
      </c>
    </row>
    <row r="11553">
      <c r="A11553">
        <f>TEST_DATA!A11553</f>
        <v/>
      </c>
      <c r="B11553">
        <f>TEST_DATA!B11553</f>
        <v/>
      </c>
      <c r="C11553">
        <f>TEST_DATA!C11553</f>
        <v/>
      </c>
      <c r="D11553">
        <f>TEST_DATA!D11553</f>
        <v/>
      </c>
      <c r="E11553">
        <f>TEST_DATA!E11553</f>
        <v/>
      </c>
    </row>
    <row r="11554">
      <c r="A11554">
        <f>TEST_DATA!A11554</f>
        <v/>
      </c>
      <c r="B11554">
        <f>TEST_DATA!B11554</f>
        <v/>
      </c>
      <c r="C11554">
        <f>TEST_DATA!C11554</f>
        <v/>
      </c>
      <c r="D11554">
        <f>TEST_DATA!D11554</f>
        <v/>
      </c>
      <c r="E11554">
        <f>TEST_DATA!E11554</f>
        <v/>
      </c>
    </row>
    <row r="11555">
      <c r="A11555">
        <f>TEST_DATA!A11555</f>
        <v/>
      </c>
      <c r="B11555">
        <f>TEST_DATA!B11555</f>
        <v/>
      </c>
      <c r="C11555">
        <f>TEST_DATA!C11555</f>
        <v/>
      </c>
      <c r="D11555">
        <f>TEST_DATA!D11555</f>
        <v/>
      </c>
      <c r="E11555">
        <f>TEST_DATA!E11555</f>
        <v/>
      </c>
    </row>
    <row r="11556">
      <c r="A11556">
        <f>TEST_DATA!A11556</f>
        <v/>
      </c>
      <c r="B11556">
        <f>TEST_DATA!B11556</f>
        <v/>
      </c>
      <c r="C11556">
        <f>TEST_DATA!C11556</f>
        <v/>
      </c>
      <c r="D11556">
        <f>TEST_DATA!D11556</f>
        <v/>
      </c>
      <c r="E11556">
        <f>TEST_DATA!E11556</f>
        <v/>
      </c>
    </row>
    <row r="11557">
      <c r="A11557">
        <f>TEST_DATA!A11557</f>
        <v/>
      </c>
      <c r="B11557">
        <f>TEST_DATA!B11557</f>
        <v/>
      </c>
      <c r="C11557">
        <f>TEST_DATA!C11557</f>
        <v/>
      </c>
      <c r="D11557">
        <f>TEST_DATA!D11557</f>
        <v/>
      </c>
      <c r="E11557">
        <f>TEST_DATA!E11557</f>
        <v/>
      </c>
    </row>
    <row r="11558">
      <c r="A11558">
        <f>TEST_DATA!A11558</f>
        <v/>
      </c>
      <c r="B11558">
        <f>TEST_DATA!B11558</f>
        <v/>
      </c>
      <c r="C11558">
        <f>TEST_DATA!C11558</f>
        <v/>
      </c>
      <c r="D11558">
        <f>TEST_DATA!D11558</f>
        <v/>
      </c>
      <c r="E11558">
        <f>TEST_DATA!E11558</f>
        <v/>
      </c>
    </row>
    <row r="11559">
      <c r="A11559">
        <f>TEST_DATA!A11559</f>
        <v/>
      </c>
      <c r="B11559">
        <f>TEST_DATA!B11559</f>
        <v/>
      </c>
      <c r="C11559">
        <f>TEST_DATA!C11559</f>
        <v/>
      </c>
      <c r="D11559">
        <f>TEST_DATA!D11559</f>
        <v/>
      </c>
      <c r="E11559">
        <f>TEST_DATA!E11559</f>
        <v/>
      </c>
    </row>
    <row r="11560">
      <c r="A11560">
        <f>TEST_DATA!A11560</f>
        <v/>
      </c>
      <c r="B11560">
        <f>TEST_DATA!B11560</f>
        <v/>
      </c>
      <c r="C11560">
        <f>TEST_DATA!C11560</f>
        <v/>
      </c>
      <c r="D11560">
        <f>TEST_DATA!D11560</f>
        <v/>
      </c>
      <c r="E11560">
        <f>TEST_DATA!E11560</f>
        <v/>
      </c>
    </row>
    <row r="11561">
      <c r="A11561">
        <f>TEST_DATA!A11561</f>
        <v/>
      </c>
      <c r="B11561">
        <f>TEST_DATA!B11561</f>
        <v/>
      </c>
      <c r="C11561">
        <f>TEST_DATA!C11561</f>
        <v/>
      </c>
      <c r="D11561">
        <f>TEST_DATA!D11561</f>
        <v/>
      </c>
      <c r="E11561">
        <f>TEST_DATA!E11561</f>
        <v/>
      </c>
    </row>
    <row r="11562">
      <c r="A11562">
        <f>TEST_DATA!A11562</f>
        <v/>
      </c>
      <c r="B11562">
        <f>TEST_DATA!B11562</f>
        <v/>
      </c>
      <c r="C11562">
        <f>TEST_DATA!C11562</f>
        <v/>
      </c>
      <c r="D11562">
        <f>TEST_DATA!D11562</f>
        <v/>
      </c>
      <c r="E11562">
        <f>TEST_DATA!E11562</f>
        <v/>
      </c>
    </row>
    <row r="11563">
      <c r="A11563">
        <f>TEST_DATA!A11563</f>
        <v/>
      </c>
      <c r="B11563">
        <f>TEST_DATA!B11563</f>
        <v/>
      </c>
      <c r="C11563">
        <f>TEST_DATA!C11563</f>
        <v/>
      </c>
      <c r="D11563">
        <f>TEST_DATA!D11563</f>
        <v/>
      </c>
      <c r="E11563">
        <f>TEST_DATA!E11563</f>
        <v/>
      </c>
    </row>
    <row r="11564">
      <c r="A11564">
        <f>TEST_DATA!A11564</f>
        <v/>
      </c>
      <c r="B11564">
        <f>TEST_DATA!B11564</f>
        <v/>
      </c>
      <c r="C11564">
        <f>TEST_DATA!C11564</f>
        <v/>
      </c>
      <c r="D11564">
        <f>TEST_DATA!D11564</f>
        <v/>
      </c>
      <c r="E11564">
        <f>TEST_DATA!E11564</f>
        <v/>
      </c>
    </row>
    <row r="11565">
      <c r="A11565">
        <f>TEST_DATA!A11565</f>
        <v/>
      </c>
      <c r="B11565">
        <f>TEST_DATA!B11565</f>
        <v/>
      </c>
      <c r="C11565">
        <f>TEST_DATA!C11565</f>
        <v/>
      </c>
      <c r="D11565">
        <f>TEST_DATA!D11565</f>
        <v/>
      </c>
      <c r="E11565">
        <f>TEST_DATA!E11565</f>
        <v/>
      </c>
    </row>
    <row r="11566">
      <c r="A11566">
        <f>TEST_DATA!A11566</f>
        <v/>
      </c>
      <c r="B11566">
        <f>TEST_DATA!B11566</f>
        <v/>
      </c>
      <c r="C11566">
        <f>TEST_DATA!C11566</f>
        <v/>
      </c>
      <c r="D11566">
        <f>TEST_DATA!D11566</f>
        <v/>
      </c>
      <c r="E11566">
        <f>TEST_DATA!E11566</f>
        <v/>
      </c>
    </row>
    <row r="11567">
      <c r="A11567">
        <f>TEST_DATA!A11567</f>
        <v/>
      </c>
      <c r="B11567">
        <f>TEST_DATA!B11567</f>
        <v/>
      </c>
      <c r="C11567">
        <f>TEST_DATA!C11567</f>
        <v/>
      </c>
      <c r="D11567">
        <f>TEST_DATA!D11567</f>
        <v/>
      </c>
      <c r="E11567">
        <f>TEST_DATA!E11567</f>
        <v/>
      </c>
    </row>
    <row r="11568">
      <c r="A11568">
        <f>TEST_DATA!A11568</f>
        <v/>
      </c>
      <c r="B11568">
        <f>TEST_DATA!B11568</f>
        <v/>
      </c>
      <c r="C11568">
        <f>TEST_DATA!C11568</f>
        <v/>
      </c>
      <c r="D11568">
        <f>TEST_DATA!D11568</f>
        <v/>
      </c>
      <c r="E11568">
        <f>TEST_DATA!E11568</f>
        <v/>
      </c>
    </row>
    <row r="11569">
      <c r="A11569">
        <f>TEST_DATA!A11569</f>
        <v/>
      </c>
      <c r="B11569">
        <f>TEST_DATA!B11569</f>
        <v/>
      </c>
      <c r="C11569">
        <f>TEST_DATA!C11569</f>
        <v/>
      </c>
      <c r="D11569">
        <f>TEST_DATA!D11569</f>
        <v/>
      </c>
      <c r="E11569">
        <f>TEST_DATA!E11569</f>
        <v/>
      </c>
    </row>
    <row r="11570">
      <c r="A11570">
        <f>TEST_DATA!A11570</f>
        <v/>
      </c>
      <c r="B11570">
        <f>TEST_DATA!B11570</f>
        <v/>
      </c>
      <c r="C11570">
        <f>TEST_DATA!C11570</f>
        <v/>
      </c>
      <c r="D11570">
        <f>TEST_DATA!D11570</f>
        <v/>
      </c>
      <c r="E11570">
        <f>TEST_DATA!E11570</f>
        <v/>
      </c>
    </row>
    <row r="11571">
      <c r="A11571">
        <f>TEST_DATA!A11571</f>
        <v/>
      </c>
      <c r="B11571">
        <f>TEST_DATA!B11571</f>
        <v/>
      </c>
      <c r="C11571">
        <f>TEST_DATA!C11571</f>
        <v/>
      </c>
      <c r="D11571">
        <f>TEST_DATA!D11571</f>
        <v/>
      </c>
      <c r="E11571">
        <f>TEST_DATA!E11571</f>
        <v/>
      </c>
    </row>
    <row r="11572">
      <c r="A11572">
        <f>TEST_DATA!A11572</f>
        <v/>
      </c>
      <c r="B11572">
        <f>TEST_DATA!B11572</f>
        <v/>
      </c>
      <c r="C11572">
        <f>TEST_DATA!C11572</f>
        <v/>
      </c>
      <c r="D11572">
        <f>TEST_DATA!D11572</f>
        <v/>
      </c>
      <c r="E11572">
        <f>TEST_DATA!E11572</f>
        <v/>
      </c>
    </row>
    <row r="11573">
      <c r="A11573">
        <f>TEST_DATA!A11573</f>
        <v/>
      </c>
      <c r="B11573">
        <f>TEST_DATA!B11573</f>
        <v/>
      </c>
      <c r="C11573">
        <f>TEST_DATA!C11573</f>
        <v/>
      </c>
      <c r="D11573">
        <f>TEST_DATA!D11573</f>
        <v/>
      </c>
      <c r="E11573">
        <f>TEST_DATA!E11573</f>
        <v/>
      </c>
    </row>
    <row r="11574">
      <c r="A11574">
        <f>TEST_DATA!A11574</f>
        <v/>
      </c>
      <c r="B11574">
        <f>TEST_DATA!B11574</f>
        <v/>
      </c>
      <c r="C11574">
        <f>TEST_DATA!C11574</f>
        <v/>
      </c>
      <c r="D11574">
        <f>TEST_DATA!D11574</f>
        <v/>
      </c>
      <c r="E11574">
        <f>TEST_DATA!E11574</f>
        <v/>
      </c>
    </row>
    <row r="11575">
      <c r="A11575">
        <f>TEST_DATA!A11575</f>
        <v/>
      </c>
      <c r="B11575">
        <f>TEST_DATA!B11575</f>
        <v/>
      </c>
      <c r="C11575">
        <f>TEST_DATA!C11575</f>
        <v/>
      </c>
      <c r="D11575">
        <f>TEST_DATA!D11575</f>
        <v/>
      </c>
      <c r="E11575">
        <f>TEST_DATA!E11575</f>
        <v/>
      </c>
    </row>
    <row r="11576">
      <c r="A11576">
        <f>TEST_DATA!A11576</f>
        <v/>
      </c>
      <c r="B11576">
        <f>TEST_DATA!B11576</f>
        <v/>
      </c>
      <c r="C11576">
        <f>TEST_DATA!C11576</f>
        <v/>
      </c>
      <c r="D11576">
        <f>TEST_DATA!D11576</f>
        <v/>
      </c>
      <c r="E11576">
        <f>TEST_DATA!E11576</f>
        <v/>
      </c>
    </row>
    <row r="11577">
      <c r="A11577">
        <f>TEST_DATA!A11577</f>
        <v/>
      </c>
      <c r="B11577">
        <f>TEST_DATA!B11577</f>
        <v/>
      </c>
      <c r="C11577">
        <f>TEST_DATA!C11577</f>
        <v/>
      </c>
      <c r="D11577">
        <f>TEST_DATA!D11577</f>
        <v/>
      </c>
      <c r="E11577">
        <f>TEST_DATA!E11577</f>
        <v/>
      </c>
    </row>
    <row r="11578">
      <c r="A11578">
        <f>TEST_DATA!A11578</f>
        <v/>
      </c>
      <c r="B11578">
        <f>TEST_DATA!B11578</f>
        <v/>
      </c>
      <c r="C11578">
        <f>TEST_DATA!C11578</f>
        <v/>
      </c>
      <c r="D11578">
        <f>TEST_DATA!D11578</f>
        <v/>
      </c>
      <c r="E11578">
        <f>TEST_DATA!E11578</f>
        <v/>
      </c>
    </row>
    <row r="11579">
      <c r="A11579">
        <f>TEST_DATA!A11579</f>
        <v/>
      </c>
      <c r="B11579">
        <f>TEST_DATA!B11579</f>
        <v/>
      </c>
      <c r="C11579">
        <f>TEST_DATA!C11579</f>
        <v/>
      </c>
      <c r="D11579">
        <f>TEST_DATA!D11579</f>
        <v/>
      </c>
      <c r="E11579">
        <f>TEST_DATA!E11579</f>
        <v/>
      </c>
    </row>
    <row r="11580">
      <c r="A11580">
        <f>TEST_DATA!A11580</f>
        <v/>
      </c>
      <c r="B11580">
        <f>TEST_DATA!B11580</f>
        <v/>
      </c>
      <c r="C11580">
        <f>TEST_DATA!C11580</f>
        <v/>
      </c>
      <c r="D11580">
        <f>TEST_DATA!D11580</f>
        <v/>
      </c>
      <c r="E11580">
        <f>TEST_DATA!E11580</f>
        <v/>
      </c>
    </row>
    <row r="11581">
      <c r="A11581">
        <f>TEST_DATA!A11581</f>
        <v/>
      </c>
      <c r="B11581">
        <f>TEST_DATA!B11581</f>
        <v/>
      </c>
      <c r="C11581">
        <f>TEST_DATA!C11581</f>
        <v/>
      </c>
      <c r="D11581">
        <f>TEST_DATA!D11581</f>
        <v/>
      </c>
      <c r="E11581">
        <f>TEST_DATA!E11581</f>
        <v/>
      </c>
    </row>
    <row r="11582">
      <c r="A11582">
        <f>TEST_DATA!A11582</f>
        <v/>
      </c>
      <c r="B11582">
        <f>TEST_DATA!B11582</f>
        <v/>
      </c>
      <c r="C11582">
        <f>TEST_DATA!C11582</f>
        <v/>
      </c>
      <c r="D11582">
        <f>TEST_DATA!D11582</f>
        <v/>
      </c>
      <c r="E11582">
        <f>TEST_DATA!E11582</f>
        <v/>
      </c>
    </row>
    <row r="11583">
      <c r="A11583">
        <f>TEST_DATA!A11583</f>
        <v/>
      </c>
      <c r="B11583">
        <f>TEST_DATA!B11583</f>
        <v/>
      </c>
      <c r="C11583">
        <f>TEST_DATA!C11583</f>
        <v/>
      </c>
      <c r="D11583">
        <f>TEST_DATA!D11583</f>
        <v/>
      </c>
      <c r="E11583">
        <f>TEST_DATA!E11583</f>
        <v/>
      </c>
    </row>
    <row r="11584">
      <c r="A11584">
        <f>TEST_DATA!A11584</f>
        <v/>
      </c>
      <c r="B11584">
        <f>TEST_DATA!B11584</f>
        <v/>
      </c>
      <c r="C11584">
        <f>TEST_DATA!C11584</f>
        <v/>
      </c>
      <c r="D11584">
        <f>TEST_DATA!D11584</f>
        <v/>
      </c>
      <c r="E11584">
        <f>TEST_DATA!E11584</f>
        <v/>
      </c>
    </row>
    <row r="11585">
      <c r="A11585">
        <f>TEST_DATA!A11585</f>
        <v/>
      </c>
      <c r="B11585">
        <f>TEST_DATA!B11585</f>
        <v/>
      </c>
      <c r="C11585">
        <f>TEST_DATA!C11585</f>
        <v/>
      </c>
      <c r="D11585">
        <f>TEST_DATA!D11585</f>
        <v/>
      </c>
      <c r="E11585">
        <f>TEST_DATA!E11585</f>
        <v/>
      </c>
    </row>
    <row r="11586">
      <c r="A11586">
        <f>TEST_DATA!A11586</f>
        <v/>
      </c>
      <c r="B11586">
        <f>TEST_DATA!B11586</f>
        <v/>
      </c>
      <c r="C11586">
        <f>TEST_DATA!C11586</f>
        <v/>
      </c>
      <c r="D11586">
        <f>TEST_DATA!D11586</f>
        <v/>
      </c>
      <c r="E11586">
        <f>TEST_DATA!E11586</f>
        <v/>
      </c>
    </row>
    <row r="11587">
      <c r="A11587">
        <f>TEST_DATA!A11587</f>
        <v/>
      </c>
      <c r="B11587">
        <f>TEST_DATA!B11587</f>
        <v/>
      </c>
      <c r="C11587">
        <f>TEST_DATA!C11587</f>
        <v/>
      </c>
      <c r="D11587">
        <f>TEST_DATA!D11587</f>
        <v/>
      </c>
      <c r="E11587">
        <f>TEST_DATA!E11587</f>
        <v/>
      </c>
    </row>
    <row r="11588">
      <c r="A11588">
        <f>TEST_DATA!A11588</f>
        <v/>
      </c>
      <c r="B11588">
        <f>TEST_DATA!B11588</f>
        <v/>
      </c>
      <c r="C11588">
        <f>TEST_DATA!C11588</f>
        <v/>
      </c>
      <c r="D11588">
        <f>TEST_DATA!D11588</f>
        <v/>
      </c>
      <c r="E11588">
        <f>TEST_DATA!E11588</f>
        <v/>
      </c>
    </row>
    <row r="11589">
      <c r="A11589">
        <f>TEST_DATA!A11589</f>
        <v/>
      </c>
      <c r="B11589">
        <f>TEST_DATA!B11589</f>
        <v/>
      </c>
      <c r="C11589">
        <f>TEST_DATA!C11589</f>
        <v/>
      </c>
      <c r="D11589">
        <f>TEST_DATA!D11589</f>
        <v/>
      </c>
      <c r="E11589">
        <f>TEST_DATA!E11589</f>
        <v/>
      </c>
    </row>
    <row r="11590">
      <c r="A11590">
        <f>TEST_DATA!A11590</f>
        <v/>
      </c>
      <c r="B11590">
        <f>TEST_DATA!B11590</f>
        <v/>
      </c>
      <c r="C11590">
        <f>TEST_DATA!C11590</f>
        <v/>
      </c>
      <c r="D11590">
        <f>TEST_DATA!D11590</f>
        <v/>
      </c>
      <c r="E11590">
        <f>TEST_DATA!E11590</f>
        <v/>
      </c>
    </row>
    <row r="11591">
      <c r="A11591">
        <f>TEST_DATA!A11591</f>
        <v/>
      </c>
      <c r="B11591">
        <f>TEST_DATA!B11591</f>
        <v/>
      </c>
      <c r="C11591">
        <f>TEST_DATA!C11591</f>
        <v/>
      </c>
      <c r="D11591">
        <f>TEST_DATA!D11591</f>
        <v/>
      </c>
      <c r="E11591">
        <f>TEST_DATA!E11591</f>
        <v/>
      </c>
    </row>
    <row r="11592">
      <c r="A11592">
        <f>TEST_DATA!A11592</f>
        <v/>
      </c>
      <c r="B11592">
        <f>TEST_DATA!B11592</f>
        <v/>
      </c>
      <c r="C11592">
        <f>TEST_DATA!C11592</f>
        <v/>
      </c>
      <c r="D11592">
        <f>TEST_DATA!D11592</f>
        <v/>
      </c>
      <c r="E11592">
        <f>TEST_DATA!E11592</f>
        <v/>
      </c>
    </row>
    <row r="11593">
      <c r="A11593">
        <f>TEST_DATA!A11593</f>
        <v/>
      </c>
      <c r="B11593">
        <f>TEST_DATA!B11593</f>
        <v/>
      </c>
      <c r="C11593">
        <f>TEST_DATA!C11593</f>
        <v/>
      </c>
      <c r="D11593">
        <f>TEST_DATA!D11593</f>
        <v/>
      </c>
      <c r="E11593">
        <f>TEST_DATA!E11593</f>
        <v/>
      </c>
    </row>
    <row r="11594">
      <c r="A11594">
        <f>TEST_DATA!A11594</f>
        <v/>
      </c>
      <c r="B11594">
        <f>TEST_DATA!B11594</f>
        <v/>
      </c>
      <c r="C11594">
        <f>TEST_DATA!C11594</f>
        <v/>
      </c>
      <c r="D11594">
        <f>TEST_DATA!D11594</f>
        <v/>
      </c>
      <c r="E11594">
        <f>TEST_DATA!E11594</f>
        <v/>
      </c>
    </row>
    <row r="11595">
      <c r="A11595">
        <f>TEST_DATA!A11595</f>
        <v/>
      </c>
      <c r="B11595">
        <f>TEST_DATA!B11595</f>
        <v/>
      </c>
      <c r="C11595">
        <f>TEST_DATA!C11595</f>
        <v/>
      </c>
      <c r="D11595">
        <f>TEST_DATA!D11595</f>
        <v/>
      </c>
      <c r="E11595">
        <f>TEST_DATA!E11595</f>
        <v/>
      </c>
    </row>
    <row r="11596">
      <c r="A11596">
        <f>TEST_DATA!A11596</f>
        <v/>
      </c>
      <c r="B11596">
        <f>TEST_DATA!B11596</f>
        <v/>
      </c>
      <c r="C11596">
        <f>TEST_DATA!C11596</f>
        <v/>
      </c>
      <c r="D11596">
        <f>TEST_DATA!D11596</f>
        <v/>
      </c>
      <c r="E11596">
        <f>TEST_DATA!E11596</f>
        <v/>
      </c>
    </row>
    <row r="11597">
      <c r="A11597">
        <f>TEST_DATA!A11597</f>
        <v/>
      </c>
      <c r="B11597">
        <f>TEST_DATA!B11597</f>
        <v/>
      </c>
      <c r="C11597">
        <f>TEST_DATA!C11597</f>
        <v/>
      </c>
      <c r="D11597">
        <f>TEST_DATA!D11597</f>
        <v/>
      </c>
      <c r="E11597">
        <f>TEST_DATA!E11597</f>
        <v/>
      </c>
    </row>
    <row r="11598">
      <c r="A11598">
        <f>TEST_DATA!A11598</f>
        <v/>
      </c>
      <c r="B11598">
        <f>TEST_DATA!B11598</f>
        <v/>
      </c>
      <c r="C11598">
        <f>TEST_DATA!C11598</f>
        <v/>
      </c>
      <c r="D11598">
        <f>TEST_DATA!D11598</f>
        <v/>
      </c>
      <c r="E11598">
        <f>TEST_DATA!E11598</f>
        <v/>
      </c>
    </row>
    <row r="11599">
      <c r="A11599">
        <f>TEST_DATA!A11599</f>
        <v/>
      </c>
      <c r="B11599">
        <f>TEST_DATA!B11599</f>
        <v/>
      </c>
      <c r="C11599">
        <f>TEST_DATA!C11599</f>
        <v/>
      </c>
      <c r="D11599">
        <f>TEST_DATA!D11599</f>
        <v/>
      </c>
      <c r="E11599">
        <f>TEST_DATA!E11599</f>
        <v/>
      </c>
    </row>
    <row r="11600">
      <c r="A11600">
        <f>TEST_DATA!A11600</f>
        <v/>
      </c>
      <c r="B11600">
        <f>TEST_DATA!B11600</f>
        <v/>
      </c>
      <c r="C11600">
        <f>TEST_DATA!C11600</f>
        <v/>
      </c>
      <c r="D11600">
        <f>TEST_DATA!D11600</f>
        <v/>
      </c>
      <c r="E11600">
        <f>TEST_DATA!E11600</f>
        <v/>
      </c>
    </row>
    <row r="11601">
      <c r="A11601">
        <f>TEST_DATA!A11601</f>
        <v/>
      </c>
      <c r="B11601">
        <f>TEST_DATA!B11601</f>
        <v/>
      </c>
      <c r="C11601">
        <f>TEST_DATA!C11601</f>
        <v/>
      </c>
      <c r="D11601">
        <f>TEST_DATA!D11601</f>
        <v/>
      </c>
      <c r="E11601">
        <f>TEST_DATA!E11601</f>
        <v/>
      </c>
    </row>
    <row r="11602">
      <c r="A11602">
        <f>TEST_DATA!A11602</f>
        <v/>
      </c>
      <c r="B11602">
        <f>TEST_DATA!B11602</f>
        <v/>
      </c>
      <c r="C11602">
        <f>TEST_DATA!C11602</f>
        <v/>
      </c>
      <c r="D11602">
        <f>TEST_DATA!D11602</f>
        <v/>
      </c>
      <c r="E11602">
        <f>TEST_DATA!E11602</f>
        <v/>
      </c>
    </row>
    <row r="11603">
      <c r="A11603">
        <f>TEST_DATA!A11603</f>
        <v/>
      </c>
      <c r="B11603">
        <f>TEST_DATA!B11603</f>
        <v/>
      </c>
      <c r="C11603">
        <f>TEST_DATA!C11603</f>
        <v/>
      </c>
      <c r="D11603">
        <f>TEST_DATA!D11603</f>
        <v/>
      </c>
      <c r="E11603">
        <f>TEST_DATA!E11603</f>
        <v/>
      </c>
    </row>
    <row r="11604">
      <c r="A11604">
        <f>TEST_DATA!A11604</f>
        <v/>
      </c>
      <c r="B11604">
        <f>TEST_DATA!B11604</f>
        <v/>
      </c>
      <c r="C11604">
        <f>TEST_DATA!C11604</f>
        <v/>
      </c>
      <c r="D11604">
        <f>TEST_DATA!D11604</f>
        <v/>
      </c>
      <c r="E11604">
        <f>TEST_DATA!E11604</f>
        <v/>
      </c>
    </row>
    <row r="11605">
      <c r="A11605">
        <f>TEST_DATA!A11605</f>
        <v/>
      </c>
      <c r="B11605">
        <f>TEST_DATA!B11605</f>
        <v/>
      </c>
      <c r="C11605">
        <f>TEST_DATA!C11605</f>
        <v/>
      </c>
      <c r="D11605">
        <f>TEST_DATA!D11605</f>
        <v/>
      </c>
      <c r="E11605">
        <f>TEST_DATA!E11605</f>
        <v/>
      </c>
    </row>
    <row r="11606">
      <c r="A11606">
        <f>TEST_DATA!A11606</f>
        <v/>
      </c>
      <c r="B11606">
        <f>TEST_DATA!B11606</f>
        <v/>
      </c>
      <c r="C11606">
        <f>TEST_DATA!C11606</f>
        <v/>
      </c>
      <c r="D11606">
        <f>TEST_DATA!D11606</f>
        <v/>
      </c>
      <c r="E11606">
        <f>TEST_DATA!E11606</f>
        <v/>
      </c>
    </row>
    <row r="11607">
      <c r="A11607">
        <f>TEST_DATA!A11607</f>
        <v/>
      </c>
      <c r="B11607">
        <f>TEST_DATA!B11607</f>
        <v/>
      </c>
      <c r="C11607">
        <f>TEST_DATA!C11607</f>
        <v/>
      </c>
      <c r="D11607">
        <f>TEST_DATA!D11607</f>
        <v/>
      </c>
      <c r="E11607">
        <f>TEST_DATA!E11607</f>
        <v/>
      </c>
    </row>
    <row r="11608">
      <c r="A11608">
        <f>TEST_DATA!A11608</f>
        <v/>
      </c>
      <c r="B11608">
        <f>TEST_DATA!B11608</f>
        <v/>
      </c>
      <c r="C11608">
        <f>TEST_DATA!C11608</f>
        <v/>
      </c>
      <c r="D11608">
        <f>TEST_DATA!D11608</f>
        <v/>
      </c>
      <c r="E11608">
        <f>TEST_DATA!E11608</f>
        <v/>
      </c>
    </row>
    <row r="11609">
      <c r="A11609">
        <f>TEST_DATA!A11609</f>
        <v/>
      </c>
      <c r="B11609">
        <f>TEST_DATA!B11609</f>
        <v/>
      </c>
      <c r="C11609">
        <f>TEST_DATA!C11609</f>
        <v/>
      </c>
      <c r="D11609">
        <f>TEST_DATA!D11609</f>
        <v/>
      </c>
      <c r="E11609">
        <f>TEST_DATA!E11609</f>
        <v/>
      </c>
    </row>
    <row r="11610">
      <c r="A11610">
        <f>TEST_DATA!A11610</f>
        <v/>
      </c>
      <c r="B11610">
        <f>TEST_DATA!B11610</f>
        <v/>
      </c>
      <c r="C11610">
        <f>TEST_DATA!C11610</f>
        <v/>
      </c>
      <c r="D11610">
        <f>TEST_DATA!D11610</f>
        <v/>
      </c>
      <c r="E11610">
        <f>TEST_DATA!E11610</f>
        <v/>
      </c>
    </row>
    <row r="11611">
      <c r="A11611">
        <f>TEST_DATA!A11611</f>
        <v/>
      </c>
      <c r="B11611">
        <f>TEST_DATA!B11611</f>
        <v/>
      </c>
      <c r="C11611">
        <f>TEST_DATA!C11611</f>
        <v/>
      </c>
      <c r="D11611">
        <f>TEST_DATA!D11611</f>
        <v/>
      </c>
      <c r="E11611">
        <f>TEST_DATA!E11611</f>
        <v/>
      </c>
    </row>
    <row r="11612">
      <c r="A11612">
        <f>TEST_DATA!A11612</f>
        <v/>
      </c>
      <c r="B11612">
        <f>TEST_DATA!B11612</f>
        <v/>
      </c>
      <c r="C11612">
        <f>TEST_DATA!C11612</f>
        <v/>
      </c>
      <c r="D11612">
        <f>TEST_DATA!D11612</f>
        <v/>
      </c>
      <c r="E11612">
        <f>TEST_DATA!E11612</f>
        <v/>
      </c>
    </row>
    <row r="11613">
      <c r="A11613">
        <f>TEST_DATA!A11613</f>
        <v/>
      </c>
      <c r="B11613">
        <f>TEST_DATA!B11613</f>
        <v/>
      </c>
      <c r="C11613">
        <f>TEST_DATA!C11613</f>
        <v/>
      </c>
      <c r="D11613">
        <f>TEST_DATA!D11613</f>
        <v/>
      </c>
      <c r="E11613">
        <f>TEST_DATA!E11613</f>
        <v/>
      </c>
    </row>
    <row r="11614">
      <c r="A11614">
        <f>TEST_DATA!A11614</f>
        <v/>
      </c>
      <c r="B11614">
        <f>TEST_DATA!B11614</f>
        <v/>
      </c>
      <c r="C11614">
        <f>TEST_DATA!C11614</f>
        <v/>
      </c>
      <c r="D11614">
        <f>TEST_DATA!D11614</f>
        <v/>
      </c>
      <c r="E11614">
        <f>TEST_DATA!E11614</f>
        <v/>
      </c>
    </row>
    <row r="11615">
      <c r="A11615">
        <f>TEST_DATA!A11615</f>
        <v/>
      </c>
      <c r="B11615">
        <f>TEST_DATA!B11615</f>
        <v/>
      </c>
      <c r="C11615">
        <f>TEST_DATA!C11615</f>
        <v/>
      </c>
      <c r="D11615">
        <f>TEST_DATA!D11615</f>
        <v/>
      </c>
      <c r="E11615">
        <f>TEST_DATA!E11615</f>
        <v/>
      </c>
    </row>
    <row r="11616">
      <c r="A11616">
        <f>TEST_DATA!A11616</f>
        <v/>
      </c>
      <c r="B11616">
        <f>TEST_DATA!B11616</f>
        <v/>
      </c>
      <c r="C11616">
        <f>TEST_DATA!C11616</f>
        <v/>
      </c>
      <c r="D11616">
        <f>TEST_DATA!D11616</f>
        <v/>
      </c>
      <c r="E11616">
        <f>TEST_DATA!E11616</f>
        <v/>
      </c>
    </row>
    <row r="11617">
      <c r="A11617">
        <f>TEST_DATA!A11617</f>
        <v/>
      </c>
      <c r="B11617">
        <f>TEST_DATA!B11617</f>
        <v/>
      </c>
      <c r="C11617">
        <f>TEST_DATA!C11617</f>
        <v/>
      </c>
      <c r="D11617">
        <f>TEST_DATA!D11617</f>
        <v/>
      </c>
      <c r="E11617">
        <f>TEST_DATA!E11617</f>
        <v/>
      </c>
    </row>
    <row r="11618">
      <c r="A11618">
        <f>TEST_DATA!A11618</f>
        <v/>
      </c>
      <c r="B11618">
        <f>TEST_DATA!B11618</f>
        <v/>
      </c>
      <c r="C11618">
        <f>TEST_DATA!C11618</f>
        <v/>
      </c>
      <c r="D11618">
        <f>TEST_DATA!D11618</f>
        <v/>
      </c>
      <c r="E11618">
        <f>TEST_DATA!E11618</f>
        <v/>
      </c>
    </row>
    <row r="11619">
      <c r="A11619">
        <f>TEST_DATA!A11619</f>
        <v/>
      </c>
      <c r="B11619">
        <f>TEST_DATA!B11619</f>
        <v/>
      </c>
      <c r="C11619">
        <f>TEST_DATA!C11619</f>
        <v/>
      </c>
      <c r="D11619">
        <f>TEST_DATA!D11619</f>
        <v/>
      </c>
      <c r="E11619">
        <f>TEST_DATA!E11619</f>
        <v/>
      </c>
    </row>
    <row r="11620">
      <c r="A11620">
        <f>TEST_DATA!A11620</f>
        <v/>
      </c>
      <c r="B11620">
        <f>TEST_DATA!B11620</f>
        <v/>
      </c>
      <c r="C11620">
        <f>TEST_DATA!C11620</f>
        <v/>
      </c>
      <c r="D11620">
        <f>TEST_DATA!D11620</f>
        <v/>
      </c>
      <c r="E11620">
        <f>TEST_DATA!E11620</f>
        <v/>
      </c>
    </row>
    <row r="11621">
      <c r="A11621">
        <f>TEST_DATA!A11621</f>
        <v/>
      </c>
      <c r="B11621">
        <f>TEST_DATA!B11621</f>
        <v/>
      </c>
      <c r="C11621">
        <f>TEST_DATA!C11621</f>
        <v/>
      </c>
      <c r="D11621">
        <f>TEST_DATA!D11621</f>
        <v/>
      </c>
      <c r="E11621">
        <f>TEST_DATA!E11621</f>
        <v/>
      </c>
    </row>
    <row r="11622">
      <c r="A11622">
        <f>TEST_DATA!A11622</f>
        <v/>
      </c>
      <c r="B11622">
        <f>TEST_DATA!B11622</f>
        <v/>
      </c>
      <c r="C11622">
        <f>TEST_DATA!C11622</f>
        <v/>
      </c>
      <c r="D11622">
        <f>TEST_DATA!D11622</f>
        <v/>
      </c>
      <c r="E11622">
        <f>TEST_DATA!E11622</f>
        <v/>
      </c>
    </row>
    <row r="11623">
      <c r="A11623">
        <f>TEST_DATA!A11623</f>
        <v/>
      </c>
      <c r="B11623">
        <f>TEST_DATA!B11623</f>
        <v/>
      </c>
      <c r="C11623">
        <f>TEST_DATA!C11623</f>
        <v/>
      </c>
      <c r="D11623">
        <f>TEST_DATA!D11623</f>
        <v/>
      </c>
      <c r="E11623">
        <f>TEST_DATA!E11623</f>
        <v/>
      </c>
    </row>
    <row r="11624">
      <c r="A11624">
        <f>TEST_DATA!A11624</f>
        <v/>
      </c>
      <c r="B11624">
        <f>TEST_DATA!B11624</f>
        <v/>
      </c>
      <c r="C11624">
        <f>TEST_DATA!C11624</f>
        <v/>
      </c>
      <c r="D11624">
        <f>TEST_DATA!D11624</f>
        <v/>
      </c>
      <c r="E11624">
        <f>TEST_DATA!E11624</f>
        <v/>
      </c>
    </row>
    <row r="11625">
      <c r="A11625">
        <f>TEST_DATA!A11625</f>
        <v/>
      </c>
      <c r="B11625">
        <f>TEST_DATA!B11625</f>
        <v/>
      </c>
      <c r="C11625">
        <f>TEST_DATA!C11625</f>
        <v/>
      </c>
      <c r="D11625">
        <f>TEST_DATA!D11625</f>
        <v/>
      </c>
      <c r="E11625">
        <f>TEST_DATA!E11625</f>
        <v/>
      </c>
    </row>
    <row r="11626">
      <c r="A11626">
        <f>TEST_DATA!A11626</f>
        <v/>
      </c>
      <c r="B11626">
        <f>TEST_DATA!B11626</f>
        <v/>
      </c>
      <c r="C11626">
        <f>TEST_DATA!C11626</f>
        <v/>
      </c>
      <c r="D11626">
        <f>TEST_DATA!D11626</f>
        <v/>
      </c>
      <c r="E11626">
        <f>TEST_DATA!E11626</f>
        <v/>
      </c>
    </row>
    <row r="11627">
      <c r="A11627">
        <f>TEST_DATA!A11627</f>
        <v/>
      </c>
      <c r="B11627">
        <f>TEST_DATA!B11627</f>
        <v/>
      </c>
      <c r="C11627">
        <f>TEST_DATA!C11627</f>
        <v/>
      </c>
      <c r="D11627">
        <f>TEST_DATA!D11627</f>
        <v/>
      </c>
      <c r="E11627">
        <f>TEST_DATA!E11627</f>
        <v/>
      </c>
    </row>
    <row r="11628">
      <c r="A11628">
        <f>TEST_DATA!A11628</f>
        <v/>
      </c>
      <c r="B11628">
        <f>TEST_DATA!B11628</f>
        <v/>
      </c>
      <c r="C11628">
        <f>TEST_DATA!C11628</f>
        <v/>
      </c>
      <c r="D11628">
        <f>TEST_DATA!D11628</f>
        <v/>
      </c>
      <c r="E11628">
        <f>TEST_DATA!E11628</f>
        <v/>
      </c>
    </row>
    <row r="11629">
      <c r="A11629">
        <f>TEST_DATA!A11629</f>
        <v/>
      </c>
      <c r="B11629">
        <f>TEST_DATA!B11629</f>
        <v/>
      </c>
      <c r="C11629">
        <f>TEST_DATA!C11629</f>
        <v/>
      </c>
      <c r="D11629">
        <f>TEST_DATA!D11629</f>
        <v/>
      </c>
      <c r="E11629">
        <f>TEST_DATA!E11629</f>
        <v/>
      </c>
    </row>
    <row r="11630">
      <c r="A11630">
        <f>TEST_DATA!A11630</f>
        <v/>
      </c>
      <c r="B11630">
        <f>TEST_DATA!B11630</f>
        <v/>
      </c>
      <c r="C11630">
        <f>TEST_DATA!C11630</f>
        <v/>
      </c>
      <c r="D11630">
        <f>TEST_DATA!D11630</f>
        <v/>
      </c>
      <c r="E11630">
        <f>TEST_DATA!E11630</f>
        <v/>
      </c>
    </row>
    <row r="11631">
      <c r="A11631">
        <f>TEST_DATA!A11631</f>
        <v/>
      </c>
      <c r="B11631">
        <f>TEST_DATA!B11631</f>
        <v/>
      </c>
      <c r="C11631">
        <f>TEST_DATA!C11631</f>
        <v/>
      </c>
      <c r="D11631">
        <f>TEST_DATA!D11631</f>
        <v/>
      </c>
      <c r="E11631">
        <f>TEST_DATA!E11631</f>
        <v/>
      </c>
    </row>
    <row r="11632">
      <c r="A11632">
        <f>TEST_DATA!A11632</f>
        <v/>
      </c>
      <c r="B11632">
        <f>TEST_DATA!B11632</f>
        <v/>
      </c>
      <c r="C11632">
        <f>TEST_DATA!C11632</f>
        <v/>
      </c>
      <c r="D11632">
        <f>TEST_DATA!D11632</f>
        <v/>
      </c>
      <c r="E11632">
        <f>TEST_DATA!E11632</f>
        <v/>
      </c>
    </row>
    <row r="11633">
      <c r="A11633">
        <f>TEST_DATA!A11633</f>
        <v/>
      </c>
      <c r="B11633">
        <f>TEST_DATA!B11633</f>
        <v/>
      </c>
      <c r="C11633">
        <f>TEST_DATA!C11633</f>
        <v/>
      </c>
      <c r="D11633">
        <f>TEST_DATA!D11633</f>
        <v/>
      </c>
      <c r="E11633">
        <f>TEST_DATA!E11633</f>
        <v/>
      </c>
    </row>
    <row r="11634">
      <c r="A11634">
        <f>TEST_DATA!A11634</f>
        <v/>
      </c>
      <c r="B11634">
        <f>TEST_DATA!B11634</f>
        <v/>
      </c>
      <c r="C11634">
        <f>TEST_DATA!C11634</f>
        <v/>
      </c>
      <c r="D11634">
        <f>TEST_DATA!D11634</f>
        <v/>
      </c>
      <c r="E11634">
        <f>TEST_DATA!E11634</f>
        <v/>
      </c>
    </row>
    <row r="11635">
      <c r="A11635">
        <f>TEST_DATA!A11635</f>
        <v/>
      </c>
      <c r="B11635">
        <f>TEST_DATA!B11635</f>
        <v/>
      </c>
      <c r="C11635">
        <f>TEST_DATA!C11635</f>
        <v/>
      </c>
      <c r="D11635">
        <f>TEST_DATA!D11635</f>
        <v/>
      </c>
      <c r="E11635">
        <f>TEST_DATA!E11635</f>
        <v/>
      </c>
    </row>
    <row r="11636">
      <c r="A11636">
        <f>TEST_DATA!A11636</f>
        <v/>
      </c>
      <c r="B11636">
        <f>TEST_DATA!B11636</f>
        <v/>
      </c>
      <c r="C11636">
        <f>TEST_DATA!C11636</f>
        <v/>
      </c>
      <c r="D11636">
        <f>TEST_DATA!D11636</f>
        <v/>
      </c>
      <c r="E11636">
        <f>TEST_DATA!E11636</f>
        <v/>
      </c>
    </row>
    <row r="11637">
      <c r="A11637">
        <f>TEST_DATA!A11637</f>
        <v/>
      </c>
      <c r="B11637">
        <f>TEST_DATA!B11637</f>
        <v/>
      </c>
      <c r="C11637">
        <f>TEST_DATA!C11637</f>
        <v/>
      </c>
      <c r="D11637">
        <f>TEST_DATA!D11637</f>
        <v/>
      </c>
      <c r="E11637">
        <f>TEST_DATA!E11637</f>
        <v/>
      </c>
    </row>
    <row r="11638">
      <c r="A11638">
        <f>TEST_DATA!A11638</f>
        <v/>
      </c>
      <c r="B11638">
        <f>TEST_DATA!B11638</f>
        <v/>
      </c>
      <c r="C11638">
        <f>TEST_DATA!C11638</f>
        <v/>
      </c>
      <c r="D11638">
        <f>TEST_DATA!D11638</f>
        <v/>
      </c>
      <c r="E11638">
        <f>TEST_DATA!E11638</f>
        <v/>
      </c>
    </row>
    <row r="11639">
      <c r="A11639">
        <f>TEST_DATA!A11639</f>
        <v/>
      </c>
      <c r="B11639">
        <f>TEST_DATA!B11639</f>
        <v/>
      </c>
      <c r="C11639">
        <f>TEST_DATA!C11639</f>
        <v/>
      </c>
      <c r="D11639">
        <f>TEST_DATA!D11639</f>
        <v/>
      </c>
      <c r="E11639">
        <f>TEST_DATA!E11639</f>
        <v/>
      </c>
    </row>
    <row r="11640">
      <c r="A11640">
        <f>TEST_DATA!A11640</f>
        <v/>
      </c>
      <c r="B11640">
        <f>TEST_DATA!B11640</f>
        <v/>
      </c>
      <c r="C11640">
        <f>TEST_DATA!C11640</f>
        <v/>
      </c>
      <c r="D11640">
        <f>TEST_DATA!D11640</f>
        <v/>
      </c>
      <c r="E11640">
        <f>TEST_DATA!E11640</f>
        <v/>
      </c>
    </row>
    <row r="11641">
      <c r="A11641">
        <f>TEST_DATA!A11641</f>
        <v/>
      </c>
      <c r="B11641">
        <f>TEST_DATA!B11641</f>
        <v/>
      </c>
      <c r="C11641">
        <f>TEST_DATA!C11641</f>
        <v/>
      </c>
      <c r="D11641">
        <f>TEST_DATA!D11641</f>
        <v/>
      </c>
      <c r="E11641">
        <f>TEST_DATA!E11641</f>
        <v/>
      </c>
    </row>
    <row r="11642">
      <c r="A11642">
        <f>TEST_DATA!A11642</f>
        <v/>
      </c>
      <c r="B11642">
        <f>TEST_DATA!B11642</f>
        <v/>
      </c>
      <c r="C11642">
        <f>TEST_DATA!C11642</f>
        <v/>
      </c>
      <c r="D11642">
        <f>TEST_DATA!D11642</f>
        <v/>
      </c>
      <c r="E11642">
        <f>TEST_DATA!E11642</f>
        <v/>
      </c>
    </row>
    <row r="11643">
      <c r="A11643">
        <f>TEST_DATA!A11643</f>
        <v/>
      </c>
      <c r="B11643">
        <f>TEST_DATA!B11643</f>
        <v/>
      </c>
      <c r="C11643">
        <f>TEST_DATA!C11643</f>
        <v/>
      </c>
      <c r="D11643">
        <f>TEST_DATA!D11643</f>
        <v/>
      </c>
      <c r="E11643">
        <f>TEST_DATA!E11643</f>
        <v/>
      </c>
    </row>
    <row r="11644">
      <c r="A11644">
        <f>TEST_DATA!A11644</f>
        <v/>
      </c>
      <c r="B11644">
        <f>TEST_DATA!B11644</f>
        <v/>
      </c>
      <c r="C11644">
        <f>TEST_DATA!C11644</f>
        <v/>
      </c>
      <c r="D11644">
        <f>TEST_DATA!D11644</f>
        <v/>
      </c>
      <c r="E11644">
        <f>TEST_DATA!E11644</f>
        <v/>
      </c>
    </row>
    <row r="11645">
      <c r="A11645">
        <f>TEST_DATA!A11645</f>
        <v/>
      </c>
      <c r="B11645">
        <f>TEST_DATA!B11645</f>
        <v/>
      </c>
      <c r="C11645">
        <f>TEST_DATA!C11645</f>
        <v/>
      </c>
      <c r="D11645">
        <f>TEST_DATA!D11645</f>
        <v/>
      </c>
      <c r="E11645">
        <f>TEST_DATA!E11645</f>
        <v/>
      </c>
    </row>
    <row r="11646">
      <c r="A11646">
        <f>TEST_DATA!A11646</f>
        <v/>
      </c>
      <c r="B11646">
        <f>TEST_DATA!B11646</f>
        <v/>
      </c>
      <c r="C11646">
        <f>TEST_DATA!C11646</f>
        <v/>
      </c>
      <c r="D11646">
        <f>TEST_DATA!D11646</f>
        <v/>
      </c>
      <c r="E11646">
        <f>TEST_DATA!E11646</f>
        <v/>
      </c>
    </row>
    <row r="11647">
      <c r="A11647">
        <f>TEST_DATA!A11647</f>
        <v/>
      </c>
      <c r="B11647">
        <f>TEST_DATA!B11647</f>
        <v/>
      </c>
      <c r="C11647">
        <f>TEST_DATA!C11647</f>
        <v/>
      </c>
      <c r="D11647">
        <f>TEST_DATA!D11647</f>
        <v/>
      </c>
      <c r="E11647">
        <f>TEST_DATA!E11647</f>
        <v/>
      </c>
    </row>
    <row r="11648">
      <c r="A11648">
        <f>TEST_DATA!A11648</f>
        <v/>
      </c>
      <c r="B11648">
        <f>TEST_DATA!B11648</f>
        <v/>
      </c>
      <c r="C11648">
        <f>TEST_DATA!C11648</f>
        <v/>
      </c>
      <c r="D11648">
        <f>TEST_DATA!D11648</f>
        <v/>
      </c>
      <c r="E11648">
        <f>TEST_DATA!E11648</f>
        <v/>
      </c>
    </row>
    <row r="11649">
      <c r="A11649">
        <f>TEST_DATA!A11649</f>
        <v/>
      </c>
      <c r="B11649">
        <f>TEST_DATA!B11649</f>
        <v/>
      </c>
      <c r="C11649">
        <f>TEST_DATA!C11649</f>
        <v/>
      </c>
      <c r="D11649">
        <f>TEST_DATA!D11649</f>
        <v/>
      </c>
      <c r="E11649">
        <f>TEST_DATA!E11649</f>
        <v/>
      </c>
    </row>
    <row r="11650">
      <c r="A11650">
        <f>TEST_DATA!A11650</f>
        <v/>
      </c>
      <c r="B11650">
        <f>TEST_DATA!B11650</f>
        <v/>
      </c>
      <c r="C11650">
        <f>TEST_DATA!C11650</f>
        <v/>
      </c>
      <c r="D11650">
        <f>TEST_DATA!D11650</f>
        <v/>
      </c>
      <c r="E11650">
        <f>TEST_DATA!E11650</f>
        <v/>
      </c>
    </row>
    <row r="11651">
      <c r="A11651">
        <f>TEST_DATA!A11651</f>
        <v/>
      </c>
      <c r="B11651">
        <f>TEST_DATA!B11651</f>
        <v/>
      </c>
      <c r="C11651">
        <f>TEST_DATA!C11651</f>
        <v/>
      </c>
      <c r="D11651">
        <f>TEST_DATA!D11651</f>
        <v/>
      </c>
      <c r="E11651">
        <f>TEST_DATA!E11651</f>
        <v/>
      </c>
    </row>
    <row r="11652">
      <c r="A11652">
        <f>TEST_DATA!A11652</f>
        <v/>
      </c>
      <c r="B11652">
        <f>TEST_DATA!B11652</f>
        <v/>
      </c>
      <c r="C11652">
        <f>TEST_DATA!C11652</f>
        <v/>
      </c>
      <c r="D11652">
        <f>TEST_DATA!D11652</f>
        <v/>
      </c>
      <c r="E11652">
        <f>TEST_DATA!E11652</f>
        <v/>
      </c>
    </row>
    <row r="11653">
      <c r="A11653">
        <f>TEST_DATA!A11653</f>
        <v/>
      </c>
      <c r="B11653">
        <f>TEST_DATA!B11653</f>
        <v/>
      </c>
      <c r="C11653">
        <f>TEST_DATA!C11653</f>
        <v/>
      </c>
      <c r="D11653">
        <f>TEST_DATA!D11653</f>
        <v/>
      </c>
      <c r="E11653">
        <f>TEST_DATA!E11653</f>
        <v/>
      </c>
    </row>
    <row r="11654">
      <c r="A11654">
        <f>TEST_DATA!A11654</f>
        <v/>
      </c>
      <c r="B11654">
        <f>TEST_DATA!B11654</f>
        <v/>
      </c>
      <c r="C11654">
        <f>TEST_DATA!C11654</f>
        <v/>
      </c>
      <c r="D11654">
        <f>TEST_DATA!D11654</f>
        <v/>
      </c>
      <c r="E11654">
        <f>TEST_DATA!E11654</f>
        <v/>
      </c>
    </row>
    <row r="11655">
      <c r="A11655">
        <f>TEST_DATA!A11655</f>
        <v/>
      </c>
      <c r="B11655">
        <f>TEST_DATA!B11655</f>
        <v/>
      </c>
      <c r="C11655">
        <f>TEST_DATA!C11655</f>
        <v/>
      </c>
      <c r="D11655">
        <f>TEST_DATA!D11655</f>
        <v/>
      </c>
      <c r="E11655">
        <f>TEST_DATA!E11655</f>
        <v/>
      </c>
    </row>
    <row r="11656">
      <c r="A11656">
        <f>TEST_DATA!A11656</f>
        <v/>
      </c>
      <c r="B11656">
        <f>TEST_DATA!B11656</f>
        <v/>
      </c>
      <c r="C11656">
        <f>TEST_DATA!C11656</f>
        <v/>
      </c>
      <c r="D11656">
        <f>TEST_DATA!D11656</f>
        <v/>
      </c>
      <c r="E11656">
        <f>TEST_DATA!E11656</f>
        <v/>
      </c>
    </row>
    <row r="11657">
      <c r="A11657">
        <f>TEST_DATA!A11657</f>
        <v/>
      </c>
      <c r="B11657">
        <f>TEST_DATA!B11657</f>
        <v/>
      </c>
      <c r="C11657">
        <f>TEST_DATA!C11657</f>
        <v/>
      </c>
      <c r="D11657">
        <f>TEST_DATA!D11657</f>
        <v/>
      </c>
      <c r="E11657">
        <f>TEST_DATA!E11657</f>
        <v/>
      </c>
    </row>
    <row r="11658">
      <c r="A11658">
        <f>TEST_DATA!A11658</f>
        <v/>
      </c>
      <c r="B11658">
        <f>TEST_DATA!B11658</f>
        <v/>
      </c>
      <c r="C11658">
        <f>TEST_DATA!C11658</f>
        <v/>
      </c>
      <c r="D11658">
        <f>TEST_DATA!D11658</f>
        <v/>
      </c>
      <c r="E11658">
        <f>TEST_DATA!E11658</f>
        <v/>
      </c>
    </row>
    <row r="11659">
      <c r="A11659">
        <f>TEST_DATA!A11659</f>
        <v/>
      </c>
      <c r="B11659">
        <f>TEST_DATA!B11659</f>
        <v/>
      </c>
      <c r="C11659">
        <f>TEST_DATA!C11659</f>
        <v/>
      </c>
      <c r="D11659">
        <f>TEST_DATA!D11659</f>
        <v/>
      </c>
      <c r="E11659">
        <f>TEST_DATA!E11659</f>
        <v/>
      </c>
    </row>
    <row r="11660">
      <c r="A11660">
        <f>TEST_DATA!A11660</f>
        <v/>
      </c>
      <c r="B11660">
        <f>TEST_DATA!B11660</f>
        <v/>
      </c>
      <c r="C11660">
        <f>TEST_DATA!C11660</f>
        <v/>
      </c>
      <c r="D11660">
        <f>TEST_DATA!D11660</f>
        <v/>
      </c>
      <c r="E11660">
        <f>TEST_DATA!E11660</f>
        <v/>
      </c>
    </row>
    <row r="11661">
      <c r="A11661">
        <f>TEST_DATA!A11661</f>
        <v/>
      </c>
      <c r="B11661">
        <f>TEST_DATA!B11661</f>
        <v/>
      </c>
      <c r="C11661">
        <f>TEST_DATA!C11661</f>
        <v/>
      </c>
      <c r="D11661">
        <f>TEST_DATA!D11661</f>
        <v/>
      </c>
      <c r="E11661">
        <f>TEST_DATA!E11661</f>
        <v/>
      </c>
    </row>
    <row r="11662">
      <c r="A11662">
        <f>TEST_DATA!A11662</f>
        <v/>
      </c>
      <c r="B11662">
        <f>TEST_DATA!B11662</f>
        <v/>
      </c>
      <c r="C11662">
        <f>TEST_DATA!C11662</f>
        <v/>
      </c>
      <c r="D11662">
        <f>TEST_DATA!D11662</f>
        <v/>
      </c>
      <c r="E11662">
        <f>TEST_DATA!E11662</f>
        <v/>
      </c>
    </row>
    <row r="11663">
      <c r="A11663">
        <f>TEST_DATA!A11663</f>
        <v/>
      </c>
      <c r="B11663">
        <f>TEST_DATA!B11663</f>
        <v/>
      </c>
      <c r="C11663">
        <f>TEST_DATA!C11663</f>
        <v/>
      </c>
      <c r="D11663">
        <f>TEST_DATA!D11663</f>
        <v/>
      </c>
      <c r="E11663">
        <f>TEST_DATA!E11663</f>
        <v/>
      </c>
    </row>
    <row r="11664">
      <c r="A11664">
        <f>TEST_DATA!A11664</f>
        <v/>
      </c>
      <c r="B11664">
        <f>TEST_DATA!B11664</f>
        <v/>
      </c>
      <c r="C11664">
        <f>TEST_DATA!C11664</f>
        <v/>
      </c>
      <c r="D11664">
        <f>TEST_DATA!D11664</f>
        <v/>
      </c>
      <c r="E11664">
        <f>TEST_DATA!E11664</f>
        <v/>
      </c>
    </row>
    <row r="11665">
      <c r="A11665">
        <f>TEST_DATA!A11665</f>
        <v/>
      </c>
      <c r="B11665">
        <f>TEST_DATA!B11665</f>
        <v/>
      </c>
      <c r="C11665">
        <f>TEST_DATA!C11665</f>
        <v/>
      </c>
      <c r="D11665">
        <f>TEST_DATA!D11665</f>
        <v/>
      </c>
      <c r="E11665">
        <f>TEST_DATA!E11665</f>
        <v/>
      </c>
    </row>
    <row r="11666">
      <c r="A11666">
        <f>TEST_DATA!A11666</f>
        <v/>
      </c>
      <c r="B11666">
        <f>TEST_DATA!B11666</f>
        <v/>
      </c>
      <c r="C11666">
        <f>TEST_DATA!C11666</f>
        <v/>
      </c>
      <c r="D11666">
        <f>TEST_DATA!D11666</f>
        <v/>
      </c>
      <c r="E11666">
        <f>TEST_DATA!E11666</f>
        <v/>
      </c>
    </row>
    <row r="11667">
      <c r="A11667">
        <f>TEST_DATA!A11667</f>
        <v/>
      </c>
      <c r="B11667">
        <f>TEST_DATA!B11667</f>
        <v/>
      </c>
      <c r="C11667">
        <f>TEST_DATA!C11667</f>
        <v/>
      </c>
      <c r="D11667">
        <f>TEST_DATA!D11667</f>
        <v/>
      </c>
      <c r="E11667">
        <f>TEST_DATA!E11667</f>
        <v/>
      </c>
    </row>
    <row r="11668">
      <c r="A11668">
        <f>TEST_DATA!A11668</f>
        <v/>
      </c>
      <c r="B11668">
        <f>TEST_DATA!B11668</f>
        <v/>
      </c>
      <c r="C11668">
        <f>TEST_DATA!C11668</f>
        <v/>
      </c>
      <c r="D11668">
        <f>TEST_DATA!D11668</f>
        <v/>
      </c>
      <c r="E11668">
        <f>TEST_DATA!E11668</f>
        <v/>
      </c>
    </row>
    <row r="11669">
      <c r="A11669">
        <f>TEST_DATA!A11669</f>
        <v/>
      </c>
      <c r="B11669">
        <f>TEST_DATA!B11669</f>
        <v/>
      </c>
      <c r="C11669">
        <f>TEST_DATA!C11669</f>
        <v/>
      </c>
      <c r="D11669">
        <f>TEST_DATA!D11669</f>
        <v/>
      </c>
      <c r="E11669">
        <f>TEST_DATA!E11669</f>
        <v/>
      </c>
    </row>
    <row r="11670">
      <c r="A11670">
        <f>TEST_DATA!A11670</f>
        <v/>
      </c>
      <c r="B11670">
        <f>TEST_DATA!B11670</f>
        <v/>
      </c>
      <c r="C11670">
        <f>TEST_DATA!C11670</f>
        <v/>
      </c>
      <c r="D11670">
        <f>TEST_DATA!D11670</f>
        <v/>
      </c>
      <c r="E11670">
        <f>TEST_DATA!E11670</f>
        <v/>
      </c>
    </row>
    <row r="11671">
      <c r="A11671">
        <f>TEST_DATA!A11671</f>
        <v/>
      </c>
      <c r="B11671">
        <f>TEST_DATA!B11671</f>
        <v/>
      </c>
      <c r="C11671">
        <f>TEST_DATA!C11671</f>
        <v/>
      </c>
      <c r="D11671">
        <f>TEST_DATA!D11671</f>
        <v/>
      </c>
      <c r="E11671">
        <f>TEST_DATA!E11671</f>
        <v/>
      </c>
    </row>
    <row r="11672">
      <c r="A11672">
        <f>TEST_DATA!A11672</f>
        <v/>
      </c>
      <c r="B11672">
        <f>TEST_DATA!B11672</f>
        <v/>
      </c>
      <c r="C11672">
        <f>TEST_DATA!C11672</f>
        <v/>
      </c>
      <c r="D11672">
        <f>TEST_DATA!D11672</f>
        <v/>
      </c>
      <c r="E11672">
        <f>TEST_DATA!E11672</f>
        <v/>
      </c>
    </row>
    <row r="11673">
      <c r="A11673">
        <f>TEST_DATA!A11673</f>
        <v/>
      </c>
      <c r="B11673">
        <f>TEST_DATA!B11673</f>
        <v/>
      </c>
      <c r="C11673">
        <f>TEST_DATA!C11673</f>
        <v/>
      </c>
      <c r="D11673">
        <f>TEST_DATA!D11673</f>
        <v/>
      </c>
      <c r="E11673">
        <f>TEST_DATA!E11673</f>
        <v/>
      </c>
    </row>
    <row r="11674">
      <c r="A11674">
        <f>TEST_DATA!A11674</f>
        <v/>
      </c>
      <c r="B11674">
        <f>TEST_DATA!B11674</f>
        <v/>
      </c>
      <c r="C11674">
        <f>TEST_DATA!C11674</f>
        <v/>
      </c>
      <c r="D11674">
        <f>TEST_DATA!D11674</f>
        <v/>
      </c>
      <c r="E11674">
        <f>TEST_DATA!E11674</f>
        <v/>
      </c>
    </row>
    <row r="11675">
      <c r="A11675">
        <f>TEST_DATA!A11675</f>
        <v/>
      </c>
      <c r="B11675">
        <f>TEST_DATA!B11675</f>
        <v/>
      </c>
      <c r="C11675">
        <f>TEST_DATA!C11675</f>
        <v/>
      </c>
      <c r="D11675">
        <f>TEST_DATA!D11675</f>
        <v/>
      </c>
      <c r="E11675">
        <f>TEST_DATA!E11675</f>
        <v/>
      </c>
    </row>
    <row r="11676">
      <c r="A11676">
        <f>TEST_DATA!A11676</f>
        <v/>
      </c>
      <c r="B11676">
        <f>TEST_DATA!B11676</f>
        <v/>
      </c>
      <c r="C11676">
        <f>TEST_DATA!C11676</f>
        <v/>
      </c>
      <c r="D11676">
        <f>TEST_DATA!D11676</f>
        <v/>
      </c>
      <c r="E11676">
        <f>TEST_DATA!E11676</f>
        <v/>
      </c>
    </row>
    <row r="11677">
      <c r="A11677">
        <f>TEST_DATA!A11677</f>
        <v/>
      </c>
      <c r="B11677">
        <f>TEST_DATA!B11677</f>
        <v/>
      </c>
      <c r="C11677">
        <f>TEST_DATA!C11677</f>
        <v/>
      </c>
      <c r="D11677">
        <f>TEST_DATA!D11677</f>
        <v/>
      </c>
      <c r="E11677">
        <f>TEST_DATA!E11677</f>
        <v/>
      </c>
    </row>
    <row r="11678">
      <c r="A11678">
        <f>TEST_DATA!A11678</f>
        <v/>
      </c>
      <c r="B11678">
        <f>TEST_DATA!B11678</f>
        <v/>
      </c>
      <c r="C11678">
        <f>TEST_DATA!C11678</f>
        <v/>
      </c>
      <c r="D11678">
        <f>TEST_DATA!D11678</f>
        <v/>
      </c>
      <c r="E11678">
        <f>TEST_DATA!E11678</f>
        <v/>
      </c>
    </row>
    <row r="11679">
      <c r="A11679">
        <f>TEST_DATA!A11679</f>
        <v/>
      </c>
      <c r="B11679">
        <f>TEST_DATA!B11679</f>
        <v/>
      </c>
      <c r="C11679">
        <f>TEST_DATA!C11679</f>
        <v/>
      </c>
      <c r="D11679">
        <f>TEST_DATA!D11679</f>
        <v/>
      </c>
      <c r="E11679">
        <f>TEST_DATA!E11679</f>
        <v/>
      </c>
    </row>
    <row r="11680">
      <c r="A11680">
        <f>TEST_DATA!A11680</f>
        <v/>
      </c>
      <c r="B11680">
        <f>TEST_DATA!B11680</f>
        <v/>
      </c>
      <c r="C11680">
        <f>TEST_DATA!C11680</f>
        <v/>
      </c>
      <c r="D11680">
        <f>TEST_DATA!D11680</f>
        <v/>
      </c>
      <c r="E11680">
        <f>TEST_DATA!E11680</f>
        <v/>
      </c>
    </row>
    <row r="11681">
      <c r="A11681">
        <f>TEST_DATA!A11681</f>
        <v/>
      </c>
      <c r="B11681">
        <f>TEST_DATA!B11681</f>
        <v/>
      </c>
      <c r="C11681">
        <f>TEST_DATA!C11681</f>
        <v/>
      </c>
      <c r="D11681">
        <f>TEST_DATA!D11681</f>
        <v/>
      </c>
      <c r="E11681">
        <f>TEST_DATA!E11681</f>
        <v/>
      </c>
    </row>
    <row r="11682">
      <c r="A11682">
        <f>TEST_DATA!A11682</f>
        <v/>
      </c>
      <c r="B11682">
        <f>TEST_DATA!B11682</f>
        <v/>
      </c>
      <c r="C11682">
        <f>TEST_DATA!C11682</f>
        <v/>
      </c>
      <c r="D11682">
        <f>TEST_DATA!D11682</f>
        <v/>
      </c>
      <c r="E11682">
        <f>TEST_DATA!E11682</f>
        <v/>
      </c>
    </row>
    <row r="11683">
      <c r="A11683">
        <f>TEST_DATA!A11683</f>
        <v/>
      </c>
      <c r="B11683">
        <f>TEST_DATA!B11683</f>
        <v/>
      </c>
      <c r="C11683">
        <f>TEST_DATA!C11683</f>
        <v/>
      </c>
      <c r="D11683">
        <f>TEST_DATA!D11683</f>
        <v/>
      </c>
      <c r="E11683">
        <f>TEST_DATA!E11683</f>
        <v/>
      </c>
    </row>
    <row r="11684">
      <c r="A11684">
        <f>TEST_DATA!A11684</f>
        <v/>
      </c>
      <c r="B11684">
        <f>TEST_DATA!B11684</f>
        <v/>
      </c>
      <c r="C11684">
        <f>TEST_DATA!C11684</f>
        <v/>
      </c>
      <c r="D11684">
        <f>TEST_DATA!D11684</f>
        <v/>
      </c>
      <c r="E11684">
        <f>TEST_DATA!E11684</f>
        <v/>
      </c>
    </row>
    <row r="11685">
      <c r="A11685">
        <f>TEST_DATA!A11685</f>
        <v/>
      </c>
      <c r="B11685">
        <f>TEST_DATA!B11685</f>
        <v/>
      </c>
      <c r="C11685">
        <f>TEST_DATA!C11685</f>
        <v/>
      </c>
      <c r="D11685">
        <f>TEST_DATA!D11685</f>
        <v/>
      </c>
      <c r="E11685">
        <f>TEST_DATA!E11685</f>
        <v/>
      </c>
    </row>
    <row r="11686">
      <c r="A11686">
        <f>TEST_DATA!A11686</f>
        <v/>
      </c>
      <c r="B11686">
        <f>TEST_DATA!B11686</f>
        <v/>
      </c>
      <c r="C11686">
        <f>TEST_DATA!C11686</f>
        <v/>
      </c>
      <c r="D11686">
        <f>TEST_DATA!D11686</f>
        <v/>
      </c>
      <c r="E11686">
        <f>TEST_DATA!E11686</f>
        <v/>
      </c>
    </row>
    <row r="11687">
      <c r="A11687">
        <f>TEST_DATA!A11687</f>
        <v/>
      </c>
      <c r="B11687">
        <f>TEST_DATA!B11687</f>
        <v/>
      </c>
      <c r="C11687">
        <f>TEST_DATA!C11687</f>
        <v/>
      </c>
      <c r="D11687">
        <f>TEST_DATA!D11687</f>
        <v/>
      </c>
      <c r="E11687">
        <f>TEST_DATA!E11687</f>
        <v/>
      </c>
    </row>
    <row r="11688">
      <c r="A11688">
        <f>TEST_DATA!A11688</f>
        <v/>
      </c>
      <c r="B11688">
        <f>TEST_DATA!B11688</f>
        <v/>
      </c>
      <c r="C11688">
        <f>TEST_DATA!C11688</f>
        <v/>
      </c>
      <c r="D11688">
        <f>TEST_DATA!D11688</f>
        <v/>
      </c>
      <c r="E11688">
        <f>TEST_DATA!E11688</f>
        <v/>
      </c>
    </row>
    <row r="11689">
      <c r="A11689">
        <f>TEST_DATA!A11689</f>
        <v/>
      </c>
      <c r="B11689">
        <f>TEST_DATA!B11689</f>
        <v/>
      </c>
      <c r="C11689">
        <f>TEST_DATA!C11689</f>
        <v/>
      </c>
      <c r="D11689">
        <f>TEST_DATA!D11689</f>
        <v/>
      </c>
      <c r="E11689">
        <f>TEST_DATA!E11689</f>
        <v/>
      </c>
    </row>
    <row r="11690">
      <c r="A11690">
        <f>TEST_DATA!A11690</f>
        <v/>
      </c>
      <c r="B11690">
        <f>TEST_DATA!B11690</f>
        <v/>
      </c>
      <c r="C11690">
        <f>TEST_DATA!C11690</f>
        <v/>
      </c>
      <c r="D11690">
        <f>TEST_DATA!D11690</f>
        <v/>
      </c>
      <c r="E11690">
        <f>TEST_DATA!E11690</f>
        <v/>
      </c>
    </row>
    <row r="11691">
      <c r="A11691">
        <f>TEST_DATA!A11691</f>
        <v/>
      </c>
      <c r="B11691">
        <f>TEST_DATA!B11691</f>
        <v/>
      </c>
      <c r="C11691">
        <f>TEST_DATA!C11691</f>
        <v/>
      </c>
      <c r="D11691">
        <f>TEST_DATA!D11691</f>
        <v/>
      </c>
      <c r="E11691">
        <f>TEST_DATA!E11691</f>
        <v/>
      </c>
    </row>
    <row r="11692">
      <c r="A11692">
        <f>TEST_DATA!A11692</f>
        <v/>
      </c>
      <c r="B11692">
        <f>TEST_DATA!B11692</f>
        <v/>
      </c>
      <c r="C11692">
        <f>TEST_DATA!C11692</f>
        <v/>
      </c>
      <c r="D11692">
        <f>TEST_DATA!D11692</f>
        <v/>
      </c>
      <c r="E11692">
        <f>TEST_DATA!E11692</f>
        <v/>
      </c>
    </row>
    <row r="11693">
      <c r="A11693">
        <f>TEST_DATA!A11693</f>
        <v/>
      </c>
      <c r="B11693">
        <f>TEST_DATA!B11693</f>
        <v/>
      </c>
      <c r="C11693">
        <f>TEST_DATA!C11693</f>
        <v/>
      </c>
      <c r="D11693">
        <f>TEST_DATA!D11693</f>
        <v/>
      </c>
      <c r="E11693">
        <f>TEST_DATA!E11693</f>
        <v/>
      </c>
    </row>
    <row r="11694">
      <c r="A11694">
        <f>TEST_DATA!A11694</f>
        <v/>
      </c>
      <c r="B11694">
        <f>TEST_DATA!B11694</f>
        <v/>
      </c>
      <c r="C11694">
        <f>TEST_DATA!C11694</f>
        <v/>
      </c>
      <c r="D11694">
        <f>TEST_DATA!D11694</f>
        <v/>
      </c>
      <c r="E11694">
        <f>TEST_DATA!E11694</f>
        <v/>
      </c>
    </row>
    <row r="11695">
      <c r="A11695">
        <f>TEST_DATA!A11695</f>
        <v/>
      </c>
      <c r="B11695">
        <f>TEST_DATA!B11695</f>
        <v/>
      </c>
      <c r="C11695">
        <f>TEST_DATA!C11695</f>
        <v/>
      </c>
      <c r="D11695">
        <f>TEST_DATA!D11695</f>
        <v/>
      </c>
      <c r="E11695">
        <f>TEST_DATA!E11695</f>
        <v/>
      </c>
    </row>
    <row r="11696">
      <c r="A11696">
        <f>TEST_DATA!A11696</f>
        <v/>
      </c>
      <c r="B11696">
        <f>TEST_DATA!B11696</f>
        <v/>
      </c>
      <c r="C11696">
        <f>TEST_DATA!C11696</f>
        <v/>
      </c>
      <c r="D11696">
        <f>TEST_DATA!D11696</f>
        <v/>
      </c>
      <c r="E11696">
        <f>TEST_DATA!E11696</f>
        <v/>
      </c>
    </row>
    <row r="11697">
      <c r="A11697">
        <f>TEST_DATA!A11697</f>
        <v/>
      </c>
      <c r="B11697">
        <f>TEST_DATA!B11697</f>
        <v/>
      </c>
      <c r="C11697">
        <f>TEST_DATA!C11697</f>
        <v/>
      </c>
      <c r="D11697">
        <f>TEST_DATA!D11697</f>
        <v/>
      </c>
      <c r="E11697">
        <f>TEST_DATA!E11697</f>
        <v/>
      </c>
    </row>
    <row r="11698">
      <c r="A11698">
        <f>TEST_DATA!A11698</f>
        <v/>
      </c>
      <c r="B11698">
        <f>TEST_DATA!B11698</f>
        <v/>
      </c>
      <c r="C11698">
        <f>TEST_DATA!C11698</f>
        <v/>
      </c>
      <c r="D11698">
        <f>TEST_DATA!D11698</f>
        <v/>
      </c>
      <c r="E11698">
        <f>TEST_DATA!E11698</f>
        <v/>
      </c>
    </row>
    <row r="11699">
      <c r="A11699">
        <f>TEST_DATA!A11699</f>
        <v/>
      </c>
      <c r="B11699">
        <f>TEST_DATA!B11699</f>
        <v/>
      </c>
      <c r="C11699">
        <f>TEST_DATA!C11699</f>
        <v/>
      </c>
      <c r="D11699">
        <f>TEST_DATA!D11699</f>
        <v/>
      </c>
      <c r="E11699">
        <f>TEST_DATA!E11699</f>
        <v/>
      </c>
    </row>
    <row r="11700">
      <c r="A11700">
        <f>TEST_DATA!A11700</f>
        <v/>
      </c>
      <c r="B11700">
        <f>TEST_DATA!B11700</f>
        <v/>
      </c>
      <c r="C11700">
        <f>TEST_DATA!C11700</f>
        <v/>
      </c>
      <c r="D11700">
        <f>TEST_DATA!D11700</f>
        <v/>
      </c>
      <c r="E11700">
        <f>TEST_DATA!E11700</f>
        <v/>
      </c>
    </row>
    <row r="11701">
      <c r="A11701">
        <f>TEST_DATA!A11701</f>
        <v/>
      </c>
      <c r="B11701">
        <f>TEST_DATA!B11701</f>
        <v/>
      </c>
      <c r="C11701">
        <f>TEST_DATA!C11701</f>
        <v/>
      </c>
      <c r="D11701">
        <f>TEST_DATA!D11701</f>
        <v/>
      </c>
      <c r="E11701">
        <f>TEST_DATA!E11701</f>
        <v/>
      </c>
    </row>
    <row r="11702">
      <c r="A11702">
        <f>TEST_DATA!A11702</f>
        <v/>
      </c>
      <c r="B11702">
        <f>TEST_DATA!B11702</f>
        <v/>
      </c>
      <c r="C11702">
        <f>TEST_DATA!C11702</f>
        <v/>
      </c>
      <c r="D11702">
        <f>TEST_DATA!D11702</f>
        <v/>
      </c>
      <c r="E11702">
        <f>TEST_DATA!E11702</f>
        <v/>
      </c>
    </row>
    <row r="11703">
      <c r="A11703">
        <f>TEST_DATA!A11703</f>
        <v/>
      </c>
      <c r="B11703">
        <f>TEST_DATA!B11703</f>
        <v/>
      </c>
      <c r="C11703">
        <f>TEST_DATA!C11703</f>
        <v/>
      </c>
      <c r="D11703">
        <f>TEST_DATA!D11703</f>
        <v/>
      </c>
      <c r="E11703">
        <f>TEST_DATA!E11703</f>
        <v/>
      </c>
    </row>
    <row r="11704">
      <c r="A11704">
        <f>TEST_DATA!A11704</f>
        <v/>
      </c>
      <c r="B11704">
        <f>TEST_DATA!B11704</f>
        <v/>
      </c>
      <c r="C11704">
        <f>TEST_DATA!C11704</f>
        <v/>
      </c>
      <c r="D11704">
        <f>TEST_DATA!D11704</f>
        <v/>
      </c>
      <c r="E11704">
        <f>TEST_DATA!E11704</f>
        <v/>
      </c>
    </row>
    <row r="11705">
      <c r="A11705">
        <f>TEST_DATA!A11705</f>
        <v/>
      </c>
      <c r="B11705">
        <f>TEST_DATA!B11705</f>
        <v/>
      </c>
      <c r="C11705">
        <f>TEST_DATA!C11705</f>
        <v/>
      </c>
      <c r="D11705">
        <f>TEST_DATA!D11705</f>
        <v/>
      </c>
      <c r="E11705">
        <f>TEST_DATA!E11705</f>
        <v/>
      </c>
    </row>
    <row r="11706">
      <c r="A11706">
        <f>TEST_DATA!A11706</f>
        <v/>
      </c>
      <c r="B11706">
        <f>TEST_DATA!B11706</f>
        <v/>
      </c>
      <c r="C11706">
        <f>TEST_DATA!C11706</f>
        <v/>
      </c>
      <c r="D11706">
        <f>TEST_DATA!D11706</f>
        <v/>
      </c>
      <c r="E11706">
        <f>TEST_DATA!E11706</f>
        <v/>
      </c>
    </row>
    <row r="11707">
      <c r="A11707">
        <f>TEST_DATA!A11707</f>
        <v/>
      </c>
      <c r="B11707">
        <f>TEST_DATA!B11707</f>
        <v/>
      </c>
      <c r="C11707">
        <f>TEST_DATA!C11707</f>
        <v/>
      </c>
      <c r="D11707">
        <f>TEST_DATA!D11707</f>
        <v/>
      </c>
      <c r="E11707">
        <f>TEST_DATA!E11707</f>
        <v/>
      </c>
    </row>
    <row r="11708">
      <c r="A11708">
        <f>TEST_DATA!A11708</f>
        <v/>
      </c>
      <c r="B11708">
        <f>TEST_DATA!B11708</f>
        <v/>
      </c>
      <c r="C11708">
        <f>TEST_DATA!C11708</f>
        <v/>
      </c>
      <c r="D11708">
        <f>TEST_DATA!D11708</f>
        <v/>
      </c>
      <c r="E11708">
        <f>TEST_DATA!E11708</f>
        <v/>
      </c>
    </row>
    <row r="11709">
      <c r="A11709">
        <f>TEST_DATA!A11709</f>
        <v/>
      </c>
      <c r="B11709">
        <f>TEST_DATA!B11709</f>
        <v/>
      </c>
      <c r="C11709">
        <f>TEST_DATA!C11709</f>
        <v/>
      </c>
      <c r="D11709">
        <f>TEST_DATA!D11709</f>
        <v/>
      </c>
      <c r="E11709">
        <f>TEST_DATA!E11709</f>
        <v/>
      </c>
    </row>
    <row r="11710">
      <c r="A11710">
        <f>TEST_DATA!A11710</f>
        <v/>
      </c>
      <c r="B11710">
        <f>TEST_DATA!B11710</f>
        <v/>
      </c>
      <c r="C11710">
        <f>TEST_DATA!C11710</f>
        <v/>
      </c>
      <c r="D11710">
        <f>TEST_DATA!D11710</f>
        <v/>
      </c>
      <c r="E11710">
        <f>TEST_DATA!E11710</f>
        <v/>
      </c>
    </row>
    <row r="11711">
      <c r="A11711">
        <f>TEST_DATA!A11711</f>
        <v/>
      </c>
      <c r="B11711">
        <f>TEST_DATA!B11711</f>
        <v/>
      </c>
      <c r="C11711">
        <f>TEST_DATA!C11711</f>
        <v/>
      </c>
      <c r="D11711">
        <f>TEST_DATA!D11711</f>
        <v/>
      </c>
      <c r="E11711">
        <f>TEST_DATA!E11711</f>
        <v/>
      </c>
    </row>
    <row r="11712">
      <c r="A11712">
        <f>TEST_DATA!A11712</f>
        <v/>
      </c>
      <c r="B11712">
        <f>TEST_DATA!B11712</f>
        <v/>
      </c>
      <c r="C11712">
        <f>TEST_DATA!C11712</f>
        <v/>
      </c>
      <c r="D11712">
        <f>TEST_DATA!D11712</f>
        <v/>
      </c>
      <c r="E11712">
        <f>TEST_DATA!E11712</f>
        <v/>
      </c>
    </row>
    <row r="11713">
      <c r="A11713">
        <f>TEST_DATA!A11713</f>
        <v/>
      </c>
      <c r="B11713">
        <f>TEST_DATA!B11713</f>
        <v/>
      </c>
      <c r="C11713">
        <f>TEST_DATA!C11713</f>
        <v/>
      </c>
      <c r="D11713">
        <f>TEST_DATA!D11713</f>
        <v/>
      </c>
      <c r="E11713">
        <f>TEST_DATA!E11713</f>
        <v/>
      </c>
    </row>
    <row r="11714">
      <c r="A11714">
        <f>TEST_DATA!A11714</f>
        <v/>
      </c>
      <c r="B11714">
        <f>TEST_DATA!B11714</f>
        <v/>
      </c>
      <c r="C11714">
        <f>TEST_DATA!C11714</f>
        <v/>
      </c>
      <c r="D11714">
        <f>TEST_DATA!D11714</f>
        <v/>
      </c>
      <c r="E11714">
        <f>TEST_DATA!E11714</f>
        <v/>
      </c>
    </row>
    <row r="11715">
      <c r="A11715">
        <f>TEST_DATA!A11715</f>
        <v/>
      </c>
      <c r="B11715">
        <f>TEST_DATA!B11715</f>
        <v/>
      </c>
      <c r="C11715">
        <f>TEST_DATA!C11715</f>
        <v/>
      </c>
      <c r="D11715">
        <f>TEST_DATA!D11715</f>
        <v/>
      </c>
      <c r="E11715">
        <f>TEST_DATA!E11715</f>
        <v/>
      </c>
    </row>
    <row r="11716">
      <c r="A11716">
        <f>TEST_DATA!A11716</f>
        <v/>
      </c>
      <c r="B11716">
        <f>TEST_DATA!B11716</f>
        <v/>
      </c>
      <c r="C11716">
        <f>TEST_DATA!C11716</f>
        <v/>
      </c>
      <c r="D11716">
        <f>TEST_DATA!D11716</f>
        <v/>
      </c>
      <c r="E11716">
        <f>TEST_DATA!E11716</f>
        <v/>
      </c>
    </row>
    <row r="11717">
      <c r="A11717">
        <f>TEST_DATA!A11717</f>
        <v/>
      </c>
      <c r="B11717">
        <f>TEST_DATA!B11717</f>
        <v/>
      </c>
      <c r="C11717">
        <f>TEST_DATA!C11717</f>
        <v/>
      </c>
      <c r="D11717">
        <f>TEST_DATA!D11717</f>
        <v/>
      </c>
      <c r="E11717">
        <f>TEST_DATA!E11717</f>
        <v/>
      </c>
    </row>
    <row r="11718">
      <c r="A11718">
        <f>TEST_DATA!A11718</f>
        <v/>
      </c>
      <c r="B11718">
        <f>TEST_DATA!B11718</f>
        <v/>
      </c>
      <c r="C11718">
        <f>TEST_DATA!C11718</f>
        <v/>
      </c>
      <c r="D11718">
        <f>TEST_DATA!D11718</f>
        <v/>
      </c>
      <c r="E11718">
        <f>TEST_DATA!E11718</f>
        <v/>
      </c>
    </row>
    <row r="11719">
      <c r="A11719">
        <f>TEST_DATA!A11719</f>
        <v/>
      </c>
      <c r="B11719">
        <f>TEST_DATA!B11719</f>
        <v/>
      </c>
      <c r="C11719">
        <f>TEST_DATA!C11719</f>
        <v/>
      </c>
      <c r="D11719">
        <f>TEST_DATA!D11719</f>
        <v/>
      </c>
      <c r="E11719">
        <f>TEST_DATA!E11719</f>
        <v/>
      </c>
    </row>
    <row r="11720">
      <c r="A11720">
        <f>TEST_DATA!A11720</f>
        <v/>
      </c>
      <c r="B11720">
        <f>TEST_DATA!B11720</f>
        <v/>
      </c>
      <c r="C11720">
        <f>TEST_DATA!C11720</f>
        <v/>
      </c>
      <c r="D11720">
        <f>TEST_DATA!D11720</f>
        <v/>
      </c>
      <c r="E11720">
        <f>TEST_DATA!E11720</f>
        <v/>
      </c>
    </row>
    <row r="11721">
      <c r="A11721">
        <f>TEST_DATA!A11721</f>
        <v/>
      </c>
      <c r="B11721">
        <f>TEST_DATA!B11721</f>
        <v/>
      </c>
      <c r="C11721">
        <f>TEST_DATA!C11721</f>
        <v/>
      </c>
      <c r="D11721">
        <f>TEST_DATA!D11721</f>
        <v/>
      </c>
      <c r="E11721">
        <f>TEST_DATA!E11721</f>
        <v/>
      </c>
    </row>
    <row r="11722">
      <c r="A11722">
        <f>TEST_DATA!A11722</f>
        <v/>
      </c>
      <c r="B11722">
        <f>TEST_DATA!B11722</f>
        <v/>
      </c>
      <c r="C11722">
        <f>TEST_DATA!C11722</f>
        <v/>
      </c>
      <c r="D11722">
        <f>TEST_DATA!D11722</f>
        <v/>
      </c>
      <c r="E11722">
        <f>TEST_DATA!E11722</f>
        <v/>
      </c>
    </row>
    <row r="11723">
      <c r="A11723">
        <f>TEST_DATA!A11723</f>
        <v/>
      </c>
      <c r="B11723">
        <f>TEST_DATA!B11723</f>
        <v/>
      </c>
      <c r="C11723">
        <f>TEST_DATA!C11723</f>
        <v/>
      </c>
      <c r="D11723">
        <f>TEST_DATA!D11723</f>
        <v/>
      </c>
      <c r="E11723">
        <f>TEST_DATA!E11723</f>
        <v/>
      </c>
    </row>
    <row r="11724">
      <c r="A11724">
        <f>TEST_DATA!A11724</f>
        <v/>
      </c>
      <c r="B11724">
        <f>TEST_DATA!B11724</f>
        <v/>
      </c>
      <c r="C11724">
        <f>TEST_DATA!C11724</f>
        <v/>
      </c>
      <c r="D11724">
        <f>TEST_DATA!D11724</f>
        <v/>
      </c>
      <c r="E11724">
        <f>TEST_DATA!E11724</f>
        <v/>
      </c>
    </row>
    <row r="11725">
      <c r="A11725">
        <f>TEST_DATA!A11725</f>
        <v/>
      </c>
      <c r="B11725">
        <f>TEST_DATA!B11725</f>
        <v/>
      </c>
      <c r="C11725">
        <f>TEST_DATA!C11725</f>
        <v/>
      </c>
      <c r="D11725">
        <f>TEST_DATA!D11725</f>
        <v/>
      </c>
      <c r="E11725">
        <f>TEST_DATA!E11725</f>
        <v/>
      </c>
    </row>
    <row r="11726">
      <c r="A11726">
        <f>TEST_DATA!A11726</f>
        <v/>
      </c>
      <c r="B11726">
        <f>TEST_DATA!B11726</f>
        <v/>
      </c>
      <c r="C11726">
        <f>TEST_DATA!C11726</f>
        <v/>
      </c>
      <c r="D11726">
        <f>TEST_DATA!D11726</f>
        <v/>
      </c>
      <c r="E11726">
        <f>TEST_DATA!E11726</f>
        <v/>
      </c>
    </row>
    <row r="11727">
      <c r="A11727">
        <f>TEST_DATA!A11727</f>
        <v/>
      </c>
      <c r="B11727">
        <f>TEST_DATA!B11727</f>
        <v/>
      </c>
      <c r="C11727">
        <f>TEST_DATA!C11727</f>
        <v/>
      </c>
      <c r="D11727">
        <f>TEST_DATA!D11727</f>
        <v/>
      </c>
      <c r="E11727">
        <f>TEST_DATA!E11727</f>
        <v/>
      </c>
    </row>
    <row r="11728">
      <c r="A11728">
        <f>TEST_DATA!A11728</f>
        <v/>
      </c>
      <c r="B11728">
        <f>TEST_DATA!B11728</f>
        <v/>
      </c>
      <c r="C11728">
        <f>TEST_DATA!C11728</f>
        <v/>
      </c>
      <c r="D11728">
        <f>TEST_DATA!D11728</f>
        <v/>
      </c>
      <c r="E11728">
        <f>TEST_DATA!E11728</f>
        <v/>
      </c>
    </row>
    <row r="11729">
      <c r="A11729">
        <f>TEST_DATA!A11729</f>
        <v/>
      </c>
      <c r="B11729">
        <f>TEST_DATA!B11729</f>
        <v/>
      </c>
      <c r="C11729">
        <f>TEST_DATA!C11729</f>
        <v/>
      </c>
      <c r="D11729">
        <f>TEST_DATA!D11729</f>
        <v/>
      </c>
      <c r="E11729">
        <f>TEST_DATA!E11729</f>
        <v/>
      </c>
    </row>
    <row r="11730">
      <c r="A11730">
        <f>TEST_DATA!A11730</f>
        <v/>
      </c>
      <c r="B11730">
        <f>TEST_DATA!B11730</f>
        <v/>
      </c>
      <c r="C11730">
        <f>TEST_DATA!C11730</f>
        <v/>
      </c>
      <c r="D11730">
        <f>TEST_DATA!D11730</f>
        <v/>
      </c>
      <c r="E11730">
        <f>TEST_DATA!E11730</f>
        <v/>
      </c>
    </row>
    <row r="11731">
      <c r="A11731">
        <f>TEST_DATA!A11731</f>
        <v/>
      </c>
      <c r="B11731">
        <f>TEST_DATA!B11731</f>
        <v/>
      </c>
      <c r="C11731">
        <f>TEST_DATA!C11731</f>
        <v/>
      </c>
      <c r="D11731">
        <f>TEST_DATA!D11731</f>
        <v/>
      </c>
      <c r="E11731">
        <f>TEST_DATA!E11731</f>
        <v/>
      </c>
    </row>
    <row r="11732">
      <c r="A11732">
        <f>TEST_DATA!A11732</f>
        <v/>
      </c>
      <c r="B11732">
        <f>TEST_DATA!B11732</f>
        <v/>
      </c>
      <c r="C11732">
        <f>TEST_DATA!C11732</f>
        <v/>
      </c>
      <c r="D11732">
        <f>TEST_DATA!D11732</f>
        <v/>
      </c>
      <c r="E11732">
        <f>TEST_DATA!E11732</f>
        <v/>
      </c>
    </row>
    <row r="11733">
      <c r="A11733">
        <f>TEST_DATA!A11733</f>
        <v/>
      </c>
      <c r="B11733">
        <f>TEST_DATA!B11733</f>
        <v/>
      </c>
      <c r="C11733">
        <f>TEST_DATA!C11733</f>
        <v/>
      </c>
      <c r="D11733">
        <f>TEST_DATA!D11733</f>
        <v/>
      </c>
      <c r="E11733">
        <f>TEST_DATA!E11733</f>
        <v/>
      </c>
    </row>
    <row r="11734">
      <c r="A11734">
        <f>TEST_DATA!A11734</f>
        <v/>
      </c>
      <c r="B11734">
        <f>TEST_DATA!B11734</f>
        <v/>
      </c>
      <c r="C11734">
        <f>TEST_DATA!C11734</f>
        <v/>
      </c>
      <c r="D11734">
        <f>TEST_DATA!D11734</f>
        <v/>
      </c>
      <c r="E11734">
        <f>TEST_DATA!E11734</f>
        <v/>
      </c>
    </row>
    <row r="11735">
      <c r="A11735">
        <f>TEST_DATA!A11735</f>
        <v/>
      </c>
      <c r="B11735">
        <f>TEST_DATA!B11735</f>
        <v/>
      </c>
      <c r="C11735">
        <f>TEST_DATA!C11735</f>
        <v/>
      </c>
      <c r="D11735">
        <f>TEST_DATA!D11735</f>
        <v/>
      </c>
      <c r="E11735">
        <f>TEST_DATA!E11735</f>
        <v/>
      </c>
    </row>
    <row r="11736">
      <c r="A11736">
        <f>TEST_DATA!A11736</f>
        <v/>
      </c>
      <c r="B11736">
        <f>TEST_DATA!B11736</f>
        <v/>
      </c>
      <c r="C11736">
        <f>TEST_DATA!C11736</f>
        <v/>
      </c>
      <c r="D11736">
        <f>TEST_DATA!D11736</f>
        <v/>
      </c>
      <c r="E11736">
        <f>TEST_DATA!E11736</f>
        <v/>
      </c>
    </row>
    <row r="11737">
      <c r="A11737">
        <f>TEST_DATA!A11737</f>
        <v/>
      </c>
      <c r="B11737">
        <f>TEST_DATA!B11737</f>
        <v/>
      </c>
      <c r="C11737">
        <f>TEST_DATA!C11737</f>
        <v/>
      </c>
      <c r="D11737">
        <f>TEST_DATA!D11737</f>
        <v/>
      </c>
      <c r="E11737">
        <f>TEST_DATA!E11737</f>
        <v/>
      </c>
    </row>
    <row r="11738">
      <c r="A11738">
        <f>TEST_DATA!A11738</f>
        <v/>
      </c>
      <c r="B11738">
        <f>TEST_DATA!B11738</f>
        <v/>
      </c>
      <c r="C11738">
        <f>TEST_DATA!C11738</f>
        <v/>
      </c>
      <c r="D11738">
        <f>TEST_DATA!D11738</f>
        <v/>
      </c>
      <c r="E11738">
        <f>TEST_DATA!E11738</f>
        <v/>
      </c>
    </row>
    <row r="11739">
      <c r="A11739">
        <f>TEST_DATA!A11739</f>
        <v/>
      </c>
      <c r="B11739">
        <f>TEST_DATA!B11739</f>
        <v/>
      </c>
      <c r="C11739">
        <f>TEST_DATA!C11739</f>
        <v/>
      </c>
      <c r="D11739">
        <f>TEST_DATA!D11739</f>
        <v/>
      </c>
      <c r="E11739">
        <f>TEST_DATA!E11739</f>
        <v/>
      </c>
    </row>
    <row r="11740">
      <c r="A11740">
        <f>TEST_DATA!A11740</f>
        <v/>
      </c>
      <c r="B11740">
        <f>TEST_DATA!B11740</f>
        <v/>
      </c>
      <c r="C11740">
        <f>TEST_DATA!C11740</f>
        <v/>
      </c>
      <c r="D11740">
        <f>TEST_DATA!D11740</f>
        <v/>
      </c>
      <c r="E11740">
        <f>TEST_DATA!E11740</f>
        <v/>
      </c>
    </row>
    <row r="11741">
      <c r="A11741">
        <f>TEST_DATA!A11741</f>
        <v/>
      </c>
      <c r="B11741">
        <f>TEST_DATA!B11741</f>
        <v/>
      </c>
      <c r="C11741">
        <f>TEST_DATA!C11741</f>
        <v/>
      </c>
      <c r="D11741">
        <f>TEST_DATA!D11741</f>
        <v/>
      </c>
      <c r="E11741">
        <f>TEST_DATA!E11741</f>
        <v/>
      </c>
    </row>
    <row r="11742">
      <c r="A11742">
        <f>TEST_DATA!A11742</f>
        <v/>
      </c>
      <c r="B11742">
        <f>TEST_DATA!B11742</f>
        <v/>
      </c>
      <c r="C11742">
        <f>TEST_DATA!C11742</f>
        <v/>
      </c>
      <c r="D11742">
        <f>TEST_DATA!D11742</f>
        <v/>
      </c>
      <c r="E11742">
        <f>TEST_DATA!E11742</f>
        <v/>
      </c>
    </row>
    <row r="11743">
      <c r="A11743">
        <f>TEST_DATA!A11743</f>
        <v/>
      </c>
      <c r="B11743">
        <f>TEST_DATA!B11743</f>
        <v/>
      </c>
      <c r="C11743">
        <f>TEST_DATA!C11743</f>
        <v/>
      </c>
      <c r="D11743">
        <f>TEST_DATA!D11743</f>
        <v/>
      </c>
      <c r="E11743">
        <f>TEST_DATA!E11743</f>
        <v/>
      </c>
    </row>
    <row r="11744">
      <c r="A11744">
        <f>TEST_DATA!A11744</f>
        <v/>
      </c>
      <c r="B11744">
        <f>TEST_DATA!B11744</f>
        <v/>
      </c>
      <c r="C11744">
        <f>TEST_DATA!C11744</f>
        <v/>
      </c>
      <c r="D11744">
        <f>TEST_DATA!D11744</f>
        <v/>
      </c>
      <c r="E11744">
        <f>TEST_DATA!E11744</f>
        <v/>
      </c>
    </row>
    <row r="11745">
      <c r="A11745">
        <f>TEST_DATA!A11745</f>
        <v/>
      </c>
      <c r="B11745">
        <f>TEST_DATA!B11745</f>
        <v/>
      </c>
      <c r="C11745">
        <f>TEST_DATA!C11745</f>
        <v/>
      </c>
      <c r="D11745">
        <f>TEST_DATA!D11745</f>
        <v/>
      </c>
      <c r="E11745">
        <f>TEST_DATA!E11745</f>
        <v/>
      </c>
    </row>
    <row r="11746">
      <c r="A11746">
        <f>TEST_DATA!A11746</f>
        <v/>
      </c>
      <c r="B11746">
        <f>TEST_DATA!B11746</f>
        <v/>
      </c>
      <c r="C11746">
        <f>TEST_DATA!C11746</f>
        <v/>
      </c>
      <c r="D11746">
        <f>TEST_DATA!D11746</f>
        <v/>
      </c>
      <c r="E11746">
        <f>TEST_DATA!E11746</f>
        <v/>
      </c>
    </row>
    <row r="11747">
      <c r="A11747">
        <f>TEST_DATA!A11747</f>
        <v/>
      </c>
      <c r="B11747">
        <f>TEST_DATA!B11747</f>
        <v/>
      </c>
      <c r="C11747">
        <f>TEST_DATA!C11747</f>
        <v/>
      </c>
      <c r="D11747">
        <f>TEST_DATA!D11747</f>
        <v/>
      </c>
      <c r="E11747">
        <f>TEST_DATA!E11747</f>
        <v/>
      </c>
    </row>
    <row r="11748">
      <c r="A11748">
        <f>TEST_DATA!A11748</f>
        <v/>
      </c>
      <c r="B11748">
        <f>TEST_DATA!B11748</f>
        <v/>
      </c>
      <c r="C11748">
        <f>TEST_DATA!C11748</f>
        <v/>
      </c>
      <c r="D11748">
        <f>TEST_DATA!D11748</f>
        <v/>
      </c>
      <c r="E11748">
        <f>TEST_DATA!E11748</f>
        <v/>
      </c>
    </row>
    <row r="11749">
      <c r="A11749">
        <f>TEST_DATA!A11749</f>
        <v/>
      </c>
      <c r="B11749">
        <f>TEST_DATA!B11749</f>
        <v/>
      </c>
      <c r="C11749">
        <f>TEST_DATA!C11749</f>
        <v/>
      </c>
      <c r="D11749">
        <f>TEST_DATA!D11749</f>
        <v/>
      </c>
      <c r="E11749">
        <f>TEST_DATA!E11749</f>
        <v/>
      </c>
    </row>
    <row r="11750">
      <c r="A11750">
        <f>TEST_DATA!A11750</f>
        <v/>
      </c>
      <c r="B11750">
        <f>TEST_DATA!B11750</f>
        <v/>
      </c>
      <c r="C11750">
        <f>TEST_DATA!C11750</f>
        <v/>
      </c>
      <c r="D11750">
        <f>TEST_DATA!D11750</f>
        <v/>
      </c>
      <c r="E11750">
        <f>TEST_DATA!E11750</f>
        <v/>
      </c>
    </row>
    <row r="11751">
      <c r="A11751">
        <f>TEST_DATA!A11751</f>
        <v/>
      </c>
      <c r="B11751">
        <f>TEST_DATA!B11751</f>
        <v/>
      </c>
      <c r="C11751">
        <f>TEST_DATA!C11751</f>
        <v/>
      </c>
      <c r="D11751">
        <f>TEST_DATA!D11751</f>
        <v/>
      </c>
      <c r="E11751">
        <f>TEST_DATA!E11751</f>
        <v/>
      </c>
    </row>
    <row r="11752">
      <c r="A11752">
        <f>TEST_DATA!A11752</f>
        <v/>
      </c>
      <c r="B11752">
        <f>TEST_DATA!B11752</f>
        <v/>
      </c>
      <c r="C11752">
        <f>TEST_DATA!C11752</f>
        <v/>
      </c>
      <c r="D11752">
        <f>TEST_DATA!D11752</f>
        <v/>
      </c>
      <c r="E11752">
        <f>TEST_DATA!E11752</f>
        <v/>
      </c>
    </row>
    <row r="11753">
      <c r="A11753">
        <f>TEST_DATA!A11753</f>
        <v/>
      </c>
      <c r="B11753">
        <f>TEST_DATA!B11753</f>
        <v/>
      </c>
      <c r="C11753">
        <f>TEST_DATA!C11753</f>
        <v/>
      </c>
      <c r="D11753">
        <f>TEST_DATA!D11753</f>
        <v/>
      </c>
      <c r="E11753">
        <f>TEST_DATA!E11753</f>
        <v/>
      </c>
    </row>
    <row r="11754">
      <c r="A11754">
        <f>TEST_DATA!A11754</f>
        <v/>
      </c>
      <c r="B11754">
        <f>TEST_DATA!B11754</f>
        <v/>
      </c>
      <c r="C11754">
        <f>TEST_DATA!C11754</f>
        <v/>
      </c>
      <c r="D11754">
        <f>TEST_DATA!D11754</f>
        <v/>
      </c>
      <c r="E11754">
        <f>TEST_DATA!E11754</f>
        <v/>
      </c>
    </row>
    <row r="11755">
      <c r="A11755">
        <f>TEST_DATA!A11755</f>
        <v/>
      </c>
      <c r="B11755">
        <f>TEST_DATA!B11755</f>
        <v/>
      </c>
      <c r="C11755">
        <f>TEST_DATA!C11755</f>
        <v/>
      </c>
      <c r="D11755">
        <f>TEST_DATA!D11755</f>
        <v/>
      </c>
      <c r="E11755">
        <f>TEST_DATA!E11755</f>
        <v/>
      </c>
    </row>
    <row r="11756">
      <c r="A11756">
        <f>TEST_DATA!A11756</f>
        <v/>
      </c>
      <c r="B11756">
        <f>TEST_DATA!B11756</f>
        <v/>
      </c>
      <c r="C11756">
        <f>TEST_DATA!C11756</f>
        <v/>
      </c>
      <c r="D11756">
        <f>TEST_DATA!D11756</f>
        <v/>
      </c>
      <c r="E11756">
        <f>TEST_DATA!E11756</f>
        <v/>
      </c>
    </row>
    <row r="11757">
      <c r="A11757">
        <f>TEST_DATA!A11757</f>
        <v/>
      </c>
      <c r="B11757">
        <f>TEST_DATA!B11757</f>
        <v/>
      </c>
      <c r="C11757">
        <f>TEST_DATA!C11757</f>
        <v/>
      </c>
      <c r="D11757">
        <f>TEST_DATA!D11757</f>
        <v/>
      </c>
      <c r="E11757">
        <f>TEST_DATA!E11757</f>
        <v/>
      </c>
    </row>
    <row r="11758">
      <c r="A11758">
        <f>TEST_DATA!A11758</f>
        <v/>
      </c>
      <c r="B11758">
        <f>TEST_DATA!B11758</f>
        <v/>
      </c>
      <c r="C11758">
        <f>TEST_DATA!C11758</f>
        <v/>
      </c>
      <c r="D11758">
        <f>TEST_DATA!D11758</f>
        <v/>
      </c>
      <c r="E11758">
        <f>TEST_DATA!E11758</f>
        <v/>
      </c>
    </row>
    <row r="11759">
      <c r="A11759">
        <f>TEST_DATA!A11759</f>
        <v/>
      </c>
      <c r="B11759">
        <f>TEST_DATA!B11759</f>
        <v/>
      </c>
      <c r="C11759">
        <f>TEST_DATA!C11759</f>
        <v/>
      </c>
      <c r="D11759">
        <f>TEST_DATA!D11759</f>
        <v/>
      </c>
      <c r="E11759">
        <f>TEST_DATA!E11759</f>
        <v/>
      </c>
    </row>
    <row r="11760">
      <c r="A11760">
        <f>TEST_DATA!A11760</f>
        <v/>
      </c>
      <c r="B11760">
        <f>TEST_DATA!B11760</f>
        <v/>
      </c>
      <c r="C11760">
        <f>TEST_DATA!C11760</f>
        <v/>
      </c>
      <c r="D11760">
        <f>TEST_DATA!D11760</f>
        <v/>
      </c>
      <c r="E11760">
        <f>TEST_DATA!E11760</f>
        <v/>
      </c>
    </row>
    <row r="11761">
      <c r="A11761">
        <f>TEST_DATA!A11761</f>
        <v/>
      </c>
      <c r="B11761">
        <f>TEST_DATA!B11761</f>
        <v/>
      </c>
      <c r="C11761">
        <f>TEST_DATA!C11761</f>
        <v/>
      </c>
      <c r="D11761">
        <f>TEST_DATA!D11761</f>
        <v/>
      </c>
      <c r="E11761">
        <f>TEST_DATA!E11761</f>
        <v/>
      </c>
    </row>
    <row r="11762">
      <c r="A11762">
        <f>TEST_DATA!A11762</f>
        <v/>
      </c>
      <c r="B11762">
        <f>TEST_DATA!B11762</f>
        <v/>
      </c>
      <c r="C11762">
        <f>TEST_DATA!C11762</f>
        <v/>
      </c>
      <c r="D11762">
        <f>TEST_DATA!D11762</f>
        <v/>
      </c>
      <c r="E11762">
        <f>TEST_DATA!E11762</f>
        <v/>
      </c>
    </row>
    <row r="11763">
      <c r="A11763">
        <f>TEST_DATA!A11763</f>
        <v/>
      </c>
      <c r="B11763">
        <f>TEST_DATA!B11763</f>
        <v/>
      </c>
      <c r="C11763">
        <f>TEST_DATA!C11763</f>
        <v/>
      </c>
      <c r="D11763">
        <f>TEST_DATA!D11763</f>
        <v/>
      </c>
      <c r="E11763">
        <f>TEST_DATA!E11763</f>
        <v/>
      </c>
    </row>
    <row r="11764">
      <c r="A11764">
        <f>TEST_DATA!A11764</f>
        <v/>
      </c>
      <c r="B11764">
        <f>TEST_DATA!B11764</f>
        <v/>
      </c>
      <c r="C11764">
        <f>TEST_DATA!C11764</f>
        <v/>
      </c>
      <c r="D11764">
        <f>TEST_DATA!D11764</f>
        <v/>
      </c>
      <c r="E11764">
        <f>TEST_DATA!E11764</f>
        <v/>
      </c>
    </row>
    <row r="11765">
      <c r="A11765">
        <f>TEST_DATA!A11765</f>
        <v/>
      </c>
      <c r="B11765">
        <f>TEST_DATA!B11765</f>
        <v/>
      </c>
      <c r="C11765">
        <f>TEST_DATA!C11765</f>
        <v/>
      </c>
      <c r="D11765">
        <f>TEST_DATA!D11765</f>
        <v/>
      </c>
      <c r="E11765">
        <f>TEST_DATA!E11765</f>
        <v/>
      </c>
    </row>
    <row r="11766">
      <c r="A11766">
        <f>TEST_DATA!A11766</f>
        <v/>
      </c>
      <c r="B11766">
        <f>TEST_DATA!B11766</f>
        <v/>
      </c>
      <c r="C11766">
        <f>TEST_DATA!C11766</f>
        <v/>
      </c>
      <c r="D11766">
        <f>TEST_DATA!D11766</f>
        <v/>
      </c>
      <c r="E11766">
        <f>TEST_DATA!E11766</f>
        <v/>
      </c>
    </row>
    <row r="11767">
      <c r="A11767">
        <f>TEST_DATA!A11767</f>
        <v/>
      </c>
      <c r="B11767">
        <f>TEST_DATA!B11767</f>
        <v/>
      </c>
      <c r="C11767">
        <f>TEST_DATA!C11767</f>
        <v/>
      </c>
      <c r="D11767">
        <f>TEST_DATA!D11767</f>
        <v/>
      </c>
      <c r="E11767">
        <f>TEST_DATA!E11767</f>
        <v/>
      </c>
    </row>
    <row r="11768">
      <c r="A11768">
        <f>TEST_DATA!A11768</f>
        <v/>
      </c>
      <c r="B11768">
        <f>TEST_DATA!B11768</f>
        <v/>
      </c>
      <c r="C11768">
        <f>TEST_DATA!C11768</f>
        <v/>
      </c>
      <c r="D11768">
        <f>TEST_DATA!D11768</f>
        <v/>
      </c>
      <c r="E11768">
        <f>TEST_DATA!E11768</f>
        <v/>
      </c>
    </row>
    <row r="11769">
      <c r="A11769">
        <f>TEST_DATA!A11769</f>
        <v/>
      </c>
      <c r="B11769">
        <f>TEST_DATA!B11769</f>
        <v/>
      </c>
      <c r="C11769">
        <f>TEST_DATA!C11769</f>
        <v/>
      </c>
      <c r="D11769">
        <f>TEST_DATA!D11769</f>
        <v/>
      </c>
      <c r="E11769">
        <f>TEST_DATA!E11769</f>
        <v/>
      </c>
    </row>
    <row r="11770">
      <c r="A11770">
        <f>TEST_DATA!A11770</f>
        <v/>
      </c>
      <c r="B11770">
        <f>TEST_DATA!B11770</f>
        <v/>
      </c>
      <c r="C11770">
        <f>TEST_DATA!C11770</f>
        <v/>
      </c>
      <c r="D11770">
        <f>TEST_DATA!D11770</f>
        <v/>
      </c>
      <c r="E11770">
        <f>TEST_DATA!E11770</f>
        <v/>
      </c>
    </row>
    <row r="11771">
      <c r="A11771">
        <f>TEST_DATA!A11771</f>
        <v/>
      </c>
      <c r="B11771">
        <f>TEST_DATA!B11771</f>
        <v/>
      </c>
      <c r="C11771">
        <f>TEST_DATA!C11771</f>
        <v/>
      </c>
      <c r="D11771">
        <f>TEST_DATA!D11771</f>
        <v/>
      </c>
      <c r="E11771">
        <f>TEST_DATA!E11771</f>
        <v/>
      </c>
    </row>
    <row r="11772">
      <c r="A11772">
        <f>TEST_DATA!A11772</f>
        <v/>
      </c>
      <c r="B11772">
        <f>TEST_DATA!B11772</f>
        <v/>
      </c>
      <c r="C11772">
        <f>TEST_DATA!C11772</f>
        <v/>
      </c>
      <c r="D11772">
        <f>TEST_DATA!D11772</f>
        <v/>
      </c>
      <c r="E11772">
        <f>TEST_DATA!E11772</f>
        <v/>
      </c>
    </row>
    <row r="11773">
      <c r="A11773">
        <f>TEST_DATA!A11773</f>
        <v/>
      </c>
      <c r="B11773">
        <f>TEST_DATA!B11773</f>
        <v/>
      </c>
      <c r="C11773">
        <f>TEST_DATA!C11773</f>
        <v/>
      </c>
      <c r="D11773">
        <f>TEST_DATA!D11773</f>
        <v/>
      </c>
      <c r="E11773">
        <f>TEST_DATA!E11773</f>
        <v/>
      </c>
    </row>
    <row r="11774">
      <c r="A11774">
        <f>TEST_DATA!A11774</f>
        <v/>
      </c>
      <c r="B11774">
        <f>TEST_DATA!B11774</f>
        <v/>
      </c>
      <c r="C11774">
        <f>TEST_DATA!C11774</f>
        <v/>
      </c>
      <c r="D11774">
        <f>TEST_DATA!D11774</f>
        <v/>
      </c>
      <c r="E11774">
        <f>TEST_DATA!E11774</f>
        <v/>
      </c>
    </row>
    <row r="11775">
      <c r="A11775">
        <f>TEST_DATA!A11775</f>
        <v/>
      </c>
      <c r="B11775">
        <f>TEST_DATA!B11775</f>
        <v/>
      </c>
      <c r="C11775">
        <f>TEST_DATA!C11775</f>
        <v/>
      </c>
      <c r="D11775">
        <f>TEST_DATA!D11775</f>
        <v/>
      </c>
      <c r="E11775">
        <f>TEST_DATA!E11775</f>
        <v/>
      </c>
    </row>
    <row r="11776">
      <c r="A11776">
        <f>TEST_DATA!A11776</f>
        <v/>
      </c>
      <c r="B11776">
        <f>TEST_DATA!B11776</f>
        <v/>
      </c>
      <c r="C11776">
        <f>TEST_DATA!C11776</f>
        <v/>
      </c>
      <c r="D11776">
        <f>TEST_DATA!D11776</f>
        <v/>
      </c>
      <c r="E11776">
        <f>TEST_DATA!E11776</f>
        <v/>
      </c>
    </row>
    <row r="11777">
      <c r="A11777">
        <f>TEST_DATA!A11777</f>
        <v/>
      </c>
      <c r="B11777">
        <f>TEST_DATA!B11777</f>
        <v/>
      </c>
      <c r="C11777">
        <f>TEST_DATA!C11777</f>
        <v/>
      </c>
      <c r="D11777">
        <f>TEST_DATA!D11777</f>
        <v/>
      </c>
      <c r="E11777">
        <f>TEST_DATA!E11777</f>
        <v/>
      </c>
    </row>
    <row r="11778">
      <c r="A11778">
        <f>TEST_DATA!A11778</f>
        <v/>
      </c>
      <c r="B11778">
        <f>TEST_DATA!B11778</f>
        <v/>
      </c>
      <c r="C11778">
        <f>TEST_DATA!C11778</f>
        <v/>
      </c>
      <c r="D11778">
        <f>TEST_DATA!D11778</f>
        <v/>
      </c>
      <c r="E11778">
        <f>TEST_DATA!E11778</f>
        <v/>
      </c>
    </row>
    <row r="11779">
      <c r="A11779">
        <f>TEST_DATA!A11779</f>
        <v/>
      </c>
      <c r="B11779">
        <f>TEST_DATA!B11779</f>
        <v/>
      </c>
      <c r="C11779">
        <f>TEST_DATA!C11779</f>
        <v/>
      </c>
      <c r="D11779">
        <f>TEST_DATA!D11779</f>
        <v/>
      </c>
      <c r="E11779">
        <f>TEST_DATA!E11779</f>
        <v/>
      </c>
    </row>
    <row r="11780">
      <c r="A11780">
        <f>TEST_DATA!A11780</f>
        <v/>
      </c>
      <c r="B11780">
        <f>TEST_DATA!B11780</f>
        <v/>
      </c>
      <c r="C11780">
        <f>TEST_DATA!C11780</f>
        <v/>
      </c>
      <c r="D11780">
        <f>TEST_DATA!D11780</f>
        <v/>
      </c>
      <c r="E11780">
        <f>TEST_DATA!E11780</f>
        <v/>
      </c>
    </row>
    <row r="11781">
      <c r="A11781">
        <f>TEST_DATA!A11781</f>
        <v/>
      </c>
      <c r="B11781">
        <f>TEST_DATA!B11781</f>
        <v/>
      </c>
      <c r="C11781">
        <f>TEST_DATA!C11781</f>
        <v/>
      </c>
      <c r="D11781">
        <f>TEST_DATA!D11781</f>
        <v/>
      </c>
      <c r="E11781">
        <f>TEST_DATA!E11781</f>
        <v/>
      </c>
    </row>
    <row r="11782">
      <c r="A11782">
        <f>TEST_DATA!A11782</f>
        <v/>
      </c>
      <c r="B11782">
        <f>TEST_DATA!B11782</f>
        <v/>
      </c>
      <c r="C11782">
        <f>TEST_DATA!C11782</f>
        <v/>
      </c>
      <c r="D11782">
        <f>TEST_DATA!D11782</f>
        <v/>
      </c>
      <c r="E11782">
        <f>TEST_DATA!E11782</f>
        <v/>
      </c>
    </row>
    <row r="11783">
      <c r="A11783">
        <f>TEST_DATA!A11783</f>
        <v/>
      </c>
      <c r="B11783">
        <f>TEST_DATA!B11783</f>
        <v/>
      </c>
      <c r="C11783">
        <f>TEST_DATA!C11783</f>
        <v/>
      </c>
      <c r="D11783">
        <f>TEST_DATA!D11783</f>
        <v/>
      </c>
      <c r="E11783">
        <f>TEST_DATA!E11783</f>
        <v/>
      </c>
    </row>
    <row r="11784">
      <c r="A11784">
        <f>TEST_DATA!A11784</f>
        <v/>
      </c>
      <c r="B11784">
        <f>TEST_DATA!B11784</f>
        <v/>
      </c>
      <c r="C11784">
        <f>TEST_DATA!C11784</f>
        <v/>
      </c>
      <c r="D11784">
        <f>TEST_DATA!D11784</f>
        <v/>
      </c>
      <c r="E11784">
        <f>TEST_DATA!E11784</f>
        <v/>
      </c>
    </row>
    <row r="11785">
      <c r="A11785">
        <f>TEST_DATA!A11785</f>
        <v/>
      </c>
      <c r="B11785">
        <f>TEST_DATA!B11785</f>
        <v/>
      </c>
      <c r="C11785">
        <f>TEST_DATA!C11785</f>
        <v/>
      </c>
      <c r="D11785">
        <f>TEST_DATA!D11785</f>
        <v/>
      </c>
      <c r="E11785">
        <f>TEST_DATA!E11785</f>
        <v/>
      </c>
    </row>
    <row r="11786">
      <c r="A11786">
        <f>TEST_DATA!A11786</f>
        <v/>
      </c>
      <c r="B11786">
        <f>TEST_DATA!B11786</f>
        <v/>
      </c>
      <c r="C11786">
        <f>TEST_DATA!C11786</f>
        <v/>
      </c>
      <c r="D11786">
        <f>TEST_DATA!D11786</f>
        <v/>
      </c>
      <c r="E11786">
        <f>TEST_DATA!E11786</f>
        <v/>
      </c>
    </row>
    <row r="11787">
      <c r="A11787">
        <f>TEST_DATA!A11787</f>
        <v/>
      </c>
      <c r="B11787">
        <f>TEST_DATA!B11787</f>
        <v/>
      </c>
      <c r="C11787">
        <f>TEST_DATA!C11787</f>
        <v/>
      </c>
      <c r="D11787">
        <f>TEST_DATA!D11787</f>
        <v/>
      </c>
      <c r="E11787">
        <f>TEST_DATA!E11787</f>
        <v/>
      </c>
    </row>
    <row r="11788">
      <c r="A11788">
        <f>TEST_DATA!A11788</f>
        <v/>
      </c>
      <c r="B11788">
        <f>TEST_DATA!B11788</f>
        <v/>
      </c>
      <c r="C11788">
        <f>TEST_DATA!C11788</f>
        <v/>
      </c>
      <c r="D11788">
        <f>TEST_DATA!D11788</f>
        <v/>
      </c>
      <c r="E11788">
        <f>TEST_DATA!E11788</f>
        <v/>
      </c>
    </row>
    <row r="11789">
      <c r="A11789">
        <f>TEST_DATA!A11789</f>
        <v/>
      </c>
      <c r="B11789">
        <f>TEST_DATA!B11789</f>
        <v/>
      </c>
      <c r="C11789">
        <f>TEST_DATA!C11789</f>
        <v/>
      </c>
      <c r="D11789">
        <f>TEST_DATA!D11789</f>
        <v/>
      </c>
      <c r="E11789">
        <f>TEST_DATA!E11789</f>
        <v/>
      </c>
    </row>
    <row r="11790">
      <c r="A11790">
        <f>TEST_DATA!A11790</f>
        <v/>
      </c>
      <c r="B11790">
        <f>TEST_DATA!B11790</f>
        <v/>
      </c>
      <c r="C11790">
        <f>TEST_DATA!C11790</f>
        <v/>
      </c>
      <c r="D11790">
        <f>TEST_DATA!D11790</f>
        <v/>
      </c>
      <c r="E11790">
        <f>TEST_DATA!E11790</f>
        <v/>
      </c>
    </row>
    <row r="11791">
      <c r="A11791">
        <f>TEST_DATA!A11791</f>
        <v/>
      </c>
      <c r="B11791">
        <f>TEST_DATA!B11791</f>
        <v/>
      </c>
      <c r="C11791">
        <f>TEST_DATA!C11791</f>
        <v/>
      </c>
      <c r="D11791">
        <f>TEST_DATA!D11791</f>
        <v/>
      </c>
      <c r="E11791">
        <f>TEST_DATA!E11791</f>
        <v/>
      </c>
    </row>
    <row r="11792">
      <c r="A11792">
        <f>TEST_DATA!A11792</f>
        <v/>
      </c>
      <c r="B11792">
        <f>TEST_DATA!B11792</f>
        <v/>
      </c>
      <c r="C11792">
        <f>TEST_DATA!C11792</f>
        <v/>
      </c>
      <c r="D11792">
        <f>TEST_DATA!D11792</f>
        <v/>
      </c>
      <c r="E11792">
        <f>TEST_DATA!E11792</f>
        <v/>
      </c>
    </row>
    <row r="11793">
      <c r="A11793">
        <f>TEST_DATA!A11793</f>
        <v/>
      </c>
      <c r="B11793">
        <f>TEST_DATA!B11793</f>
        <v/>
      </c>
      <c r="C11793">
        <f>TEST_DATA!C11793</f>
        <v/>
      </c>
      <c r="D11793">
        <f>TEST_DATA!D11793</f>
        <v/>
      </c>
      <c r="E11793">
        <f>TEST_DATA!E11793</f>
        <v/>
      </c>
    </row>
    <row r="11794">
      <c r="A11794">
        <f>TEST_DATA!A11794</f>
        <v/>
      </c>
      <c r="B11794">
        <f>TEST_DATA!B11794</f>
        <v/>
      </c>
      <c r="C11794">
        <f>TEST_DATA!C11794</f>
        <v/>
      </c>
      <c r="D11794">
        <f>TEST_DATA!D11794</f>
        <v/>
      </c>
      <c r="E11794">
        <f>TEST_DATA!E11794</f>
        <v/>
      </c>
    </row>
    <row r="11795">
      <c r="A11795">
        <f>TEST_DATA!A11795</f>
        <v/>
      </c>
      <c r="B11795">
        <f>TEST_DATA!B11795</f>
        <v/>
      </c>
      <c r="C11795">
        <f>TEST_DATA!C11795</f>
        <v/>
      </c>
      <c r="D11795">
        <f>TEST_DATA!D11795</f>
        <v/>
      </c>
      <c r="E11795">
        <f>TEST_DATA!E11795</f>
        <v/>
      </c>
    </row>
    <row r="11796">
      <c r="A11796">
        <f>TEST_DATA!A11796</f>
        <v/>
      </c>
      <c r="B11796">
        <f>TEST_DATA!B11796</f>
        <v/>
      </c>
      <c r="C11796">
        <f>TEST_DATA!C11796</f>
        <v/>
      </c>
      <c r="D11796">
        <f>TEST_DATA!D11796</f>
        <v/>
      </c>
      <c r="E11796">
        <f>TEST_DATA!E11796</f>
        <v/>
      </c>
    </row>
    <row r="11797">
      <c r="A11797">
        <f>TEST_DATA!A11797</f>
        <v/>
      </c>
      <c r="B11797">
        <f>TEST_DATA!B11797</f>
        <v/>
      </c>
      <c r="C11797">
        <f>TEST_DATA!C11797</f>
        <v/>
      </c>
      <c r="D11797">
        <f>TEST_DATA!D11797</f>
        <v/>
      </c>
      <c r="E11797">
        <f>TEST_DATA!E11797</f>
        <v/>
      </c>
    </row>
    <row r="11798">
      <c r="A11798">
        <f>TEST_DATA!A11798</f>
        <v/>
      </c>
      <c r="B11798">
        <f>TEST_DATA!B11798</f>
        <v/>
      </c>
      <c r="C11798">
        <f>TEST_DATA!C11798</f>
        <v/>
      </c>
      <c r="D11798">
        <f>TEST_DATA!D11798</f>
        <v/>
      </c>
      <c r="E11798">
        <f>TEST_DATA!E11798</f>
        <v/>
      </c>
    </row>
    <row r="11799">
      <c r="A11799">
        <f>TEST_DATA!A11799</f>
        <v/>
      </c>
      <c r="B11799">
        <f>TEST_DATA!B11799</f>
        <v/>
      </c>
      <c r="C11799">
        <f>TEST_DATA!C11799</f>
        <v/>
      </c>
      <c r="D11799">
        <f>TEST_DATA!D11799</f>
        <v/>
      </c>
      <c r="E11799">
        <f>TEST_DATA!E11799</f>
        <v/>
      </c>
    </row>
    <row r="11800">
      <c r="A11800">
        <f>TEST_DATA!A11800</f>
        <v/>
      </c>
      <c r="B11800">
        <f>TEST_DATA!B11800</f>
        <v/>
      </c>
      <c r="C11800">
        <f>TEST_DATA!C11800</f>
        <v/>
      </c>
      <c r="D11800">
        <f>TEST_DATA!D11800</f>
        <v/>
      </c>
      <c r="E11800">
        <f>TEST_DATA!E11800</f>
        <v/>
      </c>
    </row>
    <row r="11801">
      <c r="A11801">
        <f>TEST_DATA!A11801</f>
        <v/>
      </c>
      <c r="B11801">
        <f>TEST_DATA!B11801</f>
        <v/>
      </c>
      <c r="C11801">
        <f>TEST_DATA!C11801</f>
        <v/>
      </c>
      <c r="D11801">
        <f>TEST_DATA!D11801</f>
        <v/>
      </c>
      <c r="E11801">
        <f>TEST_DATA!E11801</f>
        <v/>
      </c>
    </row>
    <row r="11802">
      <c r="A11802">
        <f>TEST_DATA!A11802</f>
        <v/>
      </c>
      <c r="B11802">
        <f>TEST_DATA!B11802</f>
        <v/>
      </c>
      <c r="C11802">
        <f>TEST_DATA!C11802</f>
        <v/>
      </c>
      <c r="D11802">
        <f>TEST_DATA!D11802</f>
        <v/>
      </c>
      <c r="E11802">
        <f>TEST_DATA!E11802</f>
        <v/>
      </c>
    </row>
    <row r="11803">
      <c r="A11803">
        <f>TEST_DATA!A11803</f>
        <v/>
      </c>
      <c r="B11803">
        <f>TEST_DATA!B11803</f>
        <v/>
      </c>
      <c r="C11803">
        <f>TEST_DATA!C11803</f>
        <v/>
      </c>
      <c r="D11803">
        <f>TEST_DATA!D11803</f>
        <v/>
      </c>
      <c r="E11803">
        <f>TEST_DATA!E11803</f>
        <v/>
      </c>
    </row>
    <row r="11804">
      <c r="A11804">
        <f>TEST_DATA!A11804</f>
        <v/>
      </c>
      <c r="B11804">
        <f>TEST_DATA!B11804</f>
        <v/>
      </c>
      <c r="C11804">
        <f>TEST_DATA!C11804</f>
        <v/>
      </c>
      <c r="D11804">
        <f>TEST_DATA!D11804</f>
        <v/>
      </c>
      <c r="E11804">
        <f>TEST_DATA!E11804</f>
        <v/>
      </c>
    </row>
    <row r="11805">
      <c r="A11805">
        <f>TEST_DATA!A11805</f>
        <v/>
      </c>
      <c r="B11805">
        <f>TEST_DATA!B11805</f>
        <v/>
      </c>
      <c r="C11805">
        <f>TEST_DATA!C11805</f>
        <v/>
      </c>
      <c r="D11805">
        <f>TEST_DATA!D11805</f>
        <v/>
      </c>
      <c r="E11805">
        <f>TEST_DATA!E11805</f>
        <v/>
      </c>
    </row>
    <row r="11806">
      <c r="A11806">
        <f>TEST_DATA!A11806</f>
        <v/>
      </c>
      <c r="B11806">
        <f>TEST_DATA!B11806</f>
        <v/>
      </c>
      <c r="C11806">
        <f>TEST_DATA!C11806</f>
        <v/>
      </c>
      <c r="D11806">
        <f>TEST_DATA!D11806</f>
        <v/>
      </c>
      <c r="E11806">
        <f>TEST_DATA!E11806</f>
        <v/>
      </c>
    </row>
    <row r="11807">
      <c r="A11807">
        <f>TEST_DATA!A11807</f>
        <v/>
      </c>
      <c r="B11807">
        <f>TEST_DATA!B11807</f>
        <v/>
      </c>
      <c r="C11807">
        <f>TEST_DATA!C11807</f>
        <v/>
      </c>
      <c r="D11807">
        <f>TEST_DATA!D11807</f>
        <v/>
      </c>
      <c r="E11807">
        <f>TEST_DATA!E11807</f>
        <v/>
      </c>
    </row>
    <row r="11808">
      <c r="A11808">
        <f>TEST_DATA!A11808</f>
        <v/>
      </c>
      <c r="B11808">
        <f>TEST_DATA!B11808</f>
        <v/>
      </c>
      <c r="C11808">
        <f>TEST_DATA!C11808</f>
        <v/>
      </c>
      <c r="D11808">
        <f>TEST_DATA!D11808</f>
        <v/>
      </c>
      <c r="E11808">
        <f>TEST_DATA!E11808</f>
        <v/>
      </c>
    </row>
    <row r="11809">
      <c r="A11809">
        <f>TEST_DATA!A11809</f>
        <v/>
      </c>
      <c r="B11809">
        <f>TEST_DATA!B11809</f>
        <v/>
      </c>
      <c r="C11809">
        <f>TEST_DATA!C11809</f>
        <v/>
      </c>
      <c r="D11809">
        <f>TEST_DATA!D11809</f>
        <v/>
      </c>
      <c r="E11809">
        <f>TEST_DATA!E11809</f>
        <v/>
      </c>
    </row>
    <row r="11810">
      <c r="A11810">
        <f>TEST_DATA!A11810</f>
        <v/>
      </c>
      <c r="B11810">
        <f>TEST_DATA!B11810</f>
        <v/>
      </c>
      <c r="C11810">
        <f>TEST_DATA!C11810</f>
        <v/>
      </c>
      <c r="D11810">
        <f>TEST_DATA!D11810</f>
        <v/>
      </c>
      <c r="E11810">
        <f>TEST_DATA!E11810</f>
        <v/>
      </c>
    </row>
    <row r="11811">
      <c r="A11811">
        <f>TEST_DATA!A11811</f>
        <v/>
      </c>
      <c r="B11811">
        <f>TEST_DATA!B11811</f>
        <v/>
      </c>
      <c r="C11811">
        <f>TEST_DATA!C11811</f>
        <v/>
      </c>
      <c r="D11811">
        <f>TEST_DATA!D11811</f>
        <v/>
      </c>
      <c r="E11811">
        <f>TEST_DATA!E11811</f>
        <v/>
      </c>
    </row>
    <row r="11812">
      <c r="A11812">
        <f>TEST_DATA!A11812</f>
        <v/>
      </c>
      <c r="B11812">
        <f>TEST_DATA!B11812</f>
        <v/>
      </c>
      <c r="C11812">
        <f>TEST_DATA!C11812</f>
        <v/>
      </c>
      <c r="D11812">
        <f>TEST_DATA!D11812</f>
        <v/>
      </c>
      <c r="E11812">
        <f>TEST_DATA!E11812</f>
        <v/>
      </c>
    </row>
    <row r="11813">
      <c r="A11813">
        <f>TEST_DATA!A11813</f>
        <v/>
      </c>
      <c r="B11813">
        <f>TEST_DATA!B11813</f>
        <v/>
      </c>
      <c r="C11813">
        <f>TEST_DATA!C11813</f>
        <v/>
      </c>
      <c r="D11813">
        <f>TEST_DATA!D11813</f>
        <v/>
      </c>
      <c r="E11813">
        <f>TEST_DATA!E11813</f>
        <v/>
      </c>
    </row>
    <row r="11814">
      <c r="A11814">
        <f>TEST_DATA!A11814</f>
        <v/>
      </c>
      <c r="B11814">
        <f>TEST_DATA!B11814</f>
        <v/>
      </c>
      <c r="C11814">
        <f>TEST_DATA!C11814</f>
        <v/>
      </c>
      <c r="D11814">
        <f>TEST_DATA!D11814</f>
        <v/>
      </c>
      <c r="E11814">
        <f>TEST_DATA!E11814</f>
        <v/>
      </c>
    </row>
    <row r="11815">
      <c r="A11815">
        <f>TEST_DATA!A11815</f>
        <v/>
      </c>
      <c r="B11815">
        <f>TEST_DATA!B11815</f>
        <v/>
      </c>
      <c r="C11815">
        <f>TEST_DATA!C11815</f>
        <v/>
      </c>
      <c r="D11815">
        <f>TEST_DATA!D11815</f>
        <v/>
      </c>
      <c r="E11815">
        <f>TEST_DATA!E11815</f>
        <v/>
      </c>
    </row>
    <row r="11816">
      <c r="A11816">
        <f>TEST_DATA!A11816</f>
        <v/>
      </c>
      <c r="B11816">
        <f>TEST_DATA!B11816</f>
        <v/>
      </c>
      <c r="C11816">
        <f>TEST_DATA!C11816</f>
        <v/>
      </c>
      <c r="D11816">
        <f>TEST_DATA!D11816</f>
        <v/>
      </c>
      <c r="E11816">
        <f>TEST_DATA!E11816</f>
        <v/>
      </c>
    </row>
    <row r="11817">
      <c r="A11817">
        <f>TEST_DATA!A11817</f>
        <v/>
      </c>
      <c r="B11817">
        <f>TEST_DATA!B11817</f>
        <v/>
      </c>
      <c r="C11817">
        <f>TEST_DATA!C11817</f>
        <v/>
      </c>
      <c r="D11817">
        <f>TEST_DATA!D11817</f>
        <v/>
      </c>
      <c r="E11817">
        <f>TEST_DATA!E11817</f>
        <v/>
      </c>
    </row>
    <row r="11818">
      <c r="A11818">
        <f>TEST_DATA!A11818</f>
        <v/>
      </c>
      <c r="B11818">
        <f>TEST_DATA!B11818</f>
        <v/>
      </c>
      <c r="C11818">
        <f>TEST_DATA!C11818</f>
        <v/>
      </c>
      <c r="D11818">
        <f>TEST_DATA!D11818</f>
        <v/>
      </c>
      <c r="E11818">
        <f>TEST_DATA!E11818</f>
        <v/>
      </c>
    </row>
    <row r="11819">
      <c r="A11819">
        <f>TEST_DATA!A11819</f>
        <v/>
      </c>
      <c r="B11819">
        <f>TEST_DATA!B11819</f>
        <v/>
      </c>
      <c r="C11819">
        <f>TEST_DATA!C11819</f>
        <v/>
      </c>
      <c r="D11819">
        <f>TEST_DATA!D11819</f>
        <v/>
      </c>
      <c r="E11819">
        <f>TEST_DATA!E11819</f>
        <v/>
      </c>
    </row>
    <row r="11820">
      <c r="A11820">
        <f>TEST_DATA!A11820</f>
        <v/>
      </c>
      <c r="B11820">
        <f>TEST_DATA!B11820</f>
        <v/>
      </c>
      <c r="C11820">
        <f>TEST_DATA!C11820</f>
        <v/>
      </c>
      <c r="D11820">
        <f>TEST_DATA!D11820</f>
        <v/>
      </c>
      <c r="E11820">
        <f>TEST_DATA!E11820</f>
        <v/>
      </c>
    </row>
    <row r="11821">
      <c r="A11821">
        <f>TEST_DATA!A11821</f>
        <v/>
      </c>
      <c r="B11821">
        <f>TEST_DATA!B11821</f>
        <v/>
      </c>
      <c r="C11821">
        <f>TEST_DATA!C11821</f>
        <v/>
      </c>
      <c r="D11821">
        <f>TEST_DATA!D11821</f>
        <v/>
      </c>
      <c r="E11821">
        <f>TEST_DATA!E11821</f>
        <v/>
      </c>
    </row>
    <row r="11822">
      <c r="A11822">
        <f>TEST_DATA!A11822</f>
        <v/>
      </c>
      <c r="B11822">
        <f>TEST_DATA!B11822</f>
        <v/>
      </c>
      <c r="C11822">
        <f>TEST_DATA!C11822</f>
        <v/>
      </c>
      <c r="D11822">
        <f>TEST_DATA!D11822</f>
        <v/>
      </c>
      <c r="E11822">
        <f>TEST_DATA!E11822</f>
        <v/>
      </c>
    </row>
    <row r="11823">
      <c r="A11823">
        <f>TEST_DATA!A11823</f>
        <v/>
      </c>
      <c r="B11823">
        <f>TEST_DATA!B11823</f>
        <v/>
      </c>
      <c r="C11823">
        <f>TEST_DATA!C11823</f>
        <v/>
      </c>
      <c r="D11823">
        <f>TEST_DATA!D11823</f>
        <v/>
      </c>
      <c r="E11823">
        <f>TEST_DATA!E11823</f>
        <v/>
      </c>
    </row>
    <row r="11824">
      <c r="A11824">
        <f>TEST_DATA!A11824</f>
        <v/>
      </c>
      <c r="B11824">
        <f>TEST_DATA!B11824</f>
        <v/>
      </c>
      <c r="C11824">
        <f>TEST_DATA!C11824</f>
        <v/>
      </c>
      <c r="D11824">
        <f>TEST_DATA!D11824</f>
        <v/>
      </c>
      <c r="E11824">
        <f>TEST_DATA!E11824</f>
        <v/>
      </c>
    </row>
    <row r="11825">
      <c r="A11825">
        <f>TEST_DATA!A11825</f>
        <v/>
      </c>
      <c r="B11825">
        <f>TEST_DATA!B11825</f>
        <v/>
      </c>
      <c r="C11825">
        <f>TEST_DATA!C11825</f>
        <v/>
      </c>
      <c r="D11825">
        <f>TEST_DATA!D11825</f>
        <v/>
      </c>
      <c r="E11825">
        <f>TEST_DATA!E11825</f>
        <v/>
      </c>
    </row>
    <row r="11826">
      <c r="A11826">
        <f>TEST_DATA!A11826</f>
        <v/>
      </c>
      <c r="B11826">
        <f>TEST_DATA!B11826</f>
        <v/>
      </c>
      <c r="C11826">
        <f>TEST_DATA!C11826</f>
        <v/>
      </c>
      <c r="D11826">
        <f>TEST_DATA!D11826</f>
        <v/>
      </c>
      <c r="E11826">
        <f>TEST_DATA!E11826</f>
        <v/>
      </c>
    </row>
    <row r="11827">
      <c r="A11827">
        <f>TEST_DATA!A11827</f>
        <v/>
      </c>
      <c r="B11827">
        <f>TEST_DATA!B11827</f>
        <v/>
      </c>
      <c r="C11827">
        <f>TEST_DATA!C11827</f>
        <v/>
      </c>
      <c r="D11827">
        <f>TEST_DATA!D11827</f>
        <v/>
      </c>
      <c r="E11827">
        <f>TEST_DATA!E11827</f>
        <v/>
      </c>
    </row>
    <row r="11828">
      <c r="A11828">
        <f>TEST_DATA!A11828</f>
        <v/>
      </c>
      <c r="B11828">
        <f>TEST_DATA!B11828</f>
        <v/>
      </c>
      <c r="C11828">
        <f>TEST_DATA!C11828</f>
        <v/>
      </c>
      <c r="D11828">
        <f>TEST_DATA!D11828</f>
        <v/>
      </c>
      <c r="E11828">
        <f>TEST_DATA!E11828</f>
        <v/>
      </c>
    </row>
    <row r="11829">
      <c r="A11829">
        <f>TEST_DATA!A11829</f>
        <v/>
      </c>
      <c r="B11829">
        <f>TEST_DATA!B11829</f>
        <v/>
      </c>
      <c r="C11829">
        <f>TEST_DATA!C11829</f>
        <v/>
      </c>
      <c r="D11829">
        <f>TEST_DATA!D11829</f>
        <v/>
      </c>
      <c r="E11829">
        <f>TEST_DATA!E11829</f>
        <v/>
      </c>
    </row>
    <row r="11830">
      <c r="A11830">
        <f>TEST_DATA!A11830</f>
        <v/>
      </c>
      <c r="B11830">
        <f>TEST_DATA!B11830</f>
        <v/>
      </c>
      <c r="C11830">
        <f>TEST_DATA!C11830</f>
        <v/>
      </c>
      <c r="D11830">
        <f>TEST_DATA!D11830</f>
        <v/>
      </c>
      <c r="E11830">
        <f>TEST_DATA!E11830</f>
        <v/>
      </c>
    </row>
    <row r="11831">
      <c r="A11831">
        <f>TEST_DATA!A11831</f>
        <v/>
      </c>
      <c r="B11831">
        <f>TEST_DATA!B11831</f>
        <v/>
      </c>
      <c r="C11831">
        <f>TEST_DATA!C11831</f>
        <v/>
      </c>
      <c r="D11831">
        <f>TEST_DATA!D11831</f>
        <v/>
      </c>
      <c r="E11831">
        <f>TEST_DATA!E11831</f>
        <v/>
      </c>
    </row>
    <row r="11832">
      <c r="A11832">
        <f>TEST_DATA!A11832</f>
        <v/>
      </c>
      <c r="B11832">
        <f>TEST_DATA!B11832</f>
        <v/>
      </c>
      <c r="C11832">
        <f>TEST_DATA!C11832</f>
        <v/>
      </c>
      <c r="D11832">
        <f>TEST_DATA!D11832</f>
        <v/>
      </c>
      <c r="E11832">
        <f>TEST_DATA!E11832</f>
        <v/>
      </c>
    </row>
    <row r="11833">
      <c r="A11833">
        <f>TEST_DATA!A11833</f>
        <v/>
      </c>
      <c r="B11833">
        <f>TEST_DATA!B11833</f>
        <v/>
      </c>
      <c r="C11833">
        <f>TEST_DATA!C11833</f>
        <v/>
      </c>
      <c r="D11833">
        <f>TEST_DATA!D11833</f>
        <v/>
      </c>
      <c r="E11833">
        <f>TEST_DATA!E11833</f>
        <v/>
      </c>
    </row>
    <row r="11834">
      <c r="A11834">
        <f>TEST_DATA!A11834</f>
        <v/>
      </c>
      <c r="B11834">
        <f>TEST_DATA!B11834</f>
        <v/>
      </c>
      <c r="C11834">
        <f>TEST_DATA!C11834</f>
        <v/>
      </c>
      <c r="D11834">
        <f>TEST_DATA!D11834</f>
        <v/>
      </c>
      <c r="E11834">
        <f>TEST_DATA!E11834</f>
        <v/>
      </c>
    </row>
    <row r="11835">
      <c r="A11835">
        <f>TEST_DATA!A11835</f>
        <v/>
      </c>
      <c r="B11835">
        <f>TEST_DATA!B11835</f>
        <v/>
      </c>
      <c r="C11835">
        <f>TEST_DATA!C11835</f>
        <v/>
      </c>
      <c r="D11835">
        <f>TEST_DATA!D11835</f>
        <v/>
      </c>
      <c r="E11835">
        <f>TEST_DATA!E11835</f>
        <v/>
      </c>
    </row>
    <row r="11836">
      <c r="A11836">
        <f>TEST_DATA!A11836</f>
        <v/>
      </c>
      <c r="B11836">
        <f>TEST_DATA!B11836</f>
        <v/>
      </c>
      <c r="C11836">
        <f>TEST_DATA!C11836</f>
        <v/>
      </c>
      <c r="D11836">
        <f>TEST_DATA!D11836</f>
        <v/>
      </c>
      <c r="E11836">
        <f>TEST_DATA!E11836</f>
        <v/>
      </c>
    </row>
    <row r="11837">
      <c r="A11837">
        <f>TEST_DATA!A11837</f>
        <v/>
      </c>
      <c r="B11837">
        <f>TEST_DATA!B11837</f>
        <v/>
      </c>
      <c r="C11837">
        <f>TEST_DATA!C11837</f>
        <v/>
      </c>
      <c r="D11837">
        <f>TEST_DATA!D11837</f>
        <v/>
      </c>
      <c r="E11837">
        <f>TEST_DATA!E11837</f>
        <v/>
      </c>
    </row>
    <row r="11838">
      <c r="A11838">
        <f>TEST_DATA!A11838</f>
        <v/>
      </c>
      <c r="B11838">
        <f>TEST_DATA!B11838</f>
        <v/>
      </c>
      <c r="C11838">
        <f>TEST_DATA!C11838</f>
        <v/>
      </c>
      <c r="D11838">
        <f>TEST_DATA!D11838</f>
        <v/>
      </c>
      <c r="E11838">
        <f>TEST_DATA!E11838</f>
        <v/>
      </c>
    </row>
    <row r="11839">
      <c r="A11839">
        <f>TEST_DATA!A11839</f>
        <v/>
      </c>
      <c r="B11839">
        <f>TEST_DATA!B11839</f>
        <v/>
      </c>
      <c r="C11839">
        <f>TEST_DATA!C11839</f>
        <v/>
      </c>
      <c r="D11839">
        <f>TEST_DATA!D11839</f>
        <v/>
      </c>
      <c r="E11839">
        <f>TEST_DATA!E11839</f>
        <v/>
      </c>
    </row>
    <row r="11840">
      <c r="A11840">
        <f>TEST_DATA!A11840</f>
        <v/>
      </c>
      <c r="B11840">
        <f>TEST_DATA!B11840</f>
        <v/>
      </c>
      <c r="C11840">
        <f>TEST_DATA!C11840</f>
        <v/>
      </c>
      <c r="D11840">
        <f>TEST_DATA!D11840</f>
        <v/>
      </c>
      <c r="E11840">
        <f>TEST_DATA!E11840</f>
        <v/>
      </c>
    </row>
    <row r="11841">
      <c r="A11841">
        <f>TEST_DATA!A11841</f>
        <v/>
      </c>
      <c r="B11841">
        <f>TEST_DATA!B11841</f>
        <v/>
      </c>
      <c r="C11841">
        <f>TEST_DATA!C11841</f>
        <v/>
      </c>
      <c r="D11841">
        <f>TEST_DATA!D11841</f>
        <v/>
      </c>
      <c r="E11841">
        <f>TEST_DATA!E11841</f>
        <v/>
      </c>
    </row>
    <row r="11842">
      <c r="A11842">
        <f>TEST_DATA!A11842</f>
        <v/>
      </c>
      <c r="B11842">
        <f>TEST_DATA!B11842</f>
        <v/>
      </c>
      <c r="C11842">
        <f>TEST_DATA!C11842</f>
        <v/>
      </c>
      <c r="D11842">
        <f>TEST_DATA!D11842</f>
        <v/>
      </c>
      <c r="E11842">
        <f>TEST_DATA!E11842</f>
        <v/>
      </c>
    </row>
    <row r="11843">
      <c r="A11843">
        <f>TEST_DATA!A11843</f>
        <v/>
      </c>
      <c r="B11843">
        <f>TEST_DATA!B11843</f>
        <v/>
      </c>
      <c r="C11843">
        <f>TEST_DATA!C11843</f>
        <v/>
      </c>
      <c r="D11843">
        <f>TEST_DATA!D11843</f>
        <v/>
      </c>
      <c r="E11843">
        <f>TEST_DATA!E11843</f>
        <v/>
      </c>
    </row>
    <row r="11844">
      <c r="A11844">
        <f>TEST_DATA!A11844</f>
        <v/>
      </c>
      <c r="B11844">
        <f>TEST_DATA!B11844</f>
        <v/>
      </c>
      <c r="C11844">
        <f>TEST_DATA!C11844</f>
        <v/>
      </c>
      <c r="D11844">
        <f>TEST_DATA!D11844</f>
        <v/>
      </c>
      <c r="E11844">
        <f>TEST_DATA!E11844</f>
        <v/>
      </c>
    </row>
    <row r="11845">
      <c r="A11845">
        <f>TEST_DATA!A11845</f>
        <v/>
      </c>
      <c r="B11845">
        <f>TEST_DATA!B11845</f>
        <v/>
      </c>
      <c r="C11845">
        <f>TEST_DATA!C11845</f>
        <v/>
      </c>
      <c r="D11845">
        <f>TEST_DATA!D11845</f>
        <v/>
      </c>
      <c r="E11845">
        <f>TEST_DATA!E11845</f>
        <v/>
      </c>
    </row>
    <row r="11846">
      <c r="A11846">
        <f>TEST_DATA!A11846</f>
        <v/>
      </c>
      <c r="B11846">
        <f>TEST_DATA!B11846</f>
        <v/>
      </c>
      <c r="C11846">
        <f>TEST_DATA!C11846</f>
        <v/>
      </c>
      <c r="D11846">
        <f>TEST_DATA!D11846</f>
        <v/>
      </c>
      <c r="E11846">
        <f>TEST_DATA!E11846</f>
        <v/>
      </c>
    </row>
    <row r="11847">
      <c r="A11847">
        <f>TEST_DATA!A11847</f>
        <v/>
      </c>
      <c r="B11847">
        <f>TEST_DATA!B11847</f>
        <v/>
      </c>
      <c r="C11847">
        <f>TEST_DATA!C11847</f>
        <v/>
      </c>
      <c r="D11847">
        <f>TEST_DATA!D11847</f>
        <v/>
      </c>
      <c r="E11847">
        <f>TEST_DATA!E11847</f>
        <v/>
      </c>
    </row>
    <row r="11848">
      <c r="A11848">
        <f>TEST_DATA!A11848</f>
        <v/>
      </c>
      <c r="B11848">
        <f>TEST_DATA!B11848</f>
        <v/>
      </c>
      <c r="C11848">
        <f>TEST_DATA!C11848</f>
        <v/>
      </c>
      <c r="D11848">
        <f>TEST_DATA!D11848</f>
        <v/>
      </c>
      <c r="E11848">
        <f>TEST_DATA!E11848</f>
        <v/>
      </c>
    </row>
    <row r="11849">
      <c r="A11849">
        <f>TEST_DATA!A11849</f>
        <v/>
      </c>
      <c r="B11849">
        <f>TEST_DATA!B11849</f>
        <v/>
      </c>
      <c r="C11849">
        <f>TEST_DATA!C11849</f>
        <v/>
      </c>
      <c r="D11849">
        <f>TEST_DATA!D11849</f>
        <v/>
      </c>
      <c r="E11849">
        <f>TEST_DATA!E11849</f>
        <v/>
      </c>
    </row>
    <row r="11850">
      <c r="A11850">
        <f>TEST_DATA!A11850</f>
        <v/>
      </c>
      <c r="B11850">
        <f>TEST_DATA!B11850</f>
        <v/>
      </c>
      <c r="C11850">
        <f>TEST_DATA!C11850</f>
        <v/>
      </c>
      <c r="D11850">
        <f>TEST_DATA!D11850</f>
        <v/>
      </c>
      <c r="E11850">
        <f>TEST_DATA!E11850</f>
        <v/>
      </c>
    </row>
    <row r="11851">
      <c r="A11851">
        <f>TEST_DATA!A11851</f>
        <v/>
      </c>
      <c r="B11851">
        <f>TEST_DATA!B11851</f>
        <v/>
      </c>
      <c r="C11851">
        <f>TEST_DATA!C11851</f>
        <v/>
      </c>
      <c r="D11851">
        <f>TEST_DATA!D11851</f>
        <v/>
      </c>
      <c r="E11851">
        <f>TEST_DATA!E11851</f>
        <v/>
      </c>
    </row>
    <row r="11852">
      <c r="A11852">
        <f>TEST_DATA!A11852</f>
        <v/>
      </c>
      <c r="B11852">
        <f>TEST_DATA!B11852</f>
        <v/>
      </c>
      <c r="C11852">
        <f>TEST_DATA!C11852</f>
        <v/>
      </c>
      <c r="D11852">
        <f>TEST_DATA!D11852</f>
        <v/>
      </c>
      <c r="E11852">
        <f>TEST_DATA!E11852</f>
        <v/>
      </c>
    </row>
    <row r="11853">
      <c r="A11853">
        <f>TEST_DATA!A11853</f>
        <v/>
      </c>
      <c r="B11853">
        <f>TEST_DATA!B11853</f>
        <v/>
      </c>
      <c r="C11853">
        <f>TEST_DATA!C11853</f>
        <v/>
      </c>
      <c r="D11853">
        <f>TEST_DATA!D11853</f>
        <v/>
      </c>
      <c r="E11853">
        <f>TEST_DATA!E11853</f>
        <v/>
      </c>
    </row>
    <row r="11854">
      <c r="A11854">
        <f>TEST_DATA!A11854</f>
        <v/>
      </c>
      <c r="B11854">
        <f>TEST_DATA!B11854</f>
        <v/>
      </c>
      <c r="C11854">
        <f>TEST_DATA!C11854</f>
        <v/>
      </c>
      <c r="D11854">
        <f>TEST_DATA!D11854</f>
        <v/>
      </c>
      <c r="E11854">
        <f>TEST_DATA!E11854</f>
        <v/>
      </c>
    </row>
    <row r="11855">
      <c r="A11855">
        <f>TEST_DATA!A11855</f>
        <v/>
      </c>
      <c r="B11855">
        <f>TEST_DATA!B11855</f>
        <v/>
      </c>
      <c r="C11855">
        <f>TEST_DATA!C11855</f>
        <v/>
      </c>
      <c r="D11855">
        <f>TEST_DATA!D11855</f>
        <v/>
      </c>
      <c r="E11855">
        <f>TEST_DATA!E11855</f>
        <v/>
      </c>
    </row>
    <row r="11856">
      <c r="A11856">
        <f>TEST_DATA!A11856</f>
        <v/>
      </c>
      <c r="B11856">
        <f>TEST_DATA!B11856</f>
        <v/>
      </c>
      <c r="C11856">
        <f>TEST_DATA!C11856</f>
        <v/>
      </c>
      <c r="D11856">
        <f>TEST_DATA!D11856</f>
        <v/>
      </c>
      <c r="E11856">
        <f>TEST_DATA!E11856</f>
        <v/>
      </c>
    </row>
    <row r="11857">
      <c r="A11857">
        <f>TEST_DATA!A11857</f>
        <v/>
      </c>
      <c r="B11857">
        <f>TEST_DATA!B11857</f>
        <v/>
      </c>
      <c r="C11857">
        <f>TEST_DATA!C11857</f>
        <v/>
      </c>
      <c r="D11857">
        <f>TEST_DATA!D11857</f>
        <v/>
      </c>
      <c r="E11857">
        <f>TEST_DATA!E11857</f>
        <v/>
      </c>
    </row>
    <row r="11858">
      <c r="A11858">
        <f>TEST_DATA!A11858</f>
        <v/>
      </c>
      <c r="B11858">
        <f>TEST_DATA!B11858</f>
        <v/>
      </c>
      <c r="C11858">
        <f>TEST_DATA!C11858</f>
        <v/>
      </c>
      <c r="D11858">
        <f>TEST_DATA!D11858</f>
        <v/>
      </c>
      <c r="E11858">
        <f>TEST_DATA!E11858</f>
        <v/>
      </c>
    </row>
    <row r="11859">
      <c r="A11859">
        <f>TEST_DATA!A11859</f>
        <v/>
      </c>
      <c r="B11859">
        <f>TEST_DATA!B11859</f>
        <v/>
      </c>
      <c r="C11859">
        <f>TEST_DATA!C11859</f>
        <v/>
      </c>
      <c r="D11859">
        <f>TEST_DATA!D11859</f>
        <v/>
      </c>
      <c r="E11859">
        <f>TEST_DATA!E11859</f>
        <v/>
      </c>
    </row>
    <row r="11860">
      <c r="A11860">
        <f>TEST_DATA!A11860</f>
        <v/>
      </c>
      <c r="B11860">
        <f>TEST_DATA!B11860</f>
        <v/>
      </c>
      <c r="C11860">
        <f>TEST_DATA!C11860</f>
        <v/>
      </c>
      <c r="D11860">
        <f>TEST_DATA!D11860</f>
        <v/>
      </c>
      <c r="E11860">
        <f>TEST_DATA!E11860</f>
        <v/>
      </c>
    </row>
    <row r="11861">
      <c r="A11861">
        <f>TEST_DATA!A11861</f>
        <v/>
      </c>
      <c r="B11861">
        <f>TEST_DATA!B11861</f>
        <v/>
      </c>
      <c r="C11861">
        <f>TEST_DATA!C11861</f>
        <v/>
      </c>
      <c r="D11861">
        <f>TEST_DATA!D11861</f>
        <v/>
      </c>
      <c r="E11861">
        <f>TEST_DATA!E11861</f>
        <v/>
      </c>
    </row>
    <row r="11862">
      <c r="A11862">
        <f>TEST_DATA!A11862</f>
        <v/>
      </c>
      <c r="B11862">
        <f>TEST_DATA!B11862</f>
        <v/>
      </c>
      <c r="C11862">
        <f>TEST_DATA!C11862</f>
        <v/>
      </c>
      <c r="D11862">
        <f>TEST_DATA!D11862</f>
        <v/>
      </c>
      <c r="E11862">
        <f>TEST_DATA!E11862</f>
        <v/>
      </c>
    </row>
    <row r="11863">
      <c r="A11863">
        <f>TEST_DATA!A11863</f>
        <v/>
      </c>
      <c r="B11863">
        <f>TEST_DATA!B11863</f>
        <v/>
      </c>
      <c r="C11863">
        <f>TEST_DATA!C11863</f>
        <v/>
      </c>
      <c r="D11863">
        <f>TEST_DATA!D11863</f>
        <v/>
      </c>
      <c r="E11863">
        <f>TEST_DATA!E11863</f>
        <v/>
      </c>
    </row>
    <row r="11864">
      <c r="A11864">
        <f>TEST_DATA!A11864</f>
        <v/>
      </c>
      <c r="B11864">
        <f>TEST_DATA!B11864</f>
        <v/>
      </c>
      <c r="C11864">
        <f>TEST_DATA!C11864</f>
        <v/>
      </c>
      <c r="D11864">
        <f>TEST_DATA!D11864</f>
        <v/>
      </c>
      <c r="E11864">
        <f>TEST_DATA!E11864</f>
        <v/>
      </c>
    </row>
    <row r="11865">
      <c r="A11865">
        <f>TEST_DATA!A11865</f>
        <v/>
      </c>
      <c r="B11865">
        <f>TEST_DATA!B11865</f>
        <v/>
      </c>
      <c r="C11865">
        <f>TEST_DATA!C11865</f>
        <v/>
      </c>
      <c r="D11865">
        <f>TEST_DATA!D11865</f>
        <v/>
      </c>
      <c r="E11865">
        <f>TEST_DATA!E11865</f>
        <v/>
      </c>
    </row>
    <row r="11866">
      <c r="A11866">
        <f>TEST_DATA!A11866</f>
        <v/>
      </c>
      <c r="B11866">
        <f>TEST_DATA!B11866</f>
        <v/>
      </c>
      <c r="C11866">
        <f>TEST_DATA!C11866</f>
        <v/>
      </c>
      <c r="D11866">
        <f>TEST_DATA!D11866</f>
        <v/>
      </c>
      <c r="E11866">
        <f>TEST_DATA!E11866</f>
        <v/>
      </c>
    </row>
    <row r="11867">
      <c r="A11867">
        <f>TEST_DATA!A11867</f>
        <v/>
      </c>
      <c r="B11867">
        <f>TEST_DATA!B11867</f>
        <v/>
      </c>
      <c r="C11867">
        <f>TEST_DATA!C11867</f>
        <v/>
      </c>
      <c r="D11867">
        <f>TEST_DATA!D11867</f>
        <v/>
      </c>
      <c r="E11867">
        <f>TEST_DATA!E11867</f>
        <v/>
      </c>
    </row>
    <row r="11868">
      <c r="A11868">
        <f>TEST_DATA!A11868</f>
        <v/>
      </c>
      <c r="B11868">
        <f>TEST_DATA!B11868</f>
        <v/>
      </c>
      <c r="C11868">
        <f>TEST_DATA!C11868</f>
        <v/>
      </c>
      <c r="D11868">
        <f>TEST_DATA!D11868</f>
        <v/>
      </c>
      <c r="E11868">
        <f>TEST_DATA!E11868</f>
        <v/>
      </c>
    </row>
    <row r="11869">
      <c r="A11869">
        <f>TEST_DATA!A11869</f>
        <v/>
      </c>
      <c r="B11869">
        <f>TEST_DATA!B11869</f>
        <v/>
      </c>
      <c r="C11869">
        <f>TEST_DATA!C11869</f>
        <v/>
      </c>
      <c r="D11869">
        <f>TEST_DATA!D11869</f>
        <v/>
      </c>
      <c r="E11869">
        <f>TEST_DATA!E11869</f>
        <v/>
      </c>
    </row>
    <row r="11870">
      <c r="A11870">
        <f>TEST_DATA!A11870</f>
        <v/>
      </c>
      <c r="B11870">
        <f>TEST_DATA!B11870</f>
        <v/>
      </c>
      <c r="C11870">
        <f>TEST_DATA!C11870</f>
        <v/>
      </c>
      <c r="D11870">
        <f>TEST_DATA!D11870</f>
        <v/>
      </c>
      <c r="E11870">
        <f>TEST_DATA!E11870</f>
        <v/>
      </c>
    </row>
    <row r="11871">
      <c r="A11871">
        <f>TEST_DATA!A11871</f>
        <v/>
      </c>
      <c r="B11871">
        <f>TEST_DATA!B11871</f>
        <v/>
      </c>
      <c r="C11871">
        <f>TEST_DATA!C11871</f>
        <v/>
      </c>
      <c r="D11871">
        <f>TEST_DATA!D11871</f>
        <v/>
      </c>
      <c r="E11871">
        <f>TEST_DATA!E11871</f>
        <v/>
      </c>
    </row>
    <row r="11872">
      <c r="A11872">
        <f>TEST_DATA!A11872</f>
        <v/>
      </c>
      <c r="B11872">
        <f>TEST_DATA!B11872</f>
        <v/>
      </c>
      <c r="C11872">
        <f>TEST_DATA!C11872</f>
        <v/>
      </c>
      <c r="D11872">
        <f>TEST_DATA!D11872</f>
        <v/>
      </c>
      <c r="E11872">
        <f>TEST_DATA!E11872</f>
        <v/>
      </c>
    </row>
    <row r="11873">
      <c r="A11873">
        <f>TEST_DATA!A11873</f>
        <v/>
      </c>
      <c r="B11873">
        <f>TEST_DATA!B11873</f>
        <v/>
      </c>
      <c r="C11873">
        <f>TEST_DATA!C11873</f>
        <v/>
      </c>
      <c r="D11873">
        <f>TEST_DATA!D11873</f>
        <v/>
      </c>
      <c r="E11873">
        <f>TEST_DATA!E11873</f>
        <v/>
      </c>
    </row>
    <row r="11874">
      <c r="A11874">
        <f>TEST_DATA!A11874</f>
        <v/>
      </c>
      <c r="B11874">
        <f>TEST_DATA!B11874</f>
        <v/>
      </c>
      <c r="C11874">
        <f>TEST_DATA!C11874</f>
        <v/>
      </c>
      <c r="D11874">
        <f>TEST_DATA!D11874</f>
        <v/>
      </c>
      <c r="E11874">
        <f>TEST_DATA!E11874</f>
        <v/>
      </c>
    </row>
    <row r="11875">
      <c r="A11875">
        <f>TEST_DATA!A11875</f>
        <v/>
      </c>
      <c r="B11875">
        <f>TEST_DATA!B11875</f>
        <v/>
      </c>
      <c r="C11875">
        <f>TEST_DATA!C11875</f>
        <v/>
      </c>
      <c r="D11875">
        <f>TEST_DATA!D11875</f>
        <v/>
      </c>
      <c r="E11875">
        <f>TEST_DATA!E11875</f>
        <v/>
      </c>
    </row>
    <row r="11876">
      <c r="A11876">
        <f>TEST_DATA!A11876</f>
        <v/>
      </c>
      <c r="B11876">
        <f>TEST_DATA!B11876</f>
        <v/>
      </c>
      <c r="C11876">
        <f>TEST_DATA!C11876</f>
        <v/>
      </c>
      <c r="D11876">
        <f>TEST_DATA!D11876</f>
        <v/>
      </c>
      <c r="E11876">
        <f>TEST_DATA!E11876</f>
        <v/>
      </c>
    </row>
    <row r="11877">
      <c r="A11877">
        <f>TEST_DATA!A11877</f>
        <v/>
      </c>
      <c r="B11877">
        <f>TEST_DATA!B11877</f>
        <v/>
      </c>
      <c r="C11877">
        <f>TEST_DATA!C11877</f>
        <v/>
      </c>
      <c r="D11877">
        <f>TEST_DATA!D11877</f>
        <v/>
      </c>
      <c r="E11877">
        <f>TEST_DATA!E11877</f>
        <v/>
      </c>
    </row>
    <row r="11878">
      <c r="A11878">
        <f>TEST_DATA!A11878</f>
        <v/>
      </c>
      <c r="B11878">
        <f>TEST_DATA!B11878</f>
        <v/>
      </c>
      <c r="C11878">
        <f>TEST_DATA!C11878</f>
        <v/>
      </c>
      <c r="D11878">
        <f>TEST_DATA!D11878</f>
        <v/>
      </c>
      <c r="E11878">
        <f>TEST_DATA!E11878</f>
        <v/>
      </c>
    </row>
    <row r="11879">
      <c r="A11879">
        <f>TEST_DATA!A11879</f>
        <v/>
      </c>
      <c r="B11879">
        <f>TEST_DATA!B11879</f>
        <v/>
      </c>
      <c r="C11879">
        <f>TEST_DATA!C11879</f>
        <v/>
      </c>
      <c r="D11879">
        <f>TEST_DATA!D11879</f>
        <v/>
      </c>
      <c r="E11879">
        <f>TEST_DATA!E11879</f>
        <v/>
      </c>
    </row>
    <row r="11880">
      <c r="A11880">
        <f>TEST_DATA!A11880</f>
        <v/>
      </c>
      <c r="B11880">
        <f>TEST_DATA!B11880</f>
        <v/>
      </c>
      <c r="C11880">
        <f>TEST_DATA!C11880</f>
        <v/>
      </c>
      <c r="D11880">
        <f>TEST_DATA!D11880</f>
        <v/>
      </c>
      <c r="E11880">
        <f>TEST_DATA!E11880</f>
        <v/>
      </c>
    </row>
    <row r="11881">
      <c r="A11881">
        <f>TEST_DATA!A11881</f>
        <v/>
      </c>
      <c r="B11881">
        <f>TEST_DATA!B11881</f>
        <v/>
      </c>
      <c r="C11881">
        <f>TEST_DATA!C11881</f>
        <v/>
      </c>
      <c r="D11881">
        <f>TEST_DATA!D11881</f>
        <v/>
      </c>
      <c r="E11881">
        <f>TEST_DATA!E11881</f>
        <v/>
      </c>
    </row>
    <row r="11882">
      <c r="A11882">
        <f>TEST_DATA!A11882</f>
        <v/>
      </c>
      <c r="B11882">
        <f>TEST_DATA!B11882</f>
        <v/>
      </c>
      <c r="C11882">
        <f>TEST_DATA!C11882</f>
        <v/>
      </c>
      <c r="D11882">
        <f>TEST_DATA!D11882</f>
        <v/>
      </c>
      <c r="E11882">
        <f>TEST_DATA!E11882</f>
        <v/>
      </c>
    </row>
    <row r="11883">
      <c r="A11883">
        <f>TEST_DATA!A11883</f>
        <v/>
      </c>
      <c r="B11883">
        <f>TEST_DATA!B11883</f>
        <v/>
      </c>
      <c r="C11883">
        <f>TEST_DATA!C11883</f>
        <v/>
      </c>
      <c r="D11883">
        <f>TEST_DATA!D11883</f>
        <v/>
      </c>
      <c r="E11883">
        <f>TEST_DATA!E11883</f>
        <v/>
      </c>
    </row>
    <row r="11884">
      <c r="A11884">
        <f>TEST_DATA!A11884</f>
        <v/>
      </c>
      <c r="B11884">
        <f>TEST_DATA!B11884</f>
        <v/>
      </c>
      <c r="C11884">
        <f>TEST_DATA!C11884</f>
        <v/>
      </c>
      <c r="D11884">
        <f>TEST_DATA!D11884</f>
        <v/>
      </c>
      <c r="E11884">
        <f>TEST_DATA!E11884</f>
        <v/>
      </c>
    </row>
    <row r="11885">
      <c r="A11885">
        <f>TEST_DATA!A11885</f>
        <v/>
      </c>
      <c r="B11885">
        <f>TEST_DATA!B11885</f>
        <v/>
      </c>
      <c r="C11885">
        <f>TEST_DATA!C11885</f>
        <v/>
      </c>
      <c r="D11885">
        <f>TEST_DATA!D11885</f>
        <v/>
      </c>
      <c r="E11885">
        <f>TEST_DATA!E11885</f>
        <v/>
      </c>
    </row>
    <row r="11886">
      <c r="A11886">
        <f>TEST_DATA!A11886</f>
        <v/>
      </c>
      <c r="B11886">
        <f>TEST_DATA!B11886</f>
        <v/>
      </c>
      <c r="C11886">
        <f>TEST_DATA!C11886</f>
        <v/>
      </c>
      <c r="D11886">
        <f>TEST_DATA!D11886</f>
        <v/>
      </c>
      <c r="E11886">
        <f>TEST_DATA!E11886</f>
        <v/>
      </c>
    </row>
    <row r="11887">
      <c r="A11887">
        <f>TEST_DATA!A11887</f>
        <v/>
      </c>
      <c r="B11887">
        <f>TEST_DATA!B11887</f>
        <v/>
      </c>
      <c r="C11887">
        <f>TEST_DATA!C11887</f>
        <v/>
      </c>
      <c r="D11887">
        <f>TEST_DATA!D11887</f>
        <v/>
      </c>
      <c r="E11887">
        <f>TEST_DATA!E11887</f>
        <v/>
      </c>
    </row>
    <row r="11888">
      <c r="A11888">
        <f>TEST_DATA!A11888</f>
        <v/>
      </c>
      <c r="B11888">
        <f>TEST_DATA!B11888</f>
        <v/>
      </c>
      <c r="C11888">
        <f>TEST_DATA!C11888</f>
        <v/>
      </c>
      <c r="D11888">
        <f>TEST_DATA!D11888</f>
        <v/>
      </c>
      <c r="E11888">
        <f>TEST_DATA!E11888</f>
        <v/>
      </c>
    </row>
    <row r="11889">
      <c r="A11889">
        <f>TEST_DATA!A11889</f>
        <v/>
      </c>
      <c r="B11889">
        <f>TEST_DATA!B11889</f>
        <v/>
      </c>
      <c r="C11889">
        <f>TEST_DATA!C11889</f>
        <v/>
      </c>
      <c r="D11889">
        <f>TEST_DATA!D11889</f>
        <v/>
      </c>
      <c r="E11889">
        <f>TEST_DATA!E11889</f>
        <v/>
      </c>
    </row>
    <row r="11890">
      <c r="A11890">
        <f>TEST_DATA!A11890</f>
        <v/>
      </c>
      <c r="B11890">
        <f>TEST_DATA!B11890</f>
        <v/>
      </c>
      <c r="C11890">
        <f>TEST_DATA!C11890</f>
        <v/>
      </c>
      <c r="D11890">
        <f>TEST_DATA!D11890</f>
        <v/>
      </c>
      <c r="E11890">
        <f>TEST_DATA!E11890</f>
        <v/>
      </c>
    </row>
    <row r="11891">
      <c r="A11891">
        <f>TEST_DATA!A11891</f>
        <v/>
      </c>
      <c r="B11891">
        <f>TEST_DATA!B11891</f>
        <v/>
      </c>
      <c r="C11891">
        <f>TEST_DATA!C11891</f>
        <v/>
      </c>
      <c r="D11891">
        <f>TEST_DATA!D11891</f>
        <v/>
      </c>
      <c r="E11891">
        <f>TEST_DATA!E11891</f>
        <v/>
      </c>
    </row>
    <row r="11892">
      <c r="A11892">
        <f>TEST_DATA!A11892</f>
        <v/>
      </c>
      <c r="B11892">
        <f>TEST_DATA!B11892</f>
        <v/>
      </c>
      <c r="C11892">
        <f>TEST_DATA!C11892</f>
        <v/>
      </c>
      <c r="D11892">
        <f>TEST_DATA!D11892</f>
        <v/>
      </c>
      <c r="E11892">
        <f>TEST_DATA!E11892</f>
        <v/>
      </c>
    </row>
    <row r="11893">
      <c r="A11893">
        <f>TEST_DATA!A11893</f>
        <v/>
      </c>
      <c r="B11893">
        <f>TEST_DATA!B11893</f>
        <v/>
      </c>
      <c r="C11893">
        <f>TEST_DATA!C11893</f>
        <v/>
      </c>
      <c r="D11893">
        <f>TEST_DATA!D11893</f>
        <v/>
      </c>
      <c r="E11893">
        <f>TEST_DATA!E11893</f>
        <v/>
      </c>
    </row>
    <row r="11894">
      <c r="A11894">
        <f>TEST_DATA!A11894</f>
        <v/>
      </c>
      <c r="B11894">
        <f>TEST_DATA!B11894</f>
        <v/>
      </c>
      <c r="C11894">
        <f>TEST_DATA!C11894</f>
        <v/>
      </c>
      <c r="D11894">
        <f>TEST_DATA!D11894</f>
        <v/>
      </c>
      <c r="E11894">
        <f>TEST_DATA!E11894</f>
        <v/>
      </c>
    </row>
    <row r="11895">
      <c r="A11895">
        <f>TEST_DATA!A11895</f>
        <v/>
      </c>
      <c r="B11895">
        <f>TEST_DATA!B11895</f>
        <v/>
      </c>
      <c r="C11895">
        <f>TEST_DATA!C11895</f>
        <v/>
      </c>
      <c r="D11895">
        <f>TEST_DATA!D11895</f>
        <v/>
      </c>
      <c r="E11895">
        <f>TEST_DATA!E11895</f>
        <v/>
      </c>
    </row>
    <row r="11896">
      <c r="A11896">
        <f>TEST_DATA!A11896</f>
        <v/>
      </c>
      <c r="B11896">
        <f>TEST_DATA!B11896</f>
        <v/>
      </c>
      <c r="C11896">
        <f>TEST_DATA!C11896</f>
        <v/>
      </c>
      <c r="D11896">
        <f>TEST_DATA!D11896</f>
        <v/>
      </c>
      <c r="E11896">
        <f>TEST_DATA!E11896</f>
        <v/>
      </c>
    </row>
    <row r="11897">
      <c r="A11897">
        <f>TEST_DATA!A11897</f>
        <v/>
      </c>
      <c r="B11897">
        <f>TEST_DATA!B11897</f>
        <v/>
      </c>
      <c r="C11897">
        <f>TEST_DATA!C11897</f>
        <v/>
      </c>
      <c r="D11897">
        <f>TEST_DATA!D11897</f>
        <v/>
      </c>
      <c r="E11897">
        <f>TEST_DATA!E11897</f>
        <v/>
      </c>
    </row>
    <row r="11898">
      <c r="A11898">
        <f>TEST_DATA!A11898</f>
        <v/>
      </c>
      <c r="B11898">
        <f>TEST_DATA!B11898</f>
        <v/>
      </c>
      <c r="C11898">
        <f>TEST_DATA!C11898</f>
        <v/>
      </c>
      <c r="D11898">
        <f>TEST_DATA!D11898</f>
        <v/>
      </c>
      <c r="E11898">
        <f>TEST_DATA!E11898</f>
        <v/>
      </c>
    </row>
    <row r="11899">
      <c r="A11899">
        <f>TEST_DATA!A11899</f>
        <v/>
      </c>
      <c r="B11899">
        <f>TEST_DATA!B11899</f>
        <v/>
      </c>
      <c r="C11899">
        <f>TEST_DATA!C11899</f>
        <v/>
      </c>
      <c r="D11899">
        <f>TEST_DATA!D11899</f>
        <v/>
      </c>
      <c r="E11899">
        <f>TEST_DATA!E11899</f>
        <v/>
      </c>
    </row>
    <row r="11900">
      <c r="A11900">
        <f>TEST_DATA!A11900</f>
        <v/>
      </c>
      <c r="B11900">
        <f>TEST_DATA!B11900</f>
        <v/>
      </c>
      <c r="C11900">
        <f>TEST_DATA!C11900</f>
        <v/>
      </c>
      <c r="D11900">
        <f>TEST_DATA!D11900</f>
        <v/>
      </c>
      <c r="E11900">
        <f>TEST_DATA!E11900</f>
        <v/>
      </c>
    </row>
    <row r="11901">
      <c r="A11901">
        <f>TEST_DATA!A11901</f>
        <v/>
      </c>
      <c r="B11901">
        <f>TEST_DATA!B11901</f>
        <v/>
      </c>
      <c r="C11901">
        <f>TEST_DATA!C11901</f>
        <v/>
      </c>
      <c r="D11901">
        <f>TEST_DATA!D11901</f>
        <v/>
      </c>
      <c r="E11901">
        <f>TEST_DATA!E11901</f>
        <v/>
      </c>
    </row>
    <row r="11902">
      <c r="A11902">
        <f>TEST_DATA!A11902</f>
        <v/>
      </c>
      <c r="B11902">
        <f>TEST_DATA!B11902</f>
        <v/>
      </c>
      <c r="C11902">
        <f>TEST_DATA!C11902</f>
        <v/>
      </c>
      <c r="D11902">
        <f>TEST_DATA!D11902</f>
        <v/>
      </c>
      <c r="E11902">
        <f>TEST_DATA!E11902</f>
        <v/>
      </c>
    </row>
    <row r="11903">
      <c r="A11903">
        <f>TEST_DATA!A11903</f>
        <v/>
      </c>
      <c r="B11903">
        <f>TEST_DATA!B11903</f>
        <v/>
      </c>
      <c r="C11903">
        <f>TEST_DATA!C11903</f>
        <v/>
      </c>
      <c r="D11903">
        <f>TEST_DATA!D11903</f>
        <v/>
      </c>
      <c r="E11903">
        <f>TEST_DATA!E11903</f>
        <v/>
      </c>
    </row>
    <row r="11904">
      <c r="A11904">
        <f>TEST_DATA!A11904</f>
        <v/>
      </c>
      <c r="B11904">
        <f>TEST_DATA!B11904</f>
        <v/>
      </c>
      <c r="C11904">
        <f>TEST_DATA!C11904</f>
        <v/>
      </c>
      <c r="D11904">
        <f>TEST_DATA!D11904</f>
        <v/>
      </c>
      <c r="E11904">
        <f>TEST_DATA!E11904</f>
        <v/>
      </c>
    </row>
    <row r="11905">
      <c r="A11905">
        <f>TEST_DATA!A11905</f>
        <v/>
      </c>
      <c r="B11905">
        <f>TEST_DATA!B11905</f>
        <v/>
      </c>
      <c r="C11905">
        <f>TEST_DATA!C11905</f>
        <v/>
      </c>
      <c r="D11905">
        <f>TEST_DATA!D11905</f>
        <v/>
      </c>
      <c r="E11905">
        <f>TEST_DATA!E11905</f>
        <v/>
      </c>
    </row>
    <row r="11906">
      <c r="A11906">
        <f>TEST_DATA!A11906</f>
        <v/>
      </c>
      <c r="B11906">
        <f>TEST_DATA!B11906</f>
        <v/>
      </c>
      <c r="C11906">
        <f>TEST_DATA!C11906</f>
        <v/>
      </c>
      <c r="D11906">
        <f>TEST_DATA!D11906</f>
        <v/>
      </c>
      <c r="E11906">
        <f>TEST_DATA!E11906</f>
        <v/>
      </c>
    </row>
    <row r="11907">
      <c r="A11907">
        <f>TEST_DATA!A11907</f>
        <v/>
      </c>
      <c r="B11907">
        <f>TEST_DATA!B11907</f>
        <v/>
      </c>
      <c r="C11907">
        <f>TEST_DATA!C11907</f>
        <v/>
      </c>
      <c r="D11907">
        <f>TEST_DATA!D11907</f>
        <v/>
      </c>
      <c r="E11907">
        <f>TEST_DATA!E11907</f>
        <v/>
      </c>
    </row>
    <row r="11908">
      <c r="A11908">
        <f>TEST_DATA!A11908</f>
        <v/>
      </c>
      <c r="B11908">
        <f>TEST_DATA!B11908</f>
        <v/>
      </c>
      <c r="C11908">
        <f>TEST_DATA!C11908</f>
        <v/>
      </c>
      <c r="D11908">
        <f>TEST_DATA!D11908</f>
        <v/>
      </c>
      <c r="E11908">
        <f>TEST_DATA!E11908</f>
        <v/>
      </c>
    </row>
    <row r="11909">
      <c r="A11909">
        <f>TEST_DATA!A11909</f>
        <v/>
      </c>
      <c r="B11909">
        <f>TEST_DATA!B11909</f>
        <v/>
      </c>
      <c r="C11909">
        <f>TEST_DATA!C11909</f>
        <v/>
      </c>
      <c r="D11909">
        <f>TEST_DATA!D11909</f>
        <v/>
      </c>
      <c r="E11909">
        <f>TEST_DATA!E11909</f>
        <v/>
      </c>
    </row>
    <row r="11910">
      <c r="A11910">
        <f>TEST_DATA!A11910</f>
        <v/>
      </c>
      <c r="B11910">
        <f>TEST_DATA!B11910</f>
        <v/>
      </c>
      <c r="C11910">
        <f>TEST_DATA!C11910</f>
        <v/>
      </c>
      <c r="D11910">
        <f>TEST_DATA!D11910</f>
        <v/>
      </c>
      <c r="E11910">
        <f>TEST_DATA!E11910</f>
        <v/>
      </c>
    </row>
    <row r="11911">
      <c r="A11911">
        <f>TEST_DATA!A11911</f>
        <v/>
      </c>
      <c r="B11911">
        <f>TEST_DATA!B11911</f>
        <v/>
      </c>
      <c r="C11911">
        <f>TEST_DATA!C11911</f>
        <v/>
      </c>
      <c r="D11911">
        <f>TEST_DATA!D11911</f>
        <v/>
      </c>
      <c r="E11911">
        <f>TEST_DATA!E11911</f>
        <v/>
      </c>
    </row>
    <row r="11912">
      <c r="A11912">
        <f>TEST_DATA!A11912</f>
        <v/>
      </c>
      <c r="B11912">
        <f>TEST_DATA!B11912</f>
        <v/>
      </c>
      <c r="C11912">
        <f>TEST_DATA!C11912</f>
        <v/>
      </c>
      <c r="D11912">
        <f>TEST_DATA!D11912</f>
        <v/>
      </c>
      <c r="E11912">
        <f>TEST_DATA!E11912</f>
        <v/>
      </c>
    </row>
    <row r="11913">
      <c r="A11913">
        <f>TEST_DATA!A11913</f>
        <v/>
      </c>
      <c r="B11913">
        <f>TEST_DATA!B11913</f>
        <v/>
      </c>
      <c r="C11913">
        <f>TEST_DATA!C11913</f>
        <v/>
      </c>
      <c r="D11913">
        <f>TEST_DATA!D11913</f>
        <v/>
      </c>
      <c r="E11913">
        <f>TEST_DATA!E11913</f>
        <v/>
      </c>
    </row>
    <row r="11914">
      <c r="A11914">
        <f>TEST_DATA!A11914</f>
        <v/>
      </c>
      <c r="B11914">
        <f>TEST_DATA!B11914</f>
        <v/>
      </c>
      <c r="C11914">
        <f>TEST_DATA!C11914</f>
        <v/>
      </c>
      <c r="D11914">
        <f>TEST_DATA!D11914</f>
        <v/>
      </c>
      <c r="E11914">
        <f>TEST_DATA!E11914</f>
        <v/>
      </c>
    </row>
    <row r="11915">
      <c r="A11915">
        <f>TEST_DATA!A11915</f>
        <v/>
      </c>
      <c r="B11915">
        <f>TEST_DATA!B11915</f>
        <v/>
      </c>
      <c r="C11915">
        <f>TEST_DATA!C11915</f>
        <v/>
      </c>
      <c r="D11915">
        <f>TEST_DATA!D11915</f>
        <v/>
      </c>
      <c r="E11915">
        <f>TEST_DATA!E11915</f>
        <v/>
      </c>
    </row>
    <row r="11916">
      <c r="A11916">
        <f>TEST_DATA!A11916</f>
        <v/>
      </c>
      <c r="B11916">
        <f>TEST_DATA!B11916</f>
        <v/>
      </c>
      <c r="C11916">
        <f>TEST_DATA!C11916</f>
        <v/>
      </c>
      <c r="D11916">
        <f>TEST_DATA!D11916</f>
        <v/>
      </c>
      <c r="E11916">
        <f>TEST_DATA!E11916</f>
        <v/>
      </c>
    </row>
    <row r="11917">
      <c r="A11917">
        <f>TEST_DATA!A11917</f>
        <v/>
      </c>
      <c r="B11917">
        <f>TEST_DATA!B11917</f>
        <v/>
      </c>
      <c r="C11917">
        <f>TEST_DATA!C11917</f>
        <v/>
      </c>
      <c r="D11917">
        <f>TEST_DATA!D11917</f>
        <v/>
      </c>
      <c r="E11917">
        <f>TEST_DATA!E11917</f>
        <v/>
      </c>
    </row>
    <row r="11918">
      <c r="A11918">
        <f>TEST_DATA!A11918</f>
        <v/>
      </c>
      <c r="B11918">
        <f>TEST_DATA!B11918</f>
        <v/>
      </c>
      <c r="C11918">
        <f>TEST_DATA!C11918</f>
        <v/>
      </c>
      <c r="D11918">
        <f>TEST_DATA!D11918</f>
        <v/>
      </c>
      <c r="E11918">
        <f>TEST_DATA!E11918</f>
        <v/>
      </c>
    </row>
    <row r="11919">
      <c r="A11919">
        <f>TEST_DATA!A11919</f>
        <v/>
      </c>
      <c r="B11919">
        <f>TEST_DATA!B11919</f>
        <v/>
      </c>
      <c r="C11919">
        <f>TEST_DATA!C11919</f>
        <v/>
      </c>
      <c r="D11919">
        <f>TEST_DATA!D11919</f>
        <v/>
      </c>
      <c r="E11919">
        <f>TEST_DATA!E11919</f>
        <v/>
      </c>
    </row>
    <row r="11920">
      <c r="A11920">
        <f>TEST_DATA!A11920</f>
        <v/>
      </c>
      <c r="B11920">
        <f>TEST_DATA!B11920</f>
        <v/>
      </c>
      <c r="C11920">
        <f>TEST_DATA!C11920</f>
        <v/>
      </c>
      <c r="D11920">
        <f>TEST_DATA!D11920</f>
        <v/>
      </c>
      <c r="E11920">
        <f>TEST_DATA!E11920</f>
        <v/>
      </c>
    </row>
    <row r="11921">
      <c r="A11921">
        <f>TEST_DATA!A11921</f>
        <v/>
      </c>
      <c r="B11921">
        <f>TEST_DATA!B11921</f>
        <v/>
      </c>
      <c r="C11921">
        <f>TEST_DATA!C11921</f>
        <v/>
      </c>
      <c r="D11921">
        <f>TEST_DATA!D11921</f>
        <v/>
      </c>
      <c r="E11921">
        <f>TEST_DATA!E11921</f>
        <v/>
      </c>
    </row>
    <row r="11922">
      <c r="A11922">
        <f>TEST_DATA!A11922</f>
        <v/>
      </c>
      <c r="B11922">
        <f>TEST_DATA!B11922</f>
        <v/>
      </c>
      <c r="C11922">
        <f>TEST_DATA!C11922</f>
        <v/>
      </c>
      <c r="D11922">
        <f>TEST_DATA!D11922</f>
        <v/>
      </c>
      <c r="E11922">
        <f>TEST_DATA!E11922</f>
        <v/>
      </c>
    </row>
    <row r="11923">
      <c r="A11923">
        <f>TEST_DATA!A11923</f>
        <v/>
      </c>
      <c r="B11923">
        <f>TEST_DATA!B11923</f>
        <v/>
      </c>
      <c r="C11923">
        <f>TEST_DATA!C11923</f>
        <v/>
      </c>
      <c r="D11923">
        <f>TEST_DATA!D11923</f>
        <v/>
      </c>
      <c r="E11923">
        <f>TEST_DATA!E11923</f>
        <v/>
      </c>
    </row>
    <row r="11924">
      <c r="A11924">
        <f>TEST_DATA!A11924</f>
        <v/>
      </c>
      <c r="B11924">
        <f>TEST_DATA!B11924</f>
        <v/>
      </c>
      <c r="C11924">
        <f>TEST_DATA!C11924</f>
        <v/>
      </c>
      <c r="D11924">
        <f>TEST_DATA!D11924</f>
        <v/>
      </c>
      <c r="E11924">
        <f>TEST_DATA!E11924</f>
        <v/>
      </c>
    </row>
    <row r="11925">
      <c r="A11925">
        <f>TEST_DATA!A11925</f>
        <v/>
      </c>
      <c r="B11925">
        <f>TEST_DATA!B11925</f>
        <v/>
      </c>
      <c r="C11925">
        <f>TEST_DATA!C11925</f>
        <v/>
      </c>
      <c r="D11925">
        <f>TEST_DATA!D11925</f>
        <v/>
      </c>
      <c r="E11925">
        <f>TEST_DATA!E11925</f>
        <v/>
      </c>
    </row>
    <row r="11926">
      <c r="A11926">
        <f>TEST_DATA!A11926</f>
        <v/>
      </c>
      <c r="B11926">
        <f>TEST_DATA!B11926</f>
        <v/>
      </c>
      <c r="C11926">
        <f>TEST_DATA!C11926</f>
        <v/>
      </c>
      <c r="D11926">
        <f>TEST_DATA!D11926</f>
        <v/>
      </c>
      <c r="E11926">
        <f>TEST_DATA!E11926</f>
        <v/>
      </c>
    </row>
    <row r="11927">
      <c r="A11927">
        <f>TEST_DATA!A11927</f>
        <v/>
      </c>
      <c r="B11927">
        <f>TEST_DATA!B11927</f>
        <v/>
      </c>
      <c r="C11927">
        <f>TEST_DATA!C11927</f>
        <v/>
      </c>
      <c r="D11927">
        <f>TEST_DATA!D11927</f>
        <v/>
      </c>
      <c r="E11927">
        <f>TEST_DATA!E11927</f>
        <v/>
      </c>
    </row>
    <row r="11928">
      <c r="A11928">
        <f>TEST_DATA!A11928</f>
        <v/>
      </c>
      <c r="B11928">
        <f>TEST_DATA!B11928</f>
        <v/>
      </c>
      <c r="C11928">
        <f>TEST_DATA!C11928</f>
        <v/>
      </c>
      <c r="D11928">
        <f>TEST_DATA!D11928</f>
        <v/>
      </c>
      <c r="E11928">
        <f>TEST_DATA!E11928</f>
        <v/>
      </c>
    </row>
    <row r="11929">
      <c r="A11929">
        <f>TEST_DATA!A11929</f>
        <v/>
      </c>
      <c r="B11929">
        <f>TEST_DATA!B11929</f>
        <v/>
      </c>
      <c r="C11929">
        <f>TEST_DATA!C11929</f>
        <v/>
      </c>
      <c r="D11929">
        <f>TEST_DATA!D11929</f>
        <v/>
      </c>
      <c r="E11929">
        <f>TEST_DATA!E11929</f>
        <v/>
      </c>
    </row>
    <row r="11930">
      <c r="A11930">
        <f>TEST_DATA!A11930</f>
        <v/>
      </c>
      <c r="B11930">
        <f>TEST_DATA!B11930</f>
        <v/>
      </c>
      <c r="C11930">
        <f>TEST_DATA!C11930</f>
        <v/>
      </c>
      <c r="D11930">
        <f>TEST_DATA!D11930</f>
        <v/>
      </c>
      <c r="E11930">
        <f>TEST_DATA!E11930</f>
        <v/>
      </c>
    </row>
    <row r="11931">
      <c r="A11931">
        <f>TEST_DATA!A11931</f>
        <v/>
      </c>
      <c r="B11931">
        <f>TEST_DATA!B11931</f>
        <v/>
      </c>
      <c r="C11931">
        <f>TEST_DATA!C11931</f>
        <v/>
      </c>
      <c r="D11931">
        <f>TEST_DATA!D11931</f>
        <v/>
      </c>
      <c r="E11931">
        <f>TEST_DATA!E11931</f>
        <v/>
      </c>
    </row>
    <row r="11932">
      <c r="A11932">
        <f>TEST_DATA!A11932</f>
        <v/>
      </c>
      <c r="B11932">
        <f>TEST_DATA!B11932</f>
        <v/>
      </c>
      <c r="C11932">
        <f>TEST_DATA!C11932</f>
        <v/>
      </c>
      <c r="D11932">
        <f>TEST_DATA!D11932</f>
        <v/>
      </c>
      <c r="E11932">
        <f>TEST_DATA!E11932</f>
        <v/>
      </c>
    </row>
    <row r="11933">
      <c r="A11933">
        <f>TEST_DATA!A11933</f>
        <v/>
      </c>
      <c r="B11933">
        <f>TEST_DATA!B11933</f>
        <v/>
      </c>
      <c r="C11933">
        <f>TEST_DATA!C11933</f>
        <v/>
      </c>
      <c r="D11933">
        <f>TEST_DATA!D11933</f>
        <v/>
      </c>
      <c r="E11933">
        <f>TEST_DATA!E11933</f>
        <v/>
      </c>
    </row>
    <row r="11934">
      <c r="A11934">
        <f>TEST_DATA!A11934</f>
        <v/>
      </c>
      <c r="B11934">
        <f>TEST_DATA!B11934</f>
        <v/>
      </c>
      <c r="C11934">
        <f>TEST_DATA!C11934</f>
        <v/>
      </c>
      <c r="D11934">
        <f>TEST_DATA!D11934</f>
        <v/>
      </c>
      <c r="E11934">
        <f>TEST_DATA!E11934</f>
        <v/>
      </c>
    </row>
    <row r="11935">
      <c r="A11935">
        <f>TEST_DATA!A11935</f>
        <v/>
      </c>
      <c r="B11935">
        <f>TEST_DATA!B11935</f>
        <v/>
      </c>
      <c r="C11935">
        <f>TEST_DATA!C11935</f>
        <v/>
      </c>
      <c r="D11935">
        <f>TEST_DATA!D11935</f>
        <v/>
      </c>
      <c r="E11935">
        <f>TEST_DATA!E11935</f>
        <v/>
      </c>
    </row>
    <row r="11936">
      <c r="A11936">
        <f>TEST_DATA!A11936</f>
        <v/>
      </c>
      <c r="B11936">
        <f>TEST_DATA!B11936</f>
        <v/>
      </c>
      <c r="C11936">
        <f>TEST_DATA!C11936</f>
        <v/>
      </c>
      <c r="D11936">
        <f>TEST_DATA!D11936</f>
        <v/>
      </c>
      <c r="E11936">
        <f>TEST_DATA!E11936</f>
        <v/>
      </c>
    </row>
    <row r="11937">
      <c r="A11937">
        <f>TEST_DATA!A11937</f>
        <v/>
      </c>
      <c r="B11937">
        <f>TEST_DATA!B11937</f>
        <v/>
      </c>
      <c r="C11937">
        <f>TEST_DATA!C11937</f>
        <v/>
      </c>
      <c r="D11937">
        <f>TEST_DATA!D11937</f>
        <v/>
      </c>
      <c r="E11937">
        <f>TEST_DATA!E11937</f>
        <v/>
      </c>
    </row>
    <row r="11938">
      <c r="A11938">
        <f>TEST_DATA!A11938</f>
        <v/>
      </c>
      <c r="B11938">
        <f>TEST_DATA!B11938</f>
        <v/>
      </c>
      <c r="C11938">
        <f>TEST_DATA!C11938</f>
        <v/>
      </c>
      <c r="D11938">
        <f>TEST_DATA!D11938</f>
        <v/>
      </c>
      <c r="E11938">
        <f>TEST_DATA!E11938</f>
        <v/>
      </c>
    </row>
    <row r="11939">
      <c r="A11939">
        <f>TEST_DATA!A11939</f>
        <v/>
      </c>
      <c r="B11939">
        <f>TEST_DATA!B11939</f>
        <v/>
      </c>
      <c r="C11939">
        <f>TEST_DATA!C11939</f>
        <v/>
      </c>
      <c r="D11939">
        <f>TEST_DATA!D11939</f>
        <v/>
      </c>
      <c r="E11939">
        <f>TEST_DATA!E11939</f>
        <v/>
      </c>
    </row>
    <row r="11940">
      <c r="A11940">
        <f>TEST_DATA!A11940</f>
        <v/>
      </c>
      <c r="B11940">
        <f>TEST_DATA!B11940</f>
        <v/>
      </c>
      <c r="C11940">
        <f>TEST_DATA!C11940</f>
        <v/>
      </c>
      <c r="D11940">
        <f>TEST_DATA!D11940</f>
        <v/>
      </c>
      <c r="E11940">
        <f>TEST_DATA!E11940</f>
        <v/>
      </c>
    </row>
    <row r="11941">
      <c r="A11941">
        <f>TEST_DATA!A11941</f>
        <v/>
      </c>
      <c r="B11941">
        <f>TEST_DATA!B11941</f>
        <v/>
      </c>
      <c r="C11941">
        <f>TEST_DATA!C11941</f>
        <v/>
      </c>
      <c r="D11941">
        <f>TEST_DATA!D11941</f>
        <v/>
      </c>
      <c r="E11941">
        <f>TEST_DATA!E11941</f>
        <v/>
      </c>
    </row>
    <row r="11942">
      <c r="A11942">
        <f>TEST_DATA!A11942</f>
        <v/>
      </c>
      <c r="B11942">
        <f>TEST_DATA!B11942</f>
        <v/>
      </c>
      <c r="C11942">
        <f>TEST_DATA!C11942</f>
        <v/>
      </c>
      <c r="D11942">
        <f>TEST_DATA!D11942</f>
        <v/>
      </c>
      <c r="E11942">
        <f>TEST_DATA!E11942</f>
        <v/>
      </c>
    </row>
    <row r="11943">
      <c r="A11943">
        <f>TEST_DATA!A11943</f>
        <v/>
      </c>
      <c r="B11943">
        <f>TEST_DATA!B11943</f>
        <v/>
      </c>
      <c r="C11943">
        <f>TEST_DATA!C11943</f>
        <v/>
      </c>
      <c r="D11943">
        <f>TEST_DATA!D11943</f>
        <v/>
      </c>
      <c r="E11943">
        <f>TEST_DATA!E11943</f>
        <v/>
      </c>
    </row>
    <row r="11944">
      <c r="A11944">
        <f>TEST_DATA!A11944</f>
        <v/>
      </c>
      <c r="B11944">
        <f>TEST_DATA!B11944</f>
        <v/>
      </c>
      <c r="C11944">
        <f>TEST_DATA!C11944</f>
        <v/>
      </c>
      <c r="D11944">
        <f>TEST_DATA!D11944</f>
        <v/>
      </c>
      <c r="E11944">
        <f>TEST_DATA!E11944</f>
        <v/>
      </c>
    </row>
    <row r="11945">
      <c r="A11945">
        <f>TEST_DATA!A11945</f>
        <v/>
      </c>
      <c r="B11945">
        <f>TEST_DATA!B11945</f>
        <v/>
      </c>
      <c r="C11945">
        <f>TEST_DATA!C11945</f>
        <v/>
      </c>
      <c r="D11945">
        <f>TEST_DATA!D11945</f>
        <v/>
      </c>
      <c r="E11945">
        <f>TEST_DATA!E11945</f>
        <v/>
      </c>
    </row>
    <row r="11946">
      <c r="A11946">
        <f>TEST_DATA!A11946</f>
        <v/>
      </c>
      <c r="B11946">
        <f>TEST_DATA!B11946</f>
        <v/>
      </c>
      <c r="C11946">
        <f>TEST_DATA!C11946</f>
        <v/>
      </c>
      <c r="D11946">
        <f>TEST_DATA!D11946</f>
        <v/>
      </c>
      <c r="E11946">
        <f>TEST_DATA!E11946</f>
        <v/>
      </c>
    </row>
    <row r="11947">
      <c r="A11947">
        <f>TEST_DATA!A11947</f>
        <v/>
      </c>
      <c r="B11947">
        <f>TEST_DATA!B11947</f>
        <v/>
      </c>
      <c r="C11947">
        <f>TEST_DATA!C11947</f>
        <v/>
      </c>
      <c r="D11947">
        <f>TEST_DATA!D11947</f>
        <v/>
      </c>
      <c r="E11947">
        <f>TEST_DATA!E11947</f>
        <v/>
      </c>
    </row>
    <row r="11948">
      <c r="A11948">
        <f>TEST_DATA!A11948</f>
        <v/>
      </c>
      <c r="B11948">
        <f>TEST_DATA!B11948</f>
        <v/>
      </c>
      <c r="C11948">
        <f>TEST_DATA!C11948</f>
        <v/>
      </c>
      <c r="D11948">
        <f>TEST_DATA!D11948</f>
        <v/>
      </c>
      <c r="E11948">
        <f>TEST_DATA!E11948</f>
        <v/>
      </c>
    </row>
    <row r="11949">
      <c r="A11949">
        <f>TEST_DATA!A11949</f>
        <v/>
      </c>
      <c r="B11949">
        <f>TEST_DATA!B11949</f>
        <v/>
      </c>
      <c r="C11949">
        <f>TEST_DATA!C11949</f>
        <v/>
      </c>
      <c r="D11949">
        <f>TEST_DATA!D11949</f>
        <v/>
      </c>
      <c r="E11949">
        <f>TEST_DATA!E11949</f>
        <v/>
      </c>
    </row>
    <row r="11950">
      <c r="A11950">
        <f>TEST_DATA!A11950</f>
        <v/>
      </c>
      <c r="B11950">
        <f>TEST_DATA!B11950</f>
        <v/>
      </c>
      <c r="C11950">
        <f>TEST_DATA!C11950</f>
        <v/>
      </c>
      <c r="D11950">
        <f>TEST_DATA!D11950</f>
        <v/>
      </c>
      <c r="E11950">
        <f>TEST_DATA!E11950</f>
        <v/>
      </c>
    </row>
    <row r="11951">
      <c r="A11951">
        <f>TEST_DATA!A11951</f>
        <v/>
      </c>
      <c r="B11951">
        <f>TEST_DATA!B11951</f>
        <v/>
      </c>
      <c r="C11951">
        <f>TEST_DATA!C11951</f>
        <v/>
      </c>
      <c r="D11951">
        <f>TEST_DATA!D11951</f>
        <v/>
      </c>
      <c r="E11951">
        <f>TEST_DATA!E11951</f>
        <v/>
      </c>
    </row>
    <row r="11952">
      <c r="A11952">
        <f>TEST_DATA!A11952</f>
        <v/>
      </c>
      <c r="B11952">
        <f>TEST_DATA!B11952</f>
        <v/>
      </c>
      <c r="C11952">
        <f>TEST_DATA!C11952</f>
        <v/>
      </c>
      <c r="D11952">
        <f>TEST_DATA!D11952</f>
        <v/>
      </c>
      <c r="E11952">
        <f>TEST_DATA!E11952</f>
        <v/>
      </c>
    </row>
    <row r="11953">
      <c r="A11953">
        <f>TEST_DATA!A11953</f>
        <v/>
      </c>
      <c r="B11953">
        <f>TEST_DATA!B11953</f>
        <v/>
      </c>
      <c r="C11953">
        <f>TEST_DATA!C11953</f>
        <v/>
      </c>
      <c r="D11953">
        <f>TEST_DATA!D11953</f>
        <v/>
      </c>
      <c r="E11953">
        <f>TEST_DATA!E11953</f>
        <v/>
      </c>
    </row>
    <row r="11954">
      <c r="A11954">
        <f>TEST_DATA!A11954</f>
        <v/>
      </c>
      <c r="B11954">
        <f>TEST_DATA!B11954</f>
        <v/>
      </c>
      <c r="C11954">
        <f>TEST_DATA!C11954</f>
        <v/>
      </c>
      <c r="D11954">
        <f>TEST_DATA!D11954</f>
        <v/>
      </c>
      <c r="E11954">
        <f>TEST_DATA!E11954</f>
        <v/>
      </c>
    </row>
    <row r="11955">
      <c r="A11955">
        <f>TEST_DATA!A11955</f>
        <v/>
      </c>
      <c r="B11955">
        <f>TEST_DATA!B11955</f>
        <v/>
      </c>
      <c r="C11955">
        <f>TEST_DATA!C11955</f>
        <v/>
      </c>
      <c r="D11955">
        <f>TEST_DATA!D11955</f>
        <v/>
      </c>
      <c r="E11955">
        <f>TEST_DATA!E11955</f>
        <v/>
      </c>
    </row>
    <row r="11956">
      <c r="A11956">
        <f>TEST_DATA!A11956</f>
        <v/>
      </c>
      <c r="B11956">
        <f>TEST_DATA!B11956</f>
        <v/>
      </c>
      <c r="C11956">
        <f>TEST_DATA!C11956</f>
        <v/>
      </c>
      <c r="D11956">
        <f>TEST_DATA!D11956</f>
        <v/>
      </c>
      <c r="E11956">
        <f>TEST_DATA!E11956</f>
        <v/>
      </c>
    </row>
    <row r="11957">
      <c r="A11957">
        <f>TEST_DATA!A11957</f>
        <v/>
      </c>
      <c r="B11957">
        <f>TEST_DATA!B11957</f>
        <v/>
      </c>
      <c r="C11957">
        <f>TEST_DATA!C11957</f>
        <v/>
      </c>
      <c r="D11957">
        <f>TEST_DATA!D11957</f>
        <v/>
      </c>
      <c r="E11957">
        <f>TEST_DATA!E11957</f>
        <v/>
      </c>
    </row>
    <row r="11958">
      <c r="A11958">
        <f>TEST_DATA!A11958</f>
        <v/>
      </c>
      <c r="B11958">
        <f>TEST_DATA!B11958</f>
        <v/>
      </c>
      <c r="C11958">
        <f>TEST_DATA!C11958</f>
        <v/>
      </c>
      <c r="D11958">
        <f>TEST_DATA!D11958</f>
        <v/>
      </c>
      <c r="E11958">
        <f>TEST_DATA!E11958</f>
        <v/>
      </c>
    </row>
    <row r="11959">
      <c r="A11959">
        <f>TEST_DATA!A11959</f>
        <v/>
      </c>
      <c r="B11959">
        <f>TEST_DATA!B11959</f>
        <v/>
      </c>
      <c r="C11959">
        <f>TEST_DATA!C11959</f>
        <v/>
      </c>
      <c r="D11959">
        <f>TEST_DATA!D11959</f>
        <v/>
      </c>
      <c r="E11959">
        <f>TEST_DATA!E11959</f>
        <v/>
      </c>
    </row>
    <row r="11960">
      <c r="A11960">
        <f>TEST_DATA!A11960</f>
        <v/>
      </c>
      <c r="B11960">
        <f>TEST_DATA!B11960</f>
        <v/>
      </c>
      <c r="C11960">
        <f>TEST_DATA!C11960</f>
        <v/>
      </c>
      <c r="D11960">
        <f>TEST_DATA!D11960</f>
        <v/>
      </c>
      <c r="E11960">
        <f>TEST_DATA!E11960</f>
        <v/>
      </c>
    </row>
    <row r="11961">
      <c r="A11961">
        <f>TEST_DATA!A11961</f>
        <v/>
      </c>
      <c r="B11961">
        <f>TEST_DATA!B11961</f>
        <v/>
      </c>
      <c r="C11961">
        <f>TEST_DATA!C11961</f>
        <v/>
      </c>
      <c r="D11961">
        <f>TEST_DATA!D11961</f>
        <v/>
      </c>
      <c r="E11961">
        <f>TEST_DATA!E11961</f>
        <v/>
      </c>
    </row>
    <row r="11962">
      <c r="A11962">
        <f>TEST_DATA!A11962</f>
        <v/>
      </c>
      <c r="B11962">
        <f>TEST_DATA!B11962</f>
        <v/>
      </c>
      <c r="C11962">
        <f>TEST_DATA!C11962</f>
        <v/>
      </c>
      <c r="D11962">
        <f>TEST_DATA!D11962</f>
        <v/>
      </c>
      <c r="E11962">
        <f>TEST_DATA!E11962</f>
        <v/>
      </c>
    </row>
    <row r="11963">
      <c r="A11963">
        <f>TEST_DATA!A11963</f>
        <v/>
      </c>
      <c r="B11963">
        <f>TEST_DATA!B11963</f>
        <v/>
      </c>
      <c r="C11963">
        <f>TEST_DATA!C11963</f>
        <v/>
      </c>
      <c r="D11963">
        <f>TEST_DATA!D11963</f>
        <v/>
      </c>
      <c r="E11963">
        <f>TEST_DATA!E11963</f>
        <v/>
      </c>
    </row>
    <row r="11964">
      <c r="A11964">
        <f>TEST_DATA!A11964</f>
        <v/>
      </c>
      <c r="B11964">
        <f>TEST_DATA!B11964</f>
        <v/>
      </c>
      <c r="C11964">
        <f>TEST_DATA!C11964</f>
        <v/>
      </c>
      <c r="D11964">
        <f>TEST_DATA!D11964</f>
        <v/>
      </c>
      <c r="E11964">
        <f>TEST_DATA!E11964</f>
        <v/>
      </c>
    </row>
    <row r="11965">
      <c r="A11965">
        <f>TEST_DATA!A11965</f>
        <v/>
      </c>
      <c r="B11965">
        <f>TEST_DATA!B11965</f>
        <v/>
      </c>
      <c r="C11965">
        <f>TEST_DATA!C11965</f>
        <v/>
      </c>
      <c r="D11965">
        <f>TEST_DATA!D11965</f>
        <v/>
      </c>
      <c r="E11965">
        <f>TEST_DATA!E11965</f>
        <v/>
      </c>
    </row>
    <row r="11966">
      <c r="A11966">
        <f>TEST_DATA!A11966</f>
        <v/>
      </c>
      <c r="B11966">
        <f>TEST_DATA!B11966</f>
        <v/>
      </c>
      <c r="C11966">
        <f>TEST_DATA!C11966</f>
        <v/>
      </c>
      <c r="D11966">
        <f>TEST_DATA!D11966</f>
        <v/>
      </c>
      <c r="E11966">
        <f>TEST_DATA!E11966</f>
        <v/>
      </c>
    </row>
    <row r="11967">
      <c r="A11967">
        <f>TEST_DATA!A11967</f>
        <v/>
      </c>
      <c r="B11967">
        <f>TEST_DATA!B11967</f>
        <v/>
      </c>
      <c r="C11967">
        <f>TEST_DATA!C11967</f>
        <v/>
      </c>
      <c r="D11967">
        <f>TEST_DATA!D11967</f>
        <v/>
      </c>
      <c r="E11967">
        <f>TEST_DATA!E11967</f>
        <v/>
      </c>
    </row>
    <row r="11968">
      <c r="A11968">
        <f>TEST_DATA!A11968</f>
        <v/>
      </c>
      <c r="B11968">
        <f>TEST_DATA!B11968</f>
        <v/>
      </c>
      <c r="C11968">
        <f>TEST_DATA!C11968</f>
        <v/>
      </c>
      <c r="D11968">
        <f>TEST_DATA!D11968</f>
        <v/>
      </c>
      <c r="E11968">
        <f>TEST_DATA!E11968</f>
        <v/>
      </c>
    </row>
    <row r="11969">
      <c r="A11969">
        <f>TEST_DATA!A11969</f>
        <v/>
      </c>
      <c r="B11969">
        <f>TEST_DATA!B11969</f>
        <v/>
      </c>
      <c r="C11969">
        <f>TEST_DATA!C11969</f>
        <v/>
      </c>
      <c r="D11969">
        <f>TEST_DATA!D11969</f>
        <v/>
      </c>
      <c r="E11969">
        <f>TEST_DATA!E11969</f>
        <v/>
      </c>
    </row>
    <row r="11970">
      <c r="A11970">
        <f>TEST_DATA!A11970</f>
        <v/>
      </c>
      <c r="B11970">
        <f>TEST_DATA!B11970</f>
        <v/>
      </c>
      <c r="C11970">
        <f>TEST_DATA!C11970</f>
        <v/>
      </c>
      <c r="D11970">
        <f>TEST_DATA!D11970</f>
        <v/>
      </c>
      <c r="E11970">
        <f>TEST_DATA!E11970</f>
        <v/>
      </c>
    </row>
    <row r="11971">
      <c r="A11971">
        <f>TEST_DATA!A11971</f>
        <v/>
      </c>
      <c r="B11971">
        <f>TEST_DATA!B11971</f>
        <v/>
      </c>
      <c r="C11971">
        <f>TEST_DATA!C11971</f>
        <v/>
      </c>
      <c r="D11971">
        <f>TEST_DATA!D11971</f>
        <v/>
      </c>
      <c r="E11971">
        <f>TEST_DATA!E11971</f>
        <v/>
      </c>
    </row>
    <row r="11972">
      <c r="A11972">
        <f>TEST_DATA!A11972</f>
        <v/>
      </c>
      <c r="B11972">
        <f>TEST_DATA!B11972</f>
        <v/>
      </c>
      <c r="C11972">
        <f>TEST_DATA!C11972</f>
        <v/>
      </c>
      <c r="D11972">
        <f>TEST_DATA!D11972</f>
        <v/>
      </c>
      <c r="E11972">
        <f>TEST_DATA!E11972</f>
        <v/>
      </c>
    </row>
    <row r="11973">
      <c r="A11973">
        <f>TEST_DATA!A11973</f>
        <v/>
      </c>
      <c r="B11973">
        <f>TEST_DATA!B11973</f>
        <v/>
      </c>
      <c r="C11973">
        <f>TEST_DATA!C11973</f>
        <v/>
      </c>
      <c r="D11973">
        <f>TEST_DATA!D11973</f>
        <v/>
      </c>
      <c r="E11973">
        <f>TEST_DATA!E11973</f>
        <v/>
      </c>
    </row>
    <row r="11974">
      <c r="A11974">
        <f>TEST_DATA!A11974</f>
        <v/>
      </c>
      <c r="B11974">
        <f>TEST_DATA!B11974</f>
        <v/>
      </c>
      <c r="C11974">
        <f>TEST_DATA!C11974</f>
        <v/>
      </c>
      <c r="D11974">
        <f>TEST_DATA!D11974</f>
        <v/>
      </c>
      <c r="E11974">
        <f>TEST_DATA!E11974</f>
        <v/>
      </c>
    </row>
    <row r="11975">
      <c r="A11975">
        <f>TEST_DATA!A11975</f>
        <v/>
      </c>
      <c r="B11975">
        <f>TEST_DATA!B11975</f>
        <v/>
      </c>
      <c r="C11975">
        <f>TEST_DATA!C11975</f>
        <v/>
      </c>
      <c r="D11975">
        <f>TEST_DATA!D11975</f>
        <v/>
      </c>
      <c r="E11975">
        <f>TEST_DATA!E11975</f>
        <v/>
      </c>
    </row>
    <row r="11976">
      <c r="A11976">
        <f>TEST_DATA!A11976</f>
        <v/>
      </c>
      <c r="B11976">
        <f>TEST_DATA!B11976</f>
        <v/>
      </c>
      <c r="C11976">
        <f>TEST_DATA!C11976</f>
        <v/>
      </c>
      <c r="D11976">
        <f>TEST_DATA!D11976</f>
        <v/>
      </c>
      <c r="E11976">
        <f>TEST_DATA!E11976</f>
        <v/>
      </c>
    </row>
    <row r="11977">
      <c r="A11977">
        <f>TEST_DATA!A11977</f>
        <v/>
      </c>
      <c r="B11977">
        <f>TEST_DATA!B11977</f>
        <v/>
      </c>
      <c r="C11977">
        <f>TEST_DATA!C11977</f>
        <v/>
      </c>
      <c r="D11977">
        <f>TEST_DATA!D11977</f>
        <v/>
      </c>
      <c r="E11977">
        <f>TEST_DATA!E11977</f>
        <v/>
      </c>
    </row>
    <row r="11978">
      <c r="A11978">
        <f>TEST_DATA!A11978</f>
        <v/>
      </c>
      <c r="B11978">
        <f>TEST_DATA!B11978</f>
        <v/>
      </c>
      <c r="C11978">
        <f>TEST_DATA!C11978</f>
        <v/>
      </c>
      <c r="D11978">
        <f>TEST_DATA!D11978</f>
        <v/>
      </c>
      <c r="E11978">
        <f>TEST_DATA!E11978</f>
        <v/>
      </c>
    </row>
    <row r="11979">
      <c r="A11979">
        <f>TEST_DATA!A11979</f>
        <v/>
      </c>
      <c r="B11979">
        <f>TEST_DATA!B11979</f>
        <v/>
      </c>
      <c r="C11979">
        <f>TEST_DATA!C11979</f>
        <v/>
      </c>
      <c r="D11979">
        <f>TEST_DATA!D11979</f>
        <v/>
      </c>
      <c r="E11979">
        <f>TEST_DATA!E11979</f>
        <v/>
      </c>
    </row>
    <row r="11980">
      <c r="A11980">
        <f>TEST_DATA!A11980</f>
        <v/>
      </c>
      <c r="B11980">
        <f>TEST_DATA!B11980</f>
        <v/>
      </c>
      <c r="C11980">
        <f>TEST_DATA!C11980</f>
        <v/>
      </c>
      <c r="D11980">
        <f>TEST_DATA!D11980</f>
        <v/>
      </c>
      <c r="E11980">
        <f>TEST_DATA!E11980</f>
        <v/>
      </c>
    </row>
    <row r="11981">
      <c r="A11981">
        <f>TEST_DATA!A11981</f>
        <v/>
      </c>
      <c r="B11981">
        <f>TEST_DATA!B11981</f>
        <v/>
      </c>
      <c r="C11981">
        <f>TEST_DATA!C11981</f>
        <v/>
      </c>
      <c r="D11981">
        <f>TEST_DATA!D11981</f>
        <v/>
      </c>
      <c r="E11981">
        <f>TEST_DATA!E11981</f>
        <v/>
      </c>
    </row>
    <row r="11982">
      <c r="A11982">
        <f>TEST_DATA!A11982</f>
        <v/>
      </c>
      <c r="B11982">
        <f>TEST_DATA!B11982</f>
        <v/>
      </c>
      <c r="C11982">
        <f>TEST_DATA!C11982</f>
        <v/>
      </c>
      <c r="D11982">
        <f>TEST_DATA!D11982</f>
        <v/>
      </c>
      <c r="E11982">
        <f>TEST_DATA!E11982</f>
        <v/>
      </c>
    </row>
    <row r="11983">
      <c r="A11983">
        <f>TEST_DATA!A11983</f>
        <v/>
      </c>
      <c r="B11983">
        <f>TEST_DATA!B11983</f>
        <v/>
      </c>
      <c r="C11983">
        <f>TEST_DATA!C11983</f>
        <v/>
      </c>
      <c r="D11983">
        <f>TEST_DATA!D11983</f>
        <v/>
      </c>
      <c r="E11983">
        <f>TEST_DATA!E11983</f>
        <v/>
      </c>
    </row>
    <row r="11984">
      <c r="A11984">
        <f>TEST_DATA!A11984</f>
        <v/>
      </c>
      <c r="B11984">
        <f>TEST_DATA!B11984</f>
        <v/>
      </c>
      <c r="C11984">
        <f>TEST_DATA!C11984</f>
        <v/>
      </c>
      <c r="D11984">
        <f>TEST_DATA!D11984</f>
        <v/>
      </c>
      <c r="E11984">
        <f>TEST_DATA!E11984</f>
        <v/>
      </c>
    </row>
    <row r="11985">
      <c r="A11985">
        <f>TEST_DATA!A11985</f>
        <v/>
      </c>
      <c r="B11985">
        <f>TEST_DATA!B11985</f>
        <v/>
      </c>
      <c r="C11985">
        <f>TEST_DATA!C11985</f>
        <v/>
      </c>
      <c r="D11985">
        <f>TEST_DATA!D11985</f>
        <v/>
      </c>
      <c r="E11985">
        <f>TEST_DATA!E11985</f>
        <v/>
      </c>
    </row>
    <row r="11986">
      <c r="A11986">
        <f>TEST_DATA!A11986</f>
        <v/>
      </c>
      <c r="B11986">
        <f>TEST_DATA!B11986</f>
        <v/>
      </c>
      <c r="C11986">
        <f>TEST_DATA!C11986</f>
        <v/>
      </c>
      <c r="D11986">
        <f>TEST_DATA!D11986</f>
        <v/>
      </c>
      <c r="E11986">
        <f>TEST_DATA!E11986</f>
        <v/>
      </c>
    </row>
    <row r="11987">
      <c r="A11987">
        <f>TEST_DATA!A11987</f>
        <v/>
      </c>
      <c r="B11987">
        <f>TEST_DATA!B11987</f>
        <v/>
      </c>
      <c r="C11987">
        <f>TEST_DATA!C11987</f>
        <v/>
      </c>
      <c r="D11987">
        <f>TEST_DATA!D11987</f>
        <v/>
      </c>
      <c r="E11987">
        <f>TEST_DATA!E11987</f>
        <v/>
      </c>
    </row>
    <row r="11988">
      <c r="A11988">
        <f>TEST_DATA!A11988</f>
        <v/>
      </c>
      <c r="B11988">
        <f>TEST_DATA!B11988</f>
        <v/>
      </c>
      <c r="C11988">
        <f>TEST_DATA!C11988</f>
        <v/>
      </c>
      <c r="D11988">
        <f>TEST_DATA!D11988</f>
        <v/>
      </c>
      <c r="E11988">
        <f>TEST_DATA!E11988</f>
        <v/>
      </c>
    </row>
    <row r="11989">
      <c r="A11989">
        <f>TEST_DATA!A11989</f>
        <v/>
      </c>
      <c r="B11989">
        <f>TEST_DATA!B11989</f>
        <v/>
      </c>
      <c r="C11989">
        <f>TEST_DATA!C11989</f>
        <v/>
      </c>
      <c r="D11989">
        <f>TEST_DATA!D11989</f>
        <v/>
      </c>
      <c r="E11989">
        <f>TEST_DATA!E11989</f>
        <v/>
      </c>
    </row>
    <row r="11990">
      <c r="A11990">
        <f>TEST_DATA!A11990</f>
        <v/>
      </c>
      <c r="B11990">
        <f>TEST_DATA!B11990</f>
        <v/>
      </c>
      <c r="C11990">
        <f>TEST_DATA!C11990</f>
        <v/>
      </c>
      <c r="D11990">
        <f>TEST_DATA!D11990</f>
        <v/>
      </c>
      <c r="E11990">
        <f>TEST_DATA!E11990</f>
        <v/>
      </c>
    </row>
    <row r="11991">
      <c r="A11991">
        <f>TEST_DATA!A11991</f>
        <v/>
      </c>
      <c r="B11991">
        <f>TEST_DATA!B11991</f>
        <v/>
      </c>
      <c r="C11991">
        <f>TEST_DATA!C11991</f>
        <v/>
      </c>
      <c r="D11991">
        <f>TEST_DATA!D11991</f>
        <v/>
      </c>
      <c r="E11991">
        <f>TEST_DATA!E11991</f>
        <v/>
      </c>
    </row>
    <row r="11992">
      <c r="A11992">
        <f>TEST_DATA!A11992</f>
        <v/>
      </c>
      <c r="B11992">
        <f>TEST_DATA!B11992</f>
        <v/>
      </c>
      <c r="C11992">
        <f>TEST_DATA!C11992</f>
        <v/>
      </c>
      <c r="D11992">
        <f>TEST_DATA!D11992</f>
        <v/>
      </c>
      <c r="E11992">
        <f>TEST_DATA!E11992</f>
        <v/>
      </c>
    </row>
    <row r="11993">
      <c r="A11993">
        <f>TEST_DATA!A11993</f>
        <v/>
      </c>
      <c r="B11993">
        <f>TEST_DATA!B11993</f>
        <v/>
      </c>
      <c r="C11993">
        <f>TEST_DATA!C11993</f>
        <v/>
      </c>
      <c r="D11993">
        <f>TEST_DATA!D11993</f>
        <v/>
      </c>
      <c r="E11993">
        <f>TEST_DATA!E11993</f>
        <v/>
      </c>
    </row>
    <row r="11994">
      <c r="A11994">
        <f>TEST_DATA!A11994</f>
        <v/>
      </c>
      <c r="B11994">
        <f>TEST_DATA!B11994</f>
        <v/>
      </c>
      <c r="C11994">
        <f>TEST_DATA!C11994</f>
        <v/>
      </c>
      <c r="D11994">
        <f>TEST_DATA!D11994</f>
        <v/>
      </c>
      <c r="E11994">
        <f>TEST_DATA!E11994</f>
        <v/>
      </c>
    </row>
    <row r="11995">
      <c r="A11995">
        <f>TEST_DATA!A11995</f>
        <v/>
      </c>
      <c r="B11995">
        <f>TEST_DATA!B11995</f>
        <v/>
      </c>
      <c r="C11995">
        <f>TEST_DATA!C11995</f>
        <v/>
      </c>
      <c r="D11995">
        <f>TEST_DATA!D11995</f>
        <v/>
      </c>
      <c r="E11995">
        <f>TEST_DATA!E11995</f>
        <v/>
      </c>
    </row>
    <row r="11996">
      <c r="A11996">
        <f>TEST_DATA!A11996</f>
        <v/>
      </c>
      <c r="B11996">
        <f>TEST_DATA!B11996</f>
        <v/>
      </c>
      <c r="C11996">
        <f>TEST_DATA!C11996</f>
        <v/>
      </c>
      <c r="D11996">
        <f>TEST_DATA!D11996</f>
        <v/>
      </c>
      <c r="E11996">
        <f>TEST_DATA!E11996</f>
        <v/>
      </c>
    </row>
    <row r="11997">
      <c r="A11997">
        <f>TEST_DATA!A11997</f>
        <v/>
      </c>
      <c r="B11997">
        <f>TEST_DATA!B11997</f>
        <v/>
      </c>
      <c r="C11997">
        <f>TEST_DATA!C11997</f>
        <v/>
      </c>
      <c r="D11997">
        <f>TEST_DATA!D11997</f>
        <v/>
      </c>
      <c r="E11997">
        <f>TEST_DATA!E11997</f>
        <v/>
      </c>
    </row>
    <row r="11998">
      <c r="A11998">
        <f>TEST_DATA!A11998</f>
        <v/>
      </c>
      <c r="B11998">
        <f>TEST_DATA!B11998</f>
        <v/>
      </c>
      <c r="C11998">
        <f>TEST_DATA!C11998</f>
        <v/>
      </c>
      <c r="D11998">
        <f>TEST_DATA!D11998</f>
        <v/>
      </c>
      <c r="E11998">
        <f>TEST_DATA!E11998</f>
        <v/>
      </c>
    </row>
    <row r="11999">
      <c r="A11999">
        <f>TEST_DATA!A11999</f>
        <v/>
      </c>
      <c r="B11999">
        <f>TEST_DATA!B11999</f>
        <v/>
      </c>
      <c r="C11999">
        <f>TEST_DATA!C11999</f>
        <v/>
      </c>
      <c r="D11999">
        <f>TEST_DATA!D11999</f>
        <v/>
      </c>
      <c r="E11999">
        <f>TEST_DATA!E11999</f>
        <v/>
      </c>
    </row>
    <row r="12000">
      <c r="A12000">
        <f>TEST_DATA!A12000</f>
        <v/>
      </c>
      <c r="B12000">
        <f>TEST_DATA!B12000</f>
        <v/>
      </c>
      <c r="C12000">
        <f>TEST_DATA!C12000</f>
        <v/>
      </c>
      <c r="D12000">
        <f>TEST_DATA!D12000</f>
        <v/>
      </c>
      <c r="E12000">
        <f>TEST_DATA!E12000</f>
        <v/>
      </c>
    </row>
    <row r="12001">
      <c r="A12001">
        <f>TEST_DATA!A12001</f>
        <v/>
      </c>
      <c r="B12001">
        <f>TEST_DATA!B12001</f>
        <v/>
      </c>
      <c r="C12001">
        <f>TEST_DATA!C12001</f>
        <v/>
      </c>
      <c r="D12001">
        <f>TEST_DATA!D12001</f>
        <v/>
      </c>
      <c r="E12001">
        <f>TEST_DATA!E12001</f>
        <v/>
      </c>
    </row>
    <row r="12002">
      <c r="A12002">
        <f>TEST_DATA!A12002</f>
        <v/>
      </c>
      <c r="B12002">
        <f>TEST_DATA!B12002</f>
        <v/>
      </c>
      <c r="C12002">
        <f>TEST_DATA!C12002</f>
        <v/>
      </c>
      <c r="D12002">
        <f>TEST_DATA!D12002</f>
        <v/>
      </c>
      <c r="E12002">
        <f>TEST_DATA!E12002</f>
        <v/>
      </c>
    </row>
    <row r="12003">
      <c r="A12003">
        <f>TEST_DATA!A12003</f>
        <v/>
      </c>
      <c r="B12003">
        <f>TEST_DATA!B12003</f>
        <v/>
      </c>
      <c r="C12003">
        <f>TEST_DATA!C12003</f>
        <v/>
      </c>
      <c r="D12003">
        <f>TEST_DATA!D12003</f>
        <v/>
      </c>
      <c r="E12003">
        <f>TEST_DATA!E12003</f>
        <v/>
      </c>
    </row>
    <row r="12004">
      <c r="A12004">
        <f>TEST_DATA!A12004</f>
        <v/>
      </c>
      <c r="B12004">
        <f>TEST_DATA!B12004</f>
        <v/>
      </c>
      <c r="C12004">
        <f>TEST_DATA!C12004</f>
        <v/>
      </c>
      <c r="D12004">
        <f>TEST_DATA!D12004</f>
        <v/>
      </c>
      <c r="E12004">
        <f>TEST_DATA!E12004</f>
        <v/>
      </c>
    </row>
    <row r="12005">
      <c r="A12005">
        <f>TEST_DATA!A12005</f>
        <v/>
      </c>
      <c r="B12005">
        <f>TEST_DATA!B12005</f>
        <v/>
      </c>
      <c r="C12005">
        <f>TEST_DATA!C12005</f>
        <v/>
      </c>
      <c r="D12005">
        <f>TEST_DATA!D12005</f>
        <v/>
      </c>
      <c r="E12005">
        <f>TEST_DATA!E12005</f>
        <v/>
      </c>
    </row>
    <row r="12006">
      <c r="A12006">
        <f>TEST_DATA!A12006</f>
        <v/>
      </c>
      <c r="B12006">
        <f>TEST_DATA!B12006</f>
        <v/>
      </c>
      <c r="C12006">
        <f>TEST_DATA!C12006</f>
        <v/>
      </c>
      <c r="D12006">
        <f>TEST_DATA!D12006</f>
        <v/>
      </c>
      <c r="E12006">
        <f>TEST_DATA!E12006</f>
        <v/>
      </c>
    </row>
    <row r="12007">
      <c r="A12007">
        <f>TEST_DATA!A12007</f>
        <v/>
      </c>
      <c r="B12007">
        <f>TEST_DATA!B12007</f>
        <v/>
      </c>
      <c r="C12007">
        <f>TEST_DATA!C12007</f>
        <v/>
      </c>
      <c r="D12007">
        <f>TEST_DATA!D12007</f>
        <v/>
      </c>
      <c r="E12007">
        <f>TEST_DATA!E12007</f>
        <v/>
      </c>
    </row>
    <row r="12008">
      <c r="A12008">
        <f>TEST_DATA!A12008</f>
        <v/>
      </c>
      <c r="B12008">
        <f>TEST_DATA!B12008</f>
        <v/>
      </c>
      <c r="C12008">
        <f>TEST_DATA!C12008</f>
        <v/>
      </c>
      <c r="D12008">
        <f>TEST_DATA!D12008</f>
        <v/>
      </c>
      <c r="E12008">
        <f>TEST_DATA!E12008</f>
        <v/>
      </c>
    </row>
    <row r="12009">
      <c r="A12009">
        <f>TEST_DATA!A12009</f>
        <v/>
      </c>
      <c r="B12009">
        <f>TEST_DATA!B12009</f>
        <v/>
      </c>
      <c r="C12009">
        <f>TEST_DATA!C12009</f>
        <v/>
      </c>
      <c r="D12009">
        <f>TEST_DATA!D12009</f>
        <v/>
      </c>
      <c r="E12009">
        <f>TEST_DATA!E12009</f>
        <v/>
      </c>
    </row>
    <row r="12010">
      <c r="A12010">
        <f>TEST_DATA!A12010</f>
        <v/>
      </c>
      <c r="B12010">
        <f>TEST_DATA!B12010</f>
        <v/>
      </c>
      <c r="C12010">
        <f>TEST_DATA!C12010</f>
        <v/>
      </c>
      <c r="D12010">
        <f>TEST_DATA!D12010</f>
        <v/>
      </c>
      <c r="E12010">
        <f>TEST_DATA!E12010</f>
        <v/>
      </c>
    </row>
    <row r="12011">
      <c r="A12011">
        <f>TEST_DATA!A12011</f>
        <v/>
      </c>
      <c r="B12011">
        <f>TEST_DATA!B12011</f>
        <v/>
      </c>
      <c r="C12011">
        <f>TEST_DATA!C12011</f>
        <v/>
      </c>
      <c r="D12011">
        <f>TEST_DATA!D12011</f>
        <v/>
      </c>
      <c r="E12011">
        <f>TEST_DATA!E12011</f>
        <v/>
      </c>
    </row>
    <row r="12012">
      <c r="A12012">
        <f>TEST_DATA!A12012</f>
        <v/>
      </c>
      <c r="B12012">
        <f>TEST_DATA!B12012</f>
        <v/>
      </c>
      <c r="C12012">
        <f>TEST_DATA!C12012</f>
        <v/>
      </c>
      <c r="D12012">
        <f>TEST_DATA!D12012</f>
        <v/>
      </c>
      <c r="E12012">
        <f>TEST_DATA!E12012</f>
        <v/>
      </c>
    </row>
    <row r="12013">
      <c r="A12013">
        <f>TEST_DATA!A12013</f>
        <v/>
      </c>
      <c r="B12013">
        <f>TEST_DATA!B12013</f>
        <v/>
      </c>
      <c r="C12013">
        <f>TEST_DATA!C12013</f>
        <v/>
      </c>
      <c r="D12013">
        <f>TEST_DATA!D12013</f>
        <v/>
      </c>
      <c r="E12013">
        <f>TEST_DATA!E12013</f>
        <v/>
      </c>
    </row>
    <row r="12014">
      <c r="A12014">
        <f>TEST_DATA!A12014</f>
        <v/>
      </c>
      <c r="B12014">
        <f>TEST_DATA!B12014</f>
        <v/>
      </c>
      <c r="C12014">
        <f>TEST_DATA!C12014</f>
        <v/>
      </c>
      <c r="D12014">
        <f>TEST_DATA!D12014</f>
        <v/>
      </c>
      <c r="E12014">
        <f>TEST_DATA!E12014</f>
        <v/>
      </c>
    </row>
    <row r="12015">
      <c r="A12015">
        <f>TEST_DATA!A12015</f>
        <v/>
      </c>
      <c r="B12015">
        <f>TEST_DATA!B12015</f>
        <v/>
      </c>
      <c r="C12015">
        <f>TEST_DATA!C12015</f>
        <v/>
      </c>
      <c r="D12015">
        <f>TEST_DATA!D12015</f>
        <v/>
      </c>
      <c r="E12015">
        <f>TEST_DATA!E12015</f>
        <v/>
      </c>
    </row>
    <row r="12016">
      <c r="A12016">
        <f>TEST_DATA!A12016</f>
        <v/>
      </c>
      <c r="B12016">
        <f>TEST_DATA!B12016</f>
        <v/>
      </c>
      <c r="C12016">
        <f>TEST_DATA!C12016</f>
        <v/>
      </c>
      <c r="D12016">
        <f>TEST_DATA!D12016</f>
        <v/>
      </c>
      <c r="E12016">
        <f>TEST_DATA!E12016</f>
        <v/>
      </c>
    </row>
    <row r="12017">
      <c r="A12017">
        <f>TEST_DATA!A12017</f>
        <v/>
      </c>
      <c r="B12017">
        <f>TEST_DATA!B12017</f>
        <v/>
      </c>
      <c r="C12017">
        <f>TEST_DATA!C12017</f>
        <v/>
      </c>
      <c r="D12017">
        <f>TEST_DATA!D12017</f>
        <v/>
      </c>
      <c r="E12017">
        <f>TEST_DATA!E12017</f>
        <v/>
      </c>
    </row>
    <row r="12018">
      <c r="A12018">
        <f>TEST_DATA!A12018</f>
        <v/>
      </c>
      <c r="B12018">
        <f>TEST_DATA!B12018</f>
        <v/>
      </c>
      <c r="C12018">
        <f>TEST_DATA!C12018</f>
        <v/>
      </c>
      <c r="D12018">
        <f>TEST_DATA!D12018</f>
        <v/>
      </c>
      <c r="E12018">
        <f>TEST_DATA!E12018</f>
        <v/>
      </c>
    </row>
    <row r="12019">
      <c r="A12019">
        <f>TEST_DATA!A12019</f>
        <v/>
      </c>
      <c r="B12019">
        <f>TEST_DATA!B12019</f>
        <v/>
      </c>
      <c r="C12019">
        <f>TEST_DATA!C12019</f>
        <v/>
      </c>
      <c r="D12019">
        <f>TEST_DATA!D12019</f>
        <v/>
      </c>
      <c r="E12019">
        <f>TEST_DATA!E12019</f>
        <v/>
      </c>
    </row>
    <row r="12020">
      <c r="A12020">
        <f>TEST_DATA!A12020</f>
        <v/>
      </c>
      <c r="B12020">
        <f>TEST_DATA!B12020</f>
        <v/>
      </c>
      <c r="C12020">
        <f>TEST_DATA!C12020</f>
        <v/>
      </c>
      <c r="D12020">
        <f>TEST_DATA!D12020</f>
        <v/>
      </c>
      <c r="E12020">
        <f>TEST_DATA!E12020</f>
        <v/>
      </c>
    </row>
    <row r="12021">
      <c r="A12021">
        <f>TEST_DATA!A12021</f>
        <v/>
      </c>
      <c r="B12021">
        <f>TEST_DATA!B12021</f>
        <v/>
      </c>
      <c r="C12021">
        <f>TEST_DATA!C12021</f>
        <v/>
      </c>
      <c r="D12021">
        <f>TEST_DATA!D12021</f>
        <v/>
      </c>
      <c r="E12021">
        <f>TEST_DATA!E12021</f>
        <v/>
      </c>
    </row>
    <row r="12022">
      <c r="A12022">
        <f>TEST_DATA!A12022</f>
        <v/>
      </c>
      <c r="B12022">
        <f>TEST_DATA!B12022</f>
        <v/>
      </c>
      <c r="C12022">
        <f>TEST_DATA!C12022</f>
        <v/>
      </c>
      <c r="D12022">
        <f>TEST_DATA!D12022</f>
        <v/>
      </c>
      <c r="E12022">
        <f>TEST_DATA!E12022</f>
        <v/>
      </c>
    </row>
    <row r="12023">
      <c r="A12023">
        <f>TEST_DATA!A12023</f>
        <v/>
      </c>
      <c r="B12023">
        <f>TEST_DATA!B12023</f>
        <v/>
      </c>
      <c r="C12023">
        <f>TEST_DATA!C12023</f>
        <v/>
      </c>
      <c r="D12023">
        <f>TEST_DATA!D12023</f>
        <v/>
      </c>
      <c r="E12023">
        <f>TEST_DATA!E12023</f>
        <v/>
      </c>
    </row>
    <row r="12024">
      <c r="A12024">
        <f>TEST_DATA!A12024</f>
        <v/>
      </c>
      <c r="B12024">
        <f>TEST_DATA!B12024</f>
        <v/>
      </c>
      <c r="C12024">
        <f>TEST_DATA!C12024</f>
        <v/>
      </c>
      <c r="D12024">
        <f>TEST_DATA!D12024</f>
        <v/>
      </c>
      <c r="E12024">
        <f>TEST_DATA!E12024</f>
        <v/>
      </c>
    </row>
    <row r="12025">
      <c r="A12025">
        <f>TEST_DATA!A12025</f>
        <v/>
      </c>
      <c r="B12025">
        <f>TEST_DATA!B12025</f>
        <v/>
      </c>
      <c r="C12025">
        <f>TEST_DATA!C12025</f>
        <v/>
      </c>
      <c r="D12025">
        <f>TEST_DATA!D12025</f>
        <v/>
      </c>
      <c r="E12025">
        <f>TEST_DATA!E12025</f>
        <v/>
      </c>
    </row>
    <row r="12026">
      <c r="A12026">
        <f>TEST_DATA!A12026</f>
        <v/>
      </c>
      <c r="B12026">
        <f>TEST_DATA!B12026</f>
        <v/>
      </c>
      <c r="C12026">
        <f>TEST_DATA!C12026</f>
        <v/>
      </c>
      <c r="D12026">
        <f>TEST_DATA!D12026</f>
        <v/>
      </c>
      <c r="E12026">
        <f>TEST_DATA!E12026</f>
        <v/>
      </c>
    </row>
    <row r="12027">
      <c r="A12027">
        <f>TEST_DATA!A12027</f>
        <v/>
      </c>
      <c r="B12027">
        <f>TEST_DATA!B12027</f>
        <v/>
      </c>
      <c r="C12027">
        <f>TEST_DATA!C12027</f>
        <v/>
      </c>
      <c r="D12027">
        <f>TEST_DATA!D12027</f>
        <v/>
      </c>
      <c r="E12027">
        <f>TEST_DATA!E12027</f>
        <v/>
      </c>
    </row>
    <row r="12028">
      <c r="A12028">
        <f>TEST_DATA!A12028</f>
        <v/>
      </c>
      <c r="B12028">
        <f>TEST_DATA!B12028</f>
        <v/>
      </c>
      <c r="C12028">
        <f>TEST_DATA!C12028</f>
        <v/>
      </c>
      <c r="D12028">
        <f>TEST_DATA!D12028</f>
        <v/>
      </c>
      <c r="E12028">
        <f>TEST_DATA!E12028</f>
        <v/>
      </c>
    </row>
    <row r="12029">
      <c r="A12029">
        <f>TEST_DATA!A12029</f>
        <v/>
      </c>
      <c r="B12029">
        <f>TEST_DATA!B12029</f>
        <v/>
      </c>
      <c r="C12029">
        <f>TEST_DATA!C12029</f>
        <v/>
      </c>
      <c r="D12029">
        <f>TEST_DATA!D12029</f>
        <v/>
      </c>
      <c r="E12029">
        <f>TEST_DATA!E12029</f>
        <v/>
      </c>
    </row>
    <row r="12030">
      <c r="A12030">
        <f>TEST_DATA!A12030</f>
        <v/>
      </c>
      <c r="B12030">
        <f>TEST_DATA!B12030</f>
        <v/>
      </c>
      <c r="C12030">
        <f>TEST_DATA!C12030</f>
        <v/>
      </c>
      <c r="D12030">
        <f>TEST_DATA!D12030</f>
        <v/>
      </c>
      <c r="E12030">
        <f>TEST_DATA!E12030</f>
        <v/>
      </c>
    </row>
    <row r="12031">
      <c r="A12031">
        <f>TEST_DATA!A12031</f>
        <v/>
      </c>
      <c r="B12031">
        <f>TEST_DATA!B12031</f>
        <v/>
      </c>
      <c r="C12031">
        <f>TEST_DATA!C12031</f>
        <v/>
      </c>
      <c r="D12031">
        <f>TEST_DATA!D12031</f>
        <v/>
      </c>
      <c r="E12031">
        <f>TEST_DATA!E12031</f>
        <v/>
      </c>
    </row>
    <row r="12032">
      <c r="A12032">
        <f>TEST_DATA!A12032</f>
        <v/>
      </c>
      <c r="B12032">
        <f>TEST_DATA!B12032</f>
        <v/>
      </c>
      <c r="C12032">
        <f>TEST_DATA!C12032</f>
        <v/>
      </c>
      <c r="D12032">
        <f>TEST_DATA!D12032</f>
        <v/>
      </c>
      <c r="E12032">
        <f>TEST_DATA!E12032</f>
        <v/>
      </c>
    </row>
    <row r="12033">
      <c r="A12033">
        <f>TEST_DATA!A12033</f>
        <v/>
      </c>
      <c r="B12033">
        <f>TEST_DATA!B12033</f>
        <v/>
      </c>
      <c r="C12033">
        <f>TEST_DATA!C12033</f>
        <v/>
      </c>
      <c r="D12033">
        <f>TEST_DATA!D12033</f>
        <v/>
      </c>
      <c r="E12033">
        <f>TEST_DATA!E12033</f>
        <v/>
      </c>
    </row>
    <row r="12034">
      <c r="A12034">
        <f>TEST_DATA!A12034</f>
        <v/>
      </c>
      <c r="B12034">
        <f>TEST_DATA!B12034</f>
        <v/>
      </c>
      <c r="C12034">
        <f>TEST_DATA!C12034</f>
        <v/>
      </c>
      <c r="D12034">
        <f>TEST_DATA!D12034</f>
        <v/>
      </c>
      <c r="E12034">
        <f>TEST_DATA!E12034</f>
        <v/>
      </c>
    </row>
    <row r="12035">
      <c r="A12035">
        <f>TEST_DATA!A12035</f>
        <v/>
      </c>
      <c r="B12035">
        <f>TEST_DATA!B12035</f>
        <v/>
      </c>
      <c r="C12035">
        <f>TEST_DATA!C12035</f>
        <v/>
      </c>
      <c r="D12035">
        <f>TEST_DATA!D12035</f>
        <v/>
      </c>
      <c r="E12035">
        <f>TEST_DATA!E12035</f>
        <v/>
      </c>
    </row>
    <row r="12036">
      <c r="A12036">
        <f>TEST_DATA!A12036</f>
        <v/>
      </c>
      <c r="B12036">
        <f>TEST_DATA!B12036</f>
        <v/>
      </c>
      <c r="C12036">
        <f>TEST_DATA!C12036</f>
        <v/>
      </c>
      <c r="D12036">
        <f>TEST_DATA!D12036</f>
        <v/>
      </c>
      <c r="E12036">
        <f>TEST_DATA!E12036</f>
        <v/>
      </c>
    </row>
    <row r="12037">
      <c r="A12037">
        <f>TEST_DATA!A12037</f>
        <v/>
      </c>
      <c r="B12037">
        <f>TEST_DATA!B12037</f>
        <v/>
      </c>
      <c r="C12037">
        <f>TEST_DATA!C12037</f>
        <v/>
      </c>
      <c r="D12037">
        <f>TEST_DATA!D12037</f>
        <v/>
      </c>
      <c r="E12037">
        <f>TEST_DATA!E12037</f>
        <v/>
      </c>
    </row>
    <row r="12038">
      <c r="A12038">
        <f>TEST_DATA!A12038</f>
        <v/>
      </c>
      <c r="B12038">
        <f>TEST_DATA!B12038</f>
        <v/>
      </c>
      <c r="C12038">
        <f>TEST_DATA!C12038</f>
        <v/>
      </c>
      <c r="D12038">
        <f>TEST_DATA!D12038</f>
        <v/>
      </c>
      <c r="E12038">
        <f>TEST_DATA!E12038</f>
        <v/>
      </c>
    </row>
    <row r="12039">
      <c r="A12039">
        <f>TEST_DATA!A12039</f>
        <v/>
      </c>
      <c r="B12039">
        <f>TEST_DATA!B12039</f>
        <v/>
      </c>
      <c r="C12039">
        <f>TEST_DATA!C12039</f>
        <v/>
      </c>
      <c r="D12039">
        <f>TEST_DATA!D12039</f>
        <v/>
      </c>
      <c r="E12039">
        <f>TEST_DATA!E12039</f>
        <v/>
      </c>
    </row>
    <row r="12040">
      <c r="A12040">
        <f>TEST_DATA!A12040</f>
        <v/>
      </c>
      <c r="B12040">
        <f>TEST_DATA!B12040</f>
        <v/>
      </c>
      <c r="C12040">
        <f>TEST_DATA!C12040</f>
        <v/>
      </c>
      <c r="D12040">
        <f>TEST_DATA!D12040</f>
        <v/>
      </c>
      <c r="E12040">
        <f>TEST_DATA!E12040</f>
        <v/>
      </c>
    </row>
    <row r="12041">
      <c r="A12041">
        <f>TEST_DATA!A12041</f>
        <v/>
      </c>
      <c r="B12041">
        <f>TEST_DATA!B12041</f>
        <v/>
      </c>
      <c r="C12041">
        <f>TEST_DATA!C12041</f>
        <v/>
      </c>
      <c r="D12041">
        <f>TEST_DATA!D12041</f>
        <v/>
      </c>
      <c r="E12041">
        <f>TEST_DATA!E12041</f>
        <v/>
      </c>
    </row>
    <row r="12042">
      <c r="A12042">
        <f>TEST_DATA!A12042</f>
        <v/>
      </c>
      <c r="B12042">
        <f>TEST_DATA!B12042</f>
        <v/>
      </c>
      <c r="C12042">
        <f>TEST_DATA!C12042</f>
        <v/>
      </c>
      <c r="D12042">
        <f>TEST_DATA!D12042</f>
        <v/>
      </c>
      <c r="E12042">
        <f>TEST_DATA!E12042</f>
        <v/>
      </c>
    </row>
    <row r="12043">
      <c r="A12043">
        <f>TEST_DATA!A12043</f>
        <v/>
      </c>
      <c r="B12043">
        <f>TEST_DATA!B12043</f>
        <v/>
      </c>
      <c r="C12043">
        <f>TEST_DATA!C12043</f>
        <v/>
      </c>
      <c r="D12043">
        <f>TEST_DATA!D12043</f>
        <v/>
      </c>
      <c r="E12043">
        <f>TEST_DATA!E12043</f>
        <v/>
      </c>
    </row>
    <row r="12044">
      <c r="A12044">
        <f>TEST_DATA!A12044</f>
        <v/>
      </c>
      <c r="B12044">
        <f>TEST_DATA!B12044</f>
        <v/>
      </c>
      <c r="C12044">
        <f>TEST_DATA!C12044</f>
        <v/>
      </c>
      <c r="D12044">
        <f>TEST_DATA!D12044</f>
        <v/>
      </c>
      <c r="E12044">
        <f>TEST_DATA!E12044</f>
        <v/>
      </c>
    </row>
    <row r="12045">
      <c r="A12045">
        <f>TEST_DATA!A12045</f>
        <v/>
      </c>
      <c r="B12045">
        <f>TEST_DATA!B12045</f>
        <v/>
      </c>
      <c r="C12045">
        <f>TEST_DATA!C12045</f>
        <v/>
      </c>
      <c r="D12045">
        <f>TEST_DATA!D12045</f>
        <v/>
      </c>
      <c r="E12045">
        <f>TEST_DATA!E12045</f>
        <v/>
      </c>
    </row>
    <row r="12046">
      <c r="A12046">
        <f>TEST_DATA!A12046</f>
        <v/>
      </c>
      <c r="B12046">
        <f>TEST_DATA!B12046</f>
        <v/>
      </c>
      <c r="C12046">
        <f>TEST_DATA!C12046</f>
        <v/>
      </c>
      <c r="D12046">
        <f>TEST_DATA!D12046</f>
        <v/>
      </c>
      <c r="E12046">
        <f>TEST_DATA!E12046</f>
        <v/>
      </c>
    </row>
    <row r="12047">
      <c r="A12047">
        <f>TEST_DATA!A12047</f>
        <v/>
      </c>
      <c r="B12047">
        <f>TEST_DATA!B12047</f>
        <v/>
      </c>
      <c r="C12047">
        <f>TEST_DATA!C12047</f>
        <v/>
      </c>
      <c r="D12047">
        <f>TEST_DATA!D12047</f>
        <v/>
      </c>
      <c r="E12047">
        <f>TEST_DATA!E12047</f>
        <v/>
      </c>
    </row>
    <row r="12048">
      <c r="A12048">
        <f>TEST_DATA!A12048</f>
        <v/>
      </c>
      <c r="B12048">
        <f>TEST_DATA!B12048</f>
        <v/>
      </c>
      <c r="C12048">
        <f>TEST_DATA!C12048</f>
        <v/>
      </c>
      <c r="D12048">
        <f>TEST_DATA!D12048</f>
        <v/>
      </c>
      <c r="E12048">
        <f>TEST_DATA!E12048</f>
        <v/>
      </c>
    </row>
    <row r="12049">
      <c r="A12049">
        <f>TEST_DATA!A12049</f>
        <v/>
      </c>
      <c r="B12049">
        <f>TEST_DATA!B12049</f>
        <v/>
      </c>
      <c r="C12049">
        <f>TEST_DATA!C12049</f>
        <v/>
      </c>
      <c r="D12049">
        <f>TEST_DATA!D12049</f>
        <v/>
      </c>
      <c r="E12049">
        <f>TEST_DATA!E12049</f>
        <v/>
      </c>
    </row>
    <row r="12050">
      <c r="A12050">
        <f>TEST_DATA!A12050</f>
        <v/>
      </c>
      <c r="B12050">
        <f>TEST_DATA!B12050</f>
        <v/>
      </c>
      <c r="C12050">
        <f>TEST_DATA!C12050</f>
        <v/>
      </c>
      <c r="D12050">
        <f>TEST_DATA!D12050</f>
        <v/>
      </c>
      <c r="E12050">
        <f>TEST_DATA!E12050</f>
        <v/>
      </c>
    </row>
    <row r="12051">
      <c r="A12051">
        <f>TEST_DATA!A12051</f>
        <v/>
      </c>
      <c r="B12051">
        <f>TEST_DATA!B12051</f>
        <v/>
      </c>
      <c r="C12051">
        <f>TEST_DATA!C12051</f>
        <v/>
      </c>
      <c r="D12051">
        <f>TEST_DATA!D12051</f>
        <v/>
      </c>
      <c r="E12051">
        <f>TEST_DATA!E12051</f>
        <v/>
      </c>
    </row>
    <row r="12052">
      <c r="A12052">
        <f>TEST_DATA!A12052</f>
        <v/>
      </c>
      <c r="B12052">
        <f>TEST_DATA!B12052</f>
        <v/>
      </c>
      <c r="C12052">
        <f>TEST_DATA!C12052</f>
        <v/>
      </c>
      <c r="D12052">
        <f>TEST_DATA!D12052</f>
        <v/>
      </c>
      <c r="E12052">
        <f>TEST_DATA!E12052</f>
        <v/>
      </c>
    </row>
    <row r="12053">
      <c r="A12053">
        <f>TEST_DATA!A12053</f>
        <v/>
      </c>
      <c r="B12053">
        <f>TEST_DATA!B12053</f>
        <v/>
      </c>
      <c r="C12053">
        <f>TEST_DATA!C12053</f>
        <v/>
      </c>
      <c r="D12053">
        <f>TEST_DATA!D12053</f>
        <v/>
      </c>
      <c r="E12053">
        <f>TEST_DATA!E12053</f>
        <v/>
      </c>
    </row>
    <row r="12054">
      <c r="A12054">
        <f>TEST_DATA!A12054</f>
        <v/>
      </c>
      <c r="B12054">
        <f>TEST_DATA!B12054</f>
        <v/>
      </c>
      <c r="C12054">
        <f>TEST_DATA!C12054</f>
        <v/>
      </c>
      <c r="D12054">
        <f>TEST_DATA!D12054</f>
        <v/>
      </c>
      <c r="E12054">
        <f>TEST_DATA!E12054</f>
        <v/>
      </c>
    </row>
    <row r="12055">
      <c r="A12055">
        <f>TEST_DATA!A12055</f>
        <v/>
      </c>
      <c r="B12055">
        <f>TEST_DATA!B12055</f>
        <v/>
      </c>
      <c r="C12055">
        <f>TEST_DATA!C12055</f>
        <v/>
      </c>
      <c r="D12055">
        <f>TEST_DATA!D12055</f>
        <v/>
      </c>
      <c r="E12055">
        <f>TEST_DATA!E12055</f>
        <v/>
      </c>
    </row>
    <row r="12056">
      <c r="A12056">
        <f>TEST_DATA!A12056</f>
        <v/>
      </c>
      <c r="B12056">
        <f>TEST_DATA!B12056</f>
        <v/>
      </c>
      <c r="C12056">
        <f>TEST_DATA!C12056</f>
        <v/>
      </c>
      <c r="D12056">
        <f>TEST_DATA!D12056</f>
        <v/>
      </c>
      <c r="E12056">
        <f>TEST_DATA!E12056</f>
        <v/>
      </c>
    </row>
    <row r="12057">
      <c r="A12057">
        <f>TEST_DATA!A12057</f>
        <v/>
      </c>
      <c r="B12057">
        <f>TEST_DATA!B12057</f>
        <v/>
      </c>
      <c r="C12057">
        <f>TEST_DATA!C12057</f>
        <v/>
      </c>
      <c r="D12057">
        <f>TEST_DATA!D12057</f>
        <v/>
      </c>
      <c r="E12057">
        <f>TEST_DATA!E12057</f>
        <v/>
      </c>
    </row>
    <row r="12058">
      <c r="A12058">
        <f>TEST_DATA!A12058</f>
        <v/>
      </c>
      <c r="B12058">
        <f>TEST_DATA!B12058</f>
        <v/>
      </c>
      <c r="C12058">
        <f>TEST_DATA!C12058</f>
        <v/>
      </c>
      <c r="D12058">
        <f>TEST_DATA!D12058</f>
        <v/>
      </c>
      <c r="E12058">
        <f>TEST_DATA!E12058</f>
        <v/>
      </c>
    </row>
    <row r="12059">
      <c r="A12059">
        <f>TEST_DATA!A12059</f>
        <v/>
      </c>
      <c r="B12059">
        <f>TEST_DATA!B12059</f>
        <v/>
      </c>
      <c r="C12059">
        <f>TEST_DATA!C12059</f>
        <v/>
      </c>
      <c r="D12059">
        <f>TEST_DATA!D12059</f>
        <v/>
      </c>
      <c r="E12059">
        <f>TEST_DATA!E12059</f>
        <v/>
      </c>
    </row>
    <row r="12060">
      <c r="A12060">
        <f>TEST_DATA!A12060</f>
        <v/>
      </c>
      <c r="B12060">
        <f>TEST_DATA!B12060</f>
        <v/>
      </c>
      <c r="C12060">
        <f>TEST_DATA!C12060</f>
        <v/>
      </c>
      <c r="D12060">
        <f>TEST_DATA!D12060</f>
        <v/>
      </c>
      <c r="E12060">
        <f>TEST_DATA!E12060</f>
        <v/>
      </c>
    </row>
    <row r="12061">
      <c r="A12061">
        <f>TEST_DATA!A12061</f>
        <v/>
      </c>
      <c r="B12061">
        <f>TEST_DATA!B12061</f>
        <v/>
      </c>
      <c r="C12061">
        <f>TEST_DATA!C12061</f>
        <v/>
      </c>
      <c r="D12061">
        <f>TEST_DATA!D12061</f>
        <v/>
      </c>
      <c r="E12061">
        <f>TEST_DATA!E12061</f>
        <v/>
      </c>
    </row>
    <row r="12062">
      <c r="A12062">
        <f>TEST_DATA!A12062</f>
        <v/>
      </c>
      <c r="B12062">
        <f>TEST_DATA!B12062</f>
        <v/>
      </c>
      <c r="C12062">
        <f>TEST_DATA!C12062</f>
        <v/>
      </c>
      <c r="D12062">
        <f>TEST_DATA!D12062</f>
        <v/>
      </c>
      <c r="E12062">
        <f>TEST_DATA!E12062</f>
        <v/>
      </c>
    </row>
    <row r="12063">
      <c r="A12063">
        <f>TEST_DATA!A12063</f>
        <v/>
      </c>
      <c r="B12063">
        <f>TEST_DATA!B12063</f>
        <v/>
      </c>
      <c r="C12063">
        <f>TEST_DATA!C12063</f>
        <v/>
      </c>
      <c r="D12063">
        <f>TEST_DATA!D12063</f>
        <v/>
      </c>
      <c r="E12063">
        <f>TEST_DATA!E12063</f>
        <v/>
      </c>
    </row>
    <row r="12064">
      <c r="A12064">
        <f>TEST_DATA!A12064</f>
        <v/>
      </c>
      <c r="B12064">
        <f>TEST_DATA!B12064</f>
        <v/>
      </c>
      <c r="C12064">
        <f>TEST_DATA!C12064</f>
        <v/>
      </c>
      <c r="D12064">
        <f>TEST_DATA!D12064</f>
        <v/>
      </c>
      <c r="E12064">
        <f>TEST_DATA!E12064</f>
        <v/>
      </c>
    </row>
    <row r="12065">
      <c r="A12065">
        <f>TEST_DATA!A12065</f>
        <v/>
      </c>
      <c r="B12065">
        <f>TEST_DATA!B12065</f>
        <v/>
      </c>
      <c r="C12065">
        <f>TEST_DATA!C12065</f>
        <v/>
      </c>
      <c r="D12065">
        <f>TEST_DATA!D12065</f>
        <v/>
      </c>
      <c r="E12065">
        <f>TEST_DATA!E12065</f>
        <v/>
      </c>
    </row>
    <row r="12066">
      <c r="A12066">
        <f>TEST_DATA!A12066</f>
        <v/>
      </c>
      <c r="B12066">
        <f>TEST_DATA!B12066</f>
        <v/>
      </c>
      <c r="C12066">
        <f>TEST_DATA!C12066</f>
        <v/>
      </c>
      <c r="D12066">
        <f>TEST_DATA!D12066</f>
        <v/>
      </c>
      <c r="E12066">
        <f>TEST_DATA!E12066</f>
        <v/>
      </c>
    </row>
    <row r="12067">
      <c r="A12067">
        <f>TEST_DATA!A12067</f>
        <v/>
      </c>
      <c r="B12067">
        <f>TEST_DATA!B12067</f>
        <v/>
      </c>
      <c r="C12067">
        <f>TEST_DATA!C12067</f>
        <v/>
      </c>
      <c r="D12067">
        <f>TEST_DATA!D12067</f>
        <v/>
      </c>
      <c r="E12067">
        <f>TEST_DATA!E12067</f>
        <v/>
      </c>
    </row>
    <row r="12068">
      <c r="A12068">
        <f>TEST_DATA!A12068</f>
        <v/>
      </c>
      <c r="B12068">
        <f>TEST_DATA!B12068</f>
        <v/>
      </c>
      <c r="C12068">
        <f>TEST_DATA!C12068</f>
        <v/>
      </c>
      <c r="D12068">
        <f>TEST_DATA!D12068</f>
        <v/>
      </c>
      <c r="E12068">
        <f>TEST_DATA!E12068</f>
        <v/>
      </c>
    </row>
    <row r="12069">
      <c r="A12069">
        <f>TEST_DATA!A12069</f>
        <v/>
      </c>
      <c r="B12069">
        <f>TEST_DATA!B12069</f>
        <v/>
      </c>
      <c r="C12069">
        <f>TEST_DATA!C12069</f>
        <v/>
      </c>
      <c r="D12069">
        <f>TEST_DATA!D12069</f>
        <v/>
      </c>
      <c r="E12069">
        <f>TEST_DATA!E12069</f>
        <v/>
      </c>
    </row>
    <row r="12070">
      <c r="A12070">
        <f>TEST_DATA!A12070</f>
        <v/>
      </c>
      <c r="B12070">
        <f>TEST_DATA!B12070</f>
        <v/>
      </c>
      <c r="C12070">
        <f>TEST_DATA!C12070</f>
        <v/>
      </c>
      <c r="D12070">
        <f>TEST_DATA!D12070</f>
        <v/>
      </c>
      <c r="E12070">
        <f>TEST_DATA!E12070</f>
        <v/>
      </c>
    </row>
    <row r="12071">
      <c r="A12071">
        <f>TEST_DATA!A12071</f>
        <v/>
      </c>
      <c r="B12071">
        <f>TEST_DATA!B12071</f>
        <v/>
      </c>
      <c r="C12071">
        <f>TEST_DATA!C12071</f>
        <v/>
      </c>
      <c r="D12071">
        <f>TEST_DATA!D12071</f>
        <v/>
      </c>
      <c r="E12071">
        <f>TEST_DATA!E12071</f>
        <v/>
      </c>
    </row>
    <row r="12072">
      <c r="A12072">
        <f>TEST_DATA!A12072</f>
        <v/>
      </c>
      <c r="B12072">
        <f>TEST_DATA!B12072</f>
        <v/>
      </c>
      <c r="C12072">
        <f>TEST_DATA!C12072</f>
        <v/>
      </c>
      <c r="D12072">
        <f>TEST_DATA!D12072</f>
        <v/>
      </c>
      <c r="E12072">
        <f>TEST_DATA!E12072</f>
        <v/>
      </c>
    </row>
    <row r="12073">
      <c r="A12073">
        <f>TEST_DATA!A12073</f>
        <v/>
      </c>
      <c r="B12073">
        <f>TEST_DATA!B12073</f>
        <v/>
      </c>
      <c r="C12073">
        <f>TEST_DATA!C12073</f>
        <v/>
      </c>
      <c r="D12073">
        <f>TEST_DATA!D12073</f>
        <v/>
      </c>
      <c r="E12073">
        <f>TEST_DATA!E12073</f>
        <v/>
      </c>
    </row>
    <row r="12074">
      <c r="A12074">
        <f>TEST_DATA!A12074</f>
        <v/>
      </c>
      <c r="B12074">
        <f>TEST_DATA!B12074</f>
        <v/>
      </c>
      <c r="C12074">
        <f>TEST_DATA!C12074</f>
        <v/>
      </c>
      <c r="D12074">
        <f>TEST_DATA!D12074</f>
        <v/>
      </c>
      <c r="E12074">
        <f>TEST_DATA!E12074</f>
        <v/>
      </c>
    </row>
    <row r="12075">
      <c r="A12075">
        <f>TEST_DATA!A12075</f>
        <v/>
      </c>
      <c r="B12075">
        <f>TEST_DATA!B12075</f>
        <v/>
      </c>
      <c r="C12075">
        <f>TEST_DATA!C12075</f>
        <v/>
      </c>
      <c r="D12075">
        <f>TEST_DATA!D12075</f>
        <v/>
      </c>
      <c r="E12075">
        <f>TEST_DATA!E12075</f>
        <v/>
      </c>
    </row>
    <row r="12076">
      <c r="A12076">
        <f>TEST_DATA!A12076</f>
        <v/>
      </c>
      <c r="B12076">
        <f>TEST_DATA!B12076</f>
        <v/>
      </c>
      <c r="C12076">
        <f>TEST_DATA!C12076</f>
        <v/>
      </c>
      <c r="D12076">
        <f>TEST_DATA!D12076</f>
        <v/>
      </c>
      <c r="E12076">
        <f>TEST_DATA!E12076</f>
        <v/>
      </c>
    </row>
    <row r="12077">
      <c r="A12077">
        <f>TEST_DATA!A12077</f>
        <v/>
      </c>
      <c r="B12077">
        <f>TEST_DATA!B12077</f>
        <v/>
      </c>
      <c r="C12077">
        <f>TEST_DATA!C12077</f>
        <v/>
      </c>
      <c r="D12077">
        <f>TEST_DATA!D12077</f>
        <v/>
      </c>
      <c r="E12077">
        <f>TEST_DATA!E12077</f>
        <v/>
      </c>
    </row>
    <row r="12078">
      <c r="A12078">
        <f>TEST_DATA!A12078</f>
        <v/>
      </c>
      <c r="B12078">
        <f>TEST_DATA!B12078</f>
        <v/>
      </c>
      <c r="C12078">
        <f>TEST_DATA!C12078</f>
        <v/>
      </c>
      <c r="D12078">
        <f>TEST_DATA!D12078</f>
        <v/>
      </c>
      <c r="E12078">
        <f>TEST_DATA!E12078</f>
        <v/>
      </c>
    </row>
    <row r="12079">
      <c r="A12079">
        <f>TEST_DATA!A12079</f>
        <v/>
      </c>
      <c r="B12079">
        <f>TEST_DATA!B12079</f>
        <v/>
      </c>
      <c r="C12079">
        <f>TEST_DATA!C12079</f>
        <v/>
      </c>
      <c r="D12079">
        <f>TEST_DATA!D12079</f>
        <v/>
      </c>
      <c r="E12079">
        <f>TEST_DATA!E12079</f>
        <v/>
      </c>
    </row>
    <row r="12080">
      <c r="A12080">
        <f>TEST_DATA!A12080</f>
        <v/>
      </c>
      <c r="B12080">
        <f>TEST_DATA!B12080</f>
        <v/>
      </c>
      <c r="C12080">
        <f>TEST_DATA!C12080</f>
        <v/>
      </c>
      <c r="D12080">
        <f>TEST_DATA!D12080</f>
        <v/>
      </c>
      <c r="E12080">
        <f>TEST_DATA!E12080</f>
        <v/>
      </c>
    </row>
    <row r="12081">
      <c r="A12081">
        <f>TEST_DATA!A12081</f>
        <v/>
      </c>
      <c r="B12081">
        <f>TEST_DATA!B12081</f>
        <v/>
      </c>
      <c r="C12081">
        <f>TEST_DATA!C12081</f>
        <v/>
      </c>
      <c r="D12081">
        <f>TEST_DATA!D12081</f>
        <v/>
      </c>
      <c r="E12081">
        <f>TEST_DATA!E12081</f>
        <v/>
      </c>
    </row>
    <row r="12082">
      <c r="A12082">
        <f>TEST_DATA!A12082</f>
        <v/>
      </c>
      <c r="B12082">
        <f>TEST_DATA!B12082</f>
        <v/>
      </c>
      <c r="C12082">
        <f>TEST_DATA!C12082</f>
        <v/>
      </c>
      <c r="D12082">
        <f>TEST_DATA!D12082</f>
        <v/>
      </c>
      <c r="E12082">
        <f>TEST_DATA!E12082</f>
        <v/>
      </c>
    </row>
    <row r="12083">
      <c r="A12083">
        <f>TEST_DATA!A12083</f>
        <v/>
      </c>
      <c r="B12083">
        <f>TEST_DATA!B12083</f>
        <v/>
      </c>
      <c r="C12083">
        <f>TEST_DATA!C12083</f>
        <v/>
      </c>
      <c r="D12083">
        <f>TEST_DATA!D12083</f>
        <v/>
      </c>
      <c r="E12083">
        <f>TEST_DATA!E12083</f>
        <v/>
      </c>
    </row>
    <row r="12084">
      <c r="A12084">
        <f>TEST_DATA!A12084</f>
        <v/>
      </c>
      <c r="B12084">
        <f>TEST_DATA!B12084</f>
        <v/>
      </c>
      <c r="C12084">
        <f>TEST_DATA!C12084</f>
        <v/>
      </c>
      <c r="D12084">
        <f>TEST_DATA!D12084</f>
        <v/>
      </c>
      <c r="E12084">
        <f>TEST_DATA!E12084</f>
        <v/>
      </c>
    </row>
    <row r="12085">
      <c r="A12085">
        <f>TEST_DATA!A12085</f>
        <v/>
      </c>
      <c r="B12085">
        <f>TEST_DATA!B12085</f>
        <v/>
      </c>
      <c r="C12085">
        <f>TEST_DATA!C12085</f>
        <v/>
      </c>
      <c r="D12085">
        <f>TEST_DATA!D12085</f>
        <v/>
      </c>
      <c r="E12085">
        <f>TEST_DATA!E12085</f>
        <v/>
      </c>
    </row>
    <row r="12086">
      <c r="A12086">
        <f>TEST_DATA!A12086</f>
        <v/>
      </c>
      <c r="B12086">
        <f>TEST_DATA!B12086</f>
        <v/>
      </c>
      <c r="C12086">
        <f>TEST_DATA!C12086</f>
        <v/>
      </c>
      <c r="D12086">
        <f>TEST_DATA!D12086</f>
        <v/>
      </c>
      <c r="E12086">
        <f>TEST_DATA!E12086</f>
        <v/>
      </c>
    </row>
    <row r="12087">
      <c r="A12087">
        <f>TEST_DATA!A12087</f>
        <v/>
      </c>
      <c r="B12087">
        <f>TEST_DATA!B12087</f>
        <v/>
      </c>
      <c r="C12087">
        <f>TEST_DATA!C12087</f>
        <v/>
      </c>
      <c r="D12087">
        <f>TEST_DATA!D12087</f>
        <v/>
      </c>
      <c r="E12087">
        <f>TEST_DATA!E12087</f>
        <v/>
      </c>
    </row>
    <row r="12088">
      <c r="A12088">
        <f>TEST_DATA!A12088</f>
        <v/>
      </c>
      <c r="B12088">
        <f>TEST_DATA!B12088</f>
        <v/>
      </c>
      <c r="C12088">
        <f>TEST_DATA!C12088</f>
        <v/>
      </c>
      <c r="D12088">
        <f>TEST_DATA!D12088</f>
        <v/>
      </c>
      <c r="E12088">
        <f>TEST_DATA!E12088</f>
        <v/>
      </c>
    </row>
    <row r="12089">
      <c r="A12089">
        <f>TEST_DATA!A12089</f>
        <v/>
      </c>
      <c r="B12089">
        <f>TEST_DATA!B12089</f>
        <v/>
      </c>
      <c r="C12089">
        <f>TEST_DATA!C12089</f>
        <v/>
      </c>
      <c r="D12089">
        <f>TEST_DATA!D12089</f>
        <v/>
      </c>
      <c r="E12089">
        <f>TEST_DATA!E12089</f>
        <v/>
      </c>
    </row>
    <row r="12090">
      <c r="A12090">
        <f>TEST_DATA!A12090</f>
        <v/>
      </c>
      <c r="B12090">
        <f>TEST_DATA!B12090</f>
        <v/>
      </c>
      <c r="C12090">
        <f>TEST_DATA!C12090</f>
        <v/>
      </c>
      <c r="D12090">
        <f>TEST_DATA!D12090</f>
        <v/>
      </c>
      <c r="E12090">
        <f>TEST_DATA!E12090</f>
        <v/>
      </c>
    </row>
    <row r="12091">
      <c r="A12091">
        <f>TEST_DATA!A12091</f>
        <v/>
      </c>
      <c r="B12091">
        <f>TEST_DATA!B12091</f>
        <v/>
      </c>
      <c r="C12091">
        <f>TEST_DATA!C12091</f>
        <v/>
      </c>
      <c r="D12091">
        <f>TEST_DATA!D12091</f>
        <v/>
      </c>
      <c r="E12091">
        <f>TEST_DATA!E12091</f>
        <v/>
      </c>
    </row>
    <row r="12092">
      <c r="A12092">
        <f>TEST_DATA!A12092</f>
        <v/>
      </c>
      <c r="B12092">
        <f>TEST_DATA!B12092</f>
        <v/>
      </c>
      <c r="C12092">
        <f>TEST_DATA!C12092</f>
        <v/>
      </c>
      <c r="D12092">
        <f>TEST_DATA!D12092</f>
        <v/>
      </c>
      <c r="E12092">
        <f>TEST_DATA!E12092</f>
        <v/>
      </c>
    </row>
    <row r="12093">
      <c r="A12093">
        <f>TEST_DATA!A12093</f>
        <v/>
      </c>
      <c r="B12093">
        <f>TEST_DATA!B12093</f>
        <v/>
      </c>
      <c r="C12093">
        <f>TEST_DATA!C12093</f>
        <v/>
      </c>
      <c r="D12093">
        <f>TEST_DATA!D12093</f>
        <v/>
      </c>
      <c r="E12093">
        <f>TEST_DATA!E12093</f>
        <v/>
      </c>
    </row>
    <row r="12094">
      <c r="A12094">
        <f>TEST_DATA!A12094</f>
        <v/>
      </c>
      <c r="B12094">
        <f>TEST_DATA!B12094</f>
        <v/>
      </c>
      <c r="C12094">
        <f>TEST_DATA!C12094</f>
        <v/>
      </c>
      <c r="D12094">
        <f>TEST_DATA!D12094</f>
        <v/>
      </c>
      <c r="E12094">
        <f>TEST_DATA!E12094</f>
        <v/>
      </c>
    </row>
    <row r="12095">
      <c r="A12095">
        <f>TEST_DATA!A12095</f>
        <v/>
      </c>
      <c r="B12095">
        <f>TEST_DATA!B12095</f>
        <v/>
      </c>
      <c r="C12095">
        <f>TEST_DATA!C12095</f>
        <v/>
      </c>
      <c r="D12095">
        <f>TEST_DATA!D12095</f>
        <v/>
      </c>
      <c r="E12095">
        <f>TEST_DATA!E12095</f>
        <v/>
      </c>
    </row>
    <row r="12096">
      <c r="A12096">
        <f>TEST_DATA!A12096</f>
        <v/>
      </c>
      <c r="B12096">
        <f>TEST_DATA!B12096</f>
        <v/>
      </c>
      <c r="C12096">
        <f>TEST_DATA!C12096</f>
        <v/>
      </c>
      <c r="D12096">
        <f>TEST_DATA!D12096</f>
        <v/>
      </c>
      <c r="E12096">
        <f>TEST_DATA!E12096</f>
        <v/>
      </c>
    </row>
    <row r="12097">
      <c r="A12097">
        <f>TEST_DATA!A12097</f>
        <v/>
      </c>
      <c r="B12097">
        <f>TEST_DATA!B12097</f>
        <v/>
      </c>
      <c r="C12097">
        <f>TEST_DATA!C12097</f>
        <v/>
      </c>
      <c r="D12097">
        <f>TEST_DATA!D12097</f>
        <v/>
      </c>
      <c r="E12097">
        <f>TEST_DATA!E12097</f>
        <v/>
      </c>
    </row>
    <row r="12098">
      <c r="A12098">
        <f>TEST_DATA!A12098</f>
        <v/>
      </c>
      <c r="B12098">
        <f>TEST_DATA!B12098</f>
        <v/>
      </c>
      <c r="C12098">
        <f>TEST_DATA!C12098</f>
        <v/>
      </c>
      <c r="D12098">
        <f>TEST_DATA!D12098</f>
        <v/>
      </c>
      <c r="E12098">
        <f>TEST_DATA!E12098</f>
        <v/>
      </c>
    </row>
    <row r="12099">
      <c r="A12099">
        <f>TEST_DATA!A12099</f>
        <v/>
      </c>
      <c r="B12099">
        <f>TEST_DATA!B12099</f>
        <v/>
      </c>
      <c r="C12099">
        <f>TEST_DATA!C12099</f>
        <v/>
      </c>
      <c r="D12099">
        <f>TEST_DATA!D12099</f>
        <v/>
      </c>
      <c r="E12099">
        <f>TEST_DATA!E12099</f>
        <v/>
      </c>
    </row>
    <row r="12100">
      <c r="A12100">
        <f>TEST_DATA!A12100</f>
        <v/>
      </c>
      <c r="B12100">
        <f>TEST_DATA!B12100</f>
        <v/>
      </c>
      <c r="C12100">
        <f>TEST_DATA!C12100</f>
        <v/>
      </c>
      <c r="D12100">
        <f>TEST_DATA!D12100</f>
        <v/>
      </c>
      <c r="E12100">
        <f>TEST_DATA!E12100</f>
        <v/>
      </c>
    </row>
    <row r="12101">
      <c r="A12101">
        <f>TEST_DATA!A12101</f>
        <v/>
      </c>
      <c r="B12101">
        <f>TEST_DATA!B12101</f>
        <v/>
      </c>
      <c r="C12101">
        <f>TEST_DATA!C12101</f>
        <v/>
      </c>
      <c r="D12101">
        <f>TEST_DATA!D12101</f>
        <v/>
      </c>
      <c r="E12101">
        <f>TEST_DATA!E12101</f>
        <v/>
      </c>
    </row>
    <row r="12102">
      <c r="A12102">
        <f>TEST_DATA!A12102</f>
        <v/>
      </c>
      <c r="B12102">
        <f>TEST_DATA!B12102</f>
        <v/>
      </c>
      <c r="C12102">
        <f>TEST_DATA!C12102</f>
        <v/>
      </c>
      <c r="D12102">
        <f>TEST_DATA!D12102</f>
        <v/>
      </c>
      <c r="E12102">
        <f>TEST_DATA!E12102</f>
        <v/>
      </c>
    </row>
    <row r="12103">
      <c r="A12103">
        <f>TEST_DATA!A12103</f>
        <v/>
      </c>
      <c r="B12103">
        <f>TEST_DATA!B12103</f>
        <v/>
      </c>
      <c r="C12103">
        <f>TEST_DATA!C12103</f>
        <v/>
      </c>
      <c r="D12103">
        <f>TEST_DATA!D12103</f>
        <v/>
      </c>
      <c r="E12103">
        <f>TEST_DATA!E12103</f>
        <v/>
      </c>
    </row>
    <row r="12104">
      <c r="A12104">
        <f>TEST_DATA!A12104</f>
        <v/>
      </c>
      <c r="B12104">
        <f>TEST_DATA!B12104</f>
        <v/>
      </c>
      <c r="C12104">
        <f>TEST_DATA!C12104</f>
        <v/>
      </c>
      <c r="D12104">
        <f>TEST_DATA!D12104</f>
        <v/>
      </c>
      <c r="E12104">
        <f>TEST_DATA!E12104</f>
        <v/>
      </c>
    </row>
    <row r="12105">
      <c r="A12105">
        <f>TEST_DATA!A12105</f>
        <v/>
      </c>
      <c r="B12105">
        <f>TEST_DATA!B12105</f>
        <v/>
      </c>
      <c r="C12105">
        <f>TEST_DATA!C12105</f>
        <v/>
      </c>
      <c r="D12105">
        <f>TEST_DATA!D12105</f>
        <v/>
      </c>
      <c r="E12105">
        <f>TEST_DATA!E12105</f>
        <v/>
      </c>
    </row>
    <row r="12106">
      <c r="A12106">
        <f>TEST_DATA!A12106</f>
        <v/>
      </c>
      <c r="B12106">
        <f>TEST_DATA!B12106</f>
        <v/>
      </c>
      <c r="C12106">
        <f>TEST_DATA!C12106</f>
        <v/>
      </c>
      <c r="D12106">
        <f>TEST_DATA!D12106</f>
        <v/>
      </c>
      <c r="E12106">
        <f>TEST_DATA!E12106</f>
        <v/>
      </c>
    </row>
    <row r="12107">
      <c r="A12107">
        <f>TEST_DATA!A12107</f>
        <v/>
      </c>
      <c r="B12107">
        <f>TEST_DATA!B12107</f>
        <v/>
      </c>
      <c r="C12107">
        <f>TEST_DATA!C12107</f>
        <v/>
      </c>
      <c r="D12107">
        <f>TEST_DATA!D12107</f>
        <v/>
      </c>
      <c r="E12107">
        <f>TEST_DATA!E12107</f>
        <v/>
      </c>
    </row>
    <row r="12108">
      <c r="A12108">
        <f>TEST_DATA!A12108</f>
        <v/>
      </c>
      <c r="B12108">
        <f>TEST_DATA!B12108</f>
        <v/>
      </c>
      <c r="C12108">
        <f>TEST_DATA!C12108</f>
        <v/>
      </c>
      <c r="D12108">
        <f>TEST_DATA!D12108</f>
        <v/>
      </c>
      <c r="E12108">
        <f>TEST_DATA!E12108</f>
        <v/>
      </c>
    </row>
    <row r="12109">
      <c r="A12109">
        <f>TEST_DATA!A12109</f>
        <v/>
      </c>
      <c r="B12109">
        <f>TEST_DATA!B12109</f>
        <v/>
      </c>
      <c r="C12109">
        <f>TEST_DATA!C12109</f>
        <v/>
      </c>
      <c r="D12109">
        <f>TEST_DATA!D12109</f>
        <v/>
      </c>
      <c r="E12109">
        <f>TEST_DATA!E12109</f>
        <v/>
      </c>
    </row>
    <row r="12110">
      <c r="A12110">
        <f>TEST_DATA!A12110</f>
        <v/>
      </c>
      <c r="B12110">
        <f>TEST_DATA!B12110</f>
        <v/>
      </c>
      <c r="C12110">
        <f>TEST_DATA!C12110</f>
        <v/>
      </c>
      <c r="D12110">
        <f>TEST_DATA!D12110</f>
        <v/>
      </c>
      <c r="E12110">
        <f>TEST_DATA!E12110</f>
        <v/>
      </c>
    </row>
    <row r="12111">
      <c r="A12111">
        <f>TEST_DATA!A12111</f>
        <v/>
      </c>
      <c r="B12111">
        <f>TEST_DATA!B12111</f>
        <v/>
      </c>
      <c r="C12111">
        <f>TEST_DATA!C12111</f>
        <v/>
      </c>
      <c r="D12111">
        <f>TEST_DATA!D12111</f>
        <v/>
      </c>
      <c r="E12111">
        <f>TEST_DATA!E12111</f>
        <v/>
      </c>
    </row>
    <row r="12112">
      <c r="A12112">
        <f>TEST_DATA!A12112</f>
        <v/>
      </c>
      <c r="B12112">
        <f>TEST_DATA!B12112</f>
        <v/>
      </c>
      <c r="C12112">
        <f>TEST_DATA!C12112</f>
        <v/>
      </c>
      <c r="D12112">
        <f>TEST_DATA!D12112</f>
        <v/>
      </c>
      <c r="E12112">
        <f>TEST_DATA!E12112</f>
        <v/>
      </c>
    </row>
    <row r="12113">
      <c r="A12113">
        <f>TEST_DATA!A12113</f>
        <v/>
      </c>
      <c r="B12113">
        <f>TEST_DATA!B12113</f>
        <v/>
      </c>
      <c r="C12113">
        <f>TEST_DATA!C12113</f>
        <v/>
      </c>
      <c r="D12113">
        <f>TEST_DATA!D12113</f>
        <v/>
      </c>
      <c r="E12113">
        <f>TEST_DATA!E12113</f>
        <v/>
      </c>
    </row>
    <row r="12114">
      <c r="A12114">
        <f>TEST_DATA!A12114</f>
        <v/>
      </c>
      <c r="B12114">
        <f>TEST_DATA!B12114</f>
        <v/>
      </c>
      <c r="C12114">
        <f>TEST_DATA!C12114</f>
        <v/>
      </c>
      <c r="D12114">
        <f>TEST_DATA!D12114</f>
        <v/>
      </c>
      <c r="E12114">
        <f>TEST_DATA!E12114</f>
        <v/>
      </c>
    </row>
    <row r="12115">
      <c r="A12115">
        <f>TEST_DATA!A12115</f>
        <v/>
      </c>
      <c r="B12115">
        <f>TEST_DATA!B12115</f>
        <v/>
      </c>
      <c r="C12115">
        <f>TEST_DATA!C12115</f>
        <v/>
      </c>
      <c r="D12115">
        <f>TEST_DATA!D12115</f>
        <v/>
      </c>
      <c r="E12115">
        <f>TEST_DATA!E12115</f>
        <v/>
      </c>
    </row>
    <row r="12116">
      <c r="A12116">
        <f>TEST_DATA!A12116</f>
        <v/>
      </c>
      <c r="B12116">
        <f>TEST_DATA!B12116</f>
        <v/>
      </c>
      <c r="C12116">
        <f>TEST_DATA!C12116</f>
        <v/>
      </c>
      <c r="D12116">
        <f>TEST_DATA!D12116</f>
        <v/>
      </c>
      <c r="E12116">
        <f>TEST_DATA!E12116</f>
        <v/>
      </c>
    </row>
    <row r="12117">
      <c r="A12117">
        <f>TEST_DATA!A12117</f>
        <v/>
      </c>
      <c r="B12117">
        <f>TEST_DATA!B12117</f>
        <v/>
      </c>
      <c r="C12117">
        <f>TEST_DATA!C12117</f>
        <v/>
      </c>
      <c r="D12117">
        <f>TEST_DATA!D12117</f>
        <v/>
      </c>
      <c r="E12117">
        <f>TEST_DATA!E12117</f>
        <v/>
      </c>
    </row>
    <row r="12118">
      <c r="A12118">
        <f>TEST_DATA!A12118</f>
        <v/>
      </c>
      <c r="B12118">
        <f>TEST_DATA!B12118</f>
        <v/>
      </c>
      <c r="C12118">
        <f>TEST_DATA!C12118</f>
        <v/>
      </c>
      <c r="D12118">
        <f>TEST_DATA!D12118</f>
        <v/>
      </c>
      <c r="E12118">
        <f>TEST_DATA!E12118</f>
        <v/>
      </c>
    </row>
    <row r="12119">
      <c r="A12119">
        <f>TEST_DATA!A12119</f>
        <v/>
      </c>
      <c r="B12119">
        <f>TEST_DATA!B12119</f>
        <v/>
      </c>
      <c r="C12119">
        <f>TEST_DATA!C12119</f>
        <v/>
      </c>
      <c r="D12119">
        <f>TEST_DATA!D12119</f>
        <v/>
      </c>
      <c r="E12119">
        <f>TEST_DATA!E12119</f>
        <v/>
      </c>
    </row>
    <row r="12120">
      <c r="A12120">
        <f>TEST_DATA!A12120</f>
        <v/>
      </c>
      <c r="B12120">
        <f>TEST_DATA!B12120</f>
        <v/>
      </c>
      <c r="C12120">
        <f>TEST_DATA!C12120</f>
        <v/>
      </c>
      <c r="D12120">
        <f>TEST_DATA!D12120</f>
        <v/>
      </c>
      <c r="E12120">
        <f>TEST_DATA!E12120</f>
        <v/>
      </c>
    </row>
    <row r="12121">
      <c r="A12121">
        <f>TEST_DATA!A12121</f>
        <v/>
      </c>
      <c r="B12121">
        <f>TEST_DATA!B12121</f>
        <v/>
      </c>
      <c r="C12121">
        <f>TEST_DATA!C12121</f>
        <v/>
      </c>
      <c r="D12121">
        <f>TEST_DATA!D12121</f>
        <v/>
      </c>
      <c r="E12121">
        <f>TEST_DATA!E12121</f>
        <v/>
      </c>
    </row>
    <row r="12122">
      <c r="A12122">
        <f>TEST_DATA!A12122</f>
        <v/>
      </c>
      <c r="B12122">
        <f>TEST_DATA!B12122</f>
        <v/>
      </c>
      <c r="C12122">
        <f>TEST_DATA!C12122</f>
        <v/>
      </c>
      <c r="D12122">
        <f>TEST_DATA!D12122</f>
        <v/>
      </c>
      <c r="E12122">
        <f>TEST_DATA!E12122</f>
        <v/>
      </c>
    </row>
    <row r="12123">
      <c r="A12123">
        <f>TEST_DATA!A12123</f>
        <v/>
      </c>
      <c r="B12123">
        <f>TEST_DATA!B12123</f>
        <v/>
      </c>
      <c r="C12123">
        <f>TEST_DATA!C12123</f>
        <v/>
      </c>
      <c r="D12123">
        <f>TEST_DATA!D12123</f>
        <v/>
      </c>
      <c r="E12123">
        <f>TEST_DATA!E12123</f>
        <v/>
      </c>
    </row>
    <row r="12124">
      <c r="A12124">
        <f>TEST_DATA!A12124</f>
        <v/>
      </c>
      <c r="B12124">
        <f>TEST_DATA!B12124</f>
        <v/>
      </c>
      <c r="C12124">
        <f>TEST_DATA!C12124</f>
        <v/>
      </c>
      <c r="D12124">
        <f>TEST_DATA!D12124</f>
        <v/>
      </c>
      <c r="E12124">
        <f>TEST_DATA!E12124</f>
        <v/>
      </c>
    </row>
    <row r="12125">
      <c r="A12125">
        <f>TEST_DATA!A12125</f>
        <v/>
      </c>
      <c r="B12125">
        <f>TEST_DATA!B12125</f>
        <v/>
      </c>
      <c r="C12125">
        <f>TEST_DATA!C12125</f>
        <v/>
      </c>
      <c r="D12125">
        <f>TEST_DATA!D12125</f>
        <v/>
      </c>
      <c r="E12125">
        <f>TEST_DATA!E12125</f>
        <v/>
      </c>
    </row>
    <row r="12126">
      <c r="A12126">
        <f>TEST_DATA!A12126</f>
        <v/>
      </c>
      <c r="B12126">
        <f>TEST_DATA!B12126</f>
        <v/>
      </c>
      <c r="C12126">
        <f>TEST_DATA!C12126</f>
        <v/>
      </c>
      <c r="D12126">
        <f>TEST_DATA!D12126</f>
        <v/>
      </c>
      <c r="E12126">
        <f>TEST_DATA!E12126</f>
        <v/>
      </c>
    </row>
    <row r="12127">
      <c r="A12127">
        <f>TEST_DATA!A12127</f>
        <v/>
      </c>
      <c r="B12127">
        <f>TEST_DATA!B12127</f>
        <v/>
      </c>
      <c r="C12127">
        <f>TEST_DATA!C12127</f>
        <v/>
      </c>
      <c r="D12127">
        <f>TEST_DATA!D12127</f>
        <v/>
      </c>
      <c r="E12127">
        <f>TEST_DATA!E12127</f>
        <v/>
      </c>
    </row>
    <row r="12128">
      <c r="A12128">
        <f>TEST_DATA!A12128</f>
        <v/>
      </c>
      <c r="B12128">
        <f>TEST_DATA!B12128</f>
        <v/>
      </c>
      <c r="C12128">
        <f>TEST_DATA!C12128</f>
        <v/>
      </c>
      <c r="D12128">
        <f>TEST_DATA!D12128</f>
        <v/>
      </c>
      <c r="E12128">
        <f>TEST_DATA!E12128</f>
        <v/>
      </c>
    </row>
    <row r="12129">
      <c r="A12129">
        <f>TEST_DATA!A12129</f>
        <v/>
      </c>
      <c r="B12129">
        <f>TEST_DATA!B12129</f>
        <v/>
      </c>
      <c r="C12129">
        <f>TEST_DATA!C12129</f>
        <v/>
      </c>
      <c r="D12129">
        <f>TEST_DATA!D12129</f>
        <v/>
      </c>
      <c r="E12129">
        <f>TEST_DATA!E12129</f>
        <v/>
      </c>
    </row>
    <row r="12130">
      <c r="A12130">
        <f>TEST_DATA!A12130</f>
        <v/>
      </c>
      <c r="B12130">
        <f>TEST_DATA!B12130</f>
        <v/>
      </c>
      <c r="C12130">
        <f>TEST_DATA!C12130</f>
        <v/>
      </c>
      <c r="D12130">
        <f>TEST_DATA!D12130</f>
        <v/>
      </c>
      <c r="E12130">
        <f>TEST_DATA!E12130</f>
        <v/>
      </c>
    </row>
    <row r="12131">
      <c r="A12131">
        <f>TEST_DATA!A12131</f>
        <v/>
      </c>
      <c r="B12131">
        <f>TEST_DATA!B12131</f>
        <v/>
      </c>
      <c r="C12131">
        <f>TEST_DATA!C12131</f>
        <v/>
      </c>
      <c r="D12131">
        <f>TEST_DATA!D12131</f>
        <v/>
      </c>
      <c r="E12131">
        <f>TEST_DATA!E12131</f>
        <v/>
      </c>
    </row>
    <row r="12132">
      <c r="A12132">
        <f>TEST_DATA!A12132</f>
        <v/>
      </c>
      <c r="B12132">
        <f>TEST_DATA!B12132</f>
        <v/>
      </c>
      <c r="C12132">
        <f>TEST_DATA!C12132</f>
        <v/>
      </c>
      <c r="D12132">
        <f>TEST_DATA!D12132</f>
        <v/>
      </c>
      <c r="E12132">
        <f>TEST_DATA!E12132</f>
        <v/>
      </c>
    </row>
    <row r="12133">
      <c r="A12133">
        <f>TEST_DATA!A12133</f>
        <v/>
      </c>
      <c r="B12133">
        <f>TEST_DATA!B12133</f>
        <v/>
      </c>
      <c r="C12133">
        <f>TEST_DATA!C12133</f>
        <v/>
      </c>
      <c r="D12133">
        <f>TEST_DATA!D12133</f>
        <v/>
      </c>
      <c r="E12133">
        <f>TEST_DATA!E12133</f>
        <v/>
      </c>
    </row>
    <row r="12134">
      <c r="A12134">
        <f>TEST_DATA!A12134</f>
        <v/>
      </c>
      <c r="B12134">
        <f>TEST_DATA!B12134</f>
        <v/>
      </c>
      <c r="C12134">
        <f>TEST_DATA!C12134</f>
        <v/>
      </c>
      <c r="D12134">
        <f>TEST_DATA!D12134</f>
        <v/>
      </c>
      <c r="E12134">
        <f>TEST_DATA!E12134</f>
        <v/>
      </c>
    </row>
    <row r="12135">
      <c r="A12135">
        <f>TEST_DATA!A12135</f>
        <v/>
      </c>
      <c r="B12135">
        <f>TEST_DATA!B12135</f>
        <v/>
      </c>
      <c r="C12135">
        <f>TEST_DATA!C12135</f>
        <v/>
      </c>
      <c r="D12135">
        <f>TEST_DATA!D12135</f>
        <v/>
      </c>
      <c r="E12135">
        <f>TEST_DATA!E12135</f>
        <v/>
      </c>
    </row>
    <row r="12136">
      <c r="A12136">
        <f>TEST_DATA!A12136</f>
        <v/>
      </c>
      <c r="B12136">
        <f>TEST_DATA!B12136</f>
        <v/>
      </c>
      <c r="C12136">
        <f>TEST_DATA!C12136</f>
        <v/>
      </c>
      <c r="D12136">
        <f>TEST_DATA!D12136</f>
        <v/>
      </c>
      <c r="E12136">
        <f>TEST_DATA!E12136</f>
        <v/>
      </c>
    </row>
    <row r="12137">
      <c r="A12137">
        <f>TEST_DATA!A12137</f>
        <v/>
      </c>
      <c r="B12137">
        <f>TEST_DATA!B12137</f>
        <v/>
      </c>
      <c r="C12137">
        <f>TEST_DATA!C12137</f>
        <v/>
      </c>
      <c r="D12137">
        <f>TEST_DATA!D12137</f>
        <v/>
      </c>
      <c r="E12137">
        <f>TEST_DATA!E12137</f>
        <v/>
      </c>
    </row>
    <row r="12138">
      <c r="A12138">
        <f>TEST_DATA!A12138</f>
        <v/>
      </c>
      <c r="B12138">
        <f>TEST_DATA!B12138</f>
        <v/>
      </c>
      <c r="C12138">
        <f>TEST_DATA!C12138</f>
        <v/>
      </c>
      <c r="D12138">
        <f>TEST_DATA!D12138</f>
        <v/>
      </c>
      <c r="E12138">
        <f>TEST_DATA!E12138</f>
        <v/>
      </c>
    </row>
    <row r="12139">
      <c r="A12139">
        <f>TEST_DATA!A12139</f>
        <v/>
      </c>
      <c r="B12139">
        <f>TEST_DATA!B12139</f>
        <v/>
      </c>
      <c r="C12139">
        <f>TEST_DATA!C12139</f>
        <v/>
      </c>
      <c r="D12139">
        <f>TEST_DATA!D12139</f>
        <v/>
      </c>
      <c r="E12139">
        <f>TEST_DATA!E12139</f>
        <v/>
      </c>
    </row>
    <row r="12140">
      <c r="A12140">
        <f>TEST_DATA!A12140</f>
        <v/>
      </c>
      <c r="B12140">
        <f>TEST_DATA!B12140</f>
        <v/>
      </c>
      <c r="C12140">
        <f>TEST_DATA!C12140</f>
        <v/>
      </c>
      <c r="D12140">
        <f>TEST_DATA!D12140</f>
        <v/>
      </c>
      <c r="E12140">
        <f>TEST_DATA!E12140</f>
        <v/>
      </c>
    </row>
    <row r="12141">
      <c r="A12141">
        <f>TEST_DATA!A12141</f>
        <v/>
      </c>
      <c r="B12141">
        <f>TEST_DATA!B12141</f>
        <v/>
      </c>
      <c r="C12141">
        <f>TEST_DATA!C12141</f>
        <v/>
      </c>
      <c r="D12141">
        <f>TEST_DATA!D12141</f>
        <v/>
      </c>
      <c r="E12141">
        <f>TEST_DATA!E12141</f>
        <v/>
      </c>
    </row>
    <row r="12142">
      <c r="A12142">
        <f>TEST_DATA!A12142</f>
        <v/>
      </c>
      <c r="B12142">
        <f>TEST_DATA!B12142</f>
        <v/>
      </c>
      <c r="C12142">
        <f>TEST_DATA!C12142</f>
        <v/>
      </c>
      <c r="D12142">
        <f>TEST_DATA!D12142</f>
        <v/>
      </c>
      <c r="E12142">
        <f>TEST_DATA!E12142</f>
        <v/>
      </c>
    </row>
    <row r="12143">
      <c r="A12143">
        <f>TEST_DATA!A12143</f>
        <v/>
      </c>
      <c r="B12143">
        <f>TEST_DATA!B12143</f>
        <v/>
      </c>
      <c r="C12143">
        <f>TEST_DATA!C12143</f>
        <v/>
      </c>
      <c r="D12143">
        <f>TEST_DATA!D12143</f>
        <v/>
      </c>
      <c r="E12143">
        <f>TEST_DATA!E12143</f>
        <v/>
      </c>
    </row>
    <row r="12144">
      <c r="A12144">
        <f>TEST_DATA!A12144</f>
        <v/>
      </c>
      <c r="B12144">
        <f>TEST_DATA!B12144</f>
        <v/>
      </c>
      <c r="C12144">
        <f>TEST_DATA!C12144</f>
        <v/>
      </c>
      <c r="D12144">
        <f>TEST_DATA!D12144</f>
        <v/>
      </c>
      <c r="E12144">
        <f>TEST_DATA!E12144</f>
        <v/>
      </c>
    </row>
    <row r="12145">
      <c r="A12145">
        <f>TEST_DATA!A12145</f>
        <v/>
      </c>
      <c r="B12145">
        <f>TEST_DATA!B12145</f>
        <v/>
      </c>
      <c r="C12145">
        <f>TEST_DATA!C12145</f>
        <v/>
      </c>
      <c r="D12145">
        <f>TEST_DATA!D12145</f>
        <v/>
      </c>
      <c r="E12145">
        <f>TEST_DATA!E12145</f>
        <v/>
      </c>
    </row>
    <row r="12146">
      <c r="A12146">
        <f>TEST_DATA!A12146</f>
        <v/>
      </c>
      <c r="B12146">
        <f>TEST_DATA!B12146</f>
        <v/>
      </c>
      <c r="C12146">
        <f>TEST_DATA!C12146</f>
        <v/>
      </c>
      <c r="D12146">
        <f>TEST_DATA!D12146</f>
        <v/>
      </c>
      <c r="E12146">
        <f>TEST_DATA!E12146</f>
        <v/>
      </c>
    </row>
    <row r="12147">
      <c r="A12147">
        <f>TEST_DATA!A12147</f>
        <v/>
      </c>
      <c r="B12147">
        <f>TEST_DATA!B12147</f>
        <v/>
      </c>
      <c r="C12147">
        <f>TEST_DATA!C12147</f>
        <v/>
      </c>
      <c r="D12147">
        <f>TEST_DATA!D12147</f>
        <v/>
      </c>
      <c r="E12147">
        <f>TEST_DATA!E12147</f>
        <v/>
      </c>
    </row>
    <row r="12148">
      <c r="A12148">
        <f>TEST_DATA!A12148</f>
        <v/>
      </c>
      <c r="B12148">
        <f>TEST_DATA!B12148</f>
        <v/>
      </c>
      <c r="C12148">
        <f>TEST_DATA!C12148</f>
        <v/>
      </c>
      <c r="D12148">
        <f>TEST_DATA!D12148</f>
        <v/>
      </c>
      <c r="E12148">
        <f>TEST_DATA!E12148</f>
        <v/>
      </c>
    </row>
    <row r="12149">
      <c r="A12149">
        <f>TEST_DATA!A12149</f>
        <v/>
      </c>
      <c r="B12149">
        <f>TEST_DATA!B12149</f>
        <v/>
      </c>
      <c r="C12149">
        <f>TEST_DATA!C12149</f>
        <v/>
      </c>
      <c r="D12149">
        <f>TEST_DATA!D12149</f>
        <v/>
      </c>
      <c r="E12149">
        <f>TEST_DATA!E12149</f>
        <v/>
      </c>
    </row>
    <row r="12150">
      <c r="A12150">
        <f>TEST_DATA!A12150</f>
        <v/>
      </c>
      <c r="B12150">
        <f>TEST_DATA!B12150</f>
        <v/>
      </c>
      <c r="C12150">
        <f>TEST_DATA!C12150</f>
        <v/>
      </c>
      <c r="D12150">
        <f>TEST_DATA!D12150</f>
        <v/>
      </c>
      <c r="E12150">
        <f>TEST_DATA!E12150</f>
        <v/>
      </c>
    </row>
    <row r="12151">
      <c r="A12151">
        <f>TEST_DATA!A12151</f>
        <v/>
      </c>
      <c r="B12151">
        <f>TEST_DATA!B12151</f>
        <v/>
      </c>
      <c r="C12151">
        <f>TEST_DATA!C12151</f>
        <v/>
      </c>
      <c r="D12151">
        <f>TEST_DATA!D12151</f>
        <v/>
      </c>
      <c r="E12151">
        <f>TEST_DATA!E12151</f>
        <v/>
      </c>
    </row>
    <row r="12152">
      <c r="A12152">
        <f>TEST_DATA!A12152</f>
        <v/>
      </c>
      <c r="B12152">
        <f>TEST_DATA!B12152</f>
        <v/>
      </c>
      <c r="C12152">
        <f>TEST_DATA!C12152</f>
        <v/>
      </c>
      <c r="D12152">
        <f>TEST_DATA!D12152</f>
        <v/>
      </c>
      <c r="E12152">
        <f>TEST_DATA!E12152</f>
        <v/>
      </c>
    </row>
    <row r="12153">
      <c r="A12153">
        <f>TEST_DATA!A12153</f>
        <v/>
      </c>
      <c r="B12153">
        <f>TEST_DATA!B12153</f>
        <v/>
      </c>
      <c r="C12153">
        <f>TEST_DATA!C12153</f>
        <v/>
      </c>
      <c r="D12153">
        <f>TEST_DATA!D12153</f>
        <v/>
      </c>
      <c r="E12153">
        <f>TEST_DATA!E12153</f>
        <v/>
      </c>
    </row>
    <row r="12154">
      <c r="A12154">
        <f>TEST_DATA!A12154</f>
        <v/>
      </c>
      <c r="B12154">
        <f>TEST_DATA!B12154</f>
        <v/>
      </c>
      <c r="C12154">
        <f>TEST_DATA!C12154</f>
        <v/>
      </c>
      <c r="D12154">
        <f>TEST_DATA!D12154</f>
        <v/>
      </c>
      <c r="E12154">
        <f>TEST_DATA!E12154</f>
        <v/>
      </c>
    </row>
    <row r="12155">
      <c r="A12155">
        <f>TEST_DATA!A12155</f>
        <v/>
      </c>
      <c r="B12155">
        <f>TEST_DATA!B12155</f>
        <v/>
      </c>
      <c r="C12155">
        <f>TEST_DATA!C12155</f>
        <v/>
      </c>
      <c r="D12155">
        <f>TEST_DATA!D12155</f>
        <v/>
      </c>
      <c r="E12155">
        <f>TEST_DATA!E12155</f>
        <v/>
      </c>
    </row>
    <row r="12156">
      <c r="A12156">
        <f>TEST_DATA!A12156</f>
        <v/>
      </c>
      <c r="B12156">
        <f>TEST_DATA!B12156</f>
        <v/>
      </c>
      <c r="C12156">
        <f>TEST_DATA!C12156</f>
        <v/>
      </c>
      <c r="D12156">
        <f>TEST_DATA!D12156</f>
        <v/>
      </c>
      <c r="E12156">
        <f>TEST_DATA!E12156</f>
        <v/>
      </c>
    </row>
    <row r="12157">
      <c r="A12157">
        <f>TEST_DATA!A12157</f>
        <v/>
      </c>
      <c r="B12157">
        <f>TEST_DATA!B12157</f>
        <v/>
      </c>
      <c r="C12157">
        <f>TEST_DATA!C12157</f>
        <v/>
      </c>
      <c r="D12157">
        <f>TEST_DATA!D12157</f>
        <v/>
      </c>
      <c r="E12157">
        <f>TEST_DATA!E12157</f>
        <v/>
      </c>
    </row>
    <row r="12158">
      <c r="A12158">
        <f>TEST_DATA!A12158</f>
        <v/>
      </c>
      <c r="B12158">
        <f>TEST_DATA!B12158</f>
        <v/>
      </c>
      <c r="C12158">
        <f>TEST_DATA!C12158</f>
        <v/>
      </c>
      <c r="D12158">
        <f>TEST_DATA!D12158</f>
        <v/>
      </c>
      <c r="E12158">
        <f>TEST_DATA!E12158</f>
        <v/>
      </c>
    </row>
    <row r="12159">
      <c r="A12159">
        <f>TEST_DATA!A12159</f>
        <v/>
      </c>
      <c r="B12159">
        <f>TEST_DATA!B12159</f>
        <v/>
      </c>
      <c r="C12159">
        <f>TEST_DATA!C12159</f>
        <v/>
      </c>
      <c r="D12159">
        <f>TEST_DATA!D12159</f>
        <v/>
      </c>
      <c r="E12159">
        <f>TEST_DATA!E12159</f>
        <v/>
      </c>
    </row>
    <row r="12160">
      <c r="A12160">
        <f>TEST_DATA!A12160</f>
        <v/>
      </c>
      <c r="B12160">
        <f>TEST_DATA!B12160</f>
        <v/>
      </c>
      <c r="C12160">
        <f>TEST_DATA!C12160</f>
        <v/>
      </c>
      <c r="D12160">
        <f>TEST_DATA!D12160</f>
        <v/>
      </c>
      <c r="E12160">
        <f>TEST_DATA!E12160</f>
        <v/>
      </c>
    </row>
    <row r="12161">
      <c r="A12161">
        <f>TEST_DATA!A12161</f>
        <v/>
      </c>
      <c r="B12161">
        <f>TEST_DATA!B12161</f>
        <v/>
      </c>
      <c r="C12161">
        <f>TEST_DATA!C12161</f>
        <v/>
      </c>
      <c r="D12161">
        <f>TEST_DATA!D12161</f>
        <v/>
      </c>
      <c r="E12161">
        <f>TEST_DATA!E12161</f>
        <v/>
      </c>
    </row>
    <row r="12162">
      <c r="A12162">
        <f>TEST_DATA!A12162</f>
        <v/>
      </c>
      <c r="B12162">
        <f>TEST_DATA!B12162</f>
        <v/>
      </c>
      <c r="C12162">
        <f>TEST_DATA!C12162</f>
        <v/>
      </c>
      <c r="D12162">
        <f>TEST_DATA!D12162</f>
        <v/>
      </c>
      <c r="E12162">
        <f>TEST_DATA!E12162</f>
        <v/>
      </c>
    </row>
    <row r="12163">
      <c r="A12163">
        <f>TEST_DATA!A12163</f>
        <v/>
      </c>
      <c r="B12163">
        <f>TEST_DATA!B12163</f>
        <v/>
      </c>
      <c r="C12163">
        <f>TEST_DATA!C12163</f>
        <v/>
      </c>
      <c r="D12163">
        <f>TEST_DATA!D12163</f>
        <v/>
      </c>
      <c r="E12163">
        <f>TEST_DATA!E12163</f>
        <v/>
      </c>
    </row>
    <row r="12164">
      <c r="A12164">
        <f>TEST_DATA!A12164</f>
        <v/>
      </c>
      <c r="B12164">
        <f>TEST_DATA!B12164</f>
        <v/>
      </c>
      <c r="C12164">
        <f>TEST_DATA!C12164</f>
        <v/>
      </c>
      <c r="D12164">
        <f>TEST_DATA!D12164</f>
        <v/>
      </c>
      <c r="E12164">
        <f>TEST_DATA!E12164</f>
        <v/>
      </c>
    </row>
    <row r="12165">
      <c r="A12165">
        <f>TEST_DATA!A12165</f>
        <v/>
      </c>
      <c r="B12165">
        <f>TEST_DATA!B12165</f>
        <v/>
      </c>
      <c r="C12165">
        <f>TEST_DATA!C12165</f>
        <v/>
      </c>
      <c r="D12165">
        <f>TEST_DATA!D12165</f>
        <v/>
      </c>
      <c r="E12165">
        <f>TEST_DATA!E12165</f>
        <v/>
      </c>
    </row>
    <row r="12166">
      <c r="A12166">
        <f>TEST_DATA!A12166</f>
        <v/>
      </c>
      <c r="B12166">
        <f>TEST_DATA!B12166</f>
        <v/>
      </c>
      <c r="C12166">
        <f>TEST_DATA!C12166</f>
        <v/>
      </c>
      <c r="D12166">
        <f>TEST_DATA!D12166</f>
        <v/>
      </c>
      <c r="E12166">
        <f>TEST_DATA!E12166</f>
        <v/>
      </c>
    </row>
    <row r="12167">
      <c r="A12167">
        <f>TEST_DATA!A12167</f>
        <v/>
      </c>
      <c r="B12167">
        <f>TEST_DATA!B12167</f>
        <v/>
      </c>
      <c r="C12167">
        <f>TEST_DATA!C12167</f>
        <v/>
      </c>
      <c r="D12167">
        <f>TEST_DATA!D12167</f>
        <v/>
      </c>
      <c r="E12167">
        <f>TEST_DATA!E12167</f>
        <v/>
      </c>
    </row>
    <row r="12168">
      <c r="A12168">
        <f>TEST_DATA!A12168</f>
        <v/>
      </c>
      <c r="B12168">
        <f>TEST_DATA!B12168</f>
        <v/>
      </c>
      <c r="C12168">
        <f>TEST_DATA!C12168</f>
        <v/>
      </c>
      <c r="D12168">
        <f>TEST_DATA!D12168</f>
        <v/>
      </c>
      <c r="E12168">
        <f>TEST_DATA!E12168</f>
        <v/>
      </c>
    </row>
    <row r="12169">
      <c r="A12169">
        <f>TEST_DATA!A12169</f>
        <v/>
      </c>
      <c r="B12169">
        <f>TEST_DATA!B12169</f>
        <v/>
      </c>
      <c r="C12169">
        <f>TEST_DATA!C12169</f>
        <v/>
      </c>
      <c r="D12169">
        <f>TEST_DATA!D12169</f>
        <v/>
      </c>
      <c r="E12169">
        <f>TEST_DATA!E12169</f>
        <v/>
      </c>
    </row>
    <row r="12170">
      <c r="A12170">
        <f>TEST_DATA!A12170</f>
        <v/>
      </c>
      <c r="B12170">
        <f>TEST_DATA!B12170</f>
        <v/>
      </c>
      <c r="C12170">
        <f>TEST_DATA!C12170</f>
        <v/>
      </c>
      <c r="D12170">
        <f>TEST_DATA!D12170</f>
        <v/>
      </c>
      <c r="E12170">
        <f>TEST_DATA!E12170</f>
        <v/>
      </c>
    </row>
    <row r="12171">
      <c r="A12171">
        <f>TEST_DATA!A12171</f>
        <v/>
      </c>
      <c r="B12171">
        <f>TEST_DATA!B12171</f>
        <v/>
      </c>
      <c r="C12171">
        <f>TEST_DATA!C12171</f>
        <v/>
      </c>
      <c r="D12171">
        <f>TEST_DATA!D12171</f>
        <v/>
      </c>
      <c r="E12171">
        <f>TEST_DATA!E12171</f>
        <v/>
      </c>
    </row>
    <row r="12172">
      <c r="A12172">
        <f>TEST_DATA!A12172</f>
        <v/>
      </c>
      <c r="B12172">
        <f>TEST_DATA!B12172</f>
        <v/>
      </c>
      <c r="C12172">
        <f>TEST_DATA!C12172</f>
        <v/>
      </c>
      <c r="D12172">
        <f>TEST_DATA!D12172</f>
        <v/>
      </c>
      <c r="E12172">
        <f>TEST_DATA!E12172</f>
        <v/>
      </c>
    </row>
    <row r="12173">
      <c r="A12173">
        <f>TEST_DATA!A12173</f>
        <v/>
      </c>
      <c r="B12173">
        <f>TEST_DATA!B12173</f>
        <v/>
      </c>
      <c r="C12173">
        <f>TEST_DATA!C12173</f>
        <v/>
      </c>
      <c r="D12173">
        <f>TEST_DATA!D12173</f>
        <v/>
      </c>
      <c r="E12173">
        <f>TEST_DATA!E12173</f>
        <v/>
      </c>
    </row>
    <row r="12174">
      <c r="A12174">
        <f>TEST_DATA!A12174</f>
        <v/>
      </c>
      <c r="B12174">
        <f>TEST_DATA!B12174</f>
        <v/>
      </c>
      <c r="C12174">
        <f>TEST_DATA!C12174</f>
        <v/>
      </c>
      <c r="D12174">
        <f>TEST_DATA!D12174</f>
        <v/>
      </c>
      <c r="E12174">
        <f>TEST_DATA!E12174</f>
        <v/>
      </c>
    </row>
    <row r="12175">
      <c r="A12175">
        <f>TEST_DATA!A12175</f>
        <v/>
      </c>
      <c r="B12175">
        <f>TEST_DATA!B12175</f>
        <v/>
      </c>
      <c r="C12175">
        <f>TEST_DATA!C12175</f>
        <v/>
      </c>
      <c r="D12175">
        <f>TEST_DATA!D12175</f>
        <v/>
      </c>
      <c r="E12175">
        <f>TEST_DATA!E12175</f>
        <v/>
      </c>
    </row>
    <row r="12176">
      <c r="A12176">
        <f>TEST_DATA!A12176</f>
        <v/>
      </c>
      <c r="B12176">
        <f>TEST_DATA!B12176</f>
        <v/>
      </c>
      <c r="C12176">
        <f>TEST_DATA!C12176</f>
        <v/>
      </c>
      <c r="D12176">
        <f>TEST_DATA!D12176</f>
        <v/>
      </c>
      <c r="E12176">
        <f>TEST_DATA!E12176</f>
        <v/>
      </c>
    </row>
    <row r="12177">
      <c r="A12177">
        <f>TEST_DATA!A12177</f>
        <v/>
      </c>
      <c r="B12177">
        <f>TEST_DATA!B12177</f>
        <v/>
      </c>
      <c r="C12177">
        <f>TEST_DATA!C12177</f>
        <v/>
      </c>
      <c r="D12177">
        <f>TEST_DATA!D12177</f>
        <v/>
      </c>
      <c r="E12177">
        <f>TEST_DATA!E12177</f>
        <v/>
      </c>
    </row>
    <row r="12178">
      <c r="A12178">
        <f>TEST_DATA!A12178</f>
        <v/>
      </c>
      <c r="B12178">
        <f>TEST_DATA!B12178</f>
        <v/>
      </c>
      <c r="C12178">
        <f>TEST_DATA!C12178</f>
        <v/>
      </c>
      <c r="D12178">
        <f>TEST_DATA!D12178</f>
        <v/>
      </c>
      <c r="E12178">
        <f>TEST_DATA!E12178</f>
        <v/>
      </c>
    </row>
    <row r="12179">
      <c r="A12179">
        <f>TEST_DATA!A12179</f>
        <v/>
      </c>
      <c r="B12179">
        <f>TEST_DATA!B12179</f>
        <v/>
      </c>
      <c r="C12179">
        <f>TEST_DATA!C12179</f>
        <v/>
      </c>
      <c r="D12179">
        <f>TEST_DATA!D12179</f>
        <v/>
      </c>
      <c r="E12179">
        <f>TEST_DATA!E12179</f>
        <v/>
      </c>
    </row>
    <row r="12180">
      <c r="A12180">
        <f>TEST_DATA!A12180</f>
        <v/>
      </c>
      <c r="B12180">
        <f>TEST_DATA!B12180</f>
        <v/>
      </c>
      <c r="C12180">
        <f>TEST_DATA!C12180</f>
        <v/>
      </c>
      <c r="D12180">
        <f>TEST_DATA!D12180</f>
        <v/>
      </c>
      <c r="E12180">
        <f>TEST_DATA!E12180</f>
        <v/>
      </c>
    </row>
    <row r="12181">
      <c r="A12181">
        <f>TEST_DATA!A12181</f>
        <v/>
      </c>
      <c r="B12181">
        <f>TEST_DATA!B12181</f>
        <v/>
      </c>
      <c r="C12181">
        <f>TEST_DATA!C12181</f>
        <v/>
      </c>
      <c r="D12181">
        <f>TEST_DATA!D12181</f>
        <v/>
      </c>
      <c r="E12181">
        <f>TEST_DATA!E12181</f>
        <v/>
      </c>
    </row>
    <row r="12182">
      <c r="A12182">
        <f>TEST_DATA!A12182</f>
        <v/>
      </c>
      <c r="B12182">
        <f>TEST_DATA!B12182</f>
        <v/>
      </c>
      <c r="C12182">
        <f>TEST_DATA!C12182</f>
        <v/>
      </c>
      <c r="D12182">
        <f>TEST_DATA!D12182</f>
        <v/>
      </c>
      <c r="E12182">
        <f>TEST_DATA!E12182</f>
        <v/>
      </c>
    </row>
    <row r="12183">
      <c r="A12183">
        <f>TEST_DATA!A12183</f>
        <v/>
      </c>
      <c r="B12183">
        <f>TEST_DATA!B12183</f>
        <v/>
      </c>
      <c r="C12183">
        <f>TEST_DATA!C12183</f>
        <v/>
      </c>
      <c r="D12183">
        <f>TEST_DATA!D12183</f>
        <v/>
      </c>
      <c r="E12183">
        <f>TEST_DATA!E12183</f>
        <v/>
      </c>
    </row>
    <row r="12184">
      <c r="A12184">
        <f>TEST_DATA!A12184</f>
        <v/>
      </c>
      <c r="B12184">
        <f>TEST_DATA!B12184</f>
        <v/>
      </c>
      <c r="C12184">
        <f>TEST_DATA!C12184</f>
        <v/>
      </c>
      <c r="D12184">
        <f>TEST_DATA!D12184</f>
        <v/>
      </c>
      <c r="E12184">
        <f>TEST_DATA!E12184</f>
        <v/>
      </c>
    </row>
    <row r="12185">
      <c r="A12185">
        <f>TEST_DATA!A12185</f>
        <v/>
      </c>
      <c r="B12185">
        <f>TEST_DATA!B12185</f>
        <v/>
      </c>
      <c r="C12185">
        <f>TEST_DATA!C12185</f>
        <v/>
      </c>
      <c r="D12185">
        <f>TEST_DATA!D12185</f>
        <v/>
      </c>
      <c r="E12185">
        <f>TEST_DATA!E12185</f>
        <v/>
      </c>
    </row>
    <row r="12186">
      <c r="A12186">
        <f>TEST_DATA!A12186</f>
        <v/>
      </c>
      <c r="B12186">
        <f>TEST_DATA!B12186</f>
        <v/>
      </c>
      <c r="C12186">
        <f>TEST_DATA!C12186</f>
        <v/>
      </c>
      <c r="D12186">
        <f>TEST_DATA!D12186</f>
        <v/>
      </c>
      <c r="E12186">
        <f>TEST_DATA!E12186</f>
        <v/>
      </c>
    </row>
    <row r="12187">
      <c r="A12187">
        <f>TEST_DATA!A12187</f>
        <v/>
      </c>
      <c r="B12187">
        <f>TEST_DATA!B12187</f>
        <v/>
      </c>
      <c r="C12187">
        <f>TEST_DATA!C12187</f>
        <v/>
      </c>
      <c r="D12187">
        <f>TEST_DATA!D12187</f>
        <v/>
      </c>
      <c r="E12187">
        <f>TEST_DATA!E12187</f>
        <v/>
      </c>
    </row>
    <row r="12188">
      <c r="A12188">
        <f>TEST_DATA!A12188</f>
        <v/>
      </c>
      <c r="B12188">
        <f>TEST_DATA!B12188</f>
        <v/>
      </c>
      <c r="C12188">
        <f>TEST_DATA!C12188</f>
        <v/>
      </c>
      <c r="D12188">
        <f>TEST_DATA!D12188</f>
        <v/>
      </c>
      <c r="E12188">
        <f>TEST_DATA!E12188</f>
        <v/>
      </c>
    </row>
    <row r="12189">
      <c r="A12189">
        <f>TEST_DATA!A12189</f>
        <v/>
      </c>
      <c r="B12189">
        <f>TEST_DATA!B12189</f>
        <v/>
      </c>
      <c r="C12189">
        <f>TEST_DATA!C12189</f>
        <v/>
      </c>
      <c r="D12189">
        <f>TEST_DATA!D12189</f>
        <v/>
      </c>
      <c r="E12189">
        <f>TEST_DATA!E12189</f>
        <v/>
      </c>
    </row>
    <row r="12190">
      <c r="A12190">
        <f>TEST_DATA!A12190</f>
        <v/>
      </c>
      <c r="B12190">
        <f>TEST_DATA!B12190</f>
        <v/>
      </c>
      <c r="C12190">
        <f>TEST_DATA!C12190</f>
        <v/>
      </c>
      <c r="D12190">
        <f>TEST_DATA!D12190</f>
        <v/>
      </c>
      <c r="E12190">
        <f>TEST_DATA!E12190</f>
        <v/>
      </c>
    </row>
    <row r="12191">
      <c r="A12191">
        <f>TEST_DATA!A12191</f>
        <v/>
      </c>
      <c r="B12191">
        <f>TEST_DATA!B12191</f>
        <v/>
      </c>
      <c r="C12191">
        <f>TEST_DATA!C12191</f>
        <v/>
      </c>
      <c r="D12191">
        <f>TEST_DATA!D12191</f>
        <v/>
      </c>
      <c r="E12191">
        <f>TEST_DATA!E12191</f>
        <v/>
      </c>
    </row>
    <row r="12192">
      <c r="A12192">
        <f>TEST_DATA!A12192</f>
        <v/>
      </c>
      <c r="B12192">
        <f>TEST_DATA!B12192</f>
        <v/>
      </c>
      <c r="C12192">
        <f>TEST_DATA!C12192</f>
        <v/>
      </c>
      <c r="D12192">
        <f>TEST_DATA!D12192</f>
        <v/>
      </c>
      <c r="E12192">
        <f>TEST_DATA!E12192</f>
        <v/>
      </c>
    </row>
    <row r="12193">
      <c r="A12193">
        <f>TEST_DATA!A12193</f>
        <v/>
      </c>
      <c r="B12193">
        <f>TEST_DATA!B12193</f>
        <v/>
      </c>
      <c r="C12193">
        <f>TEST_DATA!C12193</f>
        <v/>
      </c>
      <c r="D12193">
        <f>TEST_DATA!D12193</f>
        <v/>
      </c>
      <c r="E12193">
        <f>TEST_DATA!E12193</f>
        <v/>
      </c>
    </row>
    <row r="12194">
      <c r="A12194">
        <f>TEST_DATA!A12194</f>
        <v/>
      </c>
      <c r="B12194">
        <f>TEST_DATA!B12194</f>
        <v/>
      </c>
      <c r="C12194">
        <f>TEST_DATA!C12194</f>
        <v/>
      </c>
      <c r="D12194">
        <f>TEST_DATA!D12194</f>
        <v/>
      </c>
      <c r="E12194">
        <f>TEST_DATA!E12194</f>
        <v/>
      </c>
    </row>
    <row r="12195">
      <c r="A12195">
        <f>TEST_DATA!A12195</f>
        <v/>
      </c>
      <c r="B12195">
        <f>TEST_DATA!B12195</f>
        <v/>
      </c>
      <c r="C12195">
        <f>TEST_DATA!C12195</f>
        <v/>
      </c>
      <c r="D12195">
        <f>TEST_DATA!D12195</f>
        <v/>
      </c>
      <c r="E12195">
        <f>TEST_DATA!E12195</f>
        <v/>
      </c>
    </row>
    <row r="12196">
      <c r="A12196">
        <f>TEST_DATA!A12196</f>
        <v/>
      </c>
      <c r="B12196">
        <f>TEST_DATA!B12196</f>
        <v/>
      </c>
      <c r="C12196">
        <f>TEST_DATA!C12196</f>
        <v/>
      </c>
      <c r="D12196">
        <f>TEST_DATA!D12196</f>
        <v/>
      </c>
      <c r="E12196">
        <f>TEST_DATA!E12196</f>
        <v/>
      </c>
    </row>
    <row r="12197">
      <c r="A12197">
        <f>TEST_DATA!A12197</f>
        <v/>
      </c>
      <c r="B12197">
        <f>TEST_DATA!B12197</f>
        <v/>
      </c>
      <c r="C12197">
        <f>TEST_DATA!C12197</f>
        <v/>
      </c>
      <c r="D12197">
        <f>TEST_DATA!D12197</f>
        <v/>
      </c>
      <c r="E12197">
        <f>TEST_DATA!E12197</f>
        <v/>
      </c>
    </row>
    <row r="12198">
      <c r="A12198">
        <f>TEST_DATA!A12198</f>
        <v/>
      </c>
      <c r="B12198">
        <f>TEST_DATA!B12198</f>
        <v/>
      </c>
      <c r="C12198">
        <f>TEST_DATA!C12198</f>
        <v/>
      </c>
      <c r="D12198">
        <f>TEST_DATA!D12198</f>
        <v/>
      </c>
      <c r="E12198">
        <f>TEST_DATA!E12198</f>
        <v/>
      </c>
    </row>
    <row r="12199">
      <c r="A12199">
        <f>TEST_DATA!A12199</f>
        <v/>
      </c>
      <c r="B12199">
        <f>TEST_DATA!B12199</f>
        <v/>
      </c>
      <c r="C12199">
        <f>TEST_DATA!C12199</f>
        <v/>
      </c>
      <c r="D12199">
        <f>TEST_DATA!D12199</f>
        <v/>
      </c>
      <c r="E12199">
        <f>TEST_DATA!E12199</f>
        <v/>
      </c>
    </row>
    <row r="12200">
      <c r="A12200">
        <f>TEST_DATA!A12200</f>
        <v/>
      </c>
      <c r="B12200">
        <f>TEST_DATA!B12200</f>
        <v/>
      </c>
      <c r="C12200">
        <f>TEST_DATA!C12200</f>
        <v/>
      </c>
      <c r="D12200">
        <f>TEST_DATA!D12200</f>
        <v/>
      </c>
      <c r="E12200">
        <f>TEST_DATA!E12200</f>
        <v/>
      </c>
    </row>
    <row r="12201">
      <c r="A12201">
        <f>TEST_DATA!A12201</f>
        <v/>
      </c>
      <c r="B12201">
        <f>TEST_DATA!B12201</f>
        <v/>
      </c>
      <c r="C12201">
        <f>TEST_DATA!C12201</f>
        <v/>
      </c>
      <c r="D12201">
        <f>TEST_DATA!D12201</f>
        <v/>
      </c>
      <c r="E12201">
        <f>TEST_DATA!E12201</f>
        <v/>
      </c>
    </row>
    <row r="12202">
      <c r="A12202">
        <f>TEST_DATA!A12202</f>
        <v/>
      </c>
      <c r="B12202">
        <f>TEST_DATA!B12202</f>
        <v/>
      </c>
      <c r="C12202">
        <f>TEST_DATA!C12202</f>
        <v/>
      </c>
      <c r="D12202">
        <f>TEST_DATA!D12202</f>
        <v/>
      </c>
      <c r="E12202">
        <f>TEST_DATA!E12202</f>
        <v/>
      </c>
    </row>
    <row r="12203">
      <c r="A12203">
        <f>TEST_DATA!A12203</f>
        <v/>
      </c>
      <c r="B12203">
        <f>TEST_DATA!B12203</f>
        <v/>
      </c>
      <c r="C12203">
        <f>TEST_DATA!C12203</f>
        <v/>
      </c>
      <c r="D12203">
        <f>TEST_DATA!D12203</f>
        <v/>
      </c>
      <c r="E12203">
        <f>TEST_DATA!E12203</f>
        <v/>
      </c>
    </row>
    <row r="12204">
      <c r="A12204">
        <f>TEST_DATA!A12204</f>
        <v/>
      </c>
      <c r="B12204">
        <f>TEST_DATA!B12204</f>
        <v/>
      </c>
      <c r="C12204">
        <f>TEST_DATA!C12204</f>
        <v/>
      </c>
      <c r="D12204">
        <f>TEST_DATA!D12204</f>
        <v/>
      </c>
      <c r="E12204">
        <f>TEST_DATA!E12204</f>
        <v/>
      </c>
    </row>
    <row r="12205">
      <c r="A12205">
        <f>TEST_DATA!A12205</f>
        <v/>
      </c>
      <c r="B12205">
        <f>TEST_DATA!B12205</f>
        <v/>
      </c>
      <c r="C12205">
        <f>TEST_DATA!C12205</f>
        <v/>
      </c>
      <c r="D12205">
        <f>TEST_DATA!D12205</f>
        <v/>
      </c>
      <c r="E12205">
        <f>TEST_DATA!E12205</f>
        <v/>
      </c>
    </row>
    <row r="12206">
      <c r="A12206">
        <f>TEST_DATA!A12206</f>
        <v/>
      </c>
      <c r="B12206">
        <f>TEST_DATA!B12206</f>
        <v/>
      </c>
      <c r="C12206">
        <f>TEST_DATA!C12206</f>
        <v/>
      </c>
      <c r="D12206">
        <f>TEST_DATA!D12206</f>
        <v/>
      </c>
      <c r="E12206">
        <f>TEST_DATA!E12206</f>
        <v/>
      </c>
    </row>
    <row r="12207">
      <c r="A12207">
        <f>TEST_DATA!A12207</f>
        <v/>
      </c>
      <c r="B12207">
        <f>TEST_DATA!B12207</f>
        <v/>
      </c>
      <c r="C12207">
        <f>TEST_DATA!C12207</f>
        <v/>
      </c>
      <c r="D12207">
        <f>TEST_DATA!D12207</f>
        <v/>
      </c>
      <c r="E12207">
        <f>TEST_DATA!E12207</f>
        <v/>
      </c>
    </row>
    <row r="12208">
      <c r="A12208">
        <f>TEST_DATA!A12208</f>
        <v/>
      </c>
      <c r="B12208">
        <f>TEST_DATA!B12208</f>
        <v/>
      </c>
      <c r="C12208">
        <f>TEST_DATA!C12208</f>
        <v/>
      </c>
      <c r="D12208">
        <f>TEST_DATA!D12208</f>
        <v/>
      </c>
      <c r="E12208">
        <f>TEST_DATA!E12208</f>
        <v/>
      </c>
    </row>
    <row r="12209">
      <c r="A12209">
        <f>TEST_DATA!A12209</f>
        <v/>
      </c>
      <c r="B12209">
        <f>TEST_DATA!B12209</f>
        <v/>
      </c>
      <c r="C12209">
        <f>TEST_DATA!C12209</f>
        <v/>
      </c>
      <c r="D12209">
        <f>TEST_DATA!D12209</f>
        <v/>
      </c>
      <c r="E12209">
        <f>TEST_DATA!E12209</f>
        <v/>
      </c>
    </row>
    <row r="12210">
      <c r="A12210">
        <f>TEST_DATA!A12210</f>
        <v/>
      </c>
      <c r="B12210">
        <f>TEST_DATA!B12210</f>
        <v/>
      </c>
      <c r="C12210">
        <f>TEST_DATA!C12210</f>
        <v/>
      </c>
      <c r="D12210">
        <f>TEST_DATA!D12210</f>
        <v/>
      </c>
      <c r="E12210">
        <f>TEST_DATA!E12210</f>
        <v/>
      </c>
    </row>
    <row r="12211">
      <c r="A12211">
        <f>TEST_DATA!A12211</f>
        <v/>
      </c>
      <c r="B12211">
        <f>TEST_DATA!B12211</f>
        <v/>
      </c>
      <c r="C12211">
        <f>TEST_DATA!C12211</f>
        <v/>
      </c>
      <c r="D12211">
        <f>TEST_DATA!D12211</f>
        <v/>
      </c>
      <c r="E12211">
        <f>TEST_DATA!E12211</f>
        <v/>
      </c>
    </row>
    <row r="12212">
      <c r="A12212">
        <f>TEST_DATA!A12212</f>
        <v/>
      </c>
      <c r="B12212">
        <f>TEST_DATA!B12212</f>
        <v/>
      </c>
      <c r="C12212">
        <f>TEST_DATA!C12212</f>
        <v/>
      </c>
      <c r="D12212">
        <f>TEST_DATA!D12212</f>
        <v/>
      </c>
      <c r="E12212">
        <f>TEST_DATA!E12212</f>
        <v/>
      </c>
    </row>
    <row r="12213">
      <c r="A12213">
        <f>TEST_DATA!A12213</f>
        <v/>
      </c>
      <c r="B12213">
        <f>TEST_DATA!B12213</f>
        <v/>
      </c>
      <c r="C12213">
        <f>TEST_DATA!C12213</f>
        <v/>
      </c>
      <c r="D12213">
        <f>TEST_DATA!D12213</f>
        <v/>
      </c>
      <c r="E12213">
        <f>TEST_DATA!E12213</f>
        <v/>
      </c>
    </row>
    <row r="12214">
      <c r="A12214">
        <f>TEST_DATA!A12214</f>
        <v/>
      </c>
      <c r="B12214">
        <f>TEST_DATA!B12214</f>
        <v/>
      </c>
      <c r="C12214">
        <f>TEST_DATA!C12214</f>
        <v/>
      </c>
      <c r="D12214">
        <f>TEST_DATA!D12214</f>
        <v/>
      </c>
      <c r="E12214">
        <f>TEST_DATA!E12214</f>
        <v/>
      </c>
    </row>
    <row r="12215">
      <c r="A12215">
        <f>TEST_DATA!A12215</f>
        <v/>
      </c>
      <c r="B12215">
        <f>TEST_DATA!B12215</f>
        <v/>
      </c>
      <c r="C12215">
        <f>TEST_DATA!C12215</f>
        <v/>
      </c>
      <c r="D12215">
        <f>TEST_DATA!D12215</f>
        <v/>
      </c>
      <c r="E12215">
        <f>TEST_DATA!E12215</f>
        <v/>
      </c>
    </row>
    <row r="12216">
      <c r="A12216">
        <f>TEST_DATA!A12216</f>
        <v/>
      </c>
      <c r="B12216">
        <f>TEST_DATA!B12216</f>
        <v/>
      </c>
      <c r="C12216">
        <f>TEST_DATA!C12216</f>
        <v/>
      </c>
      <c r="D12216">
        <f>TEST_DATA!D12216</f>
        <v/>
      </c>
      <c r="E12216">
        <f>TEST_DATA!E12216</f>
        <v/>
      </c>
    </row>
    <row r="12217">
      <c r="A12217">
        <f>TEST_DATA!A12217</f>
        <v/>
      </c>
      <c r="B12217">
        <f>TEST_DATA!B12217</f>
        <v/>
      </c>
      <c r="C12217">
        <f>TEST_DATA!C12217</f>
        <v/>
      </c>
      <c r="D12217">
        <f>TEST_DATA!D12217</f>
        <v/>
      </c>
      <c r="E12217">
        <f>TEST_DATA!E12217</f>
        <v/>
      </c>
    </row>
    <row r="12218">
      <c r="A12218">
        <f>TEST_DATA!A12218</f>
        <v/>
      </c>
      <c r="B12218">
        <f>TEST_DATA!B12218</f>
        <v/>
      </c>
      <c r="C12218">
        <f>TEST_DATA!C12218</f>
        <v/>
      </c>
      <c r="D12218">
        <f>TEST_DATA!D12218</f>
        <v/>
      </c>
      <c r="E12218">
        <f>TEST_DATA!E12218</f>
        <v/>
      </c>
    </row>
    <row r="12219">
      <c r="A12219">
        <f>TEST_DATA!A12219</f>
        <v/>
      </c>
      <c r="B12219">
        <f>TEST_DATA!B12219</f>
        <v/>
      </c>
      <c r="C12219">
        <f>TEST_DATA!C12219</f>
        <v/>
      </c>
      <c r="D12219">
        <f>TEST_DATA!D12219</f>
        <v/>
      </c>
      <c r="E12219">
        <f>TEST_DATA!E12219</f>
        <v/>
      </c>
    </row>
    <row r="12220">
      <c r="A12220">
        <f>TEST_DATA!A12220</f>
        <v/>
      </c>
      <c r="B12220">
        <f>TEST_DATA!B12220</f>
        <v/>
      </c>
      <c r="C12220">
        <f>TEST_DATA!C12220</f>
        <v/>
      </c>
      <c r="D12220">
        <f>TEST_DATA!D12220</f>
        <v/>
      </c>
      <c r="E12220">
        <f>TEST_DATA!E12220</f>
        <v/>
      </c>
    </row>
    <row r="12221">
      <c r="A12221">
        <f>TEST_DATA!A12221</f>
        <v/>
      </c>
      <c r="B12221">
        <f>TEST_DATA!B12221</f>
        <v/>
      </c>
      <c r="C12221">
        <f>TEST_DATA!C12221</f>
        <v/>
      </c>
      <c r="D12221">
        <f>TEST_DATA!D12221</f>
        <v/>
      </c>
      <c r="E12221">
        <f>TEST_DATA!E12221</f>
        <v/>
      </c>
    </row>
    <row r="12222">
      <c r="A12222">
        <f>TEST_DATA!A12222</f>
        <v/>
      </c>
      <c r="B12222">
        <f>TEST_DATA!B12222</f>
        <v/>
      </c>
      <c r="C12222">
        <f>TEST_DATA!C12222</f>
        <v/>
      </c>
      <c r="D12222">
        <f>TEST_DATA!D12222</f>
        <v/>
      </c>
      <c r="E12222">
        <f>TEST_DATA!E12222</f>
        <v/>
      </c>
    </row>
    <row r="12223">
      <c r="A12223">
        <f>TEST_DATA!A12223</f>
        <v/>
      </c>
      <c r="B12223">
        <f>TEST_DATA!B12223</f>
        <v/>
      </c>
      <c r="C12223">
        <f>TEST_DATA!C12223</f>
        <v/>
      </c>
      <c r="D12223">
        <f>TEST_DATA!D12223</f>
        <v/>
      </c>
      <c r="E12223">
        <f>TEST_DATA!E12223</f>
        <v/>
      </c>
    </row>
    <row r="12224">
      <c r="A12224">
        <f>TEST_DATA!A12224</f>
        <v/>
      </c>
      <c r="B12224">
        <f>TEST_DATA!B12224</f>
        <v/>
      </c>
      <c r="C12224">
        <f>TEST_DATA!C12224</f>
        <v/>
      </c>
      <c r="D12224">
        <f>TEST_DATA!D12224</f>
        <v/>
      </c>
      <c r="E12224">
        <f>TEST_DATA!E12224</f>
        <v/>
      </c>
    </row>
    <row r="12225">
      <c r="A12225">
        <f>TEST_DATA!A12225</f>
        <v/>
      </c>
      <c r="B12225">
        <f>TEST_DATA!B12225</f>
        <v/>
      </c>
      <c r="C12225">
        <f>TEST_DATA!C12225</f>
        <v/>
      </c>
      <c r="D12225">
        <f>TEST_DATA!D12225</f>
        <v/>
      </c>
      <c r="E12225">
        <f>TEST_DATA!E12225</f>
        <v/>
      </c>
    </row>
    <row r="12226">
      <c r="A12226">
        <f>TEST_DATA!A12226</f>
        <v/>
      </c>
      <c r="B12226">
        <f>TEST_DATA!B12226</f>
        <v/>
      </c>
      <c r="C12226">
        <f>TEST_DATA!C12226</f>
        <v/>
      </c>
      <c r="D12226">
        <f>TEST_DATA!D12226</f>
        <v/>
      </c>
      <c r="E12226">
        <f>TEST_DATA!E12226</f>
        <v/>
      </c>
    </row>
    <row r="12227">
      <c r="A12227">
        <f>TEST_DATA!A12227</f>
        <v/>
      </c>
      <c r="B12227">
        <f>TEST_DATA!B12227</f>
        <v/>
      </c>
      <c r="C12227">
        <f>TEST_DATA!C12227</f>
        <v/>
      </c>
      <c r="D12227">
        <f>TEST_DATA!D12227</f>
        <v/>
      </c>
      <c r="E12227">
        <f>TEST_DATA!E12227</f>
        <v/>
      </c>
    </row>
    <row r="12228">
      <c r="A12228">
        <f>TEST_DATA!A12228</f>
        <v/>
      </c>
      <c r="B12228">
        <f>TEST_DATA!B12228</f>
        <v/>
      </c>
      <c r="C12228">
        <f>TEST_DATA!C12228</f>
        <v/>
      </c>
      <c r="D12228">
        <f>TEST_DATA!D12228</f>
        <v/>
      </c>
      <c r="E12228">
        <f>TEST_DATA!E12228</f>
        <v/>
      </c>
    </row>
    <row r="12229">
      <c r="A12229">
        <f>TEST_DATA!A12229</f>
        <v/>
      </c>
      <c r="B12229">
        <f>TEST_DATA!B12229</f>
        <v/>
      </c>
      <c r="C12229">
        <f>TEST_DATA!C12229</f>
        <v/>
      </c>
      <c r="D12229">
        <f>TEST_DATA!D12229</f>
        <v/>
      </c>
      <c r="E12229">
        <f>TEST_DATA!E12229</f>
        <v/>
      </c>
    </row>
    <row r="12230">
      <c r="A12230">
        <f>TEST_DATA!A12230</f>
        <v/>
      </c>
      <c r="B12230">
        <f>TEST_DATA!B12230</f>
        <v/>
      </c>
      <c r="C12230">
        <f>TEST_DATA!C12230</f>
        <v/>
      </c>
      <c r="D12230">
        <f>TEST_DATA!D12230</f>
        <v/>
      </c>
      <c r="E12230">
        <f>TEST_DATA!E12230</f>
        <v/>
      </c>
    </row>
    <row r="12231">
      <c r="A12231">
        <f>TEST_DATA!A12231</f>
        <v/>
      </c>
      <c r="B12231">
        <f>TEST_DATA!B12231</f>
        <v/>
      </c>
      <c r="C12231">
        <f>TEST_DATA!C12231</f>
        <v/>
      </c>
      <c r="D12231">
        <f>TEST_DATA!D12231</f>
        <v/>
      </c>
      <c r="E12231">
        <f>TEST_DATA!E12231</f>
        <v/>
      </c>
    </row>
    <row r="12232">
      <c r="A12232">
        <f>TEST_DATA!A12232</f>
        <v/>
      </c>
      <c r="B12232">
        <f>TEST_DATA!B12232</f>
        <v/>
      </c>
      <c r="C12232">
        <f>TEST_DATA!C12232</f>
        <v/>
      </c>
      <c r="D12232">
        <f>TEST_DATA!D12232</f>
        <v/>
      </c>
      <c r="E12232">
        <f>TEST_DATA!E12232</f>
        <v/>
      </c>
    </row>
    <row r="12233">
      <c r="A12233">
        <f>TEST_DATA!A12233</f>
        <v/>
      </c>
      <c r="B12233">
        <f>TEST_DATA!B12233</f>
        <v/>
      </c>
      <c r="C12233">
        <f>TEST_DATA!C12233</f>
        <v/>
      </c>
      <c r="D12233">
        <f>TEST_DATA!D12233</f>
        <v/>
      </c>
      <c r="E12233">
        <f>TEST_DATA!E12233</f>
        <v/>
      </c>
    </row>
    <row r="12234">
      <c r="A12234">
        <f>TEST_DATA!A12234</f>
        <v/>
      </c>
      <c r="B12234">
        <f>TEST_DATA!B12234</f>
        <v/>
      </c>
      <c r="C12234">
        <f>TEST_DATA!C12234</f>
        <v/>
      </c>
      <c r="D12234">
        <f>TEST_DATA!D12234</f>
        <v/>
      </c>
      <c r="E12234">
        <f>TEST_DATA!E12234</f>
        <v/>
      </c>
    </row>
    <row r="12235">
      <c r="A12235">
        <f>TEST_DATA!A12235</f>
        <v/>
      </c>
      <c r="B12235">
        <f>TEST_DATA!B12235</f>
        <v/>
      </c>
      <c r="C12235">
        <f>TEST_DATA!C12235</f>
        <v/>
      </c>
      <c r="D12235">
        <f>TEST_DATA!D12235</f>
        <v/>
      </c>
      <c r="E12235">
        <f>TEST_DATA!E12235</f>
        <v/>
      </c>
    </row>
    <row r="12236">
      <c r="A12236">
        <f>TEST_DATA!A12236</f>
        <v/>
      </c>
      <c r="B12236">
        <f>TEST_DATA!B12236</f>
        <v/>
      </c>
      <c r="C12236">
        <f>TEST_DATA!C12236</f>
        <v/>
      </c>
      <c r="D12236">
        <f>TEST_DATA!D12236</f>
        <v/>
      </c>
      <c r="E12236">
        <f>TEST_DATA!E12236</f>
        <v/>
      </c>
    </row>
    <row r="12237">
      <c r="A12237">
        <f>TEST_DATA!A12237</f>
        <v/>
      </c>
      <c r="B12237">
        <f>TEST_DATA!B12237</f>
        <v/>
      </c>
      <c r="C12237">
        <f>TEST_DATA!C12237</f>
        <v/>
      </c>
      <c r="D12237">
        <f>TEST_DATA!D12237</f>
        <v/>
      </c>
      <c r="E12237">
        <f>TEST_DATA!E12237</f>
        <v/>
      </c>
    </row>
    <row r="12238">
      <c r="A12238">
        <f>TEST_DATA!A12238</f>
        <v/>
      </c>
      <c r="B12238">
        <f>TEST_DATA!B12238</f>
        <v/>
      </c>
      <c r="C12238">
        <f>TEST_DATA!C12238</f>
        <v/>
      </c>
      <c r="D12238">
        <f>TEST_DATA!D12238</f>
        <v/>
      </c>
      <c r="E12238">
        <f>TEST_DATA!E12238</f>
        <v/>
      </c>
    </row>
    <row r="12239">
      <c r="A12239">
        <f>TEST_DATA!A12239</f>
        <v/>
      </c>
      <c r="B12239">
        <f>TEST_DATA!B12239</f>
        <v/>
      </c>
      <c r="C12239">
        <f>TEST_DATA!C12239</f>
        <v/>
      </c>
      <c r="D12239">
        <f>TEST_DATA!D12239</f>
        <v/>
      </c>
      <c r="E12239">
        <f>TEST_DATA!E12239</f>
        <v/>
      </c>
    </row>
    <row r="12240">
      <c r="A12240">
        <f>TEST_DATA!A12240</f>
        <v/>
      </c>
      <c r="B12240">
        <f>TEST_DATA!B12240</f>
        <v/>
      </c>
      <c r="C12240">
        <f>TEST_DATA!C12240</f>
        <v/>
      </c>
      <c r="D12240">
        <f>TEST_DATA!D12240</f>
        <v/>
      </c>
      <c r="E12240">
        <f>TEST_DATA!E12240</f>
        <v/>
      </c>
    </row>
    <row r="12241">
      <c r="A12241">
        <f>TEST_DATA!A12241</f>
        <v/>
      </c>
      <c r="B12241">
        <f>TEST_DATA!B12241</f>
        <v/>
      </c>
      <c r="C12241">
        <f>TEST_DATA!C12241</f>
        <v/>
      </c>
      <c r="D12241">
        <f>TEST_DATA!D12241</f>
        <v/>
      </c>
      <c r="E12241">
        <f>TEST_DATA!E12241</f>
        <v/>
      </c>
    </row>
    <row r="12242">
      <c r="A12242">
        <f>TEST_DATA!A12242</f>
        <v/>
      </c>
      <c r="B12242">
        <f>TEST_DATA!B12242</f>
        <v/>
      </c>
      <c r="C12242">
        <f>TEST_DATA!C12242</f>
        <v/>
      </c>
      <c r="D12242">
        <f>TEST_DATA!D12242</f>
        <v/>
      </c>
      <c r="E12242">
        <f>TEST_DATA!E12242</f>
        <v/>
      </c>
    </row>
    <row r="12243">
      <c r="A12243">
        <f>TEST_DATA!A12243</f>
        <v/>
      </c>
      <c r="B12243">
        <f>TEST_DATA!B12243</f>
        <v/>
      </c>
      <c r="C12243">
        <f>TEST_DATA!C12243</f>
        <v/>
      </c>
      <c r="D12243">
        <f>TEST_DATA!D12243</f>
        <v/>
      </c>
      <c r="E12243">
        <f>TEST_DATA!E12243</f>
        <v/>
      </c>
    </row>
    <row r="12244">
      <c r="A12244">
        <f>TEST_DATA!A12244</f>
        <v/>
      </c>
      <c r="B12244">
        <f>TEST_DATA!B12244</f>
        <v/>
      </c>
      <c r="C12244">
        <f>TEST_DATA!C12244</f>
        <v/>
      </c>
      <c r="D12244">
        <f>TEST_DATA!D12244</f>
        <v/>
      </c>
      <c r="E12244">
        <f>TEST_DATA!E12244</f>
        <v/>
      </c>
    </row>
    <row r="12245">
      <c r="A12245">
        <f>TEST_DATA!A12245</f>
        <v/>
      </c>
      <c r="B12245">
        <f>TEST_DATA!B12245</f>
        <v/>
      </c>
      <c r="C12245">
        <f>TEST_DATA!C12245</f>
        <v/>
      </c>
      <c r="D12245">
        <f>TEST_DATA!D12245</f>
        <v/>
      </c>
      <c r="E12245">
        <f>TEST_DATA!E12245</f>
        <v/>
      </c>
    </row>
    <row r="12246">
      <c r="A12246">
        <f>TEST_DATA!A12246</f>
        <v/>
      </c>
      <c r="B12246">
        <f>TEST_DATA!B12246</f>
        <v/>
      </c>
      <c r="C12246">
        <f>TEST_DATA!C12246</f>
        <v/>
      </c>
      <c r="D12246">
        <f>TEST_DATA!D12246</f>
        <v/>
      </c>
      <c r="E12246">
        <f>TEST_DATA!E12246</f>
        <v/>
      </c>
    </row>
    <row r="12247">
      <c r="A12247">
        <f>TEST_DATA!A12247</f>
        <v/>
      </c>
      <c r="B12247">
        <f>TEST_DATA!B12247</f>
        <v/>
      </c>
      <c r="C12247">
        <f>TEST_DATA!C12247</f>
        <v/>
      </c>
      <c r="D12247">
        <f>TEST_DATA!D12247</f>
        <v/>
      </c>
      <c r="E12247">
        <f>TEST_DATA!E12247</f>
        <v/>
      </c>
    </row>
    <row r="12248">
      <c r="A12248">
        <f>TEST_DATA!A12248</f>
        <v/>
      </c>
      <c r="B12248">
        <f>TEST_DATA!B12248</f>
        <v/>
      </c>
      <c r="C12248">
        <f>TEST_DATA!C12248</f>
        <v/>
      </c>
      <c r="D12248">
        <f>TEST_DATA!D12248</f>
        <v/>
      </c>
      <c r="E12248">
        <f>TEST_DATA!E12248</f>
        <v/>
      </c>
    </row>
    <row r="12249">
      <c r="A12249">
        <f>TEST_DATA!A12249</f>
        <v/>
      </c>
      <c r="B12249">
        <f>TEST_DATA!B12249</f>
        <v/>
      </c>
      <c r="C12249">
        <f>TEST_DATA!C12249</f>
        <v/>
      </c>
      <c r="D12249">
        <f>TEST_DATA!D12249</f>
        <v/>
      </c>
      <c r="E12249">
        <f>TEST_DATA!E12249</f>
        <v/>
      </c>
    </row>
    <row r="12250">
      <c r="A12250">
        <f>TEST_DATA!A12250</f>
        <v/>
      </c>
      <c r="B12250">
        <f>TEST_DATA!B12250</f>
        <v/>
      </c>
      <c r="C12250">
        <f>TEST_DATA!C12250</f>
        <v/>
      </c>
      <c r="D12250">
        <f>TEST_DATA!D12250</f>
        <v/>
      </c>
      <c r="E12250">
        <f>TEST_DATA!E12250</f>
        <v/>
      </c>
    </row>
    <row r="12251">
      <c r="A12251">
        <f>TEST_DATA!A12251</f>
        <v/>
      </c>
      <c r="B12251">
        <f>TEST_DATA!B12251</f>
        <v/>
      </c>
      <c r="C12251">
        <f>TEST_DATA!C12251</f>
        <v/>
      </c>
      <c r="D12251">
        <f>TEST_DATA!D12251</f>
        <v/>
      </c>
      <c r="E12251">
        <f>TEST_DATA!E12251</f>
        <v/>
      </c>
    </row>
    <row r="12252">
      <c r="A12252">
        <f>TEST_DATA!A12252</f>
        <v/>
      </c>
      <c r="B12252">
        <f>TEST_DATA!B12252</f>
        <v/>
      </c>
      <c r="C12252">
        <f>TEST_DATA!C12252</f>
        <v/>
      </c>
      <c r="D12252">
        <f>TEST_DATA!D12252</f>
        <v/>
      </c>
      <c r="E12252">
        <f>TEST_DATA!E12252</f>
        <v/>
      </c>
    </row>
    <row r="12253">
      <c r="A12253">
        <f>TEST_DATA!A12253</f>
        <v/>
      </c>
      <c r="B12253">
        <f>TEST_DATA!B12253</f>
        <v/>
      </c>
      <c r="C12253">
        <f>TEST_DATA!C12253</f>
        <v/>
      </c>
      <c r="D12253">
        <f>TEST_DATA!D12253</f>
        <v/>
      </c>
      <c r="E12253">
        <f>TEST_DATA!E12253</f>
        <v/>
      </c>
    </row>
    <row r="12254">
      <c r="A12254">
        <f>TEST_DATA!A12254</f>
        <v/>
      </c>
      <c r="B12254">
        <f>TEST_DATA!B12254</f>
        <v/>
      </c>
      <c r="C12254">
        <f>TEST_DATA!C12254</f>
        <v/>
      </c>
      <c r="D12254">
        <f>TEST_DATA!D12254</f>
        <v/>
      </c>
      <c r="E12254">
        <f>TEST_DATA!E12254</f>
        <v/>
      </c>
    </row>
    <row r="12255">
      <c r="A12255">
        <f>TEST_DATA!A12255</f>
        <v/>
      </c>
      <c r="B12255">
        <f>TEST_DATA!B12255</f>
        <v/>
      </c>
      <c r="C12255">
        <f>TEST_DATA!C12255</f>
        <v/>
      </c>
      <c r="D12255">
        <f>TEST_DATA!D12255</f>
        <v/>
      </c>
      <c r="E12255">
        <f>TEST_DATA!E12255</f>
        <v/>
      </c>
    </row>
    <row r="12256">
      <c r="A12256">
        <f>TEST_DATA!A12256</f>
        <v/>
      </c>
      <c r="B12256">
        <f>TEST_DATA!B12256</f>
        <v/>
      </c>
      <c r="C12256">
        <f>TEST_DATA!C12256</f>
        <v/>
      </c>
      <c r="D12256">
        <f>TEST_DATA!D12256</f>
        <v/>
      </c>
      <c r="E12256">
        <f>TEST_DATA!E12256</f>
        <v/>
      </c>
    </row>
    <row r="12257">
      <c r="A12257">
        <f>TEST_DATA!A12257</f>
        <v/>
      </c>
      <c r="B12257">
        <f>TEST_DATA!B12257</f>
        <v/>
      </c>
      <c r="C12257">
        <f>TEST_DATA!C12257</f>
        <v/>
      </c>
      <c r="D12257">
        <f>TEST_DATA!D12257</f>
        <v/>
      </c>
      <c r="E12257">
        <f>TEST_DATA!E12257</f>
        <v/>
      </c>
    </row>
    <row r="12258">
      <c r="A12258">
        <f>TEST_DATA!A12258</f>
        <v/>
      </c>
      <c r="B12258">
        <f>TEST_DATA!B12258</f>
        <v/>
      </c>
      <c r="C12258">
        <f>TEST_DATA!C12258</f>
        <v/>
      </c>
      <c r="D12258">
        <f>TEST_DATA!D12258</f>
        <v/>
      </c>
      <c r="E12258">
        <f>TEST_DATA!E12258</f>
        <v/>
      </c>
    </row>
    <row r="12259">
      <c r="A12259">
        <f>TEST_DATA!A12259</f>
        <v/>
      </c>
      <c r="B12259">
        <f>TEST_DATA!B12259</f>
        <v/>
      </c>
      <c r="C12259">
        <f>TEST_DATA!C12259</f>
        <v/>
      </c>
      <c r="D12259">
        <f>TEST_DATA!D12259</f>
        <v/>
      </c>
      <c r="E12259">
        <f>TEST_DATA!E12259</f>
        <v/>
      </c>
    </row>
    <row r="12260">
      <c r="A12260">
        <f>TEST_DATA!A12260</f>
        <v/>
      </c>
      <c r="B12260">
        <f>TEST_DATA!B12260</f>
        <v/>
      </c>
      <c r="C12260">
        <f>TEST_DATA!C12260</f>
        <v/>
      </c>
      <c r="D12260">
        <f>TEST_DATA!D12260</f>
        <v/>
      </c>
      <c r="E12260">
        <f>TEST_DATA!E12260</f>
        <v/>
      </c>
    </row>
    <row r="12261">
      <c r="A12261">
        <f>TEST_DATA!A12261</f>
        <v/>
      </c>
      <c r="B12261">
        <f>TEST_DATA!B12261</f>
        <v/>
      </c>
      <c r="C12261">
        <f>TEST_DATA!C12261</f>
        <v/>
      </c>
      <c r="D12261">
        <f>TEST_DATA!D12261</f>
        <v/>
      </c>
      <c r="E12261">
        <f>TEST_DATA!E12261</f>
        <v/>
      </c>
    </row>
    <row r="12262">
      <c r="A12262">
        <f>TEST_DATA!A12262</f>
        <v/>
      </c>
      <c r="B12262">
        <f>TEST_DATA!B12262</f>
        <v/>
      </c>
      <c r="C12262">
        <f>TEST_DATA!C12262</f>
        <v/>
      </c>
      <c r="D12262">
        <f>TEST_DATA!D12262</f>
        <v/>
      </c>
      <c r="E12262">
        <f>TEST_DATA!E12262</f>
        <v/>
      </c>
    </row>
    <row r="12263">
      <c r="A12263">
        <f>TEST_DATA!A12263</f>
        <v/>
      </c>
      <c r="B12263">
        <f>TEST_DATA!B12263</f>
        <v/>
      </c>
      <c r="C12263">
        <f>TEST_DATA!C12263</f>
        <v/>
      </c>
      <c r="D12263">
        <f>TEST_DATA!D12263</f>
        <v/>
      </c>
      <c r="E12263">
        <f>TEST_DATA!E12263</f>
        <v/>
      </c>
    </row>
    <row r="12264">
      <c r="A12264">
        <f>TEST_DATA!A12264</f>
        <v/>
      </c>
      <c r="B12264">
        <f>TEST_DATA!B12264</f>
        <v/>
      </c>
      <c r="C12264">
        <f>TEST_DATA!C12264</f>
        <v/>
      </c>
      <c r="D12264">
        <f>TEST_DATA!D12264</f>
        <v/>
      </c>
      <c r="E12264">
        <f>TEST_DATA!E12264</f>
        <v/>
      </c>
    </row>
    <row r="12265">
      <c r="A12265">
        <f>TEST_DATA!A12265</f>
        <v/>
      </c>
      <c r="B12265">
        <f>TEST_DATA!B12265</f>
        <v/>
      </c>
      <c r="C12265">
        <f>TEST_DATA!C12265</f>
        <v/>
      </c>
      <c r="D12265">
        <f>TEST_DATA!D12265</f>
        <v/>
      </c>
      <c r="E12265">
        <f>TEST_DATA!E12265</f>
        <v/>
      </c>
    </row>
    <row r="12266">
      <c r="A12266">
        <f>TEST_DATA!A12266</f>
        <v/>
      </c>
      <c r="B12266">
        <f>TEST_DATA!B12266</f>
        <v/>
      </c>
      <c r="C12266">
        <f>TEST_DATA!C12266</f>
        <v/>
      </c>
      <c r="D12266">
        <f>TEST_DATA!D12266</f>
        <v/>
      </c>
      <c r="E12266">
        <f>TEST_DATA!E12266</f>
        <v/>
      </c>
    </row>
    <row r="12267">
      <c r="A12267">
        <f>TEST_DATA!A12267</f>
        <v/>
      </c>
      <c r="B12267">
        <f>TEST_DATA!B12267</f>
        <v/>
      </c>
      <c r="C12267">
        <f>TEST_DATA!C12267</f>
        <v/>
      </c>
      <c r="D12267">
        <f>TEST_DATA!D12267</f>
        <v/>
      </c>
      <c r="E12267">
        <f>TEST_DATA!E12267</f>
        <v/>
      </c>
    </row>
    <row r="12268">
      <c r="A12268">
        <f>TEST_DATA!A12268</f>
        <v/>
      </c>
      <c r="B12268">
        <f>TEST_DATA!B12268</f>
        <v/>
      </c>
      <c r="C12268">
        <f>TEST_DATA!C12268</f>
        <v/>
      </c>
      <c r="D12268">
        <f>TEST_DATA!D12268</f>
        <v/>
      </c>
      <c r="E12268">
        <f>TEST_DATA!E12268</f>
        <v/>
      </c>
    </row>
    <row r="12269">
      <c r="A12269">
        <f>TEST_DATA!A12269</f>
        <v/>
      </c>
      <c r="B12269">
        <f>TEST_DATA!B12269</f>
        <v/>
      </c>
      <c r="C12269">
        <f>TEST_DATA!C12269</f>
        <v/>
      </c>
      <c r="D12269">
        <f>TEST_DATA!D12269</f>
        <v/>
      </c>
      <c r="E12269">
        <f>TEST_DATA!E12269</f>
        <v/>
      </c>
    </row>
    <row r="12270">
      <c r="A12270">
        <f>TEST_DATA!A12270</f>
        <v/>
      </c>
      <c r="B12270">
        <f>TEST_DATA!B12270</f>
        <v/>
      </c>
      <c r="C12270">
        <f>TEST_DATA!C12270</f>
        <v/>
      </c>
      <c r="D12270">
        <f>TEST_DATA!D12270</f>
        <v/>
      </c>
      <c r="E12270">
        <f>TEST_DATA!E12270</f>
        <v/>
      </c>
    </row>
    <row r="12271">
      <c r="A12271">
        <f>TEST_DATA!A12271</f>
        <v/>
      </c>
      <c r="B12271">
        <f>TEST_DATA!B12271</f>
        <v/>
      </c>
      <c r="C12271">
        <f>TEST_DATA!C12271</f>
        <v/>
      </c>
      <c r="D12271">
        <f>TEST_DATA!D12271</f>
        <v/>
      </c>
      <c r="E12271">
        <f>TEST_DATA!E12271</f>
        <v/>
      </c>
    </row>
    <row r="12272">
      <c r="A12272">
        <f>TEST_DATA!A12272</f>
        <v/>
      </c>
      <c r="B12272">
        <f>TEST_DATA!B12272</f>
        <v/>
      </c>
      <c r="C12272">
        <f>TEST_DATA!C12272</f>
        <v/>
      </c>
      <c r="D12272">
        <f>TEST_DATA!D12272</f>
        <v/>
      </c>
      <c r="E12272">
        <f>TEST_DATA!E12272</f>
        <v/>
      </c>
    </row>
    <row r="12273">
      <c r="A12273">
        <f>TEST_DATA!A12273</f>
        <v/>
      </c>
      <c r="B12273">
        <f>TEST_DATA!B12273</f>
        <v/>
      </c>
      <c r="C12273">
        <f>TEST_DATA!C12273</f>
        <v/>
      </c>
      <c r="D12273">
        <f>TEST_DATA!D12273</f>
        <v/>
      </c>
      <c r="E12273">
        <f>TEST_DATA!E12273</f>
        <v/>
      </c>
    </row>
    <row r="12274">
      <c r="A12274">
        <f>TEST_DATA!A12274</f>
        <v/>
      </c>
      <c r="B12274">
        <f>TEST_DATA!B12274</f>
        <v/>
      </c>
      <c r="C12274">
        <f>TEST_DATA!C12274</f>
        <v/>
      </c>
      <c r="D12274">
        <f>TEST_DATA!D12274</f>
        <v/>
      </c>
      <c r="E12274">
        <f>TEST_DATA!E12274</f>
        <v/>
      </c>
    </row>
    <row r="12275">
      <c r="A12275">
        <f>TEST_DATA!A12275</f>
        <v/>
      </c>
      <c r="B12275">
        <f>TEST_DATA!B12275</f>
        <v/>
      </c>
      <c r="C12275">
        <f>TEST_DATA!C12275</f>
        <v/>
      </c>
      <c r="D12275">
        <f>TEST_DATA!D12275</f>
        <v/>
      </c>
      <c r="E12275">
        <f>TEST_DATA!E12275</f>
        <v/>
      </c>
    </row>
    <row r="12276">
      <c r="A12276">
        <f>TEST_DATA!A12276</f>
        <v/>
      </c>
      <c r="B12276">
        <f>TEST_DATA!B12276</f>
        <v/>
      </c>
      <c r="C12276">
        <f>TEST_DATA!C12276</f>
        <v/>
      </c>
      <c r="D12276">
        <f>TEST_DATA!D12276</f>
        <v/>
      </c>
      <c r="E12276">
        <f>TEST_DATA!E12276</f>
        <v/>
      </c>
    </row>
    <row r="12277">
      <c r="A12277">
        <f>TEST_DATA!A12277</f>
        <v/>
      </c>
      <c r="B12277">
        <f>TEST_DATA!B12277</f>
        <v/>
      </c>
      <c r="C12277">
        <f>TEST_DATA!C12277</f>
        <v/>
      </c>
      <c r="D12277">
        <f>TEST_DATA!D12277</f>
        <v/>
      </c>
      <c r="E12277">
        <f>TEST_DATA!E12277</f>
        <v/>
      </c>
    </row>
    <row r="12278">
      <c r="A12278">
        <f>TEST_DATA!A12278</f>
        <v/>
      </c>
      <c r="B12278">
        <f>TEST_DATA!B12278</f>
        <v/>
      </c>
      <c r="C12278">
        <f>TEST_DATA!C12278</f>
        <v/>
      </c>
      <c r="D12278">
        <f>TEST_DATA!D12278</f>
        <v/>
      </c>
      <c r="E12278">
        <f>TEST_DATA!E12278</f>
        <v/>
      </c>
    </row>
    <row r="12279">
      <c r="A12279">
        <f>TEST_DATA!A12279</f>
        <v/>
      </c>
      <c r="B12279">
        <f>TEST_DATA!B12279</f>
        <v/>
      </c>
      <c r="C12279">
        <f>TEST_DATA!C12279</f>
        <v/>
      </c>
      <c r="D12279">
        <f>TEST_DATA!D12279</f>
        <v/>
      </c>
      <c r="E12279">
        <f>TEST_DATA!E12279</f>
        <v/>
      </c>
    </row>
    <row r="12280">
      <c r="A12280">
        <f>TEST_DATA!A12280</f>
        <v/>
      </c>
      <c r="B12280">
        <f>TEST_DATA!B12280</f>
        <v/>
      </c>
      <c r="C12280">
        <f>TEST_DATA!C12280</f>
        <v/>
      </c>
      <c r="D12280">
        <f>TEST_DATA!D12280</f>
        <v/>
      </c>
      <c r="E12280">
        <f>TEST_DATA!E12280</f>
        <v/>
      </c>
    </row>
    <row r="12281">
      <c r="A12281">
        <f>TEST_DATA!A12281</f>
        <v/>
      </c>
      <c r="B12281">
        <f>TEST_DATA!B12281</f>
        <v/>
      </c>
      <c r="C12281">
        <f>TEST_DATA!C12281</f>
        <v/>
      </c>
      <c r="D12281">
        <f>TEST_DATA!D12281</f>
        <v/>
      </c>
      <c r="E12281">
        <f>TEST_DATA!E12281</f>
        <v/>
      </c>
    </row>
    <row r="12282">
      <c r="A12282">
        <f>TEST_DATA!A12282</f>
        <v/>
      </c>
      <c r="B12282">
        <f>TEST_DATA!B12282</f>
        <v/>
      </c>
      <c r="C12282">
        <f>TEST_DATA!C12282</f>
        <v/>
      </c>
      <c r="D12282">
        <f>TEST_DATA!D12282</f>
        <v/>
      </c>
      <c r="E12282">
        <f>TEST_DATA!E12282</f>
        <v/>
      </c>
    </row>
    <row r="12283">
      <c r="A12283">
        <f>TEST_DATA!A12283</f>
        <v/>
      </c>
      <c r="B12283">
        <f>TEST_DATA!B12283</f>
        <v/>
      </c>
      <c r="C12283">
        <f>TEST_DATA!C12283</f>
        <v/>
      </c>
      <c r="D12283">
        <f>TEST_DATA!D12283</f>
        <v/>
      </c>
      <c r="E12283">
        <f>TEST_DATA!E12283</f>
        <v/>
      </c>
    </row>
    <row r="12284">
      <c r="A12284">
        <f>TEST_DATA!A12284</f>
        <v/>
      </c>
      <c r="B12284">
        <f>TEST_DATA!B12284</f>
        <v/>
      </c>
      <c r="C12284">
        <f>TEST_DATA!C12284</f>
        <v/>
      </c>
      <c r="D12284">
        <f>TEST_DATA!D12284</f>
        <v/>
      </c>
      <c r="E12284">
        <f>TEST_DATA!E12284</f>
        <v/>
      </c>
    </row>
    <row r="12285">
      <c r="A12285">
        <f>TEST_DATA!A12285</f>
        <v/>
      </c>
      <c r="B12285">
        <f>TEST_DATA!B12285</f>
        <v/>
      </c>
      <c r="C12285">
        <f>TEST_DATA!C12285</f>
        <v/>
      </c>
      <c r="D12285">
        <f>TEST_DATA!D12285</f>
        <v/>
      </c>
      <c r="E12285">
        <f>TEST_DATA!E12285</f>
        <v/>
      </c>
    </row>
    <row r="12286">
      <c r="A12286">
        <f>TEST_DATA!A12286</f>
        <v/>
      </c>
      <c r="B12286">
        <f>TEST_DATA!B12286</f>
        <v/>
      </c>
      <c r="C12286">
        <f>TEST_DATA!C12286</f>
        <v/>
      </c>
      <c r="D12286">
        <f>TEST_DATA!D12286</f>
        <v/>
      </c>
      <c r="E12286">
        <f>TEST_DATA!E12286</f>
        <v/>
      </c>
    </row>
    <row r="12287">
      <c r="A12287">
        <f>TEST_DATA!A12287</f>
        <v/>
      </c>
      <c r="B12287">
        <f>TEST_DATA!B12287</f>
        <v/>
      </c>
      <c r="C12287">
        <f>TEST_DATA!C12287</f>
        <v/>
      </c>
      <c r="D12287">
        <f>TEST_DATA!D12287</f>
        <v/>
      </c>
      <c r="E12287">
        <f>TEST_DATA!E12287</f>
        <v/>
      </c>
    </row>
    <row r="12288">
      <c r="A12288">
        <f>TEST_DATA!A12288</f>
        <v/>
      </c>
      <c r="B12288">
        <f>TEST_DATA!B12288</f>
        <v/>
      </c>
      <c r="C12288">
        <f>TEST_DATA!C12288</f>
        <v/>
      </c>
      <c r="D12288">
        <f>TEST_DATA!D12288</f>
        <v/>
      </c>
      <c r="E12288">
        <f>TEST_DATA!E12288</f>
        <v/>
      </c>
    </row>
    <row r="12289">
      <c r="A12289">
        <f>TEST_DATA!A12289</f>
        <v/>
      </c>
      <c r="B12289">
        <f>TEST_DATA!B12289</f>
        <v/>
      </c>
      <c r="C12289">
        <f>TEST_DATA!C12289</f>
        <v/>
      </c>
      <c r="D12289">
        <f>TEST_DATA!D12289</f>
        <v/>
      </c>
      <c r="E12289">
        <f>TEST_DATA!E12289</f>
        <v/>
      </c>
    </row>
    <row r="12290">
      <c r="A12290">
        <f>TEST_DATA!A12290</f>
        <v/>
      </c>
      <c r="B12290">
        <f>TEST_DATA!B12290</f>
        <v/>
      </c>
      <c r="C12290">
        <f>TEST_DATA!C12290</f>
        <v/>
      </c>
      <c r="D12290">
        <f>TEST_DATA!D12290</f>
        <v/>
      </c>
      <c r="E12290">
        <f>TEST_DATA!E12290</f>
        <v/>
      </c>
    </row>
    <row r="12291">
      <c r="A12291">
        <f>TEST_DATA!A12291</f>
        <v/>
      </c>
      <c r="B12291">
        <f>TEST_DATA!B12291</f>
        <v/>
      </c>
      <c r="C12291">
        <f>TEST_DATA!C12291</f>
        <v/>
      </c>
      <c r="D12291">
        <f>TEST_DATA!D12291</f>
        <v/>
      </c>
      <c r="E12291">
        <f>TEST_DATA!E12291</f>
        <v/>
      </c>
    </row>
    <row r="12292">
      <c r="A12292">
        <f>TEST_DATA!A12292</f>
        <v/>
      </c>
      <c r="B12292">
        <f>TEST_DATA!B12292</f>
        <v/>
      </c>
      <c r="C12292">
        <f>TEST_DATA!C12292</f>
        <v/>
      </c>
      <c r="D12292">
        <f>TEST_DATA!D12292</f>
        <v/>
      </c>
      <c r="E12292">
        <f>TEST_DATA!E12292</f>
        <v/>
      </c>
    </row>
    <row r="12293">
      <c r="A12293">
        <f>TEST_DATA!A12293</f>
        <v/>
      </c>
      <c r="B12293">
        <f>TEST_DATA!B12293</f>
        <v/>
      </c>
      <c r="C12293">
        <f>TEST_DATA!C12293</f>
        <v/>
      </c>
      <c r="D12293">
        <f>TEST_DATA!D12293</f>
        <v/>
      </c>
      <c r="E12293">
        <f>TEST_DATA!E12293</f>
        <v/>
      </c>
    </row>
    <row r="12294">
      <c r="A12294">
        <f>TEST_DATA!A12294</f>
        <v/>
      </c>
      <c r="B12294">
        <f>TEST_DATA!B12294</f>
        <v/>
      </c>
      <c r="C12294">
        <f>TEST_DATA!C12294</f>
        <v/>
      </c>
      <c r="D12294">
        <f>TEST_DATA!D12294</f>
        <v/>
      </c>
      <c r="E12294">
        <f>TEST_DATA!E12294</f>
        <v/>
      </c>
    </row>
    <row r="12295">
      <c r="A12295">
        <f>TEST_DATA!A12295</f>
        <v/>
      </c>
      <c r="B12295">
        <f>TEST_DATA!B12295</f>
        <v/>
      </c>
      <c r="C12295">
        <f>TEST_DATA!C12295</f>
        <v/>
      </c>
      <c r="D12295">
        <f>TEST_DATA!D12295</f>
        <v/>
      </c>
      <c r="E12295">
        <f>TEST_DATA!E12295</f>
        <v/>
      </c>
    </row>
    <row r="12296">
      <c r="A12296">
        <f>TEST_DATA!A12296</f>
        <v/>
      </c>
      <c r="B12296">
        <f>TEST_DATA!B12296</f>
        <v/>
      </c>
      <c r="C12296">
        <f>TEST_DATA!C12296</f>
        <v/>
      </c>
      <c r="D12296">
        <f>TEST_DATA!D12296</f>
        <v/>
      </c>
      <c r="E12296">
        <f>TEST_DATA!E12296</f>
        <v/>
      </c>
    </row>
    <row r="12297">
      <c r="A12297">
        <f>TEST_DATA!A12297</f>
        <v/>
      </c>
      <c r="B12297">
        <f>TEST_DATA!B12297</f>
        <v/>
      </c>
      <c r="C12297">
        <f>TEST_DATA!C12297</f>
        <v/>
      </c>
      <c r="D12297">
        <f>TEST_DATA!D12297</f>
        <v/>
      </c>
      <c r="E12297">
        <f>TEST_DATA!E12297</f>
        <v/>
      </c>
    </row>
    <row r="12298">
      <c r="A12298">
        <f>TEST_DATA!A12298</f>
        <v/>
      </c>
      <c r="B12298">
        <f>TEST_DATA!B12298</f>
        <v/>
      </c>
      <c r="C12298">
        <f>TEST_DATA!C12298</f>
        <v/>
      </c>
      <c r="D12298">
        <f>TEST_DATA!D12298</f>
        <v/>
      </c>
      <c r="E12298">
        <f>TEST_DATA!E12298</f>
        <v/>
      </c>
    </row>
    <row r="12299">
      <c r="A12299">
        <f>TEST_DATA!A12299</f>
        <v/>
      </c>
      <c r="B12299">
        <f>TEST_DATA!B12299</f>
        <v/>
      </c>
      <c r="C12299">
        <f>TEST_DATA!C12299</f>
        <v/>
      </c>
      <c r="D12299">
        <f>TEST_DATA!D12299</f>
        <v/>
      </c>
      <c r="E12299">
        <f>TEST_DATA!E12299</f>
        <v/>
      </c>
    </row>
    <row r="12300">
      <c r="A12300">
        <f>TEST_DATA!A12300</f>
        <v/>
      </c>
      <c r="B12300">
        <f>TEST_DATA!B12300</f>
        <v/>
      </c>
      <c r="C12300">
        <f>TEST_DATA!C12300</f>
        <v/>
      </c>
      <c r="D12300">
        <f>TEST_DATA!D12300</f>
        <v/>
      </c>
      <c r="E12300">
        <f>TEST_DATA!E12300</f>
        <v/>
      </c>
    </row>
    <row r="12301">
      <c r="A12301">
        <f>TEST_DATA!A12301</f>
        <v/>
      </c>
      <c r="B12301">
        <f>TEST_DATA!B12301</f>
        <v/>
      </c>
      <c r="C12301">
        <f>TEST_DATA!C12301</f>
        <v/>
      </c>
      <c r="D12301">
        <f>TEST_DATA!D12301</f>
        <v/>
      </c>
      <c r="E12301">
        <f>TEST_DATA!E12301</f>
        <v/>
      </c>
    </row>
    <row r="12302">
      <c r="A12302">
        <f>TEST_DATA!A12302</f>
        <v/>
      </c>
      <c r="B12302">
        <f>TEST_DATA!B12302</f>
        <v/>
      </c>
      <c r="C12302">
        <f>TEST_DATA!C12302</f>
        <v/>
      </c>
      <c r="D12302">
        <f>TEST_DATA!D12302</f>
        <v/>
      </c>
      <c r="E12302">
        <f>TEST_DATA!E12302</f>
        <v/>
      </c>
    </row>
    <row r="12303">
      <c r="A12303">
        <f>TEST_DATA!A12303</f>
        <v/>
      </c>
      <c r="B12303">
        <f>TEST_DATA!B12303</f>
        <v/>
      </c>
      <c r="C12303">
        <f>TEST_DATA!C12303</f>
        <v/>
      </c>
      <c r="D12303">
        <f>TEST_DATA!D12303</f>
        <v/>
      </c>
      <c r="E12303">
        <f>TEST_DATA!E12303</f>
        <v/>
      </c>
    </row>
    <row r="12304">
      <c r="A12304">
        <f>TEST_DATA!A12304</f>
        <v/>
      </c>
      <c r="B12304">
        <f>TEST_DATA!B12304</f>
        <v/>
      </c>
      <c r="C12304">
        <f>TEST_DATA!C12304</f>
        <v/>
      </c>
      <c r="D12304">
        <f>TEST_DATA!D12304</f>
        <v/>
      </c>
      <c r="E12304">
        <f>TEST_DATA!E12304</f>
        <v/>
      </c>
    </row>
    <row r="12305">
      <c r="A12305">
        <f>TEST_DATA!A12305</f>
        <v/>
      </c>
      <c r="B12305">
        <f>TEST_DATA!B12305</f>
        <v/>
      </c>
      <c r="C12305">
        <f>TEST_DATA!C12305</f>
        <v/>
      </c>
      <c r="D12305">
        <f>TEST_DATA!D12305</f>
        <v/>
      </c>
      <c r="E12305">
        <f>TEST_DATA!E12305</f>
        <v/>
      </c>
    </row>
    <row r="12306">
      <c r="A12306">
        <f>TEST_DATA!A12306</f>
        <v/>
      </c>
      <c r="B12306">
        <f>TEST_DATA!B12306</f>
        <v/>
      </c>
      <c r="C12306">
        <f>TEST_DATA!C12306</f>
        <v/>
      </c>
      <c r="D12306">
        <f>TEST_DATA!D12306</f>
        <v/>
      </c>
      <c r="E12306">
        <f>TEST_DATA!E12306</f>
        <v/>
      </c>
    </row>
    <row r="12307">
      <c r="A12307">
        <f>TEST_DATA!A12307</f>
        <v/>
      </c>
      <c r="B12307">
        <f>TEST_DATA!B12307</f>
        <v/>
      </c>
      <c r="C12307">
        <f>TEST_DATA!C12307</f>
        <v/>
      </c>
      <c r="D12307">
        <f>TEST_DATA!D12307</f>
        <v/>
      </c>
      <c r="E12307">
        <f>TEST_DATA!E12307</f>
        <v/>
      </c>
    </row>
    <row r="12308">
      <c r="A12308">
        <f>TEST_DATA!A12308</f>
        <v/>
      </c>
      <c r="B12308">
        <f>TEST_DATA!B12308</f>
        <v/>
      </c>
      <c r="C12308">
        <f>TEST_DATA!C12308</f>
        <v/>
      </c>
      <c r="D12308">
        <f>TEST_DATA!D12308</f>
        <v/>
      </c>
      <c r="E12308">
        <f>TEST_DATA!E12308</f>
        <v/>
      </c>
    </row>
    <row r="12309">
      <c r="A12309">
        <f>TEST_DATA!A12309</f>
        <v/>
      </c>
      <c r="B12309">
        <f>TEST_DATA!B12309</f>
        <v/>
      </c>
      <c r="C12309">
        <f>TEST_DATA!C12309</f>
        <v/>
      </c>
      <c r="D12309">
        <f>TEST_DATA!D12309</f>
        <v/>
      </c>
      <c r="E12309">
        <f>TEST_DATA!E12309</f>
        <v/>
      </c>
    </row>
    <row r="12310">
      <c r="A12310">
        <f>TEST_DATA!A12310</f>
        <v/>
      </c>
      <c r="B12310">
        <f>TEST_DATA!B12310</f>
        <v/>
      </c>
      <c r="C12310">
        <f>TEST_DATA!C12310</f>
        <v/>
      </c>
      <c r="D12310">
        <f>TEST_DATA!D12310</f>
        <v/>
      </c>
      <c r="E12310">
        <f>TEST_DATA!E12310</f>
        <v/>
      </c>
    </row>
    <row r="12311">
      <c r="A12311">
        <f>TEST_DATA!A12311</f>
        <v/>
      </c>
      <c r="B12311">
        <f>TEST_DATA!B12311</f>
        <v/>
      </c>
      <c r="C12311">
        <f>TEST_DATA!C12311</f>
        <v/>
      </c>
      <c r="D12311">
        <f>TEST_DATA!D12311</f>
        <v/>
      </c>
      <c r="E12311">
        <f>TEST_DATA!E12311</f>
        <v/>
      </c>
    </row>
    <row r="12312">
      <c r="A12312">
        <f>TEST_DATA!A12312</f>
        <v/>
      </c>
      <c r="B12312">
        <f>TEST_DATA!B12312</f>
        <v/>
      </c>
      <c r="C12312">
        <f>TEST_DATA!C12312</f>
        <v/>
      </c>
      <c r="D12312">
        <f>TEST_DATA!D12312</f>
        <v/>
      </c>
      <c r="E12312">
        <f>TEST_DATA!E12312</f>
        <v/>
      </c>
    </row>
    <row r="12313">
      <c r="A12313">
        <f>TEST_DATA!A12313</f>
        <v/>
      </c>
      <c r="B12313">
        <f>TEST_DATA!B12313</f>
        <v/>
      </c>
      <c r="C12313">
        <f>TEST_DATA!C12313</f>
        <v/>
      </c>
      <c r="D12313">
        <f>TEST_DATA!D12313</f>
        <v/>
      </c>
      <c r="E12313">
        <f>TEST_DATA!E12313</f>
        <v/>
      </c>
    </row>
    <row r="12314">
      <c r="A12314">
        <f>TEST_DATA!A12314</f>
        <v/>
      </c>
      <c r="B12314">
        <f>TEST_DATA!B12314</f>
        <v/>
      </c>
      <c r="C12314">
        <f>TEST_DATA!C12314</f>
        <v/>
      </c>
      <c r="D12314">
        <f>TEST_DATA!D12314</f>
        <v/>
      </c>
      <c r="E12314">
        <f>TEST_DATA!E12314</f>
        <v/>
      </c>
    </row>
    <row r="12315">
      <c r="A12315">
        <f>TEST_DATA!A12315</f>
        <v/>
      </c>
      <c r="B12315">
        <f>TEST_DATA!B12315</f>
        <v/>
      </c>
      <c r="C12315">
        <f>TEST_DATA!C12315</f>
        <v/>
      </c>
      <c r="D12315">
        <f>TEST_DATA!D12315</f>
        <v/>
      </c>
      <c r="E12315">
        <f>TEST_DATA!E12315</f>
        <v/>
      </c>
    </row>
    <row r="12316">
      <c r="A12316">
        <f>TEST_DATA!A12316</f>
        <v/>
      </c>
      <c r="B12316">
        <f>TEST_DATA!B12316</f>
        <v/>
      </c>
      <c r="C12316">
        <f>TEST_DATA!C12316</f>
        <v/>
      </c>
      <c r="D12316">
        <f>TEST_DATA!D12316</f>
        <v/>
      </c>
      <c r="E12316">
        <f>TEST_DATA!E12316</f>
        <v/>
      </c>
    </row>
    <row r="12317">
      <c r="A12317">
        <f>TEST_DATA!A12317</f>
        <v/>
      </c>
      <c r="B12317">
        <f>TEST_DATA!B12317</f>
        <v/>
      </c>
      <c r="C12317">
        <f>TEST_DATA!C12317</f>
        <v/>
      </c>
      <c r="D12317">
        <f>TEST_DATA!D12317</f>
        <v/>
      </c>
      <c r="E12317">
        <f>TEST_DATA!E12317</f>
        <v/>
      </c>
    </row>
    <row r="12318">
      <c r="A12318">
        <f>TEST_DATA!A12318</f>
        <v/>
      </c>
      <c r="B12318">
        <f>TEST_DATA!B12318</f>
        <v/>
      </c>
      <c r="C12318">
        <f>TEST_DATA!C12318</f>
        <v/>
      </c>
      <c r="D12318">
        <f>TEST_DATA!D12318</f>
        <v/>
      </c>
      <c r="E12318">
        <f>TEST_DATA!E12318</f>
        <v/>
      </c>
    </row>
    <row r="12319">
      <c r="A12319">
        <f>TEST_DATA!A12319</f>
        <v/>
      </c>
      <c r="B12319">
        <f>TEST_DATA!B12319</f>
        <v/>
      </c>
      <c r="C12319">
        <f>TEST_DATA!C12319</f>
        <v/>
      </c>
      <c r="D12319">
        <f>TEST_DATA!D12319</f>
        <v/>
      </c>
      <c r="E12319">
        <f>TEST_DATA!E12319</f>
        <v/>
      </c>
    </row>
    <row r="12320">
      <c r="A12320">
        <f>TEST_DATA!A12320</f>
        <v/>
      </c>
      <c r="B12320">
        <f>TEST_DATA!B12320</f>
        <v/>
      </c>
      <c r="C12320">
        <f>TEST_DATA!C12320</f>
        <v/>
      </c>
      <c r="D12320">
        <f>TEST_DATA!D12320</f>
        <v/>
      </c>
      <c r="E12320">
        <f>TEST_DATA!E12320</f>
        <v/>
      </c>
    </row>
    <row r="12321">
      <c r="A12321">
        <f>TEST_DATA!A12321</f>
        <v/>
      </c>
      <c r="B12321">
        <f>TEST_DATA!B12321</f>
        <v/>
      </c>
      <c r="C12321">
        <f>TEST_DATA!C12321</f>
        <v/>
      </c>
      <c r="D12321">
        <f>TEST_DATA!D12321</f>
        <v/>
      </c>
      <c r="E12321">
        <f>TEST_DATA!E12321</f>
        <v/>
      </c>
    </row>
    <row r="12322">
      <c r="A12322">
        <f>TEST_DATA!A12322</f>
        <v/>
      </c>
      <c r="B12322">
        <f>TEST_DATA!B12322</f>
        <v/>
      </c>
      <c r="C12322">
        <f>TEST_DATA!C12322</f>
        <v/>
      </c>
      <c r="D12322">
        <f>TEST_DATA!D12322</f>
        <v/>
      </c>
      <c r="E12322">
        <f>TEST_DATA!E12322</f>
        <v/>
      </c>
    </row>
    <row r="12323">
      <c r="A12323">
        <f>TEST_DATA!A12323</f>
        <v/>
      </c>
      <c r="B12323">
        <f>TEST_DATA!B12323</f>
        <v/>
      </c>
      <c r="C12323">
        <f>TEST_DATA!C12323</f>
        <v/>
      </c>
      <c r="D12323">
        <f>TEST_DATA!D12323</f>
        <v/>
      </c>
      <c r="E12323">
        <f>TEST_DATA!E12323</f>
        <v/>
      </c>
    </row>
    <row r="12324">
      <c r="A12324">
        <f>TEST_DATA!A12324</f>
        <v/>
      </c>
      <c r="B12324">
        <f>TEST_DATA!B12324</f>
        <v/>
      </c>
      <c r="C12324">
        <f>TEST_DATA!C12324</f>
        <v/>
      </c>
      <c r="D12324">
        <f>TEST_DATA!D12324</f>
        <v/>
      </c>
      <c r="E12324">
        <f>TEST_DATA!E12324</f>
        <v/>
      </c>
    </row>
    <row r="12325">
      <c r="A12325">
        <f>TEST_DATA!A12325</f>
        <v/>
      </c>
      <c r="B12325">
        <f>TEST_DATA!B12325</f>
        <v/>
      </c>
      <c r="C12325">
        <f>TEST_DATA!C12325</f>
        <v/>
      </c>
      <c r="D12325">
        <f>TEST_DATA!D12325</f>
        <v/>
      </c>
      <c r="E12325">
        <f>TEST_DATA!E12325</f>
        <v/>
      </c>
    </row>
    <row r="12326">
      <c r="A12326">
        <f>TEST_DATA!A12326</f>
        <v/>
      </c>
      <c r="B12326">
        <f>TEST_DATA!B12326</f>
        <v/>
      </c>
      <c r="C12326">
        <f>TEST_DATA!C12326</f>
        <v/>
      </c>
      <c r="D12326">
        <f>TEST_DATA!D12326</f>
        <v/>
      </c>
      <c r="E12326">
        <f>TEST_DATA!E12326</f>
        <v/>
      </c>
    </row>
    <row r="12327">
      <c r="A12327">
        <f>TEST_DATA!A12327</f>
        <v/>
      </c>
      <c r="B12327">
        <f>TEST_DATA!B12327</f>
        <v/>
      </c>
      <c r="C12327">
        <f>TEST_DATA!C12327</f>
        <v/>
      </c>
      <c r="D12327">
        <f>TEST_DATA!D12327</f>
        <v/>
      </c>
      <c r="E12327">
        <f>TEST_DATA!E12327</f>
        <v/>
      </c>
    </row>
    <row r="12328">
      <c r="A12328">
        <f>TEST_DATA!A12328</f>
        <v/>
      </c>
      <c r="B12328">
        <f>TEST_DATA!B12328</f>
        <v/>
      </c>
      <c r="C12328">
        <f>TEST_DATA!C12328</f>
        <v/>
      </c>
      <c r="D12328">
        <f>TEST_DATA!D12328</f>
        <v/>
      </c>
      <c r="E12328">
        <f>TEST_DATA!E12328</f>
        <v/>
      </c>
    </row>
    <row r="12329">
      <c r="A12329">
        <f>TEST_DATA!A12329</f>
        <v/>
      </c>
      <c r="B12329">
        <f>TEST_DATA!B12329</f>
        <v/>
      </c>
      <c r="C12329">
        <f>TEST_DATA!C12329</f>
        <v/>
      </c>
      <c r="D12329">
        <f>TEST_DATA!D12329</f>
        <v/>
      </c>
      <c r="E12329">
        <f>TEST_DATA!E12329</f>
        <v/>
      </c>
    </row>
    <row r="12330">
      <c r="A12330">
        <f>TEST_DATA!A12330</f>
        <v/>
      </c>
      <c r="B12330">
        <f>TEST_DATA!B12330</f>
        <v/>
      </c>
      <c r="C12330">
        <f>TEST_DATA!C12330</f>
        <v/>
      </c>
      <c r="D12330">
        <f>TEST_DATA!D12330</f>
        <v/>
      </c>
      <c r="E12330">
        <f>TEST_DATA!E12330</f>
        <v/>
      </c>
    </row>
    <row r="12331">
      <c r="A12331">
        <f>TEST_DATA!A12331</f>
        <v/>
      </c>
      <c r="B12331">
        <f>TEST_DATA!B12331</f>
        <v/>
      </c>
      <c r="C12331">
        <f>TEST_DATA!C12331</f>
        <v/>
      </c>
      <c r="D12331">
        <f>TEST_DATA!D12331</f>
        <v/>
      </c>
      <c r="E12331">
        <f>TEST_DATA!E12331</f>
        <v/>
      </c>
    </row>
    <row r="12332">
      <c r="A12332">
        <f>TEST_DATA!A12332</f>
        <v/>
      </c>
      <c r="B12332">
        <f>TEST_DATA!B12332</f>
        <v/>
      </c>
      <c r="C12332">
        <f>TEST_DATA!C12332</f>
        <v/>
      </c>
      <c r="D12332">
        <f>TEST_DATA!D12332</f>
        <v/>
      </c>
      <c r="E12332">
        <f>TEST_DATA!E12332</f>
        <v/>
      </c>
    </row>
    <row r="12333">
      <c r="A12333">
        <f>TEST_DATA!A12333</f>
        <v/>
      </c>
      <c r="B12333">
        <f>TEST_DATA!B12333</f>
        <v/>
      </c>
      <c r="C12333">
        <f>TEST_DATA!C12333</f>
        <v/>
      </c>
      <c r="D12333">
        <f>TEST_DATA!D12333</f>
        <v/>
      </c>
      <c r="E12333">
        <f>TEST_DATA!E12333</f>
        <v/>
      </c>
    </row>
    <row r="12334">
      <c r="A12334">
        <f>TEST_DATA!A12334</f>
        <v/>
      </c>
      <c r="B12334">
        <f>TEST_DATA!B12334</f>
        <v/>
      </c>
      <c r="C12334">
        <f>TEST_DATA!C12334</f>
        <v/>
      </c>
      <c r="D12334">
        <f>TEST_DATA!D12334</f>
        <v/>
      </c>
      <c r="E12334">
        <f>TEST_DATA!E12334</f>
        <v/>
      </c>
    </row>
    <row r="12335">
      <c r="A12335">
        <f>TEST_DATA!A12335</f>
        <v/>
      </c>
      <c r="B12335">
        <f>TEST_DATA!B12335</f>
        <v/>
      </c>
      <c r="C12335">
        <f>TEST_DATA!C12335</f>
        <v/>
      </c>
      <c r="D12335">
        <f>TEST_DATA!D12335</f>
        <v/>
      </c>
      <c r="E12335">
        <f>TEST_DATA!E12335</f>
        <v/>
      </c>
    </row>
    <row r="12336">
      <c r="A12336">
        <f>TEST_DATA!A12336</f>
        <v/>
      </c>
      <c r="B12336">
        <f>TEST_DATA!B12336</f>
        <v/>
      </c>
      <c r="C12336">
        <f>TEST_DATA!C12336</f>
        <v/>
      </c>
      <c r="D12336">
        <f>TEST_DATA!D12336</f>
        <v/>
      </c>
      <c r="E12336">
        <f>TEST_DATA!E12336</f>
        <v/>
      </c>
    </row>
    <row r="12337">
      <c r="A12337">
        <f>TEST_DATA!A12337</f>
        <v/>
      </c>
      <c r="B12337">
        <f>TEST_DATA!B12337</f>
        <v/>
      </c>
      <c r="C12337">
        <f>TEST_DATA!C12337</f>
        <v/>
      </c>
      <c r="D12337">
        <f>TEST_DATA!D12337</f>
        <v/>
      </c>
      <c r="E12337">
        <f>TEST_DATA!E12337</f>
        <v/>
      </c>
    </row>
    <row r="12338">
      <c r="A12338">
        <f>TEST_DATA!A12338</f>
        <v/>
      </c>
      <c r="B12338">
        <f>TEST_DATA!B12338</f>
        <v/>
      </c>
      <c r="C12338">
        <f>TEST_DATA!C12338</f>
        <v/>
      </c>
      <c r="D12338">
        <f>TEST_DATA!D12338</f>
        <v/>
      </c>
      <c r="E12338">
        <f>TEST_DATA!E12338</f>
        <v/>
      </c>
    </row>
    <row r="12339">
      <c r="A12339">
        <f>TEST_DATA!A12339</f>
        <v/>
      </c>
      <c r="B12339">
        <f>TEST_DATA!B12339</f>
        <v/>
      </c>
      <c r="C12339">
        <f>TEST_DATA!C12339</f>
        <v/>
      </c>
      <c r="D12339">
        <f>TEST_DATA!D12339</f>
        <v/>
      </c>
      <c r="E12339">
        <f>TEST_DATA!E12339</f>
        <v/>
      </c>
    </row>
    <row r="12340">
      <c r="A12340">
        <f>TEST_DATA!A12340</f>
        <v/>
      </c>
      <c r="B12340">
        <f>TEST_DATA!B12340</f>
        <v/>
      </c>
      <c r="C12340">
        <f>TEST_DATA!C12340</f>
        <v/>
      </c>
      <c r="D12340">
        <f>TEST_DATA!D12340</f>
        <v/>
      </c>
      <c r="E12340">
        <f>TEST_DATA!E12340</f>
        <v/>
      </c>
    </row>
    <row r="12341">
      <c r="A12341">
        <f>TEST_DATA!A12341</f>
        <v/>
      </c>
      <c r="B12341">
        <f>TEST_DATA!B12341</f>
        <v/>
      </c>
      <c r="C12341">
        <f>TEST_DATA!C12341</f>
        <v/>
      </c>
      <c r="D12341">
        <f>TEST_DATA!D12341</f>
        <v/>
      </c>
      <c r="E12341">
        <f>TEST_DATA!E12341</f>
        <v/>
      </c>
    </row>
    <row r="12342">
      <c r="A12342">
        <f>TEST_DATA!A12342</f>
        <v/>
      </c>
      <c r="B12342">
        <f>TEST_DATA!B12342</f>
        <v/>
      </c>
      <c r="C12342">
        <f>TEST_DATA!C12342</f>
        <v/>
      </c>
      <c r="D12342">
        <f>TEST_DATA!D12342</f>
        <v/>
      </c>
      <c r="E12342">
        <f>TEST_DATA!E12342</f>
        <v/>
      </c>
    </row>
    <row r="12343">
      <c r="A12343">
        <f>TEST_DATA!A12343</f>
        <v/>
      </c>
      <c r="B12343">
        <f>TEST_DATA!B12343</f>
        <v/>
      </c>
      <c r="C12343">
        <f>TEST_DATA!C12343</f>
        <v/>
      </c>
      <c r="D12343">
        <f>TEST_DATA!D12343</f>
        <v/>
      </c>
      <c r="E12343">
        <f>TEST_DATA!E12343</f>
        <v/>
      </c>
    </row>
    <row r="12344">
      <c r="A12344">
        <f>TEST_DATA!A12344</f>
        <v/>
      </c>
      <c r="B12344">
        <f>TEST_DATA!B12344</f>
        <v/>
      </c>
      <c r="C12344">
        <f>TEST_DATA!C12344</f>
        <v/>
      </c>
      <c r="D12344">
        <f>TEST_DATA!D12344</f>
        <v/>
      </c>
      <c r="E12344">
        <f>TEST_DATA!E12344</f>
        <v/>
      </c>
    </row>
    <row r="12345">
      <c r="A12345">
        <f>TEST_DATA!A12345</f>
        <v/>
      </c>
      <c r="B12345">
        <f>TEST_DATA!B12345</f>
        <v/>
      </c>
      <c r="C12345">
        <f>TEST_DATA!C12345</f>
        <v/>
      </c>
      <c r="D12345">
        <f>TEST_DATA!D12345</f>
        <v/>
      </c>
      <c r="E12345">
        <f>TEST_DATA!E12345</f>
        <v/>
      </c>
    </row>
    <row r="12346">
      <c r="A12346">
        <f>TEST_DATA!A12346</f>
        <v/>
      </c>
      <c r="B12346">
        <f>TEST_DATA!B12346</f>
        <v/>
      </c>
      <c r="C12346">
        <f>TEST_DATA!C12346</f>
        <v/>
      </c>
      <c r="D12346">
        <f>TEST_DATA!D12346</f>
        <v/>
      </c>
      <c r="E12346">
        <f>TEST_DATA!E12346</f>
        <v/>
      </c>
    </row>
    <row r="12347">
      <c r="A12347">
        <f>TEST_DATA!A12347</f>
        <v/>
      </c>
      <c r="B12347">
        <f>TEST_DATA!B12347</f>
        <v/>
      </c>
      <c r="C12347">
        <f>TEST_DATA!C12347</f>
        <v/>
      </c>
      <c r="D12347">
        <f>TEST_DATA!D12347</f>
        <v/>
      </c>
      <c r="E12347">
        <f>TEST_DATA!E12347</f>
        <v/>
      </c>
    </row>
    <row r="12348">
      <c r="A12348">
        <f>TEST_DATA!A12348</f>
        <v/>
      </c>
      <c r="B12348">
        <f>TEST_DATA!B12348</f>
        <v/>
      </c>
      <c r="C12348">
        <f>TEST_DATA!C12348</f>
        <v/>
      </c>
      <c r="D12348">
        <f>TEST_DATA!D12348</f>
        <v/>
      </c>
      <c r="E12348">
        <f>TEST_DATA!E12348</f>
        <v/>
      </c>
    </row>
    <row r="12349">
      <c r="A12349">
        <f>TEST_DATA!A12349</f>
        <v/>
      </c>
      <c r="B12349">
        <f>TEST_DATA!B12349</f>
        <v/>
      </c>
      <c r="C12349">
        <f>TEST_DATA!C12349</f>
        <v/>
      </c>
      <c r="D12349">
        <f>TEST_DATA!D12349</f>
        <v/>
      </c>
      <c r="E12349">
        <f>TEST_DATA!E12349</f>
        <v/>
      </c>
    </row>
    <row r="12350">
      <c r="A12350">
        <f>TEST_DATA!A12350</f>
        <v/>
      </c>
      <c r="B12350">
        <f>TEST_DATA!B12350</f>
        <v/>
      </c>
      <c r="C12350">
        <f>TEST_DATA!C12350</f>
        <v/>
      </c>
      <c r="D12350">
        <f>TEST_DATA!D12350</f>
        <v/>
      </c>
      <c r="E12350">
        <f>TEST_DATA!E12350</f>
        <v/>
      </c>
    </row>
    <row r="12351">
      <c r="A12351">
        <f>TEST_DATA!A12351</f>
        <v/>
      </c>
      <c r="B12351">
        <f>TEST_DATA!B12351</f>
        <v/>
      </c>
      <c r="C12351">
        <f>TEST_DATA!C12351</f>
        <v/>
      </c>
      <c r="D12351">
        <f>TEST_DATA!D12351</f>
        <v/>
      </c>
      <c r="E12351">
        <f>TEST_DATA!E12351</f>
        <v/>
      </c>
    </row>
    <row r="12352">
      <c r="A12352">
        <f>TEST_DATA!A12352</f>
        <v/>
      </c>
      <c r="B12352">
        <f>TEST_DATA!B12352</f>
        <v/>
      </c>
      <c r="C12352">
        <f>TEST_DATA!C12352</f>
        <v/>
      </c>
      <c r="D12352">
        <f>TEST_DATA!D12352</f>
        <v/>
      </c>
      <c r="E12352">
        <f>TEST_DATA!E12352</f>
        <v/>
      </c>
    </row>
    <row r="12353">
      <c r="A12353">
        <f>TEST_DATA!A12353</f>
        <v/>
      </c>
      <c r="B12353">
        <f>TEST_DATA!B12353</f>
        <v/>
      </c>
      <c r="C12353">
        <f>TEST_DATA!C12353</f>
        <v/>
      </c>
      <c r="D12353">
        <f>TEST_DATA!D12353</f>
        <v/>
      </c>
      <c r="E12353">
        <f>TEST_DATA!E12353</f>
        <v/>
      </c>
    </row>
    <row r="12354">
      <c r="A12354">
        <f>TEST_DATA!A12354</f>
        <v/>
      </c>
      <c r="B12354">
        <f>TEST_DATA!B12354</f>
        <v/>
      </c>
      <c r="C12354">
        <f>TEST_DATA!C12354</f>
        <v/>
      </c>
      <c r="D12354">
        <f>TEST_DATA!D12354</f>
        <v/>
      </c>
      <c r="E12354">
        <f>TEST_DATA!E12354</f>
        <v/>
      </c>
    </row>
    <row r="12355">
      <c r="A12355">
        <f>TEST_DATA!A12355</f>
        <v/>
      </c>
      <c r="B12355">
        <f>TEST_DATA!B12355</f>
        <v/>
      </c>
      <c r="C12355">
        <f>TEST_DATA!C12355</f>
        <v/>
      </c>
      <c r="D12355">
        <f>TEST_DATA!D12355</f>
        <v/>
      </c>
      <c r="E12355">
        <f>TEST_DATA!E12355</f>
        <v/>
      </c>
    </row>
    <row r="12356">
      <c r="A12356">
        <f>TEST_DATA!A12356</f>
        <v/>
      </c>
      <c r="B12356">
        <f>TEST_DATA!B12356</f>
        <v/>
      </c>
      <c r="C12356">
        <f>TEST_DATA!C12356</f>
        <v/>
      </c>
      <c r="D12356">
        <f>TEST_DATA!D12356</f>
        <v/>
      </c>
      <c r="E12356">
        <f>TEST_DATA!E12356</f>
        <v/>
      </c>
    </row>
    <row r="12357">
      <c r="A12357">
        <f>TEST_DATA!A12357</f>
        <v/>
      </c>
      <c r="B12357">
        <f>TEST_DATA!B12357</f>
        <v/>
      </c>
      <c r="C12357">
        <f>TEST_DATA!C12357</f>
        <v/>
      </c>
      <c r="D12357">
        <f>TEST_DATA!D12357</f>
        <v/>
      </c>
      <c r="E12357">
        <f>TEST_DATA!E12357</f>
        <v/>
      </c>
    </row>
    <row r="12358">
      <c r="A12358">
        <f>TEST_DATA!A12358</f>
        <v/>
      </c>
      <c r="B12358">
        <f>TEST_DATA!B12358</f>
        <v/>
      </c>
      <c r="C12358">
        <f>TEST_DATA!C12358</f>
        <v/>
      </c>
      <c r="D12358">
        <f>TEST_DATA!D12358</f>
        <v/>
      </c>
      <c r="E12358">
        <f>TEST_DATA!E12358</f>
        <v/>
      </c>
    </row>
    <row r="12359">
      <c r="A12359">
        <f>TEST_DATA!A12359</f>
        <v/>
      </c>
      <c r="B12359">
        <f>TEST_DATA!B12359</f>
        <v/>
      </c>
      <c r="C12359">
        <f>TEST_DATA!C12359</f>
        <v/>
      </c>
      <c r="D12359">
        <f>TEST_DATA!D12359</f>
        <v/>
      </c>
      <c r="E12359">
        <f>TEST_DATA!E12359</f>
        <v/>
      </c>
    </row>
    <row r="12360">
      <c r="A12360">
        <f>TEST_DATA!A12360</f>
        <v/>
      </c>
      <c r="B12360">
        <f>TEST_DATA!B12360</f>
        <v/>
      </c>
      <c r="C12360">
        <f>TEST_DATA!C12360</f>
        <v/>
      </c>
      <c r="D12360">
        <f>TEST_DATA!D12360</f>
        <v/>
      </c>
      <c r="E12360">
        <f>TEST_DATA!E12360</f>
        <v/>
      </c>
    </row>
    <row r="12361">
      <c r="A12361">
        <f>TEST_DATA!A12361</f>
        <v/>
      </c>
      <c r="B12361">
        <f>TEST_DATA!B12361</f>
        <v/>
      </c>
      <c r="C12361">
        <f>TEST_DATA!C12361</f>
        <v/>
      </c>
      <c r="D12361">
        <f>TEST_DATA!D12361</f>
        <v/>
      </c>
      <c r="E12361">
        <f>TEST_DATA!E12361</f>
        <v/>
      </c>
    </row>
    <row r="12362">
      <c r="A12362">
        <f>TEST_DATA!A12362</f>
        <v/>
      </c>
      <c r="B12362">
        <f>TEST_DATA!B12362</f>
        <v/>
      </c>
      <c r="C12362">
        <f>TEST_DATA!C12362</f>
        <v/>
      </c>
      <c r="D12362">
        <f>TEST_DATA!D12362</f>
        <v/>
      </c>
      <c r="E12362">
        <f>TEST_DATA!E12362</f>
        <v/>
      </c>
    </row>
    <row r="12363">
      <c r="A12363">
        <f>TEST_DATA!A12363</f>
        <v/>
      </c>
      <c r="B12363">
        <f>TEST_DATA!B12363</f>
        <v/>
      </c>
      <c r="C12363">
        <f>TEST_DATA!C12363</f>
        <v/>
      </c>
      <c r="D12363">
        <f>TEST_DATA!D12363</f>
        <v/>
      </c>
      <c r="E12363">
        <f>TEST_DATA!E12363</f>
        <v/>
      </c>
    </row>
    <row r="12364">
      <c r="A12364">
        <f>TEST_DATA!A12364</f>
        <v/>
      </c>
      <c r="B12364">
        <f>TEST_DATA!B12364</f>
        <v/>
      </c>
      <c r="C12364">
        <f>TEST_DATA!C12364</f>
        <v/>
      </c>
      <c r="D12364">
        <f>TEST_DATA!D12364</f>
        <v/>
      </c>
      <c r="E12364">
        <f>TEST_DATA!E12364</f>
        <v/>
      </c>
    </row>
    <row r="12365">
      <c r="A12365">
        <f>TEST_DATA!A12365</f>
        <v/>
      </c>
      <c r="B12365">
        <f>TEST_DATA!B12365</f>
        <v/>
      </c>
      <c r="C12365">
        <f>TEST_DATA!C12365</f>
        <v/>
      </c>
      <c r="D12365">
        <f>TEST_DATA!D12365</f>
        <v/>
      </c>
      <c r="E12365">
        <f>TEST_DATA!E12365</f>
        <v/>
      </c>
    </row>
    <row r="12366">
      <c r="A12366">
        <f>TEST_DATA!A12366</f>
        <v/>
      </c>
      <c r="B12366">
        <f>TEST_DATA!B12366</f>
        <v/>
      </c>
      <c r="C12366">
        <f>TEST_DATA!C12366</f>
        <v/>
      </c>
      <c r="D12366">
        <f>TEST_DATA!D12366</f>
        <v/>
      </c>
      <c r="E12366">
        <f>TEST_DATA!E12366</f>
        <v/>
      </c>
    </row>
    <row r="12367">
      <c r="A12367">
        <f>TEST_DATA!A12367</f>
        <v/>
      </c>
      <c r="B12367">
        <f>TEST_DATA!B12367</f>
        <v/>
      </c>
      <c r="C12367">
        <f>TEST_DATA!C12367</f>
        <v/>
      </c>
      <c r="D12367">
        <f>TEST_DATA!D12367</f>
        <v/>
      </c>
      <c r="E12367">
        <f>TEST_DATA!E12367</f>
        <v/>
      </c>
    </row>
    <row r="12368">
      <c r="A12368">
        <f>TEST_DATA!A12368</f>
        <v/>
      </c>
      <c r="B12368">
        <f>TEST_DATA!B12368</f>
        <v/>
      </c>
      <c r="C12368">
        <f>TEST_DATA!C12368</f>
        <v/>
      </c>
      <c r="D12368">
        <f>TEST_DATA!D12368</f>
        <v/>
      </c>
      <c r="E12368">
        <f>TEST_DATA!E12368</f>
        <v/>
      </c>
    </row>
    <row r="12369">
      <c r="A12369">
        <f>TEST_DATA!A12369</f>
        <v/>
      </c>
      <c r="B12369">
        <f>TEST_DATA!B12369</f>
        <v/>
      </c>
      <c r="C12369">
        <f>TEST_DATA!C12369</f>
        <v/>
      </c>
      <c r="D12369">
        <f>TEST_DATA!D12369</f>
        <v/>
      </c>
      <c r="E12369">
        <f>TEST_DATA!E12369</f>
        <v/>
      </c>
    </row>
    <row r="12370">
      <c r="A12370">
        <f>TEST_DATA!A12370</f>
        <v/>
      </c>
      <c r="B12370">
        <f>TEST_DATA!B12370</f>
        <v/>
      </c>
      <c r="C12370">
        <f>TEST_DATA!C12370</f>
        <v/>
      </c>
      <c r="D12370">
        <f>TEST_DATA!D12370</f>
        <v/>
      </c>
      <c r="E12370">
        <f>TEST_DATA!E12370</f>
        <v/>
      </c>
    </row>
    <row r="12371">
      <c r="A12371">
        <f>TEST_DATA!A12371</f>
        <v/>
      </c>
      <c r="B12371">
        <f>TEST_DATA!B12371</f>
        <v/>
      </c>
      <c r="C12371">
        <f>TEST_DATA!C12371</f>
        <v/>
      </c>
      <c r="D12371">
        <f>TEST_DATA!D12371</f>
        <v/>
      </c>
      <c r="E12371">
        <f>TEST_DATA!E12371</f>
        <v/>
      </c>
    </row>
    <row r="12372">
      <c r="A12372">
        <f>TEST_DATA!A12372</f>
        <v/>
      </c>
      <c r="B12372">
        <f>TEST_DATA!B12372</f>
        <v/>
      </c>
      <c r="C12372">
        <f>TEST_DATA!C12372</f>
        <v/>
      </c>
      <c r="D12372">
        <f>TEST_DATA!D12372</f>
        <v/>
      </c>
      <c r="E12372">
        <f>TEST_DATA!E12372</f>
        <v/>
      </c>
    </row>
    <row r="12373">
      <c r="A12373">
        <f>TEST_DATA!A12373</f>
        <v/>
      </c>
      <c r="B12373">
        <f>TEST_DATA!B12373</f>
        <v/>
      </c>
      <c r="C12373">
        <f>TEST_DATA!C12373</f>
        <v/>
      </c>
      <c r="D12373">
        <f>TEST_DATA!D12373</f>
        <v/>
      </c>
      <c r="E12373">
        <f>TEST_DATA!E12373</f>
        <v/>
      </c>
    </row>
    <row r="12374">
      <c r="A12374">
        <f>TEST_DATA!A12374</f>
        <v/>
      </c>
      <c r="B12374">
        <f>TEST_DATA!B12374</f>
        <v/>
      </c>
      <c r="C12374">
        <f>TEST_DATA!C12374</f>
        <v/>
      </c>
      <c r="D12374">
        <f>TEST_DATA!D12374</f>
        <v/>
      </c>
      <c r="E12374">
        <f>TEST_DATA!E12374</f>
        <v/>
      </c>
    </row>
    <row r="12375">
      <c r="A12375">
        <f>TEST_DATA!A12375</f>
        <v/>
      </c>
      <c r="B12375">
        <f>TEST_DATA!B12375</f>
        <v/>
      </c>
      <c r="C12375">
        <f>TEST_DATA!C12375</f>
        <v/>
      </c>
      <c r="D12375">
        <f>TEST_DATA!D12375</f>
        <v/>
      </c>
      <c r="E12375">
        <f>TEST_DATA!E12375</f>
        <v/>
      </c>
    </row>
    <row r="12376">
      <c r="A12376">
        <f>TEST_DATA!A12376</f>
        <v/>
      </c>
      <c r="B12376">
        <f>TEST_DATA!B12376</f>
        <v/>
      </c>
      <c r="C12376">
        <f>TEST_DATA!C12376</f>
        <v/>
      </c>
      <c r="D12376">
        <f>TEST_DATA!D12376</f>
        <v/>
      </c>
      <c r="E12376">
        <f>TEST_DATA!E12376</f>
        <v/>
      </c>
    </row>
    <row r="12377">
      <c r="A12377">
        <f>TEST_DATA!A12377</f>
        <v/>
      </c>
      <c r="B12377">
        <f>TEST_DATA!B12377</f>
        <v/>
      </c>
      <c r="C12377">
        <f>TEST_DATA!C12377</f>
        <v/>
      </c>
      <c r="D12377">
        <f>TEST_DATA!D12377</f>
        <v/>
      </c>
      <c r="E12377">
        <f>TEST_DATA!E12377</f>
        <v/>
      </c>
    </row>
    <row r="12378">
      <c r="A12378">
        <f>TEST_DATA!A12378</f>
        <v/>
      </c>
      <c r="B12378">
        <f>TEST_DATA!B12378</f>
        <v/>
      </c>
      <c r="C12378">
        <f>TEST_DATA!C12378</f>
        <v/>
      </c>
      <c r="D12378">
        <f>TEST_DATA!D12378</f>
        <v/>
      </c>
      <c r="E12378">
        <f>TEST_DATA!E12378</f>
        <v/>
      </c>
    </row>
    <row r="12379">
      <c r="A12379">
        <f>TEST_DATA!A12379</f>
        <v/>
      </c>
      <c r="B12379">
        <f>TEST_DATA!B12379</f>
        <v/>
      </c>
      <c r="C12379">
        <f>TEST_DATA!C12379</f>
        <v/>
      </c>
      <c r="D12379">
        <f>TEST_DATA!D12379</f>
        <v/>
      </c>
      <c r="E12379">
        <f>TEST_DATA!E12379</f>
        <v/>
      </c>
    </row>
    <row r="12380">
      <c r="A12380">
        <f>TEST_DATA!A12380</f>
        <v/>
      </c>
      <c r="B12380">
        <f>TEST_DATA!B12380</f>
        <v/>
      </c>
      <c r="C12380">
        <f>TEST_DATA!C12380</f>
        <v/>
      </c>
      <c r="D12380">
        <f>TEST_DATA!D12380</f>
        <v/>
      </c>
      <c r="E12380">
        <f>TEST_DATA!E12380</f>
        <v/>
      </c>
    </row>
    <row r="12381">
      <c r="A12381">
        <f>TEST_DATA!A12381</f>
        <v/>
      </c>
      <c r="B12381">
        <f>TEST_DATA!B12381</f>
        <v/>
      </c>
      <c r="C12381">
        <f>TEST_DATA!C12381</f>
        <v/>
      </c>
      <c r="D12381">
        <f>TEST_DATA!D12381</f>
        <v/>
      </c>
      <c r="E12381">
        <f>TEST_DATA!E12381</f>
        <v/>
      </c>
    </row>
    <row r="12382">
      <c r="A12382">
        <f>TEST_DATA!A12382</f>
        <v/>
      </c>
      <c r="B12382">
        <f>TEST_DATA!B12382</f>
        <v/>
      </c>
      <c r="C12382">
        <f>TEST_DATA!C12382</f>
        <v/>
      </c>
      <c r="D12382">
        <f>TEST_DATA!D12382</f>
        <v/>
      </c>
      <c r="E12382">
        <f>TEST_DATA!E12382</f>
        <v/>
      </c>
    </row>
    <row r="12383">
      <c r="A12383">
        <f>TEST_DATA!A12383</f>
        <v/>
      </c>
      <c r="B12383">
        <f>TEST_DATA!B12383</f>
        <v/>
      </c>
      <c r="C12383">
        <f>TEST_DATA!C12383</f>
        <v/>
      </c>
      <c r="D12383">
        <f>TEST_DATA!D12383</f>
        <v/>
      </c>
      <c r="E12383">
        <f>TEST_DATA!E12383</f>
        <v/>
      </c>
    </row>
    <row r="12384">
      <c r="A12384">
        <f>TEST_DATA!A12384</f>
        <v/>
      </c>
      <c r="B12384">
        <f>TEST_DATA!B12384</f>
        <v/>
      </c>
      <c r="C12384">
        <f>TEST_DATA!C12384</f>
        <v/>
      </c>
      <c r="D12384">
        <f>TEST_DATA!D12384</f>
        <v/>
      </c>
      <c r="E12384">
        <f>TEST_DATA!E12384</f>
        <v/>
      </c>
    </row>
    <row r="12385">
      <c r="A12385">
        <f>TEST_DATA!A12385</f>
        <v/>
      </c>
      <c r="B12385">
        <f>TEST_DATA!B12385</f>
        <v/>
      </c>
      <c r="C12385">
        <f>TEST_DATA!C12385</f>
        <v/>
      </c>
      <c r="D12385">
        <f>TEST_DATA!D12385</f>
        <v/>
      </c>
      <c r="E12385">
        <f>TEST_DATA!E12385</f>
        <v/>
      </c>
    </row>
    <row r="12386">
      <c r="A12386">
        <f>TEST_DATA!A12386</f>
        <v/>
      </c>
      <c r="B12386">
        <f>TEST_DATA!B12386</f>
        <v/>
      </c>
      <c r="C12386">
        <f>TEST_DATA!C12386</f>
        <v/>
      </c>
      <c r="D12386">
        <f>TEST_DATA!D12386</f>
        <v/>
      </c>
      <c r="E12386">
        <f>TEST_DATA!E12386</f>
        <v/>
      </c>
    </row>
    <row r="12387">
      <c r="A12387">
        <f>TEST_DATA!A12387</f>
        <v/>
      </c>
      <c r="B12387">
        <f>TEST_DATA!B12387</f>
        <v/>
      </c>
      <c r="C12387">
        <f>TEST_DATA!C12387</f>
        <v/>
      </c>
      <c r="D12387">
        <f>TEST_DATA!D12387</f>
        <v/>
      </c>
      <c r="E12387">
        <f>TEST_DATA!E12387</f>
        <v/>
      </c>
    </row>
    <row r="12388">
      <c r="A12388">
        <f>TEST_DATA!A12388</f>
        <v/>
      </c>
      <c r="B12388">
        <f>TEST_DATA!B12388</f>
        <v/>
      </c>
      <c r="C12388">
        <f>TEST_DATA!C12388</f>
        <v/>
      </c>
      <c r="D12388">
        <f>TEST_DATA!D12388</f>
        <v/>
      </c>
      <c r="E12388">
        <f>TEST_DATA!E12388</f>
        <v/>
      </c>
    </row>
    <row r="12389">
      <c r="A12389">
        <f>TEST_DATA!A12389</f>
        <v/>
      </c>
      <c r="B12389">
        <f>TEST_DATA!B12389</f>
        <v/>
      </c>
      <c r="C12389">
        <f>TEST_DATA!C12389</f>
        <v/>
      </c>
      <c r="D12389">
        <f>TEST_DATA!D12389</f>
        <v/>
      </c>
      <c r="E12389">
        <f>TEST_DATA!E12389</f>
        <v/>
      </c>
    </row>
    <row r="12390">
      <c r="A12390">
        <f>TEST_DATA!A12390</f>
        <v/>
      </c>
      <c r="B12390">
        <f>TEST_DATA!B12390</f>
        <v/>
      </c>
      <c r="C12390">
        <f>TEST_DATA!C12390</f>
        <v/>
      </c>
      <c r="D12390">
        <f>TEST_DATA!D12390</f>
        <v/>
      </c>
      <c r="E12390">
        <f>TEST_DATA!E12390</f>
        <v/>
      </c>
    </row>
    <row r="12391">
      <c r="A12391">
        <f>TEST_DATA!A12391</f>
        <v/>
      </c>
      <c r="B12391">
        <f>TEST_DATA!B12391</f>
        <v/>
      </c>
      <c r="C12391">
        <f>TEST_DATA!C12391</f>
        <v/>
      </c>
      <c r="D12391">
        <f>TEST_DATA!D12391</f>
        <v/>
      </c>
      <c r="E12391">
        <f>TEST_DATA!E12391</f>
        <v/>
      </c>
    </row>
    <row r="12392">
      <c r="A12392">
        <f>TEST_DATA!A12392</f>
        <v/>
      </c>
      <c r="B12392">
        <f>TEST_DATA!B12392</f>
        <v/>
      </c>
      <c r="C12392">
        <f>TEST_DATA!C12392</f>
        <v/>
      </c>
      <c r="D12392">
        <f>TEST_DATA!D12392</f>
        <v/>
      </c>
      <c r="E12392">
        <f>TEST_DATA!E12392</f>
        <v/>
      </c>
    </row>
    <row r="12393">
      <c r="A12393">
        <f>TEST_DATA!A12393</f>
        <v/>
      </c>
      <c r="B12393">
        <f>TEST_DATA!B12393</f>
        <v/>
      </c>
      <c r="C12393">
        <f>TEST_DATA!C12393</f>
        <v/>
      </c>
      <c r="D12393">
        <f>TEST_DATA!D12393</f>
        <v/>
      </c>
      <c r="E12393">
        <f>TEST_DATA!E12393</f>
        <v/>
      </c>
    </row>
    <row r="12394">
      <c r="A12394">
        <f>TEST_DATA!A12394</f>
        <v/>
      </c>
      <c r="B12394">
        <f>TEST_DATA!B12394</f>
        <v/>
      </c>
      <c r="C12394">
        <f>TEST_DATA!C12394</f>
        <v/>
      </c>
      <c r="D12394">
        <f>TEST_DATA!D12394</f>
        <v/>
      </c>
      <c r="E12394">
        <f>TEST_DATA!E12394</f>
        <v/>
      </c>
    </row>
    <row r="12395">
      <c r="A12395">
        <f>TEST_DATA!A12395</f>
        <v/>
      </c>
      <c r="B12395">
        <f>TEST_DATA!B12395</f>
        <v/>
      </c>
      <c r="C12395">
        <f>TEST_DATA!C12395</f>
        <v/>
      </c>
      <c r="D12395">
        <f>TEST_DATA!D12395</f>
        <v/>
      </c>
      <c r="E12395">
        <f>TEST_DATA!E12395</f>
        <v/>
      </c>
    </row>
    <row r="12396">
      <c r="A12396">
        <f>TEST_DATA!A12396</f>
        <v/>
      </c>
      <c r="B12396">
        <f>TEST_DATA!B12396</f>
        <v/>
      </c>
      <c r="C12396">
        <f>TEST_DATA!C12396</f>
        <v/>
      </c>
      <c r="D12396">
        <f>TEST_DATA!D12396</f>
        <v/>
      </c>
      <c r="E12396">
        <f>TEST_DATA!E12396</f>
        <v/>
      </c>
    </row>
    <row r="12397">
      <c r="A12397">
        <f>TEST_DATA!A12397</f>
        <v/>
      </c>
      <c r="B12397">
        <f>TEST_DATA!B12397</f>
        <v/>
      </c>
      <c r="C12397">
        <f>TEST_DATA!C12397</f>
        <v/>
      </c>
      <c r="D12397">
        <f>TEST_DATA!D12397</f>
        <v/>
      </c>
      <c r="E12397">
        <f>TEST_DATA!E12397</f>
        <v/>
      </c>
    </row>
    <row r="12398">
      <c r="A12398">
        <f>TEST_DATA!A12398</f>
        <v/>
      </c>
      <c r="B12398">
        <f>TEST_DATA!B12398</f>
        <v/>
      </c>
      <c r="C12398">
        <f>TEST_DATA!C12398</f>
        <v/>
      </c>
      <c r="D12398">
        <f>TEST_DATA!D12398</f>
        <v/>
      </c>
      <c r="E12398">
        <f>TEST_DATA!E12398</f>
        <v/>
      </c>
    </row>
    <row r="12399">
      <c r="A12399">
        <f>TEST_DATA!A12399</f>
        <v/>
      </c>
      <c r="B12399">
        <f>TEST_DATA!B12399</f>
        <v/>
      </c>
      <c r="C12399">
        <f>TEST_DATA!C12399</f>
        <v/>
      </c>
      <c r="D12399">
        <f>TEST_DATA!D12399</f>
        <v/>
      </c>
      <c r="E12399">
        <f>TEST_DATA!E12399</f>
        <v/>
      </c>
    </row>
    <row r="12400">
      <c r="A12400">
        <f>TEST_DATA!A12400</f>
        <v/>
      </c>
      <c r="B12400">
        <f>TEST_DATA!B12400</f>
        <v/>
      </c>
      <c r="C12400">
        <f>TEST_DATA!C12400</f>
        <v/>
      </c>
      <c r="D12400">
        <f>TEST_DATA!D12400</f>
        <v/>
      </c>
      <c r="E12400">
        <f>TEST_DATA!E12400</f>
        <v/>
      </c>
    </row>
    <row r="12401">
      <c r="A12401">
        <f>TEST_DATA!A12401</f>
        <v/>
      </c>
      <c r="B12401">
        <f>TEST_DATA!B12401</f>
        <v/>
      </c>
      <c r="C12401">
        <f>TEST_DATA!C12401</f>
        <v/>
      </c>
      <c r="D12401">
        <f>TEST_DATA!D12401</f>
        <v/>
      </c>
      <c r="E12401">
        <f>TEST_DATA!E12401</f>
        <v/>
      </c>
    </row>
    <row r="12402">
      <c r="A12402">
        <f>TEST_DATA!A12402</f>
        <v/>
      </c>
      <c r="B12402">
        <f>TEST_DATA!B12402</f>
        <v/>
      </c>
      <c r="C12402">
        <f>TEST_DATA!C12402</f>
        <v/>
      </c>
      <c r="D12402">
        <f>TEST_DATA!D12402</f>
        <v/>
      </c>
      <c r="E12402">
        <f>TEST_DATA!E12402</f>
        <v/>
      </c>
    </row>
    <row r="12403">
      <c r="A12403">
        <f>TEST_DATA!A12403</f>
        <v/>
      </c>
      <c r="B12403">
        <f>TEST_DATA!B12403</f>
        <v/>
      </c>
      <c r="C12403">
        <f>TEST_DATA!C12403</f>
        <v/>
      </c>
      <c r="D12403">
        <f>TEST_DATA!D12403</f>
        <v/>
      </c>
      <c r="E12403">
        <f>TEST_DATA!E12403</f>
        <v/>
      </c>
    </row>
    <row r="12404">
      <c r="A12404">
        <f>TEST_DATA!A12404</f>
        <v/>
      </c>
      <c r="B12404">
        <f>TEST_DATA!B12404</f>
        <v/>
      </c>
      <c r="C12404">
        <f>TEST_DATA!C12404</f>
        <v/>
      </c>
      <c r="D12404">
        <f>TEST_DATA!D12404</f>
        <v/>
      </c>
      <c r="E12404">
        <f>TEST_DATA!E12404</f>
        <v/>
      </c>
    </row>
    <row r="12405">
      <c r="A12405">
        <f>TEST_DATA!A12405</f>
        <v/>
      </c>
      <c r="B12405">
        <f>TEST_DATA!B12405</f>
        <v/>
      </c>
      <c r="C12405">
        <f>TEST_DATA!C12405</f>
        <v/>
      </c>
      <c r="D12405">
        <f>TEST_DATA!D12405</f>
        <v/>
      </c>
      <c r="E12405">
        <f>TEST_DATA!E12405</f>
        <v/>
      </c>
    </row>
    <row r="12406">
      <c r="A12406">
        <f>TEST_DATA!A12406</f>
        <v/>
      </c>
      <c r="B12406">
        <f>TEST_DATA!B12406</f>
        <v/>
      </c>
      <c r="C12406">
        <f>TEST_DATA!C12406</f>
        <v/>
      </c>
      <c r="D12406">
        <f>TEST_DATA!D12406</f>
        <v/>
      </c>
      <c r="E12406">
        <f>TEST_DATA!E12406</f>
        <v/>
      </c>
    </row>
    <row r="12407">
      <c r="A12407">
        <f>TEST_DATA!A12407</f>
        <v/>
      </c>
      <c r="B12407">
        <f>TEST_DATA!B12407</f>
        <v/>
      </c>
      <c r="C12407">
        <f>TEST_DATA!C12407</f>
        <v/>
      </c>
      <c r="D12407">
        <f>TEST_DATA!D12407</f>
        <v/>
      </c>
      <c r="E12407">
        <f>TEST_DATA!E12407</f>
        <v/>
      </c>
    </row>
    <row r="12408">
      <c r="A12408">
        <f>TEST_DATA!A12408</f>
        <v/>
      </c>
      <c r="B12408">
        <f>TEST_DATA!B12408</f>
        <v/>
      </c>
      <c r="C12408">
        <f>TEST_DATA!C12408</f>
        <v/>
      </c>
      <c r="D12408">
        <f>TEST_DATA!D12408</f>
        <v/>
      </c>
      <c r="E12408">
        <f>TEST_DATA!E12408</f>
        <v/>
      </c>
    </row>
    <row r="12409">
      <c r="A12409">
        <f>TEST_DATA!A12409</f>
        <v/>
      </c>
      <c r="B12409">
        <f>TEST_DATA!B12409</f>
        <v/>
      </c>
      <c r="C12409">
        <f>TEST_DATA!C12409</f>
        <v/>
      </c>
      <c r="D12409">
        <f>TEST_DATA!D12409</f>
        <v/>
      </c>
      <c r="E12409">
        <f>TEST_DATA!E12409</f>
        <v/>
      </c>
    </row>
    <row r="12410">
      <c r="A12410">
        <f>TEST_DATA!A12410</f>
        <v/>
      </c>
      <c r="B12410">
        <f>TEST_DATA!B12410</f>
        <v/>
      </c>
      <c r="C12410">
        <f>TEST_DATA!C12410</f>
        <v/>
      </c>
      <c r="D12410">
        <f>TEST_DATA!D12410</f>
        <v/>
      </c>
      <c r="E12410">
        <f>TEST_DATA!E12410</f>
        <v/>
      </c>
    </row>
    <row r="12411">
      <c r="A12411">
        <f>TEST_DATA!A12411</f>
        <v/>
      </c>
      <c r="B12411">
        <f>TEST_DATA!B12411</f>
        <v/>
      </c>
      <c r="C12411">
        <f>TEST_DATA!C12411</f>
        <v/>
      </c>
      <c r="D12411">
        <f>TEST_DATA!D12411</f>
        <v/>
      </c>
      <c r="E12411">
        <f>TEST_DATA!E12411</f>
        <v/>
      </c>
    </row>
    <row r="12412">
      <c r="A12412">
        <f>TEST_DATA!A12412</f>
        <v/>
      </c>
      <c r="B12412">
        <f>TEST_DATA!B12412</f>
        <v/>
      </c>
      <c r="C12412">
        <f>TEST_DATA!C12412</f>
        <v/>
      </c>
      <c r="D12412">
        <f>TEST_DATA!D12412</f>
        <v/>
      </c>
      <c r="E12412">
        <f>TEST_DATA!E12412</f>
        <v/>
      </c>
    </row>
    <row r="12413">
      <c r="A12413">
        <f>TEST_DATA!A12413</f>
        <v/>
      </c>
      <c r="B12413">
        <f>TEST_DATA!B12413</f>
        <v/>
      </c>
      <c r="C12413">
        <f>TEST_DATA!C12413</f>
        <v/>
      </c>
      <c r="D12413">
        <f>TEST_DATA!D12413</f>
        <v/>
      </c>
      <c r="E12413">
        <f>TEST_DATA!E12413</f>
        <v/>
      </c>
    </row>
    <row r="12414">
      <c r="A12414">
        <f>TEST_DATA!A12414</f>
        <v/>
      </c>
      <c r="B12414">
        <f>TEST_DATA!B12414</f>
        <v/>
      </c>
      <c r="C12414">
        <f>TEST_DATA!C12414</f>
        <v/>
      </c>
      <c r="D12414">
        <f>TEST_DATA!D12414</f>
        <v/>
      </c>
      <c r="E12414">
        <f>TEST_DATA!E12414</f>
        <v/>
      </c>
    </row>
    <row r="12415">
      <c r="A12415">
        <f>TEST_DATA!A12415</f>
        <v/>
      </c>
      <c r="B12415">
        <f>TEST_DATA!B12415</f>
        <v/>
      </c>
      <c r="C12415">
        <f>TEST_DATA!C12415</f>
        <v/>
      </c>
      <c r="D12415">
        <f>TEST_DATA!D12415</f>
        <v/>
      </c>
      <c r="E12415">
        <f>TEST_DATA!E12415</f>
        <v/>
      </c>
    </row>
    <row r="12416">
      <c r="A12416">
        <f>TEST_DATA!A12416</f>
        <v/>
      </c>
      <c r="B12416">
        <f>TEST_DATA!B12416</f>
        <v/>
      </c>
      <c r="C12416">
        <f>TEST_DATA!C12416</f>
        <v/>
      </c>
      <c r="D12416">
        <f>TEST_DATA!D12416</f>
        <v/>
      </c>
      <c r="E12416">
        <f>TEST_DATA!E12416</f>
        <v/>
      </c>
    </row>
    <row r="12417">
      <c r="A12417">
        <f>TEST_DATA!A12417</f>
        <v/>
      </c>
      <c r="B12417">
        <f>TEST_DATA!B12417</f>
        <v/>
      </c>
      <c r="C12417">
        <f>TEST_DATA!C12417</f>
        <v/>
      </c>
      <c r="D12417">
        <f>TEST_DATA!D12417</f>
        <v/>
      </c>
      <c r="E12417">
        <f>TEST_DATA!E12417</f>
        <v/>
      </c>
    </row>
    <row r="12418">
      <c r="A12418">
        <f>TEST_DATA!A12418</f>
        <v/>
      </c>
      <c r="B12418">
        <f>TEST_DATA!B12418</f>
        <v/>
      </c>
      <c r="C12418">
        <f>TEST_DATA!C12418</f>
        <v/>
      </c>
      <c r="D12418">
        <f>TEST_DATA!D12418</f>
        <v/>
      </c>
      <c r="E12418">
        <f>TEST_DATA!E12418</f>
        <v/>
      </c>
    </row>
    <row r="12419">
      <c r="A12419">
        <f>TEST_DATA!A12419</f>
        <v/>
      </c>
      <c r="B12419">
        <f>TEST_DATA!B12419</f>
        <v/>
      </c>
      <c r="C12419">
        <f>TEST_DATA!C12419</f>
        <v/>
      </c>
      <c r="D12419">
        <f>TEST_DATA!D12419</f>
        <v/>
      </c>
      <c r="E12419">
        <f>TEST_DATA!E12419</f>
        <v/>
      </c>
    </row>
    <row r="12420">
      <c r="A12420">
        <f>TEST_DATA!A12420</f>
        <v/>
      </c>
      <c r="B12420">
        <f>TEST_DATA!B12420</f>
        <v/>
      </c>
      <c r="C12420">
        <f>TEST_DATA!C12420</f>
        <v/>
      </c>
      <c r="D12420">
        <f>TEST_DATA!D12420</f>
        <v/>
      </c>
      <c r="E12420">
        <f>TEST_DATA!E12420</f>
        <v/>
      </c>
    </row>
    <row r="12421">
      <c r="A12421">
        <f>TEST_DATA!A12421</f>
        <v/>
      </c>
      <c r="B12421">
        <f>TEST_DATA!B12421</f>
        <v/>
      </c>
      <c r="C12421">
        <f>TEST_DATA!C12421</f>
        <v/>
      </c>
      <c r="D12421">
        <f>TEST_DATA!D12421</f>
        <v/>
      </c>
      <c r="E12421">
        <f>TEST_DATA!E12421</f>
        <v/>
      </c>
    </row>
    <row r="12422">
      <c r="A12422">
        <f>TEST_DATA!A12422</f>
        <v/>
      </c>
      <c r="B12422">
        <f>TEST_DATA!B12422</f>
        <v/>
      </c>
      <c r="C12422">
        <f>TEST_DATA!C12422</f>
        <v/>
      </c>
      <c r="D12422">
        <f>TEST_DATA!D12422</f>
        <v/>
      </c>
      <c r="E12422">
        <f>TEST_DATA!E12422</f>
        <v/>
      </c>
    </row>
    <row r="12423">
      <c r="A12423">
        <f>TEST_DATA!A12423</f>
        <v/>
      </c>
      <c r="B12423">
        <f>TEST_DATA!B12423</f>
        <v/>
      </c>
      <c r="C12423">
        <f>TEST_DATA!C12423</f>
        <v/>
      </c>
      <c r="D12423">
        <f>TEST_DATA!D12423</f>
        <v/>
      </c>
      <c r="E12423">
        <f>TEST_DATA!E12423</f>
        <v/>
      </c>
    </row>
    <row r="12424">
      <c r="A12424">
        <f>TEST_DATA!A12424</f>
        <v/>
      </c>
      <c r="B12424">
        <f>TEST_DATA!B12424</f>
        <v/>
      </c>
      <c r="C12424">
        <f>TEST_DATA!C12424</f>
        <v/>
      </c>
      <c r="D12424">
        <f>TEST_DATA!D12424</f>
        <v/>
      </c>
      <c r="E12424">
        <f>TEST_DATA!E12424</f>
        <v/>
      </c>
    </row>
    <row r="12425">
      <c r="A12425">
        <f>TEST_DATA!A12425</f>
        <v/>
      </c>
      <c r="B12425">
        <f>TEST_DATA!B12425</f>
        <v/>
      </c>
      <c r="C12425">
        <f>TEST_DATA!C12425</f>
        <v/>
      </c>
      <c r="D12425">
        <f>TEST_DATA!D12425</f>
        <v/>
      </c>
      <c r="E12425">
        <f>TEST_DATA!E12425</f>
        <v/>
      </c>
    </row>
    <row r="12426">
      <c r="A12426">
        <f>TEST_DATA!A12426</f>
        <v/>
      </c>
      <c r="B12426">
        <f>TEST_DATA!B12426</f>
        <v/>
      </c>
      <c r="C12426">
        <f>TEST_DATA!C12426</f>
        <v/>
      </c>
      <c r="D12426">
        <f>TEST_DATA!D12426</f>
        <v/>
      </c>
      <c r="E12426">
        <f>TEST_DATA!E12426</f>
        <v/>
      </c>
    </row>
    <row r="12427">
      <c r="A12427">
        <f>TEST_DATA!A12427</f>
        <v/>
      </c>
      <c r="B12427">
        <f>TEST_DATA!B12427</f>
        <v/>
      </c>
      <c r="C12427">
        <f>TEST_DATA!C12427</f>
        <v/>
      </c>
      <c r="D12427">
        <f>TEST_DATA!D12427</f>
        <v/>
      </c>
      <c r="E12427">
        <f>TEST_DATA!E12427</f>
        <v/>
      </c>
    </row>
    <row r="12428">
      <c r="A12428">
        <f>TEST_DATA!A12428</f>
        <v/>
      </c>
      <c r="B12428">
        <f>TEST_DATA!B12428</f>
        <v/>
      </c>
      <c r="C12428">
        <f>TEST_DATA!C12428</f>
        <v/>
      </c>
      <c r="D12428">
        <f>TEST_DATA!D12428</f>
        <v/>
      </c>
      <c r="E12428">
        <f>TEST_DATA!E12428</f>
        <v/>
      </c>
    </row>
    <row r="12429">
      <c r="A12429">
        <f>TEST_DATA!A12429</f>
        <v/>
      </c>
      <c r="B12429">
        <f>TEST_DATA!B12429</f>
        <v/>
      </c>
      <c r="C12429">
        <f>TEST_DATA!C12429</f>
        <v/>
      </c>
      <c r="D12429">
        <f>TEST_DATA!D12429</f>
        <v/>
      </c>
      <c r="E12429">
        <f>TEST_DATA!E12429</f>
        <v/>
      </c>
    </row>
    <row r="12430">
      <c r="A12430">
        <f>TEST_DATA!A12430</f>
        <v/>
      </c>
      <c r="B12430">
        <f>TEST_DATA!B12430</f>
        <v/>
      </c>
      <c r="C12430">
        <f>TEST_DATA!C12430</f>
        <v/>
      </c>
      <c r="D12430">
        <f>TEST_DATA!D12430</f>
        <v/>
      </c>
      <c r="E12430">
        <f>TEST_DATA!E12430</f>
        <v/>
      </c>
    </row>
    <row r="12431">
      <c r="A12431">
        <f>TEST_DATA!A12431</f>
        <v/>
      </c>
      <c r="B12431">
        <f>TEST_DATA!B12431</f>
        <v/>
      </c>
      <c r="C12431">
        <f>TEST_DATA!C12431</f>
        <v/>
      </c>
      <c r="D12431">
        <f>TEST_DATA!D12431</f>
        <v/>
      </c>
      <c r="E12431">
        <f>TEST_DATA!E12431</f>
        <v/>
      </c>
    </row>
    <row r="12432">
      <c r="A12432">
        <f>TEST_DATA!A12432</f>
        <v/>
      </c>
      <c r="B12432">
        <f>TEST_DATA!B12432</f>
        <v/>
      </c>
      <c r="C12432">
        <f>TEST_DATA!C12432</f>
        <v/>
      </c>
      <c r="D12432">
        <f>TEST_DATA!D12432</f>
        <v/>
      </c>
      <c r="E12432">
        <f>TEST_DATA!E12432</f>
        <v/>
      </c>
    </row>
    <row r="12433">
      <c r="A12433">
        <f>TEST_DATA!A12433</f>
        <v/>
      </c>
      <c r="B12433">
        <f>TEST_DATA!B12433</f>
        <v/>
      </c>
      <c r="C12433">
        <f>TEST_DATA!C12433</f>
        <v/>
      </c>
      <c r="D12433">
        <f>TEST_DATA!D12433</f>
        <v/>
      </c>
      <c r="E12433">
        <f>TEST_DATA!E12433</f>
        <v/>
      </c>
    </row>
    <row r="12434">
      <c r="A12434">
        <f>TEST_DATA!A12434</f>
        <v/>
      </c>
      <c r="B12434">
        <f>TEST_DATA!B12434</f>
        <v/>
      </c>
      <c r="C12434">
        <f>TEST_DATA!C12434</f>
        <v/>
      </c>
      <c r="D12434">
        <f>TEST_DATA!D12434</f>
        <v/>
      </c>
      <c r="E12434">
        <f>TEST_DATA!E12434</f>
        <v/>
      </c>
    </row>
    <row r="12435">
      <c r="A12435">
        <f>TEST_DATA!A12435</f>
        <v/>
      </c>
      <c r="B12435">
        <f>TEST_DATA!B12435</f>
        <v/>
      </c>
      <c r="C12435">
        <f>TEST_DATA!C12435</f>
        <v/>
      </c>
      <c r="D12435">
        <f>TEST_DATA!D12435</f>
        <v/>
      </c>
      <c r="E12435">
        <f>TEST_DATA!E12435</f>
        <v/>
      </c>
    </row>
    <row r="12436">
      <c r="A12436">
        <f>TEST_DATA!A12436</f>
        <v/>
      </c>
      <c r="B12436">
        <f>TEST_DATA!B12436</f>
        <v/>
      </c>
      <c r="C12436">
        <f>TEST_DATA!C12436</f>
        <v/>
      </c>
      <c r="D12436">
        <f>TEST_DATA!D12436</f>
        <v/>
      </c>
      <c r="E12436">
        <f>TEST_DATA!E12436</f>
        <v/>
      </c>
    </row>
    <row r="12437">
      <c r="A12437">
        <f>TEST_DATA!A12437</f>
        <v/>
      </c>
      <c r="B12437">
        <f>TEST_DATA!B12437</f>
        <v/>
      </c>
      <c r="C12437">
        <f>TEST_DATA!C12437</f>
        <v/>
      </c>
      <c r="D12437">
        <f>TEST_DATA!D12437</f>
        <v/>
      </c>
      <c r="E12437">
        <f>TEST_DATA!E12437</f>
        <v/>
      </c>
    </row>
    <row r="12438">
      <c r="A12438">
        <f>TEST_DATA!A12438</f>
        <v/>
      </c>
      <c r="B12438">
        <f>TEST_DATA!B12438</f>
        <v/>
      </c>
      <c r="C12438">
        <f>TEST_DATA!C12438</f>
        <v/>
      </c>
      <c r="D12438">
        <f>TEST_DATA!D12438</f>
        <v/>
      </c>
      <c r="E12438">
        <f>TEST_DATA!E12438</f>
        <v/>
      </c>
    </row>
    <row r="12439">
      <c r="A12439">
        <f>TEST_DATA!A12439</f>
        <v/>
      </c>
      <c r="B12439">
        <f>TEST_DATA!B12439</f>
        <v/>
      </c>
      <c r="C12439">
        <f>TEST_DATA!C12439</f>
        <v/>
      </c>
      <c r="D12439">
        <f>TEST_DATA!D12439</f>
        <v/>
      </c>
      <c r="E12439">
        <f>TEST_DATA!E12439</f>
        <v/>
      </c>
    </row>
    <row r="12440">
      <c r="A12440">
        <f>TEST_DATA!A12440</f>
        <v/>
      </c>
      <c r="B12440">
        <f>TEST_DATA!B12440</f>
        <v/>
      </c>
      <c r="C12440">
        <f>TEST_DATA!C12440</f>
        <v/>
      </c>
      <c r="D12440">
        <f>TEST_DATA!D12440</f>
        <v/>
      </c>
      <c r="E12440">
        <f>TEST_DATA!E12440</f>
        <v/>
      </c>
    </row>
    <row r="12441">
      <c r="A12441">
        <f>TEST_DATA!A12441</f>
        <v/>
      </c>
      <c r="B12441">
        <f>TEST_DATA!B12441</f>
        <v/>
      </c>
      <c r="C12441">
        <f>TEST_DATA!C12441</f>
        <v/>
      </c>
      <c r="D12441">
        <f>TEST_DATA!D12441</f>
        <v/>
      </c>
      <c r="E12441">
        <f>TEST_DATA!E12441</f>
        <v/>
      </c>
    </row>
    <row r="12442">
      <c r="A12442">
        <f>TEST_DATA!A12442</f>
        <v/>
      </c>
      <c r="B12442">
        <f>TEST_DATA!B12442</f>
        <v/>
      </c>
      <c r="C12442">
        <f>TEST_DATA!C12442</f>
        <v/>
      </c>
      <c r="D12442">
        <f>TEST_DATA!D12442</f>
        <v/>
      </c>
      <c r="E12442">
        <f>TEST_DATA!E12442</f>
        <v/>
      </c>
    </row>
    <row r="12443">
      <c r="A12443">
        <f>TEST_DATA!A12443</f>
        <v/>
      </c>
      <c r="B12443">
        <f>TEST_DATA!B12443</f>
        <v/>
      </c>
      <c r="C12443">
        <f>TEST_DATA!C12443</f>
        <v/>
      </c>
      <c r="D12443">
        <f>TEST_DATA!D12443</f>
        <v/>
      </c>
      <c r="E12443">
        <f>TEST_DATA!E12443</f>
        <v/>
      </c>
    </row>
    <row r="12444">
      <c r="A12444">
        <f>TEST_DATA!A12444</f>
        <v/>
      </c>
      <c r="B12444">
        <f>TEST_DATA!B12444</f>
        <v/>
      </c>
      <c r="C12444">
        <f>TEST_DATA!C12444</f>
        <v/>
      </c>
      <c r="D12444">
        <f>TEST_DATA!D12444</f>
        <v/>
      </c>
      <c r="E12444">
        <f>TEST_DATA!E12444</f>
        <v/>
      </c>
    </row>
    <row r="12445">
      <c r="A12445">
        <f>TEST_DATA!A12445</f>
        <v/>
      </c>
      <c r="B12445">
        <f>TEST_DATA!B12445</f>
        <v/>
      </c>
      <c r="C12445">
        <f>TEST_DATA!C12445</f>
        <v/>
      </c>
      <c r="D12445">
        <f>TEST_DATA!D12445</f>
        <v/>
      </c>
      <c r="E12445">
        <f>TEST_DATA!E12445</f>
        <v/>
      </c>
    </row>
    <row r="12446">
      <c r="A12446">
        <f>TEST_DATA!A12446</f>
        <v/>
      </c>
      <c r="B12446">
        <f>TEST_DATA!B12446</f>
        <v/>
      </c>
      <c r="C12446">
        <f>TEST_DATA!C12446</f>
        <v/>
      </c>
      <c r="D12446">
        <f>TEST_DATA!D12446</f>
        <v/>
      </c>
      <c r="E12446">
        <f>TEST_DATA!E12446</f>
        <v/>
      </c>
    </row>
    <row r="12447">
      <c r="A12447">
        <f>TEST_DATA!A12447</f>
        <v/>
      </c>
      <c r="B12447">
        <f>TEST_DATA!B12447</f>
        <v/>
      </c>
      <c r="C12447">
        <f>TEST_DATA!C12447</f>
        <v/>
      </c>
      <c r="D12447">
        <f>TEST_DATA!D12447</f>
        <v/>
      </c>
      <c r="E12447">
        <f>TEST_DATA!E12447</f>
        <v/>
      </c>
    </row>
    <row r="12448">
      <c r="A12448">
        <f>TEST_DATA!A12448</f>
        <v/>
      </c>
      <c r="B12448">
        <f>TEST_DATA!B12448</f>
        <v/>
      </c>
      <c r="C12448">
        <f>TEST_DATA!C12448</f>
        <v/>
      </c>
      <c r="D12448">
        <f>TEST_DATA!D12448</f>
        <v/>
      </c>
      <c r="E12448">
        <f>TEST_DATA!E12448</f>
        <v/>
      </c>
    </row>
    <row r="12449">
      <c r="A12449">
        <f>TEST_DATA!A12449</f>
        <v/>
      </c>
      <c r="B12449">
        <f>TEST_DATA!B12449</f>
        <v/>
      </c>
      <c r="C12449">
        <f>TEST_DATA!C12449</f>
        <v/>
      </c>
      <c r="D12449">
        <f>TEST_DATA!D12449</f>
        <v/>
      </c>
      <c r="E12449">
        <f>TEST_DATA!E12449</f>
        <v/>
      </c>
    </row>
    <row r="12450">
      <c r="A12450">
        <f>TEST_DATA!A12450</f>
        <v/>
      </c>
      <c r="B12450">
        <f>TEST_DATA!B12450</f>
        <v/>
      </c>
      <c r="C12450">
        <f>TEST_DATA!C12450</f>
        <v/>
      </c>
      <c r="D12450">
        <f>TEST_DATA!D12450</f>
        <v/>
      </c>
      <c r="E12450">
        <f>TEST_DATA!E12450</f>
        <v/>
      </c>
    </row>
    <row r="12451">
      <c r="A12451">
        <f>TEST_DATA!A12451</f>
        <v/>
      </c>
      <c r="B12451">
        <f>TEST_DATA!B12451</f>
        <v/>
      </c>
      <c r="C12451">
        <f>TEST_DATA!C12451</f>
        <v/>
      </c>
      <c r="D12451">
        <f>TEST_DATA!D12451</f>
        <v/>
      </c>
      <c r="E12451">
        <f>TEST_DATA!E12451</f>
        <v/>
      </c>
    </row>
    <row r="12452">
      <c r="A12452">
        <f>TEST_DATA!A12452</f>
        <v/>
      </c>
      <c r="B12452">
        <f>TEST_DATA!B12452</f>
        <v/>
      </c>
      <c r="C12452">
        <f>TEST_DATA!C12452</f>
        <v/>
      </c>
      <c r="D12452">
        <f>TEST_DATA!D12452</f>
        <v/>
      </c>
      <c r="E12452">
        <f>TEST_DATA!E12452</f>
        <v/>
      </c>
    </row>
    <row r="12453">
      <c r="A12453">
        <f>TEST_DATA!A12453</f>
        <v/>
      </c>
      <c r="B12453">
        <f>TEST_DATA!B12453</f>
        <v/>
      </c>
      <c r="C12453">
        <f>TEST_DATA!C12453</f>
        <v/>
      </c>
      <c r="D12453">
        <f>TEST_DATA!D12453</f>
        <v/>
      </c>
      <c r="E12453">
        <f>TEST_DATA!E12453</f>
        <v/>
      </c>
    </row>
    <row r="12454">
      <c r="A12454">
        <f>TEST_DATA!A12454</f>
        <v/>
      </c>
      <c r="B12454">
        <f>TEST_DATA!B12454</f>
        <v/>
      </c>
      <c r="C12454">
        <f>TEST_DATA!C12454</f>
        <v/>
      </c>
      <c r="D12454">
        <f>TEST_DATA!D12454</f>
        <v/>
      </c>
      <c r="E12454">
        <f>TEST_DATA!E12454</f>
        <v/>
      </c>
    </row>
    <row r="12455">
      <c r="A12455">
        <f>TEST_DATA!A12455</f>
        <v/>
      </c>
      <c r="B12455">
        <f>TEST_DATA!B12455</f>
        <v/>
      </c>
      <c r="C12455">
        <f>TEST_DATA!C12455</f>
        <v/>
      </c>
      <c r="D12455">
        <f>TEST_DATA!D12455</f>
        <v/>
      </c>
      <c r="E12455">
        <f>TEST_DATA!E12455</f>
        <v/>
      </c>
    </row>
    <row r="12456">
      <c r="A12456">
        <f>TEST_DATA!A12456</f>
        <v/>
      </c>
      <c r="B12456">
        <f>TEST_DATA!B12456</f>
        <v/>
      </c>
      <c r="C12456">
        <f>TEST_DATA!C12456</f>
        <v/>
      </c>
      <c r="D12456">
        <f>TEST_DATA!D12456</f>
        <v/>
      </c>
      <c r="E12456">
        <f>TEST_DATA!E12456</f>
        <v/>
      </c>
    </row>
    <row r="12457">
      <c r="A12457">
        <f>TEST_DATA!A12457</f>
        <v/>
      </c>
      <c r="B12457">
        <f>TEST_DATA!B12457</f>
        <v/>
      </c>
      <c r="C12457">
        <f>TEST_DATA!C12457</f>
        <v/>
      </c>
      <c r="D12457">
        <f>TEST_DATA!D12457</f>
        <v/>
      </c>
      <c r="E12457">
        <f>TEST_DATA!E12457</f>
        <v/>
      </c>
    </row>
    <row r="12458">
      <c r="A12458">
        <f>TEST_DATA!A12458</f>
        <v/>
      </c>
      <c r="B12458">
        <f>TEST_DATA!B12458</f>
        <v/>
      </c>
      <c r="C12458">
        <f>TEST_DATA!C12458</f>
        <v/>
      </c>
      <c r="D12458">
        <f>TEST_DATA!D12458</f>
        <v/>
      </c>
      <c r="E12458">
        <f>TEST_DATA!E12458</f>
        <v/>
      </c>
    </row>
    <row r="12459">
      <c r="A12459">
        <f>TEST_DATA!A12459</f>
        <v/>
      </c>
      <c r="B12459">
        <f>TEST_DATA!B12459</f>
        <v/>
      </c>
      <c r="C12459">
        <f>TEST_DATA!C12459</f>
        <v/>
      </c>
      <c r="D12459">
        <f>TEST_DATA!D12459</f>
        <v/>
      </c>
      <c r="E12459">
        <f>TEST_DATA!E12459</f>
        <v/>
      </c>
    </row>
    <row r="12460">
      <c r="A12460">
        <f>TEST_DATA!A12460</f>
        <v/>
      </c>
      <c r="B12460">
        <f>TEST_DATA!B12460</f>
        <v/>
      </c>
      <c r="C12460">
        <f>TEST_DATA!C12460</f>
        <v/>
      </c>
      <c r="D12460">
        <f>TEST_DATA!D12460</f>
        <v/>
      </c>
      <c r="E12460">
        <f>TEST_DATA!E12460</f>
        <v/>
      </c>
    </row>
    <row r="12461">
      <c r="A12461">
        <f>TEST_DATA!A12461</f>
        <v/>
      </c>
      <c r="B12461">
        <f>TEST_DATA!B12461</f>
        <v/>
      </c>
      <c r="C12461">
        <f>TEST_DATA!C12461</f>
        <v/>
      </c>
      <c r="D12461">
        <f>TEST_DATA!D12461</f>
        <v/>
      </c>
      <c r="E12461">
        <f>TEST_DATA!E12461</f>
        <v/>
      </c>
    </row>
    <row r="12462">
      <c r="A12462">
        <f>TEST_DATA!A12462</f>
        <v/>
      </c>
      <c r="B12462">
        <f>TEST_DATA!B12462</f>
        <v/>
      </c>
      <c r="C12462">
        <f>TEST_DATA!C12462</f>
        <v/>
      </c>
      <c r="D12462">
        <f>TEST_DATA!D12462</f>
        <v/>
      </c>
      <c r="E12462">
        <f>TEST_DATA!E12462</f>
        <v/>
      </c>
    </row>
    <row r="12463">
      <c r="A12463">
        <f>TEST_DATA!A12463</f>
        <v/>
      </c>
      <c r="B12463">
        <f>TEST_DATA!B12463</f>
        <v/>
      </c>
      <c r="C12463">
        <f>TEST_DATA!C12463</f>
        <v/>
      </c>
      <c r="D12463">
        <f>TEST_DATA!D12463</f>
        <v/>
      </c>
      <c r="E12463">
        <f>TEST_DATA!E12463</f>
        <v/>
      </c>
    </row>
    <row r="12464">
      <c r="A12464">
        <f>TEST_DATA!A12464</f>
        <v/>
      </c>
      <c r="B12464">
        <f>TEST_DATA!B12464</f>
        <v/>
      </c>
      <c r="C12464">
        <f>TEST_DATA!C12464</f>
        <v/>
      </c>
      <c r="D12464">
        <f>TEST_DATA!D12464</f>
        <v/>
      </c>
      <c r="E12464">
        <f>TEST_DATA!E12464</f>
        <v/>
      </c>
    </row>
    <row r="12465">
      <c r="A12465">
        <f>TEST_DATA!A12465</f>
        <v/>
      </c>
      <c r="B12465">
        <f>TEST_DATA!B12465</f>
        <v/>
      </c>
      <c r="C12465">
        <f>TEST_DATA!C12465</f>
        <v/>
      </c>
      <c r="D12465">
        <f>TEST_DATA!D12465</f>
        <v/>
      </c>
      <c r="E12465">
        <f>TEST_DATA!E12465</f>
        <v/>
      </c>
    </row>
    <row r="12466">
      <c r="A12466">
        <f>TEST_DATA!A12466</f>
        <v/>
      </c>
      <c r="B12466">
        <f>TEST_DATA!B12466</f>
        <v/>
      </c>
      <c r="C12466">
        <f>TEST_DATA!C12466</f>
        <v/>
      </c>
      <c r="D12466">
        <f>TEST_DATA!D12466</f>
        <v/>
      </c>
      <c r="E12466">
        <f>TEST_DATA!E12466</f>
        <v/>
      </c>
    </row>
    <row r="12467">
      <c r="A12467">
        <f>TEST_DATA!A12467</f>
        <v/>
      </c>
      <c r="B12467">
        <f>TEST_DATA!B12467</f>
        <v/>
      </c>
      <c r="C12467">
        <f>TEST_DATA!C12467</f>
        <v/>
      </c>
      <c r="D12467">
        <f>TEST_DATA!D12467</f>
        <v/>
      </c>
      <c r="E12467">
        <f>TEST_DATA!E12467</f>
        <v/>
      </c>
    </row>
    <row r="12468">
      <c r="A12468">
        <f>TEST_DATA!A12468</f>
        <v/>
      </c>
      <c r="B12468">
        <f>TEST_DATA!B12468</f>
        <v/>
      </c>
      <c r="C12468">
        <f>TEST_DATA!C12468</f>
        <v/>
      </c>
      <c r="D12468">
        <f>TEST_DATA!D12468</f>
        <v/>
      </c>
      <c r="E12468">
        <f>TEST_DATA!E12468</f>
        <v/>
      </c>
    </row>
    <row r="12469">
      <c r="A12469">
        <f>TEST_DATA!A12469</f>
        <v/>
      </c>
      <c r="B12469">
        <f>TEST_DATA!B12469</f>
        <v/>
      </c>
      <c r="C12469">
        <f>TEST_DATA!C12469</f>
        <v/>
      </c>
      <c r="D12469">
        <f>TEST_DATA!D12469</f>
        <v/>
      </c>
      <c r="E12469">
        <f>TEST_DATA!E12469</f>
        <v/>
      </c>
    </row>
    <row r="12470">
      <c r="A12470">
        <f>TEST_DATA!A12470</f>
        <v/>
      </c>
      <c r="B12470">
        <f>TEST_DATA!B12470</f>
        <v/>
      </c>
      <c r="C12470">
        <f>TEST_DATA!C12470</f>
        <v/>
      </c>
      <c r="D12470">
        <f>TEST_DATA!D12470</f>
        <v/>
      </c>
      <c r="E12470">
        <f>TEST_DATA!E12470</f>
        <v/>
      </c>
    </row>
    <row r="12471">
      <c r="A12471">
        <f>TEST_DATA!A12471</f>
        <v/>
      </c>
      <c r="B12471">
        <f>TEST_DATA!B12471</f>
        <v/>
      </c>
      <c r="C12471">
        <f>TEST_DATA!C12471</f>
        <v/>
      </c>
      <c r="D12471">
        <f>TEST_DATA!D12471</f>
        <v/>
      </c>
      <c r="E12471">
        <f>TEST_DATA!E12471</f>
        <v/>
      </c>
    </row>
    <row r="12472">
      <c r="A12472">
        <f>TEST_DATA!A12472</f>
        <v/>
      </c>
      <c r="B12472">
        <f>TEST_DATA!B12472</f>
        <v/>
      </c>
      <c r="C12472">
        <f>TEST_DATA!C12472</f>
        <v/>
      </c>
      <c r="D12472">
        <f>TEST_DATA!D12472</f>
        <v/>
      </c>
      <c r="E12472">
        <f>TEST_DATA!E12472</f>
        <v/>
      </c>
    </row>
    <row r="12473">
      <c r="A12473">
        <f>TEST_DATA!A12473</f>
        <v/>
      </c>
      <c r="B12473">
        <f>TEST_DATA!B12473</f>
        <v/>
      </c>
      <c r="C12473">
        <f>TEST_DATA!C12473</f>
        <v/>
      </c>
      <c r="D12473">
        <f>TEST_DATA!D12473</f>
        <v/>
      </c>
      <c r="E12473">
        <f>TEST_DATA!E12473</f>
        <v/>
      </c>
    </row>
    <row r="12474">
      <c r="A12474">
        <f>TEST_DATA!A12474</f>
        <v/>
      </c>
      <c r="B12474">
        <f>TEST_DATA!B12474</f>
        <v/>
      </c>
      <c r="C12474">
        <f>TEST_DATA!C12474</f>
        <v/>
      </c>
      <c r="D12474">
        <f>TEST_DATA!D12474</f>
        <v/>
      </c>
      <c r="E12474">
        <f>TEST_DATA!E12474</f>
        <v/>
      </c>
    </row>
    <row r="12475">
      <c r="A12475">
        <f>TEST_DATA!A12475</f>
        <v/>
      </c>
      <c r="B12475">
        <f>TEST_DATA!B12475</f>
        <v/>
      </c>
      <c r="C12475">
        <f>TEST_DATA!C12475</f>
        <v/>
      </c>
      <c r="D12475">
        <f>TEST_DATA!D12475</f>
        <v/>
      </c>
      <c r="E12475">
        <f>TEST_DATA!E12475</f>
        <v/>
      </c>
    </row>
    <row r="12476">
      <c r="A12476">
        <f>TEST_DATA!A12476</f>
        <v/>
      </c>
      <c r="B12476">
        <f>TEST_DATA!B12476</f>
        <v/>
      </c>
      <c r="C12476">
        <f>TEST_DATA!C12476</f>
        <v/>
      </c>
      <c r="D12476">
        <f>TEST_DATA!D12476</f>
        <v/>
      </c>
      <c r="E12476">
        <f>TEST_DATA!E12476</f>
        <v/>
      </c>
    </row>
    <row r="12477">
      <c r="A12477">
        <f>TEST_DATA!A12477</f>
        <v/>
      </c>
      <c r="B12477">
        <f>TEST_DATA!B12477</f>
        <v/>
      </c>
      <c r="C12477">
        <f>TEST_DATA!C12477</f>
        <v/>
      </c>
      <c r="D12477">
        <f>TEST_DATA!D12477</f>
        <v/>
      </c>
      <c r="E12477">
        <f>TEST_DATA!E12477</f>
        <v/>
      </c>
    </row>
    <row r="12478">
      <c r="A12478">
        <f>TEST_DATA!A12478</f>
        <v/>
      </c>
      <c r="B12478">
        <f>TEST_DATA!B12478</f>
        <v/>
      </c>
      <c r="C12478">
        <f>TEST_DATA!C12478</f>
        <v/>
      </c>
      <c r="D12478">
        <f>TEST_DATA!D12478</f>
        <v/>
      </c>
      <c r="E12478">
        <f>TEST_DATA!E12478</f>
        <v/>
      </c>
    </row>
    <row r="12479">
      <c r="A12479">
        <f>TEST_DATA!A12479</f>
        <v/>
      </c>
      <c r="B12479">
        <f>TEST_DATA!B12479</f>
        <v/>
      </c>
      <c r="C12479">
        <f>TEST_DATA!C12479</f>
        <v/>
      </c>
      <c r="D12479">
        <f>TEST_DATA!D12479</f>
        <v/>
      </c>
      <c r="E12479">
        <f>TEST_DATA!E12479</f>
        <v/>
      </c>
    </row>
    <row r="12480">
      <c r="A12480">
        <f>TEST_DATA!A12480</f>
        <v/>
      </c>
      <c r="B12480">
        <f>TEST_DATA!B12480</f>
        <v/>
      </c>
      <c r="C12480">
        <f>TEST_DATA!C12480</f>
        <v/>
      </c>
      <c r="D12480">
        <f>TEST_DATA!D12480</f>
        <v/>
      </c>
      <c r="E12480">
        <f>TEST_DATA!E12480</f>
        <v/>
      </c>
    </row>
    <row r="12481">
      <c r="A12481">
        <f>TEST_DATA!A12481</f>
        <v/>
      </c>
      <c r="B12481">
        <f>TEST_DATA!B12481</f>
        <v/>
      </c>
      <c r="C12481">
        <f>TEST_DATA!C12481</f>
        <v/>
      </c>
      <c r="D12481">
        <f>TEST_DATA!D12481</f>
        <v/>
      </c>
      <c r="E12481">
        <f>TEST_DATA!E12481</f>
        <v/>
      </c>
    </row>
    <row r="12482">
      <c r="A12482">
        <f>TEST_DATA!A12482</f>
        <v/>
      </c>
      <c r="B12482">
        <f>TEST_DATA!B12482</f>
        <v/>
      </c>
      <c r="C12482">
        <f>TEST_DATA!C12482</f>
        <v/>
      </c>
      <c r="D12482">
        <f>TEST_DATA!D12482</f>
        <v/>
      </c>
      <c r="E12482">
        <f>TEST_DATA!E12482</f>
        <v/>
      </c>
    </row>
    <row r="12483">
      <c r="A12483">
        <f>TEST_DATA!A12483</f>
        <v/>
      </c>
      <c r="B12483">
        <f>TEST_DATA!B12483</f>
        <v/>
      </c>
      <c r="C12483">
        <f>TEST_DATA!C12483</f>
        <v/>
      </c>
      <c r="D12483">
        <f>TEST_DATA!D12483</f>
        <v/>
      </c>
      <c r="E12483">
        <f>TEST_DATA!E12483</f>
        <v/>
      </c>
    </row>
    <row r="12484">
      <c r="A12484">
        <f>TEST_DATA!A12484</f>
        <v/>
      </c>
      <c r="B12484">
        <f>TEST_DATA!B12484</f>
        <v/>
      </c>
      <c r="C12484">
        <f>TEST_DATA!C12484</f>
        <v/>
      </c>
      <c r="D12484">
        <f>TEST_DATA!D12484</f>
        <v/>
      </c>
      <c r="E12484">
        <f>TEST_DATA!E12484</f>
        <v/>
      </c>
    </row>
    <row r="12485">
      <c r="A12485">
        <f>TEST_DATA!A12485</f>
        <v/>
      </c>
      <c r="B12485">
        <f>TEST_DATA!B12485</f>
        <v/>
      </c>
      <c r="C12485">
        <f>TEST_DATA!C12485</f>
        <v/>
      </c>
      <c r="D12485">
        <f>TEST_DATA!D12485</f>
        <v/>
      </c>
      <c r="E12485">
        <f>TEST_DATA!E12485</f>
        <v/>
      </c>
    </row>
    <row r="12486">
      <c r="A12486">
        <f>TEST_DATA!A12486</f>
        <v/>
      </c>
      <c r="B12486">
        <f>TEST_DATA!B12486</f>
        <v/>
      </c>
      <c r="C12486">
        <f>TEST_DATA!C12486</f>
        <v/>
      </c>
      <c r="D12486">
        <f>TEST_DATA!D12486</f>
        <v/>
      </c>
      <c r="E12486">
        <f>TEST_DATA!E12486</f>
        <v/>
      </c>
    </row>
    <row r="12487">
      <c r="A12487">
        <f>TEST_DATA!A12487</f>
        <v/>
      </c>
      <c r="B12487">
        <f>TEST_DATA!B12487</f>
        <v/>
      </c>
      <c r="C12487">
        <f>TEST_DATA!C12487</f>
        <v/>
      </c>
      <c r="D12487">
        <f>TEST_DATA!D12487</f>
        <v/>
      </c>
      <c r="E12487">
        <f>TEST_DATA!E12487</f>
        <v/>
      </c>
    </row>
    <row r="12488">
      <c r="A12488">
        <f>TEST_DATA!A12488</f>
        <v/>
      </c>
      <c r="B12488">
        <f>TEST_DATA!B12488</f>
        <v/>
      </c>
      <c r="C12488">
        <f>TEST_DATA!C12488</f>
        <v/>
      </c>
      <c r="D12488">
        <f>TEST_DATA!D12488</f>
        <v/>
      </c>
      <c r="E12488">
        <f>TEST_DATA!E12488</f>
        <v/>
      </c>
    </row>
    <row r="12489">
      <c r="A12489">
        <f>TEST_DATA!A12489</f>
        <v/>
      </c>
      <c r="B12489">
        <f>TEST_DATA!B12489</f>
        <v/>
      </c>
      <c r="C12489">
        <f>TEST_DATA!C12489</f>
        <v/>
      </c>
      <c r="D12489">
        <f>TEST_DATA!D12489</f>
        <v/>
      </c>
      <c r="E12489">
        <f>TEST_DATA!E12489</f>
        <v/>
      </c>
    </row>
    <row r="12490">
      <c r="A12490">
        <f>TEST_DATA!A12490</f>
        <v/>
      </c>
      <c r="B12490">
        <f>TEST_DATA!B12490</f>
        <v/>
      </c>
      <c r="C12490">
        <f>TEST_DATA!C12490</f>
        <v/>
      </c>
      <c r="D12490">
        <f>TEST_DATA!D12490</f>
        <v/>
      </c>
      <c r="E12490">
        <f>TEST_DATA!E12490</f>
        <v/>
      </c>
    </row>
    <row r="12491">
      <c r="A12491">
        <f>TEST_DATA!A12491</f>
        <v/>
      </c>
      <c r="B12491">
        <f>TEST_DATA!B12491</f>
        <v/>
      </c>
      <c r="C12491">
        <f>TEST_DATA!C12491</f>
        <v/>
      </c>
      <c r="D12491">
        <f>TEST_DATA!D12491</f>
        <v/>
      </c>
      <c r="E12491">
        <f>TEST_DATA!E12491</f>
        <v/>
      </c>
    </row>
    <row r="12492">
      <c r="A12492">
        <f>TEST_DATA!A12492</f>
        <v/>
      </c>
      <c r="B12492">
        <f>TEST_DATA!B12492</f>
        <v/>
      </c>
      <c r="C12492">
        <f>TEST_DATA!C12492</f>
        <v/>
      </c>
      <c r="D12492">
        <f>TEST_DATA!D12492</f>
        <v/>
      </c>
      <c r="E12492">
        <f>TEST_DATA!E12492</f>
        <v/>
      </c>
    </row>
    <row r="12493">
      <c r="A12493">
        <f>TEST_DATA!A12493</f>
        <v/>
      </c>
      <c r="B12493">
        <f>TEST_DATA!B12493</f>
        <v/>
      </c>
      <c r="C12493">
        <f>TEST_DATA!C12493</f>
        <v/>
      </c>
      <c r="D12493">
        <f>TEST_DATA!D12493</f>
        <v/>
      </c>
      <c r="E12493">
        <f>TEST_DATA!E12493</f>
        <v/>
      </c>
    </row>
    <row r="12494">
      <c r="A12494">
        <f>TEST_DATA!A12494</f>
        <v/>
      </c>
      <c r="B12494">
        <f>TEST_DATA!B12494</f>
        <v/>
      </c>
      <c r="C12494">
        <f>TEST_DATA!C12494</f>
        <v/>
      </c>
      <c r="D12494">
        <f>TEST_DATA!D12494</f>
        <v/>
      </c>
      <c r="E12494">
        <f>TEST_DATA!E12494</f>
        <v/>
      </c>
    </row>
    <row r="12495">
      <c r="A12495">
        <f>TEST_DATA!A12495</f>
        <v/>
      </c>
      <c r="B12495">
        <f>TEST_DATA!B12495</f>
        <v/>
      </c>
      <c r="C12495">
        <f>TEST_DATA!C12495</f>
        <v/>
      </c>
      <c r="D12495">
        <f>TEST_DATA!D12495</f>
        <v/>
      </c>
      <c r="E12495">
        <f>TEST_DATA!E12495</f>
        <v/>
      </c>
    </row>
    <row r="12496">
      <c r="A12496">
        <f>TEST_DATA!A12496</f>
        <v/>
      </c>
      <c r="B12496">
        <f>TEST_DATA!B12496</f>
        <v/>
      </c>
      <c r="C12496">
        <f>TEST_DATA!C12496</f>
        <v/>
      </c>
      <c r="D12496">
        <f>TEST_DATA!D12496</f>
        <v/>
      </c>
      <c r="E12496">
        <f>TEST_DATA!E12496</f>
        <v/>
      </c>
    </row>
    <row r="12497">
      <c r="A12497">
        <f>TEST_DATA!A12497</f>
        <v/>
      </c>
      <c r="B12497">
        <f>TEST_DATA!B12497</f>
        <v/>
      </c>
      <c r="C12497">
        <f>TEST_DATA!C12497</f>
        <v/>
      </c>
      <c r="D12497">
        <f>TEST_DATA!D12497</f>
        <v/>
      </c>
      <c r="E12497">
        <f>TEST_DATA!E12497</f>
        <v/>
      </c>
    </row>
    <row r="12498">
      <c r="A12498">
        <f>TEST_DATA!A12498</f>
        <v/>
      </c>
      <c r="B12498">
        <f>TEST_DATA!B12498</f>
        <v/>
      </c>
      <c r="C12498">
        <f>TEST_DATA!C12498</f>
        <v/>
      </c>
      <c r="D12498">
        <f>TEST_DATA!D12498</f>
        <v/>
      </c>
      <c r="E12498">
        <f>TEST_DATA!E12498</f>
        <v/>
      </c>
    </row>
    <row r="12499">
      <c r="A12499">
        <f>TEST_DATA!A12499</f>
        <v/>
      </c>
      <c r="B12499">
        <f>TEST_DATA!B12499</f>
        <v/>
      </c>
      <c r="C12499">
        <f>TEST_DATA!C12499</f>
        <v/>
      </c>
      <c r="D12499">
        <f>TEST_DATA!D12499</f>
        <v/>
      </c>
      <c r="E12499">
        <f>TEST_DATA!E12499</f>
        <v/>
      </c>
    </row>
    <row r="12500">
      <c r="A12500">
        <f>TEST_DATA!A12500</f>
        <v/>
      </c>
      <c r="B12500">
        <f>TEST_DATA!B12500</f>
        <v/>
      </c>
      <c r="C12500">
        <f>TEST_DATA!C12500</f>
        <v/>
      </c>
      <c r="D12500">
        <f>TEST_DATA!D12500</f>
        <v/>
      </c>
      <c r="E12500">
        <f>TEST_DATA!E12500</f>
        <v/>
      </c>
    </row>
    <row r="12501">
      <c r="A12501">
        <f>TEST_DATA!A12501</f>
        <v/>
      </c>
      <c r="B12501">
        <f>TEST_DATA!B12501</f>
        <v/>
      </c>
      <c r="C12501">
        <f>TEST_DATA!C12501</f>
        <v/>
      </c>
      <c r="D12501">
        <f>TEST_DATA!D12501</f>
        <v/>
      </c>
      <c r="E12501">
        <f>TEST_DATA!E12501</f>
        <v/>
      </c>
    </row>
    <row r="12502">
      <c r="A12502">
        <f>TEST_DATA!A12502</f>
        <v/>
      </c>
      <c r="B12502">
        <f>TEST_DATA!B12502</f>
        <v/>
      </c>
      <c r="C12502">
        <f>TEST_DATA!C12502</f>
        <v/>
      </c>
      <c r="D12502">
        <f>TEST_DATA!D12502</f>
        <v/>
      </c>
      <c r="E12502">
        <f>TEST_DATA!E12502</f>
        <v/>
      </c>
    </row>
    <row r="12503">
      <c r="A12503">
        <f>TEST_DATA!A12503</f>
        <v/>
      </c>
      <c r="B12503">
        <f>TEST_DATA!B12503</f>
        <v/>
      </c>
      <c r="C12503">
        <f>TEST_DATA!C12503</f>
        <v/>
      </c>
      <c r="D12503">
        <f>TEST_DATA!D12503</f>
        <v/>
      </c>
      <c r="E12503">
        <f>TEST_DATA!E12503</f>
        <v/>
      </c>
    </row>
    <row r="12504">
      <c r="A12504">
        <f>TEST_DATA!A12504</f>
        <v/>
      </c>
      <c r="B12504">
        <f>TEST_DATA!B12504</f>
        <v/>
      </c>
      <c r="C12504">
        <f>TEST_DATA!C12504</f>
        <v/>
      </c>
      <c r="D12504">
        <f>TEST_DATA!D12504</f>
        <v/>
      </c>
      <c r="E12504">
        <f>TEST_DATA!E12504</f>
        <v/>
      </c>
    </row>
    <row r="12505">
      <c r="A12505">
        <f>TEST_DATA!A12505</f>
        <v/>
      </c>
      <c r="B12505">
        <f>TEST_DATA!B12505</f>
        <v/>
      </c>
      <c r="C12505">
        <f>TEST_DATA!C12505</f>
        <v/>
      </c>
      <c r="D12505">
        <f>TEST_DATA!D12505</f>
        <v/>
      </c>
      <c r="E12505">
        <f>TEST_DATA!E12505</f>
        <v/>
      </c>
    </row>
    <row r="12506">
      <c r="A12506">
        <f>TEST_DATA!A12506</f>
        <v/>
      </c>
      <c r="B12506">
        <f>TEST_DATA!B12506</f>
        <v/>
      </c>
      <c r="C12506">
        <f>TEST_DATA!C12506</f>
        <v/>
      </c>
      <c r="D12506">
        <f>TEST_DATA!D12506</f>
        <v/>
      </c>
      <c r="E12506">
        <f>TEST_DATA!E12506</f>
        <v/>
      </c>
    </row>
    <row r="12507">
      <c r="A12507">
        <f>TEST_DATA!A12507</f>
        <v/>
      </c>
      <c r="B12507">
        <f>TEST_DATA!B12507</f>
        <v/>
      </c>
      <c r="C12507">
        <f>TEST_DATA!C12507</f>
        <v/>
      </c>
      <c r="D12507">
        <f>TEST_DATA!D12507</f>
        <v/>
      </c>
      <c r="E12507">
        <f>TEST_DATA!E12507</f>
        <v/>
      </c>
    </row>
    <row r="12508">
      <c r="A12508">
        <f>TEST_DATA!A12508</f>
        <v/>
      </c>
      <c r="B12508">
        <f>TEST_DATA!B12508</f>
        <v/>
      </c>
      <c r="C12508">
        <f>TEST_DATA!C12508</f>
        <v/>
      </c>
      <c r="D12508">
        <f>TEST_DATA!D12508</f>
        <v/>
      </c>
      <c r="E12508">
        <f>TEST_DATA!E12508</f>
        <v/>
      </c>
    </row>
    <row r="12509">
      <c r="A12509">
        <f>TEST_DATA!A12509</f>
        <v/>
      </c>
      <c r="B12509">
        <f>TEST_DATA!B12509</f>
        <v/>
      </c>
      <c r="C12509">
        <f>TEST_DATA!C12509</f>
        <v/>
      </c>
      <c r="D12509">
        <f>TEST_DATA!D12509</f>
        <v/>
      </c>
      <c r="E12509">
        <f>TEST_DATA!E12509</f>
        <v/>
      </c>
    </row>
    <row r="12510">
      <c r="A12510">
        <f>TEST_DATA!A12510</f>
        <v/>
      </c>
      <c r="B12510">
        <f>TEST_DATA!B12510</f>
        <v/>
      </c>
      <c r="C12510">
        <f>TEST_DATA!C12510</f>
        <v/>
      </c>
      <c r="D12510">
        <f>TEST_DATA!D12510</f>
        <v/>
      </c>
      <c r="E12510">
        <f>TEST_DATA!E12510</f>
        <v/>
      </c>
    </row>
    <row r="12511">
      <c r="A12511">
        <f>TEST_DATA!A12511</f>
        <v/>
      </c>
      <c r="B12511">
        <f>TEST_DATA!B12511</f>
        <v/>
      </c>
      <c r="C12511">
        <f>TEST_DATA!C12511</f>
        <v/>
      </c>
      <c r="D12511">
        <f>TEST_DATA!D12511</f>
        <v/>
      </c>
      <c r="E12511">
        <f>TEST_DATA!E12511</f>
        <v/>
      </c>
    </row>
    <row r="12512">
      <c r="A12512">
        <f>TEST_DATA!A12512</f>
        <v/>
      </c>
      <c r="B12512">
        <f>TEST_DATA!B12512</f>
        <v/>
      </c>
      <c r="C12512">
        <f>TEST_DATA!C12512</f>
        <v/>
      </c>
      <c r="D12512">
        <f>TEST_DATA!D12512</f>
        <v/>
      </c>
      <c r="E12512">
        <f>TEST_DATA!E12512</f>
        <v/>
      </c>
    </row>
    <row r="12513">
      <c r="A12513">
        <f>TEST_DATA!A12513</f>
        <v/>
      </c>
      <c r="B12513">
        <f>TEST_DATA!B12513</f>
        <v/>
      </c>
      <c r="C12513">
        <f>TEST_DATA!C12513</f>
        <v/>
      </c>
      <c r="D12513">
        <f>TEST_DATA!D12513</f>
        <v/>
      </c>
      <c r="E12513">
        <f>TEST_DATA!E12513</f>
        <v/>
      </c>
    </row>
    <row r="12514">
      <c r="A12514">
        <f>TEST_DATA!A12514</f>
        <v/>
      </c>
      <c r="B12514">
        <f>TEST_DATA!B12514</f>
        <v/>
      </c>
      <c r="C12514">
        <f>TEST_DATA!C12514</f>
        <v/>
      </c>
      <c r="D12514">
        <f>TEST_DATA!D12514</f>
        <v/>
      </c>
      <c r="E12514">
        <f>TEST_DATA!E12514</f>
        <v/>
      </c>
    </row>
    <row r="12515">
      <c r="A12515">
        <f>TEST_DATA!A12515</f>
        <v/>
      </c>
      <c r="B12515">
        <f>TEST_DATA!B12515</f>
        <v/>
      </c>
      <c r="C12515">
        <f>TEST_DATA!C12515</f>
        <v/>
      </c>
      <c r="D12515">
        <f>TEST_DATA!D12515</f>
        <v/>
      </c>
      <c r="E12515">
        <f>TEST_DATA!E12515</f>
        <v/>
      </c>
    </row>
    <row r="12516">
      <c r="A12516">
        <f>TEST_DATA!A12516</f>
        <v/>
      </c>
      <c r="B12516">
        <f>TEST_DATA!B12516</f>
        <v/>
      </c>
      <c r="C12516">
        <f>TEST_DATA!C12516</f>
        <v/>
      </c>
      <c r="D12516">
        <f>TEST_DATA!D12516</f>
        <v/>
      </c>
      <c r="E12516">
        <f>TEST_DATA!E12516</f>
        <v/>
      </c>
    </row>
    <row r="12517">
      <c r="A12517">
        <f>TEST_DATA!A12517</f>
        <v/>
      </c>
      <c r="B12517">
        <f>TEST_DATA!B12517</f>
        <v/>
      </c>
      <c r="C12517">
        <f>TEST_DATA!C12517</f>
        <v/>
      </c>
      <c r="D12517">
        <f>TEST_DATA!D12517</f>
        <v/>
      </c>
      <c r="E12517">
        <f>TEST_DATA!E12517</f>
        <v/>
      </c>
    </row>
    <row r="12518">
      <c r="A12518">
        <f>TEST_DATA!A12518</f>
        <v/>
      </c>
      <c r="B12518">
        <f>TEST_DATA!B12518</f>
        <v/>
      </c>
      <c r="C12518">
        <f>TEST_DATA!C12518</f>
        <v/>
      </c>
      <c r="D12518">
        <f>TEST_DATA!D12518</f>
        <v/>
      </c>
      <c r="E12518">
        <f>TEST_DATA!E12518</f>
        <v/>
      </c>
    </row>
    <row r="12519">
      <c r="A12519">
        <f>TEST_DATA!A12519</f>
        <v/>
      </c>
      <c r="B12519">
        <f>TEST_DATA!B12519</f>
        <v/>
      </c>
      <c r="C12519">
        <f>TEST_DATA!C12519</f>
        <v/>
      </c>
      <c r="D12519">
        <f>TEST_DATA!D12519</f>
        <v/>
      </c>
      <c r="E12519">
        <f>TEST_DATA!E12519</f>
        <v/>
      </c>
    </row>
    <row r="12520">
      <c r="A12520">
        <f>TEST_DATA!A12520</f>
        <v/>
      </c>
      <c r="B12520">
        <f>TEST_DATA!B12520</f>
        <v/>
      </c>
      <c r="C12520">
        <f>TEST_DATA!C12520</f>
        <v/>
      </c>
      <c r="D12520">
        <f>TEST_DATA!D12520</f>
        <v/>
      </c>
      <c r="E12520">
        <f>TEST_DATA!E12520</f>
        <v/>
      </c>
    </row>
    <row r="12521">
      <c r="A12521">
        <f>TEST_DATA!A12521</f>
        <v/>
      </c>
      <c r="B12521">
        <f>TEST_DATA!B12521</f>
        <v/>
      </c>
      <c r="C12521">
        <f>TEST_DATA!C12521</f>
        <v/>
      </c>
      <c r="D12521">
        <f>TEST_DATA!D12521</f>
        <v/>
      </c>
      <c r="E12521">
        <f>TEST_DATA!E12521</f>
        <v/>
      </c>
    </row>
    <row r="12522">
      <c r="A12522">
        <f>TEST_DATA!A12522</f>
        <v/>
      </c>
      <c r="B12522">
        <f>TEST_DATA!B12522</f>
        <v/>
      </c>
      <c r="C12522">
        <f>TEST_DATA!C12522</f>
        <v/>
      </c>
      <c r="D12522">
        <f>TEST_DATA!D12522</f>
        <v/>
      </c>
      <c r="E12522">
        <f>TEST_DATA!E12522</f>
        <v/>
      </c>
    </row>
    <row r="12523">
      <c r="A12523">
        <f>TEST_DATA!A12523</f>
        <v/>
      </c>
      <c r="B12523">
        <f>TEST_DATA!B12523</f>
        <v/>
      </c>
      <c r="C12523">
        <f>TEST_DATA!C12523</f>
        <v/>
      </c>
      <c r="D12523">
        <f>TEST_DATA!D12523</f>
        <v/>
      </c>
      <c r="E12523">
        <f>TEST_DATA!E12523</f>
        <v/>
      </c>
    </row>
    <row r="12524">
      <c r="A12524">
        <f>TEST_DATA!A12524</f>
        <v/>
      </c>
      <c r="B12524">
        <f>TEST_DATA!B12524</f>
        <v/>
      </c>
      <c r="C12524">
        <f>TEST_DATA!C12524</f>
        <v/>
      </c>
      <c r="D12524">
        <f>TEST_DATA!D12524</f>
        <v/>
      </c>
      <c r="E12524">
        <f>TEST_DATA!E12524</f>
        <v/>
      </c>
    </row>
    <row r="12525">
      <c r="A12525">
        <f>TEST_DATA!A12525</f>
        <v/>
      </c>
      <c r="B12525">
        <f>TEST_DATA!B12525</f>
        <v/>
      </c>
      <c r="C12525">
        <f>TEST_DATA!C12525</f>
        <v/>
      </c>
      <c r="D12525">
        <f>TEST_DATA!D12525</f>
        <v/>
      </c>
      <c r="E12525">
        <f>TEST_DATA!E12525</f>
        <v/>
      </c>
    </row>
    <row r="12526">
      <c r="A12526">
        <f>TEST_DATA!A12526</f>
        <v/>
      </c>
      <c r="B12526">
        <f>TEST_DATA!B12526</f>
        <v/>
      </c>
      <c r="C12526">
        <f>TEST_DATA!C12526</f>
        <v/>
      </c>
      <c r="D12526">
        <f>TEST_DATA!D12526</f>
        <v/>
      </c>
      <c r="E12526">
        <f>TEST_DATA!E12526</f>
        <v/>
      </c>
    </row>
    <row r="12527">
      <c r="A12527">
        <f>TEST_DATA!A12527</f>
        <v/>
      </c>
      <c r="B12527">
        <f>TEST_DATA!B12527</f>
        <v/>
      </c>
      <c r="C12527">
        <f>TEST_DATA!C12527</f>
        <v/>
      </c>
      <c r="D12527">
        <f>TEST_DATA!D12527</f>
        <v/>
      </c>
      <c r="E12527">
        <f>TEST_DATA!E12527</f>
        <v/>
      </c>
    </row>
    <row r="12528">
      <c r="A12528">
        <f>TEST_DATA!A12528</f>
        <v/>
      </c>
      <c r="B12528">
        <f>TEST_DATA!B12528</f>
        <v/>
      </c>
      <c r="C12528">
        <f>TEST_DATA!C12528</f>
        <v/>
      </c>
      <c r="D12528">
        <f>TEST_DATA!D12528</f>
        <v/>
      </c>
      <c r="E12528">
        <f>TEST_DATA!E12528</f>
        <v/>
      </c>
    </row>
    <row r="12529">
      <c r="A12529">
        <f>TEST_DATA!A12529</f>
        <v/>
      </c>
      <c r="B12529">
        <f>TEST_DATA!B12529</f>
        <v/>
      </c>
      <c r="C12529">
        <f>TEST_DATA!C12529</f>
        <v/>
      </c>
      <c r="D12529">
        <f>TEST_DATA!D12529</f>
        <v/>
      </c>
      <c r="E12529">
        <f>TEST_DATA!E12529</f>
        <v/>
      </c>
    </row>
    <row r="12530">
      <c r="A12530">
        <f>TEST_DATA!A12530</f>
        <v/>
      </c>
      <c r="B12530">
        <f>TEST_DATA!B12530</f>
        <v/>
      </c>
      <c r="C12530">
        <f>TEST_DATA!C12530</f>
        <v/>
      </c>
      <c r="D12530">
        <f>TEST_DATA!D12530</f>
        <v/>
      </c>
      <c r="E12530">
        <f>TEST_DATA!E12530</f>
        <v/>
      </c>
    </row>
    <row r="12531">
      <c r="A12531">
        <f>TEST_DATA!A12531</f>
        <v/>
      </c>
      <c r="B12531">
        <f>TEST_DATA!B12531</f>
        <v/>
      </c>
      <c r="C12531">
        <f>TEST_DATA!C12531</f>
        <v/>
      </c>
      <c r="D12531">
        <f>TEST_DATA!D12531</f>
        <v/>
      </c>
      <c r="E12531">
        <f>TEST_DATA!E12531</f>
        <v/>
      </c>
    </row>
    <row r="12532">
      <c r="A12532">
        <f>TEST_DATA!A12532</f>
        <v/>
      </c>
      <c r="B12532">
        <f>TEST_DATA!B12532</f>
        <v/>
      </c>
      <c r="C12532">
        <f>TEST_DATA!C12532</f>
        <v/>
      </c>
      <c r="D12532">
        <f>TEST_DATA!D12532</f>
        <v/>
      </c>
      <c r="E12532">
        <f>TEST_DATA!E12532</f>
        <v/>
      </c>
    </row>
    <row r="12533">
      <c r="A12533">
        <f>TEST_DATA!A12533</f>
        <v/>
      </c>
      <c r="B12533">
        <f>TEST_DATA!B12533</f>
        <v/>
      </c>
      <c r="C12533">
        <f>TEST_DATA!C12533</f>
        <v/>
      </c>
      <c r="D12533">
        <f>TEST_DATA!D12533</f>
        <v/>
      </c>
      <c r="E12533">
        <f>TEST_DATA!E12533</f>
        <v/>
      </c>
    </row>
    <row r="12534">
      <c r="A12534">
        <f>TEST_DATA!A12534</f>
        <v/>
      </c>
      <c r="B12534">
        <f>TEST_DATA!B12534</f>
        <v/>
      </c>
      <c r="C12534">
        <f>TEST_DATA!C12534</f>
        <v/>
      </c>
      <c r="D12534">
        <f>TEST_DATA!D12534</f>
        <v/>
      </c>
      <c r="E12534">
        <f>TEST_DATA!E12534</f>
        <v/>
      </c>
    </row>
    <row r="12535">
      <c r="A12535">
        <f>TEST_DATA!A12535</f>
        <v/>
      </c>
      <c r="B12535">
        <f>TEST_DATA!B12535</f>
        <v/>
      </c>
      <c r="C12535">
        <f>TEST_DATA!C12535</f>
        <v/>
      </c>
      <c r="D12535">
        <f>TEST_DATA!D12535</f>
        <v/>
      </c>
      <c r="E12535">
        <f>TEST_DATA!E12535</f>
        <v/>
      </c>
    </row>
    <row r="12536">
      <c r="A12536">
        <f>TEST_DATA!A12536</f>
        <v/>
      </c>
      <c r="B12536">
        <f>TEST_DATA!B12536</f>
        <v/>
      </c>
      <c r="C12536">
        <f>TEST_DATA!C12536</f>
        <v/>
      </c>
      <c r="D12536">
        <f>TEST_DATA!D12536</f>
        <v/>
      </c>
      <c r="E12536">
        <f>TEST_DATA!E12536</f>
        <v/>
      </c>
    </row>
    <row r="12537">
      <c r="A12537">
        <f>TEST_DATA!A12537</f>
        <v/>
      </c>
      <c r="B12537">
        <f>TEST_DATA!B12537</f>
        <v/>
      </c>
      <c r="C12537">
        <f>TEST_DATA!C12537</f>
        <v/>
      </c>
      <c r="D12537">
        <f>TEST_DATA!D12537</f>
        <v/>
      </c>
      <c r="E12537">
        <f>TEST_DATA!E12537</f>
        <v/>
      </c>
    </row>
    <row r="12538">
      <c r="A12538">
        <f>TEST_DATA!A12538</f>
        <v/>
      </c>
      <c r="B12538">
        <f>TEST_DATA!B12538</f>
        <v/>
      </c>
      <c r="C12538">
        <f>TEST_DATA!C12538</f>
        <v/>
      </c>
      <c r="D12538">
        <f>TEST_DATA!D12538</f>
        <v/>
      </c>
      <c r="E12538">
        <f>TEST_DATA!E12538</f>
        <v/>
      </c>
    </row>
    <row r="12539">
      <c r="A12539">
        <f>TEST_DATA!A12539</f>
        <v/>
      </c>
      <c r="B12539">
        <f>TEST_DATA!B12539</f>
        <v/>
      </c>
      <c r="C12539">
        <f>TEST_DATA!C12539</f>
        <v/>
      </c>
      <c r="D12539">
        <f>TEST_DATA!D12539</f>
        <v/>
      </c>
      <c r="E12539">
        <f>TEST_DATA!E12539</f>
        <v/>
      </c>
    </row>
    <row r="12540">
      <c r="A12540">
        <f>TEST_DATA!A12540</f>
        <v/>
      </c>
      <c r="B12540">
        <f>TEST_DATA!B12540</f>
        <v/>
      </c>
      <c r="C12540">
        <f>TEST_DATA!C12540</f>
        <v/>
      </c>
      <c r="D12540">
        <f>TEST_DATA!D12540</f>
        <v/>
      </c>
      <c r="E12540">
        <f>TEST_DATA!E12540</f>
        <v/>
      </c>
    </row>
    <row r="12541">
      <c r="A12541">
        <f>TEST_DATA!A12541</f>
        <v/>
      </c>
      <c r="B12541">
        <f>TEST_DATA!B12541</f>
        <v/>
      </c>
      <c r="C12541">
        <f>TEST_DATA!C12541</f>
        <v/>
      </c>
      <c r="D12541">
        <f>TEST_DATA!D12541</f>
        <v/>
      </c>
      <c r="E12541">
        <f>TEST_DATA!E12541</f>
        <v/>
      </c>
    </row>
    <row r="12542">
      <c r="A12542">
        <f>TEST_DATA!A12542</f>
        <v/>
      </c>
      <c r="B12542">
        <f>TEST_DATA!B12542</f>
        <v/>
      </c>
      <c r="C12542">
        <f>TEST_DATA!C12542</f>
        <v/>
      </c>
      <c r="D12542">
        <f>TEST_DATA!D12542</f>
        <v/>
      </c>
      <c r="E12542">
        <f>TEST_DATA!E12542</f>
        <v/>
      </c>
    </row>
    <row r="12543">
      <c r="A12543">
        <f>TEST_DATA!A12543</f>
        <v/>
      </c>
      <c r="B12543">
        <f>TEST_DATA!B12543</f>
        <v/>
      </c>
      <c r="C12543">
        <f>TEST_DATA!C12543</f>
        <v/>
      </c>
      <c r="D12543">
        <f>TEST_DATA!D12543</f>
        <v/>
      </c>
      <c r="E12543">
        <f>TEST_DATA!E12543</f>
        <v/>
      </c>
    </row>
    <row r="12544">
      <c r="A12544">
        <f>TEST_DATA!A12544</f>
        <v/>
      </c>
      <c r="B12544">
        <f>TEST_DATA!B12544</f>
        <v/>
      </c>
      <c r="C12544">
        <f>TEST_DATA!C12544</f>
        <v/>
      </c>
      <c r="D12544">
        <f>TEST_DATA!D12544</f>
        <v/>
      </c>
      <c r="E12544">
        <f>TEST_DATA!E12544</f>
        <v/>
      </c>
    </row>
    <row r="12545">
      <c r="A12545">
        <f>TEST_DATA!A12545</f>
        <v/>
      </c>
      <c r="B12545">
        <f>TEST_DATA!B12545</f>
        <v/>
      </c>
      <c r="C12545">
        <f>TEST_DATA!C12545</f>
        <v/>
      </c>
      <c r="D12545">
        <f>TEST_DATA!D12545</f>
        <v/>
      </c>
      <c r="E12545">
        <f>TEST_DATA!E12545</f>
        <v/>
      </c>
    </row>
    <row r="12546">
      <c r="A12546">
        <f>TEST_DATA!A12546</f>
        <v/>
      </c>
      <c r="B12546">
        <f>TEST_DATA!B12546</f>
        <v/>
      </c>
      <c r="C12546">
        <f>TEST_DATA!C12546</f>
        <v/>
      </c>
      <c r="D12546">
        <f>TEST_DATA!D12546</f>
        <v/>
      </c>
      <c r="E12546">
        <f>TEST_DATA!E12546</f>
        <v/>
      </c>
    </row>
    <row r="12547">
      <c r="A12547">
        <f>TEST_DATA!A12547</f>
        <v/>
      </c>
      <c r="B12547">
        <f>TEST_DATA!B12547</f>
        <v/>
      </c>
      <c r="C12547">
        <f>TEST_DATA!C12547</f>
        <v/>
      </c>
      <c r="D12547">
        <f>TEST_DATA!D12547</f>
        <v/>
      </c>
      <c r="E12547">
        <f>TEST_DATA!E12547</f>
        <v/>
      </c>
    </row>
    <row r="12548">
      <c r="A12548">
        <f>TEST_DATA!A12548</f>
        <v/>
      </c>
      <c r="B12548">
        <f>TEST_DATA!B12548</f>
        <v/>
      </c>
      <c r="C12548">
        <f>TEST_DATA!C12548</f>
        <v/>
      </c>
      <c r="D12548">
        <f>TEST_DATA!D12548</f>
        <v/>
      </c>
      <c r="E12548">
        <f>TEST_DATA!E12548</f>
        <v/>
      </c>
    </row>
    <row r="12549">
      <c r="A12549">
        <f>TEST_DATA!A12549</f>
        <v/>
      </c>
      <c r="B12549">
        <f>TEST_DATA!B12549</f>
        <v/>
      </c>
      <c r="C12549">
        <f>TEST_DATA!C12549</f>
        <v/>
      </c>
      <c r="D12549">
        <f>TEST_DATA!D12549</f>
        <v/>
      </c>
      <c r="E12549">
        <f>TEST_DATA!E12549</f>
        <v/>
      </c>
    </row>
    <row r="12550">
      <c r="A12550">
        <f>TEST_DATA!A12550</f>
        <v/>
      </c>
      <c r="B12550">
        <f>TEST_DATA!B12550</f>
        <v/>
      </c>
      <c r="C12550">
        <f>TEST_DATA!C12550</f>
        <v/>
      </c>
      <c r="D12550">
        <f>TEST_DATA!D12550</f>
        <v/>
      </c>
      <c r="E12550">
        <f>TEST_DATA!E12550</f>
        <v/>
      </c>
    </row>
    <row r="12551">
      <c r="A12551">
        <f>TEST_DATA!A12551</f>
        <v/>
      </c>
      <c r="B12551">
        <f>TEST_DATA!B12551</f>
        <v/>
      </c>
      <c r="C12551">
        <f>TEST_DATA!C12551</f>
        <v/>
      </c>
      <c r="D12551">
        <f>TEST_DATA!D12551</f>
        <v/>
      </c>
      <c r="E12551">
        <f>TEST_DATA!E12551</f>
        <v/>
      </c>
    </row>
    <row r="12552">
      <c r="A12552">
        <f>TEST_DATA!A12552</f>
        <v/>
      </c>
      <c r="B12552">
        <f>TEST_DATA!B12552</f>
        <v/>
      </c>
      <c r="C12552">
        <f>TEST_DATA!C12552</f>
        <v/>
      </c>
      <c r="D12552">
        <f>TEST_DATA!D12552</f>
        <v/>
      </c>
      <c r="E12552">
        <f>TEST_DATA!E12552</f>
        <v/>
      </c>
    </row>
    <row r="12553">
      <c r="A12553">
        <f>TEST_DATA!A12553</f>
        <v/>
      </c>
      <c r="B12553">
        <f>TEST_DATA!B12553</f>
        <v/>
      </c>
      <c r="C12553">
        <f>TEST_DATA!C12553</f>
        <v/>
      </c>
      <c r="D12553">
        <f>TEST_DATA!D12553</f>
        <v/>
      </c>
      <c r="E12553">
        <f>TEST_DATA!E12553</f>
        <v/>
      </c>
    </row>
    <row r="12554">
      <c r="A12554">
        <f>TEST_DATA!A12554</f>
        <v/>
      </c>
      <c r="B12554">
        <f>TEST_DATA!B12554</f>
        <v/>
      </c>
      <c r="C12554">
        <f>TEST_DATA!C12554</f>
        <v/>
      </c>
      <c r="D12554">
        <f>TEST_DATA!D12554</f>
        <v/>
      </c>
      <c r="E12554">
        <f>TEST_DATA!E12554</f>
        <v/>
      </c>
    </row>
    <row r="12555">
      <c r="A12555">
        <f>TEST_DATA!A12555</f>
        <v/>
      </c>
      <c r="B12555">
        <f>TEST_DATA!B12555</f>
        <v/>
      </c>
      <c r="C12555">
        <f>TEST_DATA!C12555</f>
        <v/>
      </c>
      <c r="D12555">
        <f>TEST_DATA!D12555</f>
        <v/>
      </c>
      <c r="E12555">
        <f>TEST_DATA!E12555</f>
        <v/>
      </c>
    </row>
    <row r="12556">
      <c r="A12556">
        <f>TEST_DATA!A12556</f>
        <v/>
      </c>
      <c r="B12556">
        <f>TEST_DATA!B12556</f>
        <v/>
      </c>
      <c r="C12556">
        <f>TEST_DATA!C12556</f>
        <v/>
      </c>
      <c r="D12556">
        <f>TEST_DATA!D12556</f>
        <v/>
      </c>
      <c r="E12556">
        <f>TEST_DATA!E12556</f>
        <v/>
      </c>
    </row>
    <row r="12557">
      <c r="A12557">
        <f>TEST_DATA!A12557</f>
        <v/>
      </c>
      <c r="B12557">
        <f>TEST_DATA!B12557</f>
        <v/>
      </c>
      <c r="C12557">
        <f>TEST_DATA!C12557</f>
        <v/>
      </c>
      <c r="D12557">
        <f>TEST_DATA!D12557</f>
        <v/>
      </c>
      <c r="E12557">
        <f>TEST_DATA!E12557</f>
        <v/>
      </c>
    </row>
    <row r="12558">
      <c r="A12558">
        <f>TEST_DATA!A12558</f>
        <v/>
      </c>
      <c r="B12558">
        <f>TEST_DATA!B12558</f>
        <v/>
      </c>
      <c r="C12558">
        <f>TEST_DATA!C12558</f>
        <v/>
      </c>
      <c r="D12558">
        <f>TEST_DATA!D12558</f>
        <v/>
      </c>
      <c r="E12558">
        <f>TEST_DATA!E12558</f>
        <v/>
      </c>
    </row>
    <row r="12559">
      <c r="A12559">
        <f>TEST_DATA!A12559</f>
        <v/>
      </c>
      <c r="B12559">
        <f>TEST_DATA!B12559</f>
        <v/>
      </c>
      <c r="C12559">
        <f>TEST_DATA!C12559</f>
        <v/>
      </c>
      <c r="D12559">
        <f>TEST_DATA!D12559</f>
        <v/>
      </c>
      <c r="E12559">
        <f>TEST_DATA!E12559</f>
        <v/>
      </c>
    </row>
    <row r="12560">
      <c r="A12560">
        <f>TEST_DATA!A12560</f>
        <v/>
      </c>
      <c r="B12560">
        <f>TEST_DATA!B12560</f>
        <v/>
      </c>
      <c r="C12560">
        <f>TEST_DATA!C12560</f>
        <v/>
      </c>
      <c r="D12560">
        <f>TEST_DATA!D12560</f>
        <v/>
      </c>
      <c r="E12560">
        <f>TEST_DATA!E12560</f>
        <v/>
      </c>
    </row>
    <row r="12561">
      <c r="A12561">
        <f>TEST_DATA!A12561</f>
        <v/>
      </c>
      <c r="B12561">
        <f>TEST_DATA!B12561</f>
        <v/>
      </c>
      <c r="C12561">
        <f>TEST_DATA!C12561</f>
        <v/>
      </c>
      <c r="D12561">
        <f>TEST_DATA!D12561</f>
        <v/>
      </c>
      <c r="E12561">
        <f>TEST_DATA!E12561</f>
        <v/>
      </c>
    </row>
    <row r="12562">
      <c r="A12562">
        <f>TEST_DATA!A12562</f>
        <v/>
      </c>
      <c r="B12562">
        <f>TEST_DATA!B12562</f>
        <v/>
      </c>
      <c r="C12562">
        <f>TEST_DATA!C12562</f>
        <v/>
      </c>
      <c r="D12562">
        <f>TEST_DATA!D12562</f>
        <v/>
      </c>
      <c r="E12562">
        <f>TEST_DATA!E12562</f>
        <v/>
      </c>
    </row>
    <row r="12563">
      <c r="A12563">
        <f>TEST_DATA!A12563</f>
        <v/>
      </c>
      <c r="B12563">
        <f>TEST_DATA!B12563</f>
        <v/>
      </c>
      <c r="C12563">
        <f>TEST_DATA!C12563</f>
        <v/>
      </c>
      <c r="D12563">
        <f>TEST_DATA!D12563</f>
        <v/>
      </c>
      <c r="E12563">
        <f>TEST_DATA!E12563</f>
        <v/>
      </c>
    </row>
    <row r="12564">
      <c r="A12564">
        <f>TEST_DATA!A12564</f>
        <v/>
      </c>
      <c r="B12564">
        <f>TEST_DATA!B12564</f>
        <v/>
      </c>
      <c r="C12564">
        <f>TEST_DATA!C12564</f>
        <v/>
      </c>
      <c r="D12564">
        <f>TEST_DATA!D12564</f>
        <v/>
      </c>
      <c r="E12564">
        <f>TEST_DATA!E12564</f>
        <v/>
      </c>
    </row>
    <row r="12565">
      <c r="A12565">
        <f>TEST_DATA!A12565</f>
        <v/>
      </c>
      <c r="B12565">
        <f>TEST_DATA!B12565</f>
        <v/>
      </c>
      <c r="C12565">
        <f>TEST_DATA!C12565</f>
        <v/>
      </c>
      <c r="D12565">
        <f>TEST_DATA!D12565</f>
        <v/>
      </c>
      <c r="E12565">
        <f>TEST_DATA!E12565</f>
        <v/>
      </c>
    </row>
    <row r="12566">
      <c r="A12566">
        <f>TEST_DATA!A12566</f>
        <v/>
      </c>
      <c r="B12566">
        <f>TEST_DATA!B12566</f>
        <v/>
      </c>
      <c r="C12566">
        <f>TEST_DATA!C12566</f>
        <v/>
      </c>
      <c r="D12566">
        <f>TEST_DATA!D12566</f>
        <v/>
      </c>
      <c r="E12566">
        <f>TEST_DATA!E12566</f>
        <v/>
      </c>
    </row>
    <row r="12567">
      <c r="A12567">
        <f>TEST_DATA!A12567</f>
        <v/>
      </c>
      <c r="B12567">
        <f>TEST_DATA!B12567</f>
        <v/>
      </c>
      <c r="C12567">
        <f>TEST_DATA!C12567</f>
        <v/>
      </c>
      <c r="D12567">
        <f>TEST_DATA!D12567</f>
        <v/>
      </c>
      <c r="E12567">
        <f>TEST_DATA!E12567</f>
        <v/>
      </c>
    </row>
    <row r="12568">
      <c r="A12568">
        <f>TEST_DATA!A12568</f>
        <v/>
      </c>
      <c r="B12568">
        <f>TEST_DATA!B12568</f>
        <v/>
      </c>
      <c r="C12568">
        <f>TEST_DATA!C12568</f>
        <v/>
      </c>
      <c r="D12568">
        <f>TEST_DATA!D12568</f>
        <v/>
      </c>
      <c r="E12568">
        <f>TEST_DATA!E12568</f>
        <v/>
      </c>
    </row>
    <row r="12569">
      <c r="A12569">
        <f>TEST_DATA!A12569</f>
        <v/>
      </c>
      <c r="B12569">
        <f>TEST_DATA!B12569</f>
        <v/>
      </c>
      <c r="C12569">
        <f>TEST_DATA!C12569</f>
        <v/>
      </c>
      <c r="D12569">
        <f>TEST_DATA!D12569</f>
        <v/>
      </c>
      <c r="E12569">
        <f>TEST_DATA!E12569</f>
        <v/>
      </c>
    </row>
    <row r="12570">
      <c r="A12570">
        <f>TEST_DATA!A12570</f>
        <v/>
      </c>
      <c r="B12570">
        <f>TEST_DATA!B12570</f>
        <v/>
      </c>
      <c r="C12570">
        <f>TEST_DATA!C12570</f>
        <v/>
      </c>
      <c r="D12570">
        <f>TEST_DATA!D12570</f>
        <v/>
      </c>
      <c r="E12570">
        <f>TEST_DATA!E12570</f>
        <v/>
      </c>
    </row>
    <row r="12571">
      <c r="A12571">
        <f>TEST_DATA!A12571</f>
        <v/>
      </c>
      <c r="B12571">
        <f>TEST_DATA!B12571</f>
        <v/>
      </c>
      <c r="C12571">
        <f>TEST_DATA!C12571</f>
        <v/>
      </c>
      <c r="D12571">
        <f>TEST_DATA!D12571</f>
        <v/>
      </c>
      <c r="E12571">
        <f>TEST_DATA!E12571</f>
        <v/>
      </c>
    </row>
    <row r="12572">
      <c r="A12572">
        <f>TEST_DATA!A12572</f>
        <v/>
      </c>
      <c r="B12572">
        <f>TEST_DATA!B12572</f>
        <v/>
      </c>
      <c r="C12572">
        <f>TEST_DATA!C12572</f>
        <v/>
      </c>
      <c r="D12572">
        <f>TEST_DATA!D12572</f>
        <v/>
      </c>
      <c r="E12572">
        <f>TEST_DATA!E12572</f>
        <v/>
      </c>
    </row>
    <row r="12573">
      <c r="A12573">
        <f>TEST_DATA!A12573</f>
        <v/>
      </c>
      <c r="B12573">
        <f>TEST_DATA!B12573</f>
        <v/>
      </c>
      <c r="C12573">
        <f>TEST_DATA!C12573</f>
        <v/>
      </c>
      <c r="D12573">
        <f>TEST_DATA!D12573</f>
        <v/>
      </c>
      <c r="E12573">
        <f>TEST_DATA!E12573</f>
        <v/>
      </c>
    </row>
    <row r="12574">
      <c r="A12574">
        <f>TEST_DATA!A12574</f>
        <v/>
      </c>
      <c r="B12574">
        <f>TEST_DATA!B12574</f>
        <v/>
      </c>
      <c r="C12574">
        <f>TEST_DATA!C12574</f>
        <v/>
      </c>
      <c r="D12574">
        <f>TEST_DATA!D12574</f>
        <v/>
      </c>
      <c r="E12574">
        <f>TEST_DATA!E12574</f>
        <v/>
      </c>
    </row>
    <row r="12575">
      <c r="A12575">
        <f>TEST_DATA!A12575</f>
        <v/>
      </c>
      <c r="B12575">
        <f>TEST_DATA!B12575</f>
        <v/>
      </c>
      <c r="C12575">
        <f>TEST_DATA!C12575</f>
        <v/>
      </c>
      <c r="D12575">
        <f>TEST_DATA!D12575</f>
        <v/>
      </c>
      <c r="E12575">
        <f>TEST_DATA!E12575</f>
        <v/>
      </c>
    </row>
    <row r="12576">
      <c r="A12576">
        <f>TEST_DATA!A12576</f>
        <v/>
      </c>
      <c r="B12576">
        <f>TEST_DATA!B12576</f>
        <v/>
      </c>
      <c r="C12576">
        <f>TEST_DATA!C12576</f>
        <v/>
      </c>
      <c r="D12576">
        <f>TEST_DATA!D12576</f>
        <v/>
      </c>
      <c r="E12576">
        <f>TEST_DATA!E12576</f>
        <v/>
      </c>
    </row>
    <row r="12577">
      <c r="A12577">
        <f>TEST_DATA!A12577</f>
        <v/>
      </c>
      <c r="B12577">
        <f>TEST_DATA!B12577</f>
        <v/>
      </c>
      <c r="C12577">
        <f>TEST_DATA!C12577</f>
        <v/>
      </c>
      <c r="D12577">
        <f>TEST_DATA!D12577</f>
        <v/>
      </c>
      <c r="E12577">
        <f>TEST_DATA!E12577</f>
        <v/>
      </c>
    </row>
    <row r="12578">
      <c r="A12578">
        <f>TEST_DATA!A12578</f>
        <v/>
      </c>
      <c r="B12578">
        <f>TEST_DATA!B12578</f>
        <v/>
      </c>
      <c r="C12578">
        <f>TEST_DATA!C12578</f>
        <v/>
      </c>
      <c r="D12578">
        <f>TEST_DATA!D12578</f>
        <v/>
      </c>
      <c r="E12578">
        <f>TEST_DATA!E12578</f>
        <v/>
      </c>
    </row>
    <row r="12579">
      <c r="A12579">
        <f>TEST_DATA!A12579</f>
        <v/>
      </c>
      <c r="B12579">
        <f>TEST_DATA!B12579</f>
        <v/>
      </c>
      <c r="C12579">
        <f>TEST_DATA!C12579</f>
        <v/>
      </c>
      <c r="D12579">
        <f>TEST_DATA!D12579</f>
        <v/>
      </c>
      <c r="E12579">
        <f>TEST_DATA!E12579</f>
        <v/>
      </c>
    </row>
    <row r="12580">
      <c r="A12580">
        <f>TEST_DATA!A12580</f>
        <v/>
      </c>
      <c r="B12580">
        <f>TEST_DATA!B12580</f>
        <v/>
      </c>
      <c r="C12580">
        <f>TEST_DATA!C12580</f>
        <v/>
      </c>
      <c r="D12580">
        <f>TEST_DATA!D12580</f>
        <v/>
      </c>
      <c r="E12580">
        <f>TEST_DATA!E12580</f>
        <v/>
      </c>
    </row>
    <row r="12581">
      <c r="A12581">
        <f>TEST_DATA!A12581</f>
        <v/>
      </c>
      <c r="B12581">
        <f>TEST_DATA!B12581</f>
        <v/>
      </c>
      <c r="C12581">
        <f>TEST_DATA!C12581</f>
        <v/>
      </c>
      <c r="D12581">
        <f>TEST_DATA!D12581</f>
        <v/>
      </c>
      <c r="E12581">
        <f>TEST_DATA!E12581</f>
        <v/>
      </c>
    </row>
    <row r="12582">
      <c r="A12582">
        <f>TEST_DATA!A12582</f>
        <v/>
      </c>
      <c r="B12582">
        <f>TEST_DATA!B12582</f>
        <v/>
      </c>
      <c r="C12582">
        <f>TEST_DATA!C12582</f>
        <v/>
      </c>
      <c r="D12582">
        <f>TEST_DATA!D12582</f>
        <v/>
      </c>
      <c r="E12582">
        <f>TEST_DATA!E12582</f>
        <v/>
      </c>
    </row>
    <row r="12583">
      <c r="A12583">
        <f>TEST_DATA!A12583</f>
        <v/>
      </c>
      <c r="B12583">
        <f>TEST_DATA!B12583</f>
        <v/>
      </c>
      <c r="C12583">
        <f>TEST_DATA!C12583</f>
        <v/>
      </c>
      <c r="D12583">
        <f>TEST_DATA!D12583</f>
        <v/>
      </c>
      <c r="E12583">
        <f>TEST_DATA!E12583</f>
        <v/>
      </c>
    </row>
    <row r="12584">
      <c r="A12584">
        <f>TEST_DATA!A12584</f>
        <v/>
      </c>
      <c r="B12584">
        <f>TEST_DATA!B12584</f>
        <v/>
      </c>
      <c r="C12584">
        <f>TEST_DATA!C12584</f>
        <v/>
      </c>
      <c r="D12584">
        <f>TEST_DATA!D12584</f>
        <v/>
      </c>
      <c r="E12584">
        <f>TEST_DATA!E12584</f>
        <v/>
      </c>
    </row>
    <row r="12585">
      <c r="A12585">
        <f>TEST_DATA!A12585</f>
        <v/>
      </c>
      <c r="B12585">
        <f>TEST_DATA!B12585</f>
        <v/>
      </c>
      <c r="C12585">
        <f>TEST_DATA!C12585</f>
        <v/>
      </c>
      <c r="D12585">
        <f>TEST_DATA!D12585</f>
        <v/>
      </c>
      <c r="E12585">
        <f>TEST_DATA!E12585</f>
        <v/>
      </c>
    </row>
    <row r="12586">
      <c r="A12586">
        <f>TEST_DATA!A12586</f>
        <v/>
      </c>
      <c r="B12586">
        <f>TEST_DATA!B12586</f>
        <v/>
      </c>
      <c r="C12586">
        <f>TEST_DATA!C12586</f>
        <v/>
      </c>
      <c r="D12586">
        <f>TEST_DATA!D12586</f>
        <v/>
      </c>
      <c r="E12586">
        <f>TEST_DATA!E12586</f>
        <v/>
      </c>
    </row>
    <row r="12587">
      <c r="A12587">
        <f>TEST_DATA!A12587</f>
        <v/>
      </c>
      <c r="B12587">
        <f>TEST_DATA!B12587</f>
        <v/>
      </c>
      <c r="C12587">
        <f>TEST_DATA!C12587</f>
        <v/>
      </c>
      <c r="D12587">
        <f>TEST_DATA!D12587</f>
        <v/>
      </c>
      <c r="E12587">
        <f>TEST_DATA!E12587</f>
        <v/>
      </c>
    </row>
    <row r="12588">
      <c r="A12588">
        <f>TEST_DATA!A12588</f>
        <v/>
      </c>
      <c r="B12588">
        <f>TEST_DATA!B12588</f>
        <v/>
      </c>
      <c r="C12588">
        <f>TEST_DATA!C12588</f>
        <v/>
      </c>
      <c r="D12588">
        <f>TEST_DATA!D12588</f>
        <v/>
      </c>
      <c r="E12588">
        <f>TEST_DATA!E12588</f>
        <v/>
      </c>
    </row>
    <row r="12589">
      <c r="A12589">
        <f>TEST_DATA!A12589</f>
        <v/>
      </c>
      <c r="B12589">
        <f>TEST_DATA!B12589</f>
        <v/>
      </c>
      <c r="C12589">
        <f>TEST_DATA!C12589</f>
        <v/>
      </c>
      <c r="D12589">
        <f>TEST_DATA!D12589</f>
        <v/>
      </c>
      <c r="E12589">
        <f>TEST_DATA!E12589</f>
        <v/>
      </c>
    </row>
    <row r="12590">
      <c r="A12590">
        <f>TEST_DATA!A12590</f>
        <v/>
      </c>
      <c r="B12590">
        <f>TEST_DATA!B12590</f>
        <v/>
      </c>
      <c r="C12590">
        <f>TEST_DATA!C12590</f>
        <v/>
      </c>
      <c r="D12590">
        <f>TEST_DATA!D12590</f>
        <v/>
      </c>
      <c r="E12590">
        <f>TEST_DATA!E12590</f>
        <v/>
      </c>
    </row>
    <row r="12591">
      <c r="A12591">
        <f>TEST_DATA!A12591</f>
        <v/>
      </c>
      <c r="B12591">
        <f>TEST_DATA!B12591</f>
        <v/>
      </c>
      <c r="C12591">
        <f>TEST_DATA!C12591</f>
        <v/>
      </c>
      <c r="D12591">
        <f>TEST_DATA!D12591</f>
        <v/>
      </c>
      <c r="E12591">
        <f>TEST_DATA!E12591</f>
        <v/>
      </c>
    </row>
    <row r="12592">
      <c r="A12592">
        <f>TEST_DATA!A12592</f>
        <v/>
      </c>
      <c r="B12592">
        <f>TEST_DATA!B12592</f>
        <v/>
      </c>
      <c r="C12592">
        <f>TEST_DATA!C12592</f>
        <v/>
      </c>
      <c r="D12592">
        <f>TEST_DATA!D12592</f>
        <v/>
      </c>
      <c r="E12592">
        <f>TEST_DATA!E12592</f>
        <v/>
      </c>
    </row>
    <row r="12593">
      <c r="A12593">
        <f>TEST_DATA!A12593</f>
        <v/>
      </c>
      <c r="B12593">
        <f>TEST_DATA!B12593</f>
        <v/>
      </c>
      <c r="C12593">
        <f>TEST_DATA!C12593</f>
        <v/>
      </c>
      <c r="D12593">
        <f>TEST_DATA!D12593</f>
        <v/>
      </c>
      <c r="E12593">
        <f>TEST_DATA!E12593</f>
        <v/>
      </c>
    </row>
    <row r="12594">
      <c r="A12594">
        <f>TEST_DATA!A12594</f>
        <v/>
      </c>
      <c r="B12594">
        <f>TEST_DATA!B12594</f>
        <v/>
      </c>
      <c r="C12594">
        <f>TEST_DATA!C12594</f>
        <v/>
      </c>
      <c r="D12594">
        <f>TEST_DATA!D12594</f>
        <v/>
      </c>
      <c r="E12594">
        <f>TEST_DATA!E12594</f>
        <v/>
      </c>
    </row>
    <row r="12595">
      <c r="A12595">
        <f>TEST_DATA!A12595</f>
        <v/>
      </c>
      <c r="B12595">
        <f>TEST_DATA!B12595</f>
        <v/>
      </c>
      <c r="C12595">
        <f>TEST_DATA!C12595</f>
        <v/>
      </c>
      <c r="D12595">
        <f>TEST_DATA!D12595</f>
        <v/>
      </c>
      <c r="E12595">
        <f>TEST_DATA!E12595</f>
        <v/>
      </c>
    </row>
    <row r="12596">
      <c r="A12596">
        <f>TEST_DATA!A12596</f>
        <v/>
      </c>
      <c r="B12596">
        <f>TEST_DATA!B12596</f>
        <v/>
      </c>
      <c r="C12596">
        <f>TEST_DATA!C12596</f>
        <v/>
      </c>
      <c r="D12596">
        <f>TEST_DATA!D12596</f>
        <v/>
      </c>
      <c r="E12596">
        <f>TEST_DATA!E12596</f>
        <v/>
      </c>
    </row>
    <row r="12597">
      <c r="A12597">
        <f>TEST_DATA!A12597</f>
        <v/>
      </c>
      <c r="B12597">
        <f>TEST_DATA!B12597</f>
        <v/>
      </c>
      <c r="C12597">
        <f>TEST_DATA!C12597</f>
        <v/>
      </c>
      <c r="D12597">
        <f>TEST_DATA!D12597</f>
        <v/>
      </c>
      <c r="E12597">
        <f>TEST_DATA!E12597</f>
        <v/>
      </c>
    </row>
    <row r="12598">
      <c r="A12598">
        <f>TEST_DATA!A12598</f>
        <v/>
      </c>
      <c r="B12598">
        <f>TEST_DATA!B12598</f>
        <v/>
      </c>
      <c r="C12598">
        <f>TEST_DATA!C12598</f>
        <v/>
      </c>
      <c r="D12598">
        <f>TEST_DATA!D12598</f>
        <v/>
      </c>
      <c r="E12598">
        <f>TEST_DATA!E12598</f>
        <v/>
      </c>
    </row>
    <row r="12599">
      <c r="A12599">
        <f>TEST_DATA!A12599</f>
        <v/>
      </c>
      <c r="B12599">
        <f>TEST_DATA!B12599</f>
        <v/>
      </c>
      <c r="C12599">
        <f>TEST_DATA!C12599</f>
        <v/>
      </c>
      <c r="D12599">
        <f>TEST_DATA!D12599</f>
        <v/>
      </c>
      <c r="E12599">
        <f>TEST_DATA!E12599</f>
        <v/>
      </c>
    </row>
    <row r="12600">
      <c r="A12600">
        <f>TEST_DATA!A12600</f>
        <v/>
      </c>
      <c r="B12600">
        <f>TEST_DATA!B12600</f>
        <v/>
      </c>
      <c r="C12600">
        <f>TEST_DATA!C12600</f>
        <v/>
      </c>
      <c r="D12600">
        <f>TEST_DATA!D12600</f>
        <v/>
      </c>
      <c r="E12600">
        <f>TEST_DATA!E12600</f>
        <v/>
      </c>
    </row>
    <row r="12601">
      <c r="A12601">
        <f>TEST_DATA!A12601</f>
        <v/>
      </c>
      <c r="B12601">
        <f>TEST_DATA!B12601</f>
        <v/>
      </c>
      <c r="C12601">
        <f>TEST_DATA!C12601</f>
        <v/>
      </c>
      <c r="D12601">
        <f>TEST_DATA!D12601</f>
        <v/>
      </c>
      <c r="E12601">
        <f>TEST_DATA!E12601</f>
        <v/>
      </c>
    </row>
    <row r="12602">
      <c r="A12602">
        <f>TEST_DATA!A12602</f>
        <v/>
      </c>
      <c r="B12602">
        <f>TEST_DATA!B12602</f>
        <v/>
      </c>
      <c r="C12602">
        <f>TEST_DATA!C12602</f>
        <v/>
      </c>
      <c r="D12602">
        <f>TEST_DATA!D12602</f>
        <v/>
      </c>
      <c r="E12602">
        <f>TEST_DATA!E12602</f>
        <v/>
      </c>
    </row>
    <row r="12603">
      <c r="A12603">
        <f>TEST_DATA!A12603</f>
        <v/>
      </c>
      <c r="B12603">
        <f>TEST_DATA!B12603</f>
        <v/>
      </c>
      <c r="C12603">
        <f>TEST_DATA!C12603</f>
        <v/>
      </c>
      <c r="D12603">
        <f>TEST_DATA!D12603</f>
        <v/>
      </c>
      <c r="E12603">
        <f>TEST_DATA!E12603</f>
        <v/>
      </c>
    </row>
    <row r="12604">
      <c r="A12604">
        <f>TEST_DATA!A12604</f>
        <v/>
      </c>
      <c r="B12604">
        <f>TEST_DATA!B12604</f>
        <v/>
      </c>
      <c r="C12604">
        <f>TEST_DATA!C12604</f>
        <v/>
      </c>
      <c r="D12604">
        <f>TEST_DATA!D12604</f>
        <v/>
      </c>
      <c r="E12604">
        <f>TEST_DATA!E12604</f>
        <v/>
      </c>
    </row>
    <row r="12605">
      <c r="A12605">
        <f>TEST_DATA!A12605</f>
        <v/>
      </c>
      <c r="B12605">
        <f>TEST_DATA!B12605</f>
        <v/>
      </c>
      <c r="C12605">
        <f>TEST_DATA!C12605</f>
        <v/>
      </c>
      <c r="D12605">
        <f>TEST_DATA!D12605</f>
        <v/>
      </c>
      <c r="E12605">
        <f>TEST_DATA!E12605</f>
        <v/>
      </c>
    </row>
    <row r="12606">
      <c r="A12606">
        <f>TEST_DATA!A12606</f>
        <v/>
      </c>
      <c r="B12606">
        <f>TEST_DATA!B12606</f>
        <v/>
      </c>
      <c r="C12606">
        <f>TEST_DATA!C12606</f>
        <v/>
      </c>
      <c r="D12606">
        <f>TEST_DATA!D12606</f>
        <v/>
      </c>
      <c r="E12606">
        <f>TEST_DATA!E12606</f>
        <v/>
      </c>
    </row>
    <row r="12607">
      <c r="A12607">
        <f>TEST_DATA!A12607</f>
        <v/>
      </c>
      <c r="B12607">
        <f>TEST_DATA!B12607</f>
        <v/>
      </c>
      <c r="C12607">
        <f>TEST_DATA!C12607</f>
        <v/>
      </c>
      <c r="D12607">
        <f>TEST_DATA!D12607</f>
        <v/>
      </c>
      <c r="E12607">
        <f>TEST_DATA!E12607</f>
        <v/>
      </c>
    </row>
    <row r="12608">
      <c r="A12608">
        <f>TEST_DATA!A12608</f>
        <v/>
      </c>
      <c r="B12608">
        <f>TEST_DATA!B12608</f>
        <v/>
      </c>
      <c r="C12608">
        <f>TEST_DATA!C12608</f>
        <v/>
      </c>
      <c r="D12608">
        <f>TEST_DATA!D12608</f>
        <v/>
      </c>
      <c r="E12608">
        <f>TEST_DATA!E12608</f>
        <v/>
      </c>
    </row>
    <row r="12609">
      <c r="A12609">
        <f>TEST_DATA!A12609</f>
        <v/>
      </c>
      <c r="B12609">
        <f>TEST_DATA!B12609</f>
        <v/>
      </c>
      <c r="C12609">
        <f>TEST_DATA!C12609</f>
        <v/>
      </c>
      <c r="D12609">
        <f>TEST_DATA!D12609</f>
        <v/>
      </c>
      <c r="E12609">
        <f>TEST_DATA!E12609</f>
        <v/>
      </c>
    </row>
    <row r="12610">
      <c r="A12610">
        <f>TEST_DATA!A12610</f>
        <v/>
      </c>
      <c r="B12610">
        <f>TEST_DATA!B12610</f>
        <v/>
      </c>
      <c r="C12610">
        <f>TEST_DATA!C12610</f>
        <v/>
      </c>
      <c r="D12610">
        <f>TEST_DATA!D12610</f>
        <v/>
      </c>
      <c r="E12610">
        <f>TEST_DATA!E12610</f>
        <v/>
      </c>
    </row>
    <row r="12611">
      <c r="A12611">
        <f>TEST_DATA!A12611</f>
        <v/>
      </c>
      <c r="B12611">
        <f>TEST_DATA!B12611</f>
        <v/>
      </c>
      <c r="C12611">
        <f>TEST_DATA!C12611</f>
        <v/>
      </c>
      <c r="D12611">
        <f>TEST_DATA!D12611</f>
        <v/>
      </c>
      <c r="E12611">
        <f>TEST_DATA!E12611</f>
        <v/>
      </c>
    </row>
    <row r="12612">
      <c r="A12612">
        <f>TEST_DATA!A12612</f>
        <v/>
      </c>
      <c r="B12612">
        <f>TEST_DATA!B12612</f>
        <v/>
      </c>
      <c r="C12612">
        <f>TEST_DATA!C12612</f>
        <v/>
      </c>
      <c r="D12612">
        <f>TEST_DATA!D12612</f>
        <v/>
      </c>
      <c r="E12612">
        <f>TEST_DATA!E12612</f>
        <v/>
      </c>
    </row>
    <row r="12613">
      <c r="A12613">
        <f>TEST_DATA!A12613</f>
        <v/>
      </c>
      <c r="B12613">
        <f>TEST_DATA!B12613</f>
        <v/>
      </c>
      <c r="C12613">
        <f>TEST_DATA!C12613</f>
        <v/>
      </c>
      <c r="D12613">
        <f>TEST_DATA!D12613</f>
        <v/>
      </c>
      <c r="E12613">
        <f>TEST_DATA!E12613</f>
        <v/>
      </c>
    </row>
    <row r="12614">
      <c r="A12614">
        <f>TEST_DATA!A12614</f>
        <v/>
      </c>
      <c r="B12614">
        <f>TEST_DATA!B12614</f>
        <v/>
      </c>
      <c r="C12614">
        <f>TEST_DATA!C12614</f>
        <v/>
      </c>
      <c r="D12614">
        <f>TEST_DATA!D12614</f>
        <v/>
      </c>
      <c r="E12614">
        <f>TEST_DATA!E12614</f>
        <v/>
      </c>
    </row>
    <row r="12615">
      <c r="A12615">
        <f>TEST_DATA!A12615</f>
        <v/>
      </c>
      <c r="B12615">
        <f>TEST_DATA!B12615</f>
        <v/>
      </c>
      <c r="C12615">
        <f>TEST_DATA!C12615</f>
        <v/>
      </c>
      <c r="D12615">
        <f>TEST_DATA!D12615</f>
        <v/>
      </c>
      <c r="E12615">
        <f>TEST_DATA!E12615</f>
        <v/>
      </c>
    </row>
    <row r="12616">
      <c r="A12616">
        <f>TEST_DATA!A12616</f>
        <v/>
      </c>
      <c r="B12616">
        <f>TEST_DATA!B12616</f>
        <v/>
      </c>
      <c r="C12616">
        <f>TEST_DATA!C12616</f>
        <v/>
      </c>
      <c r="D12616">
        <f>TEST_DATA!D12616</f>
        <v/>
      </c>
      <c r="E12616">
        <f>TEST_DATA!E12616</f>
        <v/>
      </c>
    </row>
    <row r="12617">
      <c r="A12617">
        <f>TEST_DATA!A12617</f>
        <v/>
      </c>
      <c r="B12617">
        <f>TEST_DATA!B12617</f>
        <v/>
      </c>
      <c r="C12617">
        <f>TEST_DATA!C12617</f>
        <v/>
      </c>
      <c r="D12617">
        <f>TEST_DATA!D12617</f>
        <v/>
      </c>
      <c r="E12617">
        <f>TEST_DATA!E12617</f>
        <v/>
      </c>
    </row>
    <row r="12618">
      <c r="A12618">
        <f>TEST_DATA!A12618</f>
        <v/>
      </c>
      <c r="B12618">
        <f>TEST_DATA!B12618</f>
        <v/>
      </c>
      <c r="C12618">
        <f>TEST_DATA!C12618</f>
        <v/>
      </c>
      <c r="D12618">
        <f>TEST_DATA!D12618</f>
        <v/>
      </c>
      <c r="E12618">
        <f>TEST_DATA!E12618</f>
        <v/>
      </c>
    </row>
    <row r="12619">
      <c r="A12619">
        <f>TEST_DATA!A12619</f>
        <v/>
      </c>
      <c r="B12619">
        <f>TEST_DATA!B12619</f>
        <v/>
      </c>
      <c r="C12619">
        <f>TEST_DATA!C12619</f>
        <v/>
      </c>
      <c r="D12619">
        <f>TEST_DATA!D12619</f>
        <v/>
      </c>
      <c r="E12619">
        <f>TEST_DATA!E12619</f>
        <v/>
      </c>
    </row>
    <row r="12620">
      <c r="A12620">
        <f>TEST_DATA!A12620</f>
        <v/>
      </c>
      <c r="B12620">
        <f>TEST_DATA!B12620</f>
        <v/>
      </c>
      <c r="C12620">
        <f>TEST_DATA!C12620</f>
        <v/>
      </c>
      <c r="D12620">
        <f>TEST_DATA!D12620</f>
        <v/>
      </c>
      <c r="E12620">
        <f>TEST_DATA!E12620</f>
        <v/>
      </c>
    </row>
    <row r="12621">
      <c r="A12621">
        <f>TEST_DATA!A12621</f>
        <v/>
      </c>
      <c r="B12621">
        <f>TEST_DATA!B12621</f>
        <v/>
      </c>
      <c r="C12621">
        <f>TEST_DATA!C12621</f>
        <v/>
      </c>
      <c r="D12621">
        <f>TEST_DATA!D12621</f>
        <v/>
      </c>
      <c r="E12621">
        <f>TEST_DATA!E12621</f>
        <v/>
      </c>
    </row>
    <row r="12622">
      <c r="A12622">
        <f>TEST_DATA!A12622</f>
        <v/>
      </c>
      <c r="B12622">
        <f>TEST_DATA!B12622</f>
        <v/>
      </c>
      <c r="C12622">
        <f>TEST_DATA!C12622</f>
        <v/>
      </c>
      <c r="D12622">
        <f>TEST_DATA!D12622</f>
        <v/>
      </c>
      <c r="E12622">
        <f>TEST_DATA!E12622</f>
        <v/>
      </c>
    </row>
    <row r="12623">
      <c r="A12623">
        <f>TEST_DATA!A12623</f>
        <v/>
      </c>
      <c r="B12623">
        <f>TEST_DATA!B12623</f>
        <v/>
      </c>
      <c r="C12623">
        <f>TEST_DATA!C12623</f>
        <v/>
      </c>
      <c r="D12623">
        <f>TEST_DATA!D12623</f>
        <v/>
      </c>
      <c r="E12623">
        <f>TEST_DATA!E12623</f>
        <v/>
      </c>
    </row>
    <row r="12624">
      <c r="A12624">
        <f>TEST_DATA!A12624</f>
        <v/>
      </c>
      <c r="B12624">
        <f>TEST_DATA!B12624</f>
        <v/>
      </c>
      <c r="C12624">
        <f>TEST_DATA!C12624</f>
        <v/>
      </c>
      <c r="D12624">
        <f>TEST_DATA!D12624</f>
        <v/>
      </c>
      <c r="E12624">
        <f>TEST_DATA!E12624</f>
        <v/>
      </c>
    </row>
    <row r="12625">
      <c r="A12625">
        <f>TEST_DATA!A12625</f>
        <v/>
      </c>
      <c r="B12625">
        <f>TEST_DATA!B12625</f>
        <v/>
      </c>
      <c r="C12625">
        <f>TEST_DATA!C12625</f>
        <v/>
      </c>
      <c r="D12625">
        <f>TEST_DATA!D12625</f>
        <v/>
      </c>
      <c r="E12625">
        <f>TEST_DATA!E12625</f>
        <v/>
      </c>
    </row>
    <row r="12626">
      <c r="A12626">
        <f>TEST_DATA!A12626</f>
        <v/>
      </c>
      <c r="B12626">
        <f>TEST_DATA!B12626</f>
        <v/>
      </c>
      <c r="C12626">
        <f>TEST_DATA!C12626</f>
        <v/>
      </c>
      <c r="D12626">
        <f>TEST_DATA!D12626</f>
        <v/>
      </c>
      <c r="E12626">
        <f>TEST_DATA!E12626</f>
        <v/>
      </c>
    </row>
    <row r="12627">
      <c r="A12627">
        <f>TEST_DATA!A12627</f>
        <v/>
      </c>
      <c r="B12627">
        <f>TEST_DATA!B12627</f>
        <v/>
      </c>
      <c r="C12627">
        <f>TEST_DATA!C12627</f>
        <v/>
      </c>
      <c r="D12627">
        <f>TEST_DATA!D12627</f>
        <v/>
      </c>
      <c r="E12627">
        <f>TEST_DATA!E12627</f>
        <v/>
      </c>
    </row>
    <row r="12628">
      <c r="A12628">
        <f>TEST_DATA!A12628</f>
        <v/>
      </c>
      <c r="B12628">
        <f>TEST_DATA!B12628</f>
        <v/>
      </c>
      <c r="C12628">
        <f>TEST_DATA!C12628</f>
        <v/>
      </c>
      <c r="D12628">
        <f>TEST_DATA!D12628</f>
        <v/>
      </c>
      <c r="E12628">
        <f>TEST_DATA!E12628</f>
        <v/>
      </c>
    </row>
    <row r="12629">
      <c r="A12629">
        <f>TEST_DATA!A12629</f>
        <v/>
      </c>
      <c r="B12629">
        <f>TEST_DATA!B12629</f>
        <v/>
      </c>
      <c r="C12629">
        <f>TEST_DATA!C12629</f>
        <v/>
      </c>
      <c r="D12629">
        <f>TEST_DATA!D12629</f>
        <v/>
      </c>
      <c r="E12629">
        <f>TEST_DATA!E12629</f>
        <v/>
      </c>
    </row>
    <row r="12630">
      <c r="A12630">
        <f>TEST_DATA!A12630</f>
        <v/>
      </c>
      <c r="B12630">
        <f>TEST_DATA!B12630</f>
        <v/>
      </c>
      <c r="C12630">
        <f>TEST_DATA!C12630</f>
        <v/>
      </c>
      <c r="D12630">
        <f>TEST_DATA!D12630</f>
        <v/>
      </c>
      <c r="E12630">
        <f>TEST_DATA!E12630</f>
        <v/>
      </c>
    </row>
    <row r="12631">
      <c r="A12631">
        <f>TEST_DATA!A12631</f>
        <v/>
      </c>
      <c r="B12631">
        <f>TEST_DATA!B12631</f>
        <v/>
      </c>
      <c r="C12631">
        <f>TEST_DATA!C12631</f>
        <v/>
      </c>
      <c r="D12631">
        <f>TEST_DATA!D12631</f>
        <v/>
      </c>
      <c r="E12631">
        <f>TEST_DATA!E12631</f>
        <v/>
      </c>
    </row>
    <row r="12632">
      <c r="A12632">
        <f>TEST_DATA!A12632</f>
        <v/>
      </c>
      <c r="B12632">
        <f>TEST_DATA!B12632</f>
        <v/>
      </c>
      <c r="C12632">
        <f>TEST_DATA!C12632</f>
        <v/>
      </c>
      <c r="D12632">
        <f>TEST_DATA!D12632</f>
        <v/>
      </c>
      <c r="E12632">
        <f>TEST_DATA!E12632</f>
        <v/>
      </c>
    </row>
    <row r="12633">
      <c r="A12633">
        <f>TEST_DATA!A12633</f>
        <v/>
      </c>
      <c r="B12633">
        <f>TEST_DATA!B12633</f>
        <v/>
      </c>
      <c r="C12633">
        <f>TEST_DATA!C12633</f>
        <v/>
      </c>
      <c r="D12633">
        <f>TEST_DATA!D12633</f>
        <v/>
      </c>
      <c r="E12633">
        <f>TEST_DATA!E12633</f>
        <v/>
      </c>
    </row>
    <row r="12634">
      <c r="A12634">
        <f>TEST_DATA!A12634</f>
        <v/>
      </c>
      <c r="B12634">
        <f>TEST_DATA!B12634</f>
        <v/>
      </c>
      <c r="C12634">
        <f>TEST_DATA!C12634</f>
        <v/>
      </c>
      <c r="D12634">
        <f>TEST_DATA!D12634</f>
        <v/>
      </c>
      <c r="E12634">
        <f>TEST_DATA!E12634</f>
        <v/>
      </c>
    </row>
    <row r="12635">
      <c r="A12635">
        <f>TEST_DATA!A12635</f>
        <v/>
      </c>
      <c r="B12635">
        <f>TEST_DATA!B12635</f>
        <v/>
      </c>
      <c r="C12635">
        <f>TEST_DATA!C12635</f>
        <v/>
      </c>
      <c r="D12635">
        <f>TEST_DATA!D12635</f>
        <v/>
      </c>
      <c r="E12635">
        <f>TEST_DATA!E12635</f>
        <v/>
      </c>
    </row>
    <row r="12636">
      <c r="A12636">
        <f>TEST_DATA!A12636</f>
        <v/>
      </c>
      <c r="B12636">
        <f>TEST_DATA!B12636</f>
        <v/>
      </c>
      <c r="C12636">
        <f>TEST_DATA!C12636</f>
        <v/>
      </c>
      <c r="D12636">
        <f>TEST_DATA!D12636</f>
        <v/>
      </c>
      <c r="E12636">
        <f>TEST_DATA!E12636</f>
        <v/>
      </c>
    </row>
    <row r="12637">
      <c r="A12637">
        <f>TEST_DATA!A12637</f>
        <v/>
      </c>
      <c r="B12637">
        <f>TEST_DATA!B12637</f>
        <v/>
      </c>
      <c r="C12637">
        <f>TEST_DATA!C12637</f>
        <v/>
      </c>
      <c r="D12637">
        <f>TEST_DATA!D12637</f>
        <v/>
      </c>
      <c r="E12637">
        <f>TEST_DATA!E12637</f>
        <v/>
      </c>
    </row>
    <row r="12638">
      <c r="A12638">
        <f>TEST_DATA!A12638</f>
        <v/>
      </c>
      <c r="B12638">
        <f>TEST_DATA!B12638</f>
        <v/>
      </c>
      <c r="C12638">
        <f>TEST_DATA!C12638</f>
        <v/>
      </c>
      <c r="D12638">
        <f>TEST_DATA!D12638</f>
        <v/>
      </c>
      <c r="E12638">
        <f>TEST_DATA!E12638</f>
        <v/>
      </c>
    </row>
    <row r="12639">
      <c r="A12639">
        <f>TEST_DATA!A12639</f>
        <v/>
      </c>
      <c r="B12639">
        <f>TEST_DATA!B12639</f>
        <v/>
      </c>
      <c r="C12639">
        <f>TEST_DATA!C12639</f>
        <v/>
      </c>
      <c r="D12639">
        <f>TEST_DATA!D12639</f>
        <v/>
      </c>
      <c r="E12639">
        <f>TEST_DATA!E12639</f>
        <v/>
      </c>
    </row>
    <row r="12640">
      <c r="A12640">
        <f>TEST_DATA!A12640</f>
        <v/>
      </c>
      <c r="B12640">
        <f>TEST_DATA!B12640</f>
        <v/>
      </c>
      <c r="C12640">
        <f>TEST_DATA!C12640</f>
        <v/>
      </c>
      <c r="D12640">
        <f>TEST_DATA!D12640</f>
        <v/>
      </c>
      <c r="E12640">
        <f>TEST_DATA!E12640</f>
        <v/>
      </c>
    </row>
    <row r="12641">
      <c r="A12641">
        <f>TEST_DATA!A12641</f>
        <v/>
      </c>
      <c r="B12641">
        <f>TEST_DATA!B12641</f>
        <v/>
      </c>
      <c r="C12641">
        <f>TEST_DATA!C12641</f>
        <v/>
      </c>
      <c r="D12641">
        <f>TEST_DATA!D12641</f>
        <v/>
      </c>
      <c r="E12641">
        <f>TEST_DATA!E12641</f>
        <v/>
      </c>
    </row>
    <row r="12642">
      <c r="A12642">
        <f>TEST_DATA!A12642</f>
        <v/>
      </c>
      <c r="B12642">
        <f>TEST_DATA!B12642</f>
        <v/>
      </c>
      <c r="C12642">
        <f>TEST_DATA!C12642</f>
        <v/>
      </c>
      <c r="D12642">
        <f>TEST_DATA!D12642</f>
        <v/>
      </c>
      <c r="E12642">
        <f>TEST_DATA!E12642</f>
        <v/>
      </c>
    </row>
    <row r="12643">
      <c r="A12643">
        <f>TEST_DATA!A12643</f>
        <v/>
      </c>
      <c r="B12643">
        <f>TEST_DATA!B12643</f>
        <v/>
      </c>
      <c r="C12643">
        <f>TEST_DATA!C12643</f>
        <v/>
      </c>
      <c r="D12643">
        <f>TEST_DATA!D12643</f>
        <v/>
      </c>
      <c r="E12643">
        <f>TEST_DATA!E12643</f>
        <v/>
      </c>
    </row>
    <row r="12644">
      <c r="A12644">
        <f>TEST_DATA!A12644</f>
        <v/>
      </c>
      <c r="B12644">
        <f>TEST_DATA!B12644</f>
        <v/>
      </c>
      <c r="C12644">
        <f>TEST_DATA!C12644</f>
        <v/>
      </c>
      <c r="D12644">
        <f>TEST_DATA!D12644</f>
        <v/>
      </c>
      <c r="E12644">
        <f>TEST_DATA!E12644</f>
        <v/>
      </c>
    </row>
    <row r="12645">
      <c r="A12645">
        <f>TEST_DATA!A12645</f>
        <v/>
      </c>
      <c r="B12645">
        <f>TEST_DATA!B12645</f>
        <v/>
      </c>
      <c r="C12645">
        <f>TEST_DATA!C12645</f>
        <v/>
      </c>
      <c r="D12645">
        <f>TEST_DATA!D12645</f>
        <v/>
      </c>
      <c r="E12645">
        <f>TEST_DATA!E12645</f>
        <v/>
      </c>
    </row>
    <row r="12646">
      <c r="A12646">
        <f>TEST_DATA!A12646</f>
        <v/>
      </c>
      <c r="B12646">
        <f>TEST_DATA!B12646</f>
        <v/>
      </c>
      <c r="C12646">
        <f>TEST_DATA!C12646</f>
        <v/>
      </c>
      <c r="D12646">
        <f>TEST_DATA!D12646</f>
        <v/>
      </c>
      <c r="E12646">
        <f>TEST_DATA!E12646</f>
        <v/>
      </c>
    </row>
    <row r="12647">
      <c r="A12647">
        <f>TEST_DATA!A12647</f>
        <v/>
      </c>
      <c r="B12647">
        <f>TEST_DATA!B12647</f>
        <v/>
      </c>
      <c r="C12647">
        <f>TEST_DATA!C12647</f>
        <v/>
      </c>
      <c r="D12647">
        <f>TEST_DATA!D12647</f>
        <v/>
      </c>
      <c r="E12647">
        <f>TEST_DATA!E12647</f>
        <v/>
      </c>
    </row>
    <row r="12648">
      <c r="A12648">
        <f>TEST_DATA!A12648</f>
        <v/>
      </c>
      <c r="B12648">
        <f>TEST_DATA!B12648</f>
        <v/>
      </c>
      <c r="C12648">
        <f>TEST_DATA!C12648</f>
        <v/>
      </c>
      <c r="D12648">
        <f>TEST_DATA!D12648</f>
        <v/>
      </c>
      <c r="E12648">
        <f>TEST_DATA!E12648</f>
        <v/>
      </c>
    </row>
    <row r="12649">
      <c r="A12649">
        <f>TEST_DATA!A12649</f>
        <v/>
      </c>
      <c r="B12649">
        <f>TEST_DATA!B12649</f>
        <v/>
      </c>
      <c r="C12649">
        <f>TEST_DATA!C12649</f>
        <v/>
      </c>
      <c r="D12649">
        <f>TEST_DATA!D12649</f>
        <v/>
      </c>
      <c r="E12649">
        <f>TEST_DATA!E12649</f>
        <v/>
      </c>
    </row>
    <row r="12650">
      <c r="A12650">
        <f>TEST_DATA!A12650</f>
        <v/>
      </c>
      <c r="B12650">
        <f>TEST_DATA!B12650</f>
        <v/>
      </c>
      <c r="C12650">
        <f>TEST_DATA!C12650</f>
        <v/>
      </c>
      <c r="D12650">
        <f>TEST_DATA!D12650</f>
        <v/>
      </c>
      <c r="E12650">
        <f>TEST_DATA!E12650</f>
        <v/>
      </c>
    </row>
    <row r="12651">
      <c r="A12651">
        <f>TEST_DATA!A12651</f>
        <v/>
      </c>
      <c r="B12651">
        <f>TEST_DATA!B12651</f>
        <v/>
      </c>
      <c r="C12651">
        <f>TEST_DATA!C12651</f>
        <v/>
      </c>
      <c r="D12651">
        <f>TEST_DATA!D12651</f>
        <v/>
      </c>
      <c r="E12651">
        <f>TEST_DATA!E12651</f>
        <v/>
      </c>
    </row>
    <row r="12652">
      <c r="A12652">
        <f>TEST_DATA!A12652</f>
        <v/>
      </c>
      <c r="B12652">
        <f>TEST_DATA!B12652</f>
        <v/>
      </c>
      <c r="C12652">
        <f>TEST_DATA!C12652</f>
        <v/>
      </c>
      <c r="D12652">
        <f>TEST_DATA!D12652</f>
        <v/>
      </c>
      <c r="E12652">
        <f>TEST_DATA!E12652</f>
        <v/>
      </c>
    </row>
    <row r="12653">
      <c r="A12653">
        <f>TEST_DATA!A12653</f>
        <v/>
      </c>
      <c r="B12653">
        <f>TEST_DATA!B12653</f>
        <v/>
      </c>
      <c r="C12653">
        <f>TEST_DATA!C12653</f>
        <v/>
      </c>
      <c r="D12653">
        <f>TEST_DATA!D12653</f>
        <v/>
      </c>
      <c r="E12653">
        <f>TEST_DATA!E12653</f>
        <v/>
      </c>
    </row>
    <row r="12654">
      <c r="A12654">
        <f>TEST_DATA!A12654</f>
        <v/>
      </c>
      <c r="B12654">
        <f>TEST_DATA!B12654</f>
        <v/>
      </c>
      <c r="C12654">
        <f>TEST_DATA!C12654</f>
        <v/>
      </c>
      <c r="D12654">
        <f>TEST_DATA!D12654</f>
        <v/>
      </c>
      <c r="E12654">
        <f>TEST_DATA!E12654</f>
        <v/>
      </c>
    </row>
    <row r="12655">
      <c r="A12655">
        <f>TEST_DATA!A12655</f>
        <v/>
      </c>
      <c r="B12655">
        <f>TEST_DATA!B12655</f>
        <v/>
      </c>
      <c r="C12655">
        <f>TEST_DATA!C12655</f>
        <v/>
      </c>
      <c r="D12655">
        <f>TEST_DATA!D12655</f>
        <v/>
      </c>
      <c r="E12655">
        <f>TEST_DATA!E12655</f>
        <v/>
      </c>
    </row>
    <row r="12656">
      <c r="A12656">
        <f>TEST_DATA!A12656</f>
        <v/>
      </c>
      <c r="B12656">
        <f>TEST_DATA!B12656</f>
        <v/>
      </c>
      <c r="C12656">
        <f>TEST_DATA!C12656</f>
        <v/>
      </c>
      <c r="D12656">
        <f>TEST_DATA!D12656</f>
        <v/>
      </c>
      <c r="E12656">
        <f>TEST_DATA!E12656</f>
        <v/>
      </c>
    </row>
    <row r="12657">
      <c r="A12657">
        <f>TEST_DATA!A12657</f>
        <v/>
      </c>
      <c r="B12657">
        <f>TEST_DATA!B12657</f>
        <v/>
      </c>
      <c r="C12657">
        <f>TEST_DATA!C12657</f>
        <v/>
      </c>
      <c r="D12657">
        <f>TEST_DATA!D12657</f>
        <v/>
      </c>
      <c r="E12657">
        <f>TEST_DATA!E12657</f>
        <v/>
      </c>
    </row>
    <row r="12658">
      <c r="A12658">
        <f>TEST_DATA!A12658</f>
        <v/>
      </c>
      <c r="B12658">
        <f>TEST_DATA!B12658</f>
        <v/>
      </c>
      <c r="C12658">
        <f>TEST_DATA!C12658</f>
        <v/>
      </c>
      <c r="D12658">
        <f>TEST_DATA!D12658</f>
        <v/>
      </c>
      <c r="E12658">
        <f>TEST_DATA!E12658</f>
        <v/>
      </c>
    </row>
    <row r="12659">
      <c r="A12659">
        <f>TEST_DATA!A12659</f>
        <v/>
      </c>
      <c r="B12659">
        <f>TEST_DATA!B12659</f>
        <v/>
      </c>
      <c r="C12659">
        <f>TEST_DATA!C12659</f>
        <v/>
      </c>
      <c r="D12659">
        <f>TEST_DATA!D12659</f>
        <v/>
      </c>
      <c r="E12659">
        <f>TEST_DATA!E12659</f>
        <v/>
      </c>
    </row>
    <row r="12660">
      <c r="A12660">
        <f>TEST_DATA!A12660</f>
        <v/>
      </c>
      <c r="B12660">
        <f>TEST_DATA!B12660</f>
        <v/>
      </c>
      <c r="C12660">
        <f>TEST_DATA!C12660</f>
        <v/>
      </c>
      <c r="D12660">
        <f>TEST_DATA!D12660</f>
        <v/>
      </c>
      <c r="E12660">
        <f>TEST_DATA!E12660</f>
        <v/>
      </c>
    </row>
    <row r="12661">
      <c r="A12661">
        <f>TEST_DATA!A12661</f>
        <v/>
      </c>
      <c r="B12661">
        <f>TEST_DATA!B12661</f>
        <v/>
      </c>
      <c r="C12661">
        <f>TEST_DATA!C12661</f>
        <v/>
      </c>
      <c r="D12661">
        <f>TEST_DATA!D12661</f>
        <v/>
      </c>
      <c r="E12661">
        <f>TEST_DATA!E12661</f>
        <v/>
      </c>
    </row>
    <row r="12662">
      <c r="A12662">
        <f>TEST_DATA!A12662</f>
        <v/>
      </c>
      <c r="B12662">
        <f>TEST_DATA!B12662</f>
        <v/>
      </c>
      <c r="C12662">
        <f>TEST_DATA!C12662</f>
        <v/>
      </c>
      <c r="D12662">
        <f>TEST_DATA!D12662</f>
        <v/>
      </c>
      <c r="E12662">
        <f>TEST_DATA!E12662</f>
        <v/>
      </c>
    </row>
    <row r="12663">
      <c r="A12663">
        <f>TEST_DATA!A12663</f>
        <v/>
      </c>
      <c r="B12663">
        <f>TEST_DATA!B12663</f>
        <v/>
      </c>
      <c r="C12663">
        <f>TEST_DATA!C12663</f>
        <v/>
      </c>
      <c r="D12663">
        <f>TEST_DATA!D12663</f>
        <v/>
      </c>
      <c r="E12663">
        <f>TEST_DATA!E12663</f>
        <v/>
      </c>
    </row>
    <row r="12664">
      <c r="A12664">
        <f>TEST_DATA!A12664</f>
        <v/>
      </c>
      <c r="B12664">
        <f>TEST_DATA!B12664</f>
        <v/>
      </c>
      <c r="C12664">
        <f>TEST_DATA!C12664</f>
        <v/>
      </c>
      <c r="D12664">
        <f>TEST_DATA!D12664</f>
        <v/>
      </c>
      <c r="E12664">
        <f>TEST_DATA!E12664</f>
        <v/>
      </c>
    </row>
    <row r="12665">
      <c r="A12665">
        <f>TEST_DATA!A12665</f>
        <v/>
      </c>
      <c r="B12665">
        <f>TEST_DATA!B12665</f>
        <v/>
      </c>
      <c r="C12665">
        <f>TEST_DATA!C12665</f>
        <v/>
      </c>
      <c r="D12665">
        <f>TEST_DATA!D12665</f>
        <v/>
      </c>
      <c r="E12665">
        <f>TEST_DATA!E12665</f>
        <v/>
      </c>
    </row>
    <row r="12666">
      <c r="A12666">
        <f>TEST_DATA!A12666</f>
        <v/>
      </c>
      <c r="B12666">
        <f>TEST_DATA!B12666</f>
        <v/>
      </c>
      <c r="C12666">
        <f>TEST_DATA!C12666</f>
        <v/>
      </c>
      <c r="D12666">
        <f>TEST_DATA!D12666</f>
        <v/>
      </c>
      <c r="E12666">
        <f>TEST_DATA!E12666</f>
        <v/>
      </c>
    </row>
    <row r="12667">
      <c r="A12667">
        <f>TEST_DATA!A12667</f>
        <v/>
      </c>
      <c r="B12667">
        <f>TEST_DATA!B12667</f>
        <v/>
      </c>
      <c r="C12667">
        <f>TEST_DATA!C12667</f>
        <v/>
      </c>
      <c r="D12667">
        <f>TEST_DATA!D12667</f>
        <v/>
      </c>
      <c r="E12667">
        <f>TEST_DATA!E12667</f>
        <v/>
      </c>
    </row>
    <row r="12668">
      <c r="A12668">
        <f>TEST_DATA!A12668</f>
        <v/>
      </c>
      <c r="B12668">
        <f>TEST_DATA!B12668</f>
        <v/>
      </c>
      <c r="C12668">
        <f>TEST_DATA!C12668</f>
        <v/>
      </c>
      <c r="D12668">
        <f>TEST_DATA!D12668</f>
        <v/>
      </c>
      <c r="E12668">
        <f>TEST_DATA!E12668</f>
        <v/>
      </c>
    </row>
    <row r="12669">
      <c r="A12669">
        <f>TEST_DATA!A12669</f>
        <v/>
      </c>
      <c r="B12669">
        <f>TEST_DATA!B12669</f>
        <v/>
      </c>
      <c r="C12669">
        <f>TEST_DATA!C12669</f>
        <v/>
      </c>
      <c r="D12669">
        <f>TEST_DATA!D12669</f>
        <v/>
      </c>
      <c r="E12669">
        <f>TEST_DATA!E12669</f>
        <v/>
      </c>
    </row>
    <row r="12670">
      <c r="A12670">
        <f>TEST_DATA!A12670</f>
        <v/>
      </c>
      <c r="B12670">
        <f>TEST_DATA!B12670</f>
        <v/>
      </c>
      <c r="C12670">
        <f>TEST_DATA!C12670</f>
        <v/>
      </c>
      <c r="D12670">
        <f>TEST_DATA!D12670</f>
        <v/>
      </c>
      <c r="E12670">
        <f>TEST_DATA!E12670</f>
        <v/>
      </c>
    </row>
    <row r="12671">
      <c r="A12671">
        <f>TEST_DATA!A12671</f>
        <v/>
      </c>
      <c r="B12671">
        <f>TEST_DATA!B12671</f>
        <v/>
      </c>
      <c r="C12671">
        <f>TEST_DATA!C12671</f>
        <v/>
      </c>
      <c r="D12671">
        <f>TEST_DATA!D12671</f>
        <v/>
      </c>
      <c r="E12671">
        <f>TEST_DATA!E12671</f>
        <v/>
      </c>
    </row>
    <row r="12672">
      <c r="A12672">
        <f>TEST_DATA!A12672</f>
        <v/>
      </c>
      <c r="B12672">
        <f>TEST_DATA!B12672</f>
        <v/>
      </c>
      <c r="C12672">
        <f>TEST_DATA!C12672</f>
        <v/>
      </c>
      <c r="D12672">
        <f>TEST_DATA!D12672</f>
        <v/>
      </c>
      <c r="E12672">
        <f>TEST_DATA!E12672</f>
        <v/>
      </c>
    </row>
    <row r="12673">
      <c r="A12673">
        <f>TEST_DATA!A12673</f>
        <v/>
      </c>
      <c r="B12673">
        <f>TEST_DATA!B12673</f>
        <v/>
      </c>
      <c r="C12673">
        <f>TEST_DATA!C12673</f>
        <v/>
      </c>
      <c r="D12673">
        <f>TEST_DATA!D12673</f>
        <v/>
      </c>
      <c r="E12673">
        <f>TEST_DATA!E12673</f>
        <v/>
      </c>
    </row>
    <row r="12674">
      <c r="A12674">
        <f>TEST_DATA!A12674</f>
        <v/>
      </c>
      <c r="B12674">
        <f>TEST_DATA!B12674</f>
        <v/>
      </c>
      <c r="C12674">
        <f>TEST_DATA!C12674</f>
        <v/>
      </c>
      <c r="D12674">
        <f>TEST_DATA!D12674</f>
        <v/>
      </c>
      <c r="E12674">
        <f>TEST_DATA!E12674</f>
        <v/>
      </c>
    </row>
    <row r="12675">
      <c r="A12675">
        <f>TEST_DATA!A12675</f>
        <v/>
      </c>
      <c r="B12675">
        <f>TEST_DATA!B12675</f>
        <v/>
      </c>
      <c r="C12675">
        <f>TEST_DATA!C12675</f>
        <v/>
      </c>
      <c r="D12675">
        <f>TEST_DATA!D12675</f>
        <v/>
      </c>
      <c r="E12675">
        <f>TEST_DATA!E12675</f>
        <v/>
      </c>
    </row>
    <row r="12676">
      <c r="A12676">
        <f>TEST_DATA!A12676</f>
        <v/>
      </c>
      <c r="B12676">
        <f>TEST_DATA!B12676</f>
        <v/>
      </c>
      <c r="C12676">
        <f>TEST_DATA!C12676</f>
        <v/>
      </c>
      <c r="D12676">
        <f>TEST_DATA!D12676</f>
        <v/>
      </c>
      <c r="E12676">
        <f>TEST_DATA!E12676</f>
        <v/>
      </c>
    </row>
    <row r="12677">
      <c r="A12677">
        <f>TEST_DATA!A12677</f>
        <v/>
      </c>
      <c r="B12677">
        <f>TEST_DATA!B12677</f>
        <v/>
      </c>
      <c r="C12677">
        <f>TEST_DATA!C12677</f>
        <v/>
      </c>
      <c r="D12677">
        <f>TEST_DATA!D12677</f>
        <v/>
      </c>
      <c r="E12677">
        <f>TEST_DATA!E12677</f>
        <v/>
      </c>
    </row>
    <row r="12678">
      <c r="A12678">
        <f>TEST_DATA!A12678</f>
        <v/>
      </c>
      <c r="B12678">
        <f>TEST_DATA!B12678</f>
        <v/>
      </c>
      <c r="C12678">
        <f>TEST_DATA!C12678</f>
        <v/>
      </c>
      <c r="D12678">
        <f>TEST_DATA!D12678</f>
        <v/>
      </c>
      <c r="E12678">
        <f>TEST_DATA!E12678</f>
        <v/>
      </c>
    </row>
    <row r="12679">
      <c r="A12679">
        <f>TEST_DATA!A12679</f>
        <v/>
      </c>
      <c r="B12679">
        <f>TEST_DATA!B12679</f>
        <v/>
      </c>
      <c r="C12679">
        <f>TEST_DATA!C12679</f>
        <v/>
      </c>
      <c r="D12679">
        <f>TEST_DATA!D12679</f>
        <v/>
      </c>
      <c r="E12679">
        <f>TEST_DATA!E12679</f>
        <v/>
      </c>
    </row>
    <row r="12680">
      <c r="A12680">
        <f>TEST_DATA!A12680</f>
        <v/>
      </c>
      <c r="B12680">
        <f>TEST_DATA!B12680</f>
        <v/>
      </c>
      <c r="C12680">
        <f>TEST_DATA!C12680</f>
        <v/>
      </c>
      <c r="D12680">
        <f>TEST_DATA!D12680</f>
        <v/>
      </c>
      <c r="E12680">
        <f>TEST_DATA!E12680</f>
        <v/>
      </c>
    </row>
    <row r="12681">
      <c r="A12681">
        <f>TEST_DATA!A12681</f>
        <v/>
      </c>
      <c r="B12681">
        <f>TEST_DATA!B12681</f>
        <v/>
      </c>
      <c r="C12681">
        <f>TEST_DATA!C12681</f>
        <v/>
      </c>
      <c r="D12681">
        <f>TEST_DATA!D12681</f>
        <v/>
      </c>
      <c r="E12681">
        <f>TEST_DATA!E12681</f>
        <v/>
      </c>
    </row>
    <row r="12682">
      <c r="A12682">
        <f>TEST_DATA!A12682</f>
        <v/>
      </c>
      <c r="B12682">
        <f>TEST_DATA!B12682</f>
        <v/>
      </c>
      <c r="C12682">
        <f>TEST_DATA!C12682</f>
        <v/>
      </c>
      <c r="D12682">
        <f>TEST_DATA!D12682</f>
        <v/>
      </c>
      <c r="E12682">
        <f>TEST_DATA!E12682</f>
        <v/>
      </c>
    </row>
    <row r="12683">
      <c r="A12683">
        <f>TEST_DATA!A12683</f>
        <v/>
      </c>
      <c r="B12683">
        <f>TEST_DATA!B12683</f>
        <v/>
      </c>
      <c r="C12683">
        <f>TEST_DATA!C12683</f>
        <v/>
      </c>
      <c r="D12683">
        <f>TEST_DATA!D12683</f>
        <v/>
      </c>
      <c r="E12683">
        <f>TEST_DATA!E12683</f>
        <v/>
      </c>
    </row>
    <row r="12684">
      <c r="A12684">
        <f>TEST_DATA!A12684</f>
        <v/>
      </c>
      <c r="B12684">
        <f>TEST_DATA!B12684</f>
        <v/>
      </c>
      <c r="C12684">
        <f>TEST_DATA!C12684</f>
        <v/>
      </c>
      <c r="D12684">
        <f>TEST_DATA!D12684</f>
        <v/>
      </c>
      <c r="E12684">
        <f>TEST_DATA!E12684</f>
        <v/>
      </c>
    </row>
    <row r="12685">
      <c r="A12685">
        <f>TEST_DATA!A12685</f>
        <v/>
      </c>
      <c r="B12685">
        <f>TEST_DATA!B12685</f>
        <v/>
      </c>
      <c r="C12685">
        <f>TEST_DATA!C12685</f>
        <v/>
      </c>
      <c r="D12685">
        <f>TEST_DATA!D12685</f>
        <v/>
      </c>
      <c r="E12685">
        <f>TEST_DATA!E12685</f>
        <v/>
      </c>
    </row>
    <row r="12686">
      <c r="A12686">
        <f>TEST_DATA!A12686</f>
        <v/>
      </c>
      <c r="B12686">
        <f>TEST_DATA!B12686</f>
        <v/>
      </c>
      <c r="C12686">
        <f>TEST_DATA!C12686</f>
        <v/>
      </c>
      <c r="D12686">
        <f>TEST_DATA!D12686</f>
        <v/>
      </c>
      <c r="E12686">
        <f>TEST_DATA!E12686</f>
        <v/>
      </c>
    </row>
    <row r="12687">
      <c r="A12687">
        <f>TEST_DATA!A12687</f>
        <v/>
      </c>
      <c r="B12687">
        <f>TEST_DATA!B12687</f>
        <v/>
      </c>
      <c r="C12687">
        <f>TEST_DATA!C12687</f>
        <v/>
      </c>
      <c r="D12687">
        <f>TEST_DATA!D12687</f>
        <v/>
      </c>
      <c r="E12687">
        <f>TEST_DATA!E12687</f>
        <v/>
      </c>
    </row>
    <row r="12688">
      <c r="A12688">
        <f>TEST_DATA!A12688</f>
        <v/>
      </c>
      <c r="B12688">
        <f>TEST_DATA!B12688</f>
        <v/>
      </c>
      <c r="C12688">
        <f>TEST_DATA!C12688</f>
        <v/>
      </c>
      <c r="D12688">
        <f>TEST_DATA!D12688</f>
        <v/>
      </c>
      <c r="E12688">
        <f>TEST_DATA!E12688</f>
        <v/>
      </c>
    </row>
    <row r="12689">
      <c r="A12689">
        <f>TEST_DATA!A12689</f>
        <v/>
      </c>
      <c r="B12689">
        <f>TEST_DATA!B12689</f>
        <v/>
      </c>
      <c r="C12689">
        <f>TEST_DATA!C12689</f>
        <v/>
      </c>
      <c r="D12689">
        <f>TEST_DATA!D12689</f>
        <v/>
      </c>
      <c r="E12689">
        <f>TEST_DATA!E12689</f>
        <v/>
      </c>
    </row>
    <row r="12690">
      <c r="A12690">
        <f>TEST_DATA!A12690</f>
        <v/>
      </c>
      <c r="B12690">
        <f>TEST_DATA!B12690</f>
        <v/>
      </c>
      <c r="C12690">
        <f>TEST_DATA!C12690</f>
        <v/>
      </c>
      <c r="D12690">
        <f>TEST_DATA!D12690</f>
        <v/>
      </c>
      <c r="E12690">
        <f>TEST_DATA!E12690</f>
        <v/>
      </c>
    </row>
    <row r="12691">
      <c r="A12691">
        <f>TEST_DATA!A12691</f>
        <v/>
      </c>
      <c r="B12691">
        <f>TEST_DATA!B12691</f>
        <v/>
      </c>
      <c r="C12691">
        <f>TEST_DATA!C12691</f>
        <v/>
      </c>
      <c r="D12691">
        <f>TEST_DATA!D12691</f>
        <v/>
      </c>
      <c r="E12691">
        <f>TEST_DATA!E12691</f>
        <v/>
      </c>
    </row>
    <row r="12692">
      <c r="A12692">
        <f>TEST_DATA!A12692</f>
        <v/>
      </c>
      <c r="B12692">
        <f>TEST_DATA!B12692</f>
        <v/>
      </c>
      <c r="C12692">
        <f>TEST_DATA!C12692</f>
        <v/>
      </c>
      <c r="D12692">
        <f>TEST_DATA!D12692</f>
        <v/>
      </c>
      <c r="E12692">
        <f>TEST_DATA!E12692</f>
        <v/>
      </c>
    </row>
    <row r="12693">
      <c r="A12693">
        <f>TEST_DATA!A12693</f>
        <v/>
      </c>
      <c r="B12693">
        <f>TEST_DATA!B12693</f>
        <v/>
      </c>
      <c r="C12693">
        <f>TEST_DATA!C12693</f>
        <v/>
      </c>
      <c r="D12693">
        <f>TEST_DATA!D12693</f>
        <v/>
      </c>
      <c r="E12693">
        <f>TEST_DATA!E12693</f>
        <v/>
      </c>
    </row>
    <row r="12694">
      <c r="A12694">
        <f>TEST_DATA!A12694</f>
        <v/>
      </c>
      <c r="B12694">
        <f>TEST_DATA!B12694</f>
        <v/>
      </c>
      <c r="C12694">
        <f>TEST_DATA!C12694</f>
        <v/>
      </c>
      <c r="D12694">
        <f>TEST_DATA!D12694</f>
        <v/>
      </c>
      <c r="E12694">
        <f>TEST_DATA!E12694</f>
        <v/>
      </c>
    </row>
    <row r="12695">
      <c r="A12695">
        <f>TEST_DATA!A12695</f>
        <v/>
      </c>
      <c r="B12695">
        <f>TEST_DATA!B12695</f>
        <v/>
      </c>
      <c r="C12695">
        <f>TEST_DATA!C12695</f>
        <v/>
      </c>
      <c r="D12695">
        <f>TEST_DATA!D12695</f>
        <v/>
      </c>
      <c r="E12695">
        <f>TEST_DATA!E12695</f>
        <v/>
      </c>
    </row>
    <row r="12696">
      <c r="A12696">
        <f>TEST_DATA!A12696</f>
        <v/>
      </c>
      <c r="B12696">
        <f>TEST_DATA!B12696</f>
        <v/>
      </c>
      <c r="C12696">
        <f>TEST_DATA!C12696</f>
        <v/>
      </c>
      <c r="D12696">
        <f>TEST_DATA!D12696</f>
        <v/>
      </c>
      <c r="E12696">
        <f>TEST_DATA!E12696</f>
        <v/>
      </c>
    </row>
    <row r="12697">
      <c r="A12697">
        <f>TEST_DATA!A12697</f>
        <v/>
      </c>
      <c r="B12697">
        <f>TEST_DATA!B12697</f>
        <v/>
      </c>
      <c r="C12697">
        <f>TEST_DATA!C12697</f>
        <v/>
      </c>
      <c r="D12697">
        <f>TEST_DATA!D12697</f>
        <v/>
      </c>
      <c r="E12697">
        <f>TEST_DATA!E12697</f>
        <v/>
      </c>
    </row>
    <row r="12698">
      <c r="A12698">
        <f>TEST_DATA!A12698</f>
        <v/>
      </c>
      <c r="B12698">
        <f>TEST_DATA!B12698</f>
        <v/>
      </c>
      <c r="C12698">
        <f>TEST_DATA!C12698</f>
        <v/>
      </c>
      <c r="D12698">
        <f>TEST_DATA!D12698</f>
        <v/>
      </c>
      <c r="E12698">
        <f>TEST_DATA!E12698</f>
        <v/>
      </c>
    </row>
    <row r="12699">
      <c r="A12699">
        <f>TEST_DATA!A12699</f>
        <v/>
      </c>
      <c r="B12699">
        <f>TEST_DATA!B12699</f>
        <v/>
      </c>
      <c r="C12699">
        <f>TEST_DATA!C12699</f>
        <v/>
      </c>
      <c r="D12699">
        <f>TEST_DATA!D12699</f>
        <v/>
      </c>
      <c r="E12699">
        <f>TEST_DATA!E12699</f>
        <v/>
      </c>
    </row>
    <row r="12700">
      <c r="A12700">
        <f>TEST_DATA!A12700</f>
        <v/>
      </c>
      <c r="B12700">
        <f>TEST_DATA!B12700</f>
        <v/>
      </c>
      <c r="C12700">
        <f>TEST_DATA!C12700</f>
        <v/>
      </c>
      <c r="D12700">
        <f>TEST_DATA!D12700</f>
        <v/>
      </c>
      <c r="E12700">
        <f>TEST_DATA!E12700</f>
        <v/>
      </c>
    </row>
    <row r="12701">
      <c r="A12701">
        <f>TEST_DATA!A12701</f>
        <v/>
      </c>
      <c r="B12701">
        <f>TEST_DATA!B12701</f>
        <v/>
      </c>
      <c r="C12701">
        <f>TEST_DATA!C12701</f>
        <v/>
      </c>
      <c r="D12701">
        <f>TEST_DATA!D12701</f>
        <v/>
      </c>
      <c r="E12701">
        <f>TEST_DATA!E12701</f>
        <v/>
      </c>
    </row>
    <row r="12702">
      <c r="A12702">
        <f>TEST_DATA!A12702</f>
        <v/>
      </c>
      <c r="B12702">
        <f>TEST_DATA!B12702</f>
        <v/>
      </c>
      <c r="C12702">
        <f>TEST_DATA!C12702</f>
        <v/>
      </c>
      <c r="D12702">
        <f>TEST_DATA!D12702</f>
        <v/>
      </c>
      <c r="E12702">
        <f>TEST_DATA!E12702</f>
        <v/>
      </c>
    </row>
    <row r="12703">
      <c r="A12703">
        <f>TEST_DATA!A12703</f>
        <v/>
      </c>
      <c r="B12703">
        <f>TEST_DATA!B12703</f>
        <v/>
      </c>
      <c r="C12703">
        <f>TEST_DATA!C12703</f>
        <v/>
      </c>
      <c r="D12703">
        <f>TEST_DATA!D12703</f>
        <v/>
      </c>
      <c r="E12703">
        <f>TEST_DATA!E12703</f>
        <v/>
      </c>
    </row>
    <row r="12704">
      <c r="A12704">
        <f>TEST_DATA!A12704</f>
        <v/>
      </c>
      <c r="B12704">
        <f>TEST_DATA!B12704</f>
        <v/>
      </c>
      <c r="C12704">
        <f>TEST_DATA!C12704</f>
        <v/>
      </c>
      <c r="D12704">
        <f>TEST_DATA!D12704</f>
        <v/>
      </c>
      <c r="E12704">
        <f>TEST_DATA!E12704</f>
        <v/>
      </c>
    </row>
    <row r="12705">
      <c r="A12705">
        <f>TEST_DATA!A12705</f>
        <v/>
      </c>
      <c r="B12705">
        <f>TEST_DATA!B12705</f>
        <v/>
      </c>
      <c r="C12705">
        <f>TEST_DATA!C12705</f>
        <v/>
      </c>
      <c r="D12705">
        <f>TEST_DATA!D12705</f>
        <v/>
      </c>
      <c r="E12705">
        <f>TEST_DATA!E12705</f>
        <v/>
      </c>
    </row>
    <row r="12706">
      <c r="A12706">
        <f>TEST_DATA!A12706</f>
        <v/>
      </c>
      <c r="B12706">
        <f>TEST_DATA!B12706</f>
        <v/>
      </c>
      <c r="C12706">
        <f>TEST_DATA!C12706</f>
        <v/>
      </c>
      <c r="D12706">
        <f>TEST_DATA!D12706</f>
        <v/>
      </c>
      <c r="E12706">
        <f>TEST_DATA!E12706</f>
        <v/>
      </c>
    </row>
    <row r="12707">
      <c r="A12707">
        <f>TEST_DATA!A12707</f>
        <v/>
      </c>
      <c r="B12707">
        <f>TEST_DATA!B12707</f>
        <v/>
      </c>
      <c r="C12707">
        <f>TEST_DATA!C12707</f>
        <v/>
      </c>
      <c r="D12707">
        <f>TEST_DATA!D12707</f>
        <v/>
      </c>
      <c r="E12707">
        <f>TEST_DATA!E12707</f>
        <v/>
      </c>
    </row>
    <row r="12708">
      <c r="A12708">
        <f>TEST_DATA!A12708</f>
        <v/>
      </c>
      <c r="B12708">
        <f>TEST_DATA!B12708</f>
        <v/>
      </c>
      <c r="C12708">
        <f>TEST_DATA!C12708</f>
        <v/>
      </c>
      <c r="D12708">
        <f>TEST_DATA!D12708</f>
        <v/>
      </c>
      <c r="E12708">
        <f>TEST_DATA!E12708</f>
        <v/>
      </c>
    </row>
    <row r="12709">
      <c r="A12709">
        <f>TEST_DATA!A12709</f>
        <v/>
      </c>
      <c r="B12709">
        <f>TEST_DATA!B12709</f>
        <v/>
      </c>
      <c r="C12709">
        <f>TEST_DATA!C12709</f>
        <v/>
      </c>
      <c r="D12709">
        <f>TEST_DATA!D12709</f>
        <v/>
      </c>
      <c r="E12709">
        <f>TEST_DATA!E12709</f>
        <v/>
      </c>
    </row>
    <row r="12710">
      <c r="A12710">
        <f>TEST_DATA!A12710</f>
        <v/>
      </c>
      <c r="B12710">
        <f>TEST_DATA!B12710</f>
        <v/>
      </c>
      <c r="C12710">
        <f>TEST_DATA!C12710</f>
        <v/>
      </c>
      <c r="D12710">
        <f>TEST_DATA!D12710</f>
        <v/>
      </c>
      <c r="E12710">
        <f>TEST_DATA!E12710</f>
        <v/>
      </c>
    </row>
    <row r="12711">
      <c r="A12711">
        <f>TEST_DATA!A12711</f>
        <v/>
      </c>
      <c r="B12711">
        <f>TEST_DATA!B12711</f>
        <v/>
      </c>
      <c r="C12711">
        <f>TEST_DATA!C12711</f>
        <v/>
      </c>
      <c r="D12711">
        <f>TEST_DATA!D12711</f>
        <v/>
      </c>
      <c r="E12711">
        <f>TEST_DATA!E12711</f>
        <v/>
      </c>
    </row>
    <row r="12712">
      <c r="A12712">
        <f>TEST_DATA!A12712</f>
        <v/>
      </c>
      <c r="B12712">
        <f>TEST_DATA!B12712</f>
        <v/>
      </c>
      <c r="C12712">
        <f>TEST_DATA!C12712</f>
        <v/>
      </c>
      <c r="D12712">
        <f>TEST_DATA!D12712</f>
        <v/>
      </c>
      <c r="E12712">
        <f>TEST_DATA!E12712</f>
        <v/>
      </c>
    </row>
    <row r="12713">
      <c r="A12713">
        <f>TEST_DATA!A12713</f>
        <v/>
      </c>
      <c r="B12713">
        <f>TEST_DATA!B12713</f>
        <v/>
      </c>
      <c r="C12713">
        <f>TEST_DATA!C12713</f>
        <v/>
      </c>
      <c r="D12713">
        <f>TEST_DATA!D12713</f>
        <v/>
      </c>
      <c r="E12713">
        <f>TEST_DATA!E12713</f>
        <v/>
      </c>
    </row>
    <row r="12714">
      <c r="A12714">
        <f>TEST_DATA!A12714</f>
        <v/>
      </c>
      <c r="B12714">
        <f>TEST_DATA!B12714</f>
        <v/>
      </c>
      <c r="C12714">
        <f>TEST_DATA!C12714</f>
        <v/>
      </c>
      <c r="D12714">
        <f>TEST_DATA!D12714</f>
        <v/>
      </c>
      <c r="E12714">
        <f>TEST_DATA!E12714</f>
        <v/>
      </c>
    </row>
    <row r="12715">
      <c r="A12715">
        <f>TEST_DATA!A12715</f>
        <v/>
      </c>
      <c r="B12715">
        <f>TEST_DATA!B12715</f>
        <v/>
      </c>
      <c r="C12715">
        <f>TEST_DATA!C12715</f>
        <v/>
      </c>
      <c r="D12715">
        <f>TEST_DATA!D12715</f>
        <v/>
      </c>
      <c r="E12715">
        <f>TEST_DATA!E12715</f>
        <v/>
      </c>
    </row>
    <row r="12716">
      <c r="A12716">
        <f>TEST_DATA!A12716</f>
        <v/>
      </c>
      <c r="B12716">
        <f>TEST_DATA!B12716</f>
        <v/>
      </c>
      <c r="C12716">
        <f>TEST_DATA!C12716</f>
        <v/>
      </c>
      <c r="D12716">
        <f>TEST_DATA!D12716</f>
        <v/>
      </c>
      <c r="E12716">
        <f>TEST_DATA!E12716</f>
        <v/>
      </c>
    </row>
    <row r="12717">
      <c r="A12717">
        <f>TEST_DATA!A12717</f>
        <v/>
      </c>
      <c r="B12717">
        <f>TEST_DATA!B12717</f>
        <v/>
      </c>
      <c r="C12717">
        <f>TEST_DATA!C12717</f>
        <v/>
      </c>
      <c r="D12717">
        <f>TEST_DATA!D12717</f>
        <v/>
      </c>
      <c r="E12717">
        <f>TEST_DATA!E12717</f>
        <v/>
      </c>
    </row>
    <row r="12718">
      <c r="A12718">
        <f>TEST_DATA!A12718</f>
        <v/>
      </c>
      <c r="B12718">
        <f>TEST_DATA!B12718</f>
        <v/>
      </c>
      <c r="C12718">
        <f>TEST_DATA!C12718</f>
        <v/>
      </c>
      <c r="D12718">
        <f>TEST_DATA!D12718</f>
        <v/>
      </c>
      <c r="E12718">
        <f>TEST_DATA!E12718</f>
        <v/>
      </c>
    </row>
    <row r="12719">
      <c r="A12719">
        <f>TEST_DATA!A12719</f>
        <v/>
      </c>
      <c r="B12719">
        <f>TEST_DATA!B12719</f>
        <v/>
      </c>
      <c r="C12719">
        <f>TEST_DATA!C12719</f>
        <v/>
      </c>
      <c r="D12719">
        <f>TEST_DATA!D12719</f>
        <v/>
      </c>
      <c r="E12719">
        <f>TEST_DATA!E12719</f>
        <v/>
      </c>
    </row>
    <row r="12720">
      <c r="A12720">
        <f>TEST_DATA!A12720</f>
        <v/>
      </c>
      <c r="B12720">
        <f>TEST_DATA!B12720</f>
        <v/>
      </c>
      <c r="C12720">
        <f>TEST_DATA!C12720</f>
        <v/>
      </c>
      <c r="D12720">
        <f>TEST_DATA!D12720</f>
        <v/>
      </c>
      <c r="E12720">
        <f>TEST_DATA!E12720</f>
        <v/>
      </c>
    </row>
    <row r="12721">
      <c r="A12721">
        <f>TEST_DATA!A12721</f>
        <v/>
      </c>
      <c r="B12721">
        <f>TEST_DATA!B12721</f>
        <v/>
      </c>
      <c r="C12721">
        <f>TEST_DATA!C12721</f>
        <v/>
      </c>
      <c r="D12721">
        <f>TEST_DATA!D12721</f>
        <v/>
      </c>
      <c r="E12721">
        <f>TEST_DATA!E12721</f>
        <v/>
      </c>
    </row>
    <row r="12722">
      <c r="A12722">
        <f>TEST_DATA!A12722</f>
        <v/>
      </c>
      <c r="B12722">
        <f>TEST_DATA!B12722</f>
        <v/>
      </c>
      <c r="C12722">
        <f>TEST_DATA!C12722</f>
        <v/>
      </c>
      <c r="D12722">
        <f>TEST_DATA!D12722</f>
        <v/>
      </c>
      <c r="E12722">
        <f>TEST_DATA!E12722</f>
        <v/>
      </c>
    </row>
    <row r="12723">
      <c r="A12723">
        <f>TEST_DATA!A12723</f>
        <v/>
      </c>
      <c r="B12723">
        <f>TEST_DATA!B12723</f>
        <v/>
      </c>
      <c r="C12723">
        <f>TEST_DATA!C12723</f>
        <v/>
      </c>
      <c r="D12723">
        <f>TEST_DATA!D12723</f>
        <v/>
      </c>
      <c r="E12723">
        <f>TEST_DATA!E12723</f>
        <v/>
      </c>
    </row>
    <row r="12724">
      <c r="A12724">
        <f>TEST_DATA!A12724</f>
        <v/>
      </c>
      <c r="B12724">
        <f>TEST_DATA!B12724</f>
        <v/>
      </c>
      <c r="C12724">
        <f>TEST_DATA!C12724</f>
        <v/>
      </c>
      <c r="D12724">
        <f>TEST_DATA!D12724</f>
        <v/>
      </c>
      <c r="E12724">
        <f>TEST_DATA!E12724</f>
        <v/>
      </c>
    </row>
    <row r="12725">
      <c r="A12725">
        <f>TEST_DATA!A12725</f>
        <v/>
      </c>
      <c r="B12725">
        <f>TEST_DATA!B12725</f>
        <v/>
      </c>
      <c r="C12725">
        <f>TEST_DATA!C12725</f>
        <v/>
      </c>
      <c r="D12725">
        <f>TEST_DATA!D12725</f>
        <v/>
      </c>
      <c r="E12725">
        <f>TEST_DATA!E12725</f>
        <v/>
      </c>
    </row>
    <row r="12726">
      <c r="A12726">
        <f>TEST_DATA!A12726</f>
        <v/>
      </c>
      <c r="B12726">
        <f>TEST_DATA!B12726</f>
        <v/>
      </c>
      <c r="C12726">
        <f>TEST_DATA!C12726</f>
        <v/>
      </c>
      <c r="D12726">
        <f>TEST_DATA!D12726</f>
        <v/>
      </c>
      <c r="E12726">
        <f>TEST_DATA!E12726</f>
        <v/>
      </c>
    </row>
    <row r="12727">
      <c r="A12727">
        <f>TEST_DATA!A12727</f>
        <v/>
      </c>
      <c r="B12727">
        <f>TEST_DATA!B12727</f>
        <v/>
      </c>
      <c r="C12727">
        <f>TEST_DATA!C12727</f>
        <v/>
      </c>
      <c r="D12727">
        <f>TEST_DATA!D12727</f>
        <v/>
      </c>
      <c r="E12727">
        <f>TEST_DATA!E12727</f>
        <v/>
      </c>
    </row>
    <row r="12728">
      <c r="A12728">
        <f>TEST_DATA!A12728</f>
        <v/>
      </c>
      <c r="B12728">
        <f>TEST_DATA!B12728</f>
        <v/>
      </c>
      <c r="C12728">
        <f>TEST_DATA!C12728</f>
        <v/>
      </c>
      <c r="D12728">
        <f>TEST_DATA!D12728</f>
        <v/>
      </c>
      <c r="E12728">
        <f>TEST_DATA!E12728</f>
        <v/>
      </c>
    </row>
    <row r="12729">
      <c r="A12729">
        <f>TEST_DATA!A12729</f>
        <v/>
      </c>
      <c r="B12729">
        <f>TEST_DATA!B12729</f>
        <v/>
      </c>
      <c r="C12729">
        <f>TEST_DATA!C12729</f>
        <v/>
      </c>
      <c r="D12729">
        <f>TEST_DATA!D12729</f>
        <v/>
      </c>
      <c r="E12729">
        <f>TEST_DATA!E12729</f>
        <v/>
      </c>
    </row>
    <row r="12730">
      <c r="A12730">
        <f>TEST_DATA!A12730</f>
        <v/>
      </c>
      <c r="B12730">
        <f>TEST_DATA!B12730</f>
        <v/>
      </c>
      <c r="C12730">
        <f>TEST_DATA!C12730</f>
        <v/>
      </c>
      <c r="D12730">
        <f>TEST_DATA!D12730</f>
        <v/>
      </c>
      <c r="E12730">
        <f>TEST_DATA!E12730</f>
        <v/>
      </c>
    </row>
    <row r="12731">
      <c r="A12731">
        <f>TEST_DATA!A12731</f>
        <v/>
      </c>
      <c r="B12731">
        <f>TEST_DATA!B12731</f>
        <v/>
      </c>
      <c r="C12731">
        <f>TEST_DATA!C12731</f>
        <v/>
      </c>
      <c r="D12731">
        <f>TEST_DATA!D12731</f>
        <v/>
      </c>
      <c r="E12731">
        <f>TEST_DATA!E12731</f>
        <v/>
      </c>
    </row>
    <row r="12732">
      <c r="A12732">
        <f>TEST_DATA!A12732</f>
        <v/>
      </c>
      <c r="B12732">
        <f>TEST_DATA!B12732</f>
        <v/>
      </c>
      <c r="C12732">
        <f>TEST_DATA!C12732</f>
        <v/>
      </c>
      <c r="D12732">
        <f>TEST_DATA!D12732</f>
        <v/>
      </c>
      <c r="E12732">
        <f>TEST_DATA!E12732</f>
        <v/>
      </c>
    </row>
    <row r="12733">
      <c r="A12733">
        <f>TEST_DATA!A12733</f>
        <v/>
      </c>
      <c r="B12733">
        <f>TEST_DATA!B12733</f>
        <v/>
      </c>
      <c r="C12733">
        <f>TEST_DATA!C12733</f>
        <v/>
      </c>
      <c r="D12733">
        <f>TEST_DATA!D12733</f>
        <v/>
      </c>
      <c r="E12733">
        <f>TEST_DATA!E12733</f>
        <v/>
      </c>
    </row>
    <row r="12734">
      <c r="A12734">
        <f>TEST_DATA!A12734</f>
        <v/>
      </c>
      <c r="B12734">
        <f>TEST_DATA!B12734</f>
        <v/>
      </c>
      <c r="C12734">
        <f>TEST_DATA!C12734</f>
        <v/>
      </c>
      <c r="D12734">
        <f>TEST_DATA!D12734</f>
        <v/>
      </c>
      <c r="E12734">
        <f>TEST_DATA!E12734</f>
        <v/>
      </c>
    </row>
    <row r="12735">
      <c r="A12735">
        <f>TEST_DATA!A12735</f>
        <v/>
      </c>
      <c r="B12735">
        <f>TEST_DATA!B12735</f>
        <v/>
      </c>
      <c r="C12735">
        <f>TEST_DATA!C12735</f>
        <v/>
      </c>
      <c r="D12735">
        <f>TEST_DATA!D12735</f>
        <v/>
      </c>
      <c r="E12735">
        <f>TEST_DATA!E12735</f>
        <v/>
      </c>
    </row>
    <row r="12736">
      <c r="A12736">
        <f>TEST_DATA!A12736</f>
        <v/>
      </c>
      <c r="B12736">
        <f>TEST_DATA!B12736</f>
        <v/>
      </c>
      <c r="C12736">
        <f>TEST_DATA!C12736</f>
        <v/>
      </c>
      <c r="D12736">
        <f>TEST_DATA!D12736</f>
        <v/>
      </c>
      <c r="E12736">
        <f>TEST_DATA!E12736</f>
        <v/>
      </c>
    </row>
    <row r="12737">
      <c r="A12737">
        <f>TEST_DATA!A12737</f>
        <v/>
      </c>
      <c r="B12737">
        <f>TEST_DATA!B12737</f>
        <v/>
      </c>
      <c r="C12737">
        <f>TEST_DATA!C12737</f>
        <v/>
      </c>
      <c r="D12737">
        <f>TEST_DATA!D12737</f>
        <v/>
      </c>
      <c r="E12737">
        <f>TEST_DATA!E12737</f>
        <v/>
      </c>
    </row>
    <row r="12738">
      <c r="A12738">
        <f>TEST_DATA!A12738</f>
        <v/>
      </c>
      <c r="B12738">
        <f>TEST_DATA!B12738</f>
        <v/>
      </c>
      <c r="C12738">
        <f>TEST_DATA!C12738</f>
        <v/>
      </c>
      <c r="D12738">
        <f>TEST_DATA!D12738</f>
        <v/>
      </c>
      <c r="E12738">
        <f>TEST_DATA!E12738</f>
        <v/>
      </c>
    </row>
    <row r="12739">
      <c r="A12739">
        <f>TEST_DATA!A12739</f>
        <v/>
      </c>
      <c r="B12739">
        <f>TEST_DATA!B12739</f>
        <v/>
      </c>
      <c r="C12739">
        <f>TEST_DATA!C12739</f>
        <v/>
      </c>
      <c r="D12739">
        <f>TEST_DATA!D12739</f>
        <v/>
      </c>
      <c r="E12739">
        <f>TEST_DATA!E12739</f>
        <v/>
      </c>
    </row>
    <row r="12740">
      <c r="A12740">
        <f>TEST_DATA!A12740</f>
        <v/>
      </c>
      <c r="B12740">
        <f>TEST_DATA!B12740</f>
        <v/>
      </c>
      <c r="C12740">
        <f>TEST_DATA!C12740</f>
        <v/>
      </c>
      <c r="D12740">
        <f>TEST_DATA!D12740</f>
        <v/>
      </c>
      <c r="E12740">
        <f>TEST_DATA!E12740</f>
        <v/>
      </c>
    </row>
    <row r="12741">
      <c r="A12741">
        <f>TEST_DATA!A12741</f>
        <v/>
      </c>
      <c r="B12741">
        <f>TEST_DATA!B12741</f>
        <v/>
      </c>
      <c r="C12741">
        <f>TEST_DATA!C12741</f>
        <v/>
      </c>
      <c r="D12741">
        <f>TEST_DATA!D12741</f>
        <v/>
      </c>
      <c r="E12741">
        <f>TEST_DATA!E12741</f>
        <v/>
      </c>
    </row>
    <row r="12742">
      <c r="A12742">
        <f>TEST_DATA!A12742</f>
        <v/>
      </c>
      <c r="B12742">
        <f>TEST_DATA!B12742</f>
        <v/>
      </c>
      <c r="C12742">
        <f>TEST_DATA!C12742</f>
        <v/>
      </c>
      <c r="D12742">
        <f>TEST_DATA!D12742</f>
        <v/>
      </c>
      <c r="E12742">
        <f>TEST_DATA!E12742</f>
        <v/>
      </c>
    </row>
    <row r="12743">
      <c r="A12743">
        <f>TEST_DATA!A12743</f>
        <v/>
      </c>
      <c r="B12743">
        <f>TEST_DATA!B12743</f>
        <v/>
      </c>
      <c r="C12743">
        <f>TEST_DATA!C12743</f>
        <v/>
      </c>
      <c r="D12743">
        <f>TEST_DATA!D12743</f>
        <v/>
      </c>
      <c r="E12743">
        <f>TEST_DATA!E12743</f>
        <v/>
      </c>
    </row>
    <row r="12744">
      <c r="A12744">
        <f>TEST_DATA!A12744</f>
        <v/>
      </c>
      <c r="B12744">
        <f>TEST_DATA!B12744</f>
        <v/>
      </c>
      <c r="C12744">
        <f>TEST_DATA!C12744</f>
        <v/>
      </c>
      <c r="D12744">
        <f>TEST_DATA!D12744</f>
        <v/>
      </c>
      <c r="E12744">
        <f>TEST_DATA!E12744</f>
        <v/>
      </c>
    </row>
    <row r="12745">
      <c r="A12745">
        <f>TEST_DATA!A12745</f>
        <v/>
      </c>
      <c r="B12745">
        <f>TEST_DATA!B12745</f>
        <v/>
      </c>
      <c r="C12745">
        <f>TEST_DATA!C12745</f>
        <v/>
      </c>
      <c r="D12745">
        <f>TEST_DATA!D12745</f>
        <v/>
      </c>
      <c r="E12745">
        <f>TEST_DATA!E12745</f>
        <v/>
      </c>
    </row>
    <row r="12746">
      <c r="A12746">
        <f>TEST_DATA!A12746</f>
        <v/>
      </c>
      <c r="B12746">
        <f>TEST_DATA!B12746</f>
        <v/>
      </c>
      <c r="C12746">
        <f>TEST_DATA!C12746</f>
        <v/>
      </c>
      <c r="D12746">
        <f>TEST_DATA!D12746</f>
        <v/>
      </c>
      <c r="E12746">
        <f>TEST_DATA!E12746</f>
        <v/>
      </c>
    </row>
    <row r="12747">
      <c r="A12747">
        <f>TEST_DATA!A12747</f>
        <v/>
      </c>
      <c r="B12747">
        <f>TEST_DATA!B12747</f>
        <v/>
      </c>
      <c r="C12747">
        <f>TEST_DATA!C12747</f>
        <v/>
      </c>
      <c r="D12747">
        <f>TEST_DATA!D12747</f>
        <v/>
      </c>
      <c r="E12747">
        <f>TEST_DATA!E12747</f>
        <v/>
      </c>
    </row>
    <row r="12748">
      <c r="A12748">
        <f>TEST_DATA!A12748</f>
        <v/>
      </c>
      <c r="B12748">
        <f>TEST_DATA!B12748</f>
        <v/>
      </c>
      <c r="C12748">
        <f>TEST_DATA!C12748</f>
        <v/>
      </c>
      <c r="D12748">
        <f>TEST_DATA!D12748</f>
        <v/>
      </c>
      <c r="E12748">
        <f>TEST_DATA!E12748</f>
        <v/>
      </c>
    </row>
    <row r="12749">
      <c r="A12749">
        <f>TEST_DATA!A12749</f>
        <v/>
      </c>
      <c r="B12749">
        <f>TEST_DATA!B12749</f>
        <v/>
      </c>
      <c r="C12749">
        <f>TEST_DATA!C12749</f>
        <v/>
      </c>
      <c r="D12749">
        <f>TEST_DATA!D12749</f>
        <v/>
      </c>
      <c r="E12749">
        <f>TEST_DATA!E12749</f>
        <v/>
      </c>
    </row>
    <row r="12750">
      <c r="A12750">
        <f>TEST_DATA!A12750</f>
        <v/>
      </c>
      <c r="B12750">
        <f>TEST_DATA!B12750</f>
        <v/>
      </c>
      <c r="C12750">
        <f>TEST_DATA!C12750</f>
        <v/>
      </c>
      <c r="D12750">
        <f>TEST_DATA!D12750</f>
        <v/>
      </c>
      <c r="E12750">
        <f>TEST_DATA!E12750</f>
        <v/>
      </c>
    </row>
    <row r="12751">
      <c r="A12751">
        <f>TEST_DATA!A12751</f>
        <v/>
      </c>
      <c r="B12751">
        <f>TEST_DATA!B12751</f>
        <v/>
      </c>
      <c r="C12751">
        <f>TEST_DATA!C12751</f>
        <v/>
      </c>
      <c r="D12751">
        <f>TEST_DATA!D12751</f>
        <v/>
      </c>
      <c r="E12751">
        <f>TEST_DATA!E12751</f>
        <v/>
      </c>
    </row>
    <row r="12752">
      <c r="A12752">
        <f>TEST_DATA!A12752</f>
        <v/>
      </c>
      <c r="B12752">
        <f>TEST_DATA!B12752</f>
        <v/>
      </c>
      <c r="C12752">
        <f>TEST_DATA!C12752</f>
        <v/>
      </c>
      <c r="D12752">
        <f>TEST_DATA!D12752</f>
        <v/>
      </c>
      <c r="E12752">
        <f>TEST_DATA!E12752</f>
        <v/>
      </c>
    </row>
    <row r="12753">
      <c r="A12753">
        <f>TEST_DATA!A12753</f>
        <v/>
      </c>
      <c r="B12753">
        <f>TEST_DATA!B12753</f>
        <v/>
      </c>
      <c r="C12753">
        <f>TEST_DATA!C12753</f>
        <v/>
      </c>
      <c r="D12753">
        <f>TEST_DATA!D12753</f>
        <v/>
      </c>
      <c r="E12753">
        <f>TEST_DATA!E12753</f>
        <v/>
      </c>
    </row>
    <row r="12754">
      <c r="A12754">
        <f>TEST_DATA!A12754</f>
        <v/>
      </c>
      <c r="B12754">
        <f>TEST_DATA!B12754</f>
        <v/>
      </c>
      <c r="C12754">
        <f>TEST_DATA!C12754</f>
        <v/>
      </c>
      <c r="D12754">
        <f>TEST_DATA!D12754</f>
        <v/>
      </c>
      <c r="E12754">
        <f>TEST_DATA!E12754</f>
        <v/>
      </c>
    </row>
    <row r="12755">
      <c r="A12755">
        <f>TEST_DATA!A12755</f>
        <v/>
      </c>
      <c r="B12755">
        <f>TEST_DATA!B12755</f>
        <v/>
      </c>
      <c r="C12755">
        <f>TEST_DATA!C12755</f>
        <v/>
      </c>
      <c r="D12755">
        <f>TEST_DATA!D12755</f>
        <v/>
      </c>
      <c r="E12755">
        <f>TEST_DATA!E12755</f>
        <v/>
      </c>
    </row>
    <row r="12756">
      <c r="A12756">
        <f>TEST_DATA!A12756</f>
        <v/>
      </c>
      <c r="B12756">
        <f>TEST_DATA!B12756</f>
        <v/>
      </c>
      <c r="C12756">
        <f>TEST_DATA!C12756</f>
        <v/>
      </c>
      <c r="D12756">
        <f>TEST_DATA!D12756</f>
        <v/>
      </c>
      <c r="E12756">
        <f>TEST_DATA!E12756</f>
        <v/>
      </c>
    </row>
    <row r="12757">
      <c r="A12757">
        <f>TEST_DATA!A12757</f>
        <v/>
      </c>
      <c r="B12757">
        <f>TEST_DATA!B12757</f>
        <v/>
      </c>
      <c r="C12757">
        <f>TEST_DATA!C12757</f>
        <v/>
      </c>
      <c r="D12757">
        <f>TEST_DATA!D12757</f>
        <v/>
      </c>
      <c r="E12757">
        <f>TEST_DATA!E12757</f>
        <v/>
      </c>
    </row>
    <row r="12758">
      <c r="A12758">
        <f>TEST_DATA!A12758</f>
        <v/>
      </c>
      <c r="B12758">
        <f>TEST_DATA!B12758</f>
        <v/>
      </c>
      <c r="C12758">
        <f>TEST_DATA!C12758</f>
        <v/>
      </c>
      <c r="D12758">
        <f>TEST_DATA!D12758</f>
        <v/>
      </c>
      <c r="E12758">
        <f>TEST_DATA!E12758</f>
        <v/>
      </c>
    </row>
    <row r="12759">
      <c r="A12759">
        <f>TEST_DATA!A12759</f>
        <v/>
      </c>
      <c r="B12759">
        <f>TEST_DATA!B12759</f>
        <v/>
      </c>
      <c r="C12759">
        <f>TEST_DATA!C12759</f>
        <v/>
      </c>
      <c r="D12759">
        <f>TEST_DATA!D12759</f>
        <v/>
      </c>
      <c r="E12759">
        <f>TEST_DATA!E12759</f>
        <v/>
      </c>
    </row>
    <row r="12760">
      <c r="A12760">
        <f>TEST_DATA!A12760</f>
        <v/>
      </c>
      <c r="B12760">
        <f>TEST_DATA!B12760</f>
        <v/>
      </c>
      <c r="C12760">
        <f>TEST_DATA!C12760</f>
        <v/>
      </c>
      <c r="D12760">
        <f>TEST_DATA!D12760</f>
        <v/>
      </c>
      <c r="E12760">
        <f>TEST_DATA!E12760</f>
        <v/>
      </c>
    </row>
    <row r="12761">
      <c r="A12761">
        <f>TEST_DATA!A12761</f>
        <v/>
      </c>
      <c r="B12761">
        <f>TEST_DATA!B12761</f>
        <v/>
      </c>
      <c r="C12761">
        <f>TEST_DATA!C12761</f>
        <v/>
      </c>
      <c r="D12761">
        <f>TEST_DATA!D12761</f>
        <v/>
      </c>
      <c r="E12761">
        <f>TEST_DATA!E12761</f>
        <v/>
      </c>
    </row>
    <row r="12762">
      <c r="A12762">
        <f>TEST_DATA!A12762</f>
        <v/>
      </c>
      <c r="B12762">
        <f>TEST_DATA!B12762</f>
        <v/>
      </c>
      <c r="C12762">
        <f>TEST_DATA!C12762</f>
        <v/>
      </c>
      <c r="D12762">
        <f>TEST_DATA!D12762</f>
        <v/>
      </c>
      <c r="E12762">
        <f>TEST_DATA!E12762</f>
        <v/>
      </c>
    </row>
    <row r="12763">
      <c r="A12763">
        <f>TEST_DATA!A12763</f>
        <v/>
      </c>
      <c r="B12763">
        <f>TEST_DATA!B12763</f>
        <v/>
      </c>
      <c r="C12763">
        <f>TEST_DATA!C12763</f>
        <v/>
      </c>
      <c r="D12763">
        <f>TEST_DATA!D12763</f>
        <v/>
      </c>
      <c r="E12763">
        <f>TEST_DATA!E12763</f>
        <v/>
      </c>
    </row>
    <row r="12764">
      <c r="A12764">
        <f>TEST_DATA!A12764</f>
        <v/>
      </c>
      <c r="B12764">
        <f>TEST_DATA!B12764</f>
        <v/>
      </c>
      <c r="C12764">
        <f>TEST_DATA!C12764</f>
        <v/>
      </c>
      <c r="D12764">
        <f>TEST_DATA!D12764</f>
        <v/>
      </c>
      <c r="E12764">
        <f>TEST_DATA!E12764</f>
        <v/>
      </c>
    </row>
    <row r="12765">
      <c r="A12765">
        <f>TEST_DATA!A12765</f>
        <v/>
      </c>
      <c r="B12765">
        <f>TEST_DATA!B12765</f>
        <v/>
      </c>
      <c r="C12765">
        <f>TEST_DATA!C12765</f>
        <v/>
      </c>
      <c r="D12765">
        <f>TEST_DATA!D12765</f>
        <v/>
      </c>
      <c r="E12765">
        <f>TEST_DATA!E12765</f>
        <v/>
      </c>
    </row>
    <row r="12766">
      <c r="A12766">
        <f>TEST_DATA!A12766</f>
        <v/>
      </c>
      <c r="B12766">
        <f>TEST_DATA!B12766</f>
        <v/>
      </c>
      <c r="C12766">
        <f>TEST_DATA!C12766</f>
        <v/>
      </c>
      <c r="D12766">
        <f>TEST_DATA!D12766</f>
        <v/>
      </c>
      <c r="E12766">
        <f>TEST_DATA!E12766</f>
        <v/>
      </c>
    </row>
    <row r="12767">
      <c r="A12767">
        <f>TEST_DATA!A12767</f>
        <v/>
      </c>
      <c r="B12767">
        <f>TEST_DATA!B12767</f>
        <v/>
      </c>
      <c r="C12767">
        <f>TEST_DATA!C12767</f>
        <v/>
      </c>
      <c r="D12767">
        <f>TEST_DATA!D12767</f>
        <v/>
      </c>
      <c r="E12767">
        <f>TEST_DATA!E12767</f>
        <v/>
      </c>
    </row>
    <row r="12768">
      <c r="A12768">
        <f>TEST_DATA!A12768</f>
        <v/>
      </c>
      <c r="B12768">
        <f>TEST_DATA!B12768</f>
        <v/>
      </c>
      <c r="C12768">
        <f>TEST_DATA!C12768</f>
        <v/>
      </c>
      <c r="D12768">
        <f>TEST_DATA!D12768</f>
        <v/>
      </c>
      <c r="E12768">
        <f>TEST_DATA!E12768</f>
        <v/>
      </c>
    </row>
    <row r="12769">
      <c r="A12769">
        <f>TEST_DATA!A12769</f>
        <v/>
      </c>
      <c r="B12769">
        <f>TEST_DATA!B12769</f>
        <v/>
      </c>
      <c r="C12769">
        <f>TEST_DATA!C12769</f>
        <v/>
      </c>
      <c r="D12769">
        <f>TEST_DATA!D12769</f>
        <v/>
      </c>
      <c r="E12769">
        <f>TEST_DATA!E12769</f>
        <v/>
      </c>
    </row>
    <row r="12770">
      <c r="A12770">
        <f>TEST_DATA!A12770</f>
        <v/>
      </c>
      <c r="B12770">
        <f>TEST_DATA!B12770</f>
        <v/>
      </c>
      <c r="C12770">
        <f>TEST_DATA!C12770</f>
        <v/>
      </c>
      <c r="D12770">
        <f>TEST_DATA!D12770</f>
        <v/>
      </c>
      <c r="E12770">
        <f>TEST_DATA!E12770</f>
        <v/>
      </c>
    </row>
    <row r="12771">
      <c r="A12771">
        <f>TEST_DATA!A12771</f>
        <v/>
      </c>
      <c r="B12771">
        <f>TEST_DATA!B12771</f>
        <v/>
      </c>
      <c r="C12771">
        <f>TEST_DATA!C12771</f>
        <v/>
      </c>
      <c r="D12771">
        <f>TEST_DATA!D12771</f>
        <v/>
      </c>
      <c r="E12771">
        <f>TEST_DATA!E12771</f>
        <v/>
      </c>
    </row>
    <row r="12772">
      <c r="A12772">
        <f>TEST_DATA!A12772</f>
        <v/>
      </c>
      <c r="B12772">
        <f>TEST_DATA!B12772</f>
        <v/>
      </c>
      <c r="C12772">
        <f>TEST_DATA!C12772</f>
        <v/>
      </c>
      <c r="D12772">
        <f>TEST_DATA!D12772</f>
        <v/>
      </c>
      <c r="E12772">
        <f>TEST_DATA!E12772</f>
        <v/>
      </c>
    </row>
    <row r="12773">
      <c r="A12773">
        <f>TEST_DATA!A12773</f>
        <v/>
      </c>
      <c r="B12773">
        <f>TEST_DATA!B12773</f>
        <v/>
      </c>
      <c r="C12773">
        <f>TEST_DATA!C12773</f>
        <v/>
      </c>
      <c r="D12773">
        <f>TEST_DATA!D12773</f>
        <v/>
      </c>
      <c r="E12773">
        <f>TEST_DATA!E12773</f>
        <v/>
      </c>
    </row>
    <row r="12774">
      <c r="A12774">
        <f>TEST_DATA!A12774</f>
        <v/>
      </c>
      <c r="B12774">
        <f>TEST_DATA!B12774</f>
        <v/>
      </c>
      <c r="C12774">
        <f>TEST_DATA!C12774</f>
        <v/>
      </c>
      <c r="D12774">
        <f>TEST_DATA!D12774</f>
        <v/>
      </c>
      <c r="E12774">
        <f>TEST_DATA!E12774</f>
        <v/>
      </c>
    </row>
    <row r="12775">
      <c r="A12775">
        <f>TEST_DATA!A12775</f>
        <v/>
      </c>
      <c r="B12775">
        <f>TEST_DATA!B12775</f>
        <v/>
      </c>
      <c r="C12775">
        <f>TEST_DATA!C12775</f>
        <v/>
      </c>
      <c r="D12775">
        <f>TEST_DATA!D12775</f>
        <v/>
      </c>
      <c r="E12775">
        <f>TEST_DATA!E12775</f>
        <v/>
      </c>
    </row>
    <row r="12776">
      <c r="A12776">
        <f>TEST_DATA!A12776</f>
        <v/>
      </c>
      <c r="B12776">
        <f>TEST_DATA!B12776</f>
        <v/>
      </c>
      <c r="C12776">
        <f>TEST_DATA!C12776</f>
        <v/>
      </c>
      <c r="D12776">
        <f>TEST_DATA!D12776</f>
        <v/>
      </c>
      <c r="E12776">
        <f>TEST_DATA!E12776</f>
        <v/>
      </c>
    </row>
    <row r="12777">
      <c r="A12777">
        <f>TEST_DATA!A12777</f>
        <v/>
      </c>
      <c r="B12777">
        <f>TEST_DATA!B12777</f>
        <v/>
      </c>
      <c r="C12777">
        <f>TEST_DATA!C12777</f>
        <v/>
      </c>
      <c r="D12777">
        <f>TEST_DATA!D12777</f>
        <v/>
      </c>
      <c r="E12777">
        <f>TEST_DATA!E12777</f>
        <v/>
      </c>
    </row>
    <row r="12778">
      <c r="A12778">
        <f>TEST_DATA!A12778</f>
        <v/>
      </c>
      <c r="B12778">
        <f>TEST_DATA!B12778</f>
        <v/>
      </c>
      <c r="C12778">
        <f>TEST_DATA!C12778</f>
        <v/>
      </c>
      <c r="D12778">
        <f>TEST_DATA!D12778</f>
        <v/>
      </c>
      <c r="E12778">
        <f>TEST_DATA!E12778</f>
        <v/>
      </c>
    </row>
    <row r="12779">
      <c r="A12779">
        <f>TEST_DATA!A12779</f>
        <v/>
      </c>
      <c r="B12779">
        <f>TEST_DATA!B12779</f>
        <v/>
      </c>
      <c r="C12779">
        <f>TEST_DATA!C12779</f>
        <v/>
      </c>
      <c r="D12779">
        <f>TEST_DATA!D12779</f>
        <v/>
      </c>
      <c r="E12779">
        <f>TEST_DATA!E12779</f>
        <v/>
      </c>
    </row>
    <row r="12780">
      <c r="A12780">
        <f>TEST_DATA!A12780</f>
        <v/>
      </c>
      <c r="B12780">
        <f>TEST_DATA!B12780</f>
        <v/>
      </c>
      <c r="C12780">
        <f>TEST_DATA!C12780</f>
        <v/>
      </c>
      <c r="D12780">
        <f>TEST_DATA!D12780</f>
        <v/>
      </c>
      <c r="E12780">
        <f>TEST_DATA!E12780</f>
        <v/>
      </c>
    </row>
    <row r="12781">
      <c r="A12781">
        <f>TEST_DATA!A12781</f>
        <v/>
      </c>
      <c r="B12781">
        <f>TEST_DATA!B12781</f>
        <v/>
      </c>
      <c r="C12781">
        <f>TEST_DATA!C12781</f>
        <v/>
      </c>
      <c r="D12781">
        <f>TEST_DATA!D12781</f>
        <v/>
      </c>
      <c r="E12781">
        <f>TEST_DATA!E12781</f>
        <v/>
      </c>
    </row>
    <row r="12782">
      <c r="A12782">
        <f>TEST_DATA!A12782</f>
        <v/>
      </c>
      <c r="B12782">
        <f>TEST_DATA!B12782</f>
        <v/>
      </c>
      <c r="C12782">
        <f>TEST_DATA!C12782</f>
        <v/>
      </c>
      <c r="D12782">
        <f>TEST_DATA!D12782</f>
        <v/>
      </c>
      <c r="E12782">
        <f>TEST_DATA!E12782</f>
        <v/>
      </c>
    </row>
    <row r="12783">
      <c r="A12783">
        <f>TEST_DATA!A12783</f>
        <v/>
      </c>
      <c r="B12783">
        <f>TEST_DATA!B12783</f>
        <v/>
      </c>
      <c r="C12783">
        <f>TEST_DATA!C12783</f>
        <v/>
      </c>
      <c r="D12783">
        <f>TEST_DATA!D12783</f>
        <v/>
      </c>
      <c r="E12783">
        <f>TEST_DATA!E12783</f>
        <v/>
      </c>
    </row>
    <row r="12784">
      <c r="A12784">
        <f>TEST_DATA!A12784</f>
        <v/>
      </c>
      <c r="B12784">
        <f>TEST_DATA!B12784</f>
        <v/>
      </c>
      <c r="C12784">
        <f>TEST_DATA!C12784</f>
        <v/>
      </c>
      <c r="D12784">
        <f>TEST_DATA!D12784</f>
        <v/>
      </c>
      <c r="E12784">
        <f>TEST_DATA!E12784</f>
        <v/>
      </c>
    </row>
    <row r="12785">
      <c r="A12785">
        <f>TEST_DATA!A12785</f>
        <v/>
      </c>
      <c r="B12785">
        <f>TEST_DATA!B12785</f>
        <v/>
      </c>
      <c r="C12785">
        <f>TEST_DATA!C12785</f>
        <v/>
      </c>
      <c r="D12785">
        <f>TEST_DATA!D12785</f>
        <v/>
      </c>
      <c r="E12785">
        <f>TEST_DATA!E12785</f>
        <v/>
      </c>
    </row>
    <row r="12786">
      <c r="A12786">
        <f>TEST_DATA!A12786</f>
        <v/>
      </c>
      <c r="B12786">
        <f>TEST_DATA!B12786</f>
        <v/>
      </c>
      <c r="C12786">
        <f>TEST_DATA!C12786</f>
        <v/>
      </c>
      <c r="D12786">
        <f>TEST_DATA!D12786</f>
        <v/>
      </c>
      <c r="E12786">
        <f>TEST_DATA!E12786</f>
        <v/>
      </c>
    </row>
    <row r="12787">
      <c r="A12787">
        <f>TEST_DATA!A12787</f>
        <v/>
      </c>
      <c r="B12787">
        <f>TEST_DATA!B12787</f>
        <v/>
      </c>
      <c r="C12787">
        <f>TEST_DATA!C12787</f>
        <v/>
      </c>
      <c r="D12787">
        <f>TEST_DATA!D12787</f>
        <v/>
      </c>
      <c r="E12787">
        <f>TEST_DATA!E12787</f>
        <v/>
      </c>
    </row>
    <row r="12788">
      <c r="A12788">
        <f>TEST_DATA!A12788</f>
        <v/>
      </c>
      <c r="B12788">
        <f>TEST_DATA!B12788</f>
        <v/>
      </c>
      <c r="C12788">
        <f>TEST_DATA!C12788</f>
        <v/>
      </c>
      <c r="D12788">
        <f>TEST_DATA!D12788</f>
        <v/>
      </c>
      <c r="E12788">
        <f>TEST_DATA!E12788</f>
        <v/>
      </c>
    </row>
    <row r="12789">
      <c r="A12789">
        <f>TEST_DATA!A12789</f>
        <v/>
      </c>
      <c r="B12789">
        <f>TEST_DATA!B12789</f>
        <v/>
      </c>
      <c r="C12789">
        <f>TEST_DATA!C12789</f>
        <v/>
      </c>
      <c r="D12789">
        <f>TEST_DATA!D12789</f>
        <v/>
      </c>
      <c r="E12789">
        <f>TEST_DATA!E12789</f>
        <v/>
      </c>
    </row>
    <row r="12790">
      <c r="A12790">
        <f>TEST_DATA!A12790</f>
        <v/>
      </c>
      <c r="B12790">
        <f>TEST_DATA!B12790</f>
        <v/>
      </c>
      <c r="C12790">
        <f>TEST_DATA!C12790</f>
        <v/>
      </c>
      <c r="D12790">
        <f>TEST_DATA!D12790</f>
        <v/>
      </c>
      <c r="E12790">
        <f>TEST_DATA!E12790</f>
        <v/>
      </c>
    </row>
    <row r="12791">
      <c r="A12791">
        <f>TEST_DATA!A12791</f>
        <v/>
      </c>
      <c r="B12791">
        <f>TEST_DATA!B12791</f>
        <v/>
      </c>
      <c r="C12791">
        <f>TEST_DATA!C12791</f>
        <v/>
      </c>
      <c r="D12791">
        <f>TEST_DATA!D12791</f>
        <v/>
      </c>
      <c r="E12791">
        <f>TEST_DATA!E12791</f>
        <v/>
      </c>
    </row>
    <row r="12792">
      <c r="A12792">
        <f>TEST_DATA!A12792</f>
        <v/>
      </c>
      <c r="B12792">
        <f>TEST_DATA!B12792</f>
        <v/>
      </c>
      <c r="C12792">
        <f>TEST_DATA!C12792</f>
        <v/>
      </c>
      <c r="D12792">
        <f>TEST_DATA!D12792</f>
        <v/>
      </c>
      <c r="E12792">
        <f>TEST_DATA!E12792</f>
        <v/>
      </c>
    </row>
    <row r="12793">
      <c r="A12793">
        <f>TEST_DATA!A12793</f>
        <v/>
      </c>
      <c r="B12793">
        <f>TEST_DATA!B12793</f>
        <v/>
      </c>
      <c r="C12793">
        <f>TEST_DATA!C12793</f>
        <v/>
      </c>
      <c r="D12793">
        <f>TEST_DATA!D12793</f>
        <v/>
      </c>
      <c r="E12793">
        <f>TEST_DATA!E12793</f>
        <v/>
      </c>
    </row>
    <row r="12794">
      <c r="A12794">
        <f>TEST_DATA!A12794</f>
        <v/>
      </c>
      <c r="B12794">
        <f>TEST_DATA!B12794</f>
        <v/>
      </c>
      <c r="C12794">
        <f>TEST_DATA!C12794</f>
        <v/>
      </c>
      <c r="D12794">
        <f>TEST_DATA!D12794</f>
        <v/>
      </c>
      <c r="E12794">
        <f>TEST_DATA!E12794</f>
        <v/>
      </c>
    </row>
    <row r="12795">
      <c r="A12795">
        <f>TEST_DATA!A12795</f>
        <v/>
      </c>
      <c r="B12795">
        <f>TEST_DATA!B12795</f>
        <v/>
      </c>
      <c r="C12795">
        <f>TEST_DATA!C12795</f>
        <v/>
      </c>
      <c r="D12795">
        <f>TEST_DATA!D12795</f>
        <v/>
      </c>
      <c r="E12795">
        <f>TEST_DATA!E12795</f>
        <v/>
      </c>
    </row>
    <row r="12796">
      <c r="A12796">
        <f>TEST_DATA!A12796</f>
        <v/>
      </c>
      <c r="B12796">
        <f>TEST_DATA!B12796</f>
        <v/>
      </c>
      <c r="C12796">
        <f>TEST_DATA!C12796</f>
        <v/>
      </c>
      <c r="D12796">
        <f>TEST_DATA!D12796</f>
        <v/>
      </c>
      <c r="E12796">
        <f>TEST_DATA!E12796</f>
        <v/>
      </c>
    </row>
    <row r="12797">
      <c r="A12797">
        <f>TEST_DATA!A12797</f>
        <v/>
      </c>
      <c r="B12797">
        <f>TEST_DATA!B12797</f>
        <v/>
      </c>
      <c r="C12797">
        <f>TEST_DATA!C12797</f>
        <v/>
      </c>
      <c r="D12797">
        <f>TEST_DATA!D12797</f>
        <v/>
      </c>
      <c r="E12797">
        <f>TEST_DATA!E12797</f>
        <v/>
      </c>
    </row>
    <row r="12798">
      <c r="A12798">
        <f>TEST_DATA!A12798</f>
        <v/>
      </c>
      <c r="B12798">
        <f>TEST_DATA!B12798</f>
        <v/>
      </c>
      <c r="C12798">
        <f>TEST_DATA!C12798</f>
        <v/>
      </c>
      <c r="D12798">
        <f>TEST_DATA!D12798</f>
        <v/>
      </c>
      <c r="E12798">
        <f>TEST_DATA!E12798</f>
        <v/>
      </c>
    </row>
    <row r="12799">
      <c r="A12799">
        <f>TEST_DATA!A12799</f>
        <v/>
      </c>
      <c r="B12799">
        <f>TEST_DATA!B12799</f>
        <v/>
      </c>
      <c r="C12799">
        <f>TEST_DATA!C12799</f>
        <v/>
      </c>
      <c r="D12799">
        <f>TEST_DATA!D12799</f>
        <v/>
      </c>
      <c r="E12799">
        <f>TEST_DATA!E12799</f>
        <v/>
      </c>
    </row>
    <row r="12800">
      <c r="A12800">
        <f>TEST_DATA!A12800</f>
        <v/>
      </c>
      <c r="B12800">
        <f>TEST_DATA!B12800</f>
        <v/>
      </c>
      <c r="C12800">
        <f>TEST_DATA!C12800</f>
        <v/>
      </c>
      <c r="D12800">
        <f>TEST_DATA!D12800</f>
        <v/>
      </c>
      <c r="E12800">
        <f>TEST_DATA!E12800</f>
        <v/>
      </c>
    </row>
    <row r="12801">
      <c r="A12801">
        <f>TEST_DATA!A12801</f>
        <v/>
      </c>
      <c r="B12801">
        <f>TEST_DATA!B12801</f>
        <v/>
      </c>
      <c r="C12801">
        <f>TEST_DATA!C12801</f>
        <v/>
      </c>
      <c r="D12801">
        <f>TEST_DATA!D12801</f>
        <v/>
      </c>
      <c r="E12801">
        <f>TEST_DATA!E12801</f>
        <v/>
      </c>
    </row>
    <row r="12802">
      <c r="A12802">
        <f>TEST_DATA!A12802</f>
        <v/>
      </c>
      <c r="B12802">
        <f>TEST_DATA!B12802</f>
        <v/>
      </c>
      <c r="C12802">
        <f>TEST_DATA!C12802</f>
        <v/>
      </c>
      <c r="D12802">
        <f>TEST_DATA!D12802</f>
        <v/>
      </c>
      <c r="E12802">
        <f>TEST_DATA!E12802</f>
        <v/>
      </c>
    </row>
    <row r="12803">
      <c r="A12803">
        <f>TEST_DATA!A12803</f>
        <v/>
      </c>
      <c r="B12803">
        <f>TEST_DATA!B12803</f>
        <v/>
      </c>
      <c r="C12803">
        <f>TEST_DATA!C12803</f>
        <v/>
      </c>
      <c r="D12803">
        <f>TEST_DATA!D12803</f>
        <v/>
      </c>
      <c r="E12803">
        <f>TEST_DATA!E12803</f>
        <v/>
      </c>
    </row>
    <row r="12804">
      <c r="A12804">
        <f>TEST_DATA!A12804</f>
        <v/>
      </c>
      <c r="B12804">
        <f>TEST_DATA!B12804</f>
        <v/>
      </c>
      <c r="C12804">
        <f>TEST_DATA!C12804</f>
        <v/>
      </c>
      <c r="D12804">
        <f>TEST_DATA!D12804</f>
        <v/>
      </c>
      <c r="E12804">
        <f>TEST_DATA!E12804</f>
        <v/>
      </c>
    </row>
    <row r="12805">
      <c r="A12805">
        <f>TEST_DATA!A12805</f>
        <v/>
      </c>
      <c r="B12805">
        <f>TEST_DATA!B12805</f>
        <v/>
      </c>
      <c r="C12805">
        <f>TEST_DATA!C12805</f>
        <v/>
      </c>
      <c r="D12805">
        <f>TEST_DATA!D12805</f>
        <v/>
      </c>
      <c r="E12805">
        <f>TEST_DATA!E12805</f>
        <v/>
      </c>
    </row>
    <row r="12806">
      <c r="A12806">
        <f>TEST_DATA!A12806</f>
        <v/>
      </c>
      <c r="B12806">
        <f>TEST_DATA!B12806</f>
        <v/>
      </c>
      <c r="C12806">
        <f>TEST_DATA!C12806</f>
        <v/>
      </c>
      <c r="D12806">
        <f>TEST_DATA!D12806</f>
        <v/>
      </c>
      <c r="E12806">
        <f>TEST_DATA!E12806</f>
        <v/>
      </c>
    </row>
    <row r="12807">
      <c r="A12807">
        <f>TEST_DATA!A12807</f>
        <v/>
      </c>
      <c r="B12807">
        <f>TEST_DATA!B12807</f>
        <v/>
      </c>
      <c r="C12807">
        <f>TEST_DATA!C12807</f>
        <v/>
      </c>
      <c r="D12807">
        <f>TEST_DATA!D12807</f>
        <v/>
      </c>
      <c r="E12807">
        <f>TEST_DATA!E12807</f>
        <v/>
      </c>
    </row>
    <row r="12808">
      <c r="A12808">
        <f>TEST_DATA!A12808</f>
        <v/>
      </c>
      <c r="B12808">
        <f>TEST_DATA!B12808</f>
        <v/>
      </c>
      <c r="C12808">
        <f>TEST_DATA!C12808</f>
        <v/>
      </c>
      <c r="D12808">
        <f>TEST_DATA!D12808</f>
        <v/>
      </c>
      <c r="E12808">
        <f>TEST_DATA!E12808</f>
        <v/>
      </c>
    </row>
    <row r="12809">
      <c r="A12809">
        <f>TEST_DATA!A12809</f>
        <v/>
      </c>
      <c r="B12809">
        <f>TEST_DATA!B12809</f>
        <v/>
      </c>
      <c r="C12809">
        <f>TEST_DATA!C12809</f>
        <v/>
      </c>
      <c r="D12809">
        <f>TEST_DATA!D12809</f>
        <v/>
      </c>
      <c r="E12809">
        <f>TEST_DATA!E12809</f>
        <v/>
      </c>
    </row>
    <row r="12810">
      <c r="A12810">
        <f>TEST_DATA!A12810</f>
        <v/>
      </c>
      <c r="B12810">
        <f>TEST_DATA!B12810</f>
        <v/>
      </c>
      <c r="C12810">
        <f>TEST_DATA!C12810</f>
        <v/>
      </c>
      <c r="D12810">
        <f>TEST_DATA!D12810</f>
        <v/>
      </c>
      <c r="E12810">
        <f>TEST_DATA!E12810</f>
        <v/>
      </c>
    </row>
    <row r="12811">
      <c r="A12811">
        <f>TEST_DATA!A12811</f>
        <v/>
      </c>
      <c r="B12811">
        <f>TEST_DATA!B12811</f>
        <v/>
      </c>
      <c r="C12811">
        <f>TEST_DATA!C12811</f>
        <v/>
      </c>
      <c r="D12811">
        <f>TEST_DATA!D12811</f>
        <v/>
      </c>
      <c r="E12811">
        <f>TEST_DATA!E12811</f>
        <v/>
      </c>
    </row>
    <row r="12812">
      <c r="A12812">
        <f>TEST_DATA!A12812</f>
        <v/>
      </c>
      <c r="B12812">
        <f>TEST_DATA!B12812</f>
        <v/>
      </c>
      <c r="C12812">
        <f>TEST_DATA!C12812</f>
        <v/>
      </c>
      <c r="D12812">
        <f>TEST_DATA!D12812</f>
        <v/>
      </c>
      <c r="E12812">
        <f>TEST_DATA!E12812</f>
        <v/>
      </c>
    </row>
    <row r="12813">
      <c r="A12813">
        <f>TEST_DATA!A12813</f>
        <v/>
      </c>
      <c r="B12813">
        <f>TEST_DATA!B12813</f>
        <v/>
      </c>
      <c r="C12813">
        <f>TEST_DATA!C12813</f>
        <v/>
      </c>
      <c r="D12813">
        <f>TEST_DATA!D12813</f>
        <v/>
      </c>
      <c r="E12813">
        <f>TEST_DATA!E12813</f>
        <v/>
      </c>
    </row>
    <row r="12814">
      <c r="A12814">
        <f>TEST_DATA!A12814</f>
        <v/>
      </c>
      <c r="B12814">
        <f>TEST_DATA!B12814</f>
        <v/>
      </c>
      <c r="C12814">
        <f>TEST_DATA!C12814</f>
        <v/>
      </c>
      <c r="D12814">
        <f>TEST_DATA!D12814</f>
        <v/>
      </c>
      <c r="E12814">
        <f>TEST_DATA!E12814</f>
        <v/>
      </c>
    </row>
    <row r="12815">
      <c r="A12815">
        <f>TEST_DATA!A12815</f>
        <v/>
      </c>
      <c r="B12815">
        <f>TEST_DATA!B12815</f>
        <v/>
      </c>
      <c r="C12815">
        <f>TEST_DATA!C12815</f>
        <v/>
      </c>
      <c r="D12815">
        <f>TEST_DATA!D12815</f>
        <v/>
      </c>
      <c r="E12815">
        <f>TEST_DATA!E12815</f>
        <v/>
      </c>
    </row>
    <row r="12816">
      <c r="A12816">
        <f>TEST_DATA!A12816</f>
        <v/>
      </c>
      <c r="B12816">
        <f>TEST_DATA!B12816</f>
        <v/>
      </c>
      <c r="C12816">
        <f>TEST_DATA!C12816</f>
        <v/>
      </c>
      <c r="D12816">
        <f>TEST_DATA!D12816</f>
        <v/>
      </c>
      <c r="E12816">
        <f>TEST_DATA!E12816</f>
        <v/>
      </c>
    </row>
    <row r="12817">
      <c r="A12817">
        <f>TEST_DATA!A12817</f>
        <v/>
      </c>
      <c r="B12817">
        <f>TEST_DATA!B12817</f>
        <v/>
      </c>
      <c r="C12817">
        <f>TEST_DATA!C12817</f>
        <v/>
      </c>
      <c r="D12817">
        <f>TEST_DATA!D12817</f>
        <v/>
      </c>
      <c r="E12817">
        <f>TEST_DATA!E12817</f>
        <v/>
      </c>
    </row>
    <row r="12818">
      <c r="A12818">
        <f>TEST_DATA!A12818</f>
        <v/>
      </c>
      <c r="B12818">
        <f>TEST_DATA!B12818</f>
        <v/>
      </c>
      <c r="C12818">
        <f>TEST_DATA!C12818</f>
        <v/>
      </c>
      <c r="D12818">
        <f>TEST_DATA!D12818</f>
        <v/>
      </c>
      <c r="E12818">
        <f>TEST_DATA!E12818</f>
        <v/>
      </c>
    </row>
    <row r="12819">
      <c r="A12819">
        <f>TEST_DATA!A12819</f>
        <v/>
      </c>
      <c r="B12819">
        <f>TEST_DATA!B12819</f>
        <v/>
      </c>
      <c r="C12819">
        <f>TEST_DATA!C12819</f>
        <v/>
      </c>
      <c r="D12819">
        <f>TEST_DATA!D12819</f>
        <v/>
      </c>
      <c r="E12819">
        <f>TEST_DATA!E12819</f>
        <v/>
      </c>
    </row>
    <row r="12820">
      <c r="A12820">
        <f>TEST_DATA!A12820</f>
        <v/>
      </c>
      <c r="B12820">
        <f>TEST_DATA!B12820</f>
        <v/>
      </c>
      <c r="C12820">
        <f>TEST_DATA!C12820</f>
        <v/>
      </c>
      <c r="D12820">
        <f>TEST_DATA!D12820</f>
        <v/>
      </c>
      <c r="E12820">
        <f>TEST_DATA!E12820</f>
        <v/>
      </c>
    </row>
    <row r="12821">
      <c r="A12821">
        <f>TEST_DATA!A12821</f>
        <v/>
      </c>
      <c r="B12821">
        <f>TEST_DATA!B12821</f>
        <v/>
      </c>
      <c r="C12821">
        <f>TEST_DATA!C12821</f>
        <v/>
      </c>
      <c r="D12821">
        <f>TEST_DATA!D12821</f>
        <v/>
      </c>
      <c r="E12821">
        <f>TEST_DATA!E12821</f>
        <v/>
      </c>
    </row>
    <row r="12822">
      <c r="A12822">
        <f>TEST_DATA!A12822</f>
        <v/>
      </c>
      <c r="B12822">
        <f>TEST_DATA!B12822</f>
        <v/>
      </c>
      <c r="C12822">
        <f>TEST_DATA!C12822</f>
        <v/>
      </c>
      <c r="D12822">
        <f>TEST_DATA!D12822</f>
        <v/>
      </c>
      <c r="E12822">
        <f>TEST_DATA!E12822</f>
        <v/>
      </c>
    </row>
    <row r="12823">
      <c r="A12823">
        <f>TEST_DATA!A12823</f>
        <v/>
      </c>
      <c r="B12823">
        <f>TEST_DATA!B12823</f>
        <v/>
      </c>
      <c r="C12823">
        <f>TEST_DATA!C12823</f>
        <v/>
      </c>
      <c r="D12823">
        <f>TEST_DATA!D12823</f>
        <v/>
      </c>
      <c r="E12823">
        <f>TEST_DATA!E12823</f>
        <v/>
      </c>
    </row>
    <row r="12824">
      <c r="A12824">
        <f>TEST_DATA!A12824</f>
        <v/>
      </c>
      <c r="B12824">
        <f>TEST_DATA!B12824</f>
        <v/>
      </c>
      <c r="C12824">
        <f>TEST_DATA!C12824</f>
        <v/>
      </c>
      <c r="D12824">
        <f>TEST_DATA!D12824</f>
        <v/>
      </c>
      <c r="E12824">
        <f>TEST_DATA!E12824</f>
        <v/>
      </c>
    </row>
    <row r="12825">
      <c r="A12825">
        <f>TEST_DATA!A12825</f>
        <v/>
      </c>
      <c r="B12825">
        <f>TEST_DATA!B12825</f>
        <v/>
      </c>
      <c r="C12825">
        <f>TEST_DATA!C12825</f>
        <v/>
      </c>
      <c r="D12825">
        <f>TEST_DATA!D12825</f>
        <v/>
      </c>
      <c r="E12825">
        <f>TEST_DATA!E12825</f>
        <v/>
      </c>
    </row>
    <row r="12826">
      <c r="A12826">
        <f>TEST_DATA!A12826</f>
        <v/>
      </c>
      <c r="B12826">
        <f>TEST_DATA!B12826</f>
        <v/>
      </c>
      <c r="C12826">
        <f>TEST_DATA!C12826</f>
        <v/>
      </c>
      <c r="D12826">
        <f>TEST_DATA!D12826</f>
        <v/>
      </c>
      <c r="E12826">
        <f>TEST_DATA!E12826</f>
        <v/>
      </c>
    </row>
    <row r="12827">
      <c r="A12827">
        <f>TEST_DATA!A12827</f>
        <v/>
      </c>
      <c r="B12827">
        <f>TEST_DATA!B12827</f>
        <v/>
      </c>
      <c r="C12827">
        <f>TEST_DATA!C12827</f>
        <v/>
      </c>
      <c r="D12827">
        <f>TEST_DATA!D12827</f>
        <v/>
      </c>
      <c r="E12827">
        <f>TEST_DATA!E12827</f>
        <v/>
      </c>
    </row>
    <row r="12828">
      <c r="A12828">
        <f>TEST_DATA!A12828</f>
        <v/>
      </c>
      <c r="B12828">
        <f>TEST_DATA!B12828</f>
        <v/>
      </c>
      <c r="C12828">
        <f>TEST_DATA!C12828</f>
        <v/>
      </c>
      <c r="D12828">
        <f>TEST_DATA!D12828</f>
        <v/>
      </c>
      <c r="E12828">
        <f>TEST_DATA!E12828</f>
        <v/>
      </c>
    </row>
    <row r="12829">
      <c r="A12829">
        <f>TEST_DATA!A12829</f>
        <v/>
      </c>
      <c r="B12829">
        <f>TEST_DATA!B12829</f>
        <v/>
      </c>
      <c r="C12829">
        <f>TEST_DATA!C12829</f>
        <v/>
      </c>
      <c r="D12829">
        <f>TEST_DATA!D12829</f>
        <v/>
      </c>
      <c r="E12829">
        <f>TEST_DATA!E12829</f>
        <v/>
      </c>
    </row>
    <row r="12830">
      <c r="A12830">
        <f>TEST_DATA!A12830</f>
        <v/>
      </c>
      <c r="B12830">
        <f>TEST_DATA!B12830</f>
        <v/>
      </c>
      <c r="C12830">
        <f>TEST_DATA!C12830</f>
        <v/>
      </c>
      <c r="D12830">
        <f>TEST_DATA!D12830</f>
        <v/>
      </c>
      <c r="E12830">
        <f>TEST_DATA!E12830</f>
        <v/>
      </c>
    </row>
    <row r="12831">
      <c r="A12831">
        <f>TEST_DATA!A12831</f>
        <v/>
      </c>
      <c r="B12831">
        <f>TEST_DATA!B12831</f>
        <v/>
      </c>
      <c r="C12831">
        <f>TEST_DATA!C12831</f>
        <v/>
      </c>
      <c r="D12831">
        <f>TEST_DATA!D12831</f>
        <v/>
      </c>
      <c r="E12831">
        <f>TEST_DATA!E12831</f>
        <v/>
      </c>
    </row>
    <row r="12832">
      <c r="A12832">
        <f>TEST_DATA!A12832</f>
        <v/>
      </c>
      <c r="B12832">
        <f>TEST_DATA!B12832</f>
        <v/>
      </c>
      <c r="C12832">
        <f>TEST_DATA!C12832</f>
        <v/>
      </c>
      <c r="D12832">
        <f>TEST_DATA!D12832</f>
        <v/>
      </c>
      <c r="E12832">
        <f>TEST_DATA!E12832</f>
        <v/>
      </c>
    </row>
    <row r="12833">
      <c r="A12833">
        <f>TEST_DATA!A12833</f>
        <v/>
      </c>
      <c r="B12833">
        <f>TEST_DATA!B12833</f>
        <v/>
      </c>
      <c r="C12833">
        <f>TEST_DATA!C12833</f>
        <v/>
      </c>
      <c r="D12833">
        <f>TEST_DATA!D12833</f>
        <v/>
      </c>
      <c r="E12833">
        <f>TEST_DATA!E12833</f>
        <v/>
      </c>
    </row>
    <row r="12834">
      <c r="A12834">
        <f>TEST_DATA!A12834</f>
        <v/>
      </c>
      <c r="B12834">
        <f>TEST_DATA!B12834</f>
        <v/>
      </c>
      <c r="C12834">
        <f>TEST_DATA!C12834</f>
        <v/>
      </c>
      <c r="D12834">
        <f>TEST_DATA!D12834</f>
        <v/>
      </c>
      <c r="E12834">
        <f>TEST_DATA!E12834</f>
        <v/>
      </c>
    </row>
    <row r="12835">
      <c r="A12835">
        <f>TEST_DATA!A12835</f>
        <v/>
      </c>
      <c r="B12835">
        <f>TEST_DATA!B12835</f>
        <v/>
      </c>
      <c r="C12835">
        <f>TEST_DATA!C12835</f>
        <v/>
      </c>
      <c r="D12835">
        <f>TEST_DATA!D12835</f>
        <v/>
      </c>
      <c r="E12835">
        <f>TEST_DATA!E12835</f>
        <v/>
      </c>
    </row>
    <row r="12836">
      <c r="A12836">
        <f>TEST_DATA!A12836</f>
        <v/>
      </c>
      <c r="B12836">
        <f>TEST_DATA!B12836</f>
        <v/>
      </c>
      <c r="C12836">
        <f>TEST_DATA!C12836</f>
        <v/>
      </c>
      <c r="D12836">
        <f>TEST_DATA!D12836</f>
        <v/>
      </c>
      <c r="E12836">
        <f>TEST_DATA!E12836</f>
        <v/>
      </c>
    </row>
    <row r="12837">
      <c r="A12837">
        <f>TEST_DATA!A12837</f>
        <v/>
      </c>
      <c r="B12837">
        <f>TEST_DATA!B12837</f>
        <v/>
      </c>
      <c r="C12837">
        <f>TEST_DATA!C12837</f>
        <v/>
      </c>
      <c r="D12837">
        <f>TEST_DATA!D12837</f>
        <v/>
      </c>
      <c r="E12837">
        <f>TEST_DATA!E12837</f>
        <v/>
      </c>
    </row>
    <row r="12838">
      <c r="A12838">
        <f>TEST_DATA!A12838</f>
        <v/>
      </c>
      <c r="B12838">
        <f>TEST_DATA!B12838</f>
        <v/>
      </c>
      <c r="C12838">
        <f>TEST_DATA!C12838</f>
        <v/>
      </c>
      <c r="D12838">
        <f>TEST_DATA!D12838</f>
        <v/>
      </c>
      <c r="E12838">
        <f>TEST_DATA!E12838</f>
        <v/>
      </c>
    </row>
    <row r="12839">
      <c r="A12839">
        <f>TEST_DATA!A12839</f>
        <v/>
      </c>
      <c r="B12839">
        <f>TEST_DATA!B12839</f>
        <v/>
      </c>
      <c r="C12839">
        <f>TEST_DATA!C12839</f>
        <v/>
      </c>
      <c r="D12839">
        <f>TEST_DATA!D12839</f>
        <v/>
      </c>
      <c r="E12839">
        <f>TEST_DATA!E12839</f>
        <v/>
      </c>
    </row>
    <row r="12840">
      <c r="A12840">
        <f>TEST_DATA!A12840</f>
        <v/>
      </c>
      <c r="B12840">
        <f>TEST_DATA!B12840</f>
        <v/>
      </c>
      <c r="C12840">
        <f>TEST_DATA!C12840</f>
        <v/>
      </c>
      <c r="D12840">
        <f>TEST_DATA!D12840</f>
        <v/>
      </c>
      <c r="E12840">
        <f>TEST_DATA!E12840</f>
        <v/>
      </c>
    </row>
    <row r="12841">
      <c r="A12841">
        <f>TEST_DATA!A12841</f>
        <v/>
      </c>
      <c r="B12841">
        <f>TEST_DATA!B12841</f>
        <v/>
      </c>
      <c r="C12841">
        <f>TEST_DATA!C12841</f>
        <v/>
      </c>
      <c r="D12841">
        <f>TEST_DATA!D12841</f>
        <v/>
      </c>
      <c r="E12841">
        <f>TEST_DATA!E12841</f>
        <v/>
      </c>
    </row>
    <row r="12842">
      <c r="A12842">
        <f>TEST_DATA!A12842</f>
        <v/>
      </c>
      <c r="B12842">
        <f>TEST_DATA!B12842</f>
        <v/>
      </c>
      <c r="C12842">
        <f>TEST_DATA!C12842</f>
        <v/>
      </c>
      <c r="D12842">
        <f>TEST_DATA!D12842</f>
        <v/>
      </c>
      <c r="E12842">
        <f>TEST_DATA!E12842</f>
        <v/>
      </c>
    </row>
    <row r="12843">
      <c r="A12843">
        <f>TEST_DATA!A12843</f>
        <v/>
      </c>
      <c r="B12843">
        <f>TEST_DATA!B12843</f>
        <v/>
      </c>
      <c r="C12843">
        <f>TEST_DATA!C12843</f>
        <v/>
      </c>
      <c r="D12843">
        <f>TEST_DATA!D12843</f>
        <v/>
      </c>
      <c r="E12843">
        <f>TEST_DATA!E12843</f>
        <v/>
      </c>
    </row>
    <row r="12844">
      <c r="A12844">
        <f>TEST_DATA!A12844</f>
        <v/>
      </c>
      <c r="B12844">
        <f>TEST_DATA!B12844</f>
        <v/>
      </c>
      <c r="C12844">
        <f>TEST_DATA!C12844</f>
        <v/>
      </c>
      <c r="D12844">
        <f>TEST_DATA!D12844</f>
        <v/>
      </c>
      <c r="E12844">
        <f>TEST_DATA!E12844</f>
        <v/>
      </c>
    </row>
    <row r="12845">
      <c r="A12845">
        <f>TEST_DATA!A12845</f>
        <v/>
      </c>
      <c r="B12845">
        <f>TEST_DATA!B12845</f>
        <v/>
      </c>
      <c r="C12845">
        <f>TEST_DATA!C12845</f>
        <v/>
      </c>
      <c r="D12845">
        <f>TEST_DATA!D12845</f>
        <v/>
      </c>
      <c r="E12845">
        <f>TEST_DATA!E12845</f>
        <v/>
      </c>
    </row>
    <row r="12846">
      <c r="A12846">
        <f>TEST_DATA!A12846</f>
        <v/>
      </c>
      <c r="B12846">
        <f>TEST_DATA!B12846</f>
        <v/>
      </c>
      <c r="C12846">
        <f>TEST_DATA!C12846</f>
        <v/>
      </c>
      <c r="D12846">
        <f>TEST_DATA!D12846</f>
        <v/>
      </c>
      <c r="E12846">
        <f>TEST_DATA!E12846</f>
        <v/>
      </c>
    </row>
    <row r="12847">
      <c r="A12847">
        <f>TEST_DATA!A12847</f>
        <v/>
      </c>
      <c r="B12847">
        <f>TEST_DATA!B12847</f>
        <v/>
      </c>
      <c r="C12847">
        <f>TEST_DATA!C12847</f>
        <v/>
      </c>
      <c r="D12847">
        <f>TEST_DATA!D12847</f>
        <v/>
      </c>
      <c r="E12847">
        <f>TEST_DATA!E12847</f>
        <v/>
      </c>
    </row>
    <row r="12848">
      <c r="A12848">
        <f>TEST_DATA!A12848</f>
        <v/>
      </c>
      <c r="B12848">
        <f>TEST_DATA!B12848</f>
        <v/>
      </c>
      <c r="C12848">
        <f>TEST_DATA!C12848</f>
        <v/>
      </c>
      <c r="D12848">
        <f>TEST_DATA!D12848</f>
        <v/>
      </c>
      <c r="E12848">
        <f>TEST_DATA!E12848</f>
        <v/>
      </c>
    </row>
    <row r="12849">
      <c r="A12849">
        <f>TEST_DATA!A12849</f>
        <v/>
      </c>
      <c r="B12849">
        <f>TEST_DATA!B12849</f>
        <v/>
      </c>
      <c r="C12849">
        <f>TEST_DATA!C12849</f>
        <v/>
      </c>
      <c r="D12849">
        <f>TEST_DATA!D12849</f>
        <v/>
      </c>
      <c r="E12849">
        <f>TEST_DATA!E12849</f>
        <v/>
      </c>
    </row>
    <row r="12850">
      <c r="A12850">
        <f>TEST_DATA!A12850</f>
        <v/>
      </c>
      <c r="B12850">
        <f>TEST_DATA!B12850</f>
        <v/>
      </c>
      <c r="C12850">
        <f>TEST_DATA!C12850</f>
        <v/>
      </c>
      <c r="D12850">
        <f>TEST_DATA!D12850</f>
        <v/>
      </c>
      <c r="E12850">
        <f>TEST_DATA!E12850</f>
        <v/>
      </c>
    </row>
    <row r="12851">
      <c r="A12851">
        <f>TEST_DATA!A12851</f>
        <v/>
      </c>
      <c r="B12851">
        <f>TEST_DATA!B12851</f>
        <v/>
      </c>
      <c r="C12851">
        <f>TEST_DATA!C12851</f>
        <v/>
      </c>
      <c r="D12851">
        <f>TEST_DATA!D12851</f>
        <v/>
      </c>
      <c r="E12851">
        <f>TEST_DATA!E12851</f>
        <v/>
      </c>
    </row>
    <row r="12852">
      <c r="A12852">
        <f>TEST_DATA!A12852</f>
        <v/>
      </c>
      <c r="B12852">
        <f>TEST_DATA!B12852</f>
        <v/>
      </c>
      <c r="C12852">
        <f>TEST_DATA!C12852</f>
        <v/>
      </c>
      <c r="D12852">
        <f>TEST_DATA!D12852</f>
        <v/>
      </c>
      <c r="E12852">
        <f>TEST_DATA!E12852</f>
        <v/>
      </c>
    </row>
    <row r="12853">
      <c r="A12853">
        <f>TEST_DATA!A12853</f>
        <v/>
      </c>
      <c r="B12853">
        <f>TEST_DATA!B12853</f>
        <v/>
      </c>
      <c r="C12853">
        <f>TEST_DATA!C12853</f>
        <v/>
      </c>
      <c r="D12853">
        <f>TEST_DATA!D12853</f>
        <v/>
      </c>
      <c r="E12853">
        <f>TEST_DATA!E12853</f>
        <v/>
      </c>
    </row>
    <row r="12854">
      <c r="A12854">
        <f>TEST_DATA!A12854</f>
        <v/>
      </c>
      <c r="B12854">
        <f>TEST_DATA!B12854</f>
        <v/>
      </c>
      <c r="C12854">
        <f>TEST_DATA!C12854</f>
        <v/>
      </c>
      <c r="D12854">
        <f>TEST_DATA!D12854</f>
        <v/>
      </c>
      <c r="E12854">
        <f>TEST_DATA!E12854</f>
        <v/>
      </c>
    </row>
    <row r="12855">
      <c r="A12855">
        <f>TEST_DATA!A12855</f>
        <v/>
      </c>
      <c r="B12855">
        <f>TEST_DATA!B12855</f>
        <v/>
      </c>
      <c r="C12855">
        <f>TEST_DATA!C12855</f>
        <v/>
      </c>
      <c r="D12855">
        <f>TEST_DATA!D12855</f>
        <v/>
      </c>
      <c r="E12855">
        <f>TEST_DATA!E12855</f>
        <v/>
      </c>
    </row>
    <row r="12856">
      <c r="A12856">
        <f>TEST_DATA!A12856</f>
        <v/>
      </c>
      <c r="B12856">
        <f>TEST_DATA!B12856</f>
        <v/>
      </c>
      <c r="C12856">
        <f>TEST_DATA!C12856</f>
        <v/>
      </c>
      <c r="D12856">
        <f>TEST_DATA!D12856</f>
        <v/>
      </c>
      <c r="E12856">
        <f>TEST_DATA!E12856</f>
        <v/>
      </c>
    </row>
    <row r="12857">
      <c r="A12857">
        <f>TEST_DATA!A12857</f>
        <v/>
      </c>
      <c r="B12857">
        <f>TEST_DATA!B12857</f>
        <v/>
      </c>
      <c r="C12857">
        <f>TEST_DATA!C12857</f>
        <v/>
      </c>
      <c r="D12857">
        <f>TEST_DATA!D12857</f>
        <v/>
      </c>
      <c r="E12857">
        <f>TEST_DATA!E12857</f>
        <v/>
      </c>
    </row>
    <row r="12858">
      <c r="A12858">
        <f>TEST_DATA!A12858</f>
        <v/>
      </c>
      <c r="B12858">
        <f>TEST_DATA!B12858</f>
        <v/>
      </c>
      <c r="C12858">
        <f>TEST_DATA!C12858</f>
        <v/>
      </c>
      <c r="D12858">
        <f>TEST_DATA!D12858</f>
        <v/>
      </c>
      <c r="E12858">
        <f>TEST_DATA!E12858</f>
        <v/>
      </c>
    </row>
    <row r="12859">
      <c r="A12859">
        <f>TEST_DATA!A12859</f>
        <v/>
      </c>
      <c r="B12859">
        <f>TEST_DATA!B12859</f>
        <v/>
      </c>
      <c r="C12859">
        <f>TEST_DATA!C12859</f>
        <v/>
      </c>
      <c r="D12859">
        <f>TEST_DATA!D12859</f>
        <v/>
      </c>
      <c r="E12859">
        <f>TEST_DATA!E12859</f>
        <v/>
      </c>
    </row>
    <row r="12860">
      <c r="A12860">
        <f>TEST_DATA!A12860</f>
        <v/>
      </c>
      <c r="B12860">
        <f>TEST_DATA!B12860</f>
        <v/>
      </c>
      <c r="C12860">
        <f>TEST_DATA!C12860</f>
        <v/>
      </c>
      <c r="D12860">
        <f>TEST_DATA!D12860</f>
        <v/>
      </c>
      <c r="E12860">
        <f>TEST_DATA!E12860</f>
        <v/>
      </c>
    </row>
    <row r="12861">
      <c r="A12861">
        <f>TEST_DATA!A12861</f>
        <v/>
      </c>
      <c r="B12861">
        <f>TEST_DATA!B12861</f>
        <v/>
      </c>
      <c r="C12861">
        <f>TEST_DATA!C12861</f>
        <v/>
      </c>
      <c r="D12861">
        <f>TEST_DATA!D12861</f>
        <v/>
      </c>
      <c r="E12861">
        <f>TEST_DATA!E12861</f>
        <v/>
      </c>
    </row>
    <row r="12862">
      <c r="A12862">
        <f>TEST_DATA!A12862</f>
        <v/>
      </c>
      <c r="B12862">
        <f>TEST_DATA!B12862</f>
        <v/>
      </c>
      <c r="C12862">
        <f>TEST_DATA!C12862</f>
        <v/>
      </c>
      <c r="D12862">
        <f>TEST_DATA!D12862</f>
        <v/>
      </c>
      <c r="E12862">
        <f>TEST_DATA!E12862</f>
        <v/>
      </c>
    </row>
    <row r="12863">
      <c r="A12863">
        <f>TEST_DATA!A12863</f>
        <v/>
      </c>
      <c r="B12863">
        <f>TEST_DATA!B12863</f>
        <v/>
      </c>
      <c r="C12863">
        <f>TEST_DATA!C12863</f>
        <v/>
      </c>
      <c r="D12863">
        <f>TEST_DATA!D12863</f>
        <v/>
      </c>
      <c r="E12863">
        <f>TEST_DATA!E12863</f>
        <v/>
      </c>
    </row>
    <row r="12864">
      <c r="A12864">
        <f>TEST_DATA!A12864</f>
        <v/>
      </c>
      <c r="B12864">
        <f>TEST_DATA!B12864</f>
        <v/>
      </c>
      <c r="C12864">
        <f>TEST_DATA!C12864</f>
        <v/>
      </c>
      <c r="D12864">
        <f>TEST_DATA!D12864</f>
        <v/>
      </c>
      <c r="E12864">
        <f>TEST_DATA!E12864</f>
        <v/>
      </c>
    </row>
    <row r="12865">
      <c r="A12865">
        <f>TEST_DATA!A12865</f>
        <v/>
      </c>
      <c r="B12865">
        <f>TEST_DATA!B12865</f>
        <v/>
      </c>
      <c r="C12865">
        <f>TEST_DATA!C12865</f>
        <v/>
      </c>
      <c r="D12865">
        <f>TEST_DATA!D12865</f>
        <v/>
      </c>
      <c r="E12865">
        <f>TEST_DATA!E12865</f>
        <v/>
      </c>
    </row>
    <row r="12866">
      <c r="A12866">
        <f>TEST_DATA!A12866</f>
        <v/>
      </c>
      <c r="B12866">
        <f>TEST_DATA!B12866</f>
        <v/>
      </c>
      <c r="C12866">
        <f>TEST_DATA!C12866</f>
        <v/>
      </c>
      <c r="D12866">
        <f>TEST_DATA!D12866</f>
        <v/>
      </c>
      <c r="E12866">
        <f>TEST_DATA!E12866</f>
        <v/>
      </c>
    </row>
    <row r="12867">
      <c r="A12867">
        <f>TEST_DATA!A12867</f>
        <v/>
      </c>
      <c r="B12867">
        <f>TEST_DATA!B12867</f>
        <v/>
      </c>
      <c r="C12867">
        <f>TEST_DATA!C12867</f>
        <v/>
      </c>
      <c r="D12867">
        <f>TEST_DATA!D12867</f>
        <v/>
      </c>
      <c r="E12867">
        <f>TEST_DATA!E12867</f>
        <v/>
      </c>
    </row>
    <row r="12868">
      <c r="A12868">
        <f>TEST_DATA!A12868</f>
        <v/>
      </c>
      <c r="B12868">
        <f>TEST_DATA!B12868</f>
        <v/>
      </c>
      <c r="C12868">
        <f>TEST_DATA!C12868</f>
        <v/>
      </c>
      <c r="D12868">
        <f>TEST_DATA!D12868</f>
        <v/>
      </c>
      <c r="E12868">
        <f>TEST_DATA!E12868</f>
        <v/>
      </c>
    </row>
    <row r="12869">
      <c r="A12869">
        <f>TEST_DATA!A12869</f>
        <v/>
      </c>
      <c r="B12869">
        <f>TEST_DATA!B12869</f>
        <v/>
      </c>
      <c r="C12869">
        <f>TEST_DATA!C12869</f>
        <v/>
      </c>
      <c r="D12869">
        <f>TEST_DATA!D12869</f>
        <v/>
      </c>
      <c r="E12869">
        <f>TEST_DATA!E12869</f>
        <v/>
      </c>
    </row>
    <row r="12870">
      <c r="A12870">
        <f>TEST_DATA!A12870</f>
        <v/>
      </c>
      <c r="B12870">
        <f>TEST_DATA!B12870</f>
        <v/>
      </c>
      <c r="C12870">
        <f>TEST_DATA!C12870</f>
        <v/>
      </c>
      <c r="D12870">
        <f>TEST_DATA!D12870</f>
        <v/>
      </c>
      <c r="E12870">
        <f>TEST_DATA!E12870</f>
        <v/>
      </c>
    </row>
    <row r="12871">
      <c r="A12871">
        <f>TEST_DATA!A12871</f>
        <v/>
      </c>
      <c r="B12871">
        <f>TEST_DATA!B12871</f>
        <v/>
      </c>
      <c r="C12871">
        <f>TEST_DATA!C12871</f>
        <v/>
      </c>
      <c r="D12871">
        <f>TEST_DATA!D12871</f>
        <v/>
      </c>
      <c r="E12871">
        <f>TEST_DATA!E12871</f>
        <v/>
      </c>
    </row>
    <row r="12872">
      <c r="A12872">
        <f>TEST_DATA!A12872</f>
        <v/>
      </c>
      <c r="B12872">
        <f>TEST_DATA!B12872</f>
        <v/>
      </c>
      <c r="C12872">
        <f>TEST_DATA!C12872</f>
        <v/>
      </c>
      <c r="D12872">
        <f>TEST_DATA!D12872</f>
        <v/>
      </c>
      <c r="E12872">
        <f>TEST_DATA!E12872</f>
        <v/>
      </c>
    </row>
    <row r="12873">
      <c r="A12873">
        <f>TEST_DATA!A12873</f>
        <v/>
      </c>
      <c r="B12873">
        <f>TEST_DATA!B12873</f>
        <v/>
      </c>
      <c r="C12873">
        <f>TEST_DATA!C12873</f>
        <v/>
      </c>
      <c r="D12873">
        <f>TEST_DATA!D12873</f>
        <v/>
      </c>
      <c r="E12873">
        <f>TEST_DATA!E12873</f>
        <v/>
      </c>
    </row>
    <row r="12874">
      <c r="A12874">
        <f>TEST_DATA!A12874</f>
        <v/>
      </c>
      <c r="B12874">
        <f>TEST_DATA!B12874</f>
        <v/>
      </c>
      <c r="C12874">
        <f>TEST_DATA!C12874</f>
        <v/>
      </c>
      <c r="D12874">
        <f>TEST_DATA!D12874</f>
        <v/>
      </c>
      <c r="E12874">
        <f>TEST_DATA!E12874</f>
        <v/>
      </c>
    </row>
    <row r="12875">
      <c r="A12875">
        <f>TEST_DATA!A12875</f>
        <v/>
      </c>
      <c r="B12875">
        <f>TEST_DATA!B12875</f>
        <v/>
      </c>
      <c r="C12875">
        <f>TEST_DATA!C12875</f>
        <v/>
      </c>
      <c r="D12875">
        <f>TEST_DATA!D12875</f>
        <v/>
      </c>
      <c r="E12875">
        <f>TEST_DATA!E12875</f>
        <v/>
      </c>
    </row>
    <row r="12876">
      <c r="A12876">
        <f>TEST_DATA!A12876</f>
        <v/>
      </c>
      <c r="B12876">
        <f>TEST_DATA!B12876</f>
        <v/>
      </c>
      <c r="C12876">
        <f>TEST_DATA!C12876</f>
        <v/>
      </c>
      <c r="D12876">
        <f>TEST_DATA!D12876</f>
        <v/>
      </c>
      <c r="E12876">
        <f>TEST_DATA!E12876</f>
        <v/>
      </c>
    </row>
    <row r="12877">
      <c r="A12877">
        <f>TEST_DATA!A12877</f>
        <v/>
      </c>
      <c r="B12877">
        <f>TEST_DATA!B12877</f>
        <v/>
      </c>
      <c r="C12877">
        <f>TEST_DATA!C12877</f>
        <v/>
      </c>
      <c r="D12877">
        <f>TEST_DATA!D12877</f>
        <v/>
      </c>
      <c r="E12877">
        <f>TEST_DATA!E12877</f>
        <v/>
      </c>
    </row>
    <row r="12878">
      <c r="A12878">
        <f>TEST_DATA!A12878</f>
        <v/>
      </c>
      <c r="B12878">
        <f>TEST_DATA!B12878</f>
        <v/>
      </c>
      <c r="C12878">
        <f>TEST_DATA!C12878</f>
        <v/>
      </c>
      <c r="D12878">
        <f>TEST_DATA!D12878</f>
        <v/>
      </c>
      <c r="E12878">
        <f>TEST_DATA!E12878</f>
        <v/>
      </c>
    </row>
    <row r="12879">
      <c r="A12879">
        <f>TEST_DATA!A12879</f>
        <v/>
      </c>
      <c r="B12879">
        <f>TEST_DATA!B12879</f>
        <v/>
      </c>
      <c r="C12879">
        <f>TEST_DATA!C12879</f>
        <v/>
      </c>
      <c r="D12879">
        <f>TEST_DATA!D12879</f>
        <v/>
      </c>
      <c r="E12879">
        <f>TEST_DATA!E12879</f>
        <v/>
      </c>
    </row>
    <row r="12880">
      <c r="A12880">
        <f>TEST_DATA!A12880</f>
        <v/>
      </c>
      <c r="B12880">
        <f>TEST_DATA!B12880</f>
        <v/>
      </c>
      <c r="C12880">
        <f>TEST_DATA!C12880</f>
        <v/>
      </c>
      <c r="D12880">
        <f>TEST_DATA!D12880</f>
        <v/>
      </c>
      <c r="E12880">
        <f>TEST_DATA!E12880</f>
        <v/>
      </c>
    </row>
    <row r="12881">
      <c r="A12881">
        <f>TEST_DATA!A12881</f>
        <v/>
      </c>
      <c r="B12881">
        <f>TEST_DATA!B12881</f>
        <v/>
      </c>
      <c r="C12881">
        <f>TEST_DATA!C12881</f>
        <v/>
      </c>
      <c r="D12881">
        <f>TEST_DATA!D12881</f>
        <v/>
      </c>
      <c r="E12881">
        <f>TEST_DATA!E12881</f>
        <v/>
      </c>
    </row>
    <row r="12882">
      <c r="A12882">
        <f>TEST_DATA!A12882</f>
        <v/>
      </c>
      <c r="B12882">
        <f>TEST_DATA!B12882</f>
        <v/>
      </c>
      <c r="C12882">
        <f>TEST_DATA!C12882</f>
        <v/>
      </c>
      <c r="D12882">
        <f>TEST_DATA!D12882</f>
        <v/>
      </c>
      <c r="E12882">
        <f>TEST_DATA!E12882</f>
        <v/>
      </c>
    </row>
    <row r="12883">
      <c r="A12883">
        <f>TEST_DATA!A12883</f>
        <v/>
      </c>
      <c r="B12883">
        <f>TEST_DATA!B12883</f>
        <v/>
      </c>
      <c r="C12883">
        <f>TEST_DATA!C12883</f>
        <v/>
      </c>
      <c r="D12883">
        <f>TEST_DATA!D12883</f>
        <v/>
      </c>
      <c r="E12883">
        <f>TEST_DATA!E12883</f>
        <v/>
      </c>
    </row>
    <row r="12884">
      <c r="A12884">
        <f>TEST_DATA!A12884</f>
        <v/>
      </c>
      <c r="B12884">
        <f>TEST_DATA!B12884</f>
        <v/>
      </c>
      <c r="C12884">
        <f>TEST_DATA!C12884</f>
        <v/>
      </c>
      <c r="D12884">
        <f>TEST_DATA!D12884</f>
        <v/>
      </c>
      <c r="E12884">
        <f>TEST_DATA!E12884</f>
        <v/>
      </c>
    </row>
    <row r="12885">
      <c r="A12885">
        <f>TEST_DATA!A12885</f>
        <v/>
      </c>
      <c r="B12885">
        <f>TEST_DATA!B12885</f>
        <v/>
      </c>
      <c r="C12885">
        <f>TEST_DATA!C12885</f>
        <v/>
      </c>
      <c r="D12885">
        <f>TEST_DATA!D12885</f>
        <v/>
      </c>
      <c r="E12885">
        <f>TEST_DATA!E12885</f>
        <v/>
      </c>
    </row>
    <row r="12886">
      <c r="A12886">
        <f>TEST_DATA!A12886</f>
        <v/>
      </c>
      <c r="B12886">
        <f>TEST_DATA!B12886</f>
        <v/>
      </c>
      <c r="C12886">
        <f>TEST_DATA!C12886</f>
        <v/>
      </c>
      <c r="D12886">
        <f>TEST_DATA!D12886</f>
        <v/>
      </c>
      <c r="E12886">
        <f>TEST_DATA!E12886</f>
        <v/>
      </c>
    </row>
    <row r="12887">
      <c r="A12887">
        <f>TEST_DATA!A12887</f>
        <v/>
      </c>
      <c r="B12887">
        <f>TEST_DATA!B12887</f>
        <v/>
      </c>
      <c r="C12887">
        <f>TEST_DATA!C12887</f>
        <v/>
      </c>
      <c r="D12887">
        <f>TEST_DATA!D12887</f>
        <v/>
      </c>
      <c r="E12887">
        <f>TEST_DATA!E12887</f>
        <v/>
      </c>
    </row>
    <row r="12888">
      <c r="A12888">
        <f>TEST_DATA!A12888</f>
        <v/>
      </c>
      <c r="B12888">
        <f>TEST_DATA!B12888</f>
        <v/>
      </c>
      <c r="C12888">
        <f>TEST_DATA!C12888</f>
        <v/>
      </c>
      <c r="D12888">
        <f>TEST_DATA!D12888</f>
        <v/>
      </c>
      <c r="E12888">
        <f>TEST_DATA!E12888</f>
        <v/>
      </c>
    </row>
    <row r="12889">
      <c r="A12889">
        <f>TEST_DATA!A12889</f>
        <v/>
      </c>
      <c r="B12889">
        <f>TEST_DATA!B12889</f>
        <v/>
      </c>
      <c r="C12889">
        <f>TEST_DATA!C12889</f>
        <v/>
      </c>
      <c r="D12889">
        <f>TEST_DATA!D12889</f>
        <v/>
      </c>
      <c r="E12889">
        <f>TEST_DATA!E12889</f>
        <v/>
      </c>
    </row>
    <row r="12890">
      <c r="A12890">
        <f>TEST_DATA!A12890</f>
        <v/>
      </c>
      <c r="B12890">
        <f>TEST_DATA!B12890</f>
        <v/>
      </c>
      <c r="C12890">
        <f>TEST_DATA!C12890</f>
        <v/>
      </c>
      <c r="D12890">
        <f>TEST_DATA!D12890</f>
        <v/>
      </c>
      <c r="E12890">
        <f>TEST_DATA!E12890</f>
        <v/>
      </c>
    </row>
    <row r="12891">
      <c r="A12891">
        <f>TEST_DATA!A12891</f>
        <v/>
      </c>
      <c r="B12891">
        <f>TEST_DATA!B12891</f>
        <v/>
      </c>
      <c r="C12891">
        <f>TEST_DATA!C12891</f>
        <v/>
      </c>
      <c r="D12891">
        <f>TEST_DATA!D12891</f>
        <v/>
      </c>
      <c r="E12891">
        <f>TEST_DATA!E12891</f>
        <v/>
      </c>
    </row>
    <row r="12892">
      <c r="A12892">
        <f>TEST_DATA!A12892</f>
        <v/>
      </c>
      <c r="B12892">
        <f>TEST_DATA!B12892</f>
        <v/>
      </c>
      <c r="C12892">
        <f>TEST_DATA!C12892</f>
        <v/>
      </c>
      <c r="D12892">
        <f>TEST_DATA!D12892</f>
        <v/>
      </c>
      <c r="E12892">
        <f>TEST_DATA!E12892</f>
        <v/>
      </c>
    </row>
    <row r="12893">
      <c r="A12893">
        <f>TEST_DATA!A12893</f>
        <v/>
      </c>
      <c r="B12893">
        <f>TEST_DATA!B12893</f>
        <v/>
      </c>
      <c r="C12893">
        <f>TEST_DATA!C12893</f>
        <v/>
      </c>
      <c r="D12893">
        <f>TEST_DATA!D12893</f>
        <v/>
      </c>
      <c r="E12893">
        <f>TEST_DATA!E12893</f>
        <v/>
      </c>
    </row>
    <row r="12894">
      <c r="A12894">
        <f>TEST_DATA!A12894</f>
        <v/>
      </c>
      <c r="B12894">
        <f>TEST_DATA!B12894</f>
        <v/>
      </c>
      <c r="C12894">
        <f>TEST_DATA!C12894</f>
        <v/>
      </c>
      <c r="D12894">
        <f>TEST_DATA!D12894</f>
        <v/>
      </c>
      <c r="E12894">
        <f>TEST_DATA!E12894</f>
        <v/>
      </c>
    </row>
    <row r="12895">
      <c r="A12895">
        <f>TEST_DATA!A12895</f>
        <v/>
      </c>
      <c r="B12895">
        <f>TEST_DATA!B12895</f>
        <v/>
      </c>
      <c r="C12895">
        <f>TEST_DATA!C12895</f>
        <v/>
      </c>
      <c r="D12895">
        <f>TEST_DATA!D12895</f>
        <v/>
      </c>
      <c r="E12895">
        <f>TEST_DATA!E12895</f>
        <v/>
      </c>
    </row>
    <row r="12896">
      <c r="A12896">
        <f>TEST_DATA!A12896</f>
        <v/>
      </c>
      <c r="B12896">
        <f>TEST_DATA!B12896</f>
        <v/>
      </c>
      <c r="C12896">
        <f>TEST_DATA!C12896</f>
        <v/>
      </c>
      <c r="D12896">
        <f>TEST_DATA!D12896</f>
        <v/>
      </c>
      <c r="E12896">
        <f>TEST_DATA!E12896</f>
        <v/>
      </c>
    </row>
    <row r="12897">
      <c r="A12897">
        <f>TEST_DATA!A12897</f>
        <v/>
      </c>
      <c r="B12897">
        <f>TEST_DATA!B12897</f>
        <v/>
      </c>
      <c r="C12897">
        <f>TEST_DATA!C12897</f>
        <v/>
      </c>
      <c r="D12897">
        <f>TEST_DATA!D12897</f>
        <v/>
      </c>
      <c r="E12897">
        <f>TEST_DATA!E12897</f>
        <v/>
      </c>
    </row>
    <row r="12898">
      <c r="A12898">
        <f>TEST_DATA!A12898</f>
        <v/>
      </c>
      <c r="B12898">
        <f>TEST_DATA!B12898</f>
        <v/>
      </c>
      <c r="C12898">
        <f>TEST_DATA!C12898</f>
        <v/>
      </c>
      <c r="D12898">
        <f>TEST_DATA!D12898</f>
        <v/>
      </c>
      <c r="E12898">
        <f>TEST_DATA!E12898</f>
        <v/>
      </c>
    </row>
    <row r="12899">
      <c r="A12899">
        <f>TEST_DATA!A12899</f>
        <v/>
      </c>
      <c r="B12899">
        <f>TEST_DATA!B12899</f>
        <v/>
      </c>
      <c r="C12899">
        <f>TEST_DATA!C12899</f>
        <v/>
      </c>
      <c r="D12899">
        <f>TEST_DATA!D12899</f>
        <v/>
      </c>
      <c r="E12899">
        <f>TEST_DATA!E12899</f>
        <v/>
      </c>
    </row>
    <row r="12900">
      <c r="A12900">
        <f>TEST_DATA!A12900</f>
        <v/>
      </c>
      <c r="B12900">
        <f>TEST_DATA!B12900</f>
        <v/>
      </c>
      <c r="C12900">
        <f>TEST_DATA!C12900</f>
        <v/>
      </c>
      <c r="D12900">
        <f>TEST_DATA!D12900</f>
        <v/>
      </c>
      <c r="E12900">
        <f>TEST_DATA!E12900</f>
        <v/>
      </c>
    </row>
    <row r="12901">
      <c r="A12901">
        <f>TEST_DATA!A12901</f>
        <v/>
      </c>
      <c r="B12901">
        <f>TEST_DATA!B12901</f>
        <v/>
      </c>
      <c r="C12901">
        <f>TEST_DATA!C12901</f>
        <v/>
      </c>
      <c r="D12901">
        <f>TEST_DATA!D12901</f>
        <v/>
      </c>
      <c r="E12901">
        <f>TEST_DATA!E12901</f>
        <v/>
      </c>
    </row>
    <row r="12902">
      <c r="A12902">
        <f>TEST_DATA!A12902</f>
        <v/>
      </c>
      <c r="B12902">
        <f>TEST_DATA!B12902</f>
        <v/>
      </c>
      <c r="C12902">
        <f>TEST_DATA!C12902</f>
        <v/>
      </c>
      <c r="D12902">
        <f>TEST_DATA!D12902</f>
        <v/>
      </c>
      <c r="E12902">
        <f>TEST_DATA!E12902</f>
        <v/>
      </c>
    </row>
    <row r="12903">
      <c r="A12903">
        <f>TEST_DATA!A12903</f>
        <v/>
      </c>
      <c r="B12903">
        <f>TEST_DATA!B12903</f>
        <v/>
      </c>
      <c r="C12903">
        <f>TEST_DATA!C12903</f>
        <v/>
      </c>
      <c r="D12903">
        <f>TEST_DATA!D12903</f>
        <v/>
      </c>
      <c r="E12903">
        <f>TEST_DATA!E12903</f>
        <v/>
      </c>
    </row>
    <row r="12904">
      <c r="A12904">
        <f>TEST_DATA!A12904</f>
        <v/>
      </c>
      <c r="B12904">
        <f>TEST_DATA!B12904</f>
        <v/>
      </c>
      <c r="C12904">
        <f>TEST_DATA!C12904</f>
        <v/>
      </c>
      <c r="D12904">
        <f>TEST_DATA!D12904</f>
        <v/>
      </c>
      <c r="E12904">
        <f>TEST_DATA!E12904</f>
        <v/>
      </c>
    </row>
    <row r="12905">
      <c r="A12905">
        <f>TEST_DATA!A12905</f>
        <v/>
      </c>
      <c r="B12905">
        <f>TEST_DATA!B12905</f>
        <v/>
      </c>
      <c r="C12905">
        <f>TEST_DATA!C12905</f>
        <v/>
      </c>
      <c r="D12905">
        <f>TEST_DATA!D12905</f>
        <v/>
      </c>
      <c r="E12905">
        <f>TEST_DATA!E12905</f>
        <v/>
      </c>
    </row>
    <row r="12906">
      <c r="A12906">
        <f>TEST_DATA!A12906</f>
        <v/>
      </c>
      <c r="B12906">
        <f>TEST_DATA!B12906</f>
        <v/>
      </c>
      <c r="C12906">
        <f>TEST_DATA!C12906</f>
        <v/>
      </c>
      <c r="D12906">
        <f>TEST_DATA!D12906</f>
        <v/>
      </c>
      <c r="E12906">
        <f>TEST_DATA!E12906</f>
        <v/>
      </c>
    </row>
    <row r="12907">
      <c r="A12907">
        <f>TEST_DATA!A12907</f>
        <v/>
      </c>
      <c r="B12907">
        <f>TEST_DATA!B12907</f>
        <v/>
      </c>
      <c r="C12907">
        <f>TEST_DATA!C12907</f>
        <v/>
      </c>
      <c r="D12907">
        <f>TEST_DATA!D12907</f>
        <v/>
      </c>
      <c r="E12907">
        <f>TEST_DATA!E12907</f>
        <v/>
      </c>
    </row>
    <row r="12908">
      <c r="A12908">
        <f>TEST_DATA!A12908</f>
        <v/>
      </c>
      <c r="B12908">
        <f>TEST_DATA!B12908</f>
        <v/>
      </c>
      <c r="C12908">
        <f>TEST_DATA!C12908</f>
        <v/>
      </c>
      <c r="D12908">
        <f>TEST_DATA!D12908</f>
        <v/>
      </c>
      <c r="E12908">
        <f>TEST_DATA!E12908</f>
        <v/>
      </c>
    </row>
    <row r="12909">
      <c r="A12909">
        <f>TEST_DATA!A12909</f>
        <v/>
      </c>
      <c r="B12909">
        <f>TEST_DATA!B12909</f>
        <v/>
      </c>
      <c r="C12909">
        <f>TEST_DATA!C12909</f>
        <v/>
      </c>
      <c r="D12909">
        <f>TEST_DATA!D12909</f>
        <v/>
      </c>
      <c r="E12909">
        <f>TEST_DATA!E12909</f>
        <v/>
      </c>
    </row>
    <row r="12910">
      <c r="A12910">
        <f>TEST_DATA!A12910</f>
        <v/>
      </c>
      <c r="B12910">
        <f>TEST_DATA!B12910</f>
        <v/>
      </c>
      <c r="C12910">
        <f>TEST_DATA!C12910</f>
        <v/>
      </c>
      <c r="D12910">
        <f>TEST_DATA!D12910</f>
        <v/>
      </c>
      <c r="E12910">
        <f>TEST_DATA!E12910</f>
        <v/>
      </c>
    </row>
    <row r="12911">
      <c r="A12911">
        <f>TEST_DATA!A12911</f>
        <v/>
      </c>
      <c r="B12911">
        <f>TEST_DATA!B12911</f>
        <v/>
      </c>
      <c r="C12911">
        <f>TEST_DATA!C12911</f>
        <v/>
      </c>
      <c r="D12911">
        <f>TEST_DATA!D12911</f>
        <v/>
      </c>
      <c r="E12911">
        <f>TEST_DATA!E12911</f>
        <v/>
      </c>
    </row>
    <row r="12912">
      <c r="A12912">
        <f>TEST_DATA!A12912</f>
        <v/>
      </c>
      <c r="B12912">
        <f>TEST_DATA!B12912</f>
        <v/>
      </c>
      <c r="C12912">
        <f>TEST_DATA!C12912</f>
        <v/>
      </c>
      <c r="D12912">
        <f>TEST_DATA!D12912</f>
        <v/>
      </c>
      <c r="E12912">
        <f>TEST_DATA!E12912</f>
        <v/>
      </c>
    </row>
    <row r="12913">
      <c r="A12913">
        <f>TEST_DATA!A12913</f>
        <v/>
      </c>
      <c r="B12913">
        <f>TEST_DATA!B12913</f>
        <v/>
      </c>
      <c r="C12913">
        <f>TEST_DATA!C12913</f>
        <v/>
      </c>
      <c r="D12913">
        <f>TEST_DATA!D12913</f>
        <v/>
      </c>
      <c r="E12913">
        <f>TEST_DATA!E12913</f>
        <v/>
      </c>
    </row>
    <row r="12914">
      <c r="A12914">
        <f>TEST_DATA!A12914</f>
        <v/>
      </c>
      <c r="B12914">
        <f>TEST_DATA!B12914</f>
        <v/>
      </c>
      <c r="C12914">
        <f>TEST_DATA!C12914</f>
        <v/>
      </c>
      <c r="D12914">
        <f>TEST_DATA!D12914</f>
        <v/>
      </c>
      <c r="E12914">
        <f>TEST_DATA!E12914</f>
        <v/>
      </c>
    </row>
    <row r="12915">
      <c r="A12915">
        <f>TEST_DATA!A12915</f>
        <v/>
      </c>
      <c r="B12915">
        <f>TEST_DATA!B12915</f>
        <v/>
      </c>
      <c r="C12915">
        <f>TEST_DATA!C12915</f>
        <v/>
      </c>
      <c r="D12915">
        <f>TEST_DATA!D12915</f>
        <v/>
      </c>
      <c r="E12915">
        <f>TEST_DATA!E12915</f>
        <v/>
      </c>
    </row>
    <row r="12916">
      <c r="A12916">
        <f>TEST_DATA!A12916</f>
        <v/>
      </c>
      <c r="B12916">
        <f>TEST_DATA!B12916</f>
        <v/>
      </c>
      <c r="C12916">
        <f>TEST_DATA!C12916</f>
        <v/>
      </c>
      <c r="D12916">
        <f>TEST_DATA!D12916</f>
        <v/>
      </c>
      <c r="E12916">
        <f>TEST_DATA!E12916</f>
        <v/>
      </c>
    </row>
    <row r="12917">
      <c r="A12917">
        <f>TEST_DATA!A12917</f>
        <v/>
      </c>
      <c r="B12917">
        <f>TEST_DATA!B12917</f>
        <v/>
      </c>
      <c r="C12917">
        <f>TEST_DATA!C12917</f>
        <v/>
      </c>
      <c r="D12917">
        <f>TEST_DATA!D12917</f>
        <v/>
      </c>
      <c r="E12917">
        <f>TEST_DATA!E12917</f>
        <v/>
      </c>
    </row>
    <row r="12918">
      <c r="A12918">
        <f>TEST_DATA!A12918</f>
        <v/>
      </c>
      <c r="B12918">
        <f>TEST_DATA!B12918</f>
        <v/>
      </c>
      <c r="C12918">
        <f>TEST_DATA!C12918</f>
        <v/>
      </c>
      <c r="D12918">
        <f>TEST_DATA!D12918</f>
        <v/>
      </c>
      <c r="E12918">
        <f>TEST_DATA!E12918</f>
        <v/>
      </c>
    </row>
    <row r="12919">
      <c r="A12919">
        <f>TEST_DATA!A12919</f>
        <v/>
      </c>
      <c r="B12919">
        <f>TEST_DATA!B12919</f>
        <v/>
      </c>
      <c r="C12919">
        <f>TEST_DATA!C12919</f>
        <v/>
      </c>
      <c r="D12919">
        <f>TEST_DATA!D12919</f>
        <v/>
      </c>
      <c r="E12919">
        <f>TEST_DATA!E12919</f>
        <v/>
      </c>
    </row>
    <row r="12920">
      <c r="A12920">
        <f>TEST_DATA!A12920</f>
        <v/>
      </c>
      <c r="B12920">
        <f>TEST_DATA!B12920</f>
        <v/>
      </c>
      <c r="C12920">
        <f>TEST_DATA!C12920</f>
        <v/>
      </c>
      <c r="D12920">
        <f>TEST_DATA!D12920</f>
        <v/>
      </c>
      <c r="E12920">
        <f>TEST_DATA!E12920</f>
        <v/>
      </c>
    </row>
    <row r="12921">
      <c r="A12921">
        <f>TEST_DATA!A12921</f>
        <v/>
      </c>
      <c r="B12921">
        <f>TEST_DATA!B12921</f>
        <v/>
      </c>
      <c r="C12921">
        <f>TEST_DATA!C12921</f>
        <v/>
      </c>
      <c r="D12921">
        <f>TEST_DATA!D12921</f>
        <v/>
      </c>
      <c r="E12921">
        <f>TEST_DATA!E12921</f>
        <v/>
      </c>
    </row>
    <row r="12922">
      <c r="A12922">
        <f>TEST_DATA!A12922</f>
        <v/>
      </c>
      <c r="B12922">
        <f>TEST_DATA!B12922</f>
        <v/>
      </c>
      <c r="C12922">
        <f>TEST_DATA!C12922</f>
        <v/>
      </c>
      <c r="D12922">
        <f>TEST_DATA!D12922</f>
        <v/>
      </c>
      <c r="E12922">
        <f>TEST_DATA!E12922</f>
        <v/>
      </c>
    </row>
    <row r="12923">
      <c r="A12923">
        <f>TEST_DATA!A12923</f>
        <v/>
      </c>
      <c r="B12923">
        <f>TEST_DATA!B12923</f>
        <v/>
      </c>
      <c r="C12923">
        <f>TEST_DATA!C12923</f>
        <v/>
      </c>
      <c r="D12923">
        <f>TEST_DATA!D12923</f>
        <v/>
      </c>
      <c r="E12923">
        <f>TEST_DATA!E12923</f>
        <v/>
      </c>
    </row>
    <row r="12924">
      <c r="A12924">
        <f>TEST_DATA!A12924</f>
        <v/>
      </c>
      <c r="B12924">
        <f>TEST_DATA!B12924</f>
        <v/>
      </c>
      <c r="C12924">
        <f>TEST_DATA!C12924</f>
        <v/>
      </c>
      <c r="D12924">
        <f>TEST_DATA!D12924</f>
        <v/>
      </c>
      <c r="E12924">
        <f>TEST_DATA!E12924</f>
        <v/>
      </c>
    </row>
    <row r="12925">
      <c r="A12925">
        <f>TEST_DATA!A12925</f>
        <v/>
      </c>
      <c r="B12925">
        <f>TEST_DATA!B12925</f>
        <v/>
      </c>
      <c r="C12925">
        <f>TEST_DATA!C12925</f>
        <v/>
      </c>
      <c r="D12925">
        <f>TEST_DATA!D12925</f>
        <v/>
      </c>
      <c r="E12925">
        <f>TEST_DATA!E12925</f>
        <v/>
      </c>
    </row>
    <row r="12926">
      <c r="A12926">
        <f>TEST_DATA!A12926</f>
        <v/>
      </c>
      <c r="B12926">
        <f>TEST_DATA!B12926</f>
        <v/>
      </c>
      <c r="C12926">
        <f>TEST_DATA!C12926</f>
        <v/>
      </c>
      <c r="D12926">
        <f>TEST_DATA!D12926</f>
        <v/>
      </c>
      <c r="E12926">
        <f>TEST_DATA!E12926</f>
        <v/>
      </c>
    </row>
    <row r="12927">
      <c r="A12927">
        <f>TEST_DATA!A12927</f>
        <v/>
      </c>
      <c r="B12927">
        <f>TEST_DATA!B12927</f>
        <v/>
      </c>
      <c r="C12927">
        <f>TEST_DATA!C12927</f>
        <v/>
      </c>
      <c r="D12927">
        <f>TEST_DATA!D12927</f>
        <v/>
      </c>
      <c r="E12927">
        <f>TEST_DATA!E12927</f>
        <v/>
      </c>
    </row>
    <row r="12928">
      <c r="A12928">
        <f>TEST_DATA!A12928</f>
        <v/>
      </c>
      <c r="B12928">
        <f>TEST_DATA!B12928</f>
        <v/>
      </c>
      <c r="C12928">
        <f>TEST_DATA!C12928</f>
        <v/>
      </c>
      <c r="D12928">
        <f>TEST_DATA!D12928</f>
        <v/>
      </c>
      <c r="E12928">
        <f>TEST_DATA!E12928</f>
        <v/>
      </c>
    </row>
    <row r="12929">
      <c r="A12929">
        <f>TEST_DATA!A12929</f>
        <v/>
      </c>
      <c r="B12929">
        <f>TEST_DATA!B12929</f>
        <v/>
      </c>
      <c r="C12929">
        <f>TEST_DATA!C12929</f>
        <v/>
      </c>
      <c r="D12929">
        <f>TEST_DATA!D12929</f>
        <v/>
      </c>
      <c r="E12929">
        <f>TEST_DATA!E12929</f>
        <v/>
      </c>
    </row>
    <row r="12930">
      <c r="A12930">
        <f>TEST_DATA!A12930</f>
        <v/>
      </c>
      <c r="B12930">
        <f>TEST_DATA!B12930</f>
        <v/>
      </c>
      <c r="C12930">
        <f>TEST_DATA!C12930</f>
        <v/>
      </c>
      <c r="D12930">
        <f>TEST_DATA!D12930</f>
        <v/>
      </c>
      <c r="E12930">
        <f>TEST_DATA!E12930</f>
        <v/>
      </c>
    </row>
    <row r="12931">
      <c r="A12931">
        <f>TEST_DATA!A12931</f>
        <v/>
      </c>
      <c r="B12931">
        <f>TEST_DATA!B12931</f>
        <v/>
      </c>
      <c r="C12931">
        <f>TEST_DATA!C12931</f>
        <v/>
      </c>
      <c r="D12931">
        <f>TEST_DATA!D12931</f>
        <v/>
      </c>
      <c r="E12931">
        <f>TEST_DATA!E12931</f>
        <v/>
      </c>
    </row>
    <row r="12932">
      <c r="A12932">
        <f>TEST_DATA!A12932</f>
        <v/>
      </c>
      <c r="B12932">
        <f>TEST_DATA!B12932</f>
        <v/>
      </c>
      <c r="C12932">
        <f>TEST_DATA!C12932</f>
        <v/>
      </c>
      <c r="D12932">
        <f>TEST_DATA!D12932</f>
        <v/>
      </c>
      <c r="E12932">
        <f>TEST_DATA!E12932</f>
        <v/>
      </c>
    </row>
    <row r="12933">
      <c r="A12933">
        <f>TEST_DATA!A12933</f>
        <v/>
      </c>
      <c r="B12933">
        <f>TEST_DATA!B12933</f>
        <v/>
      </c>
      <c r="C12933">
        <f>TEST_DATA!C12933</f>
        <v/>
      </c>
      <c r="D12933">
        <f>TEST_DATA!D12933</f>
        <v/>
      </c>
      <c r="E12933">
        <f>TEST_DATA!E12933</f>
        <v/>
      </c>
    </row>
    <row r="12934">
      <c r="A12934">
        <f>TEST_DATA!A12934</f>
        <v/>
      </c>
      <c r="B12934">
        <f>TEST_DATA!B12934</f>
        <v/>
      </c>
      <c r="C12934">
        <f>TEST_DATA!C12934</f>
        <v/>
      </c>
      <c r="D12934">
        <f>TEST_DATA!D12934</f>
        <v/>
      </c>
      <c r="E12934">
        <f>TEST_DATA!E12934</f>
        <v/>
      </c>
    </row>
    <row r="12935">
      <c r="A12935">
        <f>TEST_DATA!A12935</f>
        <v/>
      </c>
      <c r="B12935">
        <f>TEST_DATA!B12935</f>
        <v/>
      </c>
      <c r="C12935">
        <f>TEST_DATA!C12935</f>
        <v/>
      </c>
      <c r="D12935">
        <f>TEST_DATA!D12935</f>
        <v/>
      </c>
      <c r="E12935">
        <f>TEST_DATA!E12935</f>
        <v/>
      </c>
    </row>
    <row r="12936">
      <c r="A12936">
        <f>TEST_DATA!A12936</f>
        <v/>
      </c>
      <c r="B12936">
        <f>TEST_DATA!B12936</f>
        <v/>
      </c>
      <c r="C12936">
        <f>TEST_DATA!C12936</f>
        <v/>
      </c>
      <c r="D12936">
        <f>TEST_DATA!D12936</f>
        <v/>
      </c>
      <c r="E12936">
        <f>TEST_DATA!E12936</f>
        <v/>
      </c>
    </row>
    <row r="12937">
      <c r="A12937">
        <f>TEST_DATA!A12937</f>
        <v/>
      </c>
      <c r="B12937">
        <f>TEST_DATA!B12937</f>
        <v/>
      </c>
      <c r="C12937">
        <f>TEST_DATA!C12937</f>
        <v/>
      </c>
      <c r="D12937">
        <f>TEST_DATA!D12937</f>
        <v/>
      </c>
      <c r="E12937">
        <f>TEST_DATA!E12937</f>
        <v/>
      </c>
    </row>
    <row r="12938">
      <c r="A12938">
        <f>TEST_DATA!A12938</f>
        <v/>
      </c>
      <c r="B12938">
        <f>TEST_DATA!B12938</f>
        <v/>
      </c>
      <c r="C12938">
        <f>TEST_DATA!C12938</f>
        <v/>
      </c>
      <c r="D12938">
        <f>TEST_DATA!D12938</f>
        <v/>
      </c>
      <c r="E12938">
        <f>TEST_DATA!E12938</f>
        <v/>
      </c>
    </row>
    <row r="12939">
      <c r="A12939">
        <f>TEST_DATA!A12939</f>
        <v/>
      </c>
      <c r="B12939">
        <f>TEST_DATA!B12939</f>
        <v/>
      </c>
      <c r="C12939">
        <f>TEST_DATA!C12939</f>
        <v/>
      </c>
      <c r="D12939">
        <f>TEST_DATA!D12939</f>
        <v/>
      </c>
      <c r="E12939">
        <f>TEST_DATA!E12939</f>
        <v/>
      </c>
    </row>
    <row r="12940">
      <c r="A12940">
        <f>TEST_DATA!A12940</f>
        <v/>
      </c>
      <c r="B12940">
        <f>TEST_DATA!B12940</f>
        <v/>
      </c>
      <c r="C12940">
        <f>TEST_DATA!C12940</f>
        <v/>
      </c>
      <c r="D12940">
        <f>TEST_DATA!D12940</f>
        <v/>
      </c>
      <c r="E12940">
        <f>TEST_DATA!E12940</f>
        <v/>
      </c>
    </row>
    <row r="12941">
      <c r="A12941">
        <f>TEST_DATA!A12941</f>
        <v/>
      </c>
      <c r="B12941">
        <f>TEST_DATA!B12941</f>
        <v/>
      </c>
      <c r="C12941">
        <f>TEST_DATA!C12941</f>
        <v/>
      </c>
      <c r="D12941">
        <f>TEST_DATA!D12941</f>
        <v/>
      </c>
      <c r="E12941">
        <f>TEST_DATA!E12941</f>
        <v/>
      </c>
    </row>
    <row r="12942">
      <c r="A12942">
        <f>TEST_DATA!A12942</f>
        <v/>
      </c>
      <c r="B12942">
        <f>TEST_DATA!B12942</f>
        <v/>
      </c>
      <c r="C12942">
        <f>TEST_DATA!C12942</f>
        <v/>
      </c>
      <c r="D12942">
        <f>TEST_DATA!D12942</f>
        <v/>
      </c>
      <c r="E12942">
        <f>TEST_DATA!E12942</f>
        <v/>
      </c>
    </row>
    <row r="12943">
      <c r="A12943">
        <f>TEST_DATA!A12943</f>
        <v/>
      </c>
      <c r="B12943">
        <f>TEST_DATA!B12943</f>
        <v/>
      </c>
      <c r="C12943">
        <f>TEST_DATA!C12943</f>
        <v/>
      </c>
      <c r="D12943">
        <f>TEST_DATA!D12943</f>
        <v/>
      </c>
      <c r="E12943">
        <f>TEST_DATA!E12943</f>
        <v/>
      </c>
    </row>
    <row r="12944">
      <c r="A12944">
        <f>TEST_DATA!A12944</f>
        <v/>
      </c>
      <c r="B12944">
        <f>TEST_DATA!B12944</f>
        <v/>
      </c>
      <c r="C12944">
        <f>TEST_DATA!C12944</f>
        <v/>
      </c>
      <c r="D12944">
        <f>TEST_DATA!D12944</f>
        <v/>
      </c>
      <c r="E12944">
        <f>TEST_DATA!E12944</f>
        <v/>
      </c>
    </row>
    <row r="12945">
      <c r="A12945">
        <f>TEST_DATA!A12945</f>
        <v/>
      </c>
      <c r="B12945">
        <f>TEST_DATA!B12945</f>
        <v/>
      </c>
      <c r="C12945">
        <f>TEST_DATA!C12945</f>
        <v/>
      </c>
      <c r="D12945">
        <f>TEST_DATA!D12945</f>
        <v/>
      </c>
      <c r="E12945">
        <f>TEST_DATA!E12945</f>
        <v/>
      </c>
    </row>
    <row r="12946">
      <c r="A12946">
        <f>TEST_DATA!A12946</f>
        <v/>
      </c>
      <c r="B12946">
        <f>TEST_DATA!B12946</f>
        <v/>
      </c>
      <c r="C12946">
        <f>TEST_DATA!C12946</f>
        <v/>
      </c>
      <c r="D12946">
        <f>TEST_DATA!D12946</f>
        <v/>
      </c>
      <c r="E12946">
        <f>TEST_DATA!E12946</f>
        <v/>
      </c>
    </row>
    <row r="12947">
      <c r="A12947">
        <f>TEST_DATA!A12947</f>
        <v/>
      </c>
      <c r="B12947">
        <f>TEST_DATA!B12947</f>
        <v/>
      </c>
      <c r="C12947">
        <f>TEST_DATA!C12947</f>
        <v/>
      </c>
      <c r="D12947">
        <f>TEST_DATA!D12947</f>
        <v/>
      </c>
      <c r="E12947">
        <f>TEST_DATA!E12947</f>
        <v/>
      </c>
    </row>
    <row r="12948">
      <c r="A12948">
        <f>TEST_DATA!A12948</f>
        <v/>
      </c>
      <c r="B12948">
        <f>TEST_DATA!B12948</f>
        <v/>
      </c>
      <c r="C12948">
        <f>TEST_DATA!C12948</f>
        <v/>
      </c>
      <c r="D12948">
        <f>TEST_DATA!D12948</f>
        <v/>
      </c>
      <c r="E12948">
        <f>TEST_DATA!E12948</f>
        <v/>
      </c>
    </row>
    <row r="12949">
      <c r="A12949">
        <f>TEST_DATA!A12949</f>
        <v/>
      </c>
      <c r="B12949">
        <f>TEST_DATA!B12949</f>
        <v/>
      </c>
      <c r="C12949">
        <f>TEST_DATA!C12949</f>
        <v/>
      </c>
      <c r="D12949">
        <f>TEST_DATA!D12949</f>
        <v/>
      </c>
      <c r="E12949">
        <f>TEST_DATA!E12949</f>
        <v/>
      </c>
    </row>
    <row r="12950">
      <c r="A12950">
        <f>TEST_DATA!A12950</f>
        <v/>
      </c>
      <c r="B12950">
        <f>TEST_DATA!B12950</f>
        <v/>
      </c>
      <c r="C12950">
        <f>TEST_DATA!C12950</f>
        <v/>
      </c>
      <c r="D12950">
        <f>TEST_DATA!D12950</f>
        <v/>
      </c>
      <c r="E12950">
        <f>TEST_DATA!E12950</f>
        <v/>
      </c>
    </row>
    <row r="12951">
      <c r="A12951">
        <f>TEST_DATA!A12951</f>
        <v/>
      </c>
      <c r="B12951">
        <f>TEST_DATA!B12951</f>
        <v/>
      </c>
      <c r="C12951">
        <f>TEST_DATA!C12951</f>
        <v/>
      </c>
      <c r="D12951">
        <f>TEST_DATA!D12951</f>
        <v/>
      </c>
      <c r="E12951">
        <f>TEST_DATA!E12951</f>
        <v/>
      </c>
    </row>
    <row r="12952">
      <c r="A12952">
        <f>TEST_DATA!A12952</f>
        <v/>
      </c>
      <c r="B12952">
        <f>TEST_DATA!B12952</f>
        <v/>
      </c>
      <c r="C12952">
        <f>TEST_DATA!C12952</f>
        <v/>
      </c>
      <c r="D12952">
        <f>TEST_DATA!D12952</f>
        <v/>
      </c>
      <c r="E12952">
        <f>TEST_DATA!E12952</f>
        <v/>
      </c>
    </row>
    <row r="12953">
      <c r="A12953">
        <f>TEST_DATA!A12953</f>
        <v/>
      </c>
      <c r="B12953">
        <f>TEST_DATA!B12953</f>
        <v/>
      </c>
      <c r="C12953">
        <f>TEST_DATA!C12953</f>
        <v/>
      </c>
      <c r="D12953">
        <f>TEST_DATA!D12953</f>
        <v/>
      </c>
      <c r="E12953">
        <f>TEST_DATA!E12953</f>
        <v/>
      </c>
    </row>
    <row r="12954">
      <c r="A12954">
        <f>TEST_DATA!A12954</f>
        <v/>
      </c>
      <c r="B12954">
        <f>TEST_DATA!B12954</f>
        <v/>
      </c>
      <c r="C12954">
        <f>TEST_DATA!C12954</f>
        <v/>
      </c>
      <c r="D12954">
        <f>TEST_DATA!D12954</f>
        <v/>
      </c>
      <c r="E12954">
        <f>TEST_DATA!E12954</f>
        <v/>
      </c>
    </row>
    <row r="12955">
      <c r="A12955">
        <f>TEST_DATA!A12955</f>
        <v/>
      </c>
      <c r="B12955">
        <f>TEST_DATA!B12955</f>
        <v/>
      </c>
      <c r="C12955">
        <f>TEST_DATA!C12955</f>
        <v/>
      </c>
      <c r="D12955">
        <f>TEST_DATA!D12955</f>
        <v/>
      </c>
      <c r="E12955">
        <f>TEST_DATA!E12955</f>
        <v/>
      </c>
    </row>
    <row r="12956">
      <c r="A12956">
        <f>TEST_DATA!A12956</f>
        <v/>
      </c>
      <c r="B12956">
        <f>TEST_DATA!B12956</f>
        <v/>
      </c>
      <c r="C12956">
        <f>TEST_DATA!C12956</f>
        <v/>
      </c>
      <c r="D12956">
        <f>TEST_DATA!D12956</f>
        <v/>
      </c>
      <c r="E12956">
        <f>TEST_DATA!E12956</f>
        <v/>
      </c>
    </row>
    <row r="12957">
      <c r="A12957">
        <f>TEST_DATA!A12957</f>
        <v/>
      </c>
      <c r="B12957">
        <f>TEST_DATA!B12957</f>
        <v/>
      </c>
      <c r="C12957">
        <f>TEST_DATA!C12957</f>
        <v/>
      </c>
      <c r="D12957">
        <f>TEST_DATA!D12957</f>
        <v/>
      </c>
      <c r="E12957">
        <f>TEST_DATA!E12957</f>
        <v/>
      </c>
    </row>
    <row r="12958">
      <c r="A12958">
        <f>TEST_DATA!A12958</f>
        <v/>
      </c>
      <c r="B12958">
        <f>TEST_DATA!B12958</f>
        <v/>
      </c>
      <c r="C12958">
        <f>TEST_DATA!C12958</f>
        <v/>
      </c>
      <c r="D12958">
        <f>TEST_DATA!D12958</f>
        <v/>
      </c>
      <c r="E12958">
        <f>TEST_DATA!E12958</f>
        <v/>
      </c>
    </row>
    <row r="12959">
      <c r="A12959">
        <f>TEST_DATA!A12959</f>
        <v/>
      </c>
      <c r="B12959">
        <f>TEST_DATA!B12959</f>
        <v/>
      </c>
      <c r="C12959">
        <f>TEST_DATA!C12959</f>
        <v/>
      </c>
      <c r="D12959">
        <f>TEST_DATA!D12959</f>
        <v/>
      </c>
      <c r="E12959">
        <f>TEST_DATA!E12959</f>
        <v/>
      </c>
    </row>
    <row r="12960">
      <c r="A12960">
        <f>TEST_DATA!A12960</f>
        <v/>
      </c>
      <c r="B12960">
        <f>TEST_DATA!B12960</f>
        <v/>
      </c>
      <c r="C12960">
        <f>TEST_DATA!C12960</f>
        <v/>
      </c>
      <c r="D12960">
        <f>TEST_DATA!D12960</f>
        <v/>
      </c>
      <c r="E12960">
        <f>TEST_DATA!E12960</f>
        <v/>
      </c>
    </row>
    <row r="12961">
      <c r="A12961">
        <f>TEST_DATA!A12961</f>
        <v/>
      </c>
      <c r="B12961">
        <f>TEST_DATA!B12961</f>
        <v/>
      </c>
      <c r="C12961">
        <f>TEST_DATA!C12961</f>
        <v/>
      </c>
      <c r="D12961">
        <f>TEST_DATA!D12961</f>
        <v/>
      </c>
      <c r="E12961">
        <f>TEST_DATA!E12961</f>
        <v/>
      </c>
    </row>
    <row r="12962">
      <c r="A12962">
        <f>TEST_DATA!A12962</f>
        <v/>
      </c>
      <c r="B12962">
        <f>TEST_DATA!B12962</f>
        <v/>
      </c>
      <c r="C12962">
        <f>TEST_DATA!C12962</f>
        <v/>
      </c>
      <c r="D12962">
        <f>TEST_DATA!D12962</f>
        <v/>
      </c>
      <c r="E12962">
        <f>TEST_DATA!E12962</f>
        <v/>
      </c>
    </row>
    <row r="12963">
      <c r="A12963">
        <f>TEST_DATA!A12963</f>
        <v/>
      </c>
      <c r="B12963">
        <f>TEST_DATA!B12963</f>
        <v/>
      </c>
      <c r="C12963">
        <f>TEST_DATA!C12963</f>
        <v/>
      </c>
      <c r="D12963">
        <f>TEST_DATA!D12963</f>
        <v/>
      </c>
      <c r="E12963">
        <f>TEST_DATA!E12963</f>
        <v/>
      </c>
    </row>
    <row r="12964">
      <c r="A12964">
        <f>TEST_DATA!A12964</f>
        <v/>
      </c>
      <c r="B12964">
        <f>TEST_DATA!B12964</f>
        <v/>
      </c>
      <c r="C12964">
        <f>TEST_DATA!C12964</f>
        <v/>
      </c>
      <c r="D12964">
        <f>TEST_DATA!D12964</f>
        <v/>
      </c>
      <c r="E12964">
        <f>TEST_DATA!E12964</f>
        <v/>
      </c>
    </row>
    <row r="12965">
      <c r="A12965">
        <f>TEST_DATA!A12965</f>
        <v/>
      </c>
      <c r="B12965">
        <f>TEST_DATA!B12965</f>
        <v/>
      </c>
      <c r="C12965">
        <f>TEST_DATA!C12965</f>
        <v/>
      </c>
      <c r="D12965">
        <f>TEST_DATA!D12965</f>
        <v/>
      </c>
      <c r="E12965">
        <f>TEST_DATA!E12965</f>
        <v/>
      </c>
    </row>
    <row r="12966">
      <c r="A12966">
        <f>TEST_DATA!A12966</f>
        <v/>
      </c>
      <c r="B12966">
        <f>TEST_DATA!B12966</f>
        <v/>
      </c>
      <c r="C12966">
        <f>TEST_DATA!C12966</f>
        <v/>
      </c>
      <c r="D12966">
        <f>TEST_DATA!D12966</f>
        <v/>
      </c>
      <c r="E12966">
        <f>TEST_DATA!E12966</f>
        <v/>
      </c>
    </row>
    <row r="12967">
      <c r="A12967">
        <f>TEST_DATA!A12967</f>
        <v/>
      </c>
      <c r="B12967">
        <f>TEST_DATA!B12967</f>
        <v/>
      </c>
      <c r="C12967">
        <f>TEST_DATA!C12967</f>
        <v/>
      </c>
      <c r="D12967">
        <f>TEST_DATA!D12967</f>
        <v/>
      </c>
      <c r="E12967">
        <f>TEST_DATA!E12967</f>
        <v/>
      </c>
    </row>
    <row r="12968">
      <c r="A12968">
        <f>TEST_DATA!A12968</f>
        <v/>
      </c>
      <c r="B12968">
        <f>TEST_DATA!B12968</f>
        <v/>
      </c>
      <c r="C12968">
        <f>TEST_DATA!C12968</f>
        <v/>
      </c>
      <c r="D12968">
        <f>TEST_DATA!D12968</f>
        <v/>
      </c>
      <c r="E12968">
        <f>TEST_DATA!E12968</f>
        <v/>
      </c>
    </row>
    <row r="12969">
      <c r="A12969">
        <f>TEST_DATA!A12969</f>
        <v/>
      </c>
      <c r="B12969">
        <f>TEST_DATA!B12969</f>
        <v/>
      </c>
      <c r="C12969">
        <f>TEST_DATA!C12969</f>
        <v/>
      </c>
      <c r="D12969">
        <f>TEST_DATA!D12969</f>
        <v/>
      </c>
      <c r="E12969">
        <f>TEST_DATA!E12969</f>
        <v/>
      </c>
    </row>
    <row r="12970">
      <c r="A12970">
        <f>TEST_DATA!A12970</f>
        <v/>
      </c>
      <c r="B12970">
        <f>TEST_DATA!B12970</f>
        <v/>
      </c>
      <c r="C12970">
        <f>TEST_DATA!C12970</f>
        <v/>
      </c>
      <c r="D12970">
        <f>TEST_DATA!D12970</f>
        <v/>
      </c>
      <c r="E12970">
        <f>TEST_DATA!E12970</f>
        <v/>
      </c>
    </row>
    <row r="12971">
      <c r="A12971">
        <f>TEST_DATA!A12971</f>
        <v/>
      </c>
      <c r="B12971">
        <f>TEST_DATA!B12971</f>
        <v/>
      </c>
      <c r="C12971">
        <f>TEST_DATA!C12971</f>
        <v/>
      </c>
      <c r="D12971">
        <f>TEST_DATA!D12971</f>
        <v/>
      </c>
      <c r="E12971">
        <f>TEST_DATA!E12971</f>
        <v/>
      </c>
    </row>
    <row r="12972">
      <c r="A12972">
        <f>TEST_DATA!A12972</f>
        <v/>
      </c>
      <c r="B12972">
        <f>TEST_DATA!B12972</f>
        <v/>
      </c>
      <c r="C12972">
        <f>TEST_DATA!C12972</f>
        <v/>
      </c>
      <c r="D12972">
        <f>TEST_DATA!D12972</f>
        <v/>
      </c>
      <c r="E12972">
        <f>TEST_DATA!E12972</f>
        <v/>
      </c>
    </row>
    <row r="12973">
      <c r="A12973">
        <f>TEST_DATA!A12973</f>
        <v/>
      </c>
      <c r="B12973">
        <f>TEST_DATA!B12973</f>
        <v/>
      </c>
      <c r="C12973">
        <f>TEST_DATA!C12973</f>
        <v/>
      </c>
      <c r="D12973">
        <f>TEST_DATA!D12973</f>
        <v/>
      </c>
      <c r="E12973">
        <f>TEST_DATA!E12973</f>
        <v/>
      </c>
    </row>
    <row r="12974">
      <c r="A12974">
        <f>TEST_DATA!A12974</f>
        <v/>
      </c>
      <c r="B12974">
        <f>TEST_DATA!B12974</f>
        <v/>
      </c>
      <c r="C12974">
        <f>TEST_DATA!C12974</f>
        <v/>
      </c>
      <c r="D12974">
        <f>TEST_DATA!D12974</f>
        <v/>
      </c>
      <c r="E12974">
        <f>TEST_DATA!E12974</f>
        <v/>
      </c>
    </row>
    <row r="12975">
      <c r="A12975">
        <f>TEST_DATA!A12975</f>
        <v/>
      </c>
      <c r="B12975">
        <f>TEST_DATA!B12975</f>
        <v/>
      </c>
      <c r="C12975">
        <f>TEST_DATA!C12975</f>
        <v/>
      </c>
      <c r="D12975">
        <f>TEST_DATA!D12975</f>
        <v/>
      </c>
      <c r="E12975">
        <f>TEST_DATA!E12975</f>
        <v/>
      </c>
    </row>
    <row r="12976">
      <c r="A12976">
        <f>TEST_DATA!A12976</f>
        <v/>
      </c>
      <c r="B12976">
        <f>TEST_DATA!B12976</f>
        <v/>
      </c>
      <c r="C12976">
        <f>TEST_DATA!C12976</f>
        <v/>
      </c>
      <c r="D12976">
        <f>TEST_DATA!D12976</f>
        <v/>
      </c>
      <c r="E12976">
        <f>TEST_DATA!E12976</f>
        <v/>
      </c>
    </row>
    <row r="12977">
      <c r="A12977">
        <f>TEST_DATA!A12977</f>
        <v/>
      </c>
      <c r="B12977">
        <f>TEST_DATA!B12977</f>
        <v/>
      </c>
      <c r="C12977">
        <f>TEST_DATA!C12977</f>
        <v/>
      </c>
      <c r="D12977">
        <f>TEST_DATA!D12977</f>
        <v/>
      </c>
      <c r="E12977">
        <f>TEST_DATA!E12977</f>
        <v/>
      </c>
    </row>
    <row r="12978">
      <c r="A12978">
        <f>TEST_DATA!A12978</f>
        <v/>
      </c>
      <c r="B12978">
        <f>TEST_DATA!B12978</f>
        <v/>
      </c>
      <c r="C12978">
        <f>TEST_DATA!C12978</f>
        <v/>
      </c>
      <c r="D12978">
        <f>TEST_DATA!D12978</f>
        <v/>
      </c>
      <c r="E12978">
        <f>TEST_DATA!E12978</f>
        <v/>
      </c>
    </row>
    <row r="12979">
      <c r="A12979">
        <f>TEST_DATA!A12979</f>
        <v/>
      </c>
      <c r="B12979">
        <f>TEST_DATA!B12979</f>
        <v/>
      </c>
      <c r="C12979">
        <f>TEST_DATA!C12979</f>
        <v/>
      </c>
      <c r="D12979">
        <f>TEST_DATA!D12979</f>
        <v/>
      </c>
      <c r="E12979">
        <f>TEST_DATA!E12979</f>
        <v/>
      </c>
    </row>
    <row r="12980">
      <c r="A12980">
        <f>TEST_DATA!A12980</f>
        <v/>
      </c>
      <c r="B12980">
        <f>TEST_DATA!B12980</f>
        <v/>
      </c>
      <c r="C12980">
        <f>TEST_DATA!C12980</f>
        <v/>
      </c>
      <c r="D12980">
        <f>TEST_DATA!D12980</f>
        <v/>
      </c>
      <c r="E12980">
        <f>TEST_DATA!E12980</f>
        <v/>
      </c>
    </row>
    <row r="12981">
      <c r="A12981">
        <f>TEST_DATA!A12981</f>
        <v/>
      </c>
      <c r="B12981">
        <f>TEST_DATA!B12981</f>
        <v/>
      </c>
      <c r="C12981">
        <f>TEST_DATA!C12981</f>
        <v/>
      </c>
      <c r="D12981">
        <f>TEST_DATA!D12981</f>
        <v/>
      </c>
      <c r="E12981">
        <f>TEST_DATA!E12981</f>
        <v/>
      </c>
    </row>
    <row r="12982">
      <c r="A12982">
        <f>TEST_DATA!A12982</f>
        <v/>
      </c>
      <c r="B12982">
        <f>TEST_DATA!B12982</f>
        <v/>
      </c>
      <c r="C12982">
        <f>TEST_DATA!C12982</f>
        <v/>
      </c>
      <c r="D12982">
        <f>TEST_DATA!D12982</f>
        <v/>
      </c>
      <c r="E12982">
        <f>TEST_DATA!E12982</f>
        <v/>
      </c>
    </row>
    <row r="12983">
      <c r="A12983">
        <f>TEST_DATA!A12983</f>
        <v/>
      </c>
      <c r="B12983">
        <f>TEST_DATA!B12983</f>
        <v/>
      </c>
      <c r="C12983">
        <f>TEST_DATA!C12983</f>
        <v/>
      </c>
      <c r="D12983">
        <f>TEST_DATA!D12983</f>
        <v/>
      </c>
      <c r="E12983">
        <f>TEST_DATA!E12983</f>
        <v/>
      </c>
    </row>
    <row r="12984">
      <c r="A12984">
        <f>TEST_DATA!A12984</f>
        <v/>
      </c>
      <c r="B12984">
        <f>TEST_DATA!B12984</f>
        <v/>
      </c>
      <c r="C12984">
        <f>TEST_DATA!C12984</f>
        <v/>
      </c>
      <c r="D12984">
        <f>TEST_DATA!D12984</f>
        <v/>
      </c>
      <c r="E12984">
        <f>TEST_DATA!E12984</f>
        <v/>
      </c>
    </row>
    <row r="12985">
      <c r="A12985">
        <f>TEST_DATA!A12985</f>
        <v/>
      </c>
      <c r="B12985">
        <f>TEST_DATA!B12985</f>
        <v/>
      </c>
      <c r="C12985">
        <f>TEST_DATA!C12985</f>
        <v/>
      </c>
      <c r="D12985">
        <f>TEST_DATA!D12985</f>
        <v/>
      </c>
      <c r="E12985">
        <f>TEST_DATA!E12985</f>
        <v/>
      </c>
    </row>
    <row r="12986">
      <c r="A12986">
        <f>TEST_DATA!A12986</f>
        <v/>
      </c>
      <c r="B12986">
        <f>TEST_DATA!B12986</f>
        <v/>
      </c>
      <c r="C12986">
        <f>TEST_DATA!C12986</f>
        <v/>
      </c>
      <c r="D12986">
        <f>TEST_DATA!D12986</f>
        <v/>
      </c>
      <c r="E12986">
        <f>TEST_DATA!E12986</f>
        <v/>
      </c>
    </row>
    <row r="12987">
      <c r="A12987">
        <f>TEST_DATA!A12987</f>
        <v/>
      </c>
      <c r="B12987">
        <f>TEST_DATA!B12987</f>
        <v/>
      </c>
      <c r="C12987">
        <f>TEST_DATA!C12987</f>
        <v/>
      </c>
      <c r="D12987">
        <f>TEST_DATA!D12987</f>
        <v/>
      </c>
      <c r="E12987">
        <f>TEST_DATA!E12987</f>
        <v/>
      </c>
    </row>
    <row r="12988">
      <c r="A12988">
        <f>TEST_DATA!A12988</f>
        <v/>
      </c>
      <c r="B12988">
        <f>TEST_DATA!B12988</f>
        <v/>
      </c>
      <c r="C12988">
        <f>TEST_DATA!C12988</f>
        <v/>
      </c>
      <c r="D12988">
        <f>TEST_DATA!D12988</f>
        <v/>
      </c>
      <c r="E12988">
        <f>TEST_DATA!E12988</f>
        <v/>
      </c>
    </row>
    <row r="12989">
      <c r="A12989">
        <f>TEST_DATA!A12989</f>
        <v/>
      </c>
      <c r="B12989">
        <f>TEST_DATA!B12989</f>
        <v/>
      </c>
      <c r="C12989">
        <f>TEST_DATA!C12989</f>
        <v/>
      </c>
      <c r="D12989">
        <f>TEST_DATA!D12989</f>
        <v/>
      </c>
      <c r="E12989">
        <f>TEST_DATA!E12989</f>
        <v/>
      </c>
    </row>
    <row r="12990">
      <c r="A12990">
        <f>TEST_DATA!A12990</f>
        <v/>
      </c>
      <c r="B12990">
        <f>TEST_DATA!B12990</f>
        <v/>
      </c>
      <c r="C12990">
        <f>TEST_DATA!C12990</f>
        <v/>
      </c>
      <c r="D12990">
        <f>TEST_DATA!D12990</f>
        <v/>
      </c>
      <c r="E12990">
        <f>TEST_DATA!E12990</f>
        <v/>
      </c>
    </row>
    <row r="12991">
      <c r="A12991">
        <f>TEST_DATA!A12991</f>
        <v/>
      </c>
      <c r="B12991">
        <f>TEST_DATA!B12991</f>
        <v/>
      </c>
      <c r="C12991">
        <f>TEST_DATA!C12991</f>
        <v/>
      </c>
      <c r="D12991">
        <f>TEST_DATA!D12991</f>
        <v/>
      </c>
      <c r="E12991">
        <f>TEST_DATA!E12991</f>
        <v/>
      </c>
    </row>
    <row r="12992">
      <c r="A12992">
        <f>TEST_DATA!A12992</f>
        <v/>
      </c>
      <c r="B12992">
        <f>TEST_DATA!B12992</f>
        <v/>
      </c>
      <c r="C12992">
        <f>TEST_DATA!C12992</f>
        <v/>
      </c>
      <c r="D12992">
        <f>TEST_DATA!D12992</f>
        <v/>
      </c>
      <c r="E12992">
        <f>TEST_DATA!E12992</f>
        <v/>
      </c>
    </row>
    <row r="12993">
      <c r="A12993">
        <f>TEST_DATA!A12993</f>
        <v/>
      </c>
      <c r="B12993">
        <f>TEST_DATA!B12993</f>
        <v/>
      </c>
      <c r="C12993">
        <f>TEST_DATA!C12993</f>
        <v/>
      </c>
      <c r="D12993">
        <f>TEST_DATA!D12993</f>
        <v/>
      </c>
      <c r="E12993">
        <f>TEST_DATA!E12993</f>
        <v/>
      </c>
    </row>
    <row r="12994">
      <c r="A12994">
        <f>TEST_DATA!A12994</f>
        <v/>
      </c>
      <c r="B12994">
        <f>TEST_DATA!B12994</f>
        <v/>
      </c>
      <c r="C12994">
        <f>TEST_DATA!C12994</f>
        <v/>
      </c>
      <c r="D12994">
        <f>TEST_DATA!D12994</f>
        <v/>
      </c>
      <c r="E12994">
        <f>TEST_DATA!E12994</f>
        <v/>
      </c>
    </row>
    <row r="12995">
      <c r="A12995">
        <f>TEST_DATA!A12995</f>
        <v/>
      </c>
      <c r="B12995">
        <f>TEST_DATA!B12995</f>
        <v/>
      </c>
      <c r="C12995">
        <f>TEST_DATA!C12995</f>
        <v/>
      </c>
      <c r="D12995">
        <f>TEST_DATA!D12995</f>
        <v/>
      </c>
      <c r="E12995">
        <f>TEST_DATA!E12995</f>
        <v/>
      </c>
    </row>
    <row r="12996">
      <c r="A12996">
        <f>TEST_DATA!A12996</f>
        <v/>
      </c>
      <c r="B12996">
        <f>TEST_DATA!B12996</f>
        <v/>
      </c>
      <c r="C12996">
        <f>TEST_DATA!C12996</f>
        <v/>
      </c>
      <c r="D12996">
        <f>TEST_DATA!D12996</f>
        <v/>
      </c>
      <c r="E12996">
        <f>TEST_DATA!E12996</f>
        <v/>
      </c>
    </row>
    <row r="12997">
      <c r="A12997">
        <f>TEST_DATA!A12997</f>
        <v/>
      </c>
      <c r="B12997">
        <f>TEST_DATA!B12997</f>
        <v/>
      </c>
      <c r="C12997">
        <f>TEST_DATA!C12997</f>
        <v/>
      </c>
      <c r="D12997">
        <f>TEST_DATA!D12997</f>
        <v/>
      </c>
      <c r="E12997">
        <f>TEST_DATA!E12997</f>
        <v/>
      </c>
    </row>
    <row r="12998">
      <c r="A12998">
        <f>TEST_DATA!A12998</f>
        <v/>
      </c>
      <c r="B12998">
        <f>TEST_DATA!B12998</f>
        <v/>
      </c>
      <c r="C12998">
        <f>TEST_DATA!C12998</f>
        <v/>
      </c>
      <c r="D12998">
        <f>TEST_DATA!D12998</f>
        <v/>
      </c>
      <c r="E12998">
        <f>TEST_DATA!E12998</f>
        <v/>
      </c>
    </row>
    <row r="12999">
      <c r="A12999">
        <f>TEST_DATA!A12999</f>
        <v/>
      </c>
      <c r="B12999">
        <f>TEST_DATA!B12999</f>
        <v/>
      </c>
      <c r="C12999">
        <f>TEST_DATA!C12999</f>
        <v/>
      </c>
      <c r="D12999">
        <f>TEST_DATA!D12999</f>
        <v/>
      </c>
      <c r="E12999">
        <f>TEST_DATA!E12999</f>
        <v/>
      </c>
    </row>
    <row r="13000">
      <c r="A13000">
        <f>TEST_DATA!A13000</f>
        <v/>
      </c>
      <c r="B13000">
        <f>TEST_DATA!B13000</f>
        <v/>
      </c>
      <c r="C13000">
        <f>TEST_DATA!C13000</f>
        <v/>
      </c>
      <c r="D13000">
        <f>TEST_DATA!D13000</f>
        <v/>
      </c>
      <c r="E13000">
        <f>TEST_DATA!E13000</f>
        <v/>
      </c>
    </row>
    <row r="13001">
      <c r="A13001">
        <f>TEST_DATA!A13001</f>
        <v/>
      </c>
      <c r="B13001">
        <f>TEST_DATA!B13001</f>
        <v/>
      </c>
      <c r="C13001">
        <f>TEST_DATA!C13001</f>
        <v/>
      </c>
      <c r="D13001">
        <f>TEST_DATA!D13001</f>
        <v/>
      </c>
      <c r="E13001">
        <f>TEST_DATA!E13001</f>
        <v/>
      </c>
    </row>
    <row r="13002">
      <c r="A13002">
        <f>TEST_DATA!A13002</f>
        <v/>
      </c>
      <c r="B13002">
        <f>TEST_DATA!B13002</f>
        <v/>
      </c>
      <c r="C13002">
        <f>TEST_DATA!C13002</f>
        <v/>
      </c>
      <c r="D13002">
        <f>TEST_DATA!D13002</f>
        <v/>
      </c>
      <c r="E13002">
        <f>TEST_DATA!E13002</f>
        <v/>
      </c>
    </row>
    <row r="13003">
      <c r="A13003">
        <f>TEST_DATA!A13003</f>
        <v/>
      </c>
      <c r="B13003">
        <f>TEST_DATA!B13003</f>
        <v/>
      </c>
      <c r="C13003">
        <f>TEST_DATA!C13003</f>
        <v/>
      </c>
      <c r="D13003">
        <f>TEST_DATA!D13003</f>
        <v/>
      </c>
      <c r="E13003">
        <f>TEST_DATA!E13003</f>
        <v/>
      </c>
    </row>
    <row r="13004">
      <c r="A13004">
        <f>TEST_DATA!A13004</f>
        <v/>
      </c>
      <c r="B13004">
        <f>TEST_DATA!B13004</f>
        <v/>
      </c>
      <c r="C13004">
        <f>TEST_DATA!C13004</f>
        <v/>
      </c>
      <c r="D13004">
        <f>TEST_DATA!D13004</f>
        <v/>
      </c>
      <c r="E13004">
        <f>TEST_DATA!E13004</f>
        <v/>
      </c>
    </row>
    <row r="13005">
      <c r="A13005">
        <f>TEST_DATA!A13005</f>
        <v/>
      </c>
      <c r="B13005">
        <f>TEST_DATA!B13005</f>
        <v/>
      </c>
      <c r="C13005">
        <f>TEST_DATA!C13005</f>
        <v/>
      </c>
      <c r="D13005">
        <f>TEST_DATA!D13005</f>
        <v/>
      </c>
      <c r="E13005">
        <f>TEST_DATA!E13005</f>
        <v/>
      </c>
    </row>
    <row r="13006">
      <c r="A13006">
        <f>TEST_DATA!A13006</f>
        <v/>
      </c>
      <c r="B13006">
        <f>TEST_DATA!B13006</f>
        <v/>
      </c>
      <c r="C13006">
        <f>TEST_DATA!C13006</f>
        <v/>
      </c>
      <c r="D13006">
        <f>TEST_DATA!D13006</f>
        <v/>
      </c>
      <c r="E13006">
        <f>TEST_DATA!E13006</f>
        <v/>
      </c>
    </row>
    <row r="13007">
      <c r="A13007">
        <f>TEST_DATA!A13007</f>
        <v/>
      </c>
      <c r="B13007">
        <f>TEST_DATA!B13007</f>
        <v/>
      </c>
      <c r="C13007">
        <f>TEST_DATA!C13007</f>
        <v/>
      </c>
      <c r="D13007">
        <f>TEST_DATA!D13007</f>
        <v/>
      </c>
      <c r="E13007">
        <f>TEST_DATA!E13007</f>
        <v/>
      </c>
    </row>
    <row r="13008">
      <c r="A13008">
        <f>TEST_DATA!A13008</f>
        <v/>
      </c>
      <c r="B13008">
        <f>TEST_DATA!B13008</f>
        <v/>
      </c>
      <c r="C13008">
        <f>TEST_DATA!C13008</f>
        <v/>
      </c>
      <c r="D13008">
        <f>TEST_DATA!D13008</f>
        <v/>
      </c>
      <c r="E13008">
        <f>TEST_DATA!E13008</f>
        <v/>
      </c>
    </row>
    <row r="13009">
      <c r="A13009">
        <f>TEST_DATA!A13009</f>
        <v/>
      </c>
      <c r="B13009">
        <f>TEST_DATA!B13009</f>
        <v/>
      </c>
      <c r="C13009">
        <f>TEST_DATA!C13009</f>
        <v/>
      </c>
      <c r="D13009">
        <f>TEST_DATA!D13009</f>
        <v/>
      </c>
      <c r="E13009">
        <f>TEST_DATA!E13009</f>
        <v/>
      </c>
    </row>
    <row r="13010">
      <c r="A13010">
        <f>TEST_DATA!A13010</f>
        <v/>
      </c>
      <c r="B13010">
        <f>TEST_DATA!B13010</f>
        <v/>
      </c>
      <c r="C13010">
        <f>TEST_DATA!C13010</f>
        <v/>
      </c>
      <c r="D13010">
        <f>TEST_DATA!D13010</f>
        <v/>
      </c>
      <c r="E13010">
        <f>TEST_DATA!E13010</f>
        <v/>
      </c>
    </row>
    <row r="13011">
      <c r="A13011">
        <f>TEST_DATA!A13011</f>
        <v/>
      </c>
      <c r="B13011">
        <f>TEST_DATA!B13011</f>
        <v/>
      </c>
      <c r="C13011">
        <f>TEST_DATA!C13011</f>
        <v/>
      </c>
      <c r="D13011">
        <f>TEST_DATA!D13011</f>
        <v/>
      </c>
      <c r="E13011">
        <f>TEST_DATA!E13011</f>
        <v/>
      </c>
    </row>
    <row r="13012">
      <c r="A13012">
        <f>TEST_DATA!A13012</f>
        <v/>
      </c>
      <c r="B13012">
        <f>TEST_DATA!B13012</f>
        <v/>
      </c>
      <c r="C13012">
        <f>TEST_DATA!C13012</f>
        <v/>
      </c>
      <c r="D13012">
        <f>TEST_DATA!D13012</f>
        <v/>
      </c>
      <c r="E13012">
        <f>TEST_DATA!E13012</f>
        <v/>
      </c>
    </row>
    <row r="13013">
      <c r="A13013">
        <f>TEST_DATA!A13013</f>
        <v/>
      </c>
      <c r="B13013">
        <f>TEST_DATA!B13013</f>
        <v/>
      </c>
      <c r="C13013">
        <f>TEST_DATA!C13013</f>
        <v/>
      </c>
      <c r="D13013">
        <f>TEST_DATA!D13013</f>
        <v/>
      </c>
      <c r="E13013">
        <f>TEST_DATA!E13013</f>
        <v/>
      </c>
    </row>
    <row r="13014">
      <c r="A13014">
        <f>TEST_DATA!A13014</f>
        <v/>
      </c>
      <c r="B13014">
        <f>TEST_DATA!B13014</f>
        <v/>
      </c>
      <c r="C13014">
        <f>TEST_DATA!C13014</f>
        <v/>
      </c>
      <c r="D13014">
        <f>TEST_DATA!D13014</f>
        <v/>
      </c>
      <c r="E13014">
        <f>TEST_DATA!E13014</f>
        <v/>
      </c>
    </row>
    <row r="13015">
      <c r="A13015">
        <f>TEST_DATA!A13015</f>
        <v/>
      </c>
      <c r="B13015">
        <f>TEST_DATA!B13015</f>
        <v/>
      </c>
      <c r="C13015">
        <f>TEST_DATA!C13015</f>
        <v/>
      </c>
      <c r="D13015">
        <f>TEST_DATA!D13015</f>
        <v/>
      </c>
      <c r="E13015">
        <f>TEST_DATA!E13015</f>
        <v/>
      </c>
    </row>
    <row r="13016">
      <c r="A13016">
        <f>TEST_DATA!A13016</f>
        <v/>
      </c>
      <c r="B13016">
        <f>TEST_DATA!B13016</f>
        <v/>
      </c>
      <c r="C13016">
        <f>TEST_DATA!C13016</f>
        <v/>
      </c>
      <c r="D13016">
        <f>TEST_DATA!D13016</f>
        <v/>
      </c>
      <c r="E13016">
        <f>TEST_DATA!E13016</f>
        <v/>
      </c>
    </row>
    <row r="13017">
      <c r="A13017">
        <f>TEST_DATA!A13017</f>
        <v/>
      </c>
      <c r="B13017">
        <f>TEST_DATA!B13017</f>
        <v/>
      </c>
      <c r="C13017">
        <f>TEST_DATA!C13017</f>
        <v/>
      </c>
      <c r="D13017">
        <f>TEST_DATA!D13017</f>
        <v/>
      </c>
      <c r="E13017">
        <f>TEST_DATA!E13017</f>
        <v/>
      </c>
    </row>
    <row r="13018">
      <c r="A13018">
        <f>TEST_DATA!A13018</f>
        <v/>
      </c>
      <c r="B13018">
        <f>TEST_DATA!B13018</f>
        <v/>
      </c>
      <c r="C13018">
        <f>TEST_DATA!C13018</f>
        <v/>
      </c>
      <c r="D13018">
        <f>TEST_DATA!D13018</f>
        <v/>
      </c>
      <c r="E13018">
        <f>TEST_DATA!E13018</f>
        <v/>
      </c>
    </row>
    <row r="13019">
      <c r="A13019">
        <f>TEST_DATA!A13019</f>
        <v/>
      </c>
      <c r="B13019">
        <f>TEST_DATA!B13019</f>
        <v/>
      </c>
      <c r="C13019">
        <f>TEST_DATA!C13019</f>
        <v/>
      </c>
      <c r="D13019">
        <f>TEST_DATA!D13019</f>
        <v/>
      </c>
      <c r="E13019">
        <f>TEST_DATA!E13019</f>
        <v/>
      </c>
    </row>
    <row r="13020">
      <c r="A13020">
        <f>TEST_DATA!A13020</f>
        <v/>
      </c>
      <c r="B13020">
        <f>TEST_DATA!B13020</f>
        <v/>
      </c>
      <c r="C13020">
        <f>TEST_DATA!C13020</f>
        <v/>
      </c>
      <c r="D13020">
        <f>TEST_DATA!D13020</f>
        <v/>
      </c>
      <c r="E13020">
        <f>TEST_DATA!E13020</f>
        <v/>
      </c>
    </row>
    <row r="13021">
      <c r="A13021">
        <f>TEST_DATA!A13021</f>
        <v/>
      </c>
      <c r="B13021">
        <f>TEST_DATA!B13021</f>
        <v/>
      </c>
      <c r="C13021">
        <f>TEST_DATA!C13021</f>
        <v/>
      </c>
      <c r="D13021">
        <f>TEST_DATA!D13021</f>
        <v/>
      </c>
      <c r="E13021">
        <f>TEST_DATA!E13021</f>
        <v/>
      </c>
    </row>
    <row r="13022">
      <c r="A13022">
        <f>TEST_DATA!A13022</f>
        <v/>
      </c>
      <c r="B13022">
        <f>TEST_DATA!B13022</f>
        <v/>
      </c>
      <c r="C13022">
        <f>TEST_DATA!C13022</f>
        <v/>
      </c>
      <c r="D13022">
        <f>TEST_DATA!D13022</f>
        <v/>
      </c>
      <c r="E13022">
        <f>TEST_DATA!E13022</f>
        <v/>
      </c>
    </row>
    <row r="13023">
      <c r="A13023">
        <f>TEST_DATA!A13023</f>
        <v/>
      </c>
      <c r="B13023">
        <f>TEST_DATA!B13023</f>
        <v/>
      </c>
      <c r="C13023">
        <f>TEST_DATA!C13023</f>
        <v/>
      </c>
      <c r="D13023">
        <f>TEST_DATA!D13023</f>
        <v/>
      </c>
      <c r="E13023">
        <f>TEST_DATA!E13023</f>
        <v/>
      </c>
    </row>
    <row r="13024">
      <c r="A13024">
        <f>TEST_DATA!A13024</f>
        <v/>
      </c>
      <c r="B13024">
        <f>TEST_DATA!B13024</f>
        <v/>
      </c>
      <c r="C13024">
        <f>TEST_DATA!C13024</f>
        <v/>
      </c>
      <c r="D13024">
        <f>TEST_DATA!D13024</f>
        <v/>
      </c>
      <c r="E13024">
        <f>TEST_DATA!E13024</f>
        <v/>
      </c>
    </row>
    <row r="13025">
      <c r="A13025">
        <f>TEST_DATA!A13025</f>
        <v/>
      </c>
      <c r="B13025">
        <f>TEST_DATA!B13025</f>
        <v/>
      </c>
      <c r="C13025">
        <f>TEST_DATA!C13025</f>
        <v/>
      </c>
      <c r="D13025">
        <f>TEST_DATA!D13025</f>
        <v/>
      </c>
      <c r="E13025">
        <f>TEST_DATA!E13025</f>
        <v/>
      </c>
    </row>
    <row r="13026">
      <c r="A13026">
        <f>TEST_DATA!A13026</f>
        <v/>
      </c>
      <c r="B13026">
        <f>TEST_DATA!B13026</f>
        <v/>
      </c>
      <c r="C13026">
        <f>TEST_DATA!C13026</f>
        <v/>
      </c>
      <c r="D13026">
        <f>TEST_DATA!D13026</f>
        <v/>
      </c>
      <c r="E13026">
        <f>TEST_DATA!E13026</f>
        <v/>
      </c>
    </row>
    <row r="13027">
      <c r="A13027">
        <f>TEST_DATA!A13027</f>
        <v/>
      </c>
      <c r="B13027">
        <f>TEST_DATA!B13027</f>
        <v/>
      </c>
      <c r="C13027">
        <f>TEST_DATA!C13027</f>
        <v/>
      </c>
      <c r="D13027">
        <f>TEST_DATA!D13027</f>
        <v/>
      </c>
      <c r="E13027">
        <f>TEST_DATA!E13027</f>
        <v/>
      </c>
    </row>
    <row r="13028">
      <c r="A13028">
        <f>TEST_DATA!A13028</f>
        <v/>
      </c>
      <c r="B13028">
        <f>TEST_DATA!B13028</f>
        <v/>
      </c>
      <c r="C13028">
        <f>TEST_DATA!C13028</f>
        <v/>
      </c>
      <c r="D13028">
        <f>TEST_DATA!D13028</f>
        <v/>
      </c>
      <c r="E13028">
        <f>TEST_DATA!E13028</f>
        <v/>
      </c>
    </row>
    <row r="13029">
      <c r="A13029">
        <f>TEST_DATA!A13029</f>
        <v/>
      </c>
      <c r="B13029">
        <f>TEST_DATA!B13029</f>
        <v/>
      </c>
      <c r="C13029">
        <f>TEST_DATA!C13029</f>
        <v/>
      </c>
      <c r="D13029">
        <f>TEST_DATA!D13029</f>
        <v/>
      </c>
      <c r="E13029">
        <f>TEST_DATA!E13029</f>
        <v/>
      </c>
    </row>
    <row r="13030">
      <c r="A13030">
        <f>TEST_DATA!A13030</f>
        <v/>
      </c>
      <c r="B13030">
        <f>TEST_DATA!B13030</f>
        <v/>
      </c>
      <c r="C13030">
        <f>TEST_DATA!C13030</f>
        <v/>
      </c>
      <c r="D13030">
        <f>TEST_DATA!D13030</f>
        <v/>
      </c>
      <c r="E13030">
        <f>TEST_DATA!E13030</f>
        <v/>
      </c>
    </row>
    <row r="13031">
      <c r="A13031">
        <f>TEST_DATA!A13031</f>
        <v/>
      </c>
      <c r="B13031">
        <f>TEST_DATA!B13031</f>
        <v/>
      </c>
      <c r="C13031">
        <f>TEST_DATA!C13031</f>
        <v/>
      </c>
      <c r="D13031">
        <f>TEST_DATA!D13031</f>
        <v/>
      </c>
      <c r="E13031">
        <f>TEST_DATA!E13031</f>
        <v/>
      </c>
    </row>
    <row r="13032">
      <c r="A13032">
        <f>TEST_DATA!A13032</f>
        <v/>
      </c>
      <c r="B13032">
        <f>TEST_DATA!B13032</f>
        <v/>
      </c>
      <c r="C13032">
        <f>TEST_DATA!C13032</f>
        <v/>
      </c>
      <c r="D13032">
        <f>TEST_DATA!D13032</f>
        <v/>
      </c>
      <c r="E13032">
        <f>TEST_DATA!E13032</f>
        <v/>
      </c>
    </row>
    <row r="13033">
      <c r="A13033">
        <f>TEST_DATA!A13033</f>
        <v/>
      </c>
      <c r="B13033">
        <f>TEST_DATA!B13033</f>
        <v/>
      </c>
      <c r="C13033">
        <f>TEST_DATA!C13033</f>
        <v/>
      </c>
      <c r="D13033">
        <f>TEST_DATA!D13033</f>
        <v/>
      </c>
      <c r="E13033">
        <f>TEST_DATA!E13033</f>
        <v/>
      </c>
    </row>
    <row r="13034">
      <c r="A13034">
        <f>TEST_DATA!A13034</f>
        <v/>
      </c>
      <c r="B13034">
        <f>TEST_DATA!B13034</f>
        <v/>
      </c>
      <c r="C13034">
        <f>TEST_DATA!C13034</f>
        <v/>
      </c>
      <c r="D13034">
        <f>TEST_DATA!D13034</f>
        <v/>
      </c>
      <c r="E13034">
        <f>TEST_DATA!E13034</f>
        <v/>
      </c>
    </row>
    <row r="13035">
      <c r="A13035">
        <f>TEST_DATA!A13035</f>
        <v/>
      </c>
      <c r="B13035">
        <f>TEST_DATA!B13035</f>
        <v/>
      </c>
      <c r="C13035">
        <f>TEST_DATA!C13035</f>
        <v/>
      </c>
      <c r="D13035">
        <f>TEST_DATA!D13035</f>
        <v/>
      </c>
      <c r="E13035">
        <f>TEST_DATA!E13035</f>
        <v/>
      </c>
    </row>
    <row r="13036">
      <c r="A13036">
        <f>TEST_DATA!A13036</f>
        <v/>
      </c>
      <c r="B13036">
        <f>TEST_DATA!B13036</f>
        <v/>
      </c>
      <c r="C13036">
        <f>TEST_DATA!C13036</f>
        <v/>
      </c>
      <c r="D13036">
        <f>TEST_DATA!D13036</f>
        <v/>
      </c>
      <c r="E13036">
        <f>TEST_DATA!E13036</f>
        <v/>
      </c>
    </row>
    <row r="13037">
      <c r="A13037">
        <f>TEST_DATA!A13037</f>
        <v/>
      </c>
      <c r="B13037">
        <f>TEST_DATA!B13037</f>
        <v/>
      </c>
      <c r="C13037">
        <f>TEST_DATA!C13037</f>
        <v/>
      </c>
      <c r="D13037">
        <f>TEST_DATA!D13037</f>
        <v/>
      </c>
      <c r="E13037">
        <f>TEST_DATA!E13037</f>
        <v/>
      </c>
    </row>
    <row r="13038">
      <c r="A13038">
        <f>TEST_DATA!A13038</f>
        <v/>
      </c>
      <c r="B13038">
        <f>TEST_DATA!B13038</f>
        <v/>
      </c>
      <c r="C13038">
        <f>TEST_DATA!C13038</f>
        <v/>
      </c>
      <c r="D13038">
        <f>TEST_DATA!D13038</f>
        <v/>
      </c>
      <c r="E13038">
        <f>TEST_DATA!E13038</f>
        <v/>
      </c>
    </row>
    <row r="13039">
      <c r="A13039">
        <f>TEST_DATA!A13039</f>
        <v/>
      </c>
      <c r="B13039">
        <f>TEST_DATA!B13039</f>
        <v/>
      </c>
      <c r="C13039">
        <f>TEST_DATA!C13039</f>
        <v/>
      </c>
      <c r="D13039">
        <f>TEST_DATA!D13039</f>
        <v/>
      </c>
      <c r="E13039">
        <f>TEST_DATA!E13039</f>
        <v/>
      </c>
    </row>
    <row r="13040">
      <c r="A13040">
        <f>TEST_DATA!A13040</f>
        <v/>
      </c>
      <c r="B13040">
        <f>TEST_DATA!B13040</f>
        <v/>
      </c>
      <c r="C13040">
        <f>TEST_DATA!C13040</f>
        <v/>
      </c>
      <c r="D13040">
        <f>TEST_DATA!D13040</f>
        <v/>
      </c>
      <c r="E13040">
        <f>TEST_DATA!E13040</f>
        <v/>
      </c>
    </row>
    <row r="13041">
      <c r="A13041">
        <f>TEST_DATA!A13041</f>
        <v/>
      </c>
      <c r="B13041">
        <f>TEST_DATA!B13041</f>
        <v/>
      </c>
      <c r="C13041">
        <f>TEST_DATA!C13041</f>
        <v/>
      </c>
      <c r="D13041">
        <f>TEST_DATA!D13041</f>
        <v/>
      </c>
      <c r="E13041">
        <f>TEST_DATA!E13041</f>
        <v/>
      </c>
    </row>
    <row r="13042">
      <c r="A13042">
        <f>TEST_DATA!A13042</f>
        <v/>
      </c>
      <c r="B13042">
        <f>TEST_DATA!B13042</f>
        <v/>
      </c>
      <c r="C13042">
        <f>TEST_DATA!C13042</f>
        <v/>
      </c>
      <c r="D13042">
        <f>TEST_DATA!D13042</f>
        <v/>
      </c>
      <c r="E13042">
        <f>TEST_DATA!E13042</f>
        <v/>
      </c>
    </row>
    <row r="13043">
      <c r="A13043">
        <f>TEST_DATA!A13043</f>
        <v/>
      </c>
      <c r="B13043">
        <f>TEST_DATA!B13043</f>
        <v/>
      </c>
      <c r="C13043">
        <f>TEST_DATA!C13043</f>
        <v/>
      </c>
      <c r="D13043">
        <f>TEST_DATA!D13043</f>
        <v/>
      </c>
      <c r="E13043">
        <f>TEST_DATA!E13043</f>
        <v/>
      </c>
    </row>
    <row r="13044">
      <c r="A13044">
        <f>TEST_DATA!A13044</f>
        <v/>
      </c>
      <c r="B13044">
        <f>TEST_DATA!B13044</f>
        <v/>
      </c>
      <c r="C13044">
        <f>TEST_DATA!C13044</f>
        <v/>
      </c>
      <c r="D13044">
        <f>TEST_DATA!D13044</f>
        <v/>
      </c>
      <c r="E13044">
        <f>TEST_DATA!E13044</f>
        <v/>
      </c>
    </row>
    <row r="13045">
      <c r="A13045">
        <f>TEST_DATA!A13045</f>
        <v/>
      </c>
      <c r="B13045">
        <f>TEST_DATA!B13045</f>
        <v/>
      </c>
      <c r="C13045">
        <f>TEST_DATA!C13045</f>
        <v/>
      </c>
      <c r="D13045">
        <f>TEST_DATA!D13045</f>
        <v/>
      </c>
      <c r="E13045">
        <f>TEST_DATA!E13045</f>
        <v/>
      </c>
    </row>
    <row r="13046">
      <c r="A13046">
        <f>TEST_DATA!A13046</f>
        <v/>
      </c>
      <c r="B13046">
        <f>TEST_DATA!B13046</f>
        <v/>
      </c>
      <c r="C13046">
        <f>TEST_DATA!C13046</f>
        <v/>
      </c>
      <c r="D13046">
        <f>TEST_DATA!D13046</f>
        <v/>
      </c>
      <c r="E13046">
        <f>TEST_DATA!E13046</f>
        <v/>
      </c>
    </row>
    <row r="13047">
      <c r="A13047">
        <f>TEST_DATA!A13047</f>
        <v/>
      </c>
      <c r="B13047">
        <f>TEST_DATA!B13047</f>
        <v/>
      </c>
      <c r="C13047">
        <f>TEST_DATA!C13047</f>
        <v/>
      </c>
      <c r="D13047">
        <f>TEST_DATA!D13047</f>
        <v/>
      </c>
      <c r="E13047">
        <f>TEST_DATA!E13047</f>
        <v/>
      </c>
    </row>
    <row r="13048">
      <c r="A13048">
        <f>TEST_DATA!A13048</f>
        <v/>
      </c>
      <c r="B13048">
        <f>TEST_DATA!B13048</f>
        <v/>
      </c>
      <c r="C13048">
        <f>TEST_DATA!C13048</f>
        <v/>
      </c>
      <c r="D13048">
        <f>TEST_DATA!D13048</f>
        <v/>
      </c>
      <c r="E13048">
        <f>TEST_DATA!E13048</f>
        <v/>
      </c>
    </row>
    <row r="13049">
      <c r="A13049">
        <f>TEST_DATA!A13049</f>
        <v/>
      </c>
      <c r="B13049">
        <f>TEST_DATA!B13049</f>
        <v/>
      </c>
      <c r="C13049">
        <f>TEST_DATA!C13049</f>
        <v/>
      </c>
      <c r="D13049">
        <f>TEST_DATA!D13049</f>
        <v/>
      </c>
      <c r="E13049">
        <f>TEST_DATA!E13049</f>
        <v/>
      </c>
    </row>
    <row r="13050">
      <c r="A13050">
        <f>TEST_DATA!A13050</f>
        <v/>
      </c>
      <c r="B13050">
        <f>TEST_DATA!B13050</f>
        <v/>
      </c>
      <c r="C13050">
        <f>TEST_DATA!C13050</f>
        <v/>
      </c>
      <c r="D13050">
        <f>TEST_DATA!D13050</f>
        <v/>
      </c>
      <c r="E13050">
        <f>TEST_DATA!E13050</f>
        <v/>
      </c>
    </row>
    <row r="13051">
      <c r="A13051">
        <f>TEST_DATA!A13051</f>
        <v/>
      </c>
      <c r="B13051">
        <f>TEST_DATA!B13051</f>
        <v/>
      </c>
      <c r="C13051">
        <f>TEST_DATA!C13051</f>
        <v/>
      </c>
      <c r="D13051">
        <f>TEST_DATA!D13051</f>
        <v/>
      </c>
      <c r="E13051">
        <f>TEST_DATA!E13051</f>
        <v/>
      </c>
    </row>
    <row r="13052">
      <c r="A13052">
        <f>TEST_DATA!A13052</f>
        <v/>
      </c>
      <c r="B13052">
        <f>TEST_DATA!B13052</f>
        <v/>
      </c>
      <c r="C13052">
        <f>TEST_DATA!C13052</f>
        <v/>
      </c>
      <c r="D13052">
        <f>TEST_DATA!D13052</f>
        <v/>
      </c>
      <c r="E13052">
        <f>TEST_DATA!E13052</f>
        <v/>
      </c>
    </row>
    <row r="13053">
      <c r="A13053">
        <f>TEST_DATA!A13053</f>
        <v/>
      </c>
      <c r="B13053">
        <f>TEST_DATA!B13053</f>
        <v/>
      </c>
      <c r="C13053">
        <f>TEST_DATA!C13053</f>
        <v/>
      </c>
      <c r="D13053">
        <f>TEST_DATA!D13053</f>
        <v/>
      </c>
      <c r="E13053">
        <f>TEST_DATA!E13053</f>
        <v/>
      </c>
    </row>
    <row r="13054">
      <c r="A13054">
        <f>TEST_DATA!A13054</f>
        <v/>
      </c>
      <c r="B13054">
        <f>TEST_DATA!B13054</f>
        <v/>
      </c>
      <c r="C13054">
        <f>TEST_DATA!C13054</f>
        <v/>
      </c>
      <c r="D13054">
        <f>TEST_DATA!D13054</f>
        <v/>
      </c>
      <c r="E13054">
        <f>TEST_DATA!E13054</f>
        <v/>
      </c>
    </row>
    <row r="13055">
      <c r="A13055">
        <f>TEST_DATA!A13055</f>
        <v/>
      </c>
      <c r="B13055">
        <f>TEST_DATA!B13055</f>
        <v/>
      </c>
      <c r="C13055">
        <f>TEST_DATA!C13055</f>
        <v/>
      </c>
      <c r="D13055">
        <f>TEST_DATA!D13055</f>
        <v/>
      </c>
      <c r="E13055">
        <f>TEST_DATA!E13055</f>
        <v/>
      </c>
    </row>
    <row r="13056">
      <c r="A13056">
        <f>TEST_DATA!A13056</f>
        <v/>
      </c>
      <c r="B13056">
        <f>TEST_DATA!B13056</f>
        <v/>
      </c>
      <c r="C13056">
        <f>TEST_DATA!C13056</f>
        <v/>
      </c>
      <c r="D13056">
        <f>TEST_DATA!D13056</f>
        <v/>
      </c>
      <c r="E13056">
        <f>TEST_DATA!E13056</f>
        <v/>
      </c>
    </row>
    <row r="13057">
      <c r="A13057">
        <f>TEST_DATA!A13057</f>
        <v/>
      </c>
      <c r="B13057">
        <f>TEST_DATA!B13057</f>
        <v/>
      </c>
      <c r="C13057">
        <f>TEST_DATA!C13057</f>
        <v/>
      </c>
      <c r="D13057">
        <f>TEST_DATA!D13057</f>
        <v/>
      </c>
      <c r="E13057">
        <f>TEST_DATA!E13057</f>
        <v/>
      </c>
    </row>
    <row r="13058">
      <c r="A13058">
        <f>TEST_DATA!A13058</f>
        <v/>
      </c>
      <c r="B13058">
        <f>TEST_DATA!B13058</f>
        <v/>
      </c>
      <c r="C13058">
        <f>TEST_DATA!C13058</f>
        <v/>
      </c>
      <c r="D13058">
        <f>TEST_DATA!D13058</f>
        <v/>
      </c>
      <c r="E13058">
        <f>TEST_DATA!E13058</f>
        <v/>
      </c>
    </row>
    <row r="13059">
      <c r="A13059">
        <f>TEST_DATA!A13059</f>
        <v/>
      </c>
      <c r="B13059">
        <f>TEST_DATA!B13059</f>
        <v/>
      </c>
      <c r="C13059">
        <f>TEST_DATA!C13059</f>
        <v/>
      </c>
      <c r="D13059">
        <f>TEST_DATA!D13059</f>
        <v/>
      </c>
      <c r="E13059">
        <f>TEST_DATA!E13059</f>
        <v/>
      </c>
    </row>
    <row r="13060">
      <c r="A13060">
        <f>TEST_DATA!A13060</f>
        <v/>
      </c>
      <c r="B13060">
        <f>TEST_DATA!B13060</f>
        <v/>
      </c>
      <c r="C13060">
        <f>TEST_DATA!C13060</f>
        <v/>
      </c>
      <c r="D13060">
        <f>TEST_DATA!D13060</f>
        <v/>
      </c>
      <c r="E13060">
        <f>TEST_DATA!E13060</f>
        <v/>
      </c>
    </row>
    <row r="13061">
      <c r="A13061">
        <f>TEST_DATA!A13061</f>
        <v/>
      </c>
      <c r="B13061">
        <f>TEST_DATA!B13061</f>
        <v/>
      </c>
      <c r="C13061">
        <f>TEST_DATA!C13061</f>
        <v/>
      </c>
      <c r="D13061">
        <f>TEST_DATA!D13061</f>
        <v/>
      </c>
      <c r="E13061">
        <f>TEST_DATA!E13061</f>
        <v/>
      </c>
    </row>
    <row r="13062">
      <c r="A13062">
        <f>TEST_DATA!A13062</f>
        <v/>
      </c>
      <c r="B13062">
        <f>TEST_DATA!B13062</f>
        <v/>
      </c>
      <c r="C13062">
        <f>TEST_DATA!C13062</f>
        <v/>
      </c>
      <c r="D13062">
        <f>TEST_DATA!D13062</f>
        <v/>
      </c>
      <c r="E13062">
        <f>TEST_DATA!E13062</f>
        <v/>
      </c>
    </row>
    <row r="13063">
      <c r="A13063">
        <f>TEST_DATA!A13063</f>
        <v/>
      </c>
      <c r="B13063">
        <f>TEST_DATA!B13063</f>
        <v/>
      </c>
      <c r="C13063">
        <f>TEST_DATA!C13063</f>
        <v/>
      </c>
      <c r="D13063">
        <f>TEST_DATA!D13063</f>
        <v/>
      </c>
      <c r="E13063">
        <f>TEST_DATA!E13063</f>
        <v/>
      </c>
    </row>
    <row r="13064">
      <c r="A13064">
        <f>TEST_DATA!A13064</f>
        <v/>
      </c>
      <c r="B13064">
        <f>TEST_DATA!B13064</f>
        <v/>
      </c>
      <c r="C13064">
        <f>TEST_DATA!C13064</f>
        <v/>
      </c>
      <c r="D13064">
        <f>TEST_DATA!D13064</f>
        <v/>
      </c>
      <c r="E13064">
        <f>TEST_DATA!E13064</f>
        <v/>
      </c>
    </row>
    <row r="13065">
      <c r="A13065">
        <f>TEST_DATA!A13065</f>
        <v/>
      </c>
      <c r="B13065">
        <f>TEST_DATA!B13065</f>
        <v/>
      </c>
      <c r="C13065">
        <f>TEST_DATA!C13065</f>
        <v/>
      </c>
      <c r="D13065">
        <f>TEST_DATA!D13065</f>
        <v/>
      </c>
      <c r="E13065">
        <f>TEST_DATA!E13065</f>
        <v/>
      </c>
    </row>
    <row r="13066">
      <c r="A13066">
        <f>TEST_DATA!A13066</f>
        <v/>
      </c>
      <c r="B13066">
        <f>TEST_DATA!B13066</f>
        <v/>
      </c>
      <c r="C13066">
        <f>TEST_DATA!C13066</f>
        <v/>
      </c>
      <c r="D13066">
        <f>TEST_DATA!D13066</f>
        <v/>
      </c>
      <c r="E13066">
        <f>TEST_DATA!E13066</f>
        <v/>
      </c>
    </row>
    <row r="13067">
      <c r="A13067">
        <f>TEST_DATA!A13067</f>
        <v/>
      </c>
      <c r="B13067">
        <f>TEST_DATA!B13067</f>
        <v/>
      </c>
      <c r="C13067">
        <f>TEST_DATA!C13067</f>
        <v/>
      </c>
      <c r="D13067">
        <f>TEST_DATA!D13067</f>
        <v/>
      </c>
      <c r="E13067">
        <f>TEST_DATA!E13067</f>
        <v/>
      </c>
    </row>
    <row r="13068">
      <c r="A13068">
        <f>TEST_DATA!A13068</f>
        <v/>
      </c>
      <c r="B13068">
        <f>TEST_DATA!B13068</f>
        <v/>
      </c>
      <c r="C13068">
        <f>TEST_DATA!C13068</f>
        <v/>
      </c>
      <c r="D13068">
        <f>TEST_DATA!D13068</f>
        <v/>
      </c>
      <c r="E13068">
        <f>TEST_DATA!E13068</f>
        <v/>
      </c>
    </row>
    <row r="13069">
      <c r="A13069">
        <f>TEST_DATA!A13069</f>
        <v/>
      </c>
      <c r="B13069">
        <f>TEST_DATA!B13069</f>
        <v/>
      </c>
      <c r="C13069">
        <f>TEST_DATA!C13069</f>
        <v/>
      </c>
      <c r="D13069">
        <f>TEST_DATA!D13069</f>
        <v/>
      </c>
      <c r="E13069">
        <f>TEST_DATA!E13069</f>
        <v/>
      </c>
    </row>
    <row r="13070">
      <c r="A13070">
        <f>TEST_DATA!A13070</f>
        <v/>
      </c>
      <c r="B13070">
        <f>TEST_DATA!B13070</f>
        <v/>
      </c>
      <c r="C13070">
        <f>TEST_DATA!C13070</f>
        <v/>
      </c>
      <c r="D13070">
        <f>TEST_DATA!D13070</f>
        <v/>
      </c>
      <c r="E13070">
        <f>TEST_DATA!E13070</f>
        <v/>
      </c>
    </row>
    <row r="13071">
      <c r="A13071">
        <f>TEST_DATA!A13071</f>
        <v/>
      </c>
      <c r="B13071">
        <f>TEST_DATA!B13071</f>
        <v/>
      </c>
      <c r="C13071">
        <f>TEST_DATA!C13071</f>
        <v/>
      </c>
      <c r="D13071">
        <f>TEST_DATA!D13071</f>
        <v/>
      </c>
      <c r="E13071">
        <f>TEST_DATA!E13071</f>
        <v/>
      </c>
    </row>
    <row r="13072">
      <c r="A13072">
        <f>TEST_DATA!A13072</f>
        <v/>
      </c>
      <c r="B13072">
        <f>TEST_DATA!B13072</f>
        <v/>
      </c>
      <c r="C13072">
        <f>TEST_DATA!C13072</f>
        <v/>
      </c>
      <c r="D13072">
        <f>TEST_DATA!D13072</f>
        <v/>
      </c>
      <c r="E13072">
        <f>TEST_DATA!E13072</f>
        <v/>
      </c>
    </row>
    <row r="13073">
      <c r="A13073">
        <f>TEST_DATA!A13073</f>
        <v/>
      </c>
      <c r="B13073">
        <f>TEST_DATA!B13073</f>
        <v/>
      </c>
      <c r="C13073">
        <f>TEST_DATA!C13073</f>
        <v/>
      </c>
      <c r="D13073">
        <f>TEST_DATA!D13073</f>
        <v/>
      </c>
      <c r="E13073">
        <f>TEST_DATA!E13073</f>
        <v/>
      </c>
    </row>
    <row r="13074">
      <c r="A13074">
        <f>TEST_DATA!A13074</f>
        <v/>
      </c>
      <c r="B13074">
        <f>TEST_DATA!B13074</f>
        <v/>
      </c>
      <c r="C13074">
        <f>TEST_DATA!C13074</f>
        <v/>
      </c>
      <c r="D13074">
        <f>TEST_DATA!D13074</f>
        <v/>
      </c>
      <c r="E13074">
        <f>TEST_DATA!E13074</f>
        <v/>
      </c>
    </row>
    <row r="13075">
      <c r="A13075">
        <f>TEST_DATA!A13075</f>
        <v/>
      </c>
      <c r="B13075">
        <f>TEST_DATA!B13075</f>
        <v/>
      </c>
      <c r="C13075">
        <f>TEST_DATA!C13075</f>
        <v/>
      </c>
      <c r="D13075">
        <f>TEST_DATA!D13075</f>
        <v/>
      </c>
      <c r="E13075">
        <f>TEST_DATA!E13075</f>
        <v/>
      </c>
    </row>
    <row r="13076">
      <c r="A13076">
        <f>TEST_DATA!A13076</f>
        <v/>
      </c>
      <c r="B13076">
        <f>TEST_DATA!B13076</f>
        <v/>
      </c>
      <c r="C13076">
        <f>TEST_DATA!C13076</f>
        <v/>
      </c>
      <c r="D13076">
        <f>TEST_DATA!D13076</f>
        <v/>
      </c>
      <c r="E13076">
        <f>TEST_DATA!E13076</f>
        <v/>
      </c>
    </row>
    <row r="13077">
      <c r="A13077">
        <f>TEST_DATA!A13077</f>
        <v/>
      </c>
      <c r="B13077">
        <f>TEST_DATA!B13077</f>
        <v/>
      </c>
      <c r="C13077">
        <f>TEST_DATA!C13077</f>
        <v/>
      </c>
      <c r="D13077">
        <f>TEST_DATA!D13077</f>
        <v/>
      </c>
      <c r="E13077">
        <f>TEST_DATA!E13077</f>
        <v/>
      </c>
    </row>
    <row r="13078">
      <c r="A13078">
        <f>TEST_DATA!A13078</f>
        <v/>
      </c>
      <c r="B13078">
        <f>TEST_DATA!B13078</f>
        <v/>
      </c>
      <c r="C13078">
        <f>TEST_DATA!C13078</f>
        <v/>
      </c>
      <c r="D13078">
        <f>TEST_DATA!D13078</f>
        <v/>
      </c>
      <c r="E13078">
        <f>TEST_DATA!E13078</f>
        <v/>
      </c>
    </row>
    <row r="13079">
      <c r="A13079">
        <f>TEST_DATA!A13079</f>
        <v/>
      </c>
      <c r="B13079">
        <f>TEST_DATA!B13079</f>
        <v/>
      </c>
      <c r="C13079">
        <f>TEST_DATA!C13079</f>
        <v/>
      </c>
      <c r="D13079">
        <f>TEST_DATA!D13079</f>
        <v/>
      </c>
      <c r="E13079">
        <f>TEST_DATA!E13079</f>
        <v/>
      </c>
    </row>
    <row r="13080">
      <c r="A13080">
        <f>TEST_DATA!A13080</f>
        <v/>
      </c>
      <c r="B13080">
        <f>TEST_DATA!B13080</f>
        <v/>
      </c>
      <c r="C13080">
        <f>TEST_DATA!C13080</f>
        <v/>
      </c>
      <c r="D13080">
        <f>TEST_DATA!D13080</f>
        <v/>
      </c>
      <c r="E13080">
        <f>TEST_DATA!E13080</f>
        <v/>
      </c>
    </row>
    <row r="13081">
      <c r="A13081">
        <f>TEST_DATA!A13081</f>
        <v/>
      </c>
      <c r="B13081">
        <f>TEST_DATA!B13081</f>
        <v/>
      </c>
      <c r="C13081">
        <f>TEST_DATA!C13081</f>
        <v/>
      </c>
      <c r="D13081">
        <f>TEST_DATA!D13081</f>
        <v/>
      </c>
      <c r="E13081">
        <f>TEST_DATA!E13081</f>
        <v/>
      </c>
    </row>
    <row r="13082">
      <c r="A13082">
        <f>TEST_DATA!A13082</f>
        <v/>
      </c>
      <c r="B13082">
        <f>TEST_DATA!B13082</f>
        <v/>
      </c>
      <c r="C13082">
        <f>TEST_DATA!C13082</f>
        <v/>
      </c>
      <c r="D13082">
        <f>TEST_DATA!D13082</f>
        <v/>
      </c>
      <c r="E13082">
        <f>TEST_DATA!E13082</f>
        <v/>
      </c>
    </row>
    <row r="13083">
      <c r="A13083">
        <f>TEST_DATA!A13083</f>
        <v/>
      </c>
      <c r="B13083">
        <f>TEST_DATA!B13083</f>
        <v/>
      </c>
      <c r="C13083">
        <f>TEST_DATA!C13083</f>
        <v/>
      </c>
      <c r="D13083">
        <f>TEST_DATA!D13083</f>
        <v/>
      </c>
      <c r="E13083">
        <f>TEST_DATA!E13083</f>
        <v/>
      </c>
    </row>
    <row r="13084">
      <c r="A13084">
        <f>TEST_DATA!A13084</f>
        <v/>
      </c>
      <c r="B13084">
        <f>TEST_DATA!B13084</f>
        <v/>
      </c>
      <c r="C13084">
        <f>TEST_DATA!C13084</f>
        <v/>
      </c>
      <c r="D13084">
        <f>TEST_DATA!D13084</f>
        <v/>
      </c>
      <c r="E13084">
        <f>TEST_DATA!E13084</f>
        <v/>
      </c>
    </row>
    <row r="13085">
      <c r="A13085">
        <f>TEST_DATA!A13085</f>
        <v/>
      </c>
      <c r="B13085">
        <f>TEST_DATA!B13085</f>
        <v/>
      </c>
      <c r="C13085">
        <f>TEST_DATA!C13085</f>
        <v/>
      </c>
      <c r="D13085">
        <f>TEST_DATA!D13085</f>
        <v/>
      </c>
      <c r="E13085">
        <f>TEST_DATA!E13085</f>
        <v/>
      </c>
    </row>
    <row r="13086">
      <c r="A13086">
        <f>TEST_DATA!A13086</f>
        <v/>
      </c>
      <c r="B13086">
        <f>TEST_DATA!B13086</f>
        <v/>
      </c>
      <c r="C13086">
        <f>TEST_DATA!C13086</f>
        <v/>
      </c>
      <c r="D13086">
        <f>TEST_DATA!D13086</f>
        <v/>
      </c>
      <c r="E13086">
        <f>TEST_DATA!E13086</f>
        <v/>
      </c>
    </row>
    <row r="13087">
      <c r="A13087">
        <f>TEST_DATA!A13087</f>
        <v/>
      </c>
      <c r="B13087">
        <f>TEST_DATA!B13087</f>
        <v/>
      </c>
      <c r="C13087">
        <f>TEST_DATA!C13087</f>
        <v/>
      </c>
      <c r="D13087">
        <f>TEST_DATA!D13087</f>
        <v/>
      </c>
      <c r="E13087">
        <f>TEST_DATA!E13087</f>
        <v/>
      </c>
    </row>
    <row r="13088">
      <c r="A13088">
        <f>TEST_DATA!A13088</f>
        <v/>
      </c>
      <c r="B13088">
        <f>TEST_DATA!B13088</f>
        <v/>
      </c>
      <c r="C13088">
        <f>TEST_DATA!C13088</f>
        <v/>
      </c>
      <c r="D13088">
        <f>TEST_DATA!D13088</f>
        <v/>
      </c>
      <c r="E13088">
        <f>TEST_DATA!E13088</f>
        <v/>
      </c>
    </row>
    <row r="13089">
      <c r="A13089">
        <f>TEST_DATA!A13089</f>
        <v/>
      </c>
      <c r="B13089">
        <f>TEST_DATA!B13089</f>
        <v/>
      </c>
      <c r="C13089">
        <f>TEST_DATA!C13089</f>
        <v/>
      </c>
      <c r="D13089">
        <f>TEST_DATA!D13089</f>
        <v/>
      </c>
      <c r="E13089">
        <f>TEST_DATA!E13089</f>
        <v/>
      </c>
    </row>
    <row r="13090">
      <c r="A13090">
        <f>TEST_DATA!A13090</f>
        <v/>
      </c>
      <c r="B13090">
        <f>TEST_DATA!B13090</f>
        <v/>
      </c>
      <c r="C13090">
        <f>TEST_DATA!C13090</f>
        <v/>
      </c>
      <c r="D13090">
        <f>TEST_DATA!D13090</f>
        <v/>
      </c>
      <c r="E13090">
        <f>TEST_DATA!E13090</f>
        <v/>
      </c>
    </row>
    <row r="13091">
      <c r="A13091">
        <f>TEST_DATA!A13091</f>
        <v/>
      </c>
      <c r="B13091">
        <f>TEST_DATA!B13091</f>
        <v/>
      </c>
      <c r="C13091">
        <f>TEST_DATA!C13091</f>
        <v/>
      </c>
      <c r="D13091">
        <f>TEST_DATA!D13091</f>
        <v/>
      </c>
      <c r="E13091">
        <f>TEST_DATA!E13091</f>
        <v/>
      </c>
    </row>
    <row r="13092">
      <c r="A13092">
        <f>TEST_DATA!A13092</f>
        <v/>
      </c>
      <c r="B13092">
        <f>TEST_DATA!B13092</f>
        <v/>
      </c>
      <c r="C13092">
        <f>TEST_DATA!C13092</f>
        <v/>
      </c>
      <c r="D13092">
        <f>TEST_DATA!D13092</f>
        <v/>
      </c>
      <c r="E13092">
        <f>TEST_DATA!E13092</f>
        <v/>
      </c>
    </row>
    <row r="13093">
      <c r="A13093">
        <f>TEST_DATA!A13093</f>
        <v/>
      </c>
      <c r="B13093">
        <f>TEST_DATA!B13093</f>
        <v/>
      </c>
      <c r="C13093">
        <f>TEST_DATA!C13093</f>
        <v/>
      </c>
      <c r="D13093">
        <f>TEST_DATA!D13093</f>
        <v/>
      </c>
      <c r="E13093">
        <f>TEST_DATA!E13093</f>
        <v/>
      </c>
    </row>
    <row r="13094">
      <c r="A13094">
        <f>TEST_DATA!A13094</f>
        <v/>
      </c>
      <c r="B13094">
        <f>TEST_DATA!B13094</f>
        <v/>
      </c>
      <c r="C13094">
        <f>TEST_DATA!C13094</f>
        <v/>
      </c>
      <c r="D13094">
        <f>TEST_DATA!D13094</f>
        <v/>
      </c>
      <c r="E13094">
        <f>TEST_DATA!E13094</f>
        <v/>
      </c>
    </row>
    <row r="13095">
      <c r="A13095">
        <f>TEST_DATA!A13095</f>
        <v/>
      </c>
      <c r="B13095">
        <f>TEST_DATA!B13095</f>
        <v/>
      </c>
      <c r="C13095">
        <f>TEST_DATA!C13095</f>
        <v/>
      </c>
      <c r="D13095">
        <f>TEST_DATA!D13095</f>
        <v/>
      </c>
      <c r="E13095">
        <f>TEST_DATA!E13095</f>
        <v/>
      </c>
    </row>
    <row r="13096">
      <c r="A13096">
        <f>TEST_DATA!A13096</f>
        <v/>
      </c>
      <c r="B13096">
        <f>TEST_DATA!B13096</f>
        <v/>
      </c>
      <c r="C13096">
        <f>TEST_DATA!C13096</f>
        <v/>
      </c>
      <c r="D13096">
        <f>TEST_DATA!D13096</f>
        <v/>
      </c>
      <c r="E13096">
        <f>TEST_DATA!E13096</f>
        <v/>
      </c>
    </row>
    <row r="13097">
      <c r="A13097">
        <f>TEST_DATA!A13097</f>
        <v/>
      </c>
      <c r="B13097">
        <f>TEST_DATA!B13097</f>
        <v/>
      </c>
      <c r="C13097">
        <f>TEST_DATA!C13097</f>
        <v/>
      </c>
      <c r="D13097">
        <f>TEST_DATA!D13097</f>
        <v/>
      </c>
      <c r="E13097">
        <f>TEST_DATA!E13097</f>
        <v/>
      </c>
    </row>
    <row r="13098">
      <c r="A13098">
        <f>TEST_DATA!A13098</f>
        <v/>
      </c>
      <c r="B13098">
        <f>TEST_DATA!B13098</f>
        <v/>
      </c>
      <c r="C13098">
        <f>TEST_DATA!C13098</f>
        <v/>
      </c>
      <c r="D13098">
        <f>TEST_DATA!D13098</f>
        <v/>
      </c>
      <c r="E13098">
        <f>TEST_DATA!E13098</f>
        <v/>
      </c>
    </row>
    <row r="13099">
      <c r="A13099">
        <f>TEST_DATA!A13099</f>
        <v/>
      </c>
      <c r="B13099">
        <f>TEST_DATA!B13099</f>
        <v/>
      </c>
      <c r="C13099">
        <f>TEST_DATA!C13099</f>
        <v/>
      </c>
      <c r="D13099">
        <f>TEST_DATA!D13099</f>
        <v/>
      </c>
      <c r="E13099">
        <f>TEST_DATA!E13099</f>
        <v/>
      </c>
    </row>
    <row r="13100">
      <c r="A13100">
        <f>TEST_DATA!A13100</f>
        <v/>
      </c>
      <c r="B13100">
        <f>TEST_DATA!B13100</f>
        <v/>
      </c>
      <c r="C13100">
        <f>TEST_DATA!C13100</f>
        <v/>
      </c>
      <c r="D13100">
        <f>TEST_DATA!D13100</f>
        <v/>
      </c>
      <c r="E13100">
        <f>TEST_DATA!E13100</f>
        <v/>
      </c>
    </row>
    <row r="13101">
      <c r="A13101">
        <f>TEST_DATA!A13101</f>
        <v/>
      </c>
      <c r="B13101">
        <f>TEST_DATA!B13101</f>
        <v/>
      </c>
      <c r="C13101">
        <f>TEST_DATA!C13101</f>
        <v/>
      </c>
      <c r="D13101">
        <f>TEST_DATA!D13101</f>
        <v/>
      </c>
      <c r="E13101">
        <f>TEST_DATA!E13101</f>
        <v/>
      </c>
    </row>
    <row r="13102">
      <c r="A13102">
        <f>TEST_DATA!A13102</f>
        <v/>
      </c>
      <c r="B13102">
        <f>TEST_DATA!B13102</f>
        <v/>
      </c>
      <c r="C13102">
        <f>TEST_DATA!C13102</f>
        <v/>
      </c>
      <c r="D13102">
        <f>TEST_DATA!D13102</f>
        <v/>
      </c>
      <c r="E13102">
        <f>TEST_DATA!E13102</f>
        <v/>
      </c>
    </row>
    <row r="13103">
      <c r="A13103">
        <f>TEST_DATA!A13103</f>
        <v/>
      </c>
      <c r="B13103">
        <f>TEST_DATA!B13103</f>
        <v/>
      </c>
      <c r="C13103">
        <f>TEST_DATA!C13103</f>
        <v/>
      </c>
      <c r="D13103">
        <f>TEST_DATA!D13103</f>
        <v/>
      </c>
      <c r="E13103">
        <f>TEST_DATA!E13103</f>
        <v/>
      </c>
    </row>
    <row r="13104">
      <c r="A13104">
        <f>TEST_DATA!A13104</f>
        <v/>
      </c>
      <c r="B13104">
        <f>TEST_DATA!B13104</f>
        <v/>
      </c>
      <c r="C13104">
        <f>TEST_DATA!C13104</f>
        <v/>
      </c>
      <c r="D13104">
        <f>TEST_DATA!D13104</f>
        <v/>
      </c>
      <c r="E13104">
        <f>TEST_DATA!E13104</f>
        <v/>
      </c>
    </row>
    <row r="13105">
      <c r="A13105">
        <f>TEST_DATA!A13105</f>
        <v/>
      </c>
      <c r="B13105">
        <f>TEST_DATA!B13105</f>
        <v/>
      </c>
      <c r="C13105">
        <f>TEST_DATA!C13105</f>
        <v/>
      </c>
      <c r="D13105">
        <f>TEST_DATA!D13105</f>
        <v/>
      </c>
      <c r="E13105">
        <f>TEST_DATA!E13105</f>
        <v/>
      </c>
    </row>
    <row r="13106">
      <c r="A13106">
        <f>TEST_DATA!A13106</f>
        <v/>
      </c>
      <c r="B13106">
        <f>TEST_DATA!B13106</f>
        <v/>
      </c>
      <c r="C13106">
        <f>TEST_DATA!C13106</f>
        <v/>
      </c>
      <c r="D13106">
        <f>TEST_DATA!D13106</f>
        <v/>
      </c>
      <c r="E13106">
        <f>TEST_DATA!E13106</f>
        <v/>
      </c>
    </row>
    <row r="13107">
      <c r="A13107">
        <f>TEST_DATA!A13107</f>
        <v/>
      </c>
      <c r="B13107">
        <f>TEST_DATA!B13107</f>
        <v/>
      </c>
      <c r="C13107">
        <f>TEST_DATA!C13107</f>
        <v/>
      </c>
      <c r="D13107">
        <f>TEST_DATA!D13107</f>
        <v/>
      </c>
      <c r="E13107">
        <f>TEST_DATA!E13107</f>
        <v/>
      </c>
    </row>
    <row r="13108">
      <c r="A13108">
        <f>TEST_DATA!A13108</f>
        <v/>
      </c>
      <c r="B13108">
        <f>TEST_DATA!B13108</f>
        <v/>
      </c>
      <c r="C13108">
        <f>TEST_DATA!C13108</f>
        <v/>
      </c>
      <c r="D13108">
        <f>TEST_DATA!D13108</f>
        <v/>
      </c>
      <c r="E13108">
        <f>TEST_DATA!E13108</f>
        <v/>
      </c>
    </row>
    <row r="13109">
      <c r="A13109">
        <f>TEST_DATA!A13109</f>
        <v/>
      </c>
      <c r="B13109">
        <f>TEST_DATA!B13109</f>
        <v/>
      </c>
      <c r="C13109">
        <f>TEST_DATA!C13109</f>
        <v/>
      </c>
      <c r="D13109">
        <f>TEST_DATA!D13109</f>
        <v/>
      </c>
      <c r="E13109">
        <f>TEST_DATA!E13109</f>
        <v/>
      </c>
    </row>
    <row r="13110">
      <c r="A13110">
        <f>TEST_DATA!A13110</f>
        <v/>
      </c>
      <c r="B13110">
        <f>TEST_DATA!B13110</f>
        <v/>
      </c>
      <c r="C13110">
        <f>TEST_DATA!C13110</f>
        <v/>
      </c>
      <c r="D13110">
        <f>TEST_DATA!D13110</f>
        <v/>
      </c>
      <c r="E13110">
        <f>TEST_DATA!E13110</f>
        <v/>
      </c>
    </row>
    <row r="13111">
      <c r="A13111">
        <f>TEST_DATA!A13111</f>
        <v/>
      </c>
      <c r="B13111">
        <f>TEST_DATA!B13111</f>
        <v/>
      </c>
      <c r="C13111">
        <f>TEST_DATA!C13111</f>
        <v/>
      </c>
      <c r="D13111">
        <f>TEST_DATA!D13111</f>
        <v/>
      </c>
      <c r="E13111">
        <f>TEST_DATA!E13111</f>
        <v/>
      </c>
    </row>
    <row r="13112">
      <c r="A13112">
        <f>TEST_DATA!A13112</f>
        <v/>
      </c>
      <c r="B13112">
        <f>TEST_DATA!B13112</f>
        <v/>
      </c>
      <c r="C13112">
        <f>TEST_DATA!C13112</f>
        <v/>
      </c>
      <c r="D13112">
        <f>TEST_DATA!D13112</f>
        <v/>
      </c>
      <c r="E13112">
        <f>TEST_DATA!E13112</f>
        <v/>
      </c>
    </row>
    <row r="13113">
      <c r="A13113">
        <f>TEST_DATA!A13113</f>
        <v/>
      </c>
      <c r="B13113">
        <f>TEST_DATA!B13113</f>
        <v/>
      </c>
      <c r="C13113">
        <f>TEST_DATA!C13113</f>
        <v/>
      </c>
      <c r="D13113">
        <f>TEST_DATA!D13113</f>
        <v/>
      </c>
      <c r="E13113">
        <f>TEST_DATA!E13113</f>
        <v/>
      </c>
    </row>
    <row r="13114">
      <c r="A13114">
        <f>TEST_DATA!A13114</f>
        <v/>
      </c>
      <c r="B13114">
        <f>TEST_DATA!B13114</f>
        <v/>
      </c>
      <c r="C13114">
        <f>TEST_DATA!C13114</f>
        <v/>
      </c>
      <c r="D13114">
        <f>TEST_DATA!D13114</f>
        <v/>
      </c>
      <c r="E13114">
        <f>TEST_DATA!E13114</f>
        <v/>
      </c>
    </row>
    <row r="13115">
      <c r="A13115">
        <f>TEST_DATA!A13115</f>
        <v/>
      </c>
      <c r="B13115">
        <f>TEST_DATA!B13115</f>
        <v/>
      </c>
      <c r="C13115">
        <f>TEST_DATA!C13115</f>
        <v/>
      </c>
      <c r="D13115">
        <f>TEST_DATA!D13115</f>
        <v/>
      </c>
      <c r="E13115">
        <f>TEST_DATA!E13115</f>
        <v/>
      </c>
    </row>
    <row r="13116">
      <c r="A13116">
        <f>TEST_DATA!A13116</f>
        <v/>
      </c>
      <c r="B13116">
        <f>TEST_DATA!B13116</f>
        <v/>
      </c>
      <c r="C13116">
        <f>TEST_DATA!C13116</f>
        <v/>
      </c>
      <c r="D13116">
        <f>TEST_DATA!D13116</f>
        <v/>
      </c>
      <c r="E13116">
        <f>TEST_DATA!E13116</f>
        <v/>
      </c>
    </row>
    <row r="13117">
      <c r="A13117">
        <f>TEST_DATA!A13117</f>
        <v/>
      </c>
      <c r="B13117">
        <f>TEST_DATA!B13117</f>
        <v/>
      </c>
      <c r="C13117">
        <f>TEST_DATA!C13117</f>
        <v/>
      </c>
      <c r="D13117">
        <f>TEST_DATA!D13117</f>
        <v/>
      </c>
      <c r="E13117">
        <f>TEST_DATA!E13117</f>
        <v/>
      </c>
    </row>
    <row r="13118">
      <c r="A13118">
        <f>TEST_DATA!A13118</f>
        <v/>
      </c>
      <c r="B13118">
        <f>TEST_DATA!B13118</f>
        <v/>
      </c>
      <c r="C13118">
        <f>TEST_DATA!C13118</f>
        <v/>
      </c>
      <c r="D13118">
        <f>TEST_DATA!D13118</f>
        <v/>
      </c>
      <c r="E13118">
        <f>TEST_DATA!E13118</f>
        <v/>
      </c>
    </row>
    <row r="13119">
      <c r="A13119">
        <f>TEST_DATA!A13119</f>
        <v/>
      </c>
      <c r="B13119">
        <f>TEST_DATA!B13119</f>
        <v/>
      </c>
      <c r="C13119">
        <f>TEST_DATA!C13119</f>
        <v/>
      </c>
      <c r="D13119">
        <f>TEST_DATA!D13119</f>
        <v/>
      </c>
      <c r="E13119">
        <f>TEST_DATA!E13119</f>
        <v/>
      </c>
    </row>
    <row r="13120">
      <c r="A13120">
        <f>TEST_DATA!A13120</f>
        <v/>
      </c>
      <c r="B13120">
        <f>TEST_DATA!B13120</f>
        <v/>
      </c>
      <c r="C13120">
        <f>TEST_DATA!C13120</f>
        <v/>
      </c>
      <c r="D13120">
        <f>TEST_DATA!D13120</f>
        <v/>
      </c>
      <c r="E13120">
        <f>TEST_DATA!E13120</f>
        <v/>
      </c>
    </row>
    <row r="13121">
      <c r="A13121">
        <f>TEST_DATA!A13121</f>
        <v/>
      </c>
      <c r="B13121">
        <f>TEST_DATA!B13121</f>
        <v/>
      </c>
      <c r="C13121">
        <f>TEST_DATA!C13121</f>
        <v/>
      </c>
      <c r="D13121">
        <f>TEST_DATA!D13121</f>
        <v/>
      </c>
      <c r="E13121">
        <f>TEST_DATA!E13121</f>
        <v/>
      </c>
    </row>
    <row r="13122">
      <c r="A13122">
        <f>TEST_DATA!A13122</f>
        <v/>
      </c>
      <c r="B13122">
        <f>TEST_DATA!B13122</f>
        <v/>
      </c>
      <c r="C13122">
        <f>TEST_DATA!C13122</f>
        <v/>
      </c>
      <c r="D13122">
        <f>TEST_DATA!D13122</f>
        <v/>
      </c>
      <c r="E13122">
        <f>TEST_DATA!E13122</f>
        <v/>
      </c>
    </row>
    <row r="13123">
      <c r="A13123">
        <f>TEST_DATA!A13123</f>
        <v/>
      </c>
      <c r="B13123">
        <f>TEST_DATA!B13123</f>
        <v/>
      </c>
      <c r="C13123">
        <f>TEST_DATA!C13123</f>
        <v/>
      </c>
      <c r="D13123">
        <f>TEST_DATA!D13123</f>
        <v/>
      </c>
      <c r="E13123">
        <f>TEST_DATA!E13123</f>
        <v/>
      </c>
    </row>
    <row r="13124">
      <c r="A13124">
        <f>TEST_DATA!A13124</f>
        <v/>
      </c>
      <c r="B13124">
        <f>TEST_DATA!B13124</f>
        <v/>
      </c>
      <c r="C13124">
        <f>TEST_DATA!C13124</f>
        <v/>
      </c>
      <c r="D13124">
        <f>TEST_DATA!D13124</f>
        <v/>
      </c>
      <c r="E13124">
        <f>TEST_DATA!E13124</f>
        <v/>
      </c>
    </row>
    <row r="13125">
      <c r="A13125">
        <f>TEST_DATA!A13125</f>
        <v/>
      </c>
      <c r="B13125">
        <f>TEST_DATA!B13125</f>
        <v/>
      </c>
      <c r="C13125">
        <f>TEST_DATA!C13125</f>
        <v/>
      </c>
      <c r="D13125">
        <f>TEST_DATA!D13125</f>
        <v/>
      </c>
      <c r="E13125">
        <f>TEST_DATA!E13125</f>
        <v/>
      </c>
    </row>
    <row r="13126">
      <c r="A13126">
        <f>TEST_DATA!A13126</f>
        <v/>
      </c>
      <c r="B13126">
        <f>TEST_DATA!B13126</f>
        <v/>
      </c>
      <c r="C13126">
        <f>TEST_DATA!C13126</f>
        <v/>
      </c>
      <c r="D13126">
        <f>TEST_DATA!D13126</f>
        <v/>
      </c>
      <c r="E13126">
        <f>TEST_DATA!E13126</f>
        <v/>
      </c>
    </row>
    <row r="13127">
      <c r="A13127">
        <f>TEST_DATA!A13127</f>
        <v/>
      </c>
      <c r="B13127">
        <f>TEST_DATA!B13127</f>
        <v/>
      </c>
      <c r="C13127">
        <f>TEST_DATA!C13127</f>
        <v/>
      </c>
      <c r="D13127">
        <f>TEST_DATA!D13127</f>
        <v/>
      </c>
      <c r="E13127">
        <f>TEST_DATA!E13127</f>
        <v/>
      </c>
    </row>
    <row r="13128">
      <c r="A13128">
        <f>TEST_DATA!A13128</f>
        <v/>
      </c>
      <c r="B13128">
        <f>TEST_DATA!B13128</f>
        <v/>
      </c>
      <c r="C13128">
        <f>TEST_DATA!C13128</f>
        <v/>
      </c>
      <c r="D13128">
        <f>TEST_DATA!D13128</f>
        <v/>
      </c>
      <c r="E13128">
        <f>TEST_DATA!E13128</f>
        <v/>
      </c>
    </row>
    <row r="13129">
      <c r="A13129">
        <f>TEST_DATA!A13129</f>
        <v/>
      </c>
      <c r="B13129">
        <f>TEST_DATA!B13129</f>
        <v/>
      </c>
      <c r="C13129">
        <f>TEST_DATA!C13129</f>
        <v/>
      </c>
      <c r="D13129">
        <f>TEST_DATA!D13129</f>
        <v/>
      </c>
      <c r="E13129">
        <f>TEST_DATA!E13129</f>
        <v/>
      </c>
    </row>
    <row r="13130">
      <c r="A13130">
        <f>TEST_DATA!A13130</f>
        <v/>
      </c>
      <c r="B13130">
        <f>TEST_DATA!B13130</f>
        <v/>
      </c>
      <c r="C13130">
        <f>TEST_DATA!C13130</f>
        <v/>
      </c>
      <c r="D13130">
        <f>TEST_DATA!D13130</f>
        <v/>
      </c>
      <c r="E13130">
        <f>TEST_DATA!E13130</f>
        <v/>
      </c>
    </row>
    <row r="13131">
      <c r="A13131">
        <f>TEST_DATA!A13131</f>
        <v/>
      </c>
      <c r="B13131">
        <f>TEST_DATA!B13131</f>
        <v/>
      </c>
      <c r="C13131">
        <f>TEST_DATA!C13131</f>
        <v/>
      </c>
      <c r="D13131">
        <f>TEST_DATA!D13131</f>
        <v/>
      </c>
      <c r="E13131">
        <f>TEST_DATA!E13131</f>
        <v/>
      </c>
    </row>
    <row r="13132">
      <c r="A13132">
        <f>TEST_DATA!A13132</f>
        <v/>
      </c>
      <c r="B13132">
        <f>TEST_DATA!B13132</f>
        <v/>
      </c>
      <c r="C13132">
        <f>TEST_DATA!C13132</f>
        <v/>
      </c>
      <c r="D13132">
        <f>TEST_DATA!D13132</f>
        <v/>
      </c>
      <c r="E13132">
        <f>TEST_DATA!E13132</f>
        <v/>
      </c>
    </row>
    <row r="13133">
      <c r="A13133">
        <f>TEST_DATA!A13133</f>
        <v/>
      </c>
      <c r="B13133">
        <f>TEST_DATA!B13133</f>
        <v/>
      </c>
      <c r="C13133">
        <f>TEST_DATA!C13133</f>
        <v/>
      </c>
      <c r="D13133">
        <f>TEST_DATA!D13133</f>
        <v/>
      </c>
      <c r="E13133">
        <f>TEST_DATA!E13133</f>
        <v/>
      </c>
    </row>
    <row r="13134">
      <c r="A13134">
        <f>TEST_DATA!A13134</f>
        <v/>
      </c>
      <c r="B13134">
        <f>TEST_DATA!B13134</f>
        <v/>
      </c>
      <c r="C13134">
        <f>TEST_DATA!C13134</f>
        <v/>
      </c>
      <c r="D13134">
        <f>TEST_DATA!D13134</f>
        <v/>
      </c>
      <c r="E13134">
        <f>TEST_DATA!E13134</f>
        <v/>
      </c>
    </row>
    <row r="13135">
      <c r="A13135">
        <f>TEST_DATA!A13135</f>
        <v/>
      </c>
      <c r="B13135">
        <f>TEST_DATA!B13135</f>
        <v/>
      </c>
      <c r="C13135">
        <f>TEST_DATA!C13135</f>
        <v/>
      </c>
      <c r="D13135">
        <f>TEST_DATA!D13135</f>
        <v/>
      </c>
      <c r="E13135">
        <f>TEST_DATA!E13135</f>
        <v/>
      </c>
    </row>
    <row r="13136">
      <c r="A13136">
        <f>TEST_DATA!A13136</f>
        <v/>
      </c>
      <c r="B13136">
        <f>TEST_DATA!B13136</f>
        <v/>
      </c>
      <c r="C13136">
        <f>TEST_DATA!C13136</f>
        <v/>
      </c>
      <c r="D13136">
        <f>TEST_DATA!D13136</f>
        <v/>
      </c>
      <c r="E13136">
        <f>TEST_DATA!E13136</f>
        <v/>
      </c>
    </row>
    <row r="13137">
      <c r="A13137">
        <f>TEST_DATA!A13137</f>
        <v/>
      </c>
      <c r="B13137">
        <f>TEST_DATA!B13137</f>
        <v/>
      </c>
      <c r="C13137">
        <f>TEST_DATA!C13137</f>
        <v/>
      </c>
      <c r="D13137">
        <f>TEST_DATA!D13137</f>
        <v/>
      </c>
      <c r="E13137">
        <f>TEST_DATA!E13137</f>
        <v/>
      </c>
    </row>
    <row r="13138">
      <c r="A13138">
        <f>TEST_DATA!A13138</f>
        <v/>
      </c>
      <c r="B13138">
        <f>TEST_DATA!B13138</f>
        <v/>
      </c>
      <c r="C13138">
        <f>TEST_DATA!C13138</f>
        <v/>
      </c>
      <c r="D13138">
        <f>TEST_DATA!D13138</f>
        <v/>
      </c>
      <c r="E13138">
        <f>TEST_DATA!E13138</f>
        <v/>
      </c>
    </row>
    <row r="13139">
      <c r="A13139">
        <f>TEST_DATA!A13139</f>
        <v/>
      </c>
      <c r="B13139">
        <f>TEST_DATA!B13139</f>
        <v/>
      </c>
      <c r="C13139">
        <f>TEST_DATA!C13139</f>
        <v/>
      </c>
      <c r="D13139">
        <f>TEST_DATA!D13139</f>
        <v/>
      </c>
      <c r="E13139">
        <f>TEST_DATA!E13139</f>
        <v/>
      </c>
    </row>
    <row r="13140">
      <c r="A13140">
        <f>TEST_DATA!A13140</f>
        <v/>
      </c>
      <c r="B13140">
        <f>TEST_DATA!B13140</f>
        <v/>
      </c>
      <c r="C13140">
        <f>TEST_DATA!C13140</f>
        <v/>
      </c>
      <c r="D13140">
        <f>TEST_DATA!D13140</f>
        <v/>
      </c>
      <c r="E13140">
        <f>TEST_DATA!E13140</f>
        <v/>
      </c>
    </row>
    <row r="13141">
      <c r="A13141">
        <f>TEST_DATA!A13141</f>
        <v/>
      </c>
      <c r="B13141">
        <f>TEST_DATA!B13141</f>
        <v/>
      </c>
      <c r="C13141">
        <f>TEST_DATA!C13141</f>
        <v/>
      </c>
      <c r="D13141">
        <f>TEST_DATA!D13141</f>
        <v/>
      </c>
      <c r="E13141">
        <f>TEST_DATA!E13141</f>
        <v/>
      </c>
    </row>
    <row r="13142">
      <c r="A13142">
        <f>TEST_DATA!A13142</f>
        <v/>
      </c>
      <c r="B13142">
        <f>TEST_DATA!B13142</f>
        <v/>
      </c>
      <c r="C13142">
        <f>TEST_DATA!C13142</f>
        <v/>
      </c>
      <c r="D13142">
        <f>TEST_DATA!D13142</f>
        <v/>
      </c>
      <c r="E13142">
        <f>TEST_DATA!E13142</f>
        <v/>
      </c>
    </row>
    <row r="13143">
      <c r="A13143">
        <f>TEST_DATA!A13143</f>
        <v/>
      </c>
      <c r="B13143">
        <f>TEST_DATA!B13143</f>
        <v/>
      </c>
      <c r="C13143">
        <f>TEST_DATA!C13143</f>
        <v/>
      </c>
      <c r="D13143">
        <f>TEST_DATA!D13143</f>
        <v/>
      </c>
      <c r="E13143">
        <f>TEST_DATA!E13143</f>
        <v/>
      </c>
    </row>
    <row r="13144">
      <c r="A13144">
        <f>TEST_DATA!A13144</f>
        <v/>
      </c>
      <c r="B13144">
        <f>TEST_DATA!B13144</f>
        <v/>
      </c>
      <c r="C13144">
        <f>TEST_DATA!C13144</f>
        <v/>
      </c>
      <c r="D13144">
        <f>TEST_DATA!D13144</f>
        <v/>
      </c>
      <c r="E13144">
        <f>TEST_DATA!E13144</f>
        <v/>
      </c>
    </row>
    <row r="13145">
      <c r="A13145">
        <f>TEST_DATA!A13145</f>
        <v/>
      </c>
      <c r="B13145">
        <f>TEST_DATA!B13145</f>
        <v/>
      </c>
      <c r="C13145">
        <f>TEST_DATA!C13145</f>
        <v/>
      </c>
      <c r="D13145">
        <f>TEST_DATA!D13145</f>
        <v/>
      </c>
      <c r="E13145">
        <f>TEST_DATA!E13145</f>
        <v/>
      </c>
    </row>
    <row r="13146">
      <c r="A13146">
        <f>TEST_DATA!A13146</f>
        <v/>
      </c>
      <c r="B13146">
        <f>TEST_DATA!B13146</f>
        <v/>
      </c>
      <c r="C13146">
        <f>TEST_DATA!C13146</f>
        <v/>
      </c>
      <c r="D13146">
        <f>TEST_DATA!D13146</f>
        <v/>
      </c>
      <c r="E13146">
        <f>TEST_DATA!E13146</f>
        <v/>
      </c>
    </row>
    <row r="13147">
      <c r="A13147">
        <f>TEST_DATA!A13147</f>
        <v/>
      </c>
      <c r="B13147">
        <f>TEST_DATA!B13147</f>
        <v/>
      </c>
      <c r="C13147">
        <f>TEST_DATA!C13147</f>
        <v/>
      </c>
      <c r="D13147">
        <f>TEST_DATA!D13147</f>
        <v/>
      </c>
      <c r="E13147">
        <f>TEST_DATA!E13147</f>
        <v/>
      </c>
    </row>
    <row r="13148">
      <c r="A13148">
        <f>TEST_DATA!A13148</f>
        <v/>
      </c>
      <c r="B13148">
        <f>TEST_DATA!B13148</f>
        <v/>
      </c>
      <c r="C13148">
        <f>TEST_DATA!C13148</f>
        <v/>
      </c>
      <c r="D13148">
        <f>TEST_DATA!D13148</f>
        <v/>
      </c>
      <c r="E13148">
        <f>TEST_DATA!E13148</f>
        <v/>
      </c>
    </row>
    <row r="13149">
      <c r="A13149">
        <f>TEST_DATA!A13149</f>
        <v/>
      </c>
      <c r="B13149">
        <f>TEST_DATA!B13149</f>
        <v/>
      </c>
      <c r="C13149">
        <f>TEST_DATA!C13149</f>
        <v/>
      </c>
      <c r="D13149">
        <f>TEST_DATA!D13149</f>
        <v/>
      </c>
      <c r="E13149">
        <f>TEST_DATA!E13149</f>
        <v/>
      </c>
    </row>
    <row r="13150">
      <c r="A13150">
        <f>TEST_DATA!A13150</f>
        <v/>
      </c>
      <c r="B13150">
        <f>TEST_DATA!B13150</f>
        <v/>
      </c>
      <c r="C13150">
        <f>TEST_DATA!C13150</f>
        <v/>
      </c>
      <c r="D13150">
        <f>TEST_DATA!D13150</f>
        <v/>
      </c>
      <c r="E13150">
        <f>TEST_DATA!E13150</f>
        <v/>
      </c>
    </row>
    <row r="13151">
      <c r="A13151">
        <f>TEST_DATA!A13151</f>
        <v/>
      </c>
      <c r="B13151">
        <f>TEST_DATA!B13151</f>
        <v/>
      </c>
      <c r="C13151">
        <f>TEST_DATA!C13151</f>
        <v/>
      </c>
      <c r="D13151">
        <f>TEST_DATA!D13151</f>
        <v/>
      </c>
      <c r="E13151">
        <f>TEST_DATA!E13151</f>
        <v/>
      </c>
    </row>
    <row r="13152">
      <c r="A13152">
        <f>TEST_DATA!A13152</f>
        <v/>
      </c>
      <c r="B13152">
        <f>TEST_DATA!B13152</f>
        <v/>
      </c>
      <c r="C13152">
        <f>TEST_DATA!C13152</f>
        <v/>
      </c>
      <c r="D13152">
        <f>TEST_DATA!D13152</f>
        <v/>
      </c>
      <c r="E13152">
        <f>TEST_DATA!E13152</f>
        <v/>
      </c>
    </row>
    <row r="13153">
      <c r="A13153">
        <f>TEST_DATA!A13153</f>
        <v/>
      </c>
      <c r="B13153">
        <f>TEST_DATA!B13153</f>
        <v/>
      </c>
      <c r="C13153">
        <f>TEST_DATA!C13153</f>
        <v/>
      </c>
      <c r="D13153">
        <f>TEST_DATA!D13153</f>
        <v/>
      </c>
      <c r="E13153">
        <f>TEST_DATA!E13153</f>
        <v/>
      </c>
    </row>
    <row r="13154">
      <c r="A13154">
        <f>TEST_DATA!A13154</f>
        <v/>
      </c>
      <c r="B13154">
        <f>TEST_DATA!B13154</f>
        <v/>
      </c>
      <c r="C13154">
        <f>TEST_DATA!C13154</f>
        <v/>
      </c>
      <c r="D13154">
        <f>TEST_DATA!D13154</f>
        <v/>
      </c>
      <c r="E13154">
        <f>TEST_DATA!E13154</f>
        <v/>
      </c>
    </row>
    <row r="13155">
      <c r="A13155">
        <f>TEST_DATA!A13155</f>
        <v/>
      </c>
      <c r="B13155">
        <f>TEST_DATA!B13155</f>
        <v/>
      </c>
      <c r="C13155">
        <f>TEST_DATA!C13155</f>
        <v/>
      </c>
      <c r="D13155">
        <f>TEST_DATA!D13155</f>
        <v/>
      </c>
      <c r="E13155">
        <f>TEST_DATA!E13155</f>
        <v/>
      </c>
    </row>
    <row r="13156">
      <c r="A13156">
        <f>TEST_DATA!A13156</f>
        <v/>
      </c>
      <c r="B13156">
        <f>TEST_DATA!B13156</f>
        <v/>
      </c>
      <c r="C13156">
        <f>TEST_DATA!C13156</f>
        <v/>
      </c>
      <c r="D13156">
        <f>TEST_DATA!D13156</f>
        <v/>
      </c>
      <c r="E13156">
        <f>TEST_DATA!E13156</f>
        <v/>
      </c>
    </row>
    <row r="13157">
      <c r="A13157">
        <f>TEST_DATA!A13157</f>
        <v/>
      </c>
      <c r="B13157">
        <f>TEST_DATA!B13157</f>
        <v/>
      </c>
      <c r="C13157">
        <f>TEST_DATA!C13157</f>
        <v/>
      </c>
      <c r="D13157">
        <f>TEST_DATA!D13157</f>
        <v/>
      </c>
      <c r="E13157">
        <f>TEST_DATA!E13157</f>
        <v/>
      </c>
    </row>
    <row r="13158">
      <c r="A13158">
        <f>TEST_DATA!A13158</f>
        <v/>
      </c>
      <c r="B13158">
        <f>TEST_DATA!B13158</f>
        <v/>
      </c>
      <c r="C13158">
        <f>TEST_DATA!C13158</f>
        <v/>
      </c>
      <c r="D13158">
        <f>TEST_DATA!D13158</f>
        <v/>
      </c>
      <c r="E13158">
        <f>TEST_DATA!E13158</f>
        <v/>
      </c>
    </row>
    <row r="13159">
      <c r="A13159">
        <f>TEST_DATA!A13159</f>
        <v/>
      </c>
      <c r="B13159">
        <f>TEST_DATA!B13159</f>
        <v/>
      </c>
      <c r="C13159">
        <f>TEST_DATA!C13159</f>
        <v/>
      </c>
      <c r="D13159">
        <f>TEST_DATA!D13159</f>
        <v/>
      </c>
      <c r="E13159">
        <f>TEST_DATA!E13159</f>
        <v/>
      </c>
    </row>
    <row r="13160">
      <c r="A13160">
        <f>TEST_DATA!A13160</f>
        <v/>
      </c>
      <c r="B13160">
        <f>TEST_DATA!B13160</f>
        <v/>
      </c>
      <c r="C13160">
        <f>TEST_DATA!C13160</f>
        <v/>
      </c>
      <c r="D13160">
        <f>TEST_DATA!D13160</f>
        <v/>
      </c>
      <c r="E13160">
        <f>TEST_DATA!E13160</f>
        <v/>
      </c>
    </row>
    <row r="13161">
      <c r="A13161">
        <f>TEST_DATA!A13161</f>
        <v/>
      </c>
      <c r="B13161">
        <f>TEST_DATA!B13161</f>
        <v/>
      </c>
      <c r="C13161">
        <f>TEST_DATA!C13161</f>
        <v/>
      </c>
      <c r="D13161">
        <f>TEST_DATA!D13161</f>
        <v/>
      </c>
      <c r="E13161">
        <f>TEST_DATA!E13161</f>
        <v/>
      </c>
    </row>
    <row r="13162">
      <c r="A13162">
        <f>TEST_DATA!A13162</f>
        <v/>
      </c>
      <c r="B13162">
        <f>TEST_DATA!B13162</f>
        <v/>
      </c>
      <c r="C13162">
        <f>TEST_DATA!C13162</f>
        <v/>
      </c>
      <c r="D13162">
        <f>TEST_DATA!D13162</f>
        <v/>
      </c>
      <c r="E13162">
        <f>TEST_DATA!E13162</f>
        <v/>
      </c>
    </row>
    <row r="13163">
      <c r="A13163">
        <f>TEST_DATA!A13163</f>
        <v/>
      </c>
      <c r="B13163">
        <f>TEST_DATA!B13163</f>
        <v/>
      </c>
      <c r="C13163">
        <f>TEST_DATA!C13163</f>
        <v/>
      </c>
      <c r="D13163">
        <f>TEST_DATA!D13163</f>
        <v/>
      </c>
      <c r="E13163">
        <f>TEST_DATA!E13163</f>
        <v/>
      </c>
    </row>
    <row r="13164">
      <c r="A13164">
        <f>TEST_DATA!A13164</f>
        <v/>
      </c>
      <c r="B13164">
        <f>TEST_DATA!B13164</f>
        <v/>
      </c>
      <c r="C13164">
        <f>TEST_DATA!C13164</f>
        <v/>
      </c>
      <c r="D13164">
        <f>TEST_DATA!D13164</f>
        <v/>
      </c>
      <c r="E13164">
        <f>TEST_DATA!E13164</f>
        <v/>
      </c>
    </row>
    <row r="13165">
      <c r="A13165">
        <f>TEST_DATA!A13165</f>
        <v/>
      </c>
      <c r="B13165">
        <f>TEST_DATA!B13165</f>
        <v/>
      </c>
      <c r="C13165">
        <f>TEST_DATA!C13165</f>
        <v/>
      </c>
      <c r="D13165">
        <f>TEST_DATA!D13165</f>
        <v/>
      </c>
      <c r="E13165">
        <f>TEST_DATA!E13165</f>
        <v/>
      </c>
    </row>
    <row r="13166">
      <c r="A13166">
        <f>TEST_DATA!A13166</f>
        <v/>
      </c>
      <c r="B13166">
        <f>TEST_DATA!B13166</f>
        <v/>
      </c>
      <c r="C13166">
        <f>TEST_DATA!C13166</f>
        <v/>
      </c>
      <c r="D13166">
        <f>TEST_DATA!D13166</f>
        <v/>
      </c>
      <c r="E13166">
        <f>TEST_DATA!E13166</f>
        <v/>
      </c>
    </row>
    <row r="13167">
      <c r="A13167">
        <f>TEST_DATA!A13167</f>
        <v/>
      </c>
      <c r="B13167">
        <f>TEST_DATA!B13167</f>
        <v/>
      </c>
      <c r="C13167">
        <f>TEST_DATA!C13167</f>
        <v/>
      </c>
      <c r="D13167">
        <f>TEST_DATA!D13167</f>
        <v/>
      </c>
      <c r="E13167">
        <f>TEST_DATA!E13167</f>
        <v/>
      </c>
    </row>
    <row r="13168">
      <c r="A13168">
        <f>TEST_DATA!A13168</f>
        <v/>
      </c>
      <c r="B13168">
        <f>TEST_DATA!B13168</f>
        <v/>
      </c>
      <c r="C13168">
        <f>TEST_DATA!C13168</f>
        <v/>
      </c>
      <c r="D13168">
        <f>TEST_DATA!D13168</f>
        <v/>
      </c>
      <c r="E13168">
        <f>TEST_DATA!E13168</f>
        <v/>
      </c>
    </row>
    <row r="13169">
      <c r="A13169">
        <f>TEST_DATA!A13169</f>
        <v/>
      </c>
      <c r="B13169">
        <f>TEST_DATA!B13169</f>
        <v/>
      </c>
      <c r="C13169">
        <f>TEST_DATA!C13169</f>
        <v/>
      </c>
      <c r="D13169">
        <f>TEST_DATA!D13169</f>
        <v/>
      </c>
      <c r="E13169">
        <f>TEST_DATA!E13169</f>
        <v/>
      </c>
    </row>
    <row r="13170">
      <c r="A13170">
        <f>TEST_DATA!A13170</f>
        <v/>
      </c>
      <c r="B13170">
        <f>TEST_DATA!B13170</f>
        <v/>
      </c>
      <c r="C13170">
        <f>TEST_DATA!C13170</f>
        <v/>
      </c>
      <c r="D13170">
        <f>TEST_DATA!D13170</f>
        <v/>
      </c>
      <c r="E13170">
        <f>TEST_DATA!E13170</f>
        <v/>
      </c>
    </row>
    <row r="13171">
      <c r="A13171">
        <f>TEST_DATA!A13171</f>
        <v/>
      </c>
      <c r="B13171">
        <f>TEST_DATA!B13171</f>
        <v/>
      </c>
      <c r="C13171">
        <f>TEST_DATA!C13171</f>
        <v/>
      </c>
      <c r="D13171">
        <f>TEST_DATA!D13171</f>
        <v/>
      </c>
      <c r="E13171">
        <f>TEST_DATA!E13171</f>
        <v/>
      </c>
    </row>
    <row r="13172">
      <c r="A13172">
        <f>TEST_DATA!A13172</f>
        <v/>
      </c>
      <c r="B13172">
        <f>TEST_DATA!B13172</f>
        <v/>
      </c>
      <c r="C13172">
        <f>TEST_DATA!C13172</f>
        <v/>
      </c>
      <c r="D13172">
        <f>TEST_DATA!D13172</f>
        <v/>
      </c>
      <c r="E13172">
        <f>TEST_DATA!E13172</f>
        <v/>
      </c>
    </row>
    <row r="13173">
      <c r="A13173">
        <f>TEST_DATA!A13173</f>
        <v/>
      </c>
      <c r="B13173">
        <f>TEST_DATA!B13173</f>
        <v/>
      </c>
      <c r="C13173">
        <f>TEST_DATA!C13173</f>
        <v/>
      </c>
      <c r="D13173">
        <f>TEST_DATA!D13173</f>
        <v/>
      </c>
      <c r="E13173">
        <f>TEST_DATA!E13173</f>
        <v/>
      </c>
    </row>
    <row r="13174">
      <c r="A13174">
        <f>TEST_DATA!A13174</f>
        <v/>
      </c>
      <c r="B13174">
        <f>TEST_DATA!B13174</f>
        <v/>
      </c>
      <c r="C13174">
        <f>TEST_DATA!C13174</f>
        <v/>
      </c>
      <c r="D13174">
        <f>TEST_DATA!D13174</f>
        <v/>
      </c>
      <c r="E13174">
        <f>TEST_DATA!E13174</f>
        <v/>
      </c>
    </row>
    <row r="13175">
      <c r="A13175">
        <f>TEST_DATA!A13175</f>
        <v/>
      </c>
      <c r="B13175">
        <f>TEST_DATA!B13175</f>
        <v/>
      </c>
      <c r="C13175">
        <f>TEST_DATA!C13175</f>
        <v/>
      </c>
      <c r="D13175">
        <f>TEST_DATA!D13175</f>
        <v/>
      </c>
      <c r="E13175">
        <f>TEST_DATA!E13175</f>
        <v/>
      </c>
    </row>
    <row r="13176">
      <c r="A13176">
        <f>TEST_DATA!A13176</f>
        <v/>
      </c>
      <c r="B13176">
        <f>TEST_DATA!B13176</f>
        <v/>
      </c>
      <c r="C13176">
        <f>TEST_DATA!C13176</f>
        <v/>
      </c>
      <c r="D13176">
        <f>TEST_DATA!D13176</f>
        <v/>
      </c>
      <c r="E13176">
        <f>TEST_DATA!E13176</f>
        <v/>
      </c>
    </row>
    <row r="13177">
      <c r="A13177">
        <f>TEST_DATA!A13177</f>
        <v/>
      </c>
      <c r="B13177">
        <f>TEST_DATA!B13177</f>
        <v/>
      </c>
      <c r="C13177">
        <f>TEST_DATA!C13177</f>
        <v/>
      </c>
      <c r="D13177">
        <f>TEST_DATA!D13177</f>
        <v/>
      </c>
      <c r="E13177">
        <f>TEST_DATA!E13177</f>
        <v/>
      </c>
    </row>
    <row r="13178">
      <c r="A13178">
        <f>TEST_DATA!A13178</f>
        <v/>
      </c>
      <c r="B13178">
        <f>TEST_DATA!B13178</f>
        <v/>
      </c>
      <c r="C13178">
        <f>TEST_DATA!C13178</f>
        <v/>
      </c>
      <c r="D13178">
        <f>TEST_DATA!D13178</f>
        <v/>
      </c>
      <c r="E13178">
        <f>TEST_DATA!E13178</f>
        <v/>
      </c>
    </row>
    <row r="13179">
      <c r="A13179">
        <f>TEST_DATA!A13179</f>
        <v/>
      </c>
      <c r="B13179">
        <f>TEST_DATA!B13179</f>
        <v/>
      </c>
      <c r="C13179">
        <f>TEST_DATA!C13179</f>
        <v/>
      </c>
      <c r="D13179">
        <f>TEST_DATA!D13179</f>
        <v/>
      </c>
      <c r="E13179">
        <f>TEST_DATA!E13179</f>
        <v/>
      </c>
    </row>
    <row r="13180">
      <c r="A13180">
        <f>TEST_DATA!A13180</f>
        <v/>
      </c>
      <c r="B13180">
        <f>TEST_DATA!B13180</f>
        <v/>
      </c>
      <c r="C13180">
        <f>TEST_DATA!C13180</f>
        <v/>
      </c>
      <c r="D13180">
        <f>TEST_DATA!D13180</f>
        <v/>
      </c>
      <c r="E13180">
        <f>TEST_DATA!E13180</f>
        <v/>
      </c>
    </row>
    <row r="13181">
      <c r="A13181">
        <f>TEST_DATA!A13181</f>
        <v/>
      </c>
      <c r="B13181">
        <f>TEST_DATA!B13181</f>
        <v/>
      </c>
      <c r="C13181">
        <f>TEST_DATA!C13181</f>
        <v/>
      </c>
      <c r="D13181">
        <f>TEST_DATA!D13181</f>
        <v/>
      </c>
      <c r="E13181">
        <f>TEST_DATA!E13181</f>
        <v/>
      </c>
    </row>
    <row r="13182">
      <c r="A13182">
        <f>TEST_DATA!A13182</f>
        <v/>
      </c>
      <c r="B13182">
        <f>TEST_DATA!B13182</f>
        <v/>
      </c>
      <c r="C13182">
        <f>TEST_DATA!C13182</f>
        <v/>
      </c>
      <c r="D13182">
        <f>TEST_DATA!D13182</f>
        <v/>
      </c>
      <c r="E13182">
        <f>TEST_DATA!E13182</f>
        <v/>
      </c>
    </row>
    <row r="13183">
      <c r="A13183">
        <f>TEST_DATA!A13183</f>
        <v/>
      </c>
      <c r="B13183">
        <f>TEST_DATA!B13183</f>
        <v/>
      </c>
      <c r="C13183">
        <f>TEST_DATA!C13183</f>
        <v/>
      </c>
      <c r="D13183">
        <f>TEST_DATA!D13183</f>
        <v/>
      </c>
      <c r="E13183">
        <f>TEST_DATA!E13183</f>
        <v/>
      </c>
    </row>
    <row r="13184">
      <c r="A13184">
        <f>TEST_DATA!A13184</f>
        <v/>
      </c>
      <c r="B13184">
        <f>TEST_DATA!B13184</f>
        <v/>
      </c>
      <c r="C13184">
        <f>TEST_DATA!C13184</f>
        <v/>
      </c>
      <c r="D13184">
        <f>TEST_DATA!D13184</f>
        <v/>
      </c>
      <c r="E13184">
        <f>TEST_DATA!E13184</f>
        <v/>
      </c>
    </row>
    <row r="13185">
      <c r="A13185">
        <f>TEST_DATA!A13185</f>
        <v/>
      </c>
      <c r="B13185">
        <f>TEST_DATA!B13185</f>
        <v/>
      </c>
      <c r="C13185">
        <f>TEST_DATA!C13185</f>
        <v/>
      </c>
      <c r="D13185">
        <f>TEST_DATA!D13185</f>
        <v/>
      </c>
      <c r="E13185">
        <f>TEST_DATA!E13185</f>
        <v/>
      </c>
    </row>
    <row r="13186">
      <c r="A13186">
        <f>TEST_DATA!A13186</f>
        <v/>
      </c>
      <c r="B13186">
        <f>TEST_DATA!B13186</f>
        <v/>
      </c>
      <c r="C13186">
        <f>TEST_DATA!C13186</f>
        <v/>
      </c>
      <c r="D13186">
        <f>TEST_DATA!D13186</f>
        <v/>
      </c>
      <c r="E13186">
        <f>TEST_DATA!E13186</f>
        <v/>
      </c>
    </row>
    <row r="13187">
      <c r="A13187">
        <f>TEST_DATA!A13187</f>
        <v/>
      </c>
      <c r="B13187">
        <f>TEST_DATA!B13187</f>
        <v/>
      </c>
      <c r="C13187">
        <f>TEST_DATA!C13187</f>
        <v/>
      </c>
      <c r="D13187">
        <f>TEST_DATA!D13187</f>
        <v/>
      </c>
      <c r="E13187">
        <f>TEST_DATA!E13187</f>
        <v/>
      </c>
    </row>
    <row r="13188">
      <c r="A13188">
        <f>TEST_DATA!A13188</f>
        <v/>
      </c>
      <c r="B13188">
        <f>TEST_DATA!B13188</f>
        <v/>
      </c>
      <c r="C13188">
        <f>TEST_DATA!C13188</f>
        <v/>
      </c>
      <c r="D13188">
        <f>TEST_DATA!D13188</f>
        <v/>
      </c>
      <c r="E13188">
        <f>TEST_DATA!E13188</f>
        <v/>
      </c>
    </row>
    <row r="13189">
      <c r="A13189">
        <f>TEST_DATA!A13189</f>
        <v/>
      </c>
      <c r="B13189">
        <f>TEST_DATA!B13189</f>
        <v/>
      </c>
      <c r="C13189">
        <f>TEST_DATA!C13189</f>
        <v/>
      </c>
      <c r="D13189">
        <f>TEST_DATA!D13189</f>
        <v/>
      </c>
      <c r="E13189">
        <f>TEST_DATA!E13189</f>
        <v/>
      </c>
    </row>
    <row r="13190">
      <c r="A13190">
        <f>TEST_DATA!A13190</f>
        <v/>
      </c>
      <c r="B13190">
        <f>TEST_DATA!B13190</f>
        <v/>
      </c>
      <c r="C13190">
        <f>TEST_DATA!C13190</f>
        <v/>
      </c>
      <c r="D13190">
        <f>TEST_DATA!D13190</f>
        <v/>
      </c>
      <c r="E13190">
        <f>TEST_DATA!E13190</f>
        <v/>
      </c>
    </row>
    <row r="13191">
      <c r="A13191">
        <f>TEST_DATA!A13191</f>
        <v/>
      </c>
      <c r="B13191">
        <f>TEST_DATA!B13191</f>
        <v/>
      </c>
      <c r="C13191">
        <f>TEST_DATA!C13191</f>
        <v/>
      </c>
      <c r="D13191">
        <f>TEST_DATA!D13191</f>
        <v/>
      </c>
      <c r="E13191">
        <f>TEST_DATA!E13191</f>
        <v/>
      </c>
    </row>
    <row r="13192">
      <c r="A13192">
        <f>TEST_DATA!A13192</f>
        <v/>
      </c>
      <c r="B13192">
        <f>TEST_DATA!B13192</f>
        <v/>
      </c>
      <c r="C13192">
        <f>TEST_DATA!C13192</f>
        <v/>
      </c>
      <c r="D13192">
        <f>TEST_DATA!D13192</f>
        <v/>
      </c>
      <c r="E13192">
        <f>TEST_DATA!E13192</f>
        <v/>
      </c>
    </row>
    <row r="13193">
      <c r="A13193">
        <f>TEST_DATA!A13193</f>
        <v/>
      </c>
      <c r="B13193">
        <f>TEST_DATA!B13193</f>
        <v/>
      </c>
      <c r="C13193">
        <f>TEST_DATA!C13193</f>
        <v/>
      </c>
      <c r="D13193">
        <f>TEST_DATA!D13193</f>
        <v/>
      </c>
      <c r="E13193">
        <f>TEST_DATA!E13193</f>
        <v/>
      </c>
    </row>
    <row r="13194">
      <c r="A13194">
        <f>TEST_DATA!A13194</f>
        <v/>
      </c>
      <c r="B13194">
        <f>TEST_DATA!B13194</f>
        <v/>
      </c>
      <c r="C13194">
        <f>TEST_DATA!C13194</f>
        <v/>
      </c>
      <c r="D13194">
        <f>TEST_DATA!D13194</f>
        <v/>
      </c>
      <c r="E13194">
        <f>TEST_DATA!E13194</f>
        <v/>
      </c>
    </row>
    <row r="13195">
      <c r="A13195">
        <f>TEST_DATA!A13195</f>
        <v/>
      </c>
      <c r="B13195">
        <f>TEST_DATA!B13195</f>
        <v/>
      </c>
      <c r="C13195">
        <f>TEST_DATA!C13195</f>
        <v/>
      </c>
      <c r="D13195">
        <f>TEST_DATA!D13195</f>
        <v/>
      </c>
      <c r="E13195">
        <f>TEST_DATA!E13195</f>
        <v/>
      </c>
    </row>
    <row r="13196">
      <c r="A13196">
        <f>TEST_DATA!A13196</f>
        <v/>
      </c>
      <c r="B13196">
        <f>TEST_DATA!B13196</f>
        <v/>
      </c>
      <c r="C13196">
        <f>TEST_DATA!C13196</f>
        <v/>
      </c>
      <c r="D13196">
        <f>TEST_DATA!D13196</f>
        <v/>
      </c>
      <c r="E13196">
        <f>TEST_DATA!E13196</f>
        <v/>
      </c>
    </row>
    <row r="13197">
      <c r="A13197">
        <f>TEST_DATA!A13197</f>
        <v/>
      </c>
      <c r="B13197">
        <f>TEST_DATA!B13197</f>
        <v/>
      </c>
      <c r="C13197">
        <f>TEST_DATA!C13197</f>
        <v/>
      </c>
      <c r="D13197">
        <f>TEST_DATA!D13197</f>
        <v/>
      </c>
      <c r="E13197">
        <f>TEST_DATA!E13197</f>
        <v/>
      </c>
    </row>
    <row r="13198">
      <c r="A13198">
        <f>TEST_DATA!A13198</f>
        <v/>
      </c>
      <c r="B13198">
        <f>TEST_DATA!B13198</f>
        <v/>
      </c>
      <c r="C13198">
        <f>TEST_DATA!C13198</f>
        <v/>
      </c>
      <c r="D13198">
        <f>TEST_DATA!D13198</f>
        <v/>
      </c>
      <c r="E13198">
        <f>TEST_DATA!E13198</f>
        <v/>
      </c>
    </row>
    <row r="13199">
      <c r="A13199">
        <f>TEST_DATA!A13199</f>
        <v/>
      </c>
      <c r="B13199">
        <f>TEST_DATA!B13199</f>
        <v/>
      </c>
      <c r="C13199">
        <f>TEST_DATA!C13199</f>
        <v/>
      </c>
      <c r="D13199">
        <f>TEST_DATA!D13199</f>
        <v/>
      </c>
      <c r="E13199">
        <f>TEST_DATA!E13199</f>
        <v/>
      </c>
    </row>
    <row r="13200">
      <c r="A13200">
        <f>TEST_DATA!A13200</f>
        <v/>
      </c>
      <c r="B13200">
        <f>TEST_DATA!B13200</f>
        <v/>
      </c>
      <c r="C13200">
        <f>TEST_DATA!C13200</f>
        <v/>
      </c>
      <c r="D13200">
        <f>TEST_DATA!D13200</f>
        <v/>
      </c>
      <c r="E13200">
        <f>TEST_DATA!E13200</f>
        <v/>
      </c>
    </row>
    <row r="13201">
      <c r="A13201">
        <f>TEST_DATA!A13201</f>
        <v/>
      </c>
      <c r="B13201">
        <f>TEST_DATA!B13201</f>
        <v/>
      </c>
      <c r="C13201">
        <f>TEST_DATA!C13201</f>
        <v/>
      </c>
      <c r="D13201">
        <f>TEST_DATA!D13201</f>
        <v/>
      </c>
      <c r="E13201">
        <f>TEST_DATA!E13201</f>
        <v/>
      </c>
    </row>
    <row r="13202">
      <c r="A13202">
        <f>TEST_DATA!A13202</f>
        <v/>
      </c>
      <c r="B13202">
        <f>TEST_DATA!B13202</f>
        <v/>
      </c>
      <c r="C13202">
        <f>TEST_DATA!C13202</f>
        <v/>
      </c>
      <c r="D13202">
        <f>TEST_DATA!D13202</f>
        <v/>
      </c>
      <c r="E13202">
        <f>TEST_DATA!E13202</f>
        <v/>
      </c>
    </row>
    <row r="13203">
      <c r="A13203">
        <f>TEST_DATA!A13203</f>
        <v/>
      </c>
      <c r="B13203">
        <f>TEST_DATA!B13203</f>
        <v/>
      </c>
      <c r="C13203">
        <f>TEST_DATA!C13203</f>
        <v/>
      </c>
      <c r="D13203">
        <f>TEST_DATA!D13203</f>
        <v/>
      </c>
      <c r="E13203">
        <f>TEST_DATA!E13203</f>
        <v/>
      </c>
    </row>
    <row r="13204">
      <c r="A13204">
        <f>TEST_DATA!A13204</f>
        <v/>
      </c>
      <c r="B13204">
        <f>TEST_DATA!B13204</f>
        <v/>
      </c>
      <c r="C13204">
        <f>TEST_DATA!C13204</f>
        <v/>
      </c>
      <c r="D13204">
        <f>TEST_DATA!D13204</f>
        <v/>
      </c>
      <c r="E13204">
        <f>TEST_DATA!E13204</f>
        <v/>
      </c>
    </row>
    <row r="13205">
      <c r="A13205">
        <f>TEST_DATA!A13205</f>
        <v/>
      </c>
      <c r="B13205">
        <f>TEST_DATA!B13205</f>
        <v/>
      </c>
      <c r="C13205">
        <f>TEST_DATA!C13205</f>
        <v/>
      </c>
      <c r="D13205">
        <f>TEST_DATA!D13205</f>
        <v/>
      </c>
      <c r="E13205">
        <f>TEST_DATA!E13205</f>
        <v/>
      </c>
    </row>
    <row r="13206">
      <c r="A13206">
        <f>TEST_DATA!A13206</f>
        <v/>
      </c>
      <c r="B13206">
        <f>TEST_DATA!B13206</f>
        <v/>
      </c>
      <c r="C13206">
        <f>TEST_DATA!C13206</f>
        <v/>
      </c>
      <c r="D13206">
        <f>TEST_DATA!D13206</f>
        <v/>
      </c>
      <c r="E13206">
        <f>TEST_DATA!E13206</f>
        <v/>
      </c>
    </row>
    <row r="13207">
      <c r="A13207">
        <f>TEST_DATA!A13207</f>
        <v/>
      </c>
      <c r="B13207">
        <f>TEST_DATA!B13207</f>
        <v/>
      </c>
      <c r="C13207">
        <f>TEST_DATA!C13207</f>
        <v/>
      </c>
      <c r="D13207">
        <f>TEST_DATA!D13207</f>
        <v/>
      </c>
      <c r="E13207">
        <f>TEST_DATA!E13207</f>
        <v/>
      </c>
    </row>
    <row r="13208">
      <c r="A13208">
        <f>TEST_DATA!A13208</f>
        <v/>
      </c>
      <c r="B13208">
        <f>TEST_DATA!B13208</f>
        <v/>
      </c>
      <c r="C13208">
        <f>TEST_DATA!C13208</f>
        <v/>
      </c>
      <c r="D13208">
        <f>TEST_DATA!D13208</f>
        <v/>
      </c>
      <c r="E13208">
        <f>TEST_DATA!E13208</f>
        <v/>
      </c>
    </row>
    <row r="13209">
      <c r="A13209">
        <f>TEST_DATA!A13209</f>
        <v/>
      </c>
      <c r="B13209">
        <f>TEST_DATA!B13209</f>
        <v/>
      </c>
      <c r="C13209">
        <f>TEST_DATA!C13209</f>
        <v/>
      </c>
      <c r="D13209">
        <f>TEST_DATA!D13209</f>
        <v/>
      </c>
      <c r="E13209">
        <f>TEST_DATA!E13209</f>
        <v/>
      </c>
    </row>
    <row r="13210">
      <c r="A13210">
        <f>TEST_DATA!A13210</f>
        <v/>
      </c>
      <c r="B13210">
        <f>TEST_DATA!B13210</f>
        <v/>
      </c>
      <c r="C13210">
        <f>TEST_DATA!C13210</f>
        <v/>
      </c>
      <c r="D13210">
        <f>TEST_DATA!D13210</f>
        <v/>
      </c>
      <c r="E13210">
        <f>TEST_DATA!E13210</f>
        <v/>
      </c>
    </row>
    <row r="13211">
      <c r="A13211">
        <f>TEST_DATA!A13211</f>
        <v/>
      </c>
      <c r="B13211">
        <f>TEST_DATA!B13211</f>
        <v/>
      </c>
      <c r="C13211">
        <f>TEST_DATA!C13211</f>
        <v/>
      </c>
      <c r="D13211">
        <f>TEST_DATA!D13211</f>
        <v/>
      </c>
      <c r="E13211">
        <f>TEST_DATA!E13211</f>
        <v/>
      </c>
    </row>
    <row r="13212">
      <c r="A13212">
        <f>TEST_DATA!A13212</f>
        <v/>
      </c>
      <c r="B13212">
        <f>TEST_DATA!B13212</f>
        <v/>
      </c>
      <c r="C13212">
        <f>TEST_DATA!C13212</f>
        <v/>
      </c>
      <c r="D13212">
        <f>TEST_DATA!D13212</f>
        <v/>
      </c>
      <c r="E13212">
        <f>TEST_DATA!E13212</f>
        <v/>
      </c>
    </row>
    <row r="13213">
      <c r="A13213">
        <f>TEST_DATA!A13213</f>
        <v/>
      </c>
      <c r="B13213">
        <f>TEST_DATA!B13213</f>
        <v/>
      </c>
      <c r="C13213">
        <f>TEST_DATA!C13213</f>
        <v/>
      </c>
      <c r="D13213">
        <f>TEST_DATA!D13213</f>
        <v/>
      </c>
      <c r="E13213">
        <f>TEST_DATA!E13213</f>
        <v/>
      </c>
    </row>
    <row r="13214">
      <c r="A13214">
        <f>TEST_DATA!A13214</f>
        <v/>
      </c>
      <c r="B13214">
        <f>TEST_DATA!B13214</f>
        <v/>
      </c>
      <c r="C13214">
        <f>TEST_DATA!C13214</f>
        <v/>
      </c>
      <c r="D13214">
        <f>TEST_DATA!D13214</f>
        <v/>
      </c>
      <c r="E13214">
        <f>TEST_DATA!E13214</f>
        <v/>
      </c>
    </row>
    <row r="13215">
      <c r="A13215">
        <f>TEST_DATA!A13215</f>
        <v/>
      </c>
      <c r="B13215">
        <f>TEST_DATA!B13215</f>
        <v/>
      </c>
      <c r="C13215">
        <f>TEST_DATA!C13215</f>
        <v/>
      </c>
      <c r="D13215">
        <f>TEST_DATA!D13215</f>
        <v/>
      </c>
      <c r="E13215">
        <f>TEST_DATA!E13215</f>
        <v/>
      </c>
    </row>
    <row r="13216">
      <c r="A13216">
        <f>TEST_DATA!A13216</f>
        <v/>
      </c>
      <c r="B13216">
        <f>TEST_DATA!B13216</f>
        <v/>
      </c>
      <c r="C13216">
        <f>TEST_DATA!C13216</f>
        <v/>
      </c>
      <c r="D13216">
        <f>TEST_DATA!D13216</f>
        <v/>
      </c>
      <c r="E13216">
        <f>TEST_DATA!E13216</f>
        <v/>
      </c>
    </row>
    <row r="13217">
      <c r="A13217">
        <f>TEST_DATA!A13217</f>
        <v/>
      </c>
      <c r="B13217">
        <f>TEST_DATA!B13217</f>
        <v/>
      </c>
      <c r="C13217">
        <f>TEST_DATA!C13217</f>
        <v/>
      </c>
      <c r="D13217">
        <f>TEST_DATA!D13217</f>
        <v/>
      </c>
      <c r="E13217">
        <f>TEST_DATA!E13217</f>
        <v/>
      </c>
    </row>
    <row r="13218">
      <c r="A13218">
        <f>TEST_DATA!A13218</f>
        <v/>
      </c>
      <c r="B13218">
        <f>TEST_DATA!B13218</f>
        <v/>
      </c>
      <c r="C13218">
        <f>TEST_DATA!C13218</f>
        <v/>
      </c>
      <c r="D13218">
        <f>TEST_DATA!D13218</f>
        <v/>
      </c>
      <c r="E13218">
        <f>TEST_DATA!E13218</f>
        <v/>
      </c>
    </row>
    <row r="13219">
      <c r="A13219">
        <f>TEST_DATA!A13219</f>
        <v/>
      </c>
      <c r="B13219">
        <f>TEST_DATA!B13219</f>
        <v/>
      </c>
      <c r="C13219">
        <f>TEST_DATA!C13219</f>
        <v/>
      </c>
      <c r="D13219">
        <f>TEST_DATA!D13219</f>
        <v/>
      </c>
      <c r="E13219">
        <f>TEST_DATA!E13219</f>
        <v/>
      </c>
    </row>
    <row r="13220">
      <c r="A13220">
        <f>TEST_DATA!A13220</f>
        <v/>
      </c>
      <c r="B13220">
        <f>TEST_DATA!B13220</f>
        <v/>
      </c>
      <c r="C13220">
        <f>TEST_DATA!C13220</f>
        <v/>
      </c>
      <c r="D13220">
        <f>TEST_DATA!D13220</f>
        <v/>
      </c>
      <c r="E13220">
        <f>TEST_DATA!E13220</f>
        <v/>
      </c>
    </row>
    <row r="13221">
      <c r="A13221">
        <f>TEST_DATA!A13221</f>
        <v/>
      </c>
      <c r="B13221">
        <f>TEST_DATA!B13221</f>
        <v/>
      </c>
      <c r="C13221">
        <f>TEST_DATA!C13221</f>
        <v/>
      </c>
      <c r="D13221">
        <f>TEST_DATA!D13221</f>
        <v/>
      </c>
      <c r="E13221">
        <f>TEST_DATA!E13221</f>
        <v/>
      </c>
    </row>
    <row r="13222">
      <c r="A13222">
        <f>TEST_DATA!A13222</f>
        <v/>
      </c>
      <c r="B13222">
        <f>TEST_DATA!B13222</f>
        <v/>
      </c>
      <c r="C13222">
        <f>TEST_DATA!C13222</f>
        <v/>
      </c>
      <c r="D13222">
        <f>TEST_DATA!D13222</f>
        <v/>
      </c>
      <c r="E13222">
        <f>TEST_DATA!E13222</f>
        <v/>
      </c>
    </row>
    <row r="13223">
      <c r="A13223">
        <f>TEST_DATA!A13223</f>
        <v/>
      </c>
      <c r="B13223">
        <f>TEST_DATA!B13223</f>
        <v/>
      </c>
      <c r="C13223">
        <f>TEST_DATA!C13223</f>
        <v/>
      </c>
      <c r="D13223">
        <f>TEST_DATA!D13223</f>
        <v/>
      </c>
      <c r="E13223">
        <f>TEST_DATA!E13223</f>
        <v/>
      </c>
    </row>
    <row r="13224">
      <c r="A13224">
        <f>TEST_DATA!A13224</f>
        <v/>
      </c>
      <c r="B13224">
        <f>TEST_DATA!B13224</f>
        <v/>
      </c>
      <c r="C13224">
        <f>TEST_DATA!C13224</f>
        <v/>
      </c>
      <c r="D13224">
        <f>TEST_DATA!D13224</f>
        <v/>
      </c>
      <c r="E13224">
        <f>TEST_DATA!E13224</f>
        <v/>
      </c>
    </row>
    <row r="13225">
      <c r="A13225">
        <f>TEST_DATA!A13225</f>
        <v/>
      </c>
      <c r="B13225">
        <f>TEST_DATA!B13225</f>
        <v/>
      </c>
      <c r="C13225">
        <f>TEST_DATA!C13225</f>
        <v/>
      </c>
      <c r="D13225">
        <f>TEST_DATA!D13225</f>
        <v/>
      </c>
      <c r="E13225">
        <f>TEST_DATA!E13225</f>
        <v/>
      </c>
    </row>
    <row r="13226">
      <c r="A13226">
        <f>TEST_DATA!A13226</f>
        <v/>
      </c>
      <c r="B13226">
        <f>TEST_DATA!B13226</f>
        <v/>
      </c>
      <c r="C13226">
        <f>TEST_DATA!C13226</f>
        <v/>
      </c>
      <c r="D13226">
        <f>TEST_DATA!D13226</f>
        <v/>
      </c>
      <c r="E13226">
        <f>TEST_DATA!E13226</f>
        <v/>
      </c>
    </row>
    <row r="13227">
      <c r="A13227">
        <f>TEST_DATA!A13227</f>
        <v/>
      </c>
      <c r="B13227">
        <f>TEST_DATA!B13227</f>
        <v/>
      </c>
      <c r="C13227">
        <f>TEST_DATA!C13227</f>
        <v/>
      </c>
      <c r="D13227">
        <f>TEST_DATA!D13227</f>
        <v/>
      </c>
      <c r="E13227">
        <f>TEST_DATA!E13227</f>
        <v/>
      </c>
    </row>
    <row r="13228">
      <c r="A13228">
        <f>TEST_DATA!A13228</f>
        <v/>
      </c>
      <c r="B13228">
        <f>TEST_DATA!B13228</f>
        <v/>
      </c>
      <c r="C13228">
        <f>TEST_DATA!C13228</f>
        <v/>
      </c>
      <c r="D13228">
        <f>TEST_DATA!D13228</f>
        <v/>
      </c>
      <c r="E13228">
        <f>TEST_DATA!E13228</f>
        <v/>
      </c>
    </row>
    <row r="13229">
      <c r="A13229">
        <f>TEST_DATA!A13229</f>
        <v/>
      </c>
      <c r="B13229">
        <f>TEST_DATA!B13229</f>
        <v/>
      </c>
      <c r="C13229">
        <f>TEST_DATA!C13229</f>
        <v/>
      </c>
      <c r="D13229">
        <f>TEST_DATA!D13229</f>
        <v/>
      </c>
      <c r="E13229">
        <f>TEST_DATA!E13229</f>
        <v/>
      </c>
    </row>
    <row r="13230">
      <c r="A13230">
        <f>TEST_DATA!A13230</f>
        <v/>
      </c>
      <c r="B13230">
        <f>TEST_DATA!B13230</f>
        <v/>
      </c>
      <c r="C13230">
        <f>TEST_DATA!C13230</f>
        <v/>
      </c>
      <c r="D13230">
        <f>TEST_DATA!D13230</f>
        <v/>
      </c>
      <c r="E13230">
        <f>TEST_DATA!E13230</f>
        <v/>
      </c>
    </row>
    <row r="13231">
      <c r="A13231">
        <f>TEST_DATA!A13231</f>
        <v/>
      </c>
      <c r="B13231">
        <f>TEST_DATA!B13231</f>
        <v/>
      </c>
      <c r="C13231">
        <f>TEST_DATA!C13231</f>
        <v/>
      </c>
      <c r="D13231">
        <f>TEST_DATA!D13231</f>
        <v/>
      </c>
      <c r="E13231">
        <f>TEST_DATA!E13231</f>
        <v/>
      </c>
    </row>
    <row r="13232">
      <c r="A13232">
        <f>TEST_DATA!A13232</f>
        <v/>
      </c>
      <c r="B13232">
        <f>TEST_DATA!B13232</f>
        <v/>
      </c>
      <c r="C13232">
        <f>TEST_DATA!C13232</f>
        <v/>
      </c>
      <c r="D13232">
        <f>TEST_DATA!D13232</f>
        <v/>
      </c>
      <c r="E13232">
        <f>TEST_DATA!E13232</f>
        <v/>
      </c>
    </row>
    <row r="13233">
      <c r="A13233">
        <f>TEST_DATA!A13233</f>
        <v/>
      </c>
      <c r="B13233">
        <f>TEST_DATA!B13233</f>
        <v/>
      </c>
      <c r="C13233">
        <f>TEST_DATA!C13233</f>
        <v/>
      </c>
      <c r="D13233">
        <f>TEST_DATA!D13233</f>
        <v/>
      </c>
      <c r="E13233">
        <f>TEST_DATA!E13233</f>
        <v/>
      </c>
    </row>
    <row r="13234">
      <c r="A13234">
        <f>TEST_DATA!A13234</f>
        <v/>
      </c>
      <c r="B13234">
        <f>TEST_DATA!B13234</f>
        <v/>
      </c>
      <c r="C13234">
        <f>TEST_DATA!C13234</f>
        <v/>
      </c>
      <c r="D13234">
        <f>TEST_DATA!D13234</f>
        <v/>
      </c>
      <c r="E13234">
        <f>TEST_DATA!E13234</f>
        <v/>
      </c>
    </row>
    <row r="13235">
      <c r="A13235">
        <f>TEST_DATA!A13235</f>
        <v/>
      </c>
      <c r="B13235">
        <f>TEST_DATA!B13235</f>
        <v/>
      </c>
      <c r="C13235">
        <f>TEST_DATA!C13235</f>
        <v/>
      </c>
      <c r="D13235">
        <f>TEST_DATA!D13235</f>
        <v/>
      </c>
      <c r="E13235">
        <f>TEST_DATA!E13235</f>
        <v/>
      </c>
    </row>
    <row r="13236">
      <c r="A13236">
        <f>TEST_DATA!A13236</f>
        <v/>
      </c>
      <c r="B13236">
        <f>TEST_DATA!B13236</f>
        <v/>
      </c>
      <c r="C13236">
        <f>TEST_DATA!C13236</f>
        <v/>
      </c>
      <c r="D13236">
        <f>TEST_DATA!D13236</f>
        <v/>
      </c>
      <c r="E13236">
        <f>TEST_DATA!E13236</f>
        <v/>
      </c>
    </row>
    <row r="13237">
      <c r="A13237">
        <f>TEST_DATA!A13237</f>
        <v/>
      </c>
      <c r="B13237">
        <f>TEST_DATA!B13237</f>
        <v/>
      </c>
      <c r="C13237">
        <f>TEST_DATA!C13237</f>
        <v/>
      </c>
      <c r="D13237">
        <f>TEST_DATA!D13237</f>
        <v/>
      </c>
      <c r="E13237">
        <f>TEST_DATA!E13237</f>
        <v/>
      </c>
    </row>
    <row r="13238">
      <c r="A13238">
        <f>TEST_DATA!A13238</f>
        <v/>
      </c>
      <c r="B13238">
        <f>TEST_DATA!B13238</f>
        <v/>
      </c>
      <c r="C13238">
        <f>TEST_DATA!C13238</f>
        <v/>
      </c>
      <c r="D13238">
        <f>TEST_DATA!D13238</f>
        <v/>
      </c>
      <c r="E13238">
        <f>TEST_DATA!E13238</f>
        <v/>
      </c>
    </row>
    <row r="13239">
      <c r="A13239">
        <f>TEST_DATA!A13239</f>
        <v/>
      </c>
      <c r="B13239">
        <f>TEST_DATA!B13239</f>
        <v/>
      </c>
      <c r="C13239">
        <f>TEST_DATA!C13239</f>
        <v/>
      </c>
      <c r="D13239">
        <f>TEST_DATA!D13239</f>
        <v/>
      </c>
      <c r="E13239">
        <f>TEST_DATA!E13239</f>
        <v/>
      </c>
    </row>
    <row r="13240">
      <c r="A13240">
        <f>TEST_DATA!A13240</f>
        <v/>
      </c>
      <c r="B13240">
        <f>TEST_DATA!B13240</f>
        <v/>
      </c>
      <c r="C13240">
        <f>TEST_DATA!C13240</f>
        <v/>
      </c>
      <c r="D13240">
        <f>TEST_DATA!D13240</f>
        <v/>
      </c>
      <c r="E13240">
        <f>TEST_DATA!E13240</f>
        <v/>
      </c>
    </row>
    <row r="13241">
      <c r="A13241">
        <f>TEST_DATA!A13241</f>
        <v/>
      </c>
      <c r="B13241">
        <f>TEST_DATA!B13241</f>
        <v/>
      </c>
      <c r="C13241">
        <f>TEST_DATA!C13241</f>
        <v/>
      </c>
      <c r="D13241">
        <f>TEST_DATA!D13241</f>
        <v/>
      </c>
      <c r="E13241">
        <f>TEST_DATA!E13241</f>
        <v/>
      </c>
    </row>
    <row r="13242">
      <c r="A13242">
        <f>TEST_DATA!A13242</f>
        <v/>
      </c>
      <c r="B13242">
        <f>TEST_DATA!B13242</f>
        <v/>
      </c>
      <c r="C13242">
        <f>TEST_DATA!C13242</f>
        <v/>
      </c>
      <c r="D13242">
        <f>TEST_DATA!D13242</f>
        <v/>
      </c>
      <c r="E13242">
        <f>TEST_DATA!E13242</f>
        <v/>
      </c>
    </row>
    <row r="13243">
      <c r="A13243">
        <f>TEST_DATA!A13243</f>
        <v/>
      </c>
      <c r="B13243">
        <f>TEST_DATA!B13243</f>
        <v/>
      </c>
      <c r="C13243">
        <f>TEST_DATA!C13243</f>
        <v/>
      </c>
      <c r="D13243">
        <f>TEST_DATA!D13243</f>
        <v/>
      </c>
      <c r="E13243">
        <f>TEST_DATA!E13243</f>
        <v/>
      </c>
    </row>
    <row r="13244">
      <c r="A13244">
        <f>TEST_DATA!A13244</f>
        <v/>
      </c>
      <c r="B13244">
        <f>TEST_DATA!B13244</f>
        <v/>
      </c>
      <c r="C13244">
        <f>TEST_DATA!C13244</f>
        <v/>
      </c>
      <c r="D13244">
        <f>TEST_DATA!D13244</f>
        <v/>
      </c>
      <c r="E13244">
        <f>TEST_DATA!E13244</f>
        <v/>
      </c>
    </row>
    <row r="13245">
      <c r="A13245">
        <f>TEST_DATA!A13245</f>
        <v/>
      </c>
      <c r="B13245">
        <f>TEST_DATA!B13245</f>
        <v/>
      </c>
      <c r="C13245">
        <f>TEST_DATA!C13245</f>
        <v/>
      </c>
      <c r="D13245">
        <f>TEST_DATA!D13245</f>
        <v/>
      </c>
      <c r="E13245">
        <f>TEST_DATA!E13245</f>
        <v/>
      </c>
    </row>
    <row r="13246">
      <c r="A13246">
        <f>TEST_DATA!A13246</f>
        <v/>
      </c>
      <c r="B13246">
        <f>TEST_DATA!B13246</f>
        <v/>
      </c>
      <c r="C13246">
        <f>TEST_DATA!C13246</f>
        <v/>
      </c>
      <c r="D13246">
        <f>TEST_DATA!D13246</f>
        <v/>
      </c>
      <c r="E13246">
        <f>TEST_DATA!E13246</f>
        <v/>
      </c>
    </row>
    <row r="13247">
      <c r="A13247">
        <f>TEST_DATA!A13247</f>
        <v/>
      </c>
      <c r="B13247">
        <f>TEST_DATA!B13247</f>
        <v/>
      </c>
      <c r="C13247">
        <f>TEST_DATA!C13247</f>
        <v/>
      </c>
      <c r="D13247">
        <f>TEST_DATA!D13247</f>
        <v/>
      </c>
      <c r="E13247">
        <f>TEST_DATA!E13247</f>
        <v/>
      </c>
    </row>
    <row r="13248">
      <c r="A13248">
        <f>TEST_DATA!A13248</f>
        <v/>
      </c>
      <c r="B13248">
        <f>TEST_DATA!B13248</f>
        <v/>
      </c>
      <c r="C13248">
        <f>TEST_DATA!C13248</f>
        <v/>
      </c>
      <c r="D13248">
        <f>TEST_DATA!D13248</f>
        <v/>
      </c>
      <c r="E13248">
        <f>TEST_DATA!E13248</f>
        <v/>
      </c>
    </row>
    <row r="13249">
      <c r="A13249">
        <f>TEST_DATA!A13249</f>
        <v/>
      </c>
      <c r="B13249">
        <f>TEST_DATA!B13249</f>
        <v/>
      </c>
      <c r="C13249">
        <f>TEST_DATA!C13249</f>
        <v/>
      </c>
      <c r="D13249">
        <f>TEST_DATA!D13249</f>
        <v/>
      </c>
      <c r="E13249">
        <f>TEST_DATA!E13249</f>
        <v/>
      </c>
    </row>
    <row r="13250">
      <c r="A13250">
        <f>TEST_DATA!A13250</f>
        <v/>
      </c>
      <c r="B13250">
        <f>TEST_DATA!B13250</f>
        <v/>
      </c>
      <c r="C13250">
        <f>TEST_DATA!C13250</f>
        <v/>
      </c>
      <c r="D13250">
        <f>TEST_DATA!D13250</f>
        <v/>
      </c>
      <c r="E13250">
        <f>TEST_DATA!E13250</f>
        <v/>
      </c>
    </row>
    <row r="13251">
      <c r="A13251">
        <f>TEST_DATA!A13251</f>
        <v/>
      </c>
      <c r="B13251">
        <f>TEST_DATA!B13251</f>
        <v/>
      </c>
      <c r="C13251">
        <f>TEST_DATA!C13251</f>
        <v/>
      </c>
      <c r="D13251">
        <f>TEST_DATA!D13251</f>
        <v/>
      </c>
      <c r="E13251">
        <f>TEST_DATA!E13251</f>
        <v/>
      </c>
    </row>
    <row r="13252">
      <c r="A13252">
        <f>TEST_DATA!A13252</f>
        <v/>
      </c>
      <c r="B13252">
        <f>TEST_DATA!B13252</f>
        <v/>
      </c>
      <c r="C13252">
        <f>TEST_DATA!C13252</f>
        <v/>
      </c>
      <c r="D13252">
        <f>TEST_DATA!D13252</f>
        <v/>
      </c>
      <c r="E13252">
        <f>TEST_DATA!E13252</f>
        <v/>
      </c>
    </row>
    <row r="13253">
      <c r="A13253">
        <f>TEST_DATA!A13253</f>
        <v/>
      </c>
      <c r="B13253">
        <f>TEST_DATA!B13253</f>
        <v/>
      </c>
      <c r="C13253">
        <f>TEST_DATA!C13253</f>
        <v/>
      </c>
      <c r="D13253">
        <f>TEST_DATA!D13253</f>
        <v/>
      </c>
      <c r="E13253">
        <f>TEST_DATA!E13253</f>
        <v/>
      </c>
    </row>
    <row r="13254">
      <c r="A13254">
        <f>TEST_DATA!A13254</f>
        <v/>
      </c>
      <c r="B13254">
        <f>TEST_DATA!B13254</f>
        <v/>
      </c>
      <c r="C13254">
        <f>TEST_DATA!C13254</f>
        <v/>
      </c>
      <c r="D13254">
        <f>TEST_DATA!D13254</f>
        <v/>
      </c>
      <c r="E13254">
        <f>TEST_DATA!E13254</f>
        <v/>
      </c>
    </row>
    <row r="13255">
      <c r="A13255">
        <f>TEST_DATA!A13255</f>
        <v/>
      </c>
      <c r="B13255">
        <f>TEST_DATA!B13255</f>
        <v/>
      </c>
      <c r="C13255">
        <f>TEST_DATA!C13255</f>
        <v/>
      </c>
      <c r="D13255">
        <f>TEST_DATA!D13255</f>
        <v/>
      </c>
      <c r="E13255">
        <f>TEST_DATA!E13255</f>
        <v/>
      </c>
    </row>
    <row r="13256">
      <c r="A13256">
        <f>TEST_DATA!A13256</f>
        <v/>
      </c>
      <c r="B13256">
        <f>TEST_DATA!B13256</f>
        <v/>
      </c>
      <c r="C13256">
        <f>TEST_DATA!C13256</f>
        <v/>
      </c>
      <c r="D13256">
        <f>TEST_DATA!D13256</f>
        <v/>
      </c>
      <c r="E13256">
        <f>TEST_DATA!E13256</f>
        <v/>
      </c>
    </row>
    <row r="13257">
      <c r="A13257">
        <f>TEST_DATA!A13257</f>
        <v/>
      </c>
      <c r="B13257">
        <f>TEST_DATA!B13257</f>
        <v/>
      </c>
      <c r="C13257">
        <f>TEST_DATA!C13257</f>
        <v/>
      </c>
      <c r="D13257">
        <f>TEST_DATA!D13257</f>
        <v/>
      </c>
      <c r="E13257">
        <f>TEST_DATA!E13257</f>
        <v/>
      </c>
    </row>
    <row r="13258">
      <c r="A13258">
        <f>TEST_DATA!A13258</f>
        <v/>
      </c>
      <c r="B13258">
        <f>TEST_DATA!B13258</f>
        <v/>
      </c>
      <c r="C13258">
        <f>TEST_DATA!C13258</f>
        <v/>
      </c>
      <c r="D13258">
        <f>TEST_DATA!D13258</f>
        <v/>
      </c>
      <c r="E13258">
        <f>TEST_DATA!E13258</f>
        <v/>
      </c>
    </row>
    <row r="13259">
      <c r="A13259">
        <f>TEST_DATA!A13259</f>
        <v/>
      </c>
      <c r="B13259">
        <f>TEST_DATA!B13259</f>
        <v/>
      </c>
      <c r="C13259">
        <f>TEST_DATA!C13259</f>
        <v/>
      </c>
      <c r="D13259">
        <f>TEST_DATA!D13259</f>
        <v/>
      </c>
      <c r="E13259">
        <f>TEST_DATA!E13259</f>
        <v/>
      </c>
    </row>
    <row r="13260">
      <c r="A13260">
        <f>TEST_DATA!A13260</f>
        <v/>
      </c>
      <c r="B13260">
        <f>TEST_DATA!B13260</f>
        <v/>
      </c>
      <c r="C13260">
        <f>TEST_DATA!C13260</f>
        <v/>
      </c>
      <c r="D13260">
        <f>TEST_DATA!D13260</f>
        <v/>
      </c>
      <c r="E13260">
        <f>TEST_DATA!E13260</f>
        <v/>
      </c>
    </row>
    <row r="13261">
      <c r="A13261">
        <f>TEST_DATA!A13261</f>
        <v/>
      </c>
      <c r="B13261">
        <f>TEST_DATA!B13261</f>
        <v/>
      </c>
      <c r="C13261">
        <f>TEST_DATA!C13261</f>
        <v/>
      </c>
      <c r="D13261">
        <f>TEST_DATA!D13261</f>
        <v/>
      </c>
      <c r="E13261">
        <f>TEST_DATA!E13261</f>
        <v/>
      </c>
    </row>
    <row r="13262">
      <c r="A13262">
        <f>TEST_DATA!A13262</f>
        <v/>
      </c>
      <c r="B13262">
        <f>TEST_DATA!B13262</f>
        <v/>
      </c>
      <c r="C13262">
        <f>TEST_DATA!C13262</f>
        <v/>
      </c>
      <c r="D13262">
        <f>TEST_DATA!D13262</f>
        <v/>
      </c>
      <c r="E13262">
        <f>TEST_DATA!E13262</f>
        <v/>
      </c>
    </row>
    <row r="13263">
      <c r="A13263">
        <f>TEST_DATA!A13263</f>
        <v/>
      </c>
      <c r="B13263">
        <f>TEST_DATA!B13263</f>
        <v/>
      </c>
      <c r="C13263">
        <f>TEST_DATA!C13263</f>
        <v/>
      </c>
      <c r="D13263">
        <f>TEST_DATA!D13263</f>
        <v/>
      </c>
      <c r="E13263">
        <f>TEST_DATA!E13263</f>
        <v/>
      </c>
    </row>
    <row r="13264">
      <c r="A13264">
        <f>TEST_DATA!A13264</f>
        <v/>
      </c>
      <c r="B13264">
        <f>TEST_DATA!B13264</f>
        <v/>
      </c>
      <c r="C13264">
        <f>TEST_DATA!C13264</f>
        <v/>
      </c>
      <c r="D13264">
        <f>TEST_DATA!D13264</f>
        <v/>
      </c>
      <c r="E13264">
        <f>TEST_DATA!E13264</f>
        <v/>
      </c>
    </row>
    <row r="13265">
      <c r="A13265">
        <f>TEST_DATA!A13265</f>
        <v/>
      </c>
      <c r="B13265">
        <f>TEST_DATA!B13265</f>
        <v/>
      </c>
      <c r="C13265">
        <f>TEST_DATA!C13265</f>
        <v/>
      </c>
      <c r="D13265">
        <f>TEST_DATA!D13265</f>
        <v/>
      </c>
      <c r="E13265">
        <f>TEST_DATA!E13265</f>
        <v/>
      </c>
    </row>
    <row r="13266">
      <c r="A13266">
        <f>TEST_DATA!A13266</f>
        <v/>
      </c>
      <c r="B13266">
        <f>TEST_DATA!B13266</f>
        <v/>
      </c>
      <c r="C13266">
        <f>TEST_DATA!C13266</f>
        <v/>
      </c>
      <c r="D13266">
        <f>TEST_DATA!D13266</f>
        <v/>
      </c>
      <c r="E13266">
        <f>TEST_DATA!E13266</f>
        <v/>
      </c>
    </row>
    <row r="13267">
      <c r="A13267">
        <f>TEST_DATA!A13267</f>
        <v/>
      </c>
      <c r="B13267">
        <f>TEST_DATA!B13267</f>
        <v/>
      </c>
      <c r="C13267">
        <f>TEST_DATA!C13267</f>
        <v/>
      </c>
      <c r="D13267">
        <f>TEST_DATA!D13267</f>
        <v/>
      </c>
      <c r="E13267">
        <f>TEST_DATA!E13267</f>
        <v/>
      </c>
    </row>
    <row r="13268">
      <c r="A13268">
        <f>TEST_DATA!A13268</f>
        <v/>
      </c>
      <c r="B13268">
        <f>TEST_DATA!B13268</f>
        <v/>
      </c>
      <c r="C13268">
        <f>TEST_DATA!C13268</f>
        <v/>
      </c>
      <c r="D13268">
        <f>TEST_DATA!D13268</f>
        <v/>
      </c>
      <c r="E13268">
        <f>TEST_DATA!E13268</f>
        <v/>
      </c>
    </row>
    <row r="13269">
      <c r="A13269">
        <f>TEST_DATA!A13269</f>
        <v/>
      </c>
      <c r="B13269">
        <f>TEST_DATA!B13269</f>
        <v/>
      </c>
      <c r="C13269">
        <f>TEST_DATA!C13269</f>
        <v/>
      </c>
      <c r="D13269">
        <f>TEST_DATA!D13269</f>
        <v/>
      </c>
      <c r="E13269">
        <f>TEST_DATA!E13269</f>
        <v/>
      </c>
    </row>
    <row r="13270">
      <c r="A13270">
        <f>TEST_DATA!A13270</f>
        <v/>
      </c>
      <c r="B13270">
        <f>TEST_DATA!B13270</f>
        <v/>
      </c>
      <c r="C13270">
        <f>TEST_DATA!C13270</f>
        <v/>
      </c>
      <c r="D13270">
        <f>TEST_DATA!D13270</f>
        <v/>
      </c>
      <c r="E13270">
        <f>TEST_DATA!E13270</f>
        <v/>
      </c>
    </row>
    <row r="13271">
      <c r="A13271">
        <f>TEST_DATA!A13271</f>
        <v/>
      </c>
      <c r="B13271">
        <f>TEST_DATA!B13271</f>
        <v/>
      </c>
      <c r="C13271">
        <f>TEST_DATA!C13271</f>
        <v/>
      </c>
      <c r="D13271">
        <f>TEST_DATA!D13271</f>
        <v/>
      </c>
      <c r="E13271">
        <f>TEST_DATA!E13271</f>
        <v/>
      </c>
    </row>
    <row r="13272">
      <c r="A13272">
        <f>TEST_DATA!A13272</f>
        <v/>
      </c>
      <c r="B13272">
        <f>TEST_DATA!B13272</f>
        <v/>
      </c>
      <c r="C13272">
        <f>TEST_DATA!C13272</f>
        <v/>
      </c>
      <c r="D13272">
        <f>TEST_DATA!D13272</f>
        <v/>
      </c>
      <c r="E13272">
        <f>TEST_DATA!E13272</f>
        <v/>
      </c>
    </row>
    <row r="13273">
      <c r="A13273">
        <f>TEST_DATA!A13273</f>
        <v/>
      </c>
      <c r="B13273">
        <f>TEST_DATA!B13273</f>
        <v/>
      </c>
      <c r="C13273">
        <f>TEST_DATA!C13273</f>
        <v/>
      </c>
      <c r="D13273">
        <f>TEST_DATA!D13273</f>
        <v/>
      </c>
      <c r="E13273">
        <f>TEST_DATA!E13273</f>
        <v/>
      </c>
    </row>
    <row r="13274">
      <c r="A13274">
        <f>TEST_DATA!A13274</f>
        <v/>
      </c>
      <c r="B13274">
        <f>TEST_DATA!B13274</f>
        <v/>
      </c>
      <c r="C13274">
        <f>TEST_DATA!C13274</f>
        <v/>
      </c>
      <c r="D13274">
        <f>TEST_DATA!D13274</f>
        <v/>
      </c>
      <c r="E13274">
        <f>TEST_DATA!E13274</f>
        <v/>
      </c>
    </row>
    <row r="13275">
      <c r="A13275">
        <f>TEST_DATA!A13275</f>
        <v/>
      </c>
      <c r="B13275">
        <f>TEST_DATA!B13275</f>
        <v/>
      </c>
      <c r="C13275">
        <f>TEST_DATA!C13275</f>
        <v/>
      </c>
      <c r="D13275">
        <f>TEST_DATA!D13275</f>
        <v/>
      </c>
      <c r="E13275">
        <f>TEST_DATA!E13275</f>
        <v/>
      </c>
    </row>
    <row r="13276">
      <c r="A13276">
        <f>TEST_DATA!A13276</f>
        <v/>
      </c>
      <c r="B13276">
        <f>TEST_DATA!B13276</f>
        <v/>
      </c>
      <c r="C13276">
        <f>TEST_DATA!C13276</f>
        <v/>
      </c>
      <c r="D13276">
        <f>TEST_DATA!D13276</f>
        <v/>
      </c>
      <c r="E13276">
        <f>TEST_DATA!E13276</f>
        <v/>
      </c>
    </row>
    <row r="13277">
      <c r="A13277">
        <f>TEST_DATA!A13277</f>
        <v/>
      </c>
      <c r="B13277">
        <f>TEST_DATA!B13277</f>
        <v/>
      </c>
      <c r="C13277">
        <f>TEST_DATA!C13277</f>
        <v/>
      </c>
      <c r="D13277">
        <f>TEST_DATA!D13277</f>
        <v/>
      </c>
      <c r="E13277">
        <f>TEST_DATA!E13277</f>
        <v/>
      </c>
    </row>
    <row r="13278">
      <c r="A13278">
        <f>TEST_DATA!A13278</f>
        <v/>
      </c>
      <c r="B13278">
        <f>TEST_DATA!B13278</f>
        <v/>
      </c>
      <c r="C13278">
        <f>TEST_DATA!C13278</f>
        <v/>
      </c>
      <c r="D13278">
        <f>TEST_DATA!D13278</f>
        <v/>
      </c>
      <c r="E13278">
        <f>TEST_DATA!E13278</f>
        <v/>
      </c>
    </row>
    <row r="13279">
      <c r="A13279">
        <f>TEST_DATA!A13279</f>
        <v/>
      </c>
      <c r="B13279">
        <f>TEST_DATA!B13279</f>
        <v/>
      </c>
      <c r="C13279">
        <f>TEST_DATA!C13279</f>
        <v/>
      </c>
      <c r="D13279">
        <f>TEST_DATA!D13279</f>
        <v/>
      </c>
      <c r="E13279">
        <f>TEST_DATA!E13279</f>
        <v/>
      </c>
    </row>
    <row r="13280">
      <c r="A13280">
        <f>TEST_DATA!A13280</f>
        <v/>
      </c>
      <c r="B13280">
        <f>TEST_DATA!B13280</f>
        <v/>
      </c>
      <c r="C13280">
        <f>TEST_DATA!C13280</f>
        <v/>
      </c>
      <c r="D13280">
        <f>TEST_DATA!D13280</f>
        <v/>
      </c>
      <c r="E13280">
        <f>TEST_DATA!E13280</f>
        <v/>
      </c>
    </row>
    <row r="13281">
      <c r="A13281">
        <f>TEST_DATA!A13281</f>
        <v/>
      </c>
      <c r="B13281">
        <f>TEST_DATA!B13281</f>
        <v/>
      </c>
      <c r="C13281">
        <f>TEST_DATA!C13281</f>
        <v/>
      </c>
      <c r="D13281">
        <f>TEST_DATA!D13281</f>
        <v/>
      </c>
      <c r="E13281">
        <f>TEST_DATA!E13281</f>
        <v/>
      </c>
    </row>
    <row r="13282">
      <c r="A13282">
        <f>TEST_DATA!A13282</f>
        <v/>
      </c>
      <c r="B13282">
        <f>TEST_DATA!B13282</f>
        <v/>
      </c>
      <c r="C13282">
        <f>TEST_DATA!C13282</f>
        <v/>
      </c>
      <c r="D13282">
        <f>TEST_DATA!D13282</f>
        <v/>
      </c>
      <c r="E13282">
        <f>TEST_DATA!E13282</f>
        <v/>
      </c>
    </row>
    <row r="13283">
      <c r="A13283">
        <f>TEST_DATA!A13283</f>
        <v/>
      </c>
      <c r="B13283">
        <f>TEST_DATA!B13283</f>
        <v/>
      </c>
      <c r="C13283">
        <f>TEST_DATA!C13283</f>
        <v/>
      </c>
      <c r="D13283">
        <f>TEST_DATA!D13283</f>
        <v/>
      </c>
      <c r="E13283">
        <f>TEST_DATA!E13283</f>
        <v/>
      </c>
    </row>
    <row r="13284">
      <c r="A13284">
        <f>TEST_DATA!A13284</f>
        <v/>
      </c>
      <c r="B13284">
        <f>TEST_DATA!B13284</f>
        <v/>
      </c>
      <c r="C13284">
        <f>TEST_DATA!C13284</f>
        <v/>
      </c>
      <c r="D13284">
        <f>TEST_DATA!D13284</f>
        <v/>
      </c>
      <c r="E13284">
        <f>TEST_DATA!E13284</f>
        <v/>
      </c>
    </row>
    <row r="13285">
      <c r="A13285">
        <f>TEST_DATA!A13285</f>
        <v/>
      </c>
      <c r="B13285">
        <f>TEST_DATA!B13285</f>
        <v/>
      </c>
      <c r="C13285">
        <f>TEST_DATA!C13285</f>
        <v/>
      </c>
      <c r="D13285">
        <f>TEST_DATA!D13285</f>
        <v/>
      </c>
      <c r="E13285">
        <f>TEST_DATA!E13285</f>
        <v/>
      </c>
    </row>
    <row r="13286">
      <c r="A13286">
        <f>TEST_DATA!A13286</f>
        <v/>
      </c>
      <c r="B13286">
        <f>TEST_DATA!B13286</f>
        <v/>
      </c>
      <c r="C13286">
        <f>TEST_DATA!C13286</f>
        <v/>
      </c>
      <c r="D13286">
        <f>TEST_DATA!D13286</f>
        <v/>
      </c>
      <c r="E13286">
        <f>TEST_DATA!E13286</f>
        <v/>
      </c>
    </row>
    <row r="13287">
      <c r="A13287">
        <f>TEST_DATA!A13287</f>
        <v/>
      </c>
      <c r="B13287">
        <f>TEST_DATA!B13287</f>
        <v/>
      </c>
      <c r="C13287">
        <f>TEST_DATA!C13287</f>
        <v/>
      </c>
      <c r="D13287">
        <f>TEST_DATA!D13287</f>
        <v/>
      </c>
      <c r="E13287">
        <f>TEST_DATA!E13287</f>
        <v/>
      </c>
    </row>
    <row r="13288">
      <c r="A13288">
        <f>TEST_DATA!A13288</f>
        <v/>
      </c>
      <c r="B13288">
        <f>TEST_DATA!B13288</f>
        <v/>
      </c>
      <c r="C13288">
        <f>TEST_DATA!C13288</f>
        <v/>
      </c>
      <c r="D13288">
        <f>TEST_DATA!D13288</f>
        <v/>
      </c>
      <c r="E13288">
        <f>TEST_DATA!E13288</f>
        <v/>
      </c>
    </row>
    <row r="13289">
      <c r="A13289">
        <f>TEST_DATA!A13289</f>
        <v/>
      </c>
      <c r="B13289">
        <f>TEST_DATA!B13289</f>
        <v/>
      </c>
      <c r="C13289">
        <f>TEST_DATA!C13289</f>
        <v/>
      </c>
      <c r="D13289">
        <f>TEST_DATA!D13289</f>
        <v/>
      </c>
      <c r="E13289">
        <f>TEST_DATA!E13289</f>
        <v/>
      </c>
    </row>
    <row r="13290">
      <c r="A13290">
        <f>TEST_DATA!A13290</f>
        <v/>
      </c>
      <c r="B13290">
        <f>TEST_DATA!B13290</f>
        <v/>
      </c>
      <c r="C13290">
        <f>TEST_DATA!C13290</f>
        <v/>
      </c>
      <c r="D13290">
        <f>TEST_DATA!D13290</f>
        <v/>
      </c>
      <c r="E13290">
        <f>TEST_DATA!E13290</f>
        <v/>
      </c>
    </row>
    <row r="13291">
      <c r="A13291">
        <f>TEST_DATA!A13291</f>
        <v/>
      </c>
      <c r="B13291">
        <f>TEST_DATA!B13291</f>
        <v/>
      </c>
      <c r="C13291">
        <f>TEST_DATA!C13291</f>
        <v/>
      </c>
      <c r="D13291">
        <f>TEST_DATA!D13291</f>
        <v/>
      </c>
      <c r="E13291">
        <f>TEST_DATA!E13291</f>
        <v/>
      </c>
    </row>
    <row r="13292">
      <c r="A13292">
        <f>TEST_DATA!A13292</f>
        <v/>
      </c>
      <c r="B13292">
        <f>TEST_DATA!B13292</f>
        <v/>
      </c>
      <c r="C13292">
        <f>TEST_DATA!C13292</f>
        <v/>
      </c>
      <c r="D13292">
        <f>TEST_DATA!D13292</f>
        <v/>
      </c>
      <c r="E13292">
        <f>TEST_DATA!E13292</f>
        <v/>
      </c>
    </row>
    <row r="13293">
      <c r="A13293">
        <f>TEST_DATA!A13293</f>
        <v/>
      </c>
      <c r="B13293">
        <f>TEST_DATA!B13293</f>
        <v/>
      </c>
      <c r="C13293">
        <f>TEST_DATA!C13293</f>
        <v/>
      </c>
      <c r="D13293">
        <f>TEST_DATA!D13293</f>
        <v/>
      </c>
      <c r="E13293">
        <f>TEST_DATA!E13293</f>
        <v/>
      </c>
    </row>
    <row r="13294">
      <c r="A13294">
        <f>TEST_DATA!A13294</f>
        <v/>
      </c>
      <c r="B13294">
        <f>TEST_DATA!B13294</f>
        <v/>
      </c>
      <c r="C13294">
        <f>TEST_DATA!C13294</f>
        <v/>
      </c>
      <c r="D13294">
        <f>TEST_DATA!D13294</f>
        <v/>
      </c>
      <c r="E13294">
        <f>TEST_DATA!E13294</f>
        <v/>
      </c>
    </row>
    <row r="13295">
      <c r="A13295">
        <f>TEST_DATA!A13295</f>
        <v/>
      </c>
      <c r="B13295">
        <f>TEST_DATA!B13295</f>
        <v/>
      </c>
      <c r="C13295">
        <f>TEST_DATA!C13295</f>
        <v/>
      </c>
      <c r="D13295">
        <f>TEST_DATA!D13295</f>
        <v/>
      </c>
      <c r="E13295">
        <f>TEST_DATA!E13295</f>
        <v/>
      </c>
    </row>
    <row r="13296">
      <c r="A13296">
        <f>TEST_DATA!A13296</f>
        <v/>
      </c>
      <c r="B13296">
        <f>TEST_DATA!B13296</f>
        <v/>
      </c>
      <c r="C13296">
        <f>TEST_DATA!C13296</f>
        <v/>
      </c>
      <c r="D13296">
        <f>TEST_DATA!D13296</f>
        <v/>
      </c>
      <c r="E13296">
        <f>TEST_DATA!E13296</f>
        <v/>
      </c>
    </row>
    <row r="13297">
      <c r="A13297">
        <f>TEST_DATA!A13297</f>
        <v/>
      </c>
      <c r="B13297">
        <f>TEST_DATA!B13297</f>
        <v/>
      </c>
      <c r="C13297">
        <f>TEST_DATA!C13297</f>
        <v/>
      </c>
      <c r="D13297">
        <f>TEST_DATA!D13297</f>
        <v/>
      </c>
      <c r="E13297">
        <f>TEST_DATA!E13297</f>
        <v/>
      </c>
    </row>
    <row r="13298">
      <c r="A13298">
        <f>TEST_DATA!A13298</f>
        <v/>
      </c>
      <c r="B13298">
        <f>TEST_DATA!B13298</f>
        <v/>
      </c>
      <c r="C13298">
        <f>TEST_DATA!C13298</f>
        <v/>
      </c>
      <c r="D13298">
        <f>TEST_DATA!D13298</f>
        <v/>
      </c>
      <c r="E13298">
        <f>TEST_DATA!E13298</f>
        <v/>
      </c>
    </row>
    <row r="13299">
      <c r="A13299">
        <f>TEST_DATA!A13299</f>
        <v/>
      </c>
      <c r="B13299">
        <f>TEST_DATA!B13299</f>
        <v/>
      </c>
      <c r="C13299">
        <f>TEST_DATA!C13299</f>
        <v/>
      </c>
      <c r="D13299">
        <f>TEST_DATA!D13299</f>
        <v/>
      </c>
      <c r="E13299">
        <f>TEST_DATA!E13299</f>
        <v/>
      </c>
    </row>
    <row r="13300">
      <c r="A13300">
        <f>TEST_DATA!A13300</f>
        <v/>
      </c>
      <c r="B13300">
        <f>TEST_DATA!B13300</f>
        <v/>
      </c>
      <c r="C13300">
        <f>TEST_DATA!C13300</f>
        <v/>
      </c>
      <c r="D13300">
        <f>TEST_DATA!D13300</f>
        <v/>
      </c>
      <c r="E13300">
        <f>TEST_DATA!E13300</f>
        <v/>
      </c>
    </row>
    <row r="13301">
      <c r="A13301">
        <f>TEST_DATA!A13301</f>
        <v/>
      </c>
      <c r="B13301">
        <f>TEST_DATA!B13301</f>
        <v/>
      </c>
      <c r="C13301">
        <f>TEST_DATA!C13301</f>
        <v/>
      </c>
      <c r="D13301">
        <f>TEST_DATA!D13301</f>
        <v/>
      </c>
      <c r="E13301">
        <f>TEST_DATA!E13301</f>
        <v/>
      </c>
    </row>
    <row r="13302">
      <c r="A13302">
        <f>TEST_DATA!A13302</f>
        <v/>
      </c>
      <c r="B13302">
        <f>TEST_DATA!B13302</f>
        <v/>
      </c>
      <c r="C13302">
        <f>TEST_DATA!C13302</f>
        <v/>
      </c>
      <c r="D13302">
        <f>TEST_DATA!D13302</f>
        <v/>
      </c>
      <c r="E13302">
        <f>TEST_DATA!E13302</f>
        <v/>
      </c>
    </row>
    <row r="13303">
      <c r="A13303">
        <f>TEST_DATA!A13303</f>
        <v/>
      </c>
      <c r="B13303">
        <f>TEST_DATA!B13303</f>
        <v/>
      </c>
      <c r="C13303">
        <f>TEST_DATA!C13303</f>
        <v/>
      </c>
      <c r="D13303">
        <f>TEST_DATA!D13303</f>
        <v/>
      </c>
      <c r="E13303">
        <f>TEST_DATA!E13303</f>
        <v/>
      </c>
    </row>
    <row r="13304">
      <c r="A13304">
        <f>TEST_DATA!A13304</f>
        <v/>
      </c>
      <c r="B13304">
        <f>TEST_DATA!B13304</f>
        <v/>
      </c>
      <c r="C13304">
        <f>TEST_DATA!C13304</f>
        <v/>
      </c>
      <c r="D13304">
        <f>TEST_DATA!D13304</f>
        <v/>
      </c>
      <c r="E13304">
        <f>TEST_DATA!E13304</f>
        <v/>
      </c>
    </row>
    <row r="13305">
      <c r="A13305">
        <f>TEST_DATA!A13305</f>
        <v/>
      </c>
      <c r="B13305">
        <f>TEST_DATA!B13305</f>
        <v/>
      </c>
      <c r="C13305">
        <f>TEST_DATA!C13305</f>
        <v/>
      </c>
      <c r="D13305">
        <f>TEST_DATA!D13305</f>
        <v/>
      </c>
      <c r="E13305">
        <f>TEST_DATA!E13305</f>
        <v/>
      </c>
    </row>
    <row r="13306">
      <c r="A13306">
        <f>TEST_DATA!A13306</f>
        <v/>
      </c>
      <c r="B13306">
        <f>TEST_DATA!B13306</f>
        <v/>
      </c>
      <c r="C13306">
        <f>TEST_DATA!C13306</f>
        <v/>
      </c>
      <c r="D13306">
        <f>TEST_DATA!D13306</f>
        <v/>
      </c>
      <c r="E13306">
        <f>TEST_DATA!E13306</f>
        <v/>
      </c>
    </row>
    <row r="13307">
      <c r="A13307">
        <f>TEST_DATA!A13307</f>
        <v/>
      </c>
      <c r="B13307">
        <f>TEST_DATA!B13307</f>
        <v/>
      </c>
      <c r="C13307">
        <f>TEST_DATA!C13307</f>
        <v/>
      </c>
      <c r="D13307">
        <f>TEST_DATA!D13307</f>
        <v/>
      </c>
      <c r="E13307">
        <f>TEST_DATA!E13307</f>
        <v/>
      </c>
    </row>
    <row r="13308">
      <c r="A13308">
        <f>TEST_DATA!A13308</f>
        <v/>
      </c>
      <c r="B13308">
        <f>TEST_DATA!B13308</f>
        <v/>
      </c>
      <c r="C13308">
        <f>TEST_DATA!C13308</f>
        <v/>
      </c>
      <c r="D13308">
        <f>TEST_DATA!D13308</f>
        <v/>
      </c>
      <c r="E13308">
        <f>TEST_DATA!E13308</f>
        <v/>
      </c>
    </row>
    <row r="13309">
      <c r="A13309">
        <f>TEST_DATA!A13309</f>
        <v/>
      </c>
      <c r="B13309">
        <f>TEST_DATA!B13309</f>
        <v/>
      </c>
      <c r="C13309">
        <f>TEST_DATA!C13309</f>
        <v/>
      </c>
      <c r="D13309">
        <f>TEST_DATA!D13309</f>
        <v/>
      </c>
      <c r="E13309">
        <f>TEST_DATA!E13309</f>
        <v/>
      </c>
    </row>
    <row r="13310">
      <c r="A13310">
        <f>TEST_DATA!A13310</f>
        <v/>
      </c>
      <c r="B13310">
        <f>TEST_DATA!B13310</f>
        <v/>
      </c>
      <c r="C13310">
        <f>TEST_DATA!C13310</f>
        <v/>
      </c>
      <c r="D13310">
        <f>TEST_DATA!D13310</f>
        <v/>
      </c>
      <c r="E13310">
        <f>TEST_DATA!E13310</f>
        <v/>
      </c>
    </row>
    <row r="13311">
      <c r="A13311">
        <f>TEST_DATA!A13311</f>
        <v/>
      </c>
      <c r="B13311">
        <f>TEST_DATA!B13311</f>
        <v/>
      </c>
      <c r="C13311">
        <f>TEST_DATA!C13311</f>
        <v/>
      </c>
      <c r="D13311">
        <f>TEST_DATA!D13311</f>
        <v/>
      </c>
      <c r="E13311">
        <f>TEST_DATA!E13311</f>
        <v/>
      </c>
    </row>
    <row r="13312">
      <c r="A13312">
        <f>TEST_DATA!A13312</f>
        <v/>
      </c>
      <c r="B13312">
        <f>TEST_DATA!B13312</f>
        <v/>
      </c>
      <c r="C13312">
        <f>TEST_DATA!C13312</f>
        <v/>
      </c>
      <c r="D13312">
        <f>TEST_DATA!D13312</f>
        <v/>
      </c>
      <c r="E13312">
        <f>TEST_DATA!E13312</f>
        <v/>
      </c>
    </row>
    <row r="13313">
      <c r="A13313">
        <f>TEST_DATA!A13313</f>
        <v/>
      </c>
      <c r="B13313">
        <f>TEST_DATA!B13313</f>
        <v/>
      </c>
      <c r="C13313">
        <f>TEST_DATA!C13313</f>
        <v/>
      </c>
      <c r="D13313">
        <f>TEST_DATA!D13313</f>
        <v/>
      </c>
      <c r="E13313">
        <f>TEST_DATA!E13313</f>
        <v/>
      </c>
    </row>
    <row r="13314">
      <c r="A13314">
        <f>TEST_DATA!A13314</f>
        <v/>
      </c>
      <c r="B13314">
        <f>TEST_DATA!B13314</f>
        <v/>
      </c>
      <c r="C13314">
        <f>TEST_DATA!C13314</f>
        <v/>
      </c>
      <c r="D13314">
        <f>TEST_DATA!D13314</f>
        <v/>
      </c>
      <c r="E13314">
        <f>TEST_DATA!E13314</f>
        <v/>
      </c>
    </row>
    <row r="13315">
      <c r="A13315">
        <f>TEST_DATA!A13315</f>
        <v/>
      </c>
      <c r="B13315">
        <f>TEST_DATA!B13315</f>
        <v/>
      </c>
      <c r="C13315">
        <f>TEST_DATA!C13315</f>
        <v/>
      </c>
      <c r="D13315">
        <f>TEST_DATA!D13315</f>
        <v/>
      </c>
      <c r="E13315">
        <f>TEST_DATA!E13315</f>
        <v/>
      </c>
    </row>
    <row r="13316">
      <c r="A13316">
        <f>TEST_DATA!A13316</f>
        <v/>
      </c>
      <c r="B13316">
        <f>TEST_DATA!B13316</f>
        <v/>
      </c>
      <c r="C13316">
        <f>TEST_DATA!C13316</f>
        <v/>
      </c>
      <c r="D13316">
        <f>TEST_DATA!D13316</f>
        <v/>
      </c>
      <c r="E13316">
        <f>TEST_DATA!E13316</f>
        <v/>
      </c>
    </row>
    <row r="13317">
      <c r="A13317">
        <f>TEST_DATA!A13317</f>
        <v/>
      </c>
      <c r="B13317">
        <f>TEST_DATA!B13317</f>
        <v/>
      </c>
      <c r="C13317">
        <f>TEST_DATA!C13317</f>
        <v/>
      </c>
      <c r="D13317">
        <f>TEST_DATA!D13317</f>
        <v/>
      </c>
      <c r="E13317">
        <f>TEST_DATA!E13317</f>
        <v/>
      </c>
    </row>
    <row r="13318">
      <c r="A13318">
        <f>TEST_DATA!A13318</f>
        <v/>
      </c>
      <c r="B13318">
        <f>TEST_DATA!B13318</f>
        <v/>
      </c>
      <c r="C13318">
        <f>TEST_DATA!C13318</f>
        <v/>
      </c>
      <c r="D13318">
        <f>TEST_DATA!D13318</f>
        <v/>
      </c>
      <c r="E13318">
        <f>TEST_DATA!E13318</f>
        <v/>
      </c>
    </row>
    <row r="13319">
      <c r="A13319">
        <f>TEST_DATA!A13319</f>
        <v/>
      </c>
      <c r="B13319">
        <f>TEST_DATA!B13319</f>
        <v/>
      </c>
      <c r="C13319">
        <f>TEST_DATA!C13319</f>
        <v/>
      </c>
      <c r="D13319">
        <f>TEST_DATA!D13319</f>
        <v/>
      </c>
      <c r="E13319">
        <f>TEST_DATA!E13319</f>
        <v/>
      </c>
    </row>
    <row r="13320">
      <c r="A13320">
        <f>TEST_DATA!A13320</f>
        <v/>
      </c>
      <c r="B13320">
        <f>TEST_DATA!B13320</f>
        <v/>
      </c>
      <c r="C13320">
        <f>TEST_DATA!C13320</f>
        <v/>
      </c>
      <c r="D13320">
        <f>TEST_DATA!D13320</f>
        <v/>
      </c>
      <c r="E13320">
        <f>TEST_DATA!E13320</f>
        <v/>
      </c>
    </row>
    <row r="13321">
      <c r="A13321">
        <f>TEST_DATA!A13321</f>
        <v/>
      </c>
      <c r="B13321">
        <f>TEST_DATA!B13321</f>
        <v/>
      </c>
      <c r="C13321">
        <f>TEST_DATA!C13321</f>
        <v/>
      </c>
      <c r="D13321">
        <f>TEST_DATA!D13321</f>
        <v/>
      </c>
      <c r="E13321">
        <f>TEST_DATA!E13321</f>
        <v/>
      </c>
    </row>
    <row r="13322">
      <c r="A13322">
        <f>TEST_DATA!A13322</f>
        <v/>
      </c>
      <c r="B13322">
        <f>TEST_DATA!B13322</f>
        <v/>
      </c>
      <c r="C13322">
        <f>TEST_DATA!C13322</f>
        <v/>
      </c>
      <c r="D13322">
        <f>TEST_DATA!D13322</f>
        <v/>
      </c>
      <c r="E13322">
        <f>TEST_DATA!E13322</f>
        <v/>
      </c>
    </row>
    <row r="13323">
      <c r="A13323">
        <f>TEST_DATA!A13323</f>
        <v/>
      </c>
      <c r="B13323">
        <f>TEST_DATA!B13323</f>
        <v/>
      </c>
      <c r="C13323">
        <f>TEST_DATA!C13323</f>
        <v/>
      </c>
      <c r="D13323">
        <f>TEST_DATA!D13323</f>
        <v/>
      </c>
      <c r="E13323">
        <f>TEST_DATA!E13323</f>
        <v/>
      </c>
    </row>
    <row r="13324">
      <c r="A13324">
        <f>TEST_DATA!A13324</f>
        <v/>
      </c>
      <c r="B13324">
        <f>TEST_DATA!B13324</f>
        <v/>
      </c>
      <c r="C13324">
        <f>TEST_DATA!C13324</f>
        <v/>
      </c>
      <c r="D13324">
        <f>TEST_DATA!D13324</f>
        <v/>
      </c>
      <c r="E13324">
        <f>TEST_DATA!E13324</f>
        <v/>
      </c>
    </row>
    <row r="13325">
      <c r="A13325">
        <f>TEST_DATA!A13325</f>
        <v/>
      </c>
      <c r="B13325">
        <f>TEST_DATA!B13325</f>
        <v/>
      </c>
      <c r="C13325">
        <f>TEST_DATA!C13325</f>
        <v/>
      </c>
      <c r="D13325">
        <f>TEST_DATA!D13325</f>
        <v/>
      </c>
      <c r="E13325">
        <f>TEST_DATA!E13325</f>
        <v/>
      </c>
    </row>
    <row r="13326">
      <c r="A13326">
        <f>TEST_DATA!A13326</f>
        <v/>
      </c>
      <c r="B13326">
        <f>TEST_DATA!B13326</f>
        <v/>
      </c>
      <c r="C13326">
        <f>TEST_DATA!C13326</f>
        <v/>
      </c>
      <c r="D13326">
        <f>TEST_DATA!D13326</f>
        <v/>
      </c>
      <c r="E13326">
        <f>TEST_DATA!E13326</f>
        <v/>
      </c>
    </row>
    <row r="13327">
      <c r="A13327">
        <f>TEST_DATA!A13327</f>
        <v/>
      </c>
      <c r="B13327">
        <f>TEST_DATA!B13327</f>
        <v/>
      </c>
      <c r="C13327">
        <f>TEST_DATA!C13327</f>
        <v/>
      </c>
      <c r="D13327">
        <f>TEST_DATA!D13327</f>
        <v/>
      </c>
      <c r="E13327">
        <f>TEST_DATA!E13327</f>
        <v/>
      </c>
    </row>
    <row r="13328">
      <c r="A13328">
        <f>TEST_DATA!A13328</f>
        <v/>
      </c>
      <c r="B13328">
        <f>TEST_DATA!B13328</f>
        <v/>
      </c>
      <c r="C13328">
        <f>TEST_DATA!C13328</f>
        <v/>
      </c>
      <c r="D13328">
        <f>TEST_DATA!D13328</f>
        <v/>
      </c>
      <c r="E13328">
        <f>TEST_DATA!E13328</f>
        <v/>
      </c>
    </row>
    <row r="13329">
      <c r="A13329">
        <f>TEST_DATA!A13329</f>
        <v/>
      </c>
      <c r="B13329">
        <f>TEST_DATA!B13329</f>
        <v/>
      </c>
      <c r="C13329">
        <f>TEST_DATA!C13329</f>
        <v/>
      </c>
      <c r="D13329">
        <f>TEST_DATA!D13329</f>
        <v/>
      </c>
      <c r="E13329">
        <f>TEST_DATA!E13329</f>
        <v/>
      </c>
    </row>
    <row r="13330">
      <c r="A13330">
        <f>TEST_DATA!A13330</f>
        <v/>
      </c>
      <c r="B13330">
        <f>TEST_DATA!B13330</f>
        <v/>
      </c>
      <c r="C13330">
        <f>TEST_DATA!C13330</f>
        <v/>
      </c>
      <c r="D13330">
        <f>TEST_DATA!D13330</f>
        <v/>
      </c>
      <c r="E13330">
        <f>TEST_DATA!E13330</f>
        <v/>
      </c>
    </row>
    <row r="13331">
      <c r="A13331">
        <f>TEST_DATA!A13331</f>
        <v/>
      </c>
      <c r="B13331">
        <f>TEST_DATA!B13331</f>
        <v/>
      </c>
      <c r="C13331">
        <f>TEST_DATA!C13331</f>
        <v/>
      </c>
      <c r="D13331">
        <f>TEST_DATA!D13331</f>
        <v/>
      </c>
      <c r="E13331">
        <f>TEST_DATA!E13331</f>
        <v/>
      </c>
    </row>
    <row r="13332">
      <c r="A13332">
        <f>TEST_DATA!A13332</f>
        <v/>
      </c>
      <c r="B13332">
        <f>TEST_DATA!B13332</f>
        <v/>
      </c>
      <c r="C13332">
        <f>TEST_DATA!C13332</f>
        <v/>
      </c>
      <c r="D13332">
        <f>TEST_DATA!D13332</f>
        <v/>
      </c>
      <c r="E13332">
        <f>TEST_DATA!E13332</f>
        <v/>
      </c>
    </row>
    <row r="13333">
      <c r="A13333">
        <f>TEST_DATA!A13333</f>
        <v/>
      </c>
      <c r="B13333">
        <f>TEST_DATA!B13333</f>
        <v/>
      </c>
      <c r="C13333">
        <f>TEST_DATA!C13333</f>
        <v/>
      </c>
      <c r="D13333">
        <f>TEST_DATA!D13333</f>
        <v/>
      </c>
      <c r="E13333">
        <f>TEST_DATA!E13333</f>
        <v/>
      </c>
    </row>
    <row r="13334">
      <c r="A13334">
        <f>TEST_DATA!A13334</f>
        <v/>
      </c>
      <c r="B13334">
        <f>TEST_DATA!B13334</f>
        <v/>
      </c>
      <c r="C13334">
        <f>TEST_DATA!C13334</f>
        <v/>
      </c>
      <c r="D13334">
        <f>TEST_DATA!D13334</f>
        <v/>
      </c>
      <c r="E13334">
        <f>TEST_DATA!E13334</f>
        <v/>
      </c>
    </row>
    <row r="13335">
      <c r="A13335">
        <f>TEST_DATA!A13335</f>
        <v/>
      </c>
      <c r="B13335">
        <f>TEST_DATA!B13335</f>
        <v/>
      </c>
      <c r="C13335">
        <f>TEST_DATA!C13335</f>
        <v/>
      </c>
      <c r="D13335">
        <f>TEST_DATA!D13335</f>
        <v/>
      </c>
      <c r="E13335">
        <f>TEST_DATA!E13335</f>
        <v/>
      </c>
    </row>
    <row r="13336">
      <c r="A13336">
        <f>TEST_DATA!A13336</f>
        <v/>
      </c>
      <c r="B13336">
        <f>TEST_DATA!B13336</f>
        <v/>
      </c>
      <c r="C13336">
        <f>TEST_DATA!C13336</f>
        <v/>
      </c>
      <c r="D13336">
        <f>TEST_DATA!D13336</f>
        <v/>
      </c>
      <c r="E13336">
        <f>TEST_DATA!E13336</f>
        <v/>
      </c>
    </row>
    <row r="13337">
      <c r="A13337">
        <f>TEST_DATA!A13337</f>
        <v/>
      </c>
      <c r="B13337">
        <f>TEST_DATA!B13337</f>
        <v/>
      </c>
      <c r="C13337">
        <f>TEST_DATA!C13337</f>
        <v/>
      </c>
      <c r="D13337">
        <f>TEST_DATA!D13337</f>
        <v/>
      </c>
      <c r="E13337">
        <f>TEST_DATA!E13337</f>
        <v/>
      </c>
    </row>
    <row r="13338">
      <c r="A13338">
        <f>TEST_DATA!A13338</f>
        <v/>
      </c>
      <c r="B13338">
        <f>TEST_DATA!B13338</f>
        <v/>
      </c>
      <c r="C13338">
        <f>TEST_DATA!C13338</f>
        <v/>
      </c>
      <c r="D13338">
        <f>TEST_DATA!D13338</f>
        <v/>
      </c>
      <c r="E13338">
        <f>TEST_DATA!E13338</f>
        <v/>
      </c>
    </row>
    <row r="13339">
      <c r="A13339">
        <f>TEST_DATA!A13339</f>
        <v/>
      </c>
      <c r="B13339">
        <f>TEST_DATA!B13339</f>
        <v/>
      </c>
      <c r="C13339">
        <f>TEST_DATA!C13339</f>
        <v/>
      </c>
      <c r="D13339">
        <f>TEST_DATA!D13339</f>
        <v/>
      </c>
      <c r="E13339">
        <f>TEST_DATA!E13339</f>
        <v/>
      </c>
    </row>
    <row r="13340">
      <c r="A13340">
        <f>TEST_DATA!A13340</f>
        <v/>
      </c>
      <c r="B13340">
        <f>TEST_DATA!B13340</f>
        <v/>
      </c>
      <c r="C13340">
        <f>TEST_DATA!C13340</f>
        <v/>
      </c>
      <c r="D13340">
        <f>TEST_DATA!D13340</f>
        <v/>
      </c>
      <c r="E13340">
        <f>TEST_DATA!E13340</f>
        <v/>
      </c>
    </row>
    <row r="13341">
      <c r="A13341">
        <f>TEST_DATA!A13341</f>
        <v/>
      </c>
      <c r="B13341">
        <f>TEST_DATA!B13341</f>
        <v/>
      </c>
      <c r="C13341">
        <f>TEST_DATA!C13341</f>
        <v/>
      </c>
      <c r="D13341">
        <f>TEST_DATA!D13341</f>
        <v/>
      </c>
      <c r="E13341">
        <f>TEST_DATA!E13341</f>
        <v/>
      </c>
    </row>
    <row r="13342">
      <c r="A13342">
        <f>TEST_DATA!A13342</f>
        <v/>
      </c>
      <c r="B13342">
        <f>TEST_DATA!B13342</f>
        <v/>
      </c>
      <c r="C13342">
        <f>TEST_DATA!C13342</f>
        <v/>
      </c>
      <c r="D13342">
        <f>TEST_DATA!D13342</f>
        <v/>
      </c>
      <c r="E13342">
        <f>TEST_DATA!E13342</f>
        <v/>
      </c>
    </row>
    <row r="13343">
      <c r="A13343">
        <f>TEST_DATA!A13343</f>
        <v/>
      </c>
      <c r="B13343">
        <f>TEST_DATA!B13343</f>
        <v/>
      </c>
      <c r="C13343">
        <f>TEST_DATA!C13343</f>
        <v/>
      </c>
      <c r="D13343">
        <f>TEST_DATA!D13343</f>
        <v/>
      </c>
      <c r="E13343">
        <f>TEST_DATA!E13343</f>
        <v/>
      </c>
    </row>
    <row r="13344">
      <c r="A13344">
        <f>TEST_DATA!A13344</f>
        <v/>
      </c>
      <c r="B13344">
        <f>TEST_DATA!B13344</f>
        <v/>
      </c>
      <c r="C13344">
        <f>TEST_DATA!C13344</f>
        <v/>
      </c>
      <c r="D13344">
        <f>TEST_DATA!D13344</f>
        <v/>
      </c>
      <c r="E13344">
        <f>TEST_DATA!E13344</f>
        <v/>
      </c>
    </row>
    <row r="13345">
      <c r="A13345">
        <f>TEST_DATA!A13345</f>
        <v/>
      </c>
      <c r="B13345">
        <f>TEST_DATA!B13345</f>
        <v/>
      </c>
      <c r="C13345">
        <f>TEST_DATA!C13345</f>
        <v/>
      </c>
      <c r="D13345">
        <f>TEST_DATA!D13345</f>
        <v/>
      </c>
      <c r="E13345">
        <f>TEST_DATA!E13345</f>
        <v/>
      </c>
    </row>
    <row r="13346">
      <c r="A13346">
        <f>TEST_DATA!A13346</f>
        <v/>
      </c>
      <c r="B13346">
        <f>TEST_DATA!B13346</f>
        <v/>
      </c>
      <c r="C13346">
        <f>TEST_DATA!C13346</f>
        <v/>
      </c>
      <c r="D13346">
        <f>TEST_DATA!D13346</f>
        <v/>
      </c>
      <c r="E13346">
        <f>TEST_DATA!E13346</f>
        <v/>
      </c>
    </row>
    <row r="13347">
      <c r="A13347">
        <f>TEST_DATA!A13347</f>
        <v/>
      </c>
      <c r="B13347">
        <f>TEST_DATA!B13347</f>
        <v/>
      </c>
      <c r="C13347">
        <f>TEST_DATA!C13347</f>
        <v/>
      </c>
      <c r="D13347">
        <f>TEST_DATA!D13347</f>
        <v/>
      </c>
      <c r="E13347">
        <f>TEST_DATA!E13347</f>
        <v/>
      </c>
    </row>
    <row r="13348">
      <c r="A13348">
        <f>TEST_DATA!A13348</f>
        <v/>
      </c>
      <c r="B13348">
        <f>TEST_DATA!B13348</f>
        <v/>
      </c>
      <c r="C13348">
        <f>TEST_DATA!C13348</f>
        <v/>
      </c>
      <c r="D13348">
        <f>TEST_DATA!D13348</f>
        <v/>
      </c>
      <c r="E13348">
        <f>TEST_DATA!E13348</f>
        <v/>
      </c>
    </row>
    <row r="13349">
      <c r="A13349">
        <f>TEST_DATA!A13349</f>
        <v/>
      </c>
      <c r="B13349">
        <f>TEST_DATA!B13349</f>
        <v/>
      </c>
      <c r="C13349">
        <f>TEST_DATA!C13349</f>
        <v/>
      </c>
      <c r="D13349">
        <f>TEST_DATA!D13349</f>
        <v/>
      </c>
      <c r="E13349">
        <f>TEST_DATA!E13349</f>
        <v/>
      </c>
    </row>
    <row r="13350">
      <c r="A13350">
        <f>TEST_DATA!A13350</f>
        <v/>
      </c>
      <c r="B13350">
        <f>TEST_DATA!B13350</f>
        <v/>
      </c>
      <c r="C13350">
        <f>TEST_DATA!C13350</f>
        <v/>
      </c>
      <c r="D13350">
        <f>TEST_DATA!D13350</f>
        <v/>
      </c>
      <c r="E13350">
        <f>TEST_DATA!E13350</f>
        <v/>
      </c>
    </row>
    <row r="13351">
      <c r="A13351">
        <f>TEST_DATA!A13351</f>
        <v/>
      </c>
      <c r="B13351">
        <f>TEST_DATA!B13351</f>
        <v/>
      </c>
      <c r="C13351">
        <f>TEST_DATA!C13351</f>
        <v/>
      </c>
      <c r="D13351">
        <f>TEST_DATA!D13351</f>
        <v/>
      </c>
      <c r="E13351">
        <f>TEST_DATA!E13351</f>
        <v/>
      </c>
    </row>
    <row r="13352">
      <c r="A13352">
        <f>TEST_DATA!A13352</f>
        <v/>
      </c>
      <c r="B13352">
        <f>TEST_DATA!B13352</f>
        <v/>
      </c>
      <c r="C13352">
        <f>TEST_DATA!C13352</f>
        <v/>
      </c>
      <c r="D13352">
        <f>TEST_DATA!D13352</f>
        <v/>
      </c>
      <c r="E13352">
        <f>TEST_DATA!E13352</f>
        <v/>
      </c>
    </row>
    <row r="13353">
      <c r="A13353">
        <f>TEST_DATA!A13353</f>
        <v/>
      </c>
      <c r="B13353">
        <f>TEST_DATA!B13353</f>
        <v/>
      </c>
      <c r="C13353">
        <f>TEST_DATA!C13353</f>
        <v/>
      </c>
      <c r="D13353">
        <f>TEST_DATA!D13353</f>
        <v/>
      </c>
      <c r="E13353">
        <f>TEST_DATA!E13353</f>
        <v/>
      </c>
    </row>
    <row r="13354">
      <c r="A13354">
        <f>TEST_DATA!A13354</f>
        <v/>
      </c>
      <c r="B13354">
        <f>TEST_DATA!B13354</f>
        <v/>
      </c>
      <c r="C13354">
        <f>TEST_DATA!C13354</f>
        <v/>
      </c>
      <c r="D13354">
        <f>TEST_DATA!D13354</f>
        <v/>
      </c>
      <c r="E13354">
        <f>TEST_DATA!E13354</f>
        <v/>
      </c>
    </row>
    <row r="13355">
      <c r="A13355">
        <f>TEST_DATA!A13355</f>
        <v/>
      </c>
      <c r="B13355">
        <f>TEST_DATA!B13355</f>
        <v/>
      </c>
      <c r="C13355">
        <f>TEST_DATA!C13355</f>
        <v/>
      </c>
      <c r="D13355">
        <f>TEST_DATA!D13355</f>
        <v/>
      </c>
      <c r="E13355">
        <f>TEST_DATA!E13355</f>
        <v/>
      </c>
    </row>
    <row r="13356">
      <c r="A13356">
        <f>TEST_DATA!A13356</f>
        <v/>
      </c>
      <c r="B13356">
        <f>TEST_DATA!B13356</f>
        <v/>
      </c>
      <c r="C13356">
        <f>TEST_DATA!C13356</f>
        <v/>
      </c>
      <c r="D13356">
        <f>TEST_DATA!D13356</f>
        <v/>
      </c>
      <c r="E13356">
        <f>TEST_DATA!E13356</f>
        <v/>
      </c>
    </row>
    <row r="13357">
      <c r="A13357">
        <f>TEST_DATA!A13357</f>
        <v/>
      </c>
      <c r="B13357">
        <f>TEST_DATA!B13357</f>
        <v/>
      </c>
      <c r="C13357">
        <f>TEST_DATA!C13357</f>
        <v/>
      </c>
      <c r="D13357">
        <f>TEST_DATA!D13357</f>
        <v/>
      </c>
      <c r="E13357">
        <f>TEST_DATA!E13357</f>
        <v/>
      </c>
    </row>
    <row r="13358">
      <c r="A13358">
        <f>TEST_DATA!A13358</f>
        <v/>
      </c>
      <c r="B13358">
        <f>TEST_DATA!B13358</f>
        <v/>
      </c>
      <c r="C13358">
        <f>TEST_DATA!C13358</f>
        <v/>
      </c>
      <c r="D13358">
        <f>TEST_DATA!D13358</f>
        <v/>
      </c>
      <c r="E13358">
        <f>TEST_DATA!E13358</f>
        <v/>
      </c>
    </row>
    <row r="13359">
      <c r="A13359">
        <f>TEST_DATA!A13359</f>
        <v/>
      </c>
      <c r="B13359">
        <f>TEST_DATA!B13359</f>
        <v/>
      </c>
      <c r="C13359">
        <f>TEST_DATA!C13359</f>
        <v/>
      </c>
      <c r="D13359">
        <f>TEST_DATA!D13359</f>
        <v/>
      </c>
      <c r="E13359">
        <f>TEST_DATA!E13359</f>
        <v/>
      </c>
    </row>
    <row r="13360">
      <c r="A13360">
        <f>TEST_DATA!A13360</f>
        <v/>
      </c>
      <c r="B13360">
        <f>TEST_DATA!B13360</f>
        <v/>
      </c>
      <c r="C13360">
        <f>TEST_DATA!C13360</f>
        <v/>
      </c>
      <c r="D13360">
        <f>TEST_DATA!D13360</f>
        <v/>
      </c>
      <c r="E13360">
        <f>TEST_DATA!E13360</f>
        <v/>
      </c>
    </row>
    <row r="13361">
      <c r="A13361">
        <f>TEST_DATA!A13361</f>
        <v/>
      </c>
      <c r="B13361">
        <f>TEST_DATA!B13361</f>
        <v/>
      </c>
      <c r="C13361">
        <f>TEST_DATA!C13361</f>
        <v/>
      </c>
      <c r="D13361">
        <f>TEST_DATA!D13361</f>
        <v/>
      </c>
      <c r="E13361">
        <f>TEST_DATA!E13361</f>
        <v/>
      </c>
    </row>
    <row r="13362">
      <c r="A13362">
        <f>TEST_DATA!A13362</f>
        <v/>
      </c>
      <c r="B13362">
        <f>TEST_DATA!B13362</f>
        <v/>
      </c>
      <c r="C13362">
        <f>TEST_DATA!C13362</f>
        <v/>
      </c>
      <c r="D13362">
        <f>TEST_DATA!D13362</f>
        <v/>
      </c>
      <c r="E13362">
        <f>TEST_DATA!E13362</f>
        <v/>
      </c>
    </row>
    <row r="13363">
      <c r="A13363">
        <f>TEST_DATA!A13363</f>
        <v/>
      </c>
      <c r="B13363">
        <f>TEST_DATA!B13363</f>
        <v/>
      </c>
      <c r="C13363">
        <f>TEST_DATA!C13363</f>
        <v/>
      </c>
      <c r="D13363">
        <f>TEST_DATA!D13363</f>
        <v/>
      </c>
      <c r="E13363">
        <f>TEST_DATA!E13363</f>
        <v/>
      </c>
    </row>
    <row r="13364">
      <c r="A13364">
        <f>TEST_DATA!A13364</f>
        <v/>
      </c>
      <c r="B13364">
        <f>TEST_DATA!B13364</f>
        <v/>
      </c>
      <c r="C13364">
        <f>TEST_DATA!C13364</f>
        <v/>
      </c>
      <c r="D13364">
        <f>TEST_DATA!D13364</f>
        <v/>
      </c>
      <c r="E13364">
        <f>TEST_DATA!E13364</f>
        <v/>
      </c>
    </row>
    <row r="13365">
      <c r="A13365">
        <f>TEST_DATA!A13365</f>
        <v/>
      </c>
      <c r="B13365">
        <f>TEST_DATA!B13365</f>
        <v/>
      </c>
      <c r="C13365">
        <f>TEST_DATA!C13365</f>
        <v/>
      </c>
      <c r="D13365">
        <f>TEST_DATA!D13365</f>
        <v/>
      </c>
      <c r="E13365">
        <f>TEST_DATA!E13365</f>
        <v/>
      </c>
    </row>
    <row r="13366">
      <c r="A13366">
        <f>TEST_DATA!A13366</f>
        <v/>
      </c>
      <c r="B13366">
        <f>TEST_DATA!B13366</f>
        <v/>
      </c>
      <c r="C13366">
        <f>TEST_DATA!C13366</f>
        <v/>
      </c>
      <c r="D13366">
        <f>TEST_DATA!D13366</f>
        <v/>
      </c>
      <c r="E13366">
        <f>TEST_DATA!E13366</f>
        <v/>
      </c>
    </row>
    <row r="13367">
      <c r="A13367">
        <f>TEST_DATA!A13367</f>
        <v/>
      </c>
      <c r="B13367">
        <f>TEST_DATA!B13367</f>
        <v/>
      </c>
      <c r="C13367">
        <f>TEST_DATA!C13367</f>
        <v/>
      </c>
      <c r="D13367">
        <f>TEST_DATA!D13367</f>
        <v/>
      </c>
      <c r="E13367">
        <f>TEST_DATA!E13367</f>
        <v/>
      </c>
    </row>
    <row r="13368">
      <c r="A13368">
        <f>TEST_DATA!A13368</f>
        <v/>
      </c>
      <c r="B13368">
        <f>TEST_DATA!B13368</f>
        <v/>
      </c>
      <c r="C13368">
        <f>TEST_DATA!C13368</f>
        <v/>
      </c>
      <c r="D13368">
        <f>TEST_DATA!D13368</f>
        <v/>
      </c>
      <c r="E13368">
        <f>TEST_DATA!E13368</f>
        <v/>
      </c>
    </row>
    <row r="13369">
      <c r="A13369">
        <f>TEST_DATA!A13369</f>
        <v/>
      </c>
      <c r="B13369">
        <f>TEST_DATA!B13369</f>
        <v/>
      </c>
      <c r="C13369">
        <f>TEST_DATA!C13369</f>
        <v/>
      </c>
      <c r="D13369">
        <f>TEST_DATA!D13369</f>
        <v/>
      </c>
      <c r="E13369">
        <f>TEST_DATA!E13369</f>
        <v/>
      </c>
    </row>
    <row r="13370">
      <c r="A13370">
        <f>TEST_DATA!A13370</f>
        <v/>
      </c>
      <c r="B13370">
        <f>TEST_DATA!B13370</f>
        <v/>
      </c>
      <c r="C13370">
        <f>TEST_DATA!C13370</f>
        <v/>
      </c>
      <c r="D13370">
        <f>TEST_DATA!D13370</f>
        <v/>
      </c>
      <c r="E13370">
        <f>TEST_DATA!E13370</f>
        <v/>
      </c>
    </row>
    <row r="13371">
      <c r="A13371">
        <f>TEST_DATA!A13371</f>
        <v/>
      </c>
      <c r="B13371">
        <f>TEST_DATA!B13371</f>
        <v/>
      </c>
      <c r="C13371">
        <f>TEST_DATA!C13371</f>
        <v/>
      </c>
      <c r="D13371">
        <f>TEST_DATA!D13371</f>
        <v/>
      </c>
      <c r="E13371">
        <f>TEST_DATA!E13371</f>
        <v/>
      </c>
    </row>
    <row r="13372">
      <c r="A13372">
        <f>TEST_DATA!A13372</f>
        <v/>
      </c>
      <c r="B13372">
        <f>TEST_DATA!B13372</f>
        <v/>
      </c>
      <c r="C13372">
        <f>TEST_DATA!C13372</f>
        <v/>
      </c>
      <c r="D13372">
        <f>TEST_DATA!D13372</f>
        <v/>
      </c>
      <c r="E13372">
        <f>TEST_DATA!E13372</f>
        <v/>
      </c>
    </row>
    <row r="13373">
      <c r="A13373">
        <f>TEST_DATA!A13373</f>
        <v/>
      </c>
      <c r="B13373">
        <f>TEST_DATA!B13373</f>
        <v/>
      </c>
      <c r="C13373">
        <f>TEST_DATA!C13373</f>
        <v/>
      </c>
      <c r="D13373">
        <f>TEST_DATA!D13373</f>
        <v/>
      </c>
      <c r="E13373">
        <f>TEST_DATA!E13373</f>
        <v/>
      </c>
    </row>
    <row r="13374">
      <c r="A13374">
        <f>TEST_DATA!A13374</f>
        <v/>
      </c>
      <c r="B13374">
        <f>TEST_DATA!B13374</f>
        <v/>
      </c>
      <c r="C13374">
        <f>TEST_DATA!C13374</f>
        <v/>
      </c>
      <c r="D13374">
        <f>TEST_DATA!D13374</f>
        <v/>
      </c>
      <c r="E13374">
        <f>TEST_DATA!E13374</f>
        <v/>
      </c>
    </row>
    <row r="13375">
      <c r="A13375">
        <f>TEST_DATA!A13375</f>
        <v/>
      </c>
      <c r="B13375">
        <f>TEST_DATA!B13375</f>
        <v/>
      </c>
      <c r="C13375">
        <f>TEST_DATA!C13375</f>
        <v/>
      </c>
      <c r="D13375">
        <f>TEST_DATA!D13375</f>
        <v/>
      </c>
      <c r="E13375">
        <f>TEST_DATA!E13375</f>
        <v/>
      </c>
    </row>
    <row r="13376">
      <c r="A13376">
        <f>TEST_DATA!A13376</f>
        <v/>
      </c>
      <c r="B13376">
        <f>TEST_DATA!B13376</f>
        <v/>
      </c>
      <c r="C13376">
        <f>TEST_DATA!C13376</f>
        <v/>
      </c>
      <c r="D13376">
        <f>TEST_DATA!D13376</f>
        <v/>
      </c>
      <c r="E13376">
        <f>TEST_DATA!E13376</f>
        <v/>
      </c>
    </row>
    <row r="13377">
      <c r="A13377">
        <f>TEST_DATA!A13377</f>
        <v/>
      </c>
      <c r="B13377">
        <f>TEST_DATA!B13377</f>
        <v/>
      </c>
      <c r="C13377">
        <f>TEST_DATA!C13377</f>
        <v/>
      </c>
      <c r="D13377">
        <f>TEST_DATA!D13377</f>
        <v/>
      </c>
      <c r="E13377">
        <f>TEST_DATA!E13377</f>
        <v/>
      </c>
    </row>
    <row r="13378">
      <c r="A13378">
        <f>TEST_DATA!A13378</f>
        <v/>
      </c>
      <c r="B13378">
        <f>TEST_DATA!B13378</f>
        <v/>
      </c>
      <c r="C13378">
        <f>TEST_DATA!C13378</f>
        <v/>
      </c>
      <c r="D13378">
        <f>TEST_DATA!D13378</f>
        <v/>
      </c>
      <c r="E13378">
        <f>TEST_DATA!E13378</f>
        <v/>
      </c>
    </row>
    <row r="13379">
      <c r="A13379">
        <f>TEST_DATA!A13379</f>
        <v/>
      </c>
      <c r="B13379">
        <f>TEST_DATA!B13379</f>
        <v/>
      </c>
      <c r="C13379">
        <f>TEST_DATA!C13379</f>
        <v/>
      </c>
      <c r="D13379">
        <f>TEST_DATA!D13379</f>
        <v/>
      </c>
      <c r="E13379">
        <f>TEST_DATA!E13379</f>
        <v/>
      </c>
    </row>
    <row r="13380">
      <c r="A13380">
        <f>TEST_DATA!A13380</f>
        <v/>
      </c>
      <c r="B13380">
        <f>TEST_DATA!B13380</f>
        <v/>
      </c>
      <c r="C13380">
        <f>TEST_DATA!C13380</f>
        <v/>
      </c>
      <c r="D13380">
        <f>TEST_DATA!D13380</f>
        <v/>
      </c>
      <c r="E13380">
        <f>TEST_DATA!E13380</f>
        <v/>
      </c>
    </row>
    <row r="13381">
      <c r="A13381">
        <f>TEST_DATA!A13381</f>
        <v/>
      </c>
      <c r="B13381">
        <f>TEST_DATA!B13381</f>
        <v/>
      </c>
      <c r="C13381">
        <f>TEST_DATA!C13381</f>
        <v/>
      </c>
      <c r="D13381">
        <f>TEST_DATA!D13381</f>
        <v/>
      </c>
      <c r="E13381">
        <f>TEST_DATA!E13381</f>
        <v/>
      </c>
    </row>
    <row r="13382">
      <c r="A13382">
        <f>TEST_DATA!A13382</f>
        <v/>
      </c>
      <c r="B13382">
        <f>TEST_DATA!B13382</f>
        <v/>
      </c>
      <c r="C13382">
        <f>TEST_DATA!C13382</f>
        <v/>
      </c>
      <c r="D13382">
        <f>TEST_DATA!D13382</f>
        <v/>
      </c>
      <c r="E13382">
        <f>TEST_DATA!E13382</f>
        <v/>
      </c>
    </row>
    <row r="13383">
      <c r="A13383">
        <f>TEST_DATA!A13383</f>
        <v/>
      </c>
      <c r="B13383">
        <f>TEST_DATA!B13383</f>
        <v/>
      </c>
      <c r="C13383">
        <f>TEST_DATA!C13383</f>
        <v/>
      </c>
      <c r="D13383">
        <f>TEST_DATA!D13383</f>
        <v/>
      </c>
      <c r="E13383">
        <f>TEST_DATA!E13383</f>
        <v/>
      </c>
    </row>
    <row r="13384">
      <c r="A13384">
        <f>TEST_DATA!A13384</f>
        <v/>
      </c>
      <c r="B13384">
        <f>TEST_DATA!B13384</f>
        <v/>
      </c>
      <c r="C13384">
        <f>TEST_DATA!C13384</f>
        <v/>
      </c>
      <c r="D13384">
        <f>TEST_DATA!D13384</f>
        <v/>
      </c>
      <c r="E13384">
        <f>TEST_DATA!E13384</f>
        <v/>
      </c>
    </row>
    <row r="13385">
      <c r="A13385">
        <f>TEST_DATA!A13385</f>
        <v/>
      </c>
      <c r="B13385">
        <f>TEST_DATA!B13385</f>
        <v/>
      </c>
      <c r="C13385">
        <f>TEST_DATA!C13385</f>
        <v/>
      </c>
      <c r="D13385">
        <f>TEST_DATA!D13385</f>
        <v/>
      </c>
      <c r="E13385">
        <f>TEST_DATA!E13385</f>
        <v/>
      </c>
    </row>
    <row r="13386">
      <c r="A13386">
        <f>TEST_DATA!A13386</f>
        <v/>
      </c>
      <c r="B13386">
        <f>TEST_DATA!B13386</f>
        <v/>
      </c>
      <c r="C13386">
        <f>TEST_DATA!C13386</f>
        <v/>
      </c>
      <c r="D13386">
        <f>TEST_DATA!D13386</f>
        <v/>
      </c>
      <c r="E13386">
        <f>TEST_DATA!E13386</f>
        <v/>
      </c>
    </row>
    <row r="13387">
      <c r="A13387">
        <f>TEST_DATA!A13387</f>
        <v/>
      </c>
      <c r="B13387">
        <f>TEST_DATA!B13387</f>
        <v/>
      </c>
      <c r="C13387">
        <f>TEST_DATA!C13387</f>
        <v/>
      </c>
      <c r="D13387">
        <f>TEST_DATA!D13387</f>
        <v/>
      </c>
      <c r="E13387">
        <f>TEST_DATA!E13387</f>
        <v/>
      </c>
    </row>
    <row r="13388">
      <c r="A13388">
        <f>TEST_DATA!A13388</f>
        <v/>
      </c>
      <c r="B13388">
        <f>TEST_DATA!B13388</f>
        <v/>
      </c>
      <c r="C13388">
        <f>TEST_DATA!C13388</f>
        <v/>
      </c>
      <c r="D13388">
        <f>TEST_DATA!D13388</f>
        <v/>
      </c>
      <c r="E13388">
        <f>TEST_DATA!E13388</f>
        <v/>
      </c>
    </row>
    <row r="13389">
      <c r="A13389">
        <f>TEST_DATA!A13389</f>
        <v/>
      </c>
      <c r="B13389">
        <f>TEST_DATA!B13389</f>
        <v/>
      </c>
      <c r="C13389">
        <f>TEST_DATA!C13389</f>
        <v/>
      </c>
      <c r="D13389">
        <f>TEST_DATA!D13389</f>
        <v/>
      </c>
      <c r="E13389">
        <f>TEST_DATA!E13389</f>
        <v/>
      </c>
    </row>
    <row r="13390">
      <c r="A13390">
        <f>TEST_DATA!A13390</f>
        <v/>
      </c>
      <c r="B13390">
        <f>TEST_DATA!B13390</f>
        <v/>
      </c>
      <c r="C13390">
        <f>TEST_DATA!C13390</f>
        <v/>
      </c>
      <c r="D13390">
        <f>TEST_DATA!D13390</f>
        <v/>
      </c>
      <c r="E13390">
        <f>TEST_DATA!E13390</f>
        <v/>
      </c>
    </row>
    <row r="13391">
      <c r="A13391">
        <f>TEST_DATA!A13391</f>
        <v/>
      </c>
      <c r="B13391">
        <f>TEST_DATA!B13391</f>
        <v/>
      </c>
      <c r="C13391">
        <f>TEST_DATA!C13391</f>
        <v/>
      </c>
      <c r="D13391">
        <f>TEST_DATA!D13391</f>
        <v/>
      </c>
      <c r="E13391">
        <f>TEST_DATA!E13391</f>
        <v/>
      </c>
    </row>
    <row r="13392">
      <c r="A13392">
        <f>TEST_DATA!A13392</f>
        <v/>
      </c>
      <c r="B13392">
        <f>TEST_DATA!B13392</f>
        <v/>
      </c>
      <c r="C13392">
        <f>TEST_DATA!C13392</f>
        <v/>
      </c>
      <c r="D13392">
        <f>TEST_DATA!D13392</f>
        <v/>
      </c>
      <c r="E13392">
        <f>TEST_DATA!E13392</f>
        <v/>
      </c>
    </row>
    <row r="13393">
      <c r="A13393">
        <f>TEST_DATA!A13393</f>
        <v/>
      </c>
      <c r="B13393">
        <f>TEST_DATA!B13393</f>
        <v/>
      </c>
      <c r="C13393">
        <f>TEST_DATA!C13393</f>
        <v/>
      </c>
      <c r="D13393">
        <f>TEST_DATA!D13393</f>
        <v/>
      </c>
      <c r="E13393">
        <f>TEST_DATA!E13393</f>
        <v/>
      </c>
    </row>
    <row r="13394">
      <c r="A13394">
        <f>TEST_DATA!A13394</f>
        <v/>
      </c>
      <c r="B13394">
        <f>TEST_DATA!B13394</f>
        <v/>
      </c>
      <c r="C13394">
        <f>TEST_DATA!C13394</f>
        <v/>
      </c>
      <c r="D13394">
        <f>TEST_DATA!D13394</f>
        <v/>
      </c>
      <c r="E13394">
        <f>TEST_DATA!E13394</f>
        <v/>
      </c>
    </row>
    <row r="13395">
      <c r="A13395">
        <f>TEST_DATA!A13395</f>
        <v/>
      </c>
      <c r="B13395">
        <f>TEST_DATA!B13395</f>
        <v/>
      </c>
      <c r="C13395">
        <f>TEST_DATA!C13395</f>
        <v/>
      </c>
      <c r="D13395">
        <f>TEST_DATA!D13395</f>
        <v/>
      </c>
      <c r="E13395">
        <f>TEST_DATA!E13395</f>
        <v/>
      </c>
    </row>
    <row r="13396">
      <c r="A13396">
        <f>TEST_DATA!A13396</f>
        <v/>
      </c>
      <c r="B13396">
        <f>TEST_DATA!B13396</f>
        <v/>
      </c>
      <c r="C13396">
        <f>TEST_DATA!C13396</f>
        <v/>
      </c>
      <c r="D13396">
        <f>TEST_DATA!D13396</f>
        <v/>
      </c>
      <c r="E13396">
        <f>TEST_DATA!E13396</f>
        <v/>
      </c>
    </row>
    <row r="13397">
      <c r="A13397">
        <f>TEST_DATA!A13397</f>
        <v/>
      </c>
      <c r="B13397">
        <f>TEST_DATA!B13397</f>
        <v/>
      </c>
      <c r="C13397">
        <f>TEST_DATA!C13397</f>
        <v/>
      </c>
      <c r="D13397">
        <f>TEST_DATA!D13397</f>
        <v/>
      </c>
      <c r="E13397">
        <f>TEST_DATA!E13397</f>
        <v/>
      </c>
    </row>
    <row r="13398">
      <c r="A13398">
        <f>TEST_DATA!A13398</f>
        <v/>
      </c>
      <c r="B13398">
        <f>TEST_DATA!B13398</f>
        <v/>
      </c>
      <c r="C13398">
        <f>TEST_DATA!C13398</f>
        <v/>
      </c>
      <c r="D13398">
        <f>TEST_DATA!D13398</f>
        <v/>
      </c>
      <c r="E13398">
        <f>TEST_DATA!E13398</f>
        <v/>
      </c>
    </row>
    <row r="13399">
      <c r="A13399">
        <f>TEST_DATA!A13399</f>
        <v/>
      </c>
      <c r="B13399">
        <f>TEST_DATA!B13399</f>
        <v/>
      </c>
      <c r="C13399">
        <f>TEST_DATA!C13399</f>
        <v/>
      </c>
      <c r="D13399">
        <f>TEST_DATA!D13399</f>
        <v/>
      </c>
      <c r="E13399">
        <f>TEST_DATA!E13399</f>
        <v/>
      </c>
    </row>
    <row r="13400">
      <c r="A13400">
        <f>TEST_DATA!A13400</f>
        <v/>
      </c>
      <c r="B13400">
        <f>TEST_DATA!B13400</f>
        <v/>
      </c>
      <c r="C13400">
        <f>TEST_DATA!C13400</f>
        <v/>
      </c>
      <c r="D13400">
        <f>TEST_DATA!D13400</f>
        <v/>
      </c>
      <c r="E13400">
        <f>TEST_DATA!E13400</f>
        <v/>
      </c>
    </row>
    <row r="13401">
      <c r="A13401">
        <f>TEST_DATA!A13401</f>
        <v/>
      </c>
      <c r="B13401">
        <f>TEST_DATA!B13401</f>
        <v/>
      </c>
      <c r="C13401">
        <f>TEST_DATA!C13401</f>
        <v/>
      </c>
      <c r="D13401">
        <f>TEST_DATA!D13401</f>
        <v/>
      </c>
      <c r="E13401">
        <f>TEST_DATA!E13401</f>
        <v/>
      </c>
    </row>
    <row r="13402">
      <c r="A13402">
        <f>TEST_DATA!A13402</f>
        <v/>
      </c>
      <c r="B13402">
        <f>TEST_DATA!B13402</f>
        <v/>
      </c>
      <c r="C13402">
        <f>TEST_DATA!C13402</f>
        <v/>
      </c>
      <c r="D13402">
        <f>TEST_DATA!D13402</f>
        <v/>
      </c>
      <c r="E13402">
        <f>TEST_DATA!E13402</f>
        <v/>
      </c>
    </row>
    <row r="13403">
      <c r="A13403">
        <f>TEST_DATA!A13403</f>
        <v/>
      </c>
      <c r="B13403">
        <f>TEST_DATA!B13403</f>
        <v/>
      </c>
      <c r="C13403">
        <f>TEST_DATA!C13403</f>
        <v/>
      </c>
      <c r="D13403">
        <f>TEST_DATA!D13403</f>
        <v/>
      </c>
      <c r="E13403">
        <f>TEST_DATA!E13403</f>
        <v/>
      </c>
    </row>
    <row r="13404">
      <c r="A13404">
        <f>TEST_DATA!A13404</f>
        <v/>
      </c>
      <c r="B13404">
        <f>TEST_DATA!B13404</f>
        <v/>
      </c>
      <c r="C13404">
        <f>TEST_DATA!C13404</f>
        <v/>
      </c>
      <c r="D13404">
        <f>TEST_DATA!D13404</f>
        <v/>
      </c>
      <c r="E13404">
        <f>TEST_DATA!E13404</f>
        <v/>
      </c>
    </row>
    <row r="13405">
      <c r="A13405">
        <f>TEST_DATA!A13405</f>
        <v/>
      </c>
      <c r="B13405">
        <f>TEST_DATA!B13405</f>
        <v/>
      </c>
      <c r="C13405">
        <f>TEST_DATA!C13405</f>
        <v/>
      </c>
      <c r="D13405">
        <f>TEST_DATA!D13405</f>
        <v/>
      </c>
      <c r="E13405">
        <f>TEST_DATA!E13405</f>
        <v/>
      </c>
    </row>
    <row r="13406">
      <c r="A13406">
        <f>TEST_DATA!A13406</f>
        <v/>
      </c>
      <c r="B13406">
        <f>TEST_DATA!B13406</f>
        <v/>
      </c>
      <c r="C13406">
        <f>TEST_DATA!C13406</f>
        <v/>
      </c>
      <c r="D13406">
        <f>TEST_DATA!D13406</f>
        <v/>
      </c>
      <c r="E13406">
        <f>TEST_DATA!E13406</f>
        <v/>
      </c>
    </row>
    <row r="13407">
      <c r="A13407">
        <f>TEST_DATA!A13407</f>
        <v/>
      </c>
      <c r="B13407">
        <f>TEST_DATA!B13407</f>
        <v/>
      </c>
      <c r="C13407">
        <f>TEST_DATA!C13407</f>
        <v/>
      </c>
      <c r="D13407">
        <f>TEST_DATA!D13407</f>
        <v/>
      </c>
      <c r="E13407">
        <f>TEST_DATA!E13407</f>
        <v/>
      </c>
    </row>
    <row r="13408">
      <c r="A13408">
        <f>TEST_DATA!A13408</f>
        <v/>
      </c>
      <c r="B13408">
        <f>TEST_DATA!B13408</f>
        <v/>
      </c>
      <c r="C13408">
        <f>TEST_DATA!C13408</f>
        <v/>
      </c>
      <c r="D13408">
        <f>TEST_DATA!D13408</f>
        <v/>
      </c>
      <c r="E13408">
        <f>TEST_DATA!E13408</f>
        <v/>
      </c>
    </row>
    <row r="13409">
      <c r="A13409">
        <f>TEST_DATA!A13409</f>
        <v/>
      </c>
      <c r="B13409">
        <f>TEST_DATA!B13409</f>
        <v/>
      </c>
      <c r="C13409">
        <f>TEST_DATA!C13409</f>
        <v/>
      </c>
      <c r="D13409">
        <f>TEST_DATA!D13409</f>
        <v/>
      </c>
      <c r="E13409">
        <f>TEST_DATA!E13409</f>
        <v/>
      </c>
    </row>
    <row r="13410">
      <c r="A13410">
        <f>TEST_DATA!A13410</f>
        <v/>
      </c>
      <c r="B13410">
        <f>TEST_DATA!B13410</f>
        <v/>
      </c>
      <c r="C13410">
        <f>TEST_DATA!C13410</f>
        <v/>
      </c>
      <c r="D13410">
        <f>TEST_DATA!D13410</f>
        <v/>
      </c>
      <c r="E13410">
        <f>TEST_DATA!E13410</f>
        <v/>
      </c>
    </row>
    <row r="13411">
      <c r="A13411">
        <f>TEST_DATA!A13411</f>
        <v/>
      </c>
      <c r="B13411">
        <f>TEST_DATA!B13411</f>
        <v/>
      </c>
      <c r="C13411">
        <f>TEST_DATA!C13411</f>
        <v/>
      </c>
      <c r="D13411">
        <f>TEST_DATA!D13411</f>
        <v/>
      </c>
      <c r="E13411">
        <f>TEST_DATA!E13411</f>
        <v/>
      </c>
    </row>
    <row r="13412">
      <c r="A13412">
        <f>TEST_DATA!A13412</f>
        <v/>
      </c>
      <c r="B13412">
        <f>TEST_DATA!B13412</f>
        <v/>
      </c>
      <c r="C13412">
        <f>TEST_DATA!C13412</f>
        <v/>
      </c>
      <c r="D13412">
        <f>TEST_DATA!D13412</f>
        <v/>
      </c>
      <c r="E13412">
        <f>TEST_DATA!E13412</f>
        <v/>
      </c>
    </row>
    <row r="13413">
      <c r="A13413">
        <f>TEST_DATA!A13413</f>
        <v/>
      </c>
      <c r="B13413">
        <f>TEST_DATA!B13413</f>
        <v/>
      </c>
      <c r="C13413">
        <f>TEST_DATA!C13413</f>
        <v/>
      </c>
      <c r="D13413">
        <f>TEST_DATA!D13413</f>
        <v/>
      </c>
      <c r="E13413">
        <f>TEST_DATA!E13413</f>
        <v/>
      </c>
    </row>
    <row r="13414">
      <c r="A13414">
        <f>TEST_DATA!A13414</f>
        <v/>
      </c>
      <c r="B13414">
        <f>TEST_DATA!B13414</f>
        <v/>
      </c>
      <c r="C13414">
        <f>TEST_DATA!C13414</f>
        <v/>
      </c>
      <c r="D13414">
        <f>TEST_DATA!D13414</f>
        <v/>
      </c>
      <c r="E13414">
        <f>TEST_DATA!E13414</f>
        <v/>
      </c>
    </row>
    <row r="13415">
      <c r="A13415">
        <f>TEST_DATA!A13415</f>
        <v/>
      </c>
      <c r="B13415">
        <f>TEST_DATA!B13415</f>
        <v/>
      </c>
      <c r="C13415">
        <f>TEST_DATA!C13415</f>
        <v/>
      </c>
      <c r="D13415">
        <f>TEST_DATA!D13415</f>
        <v/>
      </c>
      <c r="E13415">
        <f>TEST_DATA!E13415</f>
        <v/>
      </c>
    </row>
    <row r="13416">
      <c r="A13416">
        <f>TEST_DATA!A13416</f>
        <v/>
      </c>
      <c r="B13416">
        <f>TEST_DATA!B13416</f>
        <v/>
      </c>
      <c r="C13416">
        <f>TEST_DATA!C13416</f>
        <v/>
      </c>
      <c r="D13416">
        <f>TEST_DATA!D13416</f>
        <v/>
      </c>
      <c r="E13416">
        <f>TEST_DATA!E13416</f>
        <v/>
      </c>
    </row>
    <row r="13417">
      <c r="A13417">
        <f>TEST_DATA!A13417</f>
        <v/>
      </c>
      <c r="B13417">
        <f>TEST_DATA!B13417</f>
        <v/>
      </c>
      <c r="C13417">
        <f>TEST_DATA!C13417</f>
        <v/>
      </c>
      <c r="D13417">
        <f>TEST_DATA!D13417</f>
        <v/>
      </c>
      <c r="E13417">
        <f>TEST_DATA!E13417</f>
        <v/>
      </c>
    </row>
    <row r="13418">
      <c r="A13418">
        <f>TEST_DATA!A13418</f>
        <v/>
      </c>
      <c r="B13418">
        <f>TEST_DATA!B13418</f>
        <v/>
      </c>
      <c r="C13418">
        <f>TEST_DATA!C13418</f>
        <v/>
      </c>
      <c r="D13418">
        <f>TEST_DATA!D13418</f>
        <v/>
      </c>
      <c r="E13418">
        <f>TEST_DATA!E13418</f>
        <v/>
      </c>
    </row>
    <row r="13419">
      <c r="A13419">
        <f>TEST_DATA!A13419</f>
        <v/>
      </c>
      <c r="B13419">
        <f>TEST_DATA!B13419</f>
        <v/>
      </c>
      <c r="C13419">
        <f>TEST_DATA!C13419</f>
        <v/>
      </c>
      <c r="D13419">
        <f>TEST_DATA!D13419</f>
        <v/>
      </c>
      <c r="E13419">
        <f>TEST_DATA!E13419</f>
        <v/>
      </c>
    </row>
    <row r="13420">
      <c r="A13420">
        <f>TEST_DATA!A13420</f>
        <v/>
      </c>
      <c r="B13420">
        <f>TEST_DATA!B13420</f>
        <v/>
      </c>
      <c r="C13420">
        <f>TEST_DATA!C13420</f>
        <v/>
      </c>
      <c r="D13420">
        <f>TEST_DATA!D13420</f>
        <v/>
      </c>
      <c r="E13420">
        <f>TEST_DATA!E13420</f>
        <v/>
      </c>
    </row>
    <row r="13421">
      <c r="A13421">
        <f>TEST_DATA!A13421</f>
        <v/>
      </c>
      <c r="B13421">
        <f>TEST_DATA!B13421</f>
        <v/>
      </c>
      <c r="C13421">
        <f>TEST_DATA!C13421</f>
        <v/>
      </c>
      <c r="D13421">
        <f>TEST_DATA!D13421</f>
        <v/>
      </c>
      <c r="E13421">
        <f>TEST_DATA!E13421</f>
        <v/>
      </c>
    </row>
    <row r="13422">
      <c r="A13422">
        <f>TEST_DATA!A13422</f>
        <v/>
      </c>
      <c r="B13422">
        <f>TEST_DATA!B13422</f>
        <v/>
      </c>
      <c r="C13422">
        <f>TEST_DATA!C13422</f>
        <v/>
      </c>
      <c r="D13422">
        <f>TEST_DATA!D13422</f>
        <v/>
      </c>
      <c r="E13422">
        <f>TEST_DATA!E13422</f>
        <v/>
      </c>
    </row>
    <row r="13423">
      <c r="A13423">
        <f>TEST_DATA!A13423</f>
        <v/>
      </c>
      <c r="B13423">
        <f>TEST_DATA!B13423</f>
        <v/>
      </c>
      <c r="C13423">
        <f>TEST_DATA!C13423</f>
        <v/>
      </c>
      <c r="D13423">
        <f>TEST_DATA!D13423</f>
        <v/>
      </c>
      <c r="E13423">
        <f>TEST_DATA!E13423</f>
        <v/>
      </c>
    </row>
    <row r="13424">
      <c r="A13424">
        <f>TEST_DATA!A13424</f>
        <v/>
      </c>
      <c r="B13424">
        <f>TEST_DATA!B13424</f>
        <v/>
      </c>
      <c r="C13424">
        <f>TEST_DATA!C13424</f>
        <v/>
      </c>
      <c r="D13424">
        <f>TEST_DATA!D13424</f>
        <v/>
      </c>
      <c r="E13424">
        <f>TEST_DATA!E13424</f>
        <v/>
      </c>
    </row>
    <row r="13425">
      <c r="A13425">
        <f>TEST_DATA!A13425</f>
        <v/>
      </c>
      <c r="B13425">
        <f>TEST_DATA!B13425</f>
        <v/>
      </c>
      <c r="C13425">
        <f>TEST_DATA!C13425</f>
        <v/>
      </c>
      <c r="D13425">
        <f>TEST_DATA!D13425</f>
        <v/>
      </c>
      <c r="E13425">
        <f>TEST_DATA!E13425</f>
        <v/>
      </c>
    </row>
    <row r="13426">
      <c r="A13426">
        <f>TEST_DATA!A13426</f>
        <v/>
      </c>
      <c r="B13426">
        <f>TEST_DATA!B13426</f>
        <v/>
      </c>
      <c r="C13426">
        <f>TEST_DATA!C13426</f>
        <v/>
      </c>
      <c r="D13426">
        <f>TEST_DATA!D13426</f>
        <v/>
      </c>
      <c r="E13426">
        <f>TEST_DATA!E13426</f>
        <v/>
      </c>
    </row>
    <row r="13427">
      <c r="A13427">
        <f>TEST_DATA!A13427</f>
        <v/>
      </c>
      <c r="B13427">
        <f>TEST_DATA!B13427</f>
        <v/>
      </c>
      <c r="C13427">
        <f>TEST_DATA!C13427</f>
        <v/>
      </c>
      <c r="D13427">
        <f>TEST_DATA!D13427</f>
        <v/>
      </c>
      <c r="E13427">
        <f>TEST_DATA!E13427</f>
        <v/>
      </c>
    </row>
    <row r="13428">
      <c r="A13428">
        <f>TEST_DATA!A13428</f>
        <v/>
      </c>
      <c r="B13428">
        <f>TEST_DATA!B13428</f>
        <v/>
      </c>
      <c r="C13428">
        <f>TEST_DATA!C13428</f>
        <v/>
      </c>
      <c r="D13428">
        <f>TEST_DATA!D13428</f>
        <v/>
      </c>
      <c r="E13428">
        <f>TEST_DATA!E13428</f>
        <v/>
      </c>
    </row>
    <row r="13429">
      <c r="A13429">
        <f>TEST_DATA!A13429</f>
        <v/>
      </c>
      <c r="B13429">
        <f>TEST_DATA!B13429</f>
        <v/>
      </c>
      <c r="C13429">
        <f>TEST_DATA!C13429</f>
        <v/>
      </c>
      <c r="D13429">
        <f>TEST_DATA!D13429</f>
        <v/>
      </c>
      <c r="E13429">
        <f>TEST_DATA!E13429</f>
        <v/>
      </c>
    </row>
    <row r="13430">
      <c r="A13430">
        <f>TEST_DATA!A13430</f>
        <v/>
      </c>
      <c r="B13430">
        <f>TEST_DATA!B13430</f>
        <v/>
      </c>
      <c r="C13430">
        <f>TEST_DATA!C13430</f>
        <v/>
      </c>
      <c r="D13430">
        <f>TEST_DATA!D13430</f>
        <v/>
      </c>
      <c r="E13430">
        <f>TEST_DATA!E13430</f>
        <v/>
      </c>
    </row>
    <row r="13431">
      <c r="A13431">
        <f>TEST_DATA!A13431</f>
        <v/>
      </c>
      <c r="B13431">
        <f>TEST_DATA!B13431</f>
        <v/>
      </c>
      <c r="C13431">
        <f>TEST_DATA!C13431</f>
        <v/>
      </c>
      <c r="D13431">
        <f>TEST_DATA!D13431</f>
        <v/>
      </c>
      <c r="E13431">
        <f>TEST_DATA!E13431</f>
        <v/>
      </c>
    </row>
    <row r="13432">
      <c r="A13432">
        <f>TEST_DATA!A13432</f>
        <v/>
      </c>
      <c r="B13432">
        <f>TEST_DATA!B13432</f>
        <v/>
      </c>
      <c r="C13432">
        <f>TEST_DATA!C13432</f>
        <v/>
      </c>
      <c r="D13432">
        <f>TEST_DATA!D13432</f>
        <v/>
      </c>
      <c r="E13432">
        <f>TEST_DATA!E13432</f>
        <v/>
      </c>
    </row>
    <row r="13433">
      <c r="A13433">
        <f>TEST_DATA!A13433</f>
        <v/>
      </c>
      <c r="B13433">
        <f>TEST_DATA!B13433</f>
        <v/>
      </c>
      <c r="C13433">
        <f>TEST_DATA!C13433</f>
        <v/>
      </c>
      <c r="D13433">
        <f>TEST_DATA!D13433</f>
        <v/>
      </c>
      <c r="E13433">
        <f>TEST_DATA!E13433</f>
        <v/>
      </c>
    </row>
    <row r="13434">
      <c r="A13434">
        <f>TEST_DATA!A13434</f>
        <v/>
      </c>
      <c r="B13434">
        <f>TEST_DATA!B13434</f>
        <v/>
      </c>
      <c r="C13434">
        <f>TEST_DATA!C13434</f>
        <v/>
      </c>
      <c r="D13434">
        <f>TEST_DATA!D13434</f>
        <v/>
      </c>
      <c r="E13434">
        <f>TEST_DATA!E13434</f>
        <v/>
      </c>
    </row>
    <row r="13435">
      <c r="A13435">
        <f>TEST_DATA!A13435</f>
        <v/>
      </c>
      <c r="B13435">
        <f>TEST_DATA!B13435</f>
        <v/>
      </c>
      <c r="C13435">
        <f>TEST_DATA!C13435</f>
        <v/>
      </c>
      <c r="D13435">
        <f>TEST_DATA!D13435</f>
        <v/>
      </c>
      <c r="E13435">
        <f>TEST_DATA!E13435</f>
        <v/>
      </c>
    </row>
    <row r="13436">
      <c r="A13436">
        <f>TEST_DATA!A13436</f>
        <v/>
      </c>
      <c r="B13436">
        <f>TEST_DATA!B13436</f>
        <v/>
      </c>
      <c r="C13436">
        <f>TEST_DATA!C13436</f>
        <v/>
      </c>
      <c r="D13436">
        <f>TEST_DATA!D13436</f>
        <v/>
      </c>
      <c r="E13436">
        <f>TEST_DATA!E13436</f>
        <v/>
      </c>
    </row>
    <row r="13437">
      <c r="A13437">
        <f>TEST_DATA!A13437</f>
        <v/>
      </c>
      <c r="B13437">
        <f>TEST_DATA!B13437</f>
        <v/>
      </c>
      <c r="C13437">
        <f>TEST_DATA!C13437</f>
        <v/>
      </c>
      <c r="D13437">
        <f>TEST_DATA!D13437</f>
        <v/>
      </c>
      <c r="E13437">
        <f>TEST_DATA!E13437</f>
        <v/>
      </c>
    </row>
    <row r="13438">
      <c r="A13438">
        <f>TEST_DATA!A13438</f>
        <v/>
      </c>
      <c r="B13438">
        <f>TEST_DATA!B13438</f>
        <v/>
      </c>
      <c r="C13438">
        <f>TEST_DATA!C13438</f>
        <v/>
      </c>
      <c r="D13438">
        <f>TEST_DATA!D13438</f>
        <v/>
      </c>
      <c r="E13438">
        <f>TEST_DATA!E13438</f>
        <v/>
      </c>
    </row>
    <row r="13439">
      <c r="A13439">
        <f>TEST_DATA!A13439</f>
        <v/>
      </c>
      <c r="B13439">
        <f>TEST_DATA!B13439</f>
        <v/>
      </c>
      <c r="C13439">
        <f>TEST_DATA!C13439</f>
        <v/>
      </c>
      <c r="D13439">
        <f>TEST_DATA!D13439</f>
        <v/>
      </c>
      <c r="E13439">
        <f>TEST_DATA!E13439</f>
        <v/>
      </c>
    </row>
    <row r="13440">
      <c r="A13440">
        <f>TEST_DATA!A13440</f>
        <v/>
      </c>
      <c r="B13440">
        <f>TEST_DATA!B13440</f>
        <v/>
      </c>
      <c r="C13440">
        <f>TEST_DATA!C13440</f>
        <v/>
      </c>
      <c r="D13440">
        <f>TEST_DATA!D13440</f>
        <v/>
      </c>
      <c r="E13440">
        <f>TEST_DATA!E13440</f>
        <v/>
      </c>
    </row>
    <row r="13441">
      <c r="A13441">
        <f>TEST_DATA!A13441</f>
        <v/>
      </c>
      <c r="B13441">
        <f>TEST_DATA!B13441</f>
        <v/>
      </c>
      <c r="C13441">
        <f>TEST_DATA!C13441</f>
        <v/>
      </c>
      <c r="D13441">
        <f>TEST_DATA!D13441</f>
        <v/>
      </c>
      <c r="E13441">
        <f>TEST_DATA!E13441</f>
        <v/>
      </c>
    </row>
    <row r="13442">
      <c r="A13442">
        <f>TEST_DATA!A13442</f>
        <v/>
      </c>
      <c r="B13442">
        <f>TEST_DATA!B13442</f>
        <v/>
      </c>
      <c r="C13442">
        <f>TEST_DATA!C13442</f>
        <v/>
      </c>
      <c r="D13442">
        <f>TEST_DATA!D13442</f>
        <v/>
      </c>
      <c r="E13442">
        <f>TEST_DATA!E13442</f>
        <v/>
      </c>
    </row>
    <row r="13443">
      <c r="A13443">
        <f>TEST_DATA!A13443</f>
        <v/>
      </c>
      <c r="B13443">
        <f>TEST_DATA!B13443</f>
        <v/>
      </c>
      <c r="C13443">
        <f>TEST_DATA!C13443</f>
        <v/>
      </c>
      <c r="D13443">
        <f>TEST_DATA!D13443</f>
        <v/>
      </c>
      <c r="E13443">
        <f>TEST_DATA!E13443</f>
        <v/>
      </c>
    </row>
    <row r="13444">
      <c r="A13444">
        <f>TEST_DATA!A13444</f>
        <v/>
      </c>
      <c r="B13444">
        <f>TEST_DATA!B13444</f>
        <v/>
      </c>
      <c r="C13444">
        <f>TEST_DATA!C13444</f>
        <v/>
      </c>
      <c r="D13444">
        <f>TEST_DATA!D13444</f>
        <v/>
      </c>
      <c r="E13444">
        <f>TEST_DATA!E13444</f>
        <v/>
      </c>
    </row>
    <row r="13445">
      <c r="A13445">
        <f>TEST_DATA!A13445</f>
        <v/>
      </c>
      <c r="B13445">
        <f>TEST_DATA!B13445</f>
        <v/>
      </c>
      <c r="C13445">
        <f>TEST_DATA!C13445</f>
        <v/>
      </c>
      <c r="D13445">
        <f>TEST_DATA!D13445</f>
        <v/>
      </c>
      <c r="E13445">
        <f>TEST_DATA!E13445</f>
        <v/>
      </c>
    </row>
    <row r="13446">
      <c r="A13446">
        <f>TEST_DATA!A13446</f>
        <v/>
      </c>
      <c r="B13446">
        <f>TEST_DATA!B13446</f>
        <v/>
      </c>
      <c r="C13446">
        <f>TEST_DATA!C13446</f>
        <v/>
      </c>
      <c r="D13446">
        <f>TEST_DATA!D13446</f>
        <v/>
      </c>
      <c r="E13446">
        <f>TEST_DATA!E13446</f>
        <v/>
      </c>
    </row>
    <row r="13447">
      <c r="A13447">
        <f>TEST_DATA!A13447</f>
        <v/>
      </c>
      <c r="B13447">
        <f>TEST_DATA!B13447</f>
        <v/>
      </c>
      <c r="C13447">
        <f>TEST_DATA!C13447</f>
        <v/>
      </c>
      <c r="D13447">
        <f>TEST_DATA!D13447</f>
        <v/>
      </c>
      <c r="E13447">
        <f>TEST_DATA!E13447</f>
        <v/>
      </c>
    </row>
    <row r="13448">
      <c r="A13448">
        <f>TEST_DATA!A13448</f>
        <v/>
      </c>
      <c r="B13448">
        <f>TEST_DATA!B13448</f>
        <v/>
      </c>
      <c r="C13448">
        <f>TEST_DATA!C13448</f>
        <v/>
      </c>
      <c r="D13448">
        <f>TEST_DATA!D13448</f>
        <v/>
      </c>
      <c r="E13448">
        <f>TEST_DATA!E13448</f>
        <v/>
      </c>
    </row>
    <row r="13449">
      <c r="A13449">
        <f>TEST_DATA!A13449</f>
        <v/>
      </c>
      <c r="B13449">
        <f>TEST_DATA!B13449</f>
        <v/>
      </c>
      <c r="C13449">
        <f>TEST_DATA!C13449</f>
        <v/>
      </c>
      <c r="D13449">
        <f>TEST_DATA!D13449</f>
        <v/>
      </c>
      <c r="E13449">
        <f>TEST_DATA!E13449</f>
        <v/>
      </c>
    </row>
    <row r="13450">
      <c r="A13450">
        <f>TEST_DATA!A13450</f>
        <v/>
      </c>
      <c r="B13450">
        <f>TEST_DATA!B13450</f>
        <v/>
      </c>
      <c r="C13450">
        <f>TEST_DATA!C13450</f>
        <v/>
      </c>
      <c r="D13450">
        <f>TEST_DATA!D13450</f>
        <v/>
      </c>
      <c r="E13450">
        <f>TEST_DATA!E13450</f>
        <v/>
      </c>
    </row>
    <row r="13451">
      <c r="A13451">
        <f>TEST_DATA!A13451</f>
        <v/>
      </c>
      <c r="B13451">
        <f>TEST_DATA!B13451</f>
        <v/>
      </c>
      <c r="C13451">
        <f>TEST_DATA!C13451</f>
        <v/>
      </c>
      <c r="D13451">
        <f>TEST_DATA!D13451</f>
        <v/>
      </c>
      <c r="E13451">
        <f>TEST_DATA!E13451</f>
        <v/>
      </c>
    </row>
    <row r="13452">
      <c r="A13452">
        <f>TEST_DATA!A13452</f>
        <v/>
      </c>
      <c r="B13452">
        <f>TEST_DATA!B13452</f>
        <v/>
      </c>
      <c r="C13452">
        <f>TEST_DATA!C13452</f>
        <v/>
      </c>
      <c r="D13452">
        <f>TEST_DATA!D13452</f>
        <v/>
      </c>
      <c r="E13452">
        <f>TEST_DATA!E13452</f>
        <v/>
      </c>
    </row>
    <row r="13453">
      <c r="A13453">
        <f>TEST_DATA!A13453</f>
        <v/>
      </c>
      <c r="B13453">
        <f>TEST_DATA!B13453</f>
        <v/>
      </c>
      <c r="C13453">
        <f>TEST_DATA!C13453</f>
        <v/>
      </c>
      <c r="D13453">
        <f>TEST_DATA!D13453</f>
        <v/>
      </c>
      <c r="E13453">
        <f>TEST_DATA!E13453</f>
        <v/>
      </c>
    </row>
    <row r="13454">
      <c r="A13454">
        <f>TEST_DATA!A13454</f>
        <v/>
      </c>
      <c r="B13454">
        <f>TEST_DATA!B13454</f>
        <v/>
      </c>
      <c r="C13454">
        <f>TEST_DATA!C13454</f>
        <v/>
      </c>
      <c r="D13454">
        <f>TEST_DATA!D13454</f>
        <v/>
      </c>
      <c r="E13454">
        <f>TEST_DATA!E13454</f>
        <v/>
      </c>
    </row>
    <row r="13455">
      <c r="A13455">
        <f>TEST_DATA!A13455</f>
        <v/>
      </c>
      <c r="B13455">
        <f>TEST_DATA!B13455</f>
        <v/>
      </c>
      <c r="C13455">
        <f>TEST_DATA!C13455</f>
        <v/>
      </c>
      <c r="D13455">
        <f>TEST_DATA!D13455</f>
        <v/>
      </c>
      <c r="E13455">
        <f>TEST_DATA!E13455</f>
        <v/>
      </c>
    </row>
    <row r="13456">
      <c r="A13456">
        <f>TEST_DATA!A13456</f>
        <v/>
      </c>
      <c r="B13456">
        <f>TEST_DATA!B13456</f>
        <v/>
      </c>
      <c r="C13456">
        <f>TEST_DATA!C13456</f>
        <v/>
      </c>
      <c r="D13456">
        <f>TEST_DATA!D13456</f>
        <v/>
      </c>
      <c r="E13456">
        <f>TEST_DATA!E13456</f>
        <v/>
      </c>
    </row>
    <row r="13457">
      <c r="A13457">
        <f>TEST_DATA!A13457</f>
        <v/>
      </c>
      <c r="B13457">
        <f>TEST_DATA!B13457</f>
        <v/>
      </c>
      <c r="C13457">
        <f>TEST_DATA!C13457</f>
        <v/>
      </c>
      <c r="D13457">
        <f>TEST_DATA!D13457</f>
        <v/>
      </c>
      <c r="E13457">
        <f>TEST_DATA!E13457</f>
        <v/>
      </c>
    </row>
    <row r="13458">
      <c r="A13458">
        <f>TEST_DATA!A13458</f>
        <v/>
      </c>
      <c r="B13458">
        <f>TEST_DATA!B13458</f>
        <v/>
      </c>
      <c r="C13458">
        <f>TEST_DATA!C13458</f>
        <v/>
      </c>
      <c r="D13458">
        <f>TEST_DATA!D13458</f>
        <v/>
      </c>
      <c r="E13458">
        <f>TEST_DATA!E13458</f>
        <v/>
      </c>
    </row>
    <row r="13459">
      <c r="A13459">
        <f>TEST_DATA!A13459</f>
        <v/>
      </c>
      <c r="B13459">
        <f>TEST_DATA!B13459</f>
        <v/>
      </c>
      <c r="C13459">
        <f>TEST_DATA!C13459</f>
        <v/>
      </c>
      <c r="D13459">
        <f>TEST_DATA!D13459</f>
        <v/>
      </c>
      <c r="E13459">
        <f>TEST_DATA!E13459</f>
        <v/>
      </c>
    </row>
    <row r="13460">
      <c r="A13460">
        <f>TEST_DATA!A13460</f>
        <v/>
      </c>
      <c r="B13460">
        <f>TEST_DATA!B13460</f>
        <v/>
      </c>
      <c r="C13460">
        <f>TEST_DATA!C13460</f>
        <v/>
      </c>
      <c r="D13460">
        <f>TEST_DATA!D13460</f>
        <v/>
      </c>
      <c r="E13460">
        <f>TEST_DATA!E13460</f>
        <v/>
      </c>
    </row>
    <row r="13461">
      <c r="A13461">
        <f>TEST_DATA!A13461</f>
        <v/>
      </c>
      <c r="B13461">
        <f>TEST_DATA!B13461</f>
        <v/>
      </c>
      <c r="C13461">
        <f>TEST_DATA!C13461</f>
        <v/>
      </c>
      <c r="D13461">
        <f>TEST_DATA!D13461</f>
        <v/>
      </c>
      <c r="E13461">
        <f>TEST_DATA!E13461</f>
        <v/>
      </c>
    </row>
    <row r="13462">
      <c r="A13462">
        <f>TEST_DATA!A13462</f>
        <v/>
      </c>
      <c r="B13462">
        <f>TEST_DATA!B13462</f>
        <v/>
      </c>
      <c r="C13462">
        <f>TEST_DATA!C13462</f>
        <v/>
      </c>
      <c r="D13462">
        <f>TEST_DATA!D13462</f>
        <v/>
      </c>
      <c r="E13462">
        <f>TEST_DATA!E13462</f>
        <v/>
      </c>
    </row>
    <row r="13463">
      <c r="A13463">
        <f>TEST_DATA!A13463</f>
        <v/>
      </c>
      <c r="B13463">
        <f>TEST_DATA!B13463</f>
        <v/>
      </c>
      <c r="C13463">
        <f>TEST_DATA!C13463</f>
        <v/>
      </c>
      <c r="D13463">
        <f>TEST_DATA!D13463</f>
        <v/>
      </c>
      <c r="E13463">
        <f>TEST_DATA!E13463</f>
        <v/>
      </c>
    </row>
    <row r="13464">
      <c r="A13464">
        <f>TEST_DATA!A13464</f>
        <v/>
      </c>
      <c r="B13464">
        <f>TEST_DATA!B13464</f>
        <v/>
      </c>
      <c r="C13464">
        <f>TEST_DATA!C13464</f>
        <v/>
      </c>
      <c r="D13464">
        <f>TEST_DATA!D13464</f>
        <v/>
      </c>
      <c r="E13464">
        <f>TEST_DATA!E13464</f>
        <v/>
      </c>
    </row>
    <row r="13465">
      <c r="A13465">
        <f>TEST_DATA!A13465</f>
        <v/>
      </c>
      <c r="B13465">
        <f>TEST_DATA!B13465</f>
        <v/>
      </c>
      <c r="C13465">
        <f>TEST_DATA!C13465</f>
        <v/>
      </c>
      <c r="D13465">
        <f>TEST_DATA!D13465</f>
        <v/>
      </c>
      <c r="E13465">
        <f>TEST_DATA!E13465</f>
        <v/>
      </c>
    </row>
    <row r="13466">
      <c r="A13466">
        <f>TEST_DATA!A13466</f>
        <v/>
      </c>
      <c r="B13466">
        <f>TEST_DATA!B13466</f>
        <v/>
      </c>
      <c r="C13466">
        <f>TEST_DATA!C13466</f>
        <v/>
      </c>
      <c r="D13466">
        <f>TEST_DATA!D13466</f>
        <v/>
      </c>
      <c r="E13466">
        <f>TEST_DATA!E13466</f>
        <v/>
      </c>
    </row>
    <row r="13467">
      <c r="A13467">
        <f>TEST_DATA!A13467</f>
        <v/>
      </c>
      <c r="B13467">
        <f>TEST_DATA!B13467</f>
        <v/>
      </c>
      <c r="C13467">
        <f>TEST_DATA!C13467</f>
        <v/>
      </c>
      <c r="D13467">
        <f>TEST_DATA!D13467</f>
        <v/>
      </c>
      <c r="E13467">
        <f>TEST_DATA!E13467</f>
        <v/>
      </c>
    </row>
    <row r="13468">
      <c r="A13468">
        <f>TEST_DATA!A13468</f>
        <v/>
      </c>
      <c r="B13468">
        <f>TEST_DATA!B13468</f>
        <v/>
      </c>
      <c r="C13468">
        <f>TEST_DATA!C13468</f>
        <v/>
      </c>
      <c r="D13468">
        <f>TEST_DATA!D13468</f>
        <v/>
      </c>
      <c r="E13468">
        <f>TEST_DATA!E13468</f>
        <v/>
      </c>
    </row>
    <row r="13469">
      <c r="A13469">
        <f>TEST_DATA!A13469</f>
        <v/>
      </c>
      <c r="B13469">
        <f>TEST_DATA!B13469</f>
        <v/>
      </c>
      <c r="C13469">
        <f>TEST_DATA!C13469</f>
        <v/>
      </c>
      <c r="D13469">
        <f>TEST_DATA!D13469</f>
        <v/>
      </c>
      <c r="E13469">
        <f>TEST_DATA!E13469</f>
        <v/>
      </c>
    </row>
    <row r="13470">
      <c r="A13470">
        <f>TEST_DATA!A13470</f>
        <v/>
      </c>
      <c r="B13470">
        <f>TEST_DATA!B13470</f>
        <v/>
      </c>
      <c r="C13470">
        <f>TEST_DATA!C13470</f>
        <v/>
      </c>
      <c r="D13470">
        <f>TEST_DATA!D13470</f>
        <v/>
      </c>
      <c r="E13470">
        <f>TEST_DATA!E13470</f>
        <v/>
      </c>
    </row>
    <row r="13471">
      <c r="A13471">
        <f>TEST_DATA!A13471</f>
        <v/>
      </c>
      <c r="B13471">
        <f>TEST_DATA!B13471</f>
        <v/>
      </c>
      <c r="C13471">
        <f>TEST_DATA!C13471</f>
        <v/>
      </c>
      <c r="D13471">
        <f>TEST_DATA!D13471</f>
        <v/>
      </c>
      <c r="E13471">
        <f>TEST_DATA!E13471</f>
        <v/>
      </c>
    </row>
    <row r="13472">
      <c r="A13472">
        <f>TEST_DATA!A13472</f>
        <v/>
      </c>
      <c r="B13472">
        <f>TEST_DATA!B13472</f>
        <v/>
      </c>
      <c r="C13472">
        <f>TEST_DATA!C13472</f>
        <v/>
      </c>
      <c r="D13472">
        <f>TEST_DATA!D13472</f>
        <v/>
      </c>
      <c r="E13472">
        <f>TEST_DATA!E13472</f>
        <v/>
      </c>
    </row>
    <row r="13473">
      <c r="A13473">
        <f>TEST_DATA!A13473</f>
        <v/>
      </c>
      <c r="B13473">
        <f>TEST_DATA!B13473</f>
        <v/>
      </c>
      <c r="C13473">
        <f>TEST_DATA!C13473</f>
        <v/>
      </c>
      <c r="D13473">
        <f>TEST_DATA!D13473</f>
        <v/>
      </c>
      <c r="E13473">
        <f>TEST_DATA!E13473</f>
        <v/>
      </c>
    </row>
    <row r="13474">
      <c r="A13474">
        <f>TEST_DATA!A13474</f>
        <v/>
      </c>
      <c r="B13474">
        <f>TEST_DATA!B13474</f>
        <v/>
      </c>
      <c r="C13474">
        <f>TEST_DATA!C13474</f>
        <v/>
      </c>
      <c r="D13474">
        <f>TEST_DATA!D13474</f>
        <v/>
      </c>
      <c r="E13474">
        <f>TEST_DATA!E13474</f>
        <v/>
      </c>
    </row>
    <row r="13475">
      <c r="A13475">
        <f>TEST_DATA!A13475</f>
        <v/>
      </c>
      <c r="B13475">
        <f>TEST_DATA!B13475</f>
        <v/>
      </c>
      <c r="C13475">
        <f>TEST_DATA!C13475</f>
        <v/>
      </c>
      <c r="D13475">
        <f>TEST_DATA!D13475</f>
        <v/>
      </c>
      <c r="E13475">
        <f>TEST_DATA!E13475</f>
        <v/>
      </c>
    </row>
    <row r="13476">
      <c r="A13476">
        <f>TEST_DATA!A13476</f>
        <v/>
      </c>
      <c r="B13476">
        <f>TEST_DATA!B13476</f>
        <v/>
      </c>
      <c r="C13476">
        <f>TEST_DATA!C13476</f>
        <v/>
      </c>
      <c r="D13476">
        <f>TEST_DATA!D13476</f>
        <v/>
      </c>
      <c r="E13476">
        <f>TEST_DATA!E13476</f>
        <v/>
      </c>
    </row>
    <row r="13477">
      <c r="A13477">
        <f>TEST_DATA!A13477</f>
        <v/>
      </c>
      <c r="B13477">
        <f>TEST_DATA!B13477</f>
        <v/>
      </c>
      <c r="C13477">
        <f>TEST_DATA!C13477</f>
        <v/>
      </c>
      <c r="D13477">
        <f>TEST_DATA!D13477</f>
        <v/>
      </c>
      <c r="E13477">
        <f>TEST_DATA!E13477</f>
        <v/>
      </c>
    </row>
    <row r="13478">
      <c r="A13478">
        <f>TEST_DATA!A13478</f>
        <v/>
      </c>
      <c r="B13478">
        <f>TEST_DATA!B13478</f>
        <v/>
      </c>
      <c r="C13478">
        <f>TEST_DATA!C13478</f>
        <v/>
      </c>
      <c r="D13478">
        <f>TEST_DATA!D13478</f>
        <v/>
      </c>
      <c r="E13478">
        <f>TEST_DATA!E13478</f>
        <v/>
      </c>
    </row>
    <row r="13479">
      <c r="A13479">
        <f>TEST_DATA!A13479</f>
        <v/>
      </c>
      <c r="B13479">
        <f>TEST_DATA!B13479</f>
        <v/>
      </c>
      <c r="C13479">
        <f>TEST_DATA!C13479</f>
        <v/>
      </c>
      <c r="D13479">
        <f>TEST_DATA!D13479</f>
        <v/>
      </c>
      <c r="E13479">
        <f>TEST_DATA!E13479</f>
        <v/>
      </c>
    </row>
    <row r="13480">
      <c r="A13480">
        <f>TEST_DATA!A13480</f>
        <v/>
      </c>
      <c r="B13480">
        <f>TEST_DATA!B13480</f>
        <v/>
      </c>
      <c r="C13480">
        <f>TEST_DATA!C13480</f>
        <v/>
      </c>
      <c r="D13480">
        <f>TEST_DATA!D13480</f>
        <v/>
      </c>
      <c r="E13480">
        <f>TEST_DATA!E13480</f>
        <v/>
      </c>
    </row>
    <row r="13481">
      <c r="A13481">
        <f>TEST_DATA!A13481</f>
        <v/>
      </c>
      <c r="B13481">
        <f>TEST_DATA!B13481</f>
        <v/>
      </c>
      <c r="C13481">
        <f>TEST_DATA!C13481</f>
        <v/>
      </c>
      <c r="D13481">
        <f>TEST_DATA!D13481</f>
        <v/>
      </c>
      <c r="E13481">
        <f>TEST_DATA!E13481</f>
        <v/>
      </c>
    </row>
    <row r="13482">
      <c r="A13482">
        <f>TEST_DATA!A13482</f>
        <v/>
      </c>
      <c r="B13482">
        <f>TEST_DATA!B13482</f>
        <v/>
      </c>
      <c r="C13482">
        <f>TEST_DATA!C13482</f>
        <v/>
      </c>
      <c r="D13482">
        <f>TEST_DATA!D13482</f>
        <v/>
      </c>
      <c r="E13482">
        <f>TEST_DATA!E13482</f>
        <v/>
      </c>
    </row>
    <row r="13483">
      <c r="A13483">
        <f>TEST_DATA!A13483</f>
        <v/>
      </c>
      <c r="B13483">
        <f>TEST_DATA!B13483</f>
        <v/>
      </c>
      <c r="C13483">
        <f>TEST_DATA!C13483</f>
        <v/>
      </c>
      <c r="D13483">
        <f>TEST_DATA!D13483</f>
        <v/>
      </c>
      <c r="E13483">
        <f>TEST_DATA!E13483</f>
        <v/>
      </c>
    </row>
    <row r="13484">
      <c r="A13484">
        <f>TEST_DATA!A13484</f>
        <v/>
      </c>
      <c r="B13484">
        <f>TEST_DATA!B13484</f>
        <v/>
      </c>
      <c r="C13484">
        <f>TEST_DATA!C13484</f>
        <v/>
      </c>
      <c r="D13484">
        <f>TEST_DATA!D13484</f>
        <v/>
      </c>
      <c r="E13484">
        <f>TEST_DATA!E13484</f>
        <v/>
      </c>
    </row>
    <row r="13485">
      <c r="A13485">
        <f>TEST_DATA!A13485</f>
        <v/>
      </c>
      <c r="B13485">
        <f>TEST_DATA!B13485</f>
        <v/>
      </c>
      <c r="C13485">
        <f>TEST_DATA!C13485</f>
        <v/>
      </c>
      <c r="D13485">
        <f>TEST_DATA!D13485</f>
        <v/>
      </c>
      <c r="E13485">
        <f>TEST_DATA!E13485</f>
        <v/>
      </c>
    </row>
    <row r="13486">
      <c r="A13486">
        <f>TEST_DATA!A13486</f>
        <v/>
      </c>
      <c r="B13486">
        <f>TEST_DATA!B13486</f>
        <v/>
      </c>
      <c r="C13486">
        <f>TEST_DATA!C13486</f>
        <v/>
      </c>
      <c r="D13486">
        <f>TEST_DATA!D13486</f>
        <v/>
      </c>
      <c r="E13486">
        <f>TEST_DATA!E13486</f>
        <v/>
      </c>
    </row>
    <row r="13487">
      <c r="A13487">
        <f>TEST_DATA!A13487</f>
        <v/>
      </c>
      <c r="B13487">
        <f>TEST_DATA!B13487</f>
        <v/>
      </c>
      <c r="C13487">
        <f>TEST_DATA!C13487</f>
        <v/>
      </c>
      <c r="D13487">
        <f>TEST_DATA!D13487</f>
        <v/>
      </c>
      <c r="E13487">
        <f>TEST_DATA!E13487</f>
        <v/>
      </c>
    </row>
    <row r="13488">
      <c r="A13488">
        <f>TEST_DATA!A13488</f>
        <v/>
      </c>
      <c r="B13488">
        <f>TEST_DATA!B13488</f>
        <v/>
      </c>
      <c r="C13488">
        <f>TEST_DATA!C13488</f>
        <v/>
      </c>
      <c r="D13488">
        <f>TEST_DATA!D13488</f>
        <v/>
      </c>
      <c r="E13488">
        <f>TEST_DATA!E13488</f>
        <v/>
      </c>
    </row>
    <row r="13489">
      <c r="A13489">
        <f>TEST_DATA!A13489</f>
        <v/>
      </c>
      <c r="B13489">
        <f>TEST_DATA!B13489</f>
        <v/>
      </c>
      <c r="C13489">
        <f>TEST_DATA!C13489</f>
        <v/>
      </c>
      <c r="D13489">
        <f>TEST_DATA!D13489</f>
        <v/>
      </c>
      <c r="E13489">
        <f>TEST_DATA!E13489</f>
        <v/>
      </c>
    </row>
    <row r="13490">
      <c r="A13490">
        <f>TEST_DATA!A13490</f>
        <v/>
      </c>
      <c r="B13490">
        <f>TEST_DATA!B13490</f>
        <v/>
      </c>
      <c r="C13490">
        <f>TEST_DATA!C13490</f>
        <v/>
      </c>
      <c r="D13490">
        <f>TEST_DATA!D13490</f>
        <v/>
      </c>
      <c r="E13490">
        <f>TEST_DATA!E13490</f>
        <v/>
      </c>
    </row>
    <row r="13491">
      <c r="A13491">
        <f>TEST_DATA!A13491</f>
        <v/>
      </c>
      <c r="B13491">
        <f>TEST_DATA!B13491</f>
        <v/>
      </c>
      <c r="C13491">
        <f>TEST_DATA!C13491</f>
        <v/>
      </c>
      <c r="D13491">
        <f>TEST_DATA!D13491</f>
        <v/>
      </c>
      <c r="E13491">
        <f>TEST_DATA!E13491</f>
        <v/>
      </c>
    </row>
    <row r="13492">
      <c r="A13492">
        <f>TEST_DATA!A13492</f>
        <v/>
      </c>
      <c r="B13492">
        <f>TEST_DATA!B13492</f>
        <v/>
      </c>
      <c r="C13492">
        <f>TEST_DATA!C13492</f>
        <v/>
      </c>
      <c r="D13492">
        <f>TEST_DATA!D13492</f>
        <v/>
      </c>
      <c r="E13492">
        <f>TEST_DATA!E13492</f>
        <v/>
      </c>
    </row>
    <row r="13493">
      <c r="A13493">
        <f>TEST_DATA!A13493</f>
        <v/>
      </c>
      <c r="B13493">
        <f>TEST_DATA!B13493</f>
        <v/>
      </c>
      <c r="C13493">
        <f>TEST_DATA!C13493</f>
        <v/>
      </c>
      <c r="D13493">
        <f>TEST_DATA!D13493</f>
        <v/>
      </c>
      <c r="E13493">
        <f>TEST_DATA!E13493</f>
        <v/>
      </c>
    </row>
    <row r="13494">
      <c r="A13494">
        <f>TEST_DATA!A13494</f>
        <v/>
      </c>
      <c r="B13494">
        <f>TEST_DATA!B13494</f>
        <v/>
      </c>
      <c r="C13494">
        <f>TEST_DATA!C13494</f>
        <v/>
      </c>
      <c r="D13494">
        <f>TEST_DATA!D13494</f>
        <v/>
      </c>
      <c r="E13494">
        <f>TEST_DATA!E13494</f>
        <v/>
      </c>
    </row>
    <row r="13495">
      <c r="A13495">
        <f>TEST_DATA!A13495</f>
        <v/>
      </c>
      <c r="B13495">
        <f>TEST_DATA!B13495</f>
        <v/>
      </c>
      <c r="C13495">
        <f>TEST_DATA!C13495</f>
        <v/>
      </c>
      <c r="D13495">
        <f>TEST_DATA!D13495</f>
        <v/>
      </c>
      <c r="E13495">
        <f>TEST_DATA!E13495</f>
        <v/>
      </c>
    </row>
    <row r="13496">
      <c r="A13496">
        <f>TEST_DATA!A13496</f>
        <v/>
      </c>
      <c r="B13496">
        <f>TEST_DATA!B13496</f>
        <v/>
      </c>
      <c r="C13496">
        <f>TEST_DATA!C13496</f>
        <v/>
      </c>
      <c r="D13496">
        <f>TEST_DATA!D13496</f>
        <v/>
      </c>
      <c r="E13496">
        <f>TEST_DATA!E13496</f>
        <v/>
      </c>
    </row>
    <row r="13497">
      <c r="A13497">
        <f>TEST_DATA!A13497</f>
        <v/>
      </c>
      <c r="B13497">
        <f>TEST_DATA!B13497</f>
        <v/>
      </c>
      <c r="C13497">
        <f>TEST_DATA!C13497</f>
        <v/>
      </c>
      <c r="D13497">
        <f>TEST_DATA!D13497</f>
        <v/>
      </c>
      <c r="E13497">
        <f>TEST_DATA!E13497</f>
        <v/>
      </c>
    </row>
    <row r="13498">
      <c r="A13498">
        <f>TEST_DATA!A13498</f>
        <v/>
      </c>
      <c r="B13498">
        <f>TEST_DATA!B13498</f>
        <v/>
      </c>
      <c r="C13498">
        <f>TEST_DATA!C13498</f>
        <v/>
      </c>
      <c r="D13498">
        <f>TEST_DATA!D13498</f>
        <v/>
      </c>
      <c r="E13498">
        <f>TEST_DATA!E13498</f>
        <v/>
      </c>
    </row>
    <row r="13499">
      <c r="A13499">
        <f>TEST_DATA!A13499</f>
        <v/>
      </c>
      <c r="B13499">
        <f>TEST_DATA!B13499</f>
        <v/>
      </c>
      <c r="C13499">
        <f>TEST_DATA!C13499</f>
        <v/>
      </c>
      <c r="D13499">
        <f>TEST_DATA!D13499</f>
        <v/>
      </c>
      <c r="E13499">
        <f>TEST_DATA!E13499</f>
        <v/>
      </c>
    </row>
    <row r="13500">
      <c r="A13500">
        <f>TEST_DATA!A13500</f>
        <v/>
      </c>
      <c r="B13500">
        <f>TEST_DATA!B13500</f>
        <v/>
      </c>
      <c r="C13500">
        <f>TEST_DATA!C13500</f>
        <v/>
      </c>
      <c r="D13500">
        <f>TEST_DATA!D13500</f>
        <v/>
      </c>
      <c r="E13500">
        <f>TEST_DATA!E13500</f>
        <v/>
      </c>
    </row>
    <row r="13501">
      <c r="A13501">
        <f>TEST_DATA!A13501</f>
        <v/>
      </c>
      <c r="B13501">
        <f>TEST_DATA!B13501</f>
        <v/>
      </c>
      <c r="C13501">
        <f>TEST_DATA!C13501</f>
        <v/>
      </c>
      <c r="D13501">
        <f>TEST_DATA!D13501</f>
        <v/>
      </c>
      <c r="E13501">
        <f>TEST_DATA!E13501</f>
        <v/>
      </c>
    </row>
    <row r="13502">
      <c r="A13502">
        <f>TEST_DATA!A13502</f>
        <v/>
      </c>
      <c r="B13502">
        <f>TEST_DATA!B13502</f>
        <v/>
      </c>
      <c r="C13502">
        <f>TEST_DATA!C13502</f>
        <v/>
      </c>
      <c r="D13502">
        <f>TEST_DATA!D13502</f>
        <v/>
      </c>
      <c r="E13502">
        <f>TEST_DATA!E13502</f>
        <v/>
      </c>
    </row>
    <row r="13503">
      <c r="A13503">
        <f>TEST_DATA!A13503</f>
        <v/>
      </c>
      <c r="B13503">
        <f>TEST_DATA!B13503</f>
        <v/>
      </c>
      <c r="C13503">
        <f>TEST_DATA!C13503</f>
        <v/>
      </c>
      <c r="D13503">
        <f>TEST_DATA!D13503</f>
        <v/>
      </c>
      <c r="E13503">
        <f>TEST_DATA!E13503</f>
        <v/>
      </c>
    </row>
    <row r="13504">
      <c r="A13504">
        <f>TEST_DATA!A13504</f>
        <v/>
      </c>
      <c r="B13504">
        <f>TEST_DATA!B13504</f>
        <v/>
      </c>
      <c r="C13504">
        <f>TEST_DATA!C13504</f>
        <v/>
      </c>
      <c r="D13504">
        <f>TEST_DATA!D13504</f>
        <v/>
      </c>
      <c r="E13504">
        <f>TEST_DATA!E13504</f>
        <v/>
      </c>
    </row>
    <row r="13505">
      <c r="A13505">
        <f>TEST_DATA!A13505</f>
        <v/>
      </c>
      <c r="B13505">
        <f>TEST_DATA!B13505</f>
        <v/>
      </c>
      <c r="C13505">
        <f>TEST_DATA!C13505</f>
        <v/>
      </c>
      <c r="D13505">
        <f>TEST_DATA!D13505</f>
        <v/>
      </c>
      <c r="E13505">
        <f>TEST_DATA!E13505</f>
        <v/>
      </c>
    </row>
    <row r="13506">
      <c r="A13506">
        <f>TEST_DATA!A13506</f>
        <v/>
      </c>
      <c r="B13506">
        <f>TEST_DATA!B13506</f>
        <v/>
      </c>
      <c r="C13506">
        <f>TEST_DATA!C13506</f>
        <v/>
      </c>
      <c r="D13506">
        <f>TEST_DATA!D13506</f>
        <v/>
      </c>
      <c r="E13506">
        <f>TEST_DATA!E13506</f>
        <v/>
      </c>
    </row>
    <row r="13507">
      <c r="A13507">
        <f>TEST_DATA!A13507</f>
        <v/>
      </c>
      <c r="B13507">
        <f>TEST_DATA!B13507</f>
        <v/>
      </c>
      <c r="C13507">
        <f>TEST_DATA!C13507</f>
        <v/>
      </c>
      <c r="D13507">
        <f>TEST_DATA!D13507</f>
        <v/>
      </c>
      <c r="E13507">
        <f>TEST_DATA!E13507</f>
        <v/>
      </c>
    </row>
    <row r="13508">
      <c r="A13508">
        <f>TEST_DATA!A13508</f>
        <v/>
      </c>
      <c r="B13508">
        <f>TEST_DATA!B13508</f>
        <v/>
      </c>
      <c r="C13508">
        <f>TEST_DATA!C13508</f>
        <v/>
      </c>
      <c r="D13508">
        <f>TEST_DATA!D13508</f>
        <v/>
      </c>
      <c r="E13508">
        <f>TEST_DATA!E13508</f>
        <v/>
      </c>
    </row>
    <row r="13509">
      <c r="A13509">
        <f>TEST_DATA!A13509</f>
        <v/>
      </c>
      <c r="B13509">
        <f>TEST_DATA!B13509</f>
        <v/>
      </c>
      <c r="C13509">
        <f>TEST_DATA!C13509</f>
        <v/>
      </c>
      <c r="D13509">
        <f>TEST_DATA!D13509</f>
        <v/>
      </c>
      <c r="E13509">
        <f>TEST_DATA!E13509</f>
        <v/>
      </c>
    </row>
    <row r="13510">
      <c r="A13510">
        <f>TEST_DATA!A13510</f>
        <v/>
      </c>
      <c r="B13510">
        <f>TEST_DATA!B13510</f>
        <v/>
      </c>
      <c r="C13510">
        <f>TEST_DATA!C13510</f>
        <v/>
      </c>
      <c r="D13510">
        <f>TEST_DATA!D13510</f>
        <v/>
      </c>
      <c r="E13510">
        <f>TEST_DATA!E13510</f>
        <v/>
      </c>
    </row>
    <row r="13511">
      <c r="A13511">
        <f>TEST_DATA!A13511</f>
        <v/>
      </c>
      <c r="B13511">
        <f>TEST_DATA!B13511</f>
        <v/>
      </c>
      <c r="C13511">
        <f>TEST_DATA!C13511</f>
        <v/>
      </c>
      <c r="D13511">
        <f>TEST_DATA!D13511</f>
        <v/>
      </c>
      <c r="E13511">
        <f>TEST_DATA!E13511</f>
        <v/>
      </c>
    </row>
    <row r="13512">
      <c r="A13512">
        <f>TEST_DATA!A13512</f>
        <v/>
      </c>
      <c r="B13512">
        <f>TEST_DATA!B13512</f>
        <v/>
      </c>
      <c r="C13512">
        <f>TEST_DATA!C13512</f>
        <v/>
      </c>
      <c r="D13512">
        <f>TEST_DATA!D13512</f>
        <v/>
      </c>
      <c r="E13512">
        <f>TEST_DATA!E13512</f>
        <v/>
      </c>
    </row>
    <row r="13513">
      <c r="A13513">
        <f>TEST_DATA!A13513</f>
        <v/>
      </c>
      <c r="B13513">
        <f>TEST_DATA!B13513</f>
        <v/>
      </c>
      <c r="C13513">
        <f>TEST_DATA!C13513</f>
        <v/>
      </c>
      <c r="D13513">
        <f>TEST_DATA!D13513</f>
        <v/>
      </c>
      <c r="E13513">
        <f>TEST_DATA!E13513</f>
        <v/>
      </c>
    </row>
    <row r="13514">
      <c r="A13514">
        <f>TEST_DATA!A13514</f>
        <v/>
      </c>
      <c r="B13514">
        <f>TEST_DATA!B13514</f>
        <v/>
      </c>
      <c r="C13514">
        <f>TEST_DATA!C13514</f>
        <v/>
      </c>
      <c r="D13514">
        <f>TEST_DATA!D13514</f>
        <v/>
      </c>
      <c r="E13514">
        <f>TEST_DATA!E13514</f>
        <v/>
      </c>
    </row>
    <row r="13515">
      <c r="A13515">
        <f>TEST_DATA!A13515</f>
        <v/>
      </c>
      <c r="B13515">
        <f>TEST_DATA!B13515</f>
        <v/>
      </c>
      <c r="C13515">
        <f>TEST_DATA!C13515</f>
        <v/>
      </c>
      <c r="D13515">
        <f>TEST_DATA!D13515</f>
        <v/>
      </c>
      <c r="E13515">
        <f>TEST_DATA!E13515</f>
        <v/>
      </c>
    </row>
    <row r="13516">
      <c r="A13516">
        <f>TEST_DATA!A13516</f>
        <v/>
      </c>
      <c r="B13516">
        <f>TEST_DATA!B13516</f>
        <v/>
      </c>
      <c r="C13516">
        <f>TEST_DATA!C13516</f>
        <v/>
      </c>
      <c r="D13516">
        <f>TEST_DATA!D13516</f>
        <v/>
      </c>
      <c r="E13516">
        <f>TEST_DATA!E13516</f>
        <v/>
      </c>
    </row>
    <row r="13517">
      <c r="A13517">
        <f>TEST_DATA!A13517</f>
        <v/>
      </c>
      <c r="B13517">
        <f>TEST_DATA!B13517</f>
        <v/>
      </c>
      <c r="C13517">
        <f>TEST_DATA!C13517</f>
        <v/>
      </c>
      <c r="D13517">
        <f>TEST_DATA!D13517</f>
        <v/>
      </c>
      <c r="E13517">
        <f>TEST_DATA!E13517</f>
        <v/>
      </c>
    </row>
    <row r="13518">
      <c r="A13518">
        <f>TEST_DATA!A13518</f>
        <v/>
      </c>
      <c r="B13518">
        <f>TEST_DATA!B13518</f>
        <v/>
      </c>
      <c r="C13518">
        <f>TEST_DATA!C13518</f>
        <v/>
      </c>
      <c r="D13518">
        <f>TEST_DATA!D13518</f>
        <v/>
      </c>
      <c r="E13518">
        <f>TEST_DATA!E13518</f>
        <v/>
      </c>
    </row>
    <row r="13519">
      <c r="A13519">
        <f>TEST_DATA!A13519</f>
        <v/>
      </c>
      <c r="B13519">
        <f>TEST_DATA!B13519</f>
        <v/>
      </c>
      <c r="C13519">
        <f>TEST_DATA!C13519</f>
        <v/>
      </c>
      <c r="D13519">
        <f>TEST_DATA!D13519</f>
        <v/>
      </c>
      <c r="E13519">
        <f>TEST_DATA!E13519</f>
        <v/>
      </c>
    </row>
    <row r="13520">
      <c r="A13520">
        <f>TEST_DATA!A13520</f>
        <v/>
      </c>
      <c r="B13520">
        <f>TEST_DATA!B13520</f>
        <v/>
      </c>
      <c r="C13520">
        <f>TEST_DATA!C13520</f>
        <v/>
      </c>
      <c r="D13520">
        <f>TEST_DATA!D13520</f>
        <v/>
      </c>
      <c r="E13520">
        <f>TEST_DATA!E13520</f>
        <v/>
      </c>
    </row>
    <row r="13521">
      <c r="A13521">
        <f>TEST_DATA!A13521</f>
        <v/>
      </c>
      <c r="B13521">
        <f>TEST_DATA!B13521</f>
        <v/>
      </c>
      <c r="C13521">
        <f>TEST_DATA!C13521</f>
        <v/>
      </c>
      <c r="D13521">
        <f>TEST_DATA!D13521</f>
        <v/>
      </c>
      <c r="E13521">
        <f>TEST_DATA!E13521</f>
        <v/>
      </c>
    </row>
    <row r="13522">
      <c r="A13522">
        <f>TEST_DATA!A13522</f>
        <v/>
      </c>
      <c r="B13522">
        <f>TEST_DATA!B13522</f>
        <v/>
      </c>
      <c r="C13522">
        <f>TEST_DATA!C13522</f>
        <v/>
      </c>
      <c r="D13522">
        <f>TEST_DATA!D13522</f>
        <v/>
      </c>
      <c r="E13522">
        <f>TEST_DATA!E13522</f>
        <v/>
      </c>
    </row>
    <row r="13523">
      <c r="A13523">
        <f>TEST_DATA!A13523</f>
        <v/>
      </c>
      <c r="B13523">
        <f>TEST_DATA!B13523</f>
        <v/>
      </c>
      <c r="C13523">
        <f>TEST_DATA!C13523</f>
        <v/>
      </c>
      <c r="D13523">
        <f>TEST_DATA!D13523</f>
        <v/>
      </c>
      <c r="E13523">
        <f>TEST_DATA!E13523</f>
        <v/>
      </c>
    </row>
    <row r="13524">
      <c r="A13524">
        <f>TEST_DATA!A13524</f>
        <v/>
      </c>
      <c r="B13524">
        <f>TEST_DATA!B13524</f>
        <v/>
      </c>
      <c r="C13524">
        <f>TEST_DATA!C13524</f>
        <v/>
      </c>
      <c r="D13524">
        <f>TEST_DATA!D13524</f>
        <v/>
      </c>
      <c r="E13524">
        <f>TEST_DATA!E13524</f>
        <v/>
      </c>
    </row>
    <row r="13525">
      <c r="A13525">
        <f>TEST_DATA!A13525</f>
        <v/>
      </c>
      <c r="B13525">
        <f>TEST_DATA!B13525</f>
        <v/>
      </c>
      <c r="C13525">
        <f>TEST_DATA!C13525</f>
        <v/>
      </c>
      <c r="D13525">
        <f>TEST_DATA!D13525</f>
        <v/>
      </c>
      <c r="E13525">
        <f>TEST_DATA!E13525</f>
        <v/>
      </c>
    </row>
    <row r="13526">
      <c r="A13526">
        <f>TEST_DATA!A13526</f>
        <v/>
      </c>
      <c r="B13526">
        <f>TEST_DATA!B13526</f>
        <v/>
      </c>
      <c r="C13526">
        <f>TEST_DATA!C13526</f>
        <v/>
      </c>
      <c r="D13526">
        <f>TEST_DATA!D13526</f>
        <v/>
      </c>
      <c r="E13526">
        <f>TEST_DATA!E13526</f>
        <v/>
      </c>
    </row>
    <row r="13527">
      <c r="A13527">
        <f>TEST_DATA!A13527</f>
        <v/>
      </c>
      <c r="B13527">
        <f>TEST_DATA!B13527</f>
        <v/>
      </c>
      <c r="C13527">
        <f>TEST_DATA!C13527</f>
        <v/>
      </c>
      <c r="D13527">
        <f>TEST_DATA!D13527</f>
        <v/>
      </c>
      <c r="E13527">
        <f>TEST_DATA!E13527</f>
        <v/>
      </c>
    </row>
    <row r="13528">
      <c r="A13528">
        <f>TEST_DATA!A13528</f>
        <v/>
      </c>
      <c r="B13528">
        <f>TEST_DATA!B13528</f>
        <v/>
      </c>
      <c r="C13528">
        <f>TEST_DATA!C13528</f>
        <v/>
      </c>
      <c r="D13528">
        <f>TEST_DATA!D13528</f>
        <v/>
      </c>
      <c r="E13528">
        <f>TEST_DATA!E13528</f>
        <v/>
      </c>
    </row>
    <row r="13529">
      <c r="A13529">
        <f>TEST_DATA!A13529</f>
        <v/>
      </c>
      <c r="B13529">
        <f>TEST_DATA!B13529</f>
        <v/>
      </c>
      <c r="C13529">
        <f>TEST_DATA!C13529</f>
        <v/>
      </c>
      <c r="D13529">
        <f>TEST_DATA!D13529</f>
        <v/>
      </c>
      <c r="E13529">
        <f>TEST_DATA!E13529</f>
        <v/>
      </c>
    </row>
    <row r="13530">
      <c r="A13530">
        <f>TEST_DATA!A13530</f>
        <v/>
      </c>
      <c r="B13530">
        <f>TEST_DATA!B13530</f>
        <v/>
      </c>
      <c r="C13530">
        <f>TEST_DATA!C13530</f>
        <v/>
      </c>
      <c r="D13530">
        <f>TEST_DATA!D13530</f>
        <v/>
      </c>
      <c r="E13530">
        <f>TEST_DATA!E13530</f>
        <v/>
      </c>
    </row>
    <row r="13531">
      <c r="A13531">
        <f>TEST_DATA!A13531</f>
        <v/>
      </c>
      <c r="B13531">
        <f>TEST_DATA!B13531</f>
        <v/>
      </c>
      <c r="C13531">
        <f>TEST_DATA!C13531</f>
        <v/>
      </c>
      <c r="D13531">
        <f>TEST_DATA!D13531</f>
        <v/>
      </c>
      <c r="E13531">
        <f>TEST_DATA!E13531</f>
        <v/>
      </c>
    </row>
    <row r="13532">
      <c r="A13532">
        <f>TEST_DATA!A13532</f>
        <v/>
      </c>
      <c r="B13532">
        <f>TEST_DATA!B13532</f>
        <v/>
      </c>
      <c r="C13532">
        <f>TEST_DATA!C13532</f>
        <v/>
      </c>
      <c r="D13532">
        <f>TEST_DATA!D13532</f>
        <v/>
      </c>
      <c r="E13532">
        <f>TEST_DATA!E13532</f>
        <v/>
      </c>
    </row>
    <row r="13533">
      <c r="A13533">
        <f>TEST_DATA!A13533</f>
        <v/>
      </c>
      <c r="B13533">
        <f>TEST_DATA!B13533</f>
        <v/>
      </c>
      <c r="C13533">
        <f>TEST_DATA!C13533</f>
        <v/>
      </c>
      <c r="D13533">
        <f>TEST_DATA!D13533</f>
        <v/>
      </c>
      <c r="E13533">
        <f>TEST_DATA!E13533</f>
        <v/>
      </c>
    </row>
    <row r="13534">
      <c r="A13534">
        <f>TEST_DATA!A13534</f>
        <v/>
      </c>
      <c r="B13534">
        <f>TEST_DATA!B13534</f>
        <v/>
      </c>
      <c r="C13534">
        <f>TEST_DATA!C13534</f>
        <v/>
      </c>
      <c r="D13534">
        <f>TEST_DATA!D13534</f>
        <v/>
      </c>
      <c r="E13534">
        <f>TEST_DATA!E13534</f>
        <v/>
      </c>
    </row>
    <row r="13535">
      <c r="A13535">
        <f>TEST_DATA!A13535</f>
        <v/>
      </c>
      <c r="B13535">
        <f>TEST_DATA!B13535</f>
        <v/>
      </c>
      <c r="C13535">
        <f>TEST_DATA!C13535</f>
        <v/>
      </c>
      <c r="D13535">
        <f>TEST_DATA!D13535</f>
        <v/>
      </c>
      <c r="E13535">
        <f>TEST_DATA!E13535</f>
        <v/>
      </c>
    </row>
    <row r="13536">
      <c r="A13536">
        <f>TEST_DATA!A13536</f>
        <v/>
      </c>
      <c r="B13536">
        <f>TEST_DATA!B13536</f>
        <v/>
      </c>
      <c r="C13536">
        <f>TEST_DATA!C13536</f>
        <v/>
      </c>
      <c r="D13536">
        <f>TEST_DATA!D13536</f>
        <v/>
      </c>
      <c r="E13536">
        <f>TEST_DATA!E13536</f>
        <v/>
      </c>
    </row>
    <row r="13537">
      <c r="A13537">
        <f>TEST_DATA!A13537</f>
        <v/>
      </c>
      <c r="B13537">
        <f>TEST_DATA!B13537</f>
        <v/>
      </c>
      <c r="C13537">
        <f>TEST_DATA!C13537</f>
        <v/>
      </c>
      <c r="D13537">
        <f>TEST_DATA!D13537</f>
        <v/>
      </c>
      <c r="E13537">
        <f>TEST_DATA!E13537</f>
        <v/>
      </c>
    </row>
    <row r="13538">
      <c r="A13538">
        <f>TEST_DATA!A13538</f>
        <v/>
      </c>
      <c r="B13538">
        <f>TEST_DATA!B13538</f>
        <v/>
      </c>
      <c r="C13538">
        <f>TEST_DATA!C13538</f>
        <v/>
      </c>
      <c r="D13538">
        <f>TEST_DATA!D13538</f>
        <v/>
      </c>
      <c r="E13538">
        <f>TEST_DATA!E13538</f>
        <v/>
      </c>
    </row>
    <row r="13539">
      <c r="A13539">
        <f>TEST_DATA!A13539</f>
        <v/>
      </c>
      <c r="B13539">
        <f>TEST_DATA!B13539</f>
        <v/>
      </c>
      <c r="C13539">
        <f>TEST_DATA!C13539</f>
        <v/>
      </c>
      <c r="D13539">
        <f>TEST_DATA!D13539</f>
        <v/>
      </c>
      <c r="E13539">
        <f>TEST_DATA!E13539</f>
        <v/>
      </c>
    </row>
    <row r="13540">
      <c r="A13540">
        <f>TEST_DATA!A13540</f>
        <v/>
      </c>
      <c r="B13540">
        <f>TEST_DATA!B13540</f>
        <v/>
      </c>
      <c r="C13540">
        <f>TEST_DATA!C13540</f>
        <v/>
      </c>
      <c r="D13540">
        <f>TEST_DATA!D13540</f>
        <v/>
      </c>
      <c r="E13540">
        <f>TEST_DATA!E13540</f>
        <v/>
      </c>
    </row>
    <row r="13541">
      <c r="A13541">
        <f>TEST_DATA!A13541</f>
        <v/>
      </c>
      <c r="B13541">
        <f>TEST_DATA!B13541</f>
        <v/>
      </c>
      <c r="C13541">
        <f>TEST_DATA!C13541</f>
        <v/>
      </c>
      <c r="D13541">
        <f>TEST_DATA!D13541</f>
        <v/>
      </c>
      <c r="E13541">
        <f>TEST_DATA!E13541</f>
        <v/>
      </c>
    </row>
    <row r="13542">
      <c r="A13542">
        <f>TEST_DATA!A13542</f>
        <v/>
      </c>
      <c r="B13542">
        <f>TEST_DATA!B13542</f>
        <v/>
      </c>
      <c r="C13542">
        <f>TEST_DATA!C13542</f>
        <v/>
      </c>
      <c r="D13542">
        <f>TEST_DATA!D13542</f>
        <v/>
      </c>
      <c r="E13542">
        <f>TEST_DATA!E13542</f>
        <v/>
      </c>
    </row>
    <row r="13543">
      <c r="A13543">
        <f>TEST_DATA!A13543</f>
        <v/>
      </c>
      <c r="B13543">
        <f>TEST_DATA!B13543</f>
        <v/>
      </c>
      <c r="C13543">
        <f>TEST_DATA!C13543</f>
        <v/>
      </c>
      <c r="D13543">
        <f>TEST_DATA!D13543</f>
        <v/>
      </c>
      <c r="E13543">
        <f>TEST_DATA!E13543</f>
        <v/>
      </c>
    </row>
    <row r="13544">
      <c r="A13544">
        <f>TEST_DATA!A13544</f>
        <v/>
      </c>
      <c r="B13544">
        <f>TEST_DATA!B13544</f>
        <v/>
      </c>
      <c r="C13544">
        <f>TEST_DATA!C13544</f>
        <v/>
      </c>
      <c r="D13544">
        <f>TEST_DATA!D13544</f>
        <v/>
      </c>
      <c r="E13544">
        <f>TEST_DATA!E13544</f>
        <v/>
      </c>
    </row>
    <row r="13545">
      <c r="A13545">
        <f>TEST_DATA!A13545</f>
        <v/>
      </c>
      <c r="B13545">
        <f>TEST_DATA!B13545</f>
        <v/>
      </c>
      <c r="C13545">
        <f>TEST_DATA!C13545</f>
        <v/>
      </c>
      <c r="D13545">
        <f>TEST_DATA!D13545</f>
        <v/>
      </c>
      <c r="E13545">
        <f>TEST_DATA!E13545</f>
        <v/>
      </c>
    </row>
    <row r="13546">
      <c r="A13546">
        <f>TEST_DATA!A13546</f>
        <v/>
      </c>
      <c r="B13546">
        <f>TEST_DATA!B13546</f>
        <v/>
      </c>
      <c r="C13546">
        <f>TEST_DATA!C13546</f>
        <v/>
      </c>
      <c r="D13546">
        <f>TEST_DATA!D13546</f>
        <v/>
      </c>
      <c r="E13546">
        <f>TEST_DATA!E13546</f>
        <v/>
      </c>
    </row>
    <row r="13547">
      <c r="A13547">
        <f>TEST_DATA!A13547</f>
        <v/>
      </c>
      <c r="B13547">
        <f>TEST_DATA!B13547</f>
        <v/>
      </c>
      <c r="C13547">
        <f>TEST_DATA!C13547</f>
        <v/>
      </c>
      <c r="D13547">
        <f>TEST_DATA!D13547</f>
        <v/>
      </c>
      <c r="E13547">
        <f>TEST_DATA!E13547</f>
        <v/>
      </c>
    </row>
    <row r="13548">
      <c r="A13548">
        <f>TEST_DATA!A13548</f>
        <v/>
      </c>
      <c r="B13548">
        <f>TEST_DATA!B13548</f>
        <v/>
      </c>
      <c r="C13548">
        <f>TEST_DATA!C13548</f>
        <v/>
      </c>
      <c r="D13548">
        <f>TEST_DATA!D13548</f>
        <v/>
      </c>
      <c r="E13548">
        <f>TEST_DATA!E13548</f>
        <v/>
      </c>
    </row>
    <row r="13549">
      <c r="A13549">
        <f>TEST_DATA!A13549</f>
        <v/>
      </c>
      <c r="B13549">
        <f>TEST_DATA!B13549</f>
        <v/>
      </c>
      <c r="C13549">
        <f>TEST_DATA!C13549</f>
        <v/>
      </c>
      <c r="D13549">
        <f>TEST_DATA!D13549</f>
        <v/>
      </c>
      <c r="E13549">
        <f>TEST_DATA!E13549</f>
        <v/>
      </c>
    </row>
    <row r="13550">
      <c r="A13550">
        <f>TEST_DATA!A13550</f>
        <v/>
      </c>
      <c r="B13550">
        <f>TEST_DATA!B13550</f>
        <v/>
      </c>
      <c r="C13550">
        <f>TEST_DATA!C13550</f>
        <v/>
      </c>
      <c r="D13550">
        <f>TEST_DATA!D13550</f>
        <v/>
      </c>
      <c r="E13550">
        <f>TEST_DATA!E13550</f>
        <v/>
      </c>
    </row>
    <row r="13551">
      <c r="A13551">
        <f>TEST_DATA!A13551</f>
        <v/>
      </c>
      <c r="B13551">
        <f>TEST_DATA!B13551</f>
        <v/>
      </c>
      <c r="C13551">
        <f>TEST_DATA!C13551</f>
        <v/>
      </c>
      <c r="D13551">
        <f>TEST_DATA!D13551</f>
        <v/>
      </c>
      <c r="E13551">
        <f>TEST_DATA!E13551</f>
        <v/>
      </c>
    </row>
    <row r="13552">
      <c r="A13552">
        <f>TEST_DATA!A13552</f>
        <v/>
      </c>
      <c r="B13552">
        <f>TEST_DATA!B13552</f>
        <v/>
      </c>
      <c r="C13552">
        <f>TEST_DATA!C13552</f>
        <v/>
      </c>
      <c r="D13552">
        <f>TEST_DATA!D13552</f>
        <v/>
      </c>
      <c r="E13552">
        <f>TEST_DATA!E13552</f>
        <v/>
      </c>
    </row>
    <row r="13553">
      <c r="A13553">
        <f>TEST_DATA!A13553</f>
        <v/>
      </c>
      <c r="B13553">
        <f>TEST_DATA!B13553</f>
        <v/>
      </c>
      <c r="C13553">
        <f>TEST_DATA!C13553</f>
        <v/>
      </c>
      <c r="D13553">
        <f>TEST_DATA!D13553</f>
        <v/>
      </c>
      <c r="E13553">
        <f>TEST_DATA!E13553</f>
        <v/>
      </c>
    </row>
    <row r="13554">
      <c r="A13554">
        <f>TEST_DATA!A13554</f>
        <v/>
      </c>
      <c r="B13554">
        <f>TEST_DATA!B13554</f>
        <v/>
      </c>
      <c r="C13554">
        <f>TEST_DATA!C13554</f>
        <v/>
      </c>
      <c r="D13554">
        <f>TEST_DATA!D13554</f>
        <v/>
      </c>
      <c r="E13554">
        <f>TEST_DATA!E13554</f>
        <v/>
      </c>
    </row>
    <row r="13555">
      <c r="A13555">
        <f>TEST_DATA!A13555</f>
        <v/>
      </c>
      <c r="B13555">
        <f>TEST_DATA!B13555</f>
        <v/>
      </c>
      <c r="C13555">
        <f>TEST_DATA!C13555</f>
        <v/>
      </c>
      <c r="D13555">
        <f>TEST_DATA!D13555</f>
        <v/>
      </c>
      <c r="E13555">
        <f>TEST_DATA!E13555</f>
        <v/>
      </c>
    </row>
    <row r="13556">
      <c r="A13556">
        <f>TEST_DATA!A13556</f>
        <v/>
      </c>
      <c r="B13556">
        <f>TEST_DATA!B13556</f>
        <v/>
      </c>
      <c r="C13556">
        <f>TEST_DATA!C13556</f>
        <v/>
      </c>
      <c r="D13556">
        <f>TEST_DATA!D13556</f>
        <v/>
      </c>
      <c r="E13556">
        <f>TEST_DATA!E13556</f>
        <v/>
      </c>
    </row>
    <row r="13557">
      <c r="A13557">
        <f>TEST_DATA!A13557</f>
        <v/>
      </c>
      <c r="B13557">
        <f>TEST_DATA!B13557</f>
        <v/>
      </c>
      <c r="C13557">
        <f>TEST_DATA!C13557</f>
        <v/>
      </c>
      <c r="D13557">
        <f>TEST_DATA!D13557</f>
        <v/>
      </c>
      <c r="E13557">
        <f>TEST_DATA!E13557</f>
        <v/>
      </c>
    </row>
    <row r="13558">
      <c r="A13558">
        <f>TEST_DATA!A13558</f>
        <v/>
      </c>
      <c r="B13558">
        <f>TEST_DATA!B13558</f>
        <v/>
      </c>
      <c r="C13558">
        <f>TEST_DATA!C13558</f>
        <v/>
      </c>
      <c r="D13558">
        <f>TEST_DATA!D13558</f>
        <v/>
      </c>
      <c r="E13558">
        <f>TEST_DATA!E13558</f>
        <v/>
      </c>
    </row>
    <row r="13559">
      <c r="A13559">
        <f>TEST_DATA!A13559</f>
        <v/>
      </c>
      <c r="B13559">
        <f>TEST_DATA!B13559</f>
        <v/>
      </c>
      <c r="C13559">
        <f>TEST_DATA!C13559</f>
        <v/>
      </c>
      <c r="D13559">
        <f>TEST_DATA!D13559</f>
        <v/>
      </c>
      <c r="E13559">
        <f>TEST_DATA!E13559</f>
        <v/>
      </c>
    </row>
    <row r="13560">
      <c r="A13560">
        <f>TEST_DATA!A13560</f>
        <v/>
      </c>
      <c r="B13560">
        <f>TEST_DATA!B13560</f>
        <v/>
      </c>
      <c r="C13560">
        <f>TEST_DATA!C13560</f>
        <v/>
      </c>
      <c r="D13560">
        <f>TEST_DATA!D13560</f>
        <v/>
      </c>
      <c r="E13560">
        <f>TEST_DATA!E13560</f>
        <v/>
      </c>
    </row>
    <row r="13561">
      <c r="A13561">
        <f>TEST_DATA!A13561</f>
        <v/>
      </c>
      <c r="B13561">
        <f>TEST_DATA!B13561</f>
        <v/>
      </c>
      <c r="C13561">
        <f>TEST_DATA!C13561</f>
        <v/>
      </c>
      <c r="D13561">
        <f>TEST_DATA!D13561</f>
        <v/>
      </c>
      <c r="E13561">
        <f>TEST_DATA!E13561</f>
        <v/>
      </c>
    </row>
    <row r="13562">
      <c r="A13562">
        <f>TEST_DATA!A13562</f>
        <v/>
      </c>
      <c r="B13562">
        <f>TEST_DATA!B13562</f>
        <v/>
      </c>
      <c r="C13562">
        <f>TEST_DATA!C13562</f>
        <v/>
      </c>
      <c r="D13562">
        <f>TEST_DATA!D13562</f>
        <v/>
      </c>
      <c r="E13562">
        <f>TEST_DATA!E13562</f>
        <v/>
      </c>
    </row>
    <row r="13563">
      <c r="A13563">
        <f>TEST_DATA!A13563</f>
        <v/>
      </c>
      <c r="B13563">
        <f>TEST_DATA!B13563</f>
        <v/>
      </c>
      <c r="C13563">
        <f>TEST_DATA!C13563</f>
        <v/>
      </c>
      <c r="D13563">
        <f>TEST_DATA!D13563</f>
        <v/>
      </c>
      <c r="E13563">
        <f>TEST_DATA!E13563</f>
        <v/>
      </c>
    </row>
    <row r="13564">
      <c r="A13564">
        <f>TEST_DATA!A13564</f>
        <v/>
      </c>
      <c r="B13564">
        <f>TEST_DATA!B13564</f>
        <v/>
      </c>
      <c r="C13564">
        <f>TEST_DATA!C13564</f>
        <v/>
      </c>
      <c r="D13564">
        <f>TEST_DATA!D13564</f>
        <v/>
      </c>
      <c r="E13564">
        <f>TEST_DATA!E13564</f>
        <v/>
      </c>
    </row>
    <row r="13565">
      <c r="A13565">
        <f>TEST_DATA!A13565</f>
        <v/>
      </c>
      <c r="B13565">
        <f>TEST_DATA!B13565</f>
        <v/>
      </c>
      <c r="C13565">
        <f>TEST_DATA!C13565</f>
        <v/>
      </c>
      <c r="D13565">
        <f>TEST_DATA!D13565</f>
        <v/>
      </c>
      <c r="E13565">
        <f>TEST_DATA!E13565</f>
        <v/>
      </c>
    </row>
    <row r="13566">
      <c r="A13566">
        <f>TEST_DATA!A13566</f>
        <v/>
      </c>
      <c r="B13566">
        <f>TEST_DATA!B13566</f>
        <v/>
      </c>
      <c r="C13566">
        <f>TEST_DATA!C13566</f>
        <v/>
      </c>
      <c r="D13566">
        <f>TEST_DATA!D13566</f>
        <v/>
      </c>
      <c r="E13566">
        <f>TEST_DATA!E13566</f>
        <v/>
      </c>
    </row>
    <row r="13567">
      <c r="A13567">
        <f>TEST_DATA!A13567</f>
        <v/>
      </c>
      <c r="B13567">
        <f>TEST_DATA!B13567</f>
        <v/>
      </c>
      <c r="C13567">
        <f>TEST_DATA!C13567</f>
        <v/>
      </c>
      <c r="D13567">
        <f>TEST_DATA!D13567</f>
        <v/>
      </c>
      <c r="E13567">
        <f>TEST_DATA!E13567</f>
        <v/>
      </c>
    </row>
    <row r="13568">
      <c r="A13568">
        <f>TEST_DATA!A13568</f>
        <v/>
      </c>
      <c r="B13568">
        <f>TEST_DATA!B13568</f>
        <v/>
      </c>
      <c r="C13568">
        <f>TEST_DATA!C13568</f>
        <v/>
      </c>
      <c r="D13568">
        <f>TEST_DATA!D13568</f>
        <v/>
      </c>
      <c r="E13568">
        <f>TEST_DATA!E13568</f>
        <v/>
      </c>
    </row>
    <row r="13569">
      <c r="A13569">
        <f>TEST_DATA!A13569</f>
        <v/>
      </c>
      <c r="B13569">
        <f>TEST_DATA!B13569</f>
        <v/>
      </c>
      <c r="C13569">
        <f>TEST_DATA!C13569</f>
        <v/>
      </c>
      <c r="D13569">
        <f>TEST_DATA!D13569</f>
        <v/>
      </c>
      <c r="E13569">
        <f>TEST_DATA!E13569</f>
        <v/>
      </c>
    </row>
    <row r="13570">
      <c r="A13570">
        <f>TEST_DATA!A13570</f>
        <v/>
      </c>
      <c r="B13570">
        <f>TEST_DATA!B13570</f>
        <v/>
      </c>
      <c r="C13570">
        <f>TEST_DATA!C13570</f>
        <v/>
      </c>
      <c r="D13570">
        <f>TEST_DATA!D13570</f>
        <v/>
      </c>
      <c r="E13570">
        <f>TEST_DATA!E13570</f>
        <v/>
      </c>
    </row>
    <row r="13571">
      <c r="A13571">
        <f>TEST_DATA!A13571</f>
        <v/>
      </c>
      <c r="B13571">
        <f>TEST_DATA!B13571</f>
        <v/>
      </c>
      <c r="C13571">
        <f>TEST_DATA!C13571</f>
        <v/>
      </c>
      <c r="D13571">
        <f>TEST_DATA!D13571</f>
        <v/>
      </c>
      <c r="E13571">
        <f>TEST_DATA!E13571</f>
        <v/>
      </c>
    </row>
    <row r="13572">
      <c r="A13572">
        <f>TEST_DATA!A13572</f>
        <v/>
      </c>
      <c r="B13572">
        <f>TEST_DATA!B13572</f>
        <v/>
      </c>
      <c r="C13572">
        <f>TEST_DATA!C13572</f>
        <v/>
      </c>
      <c r="D13572">
        <f>TEST_DATA!D13572</f>
        <v/>
      </c>
      <c r="E13572">
        <f>TEST_DATA!E13572</f>
        <v/>
      </c>
    </row>
    <row r="13573">
      <c r="A13573">
        <f>TEST_DATA!A13573</f>
        <v/>
      </c>
      <c r="B13573">
        <f>TEST_DATA!B13573</f>
        <v/>
      </c>
      <c r="C13573">
        <f>TEST_DATA!C13573</f>
        <v/>
      </c>
      <c r="D13573">
        <f>TEST_DATA!D13573</f>
        <v/>
      </c>
      <c r="E13573">
        <f>TEST_DATA!E13573</f>
        <v/>
      </c>
    </row>
    <row r="13574">
      <c r="A13574">
        <f>TEST_DATA!A13574</f>
        <v/>
      </c>
      <c r="B13574">
        <f>TEST_DATA!B13574</f>
        <v/>
      </c>
      <c r="C13574">
        <f>TEST_DATA!C13574</f>
        <v/>
      </c>
      <c r="D13574">
        <f>TEST_DATA!D13574</f>
        <v/>
      </c>
      <c r="E13574">
        <f>TEST_DATA!E13574</f>
        <v/>
      </c>
    </row>
    <row r="13575">
      <c r="A13575">
        <f>TEST_DATA!A13575</f>
        <v/>
      </c>
      <c r="B13575">
        <f>TEST_DATA!B13575</f>
        <v/>
      </c>
      <c r="C13575">
        <f>TEST_DATA!C13575</f>
        <v/>
      </c>
      <c r="D13575">
        <f>TEST_DATA!D13575</f>
        <v/>
      </c>
      <c r="E13575">
        <f>TEST_DATA!E13575</f>
        <v/>
      </c>
    </row>
    <row r="13576">
      <c r="A13576">
        <f>TEST_DATA!A13576</f>
        <v/>
      </c>
      <c r="B13576">
        <f>TEST_DATA!B13576</f>
        <v/>
      </c>
      <c r="C13576">
        <f>TEST_DATA!C13576</f>
        <v/>
      </c>
      <c r="D13576">
        <f>TEST_DATA!D13576</f>
        <v/>
      </c>
      <c r="E13576">
        <f>TEST_DATA!E13576</f>
        <v/>
      </c>
    </row>
    <row r="13577">
      <c r="A13577">
        <f>TEST_DATA!A13577</f>
        <v/>
      </c>
      <c r="B13577">
        <f>TEST_DATA!B13577</f>
        <v/>
      </c>
      <c r="C13577">
        <f>TEST_DATA!C13577</f>
        <v/>
      </c>
      <c r="D13577">
        <f>TEST_DATA!D13577</f>
        <v/>
      </c>
      <c r="E13577">
        <f>TEST_DATA!E13577</f>
        <v/>
      </c>
    </row>
    <row r="13578">
      <c r="A13578">
        <f>TEST_DATA!A13578</f>
        <v/>
      </c>
      <c r="B13578">
        <f>TEST_DATA!B13578</f>
        <v/>
      </c>
      <c r="C13578">
        <f>TEST_DATA!C13578</f>
        <v/>
      </c>
      <c r="D13578">
        <f>TEST_DATA!D13578</f>
        <v/>
      </c>
      <c r="E13578">
        <f>TEST_DATA!E13578</f>
        <v/>
      </c>
    </row>
    <row r="13579">
      <c r="A13579">
        <f>TEST_DATA!A13579</f>
        <v/>
      </c>
      <c r="B13579">
        <f>TEST_DATA!B13579</f>
        <v/>
      </c>
      <c r="C13579">
        <f>TEST_DATA!C13579</f>
        <v/>
      </c>
      <c r="D13579">
        <f>TEST_DATA!D13579</f>
        <v/>
      </c>
      <c r="E13579">
        <f>TEST_DATA!E13579</f>
        <v/>
      </c>
    </row>
    <row r="13580">
      <c r="A13580">
        <f>TEST_DATA!A13580</f>
        <v/>
      </c>
      <c r="B13580">
        <f>TEST_DATA!B13580</f>
        <v/>
      </c>
      <c r="C13580">
        <f>TEST_DATA!C13580</f>
        <v/>
      </c>
      <c r="D13580">
        <f>TEST_DATA!D13580</f>
        <v/>
      </c>
      <c r="E13580">
        <f>TEST_DATA!E13580</f>
        <v/>
      </c>
    </row>
    <row r="13581">
      <c r="A13581">
        <f>TEST_DATA!A13581</f>
        <v/>
      </c>
      <c r="B13581">
        <f>TEST_DATA!B13581</f>
        <v/>
      </c>
      <c r="C13581">
        <f>TEST_DATA!C13581</f>
        <v/>
      </c>
      <c r="D13581">
        <f>TEST_DATA!D13581</f>
        <v/>
      </c>
      <c r="E13581">
        <f>TEST_DATA!E13581</f>
        <v/>
      </c>
    </row>
    <row r="13582">
      <c r="A13582">
        <f>TEST_DATA!A13582</f>
        <v/>
      </c>
      <c r="B13582">
        <f>TEST_DATA!B13582</f>
        <v/>
      </c>
      <c r="C13582">
        <f>TEST_DATA!C13582</f>
        <v/>
      </c>
      <c r="D13582">
        <f>TEST_DATA!D13582</f>
        <v/>
      </c>
      <c r="E13582">
        <f>TEST_DATA!E13582</f>
        <v/>
      </c>
    </row>
    <row r="13583">
      <c r="A13583">
        <f>TEST_DATA!A13583</f>
        <v/>
      </c>
      <c r="B13583">
        <f>TEST_DATA!B13583</f>
        <v/>
      </c>
      <c r="C13583">
        <f>TEST_DATA!C13583</f>
        <v/>
      </c>
      <c r="D13583">
        <f>TEST_DATA!D13583</f>
        <v/>
      </c>
      <c r="E13583">
        <f>TEST_DATA!E13583</f>
        <v/>
      </c>
    </row>
    <row r="13584">
      <c r="A13584">
        <f>TEST_DATA!A13584</f>
        <v/>
      </c>
      <c r="B13584">
        <f>TEST_DATA!B13584</f>
        <v/>
      </c>
      <c r="C13584">
        <f>TEST_DATA!C13584</f>
        <v/>
      </c>
      <c r="D13584">
        <f>TEST_DATA!D13584</f>
        <v/>
      </c>
      <c r="E13584">
        <f>TEST_DATA!E13584</f>
        <v/>
      </c>
    </row>
    <row r="13585">
      <c r="A13585">
        <f>TEST_DATA!A13585</f>
        <v/>
      </c>
      <c r="B13585">
        <f>TEST_DATA!B13585</f>
        <v/>
      </c>
      <c r="C13585">
        <f>TEST_DATA!C13585</f>
        <v/>
      </c>
      <c r="D13585">
        <f>TEST_DATA!D13585</f>
        <v/>
      </c>
      <c r="E13585">
        <f>TEST_DATA!E13585</f>
        <v/>
      </c>
    </row>
    <row r="13586">
      <c r="A13586">
        <f>TEST_DATA!A13586</f>
        <v/>
      </c>
      <c r="B13586">
        <f>TEST_DATA!B13586</f>
        <v/>
      </c>
      <c r="C13586">
        <f>TEST_DATA!C13586</f>
        <v/>
      </c>
      <c r="D13586">
        <f>TEST_DATA!D13586</f>
        <v/>
      </c>
      <c r="E13586">
        <f>TEST_DATA!E13586</f>
        <v/>
      </c>
    </row>
    <row r="13587">
      <c r="A13587">
        <f>TEST_DATA!A13587</f>
        <v/>
      </c>
      <c r="B13587">
        <f>TEST_DATA!B13587</f>
        <v/>
      </c>
      <c r="C13587">
        <f>TEST_DATA!C13587</f>
        <v/>
      </c>
      <c r="D13587">
        <f>TEST_DATA!D13587</f>
        <v/>
      </c>
      <c r="E13587">
        <f>TEST_DATA!E13587</f>
        <v/>
      </c>
    </row>
    <row r="13588">
      <c r="A13588">
        <f>TEST_DATA!A13588</f>
        <v/>
      </c>
      <c r="B13588">
        <f>TEST_DATA!B13588</f>
        <v/>
      </c>
      <c r="C13588">
        <f>TEST_DATA!C13588</f>
        <v/>
      </c>
      <c r="D13588">
        <f>TEST_DATA!D13588</f>
        <v/>
      </c>
      <c r="E13588">
        <f>TEST_DATA!E13588</f>
        <v/>
      </c>
    </row>
    <row r="13589">
      <c r="A13589">
        <f>TEST_DATA!A13589</f>
        <v/>
      </c>
      <c r="B13589">
        <f>TEST_DATA!B13589</f>
        <v/>
      </c>
      <c r="C13589">
        <f>TEST_DATA!C13589</f>
        <v/>
      </c>
      <c r="D13589">
        <f>TEST_DATA!D13589</f>
        <v/>
      </c>
      <c r="E13589">
        <f>TEST_DATA!E13589</f>
        <v/>
      </c>
    </row>
    <row r="13590">
      <c r="A13590">
        <f>TEST_DATA!A13590</f>
        <v/>
      </c>
      <c r="B13590">
        <f>TEST_DATA!B13590</f>
        <v/>
      </c>
      <c r="C13590">
        <f>TEST_DATA!C13590</f>
        <v/>
      </c>
      <c r="D13590">
        <f>TEST_DATA!D13590</f>
        <v/>
      </c>
      <c r="E13590">
        <f>TEST_DATA!E13590</f>
        <v/>
      </c>
    </row>
    <row r="13591">
      <c r="A13591">
        <f>TEST_DATA!A13591</f>
        <v/>
      </c>
      <c r="B13591">
        <f>TEST_DATA!B13591</f>
        <v/>
      </c>
      <c r="C13591">
        <f>TEST_DATA!C13591</f>
        <v/>
      </c>
      <c r="D13591">
        <f>TEST_DATA!D13591</f>
        <v/>
      </c>
      <c r="E13591">
        <f>TEST_DATA!E13591</f>
        <v/>
      </c>
    </row>
    <row r="13592">
      <c r="A13592">
        <f>TEST_DATA!A13592</f>
        <v/>
      </c>
      <c r="B13592">
        <f>TEST_DATA!B13592</f>
        <v/>
      </c>
      <c r="C13592">
        <f>TEST_DATA!C13592</f>
        <v/>
      </c>
      <c r="D13592">
        <f>TEST_DATA!D13592</f>
        <v/>
      </c>
      <c r="E13592">
        <f>TEST_DATA!E13592</f>
        <v/>
      </c>
    </row>
    <row r="13593">
      <c r="A13593">
        <f>TEST_DATA!A13593</f>
        <v/>
      </c>
      <c r="B13593">
        <f>TEST_DATA!B13593</f>
        <v/>
      </c>
      <c r="C13593">
        <f>TEST_DATA!C13593</f>
        <v/>
      </c>
      <c r="D13593">
        <f>TEST_DATA!D13593</f>
        <v/>
      </c>
      <c r="E13593">
        <f>TEST_DATA!E13593</f>
        <v/>
      </c>
    </row>
    <row r="13594">
      <c r="A13594">
        <f>TEST_DATA!A13594</f>
        <v/>
      </c>
      <c r="B13594">
        <f>TEST_DATA!B13594</f>
        <v/>
      </c>
      <c r="C13594">
        <f>TEST_DATA!C13594</f>
        <v/>
      </c>
      <c r="D13594">
        <f>TEST_DATA!D13594</f>
        <v/>
      </c>
      <c r="E13594">
        <f>TEST_DATA!E13594</f>
        <v/>
      </c>
    </row>
    <row r="13595">
      <c r="A13595">
        <f>TEST_DATA!A13595</f>
        <v/>
      </c>
      <c r="B13595">
        <f>TEST_DATA!B13595</f>
        <v/>
      </c>
      <c r="C13595">
        <f>TEST_DATA!C13595</f>
        <v/>
      </c>
      <c r="D13595">
        <f>TEST_DATA!D13595</f>
        <v/>
      </c>
      <c r="E13595">
        <f>TEST_DATA!E13595</f>
        <v/>
      </c>
    </row>
    <row r="13596">
      <c r="A13596">
        <f>TEST_DATA!A13596</f>
        <v/>
      </c>
      <c r="B13596">
        <f>TEST_DATA!B13596</f>
        <v/>
      </c>
      <c r="C13596">
        <f>TEST_DATA!C13596</f>
        <v/>
      </c>
      <c r="D13596">
        <f>TEST_DATA!D13596</f>
        <v/>
      </c>
      <c r="E13596">
        <f>TEST_DATA!E13596</f>
        <v/>
      </c>
    </row>
    <row r="13597">
      <c r="A13597">
        <f>TEST_DATA!A13597</f>
        <v/>
      </c>
      <c r="B13597">
        <f>TEST_DATA!B13597</f>
        <v/>
      </c>
      <c r="C13597">
        <f>TEST_DATA!C13597</f>
        <v/>
      </c>
      <c r="D13597">
        <f>TEST_DATA!D13597</f>
        <v/>
      </c>
      <c r="E13597">
        <f>TEST_DATA!E13597</f>
        <v/>
      </c>
    </row>
    <row r="13598">
      <c r="A13598">
        <f>TEST_DATA!A13598</f>
        <v/>
      </c>
      <c r="B13598">
        <f>TEST_DATA!B13598</f>
        <v/>
      </c>
      <c r="C13598">
        <f>TEST_DATA!C13598</f>
        <v/>
      </c>
      <c r="D13598">
        <f>TEST_DATA!D13598</f>
        <v/>
      </c>
      <c r="E13598">
        <f>TEST_DATA!E13598</f>
        <v/>
      </c>
    </row>
    <row r="13599">
      <c r="A13599">
        <f>TEST_DATA!A13599</f>
        <v/>
      </c>
      <c r="B13599">
        <f>TEST_DATA!B13599</f>
        <v/>
      </c>
      <c r="C13599">
        <f>TEST_DATA!C13599</f>
        <v/>
      </c>
      <c r="D13599">
        <f>TEST_DATA!D13599</f>
        <v/>
      </c>
      <c r="E13599">
        <f>TEST_DATA!E13599</f>
        <v/>
      </c>
    </row>
    <row r="13600">
      <c r="A13600">
        <f>TEST_DATA!A13600</f>
        <v/>
      </c>
      <c r="B13600">
        <f>TEST_DATA!B13600</f>
        <v/>
      </c>
      <c r="C13600">
        <f>TEST_DATA!C13600</f>
        <v/>
      </c>
      <c r="D13600">
        <f>TEST_DATA!D13600</f>
        <v/>
      </c>
      <c r="E13600">
        <f>TEST_DATA!E13600</f>
        <v/>
      </c>
    </row>
    <row r="13601">
      <c r="A13601">
        <f>TEST_DATA!A13601</f>
        <v/>
      </c>
      <c r="B13601">
        <f>TEST_DATA!B13601</f>
        <v/>
      </c>
      <c r="C13601">
        <f>TEST_DATA!C13601</f>
        <v/>
      </c>
      <c r="D13601">
        <f>TEST_DATA!D13601</f>
        <v/>
      </c>
      <c r="E13601">
        <f>TEST_DATA!E13601</f>
        <v/>
      </c>
    </row>
    <row r="13602">
      <c r="A13602">
        <f>TEST_DATA!A13602</f>
        <v/>
      </c>
      <c r="B13602">
        <f>TEST_DATA!B13602</f>
        <v/>
      </c>
      <c r="C13602">
        <f>TEST_DATA!C13602</f>
        <v/>
      </c>
      <c r="D13602">
        <f>TEST_DATA!D13602</f>
        <v/>
      </c>
      <c r="E13602">
        <f>TEST_DATA!E13602</f>
        <v/>
      </c>
    </row>
    <row r="13603">
      <c r="A13603">
        <f>TEST_DATA!A13603</f>
        <v/>
      </c>
      <c r="B13603">
        <f>TEST_DATA!B13603</f>
        <v/>
      </c>
      <c r="C13603">
        <f>TEST_DATA!C13603</f>
        <v/>
      </c>
      <c r="D13603">
        <f>TEST_DATA!D13603</f>
        <v/>
      </c>
      <c r="E13603">
        <f>TEST_DATA!E13603</f>
        <v/>
      </c>
    </row>
    <row r="13604">
      <c r="A13604">
        <f>TEST_DATA!A13604</f>
        <v/>
      </c>
      <c r="B13604">
        <f>TEST_DATA!B13604</f>
        <v/>
      </c>
      <c r="C13604">
        <f>TEST_DATA!C13604</f>
        <v/>
      </c>
      <c r="D13604">
        <f>TEST_DATA!D13604</f>
        <v/>
      </c>
      <c r="E13604">
        <f>TEST_DATA!E13604</f>
        <v/>
      </c>
    </row>
    <row r="13605">
      <c r="A13605">
        <f>TEST_DATA!A13605</f>
        <v/>
      </c>
      <c r="B13605">
        <f>TEST_DATA!B13605</f>
        <v/>
      </c>
      <c r="C13605">
        <f>TEST_DATA!C13605</f>
        <v/>
      </c>
      <c r="D13605">
        <f>TEST_DATA!D13605</f>
        <v/>
      </c>
      <c r="E13605">
        <f>TEST_DATA!E13605</f>
        <v/>
      </c>
    </row>
    <row r="13606">
      <c r="A13606">
        <f>TEST_DATA!A13606</f>
        <v/>
      </c>
      <c r="B13606">
        <f>TEST_DATA!B13606</f>
        <v/>
      </c>
      <c r="C13606">
        <f>TEST_DATA!C13606</f>
        <v/>
      </c>
      <c r="D13606">
        <f>TEST_DATA!D13606</f>
        <v/>
      </c>
      <c r="E13606">
        <f>TEST_DATA!E13606</f>
        <v/>
      </c>
    </row>
    <row r="13607">
      <c r="A13607">
        <f>TEST_DATA!A13607</f>
        <v/>
      </c>
      <c r="B13607">
        <f>TEST_DATA!B13607</f>
        <v/>
      </c>
      <c r="C13607">
        <f>TEST_DATA!C13607</f>
        <v/>
      </c>
      <c r="D13607">
        <f>TEST_DATA!D13607</f>
        <v/>
      </c>
      <c r="E13607">
        <f>TEST_DATA!E13607</f>
        <v/>
      </c>
    </row>
    <row r="13608">
      <c r="A13608">
        <f>TEST_DATA!A13608</f>
        <v/>
      </c>
      <c r="B13608">
        <f>TEST_DATA!B13608</f>
        <v/>
      </c>
      <c r="C13608">
        <f>TEST_DATA!C13608</f>
        <v/>
      </c>
      <c r="D13608">
        <f>TEST_DATA!D13608</f>
        <v/>
      </c>
      <c r="E13608">
        <f>TEST_DATA!E13608</f>
        <v/>
      </c>
    </row>
    <row r="13609">
      <c r="A13609">
        <f>TEST_DATA!A13609</f>
        <v/>
      </c>
      <c r="B13609">
        <f>TEST_DATA!B13609</f>
        <v/>
      </c>
      <c r="C13609">
        <f>TEST_DATA!C13609</f>
        <v/>
      </c>
      <c r="D13609">
        <f>TEST_DATA!D13609</f>
        <v/>
      </c>
      <c r="E13609">
        <f>TEST_DATA!E13609</f>
        <v/>
      </c>
    </row>
    <row r="13610">
      <c r="A13610">
        <f>TEST_DATA!A13610</f>
        <v/>
      </c>
      <c r="B13610">
        <f>TEST_DATA!B13610</f>
        <v/>
      </c>
      <c r="C13610">
        <f>TEST_DATA!C13610</f>
        <v/>
      </c>
      <c r="D13610">
        <f>TEST_DATA!D13610</f>
        <v/>
      </c>
      <c r="E13610">
        <f>TEST_DATA!E13610</f>
        <v/>
      </c>
    </row>
    <row r="13611">
      <c r="A13611">
        <f>TEST_DATA!A13611</f>
        <v/>
      </c>
      <c r="B13611">
        <f>TEST_DATA!B13611</f>
        <v/>
      </c>
      <c r="C13611">
        <f>TEST_DATA!C13611</f>
        <v/>
      </c>
      <c r="D13611">
        <f>TEST_DATA!D13611</f>
        <v/>
      </c>
      <c r="E13611">
        <f>TEST_DATA!E13611</f>
        <v/>
      </c>
    </row>
    <row r="13612">
      <c r="A13612">
        <f>TEST_DATA!A13612</f>
        <v/>
      </c>
      <c r="B13612">
        <f>TEST_DATA!B13612</f>
        <v/>
      </c>
      <c r="C13612">
        <f>TEST_DATA!C13612</f>
        <v/>
      </c>
      <c r="D13612">
        <f>TEST_DATA!D13612</f>
        <v/>
      </c>
      <c r="E13612">
        <f>TEST_DATA!E13612</f>
        <v/>
      </c>
    </row>
    <row r="13613">
      <c r="A13613">
        <f>TEST_DATA!A13613</f>
        <v/>
      </c>
      <c r="B13613">
        <f>TEST_DATA!B13613</f>
        <v/>
      </c>
      <c r="C13613">
        <f>TEST_DATA!C13613</f>
        <v/>
      </c>
      <c r="D13613">
        <f>TEST_DATA!D13613</f>
        <v/>
      </c>
      <c r="E13613">
        <f>TEST_DATA!E13613</f>
        <v/>
      </c>
    </row>
    <row r="13614">
      <c r="A13614">
        <f>TEST_DATA!A13614</f>
        <v/>
      </c>
      <c r="B13614">
        <f>TEST_DATA!B13614</f>
        <v/>
      </c>
      <c r="C13614">
        <f>TEST_DATA!C13614</f>
        <v/>
      </c>
      <c r="D13614">
        <f>TEST_DATA!D13614</f>
        <v/>
      </c>
      <c r="E13614">
        <f>TEST_DATA!E13614</f>
        <v/>
      </c>
    </row>
    <row r="13615">
      <c r="A13615">
        <f>TEST_DATA!A13615</f>
        <v/>
      </c>
      <c r="B13615">
        <f>TEST_DATA!B13615</f>
        <v/>
      </c>
      <c r="C13615">
        <f>TEST_DATA!C13615</f>
        <v/>
      </c>
      <c r="D13615">
        <f>TEST_DATA!D13615</f>
        <v/>
      </c>
      <c r="E13615">
        <f>TEST_DATA!E13615</f>
        <v/>
      </c>
    </row>
    <row r="13616">
      <c r="A13616">
        <f>TEST_DATA!A13616</f>
        <v/>
      </c>
      <c r="B13616">
        <f>TEST_DATA!B13616</f>
        <v/>
      </c>
      <c r="C13616">
        <f>TEST_DATA!C13616</f>
        <v/>
      </c>
      <c r="D13616">
        <f>TEST_DATA!D13616</f>
        <v/>
      </c>
      <c r="E13616">
        <f>TEST_DATA!E13616</f>
        <v/>
      </c>
    </row>
    <row r="13617">
      <c r="A13617">
        <f>TEST_DATA!A13617</f>
        <v/>
      </c>
      <c r="B13617">
        <f>TEST_DATA!B13617</f>
        <v/>
      </c>
      <c r="C13617">
        <f>TEST_DATA!C13617</f>
        <v/>
      </c>
      <c r="D13617">
        <f>TEST_DATA!D13617</f>
        <v/>
      </c>
      <c r="E13617">
        <f>TEST_DATA!E13617</f>
        <v/>
      </c>
    </row>
    <row r="13618">
      <c r="A13618">
        <f>TEST_DATA!A13618</f>
        <v/>
      </c>
      <c r="B13618">
        <f>TEST_DATA!B13618</f>
        <v/>
      </c>
      <c r="C13618">
        <f>TEST_DATA!C13618</f>
        <v/>
      </c>
      <c r="D13618">
        <f>TEST_DATA!D13618</f>
        <v/>
      </c>
      <c r="E13618">
        <f>TEST_DATA!E13618</f>
        <v/>
      </c>
    </row>
    <row r="13619">
      <c r="A13619">
        <f>TEST_DATA!A13619</f>
        <v/>
      </c>
      <c r="B13619">
        <f>TEST_DATA!B13619</f>
        <v/>
      </c>
      <c r="C13619">
        <f>TEST_DATA!C13619</f>
        <v/>
      </c>
      <c r="D13619">
        <f>TEST_DATA!D13619</f>
        <v/>
      </c>
      <c r="E13619">
        <f>TEST_DATA!E13619</f>
        <v/>
      </c>
    </row>
    <row r="13620">
      <c r="A13620">
        <f>TEST_DATA!A13620</f>
        <v/>
      </c>
      <c r="B13620">
        <f>TEST_DATA!B13620</f>
        <v/>
      </c>
      <c r="C13620">
        <f>TEST_DATA!C13620</f>
        <v/>
      </c>
      <c r="D13620">
        <f>TEST_DATA!D13620</f>
        <v/>
      </c>
      <c r="E13620">
        <f>TEST_DATA!E13620</f>
        <v/>
      </c>
    </row>
    <row r="13621">
      <c r="A13621">
        <f>TEST_DATA!A13621</f>
        <v/>
      </c>
      <c r="B13621">
        <f>TEST_DATA!B13621</f>
        <v/>
      </c>
      <c r="C13621">
        <f>TEST_DATA!C13621</f>
        <v/>
      </c>
      <c r="D13621">
        <f>TEST_DATA!D13621</f>
        <v/>
      </c>
      <c r="E13621">
        <f>TEST_DATA!E13621</f>
        <v/>
      </c>
    </row>
    <row r="13622">
      <c r="A13622">
        <f>TEST_DATA!A13622</f>
        <v/>
      </c>
      <c r="B13622">
        <f>TEST_DATA!B13622</f>
        <v/>
      </c>
      <c r="C13622">
        <f>TEST_DATA!C13622</f>
        <v/>
      </c>
      <c r="D13622">
        <f>TEST_DATA!D13622</f>
        <v/>
      </c>
      <c r="E13622">
        <f>TEST_DATA!E13622</f>
        <v/>
      </c>
    </row>
    <row r="13623">
      <c r="A13623">
        <f>TEST_DATA!A13623</f>
        <v/>
      </c>
      <c r="B13623">
        <f>TEST_DATA!B13623</f>
        <v/>
      </c>
      <c r="C13623">
        <f>TEST_DATA!C13623</f>
        <v/>
      </c>
      <c r="D13623">
        <f>TEST_DATA!D13623</f>
        <v/>
      </c>
      <c r="E13623">
        <f>TEST_DATA!E13623</f>
        <v/>
      </c>
    </row>
    <row r="13624">
      <c r="A13624">
        <f>TEST_DATA!A13624</f>
        <v/>
      </c>
      <c r="B13624">
        <f>TEST_DATA!B13624</f>
        <v/>
      </c>
      <c r="C13624">
        <f>TEST_DATA!C13624</f>
        <v/>
      </c>
      <c r="D13624">
        <f>TEST_DATA!D13624</f>
        <v/>
      </c>
      <c r="E13624">
        <f>TEST_DATA!E13624</f>
        <v/>
      </c>
    </row>
    <row r="13625">
      <c r="A13625">
        <f>TEST_DATA!A13625</f>
        <v/>
      </c>
      <c r="B13625">
        <f>TEST_DATA!B13625</f>
        <v/>
      </c>
      <c r="C13625">
        <f>TEST_DATA!C13625</f>
        <v/>
      </c>
      <c r="D13625">
        <f>TEST_DATA!D13625</f>
        <v/>
      </c>
      <c r="E13625">
        <f>TEST_DATA!E13625</f>
        <v/>
      </c>
    </row>
    <row r="13626">
      <c r="A13626">
        <f>TEST_DATA!A13626</f>
        <v/>
      </c>
      <c r="B13626">
        <f>TEST_DATA!B13626</f>
        <v/>
      </c>
      <c r="C13626">
        <f>TEST_DATA!C13626</f>
        <v/>
      </c>
      <c r="D13626">
        <f>TEST_DATA!D13626</f>
        <v/>
      </c>
      <c r="E13626">
        <f>TEST_DATA!E13626</f>
        <v/>
      </c>
    </row>
    <row r="13627">
      <c r="A13627">
        <f>TEST_DATA!A13627</f>
        <v/>
      </c>
      <c r="B13627">
        <f>TEST_DATA!B13627</f>
        <v/>
      </c>
      <c r="C13627">
        <f>TEST_DATA!C13627</f>
        <v/>
      </c>
      <c r="D13627">
        <f>TEST_DATA!D13627</f>
        <v/>
      </c>
      <c r="E13627">
        <f>TEST_DATA!E13627</f>
        <v/>
      </c>
    </row>
    <row r="13628">
      <c r="A13628">
        <f>TEST_DATA!A13628</f>
        <v/>
      </c>
      <c r="B13628">
        <f>TEST_DATA!B13628</f>
        <v/>
      </c>
      <c r="C13628">
        <f>TEST_DATA!C13628</f>
        <v/>
      </c>
      <c r="D13628">
        <f>TEST_DATA!D13628</f>
        <v/>
      </c>
      <c r="E13628">
        <f>TEST_DATA!E13628</f>
        <v/>
      </c>
    </row>
    <row r="13629">
      <c r="A13629">
        <f>TEST_DATA!A13629</f>
        <v/>
      </c>
      <c r="B13629">
        <f>TEST_DATA!B13629</f>
        <v/>
      </c>
      <c r="C13629">
        <f>TEST_DATA!C13629</f>
        <v/>
      </c>
      <c r="D13629">
        <f>TEST_DATA!D13629</f>
        <v/>
      </c>
      <c r="E13629">
        <f>TEST_DATA!E13629</f>
        <v/>
      </c>
    </row>
    <row r="13630">
      <c r="A13630">
        <f>TEST_DATA!A13630</f>
        <v/>
      </c>
      <c r="B13630">
        <f>TEST_DATA!B13630</f>
        <v/>
      </c>
      <c r="C13630">
        <f>TEST_DATA!C13630</f>
        <v/>
      </c>
      <c r="D13630">
        <f>TEST_DATA!D13630</f>
        <v/>
      </c>
      <c r="E13630">
        <f>TEST_DATA!E13630</f>
        <v/>
      </c>
    </row>
    <row r="13631">
      <c r="A13631">
        <f>TEST_DATA!A13631</f>
        <v/>
      </c>
      <c r="B13631">
        <f>TEST_DATA!B13631</f>
        <v/>
      </c>
      <c r="C13631">
        <f>TEST_DATA!C13631</f>
        <v/>
      </c>
      <c r="D13631">
        <f>TEST_DATA!D13631</f>
        <v/>
      </c>
      <c r="E13631">
        <f>TEST_DATA!E13631</f>
        <v/>
      </c>
    </row>
    <row r="13632">
      <c r="A13632">
        <f>TEST_DATA!A13632</f>
        <v/>
      </c>
      <c r="B13632">
        <f>TEST_DATA!B13632</f>
        <v/>
      </c>
      <c r="C13632">
        <f>TEST_DATA!C13632</f>
        <v/>
      </c>
      <c r="D13632">
        <f>TEST_DATA!D13632</f>
        <v/>
      </c>
      <c r="E13632">
        <f>TEST_DATA!E13632</f>
        <v/>
      </c>
    </row>
    <row r="13633">
      <c r="A13633">
        <f>TEST_DATA!A13633</f>
        <v/>
      </c>
      <c r="B13633">
        <f>TEST_DATA!B13633</f>
        <v/>
      </c>
      <c r="C13633">
        <f>TEST_DATA!C13633</f>
        <v/>
      </c>
      <c r="D13633">
        <f>TEST_DATA!D13633</f>
        <v/>
      </c>
      <c r="E13633">
        <f>TEST_DATA!E13633</f>
        <v/>
      </c>
    </row>
    <row r="13634">
      <c r="A13634">
        <f>TEST_DATA!A13634</f>
        <v/>
      </c>
      <c r="B13634">
        <f>TEST_DATA!B13634</f>
        <v/>
      </c>
      <c r="C13634">
        <f>TEST_DATA!C13634</f>
        <v/>
      </c>
      <c r="D13634">
        <f>TEST_DATA!D13634</f>
        <v/>
      </c>
      <c r="E13634">
        <f>TEST_DATA!E13634</f>
        <v/>
      </c>
    </row>
    <row r="13635">
      <c r="A13635">
        <f>TEST_DATA!A13635</f>
        <v/>
      </c>
      <c r="B13635">
        <f>TEST_DATA!B13635</f>
        <v/>
      </c>
      <c r="C13635">
        <f>TEST_DATA!C13635</f>
        <v/>
      </c>
      <c r="D13635">
        <f>TEST_DATA!D13635</f>
        <v/>
      </c>
      <c r="E13635">
        <f>TEST_DATA!E13635</f>
        <v/>
      </c>
    </row>
    <row r="13636">
      <c r="A13636">
        <f>TEST_DATA!A13636</f>
        <v/>
      </c>
      <c r="B13636">
        <f>TEST_DATA!B13636</f>
        <v/>
      </c>
      <c r="C13636">
        <f>TEST_DATA!C13636</f>
        <v/>
      </c>
      <c r="D13636">
        <f>TEST_DATA!D13636</f>
        <v/>
      </c>
      <c r="E13636">
        <f>TEST_DATA!E13636</f>
        <v/>
      </c>
    </row>
    <row r="13637">
      <c r="A13637">
        <f>TEST_DATA!A13637</f>
        <v/>
      </c>
      <c r="B13637">
        <f>TEST_DATA!B13637</f>
        <v/>
      </c>
      <c r="C13637">
        <f>TEST_DATA!C13637</f>
        <v/>
      </c>
      <c r="D13637">
        <f>TEST_DATA!D13637</f>
        <v/>
      </c>
      <c r="E13637">
        <f>TEST_DATA!E13637</f>
        <v/>
      </c>
    </row>
    <row r="13638">
      <c r="A13638">
        <f>TEST_DATA!A13638</f>
        <v/>
      </c>
      <c r="B13638">
        <f>TEST_DATA!B13638</f>
        <v/>
      </c>
      <c r="C13638">
        <f>TEST_DATA!C13638</f>
        <v/>
      </c>
      <c r="D13638">
        <f>TEST_DATA!D13638</f>
        <v/>
      </c>
      <c r="E13638">
        <f>TEST_DATA!E13638</f>
        <v/>
      </c>
    </row>
    <row r="13639">
      <c r="A13639">
        <f>TEST_DATA!A13639</f>
        <v/>
      </c>
      <c r="B13639">
        <f>TEST_DATA!B13639</f>
        <v/>
      </c>
      <c r="C13639">
        <f>TEST_DATA!C13639</f>
        <v/>
      </c>
      <c r="D13639">
        <f>TEST_DATA!D13639</f>
        <v/>
      </c>
      <c r="E13639">
        <f>TEST_DATA!E13639</f>
        <v/>
      </c>
    </row>
    <row r="13640">
      <c r="A13640">
        <f>TEST_DATA!A13640</f>
        <v/>
      </c>
      <c r="B13640">
        <f>TEST_DATA!B13640</f>
        <v/>
      </c>
      <c r="C13640">
        <f>TEST_DATA!C13640</f>
        <v/>
      </c>
      <c r="D13640">
        <f>TEST_DATA!D13640</f>
        <v/>
      </c>
      <c r="E13640">
        <f>TEST_DATA!E13640</f>
        <v/>
      </c>
    </row>
    <row r="13641">
      <c r="A13641">
        <f>TEST_DATA!A13641</f>
        <v/>
      </c>
      <c r="B13641">
        <f>TEST_DATA!B13641</f>
        <v/>
      </c>
      <c r="C13641">
        <f>TEST_DATA!C13641</f>
        <v/>
      </c>
      <c r="D13641">
        <f>TEST_DATA!D13641</f>
        <v/>
      </c>
      <c r="E13641">
        <f>TEST_DATA!E13641</f>
        <v/>
      </c>
    </row>
    <row r="13642">
      <c r="A13642">
        <f>TEST_DATA!A13642</f>
        <v/>
      </c>
      <c r="B13642">
        <f>TEST_DATA!B13642</f>
        <v/>
      </c>
      <c r="C13642">
        <f>TEST_DATA!C13642</f>
        <v/>
      </c>
      <c r="D13642">
        <f>TEST_DATA!D13642</f>
        <v/>
      </c>
      <c r="E13642">
        <f>TEST_DATA!E13642</f>
        <v/>
      </c>
    </row>
    <row r="13643">
      <c r="A13643">
        <f>TEST_DATA!A13643</f>
        <v/>
      </c>
      <c r="B13643">
        <f>TEST_DATA!B13643</f>
        <v/>
      </c>
      <c r="C13643">
        <f>TEST_DATA!C13643</f>
        <v/>
      </c>
      <c r="D13643">
        <f>TEST_DATA!D13643</f>
        <v/>
      </c>
      <c r="E13643">
        <f>TEST_DATA!E13643</f>
        <v/>
      </c>
    </row>
    <row r="13644">
      <c r="A13644">
        <f>TEST_DATA!A13644</f>
        <v/>
      </c>
      <c r="B13644">
        <f>TEST_DATA!B13644</f>
        <v/>
      </c>
      <c r="C13644">
        <f>TEST_DATA!C13644</f>
        <v/>
      </c>
      <c r="D13644">
        <f>TEST_DATA!D13644</f>
        <v/>
      </c>
      <c r="E13644">
        <f>TEST_DATA!E13644</f>
        <v/>
      </c>
    </row>
    <row r="13645">
      <c r="A13645">
        <f>TEST_DATA!A13645</f>
        <v/>
      </c>
      <c r="B13645">
        <f>TEST_DATA!B13645</f>
        <v/>
      </c>
      <c r="C13645">
        <f>TEST_DATA!C13645</f>
        <v/>
      </c>
      <c r="D13645">
        <f>TEST_DATA!D13645</f>
        <v/>
      </c>
      <c r="E13645">
        <f>TEST_DATA!E13645</f>
        <v/>
      </c>
    </row>
    <row r="13646">
      <c r="A13646">
        <f>TEST_DATA!A13646</f>
        <v/>
      </c>
      <c r="B13646">
        <f>TEST_DATA!B13646</f>
        <v/>
      </c>
      <c r="C13646">
        <f>TEST_DATA!C13646</f>
        <v/>
      </c>
      <c r="D13646">
        <f>TEST_DATA!D13646</f>
        <v/>
      </c>
      <c r="E13646">
        <f>TEST_DATA!E13646</f>
        <v/>
      </c>
    </row>
    <row r="13647">
      <c r="A13647">
        <f>TEST_DATA!A13647</f>
        <v/>
      </c>
      <c r="B13647">
        <f>TEST_DATA!B13647</f>
        <v/>
      </c>
      <c r="C13647">
        <f>TEST_DATA!C13647</f>
        <v/>
      </c>
      <c r="D13647">
        <f>TEST_DATA!D13647</f>
        <v/>
      </c>
      <c r="E13647">
        <f>TEST_DATA!E13647</f>
        <v/>
      </c>
    </row>
    <row r="13648">
      <c r="A13648">
        <f>TEST_DATA!A13648</f>
        <v/>
      </c>
      <c r="B13648">
        <f>TEST_DATA!B13648</f>
        <v/>
      </c>
      <c r="C13648">
        <f>TEST_DATA!C13648</f>
        <v/>
      </c>
      <c r="D13648">
        <f>TEST_DATA!D13648</f>
        <v/>
      </c>
      <c r="E13648">
        <f>TEST_DATA!E13648</f>
        <v/>
      </c>
    </row>
    <row r="13649">
      <c r="A13649">
        <f>TEST_DATA!A13649</f>
        <v/>
      </c>
      <c r="B13649">
        <f>TEST_DATA!B13649</f>
        <v/>
      </c>
      <c r="C13649">
        <f>TEST_DATA!C13649</f>
        <v/>
      </c>
      <c r="D13649">
        <f>TEST_DATA!D13649</f>
        <v/>
      </c>
      <c r="E13649">
        <f>TEST_DATA!E13649</f>
        <v/>
      </c>
    </row>
    <row r="13650">
      <c r="A13650">
        <f>TEST_DATA!A13650</f>
        <v/>
      </c>
      <c r="B13650">
        <f>TEST_DATA!B13650</f>
        <v/>
      </c>
      <c r="C13650">
        <f>TEST_DATA!C13650</f>
        <v/>
      </c>
      <c r="D13650">
        <f>TEST_DATA!D13650</f>
        <v/>
      </c>
      <c r="E13650">
        <f>TEST_DATA!E13650</f>
        <v/>
      </c>
    </row>
    <row r="13651">
      <c r="A13651">
        <f>TEST_DATA!A13651</f>
        <v/>
      </c>
      <c r="B13651">
        <f>TEST_DATA!B13651</f>
        <v/>
      </c>
      <c r="C13651">
        <f>TEST_DATA!C13651</f>
        <v/>
      </c>
      <c r="D13651">
        <f>TEST_DATA!D13651</f>
        <v/>
      </c>
      <c r="E13651">
        <f>TEST_DATA!E13651</f>
        <v/>
      </c>
    </row>
    <row r="13652">
      <c r="A13652">
        <f>TEST_DATA!A13652</f>
        <v/>
      </c>
      <c r="B13652">
        <f>TEST_DATA!B13652</f>
        <v/>
      </c>
      <c r="C13652">
        <f>TEST_DATA!C13652</f>
        <v/>
      </c>
      <c r="D13652">
        <f>TEST_DATA!D13652</f>
        <v/>
      </c>
      <c r="E13652">
        <f>TEST_DATA!E13652</f>
        <v/>
      </c>
    </row>
    <row r="13653">
      <c r="A13653">
        <f>TEST_DATA!A13653</f>
        <v/>
      </c>
      <c r="B13653">
        <f>TEST_DATA!B13653</f>
        <v/>
      </c>
      <c r="C13653">
        <f>TEST_DATA!C13653</f>
        <v/>
      </c>
      <c r="D13653">
        <f>TEST_DATA!D13653</f>
        <v/>
      </c>
      <c r="E13653">
        <f>TEST_DATA!E13653</f>
        <v/>
      </c>
    </row>
    <row r="13654">
      <c r="A13654">
        <f>TEST_DATA!A13654</f>
        <v/>
      </c>
      <c r="B13654">
        <f>TEST_DATA!B13654</f>
        <v/>
      </c>
      <c r="C13654">
        <f>TEST_DATA!C13654</f>
        <v/>
      </c>
      <c r="D13654">
        <f>TEST_DATA!D13654</f>
        <v/>
      </c>
      <c r="E13654">
        <f>TEST_DATA!E13654</f>
        <v/>
      </c>
    </row>
    <row r="13655">
      <c r="A13655">
        <f>TEST_DATA!A13655</f>
        <v/>
      </c>
      <c r="B13655">
        <f>TEST_DATA!B13655</f>
        <v/>
      </c>
      <c r="C13655">
        <f>TEST_DATA!C13655</f>
        <v/>
      </c>
      <c r="D13655">
        <f>TEST_DATA!D13655</f>
        <v/>
      </c>
      <c r="E13655">
        <f>TEST_DATA!E13655</f>
        <v/>
      </c>
    </row>
    <row r="13656">
      <c r="A13656">
        <f>TEST_DATA!A13656</f>
        <v/>
      </c>
      <c r="B13656">
        <f>TEST_DATA!B13656</f>
        <v/>
      </c>
      <c r="C13656">
        <f>TEST_DATA!C13656</f>
        <v/>
      </c>
      <c r="D13656">
        <f>TEST_DATA!D13656</f>
        <v/>
      </c>
      <c r="E13656">
        <f>TEST_DATA!E13656</f>
        <v/>
      </c>
    </row>
    <row r="13657">
      <c r="A13657">
        <f>TEST_DATA!A13657</f>
        <v/>
      </c>
      <c r="B13657">
        <f>TEST_DATA!B13657</f>
        <v/>
      </c>
      <c r="C13657">
        <f>TEST_DATA!C13657</f>
        <v/>
      </c>
      <c r="D13657">
        <f>TEST_DATA!D13657</f>
        <v/>
      </c>
      <c r="E13657">
        <f>TEST_DATA!E13657</f>
        <v/>
      </c>
    </row>
    <row r="13658">
      <c r="A13658">
        <f>TEST_DATA!A13658</f>
        <v/>
      </c>
      <c r="B13658">
        <f>TEST_DATA!B13658</f>
        <v/>
      </c>
      <c r="C13658">
        <f>TEST_DATA!C13658</f>
        <v/>
      </c>
      <c r="D13658">
        <f>TEST_DATA!D13658</f>
        <v/>
      </c>
      <c r="E13658">
        <f>TEST_DATA!E13658</f>
        <v/>
      </c>
    </row>
    <row r="13659">
      <c r="A13659">
        <f>TEST_DATA!A13659</f>
        <v/>
      </c>
      <c r="B13659">
        <f>TEST_DATA!B13659</f>
        <v/>
      </c>
      <c r="C13659">
        <f>TEST_DATA!C13659</f>
        <v/>
      </c>
      <c r="D13659">
        <f>TEST_DATA!D13659</f>
        <v/>
      </c>
      <c r="E13659">
        <f>TEST_DATA!E13659</f>
        <v/>
      </c>
    </row>
    <row r="13660">
      <c r="A13660">
        <f>TEST_DATA!A13660</f>
        <v/>
      </c>
      <c r="B13660">
        <f>TEST_DATA!B13660</f>
        <v/>
      </c>
      <c r="C13660">
        <f>TEST_DATA!C13660</f>
        <v/>
      </c>
      <c r="D13660">
        <f>TEST_DATA!D13660</f>
        <v/>
      </c>
      <c r="E13660">
        <f>TEST_DATA!E13660</f>
        <v/>
      </c>
    </row>
    <row r="13661">
      <c r="A13661">
        <f>TEST_DATA!A13661</f>
        <v/>
      </c>
      <c r="B13661">
        <f>TEST_DATA!B13661</f>
        <v/>
      </c>
      <c r="C13661">
        <f>TEST_DATA!C13661</f>
        <v/>
      </c>
      <c r="D13661">
        <f>TEST_DATA!D13661</f>
        <v/>
      </c>
      <c r="E13661">
        <f>TEST_DATA!E13661</f>
        <v/>
      </c>
    </row>
    <row r="13662">
      <c r="A13662">
        <f>TEST_DATA!A13662</f>
        <v/>
      </c>
      <c r="B13662">
        <f>TEST_DATA!B13662</f>
        <v/>
      </c>
      <c r="C13662">
        <f>TEST_DATA!C13662</f>
        <v/>
      </c>
      <c r="D13662">
        <f>TEST_DATA!D13662</f>
        <v/>
      </c>
      <c r="E13662">
        <f>TEST_DATA!E13662</f>
        <v/>
      </c>
    </row>
    <row r="13663">
      <c r="A13663">
        <f>TEST_DATA!A13663</f>
        <v/>
      </c>
      <c r="B13663">
        <f>TEST_DATA!B13663</f>
        <v/>
      </c>
      <c r="C13663">
        <f>TEST_DATA!C13663</f>
        <v/>
      </c>
      <c r="D13663">
        <f>TEST_DATA!D13663</f>
        <v/>
      </c>
      <c r="E13663">
        <f>TEST_DATA!E13663</f>
        <v/>
      </c>
    </row>
    <row r="13664">
      <c r="A13664">
        <f>TEST_DATA!A13664</f>
        <v/>
      </c>
      <c r="B13664">
        <f>TEST_DATA!B13664</f>
        <v/>
      </c>
      <c r="C13664">
        <f>TEST_DATA!C13664</f>
        <v/>
      </c>
      <c r="D13664">
        <f>TEST_DATA!D13664</f>
        <v/>
      </c>
      <c r="E13664">
        <f>TEST_DATA!E13664</f>
        <v/>
      </c>
    </row>
    <row r="13665">
      <c r="A13665">
        <f>TEST_DATA!A13665</f>
        <v/>
      </c>
      <c r="B13665">
        <f>TEST_DATA!B13665</f>
        <v/>
      </c>
      <c r="C13665">
        <f>TEST_DATA!C13665</f>
        <v/>
      </c>
      <c r="D13665">
        <f>TEST_DATA!D13665</f>
        <v/>
      </c>
      <c r="E13665">
        <f>TEST_DATA!E13665</f>
        <v/>
      </c>
    </row>
    <row r="13666">
      <c r="A13666">
        <f>TEST_DATA!A13666</f>
        <v/>
      </c>
      <c r="B13666">
        <f>TEST_DATA!B13666</f>
        <v/>
      </c>
      <c r="C13666">
        <f>TEST_DATA!C13666</f>
        <v/>
      </c>
      <c r="D13666">
        <f>TEST_DATA!D13666</f>
        <v/>
      </c>
      <c r="E13666">
        <f>TEST_DATA!E13666</f>
        <v/>
      </c>
    </row>
    <row r="13667">
      <c r="A13667">
        <f>TEST_DATA!A13667</f>
        <v/>
      </c>
      <c r="B13667">
        <f>TEST_DATA!B13667</f>
        <v/>
      </c>
      <c r="C13667">
        <f>TEST_DATA!C13667</f>
        <v/>
      </c>
      <c r="D13667">
        <f>TEST_DATA!D13667</f>
        <v/>
      </c>
      <c r="E13667">
        <f>TEST_DATA!E13667</f>
        <v/>
      </c>
    </row>
    <row r="13668">
      <c r="A13668">
        <f>TEST_DATA!A13668</f>
        <v/>
      </c>
      <c r="B13668">
        <f>TEST_DATA!B13668</f>
        <v/>
      </c>
      <c r="C13668">
        <f>TEST_DATA!C13668</f>
        <v/>
      </c>
      <c r="D13668">
        <f>TEST_DATA!D13668</f>
        <v/>
      </c>
      <c r="E13668">
        <f>TEST_DATA!E13668</f>
        <v/>
      </c>
    </row>
    <row r="13669">
      <c r="A13669">
        <f>TEST_DATA!A13669</f>
        <v/>
      </c>
      <c r="B13669">
        <f>TEST_DATA!B13669</f>
        <v/>
      </c>
      <c r="C13669">
        <f>TEST_DATA!C13669</f>
        <v/>
      </c>
      <c r="D13669">
        <f>TEST_DATA!D13669</f>
        <v/>
      </c>
      <c r="E13669">
        <f>TEST_DATA!E13669</f>
        <v/>
      </c>
    </row>
    <row r="13670">
      <c r="A13670">
        <f>TEST_DATA!A13670</f>
        <v/>
      </c>
      <c r="B13670">
        <f>TEST_DATA!B13670</f>
        <v/>
      </c>
      <c r="C13670">
        <f>TEST_DATA!C13670</f>
        <v/>
      </c>
      <c r="D13670">
        <f>TEST_DATA!D13670</f>
        <v/>
      </c>
      <c r="E13670">
        <f>TEST_DATA!E13670</f>
        <v/>
      </c>
    </row>
    <row r="13671">
      <c r="A13671">
        <f>TEST_DATA!A13671</f>
        <v/>
      </c>
      <c r="B13671">
        <f>TEST_DATA!B13671</f>
        <v/>
      </c>
      <c r="C13671">
        <f>TEST_DATA!C13671</f>
        <v/>
      </c>
      <c r="D13671">
        <f>TEST_DATA!D13671</f>
        <v/>
      </c>
      <c r="E13671">
        <f>TEST_DATA!E13671</f>
        <v/>
      </c>
    </row>
    <row r="13672">
      <c r="A13672">
        <f>TEST_DATA!A13672</f>
        <v/>
      </c>
      <c r="B13672">
        <f>TEST_DATA!B13672</f>
        <v/>
      </c>
      <c r="C13672">
        <f>TEST_DATA!C13672</f>
        <v/>
      </c>
      <c r="D13672">
        <f>TEST_DATA!D13672</f>
        <v/>
      </c>
      <c r="E13672">
        <f>TEST_DATA!E13672</f>
        <v/>
      </c>
    </row>
    <row r="13673">
      <c r="A13673">
        <f>TEST_DATA!A13673</f>
        <v/>
      </c>
      <c r="B13673">
        <f>TEST_DATA!B13673</f>
        <v/>
      </c>
      <c r="C13673">
        <f>TEST_DATA!C13673</f>
        <v/>
      </c>
      <c r="D13673">
        <f>TEST_DATA!D13673</f>
        <v/>
      </c>
      <c r="E13673">
        <f>TEST_DATA!E13673</f>
        <v/>
      </c>
    </row>
    <row r="13674">
      <c r="A13674">
        <f>TEST_DATA!A13674</f>
        <v/>
      </c>
      <c r="B13674">
        <f>TEST_DATA!B13674</f>
        <v/>
      </c>
      <c r="C13674">
        <f>TEST_DATA!C13674</f>
        <v/>
      </c>
      <c r="D13674">
        <f>TEST_DATA!D13674</f>
        <v/>
      </c>
      <c r="E13674">
        <f>TEST_DATA!E13674</f>
        <v/>
      </c>
    </row>
    <row r="13675">
      <c r="A13675">
        <f>TEST_DATA!A13675</f>
        <v/>
      </c>
      <c r="B13675">
        <f>TEST_DATA!B13675</f>
        <v/>
      </c>
      <c r="C13675">
        <f>TEST_DATA!C13675</f>
        <v/>
      </c>
      <c r="D13675">
        <f>TEST_DATA!D13675</f>
        <v/>
      </c>
      <c r="E13675">
        <f>TEST_DATA!E13675</f>
        <v/>
      </c>
    </row>
    <row r="13676">
      <c r="A13676">
        <f>TEST_DATA!A13676</f>
        <v/>
      </c>
      <c r="B13676">
        <f>TEST_DATA!B13676</f>
        <v/>
      </c>
      <c r="C13676">
        <f>TEST_DATA!C13676</f>
        <v/>
      </c>
      <c r="D13676">
        <f>TEST_DATA!D13676</f>
        <v/>
      </c>
      <c r="E13676">
        <f>TEST_DATA!E13676</f>
        <v/>
      </c>
    </row>
    <row r="13677">
      <c r="A13677">
        <f>TEST_DATA!A13677</f>
        <v/>
      </c>
      <c r="B13677">
        <f>TEST_DATA!B13677</f>
        <v/>
      </c>
      <c r="C13677">
        <f>TEST_DATA!C13677</f>
        <v/>
      </c>
      <c r="D13677">
        <f>TEST_DATA!D13677</f>
        <v/>
      </c>
      <c r="E13677">
        <f>TEST_DATA!E13677</f>
        <v/>
      </c>
    </row>
    <row r="13678">
      <c r="A13678">
        <f>TEST_DATA!A13678</f>
        <v/>
      </c>
      <c r="B13678">
        <f>TEST_DATA!B13678</f>
        <v/>
      </c>
      <c r="C13678">
        <f>TEST_DATA!C13678</f>
        <v/>
      </c>
      <c r="D13678">
        <f>TEST_DATA!D13678</f>
        <v/>
      </c>
      <c r="E13678">
        <f>TEST_DATA!E13678</f>
        <v/>
      </c>
    </row>
    <row r="13679">
      <c r="A13679">
        <f>TEST_DATA!A13679</f>
        <v/>
      </c>
      <c r="B13679">
        <f>TEST_DATA!B13679</f>
        <v/>
      </c>
      <c r="C13679">
        <f>TEST_DATA!C13679</f>
        <v/>
      </c>
      <c r="D13679">
        <f>TEST_DATA!D13679</f>
        <v/>
      </c>
      <c r="E13679">
        <f>TEST_DATA!E13679</f>
        <v/>
      </c>
    </row>
    <row r="13680">
      <c r="A13680">
        <f>TEST_DATA!A13680</f>
        <v/>
      </c>
      <c r="B13680">
        <f>TEST_DATA!B13680</f>
        <v/>
      </c>
      <c r="C13680">
        <f>TEST_DATA!C13680</f>
        <v/>
      </c>
      <c r="D13680">
        <f>TEST_DATA!D13680</f>
        <v/>
      </c>
      <c r="E13680">
        <f>TEST_DATA!E13680</f>
        <v/>
      </c>
    </row>
    <row r="13681">
      <c r="A13681">
        <f>TEST_DATA!A13681</f>
        <v/>
      </c>
      <c r="B13681">
        <f>TEST_DATA!B13681</f>
        <v/>
      </c>
      <c r="C13681">
        <f>TEST_DATA!C13681</f>
        <v/>
      </c>
      <c r="D13681">
        <f>TEST_DATA!D13681</f>
        <v/>
      </c>
      <c r="E13681">
        <f>TEST_DATA!E13681</f>
        <v/>
      </c>
    </row>
    <row r="13682">
      <c r="A13682">
        <f>TEST_DATA!A13682</f>
        <v/>
      </c>
      <c r="B13682">
        <f>TEST_DATA!B13682</f>
        <v/>
      </c>
      <c r="C13682">
        <f>TEST_DATA!C13682</f>
        <v/>
      </c>
      <c r="D13682">
        <f>TEST_DATA!D13682</f>
        <v/>
      </c>
      <c r="E13682">
        <f>TEST_DATA!E13682</f>
        <v/>
      </c>
    </row>
    <row r="13683">
      <c r="A13683">
        <f>TEST_DATA!A13683</f>
        <v/>
      </c>
      <c r="B13683">
        <f>TEST_DATA!B13683</f>
        <v/>
      </c>
      <c r="C13683">
        <f>TEST_DATA!C13683</f>
        <v/>
      </c>
      <c r="D13683">
        <f>TEST_DATA!D13683</f>
        <v/>
      </c>
      <c r="E13683">
        <f>TEST_DATA!E13683</f>
        <v/>
      </c>
    </row>
    <row r="13684">
      <c r="A13684">
        <f>TEST_DATA!A13684</f>
        <v/>
      </c>
      <c r="B13684">
        <f>TEST_DATA!B13684</f>
        <v/>
      </c>
      <c r="C13684">
        <f>TEST_DATA!C13684</f>
        <v/>
      </c>
      <c r="D13684">
        <f>TEST_DATA!D13684</f>
        <v/>
      </c>
      <c r="E13684">
        <f>TEST_DATA!E13684</f>
        <v/>
      </c>
    </row>
    <row r="13685">
      <c r="A13685">
        <f>TEST_DATA!A13685</f>
        <v/>
      </c>
      <c r="B13685">
        <f>TEST_DATA!B13685</f>
        <v/>
      </c>
      <c r="C13685">
        <f>TEST_DATA!C13685</f>
        <v/>
      </c>
      <c r="D13685">
        <f>TEST_DATA!D13685</f>
        <v/>
      </c>
      <c r="E13685">
        <f>TEST_DATA!E13685</f>
        <v/>
      </c>
    </row>
    <row r="13686">
      <c r="A13686">
        <f>TEST_DATA!A13686</f>
        <v/>
      </c>
      <c r="B13686">
        <f>TEST_DATA!B13686</f>
        <v/>
      </c>
      <c r="C13686">
        <f>TEST_DATA!C13686</f>
        <v/>
      </c>
      <c r="D13686">
        <f>TEST_DATA!D13686</f>
        <v/>
      </c>
      <c r="E13686">
        <f>TEST_DATA!E13686</f>
        <v/>
      </c>
    </row>
    <row r="13687">
      <c r="A13687">
        <f>TEST_DATA!A13687</f>
        <v/>
      </c>
      <c r="B13687">
        <f>TEST_DATA!B13687</f>
        <v/>
      </c>
      <c r="C13687">
        <f>TEST_DATA!C13687</f>
        <v/>
      </c>
      <c r="D13687">
        <f>TEST_DATA!D13687</f>
        <v/>
      </c>
      <c r="E13687">
        <f>TEST_DATA!E13687</f>
        <v/>
      </c>
    </row>
    <row r="13688">
      <c r="A13688">
        <f>TEST_DATA!A13688</f>
        <v/>
      </c>
      <c r="B13688">
        <f>TEST_DATA!B13688</f>
        <v/>
      </c>
      <c r="C13688">
        <f>TEST_DATA!C13688</f>
        <v/>
      </c>
      <c r="D13688">
        <f>TEST_DATA!D13688</f>
        <v/>
      </c>
      <c r="E13688">
        <f>TEST_DATA!E13688</f>
        <v/>
      </c>
    </row>
    <row r="13689">
      <c r="A13689">
        <f>TEST_DATA!A13689</f>
        <v/>
      </c>
      <c r="B13689">
        <f>TEST_DATA!B13689</f>
        <v/>
      </c>
      <c r="C13689">
        <f>TEST_DATA!C13689</f>
        <v/>
      </c>
      <c r="D13689">
        <f>TEST_DATA!D13689</f>
        <v/>
      </c>
      <c r="E13689">
        <f>TEST_DATA!E13689</f>
        <v/>
      </c>
    </row>
    <row r="13690">
      <c r="A13690">
        <f>TEST_DATA!A13690</f>
        <v/>
      </c>
      <c r="B13690">
        <f>TEST_DATA!B13690</f>
        <v/>
      </c>
      <c r="C13690">
        <f>TEST_DATA!C13690</f>
        <v/>
      </c>
      <c r="D13690">
        <f>TEST_DATA!D13690</f>
        <v/>
      </c>
      <c r="E13690">
        <f>TEST_DATA!E13690</f>
        <v/>
      </c>
    </row>
    <row r="13691">
      <c r="A13691">
        <f>TEST_DATA!A13691</f>
        <v/>
      </c>
      <c r="B13691">
        <f>TEST_DATA!B13691</f>
        <v/>
      </c>
      <c r="C13691">
        <f>TEST_DATA!C13691</f>
        <v/>
      </c>
      <c r="D13691">
        <f>TEST_DATA!D13691</f>
        <v/>
      </c>
      <c r="E13691">
        <f>TEST_DATA!E13691</f>
        <v/>
      </c>
    </row>
    <row r="13692">
      <c r="A13692">
        <f>TEST_DATA!A13692</f>
        <v/>
      </c>
      <c r="B13692">
        <f>TEST_DATA!B13692</f>
        <v/>
      </c>
      <c r="C13692">
        <f>TEST_DATA!C13692</f>
        <v/>
      </c>
      <c r="D13692">
        <f>TEST_DATA!D13692</f>
        <v/>
      </c>
      <c r="E13692">
        <f>TEST_DATA!E13692</f>
        <v/>
      </c>
    </row>
    <row r="13693">
      <c r="A13693">
        <f>TEST_DATA!A13693</f>
        <v/>
      </c>
      <c r="B13693">
        <f>TEST_DATA!B13693</f>
        <v/>
      </c>
      <c r="C13693">
        <f>TEST_DATA!C13693</f>
        <v/>
      </c>
      <c r="D13693">
        <f>TEST_DATA!D13693</f>
        <v/>
      </c>
      <c r="E13693">
        <f>TEST_DATA!E13693</f>
        <v/>
      </c>
    </row>
    <row r="13694">
      <c r="A13694">
        <f>TEST_DATA!A13694</f>
        <v/>
      </c>
      <c r="B13694">
        <f>TEST_DATA!B13694</f>
        <v/>
      </c>
      <c r="C13694">
        <f>TEST_DATA!C13694</f>
        <v/>
      </c>
      <c r="D13694">
        <f>TEST_DATA!D13694</f>
        <v/>
      </c>
      <c r="E13694">
        <f>TEST_DATA!E13694</f>
        <v/>
      </c>
    </row>
    <row r="13695">
      <c r="A13695">
        <f>TEST_DATA!A13695</f>
        <v/>
      </c>
      <c r="B13695">
        <f>TEST_DATA!B13695</f>
        <v/>
      </c>
      <c r="C13695">
        <f>TEST_DATA!C13695</f>
        <v/>
      </c>
      <c r="D13695">
        <f>TEST_DATA!D13695</f>
        <v/>
      </c>
      <c r="E13695">
        <f>TEST_DATA!E13695</f>
        <v/>
      </c>
    </row>
    <row r="13696">
      <c r="A13696">
        <f>TEST_DATA!A13696</f>
        <v/>
      </c>
      <c r="B13696">
        <f>TEST_DATA!B13696</f>
        <v/>
      </c>
      <c r="C13696">
        <f>TEST_DATA!C13696</f>
        <v/>
      </c>
      <c r="D13696">
        <f>TEST_DATA!D13696</f>
        <v/>
      </c>
      <c r="E13696">
        <f>TEST_DATA!E13696</f>
        <v/>
      </c>
    </row>
    <row r="13697">
      <c r="A13697">
        <f>TEST_DATA!A13697</f>
        <v/>
      </c>
      <c r="B13697">
        <f>TEST_DATA!B13697</f>
        <v/>
      </c>
      <c r="C13697">
        <f>TEST_DATA!C13697</f>
        <v/>
      </c>
      <c r="D13697">
        <f>TEST_DATA!D13697</f>
        <v/>
      </c>
      <c r="E13697">
        <f>TEST_DATA!E13697</f>
        <v/>
      </c>
    </row>
    <row r="13698">
      <c r="A13698">
        <f>TEST_DATA!A13698</f>
        <v/>
      </c>
      <c r="B13698">
        <f>TEST_DATA!B13698</f>
        <v/>
      </c>
      <c r="C13698">
        <f>TEST_DATA!C13698</f>
        <v/>
      </c>
      <c r="D13698">
        <f>TEST_DATA!D13698</f>
        <v/>
      </c>
      <c r="E13698">
        <f>TEST_DATA!E13698</f>
        <v/>
      </c>
    </row>
    <row r="13699">
      <c r="A13699">
        <f>TEST_DATA!A13699</f>
        <v/>
      </c>
      <c r="B13699">
        <f>TEST_DATA!B13699</f>
        <v/>
      </c>
      <c r="C13699">
        <f>TEST_DATA!C13699</f>
        <v/>
      </c>
      <c r="D13699">
        <f>TEST_DATA!D13699</f>
        <v/>
      </c>
      <c r="E13699">
        <f>TEST_DATA!E13699</f>
        <v/>
      </c>
    </row>
    <row r="13700">
      <c r="A13700">
        <f>TEST_DATA!A13700</f>
        <v/>
      </c>
      <c r="B13700">
        <f>TEST_DATA!B13700</f>
        <v/>
      </c>
      <c r="C13700">
        <f>TEST_DATA!C13700</f>
        <v/>
      </c>
      <c r="D13700">
        <f>TEST_DATA!D13700</f>
        <v/>
      </c>
      <c r="E13700">
        <f>TEST_DATA!E13700</f>
        <v/>
      </c>
    </row>
    <row r="13701">
      <c r="A13701">
        <f>TEST_DATA!A13701</f>
        <v/>
      </c>
      <c r="B13701">
        <f>TEST_DATA!B13701</f>
        <v/>
      </c>
      <c r="C13701">
        <f>TEST_DATA!C13701</f>
        <v/>
      </c>
      <c r="D13701">
        <f>TEST_DATA!D13701</f>
        <v/>
      </c>
      <c r="E13701">
        <f>TEST_DATA!E13701</f>
        <v/>
      </c>
    </row>
    <row r="13702">
      <c r="A13702">
        <f>TEST_DATA!A13702</f>
        <v/>
      </c>
      <c r="B13702">
        <f>TEST_DATA!B13702</f>
        <v/>
      </c>
      <c r="C13702">
        <f>TEST_DATA!C13702</f>
        <v/>
      </c>
      <c r="D13702">
        <f>TEST_DATA!D13702</f>
        <v/>
      </c>
      <c r="E13702">
        <f>TEST_DATA!E13702</f>
        <v/>
      </c>
    </row>
    <row r="13703">
      <c r="A13703">
        <f>TEST_DATA!A13703</f>
        <v/>
      </c>
      <c r="B13703">
        <f>TEST_DATA!B13703</f>
        <v/>
      </c>
      <c r="C13703">
        <f>TEST_DATA!C13703</f>
        <v/>
      </c>
      <c r="D13703">
        <f>TEST_DATA!D13703</f>
        <v/>
      </c>
      <c r="E13703">
        <f>TEST_DATA!E13703</f>
        <v/>
      </c>
    </row>
    <row r="13704">
      <c r="A13704">
        <f>TEST_DATA!A13704</f>
        <v/>
      </c>
      <c r="B13704">
        <f>TEST_DATA!B13704</f>
        <v/>
      </c>
      <c r="C13704">
        <f>TEST_DATA!C13704</f>
        <v/>
      </c>
      <c r="D13704">
        <f>TEST_DATA!D13704</f>
        <v/>
      </c>
      <c r="E13704">
        <f>TEST_DATA!E13704</f>
        <v/>
      </c>
    </row>
    <row r="13705">
      <c r="A13705">
        <f>TEST_DATA!A13705</f>
        <v/>
      </c>
      <c r="B13705">
        <f>TEST_DATA!B13705</f>
        <v/>
      </c>
      <c r="C13705">
        <f>TEST_DATA!C13705</f>
        <v/>
      </c>
      <c r="D13705">
        <f>TEST_DATA!D13705</f>
        <v/>
      </c>
      <c r="E13705">
        <f>TEST_DATA!E13705</f>
        <v/>
      </c>
    </row>
    <row r="13706">
      <c r="A13706">
        <f>TEST_DATA!A13706</f>
        <v/>
      </c>
      <c r="B13706">
        <f>TEST_DATA!B13706</f>
        <v/>
      </c>
      <c r="C13706">
        <f>TEST_DATA!C13706</f>
        <v/>
      </c>
      <c r="D13706">
        <f>TEST_DATA!D13706</f>
        <v/>
      </c>
      <c r="E13706">
        <f>TEST_DATA!E13706</f>
        <v/>
      </c>
    </row>
    <row r="13707">
      <c r="A13707">
        <f>TEST_DATA!A13707</f>
        <v/>
      </c>
      <c r="B13707">
        <f>TEST_DATA!B13707</f>
        <v/>
      </c>
      <c r="C13707">
        <f>TEST_DATA!C13707</f>
        <v/>
      </c>
      <c r="D13707">
        <f>TEST_DATA!D13707</f>
        <v/>
      </c>
      <c r="E13707">
        <f>TEST_DATA!E13707</f>
        <v/>
      </c>
    </row>
    <row r="13708">
      <c r="A13708">
        <f>TEST_DATA!A13708</f>
        <v/>
      </c>
      <c r="B13708">
        <f>TEST_DATA!B13708</f>
        <v/>
      </c>
      <c r="C13708">
        <f>TEST_DATA!C13708</f>
        <v/>
      </c>
      <c r="D13708">
        <f>TEST_DATA!D13708</f>
        <v/>
      </c>
      <c r="E13708">
        <f>TEST_DATA!E13708</f>
        <v/>
      </c>
    </row>
    <row r="13709">
      <c r="A13709">
        <f>TEST_DATA!A13709</f>
        <v/>
      </c>
      <c r="B13709">
        <f>TEST_DATA!B13709</f>
        <v/>
      </c>
      <c r="C13709">
        <f>TEST_DATA!C13709</f>
        <v/>
      </c>
      <c r="D13709">
        <f>TEST_DATA!D13709</f>
        <v/>
      </c>
      <c r="E13709">
        <f>TEST_DATA!E13709</f>
        <v/>
      </c>
    </row>
    <row r="13710">
      <c r="A13710">
        <f>TEST_DATA!A13710</f>
        <v/>
      </c>
      <c r="B13710">
        <f>TEST_DATA!B13710</f>
        <v/>
      </c>
      <c r="C13710">
        <f>TEST_DATA!C13710</f>
        <v/>
      </c>
      <c r="D13710">
        <f>TEST_DATA!D13710</f>
        <v/>
      </c>
      <c r="E13710">
        <f>TEST_DATA!E13710</f>
        <v/>
      </c>
    </row>
    <row r="13711">
      <c r="A13711">
        <f>TEST_DATA!A13711</f>
        <v/>
      </c>
      <c r="B13711">
        <f>TEST_DATA!B13711</f>
        <v/>
      </c>
      <c r="C13711">
        <f>TEST_DATA!C13711</f>
        <v/>
      </c>
      <c r="D13711">
        <f>TEST_DATA!D13711</f>
        <v/>
      </c>
      <c r="E13711">
        <f>TEST_DATA!E13711</f>
        <v/>
      </c>
    </row>
    <row r="13712">
      <c r="A13712">
        <f>TEST_DATA!A13712</f>
        <v/>
      </c>
      <c r="B13712">
        <f>TEST_DATA!B13712</f>
        <v/>
      </c>
      <c r="C13712">
        <f>TEST_DATA!C13712</f>
        <v/>
      </c>
      <c r="D13712">
        <f>TEST_DATA!D13712</f>
        <v/>
      </c>
      <c r="E13712">
        <f>TEST_DATA!E13712</f>
        <v/>
      </c>
    </row>
    <row r="13713">
      <c r="A13713">
        <f>TEST_DATA!A13713</f>
        <v/>
      </c>
      <c r="B13713">
        <f>TEST_DATA!B13713</f>
        <v/>
      </c>
      <c r="C13713">
        <f>TEST_DATA!C13713</f>
        <v/>
      </c>
      <c r="D13713">
        <f>TEST_DATA!D13713</f>
        <v/>
      </c>
      <c r="E13713">
        <f>TEST_DATA!E13713</f>
        <v/>
      </c>
    </row>
    <row r="13714">
      <c r="A13714">
        <f>TEST_DATA!A13714</f>
        <v/>
      </c>
      <c r="B13714">
        <f>TEST_DATA!B13714</f>
        <v/>
      </c>
      <c r="C13714">
        <f>TEST_DATA!C13714</f>
        <v/>
      </c>
      <c r="D13714">
        <f>TEST_DATA!D13714</f>
        <v/>
      </c>
      <c r="E13714">
        <f>TEST_DATA!E13714</f>
        <v/>
      </c>
    </row>
    <row r="13715">
      <c r="A13715">
        <f>TEST_DATA!A13715</f>
        <v/>
      </c>
      <c r="B13715">
        <f>TEST_DATA!B13715</f>
        <v/>
      </c>
      <c r="C13715">
        <f>TEST_DATA!C13715</f>
        <v/>
      </c>
      <c r="D13715">
        <f>TEST_DATA!D13715</f>
        <v/>
      </c>
      <c r="E13715">
        <f>TEST_DATA!E13715</f>
        <v/>
      </c>
    </row>
    <row r="13716">
      <c r="A13716">
        <f>TEST_DATA!A13716</f>
        <v/>
      </c>
      <c r="B13716">
        <f>TEST_DATA!B13716</f>
        <v/>
      </c>
      <c r="C13716">
        <f>TEST_DATA!C13716</f>
        <v/>
      </c>
      <c r="D13716">
        <f>TEST_DATA!D13716</f>
        <v/>
      </c>
      <c r="E13716">
        <f>TEST_DATA!E13716</f>
        <v/>
      </c>
    </row>
    <row r="13717">
      <c r="A13717">
        <f>TEST_DATA!A13717</f>
        <v/>
      </c>
      <c r="B13717">
        <f>TEST_DATA!B13717</f>
        <v/>
      </c>
      <c r="C13717">
        <f>TEST_DATA!C13717</f>
        <v/>
      </c>
      <c r="D13717">
        <f>TEST_DATA!D13717</f>
        <v/>
      </c>
      <c r="E13717">
        <f>TEST_DATA!E13717</f>
        <v/>
      </c>
    </row>
    <row r="13718">
      <c r="A13718">
        <f>TEST_DATA!A13718</f>
        <v/>
      </c>
      <c r="B13718">
        <f>TEST_DATA!B13718</f>
        <v/>
      </c>
      <c r="C13718">
        <f>TEST_DATA!C13718</f>
        <v/>
      </c>
      <c r="D13718">
        <f>TEST_DATA!D13718</f>
        <v/>
      </c>
      <c r="E13718">
        <f>TEST_DATA!E13718</f>
        <v/>
      </c>
    </row>
    <row r="13719">
      <c r="A13719">
        <f>TEST_DATA!A13719</f>
        <v/>
      </c>
      <c r="B13719">
        <f>TEST_DATA!B13719</f>
        <v/>
      </c>
      <c r="C13719">
        <f>TEST_DATA!C13719</f>
        <v/>
      </c>
      <c r="D13719">
        <f>TEST_DATA!D13719</f>
        <v/>
      </c>
      <c r="E13719">
        <f>TEST_DATA!E13719</f>
        <v/>
      </c>
    </row>
    <row r="13720">
      <c r="A13720">
        <f>TEST_DATA!A13720</f>
        <v/>
      </c>
      <c r="B13720">
        <f>TEST_DATA!B13720</f>
        <v/>
      </c>
      <c r="C13720">
        <f>TEST_DATA!C13720</f>
        <v/>
      </c>
      <c r="D13720">
        <f>TEST_DATA!D13720</f>
        <v/>
      </c>
      <c r="E13720">
        <f>TEST_DATA!E13720</f>
        <v/>
      </c>
    </row>
    <row r="13721">
      <c r="A13721">
        <f>TEST_DATA!A13721</f>
        <v/>
      </c>
      <c r="B13721">
        <f>TEST_DATA!B13721</f>
        <v/>
      </c>
      <c r="C13721">
        <f>TEST_DATA!C13721</f>
        <v/>
      </c>
      <c r="D13721">
        <f>TEST_DATA!D13721</f>
        <v/>
      </c>
      <c r="E13721">
        <f>TEST_DATA!E13721</f>
        <v/>
      </c>
    </row>
    <row r="13722">
      <c r="A13722">
        <f>TEST_DATA!A13722</f>
        <v/>
      </c>
      <c r="B13722">
        <f>TEST_DATA!B13722</f>
        <v/>
      </c>
      <c r="C13722">
        <f>TEST_DATA!C13722</f>
        <v/>
      </c>
      <c r="D13722">
        <f>TEST_DATA!D13722</f>
        <v/>
      </c>
      <c r="E13722">
        <f>TEST_DATA!E13722</f>
        <v/>
      </c>
    </row>
    <row r="13723">
      <c r="A13723">
        <f>TEST_DATA!A13723</f>
        <v/>
      </c>
      <c r="B13723">
        <f>TEST_DATA!B13723</f>
        <v/>
      </c>
      <c r="C13723">
        <f>TEST_DATA!C13723</f>
        <v/>
      </c>
      <c r="D13723">
        <f>TEST_DATA!D13723</f>
        <v/>
      </c>
      <c r="E13723">
        <f>TEST_DATA!E13723</f>
        <v/>
      </c>
    </row>
    <row r="13724">
      <c r="A13724">
        <f>TEST_DATA!A13724</f>
        <v/>
      </c>
      <c r="B13724">
        <f>TEST_DATA!B13724</f>
        <v/>
      </c>
      <c r="C13724">
        <f>TEST_DATA!C13724</f>
        <v/>
      </c>
      <c r="D13724">
        <f>TEST_DATA!D13724</f>
        <v/>
      </c>
      <c r="E13724">
        <f>TEST_DATA!E13724</f>
        <v/>
      </c>
    </row>
    <row r="13725">
      <c r="A13725">
        <f>TEST_DATA!A13725</f>
        <v/>
      </c>
      <c r="B13725">
        <f>TEST_DATA!B13725</f>
        <v/>
      </c>
      <c r="C13725">
        <f>TEST_DATA!C13725</f>
        <v/>
      </c>
      <c r="D13725">
        <f>TEST_DATA!D13725</f>
        <v/>
      </c>
      <c r="E13725">
        <f>TEST_DATA!E13725</f>
        <v/>
      </c>
    </row>
    <row r="13726">
      <c r="A13726">
        <f>TEST_DATA!A13726</f>
        <v/>
      </c>
      <c r="B13726">
        <f>TEST_DATA!B13726</f>
        <v/>
      </c>
      <c r="C13726">
        <f>TEST_DATA!C13726</f>
        <v/>
      </c>
      <c r="D13726">
        <f>TEST_DATA!D13726</f>
        <v/>
      </c>
      <c r="E13726">
        <f>TEST_DATA!E13726</f>
        <v/>
      </c>
    </row>
    <row r="13727">
      <c r="A13727">
        <f>TEST_DATA!A13727</f>
        <v/>
      </c>
      <c r="B13727">
        <f>TEST_DATA!B13727</f>
        <v/>
      </c>
      <c r="C13727">
        <f>TEST_DATA!C13727</f>
        <v/>
      </c>
      <c r="D13727">
        <f>TEST_DATA!D13727</f>
        <v/>
      </c>
      <c r="E13727">
        <f>TEST_DATA!E13727</f>
        <v/>
      </c>
    </row>
    <row r="13728">
      <c r="A13728">
        <f>TEST_DATA!A13728</f>
        <v/>
      </c>
      <c r="B13728">
        <f>TEST_DATA!B13728</f>
        <v/>
      </c>
      <c r="C13728">
        <f>TEST_DATA!C13728</f>
        <v/>
      </c>
      <c r="D13728">
        <f>TEST_DATA!D13728</f>
        <v/>
      </c>
      <c r="E13728">
        <f>TEST_DATA!E13728</f>
        <v/>
      </c>
    </row>
    <row r="13729">
      <c r="A13729">
        <f>TEST_DATA!A13729</f>
        <v/>
      </c>
      <c r="B13729">
        <f>TEST_DATA!B13729</f>
        <v/>
      </c>
      <c r="C13729">
        <f>TEST_DATA!C13729</f>
        <v/>
      </c>
      <c r="D13729">
        <f>TEST_DATA!D13729</f>
        <v/>
      </c>
      <c r="E13729">
        <f>TEST_DATA!E13729</f>
        <v/>
      </c>
    </row>
    <row r="13730">
      <c r="A13730">
        <f>TEST_DATA!A13730</f>
        <v/>
      </c>
      <c r="B13730">
        <f>TEST_DATA!B13730</f>
        <v/>
      </c>
      <c r="C13730">
        <f>TEST_DATA!C13730</f>
        <v/>
      </c>
      <c r="D13730">
        <f>TEST_DATA!D13730</f>
        <v/>
      </c>
      <c r="E13730">
        <f>TEST_DATA!E13730</f>
        <v/>
      </c>
    </row>
    <row r="13731">
      <c r="A13731">
        <f>TEST_DATA!A13731</f>
        <v/>
      </c>
      <c r="B13731">
        <f>TEST_DATA!B13731</f>
        <v/>
      </c>
      <c r="C13731">
        <f>TEST_DATA!C13731</f>
        <v/>
      </c>
      <c r="D13731">
        <f>TEST_DATA!D13731</f>
        <v/>
      </c>
      <c r="E13731">
        <f>TEST_DATA!E13731</f>
        <v/>
      </c>
    </row>
    <row r="13732">
      <c r="A13732">
        <f>TEST_DATA!A13732</f>
        <v/>
      </c>
      <c r="B13732">
        <f>TEST_DATA!B13732</f>
        <v/>
      </c>
      <c r="C13732">
        <f>TEST_DATA!C13732</f>
        <v/>
      </c>
      <c r="D13732">
        <f>TEST_DATA!D13732</f>
        <v/>
      </c>
      <c r="E13732">
        <f>TEST_DATA!E13732</f>
        <v/>
      </c>
    </row>
    <row r="13733">
      <c r="A13733">
        <f>TEST_DATA!A13733</f>
        <v/>
      </c>
      <c r="B13733">
        <f>TEST_DATA!B13733</f>
        <v/>
      </c>
      <c r="C13733">
        <f>TEST_DATA!C13733</f>
        <v/>
      </c>
      <c r="D13733">
        <f>TEST_DATA!D13733</f>
        <v/>
      </c>
      <c r="E13733">
        <f>TEST_DATA!E13733</f>
        <v/>
      </c>
    </row>
    <row r="13734">
      <c r="A13734">
        <f>TEST_DATA!A13734</f>
        <v/>
      </c>
      <c r="B13734">
        <f>TEST_DATA!B13734</f>
        <v/>
      </c>
      <c r="C13734">
        <f>TEST_DATA!C13734</f>
        <v/>
      </c>
      <c r="D13734">
        <f>TEST_DATA!D13734</f>
        <v/>
      </c>
      <c r="E13734">
        <f>TEST_DATA!E13734</f>
        <v/>
      </c>
    </row>
    <row r="13735">
      <c r="A13735">
        <f>TEST_DATA!A13735</f>
        <v/>
      </c>
      <c r="B13735">
        <f>TEST_DATA!B13735</f>
        <v/>
      </c>
      <c r="C13735">
        <f>TEST_DATA!C13735</f>
        <v/>
      </c>
      <c r="D13735">
        <f>TEST_DATA!D13735</f>
        <v/>
      </c>
      <c r="E13735">
        <f>TEST_DATA!E13735</f>
        <v/>
      </c>
    </row>
    <row r="13736">
      <c r="A13736">
        <f>TEST_DATA!A13736</f>
        <v/>
      </c>
      <c r="B13736">
        <f>TEST_DATA!B13736</f>
        <v/>
      </c>
      <c r="C13736">
        <f>TEST_DATA!C13736</f>
        <v/>
      </c>
      <c r="D13736">
        <f>TEST_DATA!D13736</f>
        <v/>
      </c>
      <c r="E13736">
        <f>TEST_DATA!E13736</f>
        <v/>
      </c>
    </row>
    <row r="13737">
      <c r="A13737">
        <f>TEST_DATA!A13737</f>
        <v/>
      </c>
      <c r="B13737">
        <f>TEST_DATA!B13737</f>
        <v/>
      </c>
      <c r="C13737">
        <f>TEST_DATA!C13737</f>
        <v/>
      </c>
      <c r="D13737">
        <f>TEST_DATA!D13737</f>
        <v/>
      </c>
      <c r="E13737">
        <f>TEST_DATA!E13737</f>
        <v/>
      </c>
    </row>
    <row r="13738">
      <c r="A13738">
        <f>TEST_DATA!A13738</f>
        <v/>
      </c>
      <c r="B13738">
        <f>TEST_DATA!B13738</f>
        <v/>
      </c>
      <c r="C13738">
        <f>TEST_DATA!C13738</f>
        <v/>
      </c>
      <c r="D13738">
        <f>TEST_DATA!D13738</f>
        <v/>
      </c>
      <c r="E13738">
        <f>TEST_DATA!E13738</f>
        <v/>
      </c>
    </row>
    <row r="13739">
      <c r="A13739">
        <f>TEST_DATA!A13739</f>
        <v/>
      </c>
      <c r="B13739">
        <f>TEST_DATA!B13739</f>
        <v/>
      </c>
      <c r="C13739">
        <f>TEST_DATA!C13739</f>
        <v/>
      </c>
      <c r="D13739">
        <f>TEST_DATA!D13739</f>
        <v/>
      </c>
      <c r="E13739">
        <f>TEST_DATA!E13739</f>
        <v/>
      </c>
    </row>
    <row r="13740">
      <c r="A13740">
        <f>TEST_DATA!A13740</f>
        <v/>
      </c>
      <c r="B13740">
        <f>TEST_DATA!B13740</f>
        <v/>
      </c>
      <c r="C13740">
        <f>TEST_DATA!C13740</f>
        <v/>
      </c>
      <c r="D13740">
        <f>TEST_DATA!D13740</f>
        <v/>
      </c>
      <c r="E13740">
        <f>TEST_DATA!E13740</f>
        <v/>
      </c>
    </row>
    <row r="13741">
      <c r="A13741">
        <f>TEST_DATA!A13741</f>
        <v/>
      </c>
      <c r="B13741">
        <f>TEST_DATA!B13741</f>
        <v/>
      </c>
      <c r="C13741">
        <f>TEST_DATA!C13741</f>
        <v/>
      </c>
      <c r="D13741">
        <f>TEST_DATA!D13741</f>
        <v/>
      </c>
      <c r="E13741">
        <f>TEST_DATA!E13741</f>
        <v/>
      </c>
    </row>
    <row r="13742">
      <c r="A13742">
        <f>TEST_DATA!A13742</f>
        <v/>
      </c>
      <c r="B13742">
        <f>TEST_DATA!B13742</f>
        <v/>
      </c>
      <c r="C13742">
        <f>TEST_DATA!C13742</f>
        <v/>
      </c>
      <c r="D13742">
        <f>TEST_DATA!D13742</f>
        <v/>
      </c>
      <c r="E13742">
        <f>TEST_DATA!E13742</f>
        <v/>
      </c>
    </row>
    <row r="13743">
      <c r="A13743">
        <f>TEST_DATA!A13743</f>
        <v/>
      </c>
      <c r="B13743">
        <f>TEST_DATA!B13743</f>
        <v/>
      </c>
      <c r="C13743">
        <f>TEST_DATA!C13743</f>
        <v/>
      </c>
      <c r="D13743">
        <f>TEST_DATA!D13743</f>
        <v/>
      </c>
      <c r="E13743">
        <f>TEST_DATA!E13743</f>
        <v/>
      </c>
    </row>
    <row r="13744">
      <c r="A13744">
        <f>TEST_DATA!A13744</f>
        <v/>
      </c>
      <c r="B13744">
        <f>TEST_DATA!B13744</f>
        <v/>
      </c>
      <c r="C13744">
        <f>TEST_DATA!C13744</f>
        <v/>
      </c>
      <c r="D13744">
        <f>TEST_DATA!D13744</f>
        <v/>
      </c>
      <c r="E13744">
        <f>TEST_DATA!E13744</f>
        <v/>
      </c>
    </row>
    <row r="13745">
      <c r="A13745">
        <f>TEST_DATA!A13745</f>
        <v/>
      </c>
      <c r="B13745">
        <f>TEST_DATA!B13745</f>
        <v/>
      </c>
      <c r="C13745">
        <f>TEST_DATA!C13745</f>
        <v/>
      </c>
      <c r="D13745">
        <f>TEST_DATA!D13745</f>
        <v/>
      </c>
      <c r="E13745">
        <f>TEST_DATA!E13745</f>
        <v/>
      </c>
    </row>
    <row r="13746">
      <c r="A13746">
        <f>TEST_DATA!A13746</f>
        <v/>
      </c>
      <c r="B13746">
        <f>TEST_DATA!B13746</f>
        <v/>
      </c>
      <c r="C13746">
        <f>TEST_DATA!C13746</f>
        <v/>
      </c>
      <c r="D13746">
        <f>TEST_DATA!D13746</f>
        <v/>
      </c>
      <c r="E13746">
        <f>TEST_DATA!E13746</f>
        <v/>
      </c>
    </row>
    <row r="13747">
      <c r="A13747">
        <f>TEST_DATA!A13747</f>
        <v/>
      </c>
      <c r="B13747">
        <f>TEST_DATA!B13747</f>
        <v/>
      </c>
      <c r="C13747">
        <f>TEST_DATA!C13747</f>
        <v/>
      </c>
      <c r="D13747">
        <f>TEST_DATA!D13747</f>
        <v/>
      </c>
      <c r="E13747">
        <f>TEST_DATA!E13747</f>
        <v/>
      </c>
    </row>
    <row r="13748">
      <c r="A13748">
        <f>TEST_DATA!A13748</f>
        <v/>
      </c>
      <c r="B13748">
        <f>TEST_DATA!B13748</f>
        <v/>
      </c>
      <c r="C13748">
        <f>TEST_DATA!C13748</f>
        <v/>
      </c>
      <c r="D13748">
        <f>TEST_DATA!D13748</f>
        <v/>
      </c>
      <c r="E13748">
        <f>TEST_DATA!E13748</f>
        <v/>
      </c>
    </row>
    <row r="13749">
      <c r="A13749">
        <f>TEST_DATA!A13749</f>
        <v/>
      </c>
      <c r="B13749">
        <f>TEST_DATA!B13749</f>
        <v/>
      </c>
      <c r="C13749">
        <f>TEST_DATA!C13749</f>
        <v/>
      </c>
      <c r="D13749">
        <f>TEST_DATA!D13749</f>
        <v/>
      </c>
      <c r="E13749">
        <f>TEST_DATA!E13749</f>
        <v/>
      </c>
    </row>
    <row r="13750">
      <c r="A13750">
        <f>TEST_DATA!A13750</f>
        <v/>
      </c>
      <c r="B13750">
        <f>TEST_DATA!B13750</f>
        <v/>
      </c>
      <c r="C13750">
        <f>TEST_DATA!C13750</f>
        <v/>
      </c>
      <c r="D13750">
        <f>TEST_DATA!D13750</f>
        <v/>
      </c>
      <c r="E13750">
        <f>TEST_DATA!E13750</f>
        <v/>
      </c>
    </row>
    <row r="13751">
      <c r="A13751">
        <f>TEST_DATA!A13751</f>
        <v/>
      </c>
      <c r="B13751">
        <f>TEST_DATA!B13751</f>
        <v/>
      </c>
      <c r="C13751">
        <f>TEST_DATA!C13751</f>
        <v/>
      </c>
      <c r="D13751">
        <f>TEST_DATA!D13751</f>
        <v/>
      </c>
      <c r="E13751">
        <f>TEST_DATA!E13751</f>
        <v/>
      </c>
    </row>
    <row r="13752">
      <c r="A13752">
        <f>TEST_DATA!A13752</f>
        <v/>
      </c>
      <c r="B13752">
        <f>TEST_DATA!B13752</f>
        <v/>
      </c>
      <c r="C13752">
        <f>TEST_DATA!C13752</f>
        <v/>
      </c>
      <c r="D13752">
        <f>TEST_DATA!D13752</f>
        <v/>
      </c>
      <c r="E13752">
        <f>TEST_DATA!E13752</f>
        <v/>
      </c>
    </row>
    <row r="13753">
      <c r="A13753">
        <f>TEST_DATA!A13753</f>
        <v/>
      </c>
      <c r="B13753">
        <f>TEST_DATA!B13753</f>
        <v/>
      </c>
      <c r="C13753">
        <f>TEST_DATA!C13753</f>
        <v/>
      </c>
      <c r="D13753">
        <f>TEST_DATA!D13753</f>
        <v/>
      </c>
      <c r="E13753">
        <f>TEST_DATA!E13753</f>
        <v/>
      </c>
    </row>
    <row r="13754">
      <c r="A13754">
        <f>TEST_DATA!A13754</f>
        <v/>
      </c>
      <c r="B13754">
        <f>TEST_DATA!B13754</f>
        <v/>
      </c>
      <c r="C13754">
        <f>TEST_DATA!C13754</f>
        <v/>
      </c>
      <c r="D13754">
        <f>TEST_DATA!D13754</f>
        <v/>
      </c>
      <c r="E13754">
        <f>TEST_DATA!E13754</f>
        <v/>
      </c>
    </row>
    <row r="13755">
      <c r="A13755">
        <f>TEST_DATA!A13755</f>
        <v/>
      </c>
      <c r="B13755">
        <f>TEST_DATA!B13755</f>
        <v/>
      </c>
      <c r="C13755">
        <f>TEST_DATA!C13755</f>
        <v/>
      </c>
      <c r="D13755">
        <f>TEST_DATA!D13755</f>
        <v/>
      </c>
      <c r="E13755">
        <f>TEST_DATA!E13755</f>
        <v/>
      </c>
    </row>
    <row r="13756">
      <c r="A13756">
        <f>TEST_DATA!A13756</f>
        <v/>
      </c>
      <c r="B13756">
        <f>TEST_DATA!B13756</f>
        <v/>
      </c>
      <c r="C13756">
        <f>TEST_DATA!C13756</f>
        <v/>
      </c>
      <c r="D13756">
        <f>TEST_DATA!D13756</f>
        <v/>
      </c>
      <c r="E13756">
        <f>TEST_DATA!E13756</f>
        <v/>
      </c>
    </row>
    <row r="13757">
      <c r="A13757">
        <f>TEST_DATA!A13757</f>
        <v/>
      </c>
      <c r="B13757">
        <f>TEST_DATA!B13757</f>
        <v/>
      </c>
      <c r="C13757">
        <f>TEST_DATA!C13757</f>
        <v/>
      </c>
      <c r="D13757">
        <f>TEST_DATA!D13757</f>
        <v/>
      </c>
      <c r="E13757">
        <f>TEST_DATA!E13757</f>
        <v/>
      </c>
    </row>
    <row r="13758">
      <c r="A13758">
        <f>TEST_DATA!A13758</f>
        <v/>
      </c>
      <c r="B13758">
        <f>TEST_DATA!B13758</f>
        <v/>
      </c>
      <c r="C13758">
        <f>TEST_DATA!C13758</f>
        <v/>
      </c>
      <c r="D13758">
        <f>TEST_DATA!D13758</f>
        <v/>
      </c>
      <c r="E13758">
        <f>TEST_DATA!E13758</f>
        <v/>
      </c>
    </row>
    <row r="13759">
      <c r="A13759">
        <f>TEST_DATA!A13759</f>
        <v/>
      </c>
      <c r="B13759">
        <f>TEST_DATA!B13759</f>
        <v/>
      </c>
      <c r="C13759">
        <f>TEST_DATA!C13759</f>
        <v/>
      </c>
      <c r="D13759">
        <f>TEST_DATA!D13759</f>
        <v/>
      </c>
      <c r="E13759">
        <f>TEST_DATA!E13759</f>
        <v/>
      </c>
    </row>
    <row r="13760">
      <c r="A13760">
        <f>TEST_DATA!A13760</f>
        <v/>
      </c>
      <c r="B13760">
        <f>TEST_DATA!B13760</f>
        <v/>
      </c>
      <c r="C13760">
        <f>TEST_DATA!C13760</f>
        <v/>
      </c>
      <c r="D13760">
        <f>TEST_DATA!D13760</f>
        <v/>
      </c>
      <c r="E13760">
        <f>TEST_DATA!E13760</f>
        <v/>
      </c>
    </row>
    <row r="13761">
      <c r="A13761">
        <f>TEST_DATA!A13761</f>
        <v/>
      </c>
      <c r="B13761">
        <f>TEST_DATA!B13761</f>
        <v/>
      </c>
      <c r="C13761">
        <f>TEST_DATA!C13761</f>
        <v/>
      </c>
      <c r="D13761">
        <f>TEST_DATA!D13761</f>
        <v/>
      </c>
      <c r="E13761">
        <f>TEST_DATA!E13761</f>
        <v/>
      </c>
    </row>
    <row r="13762">
      <c r="A13762">
        <f>TEST_DATA!A13762</f>
        <v/>
      </c>
      <c r="B13762">
        <f>TEST_DATA!B13762</f>
        <v/>
      </c>
      <c r="C13762">
        <f>TEST_DATA!C13762</f>
        <v/>
      </c>
      <c r="D13762">
        <f>TEST_DATA!D13762</f>
        <v/>
      </c>
      <c r="E13762">
        <f>TEST_DATA!E13762</f>
        <v/>
      </c>
    </row>
    <row r="13763">
      <c r="A13763">
        <f>TEST_DATA!A13763</f>
        <v/>
      </c>
      <c r="B13763">
        <f>TEST_DATA!B13763</f>
        <v/>
      </c>
      <c r="C13763">
        <f>TEST_DATA!C13763</f>
        <v/>
      </c>
      <c r="D13763">
        <f>TEST_DATA!D13763</f>
        <v/>
      </c>
      <c r="E13763">
        <f>TEST_DATA!E13763</f>
        <v/>
      </c>
    </row>
    <row r="13764">
      <c r="A13764">
        <f>TEST_DATA!A13764</f>
        <v/>
      </c>
      <c r="B13764">
        <f>TEST_DATA!B13764</f>
        <v/>
      </c>
      <c r="C13764">
        <f>TEST_DATA!C13764</f>
        <v/>
      </c>
      <c r="D13764">
        <f>TEST_DATA!D13764</f>
        <v/>
      </c>
      <c r="E13764">
        <f>TEST_DATA!E13764</f>
        <v/>
      </c>
    </row>
    <row r="13765">
      <c r="A13765">
        <f>TEST_DATA!A13765</f>
        <v/>
      </c>
      <c r="B13765">
        <f>TEST_DATA!B13765</f>
        <v/>
      </c>
      <c r="C13765">
        <f>TEST_DATA!C13765</f>
        <v/>
      </c>
      <c r="D13765">
        <f>TEST_DATA!D13765</f>
        <v/>
      </c>
      <c r="E13765">
        <f>TEST_DATA!E13765</f>
        <v/>
      </c>
    </row>
    <row r="13766">
      <c r="A13766">
        <f>TEST_DATA!A13766</f>
        <v/>
      </c>
      <c r="B13766">
        <f>TEST_DATA!B13766</f>
        <v/>
      </c>
      <c r="C13766">
        <f>TEST_DATA!C13766</f>
        <v/>
      </c>
      <c r="D13766">
        <f>TEST_DATA!D13766</f>
        <v/>
      </c>
      <c r="E13766">
        <f>TEST_DATA!E13766</f>
        <v/>
      </c>
    </row>
    <row r="13767">
      <c r="A13767">
        <f>TEST_DATA!A13767</f>
        <v/>
      </c>
      <c r="B13767">
        <f>TEST_DATA!B13767</f>
        <v/>
      </c>
      <c r="C13767">
        <f>TEST_DATA!C13767</f>
        <v/>
      </c>
      <c r="D13767">
        <f>TEST_DATA!D13767</f>
        <v/>
      </c>
      <c r="E13767">
        <f>TEST_DATA!E13767</f>
        <v/>
      </c>
    </row>
    <row r="13768">
      <c r="A13768">
        <f>TEST_DATA!A13768</f>
        <v/>
      </c>
      <c r="B13768">
        <f>TEST_DATA!B13768</f>
        <v/>
      </c>
      <c r="C13768">
        <f>TEST_DATA!C13768</f>
        <v/>
      </c>
      <c r="D13768">
        <f>TEST_DATA!D13768</f>
        <v/>
      </c>
      <c r="E13768">
        <f>TEST_DATA!E13768</f>
        <v/>
      </c>
    </row>
    <row r="13769">
      <c r="A13769">
        <f>TEST_DATA!A13769</f>
        <v/>
      </c>
      <c r="B13769">
        <f>TEST_DATA!B13769</f>
        <v/>
      </c>
      <c r="C13769">
        <f>TEST_DATA!C13769</f>
        <v/>
      </c>
      <c r="D13769">
        <f>TEST_DATA!D13769</f>
        <v/>
      </c>
      <c r="E13769">
        <f>TEST_DATA!E13769</f>
        <v/>
      </c>
    </row>
    <row r="13770">
      <c r="A13770">
        <f>TEST_DATA!A13770</f>
        <v/>
      </c>
      <c r="B13770">
        <f>TEST_DATA!B13770</f>
        <v/>
      </c>
      <c r="C13770">
        <f>TEST_DATA!C13770</f>
        <v/>
      </c>
      <c r="D13770">
        <f>TEST_DATA!D13770</f>
        <v/>
      </c>
      <c r="E13770">
        <f>TEST_DATA!E13770</f>
        <v/>
      </c>
    </row>
    <row r="13771">
      <c r="A13771">
        <f>TEST_DATA!A13771</f>
        <v/>
      </c>
      <c r="B13771">
        <f>TEST_DATA!B13771</f>
        <v/>
      </c>
      <c r="C13771">
        <f>TEST_DATA!C13771</f>
        <v/>
      </c>
      <c r="D13771">
        <f>TEST_DATA!D13771</f>
        <v/>
      </c>
      <c r="E13771">
        <f>TEST_DATA!E13771</f>
        <v/>
      </c>
    </row>
    <row r="13772">
      <c r="A13772">
        <f>TEST_DATA!A13772</f>
        <v/>
      </c>
      <c r="B13772">
        <f>TEST_DATA!B13772</f>
        <v/>
      </c>
      <c r="C13772">
        <f>TEST_DATA!C13772</f>
        <v/>
      </c>
      <c r="D13772">
        <f>TEST_DATA!D13772</f>
        <v/>
      </c>
      <c r="E13772">
        <f>TEST_DATA!E13772</f>
        <v/>
      </c>
    </row>
    <row r="13773">
      <c r="A13773">
        <f>TEST_DATA!A13773</f>
        <v/>
      </c>
      <c r="B13773">
        <f>TEST_DATA!B13773</f>
        <v/>
      </c>
      <c r="C13773">
        <f>TEST_DATA!C13773</f>
        <v/>
      </c>
      <c r="D13773">
        <f>TEST_DATA!D13773</f>
        <v/>
      </c>
      <c r="E13773">
        <f>TEST_DATA!E13773</f>
        <v/>
      </c>
    </row>
    <row r="13774">
      <c r="A13774">
        <f>TEST_DATA!A13774</f>
        <v/>
      </c>
      <c r="B13774">
        <f>TEST_DATA!B13774</f>
        <v/>
      </c>
      <c r="C13774">
        <f>TEST_DATA!C13774</f>
        <v/>
      </c>
      <c r="D13774">
        <f>TEST_DATA!D13774</f>
        <v/>
      </c>
      <c r="E13774">
        <f>TEST_DATA!E13774</f>
        <v/>
      </c>
    </row>
    <row r="13775">
      <c r="A13775">
        <f>TEST_DATA!A13775</f>
        <v/>
      </c>
      <c r="B13775">
        <f>TEST_DATA!B13775</f>
        <v/>
      </c>
      <c r="C13775">
        <f>TEST_DATA!C13775</f>
        <v/>
      </c>
      <c r="D13775">
        <f>TEST_DATA!D13775</f>
        <v/>
      </c>
      <c r="E13775">
        <f>TEST_DATA!E13775</f>
        <v/>
      </c>
    </row>
    <row r="13776">
      <c r="A13776">
        <f>TEST_DATA!A13776</f>
        <v/>
      </c>
      <c r="B13776">
        <f>TEST_DATA!B13776</f>
        <v/>
      </c>
      <c r="C13776">
        <f>TEST_DATA!C13776</f>
        <v/>
      </c>
      <c r="D13776">
        <f>TEST_DATA!D13776</f>
        <v/>
      </c>
      <c r="E13776">
        <f>TEST_DATA!E13776</f>
        <v/>
      </c>
    </row>
    <row r="13777">
      <c r="A13777">
        <f>TEST_DATA!A13777</f>
        <v/>
      </c>
      <c r="B13777">
        <f>TEST_DATA!B13777</f>
        <v/>
      </c>
      <c r="C13777">
        <f>TEST_DATA!C13777</f>
        <v/>
      </c>
      <c r="D13777">
        <f>TEST_DATA!D13777</f>
        <v/>
      </c>
      <c r="E13777">
        <f>TEST_DATA!E13777</f>
        <v/>
      </c>
    </row>
    <row r="13778">
      <c r="A13778">
        <f>TEST_DATA!A13778</f>
        <v/>
      </c>
      <c r="B13778">
        <f>TEST_DATA!B13778</f>
        <v/>
      </c>
      <c r="C13778">
        <f>TEST_DATA!C13778</f>
        <v/>
      </c>
      <c r="D13778">
        <f>TEST_DATA!D13778</f>
        <v/>
      </c>
      <c r="E13778">
        <f>TEST_DATA!E13778</f>
        <v/>
      </c>
    </row>
    <row r="13779">
      <c r="A13779">
        <f>TEST_DATA!A13779</f>
        <v/>
      </c>
      <c r="B13779">
        <f>TEST_DATA!B13779</f>
        <v/>
      </c>
      <c r="C13779">
        <f>TEST_DATA!C13779</f>
        <v/>
      </c>
      <c r="D13779">
        <f>TEST_DATA!D13779</f>
        <v/>
      </c>
      <c r="E13779">
        <f>TEST_DATA!E13779</f>
        <v/>
      </c>
    </row>
    <row r="13780">
      <c r="A13780">
        <f>TEST_DATA!A13780</f>
        <v/>
      </c>
      <c r="B13780">
        <f>TEST_DATA!B13780</f>
        <v/>
      </c>
      <c r="C13780">
        <f>TEST_DATA!C13780</f>
        <v/>
      </c>
      <c r="D13780">
        <f>TEST_DATA!D13780</f>
        <v/>
      </c>
      <c r="E13780">
        <f>TEST_DATA!E13780</f>
        <v/>
      </c>
    </row>
    <row r="13781">
      <c r="A13781">
        <f>TEST_DATA!A13781</f>
        <v/>
      </c>
      <c r="B13781">
        <f>TEST_DATA!B13781</f>
        <v/>
      </c>
      <c r="C13781">
        <f>TEST_DATA!C13781</f>
        <v/>
      </c>
      <c r="D13781">
        <f>TEST_DATA!D13781</f>
        <v/>
      </c>
      <c r="E13781">
        <f>TEST_DATA!E13781</f>
        <v/>
      </c>
    </row>
    <row r="13782">
      <c r="A13782">
        <f>TEST_DATA!A13782</f>
        <v/>
      </c>
      <c r="B13782">
        <f>TEST_DATA!B13782</f>
        <v/>
      </c>
      <c r="C13782">
        <f>TEST_DATA!C13782</f>
        <v/>
      </c>
      <c r="D13782">
        <f>TEST_DATA!D13782</f>
        <v/>
      </c>
      <c r="E13782">
        <f>TEST_DATA!E13782</f>
        <v/>
      </c>
    </row>
    <row r="13783">
      <c r="A13783">
        <f>TEST_DATA!A13783</f>
        <v/>
      </c>
      <c r="B13783">
        <f>TEST_DATA!B13783</f>
        <v/>
      </c>
      <c r="C13783">
        <f>TEST_DATA!C13783</f>
        <v/>
      </c>
      <c r="D13783">
        <f>TEST_DATA!D13783</f>
        <v/>
      </c>
      <c r="E13783">
        <f>TEST_DATA!E13783</f>
        <v/>
      </c>
    </row>
    <row r="13784">
      <c r="A13784">
        <f>TEST_DATA!A13784</f>
        <v/>
      </c>
      <c r="B13784">
        <f>TEST_DATA!B13784</f>
        <v/>
      </c>
      <c r="C13784">
        <f>TEST_DATA!C13784</f>
        <v/>
      </c>
      <c r="D13784">
        <f>TEST_DATA!D13784</f>
        <v/>
      </c>
      <c r="E13784">
        <f>TEST_DATA!E13784</f>
        <v/>
      </c>
    </row>
    <row r="13785">
      <c r="A13785">
        <f>TEST_DATA!A13785</f>
        <v/>
      </c>
      <c r="B13785">
        <f>TEST_DATA!B13785</f>
        <v/>
      </c>
      <c r="C13785">
        <f>TEST_DATA!C13785</f>
        <v/>
      </c>
      <c r="D13785">
        <f>TEST_DATA!D13785</f>
        <v/>
      </c>
      <c r="E13785">
        <f>TEST_DATA!E13785</f>
        <v/>
      </c>
    </row>
    <row r="13786">
      <c r="A13786">
        <f>TEST_DATA!A13786</f>
        <v/>
      </c>
      <c r="B13786">
        <f>TEST_DATA!B13786</f>
        <v/>
      </c>
      <c r="C13786">
        <f>TEST_DATA!C13786</f>
        <v/>
      </c>
      <c r="D13786">
        <f>TEST_DATA!D13786</f>
        <v/>
      </c>
      <c r="E13786">
        <f>TEST_DATA!E13786</f>
        <v/>
      </c>
    </row>
    <row r="13787">
      <c r="A13787">
        <f>TEST_DATA!A13787</f>
        <v/>
      </c>
      <c r="B13787">
        <f>TEST_DATA!B13787</f>
        <v/>
      </c>
      <c r="C13787">
        <f>TEST_DATA!C13787</f>
        <v/>
      </c>
      <c r="D13787">
        <f>TEST_DATA!D13787</f>
        <v/>
      </c>
      <c r="E13787">
        <f>TEST_DATA!E13787</f>
        <v/>
      </c>
    </row>
    <row r="13788">
      <c r="A13788">
        <f>TEST_DATA!A13788</f>
        <v/>
      </c>
      <c r="B13788">
        <f>TEST_DATA!B13788</f>
        <v/>
      </c>
      <c r="C13788">
        <f>TEST_DATA!C13788</f>
        <v/>
      </c>
      <c r="D13788">
        <f>TEST_DATA!D13788</f>
        <v/>
      </c>
      <c r="E13788">
        <f>TEST_DATA!E13788</f>
        <v/>
      </c>
    </row>
    <row r="13789">
      <c r="A13789">
        <f>TEST_DATA!A13789</f>
        <v/>
      </c>
      <c r="B13789">
        <f>TEST_DATA!B13789</f>
        <v/>
      </c>
      <c r="C13789">
        <f>TEST_DATA!C13789</f>
        <v/>
      </c>
      <c r="D13789">
        <f>TEST_DATA!D13789</f>
        <v/>
      </c>
      <c r="E13789">
        <f>TEST_DATA!E13789</f>
        <v/>
      </c>
    </row>
    <row r="13790">
      <c r="A13790">
        <f>TEST_DATA!A13790</f>
        <v/>
      </c>
      <c r="B13790">
        <f>TEST_DATA!B13790</f>
        <v/>
      </c>
      <c r="C13790">
        <f>TEST_DATA!C13790</f>
        <v/>
      </c>
      <c r="D13790">
        <f>TEST_DATA!D13790</f>
        <v/>
      </c>
      <c r="E13790">
        <f>TEST_DATA!E13790</f>
        <v/>
      </c>
    </row>
    <row r="13791">
      <c r="A13791">
        <f>TEST_DATA!A13791</f>
        <v/>
      </c>
      <c r="B13791">
        <f>TEST_DATA!B13791</f>
        <v/>
      </c>
      <c r="C13791">
        <f>TEST_DATA!C13791</f>
        <v/>
      </c>
      <c r="D13791">
        <f>TEST_DATA!D13791</f>
        <v/>
      </c>
      <c r="E13791">
        <f>TEST_DATA!E13791</f>
        <v/>
      </c>
    </row>
    <row r="13792">
      <c r="A13792">
        <f>TEST_DATA!A13792</f>
        <v/>
      </c>
      <c r="B13792">
        <f>TEST_DATA!B13792</f>
        <v/>
      </c>
      <c r="C13792">
        <f>TEST_DATA!C13792</f>
        <v/>
      </c>
      <c r="D13792">
        <f>TEST_DATA!D13792</f>
        <v/>
      </c>
      <c r="E13792">
        <f>TEST_DATA!E13792</f>
        <v/>
      </c>
    </row>
    <row r="13793">
      <c r="A13793">
        <f>TEST_DATA!A13793</f>
        <v/>
      </c>
      <c r="B13793">
        <f>TEST_DATA!B13793</f>
        <v/>
      </c>
      <c r="C13793">
        <f>TEST_DATA!C13793</f>
        <v/>
      </c>
      <c r="D13793">
        <f>TEST_DATA!D13793</f>
        <v/>
      </c>
      <c r="E13793">
        <f>TEST_DATA!E13793</f>
        <v/>
      </c>
    </row>
    <row r="13794">
      <c r="A13794">
        <f>TEST_DATA!A13794</f>
        <v/>
      </c>
      <c r="B13794">
        <f>TEST_DATA!B13794</f>
        <v/>
      </c>
      <c r="C13794">
        <f>TEST_DATA!C13794</f>
        <v/>
      </c>
      <c r="D13794">
        <f>TEST_DATA!D13794</f>
        <v/>
      </c>
      <c r="E13794">
        <f>TEST_DATA!E13794</f>
        <v/>
      </c>
    </row>
    <row r="13795">
      <c r="A13795">
        <f>TEST_DATA!A13795</f>
        <v/>
      </c>
      <c r="B13795">
        <f>TEST_DATA!B13795</f>
        <v/>
      </c>
      <c r="C13795">
        <f>TEST_DATA!C13795</f>
        <v/>
      </c>
      <c r="D13795">
        <f>TEST_DATA!D13795</f>
        <v/>
      </c>
      <c r="E13795">
        <f>TEST_DATA!E13795</f>
        <v/>
      </c>
    </row>
    <row r="13796">
      <c r="A13796">
        <f>TEST_DATA!A13796</f>
        <v/>
      </c>
      <c r="B13796">
        <f>TEST_DATA!B13796</f>
        <v/>
      </c>
      <c r="C13796">
        <f>TEST_DATA!C13796</f>
        <v/>
      </c>
      <c r="D13796">
        <f>TEST_DATA!D13796</f>
        <v/>
      </c>
      <c r="E13796">
        <f>TEST_DATA!E13796</f>
        <v/>
      </c>
    </row>
    <row r="13797">
      <c r="A13797">
        <f>TEST_DATA!A13797</f>
        <v/>
      </c>
      <c r="B13797">
        <f>TEST_DATA!B13797</f>
        <v/>
      </c>
      <c r="C13797">
        <f>TEST_DATA!C13797</f>
        <v/>
      </c>
      <c r="D13797">
        <f>TEST_DATA!D13797</f>
        <v/>
      </c>
      <c r="E13797">
        <f>TEST_DATA!E13797</f>
        <v/>
      </c>
    </row>
    <row r="13798">
      <c r="A13798">
        <f>TEST_DATA!A13798</f>
        <v/>
      </c>
      <c r="B13798">
        <f>TEST_DATA!B13798</f>
        <v/>
      </c>
      <c r="C13798">
        <f>TEST_DATA!C13798</f>
        <v/>
      </c>
      <c r="D13798">
        <f>TEST_DATA!D13798</f>
        <v/>
      </c>
      <c r="E13798">
        <f>TEST_DATA!E13798</f>
        <v/>
      </c>
    </row>
    <row r="13799">
      <c r="A13799">
        <f>TEST_DATA!A13799</f>
        <v/>
      </c>
      <c r="B13799">
        <f>TEST_DATA!B13799</f>
        <v/>
      </c>
      <c r="C13799">
        <f>TEST_DATA!C13799</f>
        <v/>
      </c>
      <c r="D13799">
        <f>TEST_DATA!D13799</f>
        <v/>
      </c>
      <c r="E13799">
        <f>TEST_DATA!E13799</f>
        <v/>
      </c>
    </row>
    <row r="13800">
      <c r="A13800">
        <f>TEST_DATA!A13800</f>
        <v/>
      </c>
      <c r="B13800">
        <f>TEST_DATA!B13800</f>
        <v/>
      </c>
      <c r="C13800">
        <f>TEST_DATA!C13800</f>
        <v/>
      </c>
      <c r="D13800">
        <f>TEST_DATA!D13800</f>
        <v/>
      </c>
      <c r="E13800">
        <f>TEST_DATA!E13800</f>
        <v/>
      </c>
    </row>
    <row r="13801">
      <c r="A13801">
        <f>TEST_DATA!A13801</f>
        <v/>
      </c>
      <c r="B13801">
        <f>TEST_DATA!B13801</f>
        <v/>
      </c>
      <c r="C13801">
        <f>TEST_DATA!C13801</f>
        <v/>
      </c>
      <c r="D13801">
        <f>TEST_DATA!D13801</f>
        <v/>
      </c>
      <c r="E13801">
        <f>TEST_DATA!E13801</f>
        <v/>
      </c>
    </row>
    <row r="13802">
      <c r="A13802">
        <f>TEST_DATA!A13802</f>
        <v/>
      </c>
      <c r="B13802">
        <f>TEST_DATA!B13802</f>
        <v/>
      </c>
      <c r="C13802">
        <f>TEST_DATA!C13802</f>
        <v/>
      </c>
      <c r="D13802">
        <f>TEST_DATA!D13802</f>
        <v/>
      </c>
      <c r="E13802">
        <f>TEST_DATA!E13802</f>
        <v/>
      </c>
    </row>
    <row r="13803">
      <c r="A13803">
        <f>TEST_DATA!A13803</f>
        <v/>
      </c>
      <c r="B13803">
        <f>TEST_DATA!B13803</f>
        <v/>
      </c>
      <c r="C13803">
        <f>TEST_DATA!C13803</f>
        <v/>
      </c>
      <c r="D13803">
        <f>TEST_DATA!D13803</f>
        <v/>
      </c>
      <c r="E13803">
        <f>TEST_DATA!E13803</f>
        <v/>
      </c>
    </row>
    <row r="13804">
      <c r="A13804">
        <f>TEST_DATA!A13804</f>
        <v/>
      </c>
      <c r="B13804">
        <f>TEST_DATA!B13804</f>
        <v/>
      </c>
      <c r="C13804">
        <f>TEST_DATA!C13804</f>
        <v/>
      </c>
      <c r="D13804">
        <f>TEST_DATA!D13804</f>
        <v/>
      </c>
      <c r="E13804">
        <f>TEST_DATA!E13804</f>
        <v/>
      </c>
    </row>
    <row r="13805">
      <c r="A13805">
        <f>TEST_DATA!A13805</f>
        <v/>
      </c>
      <c r="B13805">
        <f>TEST_DATA!B13805</f>
        <v/>
      </c>
      <c r="C13805">
        <f>TEST_DATA!C13805</f>
        <v/>
      </c>
      <c r="D13805">
        <f>TEST_DATA!D13805</f>
        <v/>
      </c>
      <c r="E13805">
        <f>TEST_DATA!E13805</f>
        <v/>
      </c>
    </row>
    <row r="13806">
      <c r="A13806">
        <f>TEST_DATA!A13806</f>
        <v/>
      </c>
      <c r="B13806">
        <f>TEST_DATA!B13806</f>
        <v/>
      </c>
      <c r="C13806">
        <f>TEST_DATA!C13806</f>
        <v/>
      </c>
      <c r="D13806">
        <f>TEST_DATA!D13806</f>
        <v/>
      </c>
      <c r="E13806">
        <f>TEST_DATA!E13806</f>
        <v/>
      </c>
    </row>
    <row r="13807">
      <c r="A13807">
        <f>TEST_DATA!A13807</f>
        <v/>
      </c>
      <c r="B13807">
        <f>TEST_DATA!B13807</f>
        <v/>
      </c>
      <c r="C13807">
        <f>TEST_DATA!C13807</f>
        <v/>
      </c>
      <c r="D13807">
        <f>TEST_DATA!D13807</f>
        <v/>
      </c>
      <c r="E13807">
        <f>TEST_DATA!E13807</f>
        <v/>
      </c>
    </row>
    <row r="13808">
      <c r="A13808">
        <f>TEST_DATA!A13808</f>
        <v/>
      </c>
      <c r="B13808">
        <f>TEST_DATA!B13808</f>
        <v/>
      </c>
      <c r="C13808">
        <f>TEST_DATA!C13808</f>
        <v/>
      </c>
      <c r="D13808">
        <f>TEST_DATA!D13808</f>
        <v/>
      </c>
      <c r="E13808">
        <f>TEST_DATA!E13808</f>
        <v/>
      </c>
    </row>
    <row r="13809">
      <c r="A13809">
        <f>TEST_DATA!A13809</f>
        <v/>
      </c>
      <c r="B13809">
        <f>TEST_DATA!B13809</f>
        <v/>
      </c>
      <c r="C13809">
        <f>TEST_DATA!C13809</f>
        <v/>
      </c>
      <c r="D13809">
        <f>TEST_DATA!D13809</f>
        <v/>
      </c>
      <c r="E13809">
        <f>TEST_DATA!E13809</f>
        <v/>
      </c>
    </row>
    <row r="13810">
      <c r="A13810">
        <f>TEST_DATA!A13810</f>
        <v/>
      </c>
      <c r="B13810">
        <f>TEST_DATA!B13810</f>
        <v/>
      </c>
      <c r="C13810">
        <f>TEST_DATA!C13810</f>
        <v/>
      </c>
      <c r="D13810">
        <f>TEST_DATA!D13810</f>
        <v/>
      </c>
      <c r="E13810">
        <f>TEST_DATA!E13810</f>
        <v/>
      </c>
    </row>
    <row r="13811">
      <c r="A13811">
        <f>TEST_DATA!A13811</f>
        <v/>
      </c>
      <c r="B13811">
        <f>TEST_DATA!B13811</f>
        <v/>
      </c>
      <c r="C13811">
        <f>TEST_DATA!C13811</f>
        <v/>
      </c>
      <c r="D13811">
        <f>TEST_DATA!D13811</f>
        <v/>
      </c>
      <c r="E13811">
        <f>TEST_DATA!E13811</f>
        <v/>
      </c>
    </row>
    <row r="13812">
      <c r="A13812">
        <f>TEST_DATA!A13812</f>
        <v/>
      </c>
      <c r="B13812">
        <f>TEST_DATA!B13812</f>
        <v/>
      </c>
      <c r="C13812">
        <f>TEST_DATA!C13812</f>
        <v/>
      </c>
      <c r="D13812">
        <f>TEST_DATA!D13812</f>
        <v/>
      </c>
      <c r="E13812">
        <f>TEST_DATA!E13812</f>
        <v/>
      </c>
    </row>
    <row r="13813">
      <c r="A13813">
        <f>TEST_DATA!A13813</f>
        <v/>
      </c>
      <c r="B13813">
        <f>TEST_DATA!B13813</f>
        <v/>
      </c>
      <c r="C13813">
        <f>TEST_DATA!C13813</f>
        <v/>
      </c>
      <c r="D13813">
        <f>TEST_DATA!D13813</f>
        <v/>
      </c>
      <c r="E13813">
        <f>TEST_DATA!E13813</f>
        <v/>
      </c>
    </row>
    <row r="13814">
      <c r="A13814">
        <f>TEST_DATA!A13814</f>
        <v/>
      </c>
      <c r="B13814">
        <f>TEST_DATA!B13814</f>
        <v/>
      </c>
      <c r="C13814">
        <f>TEST_DATA!C13814</f>
        <v/>
      </c>
      <c r="D13814">
        <f>TEST_DATA!D13814</f>
        <v/>
      </c>
      <c r="E13814">
        <f>TEST_DATA!E13814</f>
        <v/>
      </c>
    </row>
    <row r="13815">
      <c r="A13815">
        <f>TEST_DATA!A13815</f>
        <v/>
      </c>
      <c r="B13815">
        <f>TEST_DATA!B13815</f>
        <v/>
      </c>
      <c r="C13815">
        <f>TEST_DATA!C13815</f>
        <v/>
      </c>
      <c r="D13815">
        <f>TEST_DATA!D13815</f>
        <v/>
      </c>
      <c r="E13815">
        <f>TEST_DATA!E13815</f>
        <v/>
      </c>
    </row>
    <row r="13816">
      <c r="A13816">
        <f>TEST_DATA!A13816</f>
        <v/>
      </c>
      <c r="B13816">
        <f>TEST_DATA!B13816</f>
        <v/>
      </c>
      <c r="C13816">
        <f>TEST_DATA!C13816</f>
        <v/>
      </c>
      <c r="D13816">
        <f>TEST_DATA!D13816</f>
        <v/>
      </c>
      <c r="E13816">
        <f>TEST_DATA!E13816</f>
        <v/>
      </c>
    </row>
    <row r="13817">
      <c r="A13817">
        <f>TEST_DATA!A13817</f>
        <v/>
      </c>
      <c r="B13817">
        <f>TEST_DATA!B13817</f>
        <v/>
      </c>
      <c r="C13817">
        <f>TEST_DATA!C13817</f>
        <v/>
      </c>
      <c r="D13817">
        <f>TEST_DATA!D13817</f>
        <v/>
      </c>
      <c r="E13817">
        <f>TEST_DATA!E13817</f>
        <v/>
      </c>
    </row>
    <row r="13818">
      <c r="A13818">
        <f>TEST_DATA!A13818</f>
        <v/>
      </c>
      <c r="B13818">
        <f>TEST_DATA!B13818</f>
        <v/>
      </c>
      <c r="C13818">
        <f>TEST_DATA!C13818</f>
        <v/>
      </c>
      <c r="D13818">
        <f>TEST_DATA!D13818</f>
        <v/>
      </c>
      <c r="E13818">
        <f>TEST_DATA!E13818</f>
        <v/>
      </c>
    </row>
    <row r="13819">
      <c r="A13819">
        <f>TEST_DATA!A13819</f>
        <v/>
      </c>
      <c r="B13819">
        <f>TEST_DATA!B13819</f>
        <v/>
      </c>
      <c r="C13819">
        <f>TEST_DATA!C13819</f>
        <v/>
      </c>
      <c r="D13819">
        <f>TEST_DATA!D13819</f>
        <v/>
      </c>
      <c r="E13819">
        <f>TEST_DATA!E13819</f>
        <v/>
      </c>
    </row>
    <row r="13820">
      <c r="A13820">
        <f>TEST_DATA!A13820</f>
        <v/>
      </c>
      <c r="B13820">
        <f>TEST_DATA!B13820</f>
        <v/>
      </c>
      <c r="C13820">
        <f>TEST_DATA!C13820</f>
        <v/>
      </c>
      <c r="D13820">
        <f>TEST_DATA!D13820</f>
        <v/>
      </c>
      <c r="E13820">
        <f>TEST_DATA!E13820</f>
        <v/>
      </c>
    </row>
    <row r="13821">
      <c r="A13821">
        <f>TEST_DATA!A13821</f>
        <v/>
      </c>
      <c r="B13821">
        <f>TEST_DATA!B13821</f>
        <v/>
      </c>
      <c r="C13821">
        <f>TEST_DATA!C13821</f>
        <v/>
      </c>
      <c r="D13821">
        <f>TEST_DATA!D13821</f>
        <v/>
      </c>
      <c r="E13821">
        <f>TEST_DATA!E13821</f>
        <v/>
      </c>
    </row>
    <row r="13822">
      <c r="A13822">
        <f>TEST_DATA!A13822</f>
        <v/>
      </c>
      <c r="B13822">
        <f>TEST_DATA!B13822</f>
        <v/>
      </c>
      <c r="C13822">
        <f>TEST_DATA!C13822</f>
        <v/>
      </c>
      <c r="D13822">
        <f>TEST_DATA!D13822</f>
        <v/>
      </c>
      <c r="E13822">
        <f>TEST_DATA!E13822</f>
        <v/>
      </c>
    </row>
    <row r="13823">
      <c r="A13823">
        <f>TEST_DATA!A13823</f>
        <v/>
      </c>
      <c r="B13823">
        <f>TEST_DATA!B13823</f>
        <v/>
      </c>
      <c r="C13823">
        <f>TEST_DATA!C13823</f>
        <v/>
      </c>
      <c r="D13823">
        <f>TEST_DATA!D13823</f>
        <v/>
      </c>
      <c r="E13823">
        <f>TEST_DATA!E13823</f>
        <v/>
      </c>
    </row>
    <row r="13824">
      <c r="A13824">
        <f>TEST_DATA!A13824</f>
        <v/>
      </c>
      <c r="B13824">
        <f>TEST_DATA!B13824</f>
        <v/>
      </c>
      <c r="C13824">
        <f>TEST_DATA!C13824</f>
        <v/>
      </c>
      <c r="D13824">
        <f>TEST_DATA!D13824</f>
        <v/>
      </c>
      <c r="E13824">
        <f>TEST_DATA!E13824</f>
        <v/>
      </c>
    </row>
    <row r="13825">
      <c r="A13825">
        <f>TEST_DATA!A13825</f>
        <v/>
      </c>
      <c r="B13825">
        <f>TEST_DATA!B13825</f>
        <v/>
      </c>
      <c r="C13825">
        <f>TEST_DATA!C13825</f>
        <v/>
      </c>
      <c r="D13825">
        <f>TEST_DATA!D13825</f>
        <v/>
      </c>
      <c r="E13825">
        <f>TEST_DATA!E13825</f>
        <v/>
      </c>
    </row>
    <row r="13826">
      <c r="A13826">
        <f>TEST_DATA!A13826</f>
        <v/>
      </c>
      <c r="B13826">
        <f>TEST_DATA!B13826</f>
        <v/>
      </c>
      <c r="C13826">
        <f>TEST_DATA!C13826</f>
        <v/>
      </c>
      <c r="D13826">
        <f>TEST_DATA!D13826</f>
        <v/>
      </c>
      <c r="E13826">
        <f>TEST_DATA!E13826</f>
        <v/>
      </c>
    </row>
    <row r="13827">
      <c r="A13827">
        <f>TEST_DATA!A13827</f>
        <v/>
      </c>
      <c r="B13827">
        <f>TEST_DATA!B13827</f>
        <v/>
      </c>
      <c r="C13827">
        <f>TEST_DATA!C13827</f>
        <v/>
      </c>
      <c r="D13827">
        <f>TEST_DATA!D13827</f>
        <v/>
      </c>
      <c r="E13827">
        <f>TEST_DATA!E13827</f>
        <v/>
      </c>
    </row>
    <row r="13828">
      <c r="A13828">
        <f>TEST_DATA!A13828</f>
        <v/>
      </c>
      <c r="B13828">
        <f>TEST_DATA!B13828</f>
        <v/>
      </c>
      <c r="C13828">
        <f>TEST_DATA!C13828</f>
        <v/>
      </c>
      <c r="D13828">
        <f>TEST_DATA!D13828</f>
        <v/>
      </c>
      <c r="E13828">
        <f>TEST_DATA!E13828</f>
        <v/>
      </c>
    </row>
    <row r="13829">
      <c r="A13829">
        <f>TEST_DATA!A13829</f>
        <v/>
      </c>
      <c r="B13829">
        <f>TEST_DATA!B13829</f>
        <v/>
      </c>
      <c r="C13829">
        <f>TEST_DATA!C13829</f>
        <v/>
      </c>
      <c r="D13829">
        <f>TEST_DATA!D13829</f>
        <v/>
      </c>
      <c r="E13829">
        <f>TEST_DATA!E13829</f>
        <v/>
      </c>
    </row>
    <row r="13830">
      <c r="A13830">
        <f>TEST_DATA!A13830</f>
        <v/>
      </c>
      <c r="B13830">
        <f>TEST_DATA!B13830</f>
        <v/>
      </c>
      <c r="C13830">
        <f>TEST_DATA!C13830</f>
        <v/>
      </c>
      <c r="D13830">
        <f>TEST_DATA!D13830</f>
        <v/>
      </c>
      <c r="E13830">
        <f>TEST_DATA!E13830</f>
        <v/>
      </c>
    </row>
    <row r="13831">
      <c r="A13831">
        <f>TEST_DATA!A13831</f>
        <v/>
      </c>
      <c r="B13831">
        <f>TEST_DATA!B13831</f>
        <v/>
      </c>
      <c r="C13831">
        <f>TEST_DATA!C13831</f>
        <v/>
      </c>
      <c r="D13831">
        <f>TEST_DATA!D13831</f>
        <v/>
      </c>
      <c r="E13831">
        <f>TEST_DATA!E13831</f>
        <v/>
      </c>
    </row>
    <row r="13832">
      <c r="A13832">
        <f>TEST_DATA!A13832</f>
        <v/>
      </c>
      <c r="B13832">
        <f>TEST_DATA!B13832</f>
        <v/>
      </c>
      <c r="C13832">
        <f>TEST_DATA!C13832</f>
        <v/>
      </c>
      <c r="D13832">
        <f>TEST_DATA!D13832</f>
        <v/>
      </c>
      <c r="E13832">
        <f>TEST_DATA!E13832</f>
        <v/>
      </c>
    </row>
    <row r="13833">
      <c r="A13833">
        <f>TEST_DATA!A13833</f>
        <v/>
      </c>
      <c r="B13833">
        <f>TEST_DATA!B13833</f>
        <v/>
      </c>
      <c r="C13833">
        <f>TEST_DATA!C13833</f>
        <v/>
      </c>
      <c r="D13833">
        <f>TEST_DATA!D13833</f>
        <v/>
      </c>
      <c r="E13833">
        <f>TEST_DATA!E13833</f>
        <v/>
      </c>
    </row>
    <row r="13834">
      <c r="A13834">
        <f>TEST_DATA!A13834</f>
        <v/>
      </c>
      <c r="B13834">
        <f>TEST_DATA!B13834</f>
        <v/>
      </c>
      <c r="C13834">
        <f>TEST_DATA!C13834</f>
        <v/>
      </c>
      <c r="D13834">
        <f>TEST_DATA!D13834</f>
        <v/>
      </c>
      <c r="E13834">
        <f>TEST_DATA!E13834</f>
        <v/>
      </c>
    </row>
    <row r="13835">
      <c r="A13835">
        <f>TEST_DATA!A13835</f>
        <v/>
      </c>
      <c r="B13835">
        <f>TEST_DATA!B13835</f>
        <v/>
      </c>
      <c r="C13835">
        <f>TEST_DATA!C13835</f>
        <v/>
      </c>
      <c r="D13835">
        <f>TEST_DATA!D13835</f>
        <v/>
      </c>
      <c r="E13835">
        <f>TEST_DATA!E13835</f>
        <v/>
      </c>
    </row>
    <row r="13836">
      <c r="A13836">
        <f>TEST_DATA!A13836</f>
        <v/>
      </c>
      <c r="B13836">
        <f>TEST_DATA!B13836</f>
        <v/>
      </c>
      <c r="C13836">
        <f>TEST_DATA!C13836</f>
        <v/>
      </c>
      <c r="D13836">
        <f>TEST_DATA!D13836</f>
        <v/>
      </c>
      <c r="E13836">
        <f>TEST_DATA!E13836</f>
        <v/>
      </c>
    </row>
    <row r="13837">
      <c r="A13837">
        <f>TEST_DATA!A13837</f>
        <v/>
      </c>
      <c r="B13837">
        <f>TEST_DATA!B13837</f>
        <v/>
      </c>
      <c r="C13837">
        <f>TEST_DATA!C13837</f>
        <v/>
      </c>
      <c r="D13837">
        <f>TEST_DATA!D13837</f>
        <v/>
      </c>
      <c r="E13837">
        <f>TEST_DATA!E13837</f>
        <v/>
      </c>
    </row>
    <row r="13838">
      <c r="A13838">
        <f>TEST_DATA!A13838</f>
        <v/>
      </c>
      <c r="B13838">
        <f>TEST_DATA!B13838</f>
        <v/>
      </c>
      <c r="C13838">
        <f>TEST_DATA!C13838</f>
        <v/>
      </c>
      <c r="D13838">
        <f>TEST_DATA!D13838</f>
        <v/>
      </c>
      <c r="E13838">
        <f>TEST_DATA!E13838</f>
        <v/>
      </c>
    </row>
    <row r="13839">
      <c r="A13839">
        <f>TEST_DATA!A13839</f>
        <v/>
      </c>
      <c r="B13839">
        <f>TEST_DATA!B13839</f>
        <v/>
      </c>
      <c r="C13839">
        <f>TEST_DATA!C13839</f>
        <v/>
      </c>
      <c r="D13839">
        <f>TEST_DATA!D13839</f>
        <v/>
      </c>
      <c r="E13839">
        <f>TEST_DATA!E13839</f>
        <v/>
      </c>
    </row>
    <row r="13840">
      <c r="A13840">
        <f>TEST_DATA!A13840</f>
        <v/>
      </c>
      <c r="B13840">
        <f>TEST_DATA!B13840</f>
        <v/>
      </c>
      <c r="C13840">
        <f>TEST_DATA!C13840</f>
        <v/>
      </c>
      <c r="D13840">
        <f>TEST_DATA!D13840</f>
        <v/>
      </c>
      <c r="E13840">
        <f>TEST_DATA!E13840</f>
        <v/>
      </c>
    </row>
    <row r="13841">
      <c r="A13841">
        <f>TEST_DATA!A13841</f>
        <v/>
      </c>
      <c r="B13841">
        <f>TEST_DATA!B13841</f>
        <v/>
      </c>
      <c r="C13841">
        <f>TEST_DATA!C13841</f>
        <v/>
      </c>
      <c r="D13841">
        <f>TEST_DATA!D13841</f>
        <v/>
      </c>
      <c r="E13841">
        <f>TEST_DATA!E13841</f>
        <v/>
      </c>
    </row>
    <row r="13842">
      <c r="A13842">
        <f>TEST_DATA!A13842</f>
        <v/>
      </c>
      <c r="B13842">
        <f>TEST_DATA!B13842</f>
        <v/>
      </c>
      <c r="C13842">
        <f>TEST_DATA!C13842</f>
        <v/>
      </c>
      <c r="D13842">
        <f>TEST_DATA!D13842</f>
        <v/>
      </c>
      <c r="E13842">
        <f>TEST_DATA!E13842</f>
        <v/>
      </c>
    </row>
    <row r="13843">
      <c r="A13843">
        <f>TEST_DATA!A13843</f>
        <v/>
      </c>
      <c r="B13843">
        <f>TEST_DATA!B13843</f>
        <v/>
      </c>
      <c r="C13843">
        <f>TEST_DATA!C13843</f>
        <v/>
      </c>
      <c r="D13843">
        <f>TEST_DATA!D13843</f>
        <v/>
      </c>
      <c r="E13843">
        <f>TEST_DATA!E13843</f>
        <v/>
      </c>
    </row>
    <row r="13844">
      <c r="A13844">
        <f>TEST_DATA!A13844</f>
        <v/>
      </c>
      <c r="B13844">
        <f>TEST_DATA!B13844</f>
        <v/>
      </c>
      <c r="C13844">
        <f>TEST_DATA!C13844</f>
        <v/>
      </c>
      <c r="D13844">
        <f>TEST_DATA!D13844</f>
        <v/>
      </c>
      <c r="E13844">
        <f>TEST_DATA!E13844</f>
        <v/>
      </c>
    </row>
    <row r="13845">
      <c r="A13845">
        <f>TEST_DATA!A13845</f>
        <v/>
      </c>
      <c r="B13845">
        <f>TEST_DATA!B13845</f>
        <v/>
      </c>
      <c r="C13845">
        <f>TEST_DATA!C13845</f>
        <v/>
      </c>
      <c r="D13845">
        <f>TEST_DATA!D13845</f>
        <v/>
      </c>
      <c r="E13845">
        <f>TEST_DATA!E13845</f>
        <v/>
      </c>
    </row>
    <row r="13846">
      <c r="A13846">
        <f>TEST_DATA!A13846</f>
        <v/>
      </c>
      <c r="B13846">
        <f>TEST_DATA!B13846</f>
        <v/>
      </c>
      <c r="C13846">
        <f>TEST_DATA!C13846</f>
        <v/>
      </c>
      <c r="D13846">
        <f>TEST_DATA!D13846</f>
        <v/>
      </c>
      <c r="E13846">
        <f>TEST_DATA!E13846</f>
        <v/>
      </c>
    </row>
    <row r="13847">
      <c r="A13847">
        <f>TEST_DATA!A13847</f>
        <v/>
      </c>
      <c r="B13847">
        <f>TEST_DATA!B13847</f>
        <v/>
      </c>
      <c r="C13847">
        <f>TEST_DATA!C13847</f>
        <v/>
      </c>
      <c r="D13847">
        <f>TEST_DATA!D13847</f>
        <v/>
      </c>
      <c r="E13847">
        <f>TEST_DATA!E13847</f>
        <v/>
      </c>
    </row>
    <row r="13848">
      <c r="A13848">
        <f>TEST_DATA!A13848</f>
        <v/>
      </c>
      <c r="B13848">
        <f>TEST_DATA!B13848</f>
        <v/>
      </c>
      <c r="C13848">
        <f>TEST_DATA!C13848</f>
        <v/>
      </c>
      <c r="D13848">
        <f>TEST_DATA!D13848</f>
        <v/>
      </c>
      <c r="E13848">
        <f>TEST_DATA!E13848</f>
        <v/>
      </c>
    </row>
    <row r="13849">
      <c r="A13849">
        <f>TEST_DATA!A13849</f>
        <v/>
      </c>
      <c r="B13849">
        <f>TEST_DATA!B13849</f>
        <v/>
      </c>
      <c r="C13849">
        <f>TEST_DATA!C13849</f>
        <v/>
      </c>
      <c r="D13849">
        <f>TEST_DATA!D13849</f>
        <v/>
      </c>
      <c r="E13849">
        <f>TEST_DATA!E13849</f>
        <v/>
      </c>
    </row>
    <row r="13850">
      <c r="A13850">
        <f>TEST_DATA!A13850</f>
        <v/>
      </c>
      <c r="B13850">
        <f>TEST_DATA!B13850</f>
        <v/>
      </c>
      <c r="C13850">
        <f>TEST_DATA!C13850</f>
        <v/>
      </c>
      <c r="D13850">
        <f>TEST_DATA!D13850</f>
        <v/>
      </c>
      <c r="E13850">
        <f>TEST_DATA!E13850</f>
        <v/>
      </c>
    </row>
    <row r="13851">
      <c r="A13851">
        <f>TEST_DATA!A13851</f>
        <v/>
      </c>
      <c r="B13851">
        <f>TEST_DATA!B13851</f>
        <v/>
      </c>
      <c r="C13851">
        <f>TEST_DATA!C13851</f>
        <v/>
      </c>
      <c r="D13851">
        <f>TEST_DATA!D13851</f>
        <v/>
      </c>
      <c r="E13851">
        <f>TEST_DATA!E13851</f>
        <v/>
      </c>
    </row>
    <row r="13852">
      <c r="A13852">
        <f>TEST_DATA!A13852</f>
        <v/>
      </c>
      <c r="B13852">
        <f>TEST_DATA!B13852</f>
        <v/>
      </c>
      <c r="C13852">
        <f>TEST_DATA!C13852</f>
        <v/>
      </c>
      <c r="D13852">
        <f>TEST_DATA!D13852</f>
        <v/>
      </c>
      <c r="E13852">
        <f>TEST_DATA!E13852</f>
        <v/>
      </c>
    </row>
    <row r="13853">
      <c r="A13853">
        <f>TEST_DATA!A13853</f>
        <v/>
      </c>
      <c r="B13853">
        <f>TEST_DATA!B13853</f>
        <v/>
      </c>
      <c r="C13853">
        <f>TEST_DATA!C13853</f>
        <v/>
      </c>
      <c r="D13853">
        <f>TEST_DATA!D13853</f>
        <v/>
      </c>
      <c r="E13853">
        <f>TEST_DATA!E13853</f>
        <v/>
      </c>
    </row>
    <row r="13854">
      <c r="A13854">
        <f>TEST_DATA!A13854</f>
        <v/>
      </c>
      <c r="B13854">
        <f>TEST_DATA!B13854</f>
        <v/>
      </c>
      <c r="C13854">
        <f>TEST_DATA!C13854</f>
        <v/>
      </c>
      <c r="D13854">
        <f>TEST_DATA!D13854</f>
        <v/>
      </c>
      <c r="E13854">
        <f>TEST_DATA!E13854</f>
        <v/>
      </c>
    </row>
    <row r="13855">
      <c r="A13855">
        <f>TEST_DATA!A13855</f>
        <v/>
      </c>
      <c r="B13855">
        <f>TEST_DATA!B13855</f>
        <v/>
      </c>
      <c r="C13855">
        <f>TEST_DATA!C13855</f>
        <v/>
      </c>
      <c r="D13855">
        <f>TEST_DATA!D13855</f>
        <v/>
      </c>
      <c r="E13855">
        <f>TEST_DATA!E13855</f>
        <v/>
      </c>
    </row>
    <row r="13856">
      <c r="A13856">
        <f>TEST_DATA!A13856</f>
        <v/>
      </c>
      <c r="B13856">
        <f>TEST_DATA!B13856</f>
        <v/>
      </c>
      <c r="C13856">
        <f>TEST_DATA!C13856</f>
        <v/>
      </c>
      <c r="D13856">
        <f>TEST_DATA!D13856</f>
        <v/>
      </c>
      <c r="E13856">
        <f>TEST_DATA!E13856</f>
        <v/>
      </c>
    </row>
    <row r="13857">
      <c r="A13857">
        <f>TEST_DATA!A13857</f>
        <v/>
      </c>
      <c r="B13857">
        <f>TEST_DATA!B13857</f>
        <v/>
      </c>
      <c r="C13857">
        <f>TEST_DATA!C13857</f>
        <v/>
      </c>
      <c r="D13857">
        <f>TEST_DATA!D13857</f>
        <v/>
      </c>
      <c r="E13857">
        <f>TEST_DATA!E13857</f>
        <v/>
      </c>
    </row>
    <row r="13858">
      <c r="A13858">
        <f>TEST_DATA!A13858</f>
        <v/>
      </c>
      <c r="B13858">
        <f>TEST_DATA!B13858</f>
        <v/>
      </c>
      <c r="C13858">
        <f>TEST_DATA!C13858</f>
        <v/>
      </c>
      <c r="D13858">
        <f>TEST_DATA!D13858</f>
        <v/>
      </c>
      <c r="E13858">
        <f>TEST_DATA!E13858</f>
        <v/>
      </c>
    </row>
    <row r="13859">
      <c r="A13859">
        <f>TEST_DATA!A13859</f>
        <v/>
      </c>
      <c r="B13859">
        <f>TEST_DATA!B13859</f>
        <v/>
      </c>
      <c r="C13859">
        <f>TEST_DATA!C13859</f>
        <v/>
      </c>
      <c r="D13859">
        <f>TEST_DATA!D13859</f>
        <v/>
      </c>
      <c r="E13859">
        <f>TEST_DATA!E13859</f>
        <v/>
      </c>
    </row>
    <row r="13860">
      <c r="A13860">
        <f>TEST_DATA!A13860</f>
        <v/>
      </c>
      <c r="B13860">
        <f>TEST_DATA!B13860</f>
        <v/>
      </c>
      <c r="C13860">
        <f>TEST_DATA!C13860</f>
        <v/>
      </c>
      <c r="D13860">
        <f>TEST_DATA!D13860</f>
        <v/>
      </c>
      <c r="E13860">
        <f>TEST_DATA!E13860</f>
        <v/>
      </c>
    </row>
    <row r="13861">
      <c r="A13861">
        <f>TEST_DATA!A13861</f>
        <v/>
      </c>
      <c r="B13861">
        <f>TEST_DATA!B13861</f>
        <v/>
      </c>
      <c r="C13861">
        <f>TEST_DATA!C13861</f>
        <v/>
      </c>
      <c r="D13861">
        <f>TEST_DATA!D13861</f>
        <v/>
      </c>
      <c r="E13861">
        <f>TEST_DATA!E13861</f>
        <v/>
      </c>
    </row>
    <row r="13862">
      <c r="A13862">
        <f>TEST_DATA!A13862</f>
        <v/>
      </c>
      <c r="B13862">
        <f>TEST_DATA!B13862</f>
        <v/>
      </c>
      <c r="C13862">
        <f>TEST_DATA!C13862</f>
        <v/>
      </c>
      <c r="D13862">
        <f>TEST_DATA!D13862</f>
        <v/>
      </c>
      <c r="E13862">
        <f>TEST_DATA!E13862</f>
        <v/>
      </c>
    </row>
    <row r="13863">
      <c r="A13863">
        <f>TEST_DATA!A13863</f>
        <v/>
      </c>
      <c r="B13863">
        <f>TEST_DATA!B13863</f>
        <v/>
      </c>
      <c r="C13863">
        <f>TEST_DATA!C13863</f>
        <v/>
      </c>
      <c r="D13863">
        <f>TEST_DATA!D13863</f>
        <v/>
      </c>
      <c r="E13863">
        <f>TEST_DATA!E13863</f>
        <v/>
      </c>
    </row>
    <row r="13864">
      <c r="A13864">
        <f>TEST_DATA!A13864</f>
        <v/>
      </c>
      <c r="B13864">
        <f>TEST_DATA!B13864</f>
        <v/>
      </c>
      <c r="C13864">
        <f>TEST_DATA!C13864</f>
        <v/>
      </c>
      <c r="D13864">
        <f>TEST_DATA!D13864</f>
        <v/>
      </c>
      <c r="E13864">
        <f>TEST_DATA!E13864</f>
        <v/>
      </c>
    </row>
    <row r="13865">
      <c r="A13865">
        <f>TEST_DATA!A13865</f>
        <v/>
      </c>
      <c r="B13865">
        <f>TEST_DATA!B13865</f>
        <v/>
      </c>
      <c r="C13865">
        <f>TEST_DATA!C13865</f>
        <v/>
      </c>
      <c r="D13865">
        <f>TEST_DATA!D13865</f>
        <v/>
      </c>
      <c r="E13865">
        <f>TEST_DATA!E13865</f>
        <v/>
      </c>
    </row>
    <row r="13866">
      <c r="A13866">
        <f>TEST_DATA!A13866</f>
        <v/>
      </c>
      <c r="B13866">
        <f>TEST_DATA!B13866</f>
        <v/>
      </c>
      <c r="C13866">
        <f>TEST_DATA!C13866</f>
        <v/>
      </c>
      <c r="D13866">
        <f>TEST_DATA!D13866</f>
        <v/>
      </c>
      <c r="E13866">
        <f>TEST_DATA!E13866</f>
        <v/>
      </c>
    </row>
    <row r="13867">
      <c r="A13867">
        <f>TEST_DATA!A13867</f>
        <v/>
      </c>
      <c r="B13867">
        <f>TEST_DATA!B13867</f>
        <v/>
      </c>
      <c r="C13867">
        <f>TEST_DATA!C13867</f>
        <v/>
      </c>
      <c r="D13867">
        <f>TEST_DATA!D13867</f>
        <v/>
      </c>
      <c r="E13867">
        <f>TEST_DATA!E13867</f>
        <v/>
      </c>
    </row>
    <row r="13868">
      <c r="A13868">
        <f>TEST_DATA!A13868</f>
        <v/>
      </c>
      <c r="B13868">
        <f>TEST_DATA!B13868</f>
        <v/>
      </c>
      <c r="C13868">
        <f>TEST_DATA!C13868</f>
        <v/>
      </c>
      <c r="D13868">
        <f>TEST_DATA!D13868</f>
        <v/>
      </c>
      <c r="E13868">
        <f>TEST_DATA!E13868</f>
        <v/>
      </c>
    </row>
    <row r="13869">
      <c r="A13869">
        <f>TEST_DATA!A13869</f>
        <v/>
      </c>
      <c r="B13869">
        <f>TEST_DATA!B13869</f>
        <v/>
      </c>
      <c r="C13869">
        <f>TEST_DATA!C13869</f>
        <v/>
      </c>
      <c r="D13869">
        <f>TEST_DATA!D13869</f>
        <v/>
      </c>
      <c r="E13869">
        <f>TEST_DATA!E13869</f>
        <v/>
      </c>
    </row>
    <row r="13870">
      <c r="A13870">
        <f>TEST_DATA!A13870</f>
        <v/>
      </c>
      <c r="B13870">
        <f>TEST_DATA!B13870</f>
        <v/>
      </c>
      <c r="C13870">
        <f>TEST_DATA!C13870</f>
        <v/>
      </c>
      <c r="D13870">
        <f>TEST_DATA!D13870</f>
        <v/>
      </c>
      <c r="E13870">
        <f>TEST_DATA!E13870</f>
        <v/>
      </c>
    </row>
    <row r="13871">
      <c r="A13871">
        <f>TEST_DATA!A13871</f>
        <v/>
      </c>
      <c r="B13871">
        <f>TEST_DATA!B13871</f>
        <v/>
      </c>
      <c r="C13871">
        <f>TEST_DATA!C13871</f>
        <v/>
      </c>
      <c r="D13871">
        <f>TEST_DATA!D13871</f>
        <v/>
      </c>
      <c r="E13871">
        <f>TEST_DATA!E13871</f>
        <v/>
      </c>
    </row>
    <row r="13872">
      <c r="A13872">
        <f>TEST_DATA!A13872</f>
        <v/>
      </c>
      <c r="B13872">
        <f>TEST_DATA!B13872</f>
        <v/>
      </c>
      <c r="C13872">
        <f>TEST_DATA!C13872</f>
        <v/>
      </c>
      <c r="D13872">
        <f>TEST_DATA!D13872</f>
        <v/>
      </c>
      <c r="E13872">
        <f>TEST_DATA!E13872</f>
        <v/>
      </c>
    </row>
    <row r="13873">
      <c r="A13873">
        <f>TEST_DATA!A13873</f>
        <v/>
      </c>
      <c r="B13873">
        <f>TEST_DATA!B13873</f>
        <v/>
      </c>
      <c r="C13873">
        <f>TEST_DATA!C13873</f>
        <v/>
      </c>
      <c r="D13873">
        <f>TEST_DATA!D13873</f>
        <v/>
      </c>
      <c r="E13873">
        <f>TEST_DATA!E13873</f>
        <v/>
      </c>
    </row>
    <row r="13874">
      <c r="A13874">
        <f>TEST_DATA!A13874</f>
        <v/>
      </c>
      <c r="B13874">
        <f>TEST_DATA!B13874</f>
        <v/>
      </c>
      <c r="C13874">
        <f>TEST_DATA!C13874</f>
        <v/>
      </c>
      <c r="D13874">
        <f>TEST_DATA!D13874</f>
        <v/>
      </c>
      <c r="E13874">
        <f>TEST_DATA!E13874</f>
        <v/>
      </c>
    </row>
    <row r="13875">
      <c r="A13875">
        <f>TEST_DATA!A13875</f>
        <v/>
      </c>
      <c r="B13875">
        <f>TEST_DATA!B13875</f>
        <v/>
      </c>
      <c r="C13875">
        <f>TEST_DATA!C13875</f>
        <v/>
      </c>
      <c r="D13875">
        <f>TEST_DATA!D13875</f>
        <v/>
      </c>
      <c r="E13875">
        <f>TEST_DATA!E13875</f>
        <v/>
      </c>
    </row>
    <row r="13876">
      <c r="A13876">
        <f>TEST_DATA!A13876</f>
        <v/>
      </c>
      <c r="B13876">
        <f>TEST_DATA!B13876</f>
        <v/>
      </c>
      <c r="C13876">
        <f>TEST_DATA!C13876</f>
        <v/>
      </c>
      <c r="D13876">
        <f>TEST_DATA!D13876</f>
        <v/>
      </c>
      <c r="E13876">
        <f>TEST_DATA!E13876</f>
        <v/>
      </c>
    </row>
    <row r="13877">
      <c r="A13877">
        <f>TEST_DATA!A13877</f>
        <v/>
      </c>
      <c r="B13877">
        <f>TEST_DATA!B13877</f>
        <v/>
      </c>
      <c r="C13877">
        <f>TEST_DATA!C13877</f>
        <v/>
      </c>
      <c r="D13877">
        <f>TEST_DATA!D13877</f>
        <v/>
      </c>
      <c r="E13877">
        <f>TEST_DATA!E13877</f>
        <v/>
      </c>
    </row>
    <row r="13878">
      <c r="A13878">
        <f>TEST_DATA!A13878</f>
        <v/>
      </c>
      <c r="B13878">
        <f>TEST_DATA!B13878</f>
        <v/>
      </c>
      <c r="C13878">
        <f>TEST_DATA!C13878</f>
        <v/>
      </c>
      <c r="D13878">
        <f>TEST_DATA!D13878</f>
        <v/>
      </c>
      <c r="E13878">
        <f>TEST_DATA!E13878</f>
        <v/>
      </c>
    </row>
    <row r="13879">
      <c r="A13879">
        <f>TEST_DATA!A13879</f>
        <v/>
      </c>
      <c r="B13879">
        <f>TEST_DATA!B13879</f>
        <v/>
      </c>
      <c r="C13879">
        <f>TEST_DATA!C13879</f>
        <v/>
      </c>
      <c r="D13879">
        <f>TEST_DATA!D13879</f>
        <v/>
      </c>
      <c r="E13879">
        <f>TEST_DATA!E13879</f>
        <v/>
      </c>
    </row>
    <row r="13880">
      <c r="A13880">
        <f>TEST_DATA!A13880</f>
        <v/>
      </c>
      <c r="B13880">
        <f>TEST_DATA!B13880</f>
        <v/>
      </c>
      <c r="C13880">
        <f>TEST_DATA!C13880</f>
        <v/>
      </c>
      <c r="D13880">
        <f>TEST_DATA!D13880</f>
        <v/>
      </c>
      <c r="E13880">
        <f>TEST_DATA!E13880</f>
        <v/>
      </c>
    </row>
    <row r="13881">
      <c r="A13881">
        <f>TEST_DATA!A13881</f>
        <v/>
      </c>
      <c r="B13881">
        <f>TEST_DATA!B13881</f>
        <v/>
      </c>
      <c r="C13881">
        <f>TEST_DATA!C13881</f>
        <v/>
      </c>
      <c r="D13881">
        <f>TEST_DATA!D13881</f>
        <v/>
      </c>
      <c r="E13881">
        <f>TEST_DATA!E13881</f>
        <v/>
      </c>
    </row>
    <row r="13882">
      <c r="A13882">
        <f>TEST_DATA!A13882</f>
        <v/>
      </c>
      <c r="B13882">
        <f>TEST_DATA!B13882</f>
        <v/>
      </c>
      <c r="C13882">
        <f>TEST_DATA!C13882</f>
        <v/>
      </c>
      <c r="D13882">
        <f>TEST_DATA!D13882</f>
        <v/>
      </c>
      <c r="E13882">
        <f>TEST_DATA!E13882</f>
        <v/>
      </c>
    </row>
    <row r="13883">
      <c r="A13883">
        <f>TEST_DATA!A13883</f>
        <v/>
      </c>
      <c r="B13883">
        <f>TEST_DATA!B13883</f>
        <v/>
      </c>
      <c r="C13883">
        <f>TEST_DATA!C13883</f>
        <v/>
      </c>
      <c r="D13883">
        <f>TEST_DATA!D13883</f>
        <v/>
      </c>
      <c r="E13883">
        <f>TEST_DATA!E13883</f>
        <v/>
      </c>
    </row>
    <row r="13884">
      <c r="A13884">
        <f>TEST_DATA!A13884</f>
        <v/>
      </c>
      <c r="B13884">
        <f>TEST_DATA!B13884</f>
        <v/>
      </c>
      <c r="C13884">
        <f>TEST_DATA!C13884</f>
        <v/>
      </c>
      <c r="D13884">
        <f>TEST_DATA!D13884</f>
        <v/>
      </c>
      <c r="E13884">
        <f>TEST_DATA!E13884</f>
        <v/>
      </c>
    </row>
    <row r="13885">
      <c r="A13885">
        <f>TEST_DATA!A13885</f>
        <v/>
      </c>
      <c r="B13885">
        <f>TEST_DATA!B13885</f>
        <v/>
      </c>
      <c r="C13885">
        <f>TEST_DATA!C13885</f>
        <v/>
      </c>
      <c r="D13885">
        <f>TEST_DATA!D13885</f>
        <v/>
      </c>
      <c r="E13885">
        <f>TEST_DATA!E13885</f>
        <v/>
      </c>
    </row>
    <row r="13886">
      <c r="A13886">
        <f>TEST_DATA!A13886</f>
        <v/>
      </c>
      <c r="B13886">
        <f>TEST_DATA!B13886</f>
        <v/>
      </c>
      <c r="C13886">
        <f>TEST_DATA!C13886</f>
        <v/>
      </c>
      <c r="D13886">
        <f>TEST_DATA!D13886</f>
        <v/>
      </c>
      <c r="E13886">
        <f>TEST_DATA!E13886</f>
        <v/>
      </c>
    </row>
    <row r="13887">
      <c r="A13887">
        <f>TEST_DATA!A13887</f>
        <v/>
      </c>
      <c r="B13887">
        <f>TEST_DATA!B13887</f>
        <v/>
      </c>
      <c r="C13887">
        <f>TEST_DATA!C13887</f>
        <v/>
      </c>
      <c r="D13887">
        <f>TEST_DATA!D13887</f>
        <v/>
      </c>
      <c r="E13887">
        <f>TEST_DATA!E13887</f>
        <v/>
      </c>
    </row>
    <row r="13888">
      <c r="A13888">
        <f>TEST_DATA!A13888</f>
        <v/>
      </c>
      <c r="B13888">
        <f>TEST_DATA!B13888</f>
        <v/>
      </c>
      <c r="C13888">
        <f>TEST_DATA!C13888</f>
        <v/>
      </c>
      <c r="D13888">
        <f>TEST_DATA!D13888</f>
        <v/>
      </c>
      <c r="E13888">
        <f>TEST_DATA!E13888</f>
        <v/>
      </c>
    </row>
    <row r="13889">
      <c r="A13889">
        <f>TEST_DATA!A13889</f>
        <v/>
      </c>
      <c r="B13889">
        <f>TEST_DATA!B13889</f>
        <v/>
      </c>
      <c r="C13889">
        <f>TEST_DATA!C13889</f>
        <v/>
      </c>
      <c r="D13889">
        <f>TEST_DATA!D13889</f>
        <v/>
      </c>
      <c r="E13889">
        <f>TEST_DATA!E13889</f>
        <v/>
      </c>
    </row>
    <row r="13890">
      <c r="A13890">
        <f>TEST_DATA!A13890</f>
        <v/>
      </c>
      <c r="B13890">
        <f>TEST_DATA!B13890</f>
        <v/>
      </c>
      <c r="C13890">
        <f>TEST_DATA!C13890</f>
        <v/>
      </c>
      <c r="D13890">
        <f>TEST_DATA!D13890</f>
        <v/>
      </c>
      <c r="E13890">
        <f>TEST_DATA!E13890</f>
        <v/>
      </c>
    </row>
    <row r="13891">
      <c r="A13891">
        <f>TEST_DATA!A13891</f>
        <v/>
      </c>
      <c r="B13891">
        <f>TEST_DATA!B13891</f>
        <v/>
      </c>
      <c r="C13891">
        <f>TEST_DATA!C13891</f>
        <v/>
      </c>
      <c r="D13891">
        <f>TEST_DATA!D13891</f>
        <v/>
      </c>
      <c r="E13891">
        <f>TEST_DATA!E13891</f>
        <v/>
      </c>
    </row>
    <row r="13892">
      <c r="A13892">
        <f>TEST_DATA!A13892</f>
        <v/>
      </c>
      <c r="B13892">
        <f>TEST_DATA!B13892</f>
        <v/>
      </c>
      <c r="C13892">
        <f>TEST_DATA!C13892</f>
        <v/>
      </c>
      <c r="D13892">
        <f>TEST_DATA!D13892</f>
        <v/>
      </c>
      <c r="E13892">
        <f>TEST_DATA!E13892</f>
        <v/>
      </c>
    </row>
    <row r="13893">
      <c r="A13893">
        <f>TEST_DATA!A13893</f>
        <v/>
      </c>
      <c r="B13893">
        <f>TEST_DATA!B13893</f>
        <v/>
      </c>
      <c r="C13893">
        <f>TEST_DATA!C13893</f>
        <v/>
      </c>
      <c r="D13893">
        <f>TEST_DATA!D13893</f>
        <v/>
      </c>
      <c r="E13893">
        <f>TEST_DATA!E13893</f>
        <v/>
      </c>
    </row>
    <row r="13894">
      <c r="A13894">
        <f>TEST_DATA!A13894</f>
        <v/>
      </c>
      <c r="B13894">
        <f>TEST_DATA!B13894</f>
        <v/>
      </c>
      <c r="C13894">
        <f>TEST_DATA!C13894</f>
        <v/>
      </c>
      <c r="D13894">
        <f>TEST_DATA!D13894</f>
        <v/>
      </c>
      <c r="E13894">
        <f>TEST_DATA!E13894</f>
        <v/>
      </c>
    </row>
    <row r="13895">
      <c r="A13895">
        <f>TEST_DATA!A13895</f>
        <v/>
      </c>
      <c r="B13895">
        <f>TEST_DATA!B13895</f>
        <v/>
      </c>
      <c r="C13895">
        <f>TEST_DATA!C13895</f>
        <v/>
      </c>
      <c r="D13895">
        <f>TEST_DATA!D13895</f>
        <v/>
      </c>
      <c r="E13895">
        <f>TEST_DATA!E13895</f>
        <v/>
      </c>
    </row>
    <row r="13896">
      <c r="A13896">
        <f>TEST_DATA!A13896</f>
        <v/>
      </c>
      <c r="B13896">
        <f>TEST_DATA!B13896</f>
        <v/>
      </c>
      <c r="C13896">
        <f>TEST_DATA!C13896</f>
        <v/>
      </c>
      <c r="D13896">
        <f>TEST_DATA!D13896</f>
        <v/>
      </c>
      <c r="E13896">
        <f>TEST_DATA!E13896</f>
        <v/>
      </c>
    </row>
    <row r="13897">
      <c r="A13897">
        <f>TEST_DATA!A13897</f>
        <v/>
      </c>
      <c r="B13897">
        <f>TEST_DATA!B13897</f>
        <v/>
      </c>
      <c r="C13897">
        <f>TEST_DATA!C13897</f>
        <v/>
      </c>
      <c r="D13897">
        <f>TEST_DATA!D13897</f>
        <v/>
      </c>
      <c r="E13897">
        <f>TEST_DATA!E13897</f>
        <v/>
      </c>
    </row>
    <row r="13898">
      <c r="A13898">
        <f>TEST_DATA!A13898</f>
        <v/>
      </c>
      <c r="B13898">
        <f>TEST_DATA!B13898</f>
        <v/>
      </c>
      <c r="C13898">
        <f>TEST_DATA!C13898</f>
        <v/>
      </c>
      <c r="D13898">
        <f>TEST_DATA!D13898</f>
        <v/>
      </c>
      <c r="E13898">
        <f>TEST_DATA!E13898</f>
        <v/>
      </c>
    </row>
    <row r="13899">
      <c r="A13899">
        <f>TEST_DATA!A13899</f>
        <v/>
      </c>
      <c r="B13899">
        <f>TEST_DATA!B13899</f>
        <v/>
      </c>
      <c r="C13899">
        <f>TEST_DATA!C13899</f>
        <v/>
      </c>
      <c r="D13899">
        <f>TEST_DATA!D13899</f>
        <v/>
      </c>
      <c r="E13899">
        <f>TEST_DATA!E13899</f>
        <v/>
      </c>
    </row>
    <row r="13900">
      <c r="A13900">
        <f>TEST_DATA!A13900</f>
        <v/>
      </c>
      <c r="B13900">
        <f>TEST_DATA!B13900</f>
        <v/>
      </c>
      <c r="C13900">
        <f>TEST_DATA!C13900</f>
        <v/>
      </c>
      <c r="D13900">
        <f>TEST_DATA!D13900</f>
        <v/>
      </c>
      <c r="E13900">
        <f>TEST_DATA!E13900</f>
        <v/>
      </c>
    </row>
    <row r="13901">
      <c r="A13901">
        <f>TEST_DATA!A13901</f>
        <v/>
      </c>
      <c r="B13901">
        <f>TEST_DATA!B13901</f>
        <v/>
      </c>
      <c r="C13901">
        <f>TEST_DATA!C13901</f>
        <v/>
      </c>
      <c r="D13901">
        <f>TEST_DATA!D13901</f>
        <v/>
      </c>
      <c r="E13901">
        <f>TEST_DATA!E13901</f>
        <v/>
      </c>
    </row>
    <row r="13902">
      <c r="A13902">
        <f>TEST_DATA!A13902</f>
        <v/>
      </c>
      <c r="B13902">
        <f>TEST_DATA!B13902</f>
        <v/>
      </c>
      <c r="C13902">
        <f>TEST_DATA!C13902</f>
        <v/>
      </c>
      <c r="D13902">
        <f>TEST_DATA!D13902</f>
        <v/>
      </c>
      <c r="E13902">
        <f>TEST_DATA!E13902</f>
        <v/>
      </c>
    </row>
    <row r="13903">
      <c r="A13903">
        <f>TEST_DATA!A13903</f>
        <v/>
      </c>
      <c r="B13903">
        <f>TEST_DATA!B13903</f>
        <v/>
      </c>
      <c r="C13903">
        <f>TEST_DATA!C13903</f>
        <v/>
      </c>
      <c r="D13903">
        <f>TEST_DATA!D13903</f>
        <v/>
      </c>
      <c r="E13903">
        <f>TEST_DATA!E13903</f>
        <v/>
      </c>
    </row>
    <row r="13904">
      <c r="A13904">
        <f>TEST_DATA!A13904</f>
        <v/>
      </c>
      <c r="B13904">
        <f>TEST_DATA!B13904</f>
        <v/>
      </c>
      <c r="C13904">
        <f>TEST_DATA!C13904</f>
        <v/>
      </c>
      <c r="D13904">
        <f>TEST_DATA!D13904</f>
        <v/>
      </c>
      <c r="E13904">
        <f>TEST_DATA!E13904</f>
        <v/>
      </c>
    </row>
    <row r="13905">
      <c r="A13905">
        <f>TEST_DATA!A13905</f>
        <v/>
      </c>
      <c r="B13905">
        <f>TEST_DATA!B13905</f>
        <v/>
      </c>
      <c r="C13905">
        <f>TEST_DATA!C13905</f>
        <v/>
      </c>
      <c r="D13905">
        <f>TEST_DATA!D13905</f>
        <v/>
      </c>
      <c r="E13905">
        <f>TEST_DATA!E13905</f>
        <v/>
      </c>
    </row>
    <row r="13906">
      <c r="A13906">
        <f>TEST_DATA!A13906</f>
        <v/>
      </c>
      <c r="B13906">
        <f>TEST_DATA!B13906</f>
        <v/>
      </c>
      <c r="C13906">
        <f>TEST_DATA!C13906</f>
        <v/>
      </c>
      <c r="D13906">
        <f>TEST_DATA!D13906</f>
        <v/>
      </c>
      <c r="E13906">
        <f>TEST_DATA!E13906</f>
        <v/>
      </c>
    </row>
    <row r="13907">
      <c r="A13907">
        <f>TEST_DATA!A13907</f>
        <v/>
      </c>
      <c r="B13907">
        <f>TEST_DATA!B13907</f>
        <v/>
      </c>
      <c r="C13907">
        <f>TEST_DATA!C13907</f>
        <v/>
      </c>
      <c r="D13907">
        <f>TEST_DATA!D13907</f>
        <v/>
      </c>
      <c r="E13907">
        <f>TEST_DATA!E13907</f>
        <v/>
      </c>
    </row>
    <row r="13908">
      <c r="A13908">
        <f>TEST_DATA!A13908</f>
        <v/>
      </c>
      <c r="B13908">
        <f>TEST_DATA!B13908</f>
        <v/>
      </c>
      <c r="C13908">
        <f>TEST_DATA!C13908</f>
        <v/>
      </c>
      <c r="D13908">
        <f>TEST_DATA!D13908</f>
        <v/>
      </c>
      <c r="E13908">
        <f>TEST_DATA!E13908</f>
        <v/>
      </c>
    </row>
    <row r="13909">
      <c r="A13909">
        <f>TEST_DATA!A13909</f>
        <v/>
      </c>
      <c r="B13909">
        <f>TEST_DATA!B13909</f>
        <v/>
      </c>
      <c r="C13909">
        <f>TEST_DATA!C13909</f>
        <v/>
      </c>
      <c r="D13909">
        <f>TEST_DATA!D13909</f>
        <v/>
      </c>
      <c r="E13909">
        <f>TEST_DATA!E13909</f>
        <v/>
      </c>
    </row>
    <row r="13910">
      <c r="A13910">
        <f>TEST_DATA!A13910</f>
        <v/>
      </c>
      <c r="B13910">
        <f>TEST_DATA!B13910</f>
        <v/>
      </c>
      <c r="C13910">
        <f>TEST_DATA!C13910</f>
        <v/>
      </c>
      <c r="D13910">
        <f>TEST_DATA!D13910</f>
        <v/>
      </c>
      <c r="E13910">
        <f>TEST_DATA!E13910</f>
        <v/>
      </c>
    </row>
    <row r="13911">
      <c r="A13911">
        <f>TEST_DATA!A13911</f>
        <v/>
      </c>
      <c r="B13911">
        <f>TEST_DATA!B13911</f>
        <v/>
      </c>
      <c r="C13911">
        <f>TEST_DATA!C13911</f>
        <v/>
      </c>
      <c r="D13911">
        <f>TEST_DATA!D13911</f>
        <v/>
      </c>
      <c r="E13911">
        <f>TEST_DATA!E13911</f>
        <v/>
      </c>
    </row>
    <row r="13912">
      <c r="A13912">
        <f>TEST_DATA!A13912</f>
        <v/>
      </c>
      <c r="B13912">
        <f>TEST_DATA!B13912</f>
        <v/>
      </c>
      <c r="C13912">
        <f>TEST_DATA!C13912</f>
        <v/>
      </c>
      <c r="D13912">
        <f>TEST_DATA!D13912</f>
        <v/>
      </c>
      <c r="E13912">
        <f>TEST_DATA!E13912</f>
        <v/>
      </c>
    </row>
    <row r="13913">
      <c r="A13913">
        <f>TEST_DATA!A13913</f>
        <v/>
      </c>
      <c r="B13913">
        <f>TEST_DATA!B13913</f>
        <v/>
      </c>
      <c r="C13913">
        <f>TEST_DATA!C13913</f>
        <v/>
      </c>
      <c r="D13913">
        <f>TEST_DATA!D13913</f>
        <v/>
      </c>
      <c r="E13913">
        <f>TEST_DATA!E13913</f>
        <v/>
      </c>
    </row>
    <row r="13914">
      <c r="A13914">
        <f>TEST_DATA!A13914</f>
        <v/>
      </c>
      <c r="B13914">
        <f>TEST_DATA!B13914</f>
        <v/>
      </c>
      <c r="C13914">
        <f>TEST_DATA!C13914</f>
        <v/>
      </c>
      <c r="D13914">
        <f>TEST_DATA!D13914</f>
        <v/>
      </c>
      <c r="E13914">
        <f>TEST_DATA!E13914</f>
        <v/>
      </c>
    </row>
    <row r="13915">
      <c r="A13915">
        <f>TEST_DATA!A13915</f>
        <v/>
      </c>
      <c r="B13915">
        <f>TEST_DATA!B13915</f>
        <v/>
      </c>
      <c r="C13915">
        <f>TEST_DATA!C13915</f>
        <v/>
      </c>
      <c r="D13915">
        <f>TEST_DATA!D13915</f>
        <v/>
      </c>
      <c r="E13915">
        <f>TEST_DATA!E13915</f>
        <v/>
      </c>
    </row>
    <row r="13916">
      <c r="A13916">
        <f>TEST_DATA!A13916</f>
        <v/>
      </c>
      <c r="B13916">
        <f>TEST_DATA!B13916</f>
        <v/>
      </c>
      <c r="C13916">
        <f>TEST_DATA!C13916</f>
        <v/>
      </c>
      <c r="D13916">
        <f>TEST_DATA!D13916</f>
        <v/>
      </c>
      <c r="E13916">
        <f>TEST_DATA!E13916</f>
        <v/>
      </c>
    </row>
    <row r="13917">
      <c r="A13917">
        <f>TEST_DATA!A13917</f>
        <v/>
      </c>
      <c r="B13917">
        <f>TEST_DATA!B13917</f>
        <v/>
      </c>
      <c r="C13917">
        <f>TEST_DATA!C13917</f>
        <v/>
      </c>
      <c r="D13917">
        <f>TEST_DATA!D13917</f>
        <v/>
      </c>
      <c r="E13917">
        <f>TEST_DATA!E13917</f>
        <v/>
      </c>
    </row>
    <row r="13918">
      <c r="A13918">
        <f>TEST_DATA!A13918</f>
        <v/>
      </c>
      <c r="B13918">
        <f>TEST_DATA!B13918</f>
        <v/>
      </c>
      <c r="C13918">
        <f>TEST_DATA!C13918</f>
        <v/>
      </c>
      <c r="D13918">
        <f>TEST_DATA!D13918</f>
        <v/>
      </c>
      <c r="E13918">
        <f>TEST_DATA!E13918</f>
        <v/>
      </c>
    </row>
    <row r="13919">
      <c r="A13919">
        <f>TEST_DATA!A13919</f>
        <v/>
      </c>
      <c r="B13919">
        <f>TEST_DATA!B13919</f>
        <v/>
      </c>
      <c r="C13919">
        <f>TEST_DATA!C13919</f>
        <v/>
      </c>
      <c r="D13919">
        <f>TEST_DATA!D13919</f>
        <v/>
      </c>
      <c r="E13919">
        <f>TEST_DATA!E13919</f>
        <v/>
      </c>
    </row>
    <row r="13920">
      <c r="A13920">
        <f>TEST_DATA!A13920</f>
        <v/>
      </c>
      <c r="B13920">
        <f>TEST_DATA!B13920</f>
        <v/>
      </c>
      <c r="C13920">
        <f>TEST_DATA!C13920</f>
        <v/>
      </c>
      <c r="D13920">
        <f>TEST_DATA!D13920</f>
        <v/>
      </c>
      <c r="E13920">
        <f>TEST_DATA!E13920</f>
        <v/>
      </c>
    </row>
    <row r="13921">
      <c r="A13921">
        <f>TEST_DATA!A13921</f>
        <v/>
      </c>
      <c r="B13921">
        <f>TEST_DATA!B13921</f>
        <v/>
      </c>
      <c r="C13921">
        <f>TEST_DATA!C13921</f>
        <v/>
      </c>
      <c r="D13921">
        <f>TEST_DATA!D13921</f>
        <v/>
      </c>
      <c r="E13921">
        <f>TEST_DATA!E13921</f>
        <v/>
      </c>
    </row>
    <row r="13922">
      <c r="A13922">
        <f>TEST_DATA!A13922</f>
        <v/>
      </c>
      <c r="B13922">
        <f>TEST_DATA!B13922</f>
        <v/>
      </c>
      <c r="C13922">
        <f>TEST_DATA!C13922</f>
        <v/>
      </c>
      <c r="D13922">
        <f>TEST_DATA!D13922</f>
        <v/>
      </c>
      <c r="E13922">
        <f>TEST_DATA!E13922</f>
        <v/>
      </c>
    </row>
    <row r="13923">
      <c r="A13923">
        <f>TEST_DATA!A13923</f>
        <v/>
      </c>
      <c r="B13923">
        <f>TEST_DATA!B13923</f>
        <v/>
      </c>
      <c r="C13923">
        <f>TEST_DATA!C13923</f>
        <v/>
      </c>
      <c r="D13923">
        <f>TEST_DATA!D13923</f>
        <v/>
      </c>
      <c r="E13923">
        <f>TEST_DATA!E13923</f>
        <v/>
      </c>
    </row>
    <row r="13924">
      <c r="A13924">
        <f>TEST_DATA!A13924</f>
        <v/>
      </c>
      <c r="B13924">
        <f>TEST_DATA!B13924</f>
        <v/>
      </c>
      <c r="C13924">
        <f>TEST_DATA!C13924</f>
        <v/>
      </c>
      <c r="D13924">
        <f>TEST_DATA!D13924</f>
        <v/>
      </c>
      <c r="E13924">
        <f>TEST_DATA!E13924</f>
        <v/>
      </c>
    </row>
    <row r="13925">
      <c r="A13925">
        <f>TEST_DATA!A13925</f>
        <v/>
      </c>
      <c r="B13925">
        <f>TEST_DATA!B13925</f>
        <v/>
      </c>
      <c r="C13925">
        <f>TEST_DATA!C13925</f>
        <v/>
      </c>
      <c r="D13925">
        <f>TEST_DATA!D13925</f>
        <v/>
      </c>
      <c r="E13925">
        <f>TEST_DATA!E13925</f>
        <v/>
      </c>
    </row>
    <row r="13926">
      <c r="A13926">
        <f>TEST_DATA!A13926</f>
        <v/>
      </c>
      <c r="B13926">
        <f>TEST_DATA!B13926</f>
        <v/>
      </c>
      <c r="C13926">
        <f>TEST_DATA!C13926</f>
        <v/>
      </c>
      <c r="D13926">
        <f>TEST_DATA!D13926</f>
        <v/>
      </c>
      <c r="E13926">
        <f>TEST_DATA!E13926</f>
        <v/>
      </c>
    </row>
    <row r="13927">
      <c r="A13927">
        <f>TEST_DATA!A13927</f>
        <v/>
      </c>
      <c r="B13927">
        <f>TEST_DATA!B13927</f>
        <v/>
      </c>
      <c r="C13927">
        <f>TEST_DATA!C13927</f>
        <v/>
      </c>
      <c r="D13927">
        <f>TEST_DATA!D13927</f>
        <v/>
      </c>
      <c r="E13927">
        <f>TEST_DATA!E13927</f>
        <v/>
      </c>
    </row>
    <row r="13928">
      <c r="A13928">
        <f>TEST_DATA!A13928</f>
        <v/>
      </c>
      <c r="B13928">
        <f>TEST_DATA!B13928</f>
        <v/>
      </c>
      <c r="C13928">
        <f>TEST_DATA!C13928</f>
        <v/>
      </c>
      <c r="D13928">
        <f>TEST_DATA!D13928</f>
        <v/>
      </c>
      <c r="E13928">
        <f>TEST_DATA!E13928</f>
        <v/>
      </c>
    </row>
    <row r="13929">
      <c r="A13929">
        <f>TEST_DATA!A13929</f>
        <v/>
      </c>
      <c r="B13929">
        <f>TEST_DATA!B13929</f>
        <v/>
      </c>
      <c r="C13929">
        <f>TEST_DATA!C13929</f>
        <v/>
      </c>
      <c r="D13929">
        <f>TEST_DATA!D13929</f>
        <v/>
      </c>
      <c r="E13929">
        <f>TEST_DATA!E13929</f>
        <v/>
      </c>
    </row>
    <row r="13930">
      <c r="A13930">
        <f>TEST_DATA!A13930</f>
        <v/>
      </c>
      <c r="B13930">
        <f>TEST_DATA!B13930</f>
        <v/>
      </c>
      <c r="C13930">
        <f>TEST_DATA!C13930</f>
        <v/>
      </c>
      <c r="D13930">
        <f>TEST_DATA!D13930</f>
        <v/>
      </c>
      <c r="E13930">
        <f>TEST_DATA!E13930</f>
        <v/>
      </c>
    </row>
    <row r="13931">
      <c r="A13931">
        <f>TEST_DATA!A13931</f>
        <v/>
      </c>
      <c r="B13931">
        <f>TEST_DATA!B13931</f>
        <v/>
      </c>
      <c r="C13931">
        <f>TEST_DATA!C13931</f>
        <v/>
      </c>
      <c r="D13931">
        <f>TEST_DATA!D13931</f>
        <v/>
      </c>
      <c r="E13931">
        <f>TEST_DATA!E13931</f>
        <v/>
      </c>
    </row>
    <row r="13932">
      <c r="A13932">
        <f>TEST_DATA!A13932</f>
        <v/>
      </c>
      <c r="B13932">
        <f>TEST_DATA!B13932</f>
        <v/>
      </c>
      <c r="C13932">
        <f>TEST_DATA!C13932</f>
        <v/>
      </c>
      <c r="D13932">
        <f>TEST_DATA!D13932</f>
        <v/>
      </c>
      <c r="E13932">
        <f>TEST_DATA!E13932</f>
        <v/>
      </c>
    </row>
    <row r="13933">
      <c r="A13933">
        <f>TEST_DATA!A13933</f>
        <v/>
      </c>
      <c r="B13933">
        <f>TEST_DATA!B13933</f>
        <v/>
      </c>
      <c r="C13933">
        <f>TEST_DATA!C13933</f>
        <v/>
      </c>
      <c r="D13933">
        <f>TEST_DATA!D13933</f>
        <v/>
      </c>
      <c r="E13933">
        <f>TEST_DATA!E13933</f>
        <v/>
      </c>
    </row>
    <row r="13934">
      <c r="A13934">
        <f>TEST_DATA!A13934</f>
        <v/>
      </c>
      <c r="B13934">
        <f>TEST_DATA!B13934</f>
        <v/>
      </c>
      <c r="C13934">
        <f>TEST_DATA!C13934</f>
        <v/>
      </c>
      <c r="D13934">
        <f>TEST_DATA!D13934</f>
        <v/>
      </c>
      <c r="E13934">
        <f>TEST_DATA!E13934</f>
        <v/>
      </c>
    </row>
    <row r="13935">
      <c r="A13935">
        <f>TEST_DATA!A13935</f>
        <v/>
      </c>
      <c r="B13935">
        <f>TEST_DATA!B13935</f>
        <v/>
      </c>
      <c r="C13935">
        <f>TEST_DATA!C13935</f>
        <v/>
      </c>
      <c r="D13935">
        <f>TEST_DATA!D13935</f>
        <v/>
      </c>
      <c r="E13935">
        <f>TEST_DATA!E13935</f>
        <v/>
      </c>
    </row>
    <row r="13936">
      <c r="A13936">
        <f>TEST_DATA!A13936</f>
        <v/>
      </c>
      <c r="B13936">
        <f>TEST_DATA!B13936</f>
        <v/>
      </c>
      <c r="C13936">
        <f>TEST_DATA!C13936</f>
        <v/>
      </c>
      <c r="D13936">
        <f>TEST_DATA!D13936</f>
        <v/>
      </c>
      <c r="E13936">
        <f>TEST_DATA!E13936</f>
        <v/>
      </c>
    </row>
    <row r="13937">
      <c r="A13937">
        <f>TEST_DATA!A13937</f>
        <v/>
      </c>
      <c r="B13937">
        <f>TEST_DATA!B13937</f>
        <v/>
      </c>
      <c r="C13937">
        <f>TEST_DATA!C13937</f>
        <v/>
      </c>
      <c r="D13937">
        <f>TEST_DATA!D13937</f>
        <v/>
      </c>
      <c r="E13937">
        <f>TEST_DATA!E13937</f>
        <v/>
      </c>
    </row>
    <row r="13938">
      <c r="A13938">
        <f>TEST_DATA!A13938</f>
        <v/>
      </c>
      <c r="B13938">
        <f>TEST_DATA!B13938</f>
        <v/>
      </c>
      <c r="C13938">
        <f>TEST_DATA!C13938</f>
        <v/>
      </c>
      <c r="D13938">
        <f>TEST_DATA!D13938</f>
        <v/>
      </c>
      <c r="E13938">
        <f>TEST_DATA!E13938</f>
        <v/>
      </c>
    </row>
    <row r="13939">
      <c r="A13939">
        <f>TEST_DATA!A13939</f>
        <v/>
      </c>
      <c r="B13939">
        <f>TEST_DATA!B13939</f>
        <v/>
      </c>
      <c r="C13939">
        <f>TEST_DATA!C13939</f>
        <v/>
      </c>
      <c r="D13939">
        <f>TEST_DATA!D13939</f>
        <v/>
      </c>
      <c r="E13939">
        <f>TEST_DATA!E13939</f>
        <v/>
      </c>
    </row>
    <row r="13940">
      <c r="A13940">
        <f>TEST_DATA!A13940</f>
        <v/>
      </c>
      <c r="B13940">
        <f>TEST_DATA!B13940</f>
        <v/>
      </c>
      <c r="C13940">
        <f>TEST_DATA!C13940</f>
        <v/>
      </c>
      <c r="D13940">
        <f>TEST_DATA!D13940</f>
        <v/>
      </c>
      <c r="E13940">
        <f>TEST_DATA!E13940</f>
        <v/>
      </c>
    </row>
    <row r="13941">
      <c r="A13941">
        <f>TEST_DATA!A13941</f>
        <v/>
      </c>
      <c r="B13941">
        <f>TEST_DATA!B13941</f>
        <v/>
      </c>
      <c r="C13941">
        <f>TEST_DATA!C13941</f>
        <v/>
      </c>
      <c r="D13941">
        <f>TEST_DATA!D13941</f>
        <v/>
      </c>
      <c r="E13941">
        <f>TEST_DATA!E13941</f>
        <v/>
      </c>
    </row>
    <row r="13942">
      <c r="A13942">
        <f>TEST_DATA!A13942</f>
        <v/>
      </c>
      <c r="B13942">
        <f>TEST_DATA!B13942</f>
        <v/>
      </c>
      <c r="C13942">
        <f>TEST_DATA!C13942</f>
        <v/>
      </c>
      <c r="D13942">
        <f>TEST_DATA!D13942</f>
        <v/>
      </c>
      <c r="E13942">
        <f>TEST_DATA!E13942</f>
        <v/>
      </c>
    </row>
    <row r="13943">
      <c r="A13943">
        <f>TEST_DATA!A13943</f>
        <v/>
      </c>
      <c r="B13943">
        <f>TEST_DATA!B13943</f>
        <v/>
      </c>
      <c r="C13943">
        <f>TEST_DATA!C13943</f>
        <v/>
      </c>
      <c r="D13943">
        <f>TEST_DATA!D13943</f>
        <v/>
      </c>
      <c r="E13943">
        <f>TEST_DATA!E13943</f>
        <v/>
      </c>
    </row>
    <row r="13944">
      <c r="A13944">
        <f>TEST_DATA!A13944</f>
        <v/>
      </c>
      <c r="B13944">
        <f>TEST_DATA!B13944</f>
        <v/>
      </c>
      <c r="C13944">
        <f>TEST_DATA!C13944</f>
        <v/>
      </c>
      <c r="D13944">
        <f>TEST_DATA!D13944</f>
        <v/>
      </c>
      <c r="E13944">
        <f>TEST_DATA!E13944</f>
        <v/>
      </c>
    </row>
    <row r="13945">
      <c r="A13945">
        <f>TEST_DATA!A13945</f>
        <v/>
      </c>
      <c r="B13945">
        <f>TEST_DATA!B13945</f>
        <v/>
      </c>
      <c r="C13945">
        <f>TEST_DATA!C13945</f>
        <v/>
      </c>
      <c r="D13945">
        <f>TEST_DATA!D13945</f>
        <v/>
      </c>
      <c r="E13945">
        <f>TEST_DATA!E13945</f>
        <v/>
      </c>
    </row>
    <row r="13946">
      <c r="A13946">
        <f>TEST_DATA!A13946</f>
        <v/>
      </c>
      <c r="B13946">
        <f>TEST_DATA!B13946</f>
        <v/>
      </c>
      <c r="C13946">
        <f>TEST_DATA!C13946</f>
        <v/>
      </c>
      <c r="D13946">
        <f>TEST_DATA!D13946</f>
        <v/>
      </c>
      <c r="E13946">
        <f>TEST_DATA!E13946</f>
        <v/>
      </c>
    </row>
    <row r="13947">
      <c r="A13947">
        <f>TEST_DATA!A13947</f>
        <v/>
      </c>
      <c r="B13947">
        <f>TEST_DATA!B13947</f>
        <v/>
      </c>
      <c r="C13947">
        <f>TEST_DATA!C13947</f>
        <v/>
      </c>
      <c r="D13947">
        <f>TEST_DATA!D13947</f>
        <v/>
      </c>
      <c r="E13947">
        <f>TEST_DATA!E13947</f>
        <v/>
      </c>
    </row>
    <row r="13948">
      <c r="A13948">
        <f>TEST_DATA!A13948</f>
        <v/>
      </c>
      <c r="B13948">
        <f>TEST_DATA!B13948</f>
        <v/>
      </c>
      <c r="C13948">
        <f>TEST_DATA!C13948</f>
        <v/>
      </c>
      <c r="D13948">
        <f>TEST_DATA!D13948</f>
        <v/>
      </c>
      <c r="E13948">
        <f>TEST_DATA!E13948</f>
        <v/>
      </c>
    </row>
    <row r="13949">
      <c r="A13949">
        <f>TEST_DATA!A13949</f>
        <v/>
      </c>
      <c r="B13949">
        <f>TEST_DATA!B13949</f>
        <v/>
      </c>
      <c r="C13949">
        <f>TEST_DATA!C13949</f>
        <v/>
      </c>
      <c r="D13949">
        <f>TEST_DATA!D13949</f>
        <v/>
      </c>
      <c r="E13949">
        <f>TEST_DATA!E13949</f>
        <v/>
      </c>
    </row>
    <row r="13950">
      <c r="A13950">
        <f>TEST_DATA!A13950</f>
        <v/>
      </c>
      <c r="B13950">
        <f>TEST_DATA!B13950</f>
        <v/>
      </c>
      <c r="C13950">
        <f>TEST_DATA!C13950</f>
        <v/>
      </c>
      <c r="D13950">
        <f>TEST_DATA!D13950</f>
        <v/>
      </c>
      <c r="E13950">
        <f>TEST_DATA!E13950</f>
        <v/>
      </c>
    </row>
    <row r="13951">
      <c r="A13951">
        <f>TEST_DATA!A13951</f>
        <v/>
      </c>
      <c r="B13951">
        <f>TEST_DATA!B13951</f>
        <v/>
      </c>
      <c r="C13951">
        <f>TEST_DATA!C13951</f>
        <v/>
      </c>
      <c r="D13951">
        <f>TEST_DATA!D13951</f>
        <v/>
      </c>
      <c r="E13951">
        <f>TEST_DATA!E13951</f>
        <v/>
      </c>
    </row>
    <row r="13952">
      <c r="A13952">
        <f>TEST_DATA!A13952</f>
        <v/>
      </c>
      <c r="B13952">
        <f>TEST_DATA!B13952</f>
        <v/>
      </c>
      <c r="C13952">
        <f>TEST_DATA!C13952</f>
        <v/>
      </c>
      <c r="D13952">
        <f>TEST_DATA!D13952</f>
        <v/>
      </c>
      <c r="E13952">
        <f>TEST_DATA!E13952</f>
        <v/>
      </c>
    </row>
    <row r="13953">
      <c r="A13953">
        <f>TEST_DATA!A13953</f>
        <v/>
      </c>
      <c r="B13953">
        <f>TEST_DATA!B13953</f>
        <v/>
      </c>
      <c r="C13953">
        <f>TEST_DATA!C13953</f>
        <v/>
      </c>
      <c r="D13953">
        <f>TEST_DATA!D13953</f>
        <v/>
      </c>
      <c r="E13953">
        <f>TEST_DATA!E13953</f>
        <v/>
      </c>
    </row>
    <row r="13954">
      <c r="A13954">
        <f>TEST_DATA!A13954</f>
        <v/>
      </c>
      <c r="B13954">
        <f>TEST_DATA!B13954</f>
        <v/>
      </c>
      <c r="C13954">
        <f>TEST_DATA!C13954</f>
        <v/>
      </c>
      <c r="D13954">
        <f>TEST_DATA!D13954</f>
        <v/>
      </c>
      <c r="E13954">
        <f>TEST_DATA!E13954</f>
        <v/>
      </c>
    </row>
    <row r="13955">
      <c r="A13955">
        <f>TEST_DATA!A13955</f>
        <v/>
      </c>
      <c r="B13955">
        <f>TEST_DATA!B13955</f>
        <v/>
      </c>
      <c r="C13955">
        <f>TEST_DATA!C13955</f>
        <v/>
      </c>
      <c r="D13955">
        <f>TEST_DATA!D13955</f>
        <v/>
      </c>
      <c r="E13955">
        <f>TEST_DATA!E13955</f>
        <v/>
      </c>
    </row>
    <row r="13956">
      <c r="A13956">
        <f>TEST_DATA!A13956</f>
        <v/>
      </c>
      <c r="B13956">
        <f>TEST_DATA!B13956</f>
        <v/>
      </c>
      <c r="C13956">
        <f>TEST_DATA!C13956</f>
        <v/>
      </c>
      <c r="D13956">
        <f>TEST_DATA!D13956</f>
        <v/>
      </c>
      <c r="E13956">
        <f>TEST_DATA!E13956</f>
        <v/>
      </c>
    </row>
    <row r="13957">
      <c r="A13957">
        <f>TEST_DATA!A13957</f>
        <v/>
      </c>
      <c r="B13957">
        <f>TEST_DATA!B13957</f>
        <v/>
      </c>
      <c r="C13957">
        <f>TEST_DATA!C13957</f>
        <v/>
      </c>
      <c r="D13957">
        <f>TEST_DATA!D13957</f>
        <v/>
      </c>
      <c r="E13957">
        <f>TEST_DATA!E13957</f>
        <v/>
      </c>
    </row>
    <row r="13958">
      <c r="A13958">
        <f>TEST_DATA!A13958</f>
        <v/>
      </c>
      <c r="B13958">
        <f>TEST_DATA!B13958</f>
        <v/>
      </c>
      <c r="C13958">
        <f>TEST_DATA!C13958</f>
        <v/>
      </c>
      <c r="D13958">
        <f>TEST_DATA!D13958</f>
        <v/>
      </c>
      <c r="E13958">
        <f>TEST_DATA!E13958</f>
        <v/>
      </c>
    </row>
    <row r="13959">
      <c r="A13959">
        <f>TEST_DATA!A13959</f>
        <v/>
      </c>
      <c r="B13959">
        <f>TEST_DATA!B13959</f>
        <v/>
      </c>
      <c r="C13959">
        <f>TEST_DATA!C13959</f>
        <v/>
      </c>
      <c r="D13959">
        <f>TEST_DATA!D13959</f>
        <v/>
      </c>
      <c r="E13959">
        <f>TEST_DATA!E13959</f>
        <v/>
      </c>
    </row>
    <row r="13960">
      <c r="A13960">
        <f>TEST_DATA!A13960</f>
        <v/>
      </c>
      <c r="B13960">
        <f>TEST_DATA!B13960</f>
        <v/>
      </c>
      <c r="C13960">
        <f>TEST_DATA!C13960</f>
        <v/>
      </c>
      <c r="D13960">
        <f>TEST_DATA!D13960</f>
        <v/>
      </c>
      <c r="E13960">
        <f>TEST_DATA!E13960</f>
        <v/>
      </c>
    </row>
    <row r="13961">
      <c r="A13961">
        <f>TEST_DATA!A13961</f>
        <v/>
      </c>
      <c r="B13961">
        <f>TEST_DATA!B13961</f>
        <v/>
      </c>
      <c r="C13961">
        <f>TEST_DATA!C13961</f>
        <v/>
      </c>
      <c r="D13961">
        <f>TEST_DATA!D13961</f>
        <v/>
      </c>
      <c r="E13961">
        <f>TEST_DATA!E13961</f>
        <v/>
      </c>
    </row>
    <row r="13962">
      <c r="A13962">
        <f>TEST_DATA!A13962</f>
        <v/>
      </c>
      <c r="B13962">
        <f>TEST_DATA!B13962</f>
        <v/>
      </c>
      <c r="C13962">
        <f>TEST_DATA!C13962</f>
        <v/>
      </c>
      <c r="D13962">
        <f>TEST_DATA!D13962</f>
        <v/>
      </c>
      <c r="E13962">
        <f>TEST_DATA!E13962</f>
        <v/>
      </c>
    </row>
    <row r="13963">
      <c r="A13963">
        <f>TEST_DATA!A13963</f>
        <v/>
      </c>
      <c r="B13963">
        <f>TEST_DATA!B13963</f>
        <v/>
      </c>
      <c r="C13963">
        <f>TEST_DATA!C13963</f>
        <v/>
      </c>
      <c r="D13963">
        <f>TEST_DATA!D13963</f>
        <v/>
      </c>
      <c r="E13963">
        <f>TEST_DATA!E13963</f>
        <v/>
      </c>
    </row>
    <row r="13964">
      <c r="A13964">
        <f>TEST_DATA!A13964</f>
        <v/>
      </c>
      <c r="B13964">
        <f>TEST_DATA!B13964</f>
        <v/>
      </c>
      <c r="C13964">
        <f>TEST_DATA!C13964</f>
        <v/>
      </c>
      <c r="D13964">
        <f>TEST_DATA!D13964</f>
        <v/>
      </c>
      <c r="E13964">
        <f>TEST_DATA!E13964</f>
        <v/>
      </c>
    </row>
    <row r="13965">
      <c r="A13965">
        <f>TEST_DATA!A13965</f>
        <v/>
      </c>
      <c r="B13965">
        <f>TEST_DATA!B13965</f>
        <v/>
      </c>
      <c r="C13965">
        <f>TEST_DATA!C13965</f>
        <v/>
      </c>
      <c r="D13965">
        <f>TEST_DATA!D13965</f>
        <v/>
      </c>
      <c r="E13965">
        <f>TEST_DATA!E13965</f>
        <v/>
      </c>
    </row>
    <row r="13966">
      <c r="A13966">
        <f>TEST_DATA!A13966</f>
        <v/>
      </c>
      <c r="B13966">
        <f>TEST_DATA!B13966</f>
        <v/>
      </c>
      <c r="C13966">
        <f>TEST_DATA!C13966</f>
        <v/>
      </c>
      <c r="D13966">
        <f>TEST_DATA!D13966</f>
        <v/>
      </c>
      <c r="E13966">
        <f>TEST_DATA!E13966</f>
        <v/>
      </c>
    </row>
    <row r="13967">
      <c r="A13967">
        <f>TEST_DATA!A13967</f>
        <v/>
      </c>
      <c r="B13967">
        <f>TEST_DATA!B13967</f>
        <v/>
      </c>
      <c r="C13967">
        <f>TEST_DATA!C13967</f>
        <v/>
      </c>
      <c r="D13967">
        <f>TEST_DATA!D13967</f>
        <v/>
      </c>
      <c r="E13967">
        <f>TEST_DATA!E13967</f>
        <v/>
      </c>
    </row>
    <row r="13968">
      <c r="A13968">
        <f>TEST_DATA!A13968</f>
        <v/>
      </c>
      <c r="B13968">
        <f>TEST_DATA!B13968</f>
        <v/>
      </c>
      <c r="C13968">
        <f>TEST_DATA!C13968</f>
        <v/>
      </c>
      <c r="D13968">
        <f>TEST_DATA!D13968</f>
        <v/>
      </c>
      <c r="E13968">
        <f>TEST_DATA!E13968</f>
        <v/>
      </c>
    </row>
    <row r="13969">
      <c r="A13969">
        <f>TEST_DATA!A13969</f>
        <v/>
      </c>
      <c r="B13969">
        <f>TEST_DATA!B13969</f>
        <v/>
      </c>
      <c r="C13969">
        <f>TEST_DATA!C13969</f>
        <v/>
      </c>
      <c r="D13969">
        <f>TEST_DATA!D13969</f>
        <v/>
      </c>
      <c r="E13969">
        <f>TEST_DATA!E13969</f>
        <v/>
      </c>
    </row>
    <row r="13970">
      <c r="A13970">
        <f>TEST_DATA!A13970</f>
        <v/>
      </c>
      <c r="B13970">
        <f>TEST_DATA!B13970</f>
        <v/>
      </c>
      <c r="C13970">
        <f>TEST_DATA!C13970</f>
        <v/>
      </c>
      <c r="D13970">
        <f>TEST_DATA!D13970</f>
        <v/>
      </c>
      <c r="E13970">
        <f>TEST_DATA!E13970</f>
        <v/>
      </c>
    </row>
    <row r="13971">
      <c r="A13971">
        <f>TEST_DATA!A13971</f>
        <v/>
      </c>
      <c r="B13971">
        <f>TEST_DATA!B13971</f>
        <v/>
      </c>
      <c r="C13971">
        <f>TEST_DATA!C13971</f>
        <v/>
      </c>
      <c r="D13971">
        <f>TEST_DATA!D13971</f>
        <v/>
      </c>
      <c r="E13971">
        <f>TEST_DATA!E13971</f>
        <v/>
      </c>
    </row>
    <row r="13972">
      <c r="A13972">
        <f>TEST_DATA!A13972</f>
        <v/>
      </c>
      <c r="B13972">
        <f>TEST_DATA!B13972</f>
        <v/>
      </c>
      <c r="C13972">
        <f>TEST_DATA!C13972</f>
        <v/>
      </c>
      <c r="D13972">
        <f>TEST_DATA!D13972</f>
        <v/>
      </c>
      <c r="E13972">
        <f>TEST_DATA!E13972</f>
        <v/>
      </c>
    </row>
    <row r="13973">
      <c r="A13973">
        <f>TEST_DATA!A13973</f>
        <v/>
      </c>
      <c r="B13973">
        <f>TEST_DATA!B13973</f>
        <v/>
      </c>
      <c r="C13973">
        <f>TEST_DATA!C13973</f>
        <v/>
      </c>
      <c r="D13973">
        <f>TEST_DATA!D13973</f>
        <v/>
      </c>
      <c r="E13973">
        <f>TEST_DATA!E13973</f>
        <v/>
      </c>
    </row>
    <row r="13974">
      <c r="A13974">
        <f>TEST_DATA!A13974</f>
        <v/>
      </c>
      <c r="B13974">
        <f>TEST_DATA!B13974</f>
        <v/>
      </c>
      <c r="C13974">
        <f>TEST_DATA!C13974</f>
        <v/>
      </c>
      <c r="D13974">
        <f>TEST_DATA!D13974</f>
        <v/>
      </c>
      <c r="E13974">
        <f>TEST_DATA!E13974</f>
        <v/>
      </c>
    </row>
    <row r="13975">
      <c r="A13975">
        <f>TEST_DATA!A13975</f>
        <v/>
      </c>
      <c r="B13975">
        <f>TEST_DATA!B13975</f>
        <v/>
      </c>
      <c r="C13975">
        <f>TEST_DATA!C13975</f>
        <v/>
      </c>
      <c r="D13975">
        <f>TEST_DATA!D13975</f>
        <v/>
      </c>
      <c r="E13975">
        <f>TEST_DATA!E13975</f>
        <v/>
      </c>
    </row>
    <row r="13976">
      <c r="A13976">
        <f>TEST_DATA!A13976</f>
        <v/>
      </c>
      <c r="B13976">
        <f>TEST_DATA!B13976</f>
        <v/>
      </c>
      <c r="C13976">
        <f>TEST_DATA!C13976</f>
        <v/>
      </c>
      <c r="D13976">
        <f>TEST_DATA!D13976</f>
        <v/>
      </c>
      <c r="E13976">
        <f>TEST_DATA!E13976</f>
        <v/>
      </c>
    </row>
    <row r="13977">
      <c r="A13977">
        <f>TEST_DATA!A13977</f>
        <v/>
      </c>
      <c r="B13977">
        <f>TEST_DATA!B13977</f>
        <v/>
      </c>
      <c r="C13977">
        <f>TEST_DATA!C13977</f>
        <v/>
      </c>
      <c r="D13977">
        <f>TEST_DATA!D13977</f>
        <v/>
      </c>
      <c r="E13977">
        <f>TEST_DATA!E13977</f>
        <v/>
      </c>
    </row>
    <row r="13978">
      <c r="A13978">
        <f>TEST_DATA!A13978</f>
        <v/>
      </c>
      <c r="B13978">
        <f>TEST_DATA!B13978</f>
        <v/>
      </c>
      <c r="C13978">
        <f>TEST_DATA!C13978</f>
        <v/>
      </c>
      <c r="D13978">
        <f>TEST_DATA!D13978</f>
        <v/>
      </c>
      <c r="E13978">
        <f>TEST_DATA!E13978</f>
        <v/>
      </c>
    </row>
    <row r="13979">
      <c r="A13979">
        <f>TEST_DATA!A13979</f>
        <v/>
      </c>
      <c r="B13979">
        <f>TEST_DATA!B13979</f>
        <v/>
      </c>
      <c r="C13979">
        <f>TEST_DATA!C13979</f>
        <v/>
      </c>
      <c r="D13979">
        <f>TEST_DATA!D13979</f>
        <v/>
      </c>
      <c r="E13979">
        <f>TEST_DATA!E13979</f>
        <v/>
      </c>
    </row>
    <row r="13980">
      <c r="A13980">
        <f>TEST_DATA!A13980</f>
        <v/>
      </c>
      <c r="B13980">
        <f>TEST_DATA!B13980</f>
        <v/>
      </c>
      <c r="C13980">
        <f>TEST_DATA!C13980</f>
        <v/>
      </c>
      <c r="D13980">
        <f>TEST_DATA!D13980</f>
        <v/>
      </c>
      <c r="E13980">
        <f>TEST_DATA!E13980</f>
        <v/>
      </c>
    </row>
    <row r="13981">
      <c r="A13981">
        <f>TEST_DATA!A13981</f>
        <v/>
      </c>
      <c r="B13981">
        <f>TEST_DATA!B13981</f>
        <v/>
      </c>
      <c r="C13981">
        <f>TEST_DATA!C13981</f>
        <v/>
      </c>
      <c r="D13981">
        <f>TEST_DATA!D13981</f>
        <v/>
      </c>
      <c r="E13981">
        <f>TEST_DATA!E13981</f>
        <v/>
      </c>
    </row>
    <row r="13982">
      <c r="A13982">
        <f>TEST_DATA!A13982</f>
        <v/>
      </c>
      <c r="B13982">
        <f>TEST_DATA!B13982</f>
        <v/>
      </c>
      <c r="C13982">
        <f>TEST_DATA!C13982</f>
        <v/>
      </c>
      <c r="D13982">
        <f>TEST_DATA!D13982</f>
        <v/>
      </c>
      <c r="E13982">
        <f>TEST_DATA!E13982</f>
        <v/>
      </c>
    </row>
    <row r="13983">
      <c r="A13983">
        <f>TEST_DATA!A13983</f>
        <v/>
      </c>
      <c r="B13983">
        <f>TEST_DATA!B13983</f>
        <v/>
      </c>
      <c r="C13983">
        <f>TEST_DATA!C13983</f>
        <v/>
      </c>
      <c r="D13983">
        <f>TEST_DATA!D13983</f>
        <v/>
      </c>
      <c r="E13983">
        <f>TEST_DATA!E13983</f>
        <v/>
      </c>
    </row>
    <row r="13984">
      <c r="A13984">
        <f>TEST_DATA!A13984</f>
        <v/>
      </c>
      <c r="B13984">
        <f>TEST_DATA!B13984</f>
        <v/>
      </c>
      <c r="C13984">
        <f>TEST_DATA!C13984</f>
        <v/>
      </c>
      <c r="D13984">
        <f>TEST_DATA!D13984</f>
        <v/>
      </c>
      <c r="E13984">
        <f>TEST_DATA!E13984</f>
        <v/>
      </c>
    </row>
    <row r="13985">
      <c r="A13985">
        <f>TEST_DATA!A13985</f>
        <v/>
      </c>
      <c r="B13985">
        <f>TEST_DATA!B13985</f>
        <v/>
      </c>
      <c r="C13985">
        <f>TEST_DATA!C13985</f>
        <v/>
      </c>
      <c r="D13985">
        <f>TEST_DATA!D13985</f>
        <v/>
      </c>
      <c r="E13985">
        <f>TEST_DATA!E13985</f>
        <v/>
      </c>
    </row>
    <row r="13986">
      <c r="A13986">
        <f>TEST_DATA!A13986</f>
        <v/>
      </c>
      <c r="B13986">
        <f>TEST_DATA!B13986</f>
        <v/>
      </c>
      <c r="C13986">
        <f>TEST_DATA!C13986</f>
        <v/>
      </c>
      <c r="D13986">
        <f>TEST_DATA!D13986</f>
        <v/>
      </c>
      <c r="E13986">
        <f>TEST_DATA!E13986</f>
        <v/>
      </c>
    </row>
    <row r="13987">
      <c r="A13987">
        <f>TEST_DATA!A13987</f>
        <v/>
      </c>
      <c r="B13987">
        <f>TEST_DATA!B13987</f>
        <v/>
      </c>
      <c r="C13987">
        <f>TEST_DATA!C13987</f>
        <v/>
      </c>
      <c r="D13987">
        <f>TEST_DATA!D13987</f>
        <v/>
      </c>
      <c r="E13987">
        <f>TEST_DATA!E13987</f>
        <v/>
      </c>
    </row>
    <row r="13988">
      <c r="A13988">
        <f>TEST_DATA!A13988</f>
        <v/>
      </c>
      <c r="B13988">
        <f>TEST_DATA!B13988</f>
        <v/>
      </c>
      <c r="C13988">
        <f>TEST_DATA!C13988</f>
        <v/>
      </c>
      <c r="D13988">
        <f>TEST_DATA!D13988</f>
        <v/>
      </c>
      <c r="E13988">
        <f>TEST_DATA!E13988</f>
        <v/>
      </c>
    </row>
    <row r="13989">
      <c r="A13989">
        <f>TEST_DATA!A13989</f>
        <v/>
      </c>
      <c r="B13989">
        <f>TEST_DATA!B13989</f>
        <v/>
      </c>
      <c r="C13989">
        <f>TEST_DATA!C13989</f>
        <v/>
      </c>
      <c r="D13989">
        <f>TEST_DATA!D13989</f>
        <v/>
      </c>
      <c r="E13989">
        <f>TEST_DATA!E13989</f>
        <v/>
      </c>
    </row>
    <row r="13990">
      <c r="A13990">
        <f>TEST_DATA!A13990</f>
        <v/>
      </c>
      <c r="B13990">
        <f>TEST_DATA!B13990</f>
        <v/>
      </c>
      <c r="C13990">
        <f>TEST_DATA!C13990</f>
        <v/>
      </c>
      <c r="D13990">
        <f>TEST_DATA!D13990</f>
        <v/>
      </c>
      <c r="E13990">
        <f>TEST_DATA!E13990</f>
        <v/>
      </c>
    </row>
    <row r="13991">
      <c r="A13991">
        <f>TEST_DATA!A13991</f>
        <v/>
      </c>
      <c r="B13991">
        <f>TEST_DATA!B13991</f>
        <v/>
      </c>
      <c r="C13991">
        <f>TEST_DATA!C13991</f>
        <v/>
      </c>
      <c r="D13991">
        <f>TEST_DATA!D13991</f>
        <v/>
      </c>
      <c r="E13991">
        <f>TEST_DATA!E13991</f>
        <v/>
      </c>
    </row>
    <row r="13992">
      <c r="A13992">
        <f>TEST_DATA!A13992</f>
        <v/>
      </c>
      <c r="B13992">
        <f>TEST_DATA!B13992</f>
        <v/>
      </c>
      <c r="C13992">
        <f>TEST_DATA!C13992</f>
        <v/>
      </c>
      <c r="D13992">
        <f>TEST_DATA!D13992</f>
        <v/>
      </c>
      <c r="E13992">
        <f>TEST_DATA!E13992</f>
        <v/>
      </c>
    </row>
    <row r="13993">
      <c r="A13993">
        <f>TEST_DATA!A13993</f>
        <v/>
      </c>
      <c r="B13993">
        <f>TEST_DATA!B13993</f>
        <v/>
      </c>
      <c r="C13993">
        <f>TEST_DATA!C13993</f>
        <v/>
      </c>
      <c r="D13993">
        <f>TEST_DATA!D13993</f>
        <v/>
      </c>
      <c r="E13993">
        <f>TEST_DATA!E13993</f>
        <v/>
      </c>
    </row>
    <row r="13994">
      <c r="A13994">
        <f>TEST_DATA!A13994</f>
        <v/>
      </c>
      <c r="B13994">
        <f>TEST_DATA!B13994</f>
        <v/>
      </c>
      <c r="C13994">
        <f>TEST_DATA!C13994</f>
        <v/>
      </c>
      <c r="D13994">
        <f>TEST_DATA!D13994</f>
        <v/>
      </c>
      <c r="E13994">
        <f>TEST_DATA!E13994</f>
        <v/>
      </c>
    </row>
    <row r="13995">
      <c r="A13995">
        <f>TEST_DATA!A13995</f>
        <v/>
      </c>
      <c r="B13995">
        <f>TEST_DATA!B13995</f>
        <v/>
      </c>
      <c r="C13995">
        <f>TEST_DATA!C13995</f>
        <v/>
      </c>
      <c r="D13995">
        <f>TEST_DATA!D13995</f>
        <v/>
      </c>
      <c r="E13995">
        <f>TEST_DATA!E13995</f>
        <v/>
      </c>
    </row>
    <row r="13996">
      <c r="A13996">
        <f>TEST_DATA!A13996</f>
        <v/>
      </c>
      <c r="B13996">
        <f>TEST_DATA!B13996</f>
        <v/>
      </c>
      <c r="C13996">
        <f>TEST_DATA!C13996</f>
        <v/>
      </c>
      <c r="D13996">
        <f>TEST_DATA!D13996</f>
        <v/>
      </c>
      <c r="E13996">
        <f>TEST_DATA!E13996</f>
        <v/>
      </c>
    </row>
    <row r="13997">
      <c r="A13997">
        <f>TEST_DATA!A13997</f>
        <v/>
      </c>
      <c r="B13997">
        <f>TEST_DATA!B13997</f>
        <v/>
      </c>
      <c r="C13997">
        <f>TEST_DATA!C13997</f>
        <v/>
      </c>
      <c r="D13997">
        <f>TEST_DATA!D13997</f>
        <v/>
      </c>
      <c r="E13997">
        <f>TEST_DATA!E13997</f>
        <v/>
      </c>
    </row>
    <row r="13998">
      <c r="A13998">
        <f>TEST_DATA!A13998</f>
        <v/>
      </c>
      <c r="B13998">
        <f>TEST_DATA!B13998</f>
        <v/>
      </c>
      <c r="C13998">
        <f>TEST_DATA!C13998</f>
        <v/>
      </c>
      <c r="D13998">
        <f>TEST_DATA!D13998</f>
        <v/>
      </c>
      <c r="E13998">
        <f>TEST_DATA!E13998</f>
        <v/>
      </c>
    </row>
    <row r="13999">
      <c r="A13999">
        <f>TEST_DATA!A13999</f>
        <v/>
      </c>
      <c r="B13999">
        <f>TEST_DATA!B13999</f>
        <v/>
      </c>
      <c r="C13999">
        <f>TEST_DATA!C13999</f>
        <v/>
      </c>
      <c r="D13999">
        <f>TEST_DATA!D13999</f>
        <v/>
      </c>
      <c r="E13999">
        <f>TEST_DATA!E13999</f>
        <v/>
      </c>
    </row>
    <row r="14000">
      <c r="A14000">
        <f>TEST_DATA!A14000</f>
        <v/>
      </c>
      <c r="B14000">
        <f>TEST_DATA!B14000</f>
        <v/>
      </c>
      <c r="C14000">
        <f>TEST_DATA!C14000</f>
        <v/>
      </c>
      <c r="D14000">
        <f>TEST_DATA!D14000</f>
        <v/>
      </c>
      <c r="E14000">
        <f>TEST_DATA!E14000</f>
        <v/>
      </c>
    </row>
    <row r="14001">
      <c r="A14001">
        <f>TEST_DATA!A14001</f>
        <v/>
      </c>
      <c r="B14001">
        <f>TEST_DATA!B14001</f>
        <v/>
      </c>
      <c r="C14001">
        <f>TEST_DATA!C14001</f>
        <v/>
      </c>
      <c r="D14001">
        <f>TEST_DATA!D14001</f>
        <v/>
      </c>
      <c r="E14001">
        <f>TEST_DATA!E14001</f>
        <v/>
      </c>
    </row>
    <row r="14002">
      <c r="A14002">
        <f>TEST_DATA!A14002</f>
        <v/>
      </c>
      <c r="B14002">
        <f>TEST_DATA!B14002</f>
        <v/>
      </c>
      <c r="C14002">
        <f>TEST_DATA!C14002</f>
        <v/>
      </c>
      <c r="D14002">
        <f>TEST_DATA!D14002</f>
        <v/>
      </c>
      <c r="E14002">
        <f>TEST_DATA!E14002</f>
        <v/>
      </c>
    </row>
    <row r="14003">
      <c r="A14003">
        <f>TEST_DATA!A14003</f>
        <v/>
      </c>
      <c r="B14003">
        <f>TEST_DATA!B14003</f>
        <v/>
      </c>
      <c r="C14003">
        <f>TEST_DATA!C14003</f>
        <v/>
      </c>
      <c r="D14003">
        <f>TEST_DATA!D14003</f>
        <v/>
      </c>
      <c r="E14003">
        <f>TEST_DATA!E14003</f>
        <v/>
      </c>
    </row>
    <row r="14004">
      <c r="A14004">
        <f>TEST_DATA!A14004</f>
        <v/>
      </c>
      <c r="B14004">
        <f>TEST_DATA!B14004</f>
        <v/>
      </c>
      <c r="C14004">
        <f>TEST_DATA!C14004</f>
        <v/>
      </c>
      <c r="D14004">
        <f>TEST_DATA!D14004</f>
        <v/>
      </c>
      <c r="E14004">
        <f>TEST_DATA!E14004</f>
        <v/>
      </c>
    </row>
    <row r="14005">
      <c r="A14005">
        <f>TEST_DATA!A14005</f>
        <v/>
      </c>
      <c r="B14005">
        <f>TEST_DATA!B14005</f>
        <v/>
      </c>
      <c r="C14005">
        <f>TEST_DATA!C14005</f>
        <v/>
      </c>
      <c r="D14005">
        <f>TEST_DATA!D14005</f>
        <v/>
      </c>
      <c r="E14005">
        <f>TEST_DATA!E14005</f>
        <v/>
      </c>
    </row>
    <row r="14006">
      <c r="A14006">
        <f>TEST_DATA!A14006</f>
        <v/>
      </c>
      <c r="B14006">
        <f>TEST_DATA!B14006</f>
        <v/>
      </c>
      <c r="C14006">
        <f>TEST_DATA!C14006</f>
        <v/>
      </c>
      <c r="D14006">
        <f>TEST_DATA!D14006</f>
        <v/>
      </c>
      <c r="E14006">
        <f>TEST_DATA!E14006</f>
        <v/>
      </c>
    </row>
    <row r="14007">
      <c r="A14007">
        <f>TEST_DATA!A14007</f>
        <v/>
      </c>
      <c r="B14007">
        <f>TEST_DATA!B14007</f>
        <v/>
      </c>
      <c r="C14007">
        <f>TEST_DATA!C14007</f>
        <v/>
      </c>
      <c r="D14007">
        <f>TEST_DATA!D14007</f>
        <v/>
      </c>
      <c r="E14007">
        <f>TEST_DATA!E14007</f>
        <v/>
      </c>
    </row>
    <row r="14008">
      <c r="A14008">
        <f>TEST_DATA!A14008</f>
        <v/>
      </c>
      <c r="B14008">
        <f>TEST_DATA!B14008</f>
        <v/>
      </c>
      <c r="C14008">
        <f>TEST_DATA!C14008</f>
        <v/>
      </c>
      <c r="D14008">
        <f>TEST_DATA!D14008</f>
        <v/>
      </c>
      <c r="E14008">
        <f>TEST_DATA!E14008</f>
        <v/>
      </c>
    </row>
    <row r="14009">
      <c r="A14009">
        <f>TEST_DATA!A14009</f>
        <v/>
      </c>
      <c r="B14009">
        <f>TEST_DATA!B14009</f>
        <v/>
      </c>
      <c r="C14009">
        <f>TEST_DATA!C14009</f>
        <v/>
      </c>
      <c r="D14009">
        <f>TEST_DATA!D14009</f>
        <v/>
      </c>
      <c r="E14009">
        <f>TEST_DATA!E14009</f>
        <v/>
      </c>
    </row>
    <row r="14010">
      <c r="A14010">
        <f>TEST_DATA!A14010</f>
        <v/>
      </c>
      <c r="B14010">
        <f>TEST_DATA!B14010</f>
        <v/>
      </c>
      <c r="C14010">
        <f>TEST_DATA!C14010</f>
        <v/>
      </c>
      <c r="D14010">
        <f>TEST_DATA!D14010</f>
        <v/>
      </c>
      <c r="E14010">
        <f>TEST_DATA!E14010</f>
        <v/>
      </c>
    </row>
    <row r="14011">
      <c r="A14011">
        <f>TEST_DATA!A14011</f>
        <v/>
      </c>
      <c r="B14011">
        <f>TEST_DATA!B14011</f>
        <v/>
      </c>
      <c r="C14011">
        <f>TEST_DATA!C14011</f>
        <v/>
      </c>
      <c r="D14011">
        <f>TEST_DATA!D14011</f>
        <v/>
      </c>
      <c r="E14011">
        <f>TEST_DATA!E14011</f>
        <v/>
      </c>
    </row>
    <row r="14012">
      <c r="A14012">
        <f>TEST_DATA!A14012</f>
        <v/>
      </c>
      <c r="B14012">
        <f>TEST_DATA!B14012</f>
        <v/>
      </c>
      <c r="C14012">
        <f>TEST_DATA!C14012</f>
        <v/>
      </c>
      <c r="D14012">
        <f>TEST_DATA!D14012</f>
        <v/>
      </c>
      <c r="E14012">
        <f>TEST_DATA!E14012</f>
        <v/>
      </c>
    </row>
    <row r="14013">
      <c r="A14013">
        <f>TEST_DATA!A14013</f>
        <v/>
      </c>
      <c r="B14013">
        <f>TEST_DATA!B14013</f>
        <v/>
      </c>
      <c r="C14013">
        <f>TEST_DATA!C14013</f>
        <v/>
      </c>
      <c r="D14013">
        <f>TEST_DATA!D14013</f>
        <v/>
      </c>
      <c r="E14013">
        <f>TEST_DATA!E14013</f>
        <v/>
      </c>
    </row>
    <row r="14014">
      <c r="A14014">
        <f>TEST_DATA!A14014</f>
        <v/>
      </c>
      <c r="B14014">
        <f>TEST_DATA!B14014</f>
        <v/>
      </c>
      <c r="C14014">
        <f>TEST_DATA!C14014</f>
        <v/>
      </c>
      <c r="D14014">
        <f>TEST_DATA!D14014</f>
        <v/>
      </c>
      <c r="E14014">
        <f>TEST_DATA!E14014</f>
        <v/>
      </c>
    </row>
    <row r="14015">
      <c r="A14015">
        <f>TEST_DATA!A14015</f>
        <v/>
      </c>
      <c r="B14015">
        <f>TEST_DATA!B14015</f>
        <v/>
      </c>
      <c r="C14015">
        <f>TEST_DATA!C14015</f>
        <v/>
      </c>
      <c r="D14015">
        <f>TEST_DATA!D14015</f>
        <v/>
      </c>
      <c r="E14015">
        <f>TEST_DATA!E14015</f>
        <v/>
      </c>
    </row>
    <row r="14016">
      <c r="A14016">
        <f>TEST_DATA!A14016</f>
        <v/>
      </c>
      <c r="B14016">
        <f>TEST_DATA!B14016</f>
        <v/>
      </c>
      <c r="C14016">
        <f>TEST_DATA!C14016</f>
        <v/>
      </c>
      <c r="D14016">
        <f>TEST_DATA!D14016</f>
        <v/>
      </c>
      <c r="E14016">
        <f>TEST_DATA!E14016</f>
        <v/>
      </c>
    </row>
    <row r="14017">
      <c r="A14017">
        <f>TEST_DATA!A14017</f>
        <v/>
      </c>
      <c r="B14017">
        <f>TEST_DATA!B14017</f>
        <v/>
      </c>
      <c r="C14017">
        <f>TEST_DATA!C14017</f>
        <v/>
      </c>
      <c r="D14017">
        <f>TEST_DATA!D14017</f>
        <v/>
      </c>
      <c r="E14017">
        <f>TEST_DATA!E14017</f>
        <v/>
      </c>
    </row>
    <row r="14018">
      <c r="A14018">
        <f>TEST_DATA!A14018</f>
        <v/>
      </c>
      <c r="B14018">
        <f>TEST_DATA!B14018</f>
        <v/>
      </c>
      <c r="C14018">
        <f>TEST_DATA!C14018</f>
        <v/>
      </c>
      <c r="D14018">
        <f>TEST_DATA!D14018</f>
        <v/>
      </c>
      <c r="E14018">
        <f>TEST_DATA!E14018</f>
        <v/>
      </c>
    </row>
    <row r="14019">
      <c r="A14019">
        <f>TEST_DATA!A14019</f>
        <v/>
      </c>
      <c r="B14019">
        <f>TEST_DATA!B14019</f>
        <v/>
      </c>
      <c r="C14019">
        <f>TEST_DATA!C14019</f>
        <v/>
      </c>
      <c r="D14019">
        <f>TEST_DATA!D14019</f>
        <v/>
      </c>
      <c r="E14019">
        <f>TEST_DATA!E14019</f>
        <v/>
      </c>
    </row>
    <row r="14020">
      <c r="A14020">
        <f>TEST_DATA!A14020</f>
        <v/>
      </c>
      <c r="B14020">
        <f>TEST_DATA!B14020</f>
        <v/>
      </c>
      <c r="C14020">
        <f>TEST_DATA!C14020</f>
        <v/>
      </c>
      <c r="D14020">
        <f>TEST_DATA!D14020</f>
        <v/>
      </c>
      <c r="E14020">
        <f>TEST_DATA!E14020</f>
        <v/>
      </c>
    </row>
    <row r="14021">
      <c r="A14021">
        <f>TEST_DATA!A14021</f>
        <v/>
      </c>
      <c r="B14021">
        <f>TEST_DATA!B14021</f>
        <v/>
      </c>
      <c r="C14021">
        <f>TEST_DATA!C14021</f>
        <v/>
      </c>
      <c r="D14021">
        <f>TEST_DATA!D14021</f>
        <v/>
      </c>
      <c r="E14021">
        <f>TEST_DATA!E14021</f>
        <v/>
      </c>
    </row>
    <row r="14022">
      <c r="A14022">
        <f>TEST_DATA!A14022</f>
        <v/>
      </c>
      <c r="B14022">
        <f>TEST_DATA!B14022</f>
        <v/>
      </c>
      <c r="C14022">
        <f>TEST_DATA!C14022</f>
        <v/>
      </c>
      <c r="D14022">
        <f>TEST_DATA!D14022</f>
        <v/>
      </c>
      <c r="E14022">
        <f>TEST_DATA!E14022</f>
        <v/>
      </c>
    </row>
    <row r="14023">
      <c r="A14023">
        <f>TEST_DATA!A14023</f>
        <v/>
      </c>
      <c r="B14023">
        <f>TEST_DATA!B14023</f>
        <v/>
      </c>
      <c r="C14023">
        <f>TEST_DATA!C14023</f>
        <v/>
      </c>
      <c r="D14023">
        <f>TEST_DATA!D14023</f>
        <v/>
      </c>
      <c r="E14023">
        <f>TEST_DATA!E14023</f>
        <v/>
      </c>
    </row>
    <row r="14024">
      <c r="A14024">
        <f>TEST_DATA!A14024</f>
        <v/>
      </c>
      <c r="B14024">
        <f>TEST_DATA!B14024</f>
        <v/>
      </c>
      <c r="C14024">
        <f>TEST_DATA!C14024</f>
        <v/>
      </c>
      <c r="D14024">
        <f>TEST_DATA!D14024</f>
        <v/>
      </c>
      <c r="E14024">
        <f>TEST_DATA!E14024</f>
        <v/>
      </c>
    </row>
    <row r="14025">
      <c r="A14025">
        <f>TEST_DATA!A14025</f>
        <v/>
      </c>
      <c r="B14025">
        <f>TEST_DATA!B14025</f>
        <v/>
      </c>
      <c r="C14025">
        <f>TEST_DATA!C14025</f>
        <v/>
      </c>
      <c r="D14025">
        <f>TEST_DATA!D14025</f>
        <v/>
      </c>
      <c r="E14025">
        <f>TEST_DATA!E14025</f>
        <v/>
      </c>
    </row>
    <row r="14026">
      <c r="A14026">
        <f>TEST_DATA!A14026</f>
        <v/>
      </c>
      <c r="B14026">
        <f>TEST_DATA!B14026</f>
        <v/>
      </c>
      <c r="C14026">
        <f>TEST_DATA!C14026</f>
        <v/>
      </c>
      <c r="D14026">
        <f>TEST_DATA!D14026</f>
        <v/>
      </c>
      <c r="E14026">
        <f>TEST_DATA!E14026</f>
        <v/>
      </c>
    </row>
    <row r="14027">
      <c r="A14027">
        <f>TEST_DATA!A14027</f>
        <v/>
      </c>
      <c r="B14027">
        <f>TEST_DATA!B14027</f>
        <v/>
      </c>
      <c r="C14027">
        <f>TEST_DATA!C14027</f>
        <v/>
      </c>
      <c r="D14027">
        <f>TEST_DATA!D14027</f>
        <v/>
      </c>
      <c r="E14027">
        <f>TEST_DATA!E14027</f>
        <v/>
      </c>
    </row>
    <row r="14028">
      <c r="A14028">
        <f>TEST_DATA!A14028</f>
        <v/>
      </c>
      <c r="B14028">
        <f>TEST_DATA!B14028</f>
        <v/>
      </c>
      <c r="C14028">
        <f>TEST_DATA!C14028</f>
        <v/>
      </c>
      <c r="D14028">
        <f>TEST_DATA!D14028</f>
        <v/>
      </c>
      <c r="E14028">
        <f>TEST_DATA!E14028</f>
        <v/>
      </c>
    </row>
    <row r="14029">
      <c r="A14029">
        <f>TEST_DATA!A14029</f>
        <v/>
      </c>
      <c r="B14029">
        <f>TEST_DATA!B14029</f>
        <v/>
      </c>
      <c r="C14029">
        <f>TEST_DATA!C14029</f>
        <v/>
      </c>
      <c r="D14029">
        <f>TEST_DATA!D14029</f>
        <v/>
      </c>
      <c r="E14029">
        <f>TEST_DATA!E14029</f>
        <v/>
      </c>
    </row>
    <row r="14030">
      <c r="A14030">
        <f>TEST_DATA!A14030</f>
        <v/>
      </c>
      <c r="B14030">
        <f>TEST_DATA!B14030</f>
        <v/>
      </c>
      <c r="C14030">
        <f>TEST_DATA!C14030</f>
        <v/>
      </c>
      <c r="D14030">
        <f>TEST_DATA!D14030</f>
        <v/>
      </c>
      <c r="E14030">
        <f>TEST_DATA!E14030</f>
        <v/>
      </c>
    </row>
    <row r="14031">
      <c r="A14031">
        <f>TEST_DATA!A14031</f>
        <v/>
      </c>
      <c r="B14031">
        <f>TEST_DATA!B14031</f>
        <v/>
      </c>
      <c r="C14031">
        <f>TEST_DATA!C14031</f>
        <v/>
      </c>
      <c r="D14031">
        <f>TEST_DATA!D14031</f>
        <v/>
      </c>
      <c r="E14031">
        <f>TEST_DATA!E14031</f>
        <v/>
      </c>
    </row>
    <row r="14032">
      <c r="A14032">
        <f>TEST_DATA!A14032</f>
        <v/>
      </c>
      <c r="B14032">
        <f>TEST_DATA!B14032</f>
        <v/>
      </c>
      <c r="C14032">
        <f>TEST_DATA!C14032</f>
        <v/>
      </c>
      <c r="D14032">
        <f>TEST_DATA!D14032</f>
        <v/>
      </c>
      <c r="E14032">
        <f>TEST_DATA!E14032</f>
        <v/>
      </c>
    </row>
    <row r="14033">
      <c r="A14033">
        <f>TEST_DATA!A14033</f>
        <v/>
      </c>
      <c r="B14033">
        <f>TEST_DATA!B14033</f>
        <v/>
      </c>
      <c r="C14033">
        <f>TEST_DATA!C14033</f>
        <v/>
      </c>
      <c r="D14033">
        <f>TEST_DATA!D14033</f>
        <v/>
      </c>
      <c r="E14033">
        <f>TEST_DATA!E14033</f>
        <v/>
      </c>
    </row>
    <row r="14034">
      <c r="A14034">
        <f>TEST_DATA!A14034</f>
        <v/>
      </c>
      <c r="B14034">
        <f>TEST_DATA!B14034</f>
        <v/>
      </c>
      <c r="C14034">
        <f>TEST_DATA!C14034</f>
        <v/>
      </c>
      <c r="D14034">
        <f>TEST_DATA!D14034</f>
        <v/>
      </c>
      <c r="E14034">
        <f>TEST_DATA!E14034</f>
        <v/>
      </c>
    </row>
    <row r="14035">
      <c r="A14035">
        <f>TEST_DATA!A14035</f>
        <v/>
      </c>
      <c r="B14035">
        <f>TEST_DATA!B14035</f>
        <v/>
      </c>
      <c r="C14035">
        <f>TEST_DATA!C14035</f>
        <v/>
      </c>
      <c r="D14035">
        <f>TEST_DATA!D14035</f>
        <v/>
      </c>
      <c r="E14035">
        <f>TEST_DATA!E14035</f>
        <v/>
      </c>
    </row>
    <row r="14036">
      <c r="A14036">
        <f>TEST_DATA!A14036</f>
        <v/>
      </c>
      <c r="B14036">
        <f>TEST_DATA!B14036</f>
        <v/>
      </c>
      <c r="C14036">
        <f>TEST_DATA!C14036</f>
        <v/>
      </c>
      <c r="D14036">
        <f>TEST_DATA!D14036</f>
        <v/>
      </c>
      <c r="E14036">
        <f>TEST_DATA!E14036</f>
        <v/>
      </c>
    </row>
    <row r="14037">
      <c r="A14037">
        <f>TEST_DATA!A14037</f>
        <v/>
      </c>
      <c r="B14037">
        <f>TEST_DATA!B14037</f>
        <v/>
      </c>
      <c r="C14037">
        <f>TEST_DATA!C14037</f>
        <v/>
      </c>
      <c r="D14037">
        <f>TEST_DATA!D14037</f>
        <v/>
      </c>
      <c r="E14037">
        <f>TEST_DATA!E14037</f>
        <v/>
      </c>
    </row>
    <row r="14038">
      <c r="A14038">
        <f>TEST_DATA!A14038</f>
        <v/>
      </c>
      <c r="B14038">
        <f>TEST_DATA!B14038</f>
        <v/>
      </c>
      <c r="C14038">
        <f>TEST_DATA!C14038</f>
        <v/>
      </c>
      <c r="D14038">
        <f>TEST_DATA!D14038</f>
        <v/>
      </c>
      <c r="E14038">
        <f>TEST_DATA!E14038</f>
        <v/>
      </c>
    </row>
    <row r="14039">
      <c r="A14039">
        <f>TEST_DATA!A14039</f>
        <v/>
      </c>
      <c r="B14039">
        <f>TEST_DATA!B14039</f>
        <v/>
      </c>
      <c r="C14039">
        <f>TEST_DATA!C14039</f>
        <v/>
      </c>
      <c r="D14039">
        <f>TEST_DATA!D14039</f>
        <v/>
      </c>
      <c r="E14039">
        <f>TEST_DATA!E14039</f>
        <v/>
      </c>
    </row>
    <row r="14040">
      <c r="A14040">
        <f>TEST_DATA!A14040</f>
        <v/>
      </c>
      <c r="B14040">
        <f>TEST_DATA!B14040</f>
        <v/>
      </c>
      <c r="C14040">
        <f>TEST_DATA!C14040</f>
        <v/>
      </c>
      <c r="D14040">
        <f>TEST_DATA!D14040</f>
        <v/>
      </c>
      <c r="E14040">
        <f>TEST_DATA!E14040</f>
        <v/>
      </c>
    </row>
    <row r="14041">
      <c r="A14041">
        <f>TEST_DATA!A14041</f>
        <v/>
      </c>
      <c r="B14041">
        <f>TEST_DATA!B14041</f>
        <v/>
      </c>
      <c r="C14041">
        <f>TEST_DATA!C14041</f>
        <v/>
      </c>
      <c r="D14041">
        <f>TEST_DATA!D14041</f>
        <v/>
      </c>
      <c r="E14041">
        <f>TEST_DATA!E14041</f>
        <v/>
      </c>
    </row>
    <row r="14042">
      <c r="A14042">
        <f>TEST_DATA!A14042</f>
        <v/>
      </c>
      <c r="B14042">
        <f>TEST_DATA!B14042</f>
        <v/>
      </c>
      <c r="C14042">
        <f>TEST_DATA!C14042</f>
        <v/>
      </c>
      <c r="D14042">
        <f>TEST_DATA!D14042</f>
        <v/>
      </c>
      <c r="E14042">
        <f>TEST_DATA!E14042</f>
        <v/>
      </c>
    </row>
    <row r="14043">
      <c r="A14043">
        <f>TEST_DATA!A14043</f>
        <v/>
      </c>
      <c r="B14043">
        <f>TEST_DATA!B14043</f>
        <v/>
      </c>
      <c r="C14043">
        <f>TEST_DATA!C14043</f>
        <v/>
      </c>
      <c r="D14043">
        <f>TEST_DATA!D14043</f>
        <v/>
      </c>
      <c r="E14043">
        <f>TEST_DATA!E14043</f>
        <v/>
      </c>
    </row>
    <row r="14044">
      <c r="A14044">
        <f>TEST_DATA!A14044</f>
        <v/>
      </c>
      <c r="B14044">
        <f>TEST_DATA!B14044</f>
        <v/>
      </c>
      <c r="C14044">
        <f>TEST_DATA!C14044</f>
        <v/>
      </c>
      <c r="D14044">
        <f>TEST_DATA!D14044</f>
        <v/>
      </c>
      <c r="E14044">
        <f>TEST_DATA!E14044</f>
        <v/>
      </c>
    </row>
    <row r="14045">
      <c r="A14045">
        <f>TEST_DATA!A14045</f>
        <v/>
      </c>
      <c r="B14045">
        <f>TEST_DATA!B14045</f>
        <v/>
      </c>
      <c r="C14045">
        <f>TEST_DATA!C14045</f>
        <v/>
      </c>
      <c r="D14045">
        <f>TEST_DATA!D14045</f>
        <v/>
      </c>
      <c r="E14045">
        <f>TEST_DATA!E14045</f>
        <v/>
      </c>
    </row>
    <row r="14046">
      <c r="A14046">
        <f>TEST_DATA!A14046</f>
        <v/>
      </c>
      <c r="B14046">
        <f>TEST_DATA!B14046</f>
        <v/>
      </c>
      <c r="C14046">
        <f>TEST_DATA!C14046</f>
        <v/>
      </c>
      <c r="D14046">
        <f>TEST_DATA!D14046</f>
        <v/>
      </c>
      <c r="E14046">
        <f>TEST_DATA!E14046</f>
        <v/>
      </c>
    </row>
    <row r="14047">
      <c r="A14047">
        <f>TEST_DATA!A14047</f>
        <v/>
      </c>
      <c r="B14047">
        <f>TEST_DATA!B14047</f>
        <v/>
      </c>
      <c r="C14047">
        <f>TEST_DATA!C14047</f>
        <v/>
      </c>
      <c r="D14047">
        <f>TEST_DATA!D14047</f>
        <v/>
      </c>
      <c r="E14047">
        <f>TEST_DATA!E14047</f>
        <v/>
      </c>
    </row>
    <row r="14048">
      <c r="A14048">
        <f>TEST_DATA!A14048</f>
        <v/>
      </c>
      <c r="B14048">
        <f>TEST_DATA!B14048</f>
        <v/>
      </c>
      <c r="C14048">
        <f>TEST_DATA!C14048</f>
        <v/>
      </c>
      <c r="D14048">
        <f>TEST_DATA!D14048</f>
        <v/>
      </c>
      <c r="E14048">
        <f>TEST_DATA!E14048</f>
        <v/>
      </c>
    </row>
    <row r="14049">
      <c r="A14049">
        <f>TEST_DATA!A14049</f>
        <v/>
      </c>
      <c r="B14049">
        <f>TEST_DATA!B14049</f>
        <v/>
      </c>
      <c r="C14049">
        <f>TEST_DATA!C14049</f>
        <v/>
      </c>
      <c r="D14049">
        <f>TEST_DATA!D14049</f>
        <v/>
      </c>
      <c r="E14049">
        <f>TEST_DATA!E14049</f>
        <v/>
      </c>
    </row>
    <row r="14050">
      <c r="A14050">
        <f>TEST_DATA!A14050</f>
        <v/>
      </c>
      <c r="B14050">
        <f>TEST_DATA!B14050</f>
        <v/>
      </c>
      <c r="C14050">
        <f>TEST_DATA!C14050</f>
        <v/>
      </c>
      <c r="D14050">
        <f>TEST_DATA!D14050</f>
        <v/>
      </c>
      <c r="E14050">
        <f>TEST_DATA!E14050</f>
        <v/>
      </c>
    </row>
    <row r="14051">
      <c r="A14051">
        <f>TEST_DATA!A14051</f>
        <v/>
      </c>
      <c r="B14051">
        <f>TEST_DATA!B14051</f>
        <v/>
      </c>
      <c r="C14051">
        <f>TEST_DATA!C14051</f>
        <v/>
      </c>
      <c r="D14051">
        <f>TEST_DATA!D14051</f>
        <v/>
      </c>
      <c r="E14051">
        <f>TEST_DATA!E14051</f>
        <v/>
      </c>
    </row>
    <row r="14052">
      <c r="A14052">
        <f>TEST_DATA!A14052</f>
        <v/>
      </c>
      <c r="B14052">
        <f>TEST_DATA!B14052</f>
        <v/>
      </c>
      <c r="C14052">
        <f>TEST_DATA!C14052</f>
        <v/>
      </c>
      <c r="D14052">
        <f>TEST_DATA!D14052</f>
        <v/>
      </c>
      <c r="E14052">
        <f>TEST_DATA!E14052</f>
        <v/>
      </c>
    </row>
    <row r="14053">
      <c r="A14053">
        <f>TEST_DATA!A14053</f>
        <v/>
      </c>
      <c r="B14053">
        <f>TEST_DATA!B14053</f>
        <v/>
      </c>
      <c r="C14053">
        <f>TEST_DATA!C14053</f>
        <v/>
      </c>
      <c r="D14053">
        <f>TEST_DATA!D14053</f>
        <v/>
      </c>
      <c r="E14053">
        <f>TEST_DATA!E14053</f>
        <v/>
      </c>
    </row>
    <row r="14054">
      <c r="A14054">
        <f>TEST_DATA!A14054</f>
        <v/>
      </c>
      <c r="B14054">
        <f>TEST_DATA!B14054</f>
        <v/>
      </c>
      <c r="C14054">
        <f>TEST_DATA!C14054</f>
        <v/>
      </c>
      <c r="D14054">
        <f>TEST_DATA!D14054</f>
        <v/>
      </c>
      <c r="E14054">
        <f>TEST_DATA!E14054</f>
        <v/>
      </c>
    </row>
    <row r="14055">
      <c r="A14055">
        <f>TEST_DATA!A14055</f>
        <v/>
      </c>
      <c r="B14055">
        <f>TEST_DATA!B14055</f>
        <v/>
      </c>
      <c r="C14055">
        <f>TEST_DATA!C14055</f>
        <v/>
      </c>
      <c r="D14055">
        <f>TEST_DATA!D14055</f>
        <v/>
      </c>
      <c r="E14055">
        <f>TEST_DATA!E14055</f>
        <v/>
      </c>
    </row>
    <row r="14056">
      <c r="A14056">
        <f>TEST_DATA!A14056</f>
        <v/>
      </c>
      <c r="B14056">
        <f>TEST_DATA!B14056</f>
        <v/>
      </c>
      <c r="C14056">
        <f>TEST_DATA!C14056</f>
        <v/>
      </c>
      <c r="D14056">
        <f>TEST_DATA!D14056</f>
        <v/>
      </c>
      <c r="E14056">
        <f>TEST_DATA!E14056</f>
        <v/>
      </c>
    </row>
    <row r="14057">
      <c r="A14057">
        <f>TEST_DATA!A14057</f>
        <v/>
      </c>
      <c r="B14057">
        <f>TEST_DATA!B14057</f>
        <v/>
      </c>
      <c r="C14057">
        <f>TEST_DATA!C14057</f>
        <v/>
      </c>
      <c r="D14057">
        <f>TEST_DATA!D14057</f>
        <v/>
      </c>
      <c r="E14057">
        <f>TEST_DATA!E14057</f>
        <v/>
      </c>
    </row>
    <row r="14058">
      <c r="A14058">
        <f>TEST_DATA!A14058</f>
        <v/>
      </c>
      <c r="B14058">
        <f>TEST_DATA!B14058</f>
        <v/>
      </c>
      <c r="C14058">
        <f>TEST_DATA!C14058</f>
        <v/>
      </c>
      <c r="D14058">
        <f>TEST_DATA!D14058</f>
        <v/>
      </c>
      <c r="E14058">
        <f>TEST_DATA!E14058</f>
        <v/>
      </c>
    </row>
    <row r="14059">
      <c r="A14059">
        <f>TEST_DATA!A14059</f>
        <v/>
      </c>
      <c r="B14059">
        <f>TEST_DATA!B14059</f>
        <v/>
      </c>
      <c r="C14059">
        <f>TEST_DATA!C14059</f>
        <v/>
      </c>
      <c r="D14059">
        <f>TEST_DATA!D14059</f>
        <v/>
      </c>
      <c r="E14059">
        <f>TEST_DATA!E14059</f>
        <v/>
      </c>
    </row>
    <row r="14060">
      <c r="A14060">
        <f>TEST_DATA!A14060</f>
        <v/>
      </c>
      <c r="B14060">
        <f>TEST_DATA!B14060</f>
        <v/>
      </c>
      <c r="C14060">
        <f>TEST_DATA!C14060</f>
        <v/>
      </c>
      <c r="D14060">
        <f>TEST_DATA!D14060</f>
        <v/>
      </c>
      <c r="E14060">
        <f>TEST_DATA!E14060</f>
        <v/>
      </c>
    </row>
    <row r="14061">
      <c r="A14061">
        <f>TEST_DATA!A14061</f>
        <v/>
      </c>
      <c r="B14061">
        <f>TEST_DATA!B14061</f>
        <v/>
      </c>
      <c r="C14061">
        <f>TEST_DATA!C14061</f>
        <v/>
      </c>
      <c r="D14061">
        <f>TEST_DATA!D14061</f>
        <v/>
      </c>
      <c r="E14061">
        <f>TEST_DATA!E14061</f>
        <v/>
      </c>
    </row>
    <row r="14062">
      <c r="A14062">
        <f>TEST_DATA!A14062</f>
        <v/>
      </c>
      <c r="B14062">
        <f>TEST_DATA!B14062</f>
        <v/>
      </c>
      <c r="C14062">
        <f>TEST_DATA!C14062</f>
        <v/>
      </c>
      <c r="D14062">
        <f>TEST_DATA!D14062</f>
        <v/>
      </c>
      <c r="E14062">
        <f>TEST_DATA!E14062</f>
        <v/>
      </c>
    </row>
    <row r="14063">
      <c r="A14063">
        <f>TEST_DATA!A14063</f>
        <v/>
      </c>
      <c r="B14063">
        <f>TEST_DATA!B14063</f>
        <v/>
      </c>
      <c r="C14063">
        <f>TEST_DATA!C14063</f>
        <v/>
      </c>
      <c r="D14063">
        <f>TEST_DATA!D14063</f>
        <v/>
      </c>
      <c r="E14063">
        <f>TEST_DATA!E14063</f>
        <v/>
      </c>
    </row>
    <row r="14064">
      <c r="A14064">
        <f>TEST_DATA!A14064</f>
        <v/>
      </c>
      <c r="B14064">
        <f>TEST_DATA!B14064</f>
        <v/>
      </c>
      <c r="C14064">
        <f>TEST_DATA!C14064</f>
        <v/>
      </c>
      <c r="D14064">
        <f>TEST_DATA!D14064</f>
        <v/>
      </c>
      <c r="E14064">
        <f>TEST_DATA!E14064</f>
        <v/>
      </c>
    </row>
    <row r="14065">
      <c r="A14065">
        <f>TEST_DATA!A14065</f>
        <v/>
      </c>
      <c r="B14065">
        <f>TEST_DATA!B14065</f>
        <v/>
      </c>
      <c r="C14065">
        <f>TEST_DATA!C14065</f>
        <v/>
      </c>
      <c r="D14065">
        <f>TEST_DATA!D14065</f>
        <v/>
      </c>
      <c r="E14065">
        <f>TEST_DATA!E14065</f>
        <v/>
      </c>
    </row>
    <row r="14066">
      <c r="A14066">
        <f>TEST_DATA!A14066</f>
        <v/>
      </c>
      <c r="B14066">
        <f>TEST_DATA!B14066</f>
        <v/>
      </c>
      <c r="C14066">
        <f>TEST_DATA!C14066</f>
        <v/>
      </c>
      <c r="D14066">
        <f>TEST_DATA!D14066</f>
        <v/>
      </c>
      <c r="E14066">
        <f>TEST_DATA!E14066</f>
        <v/>
      </c>
    </row>
    <row r="14067">
      <c r="A14067">
        <f>TEST_DATA!A14067</f>
        <v/>
      </c>
      <c r="B14067">
        <f>TEST_DATA!B14067</f>
        <v/>
      </c>
      <c r="C14067">
        <f>TEST_DATA!C14067</f>
        <v/>
      </c>
      <c r="D14067">
        <f>TEST_DATA!D14067</f>
        <v/>
      </c>
      <c r="E14067">
        <f>TEST_DATA!E14067</f>
        <v/>
      </c>
    </row>
    <row r="14068">
      <c r="A14068">
        <f>TEST_DATA!A14068</f>
        <v/>
      </c>
      <c r="B14068">
        <f>TEST_DATA!B14068</f>
        <v/>
      </c>
      <c r="C14068">
        <f>TEST_DATA!C14068</f>
        <v/>
      </c>
      <c r="D14068">
        <f>TEST_DATA!D14068</f>
        <v/>
      </c>
      <c r="E14068">
        <f>TEST_DATA!E14068</f>
        <v/>
      </c>
    </row>
    <row r="14069">
      <c r="A14069">
        <f>TEST_DATA!A14069</f>
        <v/>
      </c>
      <c r="B14069">
        <f>TEST_DATA!B14069</f>
        <v/>
      </c>
      <c r="C14069">
        <f>TEST_DATA!C14069</f>
        <v/>
      </c>
      <c r="D14069">
        <f>TEST_DATA!D14069</f>
        <v/>
      </c>
      <c r="E14069">
        <f>TEST_DATA!E14069</f>
        <v/>
      </c>
    </row>
    <row r="14070">
      <c r="A14070">
        <f>TEST_DATA!A14070</f>
        <v/>
      </c>
      <c r="B14070">
        <f>TEST_DATA!B14070</f>
        <v/>
      </c>
      <c r="C14070">
        <f>TEST_DATA!C14070</f>
        <v/>
      </c>
      <c r="D14070">
        <f>TEST_DATA!D14070</f>
        <v/>
      </c>
      <c r="E14070">
        <f>TEST_DATA!E14070</f>
        <v/>
      </c>
    </row>
    <row r="14071">
      <c r="A14071">
        <f>TEST_DATA!A14071</f>
        <v/>
      </c>
      <c r="B14071">
        <f>TEST_DATA!B14071</f>
        <v/>
      </c>
      <c r="C14071">
        <f>TEST_DATA!C14071</f>
        <v/>
      </c>
      <c r="D14071">
        <f>TEST_DATA!D14071</f>
        <v/>
      </c>
      <c r="E14071">
        <f>TEST_DATA!E14071</f>
        <v/>
      </c>
    </row>
    <row r="14072">
      <c r="A14072">
        <f>TEST_DATA!A14072</f>
        <v/>
      </c>
      <c r="B14072">
        <f>TEST_DATA!B14072</f>
        <v/>
      </c>
      <c r="C14072">
        <f>TEST_DATA!C14072</f>
        <v/>
      </c>
      <c r="D14072">
        <f>TEST_DATA!D14072</f>
        <v/>
      </c>
      <c r="E14072">
        <f>TEST_DATA!E14072</f>
        <v/>
      </c>
    </row>
    <row r="14073">
      <c r="A14073">
        <f>TEST_DATA!A14073</f>
        <v/>
      </c>
      <c r="B14073">
        <f>TEST_DATA!B14073</f>
        <v/>
      </c>
      <c r="C14073">
        <f>TEST_DATA!C14073</f>
        <v/>
      </c>
      <c r="D14073">
        <f>TEST_DATA!D14073</f>
        <v/>
      </c>
      <c r="E14073">
        <f>TEST_DATA!E14073</f>
        <v/>
      </c>
    </row>
    <row r="14074">
      <c r="A14074">
        <f>TEST_DATA!A14074</f>
        <v/>
      </c>
      <c r="B14074">
        <f>TEST_DATA!B14074</f>
        <v/>
      </c>
      <c r="C14074">
        <f>TEST_DATA!C14074</f>
        <v/>
      </c>
      <c r="D14074">
        <f>TEST_DATA!D14074</f>
        <v/>
      </c>
      <c r="E14074">
        <f>TEST_DATA!E14074</f>
        <v/>
      </c>
    </row>
    <row r="14075">
      <c r="A14075">
        <f>TEST_DATA!A14075</f>
        <v/>
      </c>
      <c r="B14075">
        <f>TEST_DATA!B14075</f>
        <v/>
      </c>
      <c r="C14075">
        <f>TEST_DATA!C14075</f>
        <v/>
      </c>
      <c r="D14075">
        <f>TEST_DATA!D14075</f>
        <v/>
      </c>
      <c r="E14075">
        <f>TEST_DATA!E14075</f>
        <v/>
      </c>
    </row>
    <row r="14076">
      <c r="A14076">
        <f>TEST_DATA!A14076</f>
        <v/>
      </c>
      <c r="B14076">
        <f>TEST_DATA!B14076</f>
        <v/>
      </c>
      <c r="C14076">
        <f>TEST_DATA!C14076</f>
        <v/>
      </c>
      <c r="D14076">
        <f>TEST_DATA!D14076</f>
        <v/>
      </c>
      <c r="E14076">
        <f>TEST_DATA!E14076</f>
        <v/>
      </c>
    </row>
    <row r="14077">
      <c r="A14077">
        <f>TEST_DATA!A14077</f>
        <v/>
      </c>
      <c r="B14077">
        <f>TEST_DATA!B14077</f>
        <v/>
      </c>
      <c r="C14077">
        <f>TEST_DATA!C14077</f>
        <v/>
      </c>
      <c r="D14077">
        <f>TEST_DATA!D14077</f>
        <v/>
      </c>
      <c r="E14077">
        <f>TEST_DATA!E14077</f>
        <v/>
      </c>
    </row>
    <row r="14078">
      <c r="A14078">
        <f>TEST_DATA!A14078</f>
        <v/>
      </c>
      <c r="B14078">
        <f>TEST_DATA!B14078</f>
        <v/>
      </c>
      <c r="C14078">
        <f>TEST_DATA!C14078</f>
        <v/>
      </c>
      <c r="D14078">
        <f>TEST_DATA!D14078</f>
        <v/>
      </c>
      <c r="E14078">
        <f>TEST_DATA!E14078</f>
        <v/>
      </c>
    </row>
    <row r="14079">
      <c r="A14079">
        <f>TEST_DATA!A14079</f>
        <v/>
      </c>
      <c r="B14079">
        <f>TEST_DATA!B14079</f>
        <v/>
      </c>
      <c r="C14079">
        <f>TEST_DATA!C14079</f>
        <v/>
      </c>
      <c r="D14079">
        <f>TEST_DATA!D14079</f>
        <v/>
      </c>
      <c r="E14079">
        <f>TEST_DATA!E14079</f>
        <v/>
      </c>
    </row>
    <row r="14080">
      <c r="A14080">
        <f>TEST_DATA!A14080</f>
        <v/>
      </c>
      <c r="B14080">
        <f>TEST_DATA!B14080</f>
        <v/>
      </c>
      <c r="C14080">
        <f>TEST_DATA!C14080</f>
        <v/>
      </c>
      <c r="D14080">
        <f>TEST_DATA!D14080</f>
        <v/>
      </c>
      <c r="E14080">
        <f>TEST_DATA!E14080</f>
        <v/>
      </c>
    </row>
    <row r="14081">
      <c r="A14081">
        <f>TEST_DATA!A14081</f>
        <v/>
      </c>
      <c r="B14081">
        <f>TEST_DATA!B14081</f>
        <v/>
      </c>
      <c r="C14081">
        <f>TEST_DATA!C14081</f>
        <v/>
      </c>
      <c r="D14081">
        <f>TEST_DATA!D14081</f>
        <v/>
      </c>
      <c r="E14081">
        <f>TEST_DATA!E14081</f>
        <v/>
      </c>
    </row>
    <row r="14082">
      <c r="A14082">
        <f>TEST_DATA!A14082</f>
        <v/>
      </c>
      <c r="B14082">
        <f>TEST_DATA!B14082</f>
        <v/>
      </c>
      <c r="C14082">
        <f>TEST_DATA!C14082</f>
        <v/>
      </c>
      <c r="D14082">
        <f>TEST_DATA!D14082</f>
        <v/>
      </c>
      <c r="E14082">
        <f>TEST_DATA!E14082</f>
        <v/>
      </c>
    </row>
    <row r="14083">
      <c r="A14083">
        <f>TEST_DATA!A14083</f>
        <v/>
      </c>
      <c r="B14083">
        <f>TEST_DATA!B14083</f>
        <v/>
      </c>
      <c r="C14083">
        <f>TEST_DATA!C14083</f>
        <v/>
      </c>
      <c r="D14083">
        <f>TEST_DATA!D14083</f>
        <v/>
      </c>
      <c r="E14083">
        <f>TEST_DATA!E14083</f>
        <v/>
      </c>
    </row>
    <row r="14084">
      <c r="A14084">
        <f>TEST_DATA!A14084</f>
        <v/>
      </c>
      <c r="B14084">
        <f>TEST_DATA!B14084</f>
        <v/>
      </c>
      <c r="C14084">
        <f>TEST_DATA!C14084</f>
        <v/>
      </c>
      <c r="D14084">
        <f>TEST_DATA!D14084</f>
        <v/>
      </c>
      <c r="E14084">
        <f>TEST_DATA!E14084</f>
        <v/>
      </c>
    </row>
    <row r="14085">
      <c r="A14085">
        <f>TEST_DATA!A14085</f>
        <v/>
      </c>
      <c r="B14085">
        <f>TEST_DATA!B14085</f>
        <v/>
      </c>
      <c r="C14085">
        <f>TEST_DATA!C14085</f>
        <v/>
      </c>
      <c r="D14085">
        <f>TEST_DATA!D14085</f>
        <v/>
      </c>
      <c r="E14085">
        <f>TEST_DATA!E14085</f>
        <v/>
      </c>
    </row>
    <row r="14086">
      <c r="A14086">
        <f>TEST_DATA!A14086</f>
        <v/>
      </c>
      <c r="B14086">
        <f>TEST_DATA!B14086</f>
        <v/>
      </c>
      <c r="C14086">
        <f>TEST_DATA!C14086</f>
        <v/>
      </c>
      <c r="D14086">
        <f>TEST_DATA!D14086</f>
        <v/>
      </c>
      <c r="E14086">
        <f>TEST_DATA!E14086</f>
        <v/>
      </c>
    </row>
    <row r="14087">
      <c r="A14087">
        <f>TEST_DATA!A14087</f>
        <v/>
      </c>
      <c r="B14087">
        <f>TEST_DATA!B14087</f>
        <v/>
      </c>
      <c r="C14087">
        <f>TEST_DATA!C14087</f>
        <v/>
      </c>
      <c r="D14087">
        <f>TEST_DATA!D14087</f>
        <v/>
      </c>
      <c r="E14087">
        <f>TEST_DATA!E14087</f>
        <v/>
      </c>
    </row>
    <row r="14088">
      <c r="A14088">
        <f>TEST_DATA!A14088</f>
        <v/>
      </c>
      <c r="B14088">
        <f>TEST_DATA!B14088</f>
        <v/>
      </c>
      <c r="C14088">
        <f>TEST_DATA!C14088</f>
        <v/>
      </c>
      <c r="D14088">
        <f>TEST_DATA!D14088</f>
        <v/>
      </c>
      <c r="E14088">
        <f>TEST_DATA!E14088</f>
        <v/>
      </c>
    </row>
    <row r="14089">
      <c r="A14089">
        <f>TEST_DATA!A14089</f>
        <v/>
      </c>
      <c r="B14089">
        <f>TEST_DATA!B14089</f>
        <v/>
      </c>
      <c r="C14089">
        <f>TEST_DATA!C14089</f>
        <v/>
      </c>
      <c r="D14089">
        <f>TEST_DATA!D14089</f>
        <v/>
      </c>
      <c r="E14089">
        <f>TEST_DATA!E14089</f>
        <v/>
      </c>
    </row>
    <row r="14090">
      <c r="A14090">
        <f>TEST_DATA!A14090</f>
        <v/>
      </c>
      <c r="B14090">
        <f>TEST_DATA!B14090</f>
        <v/>
      </c>
      <c r="C14090">
        <f>TEST_DATA!C14090</f>
        <v/>
      </c>
      <c r="D14090">
        <f>TEST_DATA!D14090</f>
        <v/>
      </c>
      <c r="E14090">
        <f>TEST_DATA!E14090</f>
        <v/>
      </c>
    </row>
    <row r="14091">
      <c r="A14091">
        <f>TEST_DATA!A14091</f>
        <v/>
      </c>
      <c r="B14091">
        <f>TEST_DATA!B14091</f>
        <v/>
      </c>
      <c r="C14091">
        <f>TEST_DATA!C14091</f>
        <v/>
      </c>
      <c r="D14091">
        <f>TEST_DATA!D14091</f>
        <v/>
      </c>
      <c r="E14091">
        <f>TEST_DATA!E14091</f>
        <v/>
      </c>
    </row>
    <row r="14092">
      <c r="A14092">
        <f>TEST_DATA!A14092</f>
        <v/>
      </c>
      <c r="B14092">
        <f>TEST_DATA!B14092</f>
        <v/>
      </c>
      <c r="C14092">
        <f>TEST_DATA!C14092</f>
        <v/>
      </c>
      <c r="D14092">
        <f>TEST_DATA!D14092</f>
        <v/>
      </c>
      <c r="E14092">
        <f>TEST_DATA!E14092</f>
        <v/>
      </c>
    </row>
    <row r="14093">
      <c r="A14093">
        <f>TEST_DATA!A14093</f>
        <v/>
      </c>
      <c r="B14093">
        <f>TEST_DATA!B14093</f>
        <v/>
      </c>
      <c r="C14093">
        <f>TEST_DATA!C14093</f>
        <v/>
      </c>
      <c r="D14093">
        <f>TEST_DATA!D14093</f>
        <v/>
      </c>
      <c r="E14093">
        <f>TEST_DATA!E14093</f>
        <v/>
      </c>
    </row>
    <row r="14094">
      <c r="A14094">
        <f>TEST_DATA!A14094</f>
        <v/>
      </c>
      <c r="B14094">
        <f>TEST_DATA!B14094</f>
        <v/>
      </c>
      <c r="C14094">
        <f>TEST_DATA!C14094</f>
        <v/>
      </c>
      <c r="D14094">
        <f>TEST_DATA!D14094</f>
        <v/>
      </c>
      <c r="E14094">
        <f>TEST_DATA!E14094</f>
        <v/>
      </c>
    </row>
    <row r="14095">
      <c r="A14095">
        <f>TEST_DATA!A14095</f>
        <v/>
      </c>
      <c r="B14095">
        <f>TEST_DATA!B14095</f>
        <v/>
      </c>
      <c r="C14095">
        <f>TEST_DATA!C14095</f>
        <v/>
      </c>
      <c r="D14095">
        <f>TEST_DATA!D14095</f>
        <v/>
      </c>
      <c r="E14095">
        <f>TEST_DATA!E14095</f>
        <v/>
      </c>
    </row>
    <row r="14096">
      <c r="A14096">
        <f>TEST_DATA!A14096</f>
        <v/>
      </c>
      <c r="B14096">
        <f>TEST_DATA!B14096</f>
        <v/>
      </c>
      <c r="C14096">
        <f>TEST_DATA!C14096</f>
        <v/>
      </c>
      <c r="D14096">
        <f>TEST_DATA!D14096</f>
        <v/>
      </c>
      <c r="E14096">
        <f>TEST_DATA!E14096</f>
        <v/>
      </c>
    </row>
    <row r="14097">
      <c r="A14097">
        <f>TEST_DATA!A14097</f>
        <v/>
      </c>
      <c r="B14097">
        <f>TEST_DATA!B14097</f>
        <v/>
      </c>
      <c r="C14097">
        <f>TEST_DATA!C14097</f>
        <v/>
      </c>
      <c r="D14097">
        <f>TEST_DATA!D14097</f>
        <v/>
      </c>
      <c r="E14097">
        <f>TEST_DATA!E14097</f>
        <v/>
      </c>
    </row>
    <row r="14098">
      <c r="A14098">
        <f>TEST_DATA!A14098</f>
        <v/>
      </c>
      <c r="B14098">
        <f>TEST_DATA!B14098</f>
        <v/>
      </c>
      <c r="C14098">
        <f>TEST_DATA!C14098</f>
        <v/>
      </c>
      <c r="D14098">
        <f>TEST_DATA!D14098</f>
        <v/>
      </c>
      <c r="E14098">
        <f>TEST_DATA!E14098</f>
        <v/>
      </c>
    </row>
    <row r="14099">
      <c r="A14099">
        <f>TEST_DATA!A14099</f>
        <v/>
      </c>
      <c r="B14099">
        <f>TEST_DATA!B14099</f>
        <v/>
      </c>
      <c r="C14099">
        <f>TEST_DATA!C14099</f>
        <v/>
      </c>
      <c r="D14099">
        <f>TEST_DATA!D14099</f>
        <v/>
      </c>
      <c r="E14099">
        <f>TEST_DATA!E14099</f>
        <v/>
      </c>
    </row>
    <row r="14100">
      <c r="A14100">
        <f>TEST_DATA!A14100</f>
        <v/>
      </c>
      <c r="B14100">
        <f>TEST_DATA!B14100</f>
        <v/>
      </c>
      <c r="C14100">
        <f>TEST_DATA!C14100</f>
        <v/>
      </c>
      <c r="D14100">
        <f>TEST_DATA!D14100</f>
        <v/>
      </c>
      <c r="E14100">
        <f>TEST_DATA!E14100</f>
        <v/>
      </c>
    </row>
    <row r="14101">
      <c r="A14101">
        <f>TEST_DATA!A14101</f>
        <v/>
      </c>
      <c r="B14101">
        <f>TEST_DATA!B14101</f>
        <v/>
      </c>
      <c r="C14101">
        <f>TEST_DATA!C14101</f>
        <v/>
      </c>
      <c r="D14101">
        <f>TEST_DATA!D14101</f>
        <v/>
      </c>
      <c r="E14101">
        <f>TEST_DATA!E14101</f>
        <v/>
      </c>
    </row>
    <row r="14102">
      <c r="A14102">
        <f>TEST_DATA!A14102</f>
        <v/>
      </c>
      <c r="B14102">
        <f>TEST_DATA!B14102</f>
        <v/>
      </c>
      <c r="C14102">
        <f>TEST_DATA!C14102</f>
        <v/>
      </c>
      <c r="D14102">
        <f>TEST_DATA!D14102</f>
        <v/>
      </c>
      <c r="E14102">
        <f>TEST_DATA!E14102</f>
        <v/>
      </c>
    </row>
    <row r="14103">
      <c r="A14103">
        <f>TEST_DATA!A14103</f>
        <v/>
      </c>
      <c r="B14103">
        <f>TEST_DATA!B14103</f>
        <v/>
      </c>
      <c r="C14103">
        <f>TEST_DATA!C14103</f>
        <v/>
      </c>
      <c r="D14103">
        <f>TEST_DATA!D14103</f>
        <v/>
      </c>
      <c r="E14103">
        <f>TEST_DATA!E14103</f>
        <v/>
      </c>
    </row>
    <row r="14104">
      <c r="A14104">
        <f>TEST_DATA!A14104</f>
        <v/>
      </c>
      <c r="B14104">
        <f>TEST_DATA!B14104</f>
        <v/>
      </c>
      <c r="C14104">
        <f>TEST_DATA!C14104</f>
        <v/>
      </c>
      <c r="D14104">
        <f>TEST_DATA!D14104</f>
        <v/>
      </c>
      <c r="E14104">
        <f>TEST_DATA!E14104</f>
        <v/>
      </c>
    </row>
    <row r="14105">
      <c r="A14105">
        <f>TEST_DATA!A14105</f>
        <v/>
      </c>
      <c r="B14105">
        <f>TEST_DATA!B14105</f>
        <v/>
      </c>
      <c r="C14105">
        <f>TEST_DATA!C14105</f>
        <v/>
      </c>
      <c r="D14105">
        <f>TEST_DATA!D14105</f>
        <v/>
      </c>
      <c r="E14105">
        <f>TEST_DATA!E14105</f>
        <v/>
      </c>
    </row>
    <row r="14106">
      <c r="A14106">
        <f>TEST_DATA!A14106</f>
        <v/>
      </c>
      <c r="B14106">
        <f>TEST_DATA!B14106</f>
        <v/>
      </c>
      <c r="C14106">
        <f>TEST_DATA!C14106</f>
        <v/>
      </c>
      <c r="D14106">
        <f>TEST_DATA!D14106</f>
        <v/>
      </c>
      <c r="E14106">
        <f>TEST_DATA!E14106</f>
        <v/>
      </c>
    </row>
    <row r="14107">
      <c r="A14107">
        <f>TEST_DATA!A14107</f>
        <v/>
      </c>
      <c r="B14107">
        <f>TEST_DATA!B14107</f>
        <v/>
      </c>
      <c r="C14107">
        <f>TEST_DATA!C14107</f>
        <v/>
      </c>
      <c r="D14107">
        <f>TEST_DATA!D14107</f>
        <v/>
      </c>
      <c r="E14107">
        <f>TEST_DATA!E14107</f>
        <v/>
      </c>
    </row>
    <row r="14108">
      <c r="A14108">
        <f>TEST_DATA!A14108</f>
        <v/>
      </c>
      <c r="B14108">
        <f>TEST_DATA!B14108</f>
        <v/>
      </c>
      <c r="C14108">
        <f>TEST_DATA!C14108</f>
        <v/>
      </c>
      <c r="D14108">
        <f>TEST_DATA!D14108</f>
        <v/>
      </c>
      <c r="E14108">
        <f>TEST_DATA!E14108</f>
        <v/>
      </c>
    </row>
    <row r="14109">
      <c r="A14109">
        <f>TEST_DATA!A14109</f>
        <v/>
      </c>
      <c r="B14109">
        <f>TEST_DATA!B14109</f>
        <v/>
      </c>
      <c r="C14109">
        <f>TEST_DATA!C14109</f>
        <v/>
      </c>
      <c r="D14109">
        <f>TEST_DATA!D14109</f>
        <v/>
      </c>
      <c r="E14109">
        <f>TEST_DATA!E14109</f>
        <v/>
      </c>
    </row>
    <row r="14110">
      <c r="A14110">
        <f>TEST_DATA!A14110</f>
        <v/>
      </c>
      <c r="B14110">
        <f>TEST_DATA!B14110</f>
        <v/>
      </c>
      <c r="C14110">
        <f>TEST_DATA!C14110</f>
        <v/>
      </c>
      <c r="D14110">
        <f>TEST_DATA!D14110</f>
        <v/>
      </c>
      <c r="E14110">
        <f>TEST_DATA!E14110</f>
        <v/>
      </c>
    </row>
    <row r="14111">
      <c r="A14111">
        <f>TEST_DATA!A14111</f>
        <v/>
      </c>
      <c r="B14111">
        <f>TEST_DATA!B14111</f>
        <v/>
      </c>
      <c r="C14111">
        <f>TEST_DATA!C14111</f>
        <v/>
      </c>
      <c r="D14111">
        <f>TEST_DATA!D14111</f>
        <v/>
      </c>
      <c r="E14111">
        <f>TEST_DATA!E14111</f>
        <v/>
      </c>
    </row>
    <row r="14112">
      <c r="A14112">
        <f>TEST_DATA!A14112</f>
        <v/>
      </c>
      <c r="B14112">
        <f>TEST_DATA!B14112</f>
        <v/>
      </c>
      <c r="C14112">
        <f>TEST_DATA!C14112</f>
        <v/>
      </c>
      <c r="D14112">
        <f>TEST_DATA!D14112</f>
        <v/>
      </c>
      <c r="E14112">
        <f>TEST_DATA!E14112</f>
        <v/>
      </c>
    </row>
    <row r="14113">
      <c r="A14113">
        <f>TEST_DATA!A14113</f>
        <v/>
      </c>
      <c r="B14113">
        <f>TEST_DATA!B14113</f>
        <v/>
      </c>
      <c r="C14113">
        <f>TEST_DATA!C14113</f>
        <v/>
      </c>
      <c r="D14113">
        <f>TEST_DATA!D14113</f>
        <v/>
      </c>
      <c r="E14113">
        <f>TEST_DATA!E14113</f>
        <v/>
      </c>
    </row>
    <row r="14114">
      <c r="A14114">
        <f>TEST_DATA!A14114</f>
        <v/>
      </c>
      <c r="B14114">
        <f>TEST_DATA!B14114</f>
        <v/>
      </c>
      <c r="C14114">
        <f>TEST_DATA!C14114</f>
        <v/>
      </c>
      <c r="D14114">
        <f>TEST_DATA!D14114</f>
        <v/>
      </c>
      <c r="E14114">
        <f>TEST_DATA!E14114</f>
        <v/>
      </c>
    </row>
    <row r="14115">
      <c r="A14115">
        <f>TEST_DATA!A14115</f>
        <v/>
      </c>
      <c r="B14115">
        <f>TEST_DATA!B14115</f>
        <v/>
      </c>
      <c r="C14115">
        <f>TEST_DATA!C14115</f>
        <v/>
      </c>
      <c r="D14115">
        <f>TEST_DATA!D14115</f>
        <v/>
      </c>
      <c r="E14115">
        <f>TEST_DATA!E14115</f>
        <v/>
      </c>
    </row>
    <row r="14116">
      <c r="A14116">
        <f>TEST_DATA!A14116</f>
        <v/>
      </c>
      <c r="B14116">
        <f>TEST_DATA!B14116</f>
        <v/>
      </c>
      <c r="C14116">
        <f>TEST_DATA!C14116</f>
        <v/>
      </c>
      <c r="D14116">
        <f>TEST_DATA!D14116</f>
        <v/>
      </c>
      <c r="E14116">
        <f>TEST_DATA!E14116</f>
        <v/>
      </c>
    </row>
    <row r="14117">
      <c r="A14117">
        <f>TEST_DATA!A14117</f>
        <v/>
      </c>
      <c r="B14117">
        <f>TEST_DATA!B14117</f>
        <v/>
      </c>
      <c r="C14117">
        <f>TEST_DATA!C14117</f>
        <v/>
      </c>
      <c r="D14117">
        <f>TEST_DATA!D14117</f>
        <v/>
      </c>
      <c r="E14117">
        <f>TEST_DATA!E14117</f>
        <v/>
      </c>
    </row>
    <row r="14118">
      <c r="A14118">
        <f>TEST_DATA!A14118</f>
        <v/>
      </c>
      <c r="B14118">
        <f>TEST_DATA!B14118</f>
        <v/>
      </c>
      <c r="C14118">
        <f>TEST_DATA!C14118</f>
        <v/>
      </c>
      <c r="D14118">
        <f>TEST_DATA!D14118</f>
        <v/>
      </c>
      <c r="E14118">
        <f>TEST_DATA!E14118</f>
        <v/>
      </c>
    </row>
    <row r="14119">
      <c r="A14119">
        <f>TEST_DATA!A14119</f>
        <v/>
      </c>
      <c r="B14119">
        <f>TEST_DATA!B14119</f>
        <v/>
      </c>
      <c r="C14119">
        <f>TEST_DATA!C14119</f>
        <v/>
      </c>
      <c r="D14119">
        <f>TEST_DATA!D14119</f>
        <v/>
      </c>
      <c r="E14119">
        <f>TEST_DATA!E14119</f>
        <v/>
      </c>
    </row>
    <row r="14120">
      <c r="A14120">
        <f>TEST_DATA!A14120</f>
        <v/>
      </c>
      <c r="B14120">
        <f>TEST_DATA!B14120</f>
        <v/>
      </c>
      <c r="C14120">
        <f>TEST_DATA!C14120</f>
        <v/>
      </c>
      <c r="D14120">
        <f>TEST_DATA!D14120</f>
        <v/>
      </c>
      <c r="E14120">
        <f>TEST_DATA!E14120</f>
        <v/>
      </c>
    </row>
    <row r="14121">
      <c r="A14121">
        <f>TEST_DATA!A14121</f>
        <v/>
      </c>
      <c r="B14121">
        <f>TEST_DATA!B14121</f>
        <v/>
      </c>
      <c r="C14121">
        <f>TEST_DATA!C14121</f>
        <v/>
      </c>
      <c r="D14121">
        <f>TEST_DATA!D14121</f>
        <v/>
      </c>
      <c r="E14121">
        <f>TEST_DATA!E14121</f>
        <v/>
      </c>
    </row>
    <row r="14122">
      <c r="A14122">
        <f>TEST_DATA!A14122</f>
        <v/>
      </c>
      <c r="B14122">
        <f>TEST_DATA!B14122</f>
        <v/>
      </c>
      <c r="C14122">
        <f>TEST_DATA!C14122</f>
        <v/>
      </c>
      <c r="D14122">
        <f>TEST_DATA!D14122</f>
        <v/>
      </c>
      <c r="E14122">
        <f>TEST_DATA!E14122</f>
        <v/>
      </c>
    </row>
    <row r="14123">
      <c r="A14123">
        <f>TEST_DATA!A14123</f>
        <v/>
      </c>
      <c r="B14123">
        <f>TEST_DATA!B14123</f>
        <v/>
      </c>
      <c r="C14123">
        <f>TEST_DATA!C14123</f>
        <v/>
      </c>
      <c r="D14123">
        <f>TEST_DATA!D14123</f>
        <v/>
      </c>
      <c r="E14123">
        <f>TEST_DATA!E14123</f>
        <v/>
      </c>
    </row>
    <row r="14124">
      <c r="A14124">
        <f>TEST_DATA!A14124</f>
        <v/>
      </c>
      <c r="B14124">
        <f>TEST_DATA!B14124</f>
        <v/>
      </c>
      <c r="C14124">
        <f>TEST_DATA!C14124</f>
        <v/>
      </c>
      <c r="D14124">
        <f>TEST_DATA!D14124</f>
        <v/>
      </c>
      <c r="E14124">
        <f>TEST_DATA!E14124</f>
        <v/>
      </c>
    </row>
    <row r="14125">
      <c r="A14125">
        <f>TEST_DATA!A14125</f>
        <v/>
      </c>
      <c r="B14125">
        <f>TEST_DATA!B14125</f>
        <v/>
      </c>
      <c r="C14125">
        <f>TEST_DATA!C14125</f>
        <v/>
      </c>
      <c r="D14125">
        <f>TEST_DATA!D14125</f>
        <v/>
      </c>
      <c r="E14125">
        <f>TEST_DATA!E14125</f>
        <v/>
      </c>
    </row>
    <row r="14126">
      <c r="A14126">
        <f>TEST_DATA!A14126</f>
        <v/>
      </c>
      <c r="B14126">
        <f>TEST_DATA!B14126</f>
        <v/>
      </c>
      <c r="C14126">
        <f>TEST_DATA!C14126</f>
        <v/>
      </c>
      <c r="D14126">
        <f>TEST_DATA!D14126</f>
        <v/>
      </c>
      <c r="E14126">
        <f>TEST_DATA!E14126</f>
        <v/>
      </c>
    </row>
    <row r="14127">
      <c r="A14127">
        <f>TEST_DATA!A14127</f>
        <v/>
      </c>
      <c r="B14127">
        <f>TEST_DATA!B14127</f>
        <v/>
      </c>
      <c r="C14127">
        <f>TEST_DATA!C14127</f>
        <v/>
      </c>
      <c r="D14127">
        <f>TEST_DATA!D14127</f>
        <v/>
      </c>
      <c r="E14127">
        <f>TEST_DATA!E14127</f>
        <v/>
      </c>
    </row>
    <row r="14128">
      <c r="A14128">
        <f>TEST_DATA!A14128</f>
        <v/>
      </c>
      <c r="B14128">
        <f>TEST_DATA!B14128</f>
        <v/>
      </c>
      <c r="C14128">
        <f>TEST_DATA!C14128</f>
        <v/>
      </c>
      <c r="D14128">
        <f>TEST_DATA!D14128</f>
        <v/>
      </c>
      <c r="E14128">
        <f>TEST_DATA!E14128</f>
        <v/>
      </c>
    </row>
    <row r="14129">
      <c r="A14129">
        <f>TEST_DATA!A14129</f>
        <v/>
      </c>
      <c r="B14129">
        <f>TEST_DATA!B14129</f>
        <v/>
      </c>
      <c r="C14129">
        <f>TEST_DATA!C14129</f>
        <v/>
      </c>
      <c r="D14129">
        <f>TEST_DATA!D14129</f>
        <v/>
      </c>
      <c r="E14129">
        <f>TEST_DATA!E14129</f>
        <v/>
      </c>
    </row>
    <row r="14130">
      <c r="A14130">
        <f>TEST_DATA!A14130</f>
        <v/>
      </c>
      <c r="B14130">
        <f>TEST_DATA!B14130</f>
        <v/>
      </c>
      <c r="C14130">
        <f>TEST_DATA!C14130</f>
        <v/>
      </c>
      <c r="D14130">
        <f>TEST_DATA!D14130</f>
        <v/>
      </c>
      <c r="E14130">
        <f>TEST_DATA!E14130</f>
        <v/>
      </c>
    </row>
    <row r="14131">
      <c r="A14131">
        <f>TEST_DATA!A14131</f>
        <v/>
      </c>
      <c r="B14131">
        <f>TEST_DATA!B14131</f>
        <v/>
      </c>
      <c r="C14131">
        <f>TEST_DATA!C14131</f>
        <v/>
      </c>
      <c r="D14131">
        <f>TEST_DATA!D14131</f>
        <v/>
      </c>
      <c r="E14131">
        <f>TEST_DATA!E14131</f>
        <v/>
      </c>
    </row>
    <row r="14132">
      <c r="A14132">
        <f>TEST_DATA!A14132</f>
        <v/>
      </c>
      <c r="B14132">
        <f>TEST_DATA!B14132</f>
        <v/>
      </c>
      <c r="C14132">
        <f>TEST_DATA!C14132</f>
        <v/>
      </c>
      <c r="D14132">
        <f>TEST_DATA!D14132</f>
        <v/>
      </c>
      <c r="E14132">
        <f>TEST_DATA!E14132</f>
        <v/>
      </c>
    </row>
    <row r="14133">
      <c r="A14133">
        <f>TEST_DATA!A14133</f>
        <v/>
      </c>
      <c r="B14133">
        <f>TEST_DATA!B14133</f>
        <v/>
      </c>
      <c r="C14133">
        <f>TEST_DATA!C14133</f>
        <v/>
      </c>
      <c r="D14133">
        <f>TEST_DATA!D14133</f>
        <v/>
      </c>
      <c r="E14133">
        <f>TEST_DATA!E14133</f>
        <v/>
      </c>
    </row>
    <row r="14134">
      <c r="A14134">
        <f>TEST_DATA!A14134</f>
        <v/>
      </c>
      <c r="B14134">
        <f>TEST_DATA!B14134</f>
        <v/>
      </c>
      <c r="C14134">
        <f>TEST_DATA!C14134</f>
        <v/>
      </c>
      <c r="D14134">
        <f>TEST_DATA!D14134</f>
        <v/>
      </c>
      <c r="E14134">
        <f>TEST_DATA!E14134</f>
        <v/>
      </c>
    </row>
    <row r="14135">
      <c r="A14135">
        <f>TEST_DATA!A14135</f>
        <v/>
      </c>
      <c r="B14135">
        <f>TEST_DATA!B14135</f>
        <v/>
      </c>
      <c r="C14135">
        <f>TEST_DATA!C14135</f>
        <v/>
      </c>
      <c r="D14135">
        <f>TEST_DATA!D14135</f>
        <v/>
      </c>
      <c r="E14135">
        <f>TEST_DATA!E14135</f>
        <v/>
      </c>
    </row>
    <row r="14136">
      <c r="A14136">
        <f>TEST_DATA!A14136</f>
        <v/>
      </c>
      <c r="B14136">
        <f>TEST_DATA!B14136</f>
        <v/>
      </c>
      <c r="C14136">
        <f>TEST_DATA!C14136</f>
        <v/>
      </c>
      <c r="D14136">
        <f>TEST_DATA!D14136</f>
        <v/>
      </c>
      <c r="E14136">
        <f>TEST_DATA!E14136</f>
        <v/>
      </c>
    </row>
    <row r="14137">
      <c r="A14137">
        <f>TEST_DATA!A14137</f>
        <v/>
      </c>
      <c r="B14137">
        <f>TEST_DATA!B14137</f>
        <v/>
      </c>
      <c r="C14137">
        <f>TEST_DATA!C14137</f>
        <v/>
      </c>
      <c r="D14137">
        <f>TEST_DATA!D14137</f>
        <v/>
      </c>
      <c r="E14137">
        <f>TEST_DATA!E14137</f>
        <v/>
      </c>
    </row>
    <row r="14138">
      <c r="A14138">
        <f>TEST_DATA!A14138</f>
        <v/>
      </c>
      <c r="B14138">
        <f>TEST_DATA!B14138</f>
        <v/>
      </c>
      <c r="C14138">
        <f>TEST_DATA!C14138</f>
        <v/>
      </c>
      <c r="D14138">
        <f>TEST_DATA!D14138</f>
        <v/>
      </c>
      <c r="E14138">
        <f>TEST_DATA!E14138</f>
        <v/>
      </c>
    </row>
    <row r="14139">
      <c r="A14139">
        <f>TEST_DATA!A14139</f>
        <v/>
      </c>
      <c r="B14139">
        <f>TEST_DATA!B14139</f>
        <v/>
      </c>
      <c r="C14139">
        <f>TEST_DATA!C14139</f>
        <v/>
      </c>
      <c r="D14139">
        <f>TEST_DATA!D14139</f>
        <v/>
      </c>
      <c r="E14139">
        <f>TEST_DATA!E14139</f>
        <v/>
      </c>
    </row>
    <row r="14140">
      <c r="A14140">
        <f>TEST_DATA!A14140</f>
        <v/>
      </c>
      <c r="B14140">
        <f>TEST_DATA!B14140</f>
        <v/>
      </c>
      <c r="C14140">
        <f>TEST_DATA!C14140</f>
        <v/>
      </c>
      <c r="D14140">
        <f>TEST_DATA!D14140</f>
        <v/>
      </c>
      <c r="E14140">
        <f>TEST_DATA!E14140</f>
        <v/>
      </c>
    </row>
    <row r="14141">
      <c r="A14141">
        <f>TEST_DATA!A14141</f>
        <v/>
      </c>
      <c r="B14141">
        <f>TEST_DATA!B14141</f>
        <v/>
      </c>
      <c r="C14141">
        <f>TEST_DATA!C14141</f>
        <v/>
      </c>
      <c r="D14141">
        <f>TEST_DATA!D14141</f>
        <v/>
      </c>
      <c r="E14141">
        <f>TEST_DATA!E14141</f>
        <v/>
      </c>
    </row>
    <row r="14142">
      <c r="A14142">
        <f>TEST_DATA!A14142</f>
        <v/>
      </c>
      <c r="B14142">
        <f>TEST_DATA!B14142</f>
        <v/>
      </c>
      <c r="C14142">
        <f>TEST_DATA!C14142</f>
        <v/>
      </c>
      <c r="D14142">
        <f>TEST_DATA!D14142</f>
        <v/>
      </c>
      <c r="E14142">
        <f>TEST_DATA!E14142</f>
        <v/>
      </c>
    </row>
    <row r="14143">
      <c r="A14143">
        <f>TEST_DATA!A14143</f>
        <v/>
      </c>
      <c r="B14143">
        <f>TEST_DATA!B14143</f>
        <v/>
      </c>
      <c r="C14143">
        <f>TEST_DATA!C14143</f>
        <v/>
      </c>
      <c r="D14143">
        <f>TEST_DATA!D14143</f>
        <v/>
      </c>
      <c r="E14143">
        <f>TEST_DATA!E14143</f>
        <v/>
      </c>
    </row>
    <row r="14144">
      <c r="A14144">
        <f>TEST_DATA!A14144</f>
        <v/>
      </c>
      <c r="B14144">
        <f>TEST_DATA!B14144</f>
        <v/>
      </c>
      <c r="C14144">
        <f>TEST_DATA!C14144</f>
        <v/>
      </c>
      <c r="D14144">
        <f>TEST_DATA!D14144</f>
        <v/>
      </c>
      <c r="E14144">
        <f>TEST_DATA!E14144</f>
        <v/>
      </c>
    </row>
    <row r="14145">
      <c r="A14145">
        <f>TEST_DATA!A14145</f>
        <v/>
      </c>
      <c r="B14145">
        <f>TEST_DATA!B14145</f>
        <v/>
      </c>
      <c r="C14145">
        <f>TEST_DATA!C14145</f>
        <v/>
      </c>
      <c r="D14145">
        <f>TEST_DATA!D14145</f>
        <v/>
      </c>
      <c r="E14145">
        <f>TEST_DATA!E14145</f>
        <v/>
      </c>
    </row>
    <row r="14146">
      <c r="A14146">
        <f>TEST_DATA!A14146</f>
        <v/>
      </c>
      <c r="B14146">
        <f>TEST_DATA!B14146</f>
        <v/>
      </c>
      <c r="C14146">
        <f>TEST_DATA!C14146</f>
        <v/>
      </c>
      <c r="D14146">
        <f>TEST_DATA!D14146</f>
        <v/>
      </c>
      <c r="E14146">
        <f>TEST_DATA!E14146</f>
        <v/>
      </c>
    </row>
    <row r="14147">
      <c r="A14147">
        <f>TEST_DATA!A14147</f>
        <v/>
      </c>
      <c r="B14147">
        <f>TEST_DATA!B14147</f>
        <v/>
      </c>
      <c r="C14147">
        <f>TEST_DATA!C14147</f>
        <v/>
      </c>
      <c r="D14147">
        <f>TEST_DATA!D14147</f>
        <v/>
      </c>
      <c r="E14147">
        <f>TEST_DATA!E14147</f>
        <v/>
      </c>
    </row>
    <row r="14148">
      <c r="A14148">
        <f>TEST_DATA!A14148</f>
        <v/>
      </c>
      <c r="B14148">
        <f>TEST_DATA!B14148</f>
        <v/>
      </c>
      <c r="C14148">
        <f>TEST_DATA!C14148</f>
        <v/>
      </c>
      <c r="D14148">
        <f>TEST_DATA!D14148</f>
        <v/>
      </c>
      <c r="E14148">
        <f>TEST_DATA!E14148</f>
        <v/>
      </c>
    </row>
    <row r="14149">
      <c r="A14149">
        <f>TEST_DATA!A14149</f>
        <v/>
      </c>
      <c r="B14149">
        <f>TEST_DATA!B14149</f>
        <v/>
      </c>
      <c r="C14149">
        <f>TEST_DATA!C14149</f>
        <v/>
      </c>
      <c r="D14149">
        <f>TEST_DATA!D14149</f>
        <v/>
      </c>
      <c r="E14149">
        <f>TEST_DATA!E14149</f>
        <v/>
      </c>
    </row>
    <row r="14150">
      <c r="A14150">
        <f>TEST_DATA!A14150</f>
        <v/>
      </c>
      <c r="B14150">
        <f>TEST_DATA!B14150</f>
        <v/>
      </c>
      <c r="C14150">
        <f>TEST_DATA!C14150</f>
        <v/>
      </c>
      <c r="D14150">
        <f>TEST_DATA!D14150</f>
        <v/>
      </c>
      <c r="E14150">
        <f>TEST_DATA!E14150</f>
        <v/>
      </c>
    </row>
    <row r="14151">
      <c r="A14151">
        <f>TEST_DATA!A14151</f>
        <v/>
      </c>
      <c r="B14151">
        <f>TEST_DATA!B14151</f>
        <v/>
      </c>
      <c r="C14151">
        <f>TEST_DATA!C14151</f>
        <v/>
      </c>
      <c r="D14151">
        <f>TEST_DATA!D14151</f>
        <v/>
      </c>
      <c r="E14151">
        <f>TEST_DATA!E14151</f>
        <v/>
      </c>
    </row>
    <row r="14152">
      <c r="A14152">
        <f>TEST_DATA!A14152</f>
        <v/>
      </c>
      <c r="B14152">
        <f>TEST_DATA!B14152</f>
        <v/>
      </c>
      <c r="C14152">
        <f>TEST_DATA!C14152</f>
        <v/>
      </c>
      <c r="D14152">
        <f>TEST_DATA!D14152</f>
        <v/>
      </c>
      <c r="E14152">
        <f>TEST_DATA!E14152</f>
        <v/>
      </c>
    </row>
    <row r="14153">
      <c r="A14153">
        <f>TEST_DATA!A14153</f>
        <v/>
      </c>
      <c r="B14153">
        <f>TEST_DATA!B14153</f>
        <v/>
      </c>
      <c r="C14153">
        <f>TEST_DATA!C14153</f>
        <v/>
      </c>
      <c r="D14153">
        <f>TEST_DATA!D14153</f>
        <v/>
      </c>
      <c r="E14153">
        <f>TEST_DATA!E14153</f>
        <v/>
      </c>
    </row>
    <row r="14154">
      <c r="A14154">
        <f>TEST_DATA!A14154</f>
        <v/>
      </c>
      <c r="B14154">
        <f>TEST_DATA!B14154</f>
        <v/>
      </c>
      <c r="C14154">
        <f>TEST_DATA!C14154</f>
        <v/>
      </c>
      <c r="D14154">
        <f>TEST_DATA!D14154</f>
        <v/>
      </c>
      <c r="E14154">
        <f>TEST_DATA!E14154</f>
        <v/>
      </c>
    </row>
    <row r="14155">
      <c r="A14155">
        <f>TEST_DATA!A14155</f>
        <v/>
      </c>
      <c r="B14155">
        <f>TEST_DATA!B14155</f>
        <v/>
      </c>
      <c r="C14155">
        <f>TEST_DATA!C14155</f>
        <v/>
      </c>
      <c r="D14155">
        <f>TEST_DATA!D14155</f>
        <v/>
      </c>
      <c r="E14155">
        <f>TEST_DATA!E14155</f>
        <v/>
      </c>
    </row>
    <row r="14156">
      <c r="A14156">
        <f>TEST_DATA!A14156</f>
        <v/>
      </c>
      <c r="B14156">
        <f>TEST_DATA!B14156</f>
        <v/>
      </c>
      <c r="C14156">
        <f>TEST_DATA!C14156</f>
        <v/>
      </c>
      <c r="D14156">
        <f>TEST_DATA!D14156</f>
        <v/>
      </c>
      <c r="E14156">
        <f>TEST_DATA!E14156</f>
        <v/>
      </c>
    </row>
    <row r="14157">
      <c r="A14157">
        <f>TEST_DATA!A14157</f>
        <v/>
      </c>
      <c r="B14157">
        <f>TEST_DATA!B14157</f>
        <v/>
      </c>
      <c r="C14157">
        <f>TEST_DATA!C14157</f>
        <v/>
      </c>
      <c r="D14157">
        <f>TEST_DATA!D14157</f>
        <v/>
      </c>
      <c r="E14157">
        <f>TEST_DATA!E14157</f>
        <v/>
      </c>
    </row>
    <row r="14158">
      <c r="A14158">
        <f>TEST_DATA!A14158</f>
        <v/>
      </c>
      <c r="B14158">
        <f>TEST_DATA!B14158</f>
        <v/>
      </c>
      <c r="C14158">
        <f>TEST_DATA!C14158</f>
        <v/>
      </c>
      <c r="D14158">
        <f>TEST_DATA!D14158</f>
        <v/>
      </c>
      <c r="E14158">
        <f>TEST_DATA!E14158</f>
        <v/>
      </c>
    </row>
    <row r="14159">
      <c r="A14159">
        <f>TEST_DATA!A14159</f>
        <v/>
      </c>
      <c r="B14159">
        <f>TEST_DATA!B14159</f>
        <v/>
      </c>
      <c r="C14159">
        <f>TEST_DATA!C14159</f>
        <v/>
      </c>
      <c r="D14159">
        <f>TEST_DATA!D14159</f>
        <v/>
      </c>
      <c r="E14159">
        <f>TEST_DATA!E14159</f>
        <v/>
      </c>
    </row>
    <row r="14160">
      <c r="A14160">
        <f>TEST_DATA!A14160</f>
        <v/>
      </c>
      <c r="B14160">
        <f>TEST_DATA!B14160</f>
        <v/>
      </c>
      <c r="C14160">
        <f>TEST_DATA!C14160</f>
        <v/>
      </c>
      <c r="D14160">
        <f>TEST_DATA!D14160</f>
        <v/>
      </c>
      <c r="E14160">
        <f>TEST_DATA!E14160</f>
        <v/>
      </c>
    </row>
    <row r="14161">
      <c r="A14161">
        <f>TEST_DATA!A14161</f>
        <v/>
      </c>
      <c r="B14161">
        <f>TEST_DATA!B14161</f>
        <v/>
      </c>
      <c r="C14161">
        <f>TEST_DATA!C14161</f>
        <v/>
      </c>
      <c r="D14161">
        <f>TEST_DATA!D14161</f>
        <v/>
      </c>
      <c r="E14161">
        <f>TEST_DATA!E14161</f>
        <v/>
      </c>
    </row>
    <row r="14162">
      <c r="A14162">
        <f>TEST_DATA!A14162</f>
        <v/>
      </c>
      <c r="B14162">
        <f>TEST_DATA!B14162</f>
        <v/>
      </c>
      <c r="C14162">
        <f>TEST_DATA!C14162</f>
        <v/>
      </c>
      <c r="D14162">
        <f>TEST_DATA!D14162</f>
        <v/>
      </c>
      <c r="E14162">
        <f>TEST_DATA!E14162</f>
        <v/>
      </c>
    </row>
    <row r="14163">
      <c r="A14163">
        <f>TEST_DATA!A14163</f>
        <v/>
      </c>
      <c r="B14163">
        <f>TEST_DATA!B14163</f>
        <v/>
      </c>
      <c r="C14163">
        <f>TEST_DATA!C14163</f>
        <v/>
      </c>
      <c r="D14163">
        <f>TEST_DATA!D14163</f>
        <v/>
      </c>
      <c r="E14163">
        <f>TEST_DATA!E14163</f>
        <v/>
      </c>
    </row>
    <row r="14164">
      <c r="A14164">
        <f>TEST_DATA!A14164</f>
        <v/>
      </c>
      <c r="B14164">
        <f>TEST_DATA!B14164</f>
        <v/>
      </c>
      <c r="C14164">
        <f>TEST_DATA!C14164</f>
        <v/>
      </c>
      <c r="D14164">
        <f>TEST_DATA!D14164</f>
        <v/>
      </c>
      <c r="E14164">
        <f>TEST_DATA!E14164</f>
        <v/>
      </c>
    </row>
    <row r="14165">
      <c r="A14165">
        <f>TEST_DATA!A14165</f>
        <v/>
      </c>
      <c r="B14165">
        <f>TEST_DATA!B14165</f>
        <v/>
      </c>
      <c r="C14165">
        <f>TEST_DATA!C14165</f>
        <v/>
      </c>
      <c r="D14165">
        <f>TEST_DATA!D14165</f>
        <v/>
      </c>
      <c r="E14165">
        <f>TEST_DATA!E14165</f>
        <v/>
      </c>
    </row>
    <row r="14166">
      <c r="A14166">
        <f>TEST_DATA!A14166</f>
        <v/>
      </c>
      <c r="B14166">
        <f>TEST_DATA!B14166</f>
        <v/>
      </c>
      <c r="C14166">
        <f>TEST_DATA!C14166</f>
        <v/>
      </c>
      <c r="D14166">
        <f>TEST_DATA!D14166</f>
        <v/>
      </c>
      <c r="E14166">
        <f>TEST_DATA!E14166</f>
        <v/>
      </c>
    </row>
    <row r="14167">
      <c r="A14167">
        <f>TEST_DATA!A14167</f>
        <v/>
      </c>
      <c r="B14167">
        <f>TEST_DATA!B14167</f>
        <v/>
      </c>
      <c r="C14167">
        <f>TEST_DATA!C14167</f>
        <v/>
      </c>
      <c r="D14167">
        <f>TEST_DATA!D14167</f>
        <v/>
      </c>
      <c r="E14167">
        <f>TEST_DATA!E14167</f>
        <v/>
      </c>
    </row>
    <row r="14168">
      <c r="A14168">
        <f>TEST_DATA!A14168</f>
        <v/>
      </c>
      <c r="B14168">
        <f>TEST_DATA!B14168</f>
        <v/>
      </c>
      <c r="C14168">
        <f>TEST_DATA!C14168</f>
        <v/>
      </c>
      <c r="D14168">
        <f>TEST_DATA!D14168</f>
        <v/>
      </c>
      <c r="E14168">
        <f>TEST_DATA!E14168</f>
        <v/>
      </c>
    </row>
    <row r="14169">
      <c r="A14169">
        <f>TEST_DATA!A14169</f>
        <v/>
      </c>
      <c r="B14169">
        <f>TEST_DATA!B14169</f>
        <v/>
      </c>
      <c r="C14169">
        <f>TEST_DATA!C14169</f>
        <v/>
      </c>
      <c r="D14169">
        <f>TEST_DATA!D14169</f>
        <v/>
      </c>
      <c r="E14169">
        <f>TEST_DATA!E14169</f>
        <v/>
      </c>
    </row>
    <row r="14170">
      <c r="A14170">
        <f>TEST_DATA!A14170</f>
        <v/>
      </c>
      <c r="B14170">
        <f>TEST_DATA!B14170</f>
        <v/>
      </c>
      <c r="C14170">
        <f>TEST_DATA!C14170</f>
        <v/>
      </c>
      <c r="D14170">
        <f>TEST_DATA!D14170</f>
        <v/>
      </c>
      <c r="E14170">
        <f>TEST_DATA!E14170</f>
        <v/>
      </c>
    </row>
    <row r="14171">
      <c r="A14171">
        <f>TEST_DATA!A14171</f>
        <v/>
      </c>
      <c r="B14171">
        <f>TEST_DATA!B14171</f>
        <v/>
      </c>
      <c r="C14171">
        <f>TEST_DATA!C14171</f>
        <v/>
      </c>
      <c r="D14171">
        <f>TEST_DATA!D14171</f>
        <v/>
      </c>
      <c r="E14171">
        <f>TEST_DATA!E14171</f>
        <v/>
      </c>
    </row>
    <row r="14172">
      <c r="A14172">
        <f>TEST_DATA!A14172</f>
        <v/>
      </c>
      <c r="B14172">
        <f>TEST_DATA!B14172</f>
        <v/>
      </c>
      <c r="C14172">
        <f>TEST_DATA!C14172</f>
        <v/>
      </c>
      <c r="D14172">
        <f>TEST_DATA!D14172</f>
        <v/>
      </c>
      <c r="E14172">
        <f>TEST_DATA!E14172</f>
        <v/>
      </c>
    </row>
    <row r="14173">
      <c r="A14173">
        <f>TEST_DATA!A14173</f>
        <v/>
      </c>
      <c r="B14173">
        <f>TEST_DATA!B14173</f>
        <v/>
      </c>
      <c r="C14173">
        <f>TEST_DATA!C14173</f>
        <v/>
      </c>
      <c r="D14173">
        <f>TEST_DATA!D14173</f>
        <v/>
      </c>
      <c r="E14173">
        <f>TEST_DATA!E14173</f>
        <v/>
      </c>
    </row>
    <row r="14174">
      <c r="A14174">
        <f>TEST_DATA!A14174</f>
        <v/>
      </c>
      <c r="B14174">
        <f>TEST_DATA!B14174</f>
        <v/>
      </c>
      <c r="C14174">
        <f>TEST_DATA!C14174</f>
        <v/>
      </c>
      <c r="D14174">
        <f>TEST_DATA!D14174</f>
        <v/>
      </c>
      <c r="E14174">
        <f>TEST_DATA!E14174</f>
        <v/>
      </c>
    </row>
    <row r="14175">
      <c r="A14175">
        <f>TEST_DATA!A14175</f>
        <v/>
      </c>
      <c r="B14175">
        <f>TEST_DATA!B14175</f>
        <v/>
      </c>
      <c r="C14175">
        <f>TEST_DATA!C14175</f>
        <v/>
      </c>
      <c r="D14175">
        <f>TEST_DATA!D14175</f>
        <v/>
      </c>
      <c r="E14175">
        <f>TEST_DATA!E14175</f>
        <v/>
      </c>
    </row>
    <row r="14176">
      <c r="A14176">
        <f>TEST_DATA!A14176</f>
        <v/>
      </c>
      <c r="B14176">
        <f>TEST_DATA!B14176</f>
        <v/>
      </c>
      <c r="C14176">
        <f>TEST_DATA!C14176</f>
        <v/>
      </c>
      <c r="D14176">
        <f>TEST_DATA!D14176</f>
        <v/>
      </c>
      <c r="E14176">
        <f>TEST_DATA!E14176</f>
        <v/>
      </c>
    </row>
    <row r="14177">
      <c r="A14177">
        <f>TEST_DATA!A14177</f>
        <v/>
      </c>
      <c r="B14177">
        <f>TEST_DATA!B14177</f>
        <v/>
      </c>
      <c r="C14177">
        <f>TEST_DATA!C14177</f>
        <v/>
      </c>
      <c r="D14177">
        <f>TEST_DATA!D14177</f>
        <v/>
      </c>
      <c r="E14177">
        <f>TEST_DATA!E14177</f>
        <v/>
      </c>
    </row>
    <row r="14178">
      <c r="A14178">
        <f>TEST_DATA!A14178</f>
        <v/>
      </c>
      <c r="B14178">
        <f>TEST_DATA!B14178</f>
        <v/>
      </c>
      <c r="C14178">
        <f>TEST_DATA!C14178</f>
        <v/>
      </c>
      <c r="D14178">
        <f>TEST_DATA!D14178</f>
        <v/>
      </c>
      <c r="E14178">
        <f>TEST_DATA!E14178</f>
        <v/>
      </c>
    </row>
    <row r="14179">
      <c r="A14179">
        <f>TEST_DATA!A14179</f>
        <v/>
      </c>
      <c r="B14179">
        <f>TEST_DATA!B14179</f>
        <v/>
      </c>
      <c r="C14179">
        <f>TEST_DATA!C14179</f>
        <v/>
      </c>
      <c r="D14179">
        <f>TEST_DATA!D14179</f>
        <v/>
      </c>
      <c r="E14179">
        <f>TEST_DATA!E14179</f>
        <v/>
      </c>
    </row>
    <row r="14180">
      <c r="A14180">
        <f>TEST_DATA!A14180</f>
        <v/>
      </c>
      <c r="B14180">
        <f>TEST_DATA!B14180</f>
        <v/>
      </c>
      <c r="C14180">
        <f>TEST_DATA!C14180</f>
        <v/>
      </c>
      <c r="D14180">
        <f>TEST_DATA!D14180</f>
        <v/>
      </c>
      <c r="E14180">
        <f>TEST_DATA!E14180</f>
        <v/>
      </c>
    </row>
    <row r="14181">
      <c r="A14181">
        <f>TEST_DATA!A14181</f>
        <v/>
      </c>
      <c r="B14181">
        <f>TEST_DATA!B14181</f>
        <v/>
      </c>
      <c r="C14181">
        <f>TEST_DATA!C14181</f>
        <v/>
      </c>
      <c r="D14181">
        <f>TEST_DATA!D14181</f>
        <v/>
      </c>
      <c r="E14181">
        <f>TEST_DATA!E14181</f>
        <v/>
      </c>
    </row>
    <row r="14182">
      <c r="A14182">
        <f>TEST_DATA!A14182</f>
        <v/>
      </c>
      <c r="B14182">
        <f>TEST_DATA!B14182</f>
        <v/>
      </c>
      <c r="C14182">
        <f>TEST_DATA!C14182</f>
        <v/>
      </c>
      <c r="D14182">
        <f>TEST_DATA!D14182</f>
        <v/>
      </c>
      <c r="E14182">
        <f>TEST_DATA!E14182</f>
        <v/>
      </c>
    </row>
    <row r="14183">
      <c r="A14183">
        <f>TEST_DATA!A14183</f>
        <v/>
      </c>
      <c r="B14183">
        <f>TEST_DATA!B14183</f>
        <v/>
      </c>
      <c r="C14183">
        <f>TEST_DATA!C14183</f>
        <v/>
      </c>
      <c r="D14183">
        <f>TEST_DATA!D14183</f>
        <v/>
      </c>
      <c r="E14183">
        <f>TEST_DATA!E14183</f>
        <v/>
      </c>
    </row>
    <row r="14184">
      <c r="A14184">
        <f>TEST_DATA!A14184</f>
        <v/>
      </c>
      <c r="B14184">
        <f>TEST_DATA!B14184</f>
        <v/>
      </c>
      <c r="C14184">
        <f>TEST_DATA!C14184</f>
        <v/>
      </c>
      <c r="D14184">
        <f>TEST_DATA!D14184</f>
        <v/>
      </c>
      <c r="E14184">
        <f>TEST_DATA!E14184</f>
        <v/>
      </c>
    </row>
    <row r="14185">
      <c r="A14185">
        <f>TEST_DATA!A14185</f>
        <v/>
      </c>
      <c r="B14185">
        <f>TEST_DATA!B14185</f>
        <v/>
      </c>
      <c r="C14185">
        <f>TEST_DATA!C14185</f>
        <v/>
      </c>
      <c r="D14185">
        <f>TEST_DATA!D14185</f>
        <v/>
      </c>
      <c r="E14185">
        <f>TEST_DATA!E14185</f>
        <v/>
      </c>
    </row>
    <row r="14186">
      <c r="A14186">
        <f>TEST_DATA!A14186</f>
        <v/>
      </c>
      <c r="B14186">
        <f>TEST_DATA!B14186</f>
        <v/>
      </c>
      <c r="C14186">
        <f>TEST_DATA!C14186</f>
        <v/>
      </c>
      <c r="D14186">
        <f>TEST_DATA!D14186</f>
        <v/>
      </c>
      <c r="E14186">
        <f>TEST_DATA!E14186</f>
        <v/>
      </c>
    </row>
    <row r="14187">
      <c r="A14187">
        <f>TEST_DATA!A14187</f>
        <v/>
      </c>
      <c r="B14187">
        <f>TEST_DATA!B14187</f>
        <v/>
      </c>
      <c r="C14187">
        <f>TEST_DATA!C14187</f>
        <v/>
      </c>
      <c r="D14187">
        <f>TEST_DATA!D14187</f>
        <v/>
      </c>
      <c r="E14187">
        <f>TEST_DATA!E14187</f>
        <v/>
      </c>
    </row>
    <row r="14188">
      <c r="A14188">
        <f>TEST_DATA!A14188</f>
        <v/>
      </c>
      <c r="B14188">
        <f>TEST_DATA!B14188</f>
        <v/>
      </c>
      <c r="C14188">
        <f>TEST_DATA!C14188</f>
        <v/>
      </c>
      <c r="D14188">
        <f>TEST_DATA!D14188</f>
        <v/>
      </c>
      <c r="E14188">
        <f>TEST_DATA!E14188</f>
        <v/>
      </c>
    </row>
    <row r="14189">
      <c r="A14189">
        <f>TEST_DATA!A14189</f>
        <v/>
      </c>
      <c r="B14189">
        <f>TEST_DATA!B14189</f>
        <v/>
      </c>
      <c r="C14189">
        <f>TEST_DATA!C14189</f>
        <v/>
      </c>
      <c r="D14189">
        <f>TEST_DATA!D14189</f>
        <v/>
      </c>
      <c r="E14189">
        <f>TEST_DATA!E14189</f>
        <v/>
      </c>
    </row>
    <row r="14190">
      <c r="A14190">
        <f>TEST_DATA!A14190</f>
        <v/>
      </c>
      <c r="B14190">
        <f>TEST_DATA!B14190</f>
        <v/>
      </c>
      <c r="C14190">
        <f>TEST_DATA!C14190</f>
        <v/>
      </c>
      <c r="D14190">
        <f>TEST_DATA!D14190</f>
        <v/>
      </c>
      <c r="E14190">
        <f>TEST_DATA!E14190</f>
        <v/>
      </c>
    </row>
    <row r="14191">
      <c r="A14191">
        <f>TEST_DATA!A14191</f>
        <v/>
      </c>
      <c r="B14191">
        <f>TEST_DATA!B14191</f>
        <v/>
      </c>
      <c r="C14191">
        <f>TEST_DATA!C14191</f>
        <v/>
      </c>
      <c r="D14191">
        <f>TEST_DATA!D14191</f>
        <v/>
      </c>
      <c r="E14191">
        <f>TEST_DATA!E14191</f>
        <v/>
      </c>
    </row>
    <row r="14192">
      <c r="A14192">
        <f>TEST_DATA!A14192</f>
        <v/>
      </c>
      <c r="B14192">
        <f>TEST_DATA!B14192</f>
        <v/>
      </c>
      <c r="C14192">
        <f>TEST_DATA!C14192</f>
        <v/>
      </c>
      <c r="D14192">
        <f>TEST_DATA!D14192</f>
        <v/>
      </c>
      <c r="E14192">
        <f>TEST_DATA!E14192</f>
        <v/>
      </c>
    </row>
    <row r="14193">
      <c r="A14193">
        <f>TEST_DATA!A14193</f>
        <v/>
      </c>
      <c r="B14193">
        <f>TEST_DATA!B14193</f>
        <v/>
      </c>
      <c r="C14193">
        <f>TEST_DATA!C14193</f>
        <v/>
      </c>
      <c r="D14193">
        <f>TEST_DATA!D14193</f>
        <v/>
      </c>
      <c r="E14193">
        <f>TEST_DATA!E14193</f>
        <v/>
      </c>
    </row>
    <row r="14194">
      <c r="A14194">
        <f>TEST_DATA!A14194</f>
        <v/>
      </c>
      <c r="B14194">
        <f>TEST_DATA!B14194</f>
        <v/>
      </c>
      <c r="C14194">
        <f>TEST_DATA!C14194</f>
        <v/>
      </c>
      <c r="D14194">
        <f>TEST_DATA!D14194</f>
        <v/>
      </c>
      <c r="E14194">
        <f>TEST_DATA!E14194</f>
        <v/>
      </c>
    </row>
    <row r="14195">
      <c r="A14195">
        <f>TEST_DATA!A14195</f>
        <v/>
      </c>
      <c r="B14195">
        <f>TEST_DATA!B14195</f>
        <v/>
      </c>
      <c r="C14195">
        <f>TEST_DATA!C14195</f>
        <v/>
      </c>
      <c r="D14195">
        <f>TEST_DATA!D14195</f>
        <v/>
      </c>
      <c r="E14195">
        <f>TEST_DATA!E14195</f>
        <v/>
      </c>
    </row>
    <row r="14196">
      <c r="A14196">
        <f>TEST_DATA!A14196</f>
        <v/>
      </c>
      <c r="B14196">
        <f>TEST_DATA!B14196</f>
        <v/>
      </c>
      <c r="C14196">
        <f>TEST_DATA!C14196</f>
        <v/>
      </c>
      <c r="D14196">
        <f>TEST_DATA!D14196</f>
        <v/>
      </c>
      <c r="E14196">
        <f>TEST_DATA!E14196</f>
        <v/>
      </c>
    </row>
    <row r="14197">
      <c r="A14197">
        <f>TEST_DATA!A14197</f>
        <v/>
      </c>
      <c r="B14197">
        <f>TEST_DATA!B14197</f>
        <v/>
      </c>
      <c r="C14197">
        <f>TEST_DATA!C14197</f>
        <v/>
      </c>
      <c r="D14197">
        <f>TEST_DATA!D14197</f>
        <v/>
      </c>
      <c r="E14197">
        <f>TEST_DATA!E14197</f>
        <v/>
      </c>
    </row>
    <row r="14198">
      <c r="A14198">
        <f>TEST_DATA!A14198</f>
        <v/>
      </c>
      <c r="B14198">
        <f>TEST_DATA!B14198</f>
        <v/>
      </c>
      <c r="C14198">
        <f>TEST_DATA!C14198</f>
        <v/>
      </c>
      <c r="D14198">
        <f>TEST_DATA!D14198</f>
        <v/>
      </c>
      <c r="E14198">
        <f>TEST_DATA!E14198</f>
        <v/>
      </c>
    </row>
    <row r="14199">
      <c r="A14199">
        <f>TEST_DATA!A14199</f>
        <v/>
      </c>
      <c r="B14199">
        <f>TEST_DATA!B14199</f>
        <v/>
      </c>
      <c r="C14199">
        <f>TEST_DATA!C14199</f>
        <v/>
      </c>
      <c r="D14199">
        <f>TEST_DATA!D14199</f>
        <v/>
      </c>
      <c r="E14199">
        <f>TEST_DATA!E14199</f>
        <v/>
      </c>
    </row>
    <row r="14200">
      <c r="A14200">
        <f>TEST_DATA!A14200</f>
        <v/>
      </c>
      <c r="B14200">
        <f>TEST_DATA!B14200</f>
        <v/>
      </c>
      <c r="C14200">
        <f>TEST_DATA!C14200</f>
        <v/>
      </c>
      <c r="D14200">
        <f>TEST_DATA!D14200</f>
        <v/>
      </c>
      <c r="E14200">
        <f>TEST_DATA!E14200</f>
        <v/>
      </c>
    </row>
    <row r="14201">
      <c r="A14201">
        <f>TEST_DATA!A14201</f>
        <v/>
      </c>
      <c r="B14201">
        <f>TEST_DATA!B14201</f>
        <v/>
      </c>
      <c r="C14201">
        <f>TEST_DATA!C14201</f>
        <v/>
      </c>
      <c r="D14201">
        <f>TEST_DATA!D14201</f>
        <v/>
      </c>
      <c r="E14201">
        <f>TEST_DATA!E14201</f>
        <v/>
      </c>
    </row>
    <row r="14202">
      <c r="A14202">
        <f>TEST_DATA!A14202</f>
        <v/>
      </c>
      <c r="B14202">
        <f>TEST_DATA!B14202</f>
        <v/>
      </c>
      <c r="C14202">
        <f>TEST_DATA!C14202</f>
        <v/>
      </c>
      <c r="D14202">
        <f>TEST_DATA!D14202</f>
        <v/>
      </c>
      <c r="E14202">
        <f>TEST_DATA!E14202</f>
        <v/>
      </c>
    </row>
    <row r="14203">
      <c r="A14203">
        <f>TEST_DATA!A14203</f>
        <v/>
      </c>
      <c r="B14203">
        <f>TEST_DATA!B14203</f>
        <v/>
      </c>
      <c r="C14203">
        <f>TEST_DATA!C14203</f>
        <v/>
      </c>
      <c r="D14203">
        <f>TEST_DATA!D14203</f>
        <v/>
      </c>
      <c r="E14203">
        <f>TEST_DATA!E14203</f>
        <v/>
      </c>
    </row>
    <row r="14204">
      <c r="A14204">
        <f>TEST_DATA!A14204</f>
        <v/>
      </c>
      <c r="B14204">
        <f>TEST_DATA!B14204</f>
        <v/>
      </c>
      <c r="C14204">
        <f>TEST_DATA!C14204</f>
        <v/>
      </c>
      <c r="D14204">
        <f>TEST_DATA!D14204</f>
        <v/>
      </c>
      <c r="E14204">
        <f>TEST_DATA!E14204</f>
        <v/>
      </c>
    </row>
    <row r="14205">
      <c r="A14205">
        <f>TEST_DATA!A14205</f>
        <v/>
      </c>
      <c r="B14205">
        <f>TEST_DATA!B14205</f>
        <v/>
      </c>
      <c r="C14205">
        <f>TEST_DATA!C14205</f>
        <v/>
      </c>
      <c r="D14205">
        <f>TEST_DATA!D14205</f>
        <v/>
      </c>
      <c r="E14205">
        <f>TEST_DATA!E14205</f>
        <v/>
      </c>
    </row>
    <row r="14206">
      <c r="A14206">
        <f>TEST_DATA!A14206</f>
        <v/>
      </c>
      <c r="B14206">
        <f>TEST_DATA!B14206</f>
        <v/>
      </c>
      <c r="C14206">
        <f>TEST_DATA!C14206</f>
        <v/>
      </c>
      <c r="D14206">
        <f>TEST_DATA!D14206</f>
        <v/>
      </c>
      <c r="E14206">
        <f>TEST_DATA!E14206</f>
        <v/>
      </c>
    </row>
    <row r="14207">
      <c r="A14207">
        <f>TEST_DATA!A14207</f>
        <v/>
      </c>
      <c r="B14207">
        <f>TEST_DATA!B14207</f>
        <v/>
      </c>
      <c r="C14207">
        <f>TEST_DATA!C14207</f>
        <v/>
      </c>
      <c r="D14207">
        <f>TEST_DATA!D14207</f>
        <v/>
      </c>
      <c r="E14207">
        <f>TEST_DATA!E14207</f>
        <v/>
      </c>
    </row>
    <row r="14208">
      <c r="A14208">
        <f>TEST_DATA!A14208</f>
        <v/>
      </c>
      <c r="B14208">
        <f>TEST_DATA!B14208</f>
        <v/>
      </c>
      <c r="C14208">
        <f>TEST_DATA!C14208</f>
        <v/>
      </c>
      <c r="D14208">
        <f>TEST_DATA!D14208</f>
        <v/>
      </c>
      <c r="E14208">
        <f>TEST_DATA!E14208</f>
        <v/>
      </c>
    </row>
    <row r="14209">
      <c r="A14209">
        <f>TEST_DATA!A14209</f>
        <v/>
      </c>
      <c r="B14209">
        <f>TEST_DATA!B14209</f>
        <v/>
      </c>
      <c r="C14209">
        <f>TEST_DATA!C14209</f>
        <v/>
      </c>
      <c r="D14209">
        <f>TEST_DATA!D14209</f>
        <v/>
      </c>
      <c r="E14209">
        <f>TEST_DATA!E14209</f>
        <v/>
      </c>
    </row>
    <row r="14210">
      <c r="A14210">
        <f>TEST_DATA!A14210</f>
        <v/>
      </c>
      <c r="B14210">
        <f>TEST_DATA!B14210</f>
        <v/>
      </c>
      <c r="C14210">
        <f>TEST_DATA!C14210</f>
        <v/>
      </c>
      <c r="D14210">
        <f>TEST_DATA!D14210</f>
        <v/>
      </c>
      <c r="E14210">
        <f>TEST_DATA!E14210</f>
        <v/>
      </c>
    </row>
    <row r="14211">
      <c r="A14211">
        <f>TEST_DATA!A14211</f>
        <v/>
      </c>
      <c r="B14211">
        <f>TEST_DATA!B14211</f>
        <v/>
      </c>
      <c r="C14211">
        <f>TEST_DATA!C14211</f>
        <v/>
      </c>
      <c r="D14211">
        <f>TEST_DATA!D14211</f>
        <v/>
      </c>
      <c r="E14211">
        <f>TEST_DATA!E14211</f>
        <v/>
      </c>
    </row>
    <row r="14212">
      <c r="A14212">
        <f>TEST_DATA!A14212</f>
        <v/>
      </c>
      <c r="B14212">
        <f>TEST_DATA!B14212</f>
        <v/>
      </c>
      <c r="C14212">
        <f>TEST_DATA!C14212</f>
        <v/>
      </c>
      <c r="D14212">
        <f>TEST_DATA!D14212</f>
        <v/>
      </c>
      <c r="E14212">
        <f>TEST_DATA!E14212</f>
        <v/>
      </c>
    </row>
    <row r="14213">
      <c r="A14213">
        <f>TEST_DATA!A14213</f>
        <v/>
      </c>
      <c r="B14213">
        <f>TEST_DATA!B14213</f>
        <v/>
      </c>
      <c r="C14213">
        <f>TEST_DATA!C14213</f>
        <v/>
      </c>
      <c r="D14213">
        <f>TEST_DATA!D14213</f>
        <v/>
      </c>
      <c r="E14213">
        <f>TEST_DATA!E14213</f>
        <v/>
      </c>
    </row>
    <row r="14214">
      <c r="A14214">
        <f>TEST_DATA!A14214</f>
        <v/>
      </c>
      <c r="B14214">
        <f>TEST_DATA!B14214</f>
        <v/>
      </c>
      <c r="C14214">
        <f>TEST_DATA!C14214</f>
        <v/>
      </c>
      <c r="D14214">
        <f>TEST_DATA!D14214</f>
        <v/>
      </c>
      <c r="E14214">
        <f>TEST_DATA!E14214</f>
        <v/>
      </c>
    </row>
    <row r="14215">
      <c r="A14215">
        <f>TEST_DATA!A14215</f>
        <v/>
      </c>
      <c r="B14215">
        <f>TEST_DATA!B14215</f>
        <v/>
      </c>
      <c r="C14215">
        <f>TEST_DATA!C14215</f>
        <v/>
      </c>
      <c r="D14215">
        <f>TEST_DATA!D14215</f>
        <v/>
      </c>
      <c r="E14215">
        <f>TEST_DATA!E14215</f>
        <v/>
      </c>
    </row>
    <row r="14216">
      <c r="A14216">
        <f>TEST_DATA!A14216</f>
        <v/>
      </c>
      <c r="B14216">
        <f>TEST_DATA!B14216</f>
        <v/>
      </c>
      <c r="C14216">
        <f>TEST_DATA!C14216</f>
        <v/>
      </c>
      <c r="D14216">
        <f>TEST_DATA!D14216</f>
        <v/>
      </c>
      <c r="E14216">
        <f>TEST_DATA!E14216</f>
        <v/>
      </c>
    </row>
    <row r="14217">
      <c r="A14217">
        <f>TEST_DATA!A14217</f>
        <v/>
      </c>
      <c r="B14217">
        <f>TEST_DATA!B14217</f>
        <v/>
      </c>
      <c r="C14217">
        <f>TEST_DATA!C14217</f>
        <v/>
      </c>
      <c r="D14217">
        <f>TEST_DATA!D14217</f>
        <v/>
      </c>
      <c r="E14217">
        <f>TEST_DATA!E14217</f>
        <v/>
      </c>
    </row>
    <row r="14218">
      <c r="A14218">
        <f>TEST_DATA!A14218</f>
        <v/>
      </c>
      <c r="B14218">
        <f>TEST_DATA!B14218</f>
        <v/>
      </c>
      <c r="C14218">
        <f>TEST_DATA!C14218</f>
        <v/>
      </c>
      <c r="D14218">
        <f>TEST_DATA!D14218</f>
        <v/>
      </c>
      <c r="E14218">
        <f>TEST_DATA!E14218</f>
        <v/>
      </c>
    </row>
    <row r="14219">
      <c r="A14219">
        <f>TEST_DATA!A14219</f>
        <v/>
      </c>
      <c r="B14219">
        <f>TEST_DATA!B14219</f>
        <v/>
      </c>
      <c r="C14219">
        <f>TEST_DATA!C14219</f>
        <v/>
      </c>
      <c r="D14219">
        <f>TEST_DATA!D14219</f>
        <v/>
      </c>
      <c r="E14219">
        <f>TEST_DATA!E14219</f>
        <v/>
      </c>
    </row>
    <row r="14220">
      <c r="A14220">
        <f>TEST_DATA!A14220</f>
        <v/>
      </c>
      <c r="B14220">
        <f>TEST_DATA!B14220</f>
        <v/>
      </c>
      <c r="C14220">
        <f>TEST_DATA!C14220</f>
        <v/>
      </c>
      <c r="D14220">
        <f>TEST_DATA!D14220</f>
        <v/>
      </c>
      <c r="E14220">
        <f>TEST_DATA!E14220</f>
        <v/>
      </c>
    </row>
    <row r="14221">
      <c r="A14221">
        <f>TEST_DATA!A14221</f>
        <v/>
      </c>
      <c r="B14221">
        <f>TEST_DATA!B14221</f>
        <v/>
      </c>
      <c r="C14221">
        <f>TEST_DATA!C14221</f>
        <v/>
      </c>
      <c r="D14221">
        <f>TEST_DATA!D14221</f>
        <v/>
      </c>
      <c r="E14221">
        <f>TEST_DATA!E14221</f>
        <v/>
      </c>
    </row>
    <row r="14222">
      <c r="A14222">
        <f>TEST_DATA!A14222</f>
        <v/>
      </c>
      <c r="B14222">
        <f>TEST_DATA!B14222</f>
        <v/>
      </c>
      <c r="C14222">
        <f>TEST_DATA!C14222</f>
        <v/>
      </c>
      <c r="D14222">
        <f>TEST_DATA!D14222</f>
        <v/>
      </c>
      <c r="E14222">
        <f>TEST_DATA!E14222</f>
        <v/>
      </c>
    </row>
    <row r="14223">
      <c r="A14223">
        <f>TEST_DATA!A14223</f>
        <v/>
      </c>
      <c r="B14223">
        <f>TEST_DATA!B14223</f>
        <v/>
      </c>
      <c r="C14223">
        <f>TEST_DATA!C14223</f>
        <v/>
      </c>
      <c r="D14223">
        <f>TEST_DATA!D14223</f>
        <v/>
      </c>
      <c r="E14223">
        <f>TEST_DATA!E14223</f>
        <v/>
      </c>
    </row>
    <row r="14224">
      <c r="A14224">
        <f>TEST_DATA!A14224</f>
        <v/>
      </c>
      <c r="B14224">
        <f>TEST_DATA!B14224</f>
        <v/>
      </c>
      <c r="C14224">
        <f>TEST_DATA!C14224</f>
        <v/>
      </c>
      <c r="D14224">
        <f>TEST_DATA!D14224</f>
        <v/>
      </c>
      <c r="E14224">
        <f>TEST_DATA!E14224</f>
        <v/>
      </c>
    </row>
    <row r="14225">
      <c r="A14225">
        <f>TEST_DATA!A14225</f>
        <v/>
      </c>
      <c r="B14225">
        <f>TEST_DATA!B14225</f>
        <v/>
      </c>
      <c r="C14225">
        <f>TEST_DATA!C14225</f>
        <v/>
      </c>
      <c r="D14225">
        <f>TEST_DATA!D14225</f>
        <v/>
      </c>
      <c r="E14225">
        <f>TEST_DATA!E14225</f>
        <v/>
      </c>
    </row>
    <row r="14226">
      <c r="A14226">
        <f>TEST_DATA!A14226</f>
        <v/>
      </c>
      <c r="B14226">
        <f>TEST_DATA!B14226</f>
        <v/>
      </c>
      <c r="C14226">
        <f>TEST_DATA!C14226</f>
        <v/>
      </c>
      <c r="D14226">
        <f>TEST_DATA!D14226</f>
        <v/>
      </c>
      <c r="E14226">
        <f>TEST_DATA!E14226</f>
        <v/>
      </c>
    </row>
    <row r="14227">
      <c r="A14227">
        <f>TEST_DATA!A14227</f>
        <v/>
      </c>
      <c r="B14227">
        <f>TEST_DATA!B14227</f>
        <v/>
      </c>
      <c r="C14227">
        <f>TEST_DATA!C14227</f>
        <v/>
      </c>
      <c r="D14227">
        <f>TEST_DATA!D14227</f>
        <v/>
      </c>
      <c r="E14227">
        <f>TEST_DATA!E14227</f>
        <v/>
      </c>
    </row>
    <row r="14228">
      <c r="A14228">
        <f>TEST_DATA!A14228</f>
        <v/>
      </c>
      <c r="B14228">
        <f>TEST_DATA!B14228</f>
        <v/>
      </c>
      <c r="C14228">
        <f>TEST_DATA!C14228</f>
        <v/>
      </c>
      <c r="D14228">
        <f>TEST_DATA!D14228</f>
        <v/>
      </c>
      <c r="E14228">
        <f>TEST_DATA!E14228</f>
        <v/>
      </c>
    </row>
    <row r="14229">
      <c r="A14229">
        <f>TEST_DATA!A14229</f>
        <v/>
      </c>
      <c r="B14229">
        <f>TEST_DATA!B14229</f>
        <v/>
      </c>
      <c r="C14229">
        <f>TEST_DATA!C14229</f>
        <v/>
      </c>
      <c r="D14229">
        <f>TEST_DATA!D14229</f>
        <v/>
      </c>
      <c r="E14229">
        <f>TEST_DATA!E14229</f>
        <v/>
      </c>
    </row>
    <row r="14230">
      <c r="A14230">
        <f>TEST_DATA!A14230</f>
        <v/>
      </c>
      <c r="B14230">
        <f>TEST_DATA!B14230</f>
        <v/>
      </c>
      <c r="C14230">
        <f>TEST_DATA!C14230</f>
        <v/>
      </c>
      <c r="D14230">
        <f>TEST_DATA!D14230</f>
        <v/>
      </c>
      <c r="E14230">
        <f>TEST_DATA!E14230</f>
        <v/>
      </c>
    </row>
    <row r="14231">
      <c r="A14231">
        <f>TEST_DATA!A14231</f>
        <v/>
      </c>
      <c r="B14231">
        <f>TEST_DATA!B14231</f>
        <v/>
      </c>
      <c r="C14231">
        <f>TEST_DATA!C14231</f>
        <v/>
      </c>
      <c r="D14231">
        <f>TEST_DATA!D14231</f>
        <v/>
      </c>
      <c r="E14231">
        <f>TEST_DATA!E14231</f>
        <v/>
      </c>
    </row>
    <row r="14232">
      <c r="A14232">
        <f>TEST_DATA!A14232</f>
        <v/>
      </c>
      <c r="B14232">
        <f>TEST_DATA!B14232</f>
        <v/>
      </c>
      <c r="C14232">
        <f>TEST_DATA!C14232</f>
        <v/>
      </c>
      <c r="D14232">
        <f>TEST_DATA!D14232</f>
        <v/>
      </c>
      <c r="E14232">
        <f>TEST_DATA!E14232</f>
        <v/>
      </c>
    </row>
    <row r="14233">
      <c r="A14233">
        <f>TEST_DATA!A14233</f>
        <v/>
      </c>
      <c r="B14233">
        <f>TEST_DATA!B14233</f>
        <v/>
      </c>
      <c r="C14233">
        <f>TEST_DATA!C14233</f>
        <v/>
      </c>
      <c r="D14233">
        <f>TEST_DATA!D14233</f>
        <v/>
      </c>
      <c r="E14233">
        <f>TEST_DATA!E14233</f>
        <v/>
      </c>
    </row>
    <row r="14234">
      <c r="A14234">
        <f>TEST_DATA!A14234</f>
        <v/>
      </c>
      <c r="B14234">
        <f>TEST_DATA!B14234</f>
        <v/>
      </c>
      <c r="C14234">
        <f>TEST_DATA!C14234</f>
        <v/>
      </c>
      <c r="D14234">
        <f>TEST_DATA!D14234</f>
        <v/>
      </c>
      <c r="E14234">
        <f>TEST_DATA!E14234</f>
        <v/>
      </c>
    </row>
    <row r="14235">
      <c r="A14235">
        <f>TEST_DATA!A14235</f>
        <v/>
      </c>
      <c r="B14235">
        <f>TEST_DATA!B14235</f>
        <v/>
      </c>
      <c r="C14235">
        <f>TEST_DATA!C14235</f>
        <v/>
      </c>
      <c r="D14235">
        <f>TEST_DATA!D14235</f>
        <v/>
      </c>
      <c r="E14235">
        <f>TEST_DATA!E14235</f>
        <v/>
      </c>
    </row>
    <row r="14236">
      <c r="A14236">
        <f>TEST_DATA!A14236</f>
        <v/>
      </c>
      <c r="B14236">
        <f>TEST_DATA!B14236</f>
        <v/>
      </c>
      <c r="C14236">
        <f>TEST_DATA!C14236</f>
        <v/>
      </c>
      <c r="D14236">
        <f>TEST_DATA!D14236</f>
        <v/>
      </c>
      <c r="E14236">
        <f>TEST_DATA!E14236</f>
        <v/>
      </c>
    </row>
    <row r="14237">
      <c r="A14237">
        <f>TEST_DATA!A14237</f>
        <v/>
      </c>
      <c r="B14237">
        <f>TEST_DATA!B14237</f>
        <v/>
      </c>
      <c r="C14237">
        <f>TEST_DATA!C14237</f>
        <v/>
      </c>
      <c r="D14237">
        <f>TEST_DATA!D14237</f>
        <v/>
      </c>
      <c r="E14237">
        <f>TEST_DATA!E14237</f>
        <v/>
      </c>
    </row>
    <row r="14238">
      <c r="A14238">
        <f>TEST_DATA!A14238</f>
        <v/>
      </c>
      <c r="B14238">
        <f>TEST_DATA!B14238</f>
        <v/>
      </c>
      <c r="C14238">
        <f>TEST_DATA!C14238</f>
        <v/>
      </c>
      <c r="D14238">
        <f>TEST_DATA!D14238</f>
        <v/>
      </c>
      <c r="E14238">
        <f>TEST_DATA!E14238</f>
        <v/>
      </c>
    </row>
    <row r="14239">
      <c r="A14239">
        <f>TEST_DATA!A14239</f>
        <v/>
      </c>
      <c r="B14239">
        <f>TEST_DATA!B14239</f>
        <v/>
      </c>
      <c r="C14239">
        <f>TEST_DATA!C14239</f>
        <v/>
      </c>
      <c r="D14239">
        <f>TEST_DATA!D14239</f>
        <v/>
      </c>
      <c r="E14239">
        <f>TEST_DATA!E14239</f>
        <v/>
      </c>
    </row>
    <row r="14240">
      <c r="A14240">
        <f>TEST_DATA!A14240</f>
        <v/>
      </c>
      <c r="B14240">
        <f>TEST_DATA!B14240</f>
        <v/>
      </c>
      <c r="C14240">
        <f>TEST_DATA!C14240</f>
        <v/>
      </c>
      <c r="D14240">
        <f>TEST_DATA!D14240</f>
        <v/>
      </c>
      <c r="E14240">
        <f>TEST_DATA!E14240</f>
        <v/>
      </c>
    </row>
    <row r="14241">
      <c r="A14241">
        <f>TEST_DATA!A14241</f>
        <v/>
      </c>
      <c r="B14241">
        <f>TEST_DATA!B14241</f>
        <v/>
      </c>
      <c r="C14241">
        <f>TEST_DATA!C14241</f>
        <v/>
      </c>
      <c r="D14241">
        <f>TEST_DATA!D14241</f>
        <v/>
      </c>
      <c r="E14241">
        <f>TEST_DATA!E14241</f>
        <v/>
      </c>
    </row>
    <row r="14242">
      <c r="A14242">
        <f>TEST_DATA!A14242</f>
        <v/>
      </c>
      <c r="B14242">
        <f>TEST_DATA!B14242</f>
        <v/>
      </c>
      <c r="C14242">
        <f>TEST_DATA!C14242</f>
        <v/>
      </c>
      <c r="D14242">
        <f>TEST_DATA!D14242</f>
        <v/>
      </c>
      <c r="E14242">
        <f>TEST_DATA!E14242</f>
        <v/>
      </c>
    </row>
    <row r="14243">
      <c r="A14243">
        <f>TEST_DATA!A14243</f>
        <v/>
      </c>
      <c r="B14243">
        <f>TEST_DATA!B14243</f>
        <v/>
      </c>
      <c r="C14243">
        <f>TEST_DATA!C14243</f>
        <v/>
      </c>
      <c r="D14243">
        <f>TEST_DATA!D14243</f>
        <v/>
      </c>
      <c r="E14243">
        <f>TEST_DATA!E14243</f>
        <v/>
      </c>
    </row>
    <row r="14244">
      <c r="A14244">
        <f>TEST_DATA!A14244</f>
        <v/>
      </c>
      <c r="B14244">
        <f>TEST_DATA!B14244</f>
        <v/>
      </c>
      <c r="C14244">
        <f>TEST_DATA!C14244</f>
        <v/>
      </c>
      <c r="D14244">
        <f>TEST_DATA!D14244</f>
        <v/>
      </c>
      <c r="E14244">
        <f>TEST_DATA!E14244</f>
        <v/>
      </c>
    </row>
    <row r="14245">
      <c r="A14245">
        <f>TEST_DATA!A14245</f>
        <v/>
      </c>
      <c r="B14245">
        <f>TEST_DATA!B14245</f>
        <v/>
      </c>
      <c r="C14245">
        <f>TEST_DATA!C14245</f>
        <v/>
      </c>
      <c r="D14245">
        <f>TEST_DATA!D14245</f>
        <v/>
      </c>
      <c r="E14245">
        <f>TEST_DATA!E14245</f>
        <v/>
      </c>
    </row>
    <row r="14246">
      <c r="A14246">
        <f>TEST_DATA!A14246</f>
        <v/>
      </c>
      <c r="B14246">
        <f>TEST_DATA!B14246</f>
        <v/>
      </c>
      <c r="C14246">
        <f>TEST_DATA!C14246</f>
        <v/>
      </c>
      <c r="D14246">
        <f>TEST_DATA!D14246</f>
        <v/>
      </c>
      <c r="E14246">
        <f>TEST_DATA!E14246</f>
        <v/>
      </c>
    </row>
    <row r="14247">
      <c r="A14247">
        <f>TEST_DATA!A14247</f>
        <v/>
      </c>
      <c r="B14247">
        <f>TEST_DATA!B14247</f>
        <v/>
      </c>
      <c r="C14247">
        <f>TEST_DATA!C14247</f>
        <v/>
      </c>
      <c r="D14247">
        <f>TEST_DATA!D14247</f>
        <v/>
      </c>
      <c r="E14247">
        <f>TEST_DATA!E14247</f>
        <v/>
      </c>
    </row>
    <row r="14248">
      <c r="A14248">
        <f>TEST_DATA!A14248</f>
        <v/>
      </c>
      <c r="B14248">
        <f>TEST_DATA!B14248</f>
        <v/>
      </c>
      <c r="C14248">
        <f>TEST_DATA!C14248</f>
        <v/>
      </c>
      <c r="D14248">
        <f>TEST_DATA!D14248</f>
        <v/>
      </c>
      <c r="E14248">
        <f>TEST_DATA!E14248</f>
        <v/>
      </c>
    </row>
    <row r="14249">
      <c r="A14249">
        <f>TEST_DATA!A14249</f>
        <v/>
      </c>
      <c r="B14249">
        <f>TEST_DATA!B14249</f>
        <v/>
      </c>
      <c r="C14249">
        <f>TEST_DATA!C14249</f>
        <v/>
      </c>
      <c r="D14249">
        <f>TEST_DATA!D14249</f>
        <v/>
      </c>
      <c r="E14249">
        <f>TEST_DATA!E14249</f>
        <v/>
      </c>
    </row>
    <row r="14250">
      <c r="A14250">
        <f>TEST_DATA!A14250</f>
        <v/>
      </c>
      <c r="B14250">
        <f>TEST_DATA!B14250</f>
        <v/>
      </c>
      <c r="C14250">
        <f>TEST_DATA!C14250</f>
        <v/>
      </c>
      <c r="D14250">
        <f>TEST_DATA!D14250</f>
        <v/>
      </c>
      <c r="E14250">
        <f>TEST_DATA!E14250</f>
        <v/>
      </c>
    </row>
    <row r="14251">
      <c r="A14251">
        <f>TEST_DATA!A14251</f>
        <v/>
      </c>
      <c r="B14251">
        <f>TEST_DATA!B14251</f>
        <v/>
      </c>
      <c r="C14251">
        <f>TEST_DATA!C14251</f>
        <v/>
      </c>
      <c r="D14251">
        <f>TEST_DATA!D14251</f>
        <v/>
      </c>
      <c r="E14251">
        <f>TEST_DATA!E14251</f>
        <v/>
      </c>
    </row>
    <row r="14252">
      <c r="A14252">
        <f>TEST_DATA!A14252</f>
        <v/>
      </c>
      <c r="B14252">
        <f>TEST_DATA!B14252</f>
        <v/>
      </c>
      <c r="C14252">
        <f>TEST_DATA!C14252</f>
        <v/>
      </c>
      <c r="D14252">
        <f>TEST_DATA!D14252</f>
        <v/>
      </c>
      <c r="E14252">
        <f>TEST_DATA!E14252</f>
        <v/>
      </c>
    </row>
    <row r="14253">
      <c r="A14253">
        <f>TEST_DATA!A14253</f>
        <v/>
      </c>
      <c r="B14253">
        <f>TEST_DATA!B14253</f>
        <v/>
      </c>
      <c r="C14253">
        <f>TEST_DATA!C14253</f>
        <v/>
      </c>
      <c r="D14253">
        <f>TEST_DATA!D14253</f>
        <v/>
      </c>
      <c r="E14253">
        <f>TEST_DATA!E14253</f>
        <v/>
      </c>
    </row>
    <row r="14254">
      <c r="A14254">
        <f>TEST_DATA!A14254</f>
        <v/>
      </c>
      <c r="B14254">
        <f>TEST_DATA!B14254</f>
        <v/>
      </c>
      <c r="C14254">
        <f>TEST_DATA!C14254</f>
        <v/>
      </c>
      <c r="D14254">
        <f>TEST_DATA!D14254</f>
        <v/>
      </c>
      <c r="E14254">
        <f>TEST_DATA!E14254</f>
        <v/>
      </c>
    </row>
    <row r="14255">
      <c r="A14255">
        <f>TEST_DATA!A14255</f>
        <v/>
      </c>
      <c r="B14255">
        <f>TEST_DATA!B14255</f>
        <v/>
      </c>
      <c r="C14255">
        <f>TEST_DATA!C14255</f>
        <v/>
      </c>
      <c r="D14255">
        <f>TEST_DATA!D14255</f>
        <v/>
      </c>
      <c r="E14255">
        <f>TEST_DATA!E14255</f>
        <v/>
      </c>
    </row>
    <row r="14256">
      <c r="A14256">
        <f>TEST_DATA!A14256</f>
        <v/>
      </c>
      <c r="B14256">
        <f>TEST_DATA!B14256</f>
        <v/>
      </c>
      <c r="C14256">
        <f>TEST_DATA!C14256</f>
        <v/>
      </c>
      <c r="D14256">
        <f>TEST_DATA!D14256</f>
        <v/>
      </c>
      <c r="E14256">
        <f>TEST_DATA!E14256</f>
        <v/>
      </c>
    </row>
    <row r="14257">
      <c r="A14257">
        <f>TEST_DATA!A14257</f>
        <v/>
      </c>
      <c r="B14257">
        <f>TEST_DATA!B14257</f>
        <v/>
      </c>
      <c r="C14257">
        <f>TEST_DATA!C14257</f>
        <v/>
      </c>
      <c r="D14257">
        <f>TEST_DATA!D14257</f>
        <v/>
      </c>
      <c r="E14257">
        <f>TEST_DATA!E14257</f>
        <v/>
      </c>
    </row>
    <row r="14258">
      <c r="A14258">
        <f>TEST_DATA!A14258</f>
        <v/>
      </c>
      <c r="B14258">
        <f>TEST_DATA!B14258</f>
        <v/>
      </c>
      <c r="C14258">
        <f>TEST_DATA!C14258</f>
        <v/>
      </c>
      <c r="D14258">
        <f>TEST_DATA!D14258</f>
        <v/>
      </c>
      <c r="E14258">
        <f>TEST_DATA!E14258</f>
        <v/>
      </c>
    </row>
    <row r="14259">
      <c r="A14259">
        <f>TEST_DATA!A14259</f>
        <v/>
      </c>
      <c r="B14259">
        <f>TEST_DATA!B14259</f>
        <v/>
      </c>
      <c r="C14259">
        <f>TEST_DATA!C14259</f>
        <v/>
      </c>
      <c r="D14259">
        <f>TEST_DATA!D14259</f>
        <v/>
      </c>
      <c r="E14259">
        <f>TEST_DATA!E14259</f>
        <v/>
      </c>
    </row>
    <row r="14260">
      <c r="A14260">
        <f>TEST_DATA!A14260</f>
        <v/>
      </c>
      <c r="B14260">
        <f>TEST_DATA!B14260</f>
        <v/>
      </c>
      <c r="C14260">
        <f>TEST_DATA!C14260</f>
        <v/>
      </c>
      <c r="D14260">
        <f>TEST_DATA!D14260</f>
        <v/>
      </c>
      <c r="E14260">
        <f>TEST_DATA!E14260</f>
        <v/>
      </c>
    </row>
    <row r="14261">
      <c r="A14261">
        <f>TEST_DATA!A14261</f>
        <v/>
      </c>
      <c r="B14261">
        <f>TEST_DATA!B14261</f>
        <v/>
      </c>
      <c r="C14261">
        <f>TEST_DATA!C14261</f>
        <v/>
      </c>
      <c r="D14261">
        <f>TEST_DATA!D14261</f>
        <v/>
      </c>
      <c r="E14261">
        <f>TEST_DATA!E14261</f>
        <v/>
      </c>
    </row>
    <row r="14262">
      <c r="A14262">
        <f>TEST_DATA!A14262</f>
        <v/>
      </c>
      <c r="B14262">
        <f>TEST_DATA!B14262</f>
        <v/>
      </c>
      <c r="C14262">
        <f>TEST_DATA!C14262</f>
        <v/>
      </c>
      <c r="D14262">
        <f>TEST_DATA!D14262</f>
        <v/>
      </c>
      <c r="E14262">
        <f>TEST_DATA!E14262</f>
        <v/>
      </c>
    </row>
    <row r="14263">
      <c r="A14263">
        <f>TEST_DATA!A14263</f>
        <v/>
      </c>
      <c r="B14263">
        <f>TEST_DATA!B14263</f>
        <v/>
      </c>
      <c r="C14263">
        <f>TEST_DATA!C14263</f>
        <v/>
      </c>
      <c r="D14263">
        <f>TEST_DATA!D14263</f>
        <v/>
      </c>
      <c r="E14263">
        <f>TEST_DATA!E14263</f>
        <v/>
      </c>
    </row>
    <row r="14264">
      <c r="A14264">
        <f>TEST_DATA!A14264</f>
        <v/>
      </c>
      <c r="B14264">
        <f>TEST_DATA!B14264</f>
        <v/>
      </c>
      <c r="C14264">
        <f>TEST_DATA!C14264</f>
        <v/>
      </c>
      <c r="D14264">
        <f>TEST_DATA!D14264</f>
        <v/>
      </c>
      <c r="E14264">
        <f>TEST_DATA!E14264</f>
        <v/>
      </c>
    </row>
    <row r="14265">
      <c r="A14265">
        <f>TEST_DATA!A14265</f>
        <v/>
      </c>
      <c r="B14265">
        <f>TEST_DATA!B14265</f>
        <v/>
      </c>
      <c r="C14265">
        <f>TEST_DATA!C14265</f>
        <v/>
      </c>
      <c r="D14265">
        <f>TEST_DATA!D14265</f>
        <v/>
      </c>
      <c r="E14265">
        <f>TEST_DATA!E14265</f>
        <v/>
      </c>
    </row>
    <row r="14266">
      <c r="A14266">
        <f>TEST_DATA!A14266</f>
        <v/>
      </c>
      <c r="B14266">
        <f>TEST_DATA!B14266</f>
        <v/>
      </c>
      <c r="C14266">
        <f>TEST_DATA!C14266</f>
        <v/>
      </c>
      <c r="D14266">
        <f>TEST_DATA!D14266</f>
        <v/>
      </c>
      <c r="E14266">
        <f>TEST_DATA!E14266</f>
        <v/>
      </c>
    </row>
    <row r="14267">
      <c r="A14267">
        <f>TEST_DATA!A14267</f>
        <v/>
      </c>
      <c r="B14267">
        <f>TEST_DATA!B14267</f>
        <v/>
      </c>
      <c r="C14267">
        <f>TEST_DATA!C14267</f>
        <v/>
      </c>
      <c r="D14267">
        <f>TEST_DATA!D14267</f>
        <v/>
      </c>
      <c r="E14267">
        <f>TEST_DATA!E14267</f>
        <v/>
      </c>
    </row>
    <row r="14268">
      <c r="A14268">
        <f>TEST_DATA!A14268</f>
        <v/>
      </c>
      <c r="B14268">
        <f>TEST_DATA!B14268</f>
        <v/>
      </c>
      <c r="C14268">
        <f>TEST_DATA!C14268</f>
        <v/>
      </c>
      <c r="D14268">
        <f>TEST_DATA!D14268</f>
        <v/>
      </c>
      <c r="E14268">
        <f>TEST_DATA!E14268</f>
        <v/>
      </c>
    </row>
    <row r="14269">
      <c r="A14269">
        <f>TEST_DATA!A14269</f>
        <v/>
      </c>
      <c r="B14269">
        <f>TEST_DATA!B14269</f>
        <v/>
      </c>
      <c r="C14269">
        <f>TEST_DATA!C14269</f>
        <v/>
      </c>
      <c r="D14269">
        <f>TEST_DATA!D14269</f>
        <v/>
      </c>
      <c r="E14269">
        <f>TEST_DATA!E14269</f>
        <v/>
      </c>
    </row>
    <row r="14270">
      <c r="A14270">
        <f>TEST_DATA!A14270</f>
        <v/>
      </c>
      <c r="B14270">
        <f>TEST_DATA!B14270</f>
        <v/>
      </c>
      <c r="C14270">
        <f>TEST_DATA!C14270</f>
        <v/>
      </c>
      <c r="D14270">
        <f>TEST_DATA!D14270</f>
        <v/>
      </c>
      <c r="E14270">
        <f>TEST_DATA!E14270</f>
        <v/>
      </c>
    </row>
    <row r="14271">
      <c r="A14271">
        <f>TEST_DATA!A14271</f>
        <v/>
      </c>
      <c r="B14271">
        <f>TEST_DATA!B14271</f>
        <v/>
      </c>
      <c r="C14271">
        <f>TEST_DATA!C14271</f>
        <v/>
      </c>
      <c r="D14271">
        <f>TEST_DATA!D14271</f>
        <v/>
      </c>
      <c r="E14271">
        <f>TEST_DATA!E14271</f>
        <v/>
      </c>
    </row>
    <row r="14272">
      <c r="A14272">
        <f>TEST_DATA!A14272</f>
        <v/>
      </c>
      <c r="B14272">
        <f>TEST_DATA!B14272</f>
        <v/>
      </c>
      <c r="C14272">
        <f>TEST_DATA!C14272</f>
        <v/>
      </c>
      <c r="D14272">
        <f>TEST_DATA!D14272</f>
        <v/>
      </c>
      <c r="E14272">
        <f>TEST_DATA!E14272</f>
        <v/>
      </c>
    </row>
    <row r="14273">
      <c r="A14273">
        <f>TEST_DATA!A14273</f>
        <v/>
      </c>
      <c r="B14273">
        <f>TEST_DATA!B14273</f>
        <v/>
      </c>
      <c r="C14273">
        <f>TEST_DATA!C14273</f>
        <v/>
      </c>
      <c r="D14273">
        <f>TEST_DATA!D14273</f>
        <v/>
      </c>
      <c r="E14273">
        <f>TEST_DATA!E14273</f>
        <v/>
      </c>
    </row>
    <row r="14274">
      <c r="A14274">
        <f>TEST_DATA!A14274</f>
        <v/>
      </c>
      <c r="B14274">
        <f>TEST_DATA!B14274</f>
        <v/>
      </c>
      <c r="C14274">
        <f>TEST_DATA!C14274</f>
        <v/>
      </c>
      <c r="D14274">
        <f>TEST_DATA!D14274</f>
        <v/>
      </c>
      <c r="E14274">
        <f>TEST_DATA!E14274</f>
        <v/>
      </c>
    </row>
    <row r="14275">
      <c r="A14275">
        <f>TEST_DATA!A14275</f>
        <v/>
      </c>
      <c r="B14275">
        <f>TEST_DATA!B14275</f>
        <v/>
      </c>
      <c r="C14275">
        <f>TEST_DATA!C14275</f>
        <v/>
      </c>
      <c r="D14275">
        <f>TEST_DATA!D14275</f>
        <v/>
      </c>
      <c r="E14275">
        <f>TEST_DATA!E14275</f>
        <v/>
      </c>
    </row>
    <row r="14276">
      <c r="A14276">
        <f>TEST_DATA!A14276</f>
        <v/>
      </c>
      <c r="B14276">
        <f>TEST_DATA!B14276</f>
        <v/>
      </c>
      <c r="C14276">
        <f>TEST_DATA!C14276</f>
        <v/>
      </c>
      <c r="D14276">
        <f>TEST_DATA!D14276</f>
        <v/>
      </c>
      <c r="E14276">
        <f>TEST_DATA!E14276</f>
        <v/>
      </c>
    </row>
    <row r="14277">
      <c r="A14277">
        <f>TEST_DATA!A14277</f>
        <v/>
      </c>
      <c r="B14277">
        <f>TEST_DATA!B14277</f>
        <v/>
      </c>
      <c r="C14277">
        <f>TEST_DATA!C14277</f>
        <v/>
      </c>
      <c r="D14277">
        <f>TEST_DATA!D14277</f>
        <v/>
      </c>
      <c r="E14277">
        <f>TEST_DATA!E14277</f>
        <v/>
      </c>
    </row>
    <row r="14278">
      <c r="A14278">
        <f>TEST_DATA!A14278</f>
        <v/>
      </c>
      <c r="B14278">
        <f>TEST_DATA!B14278</f>
        <v/>
      </c>
      <c r="C14278">
        <f>TEST_DATA!C14278</f>
        <v/>
      </c>
      <c r="D14278">
        <f>TEST_DATA!D14278</f>
        <v/>
      </c>
      <c r="E14278">
        <f>TEST_DATA!E14278</f>
        <v/>
      </c>
    </row>
    <row r="14279">
      <c r="A14279">
        <f>TEST_DATA!A14279</f>
        <v/>
      </c>
      <c r="B14279">
        <f>TEST_DATA!B14279</f>
        <v/>
      </c>
      <c r="C14279">
        <f>TEST_DATA!C14279</f>
        <v/>
      </c>
      <c r="D14279">
        <f>TEST_DATA!D14279</f>
        <v/>
      </c>
      <c r="E14279">
        <f>TEST_DATA!E14279</f>
        <v/>
      </c>
    </row>
    <row r="14280">
      <c r="A14280">
        <f>TEST_DATA!A14280</f>
        <v/>
      </c>
      <c r="B14280">
        <f>TEST_DATA!B14280</f>
        <v/>
      </c>
      <c r="C14280">
        <f>TEST_DATA!C14280</f>
        <v/>
      </c>
      <c r="D14280">
        <f>TEST_DATA!D14280</f>
        <v/>
      </c>
      <c r="E14280">
        <f>TEST_DATA!E14280</f>
        <v/>
      </c>
    </row>
    <row r="14281">
      <c r="A14281">
        <f>TEST_DATA!A14281</f>
        <v/>
      </c>
      <c r="B14281">
        <f>TEST_DATA!B14281</f>
        <v/>
      </c>
      <c r="C14281">
        <f>TEST_DATA!C14281</f>
        <v/>
      </c>
      <c r="D14281">
        <f>TEST_DATA!D14281</f>
        <v/>
      </c>
      <c r="E14281">
        <f>TEST_DATA!E14281</f>
        <v/>
      </c>
    </row>
    <row r="14282">
      <c r="A14282">
        <f>TEST_DATA!A14282</f>
        <v/>
      </c>
      <c r="B14282">
        <f>TEST_DATA!B14282</f>
        <v/>
      </c>
      <c r="C14282">
        <f>TEST_DATA!C14282</f>
        <v/>
      </c>
      <c r="D14282">
        <f>TEST_DATA!D14282</f>
        <v/>
      </c>
      <c r="E14282">
        <f>TEST_DATA!E14282</f>
        <v/>
      </c>
    </row>
    <row r="14283">
      <c r="A14283">
        <f>TEST_DATA!A14283</f>
        <v/>
      </c>
      <c r="B14283">
        <f>TEST_DATA!B14283</f>
        <v/>
      </c>
      <c r="C14283">
        <f>TEST_DATA!C14283</f>
        <v/>
      </c>
      <c r="D14283">
        <f>TEST_DATA!D14283</f>
        <v/>
      </c>
      <c r="E14283">
        <f>TEST_DATA!E14283</f>
        <v/>
      </c>
    </row>
    <row r="14284">
      <c r="A14284">
        <f>TEST_DATA!A14284</f>
        <v/>
      </c>
      <c r="B14284">
        <f>TEST_DATA!B14284</f>
        <v/>
      </c>
      <c r="C14284">
        <f>TEST_DATA!C14284</f>
        <v/>
      </c>
      <c r="D14284">
        <f>TEST_DATA!D14284</f>
        <v/>
      </c>
      <c r="E14284">
        <f>TEST_DATA!E14284</f>
        <v/>
      </c>
    </row>
    <row r="14285">
      <c r="A14285">
        <f>TEST_DATA!A14285</f>
        <v/>
      </c>
      <c r="B14285">
        <f>TEST_DATA!B14285</f>
        <v/>
      </c>
      <c r="C14285">
        <f>TEST_DATA!C14285</f>
        <v/>
      </c>
      <c r="D14285">
        <f>TEST_DATA!D14285</f>
        <v/>
      </c>
      <c r="E14285">
        <f>TEST_DATA!E14285</f>
        <v/>
      </c>
    </row>
    <row r="14286">
      <c r="A14286">
        <f>TEST_DATA!A14286</f>
        <v/>
      </c>
      <c r="B14286">
        <f>TEST_DATA!B14286</f>
        <v/>
      </c>
      <c r="C14286">
        <f>TEST_DATA!C14286</f>
        <v/>
      </c>
      <c r="D14286">
        <f>TEST_DATA!D14286</f>
        <v/>
      </c>
      <c r="E14286">
        <f>TEST_DATA!E14286</f>
        <v/>
      </c>
    </row>
    <row r="14287">
      <c r="A14287">
        <f>TEST_DATA!A14287</f>
        <v/>
      </c>
      <c r="B14287">
        <f>TEST_DATA!B14287</f>
        <v/>
      </c>
      <c r="C14287">
        <f>TEST_DATA!C14287</f>
        <v/>
      </c>
      <c r="D14287">
        <f>TEST_DATA!D14287</f>
        <v/>
      </c>
      <c r="E14287">
        <f>TEST_DATA!E14287</f>
        <v/>
      </c>
    </row>
    <row r="14288">
      <c r="A14288">
        <f>TEST_DATA!A14288</f>
        <v/>
      </c>
      <c r="B14288">
        <f>TEST_DATA!B14288</f>
        <v/>
      </c>
      <c r="C14288">
        <f>TEST_DATA!C14288</f>
        <v/>
      </c>
      <c r="D14288">
        <f>TEST_DATA!D14288</f>
        <v/>
      </c>
      <c r="E14288">
        <f>TEST_DATA!E14288</f>
        <v/>
      </c>
    </row>
    <row r="14289">
      <c r="A14289">
        <f>TEST_DATA!A14289</f>
        <v/>
      </c>
      <c r="B14289">
        <f>TEST_DATA!B14289</f>
        <v/>
      </c>
      <c r="C14289">
        <f>TEST_DATA!C14289</f>
        <v/>
      </c>
      <c r="D14289">
        <f>TEST_DATA!D14289</f>
        <v/>
      </c>
      <c r="E14289">
        <f>TEST_DATA!E14289</f>
        <v/>
      </c>
    </row>
    <row r="14290">
      <c r="A14290">
        <f>TEST_DATA!A14290</f>
        <v/>
      </c>
      <c r="B14290">
        <f>TEST_DATA!B14290</f>
        <v/>
      </c>
      <c r="C14290">
        <f>TEST_DATA!C14290</f>
        <v/>
      </c>
      <c r="D14290">
        <f>TEST_DATA!D14290</f>
        <v/>
      </c>
      <c r="E14290">
        <f>TEST_DATA!E14290</f>
        <v/>
      </c>
    </row>
    <row r="14291">
      <c r="A14291">
        <f>TEST_DATA!A14291</f>
        <v/>
      </c>
      <c r="B14291">
        <f>TEST_DATA!B14291</f>
        <v/>
      </c>
      <c r="C14291">
        <f>TEST_DATA!C14291</f>
        <v/>
      </c>
      <c r="D14291">
        <f>TEST_DATA!D14291</f>
        <v/>
      </c>
      <c r="E14291">
        <f>TEST_DATA!E14291</f>
        <v/>
      </c>
    </row>
    <row r="14292">
      <c r="A14292">
        <f>TEST_DATA!A14292</f>
        <v/>
      </c>
      <c r="B14292">
        <f>TEST_DATA!B14292</f>
        <v/>
      </c>
      <c r="C14292">
        <f>TEST_DATA!C14292</f>
        <v/>
      </c>
      <c r="D14292">
        <f>TEST_DATA!D14292</f>
        <v/>
      </c>
      <c r="E14292">
        <f>TEST_DATA!E14292</f>
        <v/>
      </c>
    </row>
    <row r="14293">
      <c r="A14293">
        <f>TEST_DATA!A14293</f>
        <v/>
      </c>
      <c r="B14293">
        <f>TEST_DATA!B14293</f>
        <v/>
      </c>
      <c r="C14293">
        <f>TEST_DATA!C14293</f>
        <v/>
      </c>
      <c r="D14293">
        <f>TEST_DATA!D14293</f>
        <v/>
      </c>
      <c r="E14293">
        <f>TEST_DATA!E14293</f>
        <v/>
      </c>
    </row>
    <row r="14294">
      <c r="A14294">
        <f>TEST_DATA!A14294</f>
        <v/>
      </c>
      <c r="B14294">
        <f>TEST_DATA!B14294</f>
        <v/>
      </c>
      <c r="C14294">
        <f>TEST_DATA!C14294</f>
        <v/>
      </c>
      <c r="D14294">
        <f>TEST_DATA!D14294</f>
        <v/>
      </c>
      <c r="E14294">
        <f>TEST_DATA!E14294</f>
        <v/>
      </c>
    </row>
    <row r="14295">
      <c r="A14295">
        <f>TEST_DATA!A14295</f>
        <v/>
      </c>
      <c r="B14295">
        <f>TEST_DATA!B14295</f>
        <v/>
      </c>
      <c r="C14295">
        <f>TEST_DATA!C14295</f>
        <v/>
      </c>
      <c r="D14295">
        <f>TEST_DATA!D14295</f>
        <v/>
      </c>
      <c r="E14295">
        <f>TEST_DATA!E14295</f>
        <v/>
      </c>
    </row>
    <row r="14296">
      <c r="A14296">
        <f>TEST_DATA!A14296</f>
        <v/>
      </c>
      <c r="B14296">
        <f>TEST_DATA!B14296</f>
        <v/>
      </c>
      <c r="C14296">
        <f>TEST_DATA!C14296</f>
        <v/>
      </c>
      <c r="D14296">
        <f>TEST_DATA!D14296</f>
        <v/>
      </c>
      <c r="E14296">
        <f>TEST_DATA!E14296</f>
        <v/>
      </c>
    </row>
    <row r="14297">
      <c r="A14297">
        <f>TEST_DATA!A14297</f>
        <v/>
      </c>
      <c r="B14297">
        <f>TEST_DATA!B14297</f>
        <v/>
      </c>
      <c r="C14297">
        <f>TEST_DATA!C14297</f>
        <v/>
      </c>
      <c r="D14297">
        <f>TEST_DATA!D14297</f>
        <v/>
      </c>
      <c r="E14297">
        <f>TEST_DATA!E14297</f>
        <v/>
      </c>
    </row>
    <row r="14298">
      <c r="A14298">
        <f>TEST_DATA!A14298</f>
        <v/>
      </c>
      <c r="B14298">
        <f>TEST_DATA!B14298</f>
        <v/>
      </c>
      <c r="C14298">
        <f>TEST_DATA!C14298</f>
        <v/>
      </c>
      <c r="D14298">
        <f>TEST_DATA!D14298</f>
        <v/>
      </c>
      <c r="E14298">
        <f>TEST_DATA!E14298</f>
        <v/>
      </c>
    </row>
    <row r="14299">
      <c r="A14299">
        <f>TEST_DATA!A14299</f>
        <v/>
      </c>
      <c r="B14299">
        <f>TEST_DATA!B14299</f>
        <v/>
      </c>
      <c r="C14299">
        <f>TEST_DATA!C14299</f>
        <v/>
      </c>
      <c r="D14299">
        <f>TEST_DATA!D14299</f>
        <v/>
      </c>
      <c r="E14299">
        <f>TEST_DATA!E14299</f>
        <v/>
      </c>
    </row>
    <row r="14300">
      <c r="A14300">
        <f>TEST_DATA!A14300</f>
        <v/>
      </c>
      <c r="B14300">
        <f>TEST_DATA!B14300</f>
        <v/>
      </c>
      <c r="C14300">
        <f>TEST_DATA!C14300</f>
        <v/>
      </c>
      <c r="D14300">
        <f>TEST_DATA!D14300</f>
        <v/>
      </c>
      <c r="E14300">
        <f>TEST_DATA!E14300</f>
        <v/>
      </c>
    </row>
    <row r="14301">
      <c r="A14301">
        <f>TEST_DATA!A14301</f>
        <v/>
      </c>
      <c r="B14301">
        <f>TEST_DATA!B14301</f>
        <v/>
      </c>
      <c r="C14301">
        <f>TEST_DATA!C14301</f>
        <v/>
      </c>
      <c r="D14301">
        <f>TEST_DATA!D14301</f>
        <v/>
      </c>
      <c r="E14301">
        <f>TEST_DATA!E14301</f>
        <v/>
      </c>
    </row>
    <row r="14302">
      <c r="A14302">
        <f>TEST_DATA!A14302</f>
        <v/>
      </c>
      <c r="B14302">
        <f>TEST_DATA!B14302</f>
        <v/>
      </c>
      <c r="C14302">
        <f>TEST_DATA!C14302</f>
        <v/>
      </c>
      <c r="D14302">
        <f>TEST_DATA!D14302</f>
        <v/>
      </c>
      <c r="E14302">
        <f>TEST_DATA!E14302</f>
        <v/>
      </c>
    </row>
    <row r="14303">
      <c r="A14303">
        <f>TEST_DATA!A14303</f>
        <v/>
      </c>
      <c r="B14303">
        <f>TEST_DATA!B14303</f>
        <v/>
      </c>
      <c r="C14303">
        <f>TEST_DATA!C14303</f>
        <v/>
      </c>
      <c r="D14303">
        <f>TEST_DATA!D14303</f>
        <v/>
      </c>
      <c r="E14303">
        <f>TEST_DATA!E14303</f>
        <v/>
      </c>
    </row>
    <row r="14304">
      <c r="A14304">
        <f>TEST_DATA!A14304</f>
        <v/>
      </c>
      <c r="B14304">
        <f>TEST_DATA!B14304</f>
        <v/>
      </c>
      <c r="C14304">
        <f>TEST_DATA!C14304</f>
        <v/>
      </c>
      <c r="D14304">
        <f>TEST_DATA!D14304</f>
        <v/>
      </c>
      <c r="E14304">
        <f>TEST_DATA!E14304</f>
        <v/>
      </c>
    </row>
    <row r="14305">
      <c r="A14305">
        <f>TEST_DATA!A14305</f>
        <v/>
      </c>
      <c r="B14305">
        <f>TEST_DATA!B14305</f>
        <v/>
      </c>
      <c r="C14305">
        <f>TEST_DATA!C14305</f>
        <v/>
      </c>
      <c r="D14305">
        <f>TEST_DATA!D14305</f>
        <v/>
      </c>
      <c r="E14305">
        <f>TEST_DATA!E14305</f>
        <v/>
      </c>
    </row>
    <row r="14306">
      <c r="A14306">
        <f>TEST_DATA!A14306</f>
        <v/>
      </c>
      <c r="B14306">
        <f>TEST_DATA!B14306</f>
        <v/>
      </c>
      <c r="C14306">
        <f>TEST_DATA!C14306</f>
        <v/>
      </c>
      <c r="D14306">
        <f>TEST_DATA!D14306</f>
        <v/>
      </c>
      <c r="E14306">
        <f>TEST_DATA!E14306</f>
        <v/>
      </c>
    </row>
    <row r="14307">
      <c r="A14307">
        <f>TEST_DATA!A14307</f>
        <v/>
      </c>
      <c r="B14307">
        <f>TEST_DATA!B14307</f>
        <v/>
      </c>
      <c r="C14307">
        <f>TEST_DATA!C14307</f>
        <v/>
      </c>
      <c r="D14307">
        <f>TEST_DATA!D14307</f>
        <v/>
      </c>
      <c r="E14307">
        <f>TEST_DATA!E14307</f>
        <v/>
      </c>
    </row>
    <row r="14308">
      <c r="A14308">
        <f>TEST_DATA!A14308</f>
        <v/>
      </c>
      <c r="B14308">
        <f>TEST_DATA!B14308</f>
        <v/>
      </c>
      <c r="C14308">
        <f>TEST_DATA!C14308</f>
        <v/>
      </c>
      <c r="D14308">
        <f>TEST_DATA!D14308</f>
        <v/>
      </c>
      <c r="E14308">
        <f>TEST_DATA!E14308</f>
        <v/>
      </c>
    </row>
    <row r="14309">
      <c r="A14309">
        <f>TEST_DATA!A14309</f>
        <v/>
      </c>
      <c r="B14309">
        <f>TEST_DATA!B14309</f>
        <v/>
      </c>
      <c r="C14309">
        <f>TEST_DATA!C14309</f>
        <v/>
      </c>
      <c r="D14309">
        <f>TEST_DATA!D14309</f>
        <v/>
      </c>
      <c r="E14309">
        <f>TEST_DATA!E14309</f>
        <v/>
      </c>
    </row>
    <row r="14310">
      <c r="A14310">
        <f>TEST_DATA!A14310</f>
        <v/>
      </c>
      <c r="B14310">
        <f>TEST_DATA!B14310</f>
        <v/>
      </c>
      <c r="C14310">
        <f>TEST_DATA!C14310</f>
        <v/>
      </c>
      <c r="D14310">
        <f>TEST_DATA!D14310</f>
        <v/>
      </c>
      <c r="E14310">
        <f>TEST_DATA!E14310</f>
        <v/>
      </c>
    </row>
    <row r="14311">
      <c r="A14311">
        <f>TEST_DATA!A14311</f>
        <v/>
      </c>
      <c r="B14311">
        <f>TEST_DATA!B14311</f>
        <v/>
      </c>
      <c r="C14311">
        <f>TEST_DATA!C14311</f>
        <v/>
      </c>
      <c r="D14311">
        <f>TEST_DATA!D14311</f>
        <v/>
      </c>
      <c r="E14311">
        <f>TEST_DATA!E14311</f>
        <v/>
      </c>
    </row>
    <row r="14312">
      <c r="A14312">
        <f>TEST_DATA!A14312</f>
        <v/>
      </c>
      <c r="B14312">
        <f>TEST_DATA!B14312</f>
        <v/>
      </c>
      <c r="C14312">
        <f>TEST_DATA!C14312</f>
        <v/>
      </c>
      <c r="D14312">
        <f>TEST_DATA!D14312</f>
        <v/>
      </c>
      <c r="E14312">
        <f>TEST_DATA!E14312</f>
        <v/>
      </c>
    </row>
    <row r="14313">
      <c r="A14313">
        <f>TEST_DATA!A14313</f>
        <v/>
      </c>
      <c r="B14313">
        <f>TEST_DATA!B14313</f>
        <v/>
      </c>
      <c r="C14313">
        <f>TEST_DATA!C14313</f>
        <v/>
      </c>
      <c r="D14313">
        <f>TEST_DATA!D14313</f>
        <v/>
      </c>
      <c r="E14313">
        <f>TEST_DATA!E14313</f>
        <v/>
      </c>
    </row>
    <row r="14314">
      <c r="A14314">
        <f>TEST_DATA!A14314</f>
        <v/>
      </c>
      <c r="B14314">
        <f>TEST_DATA!B14314</f>
        <v/>
      </c>
      <c r="C14314">
        <f>TEST_DATA!C14314</f>
        <v/>
      </c>
      <c r="D14314">
        <f>TEST_DATA!D14314</f>
        <v/>
      </c>
      <c r="E14314">
        <f>TEST_DATA!E14314</f>
        <v/>
      </c>
    </row>
    <row r="14315">
      <c r="A14315">
        <f>TEST_DATA!A14315</f>
        <v/>
      </c>
      <c r="B14315">
        <f>TEST_DATA!B14315</f>
        <v/>
      </c>
      <c r="C14315">
        <f>TEST_DATA!C14315</f>
        <v/>
      </c>
      <c r="D14315">
        <f>TEST_DATA!D14315</f>
        <v/>
      </c>
      <c r="E14315">
        <f>TEST_DATA!E14315</f>
        <v/>
      </c>
    </row>
    <row r="14316">
      <c r="A14316">
        <f>TEST_DATA!A14316</f>
        <v/>
      </c>
      <c r="B14316">
        <f>TEST_DATA!B14316</f>
        <v/>
      </c>
      <c r="C14316">
        <f>TEST_DATA!C14316</f>
        <v/>
      </c>
      <c r="D14316">
        <f>TEST_DATA!D14316</f>
        <v/>
      </c>
      <c r="E14316">
        <f>TEST_DATA!E14316</f>
        <v/>
      </c>
    </row>
    <row r="14317">
      <c r="A14317">
        <f>TEST_DATA!A14317</f>
        <v/>
      </c>
      <c r="B14317">
        <f>TEST_DATA!B14317</f>
        <v/>
      </c>
      <c r="C14317">
        <f>TEST_DATA!C14317</f>
        <v/>
      </c>
      <c r="D14317">
        <f>TEST_DATA!D14317</f>
        <v/>
      </c>
      <c r="E14317">
        <f>TEST_DATA!E14317</f>
        <v/>
      </c>
    </row>
    <row r="14318">
      <c r="A14318">
        <f>TEST_DATA!A14318</f>
        <v/>
      </c>
      <c r="B14318">
        <f>TEST_DATA!B14318</f>
        <v/>
      </c>
      <c r="C14318">
        <f>TEST_DATA!C14318</f>
        <v/>
      </c>
      <c r="D14318">
        <f>TEST_DATA!D14318</f>
        <v/>
      </c>
      <c r="E14318">
        <f>TEST_DATA!E14318</f>
        <v/>
      </c>
    </row>
    <row r="14319">
      <c r="A14319">
        <f>TEST_DATA!A14319</f>
        <v/>
      </c>
      <c r="B14319">
        <f>TEST_DATA!B14319</f>
        <v/>
      </c>
      <c r="C14319">
        <f>TEST_DATA!C14319</f>
        <v/>
      </c>
      <c r="D14319">
        <f>TEST_DATA!D14319</f>
        <v/>
      </c>
      <c r="E14319">
        <f>TEST_DATA!E14319</f>
        <v/>
      </c>
    </row>
    <row r="14320">
      <c r="A14320">
        <f>TEST_DATA!A14320</f>
        <v/>
      </c>
      <c r="B14320">
        <f>TEST_DATA!B14320</f>
        <v/>
      </c>
      <c r="C14320">
        <f>TEST_DATA!C14320</f>
        <v/>
      </c>
      <c r="D14320">
        <f>TEST_DATA!D14320</f>
        <v/>
      </c>
      <c r="E14320">
        <f>TEST_DATA!E14320</f>
        <v/>
      </c>
    </row>
    <row r="14321">
      <c r="A14321">
        <f>TEST_DATA!A14321</f>
        <v/>
      </c>
      <c r="B14321">
        <f>TEST_DATA!B14321</f>
        <v/>
      </c>
      <c r="C14321">
        <f>TEST_DATA!C14321</f>
        <v/>
      </c>
      <c r="D14321">
        <f>TEST_DATA!D14321</f>
        <v/>
      </c>
      <c r="E14321">
        <f>TEST_DATA!E14321</f>
        <v/>
      </c>
    </row>
    <row r="14322">
      <c r="A14322">
        <f>TEST_DATA!A14322</f>
        <v/>
      </c>
      <c r="B14322">
        <f>TEST_DATA!B14322</f>
        <v/>
      </c>
      <c r="C14322">
        <f>TEST_DATA!C14322</f>
        <v/>
      </c>
      <c r="D14322">
        <f>TEST_DATA!D14322</f>
        <v/>
      </c>
      <c r="E14322">
        <f>TEST_DATA!E14322</f>
        <v/>
      </c>
    </row>
    <row r="14323">
      <c r="A14323">
        <f>TEST_DATA!A14323</f>
        <v/>
      </c>
      <c r="B14323">
        <f>TEST_DATA!B14323</f>
        <v/>
      </c>
      <c r="C14323">
        <f>TEST_DATA!C14323</f>
        <v/>
      </c>
      <c r="D14323">
        <f>TEST_DATA!D14323</f>
        <v/>
      </c>
      <c r="E14323">
        <f>TEST_DATA!E14323</f>
        <v/>
      </c>
    </row>
    <row r="14324">
      <c r="A14324">
        <f>TEST_DATA!A14324</f>
        <v/>
      </c>
      <c r="B14324">
        <f>TEST_DATA!B14324</f>
        <v/>
      </c>
      <c r="C14324">
        <f>TEST_DATA!C14324</f>
        <v/>
      </c>
      <c r="D14324">
        <f>TEST_DATA!D14324</f>
        <v/>
      </c>
      <c r="E14324">
        <f>TEST_DATA!E14324</f>
        <v/>
      </c>
    </row>
    <row r="14325">
      <c r="A14325">
        <f>TEST_DATA!A14325</f>
        <v/>
      </c>
      <c r="B14325">
        <f>TEST_DATA!B14325</f>
        <v/>
      </c>
      <c r="C14325">
        <f>TEST_DATA!C14325</f>
        <v/>
      </c>
      <c r="D14325">
        <f>TEST_DATA!D14325</f>
        <v/>
      </c>
      <c r="E14325">
        <f>TEST_DATA!E14325</f>
        <v/>
      </c>
    </row>
    <row r="14326">
      <c r="A14326">
        <f>TEST_DATA!A14326</f>
        <v/>
      </c>
      <c r="B14326">
        <f>TEST_DATA!B14326</f>
        <v/>
      </c>
      <c r="C14326">
        <f>TEST_DATA!C14326</f>
        <v/>
      </c>
      <c r="D14326">
        <f>TEST_DATA!D14326</f>
        <v/>
      </c>
      <c r="E14326">
        <f>TEST_DATA!E14326</f>
        <v/>
      </c>
    </row>
    <row r="14327">
      <c r="A14327">
        <f>TEST_DATA!A14327</f>
        <v/>
      </c>
      <c r="B14327">
        <f>TEST_DATA!B14327</f>
        <v/>
      </c>
      <c r="C14327">
        <f>TEST_DATA!C14327</f>
        <v/>
      </c>
      <c r="D14327">
        <f>TEST_DATA!D14327</f>
        <v/>
      </c>
      <c r="E14327">
        <f>TEST_DATA!E14327</f>
        <v/>
      </c>
    </row>
    <row r="14328">
      <c r="A14328">
        <f>TEST_DATA!A14328</f>
        <v/>
      </c>
      <c r="B14328">
        <f>TEST_DATA!B14328</f>
        <v/>
      </c>
      <c r="C14328">
        <f>TEST_DATA!C14328</f>
        <v/>
      </c>
      <c r="D14328">
        <f>TEST_DATA!D14328</f>
        <v/>
      </c>
      <c r="E14328">
        <f>TEST_DATA!E14328</f>
        <v/>
      </c>
    </row>
    <row r="14329">
      <c r="A14329">
        <f>TEST_DATA!A14329</f>
        <v/>
      </c>
      <c r="B14329">
        <f>TEST_DATA!B14329</f>
        <v/>
      </c>
      <c r="C14329">
        <f>TEST_DATA!C14329</f>
        <v/>
      </c>
      <c r="D14329">
        <f>TEST_DATA!D14329</f>
        <v/>
      </c>
      <c r="E14329">
        <f>TEST_DATA!E14329</f>
        <v/>
      </c>
    </row>
    <row r="14330">
      <c r="A14330">
        <f>TEST_DATA!A14330</f>
        <v/>
      </c>
      <c r="B14330">
        <f>TEST_DATA!B14330</f>
        <v/>
      </c>
      <c r="C14330">
        <f>TEST_DATA!C14330</f>
        <v/>
      </c>
      <c r="D14330">
        <f>TEST_DATA!D14330</f>
        <v/>
      </c>
      <c r="E14330">
        <f>TEST_DATA!E14330</f>
        <v/>
      </c>
    </row>
    <row r="14331">
      <c r="A14331">
        <f>TEST_DATA!A14331</f>
        <v/>
      </c>
      <c r="B14331">
        <f>TEST_DATA!B14331</f>
        <v/>
      </c>
      <c r="C14331">
        <f>TEST_DATA!C14331</f>
        <v/>
      </c>
      <c r="D14331">
        <f>TEST_DATA!D14331</f>
        <v/>
      </c>
      <c r="E14331">
        <f>TEST_DATA!E14331</f>
        <v/>
      </c>
    </row>
    <row r="14332">
      <c r="A14332">
        <f>TEST_DATA!A14332</f>
        <v/>
      </c>
      <c r="B14332">
        <f>TEST_DATA!B14332</f>
        <v/>
      </c>
      <c r="C14332">
        <f>TEST_DATA!C14332</f>
        <v/>
      </c>
      <c r="D14332">
        <f>TEST_DATA!D14332</f>
        <v/>
      </c>
      <c r="E14332">
        <f>TEST_DATA!E14332</f>
        <v/>
      </c>
    </row>
    <row r="14333">
      <c r="A14333">
        <f>TEST_DATA!A14333</f>
        <v/>
      </c>
      <c r="B14333">
        <f>TEST_DATA!B14333</f>
        <v/>
      </c>
      <c r="C14333">
        <f>TEST_DATA!C14333</f>
        <v/>
      </c>
      <c r="D14333">
        <f>TEST_DATA!D14333</f>
        <v/>
      </c>
      <c r="E14333">
        <f>TEST_DATA!E14333</f>
        <v/>
      </c>
    </row>
    <row r="14334">
      <c r="A14334">
        <f>TEST_DATA!A14334</f>
        <v/>
      </c>
      <c r="B14334">
        <f>TEST_DATA!B14334</f>
        <v/>
      </c>
      <c r="C14334">
        <f>TEST_DATA!C14334</f>
        <v/>
      </c>
      <c r="D14334">
        <f>TEST_DATA!D14334</f>
        <v/>
      </c>
      <c r="E14334">
        <f>TEST_DATA!E14334</f>
        <v/>
      </c>
    </row>
    <row r="14335">
      <c r="A14335">
        <f>TEST_DATA!A14335</f>
        <v/>
      </c>
      <c r="B14335">
        <f>TEST_DATA!B14335</f>
        <v/>
      </c>
      <c r="C14335">
        <f>TEST_DATA!C14335</f>
        <v/>
      </c>
      <c r="D14335">
        <f>TEST_DATA!D14335</f>
        <v/>
      </c>
      <c r="E14335">
        <f>TEST_DATA!E14335</f>
        <v/>
      </c>
    </row>
    <row r="14336">
      <c r="A14336">
        <f>TEST_DATA!A14336</f>
        <v/>
      </c>
      <c r="B14336">
        <f>TEST_DATA!B14336</f>
        <v/>
      </c>
      <c r="C14336">
        <f>TEST_DATA!C14336</f>
        <v/>
      </c>
      <c r="D14336">
        <f>TEST_DATA!D14336</f>
        <v/>
      </c>
      <c r="E14336">
        <f>TEST_DATA!E14336</f>
        <v/>
      </c>
    </row>
    <row r="14337">
      <c r="A14337">
        <f>TEST_DATA!A14337</f>
        <v/>
      </c>
      <c r="B14337">
        <f>TEST_DATA!B14337</f>
        <v/>
      </c>
      <c r="C14337">
        <f>TEST_DATA!C14337</f>
        <v/>
      </c>
      <c r="D14337">
        <f>TEST_DATA!D14337</f>
        <v/>
      </c>
      <c r="E14337">
        <f>TEST_DATA!E14337</f>
        <v/>
      </c>
    </row>
    <row r="14338">
      <c r="A14338">
        <f>TEST_DATA!A14338</f>
        <v/>
      </c>
      <c r="B14338">
        <f>TEST_DATA!B14338</f>
        <v/>
      </c>
      <c r="C14338">
        <f>TEST_DATA!C14338</f>
        <v/>
      </c>
      <c r="D14338">
        <f>TEST_DATA!D14338</f>
        <v/>
      </c>
      <c r="E14338">
        <f>TEST_DATA!E14338</f>
        <v/>
      </c>
    </row>
    <row r="14339">
      <c r="A14339">
        <f>TEST_DATA!A14339</f>
        <v/>
      </c>
      <c r="B14339">
        <f>TEST_DATA!B14339</f>
        <v/>
      </c>
      <c r="C14339">
        <f>TEST_DATA!C14339</f>
        <v/>
      </c>
      <c r="D14339">
        <f>TEST_DATA!D14339</f>
        <v/>
      </c>
      <c r="E14339">
        <f>TEST_DATA!E14339</f>
        <v/>
      </c>
    </row>
    <row r="14340">
      <c r="A14340">
        <f>TEST_DATA!A14340</f>
        <v/>
      </c>
      <c r="B14340">
        <f>TEST_DATA!B14340</f>
        <v/>
      </c>
      <c r="C14340">
        <f>TEST_DATA!C14340</f>
        <v/>
      </c>
      <c r="D14340">
        <f>TEST_DATA!D14340</f>
        <v/>
      </c>
      <c r="E14340">
        <f>TEST_DATA!E14340</f>
        <v/>
      </c>
    </row>
    <row r="14341">
      <c r="A14341">
        <f>TEST_DATA!A14341</f>
        <v/>
      </c>
      <c r="B14341">
        <f>TEST_DATA!B14341</f>
        <v/>
      </c>
      <c r="C14341">
        <f>TEST_DATA!C14341</f>
        <v/>
      </c>
      <c r="D14341">
        <f>TEST_DATA!D14341</f>
        <v/>
      </c>
      <c r="E14341">
        <f>TEST_DATA!E14341</f>
        <v/>
      </c>
    </row>
    <row r="14342">
      <c r="A14342">
        <f>TEST_DATA!A14342</f>
        <v/>
      </c>
      <c r="B14342">
        <f>TEST_DATA!B14342</f>
        <v/>
      </c>
      <c r="C14342">
        <f>TEST_DATA!C14342</f>
        <v/>
      </c>
      <c r="D14342">
        <f>TEST_DATA!D14342</f>
        <v/>
      </c>
      <c r="E14342">
        <f>TEST_DATA!E14342</f>
        <v/>
      </c>
    </row>
    <row r="14343">
      <c r="A14343">
        <f>TEST_DATA!A14343</f>
        <v/>
      </c>
      <c r="B14343">
        <f>TEST_DATA!B14343</f>
        <v/>
      </c>
      <c r="C14343">
        <f>TEST_DATA!C14343</f>
        <v/>
      </c>
      <c r="D14343">
        <f>TEST_DATA!D14343</f>
        <v/>
      </c>
      <c r="E14343">
        <f>TEST_DATA!E14343</f>
        <v/>
      </c>
    </row>
    <row r="14344">
      <c r="A14344">
        <f>TEST_DATA!A14344</f>
        <v/>
      </c>
      <c r="B14344">
        <f>TEST_DATA!B14344</f>
        <v/>
      </c>
      <c r="C14344">
        <f>TEST_DATA!C14344</f>
        <v/>
      </c>
      <c r="D14344">
        <f>TEST_DATA!D14344</f>
        <v/>
      </c>
      <c r="E14344">
        <f>TEST_DATA!E14344</f>
        <v/>
      </c>
    </row>
    <row r="14345">
      <c r="A14345">
        <f>TEST_DATA!A14345</f>
        <v/>
      </c>
      <c r="B14345">
        <f>TEST_DATA!B14345</f>
        <v/>
      </c>
      <c r="C14345">
        <f>TEST_DATA!C14345</f>
        <v/>
      </c>
      <c r="D14345">
        <f>TEST_DATA!D14345</f>
        <v/>
      </c>
      <c r="E14345">
        <f>TEST_DATA!E14345</f>
        <v/>
      </c>
    </row>
    <row r="14346">
      <c r="A14346">
        <f>TEST_DATA!A14346</f>
        <v/>
      </c>
      <c r="B14346">
        <f>TEST_DATA!B14346</f>
        <v/>
      </c>
      <c r="C14346">
        <f>TEST_DATA!C14346</f>
        <v/>
      </c>
      <c r="D14346">
        <f>TEST_DATA!D14346</f>
        <v/>
      </c>
      <c r="E14346">
        <f>TEST_DATA!E14346</f>
        <v/>
      </c>
    </row>
    <row r="14347">
      <c r="A14347">
        <f>TEST_DATA!A14347</f>
        <v/>
      </c>
      <c r="B14347">
        <f>TEST_DATA!B14347</f>
        <v/>
      </c>
      <c r="C14347">
        <f>TEST_DATA!C14347</f>
        <v/>
      </c>
      <c r="D14347">
        <f>TEST_DATA!D14347</f>
        <v/>
      </c>
      <c r="E14347">
        <f>TEST_DATA!E14347</f>
        <v/>
      </c>
    </row>
    <row r="14348">
      <c r="A14348">
        <f>TEST_DATA!A14348</f>
        <v/>
      </c>
      <c r="B14348">
        <f>TEST_DATA!B14348</f>
        <v/>
      </c>
      <c r="C14348">
        <f>TEST_DATA!C14348</f>
        <v/>
      </c>
      <c r="D14348">
        <f>TEST_DATA!D14348</f>
        <v/>
      </c>
      <c r="E14348">
        <f>TEST_DATA!E14348</f>
        <v/>
      </c>
    </row>
    <row r="14349">
      <c r="A14349">
        <f>TEST_DATA!A14349</f>
        <v/>
      </c>
      <c r="B14349">
        <f>TEST_DATA!B14349</f>
        <v/>
      </c>
      <c r="C14349">
        <f>TEST_DATA!C14349</f>
        <v/>
      </c>
      <c r="D14349">
        <f>TEST_DATA!D14349</f>
        <v/>
      </c>
      <c r="E14349">
        <f>TEST_DATA!E14349</f>
        <v/>
      </c>
    </row>
    <row r="14350">
      <c r="A14350">
        <f>TEST_DATA!A14350</f>
        <v/>
      </c>
      <c r="B14350">
        <f>TEST_DATA!B14350</f>
        <v/>
      </c>
      <c r="C14350">
        <f>TEST_DATA!C14350</f>
        <v/>
      </c>
      <c r="D14350">
        <f>TEST_DATA!D14350</f>
        <v/>
      </c>
      <c r="E14350">
        <f>TEST_DATA!E14350</f>
        <v/>
      </c>
    </row>
    <row r="14351">
      <c r="A14351">
        <f>TEST_DATA!A14351</f>
        <v/>
      </c>
      <c r="B14351">
        <f>TEST_DATA!B14351</f>
        <v/>
      </c>
      <c r="C14351">
        <f>TEST_DATA!C14351</f>
        <v/>
      </c>
      <c r="D14351">
        <f>TEST_DATA!D14351</f>
        <v/>
      </c>
      <c r="E14351">
        <f>TEST_DATA!E14351</f>
        <v/>
      </c>
    </row>
    <row r="14352">
      <c r="A14352">
        <f>TEST_DATA!A14352</f>
        <v/>
      </c>
      <c r="B14352">
        <f>TEST_DATA!B14352</f>
        <v/>
      </c>
      <c r="C14352">
        <f>TEST_DATA!C14352</f>
        <v/>
      </c>
      <c r="D14352">
        <f>TEST_DATA!D14352</f>
        <v/>
      </c>
      <c r="E14352">
        <f>TEST_DATA!E14352</f>
        <v/>
      </c>
    </row>
    <row r="14353">
      <c r="A14353">
        <f>TEST_DATA!A14353</f>
        <v/>
      </c>
      <c r="B14353">
        <f>TEST_DATA!B14353</f>
        <v/>
      </c>
      <c r="C14353">
        <f>TEST_DATA!C14353</f>
        <v/>
      </c>
      <c r="D14353">
        <f>TEST_DATA!D14353</f>
        <v/>
      </c>
      <c r="E14353">
        <f>TEST_DATA!E14353</f>
        <v/>
      </c>
    </row>
    <row r="14354">
      <c r="A14354">
        <f>TEST_DATA!A14354</f>
        <v/>
      </c>
      <c r="B14354">
        <f>TEST_DATA!B14354</f>
        <v/>
      </c>
      <c r="C14354">
        <f>TEST_DATA!C14354</f>
        <v/>
      </c>
      <c r="D14354">
        <f>TEST_DATA!D14354</f>
        <v/>
      </c>
      <c r="E14354">
        <f>TEST_DATA!E14354</f>
        <v/>
      </c>
    </row>
    <row r="14355">
      <c r="A14355">
        <f>TEST_DATA!A14355</f>
        <v/>
      </c>
      <c r="B14355">
        <f>TEST_DATA!B14355</f>
        <v/>
      </c>
      <c r="C14355">
        <f>TEST_DATA!C14355</f>
        <v/>
      </c>
      <c r="D14355">
        <f>TEST_DATA!D14355</f>
        <v/>
      </c>
      <c r="E14355">
        <f>TEST_DATA!E14355</f>
        <v/>
      </c>
    </row>
    <row r="14356">
      <c r="A14356">
        <f>TEST_DATA!A14356</f>
        <v/>
      </c>
      <c r="B14356">
        <f>TEST_DATA!B14356</f>
        <v/>
      </c>
      <c r="C14356">
        <f>TEST_DATA!C14356</f>
        <v/>
      </c>
      <c r="D14356">
        <f>TEST_DATA!D14356</f>
        <v/>
      </c>
      <c r="E14356">
        <f>TEST_DATA!E14356</f>
        <v/>
      </c>
    </row>
    <row r="14357">
      <c r="A14357">
        <f>TEST_DATA!A14357</f>
        <v/>
      </c>
      <c r="B14357">
        <f>TEST_DATA!B14357</f>
        <v/>
      </c>
      <c r="C14357">
        <f>TEST_DATA!C14357</f>
        <v/>
      </c>
      <c r="D14357">
        <f>TEST_DATA!D14357</f>
        <v/>
      </c>
      <c r="E14357">
        <f>TEST_DATA!E14357</f>
        <v/>
      </c>
    </row>
    <row r="14358">
      <c r="A14358">
        <f>TEST_DATA!A14358</f>
        <v/>
      </c>
      <c r="B14358">
        <f>TEST_DATA!B14358</f>
        <v/>
      </c>
      <c r="C14358">
        <f>TEST_DATA!C14358</f>
        <v/>
      </c>
      <c r="D14358">
        <f>TEST_DATA!D14358</f>
        <v/>
      </c>
      <c r="E14358">
        <f>TEST_DATA!E14358</f>
        <v/>
      </c>
    </row>
    <row r="14359">
      <c r="A14359">
        <f>TEST_DATA!A14359</f>
        <v/>
      </c>
      <c r="B14359">
        <f>TEST_DATA!B14359</f>
        <v/>
      </c>
      <c r="C14359">
        <f>TEST_DATA!C14359</f>
        <v/>
      </c>
      <c r="D14359">
        <f>TEST_DATA!D14359</f>
        <v/>
      </c>
      <c r="E14359">
        <f>TEST_DATA!E14359</f>
        <v/>
      </c>
    </row>
    <row r="14360">
      <c r="A14360">
        <f>TEST_DATA!A14360</f>
        <v/>
      </c>
      <c r="B14360">
        <f>TEST_DATA!B14360</f>
        <v/>
      </c>
      <c r="C14360">
        <f>TEST_DATA!C14360</f>
        <v/>
      </c>
      <c r="D14360">
        <f>TEST_DATA!D14360</f>
        <v/>
      </c>
      <c r="E14360">
        <f>TEST_DATA!E14360</f>
        <v/>
      </c>
    </row>
    <row r="14361">
      <c r="A14361">
        <f>TEST_DATA!A14361</f>
        <v/>
      </c>
      <c r="B14361">
        <f>TEST_DATA!B14361</f>
        <v/>
      </c>
      <c r="C14361">
        <f>TEST_DATA!C14361</f>
        <v/>
      </c>
      <c r="D14361">
        <f>TEST_DATA!D14361</f>
        <v/>
      </c>
      <c r="E14361">
        <f>TEST_DATA!E14361</f>
        <v/>
      </c>
    </row>
    <row r="14362">
      <c r="A14362">
        <f>TEST_DATA!A14362</f>
        <v/>
      </c>
      <c r="B14362">
        <f>TEST_DATA!B14362</f>
        <v/>
      </c>
      <c r="C14362">
        <f>TEST_DATA!C14362</f>
        <v/>
      </c>
      <c r="D14362">
        <f>TEST_DATA!D14362</f>
        <v/>
      </c>
      <c r="E14362">
        <f>TEST_DATA!E14362</f>
        <v/>
      </c>
    </row>
    <row r="14363">
      <c r="A14363">
        <f>TEST_DATA!A14363</f>
        <v/>
      </c>
      <c r="B14363">
        <f>TEST_DATA!B14363</f>
        <v/>
      </c>
      <c r="C14363">
        <f>TEST_DATA!C14363</f>
        <v/>
      </c>
      <c r="D14363">
        <f>TEST_DATA!D14363</f>
        <v/>
      </c>
      <c r="E14363">
        <f>TEST_DATA!E14363</f>
        <v/>
      </c>
    </row>
    <row r="14364">
      <c r="A14364">
        <f>TEST_DATA!A14364</f>
        <v/>
      </c>
      <c r="B14364">
        <f>TEST_DATA!B14364</f>
        <v/>
      </c>
      <c r="C14364">
        <f>TEST_DATA!C14364</f>
        <v/>
      </c>
      <c r="D14364">
        <f>TEST_DATA!D14364</f>
        <v/>
      </c>
      <c r="E14364">
        <f>TEST_DATA!E14364</f>
        <v/>
      </c>
    </row>
    <row r="14365">
      <c r="A14365">
        <f>TEST_DATA!A14365</f>
        <v/>
      </c>
      <c r="B14365">
        <f>TEST_DATA!B14365</f>
        <v/>
      </c>
      <c r="C14365">
        <f>TEST_DATA!C14365</f>
        <v/>
      </c>
      <c r="D14365">
        <f>TEST_DATA!D14365</f>
        <v/>
      </c>
      <c r="E14365">
        <f>TEST_DATA!E14365</f>
        <v/>
      </c>
    </row>
    <row r="14366">
      <c r="A14366">
        <f>TEST_DATA!A14366</f>
        <v/>
      </c>
      <c r="B14366">
        <f>TEST_DATA!B14366</f>
        <v/>
      </c>
      <c r="C14366">
        <f>TEST_DATA!C14366</f>
        <v/>
      </c>
      <c r="D14366">
        <f>TEST_DATA!D14366</f>
        <v/>
      </c>
      <c r="E14366">
        <f>TEST_DATA!E14366</f>
        <v/>
      </c>
    </row>
    <row r="14367">
      <c r="A14367">
        <f>TEST_DATA!A14367</f>
        <v/>
      </c>
      <c r="B14367">
        <f>TEST_DATA!B14367</f>
        <v/>
      </c>
      <c r="C14367">
        <f>TEST_DATA!C14367</f>
        <v/>
      </c>
      <c r="D14367">
        <f>TEST_DATA!D14367</f>
        <v/>
      </c>
      <c r="E14367">
        <f>TEST_DATA!E14367</f>
        <v/>
      </c>
    </row>
    <row r="14368">
      <c r="A14368">
        <f>TEST_DATA!A14368</f>
        <v/>
      </c>
      <c r="B14368">
        <f>TEST_DATA!B14368</f>
        <v/>
      </c>
      <c r="C14368">
        <f>TEST_DATA!C14368</f>
        <v/>
      </c>
      <c r="D14368">
        <f>TEST_DATA!D14368</f>
        <v/>
      </c>
      <c r="E14368">
        <f>TEST_DATA!E14368</f>
        <v/>
      </c>
    </row>
    <row r="14369">
      <c r="A14369">
        <f>TEST_DATA!A14369</f>
        <v/>
      </c>
      <c r="B14369">
        <f>TEST_DATA!B14369</f>
        <v/>
      </c>
      <c r="C14369">
        <f>TEST_DATA!C14369</f>
        <v/>
      </c>
      <c r="D14369">
        <f>TEST_DATA!D14369</f>
        <v/>
      </c>
      <c r="E14369">
        <f>TEST_DATA!E14369</f>
        <v/>
      </c>
    </row>
    <row r="14370">
      <c r="A14370">
        <f>TEST_DATA!A14370</f>
        <v/>
      </c>
      <c r="B14370">
        <f>TEST_DATA!B14370</f>
        <v/>
      </c>
      <c r="C14370">
        <f>TEST_DATA!C14370</f>
        <v/>
      </c>
      <c r="D14370">
        <f>TEST_DATA!D14370</f>
        <v/>
      </c>
      <c r="E14370">
        <f>TEST_DATA!E14370</f>
        <v/>
      </c>
    </row>
    <row r="14371">
      <c r="A14371">
        <f>TEST_DATA!A14371</f>
        <v/>
      </c>
      <c r="B14371">
        <f>TEST_DATA!B14371</f>
        <v/>
      </c>
      <c r="C14371">
        <f>TEST_DATA!C14371</f>
        <v/>
      </c>
      <c r="D14371">
        <f>TEST_DATA!D14371</f>
        <v/>
      </c>
      <c r="E14371">
        <f>TEST_DATA!E14371</f>
        <v/>
      </c>
    </row>
    <row r="14372">
      <c r="A14372">
        <f>TEST_DATA!A14372</f>
        <v/>
      </c>
      <c r="B14372">
        <f>TEST_DATA!B14372</f>
        <v/>
      </c>
      <c r="C14372">
        <f>TEST_DATA!C14372</f>
        <v/>
      </c>
      <c r="D14372">
        <f>TEST_DATA!D14372</f>
        <v/>
      </c>
      <c r="E14372">
        <f>TEST_DATA!E14372</f>
        <v/>
      </c>
    </row>
    <row r="14373">
      <c r="A14373">
        <f>TEST_DATA!A14373</f>
        <v/>
      </c>
      <c r="B14373">
        <f>TEST_DATA!B14373</f>
        <v/>
      </c>
      <c r="C14373">
        <f>TEST_DATA!C14373</f>
        <v/>
      </c>
      <c r="D14373">
        <f>TEST_DATA!D14373</f>
        <v/>
      </c>
      <c r="E14373">
        <f>TEST_DATA!E14373</f>
        <v/>
      </c>
    </row>
    <row r="14374">
      <c r="A14374">
        <f>TEST_DATA!A14374</f>
        <v/>
      </c>
      <c r="B14374">
        <f>TEST_DATA!B14374</f>
        <v/>
      </c>
      <c r="C14374">
        <f>TEST_DATA!C14374</f>
        <v/>
      </c>
      <c r="D14374">
        <f>TEST_DATA!D14374</f>
        <v/>
      </c>
      <c r="E14374">
        <f>TEST_DATA!E14374</f>
        <v/>
      </c>
    </row>
    <row r="14375">
      <c r="A14375">
        <f>TEST_DATA!A14375</f>
        <v/>
      </c>
      <c r="B14375">
        <f>TEST_DATA!B14375</f>
        <v/>
      </c>
      <c r="C14375">
        <f>TEST_DATA!C14375</f>
        <v/>
      </c>
      <c r="D14375">
        <f>TEST_DATA!D14375</f>
        <v/>
      </c>
      <c r="E14375">
        <f>TEST_DATA!E14375</f>
        <v/>
      </c>
    </row>
    <row r="14376">
      <c r="A14376">
        <f>TEST_DATA!A14376</f>
        <v/>
      </c>
      <c r="B14376">
        <f>TEST_DATA!B14376</f>
        <v/>
      </c>
      <c r="C14376">
        <f>TEST_DATA!C14376</f>
        <v/>
      </c>
      <c r="D14376">
        <f>TEST_DATA!D14376</f>
        <v/>
      </c>
      <c r="E14376">
        <f>TEST_DATA!E14376</f>
        <v/>
      </c>
    </row>
    <row r="14377">
      <c r="A14377">
        <f>TEST_DATA!A14377</f>
        <v/>
      </c>
      <c r="B14377">
        <f>TEST_DATA!B14377</f>
        <v/>
      </c>
      <c r="C14377">
        <f>TEST_DATA!C14377</f>
        <v/>
      </c>
      <c r="D14377">
        <f>TEST_DATA!D14377</f>
        <v/>
      </c>
      <c r="E14377">
        <f>TEST_DATA!E14377</f>
        <v/>
      </c>
    </row>
    <row r="14378">
      <c r="A14378">
        <f>TEST_DATA!A14378</f>
        <v/>
      </c>
      <c r="B14378">
        <f>TEST_DATA!B14378</f>
        <v/>
      </c>
      <c r="C14378">
        <f>TEST_DATA!C14378</f>
        <v/>
      </c>
      <c r="D14378">
        <f>TEST_DATA!D14378</f>
        <v/>
      </c>
      <c r="E14378">
        <f>TEST_DATA!E14378</f>
        <v/>
      </c>
    </row>
    <row r="14379">
      <c r="A14379">
        <f>TEST_DATA!A14379</f>
        <v/>
      </c>
      <c r="B14379">
        <f>TEST_DATA!B14379</f>
        <v/>
      </c>
      <c r="C14379">
        <f>TEST_DATA!C14379</f>
        <v/>
      </c>
      <c r="D14379">
        <f>TEST_DATA!D14379</f>
        <v/>
      </c>
      <c r="E14379">
        <f>TEST_DATA!E14379</f>
        <v/>
      </c>
    </row>
    <row r="14380">
      <c r="A14380">
        <f>TEST_DATA!A14380</f>
        <v/>
      </c>
      <c r="B14380">
        <f>TEST_DATA!B14380</f>
        <v/>
      </c>
      <c r="C14380">
        <f>TEST_DATA!C14380</f>
        <v/>
      </c>
      <c r="D14380">
        <f>TEST_DATA!D14380</f>
        <v/>
      </c>
      <c r="E14380">
        <f>TEST_DATA!E14380</f>
        <v/>
      </c>
    </row>
    <row r="14381">
      <c r="A14381">
        <f>TEST_DATA!A14381</f>
        <v/>
      </c>
      <c r="B14381">
        <f>TEST_DATA!B14381</f>
        <v/>
      </c>
      <c r="C14381">
        <f>TEST_DATA!C14381</f>
        <v/>
      </c>
      <c r="D14381">
        <f>TEST_DATA!D14381</f>
        <v/>
      </c>
      <c r="E14381">
        <f>TEST_DATA!E14381</f>
        <v/>
      </c>
    </row>
    <row r="14382">
      <c r="A14382">
        <f>TEST_DATA!A14382</f>
        <v/>
      </c>
      <c r="B14382">
        <f>TEST_DATA!B14382</f>
        <v/>
      </c>
      <c r="C14382">
        <f>TEST_DATA!C14382</f>
        <v/>
      </c>
      <c r="D14382">
        <f>TEST_DATA!D14382</f>
        <v/>
      </c>
      <c r="E14382">
        <f>TEST_DATA!E14382</f>
        <v/>
      </c>
    </row>
    <row r="14383">
      <c r="A14383">
        <f>TEST_DATA!A14383</f>
        <v/>
      </c>
      <c r="B14383">
        <f>TEST_DATA!B14383</f>
        <v/>
      </c>
      <c r="C14383">
        <f>TEST_DATA!C14383</f>
        <v/>
      </c>
      <c r="D14383">
        <f>TEST_DATA!D14383</f>
        <v/>
      </c>
      <c r="E14383">
        <f>TEST_DATA!E14383</f>
        <v/>
      </c>
    </row>
    <row r="14384">
      <c r="A14384">
        <f>TEST_DATA!A14384</f>
        <v/>
      </c>
      <c r="B14384">
        <f>TEST_DATA!B14384</f>
        <v/>
      </c>
      <c r="C14384">
        <f>TEST_DATA!C14384</f>
        <v/>
      </c>
      <c r="D14384">
        <f>TEST_DATA!D14384</f>
        <v/>
      </c>
      <c r="E14384">
        <f>TEST_DATA!E14384</f>
        <v/>
      </c>
    </row>
    <row r="14385">
      <c r="A14385">
        <f>TEST_DATA!A14385</f>
        <v/>
      </c>
      <c r="B14385">
        <f>TEST_DATA!B14385</f>
        <v/>
      </c>
      <c r="C14385">
        <f>TEST_DATA!C14385</f>
        <v/>
      </c>
      <c r="D14385">
        <f>TEST_DATA!D14385</f>
        <v/>
      </c>
      <c r="E14385">
        <f>TEST_DATA!E14385</f>
        <v/>
      </c>
    </row>
    <row r="14386">
      <c r="A14386">
        <f>TEST_DATA!A14386</f>
        <v/>
      </c>
      <c r="B14386">
        <f>TEST_DATA!B14386</f>
        <v/>
      </c>
      <c r="C14386">
        <f>TEST_DATA!C14386</f>
        <v/>
      </c>
      <c r="D14386">
        <f>TEST_DATA!D14386</f>
        <v/>
      </c>
      <c r="E14386">
        <f>TEST_DATA!E14386</f>
        <v/>
      </c>
    </row>
    <row r="14387">
      <c r="A14387">
        <f>TEST_DATA!A14387</f>
        <v/>
      </c>
      <c r="B14387">
        <f>TEST_DATA!B14387</f>
        <v/>
      </c>
      <c r="C14387">
        <f>TEST_DATA!C14387</f>
        <v/>
      </c>
      <c r="D14387">
        <f>TEST_DATA!D14387</f>
        <v/>
      </c>
      <c r="E14387">
        <f>TEST_DATA!E14387</f>
        <v/>
      </c>
    </row>
    <row r="14388">
      <c r="A14388">
        <f>TEST_DATA!A14388</f>
        <v/>
      </c>
      <c r="B14388">
        <f>TEST_DATA!B14388</f>
        <v/>
      </c>
      <c r="C14388">
        <f>TEST_DATA!C14388</f>
        <v/>
      </c>
      <c r="D14388">
        <f>TEST_DATA!D14388</f>
        <v/>
      </c>
      <c r="E14388">
        <f>TEST_DATA!E14388</f>
        <v/>
      </c>
    </row>
    <row r="14389">
      <c r="A14389">
        <f>TEST_DATA!A14389</f>
        <v/>
      </c>
      <c r="B14389">
        <f>TEST_DATA!B14389</f>
        <v/>
      </c>
      <c r="C14389">
        <f>TEST_DATA!C14389</f>
        <v/>
      </c>
      <c r="D14389">
        <f>TEST_DATA!D14389</f>
        <v/>
      </c>
      <c r="E14389">
        <f>TEST_DATA!E14389</f>
        <v/>
      </c>
    </row>
    <row r="14390">
      <c r="A14390">
        <f>TEST_DATA!A14390</f>
        <v/>
      </c>
      <c r="B14390">
        <f>TEST_DATA!B14390</f>
        <v/>
      </c>
      <c r="C14390">
        <f>TEST_DATA!C14390</f>
        <v/>
      </c>
      <c r="D14390">
        <f>TEST_DATA!D14390</f>
        <v/>
      </c>
      <c r="E14390">
        <f>TEST_DATA!E14390</f>
        <v/>
      </c>
    </row>
    <row r="14391">
      <c r="A14391">
        <f>TEST_DATA!A14391</f>
        <v/>
      </c>
      <c r="B14391">
        <f>TEST_DATA!B14391</f>
        <v/>
      </c>
      <c r="C14391">
        <f>TEST_DATA!C14391</f>
        <v/>
      </c>
      <c r="D14391">
        <f>TEST_DATA!D14391</f>
        <v/>
      </c>
      <c r="E14391">
        <f>TEST_DATA!E14391</f>
        <v/>
      </c>
    </row>
    <row r="14392">
      <c r="A14392">
        <f>TEST_DATA!A14392</f>
        <v/>
      </c>
      <c r="B14392">
        <f>TEST_DATA!B14392</f>
        <v/>
      </c>
      <c r="C14392">
        <f>TEST_DATA!C14392</f>
        <v/>
      </c>
      <c r="D14392">
        <f>TEST_DATA!D14392</f>
        <v/>
      </c>
      <c r="E14392">
        <f>TEST_DATA!E14392</f>
        <v/>
      </c>
    </row>
    <row r="14393">
      <c r="A14393">
        <f>TEST_DATA!A14393</f>
        <v/>
      </c>
      <c r="B14393">
        <f>TEST_DATA!B14393</f>
        <v/>
      </c>
      <c r="C14393">
        <f>TEST_DATA!C14393</f>
        <v/>
      </c>
      <c r="D14393">
        <f>TEST_DATA!D14393</f>
        <v/>
      </c>
      <c r="E14393">
        <f>TEST_DATA!E14393</f>
        <v/>
      </c>
    </row>
    <row r="14394">
      <c r="A14394">
        <f>TEST_DATA!A14394</f>
        <v/>
      </c>
      <c r="B14394">
        <f>TEST_DATA!B14394</f>
        <v/>
      </c>
      <c r="C14394">
        <f>TEST_DATA!C14394</f>
        <v/>
      </c>
      <c r="D14394">
        <f>TEST_DATA!D14394</f>
        <v/>
      </c>
      <c r="E14394">
        <f>TEST_DATA!E14394</f>
        <v/>
      </c>
    </row>
    <row r="14395">
      <c r="A14395">
        <f>TEST_DATA!A14395</f>
        <v/>
      </c>
      <c r="B14395">
        <f>TEST_DATA!B14395</f>
        <v/>
      </c>
      <c r="C14395">
        <f>TEST_DATA!C14395</f>
        <v/>
      </c>
      <c r="D14395">
        <f>TEST_DATA!D14395</f>
        <v/>
      </c>
      <c r="E14395">
        <f>TEST_DATA!E14395</f>
        <v/>
      </c>
    </row>
    <row r="14396">
      <c r="A14396">
        <f>TEST_DATA!A14396</f>
        <v/>
      </c>
      <c r="B14396">
        <f>TEST_DATA!B14396</f>
        <v/>
      </c>
      <c r="C14396">
        <f>TEST_DATA!C14396</f>
        <v/>
      </c>
      <c r="D14396">
        <f>TEST_DATA!D14396</f>
        <v/>
      </c>
      <c r="E14396">
        <f>TEST_DATA!E14396</f>
        <v/>
      </c>
    </row>
    <row r="14397">
      <c r="A14397">
        <f>TEST_DATA!A14397</f>
        <v/>
      </c>
      <c r="B14397">
        <f>TEST_DATA!B14397</f>
        <v/>
      </c>
      <c r="C14397">
        <f>TEST_DATA!C14397</f>
        <v/>
      </c>
      <c r="D14397">
        <f>TEST_DATA!D14397</f>
        <v/>
      </c>
      <c r="E14397">
        <f>TEST_DATA!E14397</f>
        <v/>
      </c>
    </row>
    <row r="14398">
      <c r="A14398">
        <f>TEST_DATA!A14398</f>
        <v/>
      </c>
      <c r="B14398">
        <f>TEST_DATA!B14398</f>
        <v/>
      </c>
      <c r="C14398">
        <f>TEST_DATA!C14398</f>
        <v/>
      </c>
      <c r="D14398">
        <f>TEST_DATA!D14398</f>
        <v/>
      </c>
      <c r="E14398">
        <f>TEST_DATA!E14398</f>
        <v/>
      </c>
    </row>
    <row r="14399">
      <c r="A14399">
        <f>TEST_DATA!A14399</f>
        <v/>
      </c>
      <c r="B14399">
        <f>TEST_DATA!B14399</f>
        <v/>
      </c>
      <c r="C14399">
        <f>TEST_DATA!C14399</f>
        <v/>
      </c>
      <c r="D14399">
        <f>TEST_DATA!D14399</f>
        <v/>
      </c>
      <c r="E14399">
        <f>TEST_DATA!E14399</f>
        <v/>
      </c>
    </row>
    <row r="14400">
      <c r="A14400">
        <f>TEST_DATA!A14400</f>
        <v/>
      </c>
      <c r="B14400">
        <f>TEST_DATA!B14400</f>
        <v/>
      </c>
      <c r="C14400">
        <f>TEST_DATA!C14400</f>
        <v/>
      </c>
      <c r="D14400">
        <f>TEST_DATA!D14400</f>
        <v/>
      </c>
      <c r="E14400">
        <f>TEST_DATA!E14400</f>
        <v/>
      </c>
    </row>
    <row r="14401">
      <c r="A14401">
        <f>TEST_DATA!A14401</f>
        <v/>
      </c>
      <c r="B14401">
        <f>TEST_DATA!B14401</f>
        <v/>
      </c>
      <c r="C14401">
        <f>TEST_DATA!C14401</f>
        <v/>
      </c>
      <c r="D14401">
        <f>TEST_DATA!D14401</f>
        <v/>
      </c>
      <c r="E14401">
        <f>TEST_DATA!E14401</f>
        <v/>
      </c>
    </row>
    <row r="14402">
      <c r="A14402">
        <f>TEST_DATA!A14402</f>
        <v/>
      </c>
      <c r="B14402">
        <f>TEST_DATA!B14402</f>
        <v/>
      </c>
      <c r="C14402">
        <f>TEST_DATA!C14402</f>
        <v/>
      </c>
      <c r="D14402">
        <f>TEST_DATA!D14402</f>
        <v/>
      </c>
      <c r="E14402">
        <f>TEST_DATA!E14402</f>
        <v/>
      </c>
    </row>
    <row r="14403">
      <c r="A14403">
        <f>TEST_DATA!A14403</f>
        <v/>
      </c>
      <c r="B14403">
        <f>TEST_DATA!B14403</f>
        <v/>
      </c>
      <c r="C14403">
        <f>TEST_DATA!C14403</f>
        <v/>
      </c>
      <c r="D14403">
        <f>TEST_DATA!D14403</f>
        <v/>
      </c>
      <c r="E14403">
        <f>TEST_DATA!E14403</f>
        <v/>
      </c>
    </row>
    <row r="14404">
      <c r="A14404">
        <f>TEST_DATA!A14404</f>
        <v/>
      </c>
      <c r="B14404">
        <f>TEST_DATA!B14404</f>
        <v/>
      </c>
      <c r="C14404">
        <f>TEST_DATA!C14404</f>
        <v/>
      </c>
      <c r="D14404">
        <f>TEST_DATA!D14404</f>
        <v/>
      </c>
      <c r="E14404">
        <f>TEST_DATA!E14404</f>
        <v/>
      </c>
    </row>
    <row r="14405">
      <c r="A14405">
        <f>TEST_DATA!A14405</f>
        <v/>
      </c>
      <c r="B14405">
        <f>TEST_DATA!B14405</f>
        <v/>
      </c>
      <c r="C14405">
        <f>TEST_DATA!C14405</f>
        <v/>
      </c>
      <c r="D14405">
        <f>TEST_DATA!D14405</f>
        <v/>
      </c>
      <c r="E14405">
        <f>TEST_DATA!E14405</f>
        <v/>
      </c>
    </row>
    <row r="14406">
      <c r="A14406">
        <f>TEST_DATA!A14406</f>
        <v/>
      </c>
      <c r="B14406">
        <f>TEST_DATA!B14406</f>
        <v/>
      </c>
      <c r="C14406">
        <f>TEST_DATA!C14406</f>
        <v/>
      </c>
      <c r="D14406">
        <f>TEST_DATA!D14406</f>
        <v/>
      </c>
      <c r="E14406">
        <f>TEST_DATA!E14406</f>
        <v/>
      </c>
    </row>
    <row r="14407">
      <c r="A14407">
        <f>TEST_DATA!A14407</f>
        <v/>
      </c>
      <c r="B14407">
        <f>TEST_DATA!B14407</f>
        <v/>
      </c>
      <c r="C14407">
        <f>TEST_DATA!C14407</f>
        <v/>
      </c>
      <c r="D14407">
        <f>TEST_DATA!D14407</f>
        <v/>
      </c>
      <c r="E14407">
        <f>TEST_DATA!E14407</f>
        <v/>
      </c>
    </row>
    <row r="14408">
      <c r="A14408">
        <f>TEST_DATA!A14408</f>
        <v/>
      </c>
      <c r="B14408">
        <f>TEST_DATA!B14408</f>
        <v/>
      </c>
      <c r="C14408">
        <f>TEST_DATA!C14408</f>
        <v/>
      </c>
      <c r="D14408">
        <f>TEST_DATA!D14408</f>
        <v/>
      </c>
      <c r="E14408">
        <f>TEST_DATA!E14408</f>
        <v/>
      </c>
    </row>
    <row r="14409">
      <c r="A14409">
        <f>TEST_DATA!A14409</f>
        <v/>
      </c>
      <c r="B14409">
        <f>TEST_DATA!B14409</f>
        <v/>
      </c>
      <c r="C14409">
        <f>TEST_DATA!C14409</f>
        <v/>
      </c>
      <c r="D14409">
        <f>TEST_DATA!D14409</f>
        <v/>
      </c>
      <c r="E14409">
        <f>TEST_DATA!E14409</f>
        <v/>
      </c>
    </row>
    <row r="14410">
      <c r="A14410">
        <f>TEST_DATA!A14410</f>
        <v/>
      </c>
      <c r="B14410">
        <f>TEST_DATA!B14410</f>
        <v/>
      </c>
      <c r="C14410">
        <f>TEST_DATA!C14410</f>
        <v/>
      </c>
      <c r="D14410">
        <f>TEST_DATA!D14410</f>
        <v/>
      </c>
      <c r="E14410">
        <f>TEST_DATA!E14410</f>
        <v/>
      </c>
    </row>
    <row r="14411">
      <c r="A14411">
        <f>TEST_DATA!A14411</f>
        <v/>
      </c>
      <c r="B14411">
        <f>TEST_DATA!B14411</f>
        <v/>
      </c>
      <c r="C14411">
        <f>TEST_DATA!C14411</f>
        <v/>
      </c>
      <c r="D14411">
        <f>TEST_DATA!D14411</f>
        <v/>
      </c>
      <c r="E14411">
        <f>TEST_DATA!E14411</f>
        <v/>
      </c>
    </row>
    <row r="14412">
      <c r="A14412">
        <f>TEST_DATA!A14412</f>
        <v/>
      </c>
      <c r="B14412">
        <f>TEST_DATA!B14412</f>
        <v/>
      </c>
      <c r="C14412">
        <f>TEST_DATA!C14412</f>
        <v/>
      </c>
      <c r="D14412">
        <f>TEST_DATA!D14412</f>
        <v/>
      </c>
      <c r="E14412">
        <f>TEST_DATA!E14412</f>
        <v/>
      </c>
    </row>
    <row r="14413">
      <c r="A14413">
        <f>TEST_DATA!A14413</f>
        <v/>
      </c>
      <c r="B14413">
        <f>TEST_DATA!B14413</f>
        <v/>
      </c>
      <c r="C14413">
        <f>TEST_DATA!C14413</f>
        <v/>
      </c>
      <c r="D14413">
        <f>TEST_DATA!D14413</f>
        <v/>
      </c>
      <c r="E14413">
        <f>TEST_DATA!E14413</f>
        <v/>
      </c>
    </row>
    <row r="14414">
      <c r="A14414">
        <f>TEST_DATA!A14414</f>
        <v/>
      </c>
      <c r="B14414">
        <f>TEST_DATA!B14414</f>
        <v/>
      </c>
      <c r="C14414">
        <f>TEST_DATA!C14414</f>
        <v/>
      </c>
      <c r="D14414">
        <f>TEST_DATA!D14414</f>
        <v/>
      </c>
      <c r="E14414">
        <f>TEST_DATA!E14414</f>
        <v/>
      </c>
    </row>
    <row r="14415">
      <c r="A14415">
        <f>TEST_DATA!A14415</f>
        <v/>
      </c>
      <c r="B14415">
        <f>TEST_DATA!B14415</f>
        <v/>
      </c>
      <c r="C14415">
        <f>TEST_DATA!C14415</f>
        <v/>
      </c>
      <c r="D14415">
        <f>TEST_DATA!D14415</f>
        <v/>
      </c>
      <c r="E14415">
        <f>TEST_DATA!E14415</f>
        <v/>
      </c>
    </row>
    <row r="14416">
      <c r="A14416">
        <f>TEST_DATA!A14416</f>
        <v/>
      </c>
      <c r="B14416">
        <f>TEST_DATA!B14416</f>
        <v/>
      </c>
      <c r="C14416">
        <f>TEST_DATA!C14416</f>
        <v/>
      </c>
      <c r="D14416">
        <f>TEST_DATA!D14416</f>
        <v/>
      </c>
      <c r="E14416">
        <f>TEST_DATA!E14416</f>
        <v/>
      </c>
    </row>
    <row r="14417">
      <c r="A14417">
        <f>TEST_DATA!A14417</f>
        <v/>
      </c>
      <c r="B14417">
        <f>TEST_DATA!B14417</f>
        <v/>
      </c>
      <c r="C14417">
        <f>TEST_DATA!C14417</f>
        <v/>
      </c>
      <c r="D14417">
        <f>TEST_DATA!D14417</f>
        <v/>
      </c>
      <c r="E14417">
        <f>TEST_DATA!E14417</f>
        <v/>
      </c>
    </row>
    <row r="14418">
      <c r="A14418">
        <f>TEST_DATA!A14418</f>
        <v/>
      </c>
      <c r="B14418">
        <f>TEST_DATA!B14418</f>
        <v/>
      </c>
      <c r="C14418">
        <f>TEST_DATA!C14418</f>
        <v/>
      </c>
      <c r="D14418">
        <f>TEST_DATA!D14418</f>
        <v/>
      </c>
      <c r="E14418">
        <f>TEST_DATA!E14418</f>
        <v/>
      </c>
    </row>
    <row r="14419">
      <c r="A14419">
        <f>TEST_DATA!A14419</f>
        <v/>
      </c>
      <c r="B14419">
        <f>TEST_DATA!B14419</f>
        <v/>
      </c>
      <c r="C14419">
        <f>TEST_DATA!C14419</f>
        <v/>
      </c>
      <c r="D14419">
        <f>TEST_DATA!D14419</f>
        <v/>
      </c>
      <c r="E14419">
        <f>TEST_DATA!E14419</f>
        <v/>
      </c>
    </row>
    <row r="14420">
      <c r="A14420">
        <f>TEST_DATA!A14420</f>
        <v/>
      </c>
      <c r="B14420">
        <f>TEST_DATA!B14420</f>
        <v/>
      </c>
      <c r="C14420">
        <f>TEST_DATA!C14420</f>
        <v/>
      </c>
      <c r="D14420">
        <f>TEST_DATA!D14420</f>
        <v/>
      </c>
      <c r="E14420">
        <f>TEST_DATA!E14420</f>
        <v/>
      </c>
    </row>
    <row r="14421">
      <c r="A14421">
        <f>TEST_DATA!A14421</f>
        <v/>
      </c>
      <c r="B14421">
        <f>TEST_DATA!B14421</f>
        <v/>
      </c>
      <c r="C14421">
        <f>TEST_DATA!C14421</f>
        <v/>
      </c>
      <c r="D14421">
        <f>TEST_DATA!D14421</f>
        <v/>
      </c>
      <c r="E14421">
        <f>TEST_DATA!E14421</f>
        <v/>
      </c>
    </row>
    <row r="14422">
      <c r="A14422">
        <f>TEST_DATA!A14422</f>
        <v/>
      </c>
      <c r="B14422">
        <f>TEST_DATA!B14422</f>
        <v/>
      </c>
      <c r="C14422">
        <f>TEST_DATA!C14422</f>
        <v/>
      </c>
      <c r="D14422">
        <f>TEST_DATA!D14422</f>
        <v/>
      </c>
      <c r="E14422">
        <f>TEST_DATA!E14422</f>
        <v/>
      </c>
    </row>
    <row r="14423">
      <c r="A14423">
        <f>TEST_DATA!A14423</f>
        <v/>
      </c>
      <c r="B14423">
        <f>TEST_DATA!B14423</f>
        <v/>
      </c>
      <c r="C14423">
        <f>TEST_DATA!C14423</f>
        <v/>
      </c>
      <c r="D14423">
        <f>TEST_DATA!D14423</f>
        <v/>
      </c>
      <c r="E14423">
        <f>TEST_DATA!E14423</f>
        <v/>
      </c>
    </row>
    <row r="14424">
      <c r="A14424">
        <f>TEST_DATA!A14424</f>
        <v/>
      </c>
      <c r="B14424">
        <f>TEST_DATA!B14424</f>
        <v/>
      </c>
      <c r="C14424">
        <f>TEST_DATA!C14424</f>
        <v/>
      </c>
      <c r="D14424">
        <f>TEST_DATA!D14424</f>
        <v/>
      </c>
      <c r="E14424">
        <f>TEST_DATA!E14424</f>
        <v/>
      </c>
    </row>
    <row r="14425">
      <c r="A14425">
        <f>TEST_DATA!A14425</f>
        <v/>
      </c>
      <c r="B14425">
        <f>TEST_DATA!B14425</f>
        <v/>
      </c>
      <c r="C14425">
        <f>TEST_DATA!C14425</f>
        <v/>
      </c>
      <c r="D14425">
        <f>TEST_DATA!D14425</f>
        <v/>
      </c>
      <c r="E14425">
        <f>TEST_DATA!E14425</f>
        <v/>
      </c>
    </row>
    <row r="14426">
      <c r="A14426">
        <f>TEST_DATA!A14426</f>
        <v/>
      </c>
      <c r="B14426">
        <f>TEST_DATA!B14426</f>
        <v/>
      </c>
      <c r="C14426">
        <f>TEST_DATA!C14426</f>
        <v/>
      </c>
      <c r="D14426">
        <f>TEST_DATA!D14426</f>
        <v/>
      </c>
      <c r="E14426">
        <f>TEST_DATA!E14426</f>
        <v/>
      </c>
    </row>
    <row r="14427">
      <c r="A14427">
        <f>TEST_DATA!A14427</f>
        <v/>
      </c>
      <c r="B14427">
        <f>TEST_DATA!B14427</f>
        <v/>
      </c>
      <c r="C14427">
        <f>TEST_DATA!C14427</f>
        <v/>
      </c>
      <c r="D14427">
        <f>TEST_DATA!D14427</f>
        <v/>
      </c>
      <c r="E14427">
        <f>TEST_DATA!E14427</f>
        <v/>
      </c>
    </row>
    <row r="14428">
      <c r="A14428">
        <f>TEST_DATA!A14428</f>
        <v/>
      </c>
      <c r="B14428">
        <f>TEST_DATA!B14428</f>
        <v/>
      </c>
      <c r="C14428">
        <f>TEST_DATA!C14428</f>
        <v/>
      </c>
      <c r="D14428">
        <f>TEST_DATA!D14428</f>
        <v/>
      </c>
      <c r="E14428">
        <f>TEST_DATA!E14428</f>
        <v/>
      </c>
    </row>
    <row r="14429">
      <c r="A14429">
        <f>TEST_DATA!A14429</f>
        <v/>
      </c>
      <c r="B14429">
        <f>TEST_DATA!B14429</f>
        <v/>
      </c>
      <c r="C14429">
        <f>TEST_DATA!C14429</f>
        <v/>
      </c>
      <c r="D14429">
        <f>TEST_DATA!D14429</f>
        <v/>
      </c>
      <c r="E14429">
        <f>TEST_DATA!E14429</f>
        <v/>
      </c>
    </row>
    <row r="14430">
      <c r="A14430">
        <f>TEST_DATA!A14430</f>
        <v/>
      </c>
      <c r="B14430">
        <f>TEST_DATA!B14430</f>
        <v/>
      </c>
      <c r="C14430">
        <f>TEST_DATA!C14430</f>
        <v/>
      </c>
      <c r="D14430">
        <f>TEST_DATA!D14430</f>
        <v/>
      </c>
      <c r="E14430">
        <f>TEST_DATA!E14430</f>
        <v/>
      </c>
    </row>
    <row r="14431">
      <c r="A14431">
        <f>TEST_DATA!A14431</f>
        <v/>
      </c>
      <c r="B14431">
        <f>TEST_DATA!B14431</f>
        <v/>
      </c>
      <c r="C14431">
        <f>TEST_DATA!C14431</f>
        <v/>
      </c>
      <c r="D14431">
        <f>TEST_DATA!D14431</f>
        <v/>
      </c>
      <c r="E14431">
        <f>TEST_DATA!E14431</f>
        <v/>
      </c>
    </row>
    <row r="14432">
      <c r="A14432">
        <f>TEST_DATA!A14432</f>
        <v/>
      </c>
      <c r="B14432">
        <f>TEST_DATA!B14432</f>
        <v/>
      </c>
      <c r="C14432">
        <f>TEST_DATA!C14432</f>
        <v/>
      </c>
      <c r="D14432">
        <f>TEST_DATA!D14432</f>
        <v/>
      </c>
      <c r="E14432">
        <f>TEST_DATA!E14432</f>
        <v/>
      </c>
    </row>
    <row r="14433">
      <c r="A14433">
        <f>TEST_DATA!A14433</f>
        <v/>
      </c>
      <c r="B14433">
        <f>TEST_DATA!B14433</f>
        <v/>
      </c>
      <c r="C14433">
        <f>TEST_DATA!C14433</f>
        <v/>
      </c>
      <c r="D14433">
        <f>TEST_DATA!D14433</f>
        <v/>
      </c>
      <c r="E14433">
        <f>TEST_DATA!E14433</f>
        <v/>
      </c>
    </row>
    <row r="14434">
      <c r="A14434">
        <f>TEST_DATA!A14434</f>
        <v/>
      </c>
      <c r="B14434">
        <f>TEST_DATA!B14434</f>
        <v/>
      </c>
      <c r="C14434">
        <f>TEST_DATA!C14434</f>
        <v/>
      </c>
      <c r="D14434">
        <f>TEST_DATA!D14434</f>
        <v/>
      </c>
      <c r="E14434">
        <f>TEST_DATA!E14434</f>
        <v/>
      </c>
    </row>
    <row r="14435">
      <c r="A14435">
        <f>TEST_DATA!A14435</f>
        <v/>
      </c>
      <c r="B14435">
        <f>TEST_DATA!B14435</f>
        <v/>
      </c>
      <c r="C14435">
        <f>TEST_DATA!C14435</f>
        <v/>
      </c>
      <c r="D14435">
        <f>TEST_DATA!D14435</f>
        <v/>
      </c>
      <c r="E14435">
        <f>TEST_DATA!E14435</f>
        <v/>
      </c>
    </row>
    <row r="14436">
      <c r="A14436">
        <f>TEST_DATA!A14436</f>
        <v/>
      </c>
      <c r="B14436">
        <f>TEST_DATA!B14436</f>
        <v/>
      </c>
      <c r="C14436">
        <f>TEST_DATA!C14436</f>
        <v/>
      </c>
      <c r="D14436">
        <f>TEST_DATA!D14436</f>
        <v/>
      </c>
      <c r="E14436">
        <f>TEST_DATA!E14436</f>
        <v/>
      </c>
    </row>
    <row r="14437">
      <c r="A14437">
        <f>TEST_DATA!A14437</f>
        <v/>
      </c>
      <c r="B14437">
        <f>TEST_DATA!B14437</f>
        <v/>
      </c>
      <c r="C14437">
        <f>TEST_DATA!C14437</f>
        <v/>
      </c>
      <c r="D14437">
        <f>TEST_DATA!D14437</f>
        <v/>
      </c>
      <c r="E14437">
        <f>TEST_DATA!E14437</f>
        <v/>
      </c>
    </row>
    <row r="14438">
      <c r="A14438">
        <f>TEST_DATA!A14438</f>
        <v/>
      </c>
      <c r="B14438">
        <f>TEST_DATA!B14438</f>
        <v/>
      </c>
      <c r="C14438">
        <f>TEST_DATA!C14438</f>
        <v/>
      </c>
      <c r="D14438">
        <f>TEST_DATA!D14438</f>
        <v/>
      </c>
      <c r="E14438">
        <f>TEST_DATA!E14438</f>
        <v/>
      </c>
    </row>
    <row r="14439">
      <c r="A14439">
        <f>TEST_DATA!A14439</f>
        <v/>
      </c>
      <c r="B14439">
        <f>TEST_DATA!B14439</f>
        <v/>
      </c>
      <c r="C14439">
        <f>TEST_DATA!C14439</f>
        <v/>
      </c>
      <c r="D14439">
        <f>TEST_DATA!D14439</f>
        <v/>
      </c>
      <c r="E14439">
        <f>TEST_DATA!E14439</f>
        <v/>
      </c>
    </row>
    <row r="14440">
      <c r="A14440">
        <f>TEST_DATA!A14440</f>
        <v/>
      </c>
      <c r="B14440">
        <f>TEST_DATA!B14440</f>
        <v/>
      </c>
      <c r="C14440">
        <f>TEST_DATA!C14440</f>
        <v/>
      </c>
      <c r="D14440">
        <f>TEST_DATA!D14440</f>
        <v/>
      </c>
      <c r="E14440">
        <f>TEST_DATA!E14440</f>
        <v/>
      </c>
    </row>
    <row r="14441">
      <c r="A14441">
        <f>TEST_DATA!A14441</f>
        <v/>
      </c>
      <c r="B14441">
        <f>TEST_DATA!B14441</f>
        <v/>
      </c>
      <c r="C14441">
        <f>TEST_DATA!C14441</f>
        <v/>
      </c>
      <c r="D14441">
        <f>TEST_DATA!D14441</f>
        <v/>
      </c>
      <c r="E14441">
        <f>TEST_DATA!E14441</f>
        <v/>
      </c>
    </row>
    <row r="14442">
      <c r="A14442">
        <f>TEST_DATA!A14442</f>
        <v/>
      </c>
      <c r="B14442">
        <f>TEST_DATA!B14442</f>
        <v/>
      </c>
      <c r="C14442">
        <f>TEST_DATA!C14442</f>
        <v/>
      </c>
      <c r="D14442">
        <f>TEST_DATA!D14442</f>
        <v/>
      </c>
      <c r="E14442">
        <f>TEST_DATA!E14442</f>
        <v/>
      </c>
    </row>
    <row r="14443">
      <c r="A14443">
        <f>TEST_DATA!A14443</f>
        <v/>
      </c>
      <c r="B14443">
        <f>TEST_DATA!B14443</f>
        <v/>
      </c>
      <c r="C14443">
        <f>TEST_DATA!C14443</f>
        <v/>
      </c>
      <c r="D14443">
        <f>TEST_DATA!D14443</f>
        <v/>
      </c>
      <c r="E14443">
        <f>TEST_DATA!E14443</f>
        <v/>
      </c>
    </row>
    <row r="14444">
      <c r="A14444">
        <f>TEST_DATA!A14444</f>
        <v/>
      </c>
      <c r="B14444">
        <f>TEST_DATA!B14444</f>
        <v/>
      </c>
      <c r="C14444">
        <f>TEST_DATA!C14444</f>
        <v/>
      </c>
      <c r="D14444">
        <f>TEST_DATA!D14444</f>
        <v/>
      </c>
      <c r="E14444">
        <f>TEST_DATA!E14444</f>
        <v/>
      </c>
    </row>
    <row r="14445">
      <c r="A14445">
        <f>TEST_DATA!A14445</f>
        <v/>
      </c>
      <c r="B14445">
        <f>TEST_DATA!B14445</f>
        <v/>
      </c>
      <c r="C14445">
        <f>TEST_DATA!C14445</f>
        <v/>
      </c>
      <c r="D14445">
        <f>TEST_DATA!D14445</f>
        <v/>
      </c>
      <c r="E14445">
        <f>TEST_DATA!E14445</f>
        <v/>
      </c>
    </row>
    <row r="14446">
      <c r="A14446">
        <f>TEST_DATA!A14446</f>
        <v/>
      </c>
      <c r="B14446">
        <f>TEST_DATA!B14446</f>
        <v/>
      </c>
      <c r="C14446">
        <f>TEST_DATA!C14446</f>
        <v/>
      </c>
      <c r="D14446">
        <f>TEST_DATA!D14446</f>
        <v/>
      </c>
      <c r="E14446">
        <f>TEST_DATA!E14446</f>
        <v/>
      </c>
    </row>
    <row r="14447">
      <c r="A14447">
        <f>TEST_DATA!A14447</f>
        <v/>
      </c>
      <c r="B14447">
        <f>TEST_DATA!B14447</f>
        <v/>
      </c>
      <c r="C14447">
        <f>TEST_DATA!C14447</f>
        <v/>
      </c>
      <c r="D14447">
        <f>TEST_DATA!D14447</f>
        <v/>
      </c>
      <c r="E14447">
        <f>TEST_DATA!E14447</f>
        <v/>
      </c>
    </row>
    <row r="14448">
      <c r="A14448">
        <f>TEST_DATA!A14448</f>
        <v/>
      </c>
      <c r="B14448">
        <f>TEST_DATA!B14448</f>
        <v/>
      </c>
      <c r="C14448">
        <f>TEST_DATA!C14448</f>
        <v/>
      </c>
      <c r="D14448">
        <f>TEST_DATA!D14448</f>
        <v/>
      </c>
      <c r="E14448">
        <f>TEST_DATA!E14448</f>
        <v/>
      </c>
    </row>
    <row r="14449">
      <c r="A14449">
        <f>TEST_DATA!A14449</f>
        <v/>
      </c>
      <c r="B14449">
        <f>TEST_DATA!B14449</f>
        <v/>
      </c>
      <c r="C14449">
        <f>TEST_DATA!C14449</f>
        <v/>
      </c>
      <c r="D14449">
        <f>TEST_DATA!D14449</f>
        <v/>
      </c>
      <c r="E14449">
        <f>TEST_DATA!E14449</f>
        <v/>
      </c>
    </row>
    <row r="14450">
      <c r="A14450">
        <f>TEST_DATA!A14450</f>
        <v/>
      </c>
      <c r="B14450">
        <f>TEST_DATA!B14450</f>
        <v/>
      </c>
      <c r="C14450">
        <f>TEST_DATA!C14450</f>
        <v/>
      </c>
      <c r="D14450">
        <f>TEST_DATA!D14450</f>
        <v/>
      </c>
      <c r="E14450">
        <f>TEST_DATA!E14450</f>
        <v/>
      </c>
    </row>
    <row r="14451">
      <c r="A14451">
        <f>TEST_DATA!A14451</f>
        <v/>
      </c>
      <c r="B14451">
        <f>TEST_DATA!B14451</f>
        <v/>
      </c>
      <c r="C14451">
        <f>TEST_DATA!C14451</f>
        <v/>
      </c>
      <c r="D14451">
        <f>TEST_DATA!D14451</f>
        <v/>
      </c>
      <c r="E14451">
        <f>TEST_DATA!E14451</f>
        <v/>
      </c>
    </row>
    <row r="14452">
      <c r="A14452">
        <f>TEST_DATA!A14452</f>
        <v/>
      </c>
      <c r="B14452">
        <f>TEST_DATA!B14452</f>
        <v/>
      </c>
      <c r="C14452">
        <f>TEST_DATA!C14452</f>
        <v/>
      </c>
      <c r="D14452">
        <f>TEST_DATA!D14452</f>
        <v/>
      </c>
      <c r="E14452">
        <f>TEST_DATA!E14452</f>
        <v/>
      </c>
    </row>
    <row r="14453">
      <c r="A14453">
        <f>TEST_DATA!A14453</f>
        <v/>
      </c>
      <c r="B14453">
        <f>TEST_DATA!B14453</f>
        <v/>
      </c>
      <c r="C14453">
        <f>TEST_DATA!C14453</f>
        <v/>
      </c>
      <c r="D14453">
        <f>TEST_DATA!D14453</f>
        <v/>
      </c>
      <c r="E14453">
        <f>TEST_DATA!E14453</f>
        <v/>
      </c>
    </row>
    <row r="14454">
      <c r="A14454">
        <f>TEST_DATA!A14454</f>
        <v/>
      </c>
      <c r="B14454">
        <f>TEST_DATA!B14454</f>
        <v/>
      </c>
      <c r="C14454">
        <f>TEST_DATA!C14454</f>
        <v/>
      </c>
      <c r="D14454">
        <f>TEST_DATA!D14454</f>
        <v/>
      </c>
      <c r="E14454">
        <f>TEST_DATA!E14454</f>
        <v/>
      </c>
    </row>
    <row r="14455">
      <c r="A14455">
        <f>TEST_DATA!A14455</f>
        <v/>
      </c>
      <c r="B14455">
        <f>TEST_DATA!B14455</f>
        <v/>
      </c>
      <c r="C14455">
        <f>TEST_DATA!C14455</f>
        <v/>
      </c>
      <c r="D14455">
        <f>TEST_DATA!D14455</f>
        <v/>
      </c>
      <c r="E14455">
        <f>TEST_DATA!E14455</f>
        <v/>
      </c>
    </row>
    <row r="14456">
      <c r="A14456">
        <f>TEST_DATA!A14456</f>
        <v/>
      </c>
      <c r="B14456">
        <f>TEST_DATA!B14456</f>
        <v/>
      </c>
      <c r="C14456">
        <f>TEST_DATA!C14456</f>
        <v/>
      </c>
      <c r="D14456">
        <f>TEST_DATA!D14456</f>
        <v/>
      </c>
      <c r="E14456">
        <f>TEST_DATA!E14456</f>
        <v/>
      </c>
    </row>
    <row r="14457">
      <c r="A14457">
        <f>TEST_DATA!A14457</f>
        <v/>
      </c>
      <c r="B14457">
        <f>TEST_DATA!B14457</f>
        <v/>
      </c>
      <c r="C14457">
        <f>TEST_DATA!C14457</f>
        <v/>
      </c>
      <c r="D14457">
        <f>TEST_DATA!D14457</f>
        <v/>
      </c>
      <c r="E14457">
        <f>TEST_DATA!E14457</f>
        <v/>
      </c>
    </row>
    <row r="14458">
      <c r="A14458">
        <f>TEST_DATA!A14458</f>
        <v/>
      </c>
      <c r="B14458">
        <f>TEST_DATA!B14458</f>
        <v/>
      </c>
      <c r="C14458">
        <f>TEST_DATA!C14458</f>
        <v/>
      </c>
      <c r="D14458">
        <f>TEST_DATA!D14458</f>
        <v/>
      </c>
      <c r="E14458">
        <f>TEST_DATA!E14458</f>
        <v/>
      </c>
    </row>
    <row r="14459">
      <c r="A14459">
        <f>TEST_DATA!A14459</f>
        <v/>
      </c>
      <c r="B14459">
        <f>TEST_DATA!B14459</f>
        <v/>
      </c>
      <c r="C14459">
        <f>TEST_DATA!C14459</f>
        <v/>
      </c>
      <c r="D14459">
        <f>TEST_DATA!D14459</f>
        <v/>
      </c>
      <c r="E14459">
        <f>TEST_DATA!E14459</f>
        <v/>
      </c>
    </row>
    <row r="14460">
      <c r="A14460">
        <f>TEST_DATA!A14460</f>
        <v/>
      </c>
      <c r="B14460">
        <f>TEST_DATA!B14460</f>
        <v/>
      </c>
      <c r="C14460">
        <f>TEST_DATA!C14460</f>
        <v/>
      </c>
      <c r="D14460">
        <f>TEST_DATA!D14460</f>
        <v/>
      </c>
      <c r="E14460">
        <f>TEST_DATA!E14460</f>
        <v/>
      </c>
    </row>
    <row r="14461">
      <c r="A14461">
        <f>TEST_DATA!A14461</f>
        <v/>
      </c>
      <c r="B14461">
        <f>TEST_DATA!B14461</f>
        <v/>
      </c>
      <c r="C14461">
        <f>TEST_DATA!C14461</f>
        <v/>
      </c>
      <c r="D14461">
        <f>TEST_DATA!D14461</f>
        <v/>
      </c>
      <c r="E14461">
        <f>TEST_DATA!E14461</f>
        <v/>
      </c>
    </row>
    <row r="14462">
      <c r="A14462">
        <f>TEST_DATA!A14462</f>
        <v/>
      </c>
      <c r="B14462">
        <f>TEST_DATA!B14462</f>
        <v/>
      </c>
      <c r="C14462">
        <f>TEST_DATA!C14462</f>
        <v/>
      </c>
      <c r="D14462">
        <f>TEST_DATA!D14462</f>
        <v/>
      </c>
      <c r="E14462">
        <f>TEST_DATA!E14462</f>
        <v/>
      </c>
    </row>
    <row r="14463">
      <c r="A14463">
        <f>TEST_DATA!A14463</f>
        <v/>
      </c>
      <c r="B14463">
        <f>TEST_DATA!B14463</f>
        <v/>
      </c>
      <c r="C14463">
        <f>TEST_DATA!C14463</f>
        <v/>
      </c>
      <c r="D14463">
        <f>TEST_DATA!D14463</f>
        <v/>
      </c>
      <c r="E14463">
        <f>TEST_DATA!E14463</f>
        <v/>
      </c>
    </row>
    <row r="14464">
      <c r="A14464">
        <f>TEST_DATA!A14464</f>
        <v/>
      </c>
      <c r="B14464">
        <f>TEST_DATA!B14464</f>
        <v/>
      </c>
      <c r="C14464">
        <f>TEST_DATA!C14464</f>
        <v/>
      </c>
      <c r="D14464">
        <f>TEST_DATA!D14464</f>
        <v/>
      </c>
      <c r="E14464">
        <f>TEST_DATA!E14464</f>
        <v/>
      </c>
    </row>
    <row r="14465">
      <c r="A14465">
        <f>TEST_DATA!A14465</f>
        <v/>
      </c>
      <c r="B14465">
        <f>TEST_DATA!B14465</f>
        <v/>
      </c>
      <c r="C14465">
        <f>TEST_DATA!C14465</f>
        <v/>
      </c>
      <c r="D14465">
        <f>TEST_DATA!D14465</f>
        <v/>
      </c>
      <c r="E14465">
        <f>TEST_DATA!E14465</f>
        <v/>
      </c>
    </row>
    <row r="14466">
      <c r="A14466">
        <f>TEST_DATA!A14466</f>
        <v/>
      </c>
      <c r="B14466">
        <f>TEST_DATA!B14466</f>
        <v/>
      </c>
      <c r="C14466">
        <f>TEST_DATA!C14466</f>
        <v/>
      </c>
      <c r="D14466">
        <f>TEST_DATA!D14466</f>
        <v/>
      </c>
      <c r="E14466">
        <f>TEST_DATA!E14466</f>
        <v/>
      </c>
    </row>
    <row r="14467">
      <c r="A14467">
        <f>TEST_DATA!A14467</f>
        <v/>
      </c>
      <c r="B14467">
        <f>TEST_DATA!B14467</f>
        <v/>
      </c>
      <c r="C14467">
        <f>TEST_DATA!C14467</f>
        <v/>
      </c>
      <c r="D14467">
        <f>TEST_DATA!D14467</f>
        <v/>
      </c>
      <c r="E14467">
        <f>TEST_DATA!E14467</f>
        <v/>
      </c>
    </row>
    <row r="14468">
      <c r="A14468">
        <f>TEST_DATA!A14468</f>
        <v/>
      </c>
      <c r="B14468">
        <f>TEST_DATA!B14468</f>
        <v/>
      </c>
      <c r="C14468">
        <f>TEST_DATA!C14468</f>
        <v/>
      </c>
      <c r="D14468">
        <f>TEST_DATA!D14468</f>
        <v/>
      </c>
      <c r="E14468">
        <f>TEST_DATA!E14468</f>
        <v/>
      </c>
    </row>
    <row r="14469">
      <c r="A14469">
        <f>TEST_DATA!A14469</f>
        <v/>
      </c>
      <c r="B14469">
        <f>TEST_DATA!B14469</f>
        <v/>
      </c>
      <c r="C14469">
        <f>TEST_DATA!C14469</f>
        <v/>
      </c>
      <c r="D14469">
        <f>TEST_DATA!D14469</f>
        <v/>
      </c>
      <c r="E14469">
        <f>TEST_DATA!E14469</f>
        <v/>
      </c>
    </row>
    <row r="14470">
      <c r="A14470">
        <f>TEST_DATA!A14470</f>
        <v/>
      </c>
      <c r="B14470">
        <f>TEST_DATA!B14470</f>
        <v/>
      </c>
      <c r="C14470">
        <f>TEST_DATA!C14470</f>
        <v/>
      </c>
      <c r="D14470">
        <f>TEST_DATA!D14470</f>
        <v/>
      </c>
      <c r="E14470">
        <f>TEST_DATA!E14470</f>
        <v/>
      </c>
    </row>
    <row r="14471">
      <c r="A14471">
        <f>TEST_DATA!A14471</f>
        <v/>
      </c>
      <c r="B14471">
        <f>TEST_DATA!B14471</f>
        <v/>
      </c>
      <c r="C14471">
        <f>TEST_DATA!C14471</f>
        <v/>
      </c>
      <c r="D14471">
        <f>TEST_DATA!D14471</f>
        <v/>
      </c>
      <c r="E14471">
        <f>TEST_DATA!E14471</f>
        <v/>
      </c>
    </row>
    <row r="14472">
      <c r="A14472">
        <f>TEST_DATA!A14472</f>
        <v/>
      </c>
      <c r="B14472">
        <f>TEST_DATA!B14472</f>
        <v/>
      </c>
      <c r="C14472">
        <f>TEST_DATA!C14472</f>
        <v/>
      </c>
      <c r="D14472">
        <f>TEST_DATA!D14472</f>
        <v/>
      </c>
      <c r="E14472">
        <f>TEST_DATA!E14472</f>
        <v/>
      </c>
    </row>
    <row r="14473">
      <c r="A14473">
        <f>TEST_DATA!A14473</f>
        <v/>
      </c>
      <c r="B14473">
        <f>TEST_DATA!B14473</f>
        <v/>
      </c>
      <c r="C14473">
        <f>TEST_DATA!C14473</f>
        <v/>
      </c>
      <c r="D14473">
        <f>TEST_DATA!D14473</f>
        <v/>
      </c>
      <c r="E14473">
        <f>TEST_DATA!E14473</f>
        <v/>
      </c>
    </row>
    <row r="14474">
      <c r="A14474">
        <f>TEST_DATA!A14474</f>
        <v/>
      </c>
      <c r="B14474">
        <f>TEST_DATA!B14474</f>
        <v/>
      </c>
      <c r="C14474">
        <f>TEST_DATA!C14474</f>
        <v/>
      </c>
      <c r="D14474">
        <f>TEST_DATA!D14474</f>
        <v/>
      </c>
      <c r="E14474">
        <f>TEST_DATA!E14474</f>
        <v/>
      </c>
    </row>
    <row r="14475">
      <c r="A14475">
        <f>TEST_DATA!A14475</f>
        <v/>
      </c>
      <c r="B14475">
        <f>TEST_DATA!B14475</f>
        <v/>
      </c>
      <c r="C14475">
        <f>TEST_DATA!C14475</f>
        <v/>
      </c>
      <c r="D14475">
        <f>TEST_DATA!D14475</f>
        <v/>
      </c>
      <c r="E14475">
        <f>TEST_DATA!E14475</f>
        <v/>
      </c>
    </row>
    <row r="14476">
      <c r="A14476">
        <f>TEST_DATA!A14476</f>
        <v/>
      </c>
      <c r="B14476">
        <f>TEST_DATA!B14476</f>
        <v/>
      </c>
      <c r="C14476">
        <f>TEST_DATA!C14476</f>
        <v/>
      </c>
      <c r="D14476">
        <f>TEST_DATA!D14476</f>
        <v/>
      </c>
      <c r="E14476">
        <f>TEST_DATA!E14476</f>
        <v/>
      </c>
    </row>
    <row r="14477">
      <c r="A14477">
        <f>TEST_DATA!A14477</f>
        <v/>
      </c>
      <c r="B14477">
        <f>TEST_DATA!B14477</f>
        <v/>
      </c>
      <c r="C14477">
        <f>TEST_DATA!C14477</f>
        <v/>
      </c>
      <c r="D14477">
        <f>TEST_DATA!D14477</f>
        <v/>
      </c>
      <c r="E14477">
        <f>TEST_DATA!E14477</f>
        <v/>
      </c>
    </row>
    <row r="14478">
      <c r="A14478">
        <f>TEST_DATA!A14478</f>
        <v/>
      </c>
      <c r="B14478">
        <f>TEST_DATA!B14478</f>
        <v/>
      </c>
      <c r="C14478">
        <f>TEST_DATA!C14478</f>
        <v/>
      </c>
      <c r="D14478">
        <f>TEST_DATA!D14478</f>
        <v/>
      </c>
      <c r="E14478">
        <f>TEST_DATA!E14478</f>
        <v/>
      </c>
    </row>
    <row r="14479">
      <c r="A14479">
        <f>TEST_DATA!A14479</f>
        <v/>
      </c>
      <c r="B14479">
        <f>TEST_DATA!B14479</f>
        <v/>
      </c>
      <c r="C14479">
        <f>TEST_DATA!C14479</f>
        <v/>
      </c>
      <c r="D14479">
        <f>TEST_DATA!D14479</f>
        <v/>
      </c>
      <c r="E14479">
        <f>TEST_DATA!E14479</f>
        <v/>
      </c>
    </row>
    <row r="14480">
      <c r="A14480">
        <f>TEST_DATA!A14480</f>
        <v/>
      </c>
      <c r="B14480">
        <f>TEST_DATA!B14480</f>
        <v/>
      </c>
      <c r="C14480">
        <f>TEST_DATA!C14480</f>
        <v/>
      </c>
      <c r="D14480">
        <f>TEST_DATA!D14480</f>
        <v/>
      </c>
      <c r="E14480">
        <f>TEST_DATA!E14480</f>
        <v/>
      </c>
    </row>
    <row r="14481">
      <c r="A14481">
        <f>TEST_DATA!A14481</f>
        <v/>
      </c>
      <c r="B14481">
        <f>TEST_DATA!B14481</f>
        <v/>
      </c>
      <c r="C14481">
        <f>TEST_DATA!C14481</f>
        <v/>
      </c>
      <c r="D14481">
        <f>TEST_DATA!D14481</f>
        <v/>
      </c>
      <c r="E14481">
        <f>TEST_DATA!E14481</f>
        <v/>
      </c>
    </row>
    <row r="14482">
      <c r="A14482">
        <f>TEST_DATA!A14482</f>
        <v/>
      </c>
      <c r="B14482">
        <f>TEST_DATA!B14482</f>
        <v/>
      </c>
      <c r="C14482">
        <f>TEST_DATA!C14482</f>
        <v/>
      </c>
      <c r="D14482">
        <f>TEST_DATA!D14482</f>
        <v/>
      </c>
      <c r="E14482">
        <f>TEST_DATA!E14482</f>
        <v/>
      </c>
    </row>
    <row r="14483">
      <c r="A14483">
        <f>TEST_DATA!A14483</f>
        <v/>
      </c>
      <c r="B14483">
        <f>TEST_DATA!B14483</f>
        <v/>
      </c>
      <c r="C14483">
        <f>TEST_DATA!C14483</f>
        <v/>
      </c>
      <c r="D14483">
        <f>TEST_DATA!D14483</f>
        <v/>
      </c>
      <c r="E14483">
        <f>TEST_DATA!E14483</f>
        <v/>
      </c>
    </row>
    <row r="14484">
      <c r="A14484">
        <f>TEST_DATA!A14484</f>
        <v/>
      </c>
      <c r="B14484">
        <f>TEST_DATA!B14484</f>
        <v/>
      </c>
      <c r="C14484">
        <f>TEST_DATA!C14484</f>
        <v/>
      </c>
      <c r="D14484">
        <f>TEST_DATA!D14484</f>
        <v/>
      </c>
      <c r="E14484">
        <f>TEST_DATA!E14484</f>
        <v/>
      </c>
    </row>
    <row r="14485">
      <c r="A14485">
        <f>TEST_DATA!A14485</f>
        <v/>
      </c>
      <c r="B14485">
        <f>TEST_DATA!B14485</f>
        <v/>
      </c>
      <c r="C14485">
        <f>TEST_DATA!C14485</f>
        <v/>
      </c>
      <c r="D14485">
        <f>TEST_DATA!D14485</f>
        <v/>
      </c>
      <c r="E14485">
        <f>TEST_DATA!E14485</f>
        <v/>
      </c>
    </row>
    <row r="14486">
      <c r="A14486">
        <f>TEST_DATA!A14486</f>
        <v/>
      </c>
      <c r="B14486">
        <f>TEST_DATA!B14486</f>
        <v/>
      </c>
      <c r="C14486">
        <f>TEST_DATA!C14486</f>
        <v/>
      </c>
      <c r="D14486">
        <f>TEST_DATA!D14486</f>
        <v/>
      </c>
      <c r="E14486">
        <f>TEST_DATA!E14486</f>
        <v/>
      </c>
    </row>
    <row r="14487">
      <c r="A14487">
        <f>TEST_DATA!A14487</f>
        <v/>
      </c>
      <c r="B14487">
        <f>TEST_DATA!B14487</f>
        <v/>
      </c>
      <c r="C14487">
        <f>TEST_DATA!C14487</f>
        <v/>
      </c>
      <c r="D14487">
        <f>TEST_DATA!D14487</f>
        <v/>
      </c>
      <c r="E14487">
        <f>TEST_DATA!E14487</f>
        <v/>
      </c>
    </row>
    <row r="14488">
      <c r="A14488">
        <f>TEST_DATA!A14488</f>
        <v/>
      </c>
      <c r="B14488">
        <f>TEST_DATA!B14488</f>
        <v/>
      </c>
      <c r="C14488">
        <f>TEST_DATA!C14488</f>
        <v/>
      </c>
      <c r="D14488">
        <f>TEST_DATA!D14488</f>
        <v/>
      </c>
      <c r="E14488">
        <f>TEST_DATA!E14488</f>
        <v/>
      </c>
    </row>
    <row r="14489">
      <c r="A14489">
        <f>TEST_DATA!A14489</f>
        <v/>
      </c>
      <c r="B14489">
        <f>TEST_DATA!B14489</f>
        <v/>
      </c>
      <c r="C14489">
        <f>TEST_DATA!C14489</f>
        <v/>
      </c>
      <c r="D14489">
        <f>TEST_DATA!D14489</f>
        <v/>
      </c>
      <c r="E14489">
        <f>TEST_DATA!E14489</f>
        <v/>
      </c>
    </row>
    <row r="14490">
      <c r="A14490">
        <f>TEST_DATA!A14490</f>
        <v/>
      </c>
      <c r="B14490">
        <f>TEST_DATA!B14490</f>
        <v/>
      </c>
      <c r="C14490">
        <f>TEST_DATA!C14490</f>
        <v/>
      </c>
      <c r="D14490">
        <f>TEST_DATA!D14490</f>
        <v/>
      </c>
      <c r="E14490">
        <f>TEST_DATA!E14490</f>
        <v/>
      </c>
    </row>
    <row r="14491">
      <c r="A14491">
        <f>TEST_DATA!A14491</f>
        <v/>
      </c>
      <c r="B14491">
        <f>TEST_DATA!B14491</f>
        <v/>
      </c>
      <c r="C14491">
        <f>TEST_DATA!C14491</f>
        <v/>
      </c>
      <c r="D14491">
        <f>TEST_DATA!D14491</f>
        <v/>
      </c>
      <c r="E14491">
        <f>TEST_DATA!E14491</f>
        <v/>
      </c>
    </row>
    <row r="14492">
      <c r="A14492">
        <f>TEST_DATA!A14492</f>
        <v/>
      </c>
      <c r="B14492">
        <f>TEST_DATA!B14492</f>
        <v/>
      </c>
      <c r="C14492">
        <f>TEST_DATA!C14492</f>
        <v/>
      </c>
      <c r="D14492">
        <f>TEST_DATA!D14492</f>
        <v/>
      </c>
      <c r="E14492">
        <f>TEST_DATA!E14492</f>
        <v/>
      </c>
    </row>
    <row r="14493">
      <c r="A14493">
        <f>TEST_DATA!A14493</f>
        <v/>
      </c>
      <c r="B14493">
        <f>TEST_DATA!B14493</f>
        <v/>
      </c>
      <c r="C14493">
        <f>TEST_DATA!C14493</f>
        <v/>
      </c>
      <c r="D14493">
        <f>TEST_DATA!D14493</f>
        <v/>
      </c>
      <c r="E14493">
        <f>TEST_DATA!E14493</f>
        <v/>
      </c>
    </row>
    <row r="14494">
      <c r="A14494">
        <f>TEST_DATA!A14494</f>
        <v/>
      </c>
      <c r="B14494">
        <f>TEST_DATA!B14494</f>
        <v/>
      </c>
      <c r="C14494">
        <f>TEST_DATA!C14494</f>
        <v/>
      </c>
      <c r="D14494">
        <f>TEST_DATA!D14494</f>
        <v/>
      </c>
      <c r="E14494">
        <f>TEST_DATA!E14494</f>
        <v/>
      </c>
    </row>
    <row r="14495">
      <c r="A14495">
        <f>TEST_DATA!A14495</f>
        <v/>
      </c>
      <c r="B14495">
        <f>TEST_DATA!B14495</f>
        <v/>
      </c>
      <c r="C14495">
        <f>TEST_DATA!C14495</f>
        <v/>
      </c>
      <c r="D14495">
        <f>TEST_DATA!D14495</f>
        <v/>
      </c>
      <c r="E14495">
        <f>TEST_DATA!E14495</f>
        <v/>
      </c>
    </row>
    <row r="14496">
      <c r="A14496">
        <f>TEST_DATA!A14496</f>
        <v/>
      </c>
      <c r="B14496">
        <f>TEST_DATA!B14496</f>
        <v/>
      </c>
      <c r="C14496">
        <f>TEST_DATA!C14496</f>
        <v/>
      </c>
      <c r="D14496">
        <f>TEST_DATA!D14496</f>
        <v/>
      </c>
      <c r="E14496">
        <f>TEST_DATA!E14496</f>
        <v/>
      </c>
    </row>
    <row r="14497">
      <c r="A14497">
        <f>TEST_DATA!A14497</f>
        <v/>
      </c>
      <c r="B14497">
        <f>TEST_DATA!B14497</f>
        <v/>
      </c>
      <c r="C14497">
        <f>TEST_DATA!C14497</f>
        <v/>
      </c>
      <c r="D14497">
        <f>TEST_DATA!D14497</f>
        <v/>
      </c>
      <c r="E14497">
        <f>TEST_DATA!E14497</f>
        <v/>
      </c>
    </row>
    <row r="14498">
      <c r="A14498">
        <f>TEST_DATA!A14498</f>
        <v/>
      </c>
      <c r="B14498">
        <f>TEST_DATA!B14498</f>
        <v/>
      </c>
      <c r="C14498">
        <f>TEST_DATA!C14498</f>
        <v/>
      </c>
      <c r="D14498">
        <f>TEST_DATA!D14498</f>
        <v/>
      </c>
      <c r="E14498">
        <f>TEST_DATA!E14498</f>
        <v/>
      </c>
    </row>
    <row r="14499">
      <c r="A14499">
        <f>TEST_DATA!A14499</f>
        <v/>
      </c>
      <c r="B14499">
        <f>TEST_DATA!B14499</f>
        <v/>
      </c>
      <c r="C14499">
        <f>TEST_DATA!C14499</f>
        <v/>
      </c>
      <c r="D14499">
        <f>TEST_DATA!D14499</f>
        <v/>
      </c>
      <c r="E14499">
        <f>TEST_DATA!E14499</f>
        <v/>
      </c>
    </row>
    <row r="14500">
      <c r="A14500">
        <f>TEST_DATA!A14500</f>
        <v/>
      </c>
      <c r="B14500">
        <f>TEST_DATA!B14500</f>
        <v/>
      </c>
      <c r="C14500">
        <f>TEST_DATA!C14500</f>
        <v/>
      </c>
      <c r="D14500">
        <f>TEST_DATA!D14500</f>
        <v/>
      </c>
      <c r="E14500">
        <f>TEST_DATA!E14500</f>
        <v/>
      </c>
    </row>
    <row r="14501">
      <c r="A14501">
        <f>TEST_DATA!A14501</f>
        <v/>
      </c>
      <c r="B14501">
        <f>TEST_DATA!B14501</f>
        <v/>
      </c>
      <c r="C14501">
        <f>TEST_DATA!C14501</f>
        <v/>
      </c>
      <c r="D14501">
        <f>TEST_DATA!D14501</f>
        <v/>
      </c>
      <c r="E14501">
        <f>TEST_DATA!E14501</f>
        <v/>
      </c>
    </row>
    <row r="14502">
      <c r="A14502">
        <f>TEST_DATA!A14502</f>
        <v/>
      </c>
      <c r="B14502">
        <f>TEST_DATA!B14502</f>
        <v/>
      </c>
      <c r="C14502">
        <f>TEST_DATA!C14502</f>
        <v/>
      </c>
      <c r="D14502">
        <f>TEST_DATA!D14502</f>
        <v/>
      </c>
      <c r="E14502">
        <f>TEST_DATA!E14502</f>
        <v/>
      </c>
    </row>
    <row r="14503">
      <c r="A14503">
        <f>TEST_DATA!A14503</f>
        <v/>
      </c>
      <c r="B14503">
        <f>TEST_DATA!B14503</f>
        <v/>
      </c>
      <c r="C14503">
        <f>TEST_DATA!C14503</f>
        <v/>
      </c>
      <c r="D14503">
        <f>TEST_DATA!D14503</f>
        <v/>
      </c>
      <c r="E14503">
        <f>TEST_DATA!E14503</f>
        <v/>
      </c>
    </row>
    <row r="14504">
      <c r="A14504">
        <f>TEST_DATA!A14504</f>
        <v/>
      </c>
      <c r="B14504">
        <f>TEST_DATA!B14504</f>
        <v/>
      </c>
      <c r="C14504">
        <f>TEST_DATA!C14504</f>
        <v/>
      </c>
      <c r="D14504">
        <f>TEST_DATA!D14504</f>
        <v/>
      </c>
      <c r="E14504">
        <f>TEST_DATA!E14504</f>
        <v/>
      </c>
    </row>
    <row r="14505">
      <c r="A14505">
        <f>TEST_DATA!A14505</f>
        <v/>
      </c>
      <c r="B14505">
        <f>TEST_DATA!B14505</f>
        <v/>
      </c>
      <c r="C14505">
        <f>TEST_DATA!C14505</f>
        <v/>
      </c>
      <c r="D14505">
        <f>TEST_DATA!D14505</f>
        <v/>
      </c>
      <c r="E14505">
        <f>TEST_DATA!E14505</f>
        <v/>
      </c>
    </row>
    <row r="14506">
      <c r="A14506">
        <f>TEST_DATA!A14506</f>
        <v/>
      </c>
      <c r="B14506">
        <f>TEST_DATA!B14506</f>
        <v/>
      </c>
      <c r="C14506">
        <f>TEST_DATA!C14506</f>
        <v/>
      </c>
      <c r="D14506">
        <f>TEST_DATA!D14506</f>
        <v/>
      </c>
      <c r="E14506">
        <f>TEST_DATA!E14506</f>
        <v/>
      </c>
    </row>
    <row r="14507">
      <c r="A14507">
        <f>TEST_DATA!A14507</f>
        <v/>
      </c>
      <c r="B14507">
        <f>TEST_DATA!B14507</f>
        <v/>
      </c>
      <c r="C14507">
        <f>TEST_DATA!C14507</f>
        <v/>
      </c>
      <c r="D14507">
        <f>TEST_DATA!D14507</f>
        <v/>
      </c>
      <c r="E14507">
        <f>TEST_DATA!E14507</f>
        <v/>
      </c>
    </row>
    <row r="14508">
      <c r="A14508">
        <f>TEST_DATA!A14508</f>
        <v/>
      </c>
      <c r="B14508">
        <f>TEST_DATA!B14508</f>
        <v/>
      </c>
      <c r="C14508">
        <f>TEST_DATA!C14508</f>
        <v/>
      </c>
      <c r="D14508">
        <f>TEST_DATA!D14508</f>
        <v/>
      </c>
      <c r="E14508">
        <f>TEST_DATA!E14508</f>
        <v/>
      </c>
    </row>
    <row r="14509">
      <c r="A14509">
        <f>TEST_DATA!A14509</f>
        <v/>
      </c>
      <c r="B14509">
        <f>TEST_DATA!B14509</f>
        <v/>
      </c>
      <c r="C14509">
        <f>TEST_DATA!C14509</f>
        <v/>
      </c>
      <c r="D14509">
        <f>TEST_DATA!D14509</f>
        <v/>
      </c>
      <c r="E14509">
        <f>TEST_DATA!E14509</f>
        <v/>
      </c>
    </row>
    <row r="14510">
      <c r="A14510">
        <f>TEST_DATA!A14510</f>
        <v/>
      </c>
      <c r="B14510">
        <f>TEST_DATA!B14510</f>
        <v/>
      </c>
      <c r="C14510">
        <f>TEST_DATA!C14510</f>
        <v/>
      </c>
      <c r="D14510">
        <f>TEST_DATA!D14510</f>
        <v/>
      </c>
      <c r="E14510">
        <f>TEST_DATA!E14510</f>
        <v/>
      </c>
    </row>
    <row r="14511">
      <c r="A14511">
        <f>TEST_DATA!A14511</f>
        <v/>
      </c>
      <c r="B14511">
        <f>TEST_DATA!B14511</f>
        <v/>
      </c>
      <c r="C14511">
        <f>TEST_DATA!C14511</f>
        <v/>
      </c>
      <c r="D14511">
        <f>TEST_DATA!D14511</f>
        <v/>
      </c>
      <c r="E14511">
        <f>TEST_DATA!E14511</f>
        <v/>
      </c>
    </row>
    <row r="14512">
      <c r="A14512">
        <f>TEST_DATA!A14512</f>
        <v/>
      </c>
      <c r="B14512">
        <f>TEST_DATA!B14512</f>
        <v/>
      </c>
      <c r="C14512">
        <f>TEST_DATA!C14512</f>
        <v/>
      </c>
      <c r="D14512">
        <f>TEST_DATA!D14512</f>
        <v/>
      </c>
      <c r="E14512">
        <f>TEST_DATA!E14512</f>
        <v/>
      </c>
    </row>
    <row r="14513">
      <c r="A14513">
        <f>TEST_DATA!A14513</f>
        <v/>
      </c>
      <c r="B14513">
        <f>TEST_DATA!B14513</f>
        <v/>
      </c>
      <c r="C14513">
        <f>TEST_DATA!C14513</f>
        <v/>
      </c>
      <c r="D14513">
        <f>TEST_DATA!D14513</f>
        <v/>
      </c>
      <c r="E14513">
        <f>TEST_DATA!E14513</f>
        <v/>
      </c>
    </row>
    <row r="14514">
      <c r="A14514">
        <f>TEST_DATA!A14514</f>
        <v/>
      </c>
      <c r="B14514">
        <f>TEST_DATA!B14514</f>
        <v/>
      </c>
      <c r="C14514">
        <f>TEST_DATA!C14514</f>
        <v/>
      </c>
      <c r="D14514">
        <f>TEST_DATA!D14514</f>
        <v/>
      </c>
      <c r="E14514">
        <f>TEST_DATA!E14514</f>
        <v/>
      </c>
    </row>
    <row r="14515">
      <c r="A14515">
        <f>TEST_DATA!A14515</f>
        <v/>
      </c>
      <c r="B14515">
        <f>TEST_DATA!B14515</f>
        <v/>
      </c>
      <c r="C14515">
        <f>TEST_DATA!C14515</f>
        <v/>
      </c>
      <c r="D14515">
        <f>TEST_DATA!D14515</f>
        <v/>
      </c>
      <c r="E14515">
        <f>TEST_DATA!E14515</f>
        <v/>
      </c>
    </row>
    <row r="14516">
      <c r="A14516">
        <f>TEST_DATA!A14516</f>
        <v/>
      </c>
      <c r="B14516">
        <f>TEST_DATA!B14516</f>
        <v/>
      </c>
      <c r="C14516">
        <f>TEST_DATA!C14516</f>
        <v/>
      </c>
      <c r="D14516">
        <f>TEST_DATA!D14516</f>
        <v/>
      </c>
      <c r="E14516">
        <f>TEST_DATA!E14516</f>
        <v/>
      </c>
    </row>
    <row r="14517">
      <c r="A14517">
        <f>TEST_DATA!A14517</f>
        <v/>
      </c>
      <c r="B14517">
        <f>TEST_DATA!B14517</f>
        <v/>
      </c>
      <c r="C14517">
        <f>TEST_DATA!C14517</f>
        <v/>
      </c>
      <c r="D14517">
        <f>TEST_DATA!D14517</f>
        <v/>
      </c>
      <c r="E14517">
        <f>TEST_DATA!E14517</f>
        <v/>
      </c>
    </row>
    <row r="14518">
      <c r="A14518">
        <f>TEST_DATA!A14518</f>
        <v/>
      </c>
      <c r="B14518">
        <f>TEST_DATA!B14518</f>
        <v/>
      </c>
      <c r="C14518">
        <f>TEST_DATA!C14518</f>
        <v/>
      </c>
      <c r="D14518">
        <f>TEST_DATA!D14518</f>
        <v/>
      </c>
      <c r="E14518">
        <f>TEST_DATA!E14518</f>
        <v/>
      </c>
    </row>
    <row r="14519">
      <c r="A14519">
        <f>TEST_DATA!A14519</f>
        <v/>
      </c>
      <c r="B14519">
        <f>TEST_DATA!B14519</f>
        <v/>
      </c>
      <c r="C14519">
        <f>TEST_DATA!C14519</f>
        <v/>
      </c>
      <c r="D14519">
        <f>TEST_DATA!D14519</f>
        <v/>
      </c>
      <c r="E14519">
        <f>TEST_DATA!E14519</f>
        <v/>
      </c>
    </row>
    <row r="14520">
      <c r="A14520">
        <f>TEST_DATA!A14520</f>
        <v/>
      </c>
      <c r="B14520">
        <f>TEST_DATA!B14520</f>
        <v/>
      </c>
      <c r="C14520">
        <f>TEST_DATA!C14520</f>
        <v/>
      </c>
      <c r="D14520">
        <f>TEST_DATA!D14520</f>
        <v/>
      </c>
      <c r="E14520">
        <f>TEST_DATA!E14520</f>
        <v/>
      </c>
    </row>
    <row r="14521">
      <c r="A14521">
        <f>TEST_DATA!A14521</f>
        <v/>
      </c>
      <c r="B14521">
        <f>TEST_DATA!B14521</f>
        <v/>
      </c>
      <c r="C14521">
        <f>TEST_DATA!C14521</f>
        <v/>
      </c>
      <c r="D14521">
        <f>TEST_DATA!D14521</f>
        <v/>
      </c>
      <c r="E14521">
        <f>TEST_DATA!E14521</f>
        <v/>
      </c>
    </row>
    <row r="14522">
      <c r="A14522">
        <f>TEST_DATA!A14522</f>
        <v/>
      </c>
      <c r="B14522">
        <f>TEST_DATA!B14522</f>
        <v/>
      </c>
      <c r="C14522">
        <f>TEST_DATA!C14522</f>
        <v/>
      </c>
      <c r="D14522">
        <f>TEST_DATA!D14522</f>
        <v/>
      </c>
      <c r="E14522">
        <f>TEST_DATA!E14522</f>
        <v/>
      </c>
    </row>
    <row r="14523">
      <c r="A14523">
        <f>TEST_DATA!A14523</f>
        <v/>
      </c>
      <c r="B14523">
        <f>TEST_DATA!B14523</f>
        <v/>
      </c>
      <c r="C14523">
        <f>TEST_DATA!C14523</f>
        <v/>
      </c>
      <c r="D14523">
        <f>TEST_DATA!D14523</f>
        <v/>
      </c>
      <c r="E14523">
        <f>TEST_DATA!E14523</f>
        <v/>
      </c>
    </row>
    <row r="14524">
      <c r="A14524">
        <f>TEST_DATA!A14524</f>
        <v/>
      </c>
      <c r="B14524">
        <f>TEST_DATA!B14524</f>
        <v/>
      </c>
      <c r="C14524">
        <f>TEST_DATA!C14524</f>
        <v/>
      </c>
      <c r="D14524">
        <f>TEST_DATA!D14524</f>
        <v/>
      </c>
      <c r="E14524">
        <f>TEST_DATA!E14524</f>
        <v/>
      </c>
    </row>
    <row r="14525">
      <c r="A14525">
        <f>TEST_DATA!A14525</f>
        <v/>
      </c>
      <c r="B14525">
        <f>TEST_DATA!B14525</f>
        <v/>
      </c>
      <c r="C14525">
        <f>TEST_DATA!C14525</f>
        <v/>
      </c>
      <c r="D14525">
        <f>TEST_DATA!D14525</f>
        <v/>
      </c>
      <c r="E14525">
        <f>TEST_DATA!E14525</f>
        <v/>
      </c>
    </row>
    <row r="14526">
      <c r="A14526">
        <f>TEST_DATA!A14526</f>
        <v/>
      </c>
      <c r="B14526">
        <f>TEST_DATA!B14526</f>
        <v/>
      </c>
      <c r="C14526">
        <f>TEST_DATA!C14526</f>
        <v/>
      </c>
      <c r="D14526">
        <f>TEST_DATA!D14526</f>
        <v/>
      </c>
      <c r="E14526">
        <f>TEST_DATA!E14526</f>
        <v/>
      </c>
    </row>
    <row r="14527">
      <c r="A14527">
        <f>TEST_DATA!A14527</f>
        <v/>
      </c>
      <c r="B14527">
        <f>TEST_DATA!B14527</f>
        <v/>
      </c>
      <c r="C14527">
        <f>TEST_DATA!C14527</f>
        <v/>
      </c>
      <c r="D14527">
        <f>TEST_DATA!D14527</f>
        <v/>
      </c>
      <c r="E14527">
        <f>TEST_DATA!E14527</f>
        <v/>
      </c>
    </row>
    <row r="14528">
      <c r="A14528">
        <f>TEST_DATA!A14528</f>
        <v/>
      </c>
      <c r="B14528">
        <f>TEST_DATA!B14528</f>
        <v/>
      </c>
      <c r="C14528">
        <f>TEST_DATA!C14528</f>
        <v/>
      </c>
      <c r="D14528">
        <f>TEST_DATA!D14528</f>
        <v/>
      </c>
      <c r="E14528">
        <f>TEST_DATA!E14528</f>
        <v/>
      </c>
    </row>
    <row r="14529">
      <c r="A14529">
        <f>TEST_DATA!A14529</f>
        <v/>
      </c>
      <c r="B14529">
        <f>TEST_DATA!B14529</f>
        <v/>
      </c>
      <c r="C14529">
        <f>TEST_DATA!C14529</f>
        <v/>
      </c>
      <c r="D14529">
        <f>TEST_DATA!D14529</f>
        <v/>
      </c>
      <c r="E14529">
        <f>TEST_DATA!E14529</f>
        <v/>
      </c>
    </row>
    <row r="14530">
      <c r="A14530">
        <f>TEST_DATA!A14530</f>
        <v/>
      </c>
      <c r="B14530">
        <f>TEST_DATA!B14530</f>
        <v/>
      </c>
      <c r="C14530">
        <f>TEST_DATA!C14530</f>
        <v/>
      </c>
      <c r="D14530">
        <f>TEST_DATA!D14530</f>
        <v/>
      </c>
      <c r="E14530">
        <f>TEST_DATA!E14530</f>
        <v/>
      </c>
    </row>
    <row r="14531">
      <c r="A14531">
        <f>TEST_DATA!A14531</f>
        <v/>
      </c>
      <c r="B14531">
        <f>TEST_DATA!B14531</f>
        <v/>
      </c>
      <c r="C14531">
        <f>TEST_DATA!C14531</f>
        <v/>
      </c>
      <c r="D14531">
        <f>TEST_DATA!D14531</f>
        <v/>
      </c>
      <c r="E14531">
        <f>TEST_DATA!E14531</f>
        <v/>
      </c>
    </row>
    <row r="14532">
      <c r="A14532">
        <f>TEST_DATA!A14532</f>
        <v/>
      </c>
      <c r="B14532">
        <f>TEST_DATA!B14532</f>
        <v/>
      </c>
      <c r="C14532">
        <f>TEST_DATA!C14532</f>
        <v/>
      </c>
      <c r="D14532">
        <f>TEST_DATA!D14532</f>
        <v/>
      </c>
      <c r="E14532">
        <f>TEST_DATA!E14532</f>
        <v/>
      </c>
    </row>
    <row r="14533">
      <c r="A14533">
        <f>TEST_DATA!A14533</f>
        <v/>
      </c>
      <c r="B14533">
        <f>TEST_DATA!B14533</f>
        <v/>
      </c>
      <c r="C14533">
        <f>TEST_DATA!C14533</f>
        <v/>
      </c>
      <c r="D14533">
        <f>TEST_DATA!D14533</f>
        <v/>
      </c>
      <c r="E14533">
        <f>TEST_DATA!E14533</f>
        <v/>
      </c>
    </row>
    <row r="14534">
      <c r="A14534">
        <f>TEST_DATA!A14534</f>
        <v/>
      </c>
      <c r="B14534">
        <f>TEST_DATA!B14534</f>
        <v/>
      </c>
      <c r="C14534">
        <f>TEST_DATA!C14534</f>
        <v/>
      </c>
      <c r="D14534">
        <f>TEST_DATA!D14534</f>
        <v/>
      </c>
      <c r="E14534">
        <f>TEST_DATA!E14534</f>
        <v/>
      </c>
    </row>
    <row r="14535">
      <c r="A14535">
        <f>TEST_DATA!A14535</f>
        <v/>
      </c>
      <c r="B14535">
        <f>TEST_DATA!B14535</f>
        <v/>
      </c>
      <c r="C14535">
        <f>TEST_DATA!C14535</f>
        <v/>
      </c>
      <c r="D14535">
        <f>TEST_DATA!D14535</f>
        <v/>
      </c>
      <c r="E14535">
        <f>TEST_DATA!E14535</f>
        <v/>
      </c>
    </row>
    <row r="14536">
      <c r="A14536">
        <f>TEST_DATA!A14536</f>
        <v/>
      </c>
      <c r="B14536">
        <f>TEST_DATA!B14536</f>
        <v/>
      </c>
      <c r="C14536">
        <f>TEST_DATA!C14536</f>
        <v/>
      </c>
      <c r="D14536">
        <f>TEST_DATA!D14536</f>
        <v/>
      </c>
      <c r="E14536">
        <f>TEST_DATA!E14536</f>
        <v/>
      </c>
    </row>
    <row r="14537">
      <c r="A14537">
        <f>TEST_DATA!A14537</f>
        <v/>
      </c>
      <c r="B14537">
        <f>TEST_DATA!B14537</f>
        <v/>
      </c>
      <c r="C14537">
        <f>TEST_DATA!C14537</f>
        <v/>
      </c>
      <c r="D14537">
        <f>TEST_DATA!D14537</f>
        <v/>
      </c>
      <c r="E14537">
        <f>TEST_DATA!E14537</f>
        <v/>
      </c>
    </row>
    <row r="14538">
      <c r="A14538">
        <f>TEST_DATA!A14538</f>
        <v/>
      </c>
      <c r="B14538">
        <f>TEST_DATA!B14538</f>
        <v/>
      </c>
      <c r="C14538">
        <f>TEST_DATA!C14538</f>
        <v/>
      </c>
      <c r="D14538">
        <f>TEST_DATA!D14538</f>
        <v/>
      </c>
      <c r="E14538">
        <f>TEST_DATA!E14538</f>
        <v/>
      </c>
    </row>
    <row r="14539">
      <c r="A14539">
        <f>TEST_DATA!A14539</f>
        <v/>
      </c>
      <c r="B14539">
        <f>TEST_DATA!B14539</f>
        <v/>
      </c>
      <c r="C14539">
        <f>TEST_DATA!C14539</f>
        <v/>
      </c>
      <c r="D14539">
        <f>TEST_DATA!D14539</f>
        <v/>
      </c>
      <c r="E14539">
        <f>TEST_DATA!E14539</f>
        <v/>
      </c>
    </row>
    <row r="14540">
      <c r="A14540">
        <f>TEST_DATA!A14540</f>
        <v/>
      </c>
      <c r="B14540">
        <f>TEST_DATA!B14540</f>
        <v/>
      </c>
      <c r="C14540">
        <f>TEST_DATA!C14540</f>
        <v/>
      </c>
      <c r="D14540">
        <f>TEST_DATA!D14540</f>
        <v/>
      </c>
      <c r="E14540">
        <f>TEST_DATA!E14540</f>
        <v/>
      </c>
    </row>
    <row r="14541">
      <c r="A14541">
        <f>TEST_DATA!A14541</f>
        <v/>
      </c>
      <c r="B14541">
        <f>TEST_DATA!B14541</f>
        <v/>
      </c>
      <c r="C14541">
        <f>TEST_DATA!C14541</f>
        <v/>
      </c>
      <c r="D14541">
        <f>TEST_DATA!D14541</f>
        <v/>
      </c>
      <c r="E14541">
        <f>TEST_DATA!E14541</f>
        <v/>
      </c>
    </row>
    <row r="14542">
      <c r="A14542">
        <f>TEST_DATA!A14542</f>
        <v/>
      </c>
      <c r="B14542">
        <f>TEST_DATA!B14542</f>
        <v/>
      </c>
      <c r="C14542">
        <f>TEST_DATA!C14542</f>
        <v/>
      </c>
      <c r="D14542">
        <f>TEST_DATA!D14542</f>
        <v/>
      </c>
      <c r="E14542">
        <f>TEST_DATA!E14542</f>
        <v/>
      </c>
    </row>
    <row r="14543">
      <c r="A14543">
        <f>TEST_DATA!A14543</f>
        <v/>
      </c>
      <c r="B14543">
        <f>TEST_DATA!B14543</f>
        <v/>
      </c>
      <c r="C14543">
        <f>TEST_DATA!C14543</f>
        <v/>
      </c>
      <c r="D14543">
        <f>TEST_DATA!D14543</f>
        <v/>
      </c>
      <c r="E14543">
        <f>TEST_DATA!E14543</f>
        <v/>
      </c>
    </row>
    <row r="14544">
      <c r="A14544">
        <f>TEST_DATA!A14544</f>
        <v/>
      </c>
      <c r="B14544">
        <f>TEST_DATA!B14544</f>
        <v/>
      </c>
      <c r="C14544">
        <f>TEST_DATA!C14544</f>
        <v/>
      </c>
      <c r="D14544">
        <f>TEST_DATA!D14544</f>
        <v/>
      </c>
      <c r="E14544">
        <f>TEST_DATA!E14544</f>
        <v/>
      </c>
    </row>
    <row r="14545">
      <c r="A14545">
        <f>TEST_DATA!A14545</f>
        <v/>
      </c>
      <c r="B14545">
        <f>TEST_DATA!B14545</f>
        <v/>
      </c>
      <c r="C14545">
        <f>TEST_DATA!C14545</f>
        <v/>
      </c>
      <c r="D14545">
        <f>TEST_DATA!D14545</f>
        <v/>
      </c>
      <c r="E14545">
        <f>TEST_DATA!E14545</f>
        <v/>
      </c>
    </row>
    <row r="14546">
      <c r="A14546">
        <f>TEST_DATA!A14546</f>
        <v/>
      </c>
      <c r="B14546">
        <f>TEST_DATA!B14546</f>
        <v/>
      </c>
      <c r="C14546">
        <f>TEST_DATA!C14546</f>
        <v/>
      </c>
      <c r="D14546">
        <f>TEST_DATA!D14546</f>
        <v/>
      </c>
      <c r="E14546">
        <f>TEST_DATA!E14546</f>
        <v/>
      </c>
    </row>
    <row r="14547">
      <c r="A14547">
        <f>TEST_DATA!A14547</f>
        <v/>
      </c>
      <c r="B14547">
        <f>TEST_DATA!B14547</f>
        <v/>
      </c>
      <c r="C14547">
        <f>TEST_DATA!C14547</f>
        <v/>
      </c>
      <c r="D14547">
        <f>TEST_DATA!D14547</f>
        <v/>
      </c>
      <c r="E14547">
        <f>TEST_DATA!E14547</f>
        <v/>
      </c>
    </row>
    <row r="14548">
      <c r="A14548">
        <f>TEST_DATA!A14548</f>
        <v/>
      </c>
      <c r="B14548">
        <f>TEST_DATA!B14548</f>
        <v/>
      </c>
      <c r="C14548">
        <f>TEST_DATA!C14548</f>
        <v/>
      </c>
      <c r="D14548">
        <f>TEST_DATA!D14548</f>
        <v/>
      </c>
      <c r="E14548">
        <f>TEST_DATA!E14548</f>
        <v/>
      </c>
    </row>
    <row r="14549">
      <c r="A14549">
        <f>TEST_DATA!A14549</f>
        <v/>
      </c>
      <c r="B14549">
        <f>TEST_DATA!B14549</f>
        <v/>
      </c>
      <c r="C14549">
        <f>TEST_DATA!C14549</f>
        <v/>
      </c>
      <c r="D14549">
        <f>TEST_DATA!D14549</f>
        <v/>
      </c>
      <c r="E14549">
        <f>TEST_DATA!E14549</f>
        <v/>
      </c>
    </row>
    <row r="14550">
      <c r="A14550">
        <f>TEST_DATA!A14550</f>
        <v/>
      </c>
      <c r="B14550">
        <f>TEST_DATA!B14550</f>
        <v/>
      </c>
      <c r="C14550">
        <f>TEST_DATA!C14550</f>
        <v/>
      </c>
      <c r="D14550">
        <f>TEST_DATA!D14550</f>
        <v/>
      </c>
      <c r="E14550">
        <f>TEST_DATA!E14550</f>
        <v/>
      </c>
    </row>
    <row r="14551">
      <c r="A14551">
        <f>TEST_DATA!A14551</f>
        <v/>
      </c>
      <c r="B14551">
        <f>TEST_DATA!B14551</f>
        <v/>
      </c>
      <c r="C14551">
        <f>TEST_DATA!C14551</f>
        <v/>
      </c>
      <c r="D14551">
        <f>TEST_DATA!D14551</f>
        <v/>
      </c>
      <c r="E14551">
        <f>TEST_DATA!E14551</f>
        <v/>
      </c>
    </row>
    <row r="14552">
      <c r="A14552">
        <f>TEST_DATA!A14552</f>
        <v/>
      </c>
      <c r="B14552">
        <f>TEST_DATA!B14552</f>
        <v/>
      </c>
      <c r="C14552">
        <f>TEST_DATA!C14552</f>
        <v/>
      </c>
      <c r="D14552">
        <f>TEST_DATA!D14552</f>
        <v/>
      </c>
      <c r="E14552">
        <f>TEST_DATA!E14552</f>
        <v/>
      </c>
    </row>
    <row r="14553">
      <c r="A14553">
        <f>TEST_DATA!A14553</f>
        <v/>
      </c>
      <c r="B14553">
        <f>TEST_DATA!B14553</f>
        <v/>
      </c>
      <c r="C14553">
        <f>TEST_DATA!C14553</f>
        <v/>
      </c>
      <c r="D14553">
        <f>TEST_DATA!D14553</f>
        <v/>
      </c>
      <c r="E14553">
        <f>TEST_DATA!E14553</f>
        <v/>
      </c>
    </row>
    <row r="14554">
      <c r="A14554">
        <f>TEST_DATA!A14554</f>
        <v/>
      </c>
      <c r="B14554">
        <f>TEST_DATA!B14554</f>
        <v/>
      </c>
      <c r="C14554">
        <f>TEST_DATA!C14554</f>
        <v/>
      </c>
      <c r="D14554">
        <f>TEST_DATA!D14554</f>
        <v/>
      </c>
      <c r="E14554">
        <f>TEST_DATA!E14554</f>
        <v/>
      </c>
    </row>
    <row r="14555">
      <c r="A14555">
        <f>TEST_DATA!A14555</f>
        <v/>
      </c>
      <c r="B14555">
        <f>TEST_DATA!B14555</f>
        <v/>
      </c>
      <c r="C14555">
        <f>TEST_DATA!C14555</f>
        <v/>
      </c>
      <c r="D14555">
        <f>TEST_DATA!D14555</f>
        <v/>
      </c>
      <c r="E14555">
        <f>TEST_DATA!E14555</f>
        <v/>
      </c>
    </row>
    <row r="14556">
      <c r="A14556">
        <f>TEST_DATA!A14556</f>
        <v/>
      </c>
      <c r="B14556">
        <f>TEST_DATA!B14556</f>
        <v/>
      </c>
      <c r="C14556">
        <f>TEST_DATA!C14556</f>
        <v/>
      </c>
      <c r="D14556">
        <f>TEST_DATA!D14556</f>
        <v/>
      </c>
      <c r="E14556">
        <f>TEST_DATA!E14556</f>
        <v/>
      </c>
    </row>
    <row r="14557">
      <c r="A14557">
        <f>TEST_DATA!A14557</f>
        <v/>
      </c>
      <c r="B14557">
        <f>TEST_DATA!B14557</f>
        <v/>
      </c>
      <c r="C14557">
        <f>TEST_DATA!C14557</f>
        <v/>
      </c>
      <c r="D14557">
        <f>TEST_DATA!D14557</f>
        <v/>
      </c>
      <c r="E14557">
        <f>TEST_DATA!E14557</f>
        <v/>
      </c>
    </row>
    <row r="14558">
      <c r="A14558">
        <f>TEST_DATA!A14558</f>
        <v/>
      </c>
      <c r="B14558">
        <f>TEST_DATA!B14558</f>
        <v/>
      </c>
      <c r="C14558">
        <f>TEST_DATA!C14558</f>
        <v/>
      </c>
      <c r="D14558">
        <f>TEST_DATA!D14558</f>
        <v/>
      </c>
      <c r="E14558">
        <f>TEST_DATA!E14558</f>
        <v/>
      </c>
    </row>
    <row r="14559">
      <c r="A14559">
        <f>TEST_DATA!A14559</f>
        <v/>
      </c>
      <c r="B14559">
        <f>TEST_DATA!B14559</f>
        <v/>
      </c>
      <c r="C14559">
        <f>TEST_DATA!C14559</f>
        <v/>
      </c>
      <c r="D14559">
        <f>TEST_DATA!D14559</f>
        <v/>
      </c>
      <c r="E14559">
        <f>TEST_DATA!E14559</f>
        <v/>
      </c>
    </row>
    <row r="14560">
      <c r="A14560">
        <f>TEST_DATA!A14560</f>
        <v/>
      </c>
      <c r="B14560">
        <f>TEST_DATA!B14560</f>
        <v/>
      </c>
      <c r="C14560">
        <f>TEST_DATA!C14560</f>
        <v/>
      </c>
      <c r="D14560">
        <f>TEST_DATA!D14560</f>
        <v/>
      </c>
      <c r="E14560">
        <f>TEST_DATA!E14560</f>
        <v/>
      </c>
    </row>
    <row r="14561">
      <c r="A14561">
        <f>TEST_DATA!A14561</f>
        <v/>
      </c>
      <c r="B14561">
        <f>TEST_DATA!B14561</f>
        <v/>
      </c>
      <c r="C14561">
        <f>TEST_DATA!C14561</f>
        <v/>
      </c>
      <c r="D14561">
        <f>TEST_DATA!D14561</f>
        <v/>
      </c>
      <c r="E14561">
        <f>TEST_DATA!E14561</f>
        <v/>
      </c>
    </row>
    <row r="14562">
      <c r="A14562">
        <f>TEST_DATA!A14562</f>
        <v/>
      </c>
      <c r="B14562">
        <f>TEST_DATA!B14562</f>
        <v/>
      </c>
      <c r="C14562">
        <f>TEST_DATA!C14562</f>
        <v/>
      </c>
      <c r="D14562">
        <f>TEST_DATA!D14562</f>
        <v/>
      </c>
      <c r="E14562">
        <f>TEST_DATA!E14562</f>
        <v/>
      </c>
    </row>
    <row r="14563">
      <c r="A14563">
        <f>TEST_DATA!A14563</f>
        <v/>
      </c>
      <c r="B14563">
        <f>TEST_DATA!B14563</f>
        <v/>
      </c>
      <c r="C14563">
        <f>TEST_DATA!C14563</f>
        <v/>
      </c>
      <c r="D14563">
        <f>TEST_DATA!D14563</f>
        <v/>
      </c>
      <c r="E14563">
        <f>TEST_DATA!E14563</f>
        <v/>
      </c>
    </row>
    <row r="14564">
      <c r="A14564">
        <f>TEST_DATA!A14564</f>
        <v/>
      </c>
      <c r="B14564">
        <f>TEST_DATA!B14564</f>
        <v/>
      </c>
      <c r="C14564">
        <f>TEST_DATA!C14564</f>
        <v/>
      </c>
      <c r="D14564">
        <f>TEST_DATA!D14564</f>
        <v/>
      </c>
      <c r="E14564">
        <f>TEST_DATA!E14564</f>
        <v/>
      </c>
    </row>
    <row r="14565">
      <c r="A14565">
        <f>TEST_DATA!A14565</f>
        <v/>
      </c>
      <c r="B14565">
        <f>TEST_DATA!B14565</f>
        <v/>
      </c>
      <c r="C14565">
        <f>TEST_DATA!C14565</f>
        <v/>
      </c>
      <c r="D14565">
        <f>TEST_DATA!D14565</f>
        <v/>
      </c>
      <c r="E14565">
        <f>TEST_DATA!E14565</f>
        <v/>
      </c>
    </row>
    <row r="14566">
      <c r="A14566">
        <f>TEST_DATA!A14566</f>
        <v/>
      </c>
      <c r="B14566">
        <f>TEST_DATA!B14566</f>
        <v/>
      </c>
      <c r="C14566">
        <f>TEST_DATA!C14566</f>
        <v/>
      </c>
      <c r="D14566">
        <f>TEST_DATA!D14566</f>
        <v/>
      </c>
      <c r="E14566">
        <f>TEST_DATA!E14566</f>
        <v/>
      </c>
    </row>
    <row r="14567">
      <c r="A14567">
        <f>TEST_DATA!A14567</f>
        <v/>
      </c>
      <c r="B14567">
        <f>TEST_DATA!B14567</f>
        <v/>
      </c>
      <c r="C14567">
        <f>TEST_DATA!C14567</f>
        <v/>
      </c>
      <c r="D14567">
        <f>TEST_DATA!D14567</f>
        <v/>
      </c>
      <c r="E14567">
        <f>TEST_DATA!E14567</f>
        <v/>
      </c>
    </row>
    <row r="14568">
      <c r="A14568">
        <f>TEST_DATA!A14568</f>
        <v/>
      </c>
      <c r="B14568">
        <f>TEST_DATA!B14568</f>
        <v/>
      </c>
      <c r="C14568">
        <f>TEST_DATA!C14568</f>
        <v/>
      </c>
      <c r="D14568">
        <f>TEST_DATA!D14568</f>
        <v/>
      </c>
      <c r="E14568">
        <f>TEST_DATA!E14568</f>
        <v/>
      </c>
    </row>
    <row r="14569">
      <c r="A14569">
        <f>TEST_DATA!A14569</f>
        <v/>
      </c>
      <c r="B14569">
        <f>TEST_DATA!B14569</f>
        <v/>
      </c>
      <c r="C14569">
        <f>TEST_DATA!C14569</f>
        <v/>
      </c>
      <c r="D14569">
        <f>TEST_DATA!D14569</f>
        <v/>
      </c>
      <c r="E14569">
        <f>TEST_DATA!E14569</f>
        <v/>
      </c>
    </row>
    <row r="14570">
      <c r="A14570">
        <f>TEST_DATA!A14570</f>
        <v/>
      </c>
      <c r="B14570">
        <f>TEST_DATA!B14570</f>
        <v/>
      </c>
      <c r="C14570">
        <f>TEST_DATA!C14570</f>
        <v/>
      </c>
      <c r="D14570">
        <f>TEST_DATA!D14570</f>
        <v/>
      </c>
      <c r="E14570">
        <f>TEST_DATA!E14570</f>
        <v/>
      </c>
    </row>
    <row r="14571">
      <c r="A14571">
        <f>TEST_DATA!A14571</f>
        <v/>
      </c>
      <c r="B14571">
        <f>TEST_DATA!B14571</f>
        <v/>
      </c>
      <c r="C14571">
        <f>TEST_DATA!C14571</f>
        <v/>
      </c>
      <c r="D14571">
        <f>TEST_DATA!D14571</f>
        <v/>
      </c>
      <c r="E14571">
        <f>TEST_DATA!E14571</f>
        <v/>
      </c>
    </row>
    <row r="14572">
      <c r="A14572">
        <f>TEST_DATA!A14572</f>
        <v/>
      </c>
      <c r="B14572">
        <f>TEST_DATA!B14572</f>
        <v/>
      </c>
      <c r="C14572">
        <f>TEST_DATA!C14572</f>
        <v/>
      </c>
      <c r="D14572">
        <f>TEST_DATA!D14572</f>
        <v/>
      </c>
      <c r="E14572">
        <f>TEST_DATA!E14572</f>
        <v/>
      </c>
    </row>
    <row r="14573">
      <c r="A14573">
        <f>TEST_DATA!A14573</f>
        <v/>
      </c>
      <c r="B14573">
        <f>TEST_DATA!B14573</f>
        <v/>
      </c>
      <c r="C14573">
        <f>TEST_DATA!C14573</f>
        <v/>
      </c>
      <c r="D14573">
        <f>TEST_DATA!D14573</f>
        <v/>
      </c>
      <c r="E14573">
        <f>TEST_DATA!E14573</f>
        <v/>
      </c>
    </row>
    <row r="14574">
      <c r="A14574">
        <f>TEST_DATA!A14574</f>
        <v/>
      </c>
      <c r="B14574">
        <f>TEST_DATA!B14574</f>
        <v/>
      </c>
      <c r="C14574">
        <f>TEST_DATA!C14574</f>
        <v/>
      </c>
      <c r="D14574">
        <f>TEST_DATA!D14574</f>
        <v/>
      </c>
      <c r="E14574">
        <f>TEST_DATA!E14574</f>
        <v/>
      </c>
    </row>
    <row r="14575">
      <c r="A14575">
        <f>TEST_DATA!A14575</f>
        <v/>
      </c>
      <c r="B14575">
        <f>TEST_DATA!B14575</f>
        <v/>
      </c>
      <c r="C14575">
        <f>TEST_DATA!C14575</f>
        <v/>
      </c>
      <c r="D14575">
        <f>TEST_DATA!D14575</f>
        <v/>
      </c>
      <c r="E14575">
        <f>TEST_DATA!E14575</f>
        <v/>
      </c>
    </row>
    <row r="14576">
      <c r="A14576">
        <f>TEST_DATA!A14576</f>
        <v/>
      </c>
      <c r="B14576">
        <f>TEST_DATA!B14576</f>
        <v/>
      </c>
      <c r="C14576">
        <f>TEST_DATA!C14576</f>
        <v/>
      </c>
      <c r="D14576">
        <f>TEST_DATA!D14576</f>
        <v/>
      </c>
      <c r="E14576">
        <f>TEST_DATA!E14576</f>
        <v/>
      </c>
    </row>
    <row r="14577">
      <c r="A14577">
        <f>TEST_DATA!A14577</f>
        <v/>
      </c>
      <c r="B14577">
        <f>TEST_DATA!B14577</f>
        <v/>
      </c>
      <c r="C14577">
        <f>TEST_DATA!C14577</f>
        <v/>
      </c>
      <c r="D14577">
        <f>TEST_DATA!D14577</f>
        <v/>
      </c>
      <c r="E14577">
        <f>TEST_DATA!E14577</f>
        <v/>
      </c>
    </row>
    <row r="14578">
      <c r="A14578">
        <f>TEST_DATA!A14578</f>
        <v/>
      </c>
      <c r="B14578">
        <f>TEST_DATA!B14578</f>
        <v/>
      </c>
      <c r="C14578">
        <f>TEST_DATA!C14578</f>
        <v/>
      </c>
      <c r="D14578">
        <f>TEST_DATA!D14578</f>
        <v/>
      </c>
      <c r="E14578">
        <f>TEST_DATA!E14578</f>
        <v/>
      </c>
    </row>
    <row r="14579">
      <c r="A14579">
        <f>TEST_DATA!A14579</f>
        <v/>
      </c>
      <c r="B14579">
        <f>TEST_DATA!B14579</f>
        <v/>
      </c>
      <c r="C14579">
        <f>TEST_DATA!C14579</f>
        <v/>
      </c>
      <c r="D14579">
        <f>TEST_DATA!D14579</f>
        <v/>
      </c>
      <c r="E14579">
        <f>TEST_DATA!E14579</f>
        <v/>
      </c>
    </row>
    <row r="14580">
      <c r="A14580">
        <f>TEST_DATA!A14580</f>
        <v/>
      </c>
      <c r="B14580">
        <f>TEST_DATA!B14580</f>
        <v/>
      </c>
      <c r="C14580">
        <f>TEST_DATA!C14580</f>
        <v/>
      </c>
      <c r="D14580">
        <f>TEST_DATA!D14580</f>
        <v/>
      </c>
      <c r="E14580">
        <f>TEST_DATA!E14580</f>
        <v/>
      </c>
    </row>
    <row r="14581">
      <c r="A14581">
        <f>TEST_DATA!A14581</f>
        <v/>
      </c>
      <c r="B14581">
        <f>TEST_DATA!B14581</f>
        <v/>
      </c>
      <c r="C14581">
        <f>TEST_DATA!C14581</f>
        <v/>
      </c>
      <c r="D14581">
        <f>TEST_DATA!D14581</f>
        <v/>
      </c>
      <c r="E14581">
        <f>TEST_DATA!E14581</f>
        <v/>
      </c>
    </row>
    <row r="14582">
      <c r="A14582">
        <f>TEST_DATA!A14582</f>
        <v/>
      </c>
      <c r="B14582">
        <f>TEST_DATA!B14582</f>
        <v/>
      </c>
      <c r="C14582">
        <f>TEST_DATA!C14582</f>
        <v/>
      </c>
      <c r="D14582">
        <f>TEST_DATA!D14582</f>
        <v/>
      </c>
      <c r="E14582">
        <f>TEST_DATA!E14582</f>
        <v/>
      </c>
    </row>
    <row r="14583">
      <c r="A14583">
        <f>TEST_DATA!A14583</f>
        <v/>
      </c>
      <c r="B14583">
        <f>TEST_DATA!B14583</f>
        <v/>
      </c>
      <c r="C14583">
        <f>TEST_DATA!C14583</f>
        <v/>
      </c>
      <c r="D14583">
        <f>TEST_DATA!D14583</f>
        <v/>
      </c>
      <c r="E14583">
        <f>TEST_DATA!E14583</f>
        <v/>
      </c>
    </row>
    <row r="14584">
      <c r="A14584">
        <f>TEST_DATA!A14584</f>
        <v/>
      </c>
      <c r="B14584">
        <f>TEST_DATA!B14584</f>
        <v/>
      </c>
      <c r="C14584">
        <f>TEST_DATA!C14584</f>
        <v/>
      </c>
      <c r="D14584">
        <f>TEST_DATA!D14584</f>
        <v/>
      </c>
      <c r="E14584">
        <f>TEST_DATA!E14584</f>
        <v/>
      </c>
    </row>
    <row r="14585">
      <c r="A14585">
        <f>TEST_DATA!A14585</f>
        <v/>
      </c>
      <c r="B14585">
        <f>TEST_DATA!B14585</f>
        <v/>
      </c>
      <c r="C14585">
        <f>TEST_DATA!C14585</f>
        <v/>
      </c>
      <c r="D14585">
        <f>TEST_DATA!D14585</f>
        <v/>
      </c>
      <c r="E14585">
        <f>TEST_DATA!E14585</f>
        <v/>
      </c>
    </row>
    <row r="14586">
      <c r="A14586">
        <f>TEST_DATA!A14586</f>
        <v/>
      </c>
      <c r="B14586">
        <f>TEST_DATA!B14586</f>
        <v/>
      </c>
      <c r="C14586">
        <f>TEST_DATA!C14586</f>
        <v/>
      </c>
      <c r="D14586">
        <f>TEST_DATA!D14586</f>
        <v/>
      </c>
      <c r="E14586">
        <f>TEST_DATA!E14586</f>
        <v/>
      </c>
    </row>
    <row r="14587">
      <c r="A14587">
        <f>TEST_DATA!A14587</f>
        <v/>
      </c>
      <c r="B14587">
        <f>TEST_DATA!B14587</f>
        <v/>
      </c>
      <c r="C14587">
        <f>TEST_DATA!C14587</f>
        <v/>
      </c>
      <c r="D14587">
        <f>TEST_DATA!D14587</f>
        <v/>
      </c>
      <c r="E14587">
        <f>TEST_DATA!E14587</f>
        <v/>
      </c>
    </row>
    <row r="14588">
      <c r="A14588">
        <f>TEST_DATA!A14588</f>
        <v/>
      </c>
      <c r="B14588">
        <f>TEST_DATA!B14588</f>
        <v/>
      </c>
      <c r="C14588">
        <f>TEST_DATA!C14588</f>
        <v/>
      </c>
      <c r="D14588">
        <f>TEST_DATA!D14588</f>
        <v/>
      </c>
      <c r="E14588">
        <f>TEST_DATA!E14588</f>
        <v/>
      </c>
    </row>
    <row r="14589">
      <c r="A14589">
        <f>TEST_DATA!A14589</f>
        <v/>
      </c>
      <c r="B14589">
        <f>TEST_DATA!B14589</f>
        <v/>
      </c>
      <c r="C14589">
        <f>TEST_DATA!C14589</f>
        <v/>
      </c>
      <c r="D14589">
        <f>TEST_DATA!D14589</f>
        <v/>
      </c>
      <c r="E14589">
        <f>TEST_DATA!E14589</f>
        <v/>
      </c>
    </row>
    <row r="14590">
      <c r="A14590">
        <f>TEST_DATA!A14590</f>
        <v/>
      </c>
      <c r="B14590">
        <f>TEST_DATA!B14590</f>
        <v/>
      </c>
      <c r="C14590">
        <f>TEST_DATA!C14590</f>
        <v/>
      </c>
      <c r="D14590">
        <f>TEST_DATA!D14590</f>
        <v/>
      </c>
      <c r="E14590">
        <f>TEST_DATA!E14590</f>
        <v/>
      </c>
    </row>
    <row r="14591">
      <c r="A14591">
        <f>TEST_DATA!A14591</f>
        <v/>
      </c>
      <c r="B14591">
        <f>TEST_DATA!B14591</f>
        <v/>
      </c>
      <c r="C14591">
        <f>TEST_DATA!C14591</f>
        <v/>
      </c>
      <c r="D14591">
        <f>TEST_DATA!D14591</f>
        <v/>
      </c>
      <c r="E14591">
        <f>TEST_DATA!E14591</f>
        <v/>
      </c>
    </row>
    <row r="14592">
      <c r="A14592">
        <f>TEST_DATA!A14592</f>
        <v/>
      </c>
      <c r="B14592">
        <f>TEST_DATA!B14592</f>
        <v/>
      </c>
      <c r="C14592">
        <f>TEST_DATA!C14592</f>
        <v/>
      </c>
      <c r="D14592">
        <f>TEST_DATA!D14592</f>
        <v/>
      </c>
      <c r="E14592">
        <f>TEST_DATA!E14592</f>
        <v/>
      </c>
    </row>
    <row r="14593">
      <c r="A14593">
        <f>TEST_DATA!A14593</f>
        <v/>
      </c>
      <c r="B14593">
        <f>TEST_DATA!B14593</f>
        <v/>
      </c>
      <c r="C14593">
        <f>TEST_DATA!C14593</f>
        <v/>
      </c>
      <c r="D14593">
        <f>TEST_DATA!D14593</f>
        <v/>
      </c>
      <c r="E14593">
        <f>TEST_DATA!E14593</f>
        <v/>
      </c>
    </row>
    <row r="14594">
      <c r="A14594">
        <f>TEST_DATA!A14594</f>
        <v/>
      </c>
      <c r="B14594">
        <f>TEST_DATA!B14594</f>
        <v/>
      </c>
      <c r="C14594">
        <f>TEST_DATA!C14594</f>
        <v/>
      </c>
      <c r="D14594">
        <f>TEST_DATA!D14594</f>
        <v/>
      </c>
      <c r="E14594">
        <f>TEST_DATA!E14594</f>
        <v/>
      </c>
    </row>
    <row r="14595">
      <c r="A14595">
        <f>TEST_DATA!A14595</f>
        <v/>
      </c>
      <c r="B14595">
        <f>TEST_DATA!B14595</f>
        <v/>
      </c>
      <c r="C14595">
        <f>TEST_DATA!C14595</f>
        <v/>
      </c>
      <c r="D14595">
        <f>TEST_DATA!D14595</f>
        <v/>
      </c>
      <c r="E14595">
        <f>TEST_DATA!E14595</f>
        <v/>
      </c>
    </row>
    <row r="14596">
      <c r="A14596">
        <f>TEST_DATA!A14596</f>
        <v/>
      </c>
      <c r="B14596">
        <f>TEST_DATA!B14596</f>
        <v/>
      </c>
      <c r="C14596">
        <f>TEST_DATA!C14596</f>
        <v/>
      </c>
      <c r="D14596">
        <f>TEST_DATA!D14596</f>
        <v/>
      </c>
      <c r="E14596">
        <f>TEST_DATA!E14596</f>
        <v/>
      </c>
    </row>
    <row r="14597">
      <c r="A14597">
        <f>TEST_DATA!A14597</f>
        <v/>
      </c>
      <c r="B14597">
        <f>TEST_DATA!B14597</f>
        <v/>
      </c>
      <c r="C14597">
        <f>TEST_DATA!C14597</f>
        <v/>
      </c>
      <c r="D14597">
        <f>TEST_DATA!D14597</f>
        <v/>
      </c>
      <c r="E14597">
        <f>TEST_DATA!E14597</f>
        <v/>
      </c>
    </row>
    <row r="14598">
      <c r="A14598">
        <f>TEST_DATA!A14598</f>
        <v/>
      </c>
      <c r="B14598">
        <f>TEST_DATA!B14598</f>
        <v/>
      </c>
      <c r="C14598">
        <f>TEST_DATA!C14598</f>
        <v/>
      </c>
      <c r="D14598">
        <f>TEST_DATA!D14598</f>
        <v/>
      </c>
      <c r="E14598">
        <f>TEST_DATA!E14598</f>
        <v/>
      </c>
    </row>
    <row r="14599">
      <c r="A14599">
        <f>TEST_DATA!A14599</f>
        <v/>
      </c>
      <c r="B14599">
        <f>TEST_DATA!B14599</f>
        <v/>
      </c>
      <c r="C14599">
        <f>TEST_DATA!C14599</f>
        <v/>
      </c>
      <c r="D14599">
        <f>TEST_DATA!D14599</f>
        <v/>
      </c>
      <c r="E14599">
        <f>TEST_DATA!E14599</f>
        <v/>
      </c>
    </row>
    <row r="14600">
      <c r="A14600">
        <f>TEST_DATA!A14600</f>
        <v/>
      </c>
      <c r="B14600">
        <f>TEST_DATA!B14600</f>
        <v/>
      </c>
      <c r="C14600">
        <f>TEST_DATA!C14600</f>
        <v/>
      </c>
      <c r="D14600">
        <f>TEST_DATA!D14600</f>
        <v/>
      </c>
      <c r="E14600">
        <f>TEST_DATA!E14600</f>
        <v/>
      </c>
    </row>
    <row r="14601">
      <c r="A14601">
        <f>TEST_DATA!A14601</f>
        <v/>
      </c>
      <c r="B14601">
        <f>TEST_DATA!B14601</f>
        <v/>
      </c>
      <c r="C14601">
        <f>TEST_DATA!C14601</f>
        <v/>
      </c>
      <c r="D14601">
        <f>TEST_DATA!D14601</f>
        <v/>
      </c>
      <c r="E14601">
        <f>TEST_DATA!E14601</f>
        <v/>
      </c>
    </row>
    <row r="14602">
      <c r="A14602">
        <f>TEST_DATA!A14602</f>
        <v/>
      </c>
      <c r="B14602">
        <f>TEST_DATA!B14602</f>
        <v/>
      </c>
      <c r="C14602">
        <f>TEST_DATA!C14602</f>
        <v/>
      </c>
      <c r="D14602">
        <f>TEST_DATA!D14602</f>
        <v/>
      </c>
      <c r="E14602">
        <f>TEST_DATA!E14602</f>
        <v/>
      </c>
    </row>
    <row r="14603">
      <c r="A14603">
        <f>TEST_DATA!A14603</f>
        <v/>
      </c>
      <c r="B14603">
        <f>TEST_DATA!B14603</f>
        <v/>
      </c>
      <c r="C14603">
        <f>TEST_DATA!C14603</f>
        <v/>
      </c>
      <c r="D14603">
        <f>TEST_DATA!D14603</f>
        <v/>
      </c>
      <c r="E14603">
        <f>TEST_DATA!E14603</f>
        <v/>
      </c>
    </row>
    <row r="14604">
      <c r="A14604">
        <f>TEST_DATA!A14604</f>
        <v/>
      </c>
      <c r="B14604">
        <f>TEST_DATA!B14604</f>
        <v/>
      </c>
      <c r="C14604">
        <f>TEST_DATA!C14604</f>
        <v/>
      </c>
      <c r="D14604">
        <f>TEST_DATA!D14604</f>
        <v/>
      </c>
      <c r="E14604">
        <f>TEST_DATA!E14604</f>
        <v/>
      </c>
    </row>
    <row r="14605">
      <c r="A14605">
        <f>TEST_DATA!A14605</f>
        <v/>
      </c>
      <c r="B14605">
        <f>TEST_DATA!B14605</f>
        <v/>
      </c>
      <c r="C14605">
        <f>TEST_DATA!C14605</f>
        <v/>
      </c>
      <c r="D14605">
        <f>TEST_DATA!D14605</f>
        <v/>
      </c>
      <c r="E14605">
        <f>TEST_DATA!E14605</f>
        <v/>
      </c>
    </row>
    <row r="14606">
      <c r="A14606">
        <f>TEST_DATA!A14606</f>
        <v/>
      </c>
      <c r="B14606">
        <f>TEST_DATA!B14606</f>
        <v/>
      </c>
      <c r="C14606">
        <f>TEST_DATA!C14606</f>
        <v/>
      </c>
      <c r="D14606">
        <f>TEST_DATA!D14606</f>
        <v/>
      </c>
      <c r="E14606">
        <f>TEST_DATA!E14606</f>
        <v/>
      </c>
    </row>
    <row r="14607">
      <c r="A14607">
        <f>TEST_DATA!A14607</f>
        <v/>
      </c>
      <c r="B14607">
        <f>TEST_DATA!B14607</f>
        <v/>
      </c>
      <c r="C14607">
        <f>TEST_DATA!C14607</f>
        <v/>
      </c>
      <c r="D14607">
        <f>TEST_DATA!D14607</f>
        <v/>
      </c>
      <c r="E14607">
        <f>TEST_DATA!E14607</f>
        <v/>
      </c>
    </row>
    <row r="14608">
      <c r="A14608">
        <f>TEST_DATA!A14608</f>
        <v/>
      </c>
      <c r="B14608">
        <f>TEST_DATA!B14608</f>
        <v/>
      </c>
      <c r="C14608">
        <f>TEST_DATA!C14608</f>
        <v/>
      </c>
      <c r="D14608">
        <f>TEST_DATA!D14608</f>
        <v/>
      </c>
      <c r="E14608">
        <f>TEST_DATA!E14608</f>
        <v/>
      </c>
    </row>
    <row r="14609">
      <c r="A14609">
        <f>TEST_DATA!A14609</f>
        <v/>
      </c>
      <c r="B14609">
        <f>TEST_DATA!B14609</f>
        <v/>
      </c>
      <c r="C14609">
        <f>TEST_DATA!C14609</f>
        <v/>
      </c>
      <c r="D14609">
        <f>TEST_DATA!D14609</f>
        <v/>
      </c>
      <c r="E14609">
        <f>TEST_DATA!E14609</f>
        <v/>
      </c>
    </row>
    <row r="14610">
      <c r="A14610">
        <f>TEST_DATA!A14610</f>
        <v/>
      </c>
      <c r="B14610">
        <f>TEST_DATA!B14610</f>
        <v/>
      </c>
      <c r="C14610">
        <f>TEST_DATA!C14610</f>
        <v/>
      </c>
      <c r="D14610">
        <f>TEST_DATA!D14610</f>
        <v/>
      </c>
      <c r="E14610">
        <f>TEST_DATA!E14610</f>
        <v/>
      </c>
    </row>
    <row r="14611">
      <c r="A14611">
        <f>TEST_DATA!A14611</f>
        <v/>
      </c>
      <c r="B14611">
        <f>TEST_DATA!B14611</f>
        <v/>
      </c>
      <c r="C14611">
        <f>TEST_DATA!C14611</f>
        <v/>
      </c>
      <c r="D14611">
        <f>TEST_DATA!D14611</f>
        <v/>
      </c>
      <c r="E14611">
        <f>TEST_DATA!E14611</f>
        <v/>
      </c>
    </row>
    <row r="14612">
      <c r="A14612">
        <f>TEST_DATA!A14612</f>
        <v/>
      </c>
      <c r="B14612">
        <f>TEST_DATA!B14612</f>
        <v/>
      </c>
      <c r="C14612">
        <f>TEST_DATA!C14612</f>
        <v/>
      </c>
      <c r="D14612">
        <f>TEST_DATA!D14612</f>
        <v/>
      </c>
      <c r="E14612">
        <f>TEST_DATA!E14612</f>
        <v/>
      </c>
    </row>
    <row r="14613">
      <c r="A14613">
        <f>TEST_DATA!A14613</f>
        <v/>
      </c>
      <c r="B14613">
        <f>TEST_DATA!B14613</f>
        <v/>
      </c>
      <c r="C14613">
        <f>TEST_DATA!C14613</f>
        <v/>
      </c>
      <c r="D14613">
        <f>TEST_DATA!D14613</f>
        <v/>
      </c>
      <c r="E14613">
        <f>TEST_DATA!E14613</f>
        <v/>
      </c>
    </row>
    <row r="14614">
      <c r="A14614">
        <f>TEST_DATA!A14614</f>
        <v/>
      </c>
      <c r="B14614">
        <f>TEST_DATA!B14614</f>
        <v/>
      </c>
      <c r="C14614">
        <f>TEST_DATA!C14614</f>
        <v/>
      </c>
      <c r="D14614">
        <f>TEST_DATA!D14614</f>
        <v/>
      </c>
      <c r="E14614">
        <f>TEST_DATA!E14614</f>
        <v/>
      </c>
    </row>
    <row r="14615">
      <c r="A14615">
        <f>TEST_DATA!A14615</f>
        <v/>
      </c>
      <c r="B14615">
        <f>TEST_DATA!B14615</f>
        <v/>
      </c>
      <c r="C14615">
        <f>TEST_DATA!C14615</f>
        <v/>
      </c>
      <c r="D14615">
        <f>TEST_DATA!D14615</f>
        <v/>
      </c>
      <c r="E14615">
        <f>TEST_DATA!E14615</f>
        <v/>
      </c>
    </row>
    <row r="14616">
      <c r="A14616">
        <f>TEST_DATA!A14616</f>
        <v/>
      </c>
      <c r="B14616">
        <f>TEST_DATA!B14616</f>
        <v/>
      </c>
      <c r="C14616">
        <f>TEST_DATA!C14616</f>
        <v/>
      </c>
      <c r="D14616">
        <f>TEST_DATA!D14616</f>
        <v/>
      </c>
      <c r="E14616">
        <f>TEST_DATA!E14616</f>
        <v/>
      </c>
    </row>
    <row r="14617">
      <c r="A14617">
        <f>TEST_DATA!A14617</f>
        <v/>
      </c>
      <c r="B14617">
        <f>TEST_DATA!B14617</f>
        <v/>
      </c>
      <c r="C14617">
        <f>TEST_DATA!C14617</f>
        <v/>
      </c>
      <c r="D14617">
        <f>TEST_DATA!D14617</f>
        <v/>
      </c>
      <c r="E14617">
        <f>TEST_DATA!E14617</f>
        <v/>
      </c>
    </row>
    <row r="14618">
      <c r="A14618">
        <f>TEST_DATA!A14618</f>
        <v/>
      </c>
      <c r="B14618">
        <f>TEST_DATA!B14618</f>
        <v/>
      </c>
      <c r="C14618">
        <f>TEST_DATA!C14618</f>
        <v/>
      </c>
      <c r="D14618">
        <f>TEST_DATA!D14618</f>
        <v/>
      </c>
      <c r="E14618">
        <f>TEST_DATA!E14618</f>
        <v/>
      </c>
    </row>
    <row r="14619">
      <c r="A14619">
        <f>TEST_DATA!A14619</f>
        <v/>
      </c>
      <c r="B14619">
        <f>TEST_DATA!B14619</f>
        <v/>
      </c>
      <c r="C14619">
        <f>TEST_DATA!C14619</f>
        <v/>
      </c>
      <c r="D14619">
        <f>TEST_DATA!D14619</f>
        <v/>
      </c>
      <c r="E14619">
        <f>TEST_DATA!E14619</f>
        <v/>
      </c>
    </row>
    <row r="14620">
      <c r="A14620">
        <f>TEST_DATA!A14620</f>
        <v/>
      </c>
      <c r="B14620">
        <f>TEST_DATA!B14620</f>
        <v/>
      </c>
      <c r="C14620">
        <f>TEST_DATA!C14620</f>
        <v/>
      </c>
      <c r="D14620">
        <f>TEST_DATA!D14620</f>
        <v/>
      </c>
      <c r="E14620">
        <f>TEST_DATA!E14620</f>
        <v/>
      </c>
    </row>
    <row r="14621">
      <c r="A14621">
        <f>TEST_DATA!A14621</f>
        <v/>
      </c>
      <c r="B14621">
        <f>TEST_DATA!B14621</f>
        <v/>
      </c>
      <c r="C14621">
        <f>TEST_DATA!C14621</f>
        <v/>
      </c>
      <c r="D14621">
        <f>TEST_DATA!D14621</f>
        <v/>
      </c>
      <c r="E14621">
        <f>TEST_DATA!E14621</f>
        <v/>
      </c>
    </row>
    <row r="14622">
      <c r="A14622">
        <f>TEST_DATA!A14622</f>
        <v/>
      </c>
      <c r="B14622">
        <f>TEST_DATA!B14622</f>
        <v/>
      </c>
      <c r="C14622">
        <f>TEST_DATA!C14622</f>
        <v/>
      </c>
      <c r="D14622">
        <f>TEST_DATA!D14622</f>
        <v/>
      </c>
      <c r="E14622">
        <f>TEST_DATA!E14622</f>
        <v/>
      </c>
    </row>
    <row r="14623">
      <c r="A14623">
        <f>TEST_DATA!A14623</f>
        <v/>
      </c>
      <c r="B14623">
        <f>TEST_DATA!B14623</f>
        <v/>
      </c>
      <c r="C14623">
        <f>TEST_DATA!C14623</f>
        <v/>
      </c>
      <c r="D14623">
        <f>TEST_DATA!D14623</f>
        <v/>
      </c>
      <c r="E14623">
        <f>TEST_DATA!E14623</f>
        <v/>
      </c>
    </row>
    <row r="14624">
      <c r="A14624">
        <f>TEST_DATA!A14624</f>
        <v/>
      </c>
      <c r="B14624">
        <f>TEST_DATA!B14624</f>
        <v/>
      </c>
      <c r="C14624">
        <f>TEST_DATA!C14624</f>
        <v/>
      </c>
      <c r="D14624">
        <f>TEST_DATA!D14624</f>
        <v/>
      </c>
      <c r="E14624">
        <f>TEST_DATA!E14624</f>
        <v/>
      </c>
    </row>
    <row r="14625">
      <c r="A14625">
        <f>TEST_DATA!A14625</f>
        <v/>
      </c>
      <c r="B14625">
        <f>TEST_DATA!B14625</f>
        <v/>
      </c>
      <c r="C14625">
        <f>TEST_DATA!C14625</f>
        <v/>
      </c>
      <c r="D14625">
        <f>TEST_DATA!D14625</f>
        <v/>
      </c>
      <c r="E14625">
        <f>TEST_DATA!E14625</f>
        <v/>
      </c>
    </row>
    <row r="14626">
      <c r="A14626">
        <f>TEST_DATA!A14626</f>
        <v/>
      </c>
      <c r="B14626">
        <f>TEST_DATA!B14626</f>
        <v/>
      </c>
      <c r="C14626">
        <f>TEST_DATA!C14626</f>
        <v/>
      </c>
      <c r="D14626">
        <f>TEST_DATA!D14626</f>
        <v/>
      </c>
      <c r="E14626">
        <f>TEST_DATA!E14626</f>
        <v/>
      </c>
    </row>
    <row r="14627">
      <c r="A14627">
        <f>TEST_DATA!A14627</f>
        <v/>
      </c>
      <c r="B14627">
        <f>TEST_DATA!B14627</f>
        <v/>
      </c>
      <c r="C14627">
        <f>TEST_DATA!C14627</f>
        <v/>
      </c>
      <c r="D14627">
        <f>TEST_DATA!D14627</f>
        <v/>
      </c>
      <c r="E14627">
        <f>TEST_DATA!E14627</f>
        <v/>
      </c>
    </row>
    <row r="14628">
      <c r="A14628">
        <f>TEST_DATA!A14628</f>
        <v/>
      </c>
      <c r="B14628">
        <f>TEST_DATA!B14628</f>
        <v/>
      </c>
      <c r="C14628">
        <f>TEST_DATA!C14628</f>
        <v/>
      </c>
      <c r="D14628">
        <f>TEST_DATA!D14628</f>
        <v/>
      </c>
      <c r="E14628">
        <f>TEST_DATA!E14628</f>
        <v/>
      </c>
    </row>
    <row r="14629">
      <c r="A14629">
        <f>TEST_DATA!A14629</f>
        <v/>
      </c>
      <c r="B14629">
        <f>TEST_DATA!B14629</f>
        <v/>
      </c>
      <c r="C14629">
        <f>TEST_DATA!C14629</f>
        <v/>
      </c>
      <c r="D14629">
        <f>TEST_DATA!D14629</f>
        <v/>
      </c>
      <c r="E14629">
        <f>TEST_DATA!E14629</f>
        <v/>
      </c>
    </row>
    <row r="14630">
      <c r="A14630">
        <f>TEST_DATA!A14630</f>
        <v/>
      </c>
      <c r="B14630">
        <f>TEST_DATA!B14630</f>
        <v/>
      </c>
      <c r="C14630">
        <f>TEST_DATA!C14630</f>
        <v/>
      </c>
      <c r="D14630">
        <f>TEST_DATA!D14630</f>
        <v/>
      </c>
      <c r="E14630">
        <f>TEST_DATA!E14630</f>
        <v/>
      </c>
    </row>
    <row r="14631">
      <c r="A14631">
        <f>TEST_DATA!A14631</f>
        <v/>
      </c>
      <c r="B14631">
        <f>TEST_DATA!B14631</f>
        <v/>
      </c>
      <c r="C14631">
        <f>TEST_DATA!C14631</f>
        <v/>
      </c>
      <c r="D14631">
        <f>TEST_DATA!D14631</f>
        <v/>
      </c>
      <c r="E14631">
        <f>TEST_DATA!E14631</f>
        <v/>
      </c>
    </row>
    <row r="14632">
      <c r="A14632">
        <f>TEST_DATA!A14632</f>
        <v/>
      </c>
      <c r="B14632">
        <f>TEST_DATA!B14632</f>
        <v/>
      </c>
      <c r="C14632">
        <f>TEST_DATA!C14632</f>
        <v/>
      </c>
      <c r="D14632">
        <f>TEST_DATA!D14632</f>
        <v/>
      </c>
      <c r="E14632">
        <f>TEST_DATA!E14632</f>
        <v/>
      </c>
    </row>
    <row r="14633">
      <c r="A14633">
        <f>TEST_DATA!A14633</f>
        <v/>
      </c>
      <c r="B14633">
        <f>TEST_DATA!B14633</f>
        <v/>
      </c>
      <c r="C14633">
        <f>TEST_DATA!C14633</f>
        <v/>
      </c>
      <c r="D14633">
        <f>TEST_DATA!D14633</f>
        <v/>
      </c>
      <c r="E14633">
        <f>TEST_DATA!E14633</f>
        <v/>
      </c>
    </row>
    <row r="14634">
      <c r="A14634">
        <f>TEST_DATA!A14634</f>
        <v/>
      </c>
      <c r="B14634">
        <f>TEST_DATA!B14634</f>
        <v/>
      </c>
      <c r="C14634">
        <f>TEST_DATA!C14634</f>
        <v/>
      </c>
      <c r="D14634">
        <f>TEST_DATA!D14634</f>
        <v/>
      </c>
      <c r="E14634">
        <f>TEST_DATA!E14634</f>
        <v/>
      </c>
    </row>
    <row r="14635">
      <c r="A14635">
        <f>TEST_DATA!A14635</f>
        <v/>
      </c>
      <c r="B14635">
        <f>TEST_DATA!B14635</f>
        <v/>
      </c>
      <c r="C14635">
        <f>TEST_DATA!C14635</f>
        <v/>
      </c>
      <c r="D14635">
        <f>TEST_DATA!D14635</f>
        <v/>
      </c>
      <c r="E14635">
        <f>TEST_DATA!E14635</f>
        <v/>
      </c>
    </row>
    <row r="14636">
      <c r="A14636">
        <f>TEST_DATA!A14636</f>
        <v/>
      </c>
      <c r="B14636">
        <f>TEST_DATA!B14636</f>
        <v/>
      </c>
      <c r="C14636">
        <f>TEST_DATA!C14636</f>
        <v/>
      </c>
      <c r="D14636">
        <f>TEST_DATA!D14636</f>
        <v/>
      </c>
      <c r="E14636">
        <f>TEST_DATA!E14636</f>
        <v/>
      </c>
    </row>
    <row r="14637">
      <c r="A14637">
        <f>TEST_DATA!A14637</f>
        <v/>
      </c>
      <c r="B14637">
        <f>TEST_DATA!B14637</f>
        <v/>
      </c>
      <c r="C14637">
        <f>TEST_DATA!C14637</f>
        <v/>
      </c>
      <c r="D14637">
        <f>TEST_DATA!D14637</f>
        <v/>
      </c>
      <c r="E14637">
        <f>TEST_DATA!E14637</f>
        <v/>
      </c>
    </row>
    <row r="14638">
      <c r="A14638">
        <f>TEST_DATA!A14638</f>
        <v/>
      </c>
      <c r="B14638">
        <f>TEST_DATA!B14638</f>
        <v/>
      </c>
      <c r="C14638">
        <f>TEST_DATA!C14638</f>
        <v/>
      </c>
      <c r="D14638">
        <f>TEST_DATA!D14638</f>
        <v/>
      </c>
      <c r="E14638">
        <f>TEST_DATA!E14638</f>
        <v/>
      </c>
    </row>
    <row r="14639">
      <c r="A14639">
        <f>TEST_DATA!A14639</f>
        <v/>
      </c>
      <c r="B14639">
        <f>TEST_DATA!B14639</f>
        <v/>
      </c>
      <c r="C14639">
        <f>TEST_DATA!C14639</f>
        <v/>
      </c>
      <c r="D14639">
        <f>TEST_DATA!D14639</f>
        <v/>
      </c>
      <c r="E14639">
        <f>TEST_DATA!E14639</f>
        <v/>
      </c>
    </row>
    <row r="14640">
      <c r="A14640">
        <f>TEST_DATA!A14640</f>
        <v/>
      </c>
      <c r="B14640">
        <f>TEST_DATA!B14640</f>
        <v/>
      </c>
      <c r="C14640">
        <f>TEST_DATA!C14640</f>
        <v/>
      </c>
      <c r="D14640">
        <f>TEST_DATA!D14640</f>
        <v/>
      </c>
      <c r="E14640">
        <f>TEST_DATA!E14640</f>
        <v/>
      </c>
    </row>
    <row r="14641">
      <c r="A14641">
        <f>TEST_DATA!A14641</f>
        <v/>
      </c>
      <c r="B14641">
        <f>TEST_DATA!B14641</f>
        <v/>
      </c>
      <c r="C14641">
        <f>TEST_DATA!C14641</f>
        <v/>
      </c>
      <c r="D14641">
        <f>TEST_DATA!D14641</f>
        <v/>
      </c>
      <c r="E14641">
        <f>TEST_DATA!E14641</f>
        <v/>
      </c>
    </row>
    <row r="14642">
      <c r="A14642">
        <f>TEST_DATA!A14642</f>
        <v/>
      </c>
      <c r="B14642">
        <f>TEST_DATA!B14642</f>
        <v/>
      </c>
      <c r="C14642">
        <f>TEST_DATA!C14642</f>
        <v/>
      </c>
      <c r="D14642">
        <f>TEST_DATA!D14642</f>
        <v/>
      </c>
      <c r="E14642">
        <f>TEST_DATA!E14642</f>
        <v/>
      </c>
    </row>
    <row r="14643">
      <c r="A14643">
        <f>TEST_DATA!A14643</f>
        <v/>
      </c>
      <c r="B14643">
        <f>TEST_DATA!B14643</f>
        <v/>
      </c>
      <c r="C14643">
        <f>TEST_DATA!C14643</f>
        <v/>
      </c>
      <c r="D14643">
        <f>TEST_DATA!D14643</f>
        <v/>
      </c>
      <c r="E14643">
        <f>TEST_DATA!E14643</f>
        <v/>
      </c>
    </row>
    <row r="14644">
      <c r="A14644">
        <f>TEST_DATA!A14644</f>
        <v/>
      </c>
      <c r="B14644">
        <f>TEST_DATA!B14644</f>
        <v/>
      </c>
      <c r="C14644">
        <f>TEST_DATA!C14644</f>
        <v/>
      </c>
      <c r="D14644">
        <f>TEST_DATA!D14644</f>
        <v/>
      </c>
      <c r="E14644">
        <f>TEST_DATA!E14644</f>
        <v/>
      </c>
    </row>
    <row r="14645">
      <c r="A14645">
        <f>TEST_DATA!A14645</f>
        <v/>
      </c>
      <c r="B14645">
        <f>TEST_DATA!B14645</f>
        <v/>
      </c>
      <c r="C14645">
        <f>TEST_DATA!C14645</f>
        <v/>
      </c>
      <c r="D14645">
        <f>TEST_DATA!D14645</f>
        <v/>
      </c>
      <c r="E14645">
        <f>TEST_DATA!E14645</f>
        <v/>
      </c>
    </row>
    <row r="14646">
      <c r="A14646">
        <f>TEST_DATA!A14646</f>
        <v/>
      </c>
      <c r="B14646">
        <f>TEST_DATA!B14646</f>
        <v/>
      </c>
      <c r="C14646">
        <f>TEST_DATA!C14646</f>
        <v/>
      </c>
      <c r="D14646">
        <f>TEST_DATA!D14646</f>
        <v/>
      </c>
      <c r="E14646">
        <f>TEST_DATA!E14646</f>
        <v/>
      </c>
    </row>
    <row r="14647">
      <c r="A14647">
        <f>TEST_DATA!A14647</f>
        <v/>
      </c>
      <c r="B14647">
        <f>TEST_DATA!B14647</f>
        <v/>
      </c>
      <c r="C14647">
        <f>TEST_DATA!C14647</f>
        <v/>
      </c>
      <c r="D14647">
        <f>TEST_DATA!D14647</f>
        <v/>
      </c>
      <c r="E14647">
        <f>TEST_DATA!E14647</f>
        <v/>
      </c>
    </row>
    <row r="14648">
      <c r="A14648">
        <f>TEST_DATA!A14648</f>
        <v/>
      </c>
      <c r="B14648">
        <f>TEST_DATA!B14648</f>
        <v/>
      </c>
      <c r="C14648">
        <f>TEST_DATA!C14648</f>
        <v/>
      </c>
      <c r="D14648">
        <f>TEST_DATA!D14648</f>
        <v/>
      </c>
      <c r="E14648">
        <f>TEST_DATA!E14648</f>
        <v/>
      </c>
    </row>
    <row r="14649">
      <c r="A14649">
        <f>TEST_DATA!A14649</f>
        <v/>
      </c>
      <c r="B14649">
        <f>TEST_DATA!B14649</f>
        <v/>
      </c>
      <c r="C14649">
        <f>TEST_DATA!C14649</f>
        <v/>
      </c>
      <c r="D14649">
        <f>TEST_DATA!D14649</f>
        <v/>
      </c>
      <c r="E14649">
        <f>TEST_DATA!E14649</f>
        <v/>
      </c>
    </row>
    <row r="14650">
      <c r="A14650">
        <f>TEST_DATA!A14650</f>
        <v/>
      </c>
      <c r="B14650">
        <f>TEST_DATA!B14650</f>
        <v/>
      </c>
      <c r="C14650">
        <f>TEST_DATA!C14650</f>
        <v/>
      </c>
      <c r="D14650">
        <f>TEST_DATA!D14650</f>
        <v/>
      </c>
      <c r="E14650">
        <f>TEST_DATA!E14650</f>
        <v/>
      </c>
    </row>
    <row r="14651">
      <c r="A14651">
        <f>TEST_DATA!A14651</f>
        <v/>
      </c>
      <c r="B14651">
        <f>TEST_DATA!B14651</f>
        <v/>
      </c>
      <c r="C14651">
        <f>TEST_DATA!C14651</f>
        <v/>
      </c>
      <c r="D14651">
        <f>TEST_DATA!D14651</f>
        <v/>
      </c>
      <c r="E14651">
        <f>TEST_DATA!E14651</f>
        <v/>
      </c>
    </row>
    <row r="14652">
      <c r="A14652">
        <f>TEST_DATA!A14652</f>
        <v/>
      </c>
      <c r="B14652">
        <f>TEST_DATA!B14652</f>
        <v/>
      </c>
      <c r="C14652">
        <f>TEST_DATA!C14652</f>
        <v/>
      </c>
      <c r="D14652">
        <f>TEST_DATA!D14652</f>
        <v/>
      </c>
      <c r="E14652">
        <f>TEST_DATA!E14652</f>
        <v/>
      </c>
    </row>
    <row r="14653">
      <c r="A14653">
        <f>TEST_DATA!A14653</f>
        <v/>
      </c>
      <c r="B14653">
        <f>TEST_DATA!B14653</f>
        <v/>
      </c>
      <c r="C14653">
        <f>TEST_DATA!C14653</f>
        <v/>
      </c>
      <c r="D14653">
        <f>TEST_DATA!D14653</f>
        <v/>
      </c>
      <c r="E14653">
        <f>TEST_DATA!E14653</f>
        <v/>
      </c>
    </row>
    <row r="14654">
      <c r="A14654">
        <f>TEST_DATA!A14654</f>
        <v/>
      </c>
      <c r="B14654">
        <f>TEST_DATA!B14654</f>
        <v/>
      </c>
      <c r="C14654">
        <f>TEST_DATA!C14654</f>
        <v/>
      </c>
      <c r="D14654">
        <f>TEST_DATA!D14654</f>
        <v/>
      </c>
      <c r="E14654">
        <f>TEST_DATA!E14654</f>
        <v/>
      </c>
    </row>
    <row r="14655">
      <c r="A14655">
        <f>TEST_DATA!A14655</f>
        <v/>
      </c>
      <c r="B14655">
        <f>TEST_DATA!B14655</f>
        <v/>
      </c>
      <c r="C14655">
        <f>TEST_DATA!C14655</f>
        <v/>
      </c>
      <c r="D14655">
        <f>TEST_DATA!D14655</f>
        <v/>
      </c>
      <c r="E14655">
        <f>TEST_DATA!E14655</f>
        <v/>
      </c>
    </row>
    <row r="14656">
      <c r="A14656">
        <f>TEST_DATA!A14656</f>
        <v/>
      </c>
      <c r="B14656">
        <f>TEST_DATA!B14656</f>
        <v/>
      </c>
      <c r="C14656">
        <f>TEST_DATA!C14656</f>
        <v/>
      </c>
      <c r="D14656">
        <f>TEST_DATA!D14656</f>
        <v/>
      </c>
      <c r="E14656">
        <f>TEST_DATA!E14656</f>
        <v/>
      </c>
    </row>
    <row r="14657">
      <c r="A14657">
        <f>TEST_DATA!A14657</f>
        <v/>
      </c>
      <c r="B14657">
        <f>TEST_DATA!B14657</f>
        <v/>
      </c>
      <c r="C14657">
        <f>TEST_DATA!C14657</f>
        <v/>
      </c>
      <c r="D14657">
        <f>TEST_DATA!D14657</f>
        <v/>
      </c>
      <c r="E14657">
        <f>TEST_DATA!E14657</f>
        <v/>
      </c>
    </row>
    <row r="14658">
      <c r="A14658">
        <f>TEST_DATA!A14658</f>
        <v/>
      </c>
      <c r="B14658">
        <f>TEST_DATA!B14658</f>
        <v/>
      </c>
      <c r="C14658">
        <f>TEST_DATA!C14658</f>
        <v/>
      </c>
      <c r="D14658">
        <f>TEST_DATA!D14658</f>
        <v/>
      </c>
      <c r="E14658">
        <f>TEST_DATA!E14658</f>
        <v/>
      </c>
    </row>
    <row r="14659">
      <c r="A14659">
        <f>TEST_DATA!A14659</f>
        <v/>
      </c>
      <c r="B14659">
        <f>TEST_DATA!B14659</f>
        <v/>
      </c>
      <c r="C14659">
        <f>TEST_DATA!C14659</f>
        <v/>
      </c>
      <c r="D14659">
        <f>TEST_DATA!D14659</f>
        <v/>
      </c>
      <c r="E14659">
        <f>TEST_DATA!E14659</f>
        <v/>
      </c>
    </row>
    <row r="14660">
      <c r="A14660">
        <f>TEST_DATA!A14660</f>
        <v/>
      </c>
      <c r="B14660">
        <f>TEST_DATA!B14660</f>
        <v/>
      </c>
      <c r="C14660">
        <f>TEST_DATA!C14660</f>
        <v/>
      </c>
      <c r="D14660">
        <f>TEST_DATA!D14660</f>
        <v/>
      </c>
      <c r="E14660">
        <f>TEST_DATA!E14660</f>
        <v/>
      </c>
    </row>
    <row r="14661">
      <c r="A14661">
        <f>TEST_DATA!A14661</f>
        <v/>
      </c>
      <c r="B14661">
        <f>TEST_DATA!B14661</f>
        <v/>
      </c>
      <c r="C14661">
        <f>TEST_DATA!C14661</f>
        <v/>
      </c>
      <c r="D14661">
        <f>TEST_DATA!D14661</f>
        <v/>
      </c>
      <c r="E14661">
        <f>TEST_DATA!E14661</f>
        <v/>
      </c>
    </row>
    <row r="14662">
      <c r="A14662">
        <f>TEST_DATA!A14662</f>
        <v/>
      </c>
      <c r="B14662">
        <f>TEST_DATA!B14662</f>
        <v/>
      </c>
      <c r="C14662">
        <f>TEST_DATA!C14662</f>
        <v/>
      </c>
      <c r="D14662">
        <f>TEST_DATA!D14662</f>
        <v/>
      </c>
      <c r="E14662">
        <f>TEST_DATA!E14662</f>
        <v/>
      </c>
    </row>
    <row r="14663">
      <c r="A14663">
        <f>TEST_DATA!A14663</f>
        <v/>
      </c>
      <c r="B14663">
        <f>TEST_DATA!B14663</f>
        <v/>
      </c>
      <c r="C14663">
        <f>TEST_DATA!C14663</f>
        <v/>
      </c>
      <c r="D14663">
        <f>TEST_DATA!D14663</f>
        <v/>
      </c>
      <c r="E14663">
        <f>TEST_DATA!E14663</f>
        <v/>
      </c>
    </row>
    <row r="14664">
      <c r="A14664">
        <f>TEST_DATA!A14664</f>
        <v/>
      </c>
      <c r="B14664">
        <f>TEST_DATA!B14664</f>
        <v/>
      </c>
      <c r="C14664">
        <f>TEST_DATA!C14664</f>
        <v/>
      </c>
      <c r="D14664">
        <f>TEST_DATA!D14664</f>
        <v/>
      </c>
      <c r="E14664">
        <f>TEST_DATA!E14664</f>
        <v/>
      </c>
    </row>
    <row r="14665">
      <c r="A14665">
        <f>TEST_DATA!A14665</f>
        <v/>
      </c>
      <c r="B14665">
        <f>TEST_DATA!B14665</f>
        <v/>
      </c>
      <c r="C14665">
        <f>TEST_DATA!C14665</f>
        <v/>
      </c>
      <c r="D14665">
        <f>TEST_DATA!D14665</f>
        <v/>
      </c>
      <c r="E14665">
        <f>TEST_DATA!E14665</f>
        <v/>
      </c>
    </row>
    <row r="14666">
      <c r="A14666">
        <f>TEST_DATA!A14666</f>
        <v/>
      </c>
      <c r="B14666">
        <f>TEST_DATA!B14666</f>
        <v/>
      </c>
      <c r="C14666">
        <f>TEST_DATA!C14666</f>
        <v/>
      </c>
      <c r="D14666">
        <f>TEST_DATA!D14666</f>
        <v/>
      </c>
      <c r="E14666">
        <f>TEST_DATA!E14666</f>
        <v/>
      </c>
    </row>
    <row r="14667">
      <c r="A14667">
        <f>TEST_DATA!A14667</f>
        <v/>
      </c>
      <c r="B14667">
        <f>TEST_DATA!B14667</f>
        <v/>
      </c>
      <c r="C14667">
        <f>TEST_DATA!C14667</f>
        <v/>
      </c>
      <c r="D14667">
        <f>TEST_DATA!D14667</f>
        <v/>
      </c>
      <c r="E14667">
        <f>TEST_DATA!E14667</f>
        <v/>
      </c>
    </row>
    <row r="14668">
      <c r="A14668">
        <f>TEST_DATA!A14668</f>
        <v/>
      </c>
      <c r="B14668">
        <f>TEST_DATA!B14668</f>
        <v/>
      </c>
      <c r="C14668">
        <f>TEST_DATA!C14668</f>
        <v/>
      </c>
      <c r="D14668">
        <f>TEST_DATA!D14668</f>
        <v/>
      </c>
      <c r="E14668">
        <f>TEST_DATA!E14668</f>
        <v/>
      </c>
    </row>
    <row r="14669">
      <c r="A14669">
        <f>TEST_DATA!A14669</f>
        <v/>
      </c>
      <c r="B14669">
        <f>TEST_DATA!B14669</f>
        <v/>
      </c>
      <c r="C14669">
        <f>TEST_DATA!C14669</f>
        <v/>
      </c>
      <c r="D14669">
        <f>TEST_DATA!D14669</f>
        <v/>
      </c>
      <c r="E14669">
        <f>TEST_DATA!E14669</f>
        <v/>
      </c>
    </row>
    <row r="14670">
      <c r="A14670">
        <f>TEST_DATA!A14670</f>
        <v/>
      </c>
      <c r="B14670">
        <f>TEST_DATA!B14670</f>
        <v/>
      </c>
      <c r="C14670">
        <f>TEST_DATA!C14670</f>
        <v/>
      </c>
      <c r="D14670">
        <f>TEST_DATA!D14670</f>
        <v/>
      </c>
      <c r="E14670">
        <f>TEST_DATA!E14670</f>
        <v/>
      </c>
    </row>
    <row r="14671">
      <c r="A14671">
        <f>TEST_DATA!A14671</f>
        <v/>
      </c>
      <c r="B14671">
        <f>TEST_DATA!B14671</f>
        <v/>
      </c>
      <c r="C14671">
        <f>TEST_DATA!C14671</f>
        <v/>
      </c>
      <c r="D14671">
        <f>TEST_DATA!D14671</f>
        <v/>
      </c>
      <c r="E14671">
        <f>TEST_DATA!E14671</f>
        <v/>
      </c>
    </row>
    <row r="14672">
      <c r="A14672">
        <f>TEST_DATA!A14672</f>
        <v/>
      </c>
      <c r="B14672">
        <f>TEST_DATA!B14672</f>
        <v/>
      </c>
      <c r="C14672">
        <f>TEST_DATA!C14672</f>
        <v/>
      </c>
      <c r="D14672">
        <f>TEST_DATA!D14672</f>
        <v/>
      </c>
      <c r="E14672">
        <f>TEST_DATA!E14672</f>
        <v/>
      </c>
    </row>
    <row r="14673">
      <c r="A14673">
        <f>TEST_DATA!A14673</f>
        <v/>
      </c>
      <c r="B14673">
        <f>TEST_DATA!B14673</f>
        <v/>
      </c>
      <c r="C14673">
        <f>TEST_DATA!C14673</f>
        <v/>
      </c>
      <c r="D14673">
        <f>TEST_DATA!D14673</f>
        <v/>
      </c>
      <c r="E14673">
        <f>TEST_DATA!E14673</f>
        <v/>
      </c>
    </row>
    <row r="14674">
      <c r="A14674">
        <f>TEST_DATA!A14674</f>
        <v/>
      </c>
      <c r="B14674">
        <f>TEST_DATA!B14674</f>
        <v/>
      </c>
      <c r="C14674">
        <f>TEST_DATA!C14674</f>
        <v/>
      </c>
      <c r="D14674">
        <f>TEST_DATA!D14674</f>
        <v/>
      </c>
      <c r="E14674">
        <f>TEST_DATA!E14674</f>
        <v/>
      </c>
    </row>
    <row r="14675">
      <c r="A14675">
        <f>TEST_DATA!A14675</f>
        <v/>
      </c>
      <c r="B14675">
        <f>TEST_DATA!B14675</f>
        <v/>
      </c>
      <c r="C14675">
        <f>TEST_DATA!C14675</f>
        <v/>
      </c>
      <c r="D14675">
        <f>TEST_DATA!D14675</f>
        <v/>
      </c>
      <c r="E14675">
        <f>TEST_DATA!E14675</f>
        <v/>
      </c>
    </row>
    <row r="14676">
      <c r="A14676">
        <f>TEST_DATA!A14676</f>
        <v/>
      </c>
      <c r="B14676">
        <f>TEST_DATA!B14676</f>
        <v/>
      </c>
      <c r="C14676">
        <f>TEST_DATA!C14676</f>
        <v/>
      </c>
      <c r="D14676">
        <f>TEST_DATA!D14676</f>
        <v/>
      </c>
      <c r="E14676">
        <f>TEST_DATA!E14676</f>
        <v/>
      </c>
    </row>
    <row r="14677">
      <c r="A14677">
        <f>TEST_DATA!A14677</f>
        <v/>
      </c>
      <c r="B14677">
        <f>TEST_DATA!B14677</f>
        <v/>
      </c>
      <c r="C14677">
        <f>TEST_DATA!C14677</f>
        <v/>
      </c>
      <c r="D14677">
        <f>TEST_DATA!D14677</f>
        <v/>
      </c>
      <c r="E14677">
        <f>TEST_DATA!E14677</f>
        <v/>
      </c>
    </row>
    <row r="14678">
      <c r="A14678">
        <f>TEST_DATA!A14678</f>
        <v/>
      </c>
      <c r="B14678">
        <f>TEST_DATA!B14678</f>
        <v/>
      </c>
      <c r="C14678">
        <f>TEST_DATA!C14678</f>
        <v/>
      </c>
      <c r="D14678">
        <f>TEST_DATA!D14678</f>
        <v/>
      </c>
      <c r="E14678">
        <f>TEST_DATA!E14678</f>
        <v/>
      </c>
    </row>
    <row r="14679">
      <c r="A14679">
        <f>TEST_DATA!A14679</f>
        <v/>
      </c>
      <c r="B14679">
        <f>TEST_DATA!B14679</f>
        <v/>
      </c>
      <c r="C14679">
        <f>TEST_DATA!C14679</f>
        <v/>
      </c>
      <c r="D14679">
        <f>TEST_DATA!D14679</f>
        <v/>
      </c>
      <c r="E14679">
        <f>TEST_DATA!E14679</f>
        <v/>
      </c>
    </row>
    <row r="14680">
      <c r="A14680">
        <f>TEST_DATA!A14680</f>
        <v/>
      </c>
      <c r="B14680">
        <f>TEST_DATA!B14680</f>
        <v/>
      </c>
      <c r="C14680">
        <f>TEST_DATA!C14680</f>
        <v/>
      </c>
      <c r="D14680">
        <f>TEST_DATA!D14680</f>
        <v/>
      </c>
      <c r="E14680">
        <f>TEST_DATA!E14680</f>
        <v/>
      </c>
    </row>
    <row r="14681">
      <c r="A14681">
        <f>TEST_DATA!A14681</f>
        <v/>
      </c>
      <c r="B14681">
        <f>TEST_DATA!B14681</f>
        <v/>
      </c>
      <c r="C14681">
        <f>TEST_DATA!C14681</f>
        <v/>
      </c>
      <c r="D14681">
        <f>TEST_DATA!D14681</f>
        <v/>
      </c>
      <c r="E14681">
        <f>TEST_DATA!E14681</f>
        <v/>
      </c>
    </row>
    <row r="14682">
      <c r="A14682">
        <f>TEST_DATA!A14682</f>
        <v/>
      </c>
      <c r="B14682">
        <f>TEST_DATA!B14682</f>
        <v/>
      </c>
      <c r="C14682">
        <f>TEST_DATA!C14682</f>
        <v/>
      </c>
      <c r="D14682">
        <f>TEST_DATA!D14682</f>
        <v/>
      </c>
      <c r="E14682">
        <f>TEST_DATA!E14682</f>
        <v/>
      </c>
    </row>
    <row r="14683">
      <c r="A14683">
        <f>TEST_DATA!A14683</f>
        <v/>
      </c>
      <c r="B14683">
        <f>TEST_DATA!B14683</f>
        <v/>
      </c>
      <c r="C14683">
        <f>TEST_DATA!C14683</f>
        <v/>
      </c>
      <c r="D14683">
        <f>TEST_DATA!D14683</f>
        <v/>
      </c>
      <c r="E14683">
        <f>TEST_DATA!E14683</f>
        <v/>
      </c>
    </row>
    <row r="14684">
      <c r="A14684">
        <f>TEST_DATA!A14684</f>
        <v/>
      </c>
      <c r="B14684">
        <f>TEST_DATA!B14684</f>
        <v/>
      </c>
      <c r="C14684">
        <f>TEST_DATA!C14684</f>
        <v/>
      </c>
      <c r="D14684">
        <f>TEST_DATA!D14684</f>
        <v/>
      </c>
      <c r="E14684">
        <f>TEST_DATA!E14684</f>
        <v/>
      </c>
    </row>
    <row r="14685">
      <c r="A14685">
        <f>TEST_DATA!A14685</f>
        <v/>
      </c>
      <c r="B14685">
        <f>TEST_DATA!B14685</f>
        <v/>
      </c>
      <c r="C14685">
        <f>TEST_DATA!C14685</f>
        <v/>
      </c>
      <c r="D14685">
        <f>TEST_DATA!D14685</f>
        <v/>
      </c>
      <c r="E14685">
        <f>TEST_DATA!E14685</f>
        <v/>
      </c>
    </row>
    <row r="14686">
      <c r="A14686">
        <f>TEST_DATA!A14686</f>
        <v/>
      </c>
      <c r="B14686">
        <f>TEST_DATA!B14686</f>
        <v/>
      </c>
      <c r="C14686">
        <f>TEST_DATA!C14686</f>
        <v/>
      </c>
      <c r="D14686">
        <f>TEST_DATA!D14686</f>
        <v/>
      </c>
      <c r="E14686">
        <f>TEST_DATA!E14686</f>
        <v/>
      </c>
    </row>
    <row r="14687">
      <c r="A14687">
        <f>TEST_DATA!A14687</f>
        <v/>
      </c>
      <c r="B14687">
        <f>TEST_DATA!B14687</f>
        <v/>
      </c>
      <c r="C14687">
        <f>TEST_DATA!C14687</f>
        <v/>
      </c>
      <c r="D14687">
        <f>TEST_DATA!D14687</f>
        <v/>
      </c>
      <c r="E14687">
        <f>TEST_DATA!E14687</f>
        <v/>
      </c>
    </row>
    <row r="14688">
      <c r="A14688">
        <f>TEST_DATA!A14688</f>
        <v/>
      </c>
      <c r="B14688">
        <f>TEST_DATA!B14688</f>
        <v/>
      </c>
      <c r="C14688">
        <f>TEST_DATA!C14688</f>
        <v/>
      </c>
      <c r="D14688">
        <f>TEST_DATA!D14688</f>
        <v/>
      </c>
      <c r="E14688">
        <f>TEST_DATA!E14688</f>
        <v/>
      </c>
    </row>
    <row r="14689">
      <c r="A14689">
        <f>TEST_DATA!A14689</f>
        <v/>
      </c>
      <c r="B14689">
        <f>TEST_DATA!B14689</f>
        <v/>
      </c>
      <c r="C14689">
        <f>TEST_DATA!C14689</f>
        <v/>
      </c>
      <c r="D14689">
        <f>TEST_DATA!D14689</f>
        <v/>
      </c>
      <c r="E14689">
        <f>TEST_DATA!E14689</f>
        <v/>
      </c>
    </row>
    <row r="14690">
      <c r="A14690">
        <f>TEST_DATA!A14690</f>
        <v/>
      </c>
      <c r="B14690">
        <f>TEST_DATA!B14690</f>
        <v/>
      </c>
      <c r="C14690">
        <f>TEST_DATA!C14690</f>
        <v/>
      </c>
      <c r="D14690">
        <f>TEST_DATA!D14690</f>
        <v/>
      </c>
      <c r="E14690">
        <f>TEST_DATA!E14690</f>
        <v/>
      </c>
    </row>
    <row r="14691">
      <c r="A14691">
        <f>TEST_DATA!A14691</f>
        <v/>
      </c>
      <c r="B14691">
        <f>TEST_DATA!B14691</f>
        <v/>
      </c>
      <c r="C14691">
        <f>TEST_DATA!C14691</f>
        <v/>
      </c>
      <c r="D14691">
        <f>TEST_DATA!D14691</f>
        <v/>
      </c>
      <c r="E14691">
        <f>TEST_DATA!E14691</f>
        <v/>
      </c>
    </row>
    <row r="14692">
      <c r="A14692">
        <f>TEST_DATA!A14692</f>
        <v/>
      </c>
      <c r="B14692">
        <f>TEST_DATA!B14692</f>
        <v/>
      </c>
      <c r="C14692">
        <f>TEST_DATA!C14692</f>
        <v/>
      </c>
      <c r="D14692">
        <f>TEST_DATA!D14692</f>
        <v/>
      </c>
      <c r="E14692">
        <f>TEST_DATA!E14692</f>
        <v/>
      </c>
    </row>
    <row r="14693">
      <c r="A14693">
        <f>TEST_DATA!A14693</f>
        <v/>
      </c>
      <c r="B14693">
        <f>TEST_DATA!B14693</f>
        <v/>
      </c>
      <c r="C14693">
        <f>TEST_DATA!C14693</f>
        <v/>
      </c>
      <c r="D14693">
        <f>TEST_DATA!D14693</f>
        <v/>
      </c>
      <c r="E14693">
        <f>TEST_DATA!E14693</f>
        <v/>
      </c>
    </row>
    <row r="14694">
      <c r="A14694">
        <f>TEST_DATA!A14694</f>
        <v/>
      </c>
      <c r="B14694">
        <f>TEST_DATA!B14694</f>
        <v/>
      </c>
      <c r="C14694">
        <f>TEST_DATA!C14694</f>
        <v/>
      </c>
      <c r="D14694">
        <f>TEST_DATA!D14694</f>
        <v/>
      </c>
      <c r="E14694">
        <f>TEST_DATA!E14694</f>
        <v/>
      </c>
    </row>
    <row r="14695">
      <c r="A14695">
        <f>TEST_DATA!A14695</f>
        <v/>
      </c>
      <c r="B14695">
        <f>TEST_DATA!B14695</f>
        <v/>
      </c>
      <c r="C14695">
        <f>TEST_DATA!C14695</f>
        <v/>
      </c>
      <c r="D14695">
        <f>TEST_DATA!D14695</f>
        <v/>
      </c>
      <c r="E14695">
        <f>TEST_DATA!E14695</f>
        <v/>
      </c>
    </row>
    <row r="14696">
      <c r="A14696">
        <f>TEST_DATA!A14696</f>
        <v/>
      </c>
      <c r="B14696">
        <f>TEST_DATA!B14696</f>
        <v/>
      </c>
      <c r="C14696">
        <f>TEST_DATA!C14696</f>
        <v/>
      </c>
      <c r="D14696">
        <f>TEST_DATA!D14696</f>
        <v/>
      </c>
      <c r="E14696">
        <f>TEST_DATA!E14696</f>
        <v/>
      </c>
    </row>
    <row r="14697">
      <c r="A14697">
        <f>TEST_DATA!A14697</f>
        <v/>
      </c>
      <c r="B14697">
        <f>TEST_DATA!B14697</f>
        <v/>
      </c>
      <c r="C14697">
        <f>TEST_DATA!C14697</f>
        <v/>
      </c>
      <c r="D14697">
        <f>TEST_DATA!D14697</f>
        <v/>
      </c>
      <c r="E14697">
        <f>TEST_DATA!E14697</f>
        <v/>
      </c>
    </row>
    <row r="14698">
      <c r="A14698">
        <f>TEST_DATA!A14698</f>
        <v/>
      </c>
      <c r="B14698">
        <f>TEST_DATA!B14698</f>
        <v/>
      </c>
      <c r="C14698">
        <f>TEST_DATA!C14698</f>
        <v/>
      </c>
      <c r="D14698">
        <f>TEST_DATA!D14698</f>
        <v/>
      </c>
      <c r="E14698">
        <f>TEST_DATA!E14698</f>
        <v/>
      </c>
    </row>
    <row r="14699">
      <c r="A14699">
        <f>TEST_DATA!A14699</f>
        <v/>
      </c>
      <c r="B14699">
        <f>TEST_DATA!B14699</f>
        <v/>
      </c>
      <c r="C14699">
        <f>TEST_DATA!C14699</f>
        <v/>
      </c>
      <c r="D14699">
        <f>TEST_DATA!D14699</f>
        <v/>
      </c>
      <c r="E14699">
        <f>TEST_DATA!E14699</f>
        <v/>
      </c>
    </row>
    <row r="14700">
      <c r="A14700">
        <f>TEST_DATA!A14700</f>
        <v/>
      </c>
      <c r="B14700">
        <f>TEST_DATA!B14700</f>
        <v/>
      </c>
      <c r="C14700">
        <f>TEST_DATA!C14700</f>
        <v/>
      </c>
      <c r="D14700">
        <f>TEST_DATA!D14700</f>
        <v/>
      </c>
      <c r="E14700">
        <f>TEST_DATA!E14700</f>
        <v/>
      </c>
    </row>
    <row r="14701">
      <c r="A14701">
        <f>TEST_DATA!A14701</f>
        <v/>
      </c>
      <c r="B14701">
        <f>TEST_DATA!B14701</f>
        <v/>
      </c>
      <c r="C14701">
        <f>TEST_DATA!C14701</f>
        <v/>
      </c>
      <c r="D14701">
        <f>TEST_DATA!D14701</f>
        <v/>
      </c>
      <c r="E14701">
        <f>TEST_DATA!E14701</f>
        <v/>
      </c>
    </row>
    <row r="14702">
      <c r="A14702">
        <f>TEST_DATA!A14702</f>
        <v/>
      </c>
      <c r="B14702">
        <f>TEST_DATA!B14702</f>
        <v/>
      </c>
      <c r="C14702">
        <f>TEST_DATA!C14702</f>
        <v/>
      </c>
      <c r="D14702">
        <f>TEST_DATA!D14702</f>
        <v/>
      </c>
      <c r="E14702">
        <f>TEST_DATA!E14702</f>
        <v/>
      </c>
    </row>
    <row r="14703">
      <c r="A14703">
        <f>TEST_DATA!A14703</f>
        <v/>
      </c>
      <c r="B14703">
        <f>TEST_DATA!B14703</f>
        <v/>
      </c>
      <c r="C14703">
        <f>TEST_DATA!C14703</f>
        <v/>
      </c>
      <c r="D14703">
        <f>TEST_DATA!D14703</f>
        <v/>
      </c>
      <c r="E14703">
        <f>TEST_DATA!E14703</f>
        <v/>
      </c>
    </row>
    <row r="14704">
      <c r="A14704">
        <f>TEST_DATA!A14704</f>
        <v/>
      </c>
      <c r="B14704">
        <f>TEST_DATA!B14704</f>
        <v/>
      </c>
      <c r="C14704">
        <f>TEST_DATA!C14704</f>
        <v/>
      </c>
      <c r="D14704">
        <f>TEST_DATA!D14704</f>
        <v/>
      </c>
      <c r="E14704">
        <f>TEST_DATA!E14704</f>
        <v/>
      </c>
    </row>
    <row r="14705">
      <c r="A14705">
        <f>TEST_DATA!A14705</f>
        <v/>
      </c>
      <c r="B14705">
        <f>TEST_DATA!B14705</f>
        <v/>
      </c>
      <c r="C14705">
        <f>TEST_DATA!C14705</f>
        <v/>
      </c>
      <c r="D14705">
        <f>TEST_DATA!D14705</f>
        <v/>
      </c>
      <c r="E14705">
        <f>TEST_DATA!E14705</f>
        <v/>
      </c>
    </row>
    <row r="14706">
      <c r="A14706">
        <f>TEST_DATA!A14706</f>
        <v/>
      </c>
      <c r="B14706">
        <f>TEST_DATA!B14706</f>
        <v/>
      </c>
      <c r="C14706">
        <f>TEST_DATA!C14706</f>
        <v/>
      </c>
      <c r="D14706">
        <f>TEST_DATA!D14706</f>
        <v/>
      </c>
      <c r="E14706">
        <f>TEST_DATA!E14706</f>
        <v/>
      </c>
    </row>
    <row r="14707">
      <c r="A14707">
        <f>TEST_DATA!A14707</f>
        <v/>
      </c>
      <c r="B14707">
        <f>TEST_DATA!B14707</f>
        <v/>
      </c>
      <c r="C14707">
        <f>TEST_DATA!C14707</f>
        <v/>
      </c>
      <c r="D14707">
        <f>TEST_DATA!D14707</f>
        <v/>
      </c>
      <c r="E14707">
        <f>TEST_DATA!E14707</f>
        <v/>
      </c>
    </row>
    <row r="14708">
      <c r="A14708">
        <f>TEST_DATA!A14708</f>
        <v/>
      </c>
      <c r="B14708">
        <f>TEST_DATA!B14708</f>
        <v/>
      </c>
      <c r="C14708">
        <f>TEST_DATA!C14708</f>
        <v/>
      </c>
      <c r="D14708">
        <f>TEST_DATA!D14708</f>
        <v/>
      </c>
      <c r="E14708">
        <f>TEST_DATA!E14708</f>
        <v/>
      </c>
    </row>
    <row r="14709">
      <c r="A14709">
        <f>TEST_DATA!A14709</f>
        <v/>
      </c>
      <c r="B14709">
        <f>TEST_DATA!B14709</f>
        <v/>
      </c>
      <c r="C14709">
        <f>TEST_DATA!C14709</f>
        <v/>
      </c>
      <c r="D14709">
        <f>TEST_DATA!D14709</f>
        <v/>
      </c>
      <c r="E14709">
        <f>TEST_DATA!E14709</f>
        <v/>
      </c>
    </row>
    <row r="14710">
      <c r="A14710">
        <f>TEST_DATA!A14710</f>
        <v/>
      </c>
      <c r="B14710">
        <f>TEST_DATA!B14710</f>
        <v/>
      </c>
      <c r="C14710">
        <f>TEST_DATA!C14710</f>
        <v/>
      </c>
      <c r="D14710">
        <f>TEST_DATA!D14710</f>
        <v/>
      </c>
      <c r="E14710">
        <f>TEST_DATA!E14710</f>
        <v/>
      </c>
    </row>
    <row r="14711">
      <c r="A14711">
        <f>TEST_DATA!A14711</f>
        <v/>
      </c>
      <c r="B14711">
        <f>TEST_DATA!B14711</f>
        <v/>
      </c>
      <c r="C14711">
        <f>TEST_DATA!C14711</f>
        <v/>
      </c>
      <c r="D14711">
        <f>TEST_DATA!D14711</f>
        <v/>
      </c>
      <c r="E14711">
        <f>TEST_DATA!E14711</f>
        <v/>
      </c>
    </row>
    <row r="14712">
      <c r="A14712">
        <f>TEST_DATA!A14712</f>
        <v/>
      </c>
      <c r="B14712">
        <f>TEST_DATA!B14712</f>
        <v/>
      </c>
      <c r="C14712">
        <f>TEST_DATA!C14712</f>
        <v/>
      </c>
      <c r="D14712">
        <f>TEST_DATA!D14712</f>
        <v/>
      </c>
      <c r="E14712">
        <f>TEST_DATA!E14712</f>
        <v/>
      </c>
    </row>
    <row r="14713">
      <c r="A14713">
        <f>TEST_DATA!A14713</f>
        <v/>
      </c>
      <c r="B14713">
        <f>TEST_DATA!B14713</f>
        <v/>
      </c>
      <c r="C14713">
        <f>TEST_DATA!C14713</f>
        <v/>
      </c>
      <c r="D14713">
        <f>TEST_DATA!D14713</f>
        <v/>
      </c>
      <c r="E14713">
        <f>TEST_DATA!E14713</f>
        <v/>
      </c>
    </row>
    <row r="14714">
      <c r="A14714">
        <f>TEST_DATA!A14714</f>
        <v/>
      </c>
      <c r="B14714">
        <f>TEST_DATA!B14714</f>
        <v/>
      </c>
      <c r="C14714">
        <f>TEST_DATA!C14714</f>
        <v/>
      </c>
      <c r="D14714">
        <f>TEST_DATA!D14714</f>
        <v/>
      </c>
      <c r="E14714">
        <f>TEST_DATA!E14714</f>
        <v/>
      </c>
    </row>
    <row r="14715">
      <c r="A14715">
        <f>TEST_DATA!A14715</f>
        <v/>
      </c>
      <c r="B14715">
        <f>TEST_DATA!B14715</f>
        <v/>
      </c>
      <c r="C14715">
        <f>TEST_DATA!C14715</f>
        <v/>
      </c>
      <c r="D14715">
        <f>TEST_DATA!D14715</f>
        <v/>
      </c>
      <c r="E14715">
        <f>TEST_DATA!E14715</f>
        <v/>
      </c>
    </row>
    <row r="14716">
      <c r="A14716">
        <f>TEST_DATA!A14716</f>
        <v/>
      </c>
      <c r="B14716">
        <f>TEST_DATA!B14716</f>
        <v/>
      </c>
      <c r="C14716">
        <f>TEST_DATA!C14716</f>
        <v/>
      </c>
      <c r="D14716">
        <f>TEST_DATA!D14716</f>
        <v/>
      </c>
      <c r="E14716">
        <f>TEST_DATA!E14716</f>
        <v/>
      </c>
    </row>
    <row r="14717">
      <c r="A14717">
        <f>TEST_DATA!A14717</f>
        <v/>
      </c>
      <c r="B14717">
        <f>TEST_DATA!B14717</f>
        <v/>
      </c>
      <c r="C14717">
        <f>TEST_DATA!C14717</f>
        <v/>
      </c>
      <c r="D14717">
        <f>TEST_DATA!D14717</f>
        <v/>
      </c>
      <c r="E14717">
        <f>TEST_DATA!E14717</f>
        <v/>
      </c>
    </row>
    <row r="14718">
      <c r="A14718">
        <f>TEST_DATA!A14718</f>
        <v/>
      </c>
      <c r="B14718">
        <f>TEST_DATA!B14718</f>
        <v/>
      </c>
      <c r="C14718">
        <f>TEST_DATA!C14718</f>
        <v/>
      </c>
      <c r="D14718">
        <f>TEST_DATA!D14718</f>
        <v/>
      </c>
      <c r="E14718">
        <f>TEST_DATA!E14718</f>
        <v/>
      </c>
    </row>
    <row r="14719">
      <c r="A14719">
        <f>TEST_DATA!A14719</f>
        <v/>
      </c>
      <c r="B14719">
        <f>TEST_DATA!B14719</f>
        <v/>
      </c>
      <c r="C14719">
        <f>TEST_DATA!C14719</f>
        <v/>
      </c>
      <c r="D14719">
        <f>TEST_DATA!D14719</f>
        <v/>
      </c>
      <c r="E14719">
        <f>TEST_DATA!E14719</f>
        <v/>
      </c>
    </row>
    <row r="14720">
      <c r="A14720">
        <f>TEST_DATA!A14720</f>
        <v/>
      </c>
      <c r="B14720">
        <f>TEST_DATA!B14720</f>
        <v/>
      </c>
      <c r="C14720">
        <f>TEST_DATA!C14720</f>
        <v/>
      </c>
      <c r="D14720">
        <f>TEST_DATA!D14720</f>
        <v/>
      </c>
      <c r="E14720">
        <f>TEST_DATA!E14720</f>
        <v/>
      </c>
    </row>
    <row r="14721">
      <c r="A14721">
        <f>TEST_DATA!A14721</f>
        <v/>
      </c>
      <c r="B14721">
        <f>TEST_DATA!B14721</f>
        <v/>
      </c>
      <c r="C14721">
        <f>TEST_DATA!C14721</f>
        <v/>
      </c>
      <c r="D14721">
        <f>TEST_DATA!D14721</f>
        <v/>
      </c>
      <c r="E14721">
        <f>TEST_DATA!E14721</f>
        <v/>
      </c>
    </row>
    <row r="14722">
      <c r="A14722">
        <f>TEST_DATA!A14722</f>
        <v/>
      </c>
      <c r="B14722">
        <f>TEST_DATA!B14722</f>
        <v/>
      </c>
      <c r="C14722">
        <f>TEST_DATA!C14722</f>
        <v/>
      </c>
      <c r="D14722">
        <f>TEST_DATA!D14722</f>
        <v/>
      </c>
      <c r="E14722">
        <f>TEST_DATA!E14722</f>
        <v/>
      </c>
    </row>
    <row r="14723">
      <c r="A14723">
        <f>TEST_DATA!A14723</f>
        <v/>
      </c>
      <c r="B14723">
        <f>TEST_DATA!B14723</f>
        <v/>
      </c>
      <c r="C14723">
        <f>TEST_DATA!C14723</f>
        <v/>
      </c>
      <c r="D14723">
        <f>TEST_DATA!D14723</f>
        <v/>
      </c>
      <c r="E14723">
        <f>TEST_DATA!E14723</f>
        <v/>
      </c>
    </row>
    <row r="14724">
      <c r="A14724">
        <f>TEST_DATA!A14724</f>
        <v/>
      </c>
      <c r="B14724">
        <f>TEST_DATA!B14724</f>
        <v/>
      </c>
      <c r="C14724">
        <f>TEST_DATA!C14724</f>
        <v/>
      </c>
      <c r="D14724">
        <f>TEST_DATA!D14724</f>
        <v/>
      </c>
      <c r="E14724">
        <f>TEST_DATA!E14724</f>
        <v/>
      </c>
    </row>
    <row r="14725">
      <c r="A14725">
        <f>TEST_DATA!A14725</f>
        <v/>
      </c>
      <c r="B14725">
        <f>TEST_DATA!B14725</f>
        <v/>
      </c>
      <c r="C14725">
        <f>TEST_DATA!C14725</f>
        <v/>
      </c>
      <c r="D14725">
        <f>TEST_DATA!D14725</f>
        <v/>
      </c>
      <c r="E14725">
        <f>TEST_DATA!E14725</f>
        <v/>
      </c>
    </row>
    <row r="14726">
      <c r="A14726">
        <f>TEST_DATA!A14726</f>
        <v/>
      </c>
      <c r="B14726">
        <f>TEST_DATA!B14726</f>
        <v/>
      </c>
      <c r="C14726">
        <f>TEST_DATA!C14726</f>
        <v/>
      </c>
      <c r="D14726">
        <f>TEST_DATA!D14726</f>
        <v/>
      </c>
      <c r="E14726">
        <f>TEST_DATA!E14726</f>
        <v/>
      </c>
    </row>
    <row r="14727">
      <c r="A14727">
        <f>TEST_DATA!A14727</f>
        <v/>
      </c>
      <c r="B14727">
        <f>TEST_DATA!B14727</f>
        <v/>
      </c>
      <c r="C14727">
        <f>TEST_DATA!C14727</f>
        <v/>
      </c>
      <c r="D14727">
        <f>TEST_DATA!D14727</f>
        <v/>
      </c>
      <c r="E14727">
        <f>TEST_DATA!E14727</f>
        <v/>
      </c>
    </row>
    <row r="14728">
      <c r="A14728">
        <f>TEST_DATA!A14728</f>
        <v/>
      </c>
      <c r="B14728">
        <f>TEST_DATA!B14728</f>
        <v/>
      </c>
      <c r="C14728">
        <f>TEST_DATA!C14728</f>
        <v/>
      </c>
      <c r="D14728">
        <f>TEST_DATA!D14728</f>
        <v/>
      </c>
      <c r="E14728">
        <f>TEST_DATA!E14728</f>
        <v/>
      </c>
    </row>
    <row r="14729">
      <c r="A14729">
        <f>TEST_DATA!A14729</f>
        <v/>
      </c>
      <c r="B14729">
        <f>TEST_DATA!B14729</f>
        <v/>
      </c>
      <c r="C14729">
        <f>TEST_DATA!C14729</f>
        <v/>
      </c>
      <c r="D14729">
        <f>TEST_DATA!D14729</f>
        <v/>
      </c>
      <c r="E14729">
        <f>TEST_DATA!E14729</f>
        <v/>
      </c>
    </row>
    <row r="14730">
      <c r="A14730">
        <f>TEST_DATA!A14730</f>
        <v/>
      </c>
      <c r="B14730">
        <f>TEST_DATA!B14730</f>
        <v/>
      </c>
      <c r="C14730">
        <f>TEST_DATA!C14730</f>
        <v/>
      </c>
      <c r="D14730">
        <f>TEST_DATA!D14730</f>
        <v/>
      </c>
      <c r="E14730">
        <f>TEST_DATA!E14730</f>
        <v/>
      </c>
    </row>
    <row r="14731">
      <c r="A14731">
        <f>TEST_DATA!A14731</f>
        <v/>
      </c>
      <c r="B14731">
        <f>TEST_DATA!B14731</f>
        <v/>
      </c>
      <c r="C14731">
        <f>TEST_DATA!C14731</f>
        <v/>
      </c>
      <c r="D14731">
        <f>TEST_DATA!D14731</f>
        <v/>
      </c>
      <c r="E14731">
        <f>TEST_DATA!E14731</f>
        <v/>
      </c>
    </row>
    <row r="14732">
      <c r="A14732">
        <f>TEST_DATA!A14732</f>
        <v/>
      </c>
      <c r="B14732">
        <f>TEST_DATA!B14732</f>
        <v/>
      </c>
      <c r="C14732">
        <f>TEST_DATA!C14732</f>
        <v/>
      </c>
      <c r="D14732">
        <f>TEST_DATA!D14732</f>
        <v/>
      </c>
      <c r="E14732">
        <f>TEST_DATA!E14732</f>
        <v/>
      </c>
    </row>
    <row r="14733">
      <c r="A14733">
        <f>TEST_DATA!A14733</f>
        <v/>
      </c>
      <c r="B14733">
        <f>TEST_DATA!B14733</f>
        <v/>
      </c>
      <c r="C14733">
        <f>TEST_DATA!C14733</f>
        <v/>
      </c>
      <c r="D14733">
        <f>TEST_DATA!D14733</f>
        <v/>
      </c>
      <c r="E14733">
        <f>TEST_DATA!E14733</f>
        <v/>
      </c>
    </row>
    <row r="14734">
      <c r="A14734">
        <f>TEST_DATA!A14734</f>
        <v/>
      </c>
      <c r="B14734">
        <f>TEST_DATA!B14734</f>
        <v/>
      </c>
      <c r="C14734">
        <f>TEST_DATA!C14734</f>
        <v/>
      </c>
      <c r="D14734">
        <f>TEST_DATA!D14734</f>
        <v/>
      </c>
      <c r="E14734">
        <f>TEST_DATA!E14734</f>
        <v/>
      </c>
    </row>
    <row r="14735">
      <c r="A14735">
        <f>TEST_DATA!A14735</f>
        <v/>
      </c>
      <c r="B14735">
        <f>TEST_DATA!B14735</f>
        <v/>
      </c>
      <c r="C14735">
        <f>TEST_DATA!C14735</f>
        <v/>
      </c>
      <c r="D14735">
        <f>TEST_DATA!D14735</f>
        <v/>
      </c>
      <c r="E14735">
        <f>TEST_DATA!E14735</f>
        <v/>
      </c>
    </row>
    <row r="14736">
      <c r="A14736">
        <f>TEST_DATA!A14736</f>
        <v/>
      </c>
      <c r="B14736">
        <f>TEST_DATA!B14736</f>
        <v/>
      </c>
      <c r="C14736">
        <f>TEST_DATA!C14736</f>
        <v/>
      </c>
      <c r="D14736">
        <f>TEST_DATA!D14736</f>
        <v/>
      </c>
      <c r="E14736">
        <f>TEST_DATA!E14736</f>
        <v/>
      </c>
    </row>
    <row r="14737">
      <c r="A14737">
        <f>TEST_DATA!A14737</f>
        <v/>
      </c>
      <c r="B14737">
        <f>TEST_DATA!B14737</f>
        <v/>
      </c>
      <c r="C14737">
        <f>TEST_DATA!C14737</f>
        <v/>
      </c>
      <c r="D14737">
        <f>TEST_DATA!D14737</f>
        <v/>
      </c>
      <c r="E14737">
        <f>TEST_DATA!E14737</f>
        <v/>
      </c>
    </row>
    <row r="14738">
      <c r="A14738">
        <f>TEST_DATA!A14738</f>
        <v/>
      </c>
      <c r="B14738">
        <f>TEST_DATA!B14738</f>
        <v/>
      </c>
      <c r="C14738">
        <f>TEST_DATA!C14738</f>
        <v/>
      </c>
      <c r="D14738">
        <f>TEST_DATA!D14738</f>
        <v/>
      </c>
      <c r="E14738">
        <f>TEST_DATA!E14738</f>
        <v/>
      </c>
    </row>
    <row r="14739">
      <c r="A14739">
        <f>TEST_DATA!A14739</f>
        <v/>
      </c>
      <c r="B14739">
        <f>TEST_DATA!B14739</f>
        <v/>
      </c>
      <c r="C14739">
        <f>TEST_DATA!C14739</f>
        <v/>
      </c>
      <c r="D14739">
        <f>TEST_DATA!D14739</f>
        <v/>
      </c>
      <c r="E14739">
        <f>TEST_DATA!E14739</f>
        <v/>
      </c>
    </row>
    <row r="14740">
      <c r="A14740">
        <f>TEST_DATA!A14740</f>
        <v/>
      </c>
      <c r="B14740">
        <f>TEST_DATA!B14740</f>
        <v/>
      </c>
      <c r="C14740">
        <f>TEST_DATA!C14740</f>
        <v/>
      </c>
      <c r="D14740">
        <f>TEST_DATA!D14740</f>
        <v/>
      </c>
      <c r="E14740">
        <f>TEST_DATA!E14740</f>
        <v/>
      </c>
    </row>
    <row r="14741">
      <c r="A14741">
        <f>TEST_DATA!A14741</f>
        <v/>
      </c>
      <c r="B14741">
        <f>TEST_DATA!B14741</f>
        <v/>
      </c>
      <c r="C14741">
        <f>TEST_DATA!C14741</f>
        <v/>
      </c>
      <c r="D14741">
        <f>TEST_DATA!D14741</f>
        <v/>
      </c>
      <c r="E14741">
        <f>TEST_DATA!E14741</f>
        <v/>
      </c>
    </row>
    <row r="14742">
      <c r="A14742">
        <f>TEST_DATA!A14742</f>
        <v/>
      </c>
      <c r="B14742">
        <f>TEST_DATA!B14742</f>
        <v/>
      </c>
      <c r="C14742">
        <f>TEST_DATA!C14742</f>
        <v/>
      </c>
      <c r="D14742">
        <f>TEST_DATA!D14742</f>
        <v/>
      </c>
      <c r="E14742">
        <f>TEST_DATA!E14742</f>
        <v/>
      </c>
    </row>
    <row r="14743">
      <c r="A14743">
        <f>TEST_DATA!A14743</f>
        <v/>
      </c>
      <c r="B14743">
        <f>TEST_DATA!B14743</f>
        <v/>
      </c>
      <c r="C14743">
        <f>TEST_DATA!C14743</f>
        <v/>
      </c>
      <c r="D14743">
        <f>TEST_DATA!D14743</f>
        <v/>
      </c>
      <c r="E14743">
        <f>TEST_DATA!E14743</f>
        <v/>
      </c>
    </row>
    <row r="14744">
      <c r="A14744">
        <f>TEST_DATA!A14744</f>
        <v/>
      </c>
      <c r="B14744">
        <f>TEST_DATA!B14744</f>
        <v/>
      </c>
      <c r="C14744">
        <f>TEST_DATA!C14744</f>
        <v/>
      </c>
      <c r="D14744">
        <f>TEST_DATA!D14744</f>
        <v/>
      </c>
      <c r="E14744">
        <f>TEST_DATA!E14744</f>
        <v/>
      </c>
    </row>
    <row r="14745">
      <c r="A14745">
        <f>TEST_DATA!A14745</f>
        <v/>
      </c>
      <c r="B14745">
        <f>TEST_DATA!B14745</f>
        <v/>
      </c>
      <c r="C14745">
        <f>TEST_DATA!C14745</f>
        <v/>
      </c>
      <c r="D14745">
        <f>TEST_DATA!D14745</f>
        <v/>
      </c>
      <c r="E14745">
        <f>TEST_DATA!E14745</f>
        <v/>
      </c>
    </row>
    <row r="14746">
      <c r="A14746">
        <f>TEST_DATA!A14746</f>
        <v/>
      </c>
      <c r="B14746">
        <f>TEST_DATA!B14746</f>
        <v/>
      </c>
      <c r="C14746">
        <f>TEST_DATA!C14746</f>
        <v/>
      </c>
      <c r="D14746">
        <f>TEST_DATA!D14746</f>
        <v/>
      </c>
      <c r="E14746">
        <f>TEST_DATA!E14746</f>
        <v/>
      </c>
    </row>
    <row r="14747">
      <c r="A14747">
        <f>TEST_DATA!A14747</f>
        <v/>
      </c>
      <c r="B14747">
        <f>TEST_DATA!B14747</f>
        <v/>
      </c>
      <c r="C14747">
        <f>TEST_DATA!C14747</f>
        <v/>
      </c>
      <c r="D14747">
        <f>TEST_DATA!D14747</f>
        <v/>
      </c>
      <c r="E14747">
        <f>TEST_DATA!E14747</f>
        <v/>
      </c>
    </row>
    <row r="14748">
      <c r="A14748">
        <f>TEST_DATA!A14748</f>
        <v/>
      </c>
      <c r="B14748">
        <f>TEST_DATA!B14748</f>
        <v/>
      </c>
      <c r="C14748">
        <f>TEST_DATA!C14748</f>
        <v/>
      </c>
      <c r="D14748">
        <f>TEST_DATA!D14748</f>
        <v/>
      </c>
      <c r="E14748">
        <f>TEST_DATA!E14748</f>
        <v/>
      </c>
    </row>
    <row r="14749">
      <c r="A14749">
        <f>TEST_DATA!A14749</f>
        <v/>
      </c>
      <c r="B14749">
        <f>TEST_DATA!B14749</f>
        <v/>
      </c>
      <c r="C14749">
        <f>TEST_DATA!C14749</f>
        <v/>
      </c>
      <c r="D14749">
        <f>TEST_DATA!D14749</f>
        <v/>
      </c>
      <c r="E14749">
        <f>TEST_DATA!E14749</f>
        <v/>
      </c>
    </row>
    <row r="14750">
      <c r="A14750">
        <f>TEST_DATA!A14750</f>
        <v/>
      </c>
      <c r="B14750">
        <f>TEST_DATA!B14750</f>
        <v/>
      </c>
      <c r="C14750">
        <f>TEST_DATA!C14750</f>
        <v/>
      </c>
      <c r="D14750">
        <f>TEST_DATA!D14750</f>
        <v/>
      </c>
      <c r="E14750">
        <f>TEST_DATA!E14750</f>
        <v/>
      </c>
    </row>
    <row r="14751">
      <c r="A14751">
        <f>TEST_DATA!A14751</f>
        <v/>
      </c>
      <c r="B14751">
        <f>TEST_DATA!B14751</f>
        <v/>
      </c>
      <c r="C14751">
        <f>TEST_DATA!C14751</f>
        <v/>
      </c>
      <c r="D14751">
        <f>TEST_DATA!D14751</f>
        <v/>
      </c>
      <c r="E14751">
        <f>TEST_DATA!E14751</f>
        <v/>
      </c>
    </row>
    <row r="14752">
      <c r="A14752">
        <f>TEST_DATA!A14752</f>
        <v/>
      </c>
      <c r="B14752">
        <f>TEST_DATA!B14752</f>
        <v/>
      </c>
      <c r="C14752">
        <f>TEST_DATA!C14752</f>
        <v/>
      </c>
      <c r="D14752">
        <f>TEST_DATA!D14752</f>
        <v/>
      </c>
      <c r="E14752">
        <f>TEST_DATA!E14752</f>
        <v/>
      </c>
    </row>
    <row r="14753">
      <c r="A14753">
        <f>TEST_DATA!A14753</f>
        <v/>
      </c>
      <c r="B14753">
        <f>TEST_DATA!B14753</f>
        <v/>
      </c>
      <c r="C14753">
        <f>TEST_DATA!C14753</f>
        <v/>
      </c>
      <c r="D14753">
        <f>TEST_DATA!D14753</f>
        <v/>
      </c>
      <c r="E14753">
        <f>TEST_DATA!E14753</f>
        <v/>
      </c>
    </row>
    <row r="14754">
      <c r="A14754">
        <f>TEST_DATA!A14754</f>
        <v/>
      </c>
      <c r="B14754">
        <f>TEST_DATA!B14754</f>
        <v/>
      </c>
      <c r="C14754">
        <f>TEST_DATA!C14754</f>
        <v/>
      </c>
      <c r="D14754">
        <f>TEST_DATA!D14754</f>
        <v/>
      </c>
      <c r="E14754">
        <f>TEST_DATA!E14754</f>
        <v/>
      </c>
    </row>
    <row r="14755">
      <c r="A14755">
        <f>TEST_DATA!A14755</f>
        <v/>
      </c>
      <c r="B14755">
        <f>TEST_DATA!B14755</f>
        <v/>
      </c>
      <c r="C14755">
        <f>TEST_DATA!C14755</f>
        <v/>
      </c>
      <c r="D14755">
        <f>TEST_DATA!D14755</f>
        <v/>
      </c>
      <c r="E14755">
        <f>TEST_DATA!E14755</f>
        <v/>
      </c>
    </row>
    <row r="14756">
      <c r="A14756">
        <f>TEST_DATA!A14756</f>
        <v/>
      </c>
      <c r="B14756">
        <f>TEST_DATA!B14756</f>
        <v/>
      </c>
      <c r="C14756">
        <f>TEST_DATA!C14756</f>
        <v/>
      </c>
      <c r="D14756">
        <f>TEST_DATA!D14756</f>
        <v/>
      </c>
      <c r="E14756">
        <f>TEST_DATA!E14756</f>
        <v/>
      </c>
    </row>
    <row r="14757">
      <c r="A14757">
        <f>TEST_DATA!A14757</f>
        <v/>
      </c>
      <c r="B14757">
        <f>TEST_DATA!B14757</f>
        <v/>
      </c>
      <c r="C14757">
        <f>TEST_DATA!C14757</f>
        <v/>
      </c>
      <c r="D14757">
        <f>TEST_DATA!D14757</f>
        <v/>
      </c>
      <c r="E14757">
        <f>TEST_DATA!E14757</f>
        <v/>
      </c>
    </row>
    <row r="14758">
      <c r="A14758">
        <f>TEST_DATA!A14758</f>
        <v/>
      </c>
      <c r="B14758">
        <f>TEST_DATA!B14758</f>
        <v/>
      </c>
      <c r="C14758">
        <f>TEST_DATA!C14758</f>
        <v/>
      </c>
      <c r="D14758">
        <f>TEST_DATA!D14758</f>
        <v/>
      </c>
      <c r="E14758">
        <f>TEST_DATA!E14758</f>
        <v/>
      </c>
    </row>
    <row r="14759">
      <c r="A14759">
        <f>TEST_DATA!A14759</f>
        <v/>
      </c>
      <c r="B14759">
        <f>TEST_DATA!B14759</f>
        <v/>
      </c>
      <c r="C14759">
        <f>TEST_DATA!C14759</f>
        <v/>
      </c>
      <c r="D14759">
        <f>TEST_DATA!D14759</f>
        <v/>
      </c>
      <c r="E14759">
        <f>TEST_DATA!E14759</f>
        <v/>
      </c>
    </row>
    <row r="14760">
      <c r="A14760">
        <f>TEST_DATA!A14760</f>
        <v/>
      </c>
      <c r="B14760">
        <f>TEST_DATA!B14760</f>
        <v/>
      </c>
      <c r="C14760">
        <f>TEST_DATA!C14760</f>
        <v/>
      </c>
      <c r="D14760">
        <f>TEST_DATA!D14760</f>
        <v/>
      </c>
      <c r="E14760">
        <f>TEST_DATA!E14760</f>
        <v/>
      </c>
    </row>
    <row r="14761">
      <c r="A14761">
        <f>TEST_DATA!A14761</f>
        <v/>
      </c>
      <c r="B14761">
        <f>TEST_DATA!B14761</f>
        <v/>
      </c>
      <c r="C14761">
        <f>TEST_DATA!C14761</f>
        <v/>
      </c>
      <c r="D14761">
        <f>TEST_DATA!D14761</f>
        <v/>
      </c>
      <c r="E14761">
        <f>TEST_DATA!E14761</f>
        <v/>
      </c>
    </row>
    <row r="14762">
      <c r="A14762">
        <f>TEST_DATA!A14762</f>
        <v/>
      </c>
      <c r="B14762">
        <f>TEST_DATA!B14762</f>
        <v/>
      </c>
      <c r="C14762">
        <f>TEST_DATA!C14762</f>
        <v/>
      </c>
      <c r="D14762">
        <f>TEST_DATA!D14762</f>
        <v/>
      </c>
      <c r="E14762">
        <f>TEST_DATA!E14762</f>
        <v/>
      </c>
    </row>
    <row r="14763">
      <c r="A14763">
        <f>TEST_DATA!A14763</f>
        <v/>
      </c>
      <c r="B14763">
        <f>TEST_DATA!B14763</f>
        <v/>
      </c>
      <c r="C14763">
        <f>TEST_DATA!C14763</f>
        <v/>
      </c>
      <c r="D14763">
        <f>TEST_DATA!D14763</f>
        <v/>
      </c>
      <c r="E14763">
        <f>TEST_DATA!E14763</f>
        <v/>
      </c>
    </row>
    <row r="14764">
      <c r="A14764">
        <f>TEST_DATA!A14764</f>
        <v/>
      </c>
      <c r="B14764">
        <f>TEST_DATA!B14764</f>
        <v/>
      </c>
      <c r="C14764">
        <f>TEST_DATA!C14764</f>
        <v/>
      </c>
      <c r="D14764">
        <f>TEST_DATA!D14764</f>
        <v/>
      </c>
      <c r="E14764">
        <f>TEST_DATA!E14764</f>
        <v/>
      </c>
    </row>
    <row r="14765">
      <c r="A14765">
        <f>TEST_DATA!A14765</f>
        <v/>
      </c>
      <c r="B14765">
        <f>TEST_DATA!B14765</f>
        <v/>
      </c>
      <c r="C14765">
        <f>TEST_DATA!C14765</f>
        <v/>
      </c>
      <c r="D14765">
        <f>TEST_DATA!D14765</f>
        <v/>
      </c>
      <c r="E14765">
        <f>TEST_DATA!E14765</f>
        <v/>
      </c>
    </row>
    <row r="14766">
      <c r="A14766">
        <f>TEST_DATA!A14766</f>
        <v/>
      </c>
      <c r="B14766">
        <f>TEST_DATA!B14766</f>
        <v/>
      </c>
      <c r="C14766">
        <f>TEST_DATA!C14766</f>
        <v/>
      </c>
      <c r="D14766">
        <f>TEST_DATA!D14766</f>
        <v/>
      </c>
      <c r="E14766">
        <f>TEST_DATA!E14766</f>
        <v/>
      </c>
    </row>
    <row r="14767">
      <c r="A14767">
        <f>TEST_DATA!A14767</f>
        <v/>
      </c>
      <c r="B14767">
        <f>TEST_DATA!B14767</f>
        <v/>
      </c>
      <c r="C14767">
        <f>TEST_DATA!C14767</f>
        <v/>
      </c>
      <c r="D14767">
        <f>TEST_DATA!D14767</f>
        <v/>
      </c>
      <c r="E14767">
        <f>TEST_DATA!E14767</f>
        <v/>
      </c>
    </row>
    <row r="14768">
      <c r="A14768">
        <f>TEST_DATA!A14768</f>
        <v/>
      </c>
      <c r="B14768">
        <f>TEST_DATA!B14768</f>
        <v/>
      </c>
      <c r="C14768">
        <f>TEST_DATA!C14768</f>
        <v/>
      </c>
      <c r="D14768">
        <f>TEST_DATA!D14768</f>
        <v/>
      </c>
      <c r="E14768">
        <f>TEST_DATA!E14768</f>
        <v/>
      </c>
    </row>
    <row r="14769">
      <c r="A14769">
        <f>TEST_DATA!A14769</f>
        <v/>
      </c>
      <c r="B14769">
        <f>TEST_DATA!B14769</f>
        <v/>
      </c>
      <c r="C14769">
        <f>TEST_DATA!C14769</f>
        <v/>
      </c>
      <c r="D14769">
        <f>TEST_DATA!D14769</f>
        <v/>
      </c>
      <c r="E14769">
        <f>TEST_DATA!E14769</f>
        <v/>
      </c>
    </row>
    <row r="14770">
      <c r="A14770">
        <f>TEST_DATA!A14770</f>
        <v/>
      </c>
      <c r="B14770">
        <f>TEST_DATA!B14770</f>
        <v/>
      </c>
      <c r="C14770">
        <f>TEST_DATA!C14770</f>
        <v/>
      </c>
      <c r="D14770">
        <f>TEST_DATA!D14770</f>
        <v/>
      </c>
      <c r="E14770">
        <f>TEST_DATA!E14770</f>
        <v/>
      </c>
    </row>
    <row r="14771">
      <c r="A14771">
        <f>TEST_DATA!A14771</f>
        <v/>
      </c>
      <c r="B14771">
        <f>TEST_DATA!B14771</f>
        <v/>
      </c>
      <c r="C14771">
        <f>TEST_DATA!C14771</f>
        <v/>
      </c>
      <c r="D14771">
        <f>TEST_DATA!D14771</f>
        <v/>
      </c>
      <c r="E14771">
        <f>TEST_DATA!E14771</f>
        <v/>
      </c>
    </row>
    <row r="14772">
      <c r="A14772">
        <f>TEST_DATA!A14772</f>
        <v/>
      </c>
      <c r="B14772">
        <f>TEST_DATA!B14772</f>
        <v/>
      </c>
      <c r="C14772">
        <f>TEST_DATA!C14772</f>
        <v/>
      </c>
      <c r="D14772">
        <f>TEST_DATA!D14772</f>
        <v/>
      </c>
      <c r="E14772">
        <f>TEST_DATA!E14772</f>
        <v/>
      </c>
    </row>
    <row r="14773">
      <c r="A14773">
        <f>TEST_DATA!A14773</f>
        <v/>
      </c>
      <c r="B14773">
        <f>TEST_DATA!B14773</f>
        <v/>
      </c>
      <c r="C14773">
        <f>TEST_DATA!C14773</f>
        <v/>
      </c>
      <c r="D14773">
        <f>TEST_DATA!D14773</f>
        <v/>
      </c>
      <c r="E14773">
        <f>TEST_DATA!E14773</f>
        <v/>
      </c>
    </row>
    <row r="14774">
      <c r="A14774">
        <f>TEST_DATA!A14774</f>
        <v/>
      </c>
      <c r="B14774">
        <f>TEST_DATA!B14774</f>
        <v/>
      </c>
      <c r="C14774">
        <f>TEST_DATA!C14774</f>
        <v/>
      </c>
      <c r="D14774">
        <f>TEST_DATA!D14774</f>
        <v/>
      </c>
      <c r="E14774">
        <f>TEST_DATA!E14774</f>
        <v/>
      </c>
    </row>
    <row r="14775">
      <c r="A14775">
        <f>TEST_DATA!A14775</f>
        <v/>
      </c>
      <c r="B14775">
        <f>TEST_DATA!B14775</f>
        <v/>
      </c>
      <c r="C14775">
        <f>TEST_DATA!C14775</f>
        <v/>
      </c>
      <c r="D14775">
        <f>TEST_DATA!D14775</f>
        <v/>
      </c>
      <c r="E14775">
        <f>TEST_DATA!E14775</f>
        <v/>
      </c>
    </row>
    <row r="14776">
      <c r="A14776">
        <f>TEST_DATA!A14776</f>
        <v/>
      </c>
      <c r="B14776">
        <f>TEST_DATA!B14776</f>
        <v/>
      </c>
      <c r="C14776">
        <f>TEST_DATA!C14776</f>
        <v/>
      </c>
      <c r="D14776">
        <f>TEST_DATA!D14776</f>
        <v/>
      </c>
      <c r="E14776">
        <f>TEST_DATA!E14776</f>
        <v/>
      </c>
    </row>
    <row r="14777">
      <c r="A14777">
        <f>TEST_DATA!A14777</f>
        <v/>
      </c>
      <c r="B14777">
        <f>TEST_DATA!B14777</f>
        <v/>
      </c>
      <c r="C14777">
        <f>TEST_DATA!C14777</f>
        <v/>
      </c>
      <c r="D14777">
        <f>TEST_DATA!D14777</f>
        <v/>
      </c>
      <c r="E14777">
        <f>TEST_DATA!E14777</f>
        <v/>
      </c>
    </row>
    <row r="14778">
      <c r="A14778">
        <f>TEST_DATA!A14778</f>
        <v/>
      </c>
      <c r="B14778">
        <f>TEST_DATA!B14778</f>
        <v/>
      </c>
      <c r="C14778">
        <f>TEST_DATA!C14778</f>
        <v/>
      </c>
      <c r="D14778">
        <f>TEST_DATA!D14778</f>
        <v/>
      </c>
      <c r="E14778">
        <f>TEST_DATA!E14778</f>
        <v/>
      </c>
    </row>
    <row r="14779">
      <c r="A14779">
        <f>TEST_DATA!A14779</f>
        <v/>
      </c>
      <c r="B14779">
        <f>TEST_DATA!B14779</f>
        <v/>
      </c>
      <c r="C14779">
        <f>TEST_DATA!C14779</f>
        <v/>
      </c>
      <c r="D14779">
        <f>TEST_DATA!D14779</f>
        <v/>
      </c>
      <c r="E14779">
        <f>TEST_DATA!E14779</f>
        <v/>
      </c>
    </row>
    <row r="14780">
      <c r="A14780">
        <f>TEST_DATA!A14780</f>
        <v/>
      </c>
      <c r="B14780">
        <f>TEST_DATA!B14780</f>
        <v/>
      </c>
      <c r="C14780">
        <f>TEST_DATA!C14780</f>
        <v/>
      </c>
      <c r="D14780">
        <f>TEST_DATA!D14780</f>
        <v/>
      </c>
      <c r="E14780">
        <f>TEST_DATA!E14780</f>
        <v/>
      </c>
    </row>
    <row r="14781">
      <c r="A14781">
        <f>TEST_DATA!A14781</f>
        <v/>
      </c>
      <c r="B14781">
        <f>TEST_DATA!B14781</f>
        <v/>
      </c>
      <c r="C14781">
        <f>TEST_DATA!C14781</f>
        <v/>
      </c>
      <c r="D14781">
        <f>TEST_DATA!D14781</f>
        <v/>
      </c>
      <c r="E14781">
        <f>TEST_DATA!E14781</f>
        <v/>
      </c>
    </row>
    <row r="14782">
      <c r="A14782">
        <f>TEST_DATA!A14782</f>
        <v/>
      </c>
      <c r="B14782">
        <f>TEST_DATA!B14782</f>
        <v/>
      </c>
      <c r="C14782">
        <f>TEST_DATA!C14782</f>
        <v/>
      </c>
      <c r="D14782">
        <f>TEST_DATA!D14782</f>
        <v/>
      </c>
      <c r="E14782">
        <f>TEST_DATA!E14782</f>
        <v/>
      </c>
    </row>
    <row r="14783">
      <c r="A14783">
        <f>TEST_DATA!A14783</f>
        <v/>
      </c>
      <c r="B14783">
        <f>TEST_DATA!B14783</f>
        <v/>
      </c>
      <c r="C14783">
        <f>TEST_DATA!C14783</f>
        <v/>
      </c>
      <c r="D14783">
        <f>TEST_DATA!D14783</f>
        <v/>
      </c>
      <c r="E14783">
        <f>TEST_DATA!E14783</f>
        <v/>
      </c>
    </row>
    <row r="14784">
      <c r="A14784">
        <f>TEST_DATA!A14784</f>
        <v/>
      </c>
      <c r="B14784">
        <f>TEST_DATA!B14784</f>
        <v/>
      </c>
      <c r="C14784">
        <f>TEST_DATA!C14784</f>
        <v/>
      </c>
      <c r="D14784">
        <f>TEST_DATA!D14784</f>
        <v/>
      </c>
      <c r="E14784">
        <f>TEST_DATA!E14784</f>
        <v/>
      </c>
    </row>
    <row r="14785">
      <c r="A14785">
        <f>TEST_DATA!A14785</f>
        <v/>
      </c>
      <c r="B14785">
        <f>TEST_DATA!B14785</f>
        <v/>
      </c>
      <c r="C14785">
        <f>TEST_DATA!C14785</f>
        <v/>
      </c>
      <c r="D14785">
        <f>TEST_DATA!D14785</f>
        <v/>
      </c>
      <c r="E14785">
        <f>TEST_DATA!E14785</f>
        <v/>
      </c>
    </row>
    <row r="14786">
      <c r="A14786">
        <f>TEST_DATA!A14786</f>
        <v/>
      </c>
      <c r="B14786">
        <f>TEST_DATA!B14786</f>
        <v/>
      </c>
      <c r="C14786">
        <f>TEST_DATA!C14786</f>
        <v/>
      </c>
      <c r="D14786">
        <f>TEST_DATA!D14786</f>
        <v/>
      </c>
      <c r="E14786">
        <f>TEST_DATA!E14786</f>
        <v/>
      </c>
    </row>
    <row r="14787">
      <c r="A14787">
        <f>TEST_DATA!A14787</f>
        <v/>
      </c>
      <c r="B14787">
        <f>TEST_DATA!B14787</f>
        <v/>
      </c>
      <c r="C14787">
        <f>TEST_DATA!C14787</f>
        <v/>
      </c>
      <c r="D14787">
        <f>TEST_DATA!D14787</f>
        <v/>
      </c>
      <c r="E14787">
        <f>TEST_DATA!E14787</f>
        <v/>
      </c>
    </row>
    <row r="14788">
      <c r="A14788">
        <f>TEST_DATA!A14788</f>
        <v/>
      </c>
      <c r="B14788">
        <f>TEST_DATA!B14788</f>
        <v/>
      </c>
      <c r="C14788">
        <f>TEST_DATA!C14788</f>
        <v/>
      </c>
      <c r="D14788">
        <f>TEST_DATA!D14788</f>
        <v/>
      </c>
      <c r="E14788">
        <f>TEST_DATA!E14788</f>
        <v/>
      </c>
    </row>
    <row r="14789">
      <c r="A14789">
        <f>TEST_DATA!A14789</f>
        <v/>
      </c>
      <c r="B14789">
        <f>TEST_DATA!B14789</f>
        <v/>
      </c>
      <c r="C14789">
        <f>TEST_DATA!C14789</f>
        <v/>
      </c>
      <c r="D14789">
        <f>TEST_DATA!D14789</f>
        <v/>
      </c>
      <c r="E14789">
        <f>TEST_DATA!E14789</f>
        <v/>
      </c>
    </row>
    <row r="14790">
      <c r="A14790">
        <f>TEST_DATA!A14790</f>
        <v/>
      </c>
      <c r="B14790">
        <f>TEST_DATA!B14790</f>
        <v/>
      </c>
      <c r="C14790">
        <f>TEST_DATA!C14790</f>
        <v/>
      </c>
      <c r="D14790">
        <f>TEST_DATA!D14790</f>
        <v/>
      </c>
      <c r="E14790">
        <f>TEST_DATA!E14790</f>
        <v/>
      </c>
    </row>
    <row r="14791">
      <c r="A14791">
        <f>TEST_DATA!A14791</f>
        <v/>
      </c>
      <c r="B14791">
        <f>TEST_DATA!B14791</f>
        <v/>
      </c>
      <c r="C14791">
        <f>TEST_DATA!C14791</f>
        <v/>
      </c>
      <c r="D14791">
        <f>TEST_DATA!D14791</f>
        <v/>
      </c>
      <c r="E14791">
        <f>TEST_DATA!E14791</f>
        <v/>
      </c>
    </row>
    <row r="14792">
      <c r="A14792">
        <f>TEST_DATA!A14792</f>
        <v/>
      </c>
      <c r="B14792">
        <f>TEST_DATA!B14792</f>
        <v/>
      </c>
      <c r="C14792">
        <f>TEST_DATA!C14792</f>
        <v/>
      </c>
      <c r="D14792">
        <f>TEST_DATA!D14792</f>
        <v/>
      </c>
      <c r="E14792">
        <f>TEST_DATA!E14792</f>
        <v/>
      </c>
    </row>
    <row r="14793">
      <c r="A14793">
        <f>TEST_DATA!A14793</f>
        <v/>
      </c>
      <c r="B14793">
        <f>TEST_DATA!B14793</f>
        <v/>
      </c>
      <c r="C14793">
        <f>TEST_DATA!C14793</f>
        <v/>
      </c>
      <c r="D14793">
        <f>TEST_DATA!D14793</f>
        <v/>
      </c>
      <c r="E14793">
        <f>TEST_DATA!E14793</f>
        <v/>
      </c>
    </row>
    <row r="14794">
      <c r="A14794">
        <f>TEST_DATA!A14794</f>
        <v/>
      </c>
      <c r="B14794">
        <f>TEST_DATA!B14794</f>
        <v/>
      </c>
      <c r="C14794">
        <f>TEST_DATA!C14794</f>
        <v/>
      </c>
      <c r="D14794">
        <f>TEST_DATA!D14794</f>
        <v/>
      </c>
      <c r="E14794">
        <f>TEST_DATA!E14794</f>
        <v/>
      </c>
    </row>
    <row r="14795">
      <c r="A14795">
        <f>TEST_DATA!A14795</f>
        <v/>
      </c>
      <c r="B14795">
        <f>TEST_DATA!B14795</f>
        <v/>
      </c>
      <c r="C14795">
        <f>TEST_DATA!C14795</f>
        <v/>
      </c>
      <c r="D14795">
        <f>TEST_DATA!D14795</f>
        <v/>
      </c>
      <c r="E14795">
        <f>TEST_DATA!E14795</f>
        <v/>
      </c>
    </row>
    <row r="14796">
      <c r="A14796">
        <f>TEST_DATA!A14796</f>
        <v/>
      </c>
      <c r="B14796">
        <f>TEST_DATA!B14796</f>
        <v/>
      </c>
      <c r="C14796">
        <f>TEST_DATA!C14796</f>
        <v/>
      </c>
      <c r="D14796">
        <f>TEST_DATA!D14796</f>
        <v/>
      </c>
      <c r="E14796">
        <f>TEST_DATA!E14796</f>
        <v/>
      </c>
    </row>
    <row r="14797">
      <c r="A14797">
        <f>TEST_DATA!A14797</f>
        <v/>
      </c>
      <c r="B14797">
        <f>TEST_DATA!B14797</f>
        <v/>
      </c>
      <c r="C14797">
        <f>TEST_DATA!C14797</f>
        <v/>
      </c>
      <c r="D14797">
        <f>TEST_DATA!D14797</f>
        <v/>
      </c>
      <c r="E14797">
        <f>TEST_DATA!E14797</f>
        <v/>
      </c>
    </row>
    <row r="14798">
      <c r="A14798">
        <f>TEST_DATA!A14798</f>
        <v/>
      </c>
      <c r="B14798">
        <f>TEST_DATA!B14798</f>
        <v/>
      </c>
      <c r="C14798">
        <f>TEST_DATA!C14798</f>
        <v/>
      </c>
      <c r="D14798">
        <f>TEST_DATA!D14798</f>
        <v/>
      </c>
      <c r="E14798">
        <f>TEST_DATA!E14798</f>
        <v/>
      </c>
    </row>
    <row r="14799">
      <c r="A14799">
        <f>TEST_DATA!A14799</f>
        <v/>
      </c>
      <c r="B14799">
        <f>TEST_DATA!B14799</f>
        <v/>
      </c>
      <c r="C14799">
        <f>TEST_DATA!C14799</f>
        <v/>
      </c>
      <c r="D14799">
        <f>TEST_DATA!D14799</f>
        <v/>
      </c>
      <c r="E14799">
        <f>TEST_DATA!E14799</f>
        <v/>
      </c>
    </row>
    <row r="14800">
      <c r="A14800">
        <f>TEST_DATA!A14800</f>
        <v/>
      </c>
      <c r="B14800">
        <f>TEST_DATA!B14800</f>
        <v/>
      </c>
      <c r="C14800">
        <f>TEST_DATA!C14800</f>
        <v/>
      </c>
      <c r="D14800">
        <f>TEST_DATA!D14800</f>
        <v/>
      </c>
      <c r="E14800">
        <f>TEST_DATA!E14800</f>
        <v/>
      </c>
    </row>
    <row r="14801">
      <c r="A14801">
        <f>TEST_DATA!A14801</f>
        <v/>
      </c>
      <c r="B14801">
        <f>TEST_DATA!B14801</f>
        <v/>
      </c>
      <c r="C14801">
        <f>TEST_DATA!C14801</f>
        <v/>
      </c>
      <c r="D14801">
        <f>TEST_DATA!D14801</f>
        <v/>
      </c>
      <c r="E14801">
        <f>TEST_DATA!E14801</f>
        <v/>
      </c>
    </row>
    <row r="14802">
      <c r="A14802">
        <f>TEST_DATA!A14802</f>
        <v/>
      </c>
      <c r="B14802">
        <f>TEST_DATA!B14802</f>
        <v/>
      </c>
      <c r="C14802">
        <f>TEST_DATA!C14802</f>
        <v/>
      </c>
      <c r="D14802">
        <f>TEST_DATA!D14802</f>
        <v/>
      </c>
      <c r="E14802">
        <f>TEST_DATA!E14802</f>
        <v/>
      </c>
    </row>
    <row r="14803">
      <c r="A14803">
        <f>TEST_DATA!A14803</f>
        <v/>
      </c>
      <c r="B14803">
        <f>TEST_DATA!B14803</f>
        <v/>
      </c>
      <c r="C14803">
        <f>TEST_DATA!C14803</f>
        <v/>
      </c>
      <c r="D14803">
        <f>TEST_DATA!D14803</f>
        <v/>
      </c>
      <c r="E14803">
        <f>TEST_DATA!E14803</f>
        <v/>
      </c>
    </row>
    <row r="14804">
      <c r="A14804">
        <f>TEST_DATA!A14804</f>
        <v/>
      </c>
      <c r="B14804">
        <f>TEST_DATA!B14804</f>
        <v/>
      </c>
      <c r="C14804">
        <f>TEST_DATA!C14804</f>
        <v/>
      </c>
      <c r="D14804">
        <f>TEST_DATA!D14804</f>
        <v/>
      </c>
      <c r="E14804">
        <f>TEST_DATA!E14804</f>
        <v/>
      </c>
    </row>
    <row r="14805">
      <c r="A14805">
        <f>TEST_DATA!A14805</f>
        <v/>
      </c>
      <c r="B14805">
        <f>TEST_DATA!B14805</f>
        <v/>
      </c>
      <c r="C14805">
        <f>TEST_DATA!C14805</f>
        <v/>
      </c>
      <c r="D14805">
        <f>TEST_DATA!D14805</f>
        <v/>
      </c>
      <c r="E14805">
        <f>TEST_DATA!E14805</f>
        <v/>
      </c>
    </row>
    <row r="14806">
      <c r="A14806">
        <f>TEST_DATA!A14806</f>
        <v/>
      </c>
      <c r="B14806">
        <f>TEST_DATA!B14806</f>
        <v/>
      </c>
      <c r="C14806">
        <f>TEST_DATA!C14806</f>
        <v/>
      </c>
      <c r="D14806">
        <f>TEST_DATA!D14806</f>
        <v/>
      </c>
      <c r="E14806">
        <f>TEST_DATA!E14806</f>
        <v/>
      </c>
    </row>
    <row r="14807">
      <c r="A14807">
        <f>TEST_DATA!A14807</f>
        <v/>
      </c>
      <c r="B14807">
        <f>TEST_DATA!B14807</f>
        <v/>
      </c>
      <c r="C14807">
        <f>TEST_DATA!C14807</f>
        <v/>
      </c>
      <c r="D14807">
        <f>TEST_DATA!D14807</f>
        <v/>
      </c>
      <c r="E14807">
        <f>TEST_DATA!E14807</f>
        <v/>
      </c>
    </row>
    <row r="14808">
      <c r="A14808">
        <f>TEST_DATA!A14808</f>
        <v/>
      </c>
      <c r="B14808">
        <f>TEST_DATA!B14808</f>
        <v/>
      </c>
      <c r="C14808">
        <f>TEST_DATA!C14808</f>
        <v/>
      </c>
      <c r="D14808">
        <f>TEST_DATA!D14808</f>
        <v/>
      </c>
      <c r="E14808">
        <f>TEST_DATA!E14808</f>
        <v/>
      </c>
    </row>
    <row r="14809">
      <c r="A14809">
        <f>TEST_DATA!A14809</f>
        <v/>
      </c>
      <c r="B14809">
        <f>TEST_DATA!B14809</f>
        <v/>
      </c>
      <c r="C14809">
        <f>TEST_DATA!C14809</f>
        <v/>
      </c>
      <c r="D14809">
        <f>TEST_DATA!D14809</f>
        <v/>
      </c>
      <c r="E14809">
        <f>TEST_DATA!E14809</f>
        <v/>
      </c>
    </row>
    <row r="14810">
      <c r="A14810">
        <f>TEST_DATA!A14810</f>
        <v/>
      </c>
      <c r="B14810">
        <f>TEST_DATA!B14810</f>
        <v/>
      </c>
      <c r="C14810">
        <f>TEST_DATA!C14810</f>
        <v/>
      </c>
      <c r="D14810">
        <f>TEST_DATA!D14810</f>
        <v/>
      </c>
      <c r="E14810">
        <f>TEST_DATA!E14810</f>
        <v/>
      </c>
    </row>
    <row r="14811">
      <c r="A14811">
        <f>TEST_DATA!A14811</f>
        <v/>
      </c>
      <c r="B14811">
        <f>TEST_DATA!B14811</f>
        <v/>
      </c>
      <c r="C14811">
        <f>TEST_DATA!C14811</f>
        <v/>
      </c>
      <c r="D14811">
        <f>TEST_DATA!D14811</f>
        <v/>
      </c>
      <c r="E14811">
        <f>TEST_DATA!E14811</f>
        <v/>
      </c>
    </row>
    <row r="14812">
      <c r="A14812">
        <f>TEST_DATA!A14812</f>
        <v/>
      </c>
      <c r="B14812">
        <f>TEST_DATA!B14812</f>
        <v/>
      </c>
      <c r="C14812">
        <f>TEST_DATA!C14812</f>
        <v/>
      </c>
      <c r="D14812">
        <f>TEST_DATA!D14812</f>
        <v/>
      </c>
      <c r="E14812">
        <f>TEST_DATA!E14812</f>
        <v/>
      </c>
    </row>
    <row r="14813">
      <c r="A14813">
        <f>TEST_DATA!A14813</f>
        <v/>
      </c>
      <c r="B14813">
        <f>TEST_DATA!B14813</f>
        <v/>
      </c>
      <c r="C14813">
        <f>TEST_DATA!C14813</f>
        <v/>
      </c>
      <c r="D14813">
        <f>TEST_DATA!D14813</f>
        <v/>
      </c>
      <c r="E14813">
        <f>TEST_DATA!E14813</f>
        <v/>
      </c>
    </row>
    <row r="14814">
      <c r="A14814">
        <f>TEST_DATA!A14814</f>
        <v/>
      </c>
      <c r="B14814">
        <f>TEST_DATA!B14814</f>
        <v/>
      </c>
      <c r="C14814">
        <f>TEST_DATA!C14814</f>
        <v/>
      </c>
      <c r="D14814">
        <f>TEST_DATA!D14814</f>
        <v/>
      </c>
      <c r="E14814">
        <f>TEST_DATA!E14814</f>
        <v/>
      </c>
    </row>
    <row r="14815">
      <c r="A14815">
        <f>TEST_DATA!A14815</f>
        <v/>
      </c>
      <c r="B14815">
        <f>TEST_DATA!B14815</f>
        <v/>
      </c>
      <c r="C14815">
        <f>TEST_DATA!C14815</f>
        <v/>
      </c>
      <c r="D14815">
        <f>TEST_DATA!D14815</f>
        <v/>
      </c>
      <c r="E14815">
        <f>TEST_DATA!E14815</f>
        <v/>
      </c>
    </row>
    <row r="14816">
      <c r="A14816">
        <f>TEST_DATA!A14816</f>
        <v/>
      </c>
      <c r="B14816">
        <f>TEST_DATA!B14816</f>
        <v/>
      </c>
      <c r="C14816">
        <f>TEST_DATA!C14816</f>
        <v/>
      </c>
      <c r="D14816">
        <f>TEST_DATA!D14816</f>
        <v/>
      </c>
      <c r="E14816">
        <f>TEST_DATA!E14816</f>
        <v/>
      </c>
    </row>
    <row r="14817">
      <c r="A14817">
        <f>TEST_DATA!A14817</f>
        <v/>
      </c>
      <c r="B14817">
        <f>TEST_DATA!B14817</f>
        <v/>
      </c>
      <c r="C14817">
        <f>TEST_DATA!C14817</f>
        <v/>
      </c>
      <c r="D14817">
        <f>TEST_DATA!D14817</f>
        <v/>
      </c>
      <c r="E14817">
        <f>TEST_DATA!E14817</f>
        <v/>
      </c>
    </row>
    <row r="14818">
      <c r="A14818">
        <f>TEST_DATA!A14818</f>
        <v/>
      </c>
      <c r="B14818">
        <f>TEST_DATA!B14818</f>
        <v/>
      </c>
      <c r="C14818">
        <f>TEST_DATA!C14818</f>
        <v/>
      </c>
      <c r="D14818">
        <f>TEST_DATA!D14818</f>
        <v/>
      </c>
      <c r="E14818">
        <f>TEST_DATA!E14818</f>
        <v/>
      </c>
    </row>
    <row r="14819">
      <c r="A14819">
        <f>TEST_DATA!A14819</f>
        <v/>
      </c>
      <c r="B14819">
        <f>TEST_DATA!B14819</f>
        <v/>
      </c>
      <c r="C14819">
        <f>TEST_DATA!C14819</f>
        <v/>
      </c>
      <c r="D14819">
        <f>TEST_DATA!D14819</f>
        <v/>
      </c>
      <c r="E14819">
        <f>TEST_DATA!E14819</f>
        <v/>
      </c>
    </row>
    <row r="14820">
      <c r="A14820">
        <f>TEST_DATA!A14820</f>
        <v/>
      </c>
      <c r="B14820">
        <f>TEST_DATA!B14820</f>
        <v/>
      </c>
      <c r="C14820">
        <f>TEST_DATA!C14820</f>
        <v/>
      </c>
      <c r="D14820">
        <f>TEST_DATA!D14820</f>
        <v/>
      </c>
      <c r="E14820">
        <f>TEST_DATA!E14820</f>
        <v/>
      </c>
    </row>
    <row r="14821">
      <c r="A14821">
        <f>TEST_DATA!A14821</f>
        <v/>
      </c>
      <c r="B14821">
        <f>TEST_DATA!B14821</f>
        <v/>
      </c>
      <c r="C14821">
        <f>TEST_DATA!C14821</f>
        <v/>
      </c>
      <c r="D14821">
        <f>TEST_DATA!D14821</f>
        <v/>
      </c>
      <c r="E14821">
        <f>TEST_DATA!E14821</f>
        <v/>
      </c>
    </row>
    <row r="14822">
      <c r="A14822">
        <f>TEST_DATA!A14822</f>
        <v/>
      </c>
      <c r="B14822">
        <f>TEST_DATA!B14822</f>
        <v/>
      </c>
      <c r="C14822">
        <f>TEST_DATA!C14822</f>
        <v/>
      </c>
      <c r="D14822">
        <f>TEST_DATA!D14822</f>
        <v/>
      </c>
      <c r="E14822">
        <f>TEST_DATA!E14822</f>
        <v/>
      </c>
    </row>
    <row r="14823">
      <c r="A14823">
        <f>TEST_DATA!A14823</f>
        <v/>
      </c>
      <c r="B14823">
        <f>TEST_DATA!B14823</f>
        <v/>
      </c>
      <c r="C14823">
        <f>TEST_DATA!C14823</f>
        <v/>
      </c>
      <c r="D14823">
        <f>TEST_DATA!D14823</f>
        <v/>
      </c>
      <c r="E14823">
        <f>TEST_DATA!E14823</f>
        <v/>
      </c>
    </row>
    <row r="14824">
      <c r="A14824">
        <f>TEST_DATA!A14824</f>
        <v/>
      </c>
      <c r="B14824">
        <f>TEST_DATA!B14824</f>
        <v/>
      </c>
      <c r="C14824">
        <f>TEST_DATA!C14824</f>
        <v/>
      </c>
      <c r="D14824">
        <f>TEST_DATA!D14824</f>
        <v/>
      </c>
      <c r="E14824">
        <f>TEST_DATA!E14824</f>
        <v/>
      </c>
    </row>
    <row r="14825">
      <c r="A14825">
        <f>TEST_DATA!A14825</f>
        <v/>
      </c>
      <c r="B14825">
        <f>TEST_DATA!B14825</f>
        <v/>
      </c>
      <c r="C14825">
        <f>TEST_DATA!C14825</f>
        <v/>
      </c>
      <c r="D14825">
        <f>TEST_DATA!D14825</f>
        <v/>
      </c>
      <c r="E14825">
        <f>TEST_DATA!E14825</f>
        <v/>
      </c>
    </row>
    <row r="14826">
      <c r="A14826">
        <f>TEST_DATA!A14826</f>
        <v/>
      </c>
      <c r="B14826">
        <f>TEST_DATA!B14826</f>
        <v/>
      </c>
      <c r="C14826">
        <f>TEST_DATA!C14826</f>
        <v/>
      </c>
      <c r="D14826">
        <f>TEST_DATA!D14826</f>
        <v/>
      </c>
      <c r="E14826">
        <f>TEST_DATA!E14826</f>
        <v/>
      </c>
    </row>
    <row r="14827">
      <c r="A14827">
        <f>TEST_DATA!A14827</f>
        <v/>
      </c>
      <c r="B14827">
        <f>TEST_DATA!B14827</f>
        <v/>
      </c>
      <c r="C14827">
        <f>TEST_DATA!C14827</f>
        <v/>
      </c>
      <c r="D14827">
        <f>TEST_DATA!D14827</f>
        <v/>
      </c>
      <c r="E14827">
        <f>TEST_DATA!E14827</f>
        <v/>
      </c>
    </row>
    <row r="14828">
      <c r="A14828">
        <f>TEST_DATA!A14828</f>
        <v/>
      </c>
      <c r="B14828">
        <f>TEST_DATA!B14828</f>
        <v/>
      </c>
      <c r="C14828">
        <f>TEST_DATA!C14828</f>
        <v/>
      </c>
      <c r="D14828">
        <f>TEST_DATA!D14828</f>
        <v/>
      </c>
      <c r="E14828">
        <f>TEST_DATA!E14828</f>
        <v/>
      </c>
    </row>
    <row r="14829">
      <c r="A14829">
        <f>TEST_DATA!A14829</f>
        <v/>
      </c>
      <c r="B14829">
        <f>TEST_DATA!B14829</f>
        <v/>
      </c>
      <c r="C14829">
        <f>TEST_DATA!C14829</f>
        <v/>
      </c>
      <c r="D14829">
        <f>TEST_DATA!D14829</f>
        <v/>
      </c>
      <c r="E14829">
        <f>TEST_DATA!E14829</f>
        <v/>
      </c>
    </row>
    <row r="14830">
      <c r="A14830">
        <f>TEST_DATA!A14830</f>
        <v/>
      </c>
      <c r="B14830">
        <f>TEST_DATA!B14830</f>
        <v/>
      </c>
      <c r="C14830">
        <f>TEST_DATA!C14830</f>
        <v/>
      </c>
      <c r="D14830">
        <f>TEST_DATA!D14830</f>
        <v/>
      </c>
      <c r="E14830">
        <f>TEST_DATA!E14830</f>
        <v/>
      </c>
    </row>
    <row r="14831">
      <c r="A14831">
        <f>TEST_DATA!A14831</f>
        <v/>
      </c>
      <c r="B14831">
        <f>TEST_DATA!B14831</f>
        <v/>
      </c>
      <c r="C14831">
        <f>TEST_DATA!C14831</f>
        <v/>
      </c>
      <c r="D14831">
        <f>TEST_DATA!D14831</f>
        <v/>
      </c>
      <c r="E14831">
        <f>TEST_DATA!E14831</f>
        <v/>
      </c>
    </row>
    <row r="14832">
      <c r="A14832">
        <f>TEST_DATA!A14832</f>
        <v/>
      </c>
      <c r="B14832">
        <f>TEST_DATA!B14832</f>
        <v/>
      </c>
      <c r="C14832">
        <f>TEST_DATA!C14832</f>
        <v/>
      </c>
      <c r="D14832">
        <f>TEST_DATA!D14832</f>
        <v/>
      </c>
      <c r="E14832">
        <f>TEST_DATA!E14832</f>
        <v/>
      </c>
    </row>
    <row r="14833">
      <c r="A14833">
        <f>TEST_DATA!A14833</f>
        <v/>
      </c>
      <c r="B14833">
        <f>TEST_DATA!B14833</f>
        <v/>
      </c>
      <c r="C14833">
        <f>TEST_DATA!C14833</f>
        <v/>
      </c>
      <c r="D14833">
        <f>TEST_DATA!D14833</f>
        <v/>
      </c>
      <c r="E14833">
        <f>TEST_DATA!E14833</f>
        <v/>
      </c>
    </row>
    <row r="14834">
      <c r="A14834">
        <f>TEST_DATA!A14834</f>
        <v/>
      </c>
      <c r="B14834">
        <f>TEST_DATA!B14834</f>
        <v/>
      </c>
      <c r="C14834">
        <f>TEST_DATA!C14834</f>
        <v/>
      </c>
      <c r="D14834">
        <f>TEST_DATA!D14834</f>
        <v/>
      </c>
      <c r="E14834">
        <f>TEST_DATA!E14834</f>
        <v/>
      </c>
    </row>
    <row r="14835">
      <c r="A14835">
        <f>TEST_DATA!A14835</f>
        <v/>
      </c>
      <c r="B14835">
        <f>TEST_DATA!B14835</f>
        <v/>
      </c>
      <c r="C14835">
        <f>TEST_DATA!C14835</f>
        <v/>
      </c>
      <c r="D14835">
        <f>TEST_DATA!D14835</f>
        <v/>
      </c>
      <c r="E14835">
        <f>TEST_DATA!E14835</f>
        <v/>
      </c>
    </row>
    <row r="14836">
      <c r="A14836">
        <f>TEST_DATA!A14836</f>
        <v/>
      </c>
      <c r="B14836">
        <f>TEST_DATA!B14836</f>
        <v/>
      </c>
      <c r="C14836">
        <f>TEST_DATA!C14836</f>
        <v/>
      </c>
      <c r="D14836">
        <f>TEST_DATA!D14836</f>
        <v/>
      </c>
      <c r="E14836">
        <f>TEST_DATA!E14836</f>
        <v/>
      </c>
    </row>
    <row r="14837">
      <c r="A14837">
        <f>TEST_DATA!A14837</f>
        <v/>
      </c>
      <c r="B14837">
        <f>TEST_DATA!B14837</f>
        <v/>
      </c>
      <c r="C14837">
        <f>TEST_DATA!C14837</f>
        <v/>
      </c>
      <c r="D14837">
        <f>TEST_DATA!D14837</f>
        <v/>
      </c>
      <c r="E14837">
        <f>TEST_DATA!E14837</f>
        <v/>
      </c>
    </row>
    <row r="14838">
      <c r="A14838">
        <f>TEST_DATA!A14838</f>
        <v/>
      </c>
      <c r="B14838">
        <f>TEST_DATA!B14838</f>
        <v/>
      </c>
      <c r="C14838">
        <f>TEST_DATA!C14838</f>
        <v/>
      </c>
      <c r="D14838">
        <f>TEST_DATA!D14838</f>
        <v/>
      </c>
      <c r="E14838">
        <f>TEST_DATA!E14838</f>
        <v/>
      </c>
    </row>
    <row r="14839">
      <c r="A14839">
        <f>TEST_DATA!A14839</f>
        <v/>
      </c>
      <c r="B14839">
        <f>TEST_DATA!B14839</f>
        <v/>
      </c>
      <c r="C14839">
        <f>TEST_DATA!C14839</f>
        <v/>
      </c>
      <c r="D14839">
        <f>TEST_DATA!D14839</f>
        <v/>
      </c>
      <c r="E14839">
        <f>TEST_DATA!E14839</f>
        <v/>
      </c>
    </row>
    <row r="14840">
      <c r="A14840">
        <f>TEST_DATA!A14840</f>
        <v/>
      </c>
      <c r="B14840">
        <f>TEST_DATA!B14840</f>
        <v/>
      </c>
      <c r="C14840">
        <f>TEST_DATA!C14840</f>
        <v/>
      </c>
      <c r="D14840">
        <f>TEST_DATA!D14840</f>
        <v/>
      </c>
      <c r="E14840">
        <f>TEST_DATA!E14840</f>
        <v/>
      </c>
    </row>
    <row r="14841">
      <c r="A14841">
        <f>TEST_DATA!A14841</f>
        <v/>
      </c>
      <c r="B14841">
        <f>TEST_DATA!B14841</f>
        <v/>
      </c>
      <c r="C14841">
        <f>TEST_DATA!C14841</f>
        <v/>
      </c>
      <c r="D14841">
        <f>TEST_DATA!D14841</f>
        <v/>
      </c>
      <c r="E14841">
        <f>TEST_DATA!E14841</f>
        <v/>
      </c>
    </row>
    <row r="14842">
      <c r="A14842">
        <f>TEST_DATA!A14842</f>
        <v/>
      </c>
      <c r="B14842">
        <f>TEST_DATA!B14842</f>
        <v/>
      </c>
      <c r="C14842">
        <f>TEST_DATA!C14842</f>
        <v/>
      </c>
      <c r="D14842">
        <f>TEST_DATA!D14842</f>
        <v/>
      </c>
      <c r="E14842">
        <f>TEST_DATA!E14842</f>
        <v/>
      </c>
    </row>
    <row r="14843">
      <c r="A14843">
        <f>TEST_DATA!A14843</f>
        <v/>
      </c>
      <c r="B14843">
        <f>TEST_DATA!B14843</f>
        <v/>
      </c>
      <c r="C14843">
        <f>TEST_DATA!C14843</f>
        <v/>
      </c>
      <c r="D14843">
        <f>TEST_DATA!D14843</f>
        <v/>
      </c>
      <c r="E14843">
        <f>TEST_DATA!E14843</f>
        <v/>
      </c>
    </row>
    <row r="14844">
      <c r="A14844">
        <f>TEST_DATA!A14844</f>
        <v/>
      </c>
      <c r="B14844">
        <f>TEST_DATA!B14844</f>
        <v/>
      </c>
      <c r="C14844">
        <f>TEST_DATA!C14844</f>
        <v/>
      </c>
      <c r="D14844">
        <f>TEST_DATA!D14844</f>
        <v/>
      </c>
      <c r="E14844">
        <f>TEST_DATA!E14844</f>
        <v/>
      </c>
    </row>
    <row r="14845">
      <c r="A14845">
        <f>TEST_DATA!A14845</f>
        <v/>
      </c>
      <c r="B14845">
        <f>TEST_DATA!B14845</f>
        <v/>
      </c>
      <c r="C14845">
        <f>TEST_DATA!C14845</f>
        <v/>
      </c>
      <c r="D14845">
        <f>TEST_DATA!D14845</f>
        <v/>
      </c>
      <c r="E14845">
        <f>TEST_DATA!E14845</f>
        <v/>
      </c>
    </row>
    <row r="14846">
      <c r="A14846">
        <f>TEST_DATA!A14846</f>
        <v/>
      </c>
      <c r="B14846">
        <f>TEST_DATA!B14846</f>
        <v/>
      </c>
      <c r="C14846">
        <f>TEST_DATA!C14846</f>
        <v/>
      </c>
      <c r="D14846">
        <f>TEST_DATA!D14846</f>
        <v/>
      </c>
      <c r="E14846">
        <f>TEST_DATA!E14846</f>
        <v/>
      </c>
    </row>
    <row r="14847">
      <c r="A14847">
        <f>TEST_DATA!A14847</f>
        <v/>
      </c>
      <c r="B14847">
        <f>TEST_DATA!B14847</f>
        <v/>
      </c>
      <c r="C14847">
        <f>TEST_DATA!C14847</f>
        <v/>
      </c>
      <c r="D14847">
        <f>TEST_DATA!D14847</f>
        <v/>
      </c>
      <c r="E14847">
        <f>TEST_DATA!E14847</f>
        <v/>
      </c>
    </row>
    <row r="14848">
      <c r="A14848">
        <f>TEST_DATA!A14848</f>
        <v/>
      </c>
      <c r="B14848">
        <f>TEST_DATA!B14848</f>
        <v/>
      </c>
      <c r="C14848">
        <f>TEST_DATA!C14848</f>
        <v/>
      </c>
      <c r="D14848">
        <f>TEST_DATA!D14848</f>
        <v/>
      </c>
      <c r="E14848">
        <f>TEST_DATA!E14848</f>
        <v/>
      </c>
    </row>
    <row r="14849">
      <c r="A14849">
        <f>TEST_DATA!A14849</f>
        <v/>
      </c>
      <c r="B14849">
        <f>TEST_DATA!B14849</f>
        <v/>
      </c>
      <c r="C14849">
        <f>TEST_DATA!C14849</f>
        <v/>
      </c>
      <c r="D14849">
        <f>TEST_DATA!D14849</f>
        <v/>
      </c>
      <c r="E14849">
        <f>TEST_DATA!E14849</f>
        <v/>
      </c>
    </row>
    <row r="14850">
      <c r="A14850">
        <f>TEST_DATA!A14850</f>
        <v/>
      </c>
      <c r="B14850">
        <f>TEST_DATA!B14850</f>
        <v/>
      </c>
      <c r="C14850">
        <f>TEST_DATA!C14850</f>
        <v/>
      </c>
      <c r="D14850">
        <f>TEST_DATA!D14850</f>
        <v/>
      </c>
      <c r="E14850">
        <f>TEST_DATA!E14850</f>
        <v/>
      </c>
    </row>
    <row r="14851">
      <c r="A14851">
        <f>TEST_DATA!A14851</f>
        <v/>
      </c>
      <c r="B14851">
        <f>TEST_DATA!B14851</f>
        <v/>
      </c>
      <c r="C14851">
        <f>TEST_DATA!C14851</f>
        <v/>
      </c>
      <c r="D14851">
        <f>TEST_DATA!D14851</f>
        <v/>
      </c>
      <c r="E14851">
        <f>TEST_DATA!E14851</f>
        <v/>
      </c>
    </row>
    <row r="14852">
      <c r="A14852">
        <f>TEST_DATA!A14852</f>
        <v/>
      </c>
      <c r="B14852">
        <f>TEST_DATA!B14852</f>
        <v/>
      </c>
      <c r="C14852">
        <f>TEST_DATA!C14852</f>
        <v/>
      </c>
      <c r="D14852">
        <f>TEST_DATA!D14852</f>
        <v/>
      </c>
      <c r="E14852">
        <f>TEST_DATA!E14852</f>
        <v/>
      </c>
    </row>
    <row r="14853">
      <c r="A14853">
        <f>TEST_DATA!A14853</f>
        <v/>
      </c>
      <c r="B14853">
        <f>TEST_DATA!B14853</f>
        <v/>
      </c>
      <c r="C14853">
        <f>TEST_DATA!C14853</f>
        <v/>
      </c>
      <c r="D14853">
        <f>TEST_DATA!D14853</f>
        <v/>
      </c>
      <c r="E14853">
        <f>TEST_DATA!E14853</f>
        <v/>
      </c>
    </row>
    <row r="14854">
      <c r="A14854">
        <f>TEST_DATA!A14854</f>
        <v/>
      </c>
      <c r="B14854">
        <f>TEST_DATA!B14854</f>
        <v/>
      </c>
      <c r="C14854">
        <f>TEST_DATA!C14854</f>
        <v/>
      </c>
      <c r="D14854">
        <f>TEST_DATA!D14854</f>
        <v/>
      </c>
      <c r="E14854">
        <f>TEST_DATA!E14854</f>
        <v/>
      </c>
    </row>
    <row r="14855">
      <c r="A14855">
        <f>TEST_DATA!A14855</f>
        <v/>
      </c>
      <c r="B14855">
        <f>TEST_DATA!B14855</f>
        <v/>
      </c>
      <c r="C14855">
        <f>TEST_DATA!C14855</f>
        <v/>
      </c>
      <c r="D14855">
        <f>TEST_DATA!D14855</f>
        <v/>
      </c>
      <c r="E14855">
        <f>TEST_DATA!E14855</f>
        <v/>
      </c>
    </row>
    <row r="14856">
      <c r="A14856">
        <f>TEST_DATA!A14856</f>
        <v/>
      </c>
      <c r="B14856">
        <f>TEST_DATA!B14856</f>
        <v/>
      </c>
      <c r="C14856">
        <f>TEST_DATA!C14856</f>
        <v/>
      </c>
      <c r="D14856">
        <f>TEST_DATA!D14856</f>
        <v/>
      </c>
      <c r="E14856">
        <f>TEST_DATA!E14856</f>
        <v/>
      </c>
    </row>
    <row r="14857">
      <c r="A14857">
        <f>TEST_DATA!A14857</f>
        <v/>
      </c>
      <c r="B14857">
        <f>TEST_DATA!B14857</f>
        <v/>
      </c>
      <c r="C14857">
        <f>TEST_DATA!C14857</f>
        <v/>
      </c>
      <c r="D14857">
        <f>TEST_DATA!D14857</f>
        <v/>
      </c>
      <c r="E14857">
        <f>TEST_DATA!E14857</f>
        <v/>
      </c>
    </row>
    <row r="14858">
      <c r="A14858">
        <f>TEST_DATA!A14858</f>
        <v/>
      </c>
      <c r="B14858">
        <f>TEST_DATA!B14858</f>
        <v/>
      </c>
      <c r="C14858">
        <f>TEST_DATA!C14858</f>
        <v/>
      </c>
      <c r="D14858">
        <f>TEST_DATA!D14858</f>
        <v/>
      </c>
      <c r="E14858">
        <f>TEST_DATA!E14858</f>
        <v/>
      </c>
    </row>
    <row r="14859">
      <c r="A14859">
        <f>TEST_DATA!A14859</f>
        <v/>
      </c>
      <c r="B14859">
        <f>TEST_DATA!B14859</f>
        <v/>
      </c>
      <c r="C14859">
        <f>TEST_DATA!C14859</f>
        <v/>
      </c>
      <c r="D14859">
        <f>TEST_DATA!D14859</f>
        <v/>
      </c>
      <c r="E14859">
        <f>TEST_DATA!E14859</f>
        <v/>
      </c>
    </row>
    <row r="14860">
      <c r="A14860">
        <f>TEST_DATA!A14860</f>
        <v/>
      </c>
      <c r="B14860">
        <f>TEST_DATA!B14860</f>
        <v/>
      </c>
      <c r="C14860">
        <f>TEST_DATA!C14860</f>
        <v/>
      </c>
      <c r="D14860">
        <f>TEST_DATA!D14860</f>
        <v/>
      </c>
      <c r="E14860">
        <f>TEST_DATA!E14860</f>
        <v/>
      </c>
    </row>
    <row r="14861">
      <c r="A14861">
        <f>TEST_DATA!A14861</f>
        <v/>
      </c>
      <c r="B14861">
        <f>TEST_DATA!B14861</f>
        <v/>
      </c>
      <c r="C14861">
        <f>TEST_DATA!C14861</f>
        <v/>
      </c>
      <c r="D14861">
        <f>TEST_DATA!D14861</f>
        <v/>
      </c>
      <c r="E14861">
        <f>TEST_DATA!E14861</f>
        <v/>
      </c>
    </row>
    <row r="14862">
      <c r="A14862">
        <f>TEST_DATA!A14862</f>
        <v/>
      </c>
      <c r="B14862">
        <f>TEST_DATA!B14862</f>
        <v/>
      </c>
      <c r="C14862">
        <f>TEST_DATA!C14862</f>
        <v/>
      </c>
      <c r="D14862">
        <f>TEST_DATA!D14862</f>
        <v/>
      </c>
      <c r="E14862">
        <f>TEST_DATA!E14862</f>
        <v/>
      </c>
    </row>
    <row r="14863">
      <c r="A14863">
        <f>TEST_DATA!A14863</f>
        <v/>
      </c>
      <c r="B14863">
        <f>TEST_DATA!B14863</f>
        <v/>
      </c>
      <c r="C14863">
        <f>TEST_DATA!C14863</f>
        <v/>
      </c>
      <c r="D14863">
        <f>TEST_DATA!D14863</f>
        <v/>
      </c>
      <c r="E14863">
        <f>TEST_DATA!E14863</f>
        <v/>
      </c>
    </row>
    <row r="14864">
      <c r="A14864">
        <f>TEST_DATA!A14864</f>
        <v/>
      </c>
      <c r="B14864">
        <f>TEST_DATA!B14864</f>
        <v/>
      </c>
      <c r="C14864">
        <f>TEST_DATA!C14864</f>
        <v/>
      </c>
      <c r="D14864">
        <f>TEST_DATA!D14864</f>
        <v/>
      </c>
      <c r="E14864">
        <f>TEST_DATA!E14864</f>
        <v/>
      </c>
    </row>
    <row r="14865">
      <c r="A14865">
        <f>TEST_DATA!A14865</f>
        <v/>
      </c>
      <c r="B14865">
        <f>TEST_DATA!B14865</f>
        <v/>
      </c>
      <c r="C14865">
        <f>TEST_DATA!C14865</f>
        <v/>
      </c>
      <c r="D14865">
        <f>TEST_DATA!D14865</f>
        <v/>
      </c>
      <c r="E14865">
        <f>TEST_DATA!E14865</f>
        <v/>
      </c>
    </row>
    <row r="14866">
      <c r="A14866">
        <f>TEST_DATA!A14866</f>
        <v/>
      </c>
      <c r="B14866">
        <f>TEST_DATA!B14866</f>
        <v/>
      </c>
      <c r="C14866">
        <f>TEST_DATA!C14866</f>
        <v/>
      </c>
      <c r="D14866">
        <f>TEST_DATA!D14866</f>
        <v/>
      </c>
      <c r="E14866">
        <f>TEST_DATA!E14866</f>
        <v/>
      </c>
    </row>
    <row r="14867">
      <c r="A14867">
        <f>TEST_DATA!A14867</f>
        <v/>
      </c>
      <c r="B14867">
        <f>TEST_DATA!B14867</f>
        <v/>
      </c>
      <c r="C14867">
        <f>TEST_DATA!C14867</f>
        <v/>
      </c>
      <c r="D14867">
        <f>TEST_DATA!D14867</f>
        <v/>
      </c>
      <c r="E14867">
        <f>TEST_DATA!E14867</f>
        <v/>
      </c>
    </row>
    <row r="14868">
      <c r="A14868">
        <f>TEST_DATA!A14868</f>
        <v/>
      </c>
      <c r="B14868">
        <f>TEST_DATA!B14868</f>
        <v/>
      </c>
      <c r="C14868">
        <f>TEST_DATA!C14868</f>
        <v/>
      </c>
      <c r="D14868">
        <f>TEST_DATA!D14868</f>
        <v/>
      </c>
      <c r="E14868">
        <f>TEST_DATA!E14868</f>
        <v/>
      </c>
    </row>
    <row r="14869">
      <c r="A14869">
        <f>TEST_DATA!A14869</f>
        <v/>
      </c>
      <c r="B14869">
        <f>TEST_DATA!B14869</f>
        <v/>
      </c>
      <c r="C14869">
        <f>TEST_DATA!C14869</f>
        <v/>
      </c>
      <c r="D14869">
        <f>TEST_DATA!D14869</f>
        <v/>
      </c>
      <c r="E14869">
        <f>TEST_DATA!E14869</f>
        <v/>
      </c>
    </row>
    <row r="14870">
      <c r="A14870">
        <f>TEST_DATA!A14870</f>
        <v/>
      </c>
      <c r="B14870">
        <f>TEST_DATA!B14870</f>
        <v/>
      </c>
      <c r="C14870">
        <f>TEST_DATA!C14870</f>
        <v/>
      </c>
      <c r="D14870">
        <f>TEST_DATA!D14870</f>
        <v/>
      </c>
      <c r="E14870">
        <f>TEST_DATA!E14870</f>
        <v/>
      </c>
    </row>
    <row r="14871">
      <c r="A14871">
        <f>TEST_DATA!A14871</f>
        <v/>
      </c>
      <c r="B14871">
        <f>TEST_DATA!B14871</f>
        <v/>
      </c>
      <c r="C14871">
        <f>TEST_DATA!C14871</f>
        <v/>
      </c>
      <c r="D14871">
        <f>TEST_DATA!D14871</f>
        <v/>
      </c>
      <c r="E14871">
        <f>TEST_DATA!E14871</f>
        <v/>
      </c>
    </row>
    <row r="14872">
      <c r="A14872">
        <f>TEST_DATA!A14872</f>
        <v/>
      </c>
      <c r="B14872">
        <f>TEST_DATA!B14872</f>
        <v/>
      </c>
      <c r="C14872">
        <f>TEST_DATA!C14872</f>
        <v/>
      </c>
      <c r="D14872">
        <f>TEST_DATA!D14872</f>
        <v/>
      </c>
      <c r="E14872">
        <f>TEST_DATA!E14872</f>
        <v/>
      </c>
    </row>
    <row r="14873">
      <c r="A14873">
        <f>TEST_DATA!A14873</f>
        <v/>
      </c>
      <c r="B14873">
        <f>TEST_DATA!B14873</f>
        <v/>
      </c>
      <c r="C14873">
        <f>TEST_DATA!C14873</f>
        <v/>
      </c>
      <c r="D14873">
        <f>TEST_DATA!D14873</f>
        <v/>
      </c>
      <c r="E14873">
        <f>TEST_DATA!E14873</f>
        <v/>
      </c>
    </row>
    <row r="14874">
      <c r="A14874">
        <f>TEST_DATA!A14874</f>
        <v/>
      </c>
      <c r="B14874">
        <f>TEST_DATA!B14874</f>
        <v/>
      </c>
      <c r="C14874">
        <f>TEST_DATA!C14874</f>
        <v/>
      </c>
      <c r="D14874">
        <f>TEST_DATA!D14874</f>
        <v/>
      </c>
      <c r="E14874">
        <f>TEST_DATA!E14874</f>
        <v/>
      </c>
    </row>
    <row r="14875">
      <c r="A14875">
        <f>TEST_DATA!A14875</f>
        <v/>
      </c>
      <c r="B14875">
        <f>TEST_DATA!B14875</f>
        <v/>
      </c>
      <c r="C14875">
        <f>TEST_DATA!C14875</f>
        <v/>
      </c>
      <c r="D14875">
        <f>TEST_DATA!D14875</f>
        <v/>
      </c>
      <c r="E14875">
        <f>TEST_DATA!E14875</f>
        <v/>
      </c>
    </row>
    <row r="14876">
      <c r="A14876">
        <f>TEST_DATA!A14876</f>
        <v/>
      </c>
      <c r="B14876">
        <f>TEST_DATA!B14876</f>
        <v/>
      </c>
      <c r="C14876">
        <f>TEST_DATA!C14876</f>
        <v/>
      </c>
      <c r="D14876">
        <f>TEST_DATA!D14876</f>
        <v/>
      </c>
      <c r="E14876">
        <f>TEST_DATA!E14876</f>
        <v/>
      </c>
    </row>
    <row r="14877">
      <c r="A14877">
        <f>TEST_DATA!A14877</f>
        <v/>
      </c>
      <c r="B14877">
        <f>TEST_DATA!B14877</f>
        <v/>
      </c>
      <c r="C14877">
        <f>TEST_DATA!C14877</f>
        <v/>
      </c>
      <c r="D14877">
        <f>TEST_DATA!D14877</f>
        <v/>
      </c>
      <c r="E14877">
        <f>TEST_DATA!E14877</f>
        <v/>
      </c>
    </row>
    <row r="14878">
      <c r="A14878">
        <f>TEST_DATA!A14878</f>
        <v/>
      </c>
      <c r="B14878">
        <f>TEST_DATA!B14878</f>
        <v/>
      </c>
      <c r="C14878">
        <f>TEST_DATA!C14878</f>
        <v/>
      </c>
      <c r="D14878">
        <f>TEST_DATA!D14878</f>
        <v/>
      </c>
      <c r="E14878">
        <f>TEST_DATA!E14878</f>
        <v/>
      </c>
    </row>
    <row r="14879">
      <c r="A14879">
        <f>TEST_DATA!A14879</f>
        <v/>
      </c>
      <c r="B14879">
        <f>TEST_DATA!B14879</f>
        <v/>
      </c>
      <c r="C14879">
        <f>TEST_DATA!C14879</f>
        <v/>
      </c>
      <c r="D14879">
        <f>TEST_DATA!D14879</f>
        <v/>
      </c>
      <c r="E14879">
        <f>TEST_DATA!E14879</f>
        <v/>
      </c>
    </row>
    <row r="14880">
      <c r="A14880">
        <f>TEST_DATA!A14880</f>
        <v/>
      </c>
      <c r="B14880">
        <f>TEST_DATA!B14880</f>
        <v/>
      </c>
      <c r="C14880">
        <f>TEST_DATA!C14880</f>
        <v/>
      </c>
      <c r="D14880">
        <f>TEST_DATA!D14880</f>
        <v/>
      </c>
      <c r="E14880">
        <f>TEST_DATA!E14880</f>
        <v/>
      </c>
    </row>
    <row r="14881">
      <c r="A14881">
        <f>TEST_DATA!A14881</f>
        <v/>
      </c>
      <c r="B14881">
        <f>TEST_DATA!B14881</f>
        <v/>
      </c>
      <c r="C14881">
        <f>TEST_DATA!C14881</f>
        <v/>
      </c>
      <c r="D14881">
        <f>TEST_DATA!D14881</f>
        <v/>
      </c>
      <c r="E14881">
        <f>TEST_DATA!E14881</f>
        <v/>
      </c>
    </row>
    <row r="14882">
      <c r="A14882">
        <f>TEST_DATA!A14882</f>
        <v/>
      </c>
      <c r="B14882">
        <f>TEST_DATA!B14882</f>
        <v/>
      </c>
      <c r="C14882">
        <f>TEST_DATA!C14882</f>
        <v/>
      </c>
      <c r="D14882">
        <f>TEST_DATA!D14882</f>
        <v/>
      </c>
      <c r="E14882">
        <f>TEST_DATA!E14882</f>
        <v/>
      </c>
    </row>
    <row r="14883">
      <c r="A14883">
        <f>TEST_DATA!A14883</f>
        <v/>
      </c>
      <c r="B14883">
        <f>TEST_DATA!B14883</f>
        <v/>
      </c>
      <c r="C14883">
        <f>TEST_DATA!C14883</f>
        <v/>
      </c>
      <c r="D14883">
        <f>TEST_DATA!D14883</f>
        <v/>
      </c>
      <c r="E14883">
        <f>TEST_DATA!E14883</f>
        <v/>
      </c>
    </row>
    <row r="14884">
      <c r="A14884">
        <f>TEST_DATA!A14884</f>
        <v/>
      </c>
      <c r="B14884">
        <f>TEST_DATA!B14884</f>
        <v/>
      </c>
      <c r="C14884">
        <f>TEST_DATA!C14884</f>
        <v/>
      </c>
      <c r="D14884">
        <f>TEST_DATA!D14884</f>
        <v/>
      </c>
      <c r="E14884">
        <f>TEST_DATA!E14884</f>
        <v/>
      </c>
    </row>
    <row r="14885">
      <c r="A14885">
        <f>TEST_DATA!A14885</f>
        <v/>
      </c>
      <c r="B14885">
        <f>TEST_DATA!B14885</f>
        <v/>
      </c>
      <c r="C14885">
        <f>TEST_DATA!C14885</f>
        <v/>
      </c>
      <c r="D14885">
        <f>TEST_DATA!D14885</f>
        <v/>
      </c>
      <c r="E14885">
        <f>TEST_DATA!E14885</f>
        <v/>
      </c>
    </row>
    <row r="14886">
      <c r="A14886">
        <f>TEST_DATA!A14886</f>
        <v/>
      </c>
      <c r="B14886">
        <f>TEST_DATA!B14886</f>
        <v/>
      </c>
      <c r="C14886">
        <f>TEST_DATA!C14886</f>
        <v/>
      </c>
      <c r="D14886">
        <f>TEST_DATA!D14886</f>
        <v/>
      </c>
      <c r="E14886">
        <f>TEST_DATA!E14886</f>
        <v/>
      </c>
    </row>
    <row r="14887">
      <c r="A14887">
        <f>TEST_DATA!A14887</f>
        <v/>
      </c>
      <c r="B14887">
        <f>TEST_DATA!B14887</f>
        <v/>
      </c>
      <c r="C14887">
        <f>TEST_DATA!C14887</f>
        <v/>
      </c>
      <c r="D14887">
        <f>TEST_DATA!D14887</f>
        <v/>
      </c>
      <c r="E14887">
        <f>TEST_DATA!E14887</f>
        <v/>
      </c>
    </row>
    <row r="14888">
      <c r="A14888">
        <f>TEST_DATA!A14888</f>
        <v/>
      </c>
      <c r="B14888">
        <f>TEST_DATA!B14888</f>
        <v/>
      </c>
      <c r="C14888">
        <f>TEST_DATA!C14888</f>
        <v/>
      </c>
      <c r="D14888">
        <f>TEST_DATA!D14888</f>
        <v/>
      </c>
      <c r="E14888">
        <f>TEST_DATA!E14888</f>
        <v/>
      </c>
    </row>
    <row r="14889">
      <c r="A14889">
        <f>TEST_DATA!A14889</f>
        <v/>
      </c>
      <c r="B14889">
        <f>TEST_DATA!B14889</f>
        <v/>
      </c>
      <c r="C14889">
        <f>TEST_DATA!C14889</f>
        <v/>
      </c>
      <c r="D14889">
        <f>TEST_DATA!D14889</f>
        <v/>
      </c>
      <c r="E14889">
        <f>TEST_DATA!E14889</f>
        <v/>
      </c>
    </row>
    <row r="14890">
      <c r="A14890">
        <f>TEST_DATA!A14890</f>
        <v/>
      </c>
      <c r="B14890">
        <f>TEST_DATA!B14890</f>
        <v/>
      </c>
      <c r="C14890">
        <f>TEST_DATA!C14890</f>
        <v/>
      </c>
      <c r="D14890">
        <f>TEST_DATA!D14890</f>
        <v/>
      </c>
      <c r="E14890">
        <f>TEST_DATA!E14890</f>
        <v/>
      </c>
    </row>
    <row r="14891">
      <c r="A14891">
        <f>TEST_DATA!A14891</f>
        <v/>
      </c>
      <c r="B14891">
        <f>TEST_DATA!B14891</f>
        <v/>
      </c>
      <c r="C14891">
        <f>TEST_DATA!C14891</f>
        <v/>
      </c>
      <c r="D14891">
        <f>TEST_DATA!D14891</f>
        <v/>
      </c>
      <c r="E14891">
        <f>TEST_DATA!E14891</f>
        <v/>
      </c>
    </row>
    <row r="14892">
      <c r="A14892">
        <f>TEST_DATA!A14892</f>
        <v/>
      </c>
      <c r="B14892">
        <f>TEST_DATA!B14892</f>
        <v/>
      </c>
      <c r="C14892">
        <f>TEST_DATA!C14892</f>
        <v/>
      </c>
      <c r="D14892">
        <f>TEST_DATA!D14892</f>
        <v/>
      </c>
      <c r="E14892">
        <f>TEST_DATA!E14892</f>
        <v/>
      </c>
    </row>
    <row r="14893">
      <c r="A14893">
        <f>TEST_DATA!A14893</f>
        <v/>
      </c>
      <c r="B14893">
        <f>TEST_DATA!B14893</f>
        <v/>
      </c>
      <c r="C14893">
        <f>TEST_DATA!C14893</f>
        <v/>
      </c>
      <c r="D14893">
        <f>TEST_DATA!D14893</f>
        <v/>
      </c>
      <c r="E14893">
        <f>TEST_DATA!E14893</f>
        <v/>
      </c>
    </row>
    <row r="14894">
      <c r="A14894">
        <f>TEST_DATA!A14894</f>
        <v/>
      </c>
      <c r="B14894">
        <f>TEST_DATA!B14894</f>
        <v/>
      </c>
      <c r="C14894">
        <f>TEST_DATA!C14894</f>
        <v/>
      </c>
      <c r="D14894">
        <f>TEST_DATA!D14894</f>
        <v/>
      </c>
      <c r="E14894">
        <f>TEST_DATA!E14894</f>
        <v/>
      </c>
    </row>
    <row r="14895">
      <c r="A14895">
        <f>TEST_DATA!A14895</f>
        <v/>
      </c>
      <c r="B14895">
        <f>TEST_DATA!B14895</f>
        <v/>
      </c>
      <c r="C14895">
        <f>TEST_DATA!C14895</f>
        <v/>
      </c>
      <c r="D14895">
        <f>TEST_DATA!D14895</f>
        <v/>
      </c>
      <c r="E14895">
        <f>TEST_DATA!E14895</f>
        <v/>
      </c>
    </row>
    <row r="14896">
      <c r="A14896">
        <f>TEST_DATA!A14896</f>
        <v/>
      </c>
      <c r="B14896">
        <f>TEST_DATA!B14896</f>
        <v/>
      </c>
      <c r="C14896">
        <f>TEST_DATA!C14896</f>
        <v/>
      </c>
      <c r="D14896">
        <f>TEST_DATA!D14896</f>
        <v/>
      </c>
      <c r="E14896">
        <f>TEST_DATA!E14896</f>
        <v/>
      </c>
    </row>
    <row r="14897">
      <c r="A14897">
        <f>TEST_DATA!A14897</f>
        <v/>
      </c>
      <c r="B14897">
        <f>TEST_DATA!B14897</f>
        <v/>
      </c>
      <c r="C14897">
        <f>TEST_DATA!C14897</f>
        <v/>
      </c>
      <c r="D14897">
        <f>TEST_DATA!D14897</f>
        <v/>
      </c>
      <c r="E14897">
        <f>TEST_DATA!E14897</f>
        <v/>
      </c>
    </row>
    <row r="14898">
      <c r="A14898">
        <f>TEST_DATA!A14898</f>
        <v/>
      </c>
      <c r="B14898">
        <f>TEST_DATA!B14898</f>
        <v/>
      </c>
      <c r="C14898">
        <f>TEST_DATA!C14898</f>
        <v/>
      </c>
      <c r="D14898">
        <f>TEST_DATA!D14898</f>
        <v/>
      </c>
      <c r="E14898">
        <f>TEST_DATA!E14898</f>
        <v/>
      </c>
    </row>
    <row r="14899">
      <c r="A14899">
        <f>TEST_DATA!A14899</f>
        <v/>
      </c>
      <c r="B14899">
        <f>TEST_DATA!B14899</f>
        <v/>
      </c>
      <c r="C14899">
        <f>TEST_DATA!C14899</f>
        <v/>
      </c>
      <c r="D14899">
        <f>TEST_DATA!D14899</f>
        <v/>
      </c>
      <c r="E14899">
        <f>TEST_DATA!E14899</f>
        <v/>
      </c>
    </row>
    <row r="14900">
      <c r="A14900">
        <f>TEST_DATA!A14900</f>
        <v/>
      </c>
      <c r="B14900">
        <f>TEST_DATA!B14900</f>
        <v/>
      </c>
      <c r="C14900">
        <f>TEST_DATA!C14900</f>
        <v/>
      </c>
      <c r="D14900">
        <f>TEST_DATA!D14900</f>
        <v/>
      </c>
      <c r="E14900">
        <f>TEST_DATA!E14900</f>
        <v/>
      </c>
    </row>
    <row r="14901">
      <c r="A14901">
        <f>TEST_DATA!A14901</f>
        <v/>
      </c>
      <c r="B14901">
        <f>TEST_DATA!B14901</f>
        <v/>
      </c>
      <c r="C14901">
        <f>TEST_DATA!C14901</f>
        <v/>
      </c>
      <c r="D14901">
        <f>TEST_DATA!D14901</f>
        <v/>
      </c>
      <c r="E14901">
        <f>TEST_DATA!E14901</f>
        <v/>
      </c>
    </row>
    <row r="14902">
      <c r="A14902">
        <f>TEST_DATA!A14902</f>
        <v/>
      </c>
      <c r="B14902">
        <f>TEST_DATA!B14902</f>
        <v/>
      </c>
      <c r="C14902">
        <f>TEST_DATA!C14902</f>
        <v/>
      </c>
      <c r="D14902">
        <f>TEST_DATA!D14902</f>
        <v/>
      </c>
      <c r="E14902">
        <f>TEST_DATA!E14902</f>
        <v/>
      </c>
    </row>
    <row r="14903">
      <c r="A14903">
        <f>TEST_DATA!A14903</f>
        <v/>
      </c>
      <c r="B14903">
        <f>TEST_DATA!B14903</f>
        <v/>
      </c>
      <c r="C14903">
        <f>TEST_DATA!C14903</f>
        <v/>
      </c>
      <c r="D14903">
        <f>TEST_DATA!D14903</f>
        <v/>
      </c>
      <c r="E14903">
        <f>TEST_DATA!E14903</f>
        <v/>
      </c>
    </row>
    <row r="14904">
      <c r="A14904">
        <f>TEST_DATA!A14904</f>
        <v/>
      </c>
      <c r="B14904">
        <f>TEST_DATA!B14904</f>
        <v/>
      </c>
      <c r="C14904">
        <f>TEST_DATA!C14904</f>
        <v/>
      </c>
      <c r="D14904">
        <f>TEST_DATA!D14904</f>
        <v/>
      </c>
      <c r="E14904">
        <f>TEST_DATA!E14904</f>
        <v/>
      </c>
    </row>
    <row r="14905">
      <c r="A14905">
        <f>TEST_DATA!A14905</f>
        <v/>
      </c>
      <c r="B14905">
        <f>TEST_DATA!B14905</f>
        <v/>
      </c>
      <c r="C14905">
        <f>TEST_DATA!C14905</f>
        <v/>
      </c>
      <c r="D14905">
        <f>TEST_DATA!D14905</f>
        <v/>
      </c>
      <c r="E14905">
        <f>TEST_DATA!E14905</f>
        <v/>
      </c>
    </row>
    <row r="14906">
      <c r="A14906">
        <f>TEST_DATA!A14906</f>
        <v/>
      </c>
      <c r="B14906">
        <f>TEST_DATA!B14906</f>
        <v/>
      </c>
      <c r="C14906">
        <f>TEST_DATA!C14906</f>
        <v/>
      </c>
      <c r="D14906">
        <f>TEST_DATA!D14906</f>
        <v/>
      </c>
      <c r="E14906">
        <f>TEST_DATA!E14906</f>
        <v/>
      </c>
    </row>
    <row r="14907">
      <c r="A14907">
        <f>TEST_DATA!A14907</f>
        <v/>
      </c>
      <c r="B14907">
        <f>TEST_DATA!B14907</f>
        <v/>
      </c>
      <c r="C14907">
        <f>TEST_DATA!C14907</f>
        <v/>
      </c>
      <c r="D14907">
        <f>TEST_DATA!D14907</f>
        <v/>
      </c>
      <c r="E14907">
        <f>TEST_DATA!E14907</f>
        <v/>
      </c>
    </row>
    <row r="14908">
      <c r="A14908">
        <f>TEST_DATA!A14908</f>
        <v/>
      </c>
      <c r="B14908">
        <f>TEST_DATA!B14908</f>
        <v/>
      </c>
      <c r="C14908">
        <f>TEST_DATA!C14908</f>
        <v/>
      </c>
      <c r="D14908">
        <f>TEST_DATA!D14908</f>
        <v/>
      </c>
      <c r="E14908">
        <f>TEST_DATA!E14908</f>
        <v/>
      </c>
    </row>
    <row r="14909">
      <c r="A14909">
        <f>TEST_DATA!A14909</f>
        <v/>
      </c>
      <c r="B14909">
        <f>TEST_DATA!B14909</f>
        <v/>
      </c>
      <c r="C14909">
        <f>TEST_DATA!C14909</f>
        <v/>
      </c>
      <c r="D14909">
        <f>TEST_DATA!D14909</f>
        <v/>
      </c>
      <c r="E14909">
        <f>TEST_DATA!E14909</f>
        <v/>
      </c>
    </row>
    <row r="14910">
      <c r="A14910">
        <f>TEST_DATA!A14910</f>
        <v/>
      </c>
      <c r="B14910">
        <f>TEST_DATA!B14910</f>
        <v/>
      </c>
      <c r="C14910">
        <f>TEST_DATA!C14910</f>
        <v/>
      </c>
      <c r="D14910">
        <f>TEST_DATA!D14910</f>
        <v/>
      </c>
      <c r="E14910">
        <f>TEST_DATA!E14910</f>
        <v/>
      </c>
    </row>
    <row r="14911">
      <c r="A14911">
        <f>TEST_DATA!A14911</f>
        <v/>
      </c>
      <c r="B14911">
        <f>TEST_DATA!B14911</f>
        <v/>
      </c>
      <c r="C14911">
        <f>TEST_DATA!C14911</f>
        <v/>
      </c>
      <c r="D14911">
        <f>TEST_DATA!D14911</f>
        <v/>
      </c>
      <c r="E14911">
        <f>TEST_DATA!E14911</f>
        <v/>
      </c>
    </row>
    <row r="14912">
      <c r="A14912">
        <f>TEST_DATA!A14912</f>
        <v/>
      </c>
      <c r="B14912">
        <f>TEST_DATA!B14912</f>
        <v/>
      </c>
      <c r="C14912">
        <f>TEST_DATA!C14912</f>
        <v/>
      </c>
      <c r="D14912">
        <f>TEST_DATA!D14912</f>
        <v/>
      </c>
      <c r="E14912">
        <f>TEST_DATA!E14912</f>
        <v/>
      </c>
    </row>
    <row r="14913">
      <c r="A14913">
        <f>TEST_DATA!A14913</f>
        <v/>
      </c>
      <c r="B14913">
        <f>TEST_DATA!B14913</f>
        <v/>
      </c>
      <c r="C14913">
        <f>TEST_DATA!C14913</f>
        <v/>
      </c>
      <c r="D14913">
        <f>TEST_DATA!D14913</f>
        <v/>
      </c>
      <c r="E14913">
        <f>TEST_DATA!E14913</f>
        <v/>
      </c>
    </row>
    <row r="14914">
      <c r="A14914">
        <f>TEST_DATA!A14914</f>
        <v/>
      </c>
      <c r="B14914">
        <f>TEST_DATA!B14914</f>
        <v/>
      </c>
      <c r="C14914">
        <f>TEST_DATA!C14914</f>
        <v/>
      </c>
      <c r="D14914">
        <f>TEST_DATA!D14914</f>
        <v/>
      </c>
      <c r="E14914">
        <f>TEST_DATA!E14914</f>
        <v/>
      </c>
    </row>
    <row r="14915">
      <c r="A14915">
        <f>TEST_DATA!A14915</f>
        <v/>
      </c>
      <c r="B14915">
        <f>TEST_DATA!B14915</f>
        <v/>
      </c>
      <c r="C14915">
        <f>TEST_DATA!C14915</f>
        <v/>
      </c>
      <c r="D14915">
        <f>TEST_DATA!D14915</f>
        <v/>
      </c>
      <c r="E14915">
        <f>TEST_DATA!E14915</f>
        <v/>
      </c>
    </row>
    <row r="14916">
      <c r="A14916">
        <f>TEST_DATA!A14916</f>
        <v/>
      </c>
      <c r="B14916">
        <f>TEST_DATA!B14916</f>
        <v/>
      </c>
      <c r="C14916">
        <f>TEST_DATA!C14916</f>
        <v/>
      </c>
      <c r="D14916">
        <f>TEST_DATA!D14916</f>
        <v/>
      </c>
      <c r="E14916">
        <f>TEST_DATA!E14916</f>
        <v/>
      </c>
    </row>
    <row r="14917">
      <c r="A14917">
        <f>TEST_DATA!A14917</f>
        <v/>
      </c>
      <c r="B14917">
        <f>TEST_DATA!B14917</f>
        <v/>
      </c>
      <c r="C14917">
        <f>TEST_DATA!C14917</f>
        <v/>
      </c>
      <c r="D14917">
        <f>TEST_DATA!D14917</f>
        <v/>
      </c>
      <c r="E14917">
        <f>TEST_DATA!E14917</f>
        <v/>
      </c>
    </row>
    <row r="14918">
      <c r="A14918">
        <f>TEST_DATA!A14918</f>
        <v/>
      </c>
      <c r="B14918">
        <f>TEST_DATA!B14918</f>
        <v/>
      </c>
      <c r="C14918">
        <f>TEST_DATA!C14918</f>
        <v/>
      </c>
      <c r="D14918">
        <f>TEST_DATA!D14918</f>
        <v/>
      </c>
      <c r="E14918">
        <f>TEST_DATA!E14918</f>
        <v/>
      </c>
    </row>
    <row r="14919">
      <c r="A14919">
        <f>TEST_DATA!A14919</f>
        <v/>
      </c>
      <c r="B14919">
        <f>TEST_DATA!B14919</f>
        <v/>
      </c>
      <c r="C14919">
        <f>TEST_DATA!C14919</f>
        <v/>
      </c>
      <c r="D14919">
        <f>TEST_DATA!D14919</f>
        <v/>
      </c>
      <c r="E14919">
        <f>TEST_DATA!E14919</f>
        <v/>
      </c>
    </row>
    <row r="14920">
      <c r="A14920">
        <f>TEST_DATA!A14920</f>
        <v/>
      </c>
      <c r="B14920">
        <f>TEST_DATA!B14920</f>
        <v/>
      </c>
      <c r="C14920">
        <f>TEST_DATA!C14920</f>
        <v/>
      </c>
      <c r="D14920">
        <f>TEST_DATA!D14920</f>
        <v/>
      </c>
      <c r="E14920">
        <f>TEST_DATA!E14920</f>
        <v/>
      </c>
    </row>
    <row r="14921">
      <c r="A14921">
        <f>TEST_DATA!A14921</f>
        <v/>
      </c>
      <c r="B14921">
        <f>TEST_DATA!B14921</f>
        <v/>
      </c>
      <c r="C14921">
        <f>TEST_DATA!C14921</f>
        <v/>
      </c>
      <c r="D14921">
        <f>TEST_DATA!D14921</f>
        <v/>
      </c>
      <c r="E14921">
        <f>TEST_DATA!E14921</f>
        <v/>
      </c>
    </row>
    <row r="14922">
      <c r="A14922">
        <f>TEST_DATA!A14922</f>
        <v/>
      </c>
      <c r="B14922">
        <f>TEST_DATA!B14922</f>
        <v/>
      </c>
      <c r="C14922">
        <f>TEST_DATA!C14922</f>
        <v/>
      </c>
      <c r="D14922">
        <f>TEST_DATA!D14922</f>
        <v/>
      </c>
      <c r="E14922">
        <f>TEST_DATA!E14922</f>
        <v/>
      </c>
    </row>
    <row r="14923">
      <c r="A14923">
        <f>TEST_DATA!A14923</f>
        <v/>
      </c>
      <c r="B14923">
        <f>TEST_DATA!B14923</f>
        <v/>
      </c>
      <c r="C14923">
        <f>TEST_DATA!C14923</f>
        <v/>
      </c>
      <c r="D14923">
        <f>TEST_DATA!D14923</f>
        <v/>
      </c>
      <c r="E14923">
        <f>TEST_DATA!E14923</f>
        <v/>
      </c>
    </row>
    <row r="14924">
      <c r="A14924">
        <f>TEST_DATA!A14924</f>
        <v/>
      </c>
      <c r="B14924">
        <f>TEST_DATA!B14924</f>
        <v/>
      </c>
      <c r="C14924">
        <f>TEST_DATA!C14924</f>
        <v/>
      </c>
      <c r="D14924">
        <f>TEST_DATA!D14924</f>
        <v/>
      </c>
      <c r="E14924">
        <f>TEST_DATA!E14924</f>
        <v/>
      </c>
    </row>
    <row r="14925">
      <c r="A14925">
        <f>TEST_DATA!A14925</f>
        <v/>
      </c>
      <c r="B14925">
        <f>TEST_DATA!B14925</f>
        <v/>
      </c>
      <c r="C14925">
        <f>TEST_DATA!C14925</f>
        <v/>
      </c>
      <c r="D14925">
        <f>TEST_DATA!D14925</f>
        <v/>
      </c>
      <c r="E14925">
        <f>TEST_DATA!E14925</f>
        <v/>
      </c>
    </row>
    <row r="14926">
      <c r="A14926">
        <f>TEST_DATA!A14926</f>
        <v/>
      </c>
      <c r="B14926">
        <f>TEST_DATA!B14926</f>
        <v/>
      </c>
      <c r="C14926">
        <f>TEST_DATA!C14926</f>
        <v/>
      </c>
      <c r="D14926">
        <f>TEST_DATA!D14926</f>
        <v/>
      </c>
      <c r="E14926">
        <f>TEST_DATA!E14926</f>
        <v/>
      </c>
    </row>
    <row r="14927">
      <c r="A14927">
        <f>TEST_DATA!A14927</f>
        <v/>
      </c>
      <c r="B14927">
        <f>TEST_DATA!B14927</f>
        <v/>
      </c>
      <c r="C14927">
        <f>TEST_DATA!C14927</f>
        <v/>
      </c>
      <c r="D14927">
        <f>TEST_DATA!D14927</f>
        <v/>
      </c>
      <c r="E14927">
        <f>TEST_DATA!E14927</f>
        <v/>
      </c>
    </row>
    <row r="14928">
      <c r="A14928">
        <f>TEST_DATA!A14928</f>
        <v/>
      </c>
      <c r="B14928">
        <f>TEST_DATA!B14928</f>
        <v/>
      </c>
      <c r="C14928">
        <f>TEST_DATA!C14928</f>
        <v/>
      </c>
      <c r="D14928">
        <f>TEST_DATA!D14928</f>
        <v/>
      </c>
      <c r="E14928">
        <f>TEST_DATA!E14928</f>
        <v/>
      </c>
    </row>
    <row r="14929">
      <c r="A14929">
        <f>TEST_DATA!A14929</f>
        <v/>
      </c>
      <c r="B14929">
        <f>TEST_DATA!B14929</f>
        <v/>
      </c>
      <c r="C14929">
        <f>TEST_DATA!C14929</f>
        <v/>
      </c>
      <c r="D14929">
        <f>TEST_DATA!D14929</f>
        <v/>
      </c>
      <c r="E14929">
        <f>TEST_DATA!E14929</f>
        <v/>
      </c>
    </row>
    <row r="14930">
      <c r="A14930">
        <f>TEST_DATA!A14930</f>
        <v/>
      </c>
      <c r="B14930">
        <f>TEST_DATA!B14930</f>
        <v/>
      </c>
      <c r="C14930">
        <f>TEST_DATA!C14930</f>
        <v/>
      </c>
      <c r="D14930">
        <f>TEST_DATA!D14930</f>
        <v/>
      </c>
      <c r="E14930">
        <f>TEST_DATA!E14930</f>
        <v/>
      </c>
    </row>
    <row r="14931">
      <c r="A14931">
        <f>TEST_DATA!A14931</f>
        <v/>
      </c>
      <c r="B14931">
        <f>TEST_DATA!B14931</f>
        <v/>
      </c>
      <c r="C14931">
        <f>TEST_DATA!C14931</f>
        <v/>
      </c>
      <c r="D14931">
        <f>TEST_DATA!D14931</f>
        <v/>
      </c>
      <c r="E14931">
        <f>TEST_DATA!E14931</f>
        <v/>
      </c>
    </row>
    <row r="14932">
      <c r="A14932">
        <f>TEST_DATA!A14932</f>
        <v/>
      </c>
      <c r="B14932">
        <f>TEST_DATA!B14932</f>
        <v/>
      </c>
      <c r="C14932">
        <f>TEST_DATA!C14932</f>
        <v/>
      </c>
      <c r="D14932">
        <f>TEST_DATA!D14932</f>
        <v/>
      </c>
      <c r="E14932">
        <f>TEST_DATA!E14932</f>
        <v/>
      </c>
    </row>
    <row r="14933">
      <c r="A14933">
        <f>TEST_DATA!A14933</f>
        <v/>
      </c>
      <c r="B14933">
        <f>TEST_DATA!B14933</f>
        <v/>
      </c>
      <c r="C14933">
        <f>TEST_DATA!C14933</f>
        <v/>
      </c>
      <c r="D14933">
        <f>TEST_DATA!D14933</f>
        <v/>
      </c>
      <c r="E14933">
        <f>TEST_DATA!E14933</f>
        <v/>
      </c>
    </row>
    <row r="14934">
      <c r="A14934">
        <f>TEST_DATA!A14934</f>
        <v/>
      </c>
      <c r="B14934">
        <f>TEST_DATA!B14934</f>
        <v/>
      </c>
      <c r="C14934">
        <f>TEST_DATA!C14934</f>
        <v/>
      </c>
      <c r="D14934">
        <f>TEST_DATA!D14934</f>
        <v/>
      </c>
      <c r="E14934">
        <f>TEST_DATA!E14934</f>
        <v/>
      </c>
    </row>
    <row r="14935">
      <c r="A14935">
        <f>TEST_DATA!A14935</f>
        <v/>
      </c>
      <c r="B14935">
        <f>TEST_DATA!B14935</f>
        <v/>
      </c>
      <c r="C14935">
        <f>TEST_DATA!C14935</f>
        <v/>
      </c>
      <c r="D14935">
        <f>TEST_DATA!D14935</f>
        <v/>
      </c>
      <c r="E14935">
        <f>TEST_DATA!E14935</f>
        <v/>
      </c>
    </row>
    <row r="14936">
      <c r="A14936">
        <f>TEST_DATA!A14936</f>
        <v/>
      </c>
      <c r="B14936">
        <f>TEST_DATA!B14936</f>
        <v/>
      </c>
      <c r="C14936">
        <f>TEST_DATA!C14936</f>
        <v/>
      </c>
      <c r="D14936">
        <f>TEST_DATA!D14936</f>
        <v/>
      </c>
      <c r="E14936">
        <f>TEST_DATA!E14936</f>
        <v/>
      </c>
    </row>
    <row r="14937">
      <c r="A14937">
        <f>TEST_DATA!A14937</f>
        <v/>
      </c>
      <c r="B14937">
        <f>TEST_DATA!B14937</f>
        <v/>
      </c>
      <c r="C14937">
        <f>TEST_DATA!C14937</f>
        <v/>
      </c>
      <c r="D14937">
        <f>TEST_DATA!D14937</f>
        <v/>
      </c>
      <c r="E14937">
        <f>TEST_DATA!E14937</f>
        <v/>
      </c>
    </row>
    <row r="14938">
      <c r="A14938">
        <f>TEST_DATA!A14938</f>
        <v/>
      </c>
      <c r="B14938">
        <f>TEST_DATA!B14938</f>
        <v/>
      </c>
      <c r="C14938">
        <f>TEST_DATA!C14938</f>
        <v/>
      </c>
      <c r="D14938">
        <f>TEST_DATA!D14938</f>
        <v/>
      </c>
      <c r="E14938">
        <f>TEST_DATA!E14938</f>
        <v/>
      </c>
    </row>
    <row r="14939">
      <c r="A14939">
        <f>TEST_DATA!A14939</f>
        <v/>
      </c>
      <c r="B14939">
        <f>TEST_DATA!B14939</f>
        <v/>
      </c>
      <c r="C14939">
        <f>TEST_DATA!C14939</f>
        <v/>
      </c>
      <c r="D14939">
        <f>TEST_DATA!D14939</f>
        <v/>
      </c>
      <c r="E14939">
        <f>TEST_DATA!E14939</f>
        <v/>
      </c>
    </row>
    <row r="14940">
      <c r="A14940">
        <f>TEST_DATA!A14940</f>
        <v/>
      </c>
      <c r="B14940">
        <f>TEST_DATA!B14940</f>
        <v/>
      </c>
      <c r="C14940">
        <f>TEST_DATA!C14940</f>
        <v/>
      </c>
      <c r="D14940">
        <f>TEST_DATA!D14940</f>
        <v/>
      </c>
      <c r="E14940">
        <f>TEST_DATA!E14940</f>
        <v/>
      </c>
    </row>
    <row r="14941">
      <c r="A14941">
        <f>TEST_DATA!A14941</f>
        <v/>
      </c>
      <c r="B14941">
        <f>TEST_DATA!B14941</f>
        <v/>
      </c>
      <c r="C14941">
        <f>TEST_DATA!C14941</f>
        <v/>
      </c>
      <c r="D14941">
        <f>TEST_DATA!D14941</f>
        <v/>
      </c>
      <c r="E14941">
        <f>TEST_DATA!E14941</f>
        <v/>
      </c>
    </row>
    <row r="14942">
      <c r="A14942">
        <f>TEST_DATA!A14942</f>
        <v/>
      </c>
      <c r="B14942">
        <f>TEST_DATA!B14942</f>
        <v/>
      </c>
      <c r="C14942">
        <f>TEST_DATA!C14942</f>
        <v/>
      </c>
      <c r="D14942">
        <f>TEST_DATA!D14942</f>
        <v/>
      </c>
      <c r="E14942">
        <f>TEST_DATA!E14942</f>
        <v/>
      </c>
    </row>
    <row r="14943">
      <c r="A14943">
        <f>TEST_DATA!A14943</f>
        <v/>
      </c>
      <c r="B14943">
        <f>TEST_DATA!B14943</f>
        <v/>
      </c>
      <c r="C14943">
        <f>TEST_DATA!C14943</f>
        <v/>
      </c>
      <c r="D14943">
        <f>TEST_DATA!D14943</f>
        <v/>
      </c>
      <c r="E14943">
        <f>TEST_DATA!E14943</f>
        <v/>
      </c>
    </row>
    <row r="14944">
      <c r="A14944">
        <f>TEST_DATA!A14944</f>
        <v/>
      </c>
      <c r="B14944">
        <f>TEST_DATA!B14944</f>
        <v/>
      </c>
      <c r="C14944">
        <f>TEST_DATA!C14944</f>
        <v/>
      </c>
      <c r="D14944">
        <f>TEST_DATA!D14944</f>
        <v/>
      </c>
      <c r="E14944">
        <f>TEST_DATA!E14944</f>
        <v/>
      </c>
    </row>
    <row r="14945">
      <c r="A14945">
        <f>TEST_DATA!A14945</f>
        <v/>
      </c>
      <c r="B14945">
        <f>TEST_DATA!B14945</f>
        <v/>
      </c>
      <c r="C14945">
        <f>TEST_DATA!C14945</f>
        <v/>
      </c>
      <c r="D14945">
        <f>TEST_DATA!D14945</f>
        <v/>
      </c>
      <c r="E14945">
        <f>TEST_DATA!E14945</f>
        <v/>
      </c>
    </row>
    <row r="14946">
      <c r="A14946">
        <f>TEST_DATA!A14946</f>
        <v/>
      </c>
      <c r="B14946">
        <f>TEST_DATA!B14946</f>
        <v/>
      </c>
      <c r="C14946">
        <f>TEST_DATA!C14946</f>
        <v/>
      </c>
      <c r="D14946">
        <f>TEST_DATA!D14946</f>
        <v/>
      </c>
      <c r="E14946">
        <f>TEST_DATA!E14946</f>
        <v/>
      </c>
    </row>
    <row r="14947">
      <c r="A14947">
        <f>TEST_DATA!A14947</f>
        <v/>
      </c>
      <c r="B14947">
        <f>TEST_DATA!B14947</f>
        <v/>
      </c>
      <c r="C14947">
        <f>TEST_DATA!C14947</f>
        <v/>
      </c>
      <c r="D14947">
        <f>TEST_DATA!D14947</f>
        <v/>
      </c>
      <c r="E14947">
        <f>TEST_DATA!E14947</f>
        <v/>
      </c>
    </row>
    <row r="14948">
      <c r="A14948">
        <f>TEST_DATA!A14948</f>
        <v/>
      </c>
      <c r="B14948">
        <f>TEST_DATA!B14948</f>
        <v/>
      </c>
      <c r="C14948">
        <f>TEST_DATA!C14948</f>
        <v/>
      </c>
      <c r="D14948">
        <f>TEST_DATA!D14948</f>
        <v/>
      </c>
      <c r="E14948">
        <f>TEST_DATA!E14948</f>
        <v/>
      </c>
    </row>
    <row r="14949">
      <c r="A14949">
        <f>TEST_DATA!A14949</f>
        <v/>
      </c>
      <c r="B14949">
        <f>TEST_DATA!B14949</f>
        <v/>
      </c>
      <c r="C14949">
        <f>TEST_DATA!C14949</f>
        <v/>
      </c>
      <c r="D14949">
        <f>TEST_DATA!D14949</f>
        <v/>
      </c>
      <c r="E14949">
        <f>TEST_DATA!E14949</f>
        <v/>
      </c>
    </row>
    <row r="14950">
      <c r="A14950">
        <f>TEST_DATA!A14950</f>
        <v/>
      </c>
      <c r="B14950">
        <f>TEST_DATA!B14950</f>
        <v/>
      </c>
      <c r="C14950">
        <f>TEST_DATA!C14950</f>
        <v/>
      </c>
      <c r="D14950">
        <f>TEST_DATA!D14950</f>
        <v/>
      </c>
      <c r="E14950">
        <f>TEST_DATA!E14950</f>
        <v/>
      </c>
    </row>
    <row r="14951">
      <c r="A14951">
        <f>TEST_DATA!A14951</f>
        <v/>
      </c>
      <c r="B14951">
        <f>TEST_DATA!B14951</f>
        <v/>
      </c>
      <c r="C14951">
        <f>TEST_DATA!C14951</f>
        <v/>
      </c>
      <c r="D14951">
        <f>TEST_DATA!D14951</f>
        <v/>
      </c>
      <c r="E14951">
        <f>TEST_DATA!E14951</f>
        <v/>
      </c>
    </row>
    <row r="14952">
      <c r="A14952">
        <f>TEST_DATA!A14952</f>
        <v/>
      </c>
      <c r="B14952">
        <f>TEST_DATA!B14952</f>
        <v/>
      </c>
      <c r="C14952">
        <f>TEST_DATA!C14952</f>
        <v/>
      </c>
      <c r="D14952">
        <f>TEST_DATA!D14952</f>
        <v/>
      </c>
      <c r="E14952">
        <f>TEST_DATA!E14952</f>
        <v/>
      </c>
    </row>
    <row r="14953">
      <c r="A14953">
        <f>TEST_DATA!A14953</f>
        <v/>
      </c>
      <c r="B14953">
        <f>TEST_DATA!B14953</f>
        <v/>
      </c>
      <c r="C14953">
        <f>TEST_DATA!C14953</f>
        <v/>
      </c>
      <c r="D14953">
        <f>TEST_DATA!D14953</f>
        <v/>
      </c>
      <c r="E14953">
        <f>TEST_DATA!E14953</f>
        <v/>
      </c>
    </row>
    <row r="14954">
      <c r="A14954">
        <f>TEST_DATA!A14954</f>
        <v/>
      </c>
      <c r="B14954">
        <f>TEST_DATA!B14954</f>
        <v/>
      </c>
      <c r="C14954">
        <f>TEST_DATA!C14954</f>
        <v/>
      </c>
      <c r="D14954">
        <f>TEST_DATA!D14954</f>
        <v/>
      </c>
      <c r="E14954">
        <f>TEST_DATA!E14954</f>
        <v/>
      </c>
    </row>
    <row r="14955">
      <c r="A14955">
        <f>TEST_DATA!A14955</f>
        <v/>
      </c>
      <c r="B14955">
        <f>TEST_DATA!B14955</f>
        <v/>
      </c>
      <c r="C14955">
        <f>TEST_DATA!C14955</f>
        <v/>
      </c>
      <c r="D14955">
        <f>TEST_DATA!D14955</f>
        <v/>
      </c>
      <c r="E14955">
        <f>TEST_DATA!E14955</f>
        <v/>
      </c>
    </row>
    <row r="14956">
      <c r="A14956">
        <f>TEST_DATA!A14956</f>
        <v/>
      </c>
      <c r="B14956">
        <f>TEST_DATA!B14956</f>
        <v/>
      </c>
      <c r="C14956">
        <f>TEST_DATA!C14956</f>
        <v/>
      </c>
      <c r="D14956">
        <f>TEST_DATA!D14956</f>
        <v/>
      </c>
      <c r="E14956">
        <f>TEST_DATA!E14956</f>
        <v/>
      </c>
    </row>
    <row r="14957">
      <c r="A14957">
        <f>TEST_DATA!A14957</f>
        <v/>
      </c>
      <c r="B14957">
        <f>TEST_DATA!B14957</f>
        <v/>
      </c>
      <c r="C14957">
        <f>TEST_DATA!C14957</f>
        <v/>
      </c>
      <c r="D14957">
        <f>TEST_DATA!D14957</f>
        <v/>
      </c>
      <c r="E14957">
        <f>TEST_DATA!E14957</f>
        <v/>
      </c>
    </row>
    <row r="14958">
      <c r="A14958">
        <f>TEST_DATA!A14958</f>
        <v/>
      </c>
      <c r="B14958">
        <f>TEST_DATA!B14958</f>
        <v/>
      </c>
      <c r="C14958">
        <f>TEST_DATA!C14958</f>
        <v/>
      </c>
      <c r="D14958">
        <f>TEST_DATA!D14958</f>
        <v/>
      </c>
      <c r="E14958">
        <f>TEST_DATA!E14958</f>
        <v/>
      </c>
    </row>
    <row r="14959">
      <c r="A14959">
        <f>TEST_DATA!A14959</f>
        <v/>
      </c>
      <c r="B14959">
        <f>TEST_DATA!B14959</f>
        <v/>
      </c>
      <c r="C14959">
        <f>TEST_DATA!C14959</f>
        <v/>
      </c>
      <c r="D14959">
        <f>TEST_DATA!D14959</f>
        <v/>
      </c>
      <c r="E14959">
        <f>TEST_DATA!E14959</f>
        <v/>
      </c>
    </row>
    <row r="14960">
      <c r="A14960">
        <f>TEST_DATA!A14960</f>
        <v/>
      </c>
      <c r="B14960">
        <f>TEST_DATA!B14960</f>
        <v/>
      </c>
      <c r="C14960">
        <f>TEST_DATA!C14960</f>
        <v/>
      </c>
      <c r="D14960">
        <f>TEST_DATA!D14960</f>
        <v/>
      </c>
      <c r="E14960">
        <f>TEST_DATA!E14960</f>
        <v/>
      </c>
    </row>
    <row r="14961">
      <c r="A14961">
        <f>TEST_DATA!A14961</f>
        <v/>
      </c>
      <c r="B14961">
        <f>TEST_DATA!B14961</f>
        <v/>
      </c>
      <c r="C14961">
        <f>TEST_DATA!C14961</f>
        <v/>
      </c>
      <c r="D14961">
        <f>TEST_DATA!D14961</f>
        <v/>
      </c>
      <c r="E14961">
        <f>TEST_DATA!E14961</f>
        <v/>
      </c>
    </row>
    <row r="14962">
      <c r="A14962">
        <f>TEST_DATA!A14962</f>
        <v/>
      </c>
      <c r="B14962">
        <f>TEST_DATA!B14962</f>
        <v/>
      </c>
      <c r="C14962">
        <f>TEST_DATA!C14962</f>
        <v/>
      </c>
      <c r="D14962">
        <f>TEST_DATA!D14962</f>
        <v/>
      </c>
      <c r="E14962">
        <f>TEST_DATA!E14962</f>
        <v/>
      </c>
    </row>
    <row r="14963">
      <c r="A14963">
        <f>TEST_DATA!A14963</f>
        <v/>
      </c>
      <c r="B14963">
        <f>TEST_DATA!B14963</f>
        <v/>
      </c>
      <c r="C14963">
        <f>TEST_DATA!C14963</f>
        <v/>
      </c>
      <c r="D14963">
        <f>TEST_DATA!D14963</f>
        <v/>
      </c>
      <c r="E14963">
        <f>TEST_DATA!E14963</f>
        <v/>
      </c>
    </row>
    <row r="14964">
      <c r="A14964">
        <f>TEST_DATA!A14964</f>
        <v/>
      </c>
      <c r="B14964">
        <f>TEST_DATA!B14964</f>
        <v/>
      </c>
      <c r="C14964">
        <f>TEST_DATA!C14964</f>
        <v/>
      </c>
      <c r="D14964">
        <f>TEST_DATA!D14964</f>
        <v/>
      </c>
      <c r="E14964">
        <f>TEST_DATA!E14964</f>
        <v/>
      </c>
    </row>
    <row r="14965">
      <c r="A14965">
        <f>TEST_DATA!A14965</f>
        <v/>
      </c>
      <c r="B14965">
        <f>TEST_DATA!B14965</f>
        <v/>
      </c>
      <c r="C14965">
        <f>TEST_DATA!C14965</f>
        <v/>
      </c>
      <c r="D14965">
        <f>TEST_DATA!D14965</f>
        <v/>
      </c>
      <c r="E14965">
        <f>TEST_DATA!E14965</f>
        <v/>
      </c>
    </row>
    <row r="14966">
      <c r="A14966">
        <f>TEST_DATA!A14966</f>
        <v/>
      </c>
      <c r="B14966">
        <f>TEST_DATA!B14966</f>
        <v/>
      </c>
      <c r="C14966">
        <f>TEST_DATA!C14966</f>
        <v/>
      </c>
      <c r="D14966">
        <f>TEST_DATA!D14966</f>
        <v/>
      </c>
      <c r="E14966">
        <f>TEST_DATA!E14966</f>
        <v/>
      </c>
    </row>
    <row r="14967">
      <c r="A14967">
        <f>TEST_DATA!A14967</f>
        <v/>
      </c>
      <c r="B14967">
        <f>TEST_DATA!B14967</f>
        <v/>
      </c>
      <c r="C14967">
        <f>TEST_DATA!C14967</f>
        <v/>
      </c>
      <c r="D14967">
        <f>TEST_DATA!D14967</f>
        <v/>
      </c>
      <c r="E14967">
        <f>TEST_DATA!E14967</f>
        <v/>
      </c>
    </row>
    <row r="14968">
      <c r="A14968">
        <f>TEST_DATA!A14968</f>
        <v/>
      </c>
      <c r="B14968">
        <f>TEST_DATA!B14968</f>
        <v/>
      </c>
      <c r="C14968">
        <f>TEST_DATA!C14968</f>
        <v/>
      </c>
      <c r="D14968">
        <f>TEST_DATA!D14968</f>
        <v/>
      </c>
      <c r="E14968">
        <f>TEST_DATA!E14968</f>
        <v/>
      </c>
    </row>
    <row r="14969">
      <c r="A14969">
        <f>TEST_DATA!A14969</f>
        <v/>
      </c>
      <c r="B14969">
        <f>TEST_DATA!B14969</f>
        <v/>
      </c>
      <c r="C14969">
        <f>TEST_DATA!C14969</f>
        <v/>
      </c>
      <c r="D14969">
        <f>TEST_DATA!D14969</f>
        <v/>
      </c>
      <c r="E14969">
        <f>TEST_DATA!E14969</f>
        <v/>
      </c>
    </row>
    <row r="14970">
      <c r="A14970">
        <f>TEST_DATA!A14970</f>
        <v/>
      </c>
      <c r="B14970">
        <f>TEST_DATA!B14970</f>
        <v/>
      </c>
      <c r="C14970">
        <f>TEST_DATA!C14970</f>
        <v/>
      </c>
      <c r="D14970">
        <f>TEST_DATA!D14970</f>
        <v/>
      </c>
      <c r="E14970">
        <f>TEST_DATA!E14970</f>
        <v/>
      </c>
    </row>
    <row r="14971">
      <c r="A14971">
        <f>TEST_DATA!A14971</f>
        <v/>
      </c>
      <c r="B14971">
        <f>TEST_DATA!B14971</f>
        <v/>
      </c>
      <c r="C14971">
        <f>TEST_DATA!C14971</f>
        <v/>
      </c>
      <c r="D14971">
        <f>TEST_DATA!D14971</f>
        <v/>
      </c>
      <c r="E14971">
        <f>TEST_DATA!E14971</f>
        <v/>
      </c>
    </row>
    <row r="14972">
      <c r="A14972">
        <f>TEST_DATA!A14972</f>
        <v/>
      </c>
      <c r="B14972">
        <f>TEST_DATA!B14972</f>
        <v/>
      </c>
      <c r="C14972">
        <f>TEST_DATA!C14972</f>
        <v/>
      </c>
      <c r="D14972">
        <f>TEST_DATA!D14972</f>
        <v/>
      </c>
      <c r="E14972">
        <f>TEST_DATA!E14972</f>
        <v/>
      </c>
    </row>
    <row r="14973">
      <c r="A14973">
        <f>TEST_DATA!A14973</f>
        <v/>
      </c>
      <c r="B14973">
        <f>TEST_DATA!B14973</f>
        <v/>
      </c>
      <c r="C14973">
        <f>TEST_DATA!C14973</f>
        <v/>
      </c>
      <c r="D14973">
        <f>TEST_DATA!D14973</f>
        <v/>
      </c>
      <c r="E14973">
        <f>TEST_DATA!E14973</f>
        <v/>
      </c>
    </row>
    <row r="14974">
      <c r="A14974">
        <f>TEST_DATA!A14974</f>
        <v/>
      </c>
      <c r="B14974">
        <f>TEST_DATA!B14974</f>
        <v/>
      </c>
      <c r="C14974">
        <f>TEST_DATA!C14974</f>
        <v/>
      </c>
      <c r="D14974">
        <f>TEST_DATA!D14974</f>
        <v/>
      </c>
      <c r="E14974">
        <f>TEST_DATA!E14974</f>
        <v/>
      </c>
    </row>
    <row r="14975">
      <c r="A14975">
        <f>TEST_DATA!A14975</f>
        <v/>
      </c>
      <c r="B14975">
        <f>TEST_DATA!B14975</f>
        <v/>
      </c>
      <c r="C14975">
        <f>TEST_DATA!C14975</f>
        <v/>
      </c>
      <c r="D14975">
        <f>TEST_DATA!D14975</f>
        <v/>
      </c>
      <c r="E14975">
        <f>TEST_DATA!E14975</f>
        <v/>
      </c>
    </row>
    <row r="14976">
      <c r="A14976">
        <f>TEST_DATA!A14976</f>
        <v/>
      </c>
      <c r="B14976">
        <f>TEST_DATA!B14976</f>
        <v/>
      </c>
      <c r="C14976">
        <f>TEST_DATA!C14976</f>
        <v/>
      </c>
      <c r="D14976">
        <f>TEST_DATA!D14976</f>
        <v/>
      </c>
      <c r="E14976">
        <f>TEST_DATA!E14976</f>
        <v/>
      </c>
    </row>
    <row r="14977">
      <c r="A14977">
        <f>TEST_DATA!A14977</f>
        <v/>
      </c>
      <c r="B14977">
        <f>TEST_DATA!B14977</f>
        <v/>
      </c>
      <c r="C14977">
        <f>TEST_DATA!C14977</f>
        <v/>
      </c>
      <c r="D14977">
        <f>TEST_DATA!D14977</f>
        <v/>
      </c>
      <c r="E14977">
        <f>TEST_DATA!E14977</f>
        <v/>
      </c>
    </row>
    <row r="14978">
      <c r="A14978">
        <f>TEST_DATA!A14978</f>
        <v/>
      </c>
      <c r="B14978">
        <f>TEST_DATA!B14978</f>
        <v/>
      </c>
      <c r="C14978">
        <f>TEST_DATA!C14978</f>
        <v/>
      </c>
      <c r="D14978">
        <f>TEST_DATA!D14978</f>
        <v/>
      </c>
      <c r="E14978">
        <f>TEST_DATA!E14978</f>
        <v/>
      </c>
    </row>
    <row r="14979">
      <c r="A14979">
        <f>TEST_DATA!A14979</f>
        <v/>
      </c>
      <c r="B14979">
        <f>TEST_DATA!B14979</f>
        <v/>
      </c>
      <c r="C14979">
        <f>TEST_DATA!C14979</f>
        <v/>
      </c>
      <c r="D14979">
        <f>TEST_DATA!D14979</f>
        <v/>
      </c>
      <c r="E14979">
        <f>TEST_DATA!E14979</f>
        <v/>
      </c>
    </row>
    <row r="14980">
      <c r="A14980">
        <f>TEST_DATA!A14980</f>
        <v/>
      </c>
      <c r="B14980">
        <f>TEST_DATA!B14980</f>
        <v/>
      </c>
      <c r="C14980">
        <f>TEST_DATA!C14980</f>
        <v/>
      </c>
      <c r="D14980">
        <f>TEST_DATA!D14980</f>
        <v/>
      </c>
      <c r="E14980">
        <f>TEST_DATA!E14980</f>
        <v/>
      </c>
    </row>
    <row r="14981">
      <c r="A14981">
        <f>TEST_DATA!A14981</f>
        <v/>
      </c>
      <c r="B14981">
        <f>TEST_DATA!B14981</f>
        <v/>
      </c>
      <c r="C14981">
        <f>TEST_DATA!C14981</f>
        <v/>
      </c>
      <c r="D14981">
        <f>TEST_DATA!D14981</f>
        <v/>
      </c>
      <c r="E14981">
        <f>TEST_DATA!E14981</f>
        <v/>
      </c>
    </row>
    <row r="14982">
      <c r="A14982">
        <f>TEST_DATA!A14982</f>
        <v/>
      </c>
      <c r="B14982">
        <f>TEST_DATA!B14982</f>
        <v/>
      </c>
      <c r="C14982">
        <f>TEST_DATA!C14982</f>
        <v/>
      </c>
      <c r="D14982">
        <f>TEST_DATA!D14982</f>
        <v/>
      </c>
      <c r="E14982">
        <f>TEST_DATA!E14982</f>
        <v/>
      </c>
    </row>
    <row r="14983">
      <c r="A14983">
        <f>TEST_DATA!A14983</f>
        <v/>
      </c>
      <c r="B14983">
        <f>TEST_DATA!B14983</f>
        <v/>
      </c>
      <c r="C14983">
        <f>TEST_DATA!C14983</f>
        <v/>
      </c>
      <c r="D14983">
        <f>TEST_DATA!D14983</f>
        <v/>
      </c>
      <c r="E14983">
        <f>TEST_DATA!E14983</f>
        <v/>
      </c>
    </row>
    <row r="14984">
      <c r="A14984">
        <f>TEST_DATA!A14984</f>
        <v/>
      </c>
      <c r="B14984">
        <f>TEST_DATA!B14984</f>
        <v/>
      </c>
      <c r="C14984">
        <f>TEST_DATA!C14984</f>
        <v/>
      </c>
      <c r="D14984">
        <f>TEST_DATA!D14984</f>
        <v/>
      </c>
      <c r="E14984">
        <f>TEST_DATA!E14984</f>
        <v/>
      </c>
    </row>
    <row r="14985">
      <c r="A14985">
        <f>TEST_DATA!A14985</f>
        <v/>
      </c>
      <c r="B14985">
        <f>TEST_DATA!B14985</f>
        <v/>
      </c>
      <c r="C14985">
        <f>TEST_DATA!C14985</f>
        <v/>
      </c>
      <c r="D14985">
        <f>TEST_DATA!D14985</f>
        <v/>
      </c>
      <c r="E14985">
        <f>TEST_DATA!E14985</f>
        <v/>
      </c>
    </row>
    <row r="14986">
      <c r="A14986">
        <f>TEST_DATA!A14986</f>
        <v/>
      </c>
      <c r="B14986">
        <f>TEST_DATA!B14986</f>
        <v/>
      </c>
      <c r="C14986">
        <f>TEST_DATA!C14986</f>
        <v/>
      </c>
      <c r="D14986">
        <f>TEST_DATA!D14986</f>
        <v/>
      </c>
      <c r="E14986">
        <f>TEST_DATA!E14986</f>
        <v/>
      </c>
    </row>
    <row r="14987">
      <c r="A14987">
        <f>TEST_DATA!A14987</f>
        <v/>
      </c>
      <c r="B14987">
        <f>TEST_DATA!B14987</f>
        <v/>
      </c>
      <c r="C14987">
        <f>TEST_DATA!C14987</f>
        <v/>
      </c>
      <c r="D14987">
        <f>TEST_DATA!D14987</f>
        <v/>
      </c>
      <c r="E14987">
        <f>TEST_DATA!E14987</f>
        <v/>
      </c>
    </row>
    <row r="14988">
      <c r="A14988">
        <f>TEST_DATA!A14988</f>
        <v/>
      </c>
      <c r="B14988">
        <f>TEST_DATA!B14988</f>
        <v/>
      </c>
      <c r="C14988">
        <f>TEST_DATA!C14988</f>
        <v/>
      </c>
      <c r="D14988">
        <f>TEST_DATA!D14988</f>
        <v/>
      </c>
      <c r="E14988">
        <f>TEST_DATA!E14988</f>
        <v/>
      </c>
    </row>
    <row r="14989">
      <c r="A14989">
        <f>TEST_DATA!A14989</f>
        <v/>
      </c>
      <c r="B14989">
        <f>TEST_DATA!B14989</f>
        <v/>
      </c>
      <c r="C14989">
        <f>TEST_DATA!C14989</f>
        <v/>
      </c>
      <c r="D14989">
        <f>TEST_DATA!D14989</f>
        <v/>
      </c>
      <c r="E14989">
        <f>TEST_DATA!E14989</f>
        <v/>
      </c>
    </row>
    <row r="14990">
      <c r="A14990">
        <f>TEST_DATA!A14990</f>
        <v/>
      </c>
      <c r="B14990">
        <f>TEST_DATA!B14990</f>
        <v/>
      </c>
      <c r="C14990">
        <f>TEST_DATA!C14990</f>
        <v/>
      </c>
      <c r="D14990">
        <f>TEST_DATA!D14990</f>
        <v/>
      </c>
      <c r="E14990">
        <f>TEST_DATA!E14990</f>
        <v/>
      </c>
    </row>
    <row r="14991">
      <c r="A14991">
        <f>TEST_DATA!A14991</f>
        <v/>
      </c>
      <c r="B14991">
        <f>TEST_DATA!B14991</f>
        <v/>
      </c>
      <c r="C14991">
        <f>TEST_DATA!C14991</f>
        <v/>
      </c>
      <c r="D14991">
        <f>TEST_DATA!D14991</f>
        <v/>
      </c>
      <c r="E14991">
        <f>TEST_DATA!E14991</f>
        <v/>
      </c>
    </row>
    <row r="14992">
      <c r="A14992">
        <f>TEST_DATA!A14992</f>
        <v/>
      </c>
      <c r="B14992">
        <f>TEST_DATA!B14992</f>
        <v/>
      </c>
      <c r="C14992">
        <f>TEST_DATA!C14992</f>
        <v/>
      </c>
      <c r="D14992">
        <f>TEST_DATA!D14992</f>
        <v/>
      </c>
      <c r="E14992">
        <f>TEST_DATA!E14992</f>
        <v/>
      </c>
    </row>
    <row r="14993">
      <c r="A14993">
        <f>TEST_DATA!A14993</f>
        <v/>
      </c>
      <c r="B14993">
        <f>TEST_DATA!B14993</f>
        <v/>
      </c>
      <c r="C14993">
        <f>TEST_DATA!C14993</f>
        <v/>
      </c>
      <c r="D14993">
        <f>TEST_DATA!D14993</f>
        <v/>
      </c>
      <c r="E14993">
        <f>TEST_DATA!E14993</f>
        <v/>
      </c>
    </row>
    <row r="14994">
      <c r="A14994">
        <f>TEST_DATA!A14994</f>
        <v/>
      </c>
      <c r="B14994">
        <f>TEST_DATA!B14994</f>
        <v/>
      </c>
      <c r="C14994">
        <f>TEST_DATA!C14994</f>
        <v/>
      </c>
      <c r="D14994">
        <f>TEST_DATA!D14994</f>
        <v/>
      </c>
      <c r="E14994">
        <f>TEST_DATA!E14994</f>
        <v/>
      </c>
    </row>
    <row r="14995">
      <c r="A14995">
        <f>TEST_DATA!A14995</f>
        <v/>
      </c>
      <c r="B14995">
        <f>TEST_DATA!B14995</f>
        <v/>
      </c>
      <c r="C14995">
        <f>TEST_DATA!C14995</f>
        <v/>
      </c>
      <c r="D14995">
        <f>TEST_DATA!D14995</f>
        <v/>
      </c>
      <c r="E14995">
        <f>TEST_DATA!E14995</f>
        <v/>
      </c>
    </row>
    <row r="14996">
      <c r="A14996">
        <f>TEST_DATA!A14996</f>
        <v/>
      </c>
      <c r="B14996">
        <f>TEST_DATA!B14996</f>
        <v/>
      </c>
      <c r="C14996">
        <f>TEST_DATA!C14996</f>
        <v/>
      </c>
      <c r="D14996">
        <f>TEST_DATA!D14996</f>
        <v/>
      </c>
      <c r="E14996">
        <f>TEST_DATA!E14996</f>
        <v/>
      </c>
    </row>
    <row r="14997">
      <c r="A14997">
        <f>TEST_DATA!A14997</f>
        <v/>
      </c>
      <c r="B14997">
        <f>TEST_DATA!B14997</f>
        <v/>
      </c>
      <c r="C14997">
        <f>TEST_DATA!C14997</f>
        <v/>
      </c>
      <c r="D14997">
        <f>TEST_DATA!D14997</f>
        <v/>
      </c>
      <c r="E14997">
        <f>TEST_DATA!E14997</f>
        <v/>
      </c>
    </row>
    <row r="14998">
      <c r="A14998">
        <f>TEST_DATA!A14998</f>
        <v/>
      </c>
      <c r="B14998">
        <f>TEST_DATA!B14998</f>
        <v/>
      </c>
      <c r="C14998">
        <f>TEST_DATA!C14998</f>
        <v/>
      </c>
      <c r="D14998">
        <f>TEST_DATA!D14998</f>
        <v/>
      </c>
      <c r="E14998">
        <f>TEST_DATA!E14998</f>
        <v/>
      </c>
    </row>
    <row r="14999">
      <c r="A14999">
        <f>TEST_DATA!A14999</f>
        <v/>
      </c>
      <c r="B14999">
        <f>TEST_DATA!B14999</f>
        <v/>
      </c>
      <c r="C14999">
        <f>TEST_DATA!C14999</f>
        <v/>
      </c>
      <c r="D14999">
        <f>TEST_DATA!D14999</f>
        <v/>
      </c>
      <c r="E14999">
        <f>TEST_DATA!E14999</f>
        <v/>
      </c>
    </row>
    <row r="15000">
      <c r="A15000">
        <f>TEST_DATA!A15000</f>
        <v/>
      </c>
      <c r="B15000">
        <f>TEST_DATA!B15000</f>
        <v/>
      </c>
      <c r="C15000">
        <f>TEST_DATA!C15000</f>
        <v/>
      </c>
      <c r="D15000">
        <f>TEST_DATA!D15000</f>
        <v/>
      </c>
      <c r="E15000">
        <f>TEST_DATA!E15000</f>
        <v/>
      </c>
    </row>
    <row r="15001">
      <c r="A15001">
        <f>TEST_DATA!A15001</f>
        <v/>
      </c>
      <c r="B15001">
        <f>TEST_DATA!B15001</f>
        <v/>
      </c>
      <c r="C15001">
        <f>TEST_DATA!C15001</f>
        <v/>
      </c>
      <c r="D15001">
        <f>TEST_DATA!D15001</f>
        <v/>
      </c>
      <c r="E15001">
        <f>TEST_DATA!E15001</f>
        <v/>
      </c>
    </row>
    <row r="15002">
      <c r="A15002">
        <f>TEST_DATA!A15002</f>
        <v/>
      </c>
      <c r="B15002">
        <f>TEST_DATA!B15002</f>
        <v/>
      </c>
      <c r="C15002">
        <f>TEST_DATA!C15002</f>
        <v/>
      </c>
      <c r="D15002">
        <f>TEST_DATA!D15002</f>
        <v/>
      </c>
      <c r="E15002">
        <f>TEST_DATA!E15002</f>
        <v/>
      </c>
    </row>
    <row r="15003">
      <c r="A15003">
        <f>TEST_DATA!A15003</f>
        <v/>
      </c>
      <c r="B15003">
        <f>TEST_DATA!B15003</f>
        <v/>
      </c>
      <c r="C15003">
        <f>TEST_DATA!C15003</f>
        <v/>
      </c>
      <c r="D15003">
        <f>TEST_DATA!D15003</f>
        <v/>
      </c>
      <c r="E15003">
        <f>TEST_DATA!E15003</f>
        <v/>
      </c>
    </row>
    <row r="15004">
      <c r="A15004">
        <f>TEST_DATA!A15004</f>
        <v/>
      </c>
      <c r="B15004">
        <f>TEST_DATA!B15004</f>
        <v/>
      </c>
      <c r="C15004">
        <f>TEST_DATA!C15004</f>
        <v/>
      </c>
      <c r="D15004">
        <f>TEST_DATA!D15004</f>
        <v/>
      </c>
      <c r="E15004">
        <f>TEST_DATA!E15004</f>
        <v/>
      </c>
    </row>
    <row r="15005">
      <c r="A15005">
        <f>TEST_DATA!A15005</f>
        <v/>
      </c>
      <c r="B15005">
        <f>TEST_DATA!B15005</f>
        <v/>
      </c>
      <c r="C15005">
        <f>TEST_DATA!C15005</f>
        <v/>
      </c>
      <c r="D15005">
        <f>TEST_DATA!D15005</f>
        <v/>
      </c>
      <c r="E15005">
        <f>TEST_DATA!E15005</f>
        <v/>
      </c>
    </row>
    <row r="15006">
      <c r="A15006">
        <f>TEST_DATA!A15006</f>
        <v/>
      </c>
      <c r="B15006">
        <f>TEST_DATA!B15006</f>
        <v/>
      </c>
      <c r="C15006">
        <f>TEST_DATA!C15006</f>
        <v/>
      </c>
      <c r="D15006">
        <f>TEST_DATA!D15006</f>
        <v/>
      </c>
      <c r="E15006">
        <f>TEST_DATA!E15006</f>
        <v/>
      </c>
    </row>
    <row r="15007">
      <c r="A15007">
        <f>TEST_DATA!A15007</f>
        <v/>
      </c>
      <c r="B15007">
        <f>TEST_DATA!B15007</f>
        <v/>
      </c>
      <c r="C15007">
        <f>TEST_DATA!C15007</f>
        <v/>
      </c>
      <c r="D15007">
        <f>TEST_DATA!D15007</f>
        <v/>
      </c>
      <c r="E15007">
        <f>TEST_DATA!E15007</f>
        <v/>
      </c>
    </row>
    <row r="15008">
      <c r="A15008">
        <f>TEST_DATA!A15008</f>
        <v/>
      </c>
      <c r="B15008">
        <f>TEST_DATA!B15008</f>
        <v/>
      </c>
      <c r="C15008">
        <f>TEST_DATA!C15008</f>
        <v/>
      </c>
      <c r="D15008">
        <f>TEST_DATA!D15008</f>
        <v/>
      </c>
      <c r="E15008">
        <f>TEST_DATA!E15008</f>
        <v/>
      </c>
    </row>
    <row r="15009">
      <c r="A15009">
        <f>TEST_DATA!A15009</f>
        <v/>
      </c>
      <c r="B15009">
        <f>TEST_DATA!B15009</f>
        <v/>
      </c>
      <c r="C15009">
        <f>TEST_DATA!C15009</f>
        <v/>
      </c>
      <c r="D15009">
        <f>TEST_DATA!D15009</f>
        <v/>
      </c>
      <c r="E15009">
        <f>TEST_DATA!E15009</f>
        <v/>
      </c>
    </row>
    <row r="15010">
      <c r="A15010">
        <f>TEST_DATA!A15010</f>
        <v/>
      </c>
      <c r="B15010">
        <f>TEST_DATA!B15010</f>
        <v/>
      </c>
      <c r="C15010">
        <f>TEST_DATA!C15010</f>
        <v/>
      </c>
      <c r="D15010">
        <f>TEST_DATA!D15010</f>
        <v/>
      </c>
      <c r="E15010">
        <f>TEST_DATA!E15010</f>
        <v/>
      </c>
    </row>
    <row r="15011">
      <c r="A15011">
        <f>TEST_DATA!A15011</f>
        <v/>
      </c>
      <c r="B15011">
        <f>TEST_DATA!B15011</f>
        <v/>
      </c>
      <c r="C15011">
        <f>TEST_DATA!C15011</f>
        <v/>
      </c>
      <c r="D15011">
        <f>TEST_DATA!D15011</f>
        <v/>
      </c>
      <c r="E15011">
        <f>TEST_DATA!E15011</f>
        <v/>
      </c>
    </row>
    <row r="15012">
      <c r="A15012">
        <f>TEST_DATA!A15012</f>
        <v/>
      </c>
      <c r="B15012">
        <f>TEST_DATA!B15012</f>
        <v/>
      </c>
      <c r="C15012">
        <f>TEST_DATA!C15012</f>
        <v/>
      </c>
      <c r="D15012">
        <f>TEST_DATA!D15012</f>
        <v/>
      </c>
      <c r="E15012">
        <f>TEST_DATA!E15012</f>
        <v/>
      </c>
    </row>
    <row r="15013">
      <c r="A15013">
        <f>TEST_DATA!A15013</f>
        <v/>
      </c>
      <c r="B15013">
        <f>TEST_DATA!B15013</f>
        <v/>
      </c>
      <c r="C15013">
        <f>TEST_DATA!C15013</f>
        <v/>
      </c>
      <c r="D15013">
        <f>TEST_DATA!D15013</f>
        <v/>
      </c>
      <c r="E15013">
        <f>TEST_DATA!E15013</f>
        <v/>
      </c>
    </row>
    <row r="15014">
      <c r="A15014">
        <f>TEST_DATA!A15014</f>
        <v/>
      </c>
      <c r="B15014">
        <f>TEST_DATA!B15014</f>
        <v/>
      </c>
      <c r="C15014">
        <f>TEST_DATA!C15014</f>
        <v/>
      </c>
      <c r="D15014">
        <f>TEST_DATA!D15014</f>
        <v/>
      </c>
      <c r="E15014">
        <f>TEST_DATA!E15014</f>
        <v/>
      </c>
    </row>
    <row r="15015">
      <c r="A15015">
        <f>TEST_DATA!A15015</f>
        <v/>
      </c>
      <c r="B15015">
        <f>TEST_DATA!B15015</f>
        <v/>
      </c>
      <c r="C15015">
        <f>TEST_DATA!C15015</f>
        <v/>
      </c>
      <c r="D15015">
        <f>TEST_DATA!D15015</f>
        <v/>
      </c>
      <c r="E15015">
        <f>TEST_DATA!E15015</f>
        <v/>
      </c>
    </row>
    <row r="15016">
      <c r="A15016">
        <f>TEST_DATA!A15016</f>
        <v/>
      </c>
      <c r="B15016">
        <f>TEST_DATA!B15016</f>
        <v/>
      </c>
      <c r="C15016">
        <f>TEST_DATA!C15016</f>
        <v/>
      </c>
      <c r="D15016">
        <f>TEST_DATA!D15016</f>
        <v/>
      </c>
      <c r="E15016">
        <f>TEST_DATA!E15016</f>
        <v/>
      </c>
    </row>
    <row r="15017">
      <c r="A15017">
        <f>TEST_DATA!A15017</f>
        <v/>
      </c>
      <c r="B15017">
        <f>TEST_DATA!B15017</f>
        <v/>
      </c>
      <c r="C15017">
        <f>TEST_DATA!C15017</f>
        <v/>
      </c>
      <c r="D15017">
        <f>TEST_DATA!D15017</f>
        <v/>
      </c>
      <c r="E15017">
        <f>TEST_DATA!E15017</f>
        <v/>
      </c>
    </row>
    <row r="15018">
      <c r="A15018">
        <f>TEST_DATA!A15018</f>
        <v/>
      </c>
      <c r="B15018">
        <f>TEST_DATA!B15018</f>
        <v/>
      </c>
      <c r="C15018">
        <f>TEST_DATA!C15018</f>
        <v/>
      </c>
      <c r="D15018">
        <f>TEST_DATA!D15018</f>
        <v/>
      </c>
      <c r="E15018">
        <f>TEST_DATA!E15018</f>
        <v/>
      </c>
    </row>
    <row r="15019">
      <c r="A15019">
        <f>TEST_DATA!A15019</f>
        <v/>
      </c>
      <c r="B15019">
        <f>TEST_DATA!B15019</f>
        <v/>
      </c>
      <c r="C15019">
        <f>TEST_DATA!C15019</f>
        <v/>
      </c>
      <c r="D15019">
        <f>TEST_DATA!D15019</f>
        <v/>
      </c>
      <c r="E15019">
        <f>TEST_DATA!E15019</f>
        <v/>
      </c>
    </row>
    <row r="15020">
      <c r="A15020">
        <f>TEST_DATA!A15020</f>
        <v/>
      </c>
      <c r="B15020">
        <f>TEST_DATA!B15020</f>
        <v/>
      </c>
      <c r="C15020">
        <f>TEST_DATA!C15020</f>
        <v/>
      </c>
      <c r="D15020">
        <f>TEST_DATA!D15020</f>
        <v/>
      </c>
      <c r="E15020">
        <f>TEST_DATA!E15020</f>
        <v/>
      </c>
    </row>
    <row r="15021">
      <c r="A15021">
        <f>TEST_DATA!A15021</f>
        <v/>
      </c>
      <c r="B15021">
        <f>TEST_DATA!B15021</f>
        <v/>
      </c>
      <c r="C15021">
        <f>TEST_DATA!C15021</f>
        <v/>
      </c>
      <c r="D15021">
        <f>TEST_DATA!D15021</f>
        <v/>
      </c>
      <c r="E15021">
        <f>TEST_DATA!E15021</f>
        <v/>
      </c>
    </row>
    <row r="15022">
      <c r="A15022">
        <f>TEST_DATA!A15022</f>
        <v/>
      </c>
      <c r="B15022">
        <f>TEST_DATA!B15022</f>
        <v/>
      </c>
      <c r="C15022">
        <f>TEST_DATA!C15022</f>
        <v/>
      </c>
      <c r="D15022">
        <f>TEST_DATA!D15022</f>
        <v/>
      </c>
      <c r="E15022">
        <f>TEST_DATA!E15022</f>
        <v/>
      </c>
    </row>
    <row r="15023">
      <c r="A15023">
        <f>TEST_DATA!A15023</f>
        <v/>
      </c>
      <c r="B15023">
        <f>TEST_DATA!B15023</f>
        <v/>
      </c>
      <c r="C15023">
        <f>TEST_DATA!C15023</f>
        <v/>
      </c>
      <c r="D15023">
        <f>TEST_DATA!D15023</f>
        <v/>
      </c>
      <c r="E15023">
        <f>TEST_DATA!E15023</f>
        <v/>
      </c>
    </row>
    <row r="15024">
      <c r="A15024">
        <f>TEST_DATA!A15024</f>
        <v/>
      </c>
      <c r="B15024">
        <f>TEST_DATA!B15024</f>
        <v/>
      </c>
      <c r="C15024">
        <f>TEST_DATA!C15024</f>
        <v/>
      </c>
      <c r="D15024">
        <f>TEST_DATA!D15024</f>
        <v/>
      </c>
      <c r="E15024">
        <f>TEST_DATA!E15024</f>
        <v/>
      </c>
    </row>
    <row r="15025">
      <c r="A15025">
        <f>TEST_DATA!A15025</f>
        <v/>
      </c>
      <c r="B15025">
        <f>TEST_DATA!B15025</f>
        <v/>
      </c>
      <c r="C15025">
        <f>TEST_DATA!C15025</f>
        <v/>
      </c>
      <c r="D15025">
        <f>TEST_DATA!D15025</f>
        <v/>
      </c>
      <c r="E15025">
        <f>TEST_DATA!E15025</f>
        <v/>
      </c>
    </row>
    <row r="15026">
      <c r="A15026">
        <f>TEST_DATA!A15026</f>
        <v/>
      </c>
      <c r="B15026">
        <f>TEST_DATA!B15026</f>
        <v/>
      </c>
      <c r="C15026">
        <f>TEST_DATA!C15026</f>
        <v/>
      </c>
      <c r="D15026">
        <f>TEST_DATA!D15026</f>
        <v/>
      </c>
      <c r="E15026">
        <f>TEST_DATA!E15026</f>
        <v/>
      </c>
    </row>
    <row r="15027">
      <c r="A15027">
        <f>TEST_DATA!A15027</f>
        <v/>
      </c>
      <c r="B15027">
        <f>TEST_DATA!B15027</f>
        <v/>
      </c>
      <c r="C15027">
        <f>TEST_DATA!C15027</f>
        <v/>
      </c>
      <c r="D15027">
        <f>TEST_DATA!D15027</f>
        <v/>
      </c>
      <c r="E15027">
        <f>TEST_DATA!E15027</f>
        <v/>
      </c>
    </row>
    <row r="15028">
      <c r="A15028">
        <f>TEST_DATA!A15028</f>
        <v/>
      </c>
      <c r="B15028">
        <f>TEST_DATA!B15028</f>
        <v/>
      </c>
      <c r="C15028">
        <f>TEST_DATA!C15028</f>
        <v/>
      </c>
      <c r="D15028">
        <f>TEST_DATA!D15028</f>
        <v/>
      </c>
      <c r="E15028">
        <f>TEST_DATA!E15028</f>
        <v/>
      </c>
    </row>
    <row r="15029">
      <c r="A15029">
        <f>TEST_DATA!A15029</f>
        <v/>
      </c>
      <c r="B15029">
        <f>TEST_DATA!B15029</f>
        <v/>
      </c>
      <c r="C15029">
        <f>TEST_DATA!C15029</f>
        <v/>
      </c>
      <c r="D15029">
        <f>TEST_DATA!D15029</f>
        <v/>
      </c>
      <c r="E15029">
        <f>TEST_DATA!E15029</f>
        <v/>
      </c>
    </row>
    <row r="15030">
      <c r="A15030">
        <f>TEST_DATA!A15030</f>
        <v/>
      </c>
      <c r="B15030">
        <f>TEST_DATA!B15030</f>
        <v/>
      </c>
      <c r="C15030">
        <f>TEST_DATA!C15030</f>
        <v/>
      </c>
      <c r="D15030">
        <f>TEST_DATA!D15030</f>
        <v/>
      </c>
      <c r="E15030">
        <f>TEST_DATA!E15030</f>
        <v/>
      </c>
    </row>
    <row r="15031">
      <c r="A15031">
        <f>TEST_DATA!A15031</f>
        <v/>
      </c>
      <c r="B15031">
        <f>TEST_DATA!B15031</f>
        <v/>
      </c>
      <c r="C15031">
        <f>TEST_DATA!C15031</f>
        <v/>
      </c>
      <c r="D15031">
        <f>TEST_DATA!D15031</f>
        <v/>
      </c>
      <c r="E15031">
        <f>TEST_DATA!E15031</f>
        <v/>
      </c>
    </row>
    <row r="15032">
      <c r="A15032">
        <f>TEST_DATA!A15032</f>
        <v/>
      </c>
      <c r="B15032">
        <f>TEST_DATA!B15032</f>
        <v/>
      </c>
      <c r="C15032">
        <f>TEST_DATA!C15032</f>
        <v/>
      </c>
      <c r="D15032">
        <f>TEST_DATA!D15032</f>
        <v/>
      </c>
      <c r="E15032">
        <f>TEST_DATA!E15032</f>
        <v/>
      </c>
    </row>
    <row r="15033">
      <c r="A15033">
        <f>TEST_DATA!A15033</f>
        <v/>
      </c>
      <c r="B15033">
        <f>TEST_DATA!B15033</f>
        <v/>
      </c>
      <c r="C15033">
        <f>TEST_DATA!C15033</f>
        <v/>
      </c>
      <c r="D15033">
        <f>TEST_DATA!D15033</f>
        <v/>
      </c>
      <c r="E15033">
        <f>TEST_DATA!E15033</f>
        <v/>
      </c>
    </row>
    <row r="15034">
      <c r="A15034">
        <f>TEST_DATA!A15034</f>
        <v/>
      </c>
      <c r="B15034">
        <f>TEST_DATA!B15034</f>
        <v/>
      </c>
      <c r="C15034">
        <f>TEST_DATA!C15034</f>
        <v/>
      </c>
      <c r="D15034">
        <f>TEST_DATA!D15034</f>
        <v/>
      </c>
      <c r="E15034">
        <f>TEST_DATA!E15034</f>
        <v/>
      </c>
    </row>
    <row r="15035">
      <c r="A15035">
        <f>TEST_DATA!A15035</f>
        <v/>
      </c>
      <c r="B15035">
        <f>TEST_DATA!B15035</f>
        <v/>
      </c>
      <c r="C15035">
        <f>TEST_DATA!C15035</f>
        <v/>
      </c>
      <c r="D15035">
        <f>TEST_DATA!D15035</f>
        <v/>
      </c>
      <c r="E15035">
        <f>TEST_DATA!E15035</f>
        <v/>
      </c>
    </row>
    <row r="15036">
      <c r="A15036">
        <f>TEST_DATA!A15036</f>
        <v/>
      </c>
      <c r="B15036">
        <f>TEST_DATA!B15036</f>
        <v/>
      </c>
      <c r="C15036">
        <f>TEST_DATA!C15036</f>
        <v/>
      </c>
      <c r="D15036">
        <f>TEST_DATA!D15036</f>
        <v/>
      </c>
      <c r="E15036">
        <f>TEST_DATA!E15036</f>
        <v/>
      </c>
    </row>
    <row r="15037">
      <c r="A15037">
        <f>TEST_DATA!A15037</f>
        <v/>
      </c>
      <c r="B15037">
        <f>TEST_DATA!B15037</f>
        <v/>
      </c>
      <c r="C15037">
        <f>TEST_DATA!C15037</f>
        <v/>
      </c>
      <c r="D15037">
        <f>TEST_DATA!D15037</f>
        <v/>
      </c>
      <c r="E15037">
        <f>TEST_DATA!E15037</f>
        <v/>
      </c>
    </row>
    <row r="15038">
      <c r="A15038">
        <f>TEST_DATA!A15038</f>
        <v/>
      </c>
      <c r="B15038">
        <f>TEST_DATA!B15038</f>
        <v/>
      </c>
      <c r="C15038">
        <f>TEST_DATA!C15038</f>
        <v/>
      </c>
      <c r="D15038">
        <f>TEST_DATA!D15038</f>
        <v/>
      </c>
      <c r="E15038">
        <f>TEST_DATA!E15038</f>
        <v/>
      </c>
    </row>
    <row r="15039">
      <c r="A15039">
        <f>TEST_DATA!A15039</f>
        <v/>
      </c>
      <c r="B15039">
        <f>TEST_DATA!B15039</f>
        <v/>
      </c>
      <c r="C15039">
        <f>TEST_DATA!C15039</f>
        <v/>
      </c>
      <c r="D15039">
        <f>TEST_DATA!D15039</f>
        <v/>
      </c>
      <c r="E15039">
        <f>TEST_DATA!E15039</f>
        <v/>
      </c>
    </row>
    <row r="15040">
      <c r="A15040">
        <f>TEST_DATA!A15040</f>
        <v/>
      </c>
      <c r="B15040">
        <f>TEST_DATA!B15040</f>
        <v/>
      </c>
      <c r="C15040">
        <f>TEST_DATA!C15040</f>
        <v/>
      </c>
      <c r="D15040">
        <f>TEST_DATA!D15040</f>
        <v/>
      </c>
      <c r="E15040">
        <f>TEST_DATA!E15040</f>
        <v/>
      </c>
    </row>
    <row r="15041">
      <c r="A15041">
        <f>TEST_DATA!A15041</f>
        <v/>
      </c>
      <c r="B15041">
        <f>TEST_DATA!B15041</f>
        <v/>
      </c>
      <c r="C15041">
        <f>TEST_DATA!C15041</f>
        <v/>
      </c>
      <c r="D15041">
        <f>TEST_DATA!D15041</f>
        <v/>
      </c>
      <c r="E15041">
        <f>TEST_DATA!E15041</f>
        <v/>
      </c>
    </row>
    <row r="15042">
      <c r="A15042">
        <f>TEST_DATA!A15042</f>
        <v/>
      </c>
      <c r="B15042">
        <f>TEST_DATA!B15042</f>
        <v/>
      </c>
      <c r="C15042">
        <f>TEST_DATA!C15042</f>
        <v/>
      </c>
      <c r="D15042">
        <f>TEST_DATA!D15042</f>
        <v/>
      </c>
      <c r="E15042">
        <f>TEST_DATA!E15042</f>
        <v/>
      </c>
    </row>
    <row r="15043">
      <c r="A15043">
        <f>TEST_DATA!A15043</f>
        <v/>
      </c>
      <c r="B15043">
        <f>TEST_DATA!B15043</f>
        <v/>
      </c>
      <c r="C15043">
        <f>TEST_DATA!C15043</f>
        <v/>
      </c>
      <c r="D15043">
        <f>TEST_DATA!D15043</f>
        <v/>
      </c>
      <c r="E15043">
        <f>TEST_DATA!E15043</f>
        <v/>
      </c>
    </row>
    <row r="15044">
      <c r="A15044">
        <f>TEST_DATA!A15044</f>
        <v/>
      </c>
      <c r="B15044">
        <f>TEST_DATA!B15044</f>
        <v/>
      </c>
      <c r="C15044">
        <f>TEST_DATA!C15044</f>
        <v/>
      </c>
      <c r="D15044">
        <f>TEST_DATA!D15044</f>
        <v/>
      </c>
      <c r="E15044">
        <f>TEST_DATA!E15044</f>
        <v/>
      </c>
    </row>
    <row r="15045">
      <c r="A15045">
        <f>TEST_DATA!A15045</f>
        <v/>
      </c>
      <c r="B15045">
        <f>TEST_DATA!B15045</f>
        <v/>
      </c>
      <c r="C15045">
        <f>TEST_DATA!C15045</f>
        <v/>
      </c>
      <c r="D15045">
        <f>TEST_DATA!D15045</f>
        <v/>
      </c>
      <c r="E15045">
        <f>TEST_DATA!E15045</f>
        <v/>
      </c>
    </row>
    <row r="15046">
      <c r="A15046">
        <f>TEST_DATA!A15046</f>
        <v/>
      </c>
      <c r="B15046">
        <f>TEST_DATA!B15046</f>
        <v/>
      </c>
      <c r="C15046">
        <f>TEST_DATA!C15046</f>
        <v/>
      </c>
      <c r="D15046">
        <f>TEST_DATA!D15046</f>
        <v/>
      </c>
      <c r="E15046">
        <f>TEST_DATA!E15046</f>
        <v/>
      </c>
    </row>
    <row r="15047">
      <c r="A15047">
        <f>TEST_DATA!A15047</f>
        <v/>
      </c>
      <c r="B15047">
        <f>TEST_DATA!B15047</f>
        <v/>
      </c>
      <c r="C15047">
        <f>TEST_DATA!C15047</f>
        <v/>
      </c>
      <c r="D15047">
        <f>TEST_DATA!D15047</f>
        <v/>
      </c>
      <c r="E15047">
        <f>TEST_DATA!E15047</f>
        <v/>
      </c>
    </row>
    <row r="15048">
      <c r="A15048">
        <f>TEST_DATA!A15048</f>
        <v/>
      </c>
      <c r="B15048">
        <f>TEST_DATA!B15048</f>
        <v/>
      </c>
      <c r="C15048">
        <f>TEST_DATA!C15048</f>
        <v/>
      </c>
      <c r="D15048">
        <f>TEST_DATA!D15048</f>
        <v/>
      </c>
      <c r="E15048">
        <f>TEST_DATA!E15048</f>
        <v/>
      </c>
    </row>
    <row r="15049">
      <c r="A15049">
        <f>TEST_DATA!A15049</f>
        <v/>
      </c>
      <c r="B15049">
        <f>TEST_DATA!B15049</f>
        <v/>
      </c>
      <c r="C15049">
        <f>TEST_DATA!C15049</f>
        <v/>
      </c>
      <c r="D15049">
        <f>TEST_DATA!D15049</f>
        <v/>
      </c>
      <c r="E15049">
        <f>TEST_DATA!E15049</f>
        <v/>
      </c>
    </row>
    <row r="15050">
      <c r="A15050">
        <f>TEST_DATA!A15050</f>
        <v/>
      </c>
      <c r="B15050">
        <f>TEST_DATA!B15050</f>
        <v/>
      </c>
      <c r="C15050">
        <f>TEST_DATA!C15050</f>
        <v/>
      </c>
      <c r="D15050">
        <f>TEST_DATA!D15050</f>
        <v/>
      </c>
      <c r="E15050">
        <f>TEST_DATA!E15050</f>
        <v/>
      </c>
    </row>
    <row r="15051">
      <c r="A15051">
        <f>TEST_DATA!A15051</f>
        <v/>
      </c>
      <c r="B15051">
        <f>TEST_DATA!B15051</f>
        <v/>
      </c>
      <c r="C15051">
        <f>TEST_DATA!C15051</f>
        <v/>
      </c>
      <c r="D15051">
        <f>TEST_DATA!D15051</f>
        <v/>
      </c>
      <c r="E15051">
        <f>TEST_DATA!E15051</f>
        <v/>
      </c>
    </row>
    <row r="15052">
      <c r="A15052">
        <f>TEST_DATA!A15052</f>
        <v/>
      </c>
      <c r="B15052">
        <f>TEST_DATA!B15052</f>
        <v/>
      </c>
      <c r="C15052">
        <f>TEST_DATA!C15052</f>
        <v/>
      </c>
      <c r="D15052">
        <f>TEST_DATA!D15052</f>
        <v/>
      </c>
      <c r="E15052">
        <f>TEST_DATA!E15052</f>
        <v/>
      </c>
    </row>
    <row r="15053">
      <c r="A15053">
        <f>TEST_DATA!A15053</f>
        <v/>
      </c>
      <c r="B15053">
        <f>TEST_DATA!B15053</f>
        <v/>
      </c>
      <c r="C15053">
        <f>TEST_DATA!C15053</f>
        <v/>
      </c>
      <c r="D15053">
        <f>TEST_DATA!D15053</f>
        <v/>
      </c>
      <c r="E15053">
        <f>TEST_DATA!E15053</f>
        <v/>
      </c>
    </row>
    <row r="15054">
      <c r="A15054">
        <f>TEST_DATA!A15054</f>
        <v/>
      </c>
      <c r="B15054">
        <f>TEST_DATA!B15054</f>
        <v/>
      </c>
      <c r="C15054">
        <f>TEST_DATA!C15054</f>
        <v/>
      </c>
      <c r="D15054">
        <f>TEST_DATA!D15054</f>
        <v/>
      </c>
      <c r="E15054">
        <f>TEST_DATA!E15054</f>
        <v/>
      </c>
    </row>
    <row r="15055">
      <c r="A15055">
        <f>TEST_DATA!A15055</f>
        <v/>
      </c>
      <c r="B15055">
        <f>TEST_DATA!B15055</f>
        <v/>
      </c>
      <c r="C15055">
        <f>TEST_DATA!C15055</f>
        <v/>
      </c>
      <c r="D15055">
        <f>TEST_DATA!D15055</f>
        <v/>
      </c>
      <c r="E15055">
        <f>TEST_DATA!E15055</f>
        <v/>
      </c>
    </row>
    <row r="15056">
      <c r="A15056">
        <f>TEST_DATA!A15056</f>
        <v/>
      </c>
      <c r="B15056">
        <f>TEST_DATA!B15056</f>
        <v/>
      </c>
      <c r="C15056">
        <f>TEST_DATA!C15056</f>
        <v/>
      </c>
      <c r="D15056">
        <f>TEST_DATA!D15056</f>
        <v/>
      </c>
      <c r="E15056">
        <f>TEST_DATA!E15056</f>
        <v/>
      </c>
    </row>
    <row r="15057">
      <c r="A15057">
        <f>TEST_DATA!A15057</f>
        <v/>
      </c>
      <c r="B15057">
        <f>TEST_DATA!B15057</f>
        <v/>
      </c>
      <c r="C15057">
        <f>TEST_DATA!C15057</f>
        <v/>
      </c>
      <c r="D15057">
        <f>TEST_DATA!D15057</f>
        <v/>
      </c>
      <c r="E15057">
        <f>TEST_DATA!E15057</f>
        <v/>
      </c>
    </row>
    <row r="15058">
      <c r="A15058">
        <f>TEST_DATA!A15058</f>
        <v/>
      </c>
      <c r="B15058">
        <f>TEST_DATA!B15058</f>
        <v/>
      </c>
      <c r="C15058">
        <f>TEST_DATA!C15058</f>
        <v/>
      </c>
      <c r="D15058">
        <f>TEST_DATA!D15058</f>
        <v/>
      </c>
      <c r="E15058">
        <f>TEST_DATA!E15058</f>
        <v/>
      </c>
    </row>
    <row r="15059">
      <c r="A15059">
        <f>TEST_DATA!A15059</f>
        <v/>
      </c>
      <c r="B15059">
        <f>TEST_DATA!B15059</f>
        <v/>
      </c>
      <c r="C15059">
        <f>TEST_DATA!C15059</f>
        <v/>
      </c>
      <c r="D15059">
        <f>TEST_DATA!D15059</f>
        <v/>
      </c>
      <c r="E15059">
        <f>TEST_DATA!E15059</f>
        <v/>
      </c>
    </row>
    <row r="15060">
      <c r="A15060">
        <f>TEST_DATA!A15060</f>
        <v/>
      </c>
      <c r="B15060">
        <f>TEST_DATA!B15060</f>
        <v/>
      </c>
      <c r="C15060">
        <f>TEST_DATA!C15060</f>
        <v/>
      </c>
      <c r="D15060">
        <f>TEST_DATA!D15060</f>
        <v/>
      </c>
      <c r="E15060">
        <f>TEST_DATA!E15060</f>
        <v/>
      </c>
    </row>
    <row r="15061">
      <c r="A15061">
        <f>TEST_DATA!A15061</f>
        <v/>
      </c>
      <c r="B15061">
        <f>TEST_DATA!B15061</f>
        <v/>
      </c>
      <c r="C15061">
        <f>TEST_DATA!C15061</f>
        <v/>
      </c>
      <c r="D15061">
        <f>TEST_DATA!D15061</f>
        <v/>
      </c>
      <c r="E15061">
        <f>TEST_DATA!E15061</f>
        <v/>
      </c>
    </row>
    <row r="15062">
      <c r="A15062">
        <f>TEST_DATA!A15062</f>
        <v/>
      </c>
      <c r="B15062">
        <f>TEST_DATA!B15062</f>
        <v/>
      </c>
      <c r="C15062">
        <f>TEST_DATA!C15062</f>
        <v/>
      </c>
      <c r="D15062">
        <f>TEST_DATA!D15062</f>
        <v/>
      </c>
      <c r="E15062">
        <f>TEST_DATA!E15062</f>
        <v/>
      </c>
    </row>
    <row r="15063">
      <c r="A15063">
        <f>TEST_DATA!A15063</f>
        <v/>
      </c>
      <c r="B15063">
        <f>TEST_DATA!B15063</f>
        <v/>
      </c>
      <c r="C15063">
        <f>TEST_DATA!C15063</f>
        <v/>
      </c>
      <c r="D15063">
        <f>TEST_DATA!D15063</f>
        <v/>
      </c>
      <c r="E15063">
        <f>TEST_DATA!E15063</f>
        <v/>
      </c>
    </row>
    <row r="15064">
      <c r="A15064">
        <f>TEST_DATA!A15064</f>
        <v/>
      </c>
      <c r="B15064">
        <f>TEST_DATA!B15064</f>
        <v/>
      </c>
      <c r="C15064">
        <f>TEST_DATA!C15064</f>
        <v/>
      </c>
      <c r="D15064">
        <f>TEST_DATA!D15064</f>
        <v/>
      </c>
      <c r="E15064">
        <f>TEST_DATA!E15064</f>
        <v/>
      </c>
    </row>
    <row r="15065">
      <c r="A15065">
        <f>TEST_DATA!A15065</f>
        <v/>
      </c>
      <c r="B15065">
        <f>TEST_DATA!B15065</f>
        <v/>
      </c>
      <c r="C15065">
        <f>TEST_DATA!C15065</f>
        <v/>
      </c>
      <c r="D15065">
        <f>TEST_DATA!D15065</f>
        <v/>
      </c>
      <c r="E15065">
        <f>TEST_DATA!E15065</f>
        <v/>
      </c>
    </row>
    <row r="15066">
      <c r="A15066">
        <f>TEST_DATA!A15066</f>
        <v/>
      </c>
      <c r="B15066">
        <f>TEST_DATA!B15066</f>
        <v/>
      </c>
      <c r="C15066">
        <f>TEST_DATA!C15066</f>
        <v/>
      </c>
      <c r="D15066">
        <f>TEST_DATA!D15066</f>
        <v/>
      </c>
      <c r="E15066">
        <f>TEST_DATA!E15066</f>
        <v/>
      </c>
    </row>
    <row r="15067">
      <c r="A15067">
        <f>TEST_DATA!A15067</f>
        <v/>
      </c>
      <c r="B15067">
        <f>TEST_DATA!B15067</f>
        <v/>
      </c>
      <c r="C15067">
        <f>TEST_DATA!C15067</f>
        <v/>
      </c>
      <c r="D15067">
        <f>TEST_DATA!D15067</f>
        <v/>
      </c>
      <c r="E15067">
        <f>TEST_DATA!E15067</f>
        <v/>
      </c>
    </row>
    <row r="15068">
      <c r="A15068">
        <f>TEST_DATA!A15068</f>
        <v/>
      </c>
      <c r="B15068">
        <f>TEST_DATA!B15068</f>
        <v/>
      </c>
      <c r="C15068">
        <f>TEST_DATA!C15068</f>
        <v/>
      </c>
      <c r="D15068">
        <f>TEST_DATA!D15068</f>
        <v/>
      </c>
      <c r="E15068">
        <f>TEST_DATA!E15068</f>
        <v/>
      </c>
    </row>
    <row r="15069">
      <c r="A15069">
        <f>TEST_DATA!A15069</f>
        <v/>
      </c>
      <c r="B15069">
        <f>TEST_DATA!B15069</f>
        <v/>
      </c>
      <c r="C15069">
        <f>TEST_DATA!C15069</f>
        <v/>
      </c>
      <c r="D15069">
        <f>TEST_DATA!D15069</f>
        <v/>
      </c>
      <c r="E15069">
        <f>TEST_DATA!E15069</f>
        <v/>
      </c>
    </row>
    <row r="15070">
      <c r="A15070">
        <f>TEST_DATA!A15070</f>
        <v/>
      </c>
      <c r="B15070">
        <f>TEST_DATA!B15070</f>
        <v/>
      </c>
      <c r="C15070">
        <f>TEST_DATA!C15070</f>
        <v/>
      </c>
      <c r="D15070">
        <f>TEST_DATA!D15070</f>
        <v/>
      </c>
      <c r="E15070">
        <f>TEST_DATA!E15070</f>
        <v/>
      </c>
    </row>
    <row r="15071">
      <c r="A15071">
        <f>TEST_DATA!A15071</f>
        <v/>
      </c>
      <c r="B15071">
        <f>TEST_DATA!B15071</f>
        <v/>
      </c>
      <c r="C15071">
        <f>TEST_DATA!C15071</f>
        <v/>
      </c>
      <c r="D15071">
        <f>TEST_DATA!D15071</f>
        <v/>
      </c>
      <c r="E15071">
        <f>TEST_DATA!E15071</f>
        <v/>
      </c>
    </row>
    <row r="15072">
      <c r="A15072">
        <f>TEST_DATA!A15072</f>
        <v/>
      </c>
      <c r="B15072">
        <f>TEST_DATA!B15072</f>
        <v/>
      </c>
      <c r="C15072">
        <f>TEST_DATA!C15072</f>
        <v/>
      </c>
      <c r="D15072">
        <f>TEST_DATA!D15072</f>
        <v/>
      </c>
      <c r="E15072">
        <f>TEST_DATA!E15072</f>
        <v/>
      </c>
    </row>
    <row r="15073">
      <c r="A15073">
        <f>TEST_DATA!A15073</f>
        <v/>
      </c>
      <c r="B15073">
        <f>TEST_DATA!B15073</f>
        <v/>
      </c>
      <c r="C15073">
        <f>TEST_DATA!C15073</f>
        <v/>
      </c>
      <c r="D15073">
        <f>TEST_DATA!D15073</f>
        <v/>
      </c>
      <c r="E15073">
        <f>TEST_DATA!E15073</f>
        <v/>
      </c>
    </row>
    <row r="15074">
      <c r="A15074">
        <f>TEST_DATA!A15074</f>
        <v/>
      </c>
      <c r="B15074">
        <f>TEST_DATA!B15074</f>
        <v/>
      </c>
      <c r="C15074">
        <f>TEST_DATA!C15074</f>
        <v/>
      </c>
      <c r="D15074">
        <f>TEST_DATA!D15074</f>
        <v/>
      </c>
      <c r="E15074">
        <f>TEST_DATA!E15074</f>
        <v/>
      </c>
    </row>
    <row r="15075">
      <c r="A15075">
        <f>TEST_DATA!A15075</f>
        <v/>
      </c>
      <c r="B15075">
        <f>TEST_DATA!B15075</f>
        <v/>
      </c>
      <c r="C15075">
        <f>TEST_DATA!C15075</f>
        <v/>
      </c>
      <c r="D15075">
        <f>TEST_DATA!D15075</f>
        <v/>
      </c>
      <c r="E15075">
        <f>TEST_DATA!E15075</f>
        <v/>
      </c>
    </row>
    <row r="15076">
      <c r="A15076">
        <f>TEST_DATA!A15076</f>
        <v/>
      </c>
      <c r="B15076">
        <f>TEST_DATA!B15076</f>
        <v/>
      </c>
      <c r="C15076">
        <f>TEST_DATA!C15076</f>
        <v/>
      </c>
      <c r="D15076">
        <f>TEST_DATA!D15076</f>
        <v/>
      </c>
      <c r="E15076">
        <f>TEST_DATA!E15076</f>
        <v/>
      </c>
    </row>
    <row r="15077">
      <c r="A15077">
        <f>TEST_DATA!A15077</f>
        <v/>
      </c>
      <c r="B15077">
        <f>TEST_DATA!B15077</f>
        <v/>
      </c>
      <c r="C15077">
        <f>TEST_DATA!C15077</f>
        <v/>
      </c>
      <c r="D15077">
        <f>TEST_DATA!D15077</f>
        <v/>
      </c>
      <c r="E15077">
        <f>TEST_DATA!E15077</f>
        <v/>
      </c>
    </row>
    <row r="15078">
      <c r="A15078">
        <f>TEST_DATA!A15078</f>
        <v/>
      </c>
      <c r="B15078">
        <f>TEST_DATA!B15078</f>
        <v/>
      </c>
      <c r="C15078">
        <f>TEST_DATA!C15078</f>
        <v/>
      </c>
      <c r="D15078">
        <f>TEST_DATA!D15078</f>
        <v/>
      </c>
      <c r="E15078">
        <f>TEST_DATA!E15078</f>
        <v/>
      </c>
    </row>
    <row r="15079">
      <c r="A15079">
        <f>TEST_DATA!A15079</f>
        <v/>
      </c>
      <c r="B15079">
        <f>TEST_DATA!B15079</f>
        <v/>
      </c>
      <c r="C15079">
        <f>TEST_DATA!C15079</f>
        <v/>
      </c>
      <c r="D15079">
        <f>TEST_DATA!D15079</f>
        <v/>
      </c>
      <c r="E15079">
        <f>TEST_DATA!E15079</f>
        <v/>
      </c>
    </row>
    <row r="15080">
      <c r="A15080">
        <f>TEST_DATA!A15080</f>
        <v/>
      </c>
      <c r="B15080">
        <f>TEST_DATA!B15080</f>
        <v/>
      </c>
      <c r="C15080">
        <f>TEST_DATA!C15080</f>
        <v/>
      </c>
      <c r="D15080">
        <f>TEST_DATA!D15080</f>
        <v/>
      </c>
      <c r="E15080">
        <f>TEST_DATA!E15080</f>
        <v/>
      </c>
    </row>
    <row r="15081">
      <c r="A15081">
        <f>TEST_DATA!A15081</f>
        <v/>
      </c>
      <c r="B15081">
        <f>TEST_DATA!B15081</f>
        <v/>
      </c>
      <c r="C15081">
        <f>TEST_DATA!C15081</f>
        <v/>
      </c>
      <c r="D15081">
        <f>TEST_DATA!D15081</f>
        <v/>
      </c>
      <c r="E15081">
        <f>TEST_DATA!E15081</f>
        <v/>
      </c>
    </row>
    <row r="15082">
      <c r="A15082">
        <f>TEST_DATA!A15082</f>
        <v/>
      </c>
      <c r="B15082">
        <f>TEST_DATA!B15082</f>
        <v/>
      </c>
      <c r="C15082">
        <f>TEST_DATA!C15082</f>
        <v/>
      </c>
      <c r="D15082">
        <f>TEST_DATA!D15082</f>
        <v/>
      </c>
      <c r="E15082">
        <f>TEST_DATA!E15082</f>
        <v/>
      </c>
    </row>
    <row r="15083">
      <c r="A15083">
        <f>TEST_DATA!A15083</f>
        <v/>
      </c>
      <c r="B15083">
        <f>TEST_DATA!B15083</f>
        <v/>
      </c>
      <c r="C15083">
        <f>TEST_DATA!C15083</f>
        <v/>
      </c>
      <c r="D15083">
        <f>TEST_DATA!D15083</f>
        <v/>
      </c>
      <c r="E15083">
        <f>TEST_DATA!E15083</f>
        <v/>
      </c>
    </row>
    <row r="15084">
      <c r="A15084">
        <f>TEST_DATA!A15084</f>
        <v/>
      </c>
      <c r="B15084">
        <f>TEST_DATA!B15084</f>
        <v/>
      </c>
      <c r="C15084">
        <f>TEST_DATA!C15084</f>
        <v/>
      </c>
      <c r="D15084">
        <f>TEST_DATA!D15084</f>
        <v/>
      </c>
      <c r="E15084">
        <f>TEST_DATA!E15084</f>
        <v/>
      </c>
    </row>
    <row r="15085">
      <c r="A15085">
        <f>TEST_DATA!A15085</f>
        <v/>
      </c>
      <c r="B15085">
        <f>TEST_DATA!B15085</f>
        <v/>
      </c>
      <c r="C15085">
        <f>TEST_DATA!C15085</f>
        <v/>
      </c>
      <c r="D15085">
        <f>TEST_DATA!D15085</f>
        <v/>
      </c>
      <c r="E15085">
        <f>TEST_DATA!E15085</f>
        <v/>
      </c>
    </row>
    <row r="15086">
      <c r="A15086">
        <f>TEST_DATA!A15086</f>
        <v/>
      </c>
      <c r="B15086">
        <f>TEST_DATA!B15086</f>
        <v/>
      </c>
      <c r="C15086">
        <f>TEST_DATA!C15086</f>
        <v/>
      </c>
      <c r="D15086">
        <f>TEST_DATA!D15086</f>
        <v/>
      </c>
      <c r="E15086">
        <f>TEST_DATA!E15086</f>
        <v/>
      </c>
    </row>
    <row r="15087">
      <c r="A15087">
        <f>TEST_DATA!A15087</f>
        <v/>
      </c>
      <c r="B15087">
        <f>TEST_DATA!B15087</f>
        <v/>
      </c>
      <c r="C15087">
        <f>TEST_DATA!C15087</f>
        <v/>
      </c>
      <c r="D15087">
        <f>TEST_DATA!D15087</f>
        <v/>
      </c>
      <c r="E15087">
        <f>TEST_DATA!E15087</f>
        <v/>
      </c>
    </row>
    <row r="15088">
      <c r="A15088">
        <f>TEST_DATA!A15088</f>
        <v/>
      </c>
      <c r="B15088">
        <f>TEST_DATA!B15088</f>
        <v/>
      </c>
      <c r="C15088">
        <f>TEST_DATA!C15088</f>
        <v/>
      </c>
      <c r="D15088">
        <f>TEST_DATA!D15088</f>
        <v/>
      </c>
      <c r="E15088">
        <f>TEST_DATA!E15088</f>
        <v/>
      </c>
    </row>
    <row r="15089">
      <c r="A15089">
        <f>TEST_DATA!A15089</f>
        <v/>
      </c>
      <c r="B15089">
        <f>TEST_DATA!B15089</f>
        <v/>
      </c>
      <c r="C15089">
        <f>TEST_DATA!C15089</f>
        <v/>
      </c>
      <c r="D15089">
        <f>TEST_DATA!D15089</f>
        <v/>
      </c>
      <c r="E15089">
        <f>TEST_DATA!E15089</f>
        <v/>
      </c>
    </row>
    <row r="15090">
      <c r="A15090">
        <f>TEST_DATA!A15090</f>
        <v/>
      </c>
      <c r="B15090">
        <f>TEST_DATA!B15090</f>
        <v/>
      </c>
      <c r="C15090">
        <f>TEST_DATA!C15090</f>
        <v/>
      </c>
      <c r="D15090">
        <f>TEST_DATA!D15090</f>
        <v/>
      </c>
      <c r="E15090">
        <f>TEST_DATA!E15090</f>
        <v/>
      </c>
    </row>
    <row r="15091">
      <c r="A15091">
        <f>TEST_DATA!A15091</f>
        <v/>
      </c>
      <c r="B15091">
        <f>TEST_DATA!B15091</f>
        <v/>
      </c>
      <c r="C15091">
        <f>TEST_DATA!C15091</f>
        <v/>
      </c>
      <c r="D15091">
        <f>TEST_DATA!D15091</f>
        <v/>
      </c>
      <c r="E15091">
        <f>TEST_DATA!E15091</f>
        <v/>
      </c>
    </row>
    <row r="15092">
      <c r="A15092">
        <f>TEST_DATA!A15092</f>
        <v/>
      </c>
      <c r="B15092">
        <f>TEST_DATA!B15092</f>
        <v/>
      </c>
      <c r="C15092">
        <f>TEST_DATA!C15092</f>
        <v/>
      </c>
      <c r="D15092">
        <f>TEST_DATA!D15092</f>
        <v/>
      </c>
      <c r="E15092">
        <f>TEST_DATA!E15092</f>
        <v/>
      </c>
    </row>
    <row r="15093">
      <c r="A15093">
        <f>TEST_DATA!A15093</f>
        <v/>
      </c>
      <c r="B15093">
        <f>TEST_DATA!B15093</f>
        <v/>
      </c>
      <c r="C15093">
        <f>TEST_DATA!C15093</f>
        <v/>
      </c>
      <c r="D15093">
        <f>TEST_DATA!D15093</f>
        <v/>
      </c>
      <c r="E15093">
        <f>TEST_DATA!E15093</f>
        <v/>
      </c>
    </row>
    <row r="15094">
      <c r="A15094">
        <f>TEST_DATA!A15094</f>
        <v/>
      </c>
      <c r="B15094">
        <f>TEST_DATA!B15094</f>
        <v/>
      </c>
      <c r="C15094">
        <f>TEST_DATA!C15094</f>
        <v/>
      </c>
      <c r="D15094">
        <f>TEST_DATA!D15094</f>
        <v/>
      </c>
      <c r="E15094">
        <f>TEST_DATA!E15094</f>
        <v/>
      </c>
    </row>
    <row r="15095">
      <c r="A15095">
        <f>TEST_DATA!A15095</f>
        <v/>
      </c>
      <c r="B15095">
        <f>TEST_DATA!B15095</f>
        <v/>
      </c>
      <c r="C15095">
        <f>TEST_DATA!C15095</f>
        <v/>
      </c>
      <c r="D15095">
        <f>TEST_DATA!D15095</f>
        <v/>
      </c>
      <c r="E15095">
        <f>TEST_DATA!E15095</f>
        <v/>
      </c>
    </row>
    <row r="15096">
      <c r="A15096">
        <f>TEST_DATA!A15096</f>
        <v/>
      </c>
      <c r="B15096">
        <f>TEST_DATA!B15096</f>
        <v/>
      </c>
      <c r="C15096">
        <f>TEST_DATA!C15096</f>
        <v/>
      </c>
      <c r="D15096">
        <f>TEST_DATA!D15096</f>
        <v/>
      </c>
      <c r="E15096">
        <f>TEST_DATA!E15096</f>
        <v/>
      </c>
    </row>
    <row r="15097">
      <c r="A15097">
        <f>TEST_DATA!A15097</f>
        <v/>
      </c>
      <c r="B15097">
        <f>TEST_DATA!B15097</f>
        <v/>
      </c>
      <c r="C15097">
        <f>TEST_DATA!C15097</f>
        <v/>
      </c>
      <c r="D15097">
        <f>TEST_DATA!D15097</f>
        <v/>
      </c>
      <c r="E15097">
        <f>TEST_DATA!E15097</f>
        <v/>
      </c>
    </row>
    <row r="15098">
      <c r="A15098">
        <f>TEST_DATA!A15098</f>
        <v/>
      </c>
      <c r="B15098">
        <f>TEST_DATA!B15098</f>
        <v/>
      </c>
      <c r="C15098">
        <f>TEST_DATA!C15098</f>
        <v/>
      </c>
      <c r="D15098">
        <f>TEST_DATA!D15098</f>
        <v/>
      </c>
      <c r="E15098">
        <f>TEST_DATA!E15098</f>
        <v/>
      </c>
    </row>
    <row r="15099">
      <c r="A15099">
        <f>TEST_DATA!A15099</f>
        <v/>
      </c>
      <c r="B15099">
        <f>TEST_DATA!B15099</f>
        <v/>
      </c>
      <c r="C15099">
        <f>TEST_DATA!C15099</f>
        <v/>
      </c>
      <c r="D15099">
        <f>TEST_DATA!D15099</f>
        <v/>
      </c>
      <c r="E15099">
        <f>TEST_DATA!E15099</f>
        <v/>
      </c>
    </row>
    <row r="15100">
      <c r="A15100">
        <f>TEST_DATA!A15100</f>
        <v/>
      </c>
      <c r="B15100">
        <f>TEST_DATA!B15100</f>
        <v/>
      </c>
      <c r="C15100">
        <f>TEST_DATA!C15100</f>
        <v/>
      </c>
      <c r="D15100">
        <f>TEST_DATA!D15100</f>
        <v/>
      </c>
      <c r="E15100">
        <f>TEST_DATA!E15100</f>
        <v/>
      </c>
    </row>
    <row r="15101">
      <c r="A15101">
        <f>TEST_DATA!A15101</f>
        <v/>
      </c>
      <c r="B15101">
        <f>TEST_DATA!B15101</f>
        <v/>
      </c>
      <c r="C15101">
        <f>TEST_DATA!C15101</f>
        <v/>
      </c>
      <c r="D15101">
        <f>TEST_DATA!D15101</f>
        <v/>
      </c>
      <c r="E15101">
        <f>TEST_DATA!E15101</f>
        <v/>
      </c>
    </row>
    <row r="15102">
      <c r="A15102">
        <f>TEST_DATA!A15102</f>
        <v/>
      </c>
      <c r="B15102">
        <f>TEST_DATA!B15102</f>
        <v/>
      </c>
      <c r="C15102">
        <f>TEST_DATA!C15102</f>
        <v/>
      </c>
      <c r="D15102">
        <f>TEST_DATA!D15102</f>
        <v/>
      </c>
      <c r="E15102">
        <f>TEST_DATA!E15102</f>
        <v/>
      </c>
    </row>
    <row r="15103">
      <c r="A15103">
        <f>TEST_DATA!A15103</f>
        <v/>
      </c>
      <c r="B15103">
        <f>TEST_DATA!B15103</f>
        <v/>
      </c>
      <c r="C15103">
        <f>TEST_DATA!C15103</f>
        <v/>
      </c>
      <c r="D15103">
        <f>TEST_DATA!D15103</f>
        <v/>
      </c>
      <c r="E15103">
        <f>TEST_DATA!E15103</f>
        <v/>
      </c>
    </row>
    <row r="15104">
      <c r="A15104">
        <f>TEST_DATA!A15104</f>
        <v/>
      </c>
      <c r="B15104">
        <f>TEST_DATA!B15104</f>
        <v/>
      </c>
      <c r="C15104">
        <f>TEST_DATA!C15104</f>
        <v/>
      </c>
      <c r="D15104">
        <f>TEST_DATA!D15104</f>
        <v/>
      </c>
      <c r="E15104">
        <f>TEST_DATA!E15104</f>
        <v/>
      </c>
    </row>
    <row r="15105">
      <c r="A15105">
        <f>TEST_DATA!A15105</f>
        <v/>
      </c>
      <c r="B15105">
        <f>TEST_DATA!B15105</f>
        <v/>
      </c>
      <c r="C15105">
        <f>TEST_DATA!C15105</f>
        <v/>
      </c>
      <c r="D15105">
        <f>TEST_DATA!D15105</f>
        <v/>
      </c>
      <c r="E15105">
        <f>TEST_DATA!E15105</f>
        <v/>
      </c>
    </row>
    <row r="15106">
      <c r="A15106">
        <f>TEST_DATA!A15106</f>
        <v/>
      </c>
      <c r="B15106">
        <f>TEST_DATA!B15106</f>
        <v/>
      </c>
      <c r="C15106">
        <f>TEST_DATA!C15106</f>
        <v/>
      </c>
      <c r="D15106">
        <f>TEST_DATA!D15106</f>
        <v/>
      </c>
      <c r="E15106">
        <f>TEST_DATA!E15106</f>
        <v/>
      </c>
    </row>
    <row r="15107">
      <c r="A15107">
        <f>TEST_DATA!A15107</f>
        <v/>
      </c>
      <c r="B15107">
        <f>TEST_DATA!B15107</f>
        <v/>
      </c>
      <c r="C15107">
        <f>TEST_DATA!C15107</f>
        <v/>
      </c>
      <c r="D15107">
        <f>TEST_DATA!D15107</f>
        <v/>
      </c>
      <c r="E15107">
        <f>TEST_DATA!E15107</f>
        <v/>
      </c>
    </row>
    <row r="15108">
      <c r="A15108">
        <f>TEST_DATA!A15108</f>
        <v/>
      </c>
      <c r="B15108">
        <f>TEST_DATA!B15108</f>
        <v/>
      </c>
      <c r="C15108">
        <f>TEST_DATA!C15108</f>
        <v/>
      </c>
      <c r="D15108">
        <f>TEST_DATA!D15108</f>
        <v/>
      </c>
      <c r="E15108">
        <f>TEST_DATA!E15108</f>
        <v/>
      </c>
    </row>
    <row r="15109">
      <c r="A15109">
        <f>TEST_DATA!A15109</f>
        <v/>
      </c>
      <c r="B15109">
        <f>TEST_DATA!B15109</f>
        <v/>
      </c>
      <c r="C15109">
        <f>TEST_DATA!C15109</f>
        <v/>
      </c>
      <c r="D15109">
        <f>TEST_DATA!D15109</f>
        <v/>
      </c>
      <c r="E15109">
        <f>TEST_DATA!E15109</f>
        <v/>
      </c>
    </row>
    <row r="15110">
      <c r="A15110">
        <f>TEST_DATA!A15110</f>
        <v/>
      </c>
      <c r="B15110">
        <f>TEST_DATA!B15110</f>
        <v/>
      </c>
      <c r="C15110">
        <f>TEST_DATA!C15110</f>
        <v/>
      </c>
      <c r="D15110">
        <f>TEST_DATA!D15110</f>
        <v/>
      </c>
      <c r="E15110">
        <f>TEST_DATA!E15110</f>
        <v/>
      </c>
    </row>
    <row r="15111">
      <c r="A15111">
        <f>TEST_DATA!A15111</f>
        <v/>
      </c>
      <c r="B15111">
        <f>TEST_DATA!B15111</f>
        <v/>
      </c>
      <c r="C15111">
        <f>TEST_DATA!C15111</f>
        <v/>
      </c>
      <c r="D15111">
        <f>TEST_DATA!D15111</f>
        <v/>
      </c>
      <c r="E15111">
        <f>TEST_DATA!E15111</f>
        <v/>
      </c>
    </row>
    <row r="15112">
      <c r="A15112">
        <f>TEST_DATA!A15112</f>
        <v/>
      </c>
      <c r="B15112">
        <f>TEST_DATA!B15112</f>
        <v/>
      </c>
      <c r="C15112">
        <f>TEST_DATA!C15112</f>
        <v/>
      </c>
      <c r="D15112">
        <f>TEST_DATA!D15112</f>
        <v/>
      </c>
      <c r="E15112">
        <f>TEST_DATA!E15112</f>
        <v/>
      </c>
    </row>
    <row r="15113">
      <c r="A15113">
        <f>TEST_DATA!A15113</f>
        <v/>
      </c>
      <c r="B15113">
        <f>TEST_DATA!B15113</f>
        <v/>
      </c>
      <c r="C15113">
        <f>TEST_DATA!C15113</f>
        <v/>
      </c>
      <c r="D15113">
        <f>TEST_DATA!D15113</f>
        <v/>
      </c>
      <c r="E15113">
        <f>TEST_DATA!E15113</f>
        <v/>
      </c>
    </row>
    <row r="15114">
      <c r="A15114">
        <f>TEST_DATA!A15114</f>
        <v/>
      </c>
      <c r="B15114">
        <f>TEST_DATA!B15114</f>
        <v/>
      </c>
      <c r="C15114">
        <f>TEST_DATA!C15114</f>
        <v/>
      </c>
      <c r="D15114">
        <f>TEST_DATA!D15114</f>
        <v/>
      </c>
      <c r="E15114">
        <f>TEST_DATA!E15114</f>
        <v/>
      </c>
    </row>
    <row r="15115">
      <c r="A15115">
        <f>TEST_DATA!A15115</f>
        <v/>
      </c>
      <c r="B15115">
        <f>TEST_DATA!B15115</f>
        <v/>
      </c>
      <c r="C15115">
        <f>TEST_DATA!C15115</f>
        <v/>
      </c>
      <c r="D15115">
        <f>TEST_DATA!D15115</f>
        <v/>
      </c>
      <c r="E15115">
        <f>TEST_DATA!E15115</f>
        <v/>
      </c>
    </row>
    <row r="15116">
      <c r="A15116">
        <f>TEST_DATA!A15116</f>
        <v/>
      </c>
      <c r="B15116">
        <f>TEST_DATA!B15116</f>
        <v/>
      </c>
      <c r="C15116">
        <f>TEST_DATA!C15116</f>
        <v/>
      </c>
      <c r="D15116">
        <f>TEST_DATA!D15116</f>
        <v/>
      </c>
      <c r="E15116">
        <f>TEST_DATA!E15116</f>
        <v/>
      </c>
    </row>
    <row r="15117">
      <c r="A15117">
        <f>TEST_DATA!A15117</f>
        <v/>
      </c>
      <c r="B15117">
        <f>TEST_DATA!B15117</f>
        <v/>
      </c>
      <c r="C15117">
        <f>TEST_DATA!C15117</f>
        <v/>
      </c>
      <c r="D15117">
        <f>TEST_DATA!D15117</f>
        <v/>
      </c>
      <c r="E15117">
        <f>TEST_DATA!E15117</f>
        <v/>
      </c>
    </row>
    <row r="15118">
      <c r="A15118">
        <f>TEST_DATA!A15118</f>
        <v/>
      </c>
      <c r="B15118">
        <f>TEST_DATA!B15118</f>
        <v/>
      </c>
      <c r="C15118">
        <f>TEST_DATA!C15118</f>
        <v/>
      </c>
      <c r="D15118">
        <f>TEST_DATA!D15118</f>
        <v/>
      </c>
      <c r="E15118">
        <f>TEST_DATA!E15118</f>
        <v/>
      </c>
    </row>
    <row r="15119">
      <c r="A15119">
        <f>TEST_DATA!A15119</f>
        <v/>
      </c>
      <c r="B15119">
        <f>TEST_DATA!B15119</f>
        <v/>
      </c>
      <c r="C15119">
        <f>TEST_DATA!C15119</f>
        <v/>
      </c>
      <c r="D15119">
        <f>TEST_DATA!D15119</f>
        <v/>
      </c>
      <c r="E15119">
        <f>TEST_DATA!E15119</f>
        <v/>
      </c>
    </row>
    <row r="15120">
      <c r="A15120">
        <f>TEST_DATA!A15120</f>
        <v/>
      </c>
      <c r="B15120">
        <f>TEST_DATA!B15120</f>
        <v/>
      </c>
      <c r="C15120">
        <f>TEST_DATA!C15120</f>
        <v/>
      </c>
      <c r="D15120">
        <f>TEST_DATA!D15120</f>
        <v/>
      </c>
      <c r="E15120">
        <f>TEST_DATA!E15120</f>
        <v/>
      </c>
    </row>
    <row r="15121">
      <c r="A15121">
        <f>TEST_DATA!A15121</f>
        <v/>
      </c>
      <c r="B15121">
        <f>TEST_DATA!B15121</f>
        <v/>
      </c>
      <c r="C15121">
        <f>TEST_DATA!C15121</f>
        <v/>
      </c>
      <c r="D15121">
        <f>TEST_DATA!D15121</f>
        <v/>
      </c>
      <c r="E15121">
        <f>TEST_DATA!E15121</f>
        <v/>
      </c>
    </row>
    <row r="15122">
      <c r="A15122">
        <f>TEST_DATA!A15122</f>
        <v/>
      </c>
      <c r="B15122">
        <f>TEST_DATA!B15122</f>
        <v/>
      </c>
      <c r="C15122">
        <f>TEST_DATA!C15122</f>
        <v/>
      </c>
      <c r="D15122">
        <f>TEST_DATA!D15122</f>
        <v/>
      </c>
      <c r="E15122">
        <f>TEST_DATA!E15122</f>
        <v/>
      </c>
    </row>
    <row r="15123">
      <c r="A15123">
        <f>TEST_DATA!A15123</f>
        <v/>
      </c>
      <c r="B15123">
        <f>TEST_DATA!B15123</f>
        <v/>
      </c>
      <c r="C15123">
        <f>TEST_DATA!C15123</f>
        <v/>
      </c>
      <c r="D15123">
        <f>TEST_DATA!D15123</f>
        <v/>
      </c>
      <c r="E15123">
        <f>TEST_DATA!E15123</f>
        <v/>
      </c>
    </row>
    <row r="15124">
      <c r="A15124">
        <f>TEST_DATA!A15124</f>
        <v/>
      </c>
      <c r="B15124">
        <f>TEST_DATA!B15124</f>
        <v/>
      </c>
      <c r="C15124">
        <f>TEST_DATA!C15124</f>
        <v/>
      </c>
      <c r="D15124">
        <f>TEST_DATA!D15124</f>
        <v/>
      </c>
      <c r="E15124">
        <f>TEST_DATA!E15124</f>
        <v/>
      </c>
    </row>
    <row r="15125">
      <c r="A15125">
        <f>TEST_DATA!A15125</f>
        <v/>
      </c>
      <c r="B15125">
        <f>TEST_DATA!B15125</f>
        <v/>
      </c>
      <c r="C15125">
        <f>TEST_DATA!C15125</f>
        <v/>
      </c>
      <c r="D15125">
        <f>TEST_DATA!D15125</f>
        <v/>
      </c>
      <c r="E15125">
        <f>TEST_DATA!E15125</f>
        <v/>
      </c>
    </row>
    <row r="15126">
      <c r="A15126">
        <f>TEST_DATA!A15126</f>
        <v/>
      </c>
      <c r="B15126">
        <f>TEST_DATA!B15126</f>
        <v/>
      </c>
      <c r="C15126">
        <f>TEST_DATA!C15126</f>
        <v/>
      </c>
      <c r="D15126">
        <f>TEST_DATA!D15126</f>
        <v/>
      </c>
      <c r="E15126">
        <f>TEST_DATA!E15126</f>
        <v/>
      </c>
    </row>
    <row r="15127">
      <c r="A15127">
        <f>TEST_DATA!A15127</f>
        <v/>
      </c>
      <c r="B15127">
        <f>TEST_DATA!B15127</f>
        <v/>
      </c>
      <c r="C15127">
        <f>TEST_DATA!C15127</f>
        <v/>
      </c>
      <c r="D15127">
        <f>TEST_DATA!D15127</f>
        <v/>
      </c>
      <c r="E15127">
        <f>TEST_DATA!E15127</f>
        <v/>
      </c>
    </row>
    <row r="15128">
      <c r="A15128">
        <f>TEST_DATA!A15128</f>
        <v/>
      </c>
      <c r="B15128">
        <f>TEST_DATA!B15128</f>
        <v/>
      </c>
      <c r="C15128">
        <f>TEST_DATA!C15128</f>
        <v/>
      </c>
      <c r="D15128">
        <f>TEST_DATA!D15128</f>
        <v/>
      </c>
      <c r="E15128">
        <f>TEST_DATA!E15128</f>
        <v/>
      </c>
    </row>
    <row r="15129">
      <c r="A15129">
        <f>TEST_DATA!A15129</f>
        <v/>
      </c>
      <c r="B15129">
        <f>TEST_DATA!B15129</f>
        <v/>
      </c>
      <c r="C15129">
        <f>TEST_DATA!C15129</f>
        <v/>
      </c>
      <c r="D15129">
        <f>TEST_DATA!D15129</f>
        <v/>
      </c>
      <c r="E15129">
        <f>TEST_DATA!E15129</f>
        <v/>
      </c>
    </row>
    <row r="15130">
      <c r="A15130">
        <f>TEST_DATA!A15130</f>
        <v/>
      </c>
      <c r="B15130">
        <f>TEST_DATA!B15130</f>
        <v/>
      </c>
      <c r="C15130">
        <f>TEST_DATA!C15130</f>
        <v/>
      </c>
      <c r="D15130">
        <f>TEST_DATA!D15130</f>
        <v/>
      </c>
      <c r="E15130">
        <f>TEST_DATA!E15130</f>
        <v/>
      </c>
    </row>
    <row r="15131">
      <c r="A15131">
        <f>TEST_DATA!A15131</f>
        <v/>
      </c>
      <c r="B15131">
        <f>TEST_DATA!B15131</f>
        <v/>
      </c>
      <c r="C15131">
        <f>TEST_DATA!C15131</f>
        <v/>
      </c>
      <c r="D15131">
        <f>TEST_DATA!D15131</f>
        <v/>
      </c>
      <c r="E15131">
        <f>TEST_DATA!E15131</f>
        <v/>
      </c>
    </row>
    <row r="15132">
      <c r="A15132">
        <f>TEST_DATA!A15132</f>
        <v/>
      </c>
      <c r="B15132">
        <f>TEST_DATA!B15132</f>
        <v/>
      </c>
      <c r="C15132">
        <f>TEST_DATA!C15132</f>
        <v/>
      </c>
      <c r="D15132">
        <f>TEST_DATA!D15132</f>
        <v/>
      </c>
      <c r="E15132">
        <f>TEST_DATA!E15132</f>
        <v/>
      </c>
    </row>
    <row r="15133">
      <c r="A15133">
        <f>TEST_DATA!A15133</f>
        <v/>
      </c>
      <c r="B15133">
        <f>TEST_DATA!B15133</f>
        <v/>
      </c>
      <c r="C15133">
        <f>TEST_DATA!C15133</f>
        <v/>
      </c>
      <c r="D15133">
        <f>TEST_DATA!D15133</f>
        <v/>
      </c>
      <c r="E15133">
        <f>TEST_DATA!E15133</f>
        <v/>
      </c>
    </row>
    <row r="15134">
      <c r="A15134">
        <f>TEST_DATA!A15134</f>
        <v/>
      </c>
      <c r="B15134">
        <f>TEST_DATA!B15134</f>
        <v/>
      </c>
      <c r="C15134">
        <f>TEST_DATA!C15134</f>
        <v/>
      </c>
      <c r="D15134">
        <f>TEST_DATA!D15134</f>
        <v/>
      </c>
      <c r="E15134">
        <f>TEST_DATA!E15134</f>
        <v/>
      </c>
    </row>
    <row r="15135">
      <c r="A15135">
        <f>TEST_DATA!A15135</f>
        <v/>
      </c>
      <c r="B15135">
        <f>TEST_DATA!B15135</f>
        <v/>
      </c>
      <c r="C15135">
        <f>TEST_DATA!C15135</f>
        <v/>
      </c>
      <c r="D15135">
        <f>TEST_DATA!D15135</f>
        <v/>
      </c>
      <c r="E15135">
        <f>TEST_DATA!E15135</f>
        <v/>
      </c>
    </row>
    <row r="15136">
      <c r="A15136">
        <f>TEST_DATA!A15136</f>
        <v/>
      </c>
      <c r="B15136">
        <f>TEST_DATA!B15136</f>
        <v/>
      </c>
      <c r="C15136">
        <f>TEST_DATA!C15136</f>
        <v/>
      </c>
      <c r="D15136">
        <f>TEST_DATA!D15136</f>
        <v/>
      </c>
      <c r="E15136">
        <f>TEST_DATA!E15136</f>
        <v/>
      </c>
    </row>
    <row r="15137">
      <c r="A15137">
        <f>TEST_DATA!A15137</f>
        <v/>
      </c>
      <c r="B15137">
        <f>TEST_DATA!B15137</f>
        <v/>
      </c>
      <c r="C15137">
        <f>TEST_DATA!C15137</f>
        <v/>
      </c>
      <c r="D15137">
        <f>TEST_DATA!D15137</f>
        <v/>
      </c>
      <c r="E15137">
        <f>TEST_DATA!E15137</f>
        <v/>
      </c>
    </row>
    <row r="15138">
      <c r="A15138">
        <f>TEST_DATA!A15138</f>
        <v/>
      </c>
      <c r="B15138">
        <f>TEST_DATA!B15138</f>
        <v/>
      </c>
      <c r="C15138">
        <f>TEST_DATA!C15138</f>
        <v/>
      </c>
      <c r="D15138">
        <f>TEST_DATA!D15138</f>
        <v/>
      </c>
      <c r="E15138">
        <f>TEST_DATA!E15138</f>
        <v/>
      </c>
    </row>
    <row r="15139">
      <c r="A15139">
        <f>TEST_DATA!A15139</f>
        <v/>
      </c>
      <c r="B15139">
        <f>TEST_DATA!B15139</f>
        <v/>
      </c>
      <c r="C15139">
        <f>TEST_DATA!C15139</f>
        <v/>
      </c>
      <c r="D15139">
        <f>TEST_DATA!D15139</f>
        <v/>
      </c>
      <c r="E15139">
        <f>TEST_DATA!E15139</f>
        <v/>
      </c>
    </row>
    <row r="15140">
      <c r="A15140">
        <f>TEST_DATA!A15140</f>
        <v/>
      </c>
      <c r="B15140">
        <f>TEST_DATA!B15140</f>
        <v/>
      </c>
      <c r="C15140">
        <f>TEST_DATA!C15140</f>
        <v/>
      </c>
      <c r="D15140">
        <f>TEST_DATA!D15140</f>
        <v/>
      </c>
      <c r="E15140">
        <f>TEST_DATA!E15140</f>
        <v/>
      </c>
    </row>
    <row r="15141">
      <c r="A15141">
        <f>TEST_DATA!A15141</f>
        <v/>
      </c>
      <c r="B15141">
        <f>TEST_DATA!B15141</f>
        <v/>
      </c>
      <c r="C15141">
        <f>TEST_DATA!C15141</f>
        <v/>
      </c>
      <c r="D15141">
        <f>TEST_DATA!D15141</f>
        <v/>
      </c>
      <c r="E15141">
        <f>TEST_DATA!E15141</f>
        <v/>
      </c>
    </row>
    <row r="15142">
      <c r="A15142">
        <f>TEST_DATA!A15142</f>
        <v/>
      </c>
      <c r="B15142">
        <f>TEST_DATA!B15142</f>
        <v/>
      </c>
      <c r="C15142">
        <f>TEST_DATA!C15142</f>
        <v/>
      </c>
      <c r="D15142">
        <f>TEST_DATA!D15142</f>
        <v/>
      </c>
      <c r="E15142">
        <f>TEST_DATA!E15142</f>
        <v/>
      </c>
    </row>
    <row r="15143">
      <c r="A15143">
        <f>TEST_DATA!A15143</f>
        <v/>
      </c>
      <c r="B15143">
        <f>TEST_DATA!B15143</f>
        <v/>
      </c>
      <c r="C15143">
        <f>TEST_DATA!C15143</f>
        <v/>
      </c>
      <c r="D15143">
        <f>TEST_DATA!D15143</f>
        <v/>
      </c>
      <c r="E15143">
        <f>TEST_DATA!E15143</f>
        <v/>
      </c>
    </row>
    <row r="15144">
      <c r="A15144">
        <f>TEST_DATA!A15144</f>
        <v/>
      </c>
      <c r="B15144">
        <f>TEST_DATA!B15144</f>
        <v/>
      </c>
      <c r="C15144">
        <f>TEST_DATA!C15144</f>
        <v/>
      </c>
      <c r="D15144">
        <f>TEST_DATA!D15144</f>
        <v/>
      </c>
      <c r="E15144">
        <f>TEST_DATA!E15144</f>
        <v/>
      </c>
    </row>
    <row r="15145">
      <c r="A15145">
        <f>TEST_DATA!A15145</f>
        <v/>
      </c>
      <c r="B15145">
        <f>TEST_DATA!B15145</f>
        <v/>
      </c>
      <c r="C15145">
        <f>TEST_DATA!C15145</f>
        <v/>
      </c>
      <c r="D15145">
        <f>TEST_DATA!D15145</f>
        <v/>
      </c>
      <c r="E15145">
        <f>TEST_DATA!E15145</f>
        <v/>
      </c>
    </row>
    <row r="15146">
      <c r="A15146">
        <f>TEST_DATA!A15146</f>
        <v/>
      </c>
      <c r="B15146">
        <f>TEST_DATA!B15146</f>
        <v/>
      </c>
      <c r="C15146">
        <f>TEST_DATA!C15146</f>
        <v/>
      </c>
      <c r="D15146">
        <f>TEST_DATA!D15146</f>
        <v/>
      </c>
      <c r="E15146">
        <f>TEST_DATA!E15146</f>
        <v/>
      </c>
    </row>
    <row r="15147">
      <c r="A15147">
        <f>TEST_DATA!A15147</f>
        <v/>
      </c>
      <c r="B15147">
        <f>TEST_DATA!B15147</f>
        <v/>
      </c>
      <c r="C15147">
        <f>TEST_DATA!C15147</f>
        <v/>
      </c>
      <c r="D15147">
        <f>TEST_DATA!D15147</f>
        <v/>
      </c>
      <c r="E15147">
        <f>TEST_DATA!E15147</f>
        <v/>
      </c>
    </row>
    <row r="15148">
      <c r="A15148">
        <f>TEST_DATA!A15148</f>
        <v/>
      </c>
      <c r="B15148">
        <f>TEST_DATA!B15148</f>
        <v/>
      </c>
      <c r="C15148">
        <f>TEST_DATA!C15148</f>
        <v/>
      </c>
      <c r="D15148">
        <f>TEST_DATA!D15148</f>
        <v/>
      </c>
      <c r="E15148">
        <f>TEST_DATA!E15148</f>
        <v/>
      </c>
    </row>
    <row r="15149">
      <c r="A15149">
        <f>TEST_DATA!A15149</f>
        <v/>
      </c>
      <c r="B15149">
        <f>TEST_DATA!B15149</f>
        <v/>
      </c>
      <c r="C15149">
        <f>TEST_DATA!C15149</f>
        <v/>
      </c>
      <c r="D15149">
        <f>TEST_DATA!D15149</f>
        <v/>
      </c>
      <c r="E15149">
        <f>TEST_DATA!E15149</f>
        <v/>
      </c>
    </row>
    <row r="15150">
      <c r="A15150">
        <f>TEST_DATA!A15150</f>
        <v/>
      </c>
      <c r="B15150">
        <f>TEST_DATA!B15150</f>
        <v/>
      </c>
      <c r="C15150">
        <f>TEST_DATA!C15150</f>
        <v/>
      </c>
      <c r="D15150">
        <f>TEST_DATA!D15150</f>
        <v/>
      </c>
      <c r="E15150">
        <f>TEST_DATA!E15150</f>
        <v/>
      </c>
    </row>
    <row r="15151">
      <c r="A15151">
        <f>TEST_DATA!A15151</f>
        <v/>
      </c>
      <c r="B15151">
        <f>TEST_DATA!B15151</f>
        <v/>
      </c>
      <c r="C15151">
        <f>TEST_DATA!C15151</f>
        <v/>
      </c>
      <c r="D15151">
        <f>TEST_DATA!D15151</f>
        <v/>
      </c>
      <c r="E15151">
        <f>TEST_DATA!E15151</f>
        <v/>
      </c>
    </row>
    <row r="15152">
      <c r="A15152">
        <f>TEST_DATA!A15152</f>
        <v/>
      </c>
      <c r="B15152">
        <f>TEST_DATA!B15152</f>
        <v/>
      </c>
      <c r="C15152">
        <f>TEST_DATA!C15152</f>
        <v/>
      </c>
      <c r="D15152">
        <f>TEST_DATA!D15152</f>
        <v/>
      </c>
      <c r="E15152">
        <f>TEST_DATA!E15152</f>
        <v/>
      </c>
    </row>
    <row r="15153">
      <c r="A15153">
        <f>TEST_DATA!A15153</f>
        <v/>
      </c>
      <c r="B15153">
        <f>TEST_DATA!B15153</f>
        <v/>
      </c>
      <c r="C15153">
        <f>TEST_DATA!C15153</f>
        <v/>
      </c>
      <c r="D15153">
        <f>TEST_DATA!D15153</f>
        <v/>
      </c>
      <c r="E15153">
        <f>TEST_DATA!E15153</f>
        <v/>
      </c>
    </row>
    <row r="15154">
      <c r="A15154">
        <f>TEST_DATA!A15154</f>
        <v/>
      </c>
      <c r="B15154">
        <f>TEST_DATA!B15154</f>
        <v/>
      </c>
      <c r="C15154">
        <f>TEST_DATA!C15154</f>
        <v/>
      </c>
      <c r="D15154">
        <f>TEST_DATA!D15154</f>
        <v/>
      </c>
      <c r="E15154">
        <f>TEST_DATA!E15154</f>
        <v/>
      </c>
    </row>
    <row r="15155">
      <c r="A15155">
        <f>TEST_DATA!A15155</f>
        <v/>
      </c>
      <c r="B15155">
        <f>TEST_DATA!B15155</f>
        <v/>
      </c>
      <c r="C15155">
        <f>TEST_DATA!C15155</f>
        <v/>
      </c>
      <c r="D15155">
        <f>TEST_DATA!D15155</f>
        <v/>
      </c>
      <c r="E15155">
        <f>TEST_DATA!E15155</f>
        <v/>
      </c>
    </row>
    <row r="15156">
      <c r="A15156">
        <f>TEST_DATA!A15156</f>
        <v/>
      </c>
      <c r="B15156">
        <f>TEST_DATA!B15156</f>
        <v/>
      </c>
      <c r="C15156">
        <f>TEST_DATA!C15156</f>
        <v/>
      </c>
      <c r="D15156">
        <f>TEST_DATA!D15156</f>
        <v/>
      </c>
      <c r="E15156">
        <f>TEST_DATA!E15156</f>
        <v/>
      </c>
    </row>
    <row r="15157">
      <c r="A15157">
        <f>TEST_DATA!A15157</f>
        <v/>
      </c>
      <c r="B15157">
        <f>TEST_DATA!B15157</f>
        <v/>
      </c>
      <c r="C15157">
        <f>TEST_DATA!C15157</f>
        <v/>
      </c>
      <c r="D15157">
        <f>TEST_DATA!D15157</f>
        <v/>
      </c>
      <c r="E15157">
        <f>TEST_DATA!E15157</f>
        <v/>
      </c>
    </row>
    <row r="15158">
      <c r="A15158">
        <f>TEST_DATA!A15158</f>
        <v/>
      </c>
      <c r="B15158">
        <f>TEST_DATA!B15158</f>
        <v/>
      </c>
      <c r="C15158">
        <f>TEST_DATA!C15158</f>
        <v/>
      </c>
      <c r="D15158">
        <f>TEST_DATA!D15158</f>
        <v/>
      </c>
      <c r="E15158">
        <f>TEST_DATA!E15158</f>
        <v/>
      </c>
    </row>
    <row r="15159">
      <c r="A15159">
        <f>TEST_DATA!A15159</f>
        <v/>
      </c>
      <c r="B15159">
        <f>TEST_DATA!B15159</f>
        <v/>
      </c>
      <c r="C15159">
        <f>TEST_DATA!C15159</f>
        <v/>
      </c>
      <c r="D15159">
        <f>TEST_DATA!D15159</f>
        <v/>
      </c>
      <c r="E15159">
        <f>TEST_DATA!E15159</f>
        <v/>
      </c>
    </row>
    <row r="15160">
      <c r="A15160">
        <f>TEST_DATA!A15160</f>
        <v/>
      </c>
      <c r="B15160">
        <f>TEST_DATA!B15160</f>
        <v/>
      </c>
      <c r="C15160">
        <f>TEST_DATA!C15160</f>
        <v/>
      </c>
      <c r="D15160">
        <f>TEST_DATA!D15160</f>
        <v/>
      </c>
      <c r="E15160">
        <f>TEST_DATA!E15160</f>
        <v/>
      </c>
    </row>
    <row r="15161">
      <c r="A15161">
        <f>TEST_DATA!A15161</f>
        <v/>
      </c>
      <c r="B15161">
        <f>TEST_DATA!B15161</f>
        <v/>
      </c>
      <c r="C15161">
        <f>TEST_DATA!C15161</f>
        <v/>
      </c>
      <c r="D15161">
        <f>TEST_DATA!D15161</f>
        <v/>
      </c>
      <c r="E15161">
        <f>TEST_DATA!E15161</f>
        <v/>
      </c>
    </row>
    <row r="15162">
      <c r="A15162">
        <f>TEST_DATA!A15162</f>
        <v/>
      </c>
      <c r="B15162">
        <f>TEST_DATA!B15162</f>
        <v/>
      </c>
      <c r="C15162">
        <f>TEST_DATA!C15162</f>
        <v/>
      </c>
      <c r="D15162">
        <f>TEST_DATA!D15162</f>
        <v/>
      </c>
      <c r="E15162">
        <f>TEST_DATA!E15162</f>
        <v/>
      </c>
    </row>
    <row r="15163">
      <c r="A15163">
        <f>TEST_DATA!A15163</f>
        <v/>
      </c>
      <c r="B15163">
        <f>TEST_DATA!B15163</f>
        <v/>
      </c>
      <c r="C15163">
        <f>TEST_DATA!C15163</f>
        <v/>
      </c>
      <c r="D15163">
        <f>TEST_DATA!D15163</f>
        <v/>
      </c>
      <c r="E15163">
        <f>TEST_DATA!E15163</f>
        <v/>
      </c>
    </row>
    <row r="15164">
      <c r="A15164">
        <f>TEST_DATA!A15164</f>
        <v/>
      </c>
      <c r="B15164">
        <f>TEST_DATA!B15164</f>
        <v/>
      </c>
      <c r="C15164">
        <f>TEST_DATA!C15164</f>
        <v/>
      </c>
      <c r="D15164">
        <f>TEST_DATA!D15164</f>
        <v/>
      </c>
      <c r="E15164">
        <f>TEST_DATA!E15164</f>
        <v/>
      </c>
    </row>
    <row r="15165">
      <c r="A15165">
        <f>TEST_DATA!A15165</f>
        <v/>
      </c>
      <c r="B15165">
        <f>TEST_DATA!B15165</f>
        <v/>
      </c>
      <c r="C15165">
        <f>TEST_DATA!C15165</f>
        <v/>
      </c>
      <c r="D15165">
        <f>TEST_DATA!D15165</f>
        <v/>
      </c>
      <c r="E15165">
        <f>TEST_DATA!E15165</f>
        <v/>
      </c>
    </row>
    <row r="15166">
      <c r="A15166">
        <f>TEST_DATA!A15166</f>
        <v/>
      </c>
      <c r="B15166">
        <f>TEST_DATA!B15166</f>
        <v/>
      </c>
      <c r="C15166">
        <f>TEST_DATA!C15166</f>
        <v/>
      </c>
      <c r="D15166">
        <f>TEST_DATA!D15166</f>
        <v/>
      </c>
      <c r="E15166">
        <f>TEST_DATA!E15166</f>
        <v/>
      </c>
    </row>
    <row r="15167">
      <c r="A15167">
        <f>TEST_DATA!A15167</f>
        <v/>
      </c>
      <c r="B15167">
        <f>TEST_DATA!B15167</f>
        <v/>
      </c>
      <c r="C15167">
        <f>TEST_DATA!C15167</f>
        <v/>
      </c>
      <c r="D15167">
        <f>TEST_DATA!D15167</f>
        <v/>
      </c>
      <c r="E15167">
        <f>TEST_DATA!E15167</f>
        <v/>
      </c>
    </row>
    <row r="15168">
      <c r="A15168">
        <f>TEST_DATA!A15168</f>
        <v/>
      </c>
      <c r="B15168">
        <f>TEST_DATA!B15168</f>
        <v/>
      </c>
      <c r="C15168">
        <f>TEST_DATA!C15168</f>
        <v/>
      </c>
      <c r="D15168">
        <f>TEST_DATA!D15168</f>
        <v/>
      </c>
      <c r="E15168">
        <f>TEST_DATA!E15168</f>
        <v/>
      </c>
    </row>
    <row r="15169">
      <c r="A15169">
        <f>TEST_DATA!A15169</f>
        <v/>
      </c>
      <c r="B15169">
        <f>TEST_DATA!B15169</f>
        <v/>
      </c>
      <c r="C15169">
        <f>TEST_DATA!C15169</f>
        <v/>
      </c>
      <c r="D15169">
        <f>TEST_DATA!D15169</f>
        <v/>
      </c>
      <c r="E15169">
        <f>TEST_DATA!E15169</f>
        <v/>
      </c>
    </row>
    <row r="15170">
      <c r="A15170">
        <f>TEST_DATA!A15170</f>
        <v/>
      </c>
      <c r="B15170">
        <f>TEST_DATA!B15170</f>
        <v/>
      </c>
      <c r="C15170">
        <f>TEST_DATA!C15170</f>
        <v/>
      </c>
      <c r="D15170">
        <f>TEST_DATA!D15170</f>
        <v/>
      </c>
      <c r="E15170">
        <f>TEST_DATA!E15170</f>
        <v/>
      </c>
    </row>
    <row r="15171">
      <c r="A15171">
        <f>TEST_DATA!A15171</f>
        <v/>
      </c>
      <c r="B15171">
        <f>TEST_DATA!B15171</f>
        <v/>
      </c>
      <c r="C15171">
        <f>TEST_DATA!C15171</f>
        <v/>
      </c>
      <c r="D15171">
        <f>TEST_DATA!D15171</f>
        <v/>
      </c>
      <c r="E15171">
        <f>TEST_DATA!E15171</f>
        <v/>
      </c>
    </row>
    <row r="15172">
      <c r="A15172">
        <f>TEST_DATA!A15172</f>
        <v/>
      </c>
      <c r="B15172">
        <f>TEST_DATA!B15172</f>
        <v/>
      </c>
      <c r="C15172">
        <f>TEST_DATA!C15172</f>
        <v/>
      </c>
      <c r="D15172">
        <f>TEST_DATA!D15172</f>
        <v/>
      </c>
      <c r="E15172">
        <f>TEST_DATA!E15172</f>
        <v/>
      </c>
    </row>
    <row r="15173">
      <c r="A15173">
        <f>TEST_DATA!A15173</f>
        <v/>
      </c>
      <c r="B15173">
        <f>TEST_DATA!B15173</f>
        <v/>
      </c>
      <c r="C15173">
        <f>TEST_DATA!C15173</f>
        <v/>
      </c>
      <c r="D15173">
        <f>TEST_DATA!D15173</f>
        <v/>
      </c>
      <c r="E15173">
        <f>TEST_DATA!E15173</f>
        <v/>
      </c>
    </row>
    <row r="15174">
      <c r="A15174">
        <f>TEST_DATA!A15174</f>
        <v/>
      </c>
      <c r="B15174">
        <f>TEST_DATA!B15174</f>
        <v/>
      </c>
      <c r="C15174">
        <f>TEST_DATA!C15174</f>
        <v/>
      </c>
      <c r="D15174">
        <f>TEST_DATA!D15174</f>
        <v/>
      </c>
      <c r="E15174">
        <f>TEST_DATA!E15174</f>
        <v/>
      </c>
    </row>
    <row r="15175">
      <c r="A15175">
        <f>TEST_DATA!A15175</f>
        <v/>
      </c>
      <c r="B15175">
        <f>TEST_DATA!B15175</f>
        <v/>
      </c>
      <c r="C15175">
        <f>TEST_DATA!C15175</f>
        <v/>
      </c>
      <c r="D15175">
        <f>TEST_DATA!D15175</f>
        <v/>
      </c>
      <c r="E15175">
        <f>TEST_DATA!E15175</f>
        <v/>
      </c>
    </row>
    <row r="15176">
      <c r="A15176">
        <f>TEST_DATA!A15176</f>
        <v/>
      </c>
      <c r="B15176">
        <f>TEST_DATA!B15176</f>
        <v/>
      </c>
      <c r="C15176">
        <f>TEST_DATA!C15176</f>
        <v/>
      </c>
      <c r="D15176">
        <f>TEST_DATA!D15176</f>
        <v/>
      </c>
      <c r="E15176">
        <f>TEST_DATA!E15176</f>
        <v/>
      </c>
    </row>
    <row r="15177">
      <c r="A15177">
        <f>TEST_DATA!A15177</f>
        <v/>
      </c>
      <c r="B15177">
        <f>TEST_DATA!B15177</f>
        <v/>
      </c>
      <c r="C15177">
        <f>TEST_DATA!C15177</f>
        <v/>
      </c>
      <c r="D15177">
        <f>TEST_DATA!D15177</f>
        <v/>
      </c>
      <c r="E15177">
        <f>TEST_DATA!E15177</f>
        <v/>
      </c>
    </row>
    <row r="15178">
      <c r="A15178">
        <f>TEST_DATA!A15178</f>
        <v/>
      </c>
      <c r="B15178">
        <f>TEST_DATA!B15178</f>
        <v/>
      </c>
      <c r="C15178">
        <f>TEST_DATA!C15178</f>
        <v/>
      </c>
      <c r="D15178">
        <f>TEST_DATA!D15178</f>
        <v/>
      </c>
      <c r="E15178">
        <f>TEST_DATA!E15178</f>
        <v/>
      </c>
    </row>
    <row r="15179">
      <c r="A15179">
        <f>TEST_DATA!A15179</f>
        <v/>
      </c>
      <c r="B15179">
        <f>TEST_DATA!B15179</f>
        <v/>
      </c>
      <c r="C15179">
        <f>TEST_DATA!C15179</f>
        <v/>
      </c>
      <c r="D15179">
        <f>TEST_DATA!D15179</f>
        <v/>
      </c>
      <c r="E15179">
        <f>TEST_DATA!E15179</f>
        <v/>
      </c>
    </row>
    <row r="15180">
      <c r="A15180">
        <f>TEST_DATA!A15180</f>
        <v/>
      </c>
      <c r="B15180">
        <f>TEST_DATA!B15180</f>
        <v/>
      </c>
      <c r="C15180">
        <f>TEST_DATA!C15180</f>
        <v/>
      </c>
      <c r="D15180">
        <f>TEST_DATA!D15180</f>
        <v/>
      </c>
      <c r="E15180">
        <f>TEST_DATA!E15180</f>
        <v/>
      </c>
    </row>
    <row r="15181">
      <c r="A15181">
        <f>TEST_DATA!A15181</f>
        <v/>
      </c>
      <c r="B15181">
        <f>TEST_DATA!B15181</f>
        <v/>
      </c>
      <c r="C15181">
        <f>TEST_DATA!C15181</f>
        <v/>
      </c>
      <c r="D15181">
        <f>TEST_DATA!D15181</f>
        <v/>
      </c>
      <c r="E15181">
        <f>TEST_DATA!E15181</f>
        <v/>
      </c>
    </row>
    <row r="15182">
      <c r="A15182">
        <f>TEST_DATA!A15182</f>
        <v/>
      </c>
      <c r="B15182">
        <f>TEST_DATA!B15182</f>
        <v/>
      </c>
      <c r="C15182">
        <f>TEST_DATA!C15182</f>
        <v/>
      </c>
      <c r="D15182">
        <f>TEST_DATA!D15182</f>
        <v/>
      </c>
      <c r="E15182">
        <f>TEST_DATA!E15182</f>
        <v/>
      </c>
    </row>
    <row r="15183">
      <c r="A15183">
        <f>TEST_DATA!A15183</f>
        <v/>
      </c>
      <c r="B15183">
        <f>TEST_DATA!B15183</f>
        <v/>
      </c>
      <c r="C15183">
        <f>TEST_DATA!C15183</f>
        <v/>
      </c>
      <c r="D15183">
        <f>TEST_DATA!D15183</f>
        <v/>
      </c>
      <c r="E15183">
        <f>TEST_DATA!E15183</f>
        <v/>
      </c>
    </row>
    <row r="15184">
      <c r="A15184">
        <f>TEST_DATA!A15184</f>
        <v/>
      </c>
      <c r="B15184">
        <f>TEST_DATA!B15184</f>
        <v/>
      </c>
      <c r="C15184">
        <f>TEST_DATA!C15184</f>
        <v/>
      </c>
      <c r="D15184">
        <f>TEST_DATA!D15184</f>
        <v/>
      </c>
      <c r="E15184">
        <f>TEST_DATA!E15184</f>
        <v/>
      </c>
    </row>
    <row r="15185">
      <c r="A15185">
        <f>TEST_DATA!A15185</f>
        <v/>
      </c>
      <c r="B15185">
        <f>TEST_DATA!B15185</f>
        <v/>
      </c>
      <c r="C15185">
        <f>TEST_DATA!C15185</f>
        <v/>
      </c>
      <c r="D15185">
        <f>TEST_DATA!D15185</f>
        <v/>
      </c>
      <c r="E15185">
        <f>TEST_DATA!E15185</f>
        <v/>
      </c>
    </row>
    <row r="15186">
      <c r="A15186">
        <f>TEST_DATA!A15186</f>
        <v/>
      </c>
      <c r="B15186">
        <f>TEST_DATA!B15186</f>
        <v/>
      </c>
      <c r="C15186">
        <f>TEST_DATA!C15186</f>
        <v/>
      </c>
      <c r="D15186">
        <f>TEST_DATA!D15186</f>
        <v/>
      </c>
      <c r="E15186">
        <f>TEST_DATA!E15186</f>
        <v/>
      </c>
    </row>
    <row r="15187">
      <c r="A15187">
        <f>TEST_DATA!A15187</f>
        <v/>
      </c>
      <c r="B15187">
        <f>TEST_DATA!B15187</f>
        <v/>
      </c>
      <c r="C15187">
        <f>TEST_DATA!C15187</f>
        <v/>
      </c>
      <c r="D15187">
        <f>TEST_DATA!D15187</f>
        <v/>
      </c>
      <c r="E15187">
        <f>TEST_DATA!E15187</f>
        <v/>
      </c>
    </row>
    <row r="15188">
      <c r="A15188">
        <f>TEST_DATA!A15188</f>
        <v/>
      </c>
      <c r="B15188">
        <f>TEST_DATA!B15188</f>
        <v/>
      </c>
      <c r="C15188">
        <f>TEST_DATA!C15188</f>
        <v/>
      </c>
      <c r="D15188">
        <f>TEST_DATA!D15188</f>
        <v/>
      </c>
      <c r="E15188">
        <f>TEST_DATA!E15188</f>
        <v/>
      </c>
    </row>
    <row r="15189">
      <c r="A15189">
        <f>TEST_DATA!A15189</f>
        <v/>
      </c>
      <c r="B15189">
        <f>TEST_DATA!B15189</f>
        <v/>
      </c>
      <c r="C15189">
        <f>TEST_DATA!C15189</f>
        <v/>
      </c>
      <c r="D15189">
        <f>TEST_DATA!D15189</f>
        <v/>
      </c>
      <c r="E15189">
        <f>TEST_DATA!E15189</f>
        <v/>
      </c>
    </row>
    <row r="15190">
      <c r="A15190">
        <f>TEST_DATA!A15190</f>
        <v/>
      </c>
      <c r="B15190">
        <f>TEST_DATA!B15190</f>
        <v/>
      </c>
      <c r="C15190">
        <f>TEST_DATA!C15190</f>
        <v/>
      </c>
      <c r="D15190">
        <f>TEST_DATA!D15190</f>
        <v/>
      </c>
      <c r="E15190">
        <f>TEST_DATA!E15190</f>
        <v/>
      </c>
    </row>
    <row r="15191">
      <c r="A15191">
        <f>TEST_DATA!A15191</f>
        <v/>
      </c>
      <c r="B15191">
        <f>TEST_DATA!B15191</f>
        <v/>
      </c>
      <c r="C15191">
        <f>TEST_DATA!C15191</f>
        <v/>
      </c>
      <c r="D15191">
        <f>TEST_DATA!D15191</f>
        <v/>
      </c>
      <c r="E15191">
        <f>TEST_DATA!E15191</f>
        <v/>
      </c>
    </row>
    <row r="15192">
      <c r="A15192">
        <f>TEST_DATA!A15192</f>
        <v/>
      </c>
      <c r="B15192">
        <f>TEST_DATA!B15192</f>
        <v/>
      </c>
      <c r="C15192">
        <f>TEST_DATA!C15192</f>
        <v/>
      </c>
      <c r="D15192">
        <f>TEST_DATA!D15192</f>
        <v/>
      </c>
      <c r="E15192">
        <f>TEST_DATA!E15192</f>
        <v/>
      </c>
    </row>
    <row r="15193">
      <c r="A15193">
        <f>TEST_DATA!A15193</f>
        <v/>
      </c>
      <c r="B15193">
        <f>TEST_DATA!B15193</f>
        <v/>
      </c>
      <c r="C15193">
        <f>TEST_DATA!C15193</f>
        <v/>
      </c>
      <c r="D15193">
        <f>TEST_DATA!D15193</f>
        <v/>
      </c>
      <c r="E15193">
        <f>TEST_DATA!E15193</f>
        <v/>
      </c>
    </row>
    <row r="15194">
      <c r="A15194">
        <f>TEST_DATA!A15194</f>
        <v/>
      </c>
      <c r="B15194">
        <f>TEST_DATA!B15194</f>
        <v/>
      </c>
      <c r="C15194">
        <f>TEST_DATA!C15194</f>
        <v/>
      </c>
      <c r="D15194">
        <f>TEST_DATA!D15194</f>
        <v/>
      </c>
      <c r="E15194">
        <f>TEST_DATA!E15194</f>
        <v/>
      </c>
    </row>
    <row r="15195">
      <c r="A15195">
        <f>TEST_DATA!A15195</f>
        <v/>
      </c>
      <c r="B15195">
        <f>TEST_DATA!B15195</f>
        <v/>
      </c>
      <c r="C15195">
        <f>TEST_DATA!C15195</f>
        <v/>
      </c>
      <c r="D15195">
        <f>TEST_DATA!D15195</f>
        <v/>
      </c>
      <c r="E15195">
        <f>TEST_DATA!E15195</f>
        <v/>
      </c>
    </row>
    <row r="15196">
      <c r="A15196">
        <f>TEST_DATA!A15196</f>
        <v/>
      </c>
      <c r="B15196">
        <f>TEST_DATA!B15196</f>
        <v/>
      </c>
      <c r="C15196">
        <f>TEST_DATA!C15196</f>
        <v/>
      </c>
      <c r="D15196">
        <f>TEST_DATA!D15196</f>
        <v/>
      </c>
      <c r="E15196">
        <f>TEST_DATA!E15196</f>
        <v/>
      </c>
    </row>
    <row r="15197">
      <c r="A15197">
        <f>TEST_DATA!A15197</f>
        <v/>
      </c>
      <c r="B15197">
        <f>TEST_DATA!B15197</f>
        <v/>
      </c>
      <c r="C15197">
        <f>TEST_DATA!C15197</f>
        <v/>
      </c>
      <c r="D15197">
        <f>TEST_DATA!D15197</f>
        <v/>
      </c>
      <c r="E15197">
        <f>TEST_DATA!E15197</f>
        <v/>
      </c>
    </row>
    <row r="15198">
      <c r="A15198">
        <f>TEST_DATA!A15198</f>
        <v/>
      </c>
      <c r="B15198">
        <f>TEST_DATA!B15198</f>
        <v/>
      </c>
      <c r="C15198">
        <f>TEST_DATA!C15198</f>
        <v/>
      </c>
      <c r="D15198">
        <f>TEST_DATA!D15198</f>
        <v/>
      </c>
      <c r="E15198">
        <f>TEST_DATA!E15198</f>
        <v/>
      </c>
    </row>
    <row r="15199">
      <c r="A15199">
        <f>TEST_DATA!A15199</f>
        <v/>
      </c>
      <c r="B15199">
        <f>TEST_DATA!B15199</f>
        <v/>
      </c>
      <c r="C15199">
        <f>TEST_DATA!C15199</f>
        <v/>
      </c>
      <c r="D15199">
        <f>TEST_DATA!D15199</f>
        <v/>
      </c>
      <c r="E15199">
        <f>TEST_DATA!E15199</f>
        <v/>
      </c>
    </row>
    <row r="15200">
      <c r="A15200">
        <f>TEST_DATA!A15200</f>
        <v/>
      </c>
      <c r="B15200">
        <f>TEST_DATA!B15200</f>
        <v/>
      </c>
      <c r="C15200">
        <f>TEST_DATA!C15200</f>
        <v/>
      </c>
      <c r="D15200">
        <f>TEST_DATA!D15200</f>
        <v/>
      </c>
      <c r="E15200">
        <f>TEST_DATA!E15200</f>
        <v/>
      </c>
    </row>
    <row r="15201">
      <c r="A15201">
        <f>TEST_DATA!A15201</f>
        <v/>
      </c>
      <c r="B15201">
        <f>TEST_DATA!B15201</f>
        <v/>
      </c>
      <c r="C15201">
        <f>TEST_DATA!C15201</f>
        <v/>
      </c>
      <c r="D15201">
        <f>TEST_DATA!D15201</f>
        <v/>
      </c>
      <c r="E15201">
        <f>TEST_DATA!E15201</f>
        <v/>
      </c>
    </row>
    <row r="15202">
      <c r="A15202">
        <f>TEST_DATA!A15202</f>
        <v/>
      </c>
      <c r="B15202">
        <f>TEST_DATA!B15202</f>
        <v/>
      </c>
      <c r="C15202">
        <f>TEST_DATA!C15202</f>
        <v/>
      </c>
      <c r="D15202">
        <f>TEST_DATA!D15202</f>
        <v/>
      </c>
      <c r="E15202">
        <f>TEST_DATA!E15202</f>
        <v/>
      </c>
    </row>
    <row r="15203">
      <c r="A15203">
        <f>TEST_DATA!A15203</f>
        <v/>
      </c>
      <c r="B15203">
        <f>TEST_DATA!B15203</f>
        <v/>
      </c>
      <c r="C15203">
        <f>TEST_DATA!C15203</f>
        <v/>
      </c>
      <c r="D15203">
        <f>TEST_DATA!D15203</f>
        <v/>
      </c>
      <c r="E15203">
        <f>TEST_DATA!E15203</f>
        <v/>
      </c>
    </row>
    <row r="15204">
      <c r="A15204">
        <f>TEST_DATA!A15204</f>
        <v/>
      </c>
      <c r="B15204">
        <f>TEST_DATA!B15204</f>
        <v/>
      </c>
      <c r="C15204">
        <f>TEST_DATA!C15204</f>
        <v/>
      </c>
      <c r="D15204">
        <f>TEST_DATA!D15204</f>
        <v/>
      </c>
      <c r="E15204">
        <f>TEST_DATA!E15204</f>
        <v/>
      </c>
    </row>
    <row r="15205">
      <c r="A15205">
        <f>TEST_DATA!A15205</f>
        <v/>
      </c>
      <c r="B15205">
        <f>TEST_DATA!B15205</f>
        <v/>
      </c>
      <c r="C15205">
        <f>TEST_DATA!C15205</f>
        <v/>
      </c>
      <c r="D15205">
        <f>TEST_DATA!D15205</f>
        <v/>
      </c>
      <c r="E15205">
        <f>TEST_DATA!E15205</f>
        <v/>
      </c>
    </row>
    <row r="15206">
      <c r="A15206">
        <f>TEST_DATA!A15206</f>
        <v/>
      </c>
      <c r="B15206">
        <f>TEST_DATA!B15206</f>
        <v/>
      </c>
      <c r="C15206">
        <f>TEST_DATA!C15206</f>
        <v/>
      </c>
      <c r="D15206">
        <f>TEST_DATA!D15206</f>
        <v/>
      </c>
      <c r="E15206">
        <f>TEST_DATA!E15206</f>
        <v/>
      </c>
    </row>
    <row r="15207">
      <c r="A15207">
        <f>TEST_DATA!A15207</f>
        <v/>
      </c>
      <c r="B15207">
        <f>TEST_DATA!B15207</f>
        <v/>
      </c>
      <c r="C15207">
        <f>TEST_DATA!C15207</f>
        <v/>
      </c>
      <c r="D15207">
        <f>TEST_DATA!D15207</f>
        <v/>
      </c>
      <c r="E15207">
        <f>TEST_DATA!E15207</f>
        <v/>
      </c>
    </row>
    <row r="15208">
      <c r="A15208">
        <f>TEST_DATA!A15208</f>
        <v/>
      </c>
      <c r="B15208">
        <f>TEST_DATA!B15208</f>
        <v/>
      </c>
      <c r="C15208">
        <f>TEST_DATA!C15208</f>
        <v/>
      </c>
      <c r="D15208">
        <f>TEST_DATA!D15208</f>
        <v/>
      </c>
      <c r="E15208">
        <f>TEST_DATA!E15208</f>
        <v/>
      </c>
    </row>
    <row r="15209">
      <c r="A15209">
        <f>TEST_DATA!A15209</f>
        <v/>
      </c>
      <c r="B15209">
        <f>TEST_DATA!B15209</f>
        <v/>
      </c>
      <c r="C15209">
        <f>TEST_DATA!C15209</f>
        <v/>
      </c>
      <c r="D15209">
        <f>TEST_DATA!D15209</f>
        <v/>
      </c>
      <c r="E15209">
        <f>TEST_DATA!E15209</f>
        <v/>
      </c>
    </row>
    <row r="15210">
      <c r="A15210">
        <f>TEST_DATA!A15210</f>
        <v/>
      </c>
      <c r="B15210">
        <f>TEST_DATA!B15210</f>
        <v/>
      </c>
      <c r="C15210">
        <f>TEST_DATA!C15210</f>
        <v/>
      </c>
      <c r="D15210">
        <f>TEST_DATA!D15210</f>
        <v/>
      </c>
      <c r="E15210">
        <f>TEST_DATA!E15210</f>
        <v/>
      </c>
    </row>
    <row r="15211">
      <c r="A15211">
        <f>TEST_DATA!A15211</f>
        <v/>
      </c>
      <c r="B15211">
        <f>TEST_DATA!B15211</f>
        <v/>
      </c>
      <c r="C15211">
        <f>TEST_DATA!C15211</f>
        <v/>
      </c>
      <c r="D15211">
        <f>TEST_DATA!D15211</f>
        <v/>
      </c>
      <c r="E15211">
        <f>TEST_DATA!E15211</f>
        <v/>
      </c>
    </row>
    <row r="15212">
      <c r="A15212">
        <f>TEST_DATA!A15212</f>
        <v/>
      </c>
      <c r="B15212">
        <f>TEST_DATA!B15212</f>
        <v/>
      </c>
      <c r="C15212">
        <f>TEST_DATA!C15212</f>
        <v/>
      </c>
      <c r="D15212">
        <f>TEST_DATA!D15212</f>
        <v/>
      </c>
      <c r="E15212">
        <f>TEST_DATA!E15212</f>
        <v/>
      </c>
    </row>
    <row r="15213">
      <c r="A15213">
        <f>TEST_DATA!A15213</f>
        <v/>
      </c>
      <c r="B15213">
        <f>TEST_DATA!B15213</f>
        <v/>
      </c>
      <c r="C15213">
        <f>TEST_DATA!C15213</f>
        <v/>
      </c>
      <c r="D15213">
        <f>TEST_DATA!D15213</f>
        <v/>
      </c>
      <c r="E15213">
        <f>TEST_DATA!E15213</f>
        <v/>
      </c>
    </row>
    <row r="15214">
      <c r="A15214">
        <f>TEST_DATA!A15214</f>
        <v/>
      </c>
      <c r="B15214">
        <f>TEST_DATA!B15214</f>
        <v/>
      </c>
      <c r="C15214">
        <f>TEST_DATA!C15214</f>
        <v/>
      </c>
      <c r="D15214">
        <f>TEST_DATA!D15214</f>
        <v/>
      </c>
      <c r="E15214">
        <f>TEST_DATA!E15214</f>
        <v/>
      </c>
    </row>
    <row r="15215">
      <c r="A15215">
        <f>TEST_DATA!A15215</f>
        <v/>
      </c>
      <c r="B15215">
        <f>TEST_DATA!B15215</f>
        <v/>
      </c>
      <c r="C15215">
        <f>TEST_DATA!C15215</f>
        <v/>
      </c>
      <c r="D15215">
        <f>TEST_DATA!D15215</f>
        <v/>
      </c>
      <c r="E15215">
        <f>TEST_DATA!E15215</f>
        <v/>
      </c>
    </row>
    <row r="15216">
      <c r="A15216">
        <f>TEST_DATA!A15216</f>
        <v/>
      </c>
      <c r="B15216">
        <f>TEST_DATA!B15216</f>
        <v/>
      </c>
      <c r="C15216">
        <f>TEST_DATA!C15216</f>
        <v/>
      </c>
      <c r="D15216">
        <f>TEST_DATA!D15216</f>
        <v/>
      </c>
      <c r="E15216">
        <f>TEST_DATA!E15216</f>
        <v/>
      </c>
    </row>
    <row r="15217">
      <c r="A15217">
        <f>TEST_DATA!A15217</f>
        <v/>
      </c>
      <c r="B15217">
        <f>TEST_DATA!B15217</f>
        <v/>
      </c>
      <c r="C15217">
        <f>TEST_DATA!C15217</f>
        <v/>
      </c>
      <c r="D15217">
        <f>TEST_DATA!D15217</f>
        <v/>
      </c>
      <c r="E15217">
        <f>TEST_DATA!E15217</f>
        <v/>
      </c>
    </row>
    <row r="15218">
      <c r="A15218">
        <f>TEST_DATA!A15218</f>
        <v/>
      </c>
      <c r="B15218">
        <f>TEST_DATA!B15218</f>
        <v/>
      </c>
      <c r="C15218">
        <f>TEST_DATA!C15218</f>
        <v/>
      </c>
      <c r="D15218">
        <f>TEST_DATA!D15218</f>
        <v/>
      </c>
      <c r="E15218">
        <f>TEST_DATA!E15218</f>
        <v/>
      </c>
    </row>
    <row r="15219">
      <c r="A15219">
        <f>TEST_DATA!A15219</f>
        <v/>
      </c>
      <c r="B15219">
        <f>TEST_DATA!B15219</f>
        <v/>
      </c>
      <c r="C15219">
        <f>TEST_DATA!C15219</f>
        <v/>
      </c>
      <c r="D15219">
        <f>TEST_DATA!D15219</f>
        <v/>
      </c>
      <c r="E15219">
        <f>TEST_DATA!E15219</f>
        <v/>
      </c>
    </row>
    <row r="15220">
      <c r="A15220">
        <f>TEST_DATA!A15220</f>
        <v/>
      </c>
      <c r="B15220">
        <f>TEST_DATA!B15220</f>
        <v/>
      </c>
      <c r="C15220">
        <f>TEST_DATA!C15220</f>
        <v/>
      </c>
      <c r="D15220">
        <f>TEST_DATA!D15220</f>
        <v/>
      </c>
      <c r="E15220">
        <f>TEST_DATA!E15220</f>
        <v/>
      </c>
    </row>
    <row r="15221">
      <c r="A15221">
        <f>TEST_DATA!A15221</f>
        <v/>
      </c>
      <c r="B15221">
        <f>TEST_DATA!B15221</f>
        <v/>
      </c>
      <c r="C15221">
        <f>TEST_DATA!C15221</f>
        <v/>
      </c>
      <c r="D15221">
        <f>TEST_DATA!D15221</f>
        <v/>
      </c>
      <c r="E15221">
        <f>TEST_DATA!E15221</f>
        <v/>
      </c>
    </row>
    <row r="15222">
      <c r="A15222">
        <f>TEST_DATA!A15222</f>
        <v/>
      </c>
      <c r="B15222">
        <f>TEST_DATA!B15222</f>
        <v/>
      </c>
      <c r="C15222">
        <f>TEST_DATA!C15222</f>
        <v/>
      </c>
      <c r="D15222">
        <f>TEST_DATA!D15222</f>
        <v/>
      </c>
      <c r="E15222">
        <f>TEST_DATA!E15222</f>
        <v/>
      </c>
    </row>
    <row r="15223">
      <c r="A15223">
        <f>TEST_DATA!A15223</f>
        <v/>
      </c>
      <c r="B15223">
        <f>TEST_DATA!B15223</f>
        <v/>
      </c>
      <c r="C15223">
        <f>TEST_DATA!C15223</f>
        <v/>
      </c>
      <c r="D15223">
        <f>TEST_DATA!D15223</f>
        <v/>
      </c>
      <c r="E15223">
        <f>TEST_DATA!E15223</f>
        <v/>
      </c>
    </row>
    <row r="15224">
      <c r="A15224">
        <f>TEST_DATA!A15224</f>
        <v/>
      </c>
      <c r="B15224">
        <f>TEST_DATA!B15224</f>
        <v/>
      </c>
      <c r="C15224">
        <f>TEST_DATA!C15224</f>
        <v/>
      </c>
      <c r="D15224">
        <f>TEST_DATA!D15224</f>
        <v/>
      </c>
      <c r="E15224">
        <f>TEST_DATA!E15224</f>
        <v/>
      </c>
    </row>
    <row r="15225">
      <c r="A15225">
        <f>TEST_DATA!A15225</f>
        <v/>
      </c>
      <c r="B15225">
        <f>TEST_DATA!B15225</f>
        <v/>
      </c>
      <c r="C15225">
        <f>TEST_DATA!C15225</f>
        <v/>
      </c>
      <c r="D15225">
        <f>TEST_DATA!D15225</f>
        <v/>
      </c>
      <c r="E15225">
        <f>TEST_DATA!E15225</f>
        <v/>
      </c>
    </row>
    <row r="15226">
      <c r="A15226">
        <f>TEST_DATA!A15226</f>
        <v/>
      </c>
      <c r="B15226">
        <f>TEST_DATA!B15226</f>
        <v/>
      </c>
      <c r="C15226">
        <f>TEST_DATA!C15226</f>
        <v/>
      </c>
      <c r="D15226">
        <f>TEST_DATA!D15226</f>
        <v/>
      </c>
      <c r="E15226">
        <f>TEST_DATA!E15226</f>
        <v/>
      </c>
    </row>
    <row r="15227">
      <c r="A15227">
        <f>TEST_DATA!A15227</f>
        <v/>
      </c>
      <c r="B15227">
        <f>TEST_DATA!B15227</f>
        <v/>
      </c>
      <c r="C15227">
        <f>TEST_DATA!C15227</f>
        <v/>
      </c>
      <c r="D15227">
        <f>TEST_DATA!D15227</f>
        <v/>
      </c>
      <c r="E15227">
        <f>TEST_DATA!E15227</f>
        <v/>
      </c>
    </row>
    <row r="15228">
      <c r="A15228">
        <f>TEST_DATA!A15228</f>
        <v/>
      </c>
      <c r="B15228">
        <f>TEST_DATA!B15228</f>
        <v/>
      </c>
      <c r="C15228">
        <f>TEST_DATA!C15228</f>
        <v/>
      </c>
      <c r="D15228">
        <f>TEST_DATA!D15228</f>
        <v/>
      </c>
      <c r="E15228">
        <f>TEST_DATA!E15228</f>
        <v/>
      </c>
    </row>
    <row r="15229">
      <c r="A15229">
        <f>TEST_DATA!A15229</f>
        <v/>
      </c>
      <c r="B15229">
        <f>TEST_DATA!B15229</f>
        <v/>
      </c>
      <c r="C15229">
        <f>TEST_DATA!C15229</f>
        <v/>
      </c>
      <c r="D15229">
        <f>TEST_DATA!D15229</f>
        <v/>
      </c>
      <c r="E15229">
        <f>TEST_DATA!E15229</f>
        <v/>
      </c>
    </row>
    <row r="15230">
      <c r="A15230">
        <f>TEST_DATA!A15230</f>
        <v/>
      </c>
      <c r="B15230">
        <f>TEST_DATA!B15230</f>
        <v/>
      </c>
      <c r="C15230">
        <f>TEST_DATA!C15230</f>
        <v/>
      </c>
      <c r="D15230">
        <f>TEST_DATA!D15230</f>
        <v/>
      </c>
      <c r="E15230">
        <f>TEST_DATA!E15230</f>
        <v/>
      </c>
    </row>
    <row r="15231">
      <c r="A15231">
        <f>TEST_DATA!A15231</f>
        <v/>
      </c>
      <c r="B15231">
        <f>TEST_DATA!B15231</f>
        <v/>
      </c>
      <c r="C15231">
        <f>TEST_DATA!C15231</f>
        <v/>
      </c>
      <c r="D15231">
        <f>TEST_DATA!D15231</f>
        <v/>
      </c>
      <c r="E15231">
        <f>TEST_DATA!E15231</f>
        <v/>
      </c>
    </row>
    <row r="15232">
      <c r="A15232">
        <f>TEST_DATA!A15232</f>
        <v/>
      </c>
      <c r="B15232">
        <f>TEST_DATA!B15232</f>
        <v/>
      </c>
      <c r="C15232">
        <f>TEST_DATA!C15232</f>
        <v/>
      </c>
      <c r="D15232">
        <f>TEST_DATA!D15232</f>
        <v/>
      </c>
      <c r="E15232">
        <f>TEST_DATA!E15232</f>
        <v/>
      </c>
    </row>
    <row r="15233">
      <c r="A15233">
        <f>TEST_DATA!A15233</f>
        <v/>
      </c>
      <c r="B15233">
        <f>TEST_DATA!B15233</f>
        <v/>
      </c>
      <c r="C15233">
        <f>TEST_DATA!C15233</f>
        <v/>
      </c>
      <c r="D15233">
        <f>TEST_DATA!D15233</f>
        <v/>
      </c>
      <c r="E15233">
        <f>TEST_DATA!E15233</f>
        <v/>
      </c>
    </row>
    <row r="15234">
      <c r="A15234">
        <f>TEST_DATA!A15234</f>
        <v/>
      </c>
      <c r="B15234">
        <f>TEST_DATA!B15234</f>
        <v/>
      </c>
      <c r="C15234">
        <f>TEST_DATA!C15234</f>
        <v/>
      </c>
      <c r="D15234">
        <f>TEST_DATA!D15234</f>
        <v/>
      </c>
      <c r="E15234">
        <f>TEST_DATA!E15234</f>
        <v/>
      </c>
    </row>
    <row r="15235">
      <c r="A15235">
        <f>TEST_DATA!A15235</f>
        <v/>
      </c>
      <c r="B15235">
        <f>TEST_DATA!B15235</f>
        <v/>
      </c>
      <c r="C15235">
        <f>TEST_DATA!C15235</f>
        <v/>
      </c>
      <c r="D15235">
        <f>TEST_DATA!D15235</f>
        <v/>
      </c>
      <c r="E15235">
        <f>TEST_DATA!E15235</f>
        <v/>
      </c>
    </row>
    <row r="15236">
      <c r="A15236">
        <f>TEST_DATA!A15236</f>
        <v/>
      </c>
      <c r="B15236">
        <f>TEST_DATA!B15236</f>
        <v/>
      </c>
      <c r="C15236">
        <f>TEST_DATA!C15236</f>
        <v/>
      </c>
      <c r="D15236">
        <f>TEST_DATA!D15236</f>
        <v/>
      </c>
      <c r="E15236">
        <f>TEST_DATA!E15236</f>
        <v/>
      </c>
    </row>
    <row r="15237">
      <c r="A15237">
        <f>TEST_DATA!A15237</f>
        <v/>
      </c>
      <c r="B15237">
        <f>TEST_DATA!B15237</f>
        <v/>
      </c>
      <c r="C15237">
        <f>TEST_DATA!C15237</f>
        <v/>
      </c>
      <c r="D15237">
        <f>TEST_DATA!D15237</f>
        <v/>
      </c>
      <c r="E15237">
        <f>TEST_DATA!E15237</f>
        <v/>
      </c>
    </row>
    <row r="15238">
      <c r="A15238">
        <f>TEST_DATA!A15238</f>
        <v/>
      </c>
      <c r="B15238">
        <f>TEST_DATA!B15238</f>
        <v/>
      </c>
      <c r="C15238">
        <f>TEST_DATA!C15238</f>
        <v/>
      </c>
      <c r="D15238">
        <f>TEST_DATA!D15238</f>
        <v/>
      </c>
      <c r="E15238">
        <f>TEST_DATA!E15238</f>
        <v/>
      </c>
    </row>
    <row r="15239">
      <c r="A15239">
        <f>TEST_DATA!A15239</f>
        <v/>
      </c>
      <c r="B15239">
        <f>TEST_DATA!B15239</f>
        <v/>
      </c>
      <c r="C15239">
        <f>TEST_DATA!C15239</f>
        <v/>
      </c>
      <c r="D15239">
        <f>TEST_DATA!D15239</f>
        <v/>
      </c>
      <c r="E15239">
        <f>TEST_DATA!E15239</f>
        <v/>
      </c>
    </row>
    <row r="15240">
      <c r="A15240">
        <f>TEST_DATA!A15240</f>
        <v/>
      </c>
      <c r="B15240">
        <f>TEST_DATA!B15240</f>
        <v/>
      </c>
      <c r="C15240">
        <f>TEST_DATA!C15240</f>
        <v/>
      </c>
      <c r="D15240">
        <f>TEST_DATA!D15240</f>
        <v/>
      </c>
      <c r="E15240">
        <f>TEST_DATA!E15240</f>
        <v/>
      </c>
    </row>
    <row r="15241">
      <c r="A15241">
        <f>TEST_DATA!A15241</f>
        <v/>
      </c>
      <c r="B15241">
        <f>TEST_DATA!B15241</f>
        <v/>
      </c>
      <c r="C15241">
        <f>TEST_DATA!C15241</f>
        <v/>
      </c>
      <c r="D15241">
        <f>TEST_DATA!D15241</f>
        <v/>
      </c>
      <c r="E15241">
        <f>TEST_DATA!E15241</f>
        <v/>
      </c>
    </row>
    <row r="15242">
      <c r="A15242">
        <f>TEST_DATA!A15242</f>
        <v/>
      </c>
      <c r="B15242">
        <f>TEST_DATA!B15242</f>
        <v/>
      </c>
      <c r="C15242">
        <f>TEST_DATA!C15242</f>
        <v/>
      </c>
      <c r="D15242">
        <f>TEST_DATA!D15242</f>
        <v/>
      </c>
      <c r="E15242">
        <f>TEST_DATA!E15242</f>
        <v/>
      </c>
    </row>
    <row r="15243">
      <c r="A15243">
        <f>TEST_DATA!A15243</f>
        <v/>
      </c>
      <c r="B15243">
        <f>TEST_DATA!B15243</f>
        <v/>
      </c>
      <c r="C15243">
        <f>TEST_DATA!C15243</f>
        <v/>
      </c>
      <c r="D15243">
        <f>TEST_DATA!D15243</f>
        <v/>
      </c>
      <c r="E15243">
        <f>TEST_DATA!E15243</f>
        <v/>
      </c>
    </row>
    <row r="15244">
      <c r="A15244">
        <f>TEST_DATA!A15244</f>
        <v/>
      </c>
      <c r="B15244">
        <f>TEST_DATA!B15244</f>
        <v/>
      </c>
      <c r="C15244">
        <f>TEST_DATA!C15244</f>
        <v/>
      </c>
      <c r="D15244">
        <f>TEST_DATA!D15244</f>
        <v/>
      </c>
      <c r="E15244">
        <f>TEST_DATA!E15244</f>
        <v/>
      </c>
    </row>
    <row r="15245">
      <c r="A15245">
        <f>TEST_DATA!A15245</f>
        <v/>
      </c>
      <c r="B15245">
        <f>TEST_DATA!B15245</f>
        <v/>
      </c>
      <c r="C15245">
        <f>TEST_DATA!C15245</f>
        <v/>
      </c>
      <c r="D15245">
        <f>TEST_DATA!D15245</f>
        <v/>
      </c>
      <c r="E15245">
        <f>TEST_DATA!E15245</f>
        <v/>
      </c>
    </row>
    <row r="15246">
      <c r="A15246">
        <f>TEST_DATA!A15246</f>
        <v/>
      </c>
      <c r="B15246">
        <f>TEST_DATA!B15246</f>
        <v/>
      </c>
      <c r="C15246">
        <f>TEST_DATA!C15246</f>
        <v/>
      </c>
      <c r="D15246">
        <f>TEST_DATA!D15246</f>
        <v/>
      </c>
      <c r="E15246">
        <f>TEST_DATA!E15246</f>
        <v/>
      </c>
    </row>
    <row r="15247">
      <c r="A15247">
        <f>TEST_DATA!A15247</f>
        <v/>
      </c>
      <c r="B15247">
        <f>TEST_DATA!B15247</f>
        <v/>
      </c>
      <c r="C15247">
        <f>TEST_DATA!C15247</f>
        <v/>
      </c>
      <c r="D15247">
        <f>TEST_DATA!D15247</f>
        <v/>
      </c>
      <c r="E15247">
        <f>TEST_DATA!E15247</f>
        <v/>
      </c>
    </row>
    <row r="15248">
      <c r="A15248">
        <f>TEST_DATA!A15248</f>
        <v/>
      </c>
      <c r="B15248">
        <f>TEST_DATA!B15248</f>
        <v/>
      </c>
      <c r="C15248">
        <f>TEST_DATA!C15248</f>
        <v/>
      </c>
      <c r="D15248">
        <f>TEST_DATA!D15248</f>
        <v/>
      </c>
      <c r="E15248">
        <f>TEST_DATA!E15248</f>
        <v/>
      </c>
    </row>
    <row r="15249">
      <c r="A15249">
        <f>TEST_DATA!A15249</f>
        <v/>
      </c>
      <c r="B15249">
        <f>TEST_DATA!B15249</f>
        <v/>
      </c>
      <c r="C15249">
        <f>TEST_DATA!C15249</f>
        <v/>
      </c>
      <c r="D15249">
        <f>TEST_DATA!D15249</f>
        <v/>
      </c>
      <c r="E15249">
        <f>TEST_DATA!E15249</f>
        <v/>
      </c>
    </row>
    <row r="15250">
      <c r="A15250">
        <f>TEST_DATA!A15250</f>
        <v/>
      </c>
      <c r="B15250">
        <f>TEST_DATA!B15250</f>
        <v/>
      </c>
      <c r="C15250">
        <f>TEST_DATA!C15250</f>
        <v/>
      </c>
      <c r="D15250">
        <f>TEST_DATA!D15250</f>
        <v/>
      </c>
      <c r="E15250">
        <f>TEST_DATA!E15250</f>
        <v/>
      </c>
    </row>
    <row r="15251">
      <c r="A15251">
        <f>TEST_DATA!A15251</f>
        <v/>
      </c>
      <c r="B15251">
        <f>TEST_DATA!B15251</f>
        <v/>
      </c>
      <c r="C15251">
        <f>TEST_DATA!C15251</f>
        <v/>
      </c>
      <c r="D15251">
        <f>TEST_DATA!D15251</f>
        <v/>
      </c>
      <c r="E15251">
        <f>TEST_DATA!E15251</f>
        <v/>
      </c>
    </row>
    <row r="15252">
      <c r="A15252">
        <f>TEST_DATA!A15252</f>
        <v/>
      </c>
      <c r="B15252">
        <f>TEST_DATA!B15252</f>
        <v/>
      </c>
      <c r="C15252">
        <f>TEST_DATA!C15252</f>
        <v/>
      </c>
      <c r="D15252">
        <f>TEST_DATA!D15252</f>
        <v/>
      </c>
      <c r="E15252">
        <f>TEST_DATA!E15252</f>
        <v/>
      </c>
    </row>
    <row r="15253">
      <c r="A15253">
        <f>TEST_DATA!A15253</f>
        <v/>
      </c>
      <c r="B15253">
        <f>TEST_DATA!B15253</f>
        <v/>
      </c>
      <c r="C15253">
        <f>TEST_DATA!C15253</f>
        <v/>
      </c>
      <c r="D15253">
        <f>TEST_DATA!D15253</f>
        <v/>
      </c>
      <c r="E15253">
        <f>TEST_DATA!E15253</f>
        <v/>
      </c>
    </row>
    <row r="15254">
      <c r="A15254">
        <f>TEST_DATA!A15254</f>
        <v/>
      </c>
      <c r="B15254">
        <f>TEST_DATA!B15254</f>
        <v/>
      </c>
      <c r="C15254">
        <f>TEST_DATA!C15254</f>
        <v/>
      </c>
      <c r="D15254">
        <f>TEST_DATA!D15254</f>
        <v/>
      </c>
      <c r="E15254">
        <f>TEST_DATA!E15254</f>
        <v/>
      </c>
    </row>
    <row r="15255">
      <c r="A15255">
        <f>TEST_DATA!A15255</f>
        <v/>
      </c>
      <c r="B15255">
        <f>TEST_DATA!B15255</f>
        <v/>
      </c>
      <c r="C15255">
        <f>TEST_DATA!C15255</f>
        <v/>
      </c>
      <c r="D15255">
        <f>TEST_DATA!D15255</f>
        <v/>
      </c>
      <c r="E15255">
        <f>TEST_DATA!E15255</f>
        <v/>
      </c>
    </row>
    <row r="15256">
      <c r="A15256">
        <f>TEST_DATA!A15256</f>
        <v/>
      </c>
      <c r="B15256">
        <f>TEST_DATA!B15256</f>
        <v/>
      </c>
      <c r="C15256">
        <f>TEST_DATA!C15256</f>
        <v/>
      </c>
      <c r="D15256">
        <f>TEST_DATA!D15256</f>
        <v/>
      </c>
      <c r="E15256">
        <f>TEST_DATA!E15256</f>
        <v/>
      </c>
    </row>
    <row r="15257">
      <c r="A15257">
        <f>TEST_DATA!A15257</f>
        <v/>
      </c>
      <c r="B15257">
        <f>TEST_DATA!B15257</f>
        <v/>
      </c>
      <c r="C15257">
        <f>TEST_DATA!C15257</f>
        <v/>
      </c>
      <c r="D15257">
        <f>TEST_DATA!D15257</f>
        <v/>
      </c>
      <c r="E15257">
        <f>TEST_DATA!E15257</f>
        <v/>
      </c>
    </row>
    <row r="15258">
      <c r="A15258">
        <f>TEST_DATA!A15258</f>
        <v/>
      </c>
      <c r="B15258">
        <f>TEST_DATA!B15258</f>
        <v/>
      </c>
      <c r="C15258">
        <f>TEST_DATA!C15258</f>
        <v/>
      </c>
      <c r="D15258">
        <f>TEST_DATA!D15258</f>
        <v/>
      </c>
      <c r="E15258">
        <f>TEST_DATA!E15258</f>
        <v/>
      </c>
    </row>
    <row r="15259">
      <c r="A15259">
        <f>TEST_DATA!A15259</f>
        <v/>
      </c>
      <c r="B15259">
        <f>TEST_DATA!B15259</f>
        <v/>
      </c>
      <c r="C15259">
        <f>TEST_DATA!C15259</f>
        <v/>
      </c>
      <c r="D15259">
        <f>TEST_DATA!D15259</f>
        <v/>
      </c>
      <c r="E15259">
        <f>TEST_DATA!E15259</f>
        <v/>
      </c>
    </row>
    <row r="15260">
      <c r="A15260">
        <f>TEST_DATA!A15260</f>
        <v/>
      </c>
      <c r="B15260">
        <f>TEST_DATA!B15260</f>
        <v/>
      </c>
      <c r="C15260">
        <f>TEST_DATA!C15260</f>
        <v/>
      </c>
      <c r="D15260">
        <f>TEST_DATA!D15260</f>
        <v/>
      </c>
      <c r="E15260">
        <f>TEST_DATA!E15260</f>
        <v/>
      </c>
    </row>
    <row r="15261">
      <c r="A15261">
        <f>TEST_DATA!A15261</f>
        <v/>
      </c>
      <c r="B15261">
        <f>TEST_DATA!B15261</f>
        <v/>
      </c>
      <c r="C15261">
        <f>TEST_DATA!C15261</f>
        <v/>
      </c>
      <c r="D15261">
        <f>TEST_DATA!D15261</f>
        <v/>
      </c>
      <c r="E15261">
        <f>TEST_DATA!E15261</f>
        <v/>
      </c>
    </row>
    <row r="15262">
      <c r="A15262">
        <f>TEST_DATA!A15262</f>
        <v/>
      </c>
      <c r="B15262">
        <f>TEST_DATA!B15262</f>
        <v/>
      </c>
      <c r="C15262">
        <f>TEST_DATA!C15262</f>
        <v/>
      </c>
      <c r="D15262">
        <f>TEST_DATA!D15262</f>
        <v/>
      </c>
      <c r="E15262">
        <f>TEST_DATA!E15262</f>
        <v/>
      </c>
    </row>
    <row r="15263">
      <c r="A15263">
        <f>TEST_DATA!A15263</f>
        <v/>
      </c>
      <c r="B15263">
        <f>TEST_DATA!B15263</f>
        <v/>
      </c>
      <c r="C15263">
        <f>TEST_DATA!C15263</f>
        <v/>
      </c>
      <c r="D15263">
        <f>TEST_DATA!D15263</f>
        <v/>
      </c>
      <c r="E15263">
        <f>TEST_DATA!E15263</f>
        <v/>
      </c>
    </row>
    <row r="15264">
      <c r="A15264">
        <f>TEST_DATA!A15264</f>
        <v/>
      </c>
      <c r="B15264">
        <f>TEST_DATA!B15264</f>
        <v/>
      </c>
      <c r="C15264">
        <f>TEST_DATA!C15264</f>
        <v/>
      </c>
      <c r="D15264">
        <f>TEST_DATA!D15264</f>
        <v/>
      </c>
      <c r="E15264">
        <f>TEST_DATA!E15264</f>
        <v/>
      </c>
    </row>
    <row r="15265">
      <c r="A15265">
        <f>TEST_DATA!A15265</f>
        <v/>
      </c>
      <c r="B15265">
        <f>TEST_DATA!B15265</f>
        <v/>
      </c>
      <c r="C15265">
        <f>TEST_DATA!C15265</f>
        <v/>
      </c>
      <c r="D15265">
        <f>TEST_DATA!D15265</f>
        <v/>
      </c>
      <c r="E15265">
        <f>TEST_DATA!E15265</f>
        <v/>
      </c>
    </row>
    <row r="15266">
      <c r="A15266">
        <f>TEST_DATA!A15266</f>
        <v/>
      </c>
      <c r="B15266">
        <f>TEST_DATA!B15266</f>
        <v/>
      </c>
      <c r="C15266">
        <f>TEST_DATA!C15266</f>
        <v/>
      </c>
      <c r="D15266">
        <f>TEST_DATA!D15266</f>
        <v/>
      </c>
      <c r="E15266">
        <f>TEST_DATA!E15266</f>
        <v/>
      </c>
    </row>
    <row r="15267">
      <c r="A15267">
        <f>TEST_DATA!A15267</f>
        <v/>
      </c>
      <c r="B15267">
        <f>TEST_DATA!B15267</f>
        <v/>
      </c>
      <c r="C15267">
        <f>TEST_DATA!C15267</f>
        <v/>
      </c>
      <c r="D15267">
        <f>TEST_DATA!D15267</f>
        <v/>
      </c>
      <c r="E15267">
        <f>TEST_DATA!E15267</f>
        <v/>
      </c>
    </row>
    <row r="15268">
      <c r="A15268">
        <f>TEST_DATA!A15268</f>
        <v/>
      </c>
      <c r="B15268">
        <f>TEST_DATA!B15268</f>
        <v/>
      </c>
      <c r="C15268">
        <f>TEST_DATA!C15268</f>
        <v/>
      </c>
      <c r="D15268">
        <f>TEST_DATA!D15268</f>
        <v/>
      </c>
      <c r="E15268">
        <f>TEST_DATA!E15268</f>
        <v/>
      </c>
    </row>
    <row r="15269">
      <c r="A15269">
        <f>TEST_DATA!A15269</f>
        <v/>
      </c>
      <c r="B15269">
        <f>TEST_DATA!B15269</f>
        <v/>
      </c>
      <c r="C15269">
        <f>TEST_DATA!C15269</f>
        <v/>
      </c>
      <c r="D15269">
        <f>TEST_DATA!D15269</f>
        <v/>
      </c>
      <c r="E15269">
        <f>TEST_DATA!E15269</f>
        <v/>
      </c>
    </row>
    <row r="15270">
      <c r="A15270">
        <f>TEST_DATA!A15270</f>
        <v/>
      </c>
      <c r="B15270">
        <f>TEST_DATA!B15270</f>
        <v/>
      </c>
      <c r="C15270">
        <f>TEST_DATA!C15270</f>
        <v/>
      </c>
      <c r="D15270">
        <f>TEST_DATA!D15270</f>
        <v/>
      </c>
      <c r="E15270">
        <f>TEST_DATA!E15270</f>
        <v/>
      </c>
    </row>
    <row r="15271">
      <c r="A15271">
        <f>TEST_DATA!A15271</f>
        <v/>
      </c>
      <c r="B15271">
        <f>TEST_DATA!B15271</f>
        <v/>
      </c>
      <c r="C15271">
        <f>TEST_DATA!C15271</f>
        <v/>
      </c>
      <c r="D15271">
        <f>TEST_DATA!D15271</f>
        <v/>
      </c>
      <c r="E15271">
        <f>TEST_DATA!E15271</f>
        <v/>
      </c>
    </row>
    <row r="15272">
      <c r="A15272">
        <f>TEST_DATA!A15272</f>
        <v/>
      </c>
      <c r="B15272">
        <f>TEST_DATA!B15272</f>
        <v/>
      </c>
      <c r="C15272">
        <f>TEST_DATA!C15272</f>
        <v/>
      </c>
      <c r="D15272">
        <f>TEST_DATA!D15272</f>
        <v/>
      </c>
      <c r="E15272">
        <f>TEST_DATA!E15272</f>
        <v/>
      </c>
    </row>
    <row r="15273">
      <c r="A15273">
        <f>TEST_DATA!A15273</f>
        <v/>
      </c>
      <c r="B15273">
        <f>TEST_DATA!B15273</f>
        <v/>
      </c>
      <c r="C15273">
        <f>TEST_DATA!C15273</f>
        <v/>
      </c>
      <c r="D15273">
        <f>TEST_DATA!D15273</f>
        <v/>
      </c>
      <c r="E15273">
        <f>TEST_DATA!E15273</f>
        <v/>
      </c>
    </row>
    <row r="15274">
      <c r="A15274">
        <f>TEST_DATA!A15274</f>
        <v/>
      </c>
      <c r="B15274">
        <f>TEST_DATA!B15274</f>
        <v/>
      </c>
      <c r="C15274">
        <f>TEST_DATA!C15274</f>
        <v/>
      </c>
      <c r="D15274">
        <f>TEST_DATA!D15274</f>
        <v/>
      </c>
      <c r="E15274">
        <f>TEST_DATA!E15274</f>
        <v/>
      </c>
    </row>
    <row r="15275">
      <c r="A15275">
        <f>TEST_DATA!A15275</f>
        <v/>
      </c>
      <c r="B15275">
        <f>TEST_DATA!B15275</f>
        <v/>
      </c>
      <c r="C15275">
        <f>TEST_DATA!C15275</f>
        <v/>
      </c>
      <c r="D15275">
        <f>TEST_DATA!D15275</f>
        <v/>
      </c>
      <c r="E15275">
        <f>TEST_DATA!E15275</f>
        <v/>
      </c>
    </row>
    <row r="15276">
      <c r="A15276">
        <f>TEST_DATA!A15276</f>
        <v/>
      </c>
      <c r="B15276">
        <f>TEST_DATA!B15276</f>
        <v/>
      </c>
      <c r="C15276">
        <f>TEST_DATA!C15276</f>
        <v/>
      </c>
      <c r="D15276">
        <f>TEST_DATA!D15276</f>
        <v/>
      </c>
      <c r="E15276">
        <f>TEST_DATA!E15276</f>
        <v/>
      </c>
    </row>
    <row r="15277">
      <c r="A15277">
        <f>TEST_DATA!A15277</f>
        <v/>
      </c>
      <c r="B15277">
        <f>TEST_DATA!B15277</f>
        <v/>
      </c>
      <c r="C15277">
        <f>TEST_DATA!C15277</f>
        <v/>
      </c>
      <c r="D15277">
        <f>TEST_DATA!D15277</f>
        <v/>
      </c>
      <c r="E15277">
        <f>TEST_DATA!E15277</f>
        <v/>
      </c>
    </row>
    <row r="15278">
      <c r="A15278">
        <f>TEST_DATA!A15278</f>
        <v/>
      </c>
      <c r="B15278">
        <f>TEST_DATA!B15278</f>
        <v/>
      </c>
      <c r="C15278">
        <f>TEST_DATA!C15278</f>
        <v/>
      </c>
      <c r="D15278">
        <f>TEST_DATA!D15278</f>
        <v/>
      </c>
      <c r="E15278">
        <f>TEST_DATA!E15278</f>
        <v/>
      </c>
    </row>
    <row r="15279">
      <c r="A15279">
        <f>TEST_DATA!A15279</f>
        <v/>
      </c>
      <c r="B15279">
        <f>TEST_DATA!B15279</f>
        <v/>
      </c>
      <c r="C15279">
        <f>TEST_DATA!C15279</f>
        <v/>
      </c>
      <c r="D15279">
        <f>TEST_DATA!D15279</f>
        <v/>
      </c>
      <c r="E15279">
        <f>TEST_DATA!E15279</f>
        <v/>
      </c>
    </row>
    <row r="15280">
      <c r="A15280">
        <f>TEST_DATA!A15280</f>
        <v/>
      </c>
      <c r="B15280">
        <f>TEST_DATA!B15280</f>
        <v/>
      </c>
      <c r="C15280">
        <f>TEST_DATA!C15280</f>
        <v/>
      </c>
      <c r="D15280">
        <f>TEST_DATA!D15280</f>
        <v/>
      </c>
      <c r="E15280">
        <f>TEST_DATA!E15280</f>
        <v/>
      </c>
    </row>
    <row r="15281">
      <c r="A15281">
        <f>TEST_DATA!A15281</f>
        <v/>
      </c>
      <c r="B15281">
        <f>TEST_DATA!B15281</f>
        <v/>
      </c>
      <c r="C15281">
        <f>TEST_DATA!C15281</f>
        <v/>
      </c>
      <c r="D15281">
        <f>TEST_DATA!D15281</f>
        <v/>
      </c>
      <c r="E15281">
        <f>TEST_DATA!E15281</f>
        <v/>
      </c>
    </row>
    <row r="15282">
      <c r="A15282">
        <f>TEST_DATA!A15282</f>
        <v/>
      </c>
      <c r="B15282">
        <f>TEST_DATA!B15282</f>
        <v/>
      </c>
      <c r="C15282">
        <f>TEST_DATA!C15282</f>
        <v/>
      </c>
      <c r="D15282">
        <f>TEST_DATA!D15282</f>
        <v/>
      </c>
      <c r="E15282">
        <f>TEST_DATA!E15282</f>
        <v/>
      </c>
    </row>
    <row r="15283">
      <c r="A15283">
        <f>TEST_DATA!A15283</f>
        <v/>
      </c>
      <c r="B15283">
        <f>TEST_DATA!B15283</f>
        <v/>
      </c>
      <c r="C15283">
        <f>TEST_DATA!C15283</f>
        <v/>
      </c>
      <c r="D15283">
        <f>TEST_DATA!D15283</f>
        <v/>
      </c>
      <c r="E15283">
        <f>TEST_DATA!E15283</f>
        <v/>
      </c>
    </row>
    <row r="15284">
      <c r="A15284">
        <f>TEST_DATA!A15284</f>
        <v/>
      </c>
      <c r="B15284">
        <f>TEST_DATA!B15284</f>
        <v/>
      </c>
      <c r="C15284">
        <f>TEST_DATA!C15284</f>
        <v/>
      </c>
      <c r="D15284">
        <f>TEST_DATA!D15284</f>
        <v/>
      </c>
      <c r="E15284">
        <f>TEST_DATA!E15284</f>
        <v/>
      </c>
    </row>
    <row r="15285">
      <c r="A15285">
        <f>TEST_DATA!A15285</f>
        <v/>
      </c>
      <c r="B15285">
        <f>TEST_DATA!B15285</f>
        <v/>
      </c>
      <c r="C15285">
        <f>TEST_DATA!C15285</f>
        <v/>
      </c>
      <c r="D15285">
        <f>TEST_DATA!D15285</f>
        <v/>
      </c>
      <c r="E15285">
        <f>TEST_DATA!E15285</f>
        <v/>
      </c>
    </row>
    <row r="15286">
      <c r="A15286">
        <f>TEST_DATA!A15286</f>
        <v/>
      </c>
      <c r="B15286">
        <f>TEST_DATA!B15286</f>
        <v/>
      </c>
      <c r="C15286">
        <f>TEST_DATA!C15286</f>
        <v/>
      </c>
      <c r="D15286">
        <f>TEST_DATA!D15286</f>
        <v/>
      </c>
      <c r="E15286">
        <f>TEST_DATA!E15286</f>
        <v/>
      </c>
    </row>
    <row r="15287">
      <c r="A15287">
        <f>TEST_DATA!A15287</f>
        <v/>
      </c>
      <c r="B15287">
        <f>TEST_DATA!B15287</f>
        <v/>
      </c>
      <c r="C15287">
        <f>TEST_DATA!C15287</f>
        <v/>
      </c>
      <c r="D15287">
        <f>TEST_DATA!D15287</f>
        <v/>
      </c>
      <c r="E15287">
        <f>TEST_DATA!E15287</f>
        <v/>
      </c>
    </row>
    <row r="15288">
      <c r="A15288">
        <f>TEST_DATA!A15288</f>
        <v/>
      </c>
      <c r="B15288">
        <f>TEST_DATA!B15288</f>
        <v/>
      </c>
      <c r="C15288">
        <f>TEST_DATA!C15288</f>
        <v/>
      </c>
      <c r="D15288">
        <f>TEST_DATA!D15288</f>
        <v/>
      </c>
      <c r="E15288">
        <f>TEST_DATA!E15288</f>
        <v/>
      </c>
    </row>
    <row r="15289">
      <c r="A15289">
        <f>TEST_DATA!A15289</f>
        <v/>
      </c>
      <c r="B15289">
        <f>TEST_DATA!B15289</f>
        <v/>
      </c>
      <c r="C15289">
        <f>TEST_DATA!C15289</f>
        <v/>
      </c>
      <c r="D15289">
        <f>TEST_DATA!D15289</f>
        <v/>
      </c>
      <c r="E15289">
        <f>TEST_DATA!E15289</f>
        <v/>
      </c>
    </row>
    <row r="15290">
      <c r="A15290">
        <f>TEST_DATA!A15290</f>
        <v/>
      </c>
      <c r="B15290">
        <f>TEST_DATA!B15290</f>
        <v/>
      </c>
      <c r="C15290">
        <f>TEST_DATA!C15290</f>
        <v/>
      </c>
      <c r="D15290">
        <f>TEST_DATA!D15290</f>
        <v/>
      </c>
      <c r="E15290">
        <f>TEST_DATA!E15290</f>
        <v/>
      </c>
    </row>
    <row r="15291">
      <c r="A15291">
        <f>TEST_DATA!A15291</f>
        <v/>
      </c>
      <c r="B15291">
        <f>TEST_DATA!B15291</f>
        <v/>
      </c>
      <c r="C15291">
        <f>TEST_DATA!C15291</f>
        <v/>
      </c>
      <c r="D15291">
        <f>TEST_DATA!D15291</f>
        <v/>
      </c>
      <c r="E15291">
        <f>TEST_DATA!E15291</f>
        <v/>
      </c>
    </row>
    <row r="15292">
      <c r="A15292">
        <f>TEST_DATA!A15292</f>
        <v/>
      </c>
      <c r="B15292">
        <f>TEST_DATA!B15292</f>
        <v/>
      </c>
      <c r="C15292">
        <f>TEST_DATA!C15292</f>
        <v/>
      </c>
      <c r="D15292">
        <f>TEST_DATA!D15292</f>
        <v/>
      </c>
      <c r="E15292">
        <f>TEST_DATA!E15292</f>
        <v/>
      </c>
    </row>
    <row r="15293">
      <c r="A15293">
        <f>TEST_DATA!A15293</f>
        <v/>
      </c>
      <c r="B15293">
        <f>TEST_DATA!B15293</f>
        <v/>
      </c>
      <c r="C15293">
        <f>TEST_DATA!C15293</f>
        <v/>
      </c>
      <c r="D15293">
        <f>TEST_DATA!D15293</f>
        <v/>
      </c>
      <c r="E15293">
        <f>TEST_DATA!E15293</f>
        <v/>
      </c>
    </row>
    <row r="15294">
      <c r="A15294">
        <f>TEST_DATA!A15294</f>
        <v/>
      </c>
      <c r="B15294">
        <f>TEST_DATA!B15294</f>
        <v/>
      </c>
      <c r="C15294">
        <f>TEST_DATA!C15294</f>
        <v/>
      </c>
      <c r="D15294">
        <f>TEST_DATA!D15294</f>
        <v/>
      </c>
      <c r="E15294">
        <f>TEST_DATA!E15294</f>
        <v/>
      </c>
    </row>
    <row r="15295">
      <c r="A15295">
        <f>TEST_DATA!A15295</f>
        <v/>
      </c>
      <c r="B15295">
        <f>TEST_DATA!B15295</f>
        <v/>
      </c>
      <c r="C15295">
        <f>TEST_DATA!C15295</f>
        <v/>
      </c>
      <c r="D15295">
        <f>TEST_DATA!D15295</f>
        <v/>
      </c>
      <c r="E15295">
        <f>TEST_DATA!E15295</f>
        <v/>
      </c>
    </row>
    <row r="15296">
      <c r="A15296">
        <f>TEST_DATA!A15296</f>
        <v/>
      </c>
      <c r="B15296">
        <f>TEST_DATA!B15296</f>
        <v/>
      </c>
      <c r="C15296">
        <f>TEST_DATA!C15296</f>
        <v/>
      </c>
      <c r="D15296">
        <f>TEST_DATA!D15296</f>
        <v/>
      </c>
      <c r="E15296">
        <f>TEST_DATA!E15296</f>
        <v/>
      </c>
    </row>
    <row r="15297">
      <c r="A15297">
        <f>TEST_DATA!A15297</f>
        <v/>
      </c>
      <c r="B15297">
        <f>TEST_DATA!B15297</f>
        <v/>
      </c>
      <c r="C15297">
        <f>TEST_DATA!C15297</f>
        <v/>
      </c>
      <c r="D15297">
        <f>TEST_DATA!D15297</f>
        <v/>
      </c>
      <c r="E15297">
        <f>TEST_DATA!E15297</f>
        <v/>
      </c>
    </row>
    <row r="15298">
      <c r="A15298">
        <f>TEST_DATA!A15298</f>
        <v/>
      </c>
      <c r="B15298">
        <f>TEST_DATA!B15298</f>
        <v/>
      </c>
      <c r="C15298">
        <f>TEST_DATA!C15298</f>
        <v/>
      </c>
      <c r="D15298">
        <f>TEST_DATA!D15298</f>
        <v/>
      </c>
      <c r="E15298">
        <f>TEST_DATA!E15298</f>
        <v/>
      </c>
    </row>
    <row r="15299">
      <c r="A15299">
        <f>TEST_DATA!A15299</f>
        <v/>
      </c>
      <c r="B15299">
        <f>TEST_DATA!B15299</f>
        <v/>
      </c>
      <c r="C15299">
        <f>TEST_DATA!C15299</f>
        <v/>
      </c>
      <c r="D15299">
        <f>TEST_DATA!D15299</f>
        <v/>
      </c>
      <c r="E15299">
        <f>TEST_DATA!E15299</f>
        <v/>
      </c>
    </row>
    <row r="15300">
      <c r="A15300">
        <f>TEST_DATA!A15300</f>
        <v/>
      </c>
      <c r="B15300">
        <f>TEST_DATA!B15300</f>
        <v/>
      </c>
      <c r="C15300">
        <f>TEST_DATA!C15300</f>
        <v/>
      </c>
      <c r="D15300">
        <f>TEST_DATA!D15300</f>
        <v/>
      </c>
      <c r="E15300">
        <f>TEST_DATA!E15300</f>
        <v/>
      </c>
    </row>
    <row r="15301">
      <c r="A15301">
        <f>TEST_DATA!A15301</f>
        <v/>
      </c>
      <c r="B15301">
        <f>TEST_DATA!B15301</f>
        <v/>
      </c>
      <c r="C15301">
        <f>TEST_DATA!C15301</f>
        <v/>
      </c>
      <c r="D15301">
        <f>TEST_DATA!D15301</f>
        <v/>
      </c>
      <c r="E15301">
        <f>TEST_DATA!E15301</f>
        <v/>
      </c>
    </row>
    <row r="15302">
      <c r="A15302">
        <f>TEST_DATA!A15302</f>
        <v/>
      </c>
      <c r="B15302">
        <f>TEST_DATA!B15302</f>
        <v/>
      </c>
      <c r="C15302">
        <f>TEST_DATA!C15302</f>
        <v/>
      </c>
      <c r="D15302">
        <f>TEST_DATA!D15302</f>
        <v/>
      </c>
      <c r="E15302">
        <f>TEST_DATA!E15302</f>
        <v/>
      </c>
    </row>
    <row r="15303">
      <c r="A15303">
        <f>TEST_DATA!A15303</f>
        <v/>
      </c>
      <c r="B15303">
        <f>TEST_DATA!B15303</f>
        <v/>
      </c>
      <c r="C15303">
        <f>TEST_DATA!C15303</f>
        <v/>
      </c>
      <c r="D15303">
        <f>TEST_DATA!D15303</f>
        <v/>
      </c>
      <c r="E15303">
        <f>TEST_DATA!E15303</f>
        <v/>
      </c>
    </row>
    <row r="15304">
      <c r="A15304">
        <f>TEST_DATA!A15304</f>
        <v/>
      </c>
      <c r="B15304">
        <f>TEST_DATA!B15304</f>
        <v/>
      </c>
      <c r="C15304">
        <f>TEST_DATA!C15304</f>
        <v/>
      </c>
      <c r="D15304">
        <f>TEST_DATA!D15304</f>
        <v/>
      </c>
      <c r="E15304">
        <f>TEST_DATA!E15304</f>
        <v/>
      </c>
    </row>
    <row r="15305">
      <c r="A15305">
        <f>TEST_DATA!A15305</f>
        <v/>
      </c>
      <c r="B15305">
        <f>TEST_DATA!B15305</f>
        <v/>
      </c>
      <c r="C15305">
        <f>TEST_DATA!C15305</f>
        <v/>
      </c>
      <c r="D15305">
        <f>TEST_DATA!D15305</f>
        <v/>
      </c>
      <c r="E15305">
        <f>TEST_DATA!E15305</f>
        <v/>
      </c>
    </row>
    <row r="15306">
      <c r="A15306">
        <f>TEST_DATA!A15306</f>
        <v/>
      </c>
      <c r="B15306">
        <f>TEST_DATA!B15306</f>
        <v/>
      </c>
      <c r="C15306">
        <f>TEST_DATA!C15306</f>
        <v/>
      </c>
      <c r="D15306">
        <f>TEST_DATA!D15306</f>
        <v/>
      </c>
      <c r="E15306">
        <f>TEST_DATA!E15306</f>
        <v/>
      </c>
    </row>
    <row r="15307">
      <c r="A15307">
        <f>TEST_DATA!A15307</f>
        <v/>
      </c>
      <c r="B15307">
        <f>TEST_DATA!B15307</f>
        <v/>
      </c>
      <c r="C15307">
        <f>TEST_DATA!C15307</f>
        <v/>
      </c>
      <c r="D15307">
        <f>TEST_DATA!D15307</f>
        <v/>
      </c>
      <c r="E15307">
        <f>TEST_DATA!E15307</f>
        <v/>
      </c>
    </row>
    <row r="15308">
      <c r="A15308">
        <f>TEST_DATA!A15308</f>
        <v/>
      </c>
      <c r="B15308">
        <f>TEST_DATA!B15308</f>
        <v/>
      </c>
      <c r="C15308">
        <f>TEST_DATA!C15308</f>
        <v/>
      </c>
      <c r="D15308">
        <f>TEST_DATA!D15308</f>
        <v/>
      </c>
      <c r="E15308">
        <f>TEST_DATA!E15308</f>
        <v/>
      </c>
    </row>
    <row r="15309">
      <c r="A15309">
        <f>TEST_DATA!A15309</f>
        <v/>
      </c>
      <c r="B15309">
        <f>TEST_DATA!B15309</f>
        <v/>
      </c>
      <c r="C15309">
        <f>TEST_DATA!C15309</f>
        <v/>
      </c>
      <c r="D15309">
        <f>TEST_DATA!D15309</f>
        <v/>
      </c>
      <c r="E15309">
        <f>TEST_DATA!E15309</f>
        <v/>
      </c>
    </row>
    <row r="15310">
      <c r="A15310">
        <f>TEST_DATA!A15310</f>
        <v/>
      </c>
      <c r="B15310">
        <f>TEST_DATA!B15310</f>
        <v/>
      </c>
      <c r="C15310">
        <f>TEST_DATA!C15310</f>
        <v/>
      </c>
      <c r="D15310">
        <f>TEST_DATA!D15310</f>
        <v/>
      </c>
      <c r="E15310">
        <f>TEST_DATA!E15310</f>
        <v/>
      </c>
    </row>
    <row r="15311">
      <c r="A15311">
        <f>TEST_DATA!A15311</f>
        <v/>
      </c>
      <c r="B15311">
        <f>TEST_DATA!B15311</f>
        <v/>
      </c>
      <c r="C15311">
        <f>TEST_DATA!C15311</f>
        <v/>
      </c>
      <c r="D15311">
        <f>TEST_DATA!D15311</f>
        <v/>
      </c>
      <c r="E15311">
        <f>TEST_DATA!E15311</f>
        <v/>
      </c>
    </row>
    <row r="15312">
      <c r="A15312">
        <f>TEST_DATA!A15312</f>
        <v/>
      </c>
      <c r="B15312">
        <f>TEST_DATA!B15312</f>
        <v/>
      </c>
      <c r="C15312">
        <f>TEST_DATA!C15312</f>
        <v/>
      </c>
      <c r="D15312">
        <f>TEST_DATA!D15312</f>
        <v/>
      </c>
      <c r="E15312">
        <f>TEST_DATA!E15312</f>
        <v/>
      </c>
    </row>
    <row r="15313">
      <c r="A15313">
        <f>TEST_DATA!A15313</f>
        <v/>
      </c>
      <c r="B15313">
        <f>TEST_DATA!B15313</f>
        <v/>
      </c>
      <c r="C15313">
        <f>TEST_DATA!C15313</f>
        <v/>
      </c>
      <c r="D15313">
        <f>TEST_DATA!D15313</f>
        <v/>
      </c>
      <c r="E15313">
        <f>TEST_DATA!E15313</f>
        <v/>
      </c>
    </row>
    <row r="15314">
      <c r="A15314">
        <f>TEST_DATA!A15314</f>
        <v/>
      </c>
      <c r="B15314">
        <f>TEST_DATA!B15314</f>
        <v/>
      </c>
      <c r="C15314">
        <f>TEST_DATA!C15314</f>
        <v/>
      </c>
      <c r="D15314">
        <f>TEST_DATA!D15314</f>
        <v/>
      </c>
      <c r="E15314">
        <f>TEST_DATA!E15314</f>
        <v/>
      </c>
    </row>
    <row r="15315">
      <c r="A15315">
        <f>TEST_DATA!A15315</f>
        <v/>
      </c>
      <c r="B15315">
        <f>TEST_DATA!B15315</f>
        <v/>
      </c>
      <c r="C15315">
        <f>TEST_DATA!C15315</f>
        <v/>
      </c>
      <c r="D15315">
        <f>TEST_DATA!D15315</f>
        <v/>
      </c>
      <c r="E15315">
        <f>TEST_DATA!E15315</f>
        <v/>
      </c>
    </row>
    <row r="15316">
      <c r="A15316">
        <f>TEST_DATA!A15316</f>
        <v/>
      </c>
      <c r="B15316">
        <f>TEST_DATA!B15316</f>
        <v/>
      </c>
      <c r="C15316">
        <f>TEST_DATA!C15316</f>
        <v/>
      </c>
      <c r="D15316">
        <f>TEST_DATA!D15316</f>
        <v/>
      </c>
      <c r="E15316">
        <f>TEST_DATA!E15316</f>
        <v/>
      </c>
    </row>
    <row r="15317">
      <c r="A15317">
        <f>TEST_DATA!A15317</f>
        <v/>
      </c>
      <c r="B15317">
        <f>TEST_DATA!B15317</f>
        <v/>
      </c>
      <c r="C15317">
        <f>TEST_DATA!C15317</f>
        <v/>
      </c>
      <c r="D15317">
        <f>TEST_DATA!D15317</f>
        <v/>
      </c>
      <c r="E15317">
        <f>TEST_DATA!E15317</f>
        <v/>
      </c>
    </row>
    <row r="15318">
      <c r="A15318">
        <f>TEST_DATA!A15318</f>
        <v/>
      </c>
      <c r="B15318">
        <f>TEST_DATA!B15318</f>
        <v/>
      </c>
      <c r="C15318">
        <f>TEST_DATA!C15318</f>
        <v/>
      </c>
      <c r="D15318">
        <f>TEST_DATA!D15318</f>
        <v/>
      </c>
      <c r="E15318">
        <f>TEST_DATA!E15318</f>
        <v/>
      </c>
    </row>
    <row r="15319">
      <c r="A15319">
        <f>TEST_DATA!A15319</f>
        <v/>
      </c>
      <c r="B15319">
        <f>TEST_DATA!B15319</f>
        <v/>
      </c>
      <c r="C15319">
        <f>TEST_DATA!C15319</f>
        <v/>
      </c>
      <c r="D15319">
        <f>TEST_DATA!D15319</f>
        <v/>
      </c>
      <c r="E15319">
        <f>TEST_DATA!E15319</f>
        <v/>
      </c>
    </row>
    <row r="15320">
      <c r="A15320">
        <f>TEST_DATA!A15320</f>
        <v/>
      </c>
      <c r="B15320">
        <f>TEST_DATA!B15320</f>
        <v/>
      </c>
      <c r="C15320">
        <f>TEST_DATA!C15320</f>
        <v/>
      </c>
      <c r="D15320">
        <f>TEST_DATA!D15320</f>
        <v/>
      </c>
      <c r="E15320">
        <f>TEST_DATA!E15320</f>
        <v/>
      </c>
    </row>
    <row r="15321">
      <c r="A15321">
        <f>TEST_DATA!A15321</f>
        <v/>
      </c>
      <c r="B15321">
        <f>TEST_DATA!B15321</f>
        <v/>
      </c>
      <c r="C15321">
        <f>TEST_DATA!C15321</f>
        <v/>
      </c>
      <c r="D15321">
        <f>TEST_DATA!D15321</f>
        <v/>
      </c>
      <c r="E15321">
        <f>TEST_DATA!E15321</f>
        <v/>
      </c>
    </row>
    <row r="15322">
      <c r="A15322">
        <f>TEST_DATA!A15322</f>
        <v/>
      </c>
      <c r="B15322">
        <f>TEST_DATA!B15322</f>
        <v/>
      </c>
      <c r="C15322">
        <f>TEST_DATA!C15322</f>
        <v/>
      </c>
      <c r="D15322">
        <f>TEST_DATA!D15322</f>
        <v/>
      </c>
      <c r="E15322">
        <f>TEST_DATA!E15322</f>
        <v/>
      </c>
    </row>
    <row r="15323">
      <c r="A15323">
        <f>TEST_DATA!A15323</f>
        <v/>
      </c>
      <c r="B15323">
        <f>TEST_DATA!B15323</f>
        <v/>
      </c>
      <c r="C15323">
        <f>TEST_DATA!C15323</f>
        <v/>
      </c>
      <c r="D15323">
        <f>TEST_DATA!D15323</f>
        <v/>
      </c>
      <c r="E15323">
        <f>TEST_DATA!E15323</f>
        <v/>
      </c>
    </row>
    <row r="15324">
      <c r="A15324">
        <f>TEST_DATA!A15324</f>
        <v/>
      </c>
      <c r="B15324">
        <f>TEST_DATA!B15324</f>
        <v/>
      </c>
      <c r="C15324">
        <f>TEST_DATA!C15324</f>
        <v/>
      </c>
      <c r="D15324">
        <f>TEST_DATA!D15324</f>
        <v/>
      </c>
      <c r="E15324">
        <f>TEST_DATA!E15324</f>
        <v/>
      </c>
    </row>
    <row r="15325">
      <c r="A15325">
        <f>TEST_DATA!A15325</f>
        <v/>
      </c>
      <c r="B15325">
        <f>TEST_DATA!B15325</f>
        <v/>
      </c>
      <c r="C15325">
        <f>TEST_DATA!C15325</f>
        <v/>
      </c>
      <c r="D15325">
        <f>TEST_DATA!D15325</f>
        <v/>
      </c>
      <c r="E15325">
        <f>TEST_DATA!E15325</f>
        <v/>
      </c>
    </row>
    <row r="15326">
      <c r="A15326">
        <f>TEST_DATA!A15326</f>
        <v/>
      </c>
      <c r="B15326">
        <f>TEST_DATA!B15326</f>
        <v/>
      </c>
      <c r="C15326">
        <f>TEST_DATA!C15326</f>
        <v/>
      </c>
      <c r="D15326">
        <f>TEST_DATA!D15326</f>
        <v/>
      </c>
      <c r="E15326">
        <f>TEST_DATA!E15326</f>
        <v/>
      </c>
    </row>
    <row r="15327">
      <c r="A15327">
        <f>TEST_DATA!A15327</f>
        <v/>
      </c>
      <c r="B15327">
        <f>TEST_DATA!B15327</f>
        <v/>
      </c>
      <c r="C15327">
        <f>TEST_DATA!C15327</f>
        <v/>
      </c>
      <c r="D15327">
        <f>TEST_DATA!D15327</f>
        <v/>
      </c>
      <c r="E15327">
        <f>TEST_DATA!E15327</f>
        <v/>
      </c>
    </row>
    <row r="15328">
      <c r="A15328">
        <f>TEST_DATA!A15328</f>
        <v/>
      </c>
      <c r="B15328">
        <f>TEST_DATA!B15328</f>
        <v/>
      </c>
      <c r="C15328">
        <f>TEST_DATA!C15328</f>
        <v/>
      </c>
      <c r="D15328">
        <f>TEST_DATA!D15328</f>
        <v/>
      </c>
      <c r="E15328">
        <f>TEST_DATA!E15328</f>
        <v/>
      </c>
    </row>
    <row r="15329">
      <c r="A15329">
        <f>TEST_DATA!A15329</f>
        <v/>
      </c>
      <c r="B15329">
        <f>TEST_DATA!B15329</f>
        <v/>
      </c>
      <c r="C15329">
        <f>TEST_DATA!C15329</f>
        <v/>
      </c>
      <c r="D15329">
        <f>TEST_DATA!D15329</f>
        <v/>
      </c>
      <c r="E15329">
        <f>TEST_DATA!E15329</f>
        <v/>
      </c>
    </row>
    <row r="15330">
      <c r="A15330">
        <f>TEST_DATA!A15330</f>
        <v/>
      </c>
      <c r="B15330">
        <f>TEST_DATA!B15330</f>
        <v/>
      </c>
      <c r="C15330">
        <f>TEST_DATA!C15330</f>
        <v/>
      </c>
      <c r="D15330">
        <f>TEST_DATA!D15330</f>
        <v/>
      </c>
      <c r="E15330">
        <f>TEST_DATA!E15330</f>
        <v/>
      </c>
    </row>
    <row r="15331">
      <c r="A15331">
        <f>TEST_DATA!A15331</f>
        <v/>
      </c>
      <c r="B15331">
        <f>TEST_DATA!B15331</f>
        <v/>
      </c>
      <c r="C15331">
        <f>TEST_DATA!C15331</f>
        <v/>
      </c>
      <c r="D15331">
        <f>TEST_DATA!D15331</f>
        <v/>
      </c>
      <c r="E15331">
        <f>TEST_DATA!E15331</f>
        <v/>
      </c>
    </row>
    <row r="15332">
      <c r="A15332">
        <f>TEST_DATA!A15332</f>
        <v/>
      </c>
      <c r="B15332">
        <f>TEST_DATA!B15332</f>
        <v/>
      </c>
      <c r="C15332">
        <f>TEST_DATA!C15332</f>
        <v/>
      </c>
      <c r="D15332">
        <f>TEST_DATA!D15332</f>
        <v/>
      </c>
      <c r="E15332">
        <f>TEST_DATA!E15332</f>
        <v/>
      </c>
    </row>
    <row r="15333">
      <c r="A15333">
        <f>TEST_DATA!A15333</f>
        <v/>
      </c>
      <c r="B15333">
        <f>TEST_DATA!B15333</f>
        <v/>
      </c>
      <c r="C15333">
        <f>TEST_DATA!C15333</f>
        <v/>
      </c>
      <c r="D15333">
        <f>TEST_DATA!D15333</f>
        <v/>
      </c>
      <c r="E15333">
        <f>TEST_DATA!E15333</f>
        <v/>
      </c>
    </row>
    <row r="15334">
      <c r="A15334">
        <f>TEST_DATA!A15334</f>
        <v/>
      </c>
      <c r="B15334">
        <f>TEST_DATA!B15334</f>
        <v/>
      </c>
      <c r="C15334">
        <f>TEST_DATA!C15334</f>
        <v/>
      </c>
      <c r="D15334">
        <f>TEST_DATA!D15334</f>
        <v/>
      </c>
      <c r="E15334">
        <f>TEST_DATA!E15334</f>
        <v/>
      </c>
    </row>
    <row r="15335">
      <c r="A15335">
        <f>TEST_DATA!A15335</f>
        <v/>
      </c>
      <c r="B15335">
        <f>TEST_DATA!B15335</f>
        <v/>
      </c>
      <c r="C15335">
        <f>TEST_DATA!C15335</f>
        <v/>
      </c>
      <c r="D15335">
        <f>TEST_DATA!D15335</f>
        <v/>
      </c>
      <c r="E15335">
        <f>TEST_DATA!E15335</f>
        <v/>
      </c>
    </row>
    <row r="15336">
      <c r="A15336">
        <f>TEST_DATA!A15336</f>
        <v/>
      </c>
      <c r="B15336">
        <f>TEST_DATA!B15336</f>
        <v/>
      </c>
      <c r="C15336">
        <f>TEST_DATA!C15336</f>
        <v/>
      </c>
      <c r="D15336">
        <f>TEST_DATA!D15336</f>
        <v/>
      </c>
      <c r="E15336">
        <f>TEST_DATA!E15336</f>
        <v/>
      </c>
    </row>
    <row r="15337">
      <c r="A15337">
        <f>TEST_DATA!A15337</f>
        <v/>
      </c>
      <c r="B15337">
        <f>TEST_DATA!B15337</f>
        <v/>
      </c>
      <c r="C15337">
        <f>TEST_DATA!C15337</f>
        <v/>
      </c>
      <c r="D15337">
        <f>TEST_DATA!D15337</f>
        <v/>
      </c>
      <c r="E15337">
        <f>TEST_DATA!E15337</f>
        <v/>
      </c>
    </row>
    <row r="15338">
      <c r="A15338">
        <f>TEST_DATA!A15338</f>
        <v/>
      </c>
      <c r="B15338">
        <f>TEST_DATA!B15338</f>
        <v/>
      </c>
      <c r="C15338">
        <f>TEST_DATA!C15338</f>
        <v/>
      </c>
      <c r="D15338">
        <f>TEST_DATA!D15338</f>
        <v/>
      </c>
      <c r="E15338">
        <f>TEST_DATA!E15338</f>
        <v/>
      </c>
    </row>
    <row r="15339">
      <c r="A15339">
        <f>TEST_DATA!A15339</f>
        <v/>
      </c>
      <c r="B15339">
        <f>TEST_DATA!B15339</f>
        <v/>
      </c>
      <c r="C15339">
        <f>TEST_DATA!C15339</f>
        <v/>
      </c>
      <c r="D15339">
        <f>TEST_DATA!D15339</f>
        <v/>
      </c>
      <c r="E15339">
        <f>TEST_DATA!E15339</f>
        <v/>
      </c>
    </row>
    <row r="15340">
      <c r="A15340">
        <f>TEST_DATA!A15340</f>
        <v/>
      </c>
      <c r="B15340">
        <f>TEST_DATA!B15340</f>
        <v/>
      </c>
      <c r="C15340">
        <f>TEST_DATA!C15340</f>
        <v/>
      </c>
      <c r="D15340">
        <f>TEST_DATA!D15340</f>
        <v/>
      </c>
      <c r="E15340">
        <f>TEST_DATA!E15340</f>
        <v/>
      </c>
    </row>
    <row r="15341">
      <c r="A15341">
        <f>TEST_DATA!A15341</f>
        <v/>
      </c>
      <c r="B15341">
        <f>TEST_DATA!B15341</f>
        <v/>
      </c>
      <c r="C15341">
        <f>TEST_DATA!C15341</f>
        <v/>
      </c>
      <c r="D15341">
        <f>TEST_DATA!D15341</f>
        <v/>
      </c>
      <c r="E15341">
        <f>TEST_DATA!E15341</f>
        <v/>
      </c>
    </row>
    <row r="15342">
      <c r="A15342">
        <f>TEST_DATA!A15342</f>
        <v/>
      </c>
      <c r="B15342">
        <f>TEST_DATA!B15342</f>
        <v/>
      </c>
      <c r="C15342">
        <f>TEST_DATA!C15342</f>
        <v/>
      </c>
      <c r="D15342">
        <f>TEST_DATA!D15342</f>
        <v/>
      </c>
      <c r="E15342">
        <f>TEST_DATA!E15342</f>
        <v/>
      </c>
    </row>
    <row r="15343">
      <c r="A15343">
        <f>TEST_DATA!A15343</f>
        <v/>
      </c>
      <c r="B15343">
        <f>TEST_DATA!B15343</f>
        <v/>
      </c>
      <c r="C15343">
        <f>TEST_DATA!C15343</f>
        <v/>
      </c>
      <c r="D15343">
        <f>TEST_DATA!D15343</f>
        <v/>
      </c>
      <c r="E15343">
        <f>TEST_DATA!E15343</f>
        <v/>
      </c>
    </row>
    <row r="15344">
      <c r="A15344">
        <f>TEST_DATA!A15344</f>
        <v/>
      </c>
      <c r="B15344">
        <f>TEST_DATA!B15344</f>
        <v/>
      </c>
      <c r="C15344">
        <f>TEST_DATA!C15344</f>
        <v/>
      </c>
      <c r="D15344">
        <f>TEST_DATA!D15344</f>
        <v/>
      </c>
      <c r="E15344">
        <f>TEST_DATA!E15344</f>
        <v/>
      </c>
    </row>
    <row r="15345">
      <c r="A15345">
        <f>TEST_DATA!A15345</f>
        <v/>
      </c>
      <c r="B15345">
        <f>TEST_DATA!B15345</f>
        <v/>
      </c>
      <c r="C15345">
        <f>TEST_DATA!C15345</f>
        <v/>
      </c>
      <c r="D15345">
        <f>TEST_DATA!D15345</f>
        <v/>
      </c>
      <c r="E15345">
        <f>TEST_DATA!E15345</f>
        <v/>
      </c>
    </row>
    <row r="15346">
      <c r="A15346">
        <f>TEST_DATA!A15346</f>
        <v/>
      </c>
      <c r="B15346">
        <f>TEST_DATA!B15346</f>
        <v/>
      </c>
      <c r="C15346">
        <f>TEST_DATA!C15346</f>
        <v/>
      </c>
      <c r="D15346">
        <f>TEST_DATA!D15346</f>
        <v/>
      </c>
      <c r="E15346">
        <f>TEST_DATA!E15346</f>
        <v/>
      </c>
    </row>
    <row r="15347">
      <c r="A15347">
        <f>TEST_DATA!A15347</f>
        <v/>
      </c>
      <c r="B15347">
        <f>TEST_DATA!B15347</f>
        <v/>
      </c>
      <c r="C15347">
        <f>TEST_DATA!C15347</f>
        <v/>
      </c>
      <c r="D15347">
        <f>TEST_DATA!D15347</f>
        <v/>
      </c>
      <c r="E15347">
        <f>TEST_DATA!E15347</f>
        <v/>
      </c>
    </row>
    <row r="15348">
      <c r="A15348">
        <f>TEST_DATA!A15348</f>
        <v/>
      </c>
      <c r="B15348">
        <f>TEST_DATA!B15348</f>
        <v/>
      </c>
      <c r="C15348">
        <f>TEST_DATA!C15348</f>
        <v/>
      </c>
      <c r="D15348">
        <f>TEST_DATA!D15348</f>
        <v/>
      </c>
      <c r="E15348">
        <f>TEST_DATA!E15348</f>
        <v/>
      </c>
    </row>
    <row r="15349">
      <c r="A15349">
        <f>TEST_DATA!A15349</f>
        <v/>
      </c>
      <c r="B15349">
        <f>TEST_DATA!B15349</f>
        <v/>
      </c>
      <c r="C15349">
        <f>TEST_DATA!C15349</f>
        <v/>
      </c>
      <c r="D15349">
        <f>TEST_DATA!D15349</f>
        <v/>
      </c>
      <c r="E15349">
        <f>TEST_DATA!E15349</f>
        <v/>
      </c>
    </row>
    <row r="15350">
      <c r="A15350">
        <f>TEST_DATA!A15350</f>
        <v/>
      </c>
      <c r="B15350">
        <f>TEST_DATA!B15350</f>
        <v/>
      </c>
      <c r="C15350">
        <f>TEST_DATA!C15350</f>
        <v/>
      </c>
      <c r="D15350">
        <f>TEST_DATA!D15350</f>
        <v/>
      </c>
      <c r="E15350">
        <f>TEST_DATA!E15350</f>
        <v/>
      </c>
    </row>
    <row r="15351">
      <c r="A15351">
        <f>TEST_DATA!A15351</f>
        <v/>
      </c>
      <c r="B15351">
        <f>TEST_DATA!B15351</f>
        <v/>
      </c>
      <c r="C15351">
        <f>TEST_DATA!C15351</f>
        <v/>
      </c>
      <c r="D15351">
        <f>TEST_DATA!D15351</f>
        <v/>
      </c>
      <c r="E15351">
        <f>TEST_DATA!E15351</f>
        <v/>
      </c>
    </row>
    <row r="15352">
      <c r="A15352">
        <f>TEST_DATA!A15352</f>
        <v/>
      </c>
      <c r="B15352">
        <f>TEST_DATA!B15352</f>
        <v/>
      </c>
      <c r="C15352">
        <f>TEST_DATA!C15352</f>
        <v/>
      </c>
      <c r="D15352">
        <f>TEST_DATA!D15352</f>
        <v/>
      </c>
      <c r="E15352">
        <f>TEST_DATA!E15352</f>
        <v/>
      </c>
    </row>
    <row r="15353">
      <c r="A15353">
        <f>TEST_DATA!A15353</f>
        <v/>
      </c>
      <c r="B15353">
        <f>TEST_DATA!B15353</f>
        <v/>
      </c>
      <c r="C15353">
        <f>TEST_DATA!C15353</f>
        <v/>
      </c>
      <c r="D15353">
        <f>TEST_DATA!D15353</f>
        <v/>
      </c>
      <c r="E15353">
        <f>TEST_DATA!E15353</f>
        <v/>
      </c>
    </row>
    <row r="15354">
      <c r="A15354">
        <f>TEST_DATA!A15354</f>
        <v/>
      </c>
      <c r="B15354">
        <f>TEST_DATA!B15354</f>
        <v/>
      </c>
      <c r="C15354">
        <f>TEST_DATA!C15354</f>
        <v/>
      </c>
      <c r="D15354">
        <f>TEST_DATA!D15354</f>
        <v/>
      </c>
      <c r="E15354">
        <f>TEST_DATA!E15354</f>
        <v/>
      </c>
    </row>
    <row r="15355">
      <c r="A15355">
        <f>TEST_DATA!A15355</f>
        <v/>
      </c>
      <c r="B15355">
        <f>TEST_DATA!B15355</f>
        <v/>
      </c>
      <c r="C15355">
        <f>TEST_DATA!C15355</f>
        <v/>
      </c>
      <c r="D15355">
        <f>TEST_DATA!D15355</f>
        <v/>
      </c>
      <c r="E15355">
        <f>TEST_DATA!E15355</f>
        <v/>
      </c>
    </row>
    <row r="15356">
      <c r="A15356">
        <f>TEST_DATA!A15356</f>
        <v/>
      </c>
      <c r="B15356">
        <f>TEST_DATA!B15356</f>
        <v/>
      </c>
      <c r="C15356">
        <f>TEST_DATA!C15356</f>
        <v/>
      </c>
      <c r="D15356">
        <f>TEST_DATA!D15356</f>
        <v/>
      </c>
      <c r="E15356">
        <f>TEST_DATA!E15356</f>
        <v/>
      </c>
    </row>
    <row r="15357">
      <c r="A15357">
        <f>TEST_DATA!A15357</f>
        <v/>
      </c>
      <c r="B15357">
        <f>TEST_DATA!B15357</f>
        <v/>
      </c>
      <c r="C15357">
        <f>TEST_DATA!C15357</f>
        <v/>
      </c>
      <c r="D15357">
        <f>TEST_DATA!D15357</f>
        <v/>
      </c>
      <c r="E15357">
        <f>TEST_DATA!E15357</f>
        <v/>
      </c>
    </row>
    <row r="15358">
      <c r="A15358">
        <f>TEST_DATA!A15358</f>
        <v/>
      </c>
      <c r="B15358">
        <f>TEST_DATA!B15358</f>
        <v/>
      </c>
      <c r="C15358">
        <f>TEST_DATA!C15358</f>
        <v/>
      </c>
      <c r="D15358">
        <f>TEST_DATA!D15358</f>
        <v/>
      </c>
      <c r="E15358">
        <f>TEST_DATA!E15358</f>
        <v/>
      </c>
    </row>
    <row r="15359">
      <c r="A15359">
        <f>TEST_DATA!A15359</f>
        <v/>
      </c>
      <c r="B15359">
        <f>TEST_DATA!B15359</f>
        <v/>
      </c>
      <c r="C15359">
        <f>TEST_DATA!C15359</f>
        <v/>
      </c>
      <c r="D15359">
        <f>TEST_DATA!D15359</f>
        <v/>
      </c>
      <c r="E15359">
        <f>TEST_DATA!E15359</f>
        <v/>
      </c>
    </row>
    <row r="15360">
      <c r="A15360">
        <f>TEST_DATA!A15360</f>
        <v/>
      </c>
      <c r="B15360">
        <f>TEST_DATA!B15360</f>
        <v/>
      </c>
      <c r="C15360">
        <f>TEST_DATA!C15360</f>
        <v/>
      </c>
      <c r="D15360">
        <f>TEST_DATA!D15360</f>
        <v/>
      </c>
      <c r="E15360">
        <f>TEST_DATA!E15360</f>
        <v/>
      </c>
    </row>
    <row r="15361">
      <c r="A15361">
        <f>TEST_DATA!A15361</f>
        <v/>
      </c>
      <c r="B15361">
        <f>TEST_DATA!B15361</f>
        <v/>
      </c>
      <c r="C15361">
        <f>TEST_DATA!C15361</f>
        <v/>
      </c>
      <c r="D15361">
        <f>TEST_DATA!D15361</f>
        <v/>
      </c>
      <c r="E15361">
        <f>TEST_DATA!E15361</f>
        <v/>
      </c>
    </row>
    <row r="15362">
      <c r="A15362">
        <f>TEST_DATA!A15362</f>
        <v/>
      </c>
      <c r="B15362">
        <f>TEST_DATA!B15362</f>
        <v/>
      </c>
      <c r="C15362">
        <f>TEST_DATA!C15362</f>
        <v/>
      </c>
      <c r="D15362">
        <f>TEST_DATA!D15362</f>
        <v/>
      </c>
      <c r="E15362">
        <f>TEST_DATA!E15362</f>
        <v/>
      </c>
    </row>
    <row r="15363">
      <c r="A15363">
        <f>TEST_DATA!A15363</f>
        <v/>
      </c>
      <c r="B15363">
        <f>TEST_DATA!B15363</f>
        <v/>
      </c>
      <c r="C15363">
        <f>TEST_DATA!C15363</f>
        <v/>
      </c>
      <c r="D15363">
        <f>TEST_DATA!D15363</f>
        <v/>
      </c>
      <c r="E15363">
        <f>TEST_DATA!E15363</f>
        <v/>
      </c>
    </row>
    <row r="15364">
      <c r="A15364">
        <f>TEST_DATA!A15364</f>
        <v/>
      </c>
      <c r="B15364">
        <f>TEST_DATA!B15364</f>
        <v/>
      </c>
      <c r="C15364">
        <f>TEST_DATA!C15364</f>
        <v/>
      </c>
      <c r="D15364">
        <f>TEST_DATA!D15364</f>
        <v/>
      </c>
      <c r="E15364">
        <f>TEST_DATA!E15364</f>
        <v/>
      </c>
    </row>
    <row r="15365">
      <c r="A15365">
        <f>TEST_DATA!A15365</f>
        <v/>
      </c>
      <c r="B15365">
        <f>TEST_DATA!B15365</f>
        <v/>
      </c>
      <c r="C15365">
        <f>TEST_DATA!C15365</f>
        <v/>
      </c>
      <c r="D15365">
        <f>TEST_DATA!D15365</f>
        <v/>
      </c>
      <c r="E15365">
        <f>TEST_DATA!E15365</f>
        <v/>
      </c>
    </row>
    <row r="15366">
      <c r="A15366">
        <f>TEST_DATA!A15366</f>
        <v/>
      </c>
      <c r="B15366">
        <f>TEST_DATA!B15366</f>
        <v/>
      </c>
      <c r="C15366">
        <f>TEST_DATA!C15366</f>
        <v/>
      </c>
      <c r="D15366">
        <f>TEST_DATA!D15366</f>
        <v/>
      </c>
      <c r="E15366">
        <f>TEST_DATA!E15366</f>
        <v/>
      </c>
    </row>
    <row r="15367">
      <c r="A15367">
        <f>TEST_DATA!A15367</f>
        <v/>
      </c>
      <c r="B15367">
        <f>TEST_DATA!B15367</f>
        <v/>
      </c>
      <c r="C15367">
        <f>TEST_DATA!C15367</f>
        <v/>
      </c>
      <c r="D15367">
        <f>TEST_DATA!D15367</f>
        <v/>
      </c>
      <c r="E15367">
        <f>TEST_DATA!E15367</f>
        <v/>
      </c>
    </row>
    <row r="15368">
      <c r="A15368">
        <f>TEST_DATA!A15368</f>
        <v/>
      </c>
      <c r="B15368">
        <f>TEST_DATA!B15368</f>
        <v/>
      </c>
      <c r="C15368">
        <f>TEST_DATA!C15368</f>
        <v/>
      </c>
      <c r="D15368">
        <f>TEST_DATA!D15368</f>
        <v/>
      </c>
      <c r="E15368">
        <f>TEST_DATA!E15368</f>
        <v/>
      </c>
    </row>
    <row r="15369">
      <c r="A15369">
        <f>TEST_DATA!A15369</f>
        <v/>
      </c>
      <c r="B15369">
        <f>TEST_DATA!B15369</f>
        <v/>
      </c>
      <c r="C15369">
        <f>TEST_DATA!C15369</f>
        <v/>
      </c>
      <c r="D15369">
        <f>TEST_DATA!D15369</f>
        <v/>
      </c>
      <c r="E15369">
        <f>TEST_DATA!E15369</f>
        <v/>
      </c>
    </row>
    <row r="15370">
      <c r="A15370">
        <f>TEST_DATA!A15370</f>
        <v/>
      </c>
      <c r="B15370">
        <f>TEST_DATA!B15370</f>
        <v/>
      </c>
      <c r="C15370">
        <f>TEST_DATA!C15370</f>
        <v/>
      </c>
      <c r="D15370">
        <f>TEST_DATA!D15370</f>
        <v/>
      </c>
      <c r="E15370">
        <f>TEST_DATA!E15370</f>
        <v/>
      </c>
    </row>
    <row r="15371">
      <c r="A15371">
        <f>TEST_DATA!A15371</f>
        <v/>
      </c>
      <c r="B15371">
        <f>TEST_DATA!B15371</f>
        <v/>
      </c>
      <c r="C15371">
        <f>TEST_DATA!C15371</f>
        <v/>
      </c>
      <c r="D15371">
        <f>TEST_DATA!D15371</f>
        <v/>
      </c>
      <c r="E15371">
        <f>TEST_DATA!E15371</f>
        <v/>
      </c>
    </row>
    <row r="15372">
      <c r="A15372">
        <f>TEST_DATA!A15372</f>
        <v/>
      </c>
      <c r="B15372">
        <f>TEST_DATA!B15372</f>
        <v/>
      </c>
      <c r="C15372">
        <f>TEST_DATA!C15372</f>
        <v/>
      </c>
      <c r="D15372">
        <f>TEST_DATA!D15372</f>
        <v/>
      </c>
      <c r="E15372">
        <f>TEST_DATA!E15372</f>
        <v/>
      </c>
    </row>
    <row r="15373">
      <c r="A15373">
        <f>TEST_DATA!A15373</f>
        <v/>
      </c>
      <c r="B15373">
        <f>TEST_DATA!B15373</f>
        <v/>
      </c>
      <c r="C15373">
        <f>TEST_DATA!C15373</f>
        <v/>
      </c>
      <c r="D15373">
        <f>TEST_DATA!D15373</f>
        <v/>
      </c>
      <c r="E15373">
        <f>TEST_DATA!E15373</f>
        <v/>
      </c>
    </row>
    <row r="15374">
      <c r="A15374">
        <f>TEST_DATA!A15374</f>
        <v/>
      </c>
      <c r="B15374">
        <f>TEST_DATA!B15374</f>
        <v/>
      </c>
      <c r="C15374">
        <f>TEST_DATA!C15374</f>
        <v/>
      </c>
      <c r="D15374">
        <f>TEST_DATA!D15374</f>
        <v/>
      </c>
      <c r="E15374">
        <f>TEST_DATA!E15374</f>
        <v/>
      </c>
    </row>
    <row r="15375">
      <c r="A15375">
        <f>TEST_DATA!A15375</f>
        <v/>
      </c>
      <c r="B15375">
        <f>TEST_DATA!B15375</f>
        <v/>
      </c>
      <c r="C15375">
        <f>TEST_DATA!C15375</f>
        <v/>
      </c>
      <c r="D15375">
        <f>TEST_DATA!D15375</f>
        <v/>
      </c>
      <c r="E15375">
        <f>TEST_DATA!E15375</f>
        <v/>
      </c>
    </row>
    <row r="15376">
      <c r="A15376">
        <f>TEST_DATA!A15376</f>
        <v/>
      </c>
      <c r="B15376">
        <f>TEST_DATA!B15376</f>
        <v/>
      </c>
      <c r="C15376">
        <f>TEST_DATA!C15376</f>
        <v/>
      </c>
      <c r="D15376">
        <f>TEST_DATA!D15376</f>
        <v/>
      </c>
      <c r="E15376">
        <f>TEST_DATA!E15376</f>
        <v/>
      </c>
    </row>
    <row r="15377">
      <c r="A15377">
        <f>TEST_DATA!A15377</f>
        <v/>
      </c>
      <c r="B15377">
        <f>TEST_DATA!B15377</f>
        <v/>
      </c>
      <c r="C15377">
        <f>TEST_DATA!C15377</f>
        <v/>
      </c>
      <c r="D15377">
        <f>TEST_DATA!D15377</f>
        <v/>
      </c>
      <c r="E15377">
        <f>TEST_DATA!E15377</f>
        <v/>
      </c>
    </row>
    <row r="15378">
      <c r="A15378">
        <f>TEST_DATA!A15378</f>
        <v/>
      </c>
      <c r="B15378">
        <f>TEST_DATA!B15378</f>
        <v/>
      </c>
      <c r="C15378">
        <f>TEST_DATA!C15378</f>
        <v/>
      </c>
      <c r="D15378">
        <f>TEST_DATA!D15378</f>
        <v/>
      </c>
      <c r="E15378">
        <f>TEST_DATA!E15378</f>
        <v/>
      </c>
    </row>
    <row r="15379">
      <c r="A15379">
        <f>TEST_DATA!A15379</f>
        <v/>
      </c>
      <c r="B15379">
        <f>TEST_DATA!B15379</f>
        <v/>
      </c>
      <c r="C15379">
        <f>TEST_DATA!C15379</f>
        <v/>
      </c>
      <c r="D15379">
        <f>TEST_DATA!D15379</f>
        <v/>
      </c>
      <c r="E15379">
        <f>TEST_DATA!E15379</f>
        <v/>
      </c>
    </row>
    <row r="15380">
      <c r="A15380">
        <f>TEST_DATA!A15380</f>
        <v/>
      </c>
      <c r="B15380">
        <f>TEST_DATA!B15380</f>
        <v/>
      </c>
      <c r="C15380">
        <f>TEST_DATA!C15380</f>
        <v/>
      </c>
      <c r="D15380">
        <f>TEST_DATA!D15380</f>
        <v/>
      </c>
      <c r="E15380">
        <f>TEST_DATA!E15380</f>
        <v/>
      </c>
    </row>
    <row r="15381">
      <c r="A15381">
        <f>TEST_DATA!A15381</f>
        <v/>
      </c>
      <c r="B15381">
        <f>TEST_DATA!B15381</f>
        <v/>
      </c>
      <c r="C15381">
        <f>TEST_DATA!C15381</f>
        <v/>
      </c>
      <c r="D15381">
        <f>TEST_DATA!D15381</f>
        <v/>
      </c>
      <c r="E15381">
        <f>TEST_DATA!E15381</f>
        <v/>
      </c>
    </row>
    <row r="15382">
      <c r="A15382">
        <f>TEST_DATA!A15382</f>
        <v/>
      </c>
      <c r="B15382">
        <f>TEST_DATA!B15382</f>
        <v/>
      </c>
      <c r="C15382">
        <f>TEST_DATA!C15382</f>
        <v/>
      </c>
      <c r="D15382">
        <f>TEST_DATA!D15382</f>
        <v/>
      </c>
      <c r="E15382">
        <f>TEST_DATA!E15382</f>
        <v/>
      </c>
    </row>
    <row r="15383">
      <c r="A15383">
        <f>TEST_DATA!A15383</f>
        <v/>
      </c>
      <c r="B15383">
        <f>TEST_DATA!B15383</f>
        <v/>
      </c>
      <c r="C15383">
        <f>TEST_DATA!C15383</f>
        <v/>
      </c>
      <c r="D15383">
        <f>TEST_DATA!D15383</f>
        <v/>
      </c>
      <c r="E15383">
        <f>TEST_DATA!E15383</f>
        <v/>
      </c>
    </row>
    <row r="15384">
      <c r="A15384">
        <f>TEST_DATA!A15384</f>
        <v/>
      </c>
      <c r="B15384">
        <f>TEST_DATA!B15384</f>
        <v/>
      </c>
      <c r="C15384">
        <f>TEST_DATA!C15384</f>
        <v/>
      </c>
      <c r="D15384">
        <f>TEST_DATA!D15384</f>
        <v/>
      </c>
      <c r="E15384">
        <f>TEST_DATA!E15384</f>
        <v/>
      </c>
    </row>
    <row r="15385">
      <c r="A15385">
        <f>TEST_DATA!A15385</f>
        <v/>
      </c>
      <c r="B15385">
        <f>TEST_DATA!B15385</f>
        <v/>
      </c>
      <c r="C15385">
        <f>TEST_DATA!C15385</f>
        <v/>
      </c>
      <c r="D15385">
        <f>TEST_DATA!D15385</f>
        <v/>
      </c>
      <c r="E15385">
        <f>TEST_DATA!E15385</f>
        <v/>
      </c>
    </row>
    <row r="15386">
      <c r="A15386">
        <f>TEST_DATA!A15386</f>
        <v/>
      </c>
      <c r="B15386">
        <f>TEST_DATA!B15386</f>
        <v/>
      </c>
      <c r="C15386">
        <f>TEST_DATA!C15386</f>
        <v/>
      </c>
      <c r="D15386">
        <f>TEST_DATA!D15386</f>
        <v/>
      </c>
      <c r="E15386">
        <f>TEST_DATA!E15386</f>
        <v/>
      </c>
    </row>
    <row r="15387">
      <c r="A15387">
        <f>TEST_DATA!A15387</f>
        <v/>
      </c>
      <c r="B15387">
        <f>TEST_DATA!B15387</f>
        <v/>
      </c>
      <c r="C15387">
        <f>TEST_DATA!C15387</f>
        <v/>
      </c>
      <c r="D15387">
        <f>TEST_DATA!D15387</f>
        <v/>
      </c>
      <c r="E15387">
        <f>TEST_DATA!E15387</f>
        <v/>
      </c>
    </row>
    <row r="15388">
      <c r="A15388">
        <f>TEST_DATA!A15388</f>
        <v/>
      </c>
      <c r="B15388">
        <f>TEST_DATA!B15388</f>
        <v/>
      </c>
      <c r="C15388">
        <f>TEST_DATA!C15388</f>
        <v/>
      </c>
      <c r="D15388">
        <f>TEST_DATA!D15388</f>
        <v/>
      </c>
      <c r="E15388">
        <f>TEST_DATA!E15388</f>
        <v/>
      </c>
    </row>
    <row r="15389">
      <c r="A15389">
        <f>TEST_DATA!A15389</f>
        <v/>
      </c>
      <c r="B15389">
        <f>TEST_DATA!B15389</f>
        <v/>
      </c>
      <c r="C15389">
        <f>TEST_DATA!C15389</f>
        <v/>
      </c>
      <c r="D15389">
        <f>TEST_DATA!D15389</f>
        <v/>
      </c>
      <c r="E15389">
        <f>TEST_DATA!E15389</f>
        <v/>
      </c>
    </row>
    <row r="15390">
      <c r="A15390">
        <f>TEST_DATA!A15390</f>
        <v/>
      </c>
      <c r="B15390">
        <f>TEST_DATA!B15390</f>
        <v/>
      </c>
      <c r="C15390">
        <f>TEST_DATA!C15390</f>
        <v/>
      </c>
      <c r="D15390">
        <f>TEST_DATA!D15390</f>
        <v/>
      </c>
      <c r="E15390">
        <f>TEST_DATA!E15390</f>
        <v/>
      </c>
    </row>
    <row r="15391">
      <c r="A15391">
        <f>TEST_DATA!A15391</f>
        <v/>
      </c>
      <c r="B15391">
        <f>TEST_DATA!B15391</f>
        <v/>
      </c>
      <c r="C15391">
        <f>TEST_DATA!C15391</f>
        <v/>
      </c>
      <c r="D15391">
        <f>TEST_DATA!D15391</f>
        <v/>
      </c>
      <c r="E15391">
        <f>TEST_DATA!E15391</f>
        <v/>
      </c>
    </row>
    <row r="15392">
      <c r="A15392">
        <f>TEST_DATA!A15392</f>
        <v/>
      </c>
      <c r="B15392">
        <f>TEST_DATA!B15392</f>
        <v/>
      </c>
      <c r="C15392">
        <f>TEST_DATA!C15392</f>
        <v/>
      </c>
      <c r="D15392">
        <f>TEST_DATA!D15392</f>
        <v/>
      </c>
      <c r="E15392">
        <f>TEST_DATA!E15392</f>
        <v/>
      </c>
    </row>
    <row r="15393">
      <c r="A15393">
        <f>TEST_DATA!A15393</f>
        <v/>
      </c>
      <c r="B15393">
        <f>TEST_DATA!B15393</f>
        <v/>
      </c>
      <c r="C15393">
        <f>TEST_DATA!C15393</f>
        <v/>
      </c>
      <c r="D15393">
        <f>TEST_DATA!D15393</f>
        <v/>
      </c>
      <c r="E15393">
        <f>TEST_DATA!E15393</f>
        <v/>
      </c>
    </row>
    <row r="15394">
      <c r="A15394">
        <f>TEST_DATA!A15394</f>
        <v/>
      </c>
      <c r="B15394">
        <f>TEST_DATA!B15394</f>
        <v/>
      </c>
      <c r="C15394">
        <f>TEST_DATA!C15394</f>
        <v/>
      </c>
      <c r="D15394">
        <f>TEST_DATA!D15394</f>
        <v/>
      </c>
      <c r="E15394">
        <f>TEST_DATA!E15394</f>
        <v/>
      </c>
    </row>
    <row r="15395">
      <c r="A15395">
        <f>TEST_DATA!A15395</f>
        <v/>
      </c>
      <c r="B15395">
        <f>TEST_DATA!B15395</f>
        <v/>
      </c>
      <c r="C15395">
        <f>TEST_DATA!C15395</f>
        <v/>
      </c>
      <c r="D15395">
        <f>TEST_DATA!D15395</f>
        <v/>
      </c>
      <c r="E15395">
        <f>TEST_DATA!E15395</f>
        <v/>
      </c>
    </row>
    <row r="15396">
      <c r="A15396">
        <f>TEST_DATA!A15396</f>
        <v/>
      </c>
      <c r="B15396">
        <f>TEST_DATA!B15396</f>
        <v/>
      </c>
      <c r="C15396">
        <f>TEST_DATA!C15396</f>
        <v/>
      </c>
      <c r="D15396">
        <f>TEST_DATA!D15396</f>
        <v/>
      </c>
      <c r="E15396">
        <f>TEST_DATA!E15396</f>
        <v/>
      </c>
    </row>
    <row r="15397">
      <c r="A15397">
        <f>TEST_DATA!A15397</f>
        <v/>
      </c>
      <c r="B15397">
        <f>TEST_DATA!B15397</f>
        <v/>
      </c>
      <c r="C15397">
        <f>TEST_DATA!C15397</f>
        <v/>
      </c>
      <c r="D15397">
        <f>TEST_DATA!D15397</f>
        <v/>
      </c>
      <c r="E15397">
        <f>TEST_DATA!E15397</f>
        <v/>
      </c>
    </row>
    <row r="15398">
      <c r="A15398">
        <f>TEST_DATA!A15398</f>
        <v/>
      </c>
      <c r="B15398">
        <f>TEST_DATA!B15398</f>
        <v/>
      </c>
      <c r="C15398">
        <f>TEST_DATA!C15398</f>
        <v/>
      </c>
      <c r="D15398">
        <f>TEST_DATA!D15398</f>
        <v/>
      </c>
      <c r="E15398">
        <f>TEST_DATA!E15398</f>
        <v/>
      </c>
    </row>
    <row r="15399">
      <c r="A15399">
        <f>TEST_DATA!A15399</f>
        <v/>
      </c>
      <c r="B15399">
        <f>TEST_DATA!B15399</f>
        <v/>
      </c>
      <c r="C15399">
        <f>TEST_DATA!C15399</f>
        <v/>
      </c>
      <c r="D15399">
        <f>TEST_DATA!D15399</f>
        <v/>
      </c>
      <c r="E15399">
        <f>TEST_DATA!E15399</f>
        <v/>
      </c>
    </row>
    <row r="15400">
      <c r="A15400">
        <f>TEST_DATA!A15400</f>
        <v/>
      </c>
      <c r="B15400">
        <f>TEST_DATA!B15400</f>
        <v/>
      </c>
      <c r="C15400">
        <f>TEST_DATA!C15400</f>
        <v/>
      </c>
      <c r="D15400">
        <f>TEST_DATA!D15400</f>
        <v/>
      </c>
      <c r="E15400">
        <f>TEST_DATA!E15400</f>
        <v/>
      </c>
    </row>
    <row r="15401">
      <c r="A15401">
        <f>TEST_DATA!A15401</f>
        <v/>
      </c>
      <c r="B15401">
        <f>TEST_DATA!B15401</f>
        <v/>
      </c>
      <c r="C15401">
        <f>TEST_DATA!C15401</f>
        <v/>
      </c>
      <c r="D15401">
        <f>TEST_DATA!D15401</f>
        <v/>
      </c>
      <c r="E15401">
        <f>TEST_DATA!E15401</f>
        <v/>
      </c>
    </row>
    <row r="15402">
      <c r="A15402">
        <f>TEST_DATA!A15402</f>
        <v/>
      </c>
      <c r="B15402">
        <f>TEST_DATA!B15402</f>
        <v/>
      </c>
      <c r="C15402">
        <f>TEST_DATA!C15402</f>
        <v/>
      </c>
      <c r="D15402">
        <f>TEST_DATA!D15402</f>
        <v/>
      </c>
      <c r="E15402">
        <f>TEST_DATA!E15402</f>
        <v/>
      </c>
    </row>
    <row r="15403">
      <c r="A15403">
        <f>TEST_DATA!A15403</f>
        <v/>
      </c>
      <c r="B15403">
        <f>TEST_DATA!B15403</f>
        <v/>
      </c>
      <c r="C15403">
        <f>TEST_DATA!C15403</f>
        <v/>
      </c>
      <c r="D15403">
        <f>TEST_DATA!D15403</f>
        <v/>
      </c>
      <c r="E15403">
        <f>TEST_DATA!E15403</f>
        <v/>
      </c>
    </row>
    <row r="15404">
      <c r="A15404">
        <f>TEST_DATA!A15404</f>
        <v/>
      </c>
      <c r="B15404">
        <f>TEST_DATA!B15404</f>
        <v/>
      </c>
      <c r="C15404">
        <f>TEST_DATA!C15404</f>
        <v/>
      </c>
      <c r="D15404">
        <f>TEST_DATA!D15404</f>
        <v/>
      </c>
      <c r="E15404">
        <f>TEST_DATA!E15404</f>
        <v/>
      </c>
    </row>
    <row r="15405">
      <c r="A15405">
        <f>TEST_DATA!A15405</f>
        <v/>
      </c>
      <c r="B15405">
        <f>TEST_DATA!B15405</f>
        <v/>
      </c>
      <c r="C15405">
        <f>TEST_DATA!C15405</f>
        <v/>
      </c>
      <c r="D15405">
        <f>TEST_DATA!D15405</f>
        <v/>
      </c>
      <c r="E15405">
        <f>TEST_DATA!E15405</f>
        <v/>
      </c>
    </row>
    <row r="15406">
      <c r="A15406">
        <f>TEST_DATA!A15406</f>
        <v/>
      </c>
      <c r="B15406">
        <f>TEST_DATA!B15406</f>
        <v/>
      </c>
      <c r="C15406">
        <f>TEST_DATA!C15406</f>
        <v/>
      </c>
      <c r="D15406">
        <f>TEST_DATA!D15406</f>
        <v/>
      </c>
      <c r="E15406">
        <f>TEST_DATA!E15406</f>
        <v/>
      </c>
    </row>
    <row r="15407">
      <c r="A15407">
        <f>TEST_DATA!A15407</f>
        <v/>
      </c>
      <c r="B15407">
        <f>TEST_DATA!B15407</f>
        <v/>
      </c>
      <c r="C15407">
        <f>TEST_DATA!C15407</f>
        <v/>
      </c>
      <c r="D15407">
        <f>TEST_DATA!D15407</f>
        <v/>
      </c>
      <c r="E15407">
        <f>TEST_DATA!E15407</f>
        <v/>
      </c>
    </row>
    <row r="15408">
      <c r="A15408">
        <f>TEST_DATA!A15408</f>
        <v/>
      </c>
      <c r="B15408">
        <f>TEST_DATA!B15408</f>
        <v/>
      </c>
      <c r="C15408">
        <f>TEST_DATA!C15408</f>
        <v/>
      </c>
      <c r="D15408">
        <f>TEST_DATA!D15408</f>
        <v/>
      </c>
      <c r="E15408">
        <f>TEST_DATA!E15408</f>
        <v/>
      </c>
    </row>
    <row r="15409">
      <c r="A15409">
        <f>TEST_DATA!A15409</f>
        <v/>
      </c>
      <c r="B15409">
        <f>TEST_DATA!B15409</f>
        <v/>
      </c>
      <c r="C15409">
        <f>TEST_DATA!C15409</f>
        <v/>
      </c>
      <c r="D15409">
        <f>TEST_DATA!D15409</f>
        <v/>
      </c>
      <c r="E15409">
        <f>TEST_DATA!E15409</f>
        <v/>
      </c>
    </row>
    <row r="15410">
      <c r="A15410">
        <f>TEST_DATA!A15410</f>
        <v/>
      </c>
      <c r="B15410">
        <f>TEST_DATA!B15410</f>
        <v/>
      </c>
      <c r="C15410">
        <f>TEST_DATA!C15410</f>
        <v/>
      </c>
      <c r="D15410">
        <f>TEST_DATA!D15410</f>
        <v/>
      </c>
      <c r="E15410">
        <f>TEST_DATA!E15410</f>
        <v/>
      </c>
    </row>
    <row r="15411">
      <c r="A15411">
        <f>TEST_DATA!A15411</f>
        <v/>
      </c>
      <c r="B15411">
        <f>TEST_DATA!B15411</f>
        <v/>
      </c>
      <c r="C15411">
        <f>TEST_DATA!C15411</f>
        <v/>
      </c>
      <c r="D15411">
        <f>TEST_DATA!D15411</f>
        <v/>
      </c>
      <c r="E15411">
        <f>TEST_DATA!E15411</f>
        <v/>
      </c>
    </row>
    <row r="15412">
      <c r="A15412">
        <f>TEST_DATA!A15412</f>
        <v/>
      </c>
      <c r="B15412">
        <f>TEST_DATA!B15412</f>
        <v/>
      </c>
      <c r="C15412">
        <f>TEST_DATA!C15412</f>
        <v/>
      </c>
      <c r="D15412">
        <f>TEST_DATA!D15412</f>
        <v/>
      </c>
      <c r="E15412">
        <f>TEST_DATA!E15412</f>
        <v/>
      </c>
    </row>
    <row r="15413">
      <c r="A15413">
        <f>TEST_DATA!A15413</f>
        <v/>
      </c>
      <c r="B15413">
        <f>TEST_DATA!B15413</f>
        <v/>
      </c>
      <c r="C15413">
        <f>TEST_DATA!C15413</f>
        <v/>
      </c>
      <c r="D15413">
        <f>TEST_DATA!D15413</f>
        <v/>
      </c>
      <c r="E15413">
        <f>TEST_DATA!E15413</f>
        <v/>
      </c>
    </row>
    <row r="15414">
      <c r="A15414">
        <f>TEST_DATA!A15414</f>
        <v/>
      </c>
      <c r="B15414">
        <f>TEST_DATA!B15414</f>
        <v/>
      </c>
      <c r="C15414">
        <f>TEST_DATA!C15414</f>
        <v/>
      </c>
      <c r="D15414">
        <f>TEST_DATA!D15414</f>
        <v/>
      </c>
      <c r="E15414">
        <f>TEST_DATA!E15414</f>
        <v/>
      </c>
    </row>
    <row r="15415">
      <c r="A15415">
        <f>TEST_DATA!A15415</f>
        <v/>
      </c>
      <c r="B15415">
        <f>TEST_DATA!B15415</f>
        <v/>
      </c>
      <c r="C15415">
        <f>TEST_DATA!C15415</f>
        <v/>
      </c>
      <c r="D15415">
        <f>TEST_DATA!D15415</f>
        <v/>
      </c>
      <c r="E15415">
        <f>TEST_DATA!E15415</f>
        <v/>
      </c>
    </row>
    <row r="15416">
      <c r="A15416">
        <f>TEST_DATA!A15416</f>
        <v/>
      </c>
      <c r="B15416">
        <f>TEST_DATA!B15416</f>
        <v/>
      </c>
      <c r="C15416">
        <f>TEST_DATA!C15416</f>
        <v/>
      </c>
      <c r="D15416">
        <f>TEST_DATA!D15416</f>
        <v/>
      </c>
      <c r="E15416">
        <f>TEST_DATA!E15416</f>
        <v/>
      </c>
    </row>
    <row r="15417">
      <c r="A15417">
        <f>TEST_DATA!A15417</f>
        <v/>
      </c>
      <c r="B15417">
        <f>TEST_DATA!B15417</f>
        <v/>
      </c>
      <c r="C15417">
        <f>TEST_DATA!C15417</f>
        <v/>
      </c>
      <c r="D15417">
        <f>TEST_DATA!D15417</f>
        <v/>
      </c>
      <c r="E15417">
        <f>TEST_DATA!E15417</f>
        <v/>
      </c>
    </row>
    <row r="15418">
      <c r="A15418">
        <f>TEST_DATA!A15418</f>
        <v/>
      </c>
      <c r="B15418">
        <f>TEST_DATA!B15418</f>
        <v/>
      </c>
      <c r="C15418">
        <f>TEST_DATA!C15418</f>
        <v/>
      </c>
      <c r="D15418">
        <f>TEST_DATA!D15418</f>
        <v/>
      </c>
      <c r="E15418">
        <f>TEST_DATA!E15418</f>
        <v/>
      </c>
    </row>
    <row r="15419">
      <c r="A15419">
        <f>TEST_DATA!A15419</f>
        <v/>
      </c>
      <c r="B15419">
        <f>TEST_DATA!B15419</f>
        <v/>
      </c>
      <c r="C15419">
        <f>TEST_DATA!C15419</f>
        <v/>
      </c>
      <c r="D15419">
        <f>TEST_DATA!D15419</f>
        <v/>
      </c>
      <c r="E15419">
        <f>TEST_DATA!E15419</f>
        <v/>
      </c>
    </row>
    <row r="15420">
      <c r="A15420">
        <f>TEST_DATA!A15420</f>
        <v/>
      </c>
      <c r="B15420">
        <f>TEST_DATA!B15420</f>
        <v/>
      </c>
      <c r="C15420">
        <f>TEST_DATA!C15420</f>
        <v/>
      </c>
      <c r="D15420">
        <f>TEST_DATA!D15420</f>
        <v/>
      </c>
      <c r="E15420">
        <f>TEST_DATA!E15420</f>
        <v/>
      </c>
    </row>
    <row r="15421">
      <c r="A15421">
        <f>TEST_DATA!A15421</f>
        <v/>
      </c>
      <c r="B15421">
        <f>TEST_DATA!B15421</f>
        <v/>
      </c>
      <c r="C15421">
        <f>TEST_DATA!C15421</f>
        <v/>
      </c>
      <c r="D15421">
        <f>TEST_DATA!D15421</f>
        <v/>
      </c>
      <c r="E15421">
        <f>TEST_DATA!E15421</f>
        <v/>
      </c>
    </row>
    <row r="15422">
      <c r="A15422">
        <f>TEST_DATA!A15422</f>
        <v/>
      </c>
      <c r="B15422">
        <f>TEST_DATA!B15422</f>
        <v/>
      </c>
      <c r="C15422">
        <f>TEST_DATA!C15422</f>
        <v/>
      </c>
      <c r="D15422">
        <f>TEST_DATA!D15422</f>
        <v/>
      </c>
      <c r="E15422">
        <f>TEST_DATA!E15422</f>
        <v/>
      </c>
    </row>
    <row r="15423">
      <c r="A15423">
        <f>TEST_DATA!A15423</f>
        <v/>
      </c>
      <c r="B15423">
        <f>TEST_DATA!B15423</f>
        <v/>
      </c>
      <c r="C15423">
        <f>TEST_DATA!C15423</f>
        <v/>
      </c>
      <c r="D15423">
        <f>TEST_DATA!D15423</f>
        <v/>
      </c>
      <c r="E15423">
        <f>TEST_DATA!E15423</f>
        <v/>
      </c>
    </row>
    <row r="15424">
      <c r="A15424">
        <f>TEST_DATA!A15424</f>
        <v/>
      </c>
      <c r="B15424">
        <f>TEST_DATA!B15424</f>
        <v/>
      </c>
      <c r="C15424">
        <f>TEST_DATA!C15424</f>
        <v/>
      </c>
      <c r="D15424">
        <f>TEST_DATA!D15424</f>
        <v/>
      </c>
      <c r="E15424">
        <f>TEST_DATA!E15424</f>
        <v/>
      </c>
    </row>
    <row r="15425">
      <c r="A15425">
        <f>TEST_DATA!A15425</f>
        <v/>
      </c>
      <c r="B15425">
        <f>TEST_DATA!B15425</f>
        <v/>
      </c>
      <c r="C15425">
        <f>TEST_DATA!C15425</f>
        <v/>
      </c>
      <c r="D15425">
        <f>TEST_DATA!D15425</f>
        <v/>
      </c>
      <c r="E15425">
        <f>TEST_DATA!E15425</f>
        <v/>
      </c>
    </row>
    <row r="15426">
      <c r="A15426">
        <f>TEST_DATA!A15426</f>
        <v/>
      </c>
      <c r="B15426">
        <f>TEST_DATA!B15426</f>
        <v/>
      </c>
      <c r="C15426">
        <f>TEST_DATA!C15426</f>
        <v/>
      </c>
      <c r="D15426">
        <f>TEST_DATA!D15426</f>
        <v/>
      </c>
      <c r="E15426">
        <f>TEST_DATA!E15426</f>
        <v/>
      </c>
    </row>
    <row r="15427">
      <c r="A15427">
        <f>TEST_DATA!A15427</f>
        <v/>
      </c>
      <c r="B15427">
        <f>TEST_DATA!B15427</f>
        <v/>
      </c>
      <c r="C15427">
        <f>TEST_DATA!C15427</f>
        <v/>
      </c>
      <c r="D15427">
        <f>TEST_DATA!D15427</f>
        <v/>
      </c>
      <c r="E15427">
        <f>TEST_DATA!E15427</f>
        <v/>
      </c>
    </row>
    <row r="15428">
      <c r="A15428">
        <f>TEST_DATA!A15428</f>
        <v/>
      </c>
      <c r="B15428">
        <f>TEST_DATA!B15428</f>
        <v/>
      </c>
      <c r="C15428">
        <f>TEST_DATA!C15428</f>
        <v/>
      </c>
      <c r="D15428">
        <f>TEST_DATA!D15428</f>
        <v/>
      </c>
      <c r="E15428">
        <f>TEST_DATA!E15428</f>
        <v/>
      </c>
    </row>
    <row r="15429">
      <c r="A15429">
        <f>TEST_DATA!A15429</f>
        <v/>
      </c>
      <c r="B15429">
        <f>TEST_DATA!B15429</f>
        <v/>
      </c>
      <c r="C15429">
        <f>TEST_DATA!C15429</f>
        <v/>
      </c>
      <c r="D15429">
        <f>TEST_DATA!D15429</f>
        <v/>
      </c>
      <c r="E15429">
        <f>TEST_DATA!E15429</f>
        <v/>
      </c>
    </row>
    <row r="15430">
      <c r="A15430">
        <f>TEST_DATA!A15430</f>
        <v/>
      </c>
      <c r="B15430">
        <f>TEST_DATA!B15430</f>
        <v/>
      </c>
      <c r="C15430">
        <f>TEST_DATA!C15430</f>
        <v/>
      </c>
      <c r="D15430">
        <f>TEST_DATA!D15430</f>
        <v/>
      </c>
      <c r="E15430">
        <f>TEST_DATA!E15430</f>
        <v/>
      </c>
    </row>
    <row r="15431">
      <c r="A15431">
        <f>TEST_DATA!A15431</f>
        <v/>
      </c>
      <c r="B15431">
        <f>TEST_DATA!B15431</f>
        <v/>
      </c>
      <c r="C15431">
        <f>TEST_DATA!C15431</f>
        <v/>
      </c>
      <c r="D15431">
        <f>TEST_DATA!D15431</f>
        <v/>
      </c>
      <c r="E15431">
        <f>TEST_DATA!E15431</f>
        <v/>
      </c>
    </row>
    <row r="15432">
      <c r="A15432">
        <f>TEST_DATA!A15432</f>
        <v/>
      </c>
      <c r="B15432">
        <f>TEST_DATA!B15432</f>
        <v/>
      </c>
      <c r="C15432">
        <f>TEST_DATA!C15432</f>
        <v/>
      </c>
      <c r="D15432">
        <f>TEST_DATA!D15432</f>
        <v/>
      </c>
      <c r="E15432">
        <f>TEST_DATA!E15432</f>
        <v/>
      </c>
    </row>
    <row r="15433">
      <c r="A15433">
        <f>TEST_DATA!A15433</f>
        <v/>
      </c>
      <c r="B15433">
        <f>TEST_DATA!B15433</f>
        <v/>
      </c>
      <c r="C15433">
        <f>TEST_DATA!C15433</f>
        <v/>
      </c>
      <c r="D15433">
        <f>TEST_DATA!D15433</f>
        <v/>
      </c>
      <c r="E15433">
        <f>TEST_DATA!E15433</f>
        <v/>
      </c>
    </row>
    <row r="15434">
      <c r="A15434">
        <f>TEST_DATA!A15434</f>
        <v/>
      </c>
      <c r="B15434">
        <f>TEST_DATA!B15434</f>
        <v/>
      </c>
      <c r="C15434">
        <f>TEST_DATA!C15434</f>
        <v/>
      </c>
      <c r="D15434">
        <f>TEST_DATA!D15434</f>
        <v/>
      </c>
      <c r="E15434">
        <f>TEST_DATA!E15434</f>
        <v/>
      </c>
    </row>
    <row r="15435">
      <c r="A15435">
        <f>TEST_DATA!A15435</f>
        <v/>
      </c>
      <c r="B15435">
        <f>TEST_DATA!B15435</f>
        <v/>
      </c>
      <c r="C15435">
        <f>TEST_DATA!C15435</f>
        <v/>
      </c>
      <c r="D15435">
        <f>TEST_DATA!D15435</f>
        <v/>
      </c>
      <c r="E15435">
        <f>TEST_DATA!E15435</f>
        <v/>
      </c>
    </row>
    <row r="15436">
      <c r="A15436">
        <f>TEST_DATA!A15436</f>
        <v/>
      </c>
      <c r="B15436">
        <f>TEST_DATA!B15436</f>
        <v/>
      </c>
      <c r="C15436">
        <f>TEST_DATA!C15436</f>
        <v/>
      </c>
      <c r="D15436">
        <f>TEST_DATA!D15436</f>
        <v/>
      </c>
      <c r="E15436">
        <f>TEST_DATA!E15436</f>
        <v/>
      </c>
    </row>
    <row r="15437">
      <c r="A15437">
        <f>TEST_DATA!A15437</f>
        <v/>
      </c>
      <c r="B15437">
        <f>TEST_DATA!B15437</f>
        <v/>
      </c>
      <c r="C15437">
        <f>TEST_DATA!C15437</f>
        <v/>
      </c>
      <c r="D15437">
        <f>TEST_DATA!D15437</f>
        <v/>
      </c>
      <c r="E15437">
        <f>TEST_DATA!E15437</f>
        <v/>
      </c>
    </row>
    <row r="15438">
      <c r="A15438">
        <f>TEST_DATA!A15438</f>
        <v/>
      </c>
      <c r="B15438">
        <f>TEST_DATA!B15438</f>
        <v/>
      </c>
      <c r="C15438">
        <f>TEST_DATA!C15438</f>
        <v/>
      </c>
      <c r="D15438">
        <f>TEST_DATA!D15438</f>
        <v/>
      </c>
      <c r="E15438">
        <f>TEST_DATA!E15438</f>
        <v/>
      </c>
    </row>
    <row r="15439">
      <c r="A15439">
        <f>TEST_DATA!A15439</f>
        <v/>
      </c>
      <c r="B15439">
        <f>TEST_DATA!B15439</f>
        <v/>
      </c>
      <c r="C15439">
        <f>TEST_DATA!C15439</f>
        <v/>
      </c>
      <c r="D15439">
        <f>TEST_DATA!D15439</f>
        <v/>
      </c>
      <c r="E15439">
        <f>TEST_DATA!E15439</f>
        <v/>
      </c>
    </row>
    <row r="15440">
      <c r="A15440">
        <f>TEST_DATA!A15440</f>
        <v/>
      </c>
      <c r="B15440">
        <f>TEST_DATA!B15440</f>
        <v/>
      </c>
      <c r="C15440">
        <f>TEST_DATA!C15440</f>
        <v/>
      </c>
      <c r="D15440">
        <f>TEST_DATA!D15440</f>
        <v/>
      </c>
      <c r="E15440">
        <f>TEST_DATA!E15440</f>
        <v/>
      </c>
    </row>
    <row r="15441">
      <c r="A15441">
        <f>TEST_DATA!A15441</f>
        <v/>
      </c>
      <c r="B15441">
        <f>TEST_DATA!B15441</f>
        <v/>
      </c>
      <c r="C15441">
        <f>TEST_DATA!C15441</f>
        <v/>
      </c>
      <c r="D15441">
        <f>TEST_DATA!D15441</f>
        <v/>
      </c>
      <c r="E15441">
        <f>TEST_DATA!E15441</f>
        <v/>
      </c>
    </row>
    <row r="15442">
      <c r="A15442">
        <f>TEST_DATA!A15442</f>
        <v/>
      </c>
      <c r="B15442">
        <f>TEST_DATA!B15442</f>
        <v/>
      </c>
      <c r="C15442">
        <f>TEST_DATA!C15442</f>
        <v/>
      </c>
      <c r="D15442">
        <f>TEST_DATA!D15442</f>
        <v/>
      </c>
      <c r="E15442">
        <f>TEST_DATA!E15442</f>
        <v/>
      </c>
    </row>
    <row r="15443">
      <c r="A15443">
        <f>TEST_DATA!A15443</f>
        <v/>
      </c>
      <c r="B15443">
        <f>TEST_DATA!B15443</f>
        <v/>
      </c>
      <c r="C15443">
        <f>TEST_DATA!C15443</f>
        <v/>
      </c>
      <c r="D15443">
        <f>TEST_DATA!D15443</f>
        <v/>
      </c>
      <c r="E15443">
        <f>TEST_DATA!E15443</f>
        <v/>
      </c>
    </row>
    <row r="15444">
      <c r="A15444">
        <f>TEST_DATA!A15444</f>
        <v/>
      </c>
      <c r="B15444">
        <f>TEST_DATA!B15444</f>
        <v/>
      </c>
      <c r="C15444">
        <f>TEST_DATA!C15444</f>
        <v/>
      </c>
      <c r="D15444">
        <f>TEST_DATA!D15444</f>
        <v/>
      </c>
      <c r="E15444">
        <f>TEST_DATA!E15444</f>
        <v/>
      </c>
    </row>
    <row r="15445">
      <c r="A15445">
        <f>TEST_DATA!A15445</f>
        <v/>
      </c>
      <c r="B15445">
        <f>TEST_DATA!B15445</f>
        <v/>
      </c>
      <c r="C15445">
        <f>TEST_DATA!C15445</f>
        <v/>
      </c>
      <c r="D15445">
        <f>TEST_DATA!D15445</f>
        <v/>
      </c>
      <c r="E15445">
        <f>TEST_DATA!E15445</f>
        <v/>
      </c>
    </row>
    <row r="15446">
      <c r="A15446">
        <f>TEST_DATA!A15446</f>
        <v/>
      </c>
      <c r="B15446">
        <f>TEST_DATA!B15446</f>
        <v/>
      </c>
      <c r="C15446">
        <f>TEST_DATA!C15446</f>
        <v/>
      </c>
      <c r="D15446">
        <f>TEST_DATA!D15446</f>
        <v/>
      </c>
      <c r="E15446">
        <f>TEST_DATA!E15446</f>
        <v/>
      </c>
    </row>
    <row r="15447">
      <c r="A15447">
        <f>TEST_DATA!A15447</f>
        <v/>
      </c>
      <c r="B15447">
        <f>TEST_DATA!B15447</f>
        <v/>
      </c>
      <c r="C15447">
        <f>TEST_DATA!C15447</f>
        <v/>
      </c>
      <c r="D15447">
        <f>TEST_DATA!D15447</f>
        <v/>
      </c>
      <c r="E15447">
        <f>TEST_DATA!E15447</f>
        <v/>
      </c>
    </row>
    <row r="15448">
      <c r="A15448">
        <f>TEST_DATA!A15448</f>
        <v/>
      </c>
      <c r="B15448">
        <f>TEST_DATA!B15448</f>
        <v/>
      </c>
      <c r="C15448">
        <f>TEST_DATA!C15448</f>
        <v/>
      </c>
      <c r="D15448">
        <f>TEST_DATA!D15448</f>
        <v/>
      </c>
      <c r="E15448">
        <f>TEST_DATA!E15448</f>
        <v/>
      </c>
    </row>
    <row r="15449">
      <c r="A15449">
        <f>TEST_DATA!A15449</f>
        <v/>
      </c>
      <c r="B15449">
        <f>TEST_DATA!B15449</f>
        <v/>
      </c>
      <c r="C15449">
        <f>TEST_DATA!C15449</f>
        <v/>
      </c>
      <c r="D15449">
        <f>TEST_DATA!D15449</f>
        <v/>
      </c>
      <c r="E15449">
        <f>TEST_DATA!E15449</f>
        <v/>
      </c>
    </row>
    <row r="15450">
      <c r="A15450">
        <f>TEST_DATA!A15450</f>
        <v/>
      </c>
      <c r="B15450">
        <f>TEST_DATA!B15450</f>
        <v/>
      </c>
      <c r="C15450">
        <f>TEST_DATA!C15450</f>
        <v/>
      </c>
      <c r="D15450">
        <f>TEST_DATA!D15450</f>
        <v/>
      </c>
      <c r="E15450">
        <f>TEST_DATA!E15450</f>
        <v/>
      </c>
    </row>
    <row r="15451">
      <c r="A15451">
        <f>TEST_DATA!A15451</f>
        <v/>
      </c>
      <c r="B15451">
        <f>TEST_DATA!B15451</f>
        <v/>
      </c>
      <c r="C15451">
        <f>TEST_DATA!C15451</f>
        <v/>
      </c>
      <c r="D15451">
        <f>TEST_DATA!D15451</f>
        <v/>
      </c>
      <c r="E15451">
        <f>TEST_DATA!E15451</f>
        <v/>
      </c>
    </row>
    <row r="15452">
      <c r="A15452">
        <f>TEST_DATA!A15452</f>
        <v/>
      </c>
      <c r="B15452">
        <f>TEST_DATA!B15452</f>
        <v/>
      </c>
      <c r="C15452">
        <f>TEST_DATA!C15452</f>
        <v/>
      </c>
      <c r="D15452">
        <f>TEST_DATA!D15452</f>
        <v/>
      </c>
      <c r="E15452">
        <f>TEST_DATA!E15452</f>
        <v/>
      </c>
    </row>
    <row r="15453">
      <c r="A15453">
        <f>TEST_DATA!A15453</f>
        <v/>
      </c>
      <c r="B15453">
        <f>TEST_DATA!B15453</f>
        <v/>
      </c>
      <c r="C15453">
        <f>TEST_DATA!C15453</f>
        <v/>
      </c>
      <c r="D15453">
        <f>TEST_DATA!D15453</f>
        <v/>
      </c>
      <c r="E15453">
        <f>TEST_DATA!E15453</f>
        <v/>
      </c>
    </row>
    <row r="15454">
      <c r="A15454">
        <f>TEST_DATA!A15454</f>
        <v/>
      </c>
      <c r="B15454">
        <f>TEST_DATA!B15454</f>
        <v/>
      </c>
      <c r="C15454">
        <f>TEST_DATA!C15454</f>
        <v/>
      </c>
      <c r="D15454">
        <f>TEST_DATA!D15454</f>
        <v/>
      </c>
      <c r="E15454">
        <f>TEST_DATA!E15454</f>
        <v/>
      </c>
    </row>
    <row r="15455">
      <c r="A15455">
        <f>TEST_DATA!A15455</f>
        <v/>
      </c>
      <c r="B15455">
        <f>TEST_DATA!B15455</f>
        <v/>
      </c>
      <c r="C15455">
        <f>TEST_DATA!C15455</f>
        <v/>
      </c>
      <c r="D15455">
        <f>TEST_DATA!D15455</f>
        <v/>
      </c>
      <c r="E15455">
        <f>TEST_DATA!E15455</f>
        <v/>
      </c>
    </row>
    <row r="15456">
      <c r="A15456">
        <f>TEST_DATA!A15456</f>
        <v/>
      </c>
      <c r="B15456">
        <f>TEST_DATA!B15456</f>
        <v/>
      </c>
      <c r="C15456">
        <f>TEST_DATA!C15456</f>
        <v/>
      </c>
      <c r="D15456">
        <f>TEST_DATA!D15456</f>
        <v/>
      </c>
      <c r="E15456">
        <f>TEST_DATA!E15456</f>
        <v/>
      </c>
    </row>
    <row r="15457">
      <c r="A15457">
        <f>TEST_DATA!A15457</f>
        <v/>
      </c>
      <c r="B15457">
        <f>TEST_DATA!B15457</f>
        <v/>
      </c>
      <c r="C15457">
        <f>TEST_DATA!C15457</f>
        <v/>
      </c>
      <c r="D15457">
        <f>TEST_DATA!D15457</f>
        <v/>
      </c>
      <c r="E15457">
        <f>TEST_DATA!E15457</f>
        <v/>
      </c>
    </row>
    <row r="15458">
      <c r="A15458">
        <f>TEST_DATA!A15458</f>
        <v/>
      </c>
      <c r="B15458">
        <f>TEST_DATA!B15458</f>
        <v/>
      </c>
      <c r="C15458">
        <f>TEST_DATA!C15458</f>
        <v/>
      </c>
      <c r="D15458">
        <f>TEST_DATA!D15458</f>
        <v/>
      </c>
      <c r="E15458">
        <f>TEST_DATA!E15458</f>
        <v/>
      </c>
    </row>
    <row r="15459">
      <c r="A15459">
        <f>TEST_DATA!A15459</f>
        <v/>
      </c>
      <c r="B15459">
        <f>TEST_DATA!B15459</f>
        <v/>
      </c>
      <c r="C15459">
        <f>TEST_DATA!C15459</f>
        <v/>
      </c>
      <c r="D15459">
        <f>TEST_DATA!D15459</f>
        <v/>
      </c>
      <c r="E15459">
        <f>TEST_DATA!E15459</f>
        <v/>
      </c>
    </row>
    <row r="15460">
      <c r="A15460">
        <f>TEST_DATA!A15460</f>
        <v/>
      </c>
      <c r="B15460">
        <f>TEST_DATA!B15460</f>
        <v/>
      </c>
      <c r="C15460">
        <f>TEST_DATA!C15460</f>
        <v/>
      </c>
      <c r="D15460">
        <f>TEST_DATA!D15460</f>
        <v/>
      </c>
      <c r="E15460">
        <f>TEST_DATA!E15460</f>
        <v/>
      </c>
    </row>
    <row r="15461">
      <c r="A15461">
        <f>TEST_DATA!A15461</f>
        <v/>
      </c>
      <c r="B15461">
        <f>TEST_DATA!B15461</f>
        <v/>
      </c>
      <c r="C15461">
        <f>TEST_DATA!C15461</f>
        <v/>
      </c>
      <c r="D15461">
        <f>TEST_DATA!D15461</f>
        <v/>
      </c>
      <c r="E15461">
        <f>TEST_DATA!E15461</f>
        <v/>
      </c>
    </row>
    <row r="15462">
      <c r="A15462">
        <f>TEST_DATA!A15462</f>
        <v/>
      </c>
      <c r="B15462">
        <f>TEST_DATA!B15462</f>
        <v/>
      </c>
      <c r="C15462">
        <f>TEST_DATA!C15462</f>
        <v/>
      </c>
      <c r="D15462">
        <f>TEST_DATA!D15462</f>
        <v/>
      </c>
      <c r="E15462">
        <f>TEST_DATA!E15462</f>
        <v/>
      </c>
    </row>
    <row r="15463">
      <c r="A15463">
        <f>TEST_DATA!A15463</f>
        <v/>
      </c>
      <c r="B15463">
        <f>TEST_DATA!B15463</f>
        <v/>
      </c>
      <c r="C15463">
        <f>TEST_DATA!C15463</f>
        <v/>
      </c>
      <c r="D15463">
        <f>TEST_DATA!D15463</f>
        <v/>
      </c>
      <c r="E15463">
        <f>TEST_DATA!E15463</f>
        <v/>
      </c>
    </row>
    <row r="15464">
      <c r="A15464">
        <f>TEST_DATA!A15464</f>
        <v/>
      </c>
      <c r="B15464">
        <f>TEST_DATA!B15464</f>
        <v/>
      </c>
      <c r="C15464">
        <f>TEST_DATA!C15464</f>
        <v/>
      </c>
      <c r="D15464">
        <f>TEST_DATA!D15464</f>
        <v/>
      </c>
      <c r="E15464">
        <f>TEST_DATA!E15464</f>
        <v/>
      </c>
    </row>
    <row r="15465">
      <c r="A15465">
        <f>TEST_DATA!A15465</f>
        <v/>
      </c>
      <c r="B15465">
        <f>TEST_DATA!B15465</f>
        <v/>
      </c>
      <c r="C15465">
        <f>TEST_DATA!C15465</f>
        <v/>
      </c>
      <c r="D15465">
        <f>TEST_DATA!D15465</f>
        <v/>
      </c>
      <c r="E15465">
        <f>TEST_DATA!E15465</f>
        <v/>
      </c>
    </row>
    <row r="15466">
      <c r="A15466">
        <f>TEST_DATA!A15466</f>
        <v/>
      </c>
      <c r="B15466">
        <f>TEST_DATA!B15466</f>
        <v/>
      </c>
      <c r="C15466">
        <f>TEST_DATA!C15466</f>
        <v/>
      </c>
      <c r="D15466">
        <f>TEST_DATA!D15466</f>
        <v/>
      </c>
      <c r="E15466">
        <f>TEST_DATA!E15466</f>
        <v/>
      </c>
    </row>
    <row r="15467">
      <c r="A15467">
        <f>TEST_DATA!A15467</f>
        <v/>
      </c>
      <c r="B15467">
        <f>TEST_DATA!B15467</f>
        <v/>
      </c>
      <c r="C15467">
        <f>TEST_DATA!C15467</f>
        <v/>
      </c>
      <c r="D15467">
        <f>TEST_DATA!D15467</f>
        <v/>
      </c>
      <c r="E15467">
        <f>TEST_DATA!E15467</f>
        <v/>
      </c>
    </row>
    <row r="15468">
      <c r="A15468">
        <f>TEST_DATA!A15468</f>
        <v/>
      </c>
      <c r="B15468">
        <f>TEST_DATA!B15468</f>
        <v/>
      </c>
      <c r="C15468">
        <f>TEST_DATA!C15468</f>
        <v/>
      </c>
      <c r="D15468">
        <f>TEST_DATA!D15468</f>
        <v/>
      </c>
      <c r="E15468">
        <f>TEST_DATA!E15468</f>
        <v/>
      </c>
    </row>
    <row r="15469">
      <c r="A15469">
        <f>TEST_DATA!A15469</f>
        <v/>
      </c>
      <c r="B15469">
        <f>TEST_DATA!B15469</f>
        <v/>
      </c>
      <c r="C15469">
        <f>TEST_DATA!C15469</f>
        <v/>
      </c>
      <c r="D15469">
        <f>TEST_DATA!D15469</f>
        <v/>
      </c>
      <c r="E15469">
        <f>TEST_DATA!E15469</f>
        <v/>
      </c>
    </row>
    <row r="15470">
      <c r="A15470">
        <f>TEST_DATA!A15470</f>
        <v/>
      </c>
      <c r="B15470">
        <f>TEST_DATA!B15470</f>
        <v/>
      </c>
      <c r="C15470">
        <f>TEST_DATA!C15470</f>
        <v/>
      </c>
      <c r="D15470">
        <f>TEST_DATA!D15470</f>
        <v/>
      </c>
      <c r="E15470">
        <f>TEST_DATA!E15470</f>
        <v/>
      </c>
    </row>
    <row r="15471">
      <c r="A15471">
        <f>TEST_DATA!A15471</f>
        <v/>
      </c>
      <c r="B15471">
        <f>TEST_DATA!B15471</f>
        <v/>
      </c>
      <c r="C15471">
        <f>TEST_DATA!C15471</f>
        <v/>
      </c>
      <c r="D15471">
        <f>TEST_DATA!D15471</f>
        <v/>
      </c>
      <c r="E15471">
        <f>TEST_DATA!E15471</f>
        <v/>
      </c>
    </row>
    <row r="15472">
      <c r="A15472">
        <f>TEST_DATA!A15472</f>
        <v/>
      </c>
      <c r="B15472">
        <f>TEST_DATA!B15472</f>
        <v/>
      </c>
      <c r="C15472">
        <f>TEST_DATA!C15472</f>
        <v/>
      </c>
      <c r="D15472">
        <f>TEST_DATA!D15472</f>
        <v/>
      </c>
      <c r="E15472">
        <f>TEST_DATA!E15472</f>
        <v/>
      </c>
    </row>
    <row r="15473">
      <c r="A15473">
        <f>TEST_DATA!A15473</f>
        <v/>
      </c>
      <c r="B15473">
        <f>TEST_DATA!B15473</f>
        <v/>
      </c>
      <c r="C15473">
        <f>TEST_DATA!C15473</f>
        <v/>
      </c>
      <c r="D15473">
        <f>TEST_DATA!D15473</f>
        <v/>
      </c>
      <c r="E15473">
        <f>TEST_DATA!E15473</f>
        <v/>
      </c>
    </row>
    <row r="15474">
      <c r="A15474">
        <f>TEST_DATA!A15474</f>
        <v/>
      </c>
      <c r="B15474">
        <f>TEST_DATA!B15474</f>
        <v/>
      </c>
      <c r="C15474">
        <f>TEST_DATA!C15474</f>
        <v/>
      </c>
      <c r="D15474">
        <f>TEST_DATA!D15474</f>
        <v/>
      </c>
      <c r="E15474">
        <f>TEST_DATA!E15474</f>
        <v/>
      </c>
    </row>
    <row r="15475">
      <c r="A15475">
        <f>TEST_DATA!A15475</f>
        <v/>
      </c>
      <c r="B15475">
        <f>TEST_DATA!B15475</f>
        <v/>
      </c>
      <c r="C15475">
        <f>TEST_DATA!C15475</f>
        <v/>
      </c>
      <c r="D15475">
        <f>TEST_DATA!D15475</f>
        <v/>
      </c>
      <c r="E15475">
        <f>TEST_DATA!E15475</f>
        <v/>
      </c>
    </row>
    <row r="15476">
      <c r="A15476">
        <f>TEST_DATA!A15476</f>
        <v/>
      </c>
      <c r="B15476">
        <f>TEST_DATA!B15476</f>
        <v/>
      </c>
      <c r="C15476">
        <f>TEST_DATA!C15476</f>
        <v/>
      </c>
      <c r="D15476">
        <f>TEST_DATA!D15476</f>
        <v/>
      </c>
      <c r="E15476">
        <f>TEST_DATA!E15476</f>
        <v/>
      </c>
    </row>
    <row r="15477">
      <c r="A15477">
        <f>TEST_DATA!A15477</f>
        <v/>
      </c>
      <c r="B15477">
        <f>TEST_DATA!B15477</f>
        <v/>
      </c>
      <c r="C15477">
        <f>TEST_DATA!C15477</f>
        <v/>
      </c>
      <c r="D15477">
        <f>TEST_DATA!D15477</f>
        <v/>
      </c>
      <c r="E15477">
        <f>TEST_DATA!E15477</f>
        <v/>
      </c>
    </row>
    <row r="15478">
      <c r="A15478">
        <f>TEST_DATA!A15478</f>
        <v/>
      </c>
      <c r="B15478">
        <f>TEST_DATA!B15478</f>
        <v/>
      </c>
      <c r="C15478">
        <f>TEST_DATA!C15478</f>
        <v/>
      </c>
      <c r="D15478">
        <f>TEST_DATA!D15478</f>
        <v/>
      </c>
      <c r="E15478">
        <f>TEST_DATA!E15478</f>
        <v/>
      </c>
    </row>
    <row r="15479">
      <c r="A15479">
        <f>TEST_DATA!A15479</f>
        <v/>
      </c>
      <c r="B15479">
        <f>TEST_DATA!B15479</f>
        <v/>
      </c>
      <c r="C15479">
        <f>TEST_DATA!C15479</f>
        <v/>
      </c>
      <c r="D15479">
        <f>TEST_DATA!D15479</f>
        <v/>
      </c>
      <c r="E15479">
        <f>TEST_DATA!E15479</f>
        <v/>
      </c>
    </row>
    <row r="15480">
      <c r="A15480">
        <f>TEST_DATA!A15480</f>
        <v/>
      </c>
      <c r="B15480">
        <f>TEST_DATA!B15480</f>
        <v/>
      </c>
      <c r="C15480">
        <f>TEST_DATA!C15480</f>
        <v/>
      </c>
      <c r="D15480">
        <f>TEST_DATA!D15480</f>
        <v/>
      </c>
      <c r="E15480">
        <f>TEST_DATA!E15480</f>
        <v/>
      </c>
    </row>
    <row r="15481">
      <c r="A15481">
        <f>TEST_DATA!A15481</f>
        <v/>
      </c>
      <c r="B15481">
        <f>TEST_DATA!B15481</f>
        <v/>
      </c>
      <c r="C15481">
        <f>TEST_DATA!C15481</f>
        <v/>
      </c>
      <c r="D15481">
        <f>TEST_DATA!D15481</f>
        <v/>
      </c>
      <c r="E15481">
        <f>TEST_DATA!E15481</f>
        <v/>
      </c>
    </row>
    <row r="15482">
      <c r="A15482">
        <f>TEST_DATA!A15482</f>
        <v/>
      </c>
      <c r="B15482">
        <f>TEST_DATA!B15482</f>
        <v/>
      </c>
      <c r="C15482">
        <f>TEST_DATA!C15482</f>
        <v/>
      </c>
      <c r="D15482">
        <f>TEST_DATA!D15482</f>
        <v/>
      </c>
      <c r="E15482">
        <f>TEST_DATA!E15482</f>
        <v/>
      </c>
    </row>
    <row r="15483">
      <c r="A15483">
        <f>TEST_DATA!A15483</f>
        <v/>
      </c>
      <c r="B15483">
        <f>TEST_DATA!B15483</f>
        <v/>
      </c>
      <c r="C15483">
        <f>TEST_DATA!C15483</f>
        <v/>
      </c>
      <c r="D15483">
        <f>TEST_DATA!D15483</f>
        <v/>
      </c>
      <c r="E15483">
        <f>TEST_DATA!E15483</f>
        <v/>
      </c>
    </row>
    <row r="15484">
      <c r="A15484">
        <f>TEST_DATA!A15484</f>
        <v/>
      </c>
      <c r="B15484">
        <f>TEST_DATA!B15484</f>
        <v/>
      </c>
      <c r="C15484">
        <f>TEST_DATA!C15484</f>
        <v/>
      </c>
      <c r="D15484">
        <f>TEST_DATA!D15484</f>
        <v/>
      </c>
      <c r="E15484">
        <f>TEST_DATA!E15484</f>
        <v/>
      </c>
    </row>
    <row r="15485">
      <c r="A15485">
        <f>TEST_DATA!A15485</f>
        <v/>
      </c>
      <c r="B15485">
        <f>TEST_DATA!B15485</f>
        <v/>
      </c>
      <c r="C15485">
        <f>TEST_DATA!C15485</f>
        <v/>
      </c>
      <c r="D15485">
        <f>TEST_DATA!D15485</f>
        <v/>
      </c>
      <c r="E15485">
        <f>TEST_DATA!E15485</f>
        <v/>
      </c>
    </row>
    <row r="15486">
      <c r="A15486">
        <f>TEST_DATA!A15486</f>
        <v/>
      </c>
      <c r="B15486">
        <f>TEST_DATA!B15486</f>
        <v/>
      </c>
      <c r="C15486">
        <f>TEST_DATA!C15486</f>
        <v/>
      </c>
      <c r="D15486">
        <f>TEST_DATA!D15486</f>
        <v/>
      </c>
      <c r="E15486">
        <f>TEST_DATA!E15486</f>
        <v/>
      </c>
    </row>
    <row r="15487">
      <c r="A15487">
        <f>TEST_DATA!A15487</f>
        <v/>
      </c>
      <c r="B15487">
        <f>TEST_DATA!B15487</f>
        <v/>
      </c>
      <c r="C15487">
        <f>TEST_DATA!C15487</f>
        <v/>
      </c>
      <c r="D15487">
        <f>TEST_DATA!D15487</f>
        <v/>
      </c>
      <c r="E15487">
        <f>TEST_DATA!E15487</f>
        <v/>
      </c>
    </row>
    <row r="15488">
      <c r="A15488">
        <f>TEST_DATA!A15488</f>
        <v/>
      </c>
      <c r="B15488">
        <f>TEST_DATA!B15488</f>
        <v/>
      </c>
      <c r="C15488">
        <f>TEST_DATA!C15488</f>
        <v/>
      </c>
      <c r="D15488">
        <f>TEST_DATA!D15488</f>
        <v/>
      </c>
      <c r="E15488">
        <f>TEST_DATA!E15488</f>
        <v/>
      </c>
    </row>
    <row r="15489">
      <c r="A15489">
        <f>TEST_DATA!A15489</f>
        <v/>
      </c>
      <c r="B15489">
        <f>TEST_DATA!B15489</f>
        <v/>
      </c>
      <c r="C15489">
        <f>TEST_DATA!C15489</f>
        <v/>
      </c>
      <c r="D15489">
        <f>TEST_DATA!D15489</f>
        <v/>
      </c>
      <c r="E15489">
        <f>TEST_DATA!E15489</f>
        <v/>
      </c>
    </row>
    <row r="15490">
      <c r="A15490">
        <f>TEST_DATA!A15490</f>
        <v/>
      </c>
      <c r="B15490">
        <f>TEST_DATA!B15490</f>
        <v/>
      </c>
      <c r="C15490">
        <f>TEST_DATA!C15490</f>
        <v/>
      </c>
      <c r="D15490">
        <f>TEST_DATA!D15490</f>
        <v/>
      </c>
      <c r="E15490">
        <f>TEST_DATA!E15490</f>
        <v/>
      </c>
    </row>
    <row r="15491">
      <c r="A15491">
        <f>TEST_DATA!A15491</f>
        <v/>
      </c>
      <c r="B15491">
        <f>TEST_DATA!B15491</f>
        <v/>
      </c>
      <c r="C15491">
        <f>TEST_DATA!C15491</f>
        <v/>
      </c>
      <c r="D15491">
        <f>TEST_DATA!D15491</f>
        <v/>
      </c>
      <c r="E15491">
        <f>TEST_DATA!E15491</f>
        <v/>
      </c>
    </row>
    <row r="15492">
      <c r="A15492">
        <f>TEST_DATA!A15492</f>
        <v/>
      </c>
      <c r="B15492">
        <f>TEST_DATA!B15492</f>
        <v/>
      </c>
      <c r="C15492">
        <f>TEST_DATA!C15492</f>
        <v/>
      </c>
      <c r="D15492">
        <f>TEST_DATA!D15492</f>
        <v/>
      </c>
      <c r="E15492">
        <f>TEST_DATA!E15492</f>
        <v/>
      </c>
    </row>
    <row r="15493">
      <c r="A15493">
        <f>TEST_DATA!A15493</f>
        <v/>
      </c>
      <c r="B15493">
        <f>TEST_DATA!B15493</f>
        <v/>
      </c>
      <c r="C15493">
        <f>TEST_DATA!C15493</f>
        <v/>
      </c>
      <c r="D15493">
        <f>TEST_DATA!D15493</f>
        <v/>
      </c>
      <c r="E15493">
        <f>TEST_DATA!E15493</f>
        <v/>
      </c>
    </row>
    <row r="15494">
      <c r="A15494">
        <f>TEST_DATA!A15494</f>
        <v/>
      </c>
      <c r="B15494">
        <f>TEST_DATA!B15494</f>
        <v/>
      </c>
      <c r="C15494">
        <f>TEST_DATA!C15494</f>
        <v/>
      </c>
      <c r="D15494">
        <f>TEST_DATA!D15494</f>
        <v/>
      </c>
      <c r="E15494">
        <f>TEST_DATA!E15494</f>
        <v/>
      </c>
    </row>
    <row r="15495">
      <c r="A15495">
        <f>TEST_DATA!A15495</f>
        <v/>
      </c>
      <c r="B15495">
        <f>TEST_DATA!B15495</f>
        <v/>
      </c>
      <c r="C15495">
        <f>TEST_DATA!C15495</f>
        <v/>
      </c>
      <c r="D15495">
        <f>TEST_DATA!D15495</f>
        <v/>
      </c>
      <c r="E15495">
        <f>TEST_DATA!E15495</f>
        <v/>
      </c>
    </row>
    <row r="15496">
      <c r="A15496">
        <f>TEST_DATA!A15496</f>
        <v/>
      </c>
      <c r="B15496">
        <f>TEST_DATA!B15496</f>
        <v/>
      </c>
      <c r="C15496">
        <f>TEST_DATA!C15496</f>
        <v/>
      </c>
      <c r="D15496">
        <f>TEST_DATA!D15496</f>
        <v/>
      </c>
      <c r="E15496">
        <f>TEST_DATA!E15496</f>
        <v/>
      </c>
    </row>
    <row r="15497">
      <c r="A15497">
        <f>TEST_DATA!A15497</f>
        <v/>
      </c>
      <c r="B15497">
        <f>TEST_DATA!B15497</f>
        <v/>
      </c>
      <c r="C15497">
        <f>TEST_DATA!C15497</f>
        <v/>
      </c>
      <c r="D15497">
        <f>TEST_DATA!D15497</f>
        <v/>
      </c>
      <c r="E15497">
        <f>TEST_DATA!E15497</f>
        <v/>
      </c>
    </row>
    <row r="15498">
      <c r="A15498">
        <f>TEST_DATA!A15498</f>
        <v/>
      </c>
      <c r="B15498">
        <f>TEST_DATA!B15498</f>
        <v/>
      </c>
      <c r="C15498">
        <f>TEST_DATA!C15498</f>
        <v/>
      </c>
      <c r="D15498">
        <f>TEST_DATA!D15498</f>
        <v/>
      </c>
      <c r="E15498">
        <f>TEST_DATA!E15498</f>
        <v/>
      </c>
    </row>
    <row r="15499">
      <c r="A15499">
        <f>TEST_DATA!A15499</f>
        <v/>
      </c>
      <c r="B15499">
        <f>TEST_DATA!B15499</f>
        <v/>
      </c>
      <c r="C15499">
        <f>TEST_DATA!C15499</f>
        <v/>
      </c>
      <c r="D15499">
        <f>TEST_DATA!D15499</f>
        <v/>
      </c>
      <c r="E15499">
        <f>TEST_DATA!E15499</f>
        <v/>
      </c>
    </row>
    <row r="15500">
      <c r="A15500">
        <f>TEST_DATA!A15500</f>
        <v/>
      </c>
      <c r="B15500">
        <f>TEST_DATA!B15500</f>
        <v/>
      </c>
      <c r="C15500">
        <f>TEST_DATA!C15500</f>
        <v/>
      </c>
      <c r="D15500">
        <f>TEST_DATA!D15500</f>
        <v/>
      </c>
      <c r="E15500">
        <f>TEST_DATA!E15500</f>
        <v/>
      </c>
    </row>
    <row r="15501">
      <c r="A15501">
        <f>TEST_DATA!A15501</f>
        <v/>
      </c>
      <c r="B15501">
        <f>TEST_DATA!B15501</f>
        <v/>
      </c>
      <c r="C15501">
        <f>TEST_DATA!C15501</f>
        <v/>
      </c>
      <c r="D15501">
        <f>TEST_DATA!D15501</f>
        <v/>
      </c>
      <c r="E15501">
        <f>TEST_DATA!E15501</f>
        <v/>
      </c>
    </row>
    <row r="15502">
      <c r="A15502">
        <f>TEST_DATA!A15502</f>
        <v/>
      </c>
      <c r="B15502">
        <f>TEST_DATA!B15502</f>
        <v/>
      </c>
      <c r="C15502">
        <f>TEST_DATA!C15502</f>
        <v/>
      </c>
      <c r="D15502">
        <f>TEST_DATA!D15502</f>
        <v/>
      </c>
      <c r="E15502">
        <f>TEST_DATA!E15502</f>
        <v/>
      </c>
    </row>
    <row r="15503">
      <c r="A15503">
        <f>TEST_DATA!A15503</f>
        <v/>
      </c>
      <c r="B15503">
        <f>TEST_DATA!B15503</f>
        <v/>
      </c>
      <c r="C15503">
        <f>TEST_DATA!C15503</f>
        <v/>
      </c>
      <c r="D15503">
        <f>TEST_DATA!D15503</f>
        <v/>
      </c>
      <c r="E15503">
        <f>TEST_DATA!E15503</f>
        <v/>
      </c>
    </row>
    <row r="15504">
      <c r="A15504">
        <f>TEST_DATA!A15504</f>
        <v/>
      </c>
      <c r="B15504">
        <f>TEST_DATA!B15504</f>
        <v/>
      </c>
      <c r="C15504">
        <f>TEST_DATA!C15504</f>
        <v/>
      </c>
      <c r="D15504">
        <f>TEST_DATA!D15504</f>
        <v/>
      </c>
      <c r="E15504">
        <f>TEST_DATA!E15504</f>
        <v/>
      </c>
    </row>
    <row r="15505">
      <c r="A15505">
        <f>TEST_DATA!A15505</f>
        <v/>
      </c>
      <c r="B15505">
        <f>TEST_DATA!B15505</f>
        <v/>
      </c>
      <c r="C15505">
        <f>TEST_DATA!C15505</f>
        <v/>
      </c>
      <c r="D15505">
        <f>TEST_DATA!D15505</f>
        <v/>
      </c>
      <c r="E15505">
        <f>TEST_DATA!E15505</f>
        <v/>
      </c>
    </row>
    <row r="15506">
      <c r="A15506">
        <f>TEST_DATA!A15506</f>
        <v/>
      </c>
      <c r="B15506">
        <f>TEST_DATA!B15506</f>
        <v/>
      </c>
      <c r="C15506">
        <f>TEST_DATA!C15506</f>
        <v/>
      </c>
      <c r="D15506">
        <f>TEST_DATA!D15506</f>
        <v/>
      </c>
      <c r="E15506">
        <f>TEST_DATA!E15506</f>
        <v/>
      </c>
    </row>
    <row r="15507">
      <c r="A15507">
        <f>TEST_DATA!A15507</f>
        <v/>
      </c>
      <c r="B15507">
        <f>TEST_DATA!B15507</f>
        <v/>
      </c>
      <c r="C15507">
        <f>TEST_DATA!C15507</f>
        <v/>
      </c>
      <c r="D15507">
        <f>TEST_DATA!D15507</f>
        <v/>
      </c>
      <c r="E15507">
        <f>TEST_DATA!E15507</f>
        <v/>
      </c>
    </row>
    <row r="15508">
      <c r="A15508">
        <f>TEST_DATA!A15508</f>
        <v/>
      </c>
      <c r="B15508">
        <f>TEST_DATA!B15508</f>
        <v/>
      </c>
      <c r="C15508">
        <f>TEST_DATA!C15508</f>
        <v/>
      </c>
      <c r="D15508">
        <f>TEST_DATA!D15508</f>
        <v/>
      </c>
      <c r="E15508">
        <f>TEST_DATA!E15508</f>
        <v/>
      </c>
    </row>
    <row r="15509">
      <c r="A15509">
        <f>TEST_DATA!A15509</f>
        <v/>
      </c>
      <c r="B15509">
        <f>TEST_DATA!B15509</f>
        <v/>
      </c>
      <c r="C15509">
        <f>TEST_DATA!C15509</f>
        <v/>
      </c>
      <c r="D15509">
        <f>TEST_DATA!D15509</f>
        <v/>
      </c>
      <c r="E15509">
        <f>TEST_DATA!E15509</f>
        <v/>
      </c>
    </row>
    <row r="15510">
      <c r="A15510">
        <f>TEST_DATA!A15510</f>
        <v/>
      </c>
      <c r="B15510">
        <f>TEST_DATA!B15510</f>
        <v/>
      </c>
      <c r="C15510">
        <f>TEST_DATA!C15510</f>
        <v/>
      </c>
      <c r="D15510">
        <f>TEST_DATA!D15510</f>
        <v/>
      </c>
      <c r="E15510">
        <f>TEST_DATA!E15510</f>
        <v/>
      </c>
    </row>
    <row r="15511">
      <c r="A15511">
        <f>TEST_DATA!A15511</f>
        <v/>
      </c>
      <c r="B15511">
        <f>TEST_DATA!B15511</f>
        <v/>
      </c>
      <c r="C15511">
        <f>TEST_DATA!C15511</f>
        <v/>
      </c>
      <c r="D15511">
        <f>TEST_DATA!D15511</f>
        <v/>
      </c>
      <c r="E15511">
        <f>TEST_DATA!E15511</f>
        <v/>
      </c>
    </row>
    <row r="15512">
      <c r="A15512">
        <f>TEST_DATA!A15512</f>
        <v/>
      </c>
      <c r="B15512">
        <f>TEST_DATA!B15512</f>
        <v/>
      </c>
      <c r="C15512">
        <f>TEST_DATA!C15512</f>
        <v/>
      </c>
      <c r="D15512">
        <f>TEST_DATA!D15512</f>
        <v/>
      </c>
      <c r="E15512">
        <f>TEST_DATA!E15512</f>
        <v/>
      </c>
    </row>
    <row r="15513">
      <c r="A15513">
        <f>TEST_DATA!A15513</f>
        <v/>
      </c>
      <c r="B15513">
        <f>TEST_DATA!B15513</f>
        <v/>
      </c>
      <c r="C15513">
        <f>TEST_DATA!C15513</f>
        <v/>
      </c>
      <c r="D15513">
        <f>TEST_DATA!D15513</f>
        <v/>
      </c>
      <c r="E15513">
        <f>TEST_DATA!E15513</f>
        <v/>
      </c>
    </row>
    <row r="15514">
      <c r="A15514">
        <f>TEST_DATA!A15514</f>
        <v/>
      </c>
      <c r="B15514">
        <f>TEST_DATA!B15514</f>
        <v/>
      </c>
      <c r="C15514">
        <f>TEST_DATA!C15514</f>
        <v/>
      </c>
      <c r="D15514">
        <f>TEST_DATA!D15514</f>
        <v/>
      </c>
      <c r="E15514">
        <f>TEST_DATA!E15514</f>
        <v/>
      </c>
    </row>
    <row r="15515">
      <c r="A15515">
        <f>TEST_DATA!A15515</f>
        <v/>
      </c>
      <c r="B15515">
        <f>TEST_DATA!B15515</f>
        <v/>
      </c>
      <c r="C15515">
        <f>TEST_DATA!C15515</f>
        <v/>
      </c>
      <c r="D15515">
        <f>TEST_DATA!D15515</f>
        <v/>
      </c>
      <c r="E15515">
        <f>TEST_DATA!E15515</f>
        <v/>
      </c>
    </row>
    <row r="15516">
      <c r="A15516">
        <f>TEST_DATA!A15516</f>
        <v/>
      </c>
      <c r="B15516">
        <f>TEST_DATA!B15516</f>
        <v/>
      </c>
      <c r="C15516">
        <f>TEST_DATA!C15516</f>
        <v/>
      </c>
      <c r="D15516">
        <f>TEST_DATA!D15516</f>
        <v/>
      </c>
      <c r="E15516">
        <f>TEST_DATA!E15516</f>
        <v/>
      </c>
    </row>
    <row r="15517">
      <c r="A15517">
        <f>TEST_DATA!A15517</f>
        <v/>
      </c>
      <c r="B15517">
        <f>TEST_DATA!B15517</f>
        <v/>
      </c>
      <c r="C15517">
        <f>TEST_DATA!C15517</f>
        <v/>
      </c>
      <c r="D15517">
        <f>TEST_DATA!D15517</f>
        <v/>
      </c>
      <c r="E15517">
        <f>TEST_DATA!E15517</f>
        <v/>
      </c>
    </row>
    <row r="15518">
      <c r="A15518">
        <f>TEST_DATA!A15518</f>
        <v/>
      </c>
      <c r="B15518">
        <f>TEST_DATA!B15518</f>
        <v/>
      </c>
      <c r="C15518">
        <f>TEST_DATA!C15518</f>
        <v/>
      </c>
      <c r="D15518">
        <f>TEST_DATA!D15518</f>
        <v/>
      </c>
      <c r="E15518">
        <f>TEST_DATA!E15518</f>
        <v/>
      </c>
    </row>
    <row r="15519">
      <c r="A15519">
        <f>TEST_DATA!A15519</f>
        <v/>
      </c>
      <c r="B15519">
        <f>TEST_DATA!B15519</f>
        <v/>
      </c>
      <c r="C15519">
        <f>TEST_DATA!C15519</f>
        <v/>
      </c>
      <c r="D15519">
        <f>TEST_DATA!D15519</f>
        <v/>
      </c>
      <c r="E15519">
        <f>TEST_DATA!E15519</f>
        <v/>
      </c>
    </row>
    <row r="15520">
      <c r="A15520">
        <f>TEST_DATA!A15520</f>
        <v/>
      </c>
      <c r="B15520">
        <f>TEST_DATA!B15520</f>
        <v/>
      </c>
      <c r="C15520">
        <f>TEST_DATA!C15520</f>
        <v/>
      </c>
      <c r="D15520">
        <f>TEST_DATA!D15520</f>
        <v/>
      </c>
      <c r="E15520">
        <f>TEST_DATA!E15520</f>
        <v/>
      </c>
    </row>
    <row r="15521">
      <c r="A15521">
        <f>TEST_DATA!A15521</f>
        <v/>
      </c>
      <c r="B15521">
        <f>TEST_DATA!B15521</f>
        <v/>
      </c>
      <c r="C15521">
        <f>TEST_DATA!C15521</f>
        <v/>
      </c>
      <c r="D15521">
        <f>TEST_DATA!D15521</f>
        <v/>
      </c>
      <c r="E15521">
        <f>TEST_DATA!E15521</f>
        <v/>
      </c>
    </row>
    <row r="15522">
      <c r="A15522">
        <f>TEST_DATA!A15522</f>
        <v/>
      </c>
      <c r="B15522">
        <f>TEST_DATA!B15522</f>
        <v/>
      </c>
      <c r="C15522">
        <f>TEST_DATA!C15522</f>
        <v/>
      </c>
      <c r="D15522">
        <f>TEST_DATA!D15522</f>
        <v/>
      </c>
      <c r="E15522">
        <f>TEST_DATA!E15522</f>
        <v/>
      </c>
    </row>
    <row r="15523">
      <c r="A15523">
        <f>TEST_DATA!A15523</f>
        <v/>
      </c>
      <c r="B15523">
        <f>TEST_DATA!B15523</f>
        <v/>
      </c>
      <c r="C15523">
        <f>TEST_DATA!C15523</f>
        <v/>
      </c>
      <c r="D15523">
        <f>TEST_DATA!D15523</f>
        <v/>
      </c>
      <c r="E15523">
        <f>TEST_DATA!E15523</f>
        <v/>
      </c>
    </row>
    <row r="15524">
      <c r="A15524">
        <f>TEST_DATA!A15524</f>
        <v/>
      </c>
      <c r="B15524">
        <f>TEST_DATA!B15524</f>
        <v/>
      </c>
      <c r="C15524">
        <f>TEST_DATA!C15524</f>
        <v/>
      </c>
      <c r="D15524">
        <f>TEST_DATA!D15524</f>
        <v/>
      </c>
      <c r="E15524">
        <f>TEST_DATA!E15524</f>
        <v/>
      </c>
    </row>
    <row r="15525">
      <c r="A15525">
        <f>TEST_DATA!A15525</f>
        <v/>
      </c>
      <c r="B15525">
        <f>TEST_DATA!B15525</f>
        <v/>
      </c>
      <c r="C15525">
        <f>TEST_DATA!C15525</f>
        <v/>
      </c>
      <c r="D15525">
        <f>TEST_DATA!D15525</f>
        <v/>
      </c>
      <c r="E15525">
        <f>TEST_DATA!E15525</f>
        <v/>
      </c>
    </row>
    <row r="15526">
      <c r="A15526">
        <f>TEST_DATA!A15526</f>
        <v/>
      </c>
      <c r="B15526">
        <f>TEST_DATA!B15526</f>
        <v/>
      </c>
      <c r="C15526">
        <f>TEST_DATA!C15526</f>
        <v/>
      </c>
      <c r="D15526">
        <f>TEST_DATA!D15526</f>
        <v/>
      </c>
      <c r="E15526">
        <f>TEST_DATA!E15526</f>
        <v/>
      </c>
    </row>
    <row r="15527">
      <c r="A15527">
        <f>TEST_DATA!A15527</f>
        <v/>
      </c>
      <c r="B15527">
        <f>TEST_DATA!B15527</f>
        <v/>
      </c>
      <c r="C15527">
        <f>TEST_DATA!C15527</f>
        <v/>
      </c>
      <c r="D15527">
        <f>TEST_DATA!D15527</f>
        <v/>
      </c>
      <c r="E15527">
        <f>TEST_DATA!E15527</f>
        <v/>
      </c>
    </row>
    <row r="15528">
      <c r="A15528">
        <f>TEST_DATA!A15528</f>
        <v/>
      </c>
      <c r="B15528">
        <f>TEST_DATA!B15528</f>
        <v/>
      </c>
      <c r="C15528">
        <f>TEST_DATA!C15528</f>
        <v/>
      </c>
      <c r="D15528">
        <f>TEST_DATA!D15528</f>
        <v/>
      </c>
      <c r="E15528">
        <f>TEST_DATA!E15528</f>
        <v/>
      </c>
    </row>
    <row r="15529">
      <c r="A15529">
        <f>TEST_DATA!A15529</f>
        <v/>
      </c>
      <c r="B15529">
        <f>TEST_DATA!B15529</f>
        <v/>
      </c>
      <c r="C15529">
        <f>TEST_DATA!C15529</f>
        <v/>
      </c>
      <c r="D15529">
        <f>TEST_DATA!D15529</f>
        <v/>
      </c>
      <c r="E15529">
        <f>TEST_DATA!E15529</f>
        <v/>
      </c>
    </row>
    <row r="15530">
      <c r="A15530">
        <f>TEST_DATA!A15530</f>
        <v/>
      </c>
      <c r="B15530">
        <f>TEST_DATA!B15530</f>
        <v/>
      </c>
      <c r="C15530">
        <f>TEST_DATA!C15530</f>
        <v/>
      </c>
      <c r="D15530">
        <f>TEST_DATA!D15530</f>
        <v/>
      </c>
      <c r="E15530">
        <f>TEST_DATA!E15530</f>
        <v/>
      </c>
    </row>
    <row r="15531">
      <c r="A15531">
        <f>TEST_DATA!A15531</f>
        <v/>
      </c>
      <c r="B15531">
        <f>TEST_DATA!B15531</f>
        <v/>
      </c>
      <c r="C15531">
        <f>TEST_DATA!C15531</f>
        <v/>
      </c>
      <c r="D15531">
        <f>TEST_DATA!D15531</f>
        <v/>
      </c>
      <c r="E15531">
        <f>TEST_DATA!E15531</f>
        <v/>
      </c>
    </row>
    <row r="15532">
      <c r="A15532">
        <f>TEST_DATA!A15532</f>
        <v/>
      </c>
      <c r="B15532">
        <f>TEST_DATA!B15532</f>
        <v/>
      </c>
      <c r="C15532">
        <f>TEST_DATA!C15532</f>
        <v/>
      </c>
      <c r="D15532">
        <f>TEST_DATA!D15532</f>
        <v/>
      </c>
      <c r="E15532">
        <f>TEST_DATA!E15532</f>
        <v/>
      </c>
    </row>
    <row r="15533">
      <c r="A15533">
        <f>TEST_DATA!A15533</f>
        <v/>
      </c>
      <c r="B15533">
        <f>TEST_DATA!B15533</f>
        <v/>
      </c>
      <c r="C15533">
        <f>TEST_DATA!C15533</f>
        <v/>
      </c>
      <c r="D15533">
        <f>TEST_DATA!D15533</f>
        <v/>
      </c>
      <c r="E15533">
        <f>TEST_DATA!E15533</f>
        <v/>
      </c>
    </row>
    <row r="15534">
      <c r="A15534">
        <f>TEST_DATA!A15534</f>
        <v/>
      </c>
      <c r="B15534">
        <f>TEST_DATA!B15534</f>
        <v/>
      </c>
      <c r="C15534">
        <f>TEST_DATA!C15534</f>
        <v/>
      </c>
      <c r="D15534">
        <f>TEST_DATA!D15534</f>
        <v/>
      </c>
      <c r="E15534">
        <f>TEST_DATA!E15534</f>
        <v/>
      </c>
    </row>
    <row r="15535">
      <c r="A15535">
        <f>TEST_DATA!A15535</f>
        <v/>
      </c>
      <c r="B15535">
        <f>TEST_DATA!B15535</f>
        <v/>
      </c>
      <c r="C15535">
        <f>TEST_DATA!C15535</f>
        <v/>
      </c>
      <c r="D15535">
        <f>TEST_DATA!D15535</f>
        <v/>
      </c>
      <c r="E15535">
        <f>TEST_DATA!E15535</f>
        <v/>
      </c>
    </row>
    <row r="15536">
      <c r="A15536">
        <f>TEST_DATA!A15536</f>
        <v/>
      </c>
      <c r="B15536">
        <f>TEST_DATA!B15536</f>
        <v/>
      </c>
      <c r="C15536">
        <f>TEST_DATA!C15536</f>
        <v/>
      </c>
      <c r="D15536">
        <f>TEST_DATA!D15536</f>
        <v/>
      </c>
      <c r="E15536">
        <f>TEST_DATA!E15536</f>
        <v/>
      </c>
    </row>
    <row r="15537">
      <c r="A15537">
        <f>TEST_DATA!A15537</f>
        <v/>
      </c>
      <c r="B15537">
        <f>TEST_DATA!B15537</f>
        <v/>
      </c>
      <c r="C15537">
        <f>TEST_DATA!C15537</f>
        <v/>
      </c>
      <c r="D15537">
        <f>TEST_DATA!D15537</f>
        <v/>
      </c>
      <c r="E15537">
        <f>TEST_DATA!E15537</f>
        <v/>
      </c>
    </row>
    <row r="15538">
      <c r="A15538">
        <f>TEST_DATA!A15538</f>
        <v/>
      </c>
      <c r="B15538">
        <f>TEST_DATA!B15538</f>
        <v/>
      </c>
      <c r="C15538">
        <f>TEST_DATA!C15538</f>
        <v/>
      </c>
      <c r="D15538">
        <f>TEST_DATA!D15538</f>
        <v/>
      </c>
      <c r="E15538">
        <f>TEST_DATA!E15538</f>
        <v/>
      </c>
    </row>
    <row r="15539">
      <c r="A15539">
        <f>TEST_DATA!A15539</f>
        <v/>
      </c>
      <c r="B15539">
        <f>TEST_DATA!B15539</f>
        <v/>
      </c>
      <c r="C15539">
        <f>TEST_DATA!C15539</f>
        <v/>
      </c>
      <c r="D15539">
        <f>TEST_DATA!D15539</f>
        <v/>
      </c>
      <c r="E15539">
        <f>TEST_DATA!E15539</f>
        <v/>
      </c>
    </row>
    <row r="15540">
      <c r="A15540">
        <f>TEST_DATA!A15540</f>
        <v/>
      </c>
      <c r="B15540">
        <f>TEST_DATA!B15540</f>
        <v/>
      </c>
      <c r="C15540">
        <f>TEST_DATA!C15540</f>
        <v/>
      </c>
      <c r="D15540">
        <f>TEST_DATA!D15540</f>
        <v/>
      </c>
      <c r="E15540">
        <f>TEST_DATA!E15540</f>
        <v/>
      </c>
    </row>
    <row r="15541">
      <c r="A15541">
        <f>TEST_DATA!A15541</f>
        <v/>
      </c>
      <c r="B15541">
        <f>TEST_DATA!B15541</f>
        <v/>
      </c>
      <c r="C15541">
        <f>TEST_DATA!C15541</f>
        <v/>
      </c>
      <c r="D15541">
        <f>TEST_DATA!D15541</f>
        <v/>
      </c>
      <c r="E15541">
        <f>TEST_DATA!E15541</f>
        <v/>
      </c>
    </row>
    <row r="15542">
      <c r="A15542">
        <f>TEST_DATA!A15542</f>
        <v/>
      </c>
      <c r="B15542">
        <f>TEST_DATA!B15542</f>
        <v/>
      </c>
      <c r="C15542">
        <f>TEST_DATA!C15542</f>
        <v/>
      </c>
      <c r="D15542">
        <f>TEST_DATA!D15542</f>
        <v/>
      </c>
      <c r="E15542">
        <f>TEST_DATA!E15542</f>
        <v/>
      </c>
    </row>
    <row r="15543">
      <c r="A15543">
        <f>TEST_DATA!A15543</f>
        <v/>
      </c>
      <c r="B15543">
        <f>TEST_DATA!B15543</f>
        <v/>
      </c>
      <c r="C15543">
        <f>TEST_DATA!C15543</f>
        <v/>
      </c>
      <c r="D15543">
        <f>TEST_DATA!D15543</f>
        <v/>
      </c>
      <c r="E15543">
        <f>TEST_DATA!E15543</f>
        <v/>
      </c>
    </row>
    <row r="15544">
      <c r="A15544">
        <f>TEST_DATA!A15544</f>
        <v/>
      </c>
      <c r="B15544">
        <f>TEST_DATA!B15544</f>
        <v/>
      </c>
      <c r="C15544">
        <f>TEST_DATA!C15544</f>
        <v/>
      </c>
      <c r="D15544">
        <f>TEST_DATA!D15544</f>
        <v/>
      </c>
      <c r="E15544">
        <f>TEST_DATA!E15544</f>
        <v/>
      </c>
    </row>
    <row r="15545">
      <c r="A15545">
        <f>TEST_DATA!A15545</f>
        <v/>
      </c>
      <c r="B15545">
        <f>TEST_DATA!B15545</f>
        <v/>
      </c>
      <c r="C15545">
        <f>TEST_DATA!C15545</f>
        <v/>
      </c>
      <c r="D15545">
        <f>TEST_DATA!D15545</f>
        <v/>
      </c>
      <c r="E15545">
        <f>TEST_DATA!E15545</f>
        <v/>
      </c>
    </row>
    <row r="15546">
      <c r="A15546">
        <f>TEST_DATA!A15546</f>
        <v/>
      </c>
      <c r="B15546">
        <f>TEST_DATA!B15546</f>
        <v/>
      </c>
      <c r="C15546">
        <f>TEST_DATA!C15546</f>
        <v/>
      </c>
      <c r="D15546">
        <f>TEST_DATA!D15546</f>
        <v/>
      </c>
      <c r="E15546">
        <f>TEST_DATA!E15546</f>
        <v/>
      </c>
    </row>
    <row r="15547">
      <c r="A15547">
        <f>TEST_DATA!A15547</f>
        <v/>
      </c>
      <c r="B15547">
        <f>TEST_DATA!B15547</f>
        <v/>
      </c>
      <c r="C15547">
        <f>TEST_DATA!C15547</f>
        <v/>
      </c>
      <c r="D15547">
        <f>TEST_DATA!D15547</f>
        <v/>
      </c>
      <c r="E15547">
        <f>TEST_DATA!E15547</f>
        <v/>
      </c>
    </row>
    <row r="15548">
      <c r="A15548">
        <f>TEST_DATA!A15548</f>
        <v/>
      </c>
      <c r="B15548">
        <f>TEST_DATA!B15548</f>
        <v/>
      </c>
      <c r="C15548">
        <f>TEST_DATA!C15548</f>
        <v/>
      </c>
      <c r="D15548">
        <f>TEST_DATA!D15548</f>
        <v/>
      </c>
      <c r="E15548">
        <f>TEST_DATA!E15548</f>
        <v/>
      </c>
    </row>
    <row r="15549">
      <c r="A15549">
        <f>TEST_DATA!A15549</f>
        <v/>
      </c>
      <c r="B15549">
        <f>TEST_DATA!B15549</f>
        <v/>
      </c>
      <c r="C15549">
        <f>TEST_DATA!C15549</f>
        <v/>
      </c>
      <c r="D15549">
        <f>TEST_DATA!D15549</f>
        <v/>
      </c>
      <c r="E15549">
        <f>TEST_DATA!E15549</f>
        <v/>
      </c>
    </row>
    <row r="15550">
      <c r="A15550">
        <f>TEST_DATA!A15550</f>
        <v/>
      </c>
      <c r="B15550">
        <f>TEST_DATA!B15550</f>
        <v/>
      </c>
      <c r="C15550">
        <f>TEST_DATA!C15550</f>
        <v/>
      </c>
      <c r="D15550">
        <f>TEST_DATA!D15550</f>
        <v/>
      </c>
      <c r="E15550">
        <f>TEST_DATA!E15550</f>
        <v/>
      </c>
    </row>
    <row r="15551">
      <c r="A15551">
        <f>TEST_DATA!A15551</f>
        <v/>
      </c>
      <c r="B15551">
        <f>TEST_DATA!B15551</f>
        <v/>
      </c>
      <c r="C15551">
        <f>TEST_DATA!C15551</f>
        <v/>
      </c>
      <c r="D15551">
        <f>TEST_DATA!D15551</f>
        <v/>
      </c>
      <c r="E15551">
        <f>TEST_DATA!E15551</f>
        <v/>
      </c>
    </row>
    <row r="15552">
      <c r="A15552">
        <f>TEST_DATA!A15552</f>
        <v/>
      </c>
      <c r="B15552">
        <f>TEST_DATA!B15552</f>
        <v/>
      </c>
      <c r="C15552">
        <f>TEST_DATA!C15552</f>
        <v/>
      </c>
      <c r="D15552">
        <f>TEST_DATA!D15552</f>
        <v/>
      </c>
      <c r="E15552">
        <f>TEST_DATA!E15552</f>
        <v/>
      </c>
    </row>
    <row r="15553">
      <c r="A15553">
        <f>TEST_DATA!A15553</f>
        <v/>
      </c>
      <c r="B15553">
        <f>TEST_DATA!B15553</f>
        <v/>
      </c>
      <c r="C15553">
        <f>TEST_DATA!C15553</f>
        <v/>
      </c>
      <c r="D15553">
        <f>TEST_DATA!D15553</f>
        <v/>
      </c>
      <c r="E15553">
        <f>TEST_DATA!E15553</f>
        <v/>
      </c>
    </row>
    <row r="15554">
      <c r="A15554">
        <f>TEST_DATA!A15554</f>
        <v/>
      </c>
      <c r="B15554">
        <f>TEST_DATA!B15554</f>
        <v/>
      </c>
      <c r="C15554">
        <f>TEST_DATA!C15554</f>
        <v/>
      </c>
      <c r="D15554">
        <f>TEST_DATA!D15554</f>
        <v/>
      </c>
      <c r="E15554">
        <f>TEST_DATA!E15554</f>
        <v/>
      </c>
    </row>
    <row r="15555">
      <c r="A15555">
        <f>TEST_DATA!A15555</f>
        <v/>
      </c>
      <c r="B15555">
        <f>TEST_DATA!B15555</f>
        <v/>
      </c>
      <c r="C15555">
        <f>TEST_DATA!C15555</f>
        <v/>
      </c>
      <c r="D15555">
        <f>TEST_DATA!D15555</f>
        <v/>
      </c>
      <c r="E15555">
        <f>TEST_DATA!E15555</f>
        <v/>
      </c>
    </row>
    <row r="15556">
      <c r="A15556">
        <f>TEST_DATA!A15556</f>
        <v/>
      </c>
      <c r="B15556">
        <f>TEST_DATA!B15556</f>
        <v/>
      </c>
      <c r="C15556">
        <f>TEST_DATA!C15556</f>
        <v/>
      </c>
      <c r="D15556">
        <f>TEST_DATA!D15556</f>
        <v/>
      </c>
      <c r="E15556">
        <f>TEST_DATA!E15556</f>
        <v/>
      </c>
    </row>
    <row r="15557">
      <c r="A15557">
        <f>TEST_DATA!A15557</f>
        <v/>
      </c>
      <c r="B15557">
        <f>TEST_DATA!B15557</f>
        <v/>
      </c>
      <c r="C15557">
        <f>TEST_DATA!C15557</f>
        <v/>
      </c>
      <c r="D15557">
        <f>TEST_DATA!D15557</f>
        <v/>
      </c>
      <c r="E15557">
        <f>TEST_DATA!E15557</f>
        <v/>
      </c>
    </row>
    <row r="15558">
      <c r="A15558">
        <f>TEST_DATA!A15558</f>
        <v/>
      </c>
      <c r="B15558">
        <f>TEST_DATA!B15558</f>
        <v/>
      </c>
      <c r="C15558">
        <f>TEST_DATA!C15558</f>
        <v/>
      </c>
      <c r="D15558">
        <f>TEST_DATA!D15558</f>
        <v/>
      </c>
      <c r="E15558">
        <f>TEST_DATA!E15558</f>
        <v/>
      </c>
    </row>
    <row r="15559">
      <c r="A15559">
        <f>TEST_DATA!A15559</f>
        <v/>
      </c>
      <c r="B15559">
        <f>TEST_DATA!B15559</f>
        <v/>
      </c>
      <c r="C15559">
        <f>TEST_DATA!C15559</f>
        <v/>
      </c>
      <c r="D15559">
        <f>TEST_DATA!D15559</f>
        <v/>
      </c>
      <c r="E15559">
        <f>TEST_DATA!E15559</f>
        <v/>
      </c>
    </row>
    <row r="15560">
      <c r="A15560">
        <f>TEST_DATA!A15560</f>
        <v/>
      </c>
      <c r="B15560">
        <f>TEST_DATA!B15560</f>
        <v/>
      </c>
      <c r="C15560">
        <f>TEST_DATA!C15560</f>
        <v/>
      </c>
      <c r="D15560">
        <f>TEST_DATA!D15560</f>
        <v/>
      </c>
      <c r="E15560">
        <f>TEST_DATA!E15560</f>
        <v/>
      </c>
    </row>
    <row r="15561">
      <c r="A15561">
        <f>TEST_DATA!A15561</f>
        <v/>
      </c>
      <c r="B15561">
        <f>TEST_DATA!B15561</f>
        <v/>
      </c>
      <c r="C15561">
        <f>TEST_DATA!C15561</f>
        <v/>
      </c>
      <c r="D15561">
        <f>TEST_DATA!D15561</f>
        <v/>
      </c>
      <c r="E15561">
        <f>TEST_DATA!E15561</f>
        <v/>
      </c>
    </row>
    <row r="15562">
      <c r="A15562">
        <f>TEST_DATA!A15562</f>
        <v/>
      </c>
      <c r="B15562">
        <f>TEST_DATA!B15562</f>
        <v/>
      </c>
      <c r="C15562">
        <f>TEST_DATA!C15562</f>
        <v/>
      </c>
      <c r="D15562">
        <f>TEST_DATA!D15562</f>
        <v/>
      </c>
      <c r="E15562">
        <f>TEST_DATA!E15562</f>
        <v/>
      </c>
    </row>
    <row r="15563">
      <c r="A15563">
        <f>TEST_DATA!A15563</f>
        <v/>
      </c>
      <c r="B15563">
        <f>TEST_DATA!B15563</f>
        <v/>
      </c>
      <c r="C15563">
        <f>TEST_DATA!C15563</f>
        <v/>
      </c>
      <c r="D15563">
        <f>TEST_DATA!D15563</f>
        <v/>
      </c>
      <c r="E15563">
        <f>TEST_DATA!E15563</f>
        <v/>
      </c>
    </row>
    <row r="15564">
      <c r="A15564">
        <f>TEST_DATA!A15564</f>
        <v/>
      </c>
      <c r="B15564">
        <f>TEST_DATA!B15564</f>
        <v/>
      </c>
      <c r="C15564">
        <f>TEST_DATA!C15564</f>
        <v/>
      </c>
      <c r="D15564">
        <f>TEST_DATA!D15564</f>
        <v/>
      </c>
      <c r="E15564">
        <f>TEST_DATA!E15564</f>
        <v/>
      </c>
    </row>
    <row r="15565">
      <c r="A15565">
        <f>TEST_DATA!A15565</f>
        <v/>
      </c>
      <c r="B15565">
        <f>TEST_DATA!B15565</f>
        <v/>
      </c>
      <c r="C15565">
        <f>TEST_DATA!C15565</f>
        <v/>
      </c>
      <c r="D15565">
        <f>TEST_DATA!D15565</f>
        <v/>
      </c>
      <c r="E15565">
        <f>TEST_DATA!E15565</f>
        <v/>
      </c>
    </row>
    <row r="15566">
      <c r="A15566">
        <f>TEST_DATA!A15566</f>
        <v/>
      </c>
      <c r="B15566">
        <f>TEST_DATA!B15566</f>
        <v/>
      </c>
      <c r="C15566">
        <f>TEST_DATA!C15566</f>
        <v/>
      </c>
      <c r="D15566">
        <f>TEST_DATA!D15566</f>
        <v/>
      </c>
      <c r="E15566">
        <f>TEST_DATA!E15566</f>
        <v/>
      </c>
    </row>
    <row r="15567">
      <c r="A15567">
        <f>TEST_DATA!A15567</f>
        <v/>
      </c>
      <c r="B15567">
        <f>TEST_DATA!B15567</f>
        <v/>
      </c>
      <c r="C15567">
        <f>TEST_DATA!C15567</f>
        <v/>
      </c>
      <c r="D15567">
        <f>TEST_DATA!D15567</f>
        <v/>
      </c>
      <c r="E15567">
        <f>TEST_DATA!E15567</f>
        <v/>
      </c>
    </row>
    <row r="15568">
      <c r="A15568">
        <f>TEST_DATA!A15568</f>
        <v/>
      </c>
      <c r="B15568">
        <f>TEST_DATA!B15568</f>
        <v/>
      </c>
      <c r="C15568">
        <f>TEST_DATA!C15568</f>
        <v/>
      </c>
      <c r="D15568">
        <f>TEST_DATA!D15568</f>
        <v/>
      </c>
      <c r="E15568">
        <f>TEST_DATA!E15568</f>
        <v/>
      </c>
    </row>
    <row r="15569">
      <c r="A15569">
        <f>TEST_DATA!A15569</f>
        <v/>
      </c>
      <c r="B15569">
        <f>TEST_DATA!B15569</f>
        <v/>
      </c>
      <c r="C15569">
        <f>TEST_DATA!C15569</f>
        <v/>
      </c>
      <c r="D15569">
        <f>TEST_DATA!D15569</f>
        <v/>
      </c>
      <c r="E15569">
        <f>TEST_DATA!E15569</f>
        <v/>
      </c>
    </row>
    <row r="15570">
      <c r="A15570">
        <f>TEST_DATA!A15570</f>
        <v/>
      </c>
      <c r="B15570">
        <f>TEST_DATA!B15570</f>
        <v/>
      </c>
      <c r="C15570">
        <f>TEST_DATA!C15570</f>
        <v/>
      </c>
      <c r="D15570">
        <f>TEST_DATA!D15570</f>
        <v/>
      </c>
      <c r="E15570">
        <f>TEST_DATA!E15570</f>
        <v/>
      </c>
    </row>
    <row r="15571">
      <c r="A15571">
        <f>TEST_DATA!A15571</f>
        <v/>
      </c>
      <c r="B15571">
        <f>TEST_DATA!B15571</f>
        <v/>
      </c>
      <c r="C15571">
        <f>TEST_DATA!C15571</f>
        <v/>
      </c>
      <c r="D15571">
        <f>TEST_DATA!D15571</f>
        <v/>
      </c>
      <c r="E15571">
        <f>TEST_DATA!E15571</f>
        <v/>
      </c>
    </row>
    <row r="15572">
      <c r="A15572">
        <f>TEST_DATA!A15572</f>
        <v/>
      </c>
      <c r="B15572">
        <f>TEST_DATA!B15572</f>
        <v/>
      </c>
      <c r="C15572">
        <f>TEST_DATA!C15572</f>
        <v/>
      </c>
      <c r="D15572">
        <f>TEST_DATA!D15572</f>
        <v/>
      </c>
      <c r="E15572">
        <f>TEST_DATA!E15572</f>
        <v/>
      </c>
    </row>
    <row r="15573">
      <c r="A15573">
        <f>TEST_DATA!A15573</f>
        <v/>
      </c>
      <c r="B15573">
        <f>TEST_DATA!B15573</f>
        <v/>
      </c>
      <c r="C15573">
        <f>TEST_DATA!C15573</f>
        <v/>
      </c>
      <c r="D15573">
        <f>TEST_DATA!D15573</f>
        <v/>
      </c>
      <c r="E15573">
        <f>TEST_DATA!E15573</f>
        <v/>
      </c>
    </row>
    <row r="15574">
      <c r="A15574">
        <f>TEST_DATA!A15574</f>
        <v/>
      </c>
      <c r="B15574">
        <f>TEST_DATA!B15574</f>
        <v/>
      </c>
      <c r="C15574">
        <f>TEST_DATA!C15574</f>
        <v/>
      </c>
      <c r="D15574">
        <f>TEST_DATA!D15574</f>
        <v/>
      </c>
      <c r="E15574">
        <f>TEST_DATA!E15574</f>
        <v/>
      </c>
    </row>
    <row r="15575">
      <c r="A15575">
        <f>TEST_DATA!A15575</f>
        <v/>
      </c>
      <c r="B15575">
        <f>TEST_DATA!B15575</f>
        <v/>
      </c>
      <c r="C15575">
        <f>TEST_DATA!C15575</f>
        <v/>
      </c>
      <c r="D15575">
        <f>TEST_DATA!D15575</f>
        <v/>
      </c>
      <c r="E15575">
        <f>TEST_DATA!E15575</f>
        <v/>
      </c>
    </row>
    <row r="15576">
      <c r="A15576">
        <f>TEST_DATA!A15576</f>
        <v/>
      </c>
      <c r="B15576">
        <f>TEST_DATA!B15576</f>
        <v/>
      </c>
      <c r="C15576">
        <f>TEST_DATA!C15576</f>
        <v/>
      </c>
      <c r="D15576">
        <f>TEST_DATA!D15576</f>
        <v/>
      </c>
      <c r="E15576">
        <f>TEST_DATA!E15576</f>
        <v/>
      </c>
    </row>
    <row r="15577">
      <c r="A15577">
        <f>TEST_DATA!A15577</f>
        <v/>
      </c>
      <c r="B15577">
        <f>TEST_DATA!B15577</f>
        <v/>
      </c>
      <c r="C15577">
        <f>TEST_DATA!C15577</f>
        <v/>
      </c>
      <c r="D15577">
        <f>TEST_DATA!D15577</f>
        <v/>
      </c>
      <c r="E15577">
        <f>TEST_DATA!E15577</f>
        <v/>
      </c>
    </row>
    <row r="15578">
      <c r="A15578">
        <f>TEST_DATA!A15578</f>
        <v/>
      </c>
      <c r="B15578">
        <f>TEST_DATA!B15578</f>
        <v/>
      </c>
      <c r="C15578">
        <f>TEST_DATA!C15578</f>
        <v/>
      </c>
      <c r="D15578">
        <f>TEST_DATA!D15578</f>
        <v/>
      </c>
      <c r="E15578">
        <f>TEST_DATA!E15578</f>
        <v/>
      </c>
    </row>
    <row r="15579">
      <c r="A15579">
        <f>TEST_DATA!A15579</f>
        <v/>
      </c>
      <c r="B15579">
        <f>TEST_DATA!B15579</f>
        <v/>
      </c>
      <c r="C15579">
        <f>TEST_DATA!C15579</f>
        <v/>
      </c>
      <c r="D15579">
        <f>TEST_DATA!D15579</f>
        <v/>
      </c>
      <c r="E15579">
        <f>TEST_DATA!E15579</f>
        <v/>
      </c>
    </row>
    <row r="15580">
      <c r="A15580">
        <f>TEST_DATA!A15580</f>
        <v/>
      </c>
      <c r="B15580">
        <f>TEST_DATA!B15580</f>
        <v/>
      </c>
      <c r="C15580">
        <f>TEST_DATA!C15580</f>
        <v/>
      </c>
      <c r="D15580">
        <f>TEST_DATA!D15580</f>
        <v/>
      </c>
      <c r="E15580">
        <f>TEST_DATA!E15580</f>
        <v/>
      </c>
    </row>
    <row r="15581">
      <c r="A15581">
        <f>TEST_DATA!A15581</f>
        <v/>
      </c>
      <c r="B15581">
        <f>TEST_DATA!B15581</f>
        <v/>
      </c>
      <c r="C15581">
        <f>TEST_DATA!C15581</f>
        <v/>
      </c>
      <c r="D15581">
        <f>TEST_DATA!D15581</f>
        <v/>
      </c>
      <c r="E15581">
        <f>TEST_DATA!E15581</f>
        <v/>
      </c>
    </row>
    <row r="15582">
      <c r="A15582">
        <f>TEST_DATA!A15582</f>
        <v/>
      </c>
      <c r="B15582">
        <f>TEST_DATA!B15582</f>
        <v/>
      </c>
      <c r="C15582">
        <f>TEST_DATA!C15582</f>
        <v/>
      </c>
      <c r="D15582">
        <f>TEST_DATA!D15582</f>
        <v/>
      </c>
      <c r="E15582">
        <f>TEST_DATA!E15582</f>
        <v/>
      </c>
    </row>
    <row r="15583">
      <c r="A15583">
        <f>TEST_DATA!A15583</f>
        <v/>
      </c>
      <c r="B15583">
        <f>TEST_DATA!B15583</f>
        <v/>
      </c>
      <c r="C15583">
        <f>TEST_DATA!C15583</f>
        <v/>
      </c>
      <c r="D15583">
        <f>TEST_DATA!D15583</f>
        <v/>
      </c>
      <c r="E15583">
        <f>TEST_DATA!E15583</f>
        <v/>
      </c>
    </row>
    <row r="15584">
      <c r="A15584">
        <f>TEST_DATA!A15584</f>
        <v/>
      </c>
      <c r="B15584">
        <f>TEST_DATA!B15584</f>
        <v/>
      </c>
      <c r="C15584">
        <f>TEST_DATA!C15584</f>
        <v/>
      </c>
      <c r="D15584">
        <f>TEST_DATA!D15584</f>
        <v/>
      </c>
      <c r="E15584">
        <f>TEST_DATA!E15584</f>
        <v/>
      </c>
    </row>
    <row r="15585">
      <c r="A15585">
        <f>TEST_DATA!A15585</f>
        <v/>
      </c>
      <c r="B15585">
        <f>TEST_DATA!B15585</f>
        <v/>
      </c>
      <c r="C15585">
        <f>TEST_DATA!C15585</f>
        <v/>
      </c>
      <c r="D15585">
        <f>TEST_DATA!D15585</f>
        <v/>
      </c>
      <c r="E15585">
        <f>TEST_DATA!E15585</f>
        <v/>
      </c>
    </row>
    <row r="15586">
      <c r="A15586">
        <f>TEST_DATA!A15586</f>
        <v/>
      </c>
      <c r="B15586">
        <f>TEST_DATA!B15586</f>
        <v/>
      </c>
      <c r="C15586">
        <f>TEST_DATA!C15586</f>
        <v/>
      </c>
      <c r="D15586">
        <f>TEST_DATA!D15586</f>
        <v/>
      </c>
      <c r="E15586">
        <f>TEST_DATA!E15586</f>
        <v/>
      </c>
    </row>
    <row r="15587">
      <c r="A15587">
        <f>TEST_DATA!A15587</f>
        <v/>
      </c>
      <c r="B15587">
        <f>TEST_DATA!B15587</f>
        <v/>
      </c>
      <c r="C15587">
        <f>TEST_DATA!C15587</f>
        <v/>
      </c>
      <c r="D15587">
        <f>TEST_DATA!D15587</f>
        <v/>
      </c>
      <c r="E15587">
        <f>TEST_DATA!E15587</f>
        <v/>
      </c>
    </row>
    <row r="15588">
      <c r="A15588">
        <f>TEST_DATA!A15588</f>
        <v/>
      </c>
      <c r="B15588">
        <f>TEST_DATA!B15588</f>
        <v/>
      </c>
      <c r="C15588">
        <f>TEST_DATA!C15588</f>
        <v/>
      </c>
      <c r="D15588">
        <f>TEST_DATA!D15588</f>
        <v/>
      </c>
      <c r="E15588">
        <f>TEST_DATA!E15588</f>
        <v/>
      </c>
    </row>
    <row r="15589">
      <c r="A15589">
        <f>TEST_DATA!A15589</f>
        <v/>
      </c>
      <c r="B15589">
        <f>TEST_DATA!B15589</f>
        <v/>
      </c>
      <c r="C15589">
        <f>TEST_DATA!C15589</f>
        <v/>
      </c>
      <c r="D15589">
        <f>TEST_DATA!D15589</f>
        <v/>
      </c>
      <c r="E15589">
        <f>TEST_DATA!E15589</f>
        <v/>
      </c>
    </row>
    <row r="15590">
      <c r="A15590">
        <f>TEST_DATA!A15590</f>
        <v/>
      </c>
      <c r="B15590">
        <f>TEST_DATA!B15590</f>
        <v/>
      </c>
      <c r="C15590">
        <f>TEST_DATA!C15590</f>
        <v/>
      </c>
      <c r="D15590">
        <f>TEST_DATA!D15590</f>
        <v/>
      </c>
      <c r="E15590">
        <f>TEST_DATA!E15590</f>
        <v/>
      </c>
    </row>
    <row r="15591">
      <c r="A15591">
        <f>TEST_DATA!A15591</f>
        <v/>
      </c>
      <c r="B15591">
        <f>TEST_DATA!B15591</f>
        <v/>
      </c>
      <c r="C15591">
        <f>TEST_DATA!C15591</f>
        <v/>
      </c>
      <c r="D15591">
        <f>TEST_DATA!D15591</f>
        <v/>
      </c>
      <c r="E15591">
        <f>TEST_DATA!E15591</f>
        <v/>
      </c>
    </row>
    <row r="15592">
      <c r="A15592">
        <f>TEST_DATA!A15592</f>
        <v/>
      </c>
      <c r="B15592">
        <f>TEST_DATA!B15592</f>
        <v/>
      </c>
      <c r="C15592">
        <f>TEST_DATA!C15592</f>
        <v/>
      </c>
      <c r="D15592">
        <f>TEST_DATA!D15592</f>
        <v/>
      </c>
      <c r="E15592">
        <f>TEST_DATA!E15592</f>
        <v/>
      </c>
    </row>
    <row r="15593">
      <c r="A15593">
        <f>TEST_DATA!A15593</f>
        <v/>
      </c>
      <c r="B15593">
        <f>TEST_DATA!B15593</f>
        <v/>
      </c>
      <c r="C15593">
        <f>TEST_DATA!C15593</f>
        <v/>
      </c>
      <c r="D15593">
        <f>TEST_DATA!D15593</f>
        <v/>
      </c>
      <c r="E15593">
        <f>TEST_DATA!E15593</f>
        <v/>
      </c>
    </row>
    <row r="15594">
      <c r="A15594">
        <f>TEST_DATA!A15594</f>
        <v/>
      </c>
      <c r="B15594">
        <f>TEST_DATA!B15594</f>
        <v/>
      </c>
      <c r="C15594">
        <f>TEST_DATA!C15594</f>
        <v/>
      </c>
      <c r="D15594">
        <f>TEST_DATA!D15594</f>
        <v/>
      </c>
      <c r="E15594">
        <f>TEST_DATA!E15594</f>
        <v/>
      </c>
    </row>
    <row r="15595">
      <c r="A15595">
        <f>TEST_DATA!A15595</f>
        <v/>
      </c>
      <c r="B15595">
        <f>TEST_DATA!B15595</f>
        <v/>
      </c>
      <c r="C15595">
        <f>TEST_DATA!C15595</f>
        <v/>
      </c>
      <c r="D15595">
        <f>TEST_DATA!D15595</f>
        <v/>
      </c>
      <c r="E15595">
        <f>TEST_DATA!E15595</f>
        <v/>
      </c>
    </row>
    <row r="15596">
      <c r="A15596">
        <f>TEST_DATA!A15596</f>
        <v/>
      </c>
      <c r="B15596">
        <f>TEST_DATA!B15596</f>
        <v/>
      </c>
      <c r="C15596">
        <f>TEST_DATA!C15596</f>
        <v/>
      </c>
      <c r="D15596">
        <f>TEST_DATA!D15596</f>
        <v/>
      </c>
      <c r="E15596">
        <f>TEST_DATA!E15596</f>
        <v/>
      </c>
    </row>
    <row r="15597">
      <c r="A15597">
        <f>TEST_DATA!A15597</f>
        <v/>
      </c>
      <c r="B15597">
        <f>TEST_DATA!B15597</f>
        <v/>
      </c>
      <c r="C15597">
        <f>TEST_DATA!C15597</f>
        <v/>
      </c>
      <c r="D15597">
        <f>TEST_DATA!D15597</f>
        <v/>
      </c>
      <c r="E15597">
        <f>TEST_DATA!E15597</f>
        <v/>
      </c>
    </row>
    <row r="15598">
      <c r="A15598">
        <f>TEST_DATA!A15598</f>
        <v/>
      </c>
      <c r="B15598">
        <f>TEST_DATA!B15598</f>
        <v/>
      </c>
      <c r="C15598">
        <f>TEST_DATA!C15598</f>
        <v/>
      </c>
      <c r="D15598">
        <f>TEST_DATA!D15598</f>
        <v/>
      </c>
      <c r="E15598">
        <f>TEST_DATA!E15598</f>
        <v/>
      </c>
    </row>
    <row r="15599">
      <c r="A15599">
        <f>TEST_DATA!A15599</f>
        <v/>
      </c>
      <c r="B15599">
        <f>TEST_DATA!B15599</f>
        <v/>
      </c>
      <c r="C15599">
        <f>TEST_DATA!C15599</f>
        <v/>
      </c>
      <c r="D15599">
        <f>TEST_DATA!D15599</f>
        <v/>
      </c>
      <c r="E15599">
        <f>TEST_DATA!E15599</f>
        <v/>
      </c>
    </row>
    <row r="15600">
      <c r="A15600">
        <f>TEST_DATA!A15600</f>
        <v/>
      </c>
      <c r="B15600">
        <f>TEST_DATA!B15600</f>
        <v/>
      </c>
      <c r="C15600">
        <f>TEST_DATA!C15600</f>
        <v/>
      </c>
      <c r="D15600">
        <f>TEST_DATA!D15600</f>
        <v/>
      </c>
      <c r="E15600">
        <f>TEST_DATA!E15600</f>
        <v/>
      </c>
    </row>
    <row r="15601">
      <c r="A15601">
        <f>TEST_DATA!A15601</f>
        <v/>
      </c>
      <c r="B15601">
        <f>TEST_DATA!B15601</f>
        <v/>
      </c>
      <c r="C15601">
        <f>TEST_DATA!C15601</f>
        <v/>
      </c>
      <c r="D15601">
        <f>TEST_DATA!D15601</f>
        <v/>
      </c>
      <c r="E15601">
        <f>TEST_DATA!E15601</f>
        <v/>
      </c>
    </row>
    <row r="15602">
      <c r="A15602">
        <f>TEST_DATA!A15602</f>
        <v/>
      </c>
      <c r="B15602">
        <f>TEST_DATA!B15602</f>
        <v/>
      </c>
      <c r="C15602">
        <f>TEST_DATA!C15602</f>
        <v/>
      </c>
      <c r="D15602">
        <f>TEST_DATA!D15602</f>
        <v/>
      </c>
      <c r="E15602">
        <f>TEST_DATA!E15602</f>
        <v/>
      </c>
    </row>
    <row r="15603">
      <c r="A15603">
        <f>TEST_DATA!A15603</f>
        <v/>
      </c>
      <c r="B15603">
        <f>TEST_DATA!B15603</f>
        <v/>
      </c>
      <c r="C15603">
        <f>TEST_DATA!C15603</f>
        <v/>
      </c>
      <c r="D15603">
        <f>TEST_DATA!D15603</f>
        <v/>
      </c>
      <c r="E15603">
        <f>TEST_DATA!E15603</f>
        <v/>
      </c>
    </row>
    <row r="15604">
      <c r="A15604">
        <f>TEST_DATA!A15604</f>
        <v/>
      </c>
      <c r="B15604">
        <f>TEST_DATA!B15604</f>
        <v/>
      </c>
      <c r="C15604">
        <f>TEST_DATA!C15604</f>
        <v/>
      </c>
      <c r="D15604">
        <f>TEST_DATA!D15604</f>
        <v/>
      </c>
      <c r="E15604">
        <f>TEST_DATA!E15604</f>
        <v/>
      </c>
    </row>
    <row r="15605">
      <c r="A15605">
        <f>TEST_DATA!A15605</f>
        <v/>
      </c>
      <c r="B15605">
        <f>TEST_DATA!B15605</f>
        <v/>
      </c>
      <c r="C15605">
        <f>TEST_DATA!C15605</f>
        <v/>
      </c>
      <c r="D15605">
        <f>TEST_DATA!D15605</f>
        <v/>
      </c>
      <c r="E15605">
        <f>TEST_DATA!E15605</f>
        <v/>
      </c>
    </row>
    <row r="15606">
      <c r="A15606">
        <f>TEST_DATA!A15606</f>
        <v/>
      </c>
      <c r="B15606">
        <f>TEST_DATA!B15606</f>
        <v/>
      </c>
      <c r="C15606">
        <f>TEST_DATA!C15606</f>
        <v/>
      </c>
      <c r="D15606">
        <f>TEST_DATA!D15606</f>
        <v/>
      </c>
      <c r="E15606">
        <f>TEST_DATA!E15606</f>
        <v/>
      </c>
    </row>
    <row r="15607">
      <c r="A15607">
        <f>TEST_DATA!A15607</f>
        <v/>
      </c>
      <c r="B15607">
        <f>TEST_DATA!B15607</f>
        <v/>
      </c>
      <c r="C15607">
        <f>TEST_DATA!C15607</f>
        <v/>
      </c>
      <c r="D15607">
        <f>TEST_DATA!D15607</f>
        <v/>
      </c>
      <c r="E15607">
        <f>TEST_DATA!E15607</f>
        <v/>
      </c>
    </row>
    <row r="15608">
      <c r="A15608">
        <f>TEST_DATA!A15608</f>
        <v/>
      </c>
      <c r="B15608">
        <f>TEST_DATA!B15608</f>
        <v/>
      </c>
      <c r="C15608">
        <f>TEST_DATA!C15608</f>
        <v/>
      </c>
      <c r="D15608">
        <f>TEST_DATA!D15608</f>
        <v/>
      </c>
      <c r="E15608">
        <f>TEST_DATA!E15608</f>
        <v/>
      </c>
    </row>
    <row r="15609">
      <c r="A15609">
        <f>TEST_DATA!A15609</f>
        <v/>
      </c>
      <c r="B15609">
        <f>TEST_DATA!B15609</f>
        <v/>
      </c>
      <c r="C15609">
        <f>TEST_DATA!C15609</f>
        <v/>
      </c>
      <c r="D15609">
        <f>TEST_DATA!D15609</f>
        <v/>
      </c>
      <c r="E15609">
        <f>TEST_DATA!E15609</f>
        <v/>
      </c>
    </row>
    <row r="15610">
      <c r="A15610">
        <f>TEST_DATA!A15610</f>
        <v/>
      </c>
      <c r="B15610">
        <f>TEST_DATA!B15610</f>
        <v/>
      </c>
      <c r="C15610">
        <f>TEST_DATA!C15610</f>
        <v/>
      </c>
      <c r="D15610">
        <f>TEST_DATA!D15610</f>
        <v/>
      </c>
      <c r="E15610">
        <f>TEST_DATA!E15610</f>
        <v/>
      </c>
    </row>
    <row r="15611">
      <c r="A15611">
        <f>TEST_DATA!A15611</f>
        <v/>
      </c>
      <c r="B15611">
        <f>TEST_DATA!B15611</f>
        <v/>
      </c>
      <c r="C15611">
        <f>TEST_DATA!C15611</f>
        <v/>
      </c>
      <c r="D15611">
        <f>TEST_DATA!D15611</f>
        <v/>
      </c>
      <c r="E15611">
        <f>TEST_DATA!E15611</f>
        <v/>
      </c>
    </row>
    <row r="15612">
      <c r="A15612">
        <f>TEST_DATA!A15612</f>
        <v/>
      </c>
      <c r="B15612">
        <f>TEST_DATA!B15612</f>
        <v/>
      </c>
      <c r="C15612">
        <f>TEST_DATA!C15612</f>
        <v/>
      </c>
      <c r="D15612">
        <f>TEST_DATA!D15612</f>
        <v/>
      </c>
      <c r="E15612">
        <f>TEST_DATA!E15612</f>
        <v/>
      </c>
    </row>
    <row r="15613">
      <c r="A15613">
        <f>TEST_DATA!A15613</f>
        <v/>
      </c>
      <c r="B15613">
        <f>TEST_DATA!B15613</f>
        <v/>
      </c>
      <c r="C15613">
        <f>TEST_DATA!C15613</f>
        <v/>
      </c>
      <c r="D15613">
        <f>TEST_DATA!D15613</f>
        <v/>
      </c>
      <c r="E15613">
        <f>TEST_DATA!E15613</f>
        <v/>
      </c>
    </row>
    <row r="15614">
      <c r="A15614">
        <f>TEST_DATA!A15614</f>
        <v/>
      </c>
      <c r="B15614">
        <f>TEST_DATA!B15614</f>
        <v/>
      </c>
      <c r="C15614">
        <f>TEST_DATA!C15614</f>
        <v/>
      </c>
      <c r="D15614">
        <f>TEST_DATA!D15614</f>
        <v/>
      </c>
      <c r="E15614">
        <f>TEST_DATA!E15614</f>
        <v/>
      </c>
    </row>
    <row r="15615">
      <c r="A15615">
        <f>TEST_DATA!A15615</f>
        <v/>
      </c>
      <c r="B15615">
        <f>TEST_DATA!B15615</f>
        <v/>
      </c>
      <c r="C15615">
        <f>TEST_DATA!C15615</f>
        <v/>
      </c>
      <c r="D15615">
        <f>TEST_DATA!D15615</f>
        <v/>
      </c>
      <c r="E15615">
        <f>TEST_DATA!E15615</f>
        <v/>
      </c>
    </row>
    <row r="15616">
      <c r="A15616">
        <f>TEST_DATA!A15616</f>
        <v/>
      </c>
      <c r="B15616">
        <f>TEST_DATA!B15616</f>
        <v/>
      </c>
      <c r="C15616">
        <f>TEST_DATA!C15616</f>
        <v/>
      </c>
      <c r="D15616">
        <f>TEST_DATA!D15616</f>
        <v/>
      </c>
      <c r="E15616">
        <f>TEST_DATA!E15616</f>
        <v/>
      </c>
    </row>
    <row r="15617">
      <c r="A15617">
        <f>TEST_DATA!A15617</f>
        <v/>
      </c>
      <c r="B15617">
        <f>TEST_DATA!B15617</f>
        <v/>
      </c>
      <c r="C15617">
        <f>TEST_DATA!C15617</f>
        <v/>
      </c>
      <c r="D15617">
        <f>TEST_DATA!D15617</f>
        <v/>
      </c>
      <c r="E15617">
        <f>TEST_DATA!E15617</f>
        <v/>
      </c>
    </row>
    <row r="15618">
      <c r="A15618">
        <f>TEST_DATA!A15618</f>
        <v/>
      </c>
      <c r="B15618">
        <f>TEST_DATA!B15618</f>
        <v/>
      </c>
      <c r="C15618">
        <f>TEST_DATA!C15618</f>
        <v/>
      </c>
      <c r="D15618">
        <f>TEST_DATA!D15618</f>
        <v/>
      </c>
      <c r="E15618">
        <f>TEST_DATA!E15618</f>
        <v/>
      </c>
    </row>
    <row r="15619">
      <c r="A15619">
        <f>TEST_DATA!A15619</f>
        <v/>
      </c>
      <c r="B15619">
        <f>TEST_DATA!B15619</f>
        <v/>
      </c>
      <c r="C15619">
        <f>TEST_DATA!C15619</f>
        <v/>
      </c>
      <c r="D15619">
        <f>TEST_DATA!D15619</f>
        <v/>
      </c>
      <c r="E15619">
        <f>TEST_DATA!E15619</f>
        <v/>
      </c>
    </row>
    <row r="15620">
      <c r="A15620">
        <f>TEST_DATA!A15620</f>
        <v/>
      </c>
      <c r="B15620">
        <f>TEST_DATA!B15620</f>
        <v/>
      </c>
      <c r="C15620">
        <f>TEST_DATA!C15620</f>
        <v/>
      </c>
      <c r="D15620">
        <f>TEST_DATA!D15620</f>
        <v/>
      </c>
      <c r="E15620">
        <f>TEST_DATA!E15620</f>
        <v/>
      </c>
    </row>
    <row r="15621">
      <c r="A15621">
        <f>TEST_DATA!A15621</f>
        <v/>
      </c>
      <c r="B15621">
        <f>TEST_DATA!B15621</f>
        <v/>
      </c>
      <c r="C15621">
        <f>TEST_DATA!C15621</f>
        <v/>
      </c>
      <c r="D15621">
        <f>TEST_DATA!D15621</f>
        <v/>
      </c>
      <c r="E15621">
        <f>TEST_DATA!E15621</f>
        <v/>
      </c>
    </row>
    <row r="15622">
      <c r="A15622">
        <f>TEST_DATA!A15622</f>
        <v/>
      </c>
      <c r="B15622">
        <f>TEST_DATA!B15622</f>
        <v/>
      </c>
      <c r="C15622">
        <f>TEST_DATA!C15622</f>
        <v/>
      </c>
      <c r="D15622">
        <f>TEST_DATA!D15622</f>
        <v/>
      </c>
      <c r="E15622">
        <f>TEST_DATA!E15622</f>
        <v/>
      </c>
    </row>
    <row r="15623">
      <c r="A15623">
        <f>TEST_DATA!A15623</f>
        <v/>
      </c>
      <c r="B15623">
        <f>TEST_DATA!B15623</f>
        <v/>
      </c>
      <c r="C15623">
        <f>TEST_DATA!C15623</f>
        <v/>
      </c>
      <c r="D15623">
        <f>TEST_DATA!D15623</f>
        <v/>
      </c>
      <c r="E15623">
        <f>TEST_DATA!E15623</f>
        <v/>
      </c>
    </row>
    <row r="15624">
      <c r="A15624">
        <f>TEST_DATA!A15624</f>
        <v/>
      </c>
      <c r="B15624">
        <f>TEST_DATA!B15624</f>
        <v/>
      </c>
      <c r="C15624">
        <f>TEST_DATA!C15624</f>
        <v/>
      </c>
      <c r="D15624">
        <f>TEST_DATA!D15624</f>
        <v/>
      </c>
      <c r="E15624">
        <f>TEST_DATA!E15624</f>
        <v/>
      </c>
    </row>
    <row r="15625">
      <c r="A15625">
        <f>TEST_DATA!A15625</f>
        <v/>
      </c>
      <c r="B15625">
        <f>TEST_DATA!B15625</f>
        <v/>
      </c>
      <c r="C15625">
        <f>TEST_DATA!C15625</f>
        <v/>
      </c>
      <c r="D15625">
        <f>TEST_DATA!D15625</f>
        <v/>
      </c>
      <c r="E15625">
        <f>TEST_DATA!E15625</f>
        <v/>
      </c>
    </row>
    <row r="15626">
      <c r="A15626">
        <f>TEST_DATA!A15626</f>
        <v/>
      </c>
      <c r="B15626">
        <f>TEST_DATA!B15626</f>
        <v/>
      </c>
      <c r="C15626">
        <f>TEST_DATA!C15626</f>
        <v/>
      </c>
      <c r="D15626">
        <f>TEST_DATA!D15626</f>
        <v/>
      </c>
      <c r="E15626">
        <f>TEST_DATA!E15626</f>
        <v/>
      </c>
    </row>
    <row r="15627">
      <c r="A15627">
        <f>TEST_DATA!A15627</f>
        <v/>
      </c>
      <c r="B15627">
        <f>TEST_DATA!B15627</f>
        <v/>
      </c>
      <c r="C15627">
        <f>TEST_DATA!C15627</f>
        <v/>
      </c>
      <c r="D15627">
        <f>TEST_DATA!D15627</f>
        <v/>
      </c>
      <c r="E15627">
        <f>TEST_DATA!E15627</f>
        <v/>
      </c>
    </row>
    <row r="15628">
      <c r="A15628">
        <f>TEST_DATA!A15628</f>
        <v/>
      </c>
      <c r="B15628">
        <f>TEST_DATA!B15628</f>
        <v/>
      </c>
      <c r="C15628">
        <f>TEST_DATA!C15628</f>
        <v/>
      </c>
      <c r="D15628">
        <f>TEST_DATA!D15628</f>
        <v/>
      </c>
      <c r="E15628">
        <f>TEST_DATA!E15628</f>
        <v/>
      </c>
    </row>
    <row r="15629">
      <c r="A15629">
        <f>TEST_DATA!A15629</f>
        <v/>
      </c>
      <c r="B15629">
        <f>TEST_DATA!B15629</f>
        <v/>
      </c>
      <c r="C15629">
        <f>TEST_DATA!C15629</f>
        <v/>
      </c>
      <c r="D15629">
        <f>TEST_DATA!D15629</f>
        <v/>
      </c>
      <c r="E15629">
        <f>TEST_DATA!E15629</f>
        <v/>
      </c>
    </row>
    <row r="15630">
      <c r="A15630">
        <f>TEST_DATA!A15630</f>
        <v/>
      </c>
      <c r="B15630">
        <f>TEST_DATA!B15630</f>
        <v/>
      </c>
      <c r="C15630">
        <f>TEST_DATA!C15630</f>
        <v/>
      </c>
      <c r="D15630">
        <f>TEST_DATA!D15630</f>
        <v/>
      </c>
      <c r="E15630">
        <f>TEST_DATA!E15630</f>
        <v/>
      </c>
    </row>
    <row r="15631">
      <c r="A15631">
        <f>TEST_DATA!A15631</f>
        <v/>
      </c>
      <c r="B15631">
        <f>TEST_DATA!B15631</f>
        <v/>
      </c>
      <c r="C15631">
        <f>TEST_DATA!C15631</f>
        <v/>
      </c>
      <c r="D15631">
        <f>TEST_DATA!D15631</f>
        <v/>
      </c>
      <c r="E15631">
        <f>TEST_DATA!E15631</f>
        <v/>
      </c>
    </row>
    <row r="15632">
      <c r="A15632">
        <f>TEST_DATA!A15632</f>
        <v/>
      </c>
      <c r="B15632">
        <f>TEST_DATA!B15632</f>
        <v/>
      </c>
      <c r="C15632">
        <f>TEST_DATA!C15632</f>
        <v/>
      </c>
      <c r="D15632">
        <f>TEST_DATA!D15632</f>
        <v/>
      </c>
      <c r="E15632">
        <f>TEST_DATA!E15632</f>
        <v/>
      </c>
    </row>
    <row r="15633">
      <c r="A15633">
        <f>TEST_DATA!A15633</f>
        <v/>
      </c>
      <c r="B15633">
        <f>TEST_DATA!B15633</f>
        <v/>
      </c>
      <c r="C15633">
        <f>TEST_DATA!C15633</f>
        <v/>
      </c>
      <c r="D15633">
        <f>TEST_DATA!D15633</f>
        <v/>
      </c>
      <c r="E15633">
        <f>TEST_DATA!E15633</f>
        <v/>
      </c>
    </row>
    <row r="15634">
      <c r="A15634">
        <f>TEST_DATA!A15634</f>
        <v/>
      </c>
      <c r="B15634">
        <f>TEST_DATA!B15634</f>
        <v/>
      </c>
      <c r="C15634">
        <f>TEST_DATA!C15634</f>
        <v/>
      </c>
      <c r="D15634">
        <f>TEST_DATA!D15634</f>
        <v/>
      </c>
      <c r="E15634">
        <f>TEST_DATA!E15634</f>
        <v/>
      </c>
    </row>
    <row r="15635">
      <c r="A15635">
        <f>TEST_DATA!A15635</f>
        <v/>
      </c>
      <c r="B15635">
        <f>TEST_DATA!B15635</f>
        <v/>
      </c>
      <c r="C15635">
        <f>TEST_DATA!C15635</f>
        <v/>
      </c>
      <c r="D15635">
        <f>TEST_DATA!D15635</f>
        <v/>
      </c>
      <c r="E15635">
        <f>TEST_DATA!E15635</f>
        <v/>
      </c>
    </row>
    <row r="15636">
      <c r="A15636">
        <f>TEST_DATA!A15636</f>
        <v/>
      </c>
      <c r="B15636">
        <f>TEST_DATA!B15636</f>
        <v/>
      </c>
      <c r="C15636">
        <f>TEST_DATA!C15636</f>
        <v/>
      </c>
      <c r="D15636">
        <f>TEST_DATA!D15636</f>
        <v/>
      </c>
      <c r="E15636">
        <f>TEST_DATA!E15636</f>
        <v/>
      </c>
    </row>
    <row r="15637">
      <c r="A15637">
        <f>TEST_DATA!A15637</f>
        <v/>
      </c>
      <c r="B15637">
        <f>TEST_DATA!B15637</f>
        <v/>
      </c>
      <c r="C15637">
        <f>TEST_DATA!C15637</f>
        <v/>
      </c>
      <c r="D15637">
        <f>TEST_DATA!D15637</f>
        <v/>
      </c>
      <c r="E15637">
        <f>TEST_DATA!E15637</f>
        <v/>
      </c>
    </row>
    <row r="15638">
      <c r="A15638">
        <f>TEST_DATA!A15638</f>
        <v/>
      </c>
      <c r="B15638">
        <f>TEST_DATA!B15638</f>
        <v/>
      </c>
      <c r="C15638">
        <f>TEST_DATA!C15638</f>
        <v/>
      </c>
      <c r="D15638">
        <f>TEST_DATA!D15638</f>
        <v/>
      </c>
      <c r="E15638">
        <f>TEST_DATA!E15638</f>
        <v/>
      </c>
    </row>
    <row r="15639">
      <c r="A15639">
        <f>TEST_DATA!A15639</f>
        <v/>
      </c>
      <c r="B15639">
        <f>TEST_DATA!B15639</f>
        <v/>
      </c>
      <c r="C15639">
        <f>TEST_DATA!C15639</f>
        <v/>
      </c>
      <c r="D15639">
        <f>TEST_DATA!D15639</f>
        <v/>
      </c>
      <c r="E15639">
        <f>TEST_DATA!E15639</f>
        <v/>
      </c>
    </row>
    <row r="15640">
      <c r="A15640">
        <f>TEST_DATA!A15640</f>
        <v/>
      </c>
      <c r="B15640">
        <f>TEST_DATA!B15640</f>
        <v/>
      </c>
      <c r="C15640">
        <f>TEST_DATA!C15640</f>
        <v/>
      </c>
      <c r="D15640">
        <f>TEST_DATA!D15640</f>
        <v/>
      </c>
      <c r="E15640">
        <f>TEST_DATA!E15640</f>
        <v/>
      </c>
    </row>
    <row r="15641">
      <c r="A15641">
        <f>TEST_DATA!A15641</f>
        <v/>
      </c>
      <c r="B15641">
        <f>TEST_DATA!B15641</f>
        <v/>
      </c>
      <c r="C15641">
        <f>TEST_DATA!C15641</f>
        <v/>
      </c>
      <c r="D15641">
        <f>TEST_DATA!D15641</f>
        <v/>
      </c>
      <c r="E15641">
        <f>TEST_DATA!E15641</f>
        <v/>
      </c>
    </row>
    <row r="15642">
      <c r="A15642">
        <f>TEST_DATA!A15642</f>
        <v/>
      </c>
      <c r="B15642">
        <f>TEST_DATA!B15642</f>
        <v/>
      </c>
      <c r="C15642">
        <f>TEST_DATA!C15642</f>
        <v/>
      </c>
      <c r="D15642">
        <f>TEST_DATA!D15642</f>
        <v/>
      </c>
      <c r="E15642">
        <f>TEST_DATA!E15642</f>
        <v/>
      </c>
    </row>
    <row r="15643">
      <c r="A15643">
        <f>TEST_DATA!A15643</f>
        <v/>
      </c>
      <c r="B15643">
        <f>TEST_DATA!B15643</f>
        <v/>
      </c>
      <c r="C15643">
        <f>TEST_DATA!C15643</f>
        <v/>
      </c>
      <c r="D15643">
        <f>TEST_DATA!D15643</f>
        <v/>
      </c>
      <c r="E15643">
        <f>TEST_DATA!E15643</f>
        <v/>
      </c>
    </row>
    <row r="15644">
      <c r="A15644">
        <f>TEST_DATA!A15644</f>
        <v/>
      </c>
      <c r="B15644">
        <f>TEST_DATA!B15644</f>
        <v/>
      </c>
      <c r="C15644">
        <f>TEST_DATA!C15644</f>
        <v/>
      </c>
      <c r="D15644">
        <f>TEST_DATA!D15644</f>
        <v/>
      </c>
      <c r="E15644">
        <f>TEST_DATA!E15644</f>
        <v/>
      </c>
    </row>
    <row r="15645">
      <c r="A15645">
        <f>TEST_DATA!A15645</f>
        <v/>
      </c>
      <c r="B15645">
        <f>TEST_DATA!B15645</f>
        <v/>
      </c>
      <c r="C15645">
        <f>TEST_DATA!C15645</f>
        <v/>
      </c>
      <c r="D15645">
        <f>TEST_DATA!D15645</f>
        <v/>
      </c>
      <c r="E15645">
        <f>TEST_DATA!E15645</f>
        <v/>
      </c>
    </row>
    <row r="15646">
      <c r="A15646">
        <f>TEST_DATA!A15646</f>
        <v/>
      </c>
      <c r="B15646">
        <f>TEST_DATA!B15646</f>
        <v/>
      </c>
      <c r="C15646">
        <f>TEST_DATA!C15646</f>
        <v/>
      </c>
      <c r="D15646">
        <f>TEST_DATA!D15646</f>
        <v/>
      </c>
      <c r="E15646">
        <f>TEST_DATA!E15646</f>
        <v/>
      </c>
    </row>
    <row r="15647">
      <c r="A15647">
        <f>TEST_DATA!A15647</f>
        <v/>
      </c>
      <c r="B15647">
        <f>TEST_DATA!B15647</f>
        <v/>
      </c>
      <c r="C15647">
        <f>TEST_DATA!C15647</f>
        <v/>
      </c>
      <c r="D15647">
        <f>TEST_DATA!D15647</f>
        <v/>
      </c>
      <c r="E15647">
        <f>TEST_DATA!E15647</f>
        <v/>
      </c>
    </row>
    <row r="15648">
      <c r="A15648">
        <f>TEST_DATA!A15648</f>
        <v/>
      </c>
      <c r="B15648">
        <f>TEST_DATA!B15648</f>
        <v/>
      </c>
      <c r="C15648">
        <f>TEST_DATA!C15648</f>
        <v/>
      </c>
      <c r="D15648">
        <f>TEST_DATA!D15648</f>
        <v/>
      </c>
      <c r="E15648">
        <f>TEST_DATA!E15648</f>
        <v/>
      </c>
    </row>
    <row r="15649">
      <c r="A15649">
        <f>TEST_DATA!A15649</f>
        <v/>
      </c>
      <c r="B15649">
        <f>TEST_DATA!B15649</f>
        <v/>
      </c>
      <c r="C15649">
        <f>TEST_DATA!C15649</f>
        <v/>
      </c>
      <c r="D15649">
        <f>TEST_DATA!D15649</f>
        <v/>
      </c>
      <c r="E15649">
        <f>TEST_DATA!E15649</f>
        <v/>
      </c>
    </row>
    <row r="15650">
      <c r="A15650">
        <f>TEST_DATA!A15650</f>
        <v/>
      </c>
      <c r="B15650">
        <f>TEST_DATA!B15650</f>
        <v/>
      </c>
      <c r="C15650">
        <f>TEST_DATA!C15650</f>
        <v/>
      </c>
      <c r="D15650">
        <f>TEST_DATA!D15650</f>
        <v/>
      </c>
      <c r="E15650">
        <f>TEST_DATA!E15650</f>
        <v/>
      </c>
    </row>
    <row r="15651">
      <c r="A15651">
        <f>TEST_DATA!A15651</f>
        <v/>
      </c>
      <c r="B15651">
        <f>TEST_DATA!B15651</f>
        <v/>
      </c>
      <c r="C15651">
        <f>TEST_DATA!C15651</f>
        <v/>
      </c>
      <c r="D15651">
        <f>TEST_DATA!D15651</f>
        <v/>
      </c>
      <c r="E15651">
        <f>TEST_DATA!E15651</f>
        <v/>
      </c>
    </row>
    <row r="15652">
      <c r="A15652">
        <f>TEST_DATA!A15652</f>
        <v/>
      </c>
      <c r="B15652">
        <f>TEST_DATA!B15652</f>
        <v/>
      </c>
      <c r="C15652">
        <f>TEST_DATA!C15652</f>
        <v/>
      </c>
      <c r="D15652">
        <f>TEST_DATA!D15652</f>
        <v/>
      </c>
      <c r="E15652">
        <f>TEST_DATA!E15652</f>
        <v/>
      </c>
    </row>
    <row r="15653">
      <c r="A15653">
        <f>TEST_DATA!A15653</f>
        <v/>
      </c>
      <c r="B15653">
        <f>TEST_DATA!B15653</f>
        <v/>
      </c>
      <c r="C15653">
        <f>TEST_DATA!C15653</f>
        <v/>
      </c>
      <c r="D15653">
        <f>TEST_DATA!D15653</f>
        <v/>
      </c>
      <c r="E15653">
        <f>TEST_DATA!E15653</f>
        <v/>
      </c>
    </row>
    <row r="15654">
      <c r="A15654">
        <f>TEST_DATA!A15654</f>
        <v/>
      </c>
      <c r="B15654">
        <f>TEST_DATA!B15654</f>
        <v/>
      </c>
      <c r="C15654">
        <f>TEST_DATA!C15654</f>
        <v/>
      </c>
      <c r="D15654">
        <f>TEST_DATA!D15654</f>
        <v/>
      </c>
      <c r="E15654">
        <f>TEST_DATA!E15654</f>
        <v/>
      </c>
    </row>
    <row r="15655">
      <c r="A15655">
        <f>TEST_DATA!A15655</f>
        <v/>
      </c>
      <c r="B15655">
        <f>TEST_DATA!B15655</f>
        <v/>
      </c>
      <c r="C15655">
        <f>TEST_DATA!C15655</f>
        <v/>
      </c>
      <c r="D15655">
        <f>TEST_DATA!D15655</f>
        <v/>
      </c>
      <c r="E15655">
        <f>TEST_DATA!E15655</f>
        <v/>
      </c>
    </row>
    <row r="15656">
      <c r="A15656">
        <f>TEST_DATA!A15656</f>
        <v/>
      </c>
      <c r="B15656">
        <f>TEST_DATA!B15656</f>
        <v/>
      </c>
      <c r="C15656">
        <f>TEST_DATA!C15656</f>
        <v/>
      </c>
      <c r="D15656">
        <f>TEST_DATA!D15656</f>
        <v/>
      </c>
      <c r="E15656">
        <f>TEST_DATA!E15656</f>
        <v/>
      </c>
    </row>
    <row r="15657">
      <c r="A15657">
        <f>TEST_DATA!A15657</f>
        <v/>
      </c>
      <c r="B15657">
        <f>TEST_DATA!B15657</f>
        <v/>
      </c>
      <c r="C15657">
        <f>TEST_DATA!C15657</f>
        <v/>
      </c>
      <c r="D15657">
        <f>TEST_DATA!D15657</f>
        <v/>
      </c>
      <c r="E15657">
        <f>TEST_DATA!E15657</f>
        <v/>
      </c>
    </row>
    <row r="15658">
      <c r="A15658">
        <f>TEST_DATA!A15658</f>
        <v/>
      </c>
      <c r="B15658">
        <f>TEST_DATA!B15658</f>
        <v/>
      </c>
      <c r="C15658">
        <f>TEST_DATA!C15658</f>
        <v/>
      </c>
      <c r="D15658">
        <f>TEST_DATA!D15658</f>
        <v/>
      </c>
      <c r="E15658">
        <f>TEST_DATA!E15658</f>
        <v/>
      </c>
    </row>
    <row r="15659">
      <c r="A15659">
        <f>TEST_DATA!A15659</f>
        <v/>
      </c>
      <c r="B15659">
        <f>TEST_DATA!B15659</f>
        <v/>
      </c>
      <c r="C15659">
        <f>TEST_DATA!C15659</f>
        <v/>
      </c>
      <c r="D15659">
        <f>TEST_DATA!D15659</f>
        <v/>
      </c>
      <c r="E15659">
        <f>TEST_DATA!E15659</f>
        <v/>
      </c>
    </row>
    <row r="15660">
      <c r="A15660">
        <f>TEST_DATA!A15660</f>
        <v/>
      </c>
      <c r="B15660">
        <f>TEST_DATA!B15660</f>
        <v/>
      </c>
      <c r="C15660">
        <f>TEST_DATA!C15660</f>
        <v/>
      </c>
      <c r="D15660">
        <f>TEST_DATA!D15660</f>
        <v/>
      </c>
      <c r="E15660">
        <f>TEST_DATA!E15660</f>
        <v/>
      </c>
    </row>
    <row r="15661">
      <c r="A15661">
        <f>TEST_DATA!A15661</f>
        <v/>
      </c>
      <c r="B15661">
        <f>TEST_DATA!B15661</f>
        <v/>
      </c>
      <c r="C15661">
        <f>TEST_DATA!C15661</f>
        <v/>
      </c>
      <c r="D15661">
        <f>TEST_DATA!D15661</f>
        <v/>
      </c>
      <c r="E15661">
        <f>TEST_DATA!E15661</f>
        <v/>
      </c>
    </row>
    <row r="15662">
      <c r="A15662">
        <f>TEST_DATA!A15662</f>
        <v/>
      </c>
      <c r="B15662">
        <f>TEST_DATA!B15662</f>
        <v/>
      </c>
      <c r="C15662">
        <f>TEST_DATA!C15662</f>
        <v/>
      </c>
      <c r="D15662">
        <f>TEST_DATA!D15662</f>
        <v/>
      </c>
      <c r="E15662">
        <f>TEST_DATA!E15662</f>
        <v/>
      </c>
    </row>
    <row r="15663">
      <c r="A15663">
        <f>TEST_DATA!A15663</f>
        <v/>
      </c>
      <c r="B15663">
        <f>TEST_DATA!B15663</f>
        <v/>
      </c>
      <c r="C15663">
        <f>TEST_DATA!C15663</f>
        <v/>
      </c>
      <c r="D15663">
        <f>TEST_DATA!D15663</f>
        <v/>
      </c>
      <c r="E15663">
        <f>TEST_DATA!E15663</f>
        <v/>
      </c>
    </row>
    <row r="15664">
      <c r="A15664">
        <f>TEST_DATA!A15664</f>
        <v/>
      </c>
      <c r="B15664">
        <f>TEST_DATA!B15664</f>
        <v/>
      </c>
      <c r="C15664">
        <f>TEST_DATA!C15664</f>
        <v/>
      </c>
      <c r="D15664">
        <f>TEST_DATA!D15664</f>
        <v/>
      </c>
      <c r="E15664">
        <f>TEST_DATA!E15664</f>
        <v/>
      </c>
    </row>
    <row r="15665">
      <c r="A15665">
        <f>TEST_DATA!A15665</f>
        <v/>
      </c>
      <c r="B15665">
        <f>TEST_DATA!B15665</f>
        <v/>
      </c>
      <c r="C15665">
        <f>TEST_DATA!C15665</f>
        <v/>
      </c>
      <c r="D15665">
        <f>TEST_DATA!D15665</f>
        <v/>
      </c>
      <c r="E15665">
        <f>TEST_DATA!E15665</f>
        <v/>
      </c>
    </row>
    <row r="15666">
      <c r="A15666">
        <f>TEST_DATA!A15666</f>
        <v/>
      </c>
      <c r="B15666">
        <f>TEST_DATA!B15666</f>
        <v/>
      </c>
      <c r="C15666">
        <f>TEST_DATA!C15666</f>
        <v/>
      </c>
      <c r="D15666">
        <f>TEST_DATA!D15666</f>
        <v/>
      </c>
      <c r="E15666">
        <f>TEST_DATA!E15666</f>
        <v/>
      </c>
    </row>
    <row r="15667">
      <c r="A15667">
        <f>TEST_DATA!A15667</f>
        <v/>
      </c>
      <c r="B15667">
        <f>TEST_DATA!B15667</f>
        <v/>
      </c>
      <c r="C15667">
        <f>TEST_DATA!C15667</f>
        <v/>
      </c>
      <c r="D15667">
        <f>TEST_DATA!D15667</f>
        <v/>
      </c>
      <c r="E15667">
        <f>TEST_DATA!E15667</f>
        <v/>
      </c>
    </row>
    <row r="15668">
      <c r="A15668">
        <f>TEST_DATA!A15668</f>
        <v/>
      </c>
      <c r="B15668">
        <f>TEST_DATA!B15668</f>
        <v/>
      </c>
      <c r="C15668">
        <f>TEST_DATA!C15668</f>
        <v/>
      </c>
      <c r="D15668">
        <f>TEST_DATA!D15668</f>
        <v/>
      </c>
      <c r="E15668">
        <f>TEST_DATA!E15668</f>
        <v/>
      </c>
    </row>
    <row r="15669">
      <c r="A15669">
        <f>TEST_DATA!A15669</f>
        <v/>
      </c>
      <c r="B15669">
        <f>TEST_DATA!B15669</f>
        <v/>
      </c>
      <c r="C15669">
        <f>TEST_DATA!C15669</f>
        <v/>
      </c>
      <c r="D15669">
        <f>TEST_DATA!D15669</f>
        <v/>
      </c>
      <c r="E15669">
        <f>TEST_DATA!E15669</f>
        <v/>
      </c>
    </row>
    <row r="15670">
      <c r="A15670">
        <f>TEST_DATA!A15670</f>
        <v/>
      </c>
      <c r="B15670">
        <f>TEST_DATA!B15670</f>
        <v/>
      </c>
      <c r="C15670">
        <f>TEST_DATA!C15670</f>
        <v/>
      </c>
      <c r="D15670">
        <f>TEST_DATA!D15670</f>
        <v/>
      </c>
      <c r="E15670">
        <f>TEST_DATA!E15670</f>
        <v/>
      </c>
    </row>
    <row r="15671">
      <c r="A15671">
        <f>TEST_DATA!A15671</f>
        <v/>
      </c>
      <c r="B15671">
        <f>TEST_DATA!B15671</f>
        <v/>
      </c>
      <c r="C15671">
        <f>TEST_DATA!C15671</f>
        <v/>
      </c>
      <c r="D15671">
        <f>TEST_DATA!D15671</f>
        <v/>
      </c>
      <c r="E15671">
        <f>TEST_DATA!E15671</f>
        <v/>
      </c>
    </row>
    <row r="15672">
      <c r="A15672">
        <f>TEST_DATA!A15672</f>
        <v/>
      </c>
      <c r="B15672">
        <f>TEST_DATA!B15672</f>
        <v/>
      </c>
      <c r="C15672">
        <f>TEST_DATA!C15672</f>
        <v/>
      </c>
      <c r="D15672">
        <f>TEST_DATA!D15672</f>
        <v/>
      </c>
      <c r="E15672">
        <f>TEST_DATA!E15672</f>
        <v/>
      </c>
    </row>
    <row r="15673">
      <c r="A15673">
        <f>TEST_DATA!A15673</f>
        <v/>
      </c>
      <c r="B15673">
        <f>TEST_DATA!B15673</f>
        <v/>
      </c>
      <c r="C15673">
        <f>TEST_DATA!C15673</f>
        <v/>
      </c>
      <c r="D15673">
        <f>TEST_DATA!D15673</f>
        <v/>
      </c>
      <c r="E15673">
        <f>TEST_DATA!E15673</f>
        <v/>
      </c>
    </row>
    <row r="15674">
      <c r="A15674">
        <f>TEST_DATA!A15674</f>
        <v/>
      </c>
      <c r="B15674">
        <f>TEST_DATA!B15674</f>
        <v/>
      </c>
      <c r="C15674">
        <f>TEST_DATA!C15674</f>
        <v/>
      </c>
      <c r="D15674">
        <f>TEST_DATA!D15674</f>
        <v/>
      </c>
      <c r="E15674">
        <f>TEST_DATA!E15674</f>
        <v/>
      </c>
    </row>
    <row r="15675">
      <c r="A15675">
        <f>TEST_DATA!A15675</f>
        <v/>
      </c>
      <c r="B15675">
        <f>TEST_DATA!B15675</f>
        <v/>
      </c>
      <c r="C15675">
        <f>TEST_DATA!C15675</f>
        <v/>
      </c>
      <c r="D15675">
        <f>TEST_DATA!D15675</f>
        <v/>
      </c>
      <c r="E15675">
        <f>TEST_DATA!E15675</f>
        <v/>
      </c>
    </row>
    <row r="15676">
      <c r="A15676">
        <f>TEST_DATA!A15676</f>
        <v/>
      </c>
      <c r="B15676">
        <f>TEST_DATA!B15676</f>
        <v/>
      </c>
      <c r="C15676">
        <f>TEST_DATA!C15676</f>
        <v/>
      </c>
      <c r="D15676">
        <f>TEST_DATA!D15676</f>
        <v/>
      </c>
      <c r="E15676">
        <f>TEST_DATA!E15676</f>
        <v/>
      </c>
    </row>
    <row r="15677">
      <c r="A15677">
        <f>TEST_DATA!A15677</f>
        <v/>
      </c>
      <c r="B15677">
        <f>TEST_DATA!B15677</f>
        <v/>
      </c>
      <c r="C15677">
        <f>TEST_DATA!C15677</f>
        <v/>
      </c>
      <c r="D15677">
        <f>TEST_DATA!D15677</f>
        <v/>
      </c>
      <c r="E15677">
        <f>TEST_DATA!E15677</f>
        <v/>
      </c>
    </row>
    <row r="15678">
      <c r="A15678">
        <f>TEST_DATA!A15678</f>
        <v/>
      </c>
      <c r="B15678">
        <f>TEST_DATA!B15678</f>
        <v/>
      </c>
      <c r="C15678">
        <f>TEST_DATA!C15678</f>
        <v/>
      </c>
      <c r="D15678">
        <f>TEST_DATA!D15678</f>
        <v/>
      </c>
      <c r="E15678">
        <f>TEST_DATA!E15678</f>
        <v/>
      </c>
    </row>
    <row r="15679">
      <c r="A15679">
        <f>TEST_DATA!A15679</f>
        <v/>
      </c>
      <c r="B15679">
        <f>TEST_DATA!B15679</f>
        <v/>
      </c>
      <c r="C15679">
        <f>TEST_DATA!C15679</f>
        <v/>
      </c>
      <c r="D15679">
        <f>TEST_DATA!D15679</f>
        <v/>
      </c>
      <c r="E15679">
        <f>TEST_DATA!E15679</f>
        <v/>
      </c>
    </row>
    <row r="15680">
      <c r="A15680">
        <f>TEST_DATA!A15680</f>
        <v/>
      </c>
      <c r="B15680">
        <f>TEST_DATA!B15680</f>
        <v/>
      </c>
      <c r="C15680">
        <f>TEST_DATA!C15680</f>
        <v/>
      </c>
      <c r="D15680">
        <f>TEST_DATA!D15680</f>
        <v/>
      </c>
      <c r="E15680">
        <f>TEST_DATA!E15680</f>
        <v/>
      </c>
    </row>
    <row r="15681">
      <c r="A15681">
        <f>TEST_DATA!A15681</f>
        <v/>
      </c>
      <c r="B15681">
        <f>TEST_DATA!B15681</f>
        <v/>
      </c>
      <c r="C15681">
        <f>TEST_DATA!C15681</f>
        <v/>
      </c>
      <c r="D15681">
        <f>TEST_DATA!D15681</f>
        <v/>
      </c>
      <c r="E15681">
        <f>TEST_DATA!E15681</f>
        <v/>
      </c>
    </row>
    <row r="15682">
      <c r="A15682">
        <f>TEST_DATA!A15682</f>
        <v/>
      </c>
      <c r="B15682">
        <f>TEST_DATA!B15682</f>
        <v/>
      </c>
      <c r="C15682">
        <f>TEST_DATA!C15682</f>
        <v/>
      </c>
      <c r="D15682">
        <f>TEST_DATA!D15682</f>
        <v/>
      </c>
      <c r="E15682">
        <f>TEST_DATA!E15682</f>
        <v/>
      </c>
    </row>
    <row r="15683">
      <c r="A15683">
        <f>TEST_DATA!A15683</f>
        <v/>
      </c>
      <c r="B15683">
        <f>TEST_DATA!B15683</f>
        <v/>
      </c>
      <c r="C15683">
        <f>TEST_DATA!C15683</f>
        <v/>
      </c>
      <c r="D15683">
        <f>TEST_DATA!D15683</f>
        <v/>
      </c>
      <c r="E15683">
        <f>TEST_DATA!E15683</f>
        <v/>
      </c>
    </row>
    <row r="15684">
      <c r="A15684">
        <f>TEST_DATA!A15684</f>
        <v/>
      </c>
      <c r="B15684">
        <f>TEST_DATA!B15684</f>
        <v/>
      </c>
      <c r="C15684">
        <f>TEST_DATA!C15684</f>
        <v/>
      </c>
      <c r="D15684">
        <f>TEST_DATA!D15684</f>
        <v/>
      </c>
      <c r="E15684">
        <f>TEST_DATA!E15684</f>
        <v/>
      </c>
    </row>
    <row r="15685">
      <c r="A15685">
        <f>TEST_DATA!A15685</f>
        <v/>
      </c>
      <c r="B15685">
        <f>TEST_DATA!B15685</f>
        <v/>
      </c>
      <c r="C15685">
        <f>TEST_DATA!C15685</f>
        <v/>
      </c>
      <c r="D15685">
        <f>TEST_DATA!D15685</f>
        <v/>
      </c>
      <c r="E15685">
        <f>TEST_DATA!E15685</f>
        <v/>
      </c>
    </row>
    <row r="15686">
      <c r="A15686">
        <f>TEST_DATA!A15686</f>
        <v/>
      </c>
      <c r="B15686">
        <f>TEST_DATA!B15686</f>
        <v/>
      </c>
      <c r="C15686">
        <f>TEST_DATA!C15686</f>
        <v/>
      </c>
      <c r="D15686">
        <f>TEST_DATA!D15686</f>
        <v/>
      </c>
      <c r="E15686">
        <f>TEST_DATA!E15686</f>
        <v/>
      </c>
    </row>
    <row r="15687">
      <c r="A15687">
        <f>TEST_DATA!A15687</f>
        <v/>
      </c>
      <c r="B15687">
        <f>TEST_DATA!B15687</f>
        <v/>
      </c>
      <c r="C15687">
        <f>TEST_DATA!C15687</f>
        <v/>
      </c>
      <c r="D15687">
        <f>TEST_DATA!D15687</f>
        <v/>
      </c>
      <c r="E15687">
        <f>TEST_DATA!E15687</f>
        <v/>
      </c>
    </row>
    <row r="15688">
      <c r="A15688">
        <f>TEST_DATA!A15688</f>
        <v/>
      </c>
      <c r="B15688">
        <f>TEST_DATA!B15688</f>
        <v/>
      </c>
      <c r="C15688">
        <f>TEST_DATA!C15688</f>
        <v/>
      </c>
      <c r="D15688">
        <f>TEST_DATA!D15688</f>
        <v/>
      </c>
      <c r="E15688">
        <f>TEST_DATA!E15688</f>
        <v/>
      </c>
    </row>
    <row r="15689">
      <c r="A15689">
        <f>TEST_DATA!A15689</f>
        <v/>
      </c>
      <c r="B15689">
        <f>TEST_DATA!B15689</f>
        <v/>
      </c>
      <c r="C15689">
        <f>TEST_DATA!C15689</f>
        <v/>
      </c>
      <c r="D15689">
        <f>TEST_DATA!D15689</f>
        <v/>
      </c>
      <c r="E15689">
        <f>TEST_DATA!E15689</f>
        <v/>
      </c>
    </row>
    <row r="15690">
      <c r="A15690">
        <f>TEST_DATA!A15690</f>
        <v/>
      </c>
      <c r="B15690">
        <f>TEST_DATA!B15690</f>
        <v/>
      </c>
      <c r="C15690">
        <f>TEST_DATA!C15690</f>
        <v/>
      </c>
      <c r="D15690">
        <f>TEST_DATA!D15690</f>
        <v/>
      </c>
      <c r="E15690">
        <f>TEST_DATA!E15690</f>
        <v/>
      </c>
    </row>
    <row r="15691">
      <c r="A15691">
        <f>TEST_DATA!A15691</f>
        <v/>
      </c>
      <c r="B15691">
        <f>TEST_DATA!B15691</f>
        <v/>
      </c>
      <c r="C15691">
        <f>TEST_DATA!C15691</f>
        <v/>
      </c>
      <c r="D15691">
        <f>TEST_DATA!D15691</f>
        <v/>
      </c>
      <c r="E15691">
        <f>TEST_DATA!E15691</f>
        <v/>
      </c>
    </row>
    <row r="15692">
      <c r="A15692">
        <f>TEST_DATA!A15692</f>
        <v/>
      </c>
      <c r="B15692">
        <f>TEST_DATA!B15692</f>
        <v/>
      </c>
      <c r="C15692">
        <f>TEST_DATA!C15692</f>
        <v/>
      </c>
      <c r="D15692">
        <f>TEST_DATA!D15692</f>
        <v/>
      </c>
      <c r="E15692">
        <f>TEST_DATA!E15692</f>
        <v/>
      </c>
    </row>
    <row r="15693">
      <c r="A15693">
        <f>TEST_DATA!A15693</f>
        <v/>
      </c>
      <c r="B15693">
        <f>TEST_DATA!B15693</f>
        <v/>
      </c>
      <c r="C15693">
        <f>TEST_DATA!C15693</f>
        <v/>
      </c>
      <c r="D15693">
        <f>TEST_DATA!D15693</f>
        <v/>
      </c>
      <c r="E15693">
        <f>TEST_DATA!E15693</f>
        <v/>
      </c>
    </row>
    <row r="15694">
      <c r="A15694">
        <f>TEST_DATA!A15694</f>
        <v/>
      </c>
      <c r="B15694">
        <f>TEST_DATA!B15694</f>
        <v/>
      </c>
      <c r="C15694">
        <f>TEST_DATA!C15694</f>
        <v/>
      </c>
      <c r="D15694">
        <f>TEST_DATA!D15694</f>
        <v/>
      </c>
      <c r="E15694">
        <f>TEST_DATA!E15694</f>
        <v/>
      </c>
    </row>
    <row r="15695">
      <c r="A15695">
        <f>TEST_DATA!A15695</f>
        <v/>
      </c>
      <c r="B15695">
        <f>TEST_DATA!B15695</f>
        <v/>
      </c>
      <c r="C15695">
        <f>TEST_DATA!C15695</f>
        <v/>
      </c>
      <c r="D15695">
        <f>TEST_DATA!D15695</f>
        <v/>
      </c>
      <c r="E15695">
        <f>TEST_DATA!E15695</f>
        <v/>
      </c>
    </row>
    <row r="15696">
      <c r="A15696">
        <f>TEST_DATA!A15696</f>
        <v/>
      </c>
      <c r="B15696">
        <f>TEST_DATA!B15696</f>
        <v/>
      </c>
      <c r="C15696">
        <f>TEST_DATA!C15696</f>
        <v/>
      </c>
      <c r="D15696">
        <f>TEST_DATA!D15696</f>
        <v/>
      </c>
      <c r="E15696">
        <f>TEST_DATA!E15696</f>
        <v/>
      </c>
    </row>
    <row r="15697">
      <c r="A15697">
        <f>TEST_DATA!A15697</f>
        <v/>
      </c>
      <c r="B15697">
        <f>TEST_DATA!B15697</f>
        <v/>
      </c>
      <c r="C15697">
        <f>TEST_DATA!C15697</f>
        <v/>
      </c>
      <c r="D15697">
        <f>TEST_DATA!D15697</f>
        <v/>
      </c>
      <c r="E15697">
        <f>TEST_DATA!E15697</f>
        <v/>
      </c>
    </row>
    <row r="15698">
      <c r="A15698">
        <f>TEST_DATA!A15698</f>
        <v/>
      </c>
      <c r="B15698">
        <f>TEST_DATA!B15698</f>
        <v/>
      </c>
      <c r="C15698">
        <f>TEST_DATA!C15698</f>
        <v/>
      </c>
      <c r="D15698">
        <f>TEST_DATA!D15698</f>
        <v/>
      </c>
      <c r="E15698">
        <f>TEST_DATA!E15698</f>
        <v/>
      </c>
    </row>
    <row r="15699">
      <c r="A15699">
        <f>TEST_DATA!A15699</f>
        <v/>
      </c>
      <c r="B15699">
        <f>TEST_DATA!B15699</f>
        <v/>
      </c>
      <c r="C15699">
        <f>TEST_DATA!C15699</f>
        <v/>
      </c>
      <c r="D15699">
        <f>TEST_DATA!D15699</f>
        <v/>
      </c>
      <c r="E15699">
        <f>TEST_DATA!E15699</f>
        <v/>
      </c>
    </row>
    <row r="15700">
      <c r="A15700">
        <f>TEST_DATA!A15700</f>
        <v/>
      </c>
      <c r="B15700">
        <f>TEST_DATA!B15700</f>
        <v/>
      </c>
      <c r="C15700">
        <f>TEST_DATA!C15700</f>
        <v/>
      </c>
      <c r="D15700">
        <f>TEST_DATA!D15700</f>
        <v/>
      </c>
      <c r="E15700">
        <f>TEST_DATA!E15700</f>
        <v/>
      </c>
    </row>
    <row r="15701">
      <c r="A15701">
        <f>TEST_DATA!A15701</f>
        <v/>
      </c>
      <c r="B15701">
        <f>TEST_DATA!B15701</f>
        <v/>
      </c>
      <c r="C15701">
        <f>TEST_DATA!C15701</f>
        <v/>
      </c>
      <c r="D15701">
        <f>TEST_DATA!D15701</f>
        <v/>
      </c>
      <c r="E15701">
        <f>TEST_DATA!E15701</f>
        <v/>
      </c>
    </row>
    <row r="15702">
      <c r="A15702">
        <f>TEST_DATA!A15702</f>
        <v/>
      </c>
      <c r="B15702">
        <f>TEST_DATA!B15702</f>
        <v/>
      </c>
      <c r="C15702">
        <f>TEST_DATA!C15702</f>
        <v/>
      </c>
      <c r="D15702">
        <f>TEST_DATA!D15702</f>
        <v/>
      </c>
      <c r="E15702">
        <f>TEST_DATA!E15702</f>
        <v/>
      </c>
    </row>
    <row r="15703">
      <c r="A15703">
        <f>TEST_DATA!A15703</f>
        <v/>
      </c>
      <c r="B15703">
        <f>TEST_DATA!B15703</f>
        <v/>
      </c>
      <c r="C15703">
        <f>TEST_DATA!C15703</f>
        <v/>
      </c>
      <c r="D15703">
        <f>TEST_DATA!D15703</f>
        <v/>
      </c>
      <c r="E15703">
        <f>TEST_DATA!E15703</f>
        <v/>
      </c>
    </row>
    <row r="15704">
      <c r="A15704">
        <f>TEST_DATA!A15704</f>
        <v/>
      </c>
      <c r="B15704">
        <f>TEST_DATA!B15704</f>
        <v/>
      </c>
      <c r="C15704">
        <f>TEST_DATA!C15704</f>
        <v/>
      </c>
      <c r="D15704">
        <f>TEST_DATA!D15704</f>
        <v/>
      </c>
      <c r="E15704">
        <f>TEST_DATA!E15704</f>
        <v/>
      </c>
    </row>
    <row r="15705">
      <c r="A15705">
        <f>TEST_DATA!A15705</f>
        <v/>
      </c>
      <c r="B15705">
        <f>TEST_DATA!B15705</f>
        <v/>
      </c>
      <c r="C15705">
        <f>TEST_DATA!C15705</f>
        <v/>
      </c>
      <c r="D15705">
        <f>TEST_DATA!D15705</f>
        <v/>
      </c>
      <c r="E15705">
        <f>TEST_DATA!E15705</f>
        <v/>
      </c>
    </row>
    <row r="15706">
      <c r="A15706">
        <f>TEST_DATA!A15706</f>
        <v/>
      </c>
      <c r="B15706">
        <f>TEST_DATA!B15706</f>
        <v/>
      </c>
      <c r="C15706">
        <f>TEST_DATA!C15706</f>
        <v/>
      </c>
      <c r="D15706">
        <f>TEST_DATA!D15706</f>
        <v/>
      </c>
      <c r="E15706">
        <f>TEST_DATA!E15706</f>
        <v/>
      </c>
    </row>
    <row r="15707">
      <c r="A15707">
        <f>TEST_DATA!A15707</f>
        <v/>
      </c>
      <c r="B15707">
        <f>TEST_DATA!B15707</f>
        <v/>
      </c>
      <c r="C15707">
        <f>TEST_DATA!C15707</f>
        <v/>
      </c>
      <c r="D15707">
        <f>TEST_DATA!D15707</f>
        <v/>
      </c>
      <c r="E15707">
        <f>TEST_DATA!E15707</f>
        <v/>
      </c>
    </row>
    <row r="15708">
      <c r="A15708">
        <f>TEST_DATA!A15708</f>
        <v/>
      </c>
      <c r="B15708">
        <f>TEST_DATA!B15708</f>
        <v/>
      </c>
      <c r="C15708">
        <f>TEST_DATA!C15708</f>
        <v/>
      </c>
      <c r="D15708">
        <f>TEST_DATA!D15708</f>
        <v/>
      </c>
      <c r="E15708">
        <f>TEST_DATA!E15708</f>
        <v/>
      </c>
    </row>
    <row r="15709">
      <c r="A15709">
        <f>TEST_DATA!A15709</f>
        <v/>
      </c>
      <c r="B15709">
        <f>TEST_DATA!B15709</f>
        <v/>
      </c>
      <c r="C15709">
        <f>TEST_DATA!C15709</f>
        <v/>
      </c>
      <c r="D15709">
        <f>TEST_DATA!D15709</f>
        <v/>
      </c>
      <c r="E15709">
        <f>TEST_DATA!E15709</f>
        <v/>
      </c>
    </row>
    <row r="15710">
      <c r="A15710">
        <f>TEST_DATA!A15710</f>
        <v/>
      </c>
      <c r="B15710">
        <f>TEST_DATA!B15710</f>
        <v/>
      </c>
      <c r="C15710">
        <f>TEST_DATA!C15710</f>
        <v/>
      </c>
      <c r="D15710">
        <f>TEST_DATA!D15710</f>
        <v/>
      </c>
      <c r="E15710">
        <f>TEST_DATA!E15710</f>
        <v/>
      </c>
    </row>
    <row r="15711">
      <c r="A15711">
        <f>TEST_DATA!A15711</f>
        <v/>
      </c>
      <c r="B15711">
        <f>TEST_DATA!B15711</f>
        <v/>
      </c>
      <c r="C15711">
        <f>TEST_DATA!C15711</f>
        <v/>
      </c>
      <c r="D15711">
        <f>TEST_DATA!D15711</f>
        <v/>
      </c>
      <c r="E15711">
        <f>TEST_DATA!E15711</f>
        <v/>
      </c>
    </row>
    <row r="15712">
      <c r="A15712">
        <f>TEST_DATA!A15712</f>
        <v/>
      </c>
      <c r="B15712">
        <f>TEST_DATA!B15712</f>
        <v/>
      </c>
      <c r="C15712">
        <f>TEST_DATA!C15712</f>
        <v/>
      </c>
      <c r="D15712">
        <f>TEST_DATA!D15712</f>
        <v/>
      </c>
      <c r="E15712">
        <f>TEST_DATA!E15712</f>
        <v/>
      </c>
    </row>
    <row r="15713">
      <c r="A15713">
        <f>TEST_DATA!A15713</f>
        <v/>
      </c>
      <c r="B15713">
        <f>TEST_DATA!B15713</f>
        <v/>
      </c>
      <c r="C15713">
        <f>TEST_DATA!C15713</f>
        <v/>
      </c>
      <c r="D15713">
        <f>TEST_DATA!D15713</f>
        <v/>
      </c>
      <c r="E15713">
        <f>TEST_DATA!E15713</f>
        <v/>
      </c>
    </row>
    <row r="15714">
      <c r="A15714">
        <f>TEST_DATA!A15714</f>
        <v/>
      </c>
      <c r="B15714">
        <f>TEST_DATA!B15714</f>
        <v/>
      </c>
      <c r="C15714">
        <f>TEST_DATA!C15714</f>
        <v/>
      </c>
      <c r="D15714">
        <f>TEST_DATA!D15714</f>
        <v/>
      </c>
      <c r="E15714">
        <f>TEST_DATA!E15714</f>
        <v/>
      </c>
    </row>
    <row r="15715">
      <c r="A15715">
        <f>TEST_DATA!A15715</f>
        <v/>
      </c>
      <c r="B15715">
        <f>TEST_DATA!B15715</f>
        <v/>
      </c>
      <c r="C15715">
        <f>TEST_DATA!C15715</f>
        <v/>
      </c>
      <c r="D15715">
        <f>TEST_DATA!D15715</f>
        <v/>
      </c>
      <c r="E15715">
        <f>TEST_DATA!E15715</f>
        <v/>
      </c>
    </row>
    <row r="15716">
      <c r="A15716">
        <f>TEST_DATA!A15716</f>
        <v/>
      </c>
      <c r="B15716">
        <f>TEST_DATA!B15716</f>
        <v/>
      </c>
      <c r="C15716">
        <f>TEST_DATA!C15716</f>
        <v/>
      </c>
      <c r="D15716">
        <f>TEST_DATA!D15716</f>
        <v/>
      </c>
      <c r="E15716">
        <f>TEST_DATA!E15716</f>
        <v/>
      </c>
    </row>
    <row r="15717">
      <c r="A15717">
        <f>TEST_DATA!A15717</f>
        <v/>
      </c>
      <c r="B15717">
        <f>TEST_DATA!B15717</f>
        <v/>
      </c>
      <c r="C15717">
        <f>TEST_DATA!C15717</f>
        <v/>
      </c>
      <c r="D15717">
        <f>TEST_DATA!D15717</f>
        <v/>
      </c>
      <c r="E15717">
        <f>TEST_DATA!E15717</f>
        <v/>
      </c>
    </row>
    <row r="15718">
      <c r="A15718">
        <f>TEST_DATA!A15718</f>
        <v/>
      </c>
      <c r="B15718">
        <f>TEST_DATA!B15718</f>
        <v/>
      </c>
      <c r="C15718">
        <f>TEST_DATA!C15718</f>
        <v/>
      </c>
      <c r="D15718">
        <f>TEST_DATA!D15718</f>
        <v/>
      </c>
      <c r="E15718">
        <f>TEST_DATA!E15718</f>
        <v/>
      </c>
    </row>
    <row r="15719">
      <c r="A15719">
        <f>TEST_DATA!A15719</f>
        <v/>
      </c>
      <c r="B15719">
        <f>TEST_DATA!B15719</f>
        <v/>
      </c>
      <c r="C15719">
        <f>TEST_DATA!C15719</f>
        <v/>
      </c>
      <c r="D15719">
        <f>TEST_DATA!D15719</f>
        <v/>
      </c>
      <c r="E15719">
        <f>TEST_DATA!E15719</f>
        <v/>
      </c>
    </row>
    <row r="15720">
      <c r="A15720">
        <f>TEST_DATA!A15720</f>
        <v/>
      </c>
      <c r="B15720">
        <f>TEST_DATA!B15720</f>
        <v/>
      </c>
      <c r="C15720">
        <f>TEST_DATA!C15720</f>
        <v/>
      </c>
      <c r="D15720">
        <f>TEST_DATA!D15720</f>
        <v/>
      </c>
      <c r="E15720">
        <f>TEST_DATA!E15720</f>
        <v/>
      </c>
    </row>
    <row r="15721">
      <c r="A15721">
        <f>TEST_DATA!A15721</f>
        <v/>
      </c>
      <c r="B15721">
        <f>TEST_DATA!B15721</f>
        <v/>
      </c>
      <c r="C15721">
        <f>TEST_DATA!C15721</f>
        <v/>
      </c>
      <c r="D15721">
        <f>TEST_DATA!D15721</f>
        <v/>
      </c>
      <c r="E15721">
        <f>TEST_DATA!E15721</f>
        <v/>
      </c>
    </row>
    <row r="15722">
      <c r="A15722">
        <f>TEST_DATA!A15722</f>
        <v/>
      </c>
      <c r="B15722">
        <f>TEST_DATA!B15722</f>
        <v/>
      </c>
      <c r="C15722">
        <f>TEST_DATA!C15722</f>
        <v/>
      </c>
      <c r="D15722">
        <f>TEST_DATA!D15722</f>
        <v/>
      </c>
      <c r="E15722">
        <f>TEST_DATA!E15722</f>
        <v/>
      </c>
    </row>
    <row r="15723">
      <c r="A15723">
        <f>TEST_DATA!A15723</f>
        <v/>
      </c>
      <c r="B15723">
        <f>TEST_DATA!B15723</f>
        <v/>
      </c>
      <c r="C15723">
        <f>TEST_DATA!C15723</f>
        <v/>
      </c>
      <c r="D15723">
        <f>TEST_DATA!D15723</f>
        <v/>
      </c>
      <c r="E15723">
        <f>TEST_DATA!E15723</f>
        <v/>
      </c>
    </row>
    <row r="15724">
      <c r="A15724">
        <f>TEST_DATA!A15724</f>
        <v/>
      </c>
      <c r="B15724">
        <f>TEST_DATA!B15724</f>
        <v/>
      </c>
      <c r="C15724">
        <f>TEST_DATA!C15724</f>
        <v/>
      </c>
      <c r="D15724">
        <f>TEST_DATA!D15724</f>
        <v/>
      </c>
      <c r="E15724">
        <f>TEST_DATA!E15724</f>
        <v/>
      </c>
    </row>
    <row r="15725">
      <c r="A15725">
        <f>TEST_DATA!A15725</f>
        <v/>
      </c>
      <c r="B15725">
        <f>TEST_DATA!B15725</f>
        <v/>
      </c>
      <c r="C15725">
        <f>TEST_DATA!C15725</f>
        <v/>
      </c>
      <c r="D15725">
        <f>TEST_DATA!D15725</f>
        <v/>
      </c>
      <c r="E15725">
        <f>TEST_DATA!E15725</f>
        <v/>
      </c>
    </row>
    <row r="15726">
      <c r="A15726">
        <f>TEST_DATA!A15726</f>
        <v/>
      </c>
      <c r="B15726">
        <f>TEST_DATA!B15726</f>
        <v/>
      </c>
      <c r="C15726">
        <f>TEST_DATA!C15726</f>
        <v/>
      </c>
      <c r="D15726">
        <f>TEST_DATA!D15726</f>
        <v/>
      </c>
      <c r="E15726">
        <f>TEST_DATA!E15726</f>
        <v/>
      </c>
    </row>
    <row r="15727">
      <c r="A15727">
        <f>TEST_DATA!A15727</f>
        <v/>
      </c>
      <c r="B15727">
        <f>TEST_DATA!B15727</f>
        <v/>
      </c>
      <c r="C15727">
        <f>TEST_DATA!C15727</f>
        <v/>
      </c>
      <c r="D15727">
        <f>TEST_DATA!D15727</f>
        <v/>
      </c>
      <c r="E15727">
        <f>TEST_DATA!E15727</f>
        <v/>
      </c>
    </row>
    <row r="15728">
      <c r="A15728">
        <f>TEST_DATA!A15728</f>
        <v/>
      </c>
      <c r="B15728">
        <f>TEST_DATA!B15728</f>
        <v/>
      </c>
      <c r="C15728">
        <f>TEST_DATA!C15728</f>
        <v/>
      </c>
      <c r="D15728">
        <f>TEST_DATA!D15728</f>
        <v/>
      </c>
      <c r="E15728">
        <f>TEST_DATA!E15728</f>
        <v/>
      </c>
    </row>
    <row r="15729">
      <c r="A15729">
        <f>TEST_DATA!A15729</f>
        <v/>
      </c>
      <c r="B15729">
        <f>TEST_DATA!B15729</f>
        <v/>
      </c>
      <c r="C15729">
        <f>TEST_DATA!C15729</f>
        <v/>
      </c>
      <c r="D15729">
        <f>TEST_DATA!D15729</f>
        <v/>
      </c>
      <c r="E15729">
        <f>TEST_DATA!E15729</f>
        <v/>
      </c>
    </row>
    <row r="15730">
      <c r="A15730">
        <f>TEST_DATA!A15730</f>
        <v/>
      </c>
      <c r="B15730">
        <f>TEST_DATA!B15730</f>
        <v/>
      </c>
      <c r="C15730">
        <f>TEST_DATA!C15730</f>
        <v/>
      </c>
      <c r="D15730">
        <f>TEST_DATA!D15730</f>
        <v/>
      </c>
      <c r="E15730">
        <f>TEST_DATA!E15730</f>
        <v/>
      </c>
    </row>
    <row r="15731">
      <c r="A15731">
        <f>TEST_DATA!A15731</f>
        <v/>
      </c>
      <c r="B15731">
        <f>TEST_DATA!B15731</f>
        <v/>
      </c>
      <c r="C15731">
        <f>TEST_DATA!C15731</f>
        <v/>
      </c>
      <c r="D15731">
        <f>TEST_DATA!D15731</f>
        <v/>
      </c>
      <c r="E15731">
        <f>TEST_DATA!E15731</f>
        <v/>
      </c>
    </row>
    <row r="15732">
      <c r="A15732">
        <f>TEST_DATA!A15732</f>
        <v/>
      </c>
      <c r="B15732">
        <f>TEST_DATA!B15732</f>
        <v/>
      </c>
      <c r="C15732">
        <f>TEST_DATA!C15732</f>
        <v/>
      </c>
      <c r="D15732">
        <f>TEST_DATA!D15732</f>
        <v/>
      </c>
      <c r="E15732">
        <f>TEST_DATA!E15732</f>
        <v/>
      </c>
    </row>
    <row r="15733">
      <c r="A15733">
        <f>TEST_DATA!A15733</f>
        <v/>
      </c>
      <c r="B15733">
        <f>TEST_DATA!B15733</f>
        <v/>
      </c>
      <c r="C15733">
        <f>TEST_DATA!C15733</f>
        <v/>
      </c>
      <c r="D15733">
        <f>TEST_DATA!D15733</f>
        <v/>
      </c>
      <c r="E15733">
        <f>TEST_DATA!E15733</f>
        <v/>
      </c>
    </row>
    <row r="15734">
      <c r="A15734">
        <f>TEST_DATA!A15734</f>
        <v/>
      </c>
      <c r="B15734">
        <f>TEST_DATA!B15734</f>
        <v/>
      </c>
      <c r="C15734">
        <f>TEST_DATA!C15734</f>
        <v/>
      </c>
      <c r="D15734">
        <f>TEST_DATA!D15734</f>
        <v/>
      </c>
      <c r="E15734">
        <f>TEST_DATA!E15734</f>
        <v/>
      </c>
    </row>
    <row r="15735">
      <c r="A15735">
        <f>TEST_DATA!A15735</f>
        <v/>
      </c>
      <c r="B15735">
        <f>TEST_DATA!B15735</f>
        <v/>
      </c>
      <c r="C15735">
        <f>TEST_DATA!C15735</f>
        <v/>
      </c>
      <c r="D15735">
        <f>TEST_DATA!D15735</f>
        <v/>
      </c>
      <c r="E15735">
        <f>TEST_DATA!E15735</f>
        <v/>
      </c>
    </row>
    <row r="15736">
      <c r="A15736">
        <f>TEST_DATA!A15736</f>
        <v/>
      </c>
      <c r="B15736">
        <f>TEST_DATA!B15736</f>
        <v/>
      </c>
      <c r="C15736">
        <f>TEST_DATA!C15736</f>
        <v/>
      </c>
      <c r="D15736">
        <f>TEST_DATA!D15736</f>
        <v/>
      </c>
      <c r="E15736">
        <f>TEST_DATA!E15736</f>
        <v/>
      </c>
    </row>
    <row r="15737">
      <c r="A15737">
        <f>TEST_DATA!A15737</f>
        <v/>
      </c>
      <c r="B15737">
        <f>TEST_DATA!B15737</f>
        <v/>
      </c>
      <c r="C15737">
        <f>TEST_DATA!C15737</f>
        <v/>
      </c>
      <c r="D15737">
        <f>TEST_DATA!D15737</f>
        <v/>
      </c>
      <c r="E15737">
        <f>TEST_DATA!E15737</f>
        <v/>
      </c>
    </row>
    <row r="15738">
      <c r="A15738">
        <f>TEST_DATA!A15738</f>
        <v/>
      </c>
      <c r="B15738">
        <f>TEST_DATA!B15738</f>
        <v/>
      </c>
      <c r="C15738">
        <f>TEST_DATA!C15738</f>
        <v/>
      </c>
      <c r="D15738">
        <f>TEST_DATA!D15738</f>
        <v/>
      </c>
      <c r="E15738">
        <f>TEST_DATA!E15738</f>
        <v/>
      </c>
    </row>
    <row r="15739">
      <c r="A15739">
        <f>TEST_DATA!A15739</f>
        <v/>
      </c>
      <c r="B15739">
        <f>TEST_DATA!B15739</f>
        <v/>
      </c>
      <c r="C15739">
        <f>TEST_DATA!C15739</f>
        <v/>
      </c>
      <c r="D15739">
        <f>TEST_DATA!D15739</f>
        <v/>
      </c>
      <c r="E15739">
        <f>TEST_DATA!E15739</f>
        <v/>
      </c>
    </row>
    <row r="15740">
      <c r="A15740">
        <f>TEST_DATA!A15740</f>
        <v/>
      </c>
      <c r="B15740">
        <f>TEST_DATA!B15740</f>
        <v/>
      </c>
      <c r="C15740">
        <f>TEST_DATA!C15740</f>
        <v/>
      </c>
      <c r="D15740">
        <f>TEST_DATA!D15740</f>
        <v/>
      </c>
      <c r="E15740">
        <f>TEST_DATA!E15740</f>
        <v/>
      </c>
    </row>
    <row r="15741">
      <c r="A15741">
        <f>TEST_DATA!A15741</f>
        <v/>
      </c>
      <c r="B15741">
        <f>TEST_DATA!B15741</f>
        <v/>
      </c>
      <c r="C15741">
        <f>TEST_DATA!C15741</f>
        <v/>
      </c>
      <c r="D15741">
        <f>TEST_DATA!D15741</f>
        <v/>
      </c>
      <c r="E15741">
        <f>TEST_DATA!E15741</f>
        <v/>
      </c>
    </row>
    <row r="15742">
      <c r="A15742">
        <f>TEST_DATA!A15742</f>
        <v/>
      </c>
      <c r="B15742">
        <f>TEST_DATA!B15742</f>
        <v/>
      </c>
      <c r="C15742">
        <f>TEST_DATA!C15742</f>
        <v/>
      </c>
      <c r="D15742">
        <f>TEST_DATA!D15742</f>
        <v/>
      </c>
      <c r="E15742">
        <f>TEST_DATA!E15742</f>
        <v/>
      </c>
    </row>
    <row r="15743">
      <c r="A15743">
        <f>TEST_DATA!A15743</f>
        <v/>
      </c>
      <c r="B15743">
        <f>TEST_DATA!B15743</f>
        <v/>
      </c>
      <c r="C15743">
        <f>TEST_DATA!C15743</f>
        <v/>
      </c>
      <c r="D15743">
        <f>TEST_DATA!D15743</f>
        <v/>
      </c>
      <c r="E15743">
        <f>TEST_DATA!E15743</f>
        <v/>
      </c>
    </row>
    <row r="15744">
      <c r="A15744">
        <f>TEST_DATA!A15744</f>
        <v/>
      </c>
      <c r="B15744">
        <f>TEST_DATA!B15744</f>
        <v/>
      </c>
      <c r="C15744">
        <f>TEST_DATA!C15744</f>
        <v/>
      </c>
      <c r="D15744">
        <f>TEST_DATA!D15744</f>
        <v/>
      </c>
      <c r="E15744">
        <f>TEST_DATA!E15744</f>
        <v/>
      </c>
    </row>
    <row r="15745">
      <c r="A15745">
        <f>TEST_DATA!A15745</f>
        <v/>
      </c>
      <c r="B15745">
        <f>TEST_DATA!B15745</f>
        <v/>
      </c>
      <c r="C15745">
        <f>TEST_DATA!C15745</f>
        <v/>
      </c>
      <c r="D15745">
        <f>TEST_DATA!D15745</f>
        <v/>
      </c>
      <c r="E15745">
        <f>TEST_DATA!E15745</f>
        <v/>
      </c>
    </row>
    <row r="15746">
      <c r="A15746">
        <f>TEST_DATA!A15746</f>
        <v/>
      </c>
      <c r="B15746">
        <f>TEST_DATA!B15746</f>
        <v/>
      </c>
      <c r="C15746">
        <f>TEST_DATA!C15746</f>
        <v/>
      </c>
      <c r="D15746">
        <f>TEST_DATA!D15746</f>
        <v/>
      </c>
      <c r="E15746">
        <f>TEST_DATA!E15746</f>
        <v/>
      </c>
    </row>
    <row r="15747">
      <c r="A15747">
        <f>TEST_DATA!A15747</f>
        <v/>
      </c>
      <c r="B15747">
        <f>TEST_DATA!B15747</f>
        <v/>
      </c>
      <c r="C15747">
        <f>TEST_DATA!C15747</f>
        <v/>
      </c>
      <c r="D15747">
        <f>TEST_DATA!D15747</f>
        <v/>
      </c>
      <c r="E15747">
        <f>TEST_DATA!E15747</f>
        <v/>
      </c>
    </row>
    <row r="15748">
      <c r="A15748">
        <f>TEST_DATA!A15748</f>
        <v/>
      </c>
      <c r="B15748">
        <f>TEST_DATA!B15748</f>
        <v/>
      </c>
      <c r="C15748">
        <f>TEST_DATA!C15748</f>
        <v/>
      </c>
      <c r="D15748">
        <f>TEST_DATA!D15748</f>
        <v/>
      </c>
      <c r="E15748">
        <f>TEST_DATA!E15748</f>
        <v/>
      </c>
    </row>
    <row r="15749">
      <c r="A15749">
        <f>TEST_DATA!A15749</f>
        <v/>
      </c>
      <c r="B15749">
        <f>TEST_DATA!B15749</f>
        <v/>
      </c>
      <c r="C15749">
        <f>TEST_DATA!C15749</f>
        <v/>
      </c>
      <c r="D15749">
        <f>TEST_DATA!D15749</f>
        <v/>
      </c>
      <c r="E15749">
        <f>TEST_DATA!E15749</f>
        <v/>
      </c>
    </row>
    <row r="15750">
      <c r="A15750">
        <f>TEST_DATA!A15750</f>
        <v/>
      </c>
      <c r="B15750">
        <f>TEST_DATA!B15750</f>
        <v/>
      </c>
      <c r="C15750">
        <f>TEST_DATA!C15750</f>
        <v/>
      </c>
      <c r="D15750">
        <f>TEST_DATA!D15750</f>
        <v/>
      </c>
      <c r="E15750">
        <f>TEST_DATA!E15750</f>
        <v/>
      </c>
    </row>
    <row r="15751">
      <c r="A15751">
        <f>TEST_DATA!A15751</f>
        <v/>
      </c>
      <c r="B15751">
        <f>TEST_DATA!B15751</f>
        <v/>
      </c>
      <c r="C15751">
        <f>TEST_DATA!C15751</f>
        <v/>
      </c>
      <c r="D15751">
        <f>TEST_DATA!D15751</f>
        <v/>
      </c>
      <c r="E15751">
        <f>TEST_DATA!E15751</f>
        <v/>
      </c>
    </row>
    <row r="15752">
      <c r="A15752">
        <f>TEST_DATA!A15752</f>
        <v/>
      </c>
      <c r="B15752">
        <f>TEST_DATA!B15752</f>
        <v/>
      </c>
      <c r="C15752">
        <f>TEST_DATA!C15752</f>
        <v/>
      </c>
      <c r="D15752">
        <f>TEST_DATA!D15752</f>
        <v/>
      </c>
      <c r="E15752">
        <f>TEST_DATA!E15752</f>
        <v/>
      </c>
    </row>
    <row r="15753">
      <c r="A15753">
        <f>TEST_DATA!A15753</f>
        <v/>
      </c>
      <c r="B15753">
        <f>TEST_DATA!B15753</f>
        <v/>
      </c>
      <c r="C15753">
        <f>TEST_DATA!C15753</f>
        <v/>
      </c>
      <c r="D15753">
        <f>TEST_DATA!D15753</f>
        <v/>
      </c>
      <c r="E15753">
        <f>TEST_DATA!E15753</f>
        <v/>
      </c>
    </row>
    <row r="15754">
      <c r="A15754">
        <f>TEST_DATA!A15754</f>
        <v/>
      </c>
      <c r="B15754">
        <f>TEST_DATA!B15754</f>
        <v/>
      </c>
      <c r="C15754">
        <f>TEST_DATA!C15754</f>
        <v/>
      </c>
      <c r="D15754">
        <f>TEST_DATA!D15754</f>
        <v/>
      </c>
      <c r="E15754">
        <f>TEST_DATA!E15754</f>
        <v/>
      </c>
    </row>
    <row r="15755">
      <c r="A15755">
        <f>TEST_DATA!A15755</f>
        <v/>
      </c>
      <c r="B15755">
        <f>TEST_DATA!B15755</f>
        <v/>
      </c>
      <c r="C15755">
        <f>TEST_DATA!C15755</f>
        <v/>
      </c>
      <c r="D15755">
        <f>TEST_DATA!D15755</f>
        <v/>
      </c>
      <c r="E15755">
        <f>TEST_DATA!E15755</f>
        <v/>
      </c>
    </row>
    <row r="15756">
      <c r="A15756">
        <f>TEST_DATA!A15756</f>
        <v/>
      </c>
      <c r="B15756">
        <f>TEST_DATA!B15756</f>
        <v/>
      </c>
      <c r="C15756">
        <f>TEST_DATA!C15756</f>
        <v/>
      </c>
      <c r="D15756">
        <f>TEST_DATA!D15756</f>
        <v/>
      </c>
      <c r="E15756">
        <f>TEST_DATA!E15756</f>
        <v/>
      </c>
    </row>
    <row r="15757">
      <c r="A15757">
        <f>TEST_DATA!A15757</f>
        <v/>
      </c>
      <c r="B15757">
        <f>TEST_DATA!B15757</f>
        <v/>
      </c>
      <c r="C15757">
        <f>TEST_DATA!C15757</f>
        <v/>
      </c>
      <c r="D15757">
        <f>TEST_DATA!D15757</f>
        <v/>
      </c>
      <c r="E15757">
        <f>TEST_DATA!E15757</f>
        <v/>
      </c>
    </row>
    <row r="15758">
      <c r="A15758">
        <f>TEST_DATA!A15758</f>
        <v/>
      </c>
      <c r="B15758">
        <f>TEST_DATA!B15758</f>
        <v/>
      </c>
      <c r="C15758">
        <f>TEST_DATA!C15758</f>
        <v/>
      </c>
      <c r="D15758">
        <f>TEST_DATA!D15758</f>
        <v/>
      </c>
      <c r="E15758">
        <f>TEST_DATA!E15758</f>
        <v/>
      </c>
    </row>
    <row r="15759">
      <c r="A15759">
        <f>TEST_DATA!A15759</f>
        <v/>
      </c>
      <c r="B15759">
        <f>TEST_DATA!B15759</f>
        <v/>
      </c>
      <c r="C15759">
        <f>TEST_DATA!C15759</f>
        <v/>
      </c>
      <c r="D15759">
        <f>TEST_DATA!D15759</f>
        <v/>
      </c>
      <c r="E15759">
        <f>TEST_DATA!E15759</f>
        <v/>
      </c>
    </row>
    <row r="15760">
      <c r="A15760">
        <f>TEST_DATA!A15760</f>
        <v/>
      </c>
      <c r="B15760">
        <f>TEST_DATA!B15760</f>
        <v/>
      </c>
      <c r="C15760">
        <f>TEST_DATA!C15760</f>
        <v/>
      </c>
      <c r="D15760">
        <f>TEST_DATA!D15760</f>
        <v/>
      </c>
      <c r="E15760">
        <f>TEST_DATA!E15760</f>
        <v/>
      </c>
    </row>
    <row r="15761">
      <c r="A15761">
        <f>TEST_DATA!A15761</f>
        <v/>
      </c>
      <c r="B15761">
        <f>TEST_DATA!B15761</f>
        <v/>
      </c>
      <c r="C15761">
        <f>TEST_DATA!C15761</f>
        <v/>
      </c>
      <c r="D15761">
        <f>TEST_DATA!D15761</f>
        <v/>
      </c>
      <c r="E15761">
        <f>TEST_DATA!E15761</f>
        <v/>
      </c>
    </row>
    <row r="15762">
      <c r="A15762">
        <f>TEST_DATA!A15762</f>
        <v/>
      </c>
      <c r="B15762">
        <f>TEST_DATA!B15762</f>
        <v/>
      </c>
      <c r="C15762">
        <f>TEST_DATA!C15762</f>
        <v/>
      </c>
      <c r="D15762">
        <f>TEST_DATA!D15762</f>
        <v/>
      </c>
      <c r="E15762">
        <f>TEST_DATA!E15762</f>
        <v/>
      </c>
    </row>
    <row r="15763">
      <c r="A15763">
        <f>TEST_DATA!A15763</f>
        <v/>
      </c>
      <c r="B15763">
        <f>TEST_DATA!B15763</f>
        <v/>
      </c>
      <c r="C15763">
        <f>TEST_DATA!C15763</f>
        <v/>
      </c>
      <c r="D15763">
        <f>TEST_DATA!D15763</f>
        <v/>
      </c>
      <c r="E15763">
        <f>TEST_DATA!E15763</f>
        <v/>
      </c>
    </row>
    <row r="15764">
      <c r="A15764">
        <f>TEST_DATA!A15764</f>
        <v/>
      </c>
      <c r="B15764">
        <f>TEST_DATA!B15764</f>
        <v/>
      </c>
      <c r="C15764">
        <f>TEST_DATA!C15764</f>
        <v/>
      </c>
      <c r="D15764">
        <f>TEST_DATA!D15764</f>
        <v/>
      </c>
      <c r="E15764">
        <f>TEST_DATA!E15764</f>
        <v/>
      </c>
    </row>
    <row r="15765">
      <c r="A15765">
        <f>TEST_DATA!A15765</f>
        <v/>
      </c>
      <c r="B15765">
        <f>TEST_DATA!B15765</f>
        <v/>
      </c>
      <c r="C15765">
        <f>TEST_DATA!C15765</f>
        <v/>
      </c>
      <c r="D15765">
        <f>TEST_DATA!D15765</f>
        <v/>
      </c>
      <c r="E15765">
        <f>TEST_DATA!E15765</f>
        <v/>
      </c>
    </row>
    <row r="15766">
      <c r="A15766">
        <f>TEST_DATA!A15766</f>
        <v/>
      </c>
      <c r="B15766">
        <f>TEST_DATA!B15766</f>
        <v/>
      </c>
      <c r="C15766">
        <f>TEST_DATA!C15766</f>
        <v/>
      </c>
      <c r="D15766">
        <f>TEST_DATA!D15766</f>
        <v/>
      </c>
      <c r="E15766">
        <f>TEST_DATA!E15766</f>
        <v/>
      </c>
    </row>
    <row r="15767">
      <c r="A15767">
        <f>TEST_DATA!A15767</f>
        <v/>
      </c>
      <c r="B15767">
        <f>TEST_DATA!B15767</f>
        <v/>
      </c>
      <c r="C15767">
        <f>TEST_DATA!C15767</f>
        <v/>
      </c>
      <c r="D15767">
        <f>TEST_DATA!D15767</f>
        <v/>
      </c>
      <c r="E15767">
        <f>TEST_DATA!E15767</f>
        <v/>
      </c>
    </row>
    <row r="15768">
      <c r="A15768">
        <f>TEST_DATA!A15768</f>
        <v/>
      </c>
      <c r="B15768">
        <f>TEST_DATA!B15768</f>
        <v/>
      </c>
      <c r="C15768">
        <f>TEST_DATA!C15768</f>
        <v/>
      </c>
      <c r="D15768">
        <f>TEST_DATA!D15768</f>
        <v/>
      </c>
      <c r="E15768">
        <f>TEST_DATA!E15768</f>
        <v/>
      </c>
    </row>
    <row r="15769">
      <c r="A15769">
        <f>TEST_DATA!A15769</f>
        <v/>
      </c>
      <c r="B15769">
        <f>TEST_DATA!B15769</f>
        <v/>
      </c>
      <c r="C15769">
        <f>TEST_DATA!C15769</f>
        <v/>
      </c>
      <c r="D15769">
        <f>TEST_DATA!D15769</f>
        <v/>
      </c>
      <c r="E15769">
        <f>TEST_DATA!E15769</f>
        <v/>
      </c>
    </row>
    <row r="15770">
      <c r="A15770">
        <f>TEST_DATA!A15770</f>
        <v/>
      </c>
      <c r="B15770">
        <f>TEST_DATA!B15770</f>
        <v/>
      </c>
      <c r="C15770">
        <f>TEST_DATA!C15770</f>
        <v/>
      </c>
      <c r="D15770">
        <f>TEST_DATA!D15770</f>
        <v/>
      </c>
      <c r="E15770">
        <f>TEST_DATA!E15770</f>
        <v/>
      </c>
    </row>
    <row r="15771">
      <c r="A15771">
        <f>TEST_DATA!A15771</f>
        <v/>
      </c>
      <c r="B15771">
        <f>TEST_DATA!B15771</f>
        <v/>
      </c>
      <c r="C15771">
        <f>TEST_DATA!C15771</f>
        <v/>
      </c>
      <c r="D15771">
        <f>TEST_DATA!D15771</f>
        <v/>
      </c>
      <c r="E15771">
        <f>TEST_DATA!E15771</f>
        <v/>
      </c>
    </row>
    <row r="15772">
      <c r="A15772">
        <f>TEST_DATA!A15772</f>
        <v/>
      </c>
      <c r="B15772">
        <f>TEST_DATA!B15772</f>
        <v/>
      </c>
      <c r="C15772">
        <f>TEST_DATA!C15772</f>
        <v/>
      </c>
      <c r="D15772">
        <f>TEST_DATA!D15772</f>
        <v/>
      </c>
      <c r="E15772">
        <f>TEST_DATA!E15772</f>
        <v/>
      </c>
    </row>
    <row r="15773">
      <c r="A15773">
        <f>TEST_DATA!A15773</f>
        <v/>
      </c>
      <c r="B15773">
        <f>TEST_DATA!B15773</f>
        <v/>
      </c>
      <c r="C15773">
        <f>TEST_DATA!C15773</f>
        <v/>
      </c>
      <c r="D15773">
        <f>TEST_DATA!D15773</f>
        <v/>
      </c>
      <c r="E15773">
        <f>TEST_DATA!E15773</f>
        <v/>
      </c>
    </row>
    <row r="15774">
      <c r="A15774">
        <f>TEST_DATA!A15774</f>
        <v/>
      </c>
      <c r="B15774">
        <f>TEST_DATA!B15774</f>
        <v/>
      </c>
      <c r="C15774">
        <f>TEST_DATA!C15774</f>
        <v/>
      </c>
      <c r="D15774">
        <f>TEST_DATA!D15774</f>
        <v/>
      </c>
      <c r="E15774">
        <f>TEST_DATA!E15774</f>
        <v/>
      </c>
    </row>
    <row r="15775">
      <c r="A15775">
        <f>TEST_DATA!A15775</f>
        <v/>
      </c>
      <c r="B15775">
        <f>TEST_DATA!B15775</f>
        <v/>
      </c>
      <c r="C15775">
        <f>TEST_DATA!C15775</f>
        <v/>
      </c>
      <c r="D15775">
        <f>TEST_DATA!D15775</f>
        <v/>
      </c>
      <c r="E15775">
        <f>TEST_DATA!E15775</f>
        <v/>
      </c>
    </row>
    <row r="15776">
      <c r="A15776">
        <f>TEST_DATA!A15776</f>
        <v/>
      </c>
      <c r="B15776">
        <f>TEST_DATA!B15776</f>
        <v/>
      </c>
      <c r="C15776">
        <f>TEST_DATA!C15776</f>
        <v/>
      </c>
      <c r="D15776">
        <f>TEST_DATA!D15776</f>
        <v/>
      </c>
      <c r="E15776">
        <f>TEST_DATA!E15776</f>
        <v/>
      </c>
    </row>
    <row r="15777">
      <c r="A15777">
        <f>TEST_DATA!A15777</f>
        <v/>
      </c>
      <c r="B15777">
        <f>TEST_DATA!B15777</f>
        <v/>
      </c>
      <c r="C15777">
        <f>TEST_DATA!C15777</f>
        <v/>
      </c>
      <c r="D15777">
        <f>TEST_DATA!D15777</f>
        <v/>
      </c>
      <c r="E15777">
        <f>TEST_DATA!E15777</f>
        <v/>
      </c>
    </row>
    <row r="15778">
      <c r="A15778">
        <f>TEST_DATA!A15778</f>
        <v/>
      </c>
      <c r="B15778">
        <f>TEST_DATA!B15778</f>
        <v/>
      </c>
      <c r="C15778">
        <f>TEST_DATA!C15778</f>
        <v/>
      </c>
      <c r="D15778">
        <f>TEST_DATA!D15778</f>
        <v/>
      </c>
      <c r="E15778">
        <f>TEST_DATA!E15778</f>
        <v/>
      </c>
    </row>
    <row r="15779">
      <c r="A15779">
        <f>TEST_DATA!A15779</f>
        <v/>
      </c>
      <c r="B15779">
        <f>TEST_DATA!B15779</f>
        <v/>
      </c>
      <c r="C15779">
        <f>TEST_DATA!C15779</f>
        <v/>
      </c>
      <c r="D15779">
        <f>TEST_DATA!D15779</f>
        <v/>
      </c>
      <c r="E15779">
        <f>TEST_DATA!E15779</f>
        <v/>
      </c>
    </row>
    <row r="15780">
      <c r="A15780">
        <f>TEST_DATA!A15780</f>
        <v/>
      </c>
      <c r="B15780">
        <f>TEST_DATA!B15780</f>
        <v/>
      </c>
      <c r="C15780">
        <f>TEST_DATA!C15780</f>
        <v/>
      </c>
      <c r="D15780">
        <f>TEST_DATA!D15780</f>
        <v/>
      </c>
      <c r="E15780">
        <f>TEST_DATA!E15780</f>
        <v/>
      </c>
    </row>
    <row r="15781">
      <c r="A15781">
        <f>TEST_DATA!A15781</f>
        <v/>
      </c>
      <c r="B15781">
        <f>TEST_DATA!B15781</f>
        <v/>
      </c>
      <c r="C15781">
        <f>TEST_DATA!C15781</f>
        <v/>
      </c>
      <c r="D15781">
        <f>TEST_DATA!D15781</f>
        <v/>
      </c>
      <c r="E15781">
        <f>TEST_DATA!E15781</f>
        <v/>
      </c>
    </row>
    <row r="15782">
      <c r="A15782">
        <f>TEST_DATA!A15782</f>
        <v/>
      </c>
      <c r="B15782">
        <f>TEST_DATA!B15782</f>
        <v/>
      </c>
      <c r="C15782">
        <f>TEST_DATA!C15782</f>
        <v/>
      </c>
      <c r="D15782">
        <f>TEST_DATA!D15782</f>
        <v/>
      </c>
      <c r="E15782">
        <f>TEST_DATA!E15782</f>
        <v/>
      </c>
    </row>
    <row r="15783">
      <c r="A15783">
        <f>TEST_DATA!A15783</f>
        <v/>
      </c>
      <c r="B15783">
        <f>TEST_DATA!B15783</f>
        <v/>
      </c>
      <c r="C15783">
        <f>TEST_DATA!C15783</f>
        <v/>
      </c>
      <c r="D15783">
        <f>TEST_DATA!D15783</f>
        <v/>
      </c>
      <c r="E15783">
        <f>TEST_DATA!E15783</f>
        <v/>
      </c>
    </row>
    <row r="15784">
      <c r="A15784">
        <f>TEST_DATA!A15784</f>
        <v/>
      </c>
      <c r="B15784">
        <f>TEST_DATA!B15784</f>
        <v/>
      </c>
      <c r="C15784">
        <f>TEST_DATA!C15784</f>
        <v/>
      </c>
      <c r="D15784">
        <f>TEST_DATA!D15784</f>
        <v/>
      </c>
      <c r="E15784">
        <f>TEST_DATA!E15784</f>
        <v/>
      </c>
    </row>
    <row r="15785">
      <c r="A15785">
        <f>TEST_DATA!A15785</f>
        <v/>
      </c>
      <c r="B15785">
        <f>TEST_DATA!B15785</f>
        <v/>
      </c>
      <c r="C15785">
        <f>TEST_DATA!C15785</f>
        <v/>
      </c>
      <c r="D15785">
        <f>TEST_DATA!D15785</f>
        <v/>
      </c>
      <c r="E15785">
        <f>TEST_DATA!E15785</f>
        <v/>
      </c>
    </row>
    <row r="15786">
      <c r="A15786">
        <f>TEST_DATA!A15786</f>
        <v/>
      </c>
      <c r="B15786">
        <f>TEST_DATA!B15786</f>
        <v/>
      </c>
      <c r="C15786">
        <f>TEST_DATA!C15786</f>
        <v/>
      </c>
      <c r="D15786">
        <f>TEST_DATA!D15786</f>
        <v/>
      </c>
      <c r="E15786">
        <f>TEST_DATA!E15786</f>
        <v/>
      </c>
    </row>
    <row r="15787">
      <c r="A15787">
        <f>TEST_DATA!A15787</f>
        <v/>
      </c>
      <c r="B15787">
        <f>TEST_DATA!B15787</f>
        <v/>
      </c>
      <c r="C15787">
        <f>TEST_DATA!C15787</f>
        <v/>
      </c>
      <c r="D15787">
        <f>TEST_DATA!D15787</f>
        <v/>
      </c>
      <c r="E15787">
        <f>TEST_DATA!E15787</f>
        <v/>
      </c>
    </row>
    <row r="15788">
      <c r="A15788">
        <f>TEST_DATA!A15788</f>
        <v/>
      </c>
      <c r="B15788">
        <f>TEST_DATA!B15788</f>
        <v/>
      </c>
      <c r="C15788">
        <f>TEST_DATA!C15788</f>
        <v/>
      </c>
      <c r="D15788">
        <f>TEST_DATA!D15788</f>
        <v/>
      </c>
      <c r="E15788">
        <f>TEST_DATA!E15788</f>
        <v/>
      </c>
    </row>
    <row r="15789">
      <c r="A15789">
        <f>TEST_DATA!A15789</f>
        <v/>
      </c>
      <c r="B15789">
        <f>TEST_DATA!B15789</f>
        <v/>
      </c>
      <c r="C15789">
        <f>TEST_DATA!C15789</f>
        <v/>
      </c>
      <c r="D15789">
        <f>TEST_DATA!D15789</f>
        <v/>
      </c>
      <c r="E15789">
        <f>TEST_DATA!E15789</f>
        <v/>
      </c>
    </row>
    <row r="15790">
      <c r="A15790">
        <f>TEST_DATA!A15790</f>
        <v/>
      </c>
      <c r="B15790">
        <f>TEST_DATA!B15790</f>
        <v/>
      </c>
      <c r="C15790">
        <f>TEST_DATA!C15790</f>
        <v/>
      </c>
      <c r="D15790">
        <f>TEST_DATA!D15790</f>
        <v/>
      </c>
      <c r="E15790">
        <f>TEST_DATA!E15790</f>
        <v/>
      </c>
    </row>
    <row r="15791">
      <c r="A15791">
        <f>TEST_DATA!A15791</f>
        <v/>
      </c>
      <c r="B15791">
        <f>TEST_DATA!B15791</f>
        <v/>
      </c>
      <c r="C15791">
        <f>TEST_DATA!C15791</f>
        <v/>
      </c>
      <c r="D15791">
        <f>TEST_DATA!D15791</f>
        <v/>
      </c>
      <c r="E15791">
        <f>TEST_DATA!E15791</f>
        <v/>
      </c>
    </row>
    <row r="15792">
      <c r="A15792">
        <f>TEST_DATA!A15792</f>
        <v/>
      </c>
      <c r="B15792">
        <f>TEST_DATA!B15792</f>
        <v/>
      </c>
      <c r="C15792">
        <f>TEST_DATA!C15792</f>
        <v/>
      </c>
      <c r="D15792">
        <f>TEST_DATA!D15792</f>
        <v/>
      </c>
      <c r="E15792">
        <f>TEST_DATA!E15792</f>
        <v/>
      </c>
    </row>
    <row r="15793">
      <c r="A15793">
        <f>TEST_DATA!A15793</f>
        <v/>
      </c>
      <c r="B15793">
        <f>TEST_DATA!B15793</f>
        <v/>
      </c>
      <c r="C15793">
        <f>TEST_DATA!C15793</f>
        <v/>
      </c>
      <c r="D15793">
        <f>TEST_DATA!D15793</f>
        <v/>
      </c>
      <c r="E15793">
        <f>TEST_DATA!E15793</f>
        <v/>
      </c>
    </row>
    <row r="15794">
      <c r="A15794">
        <f>TEST_DATA!A15794</f>
        <v/>
      </c>
      <c r="B15794">
        <f>TEST_DATA!B15794</f>
        <v/>
      </c>
      <c r="C15794">
        <f>TEST_DATA!C15794</f>
        <v/>
      </c>
      <c r="D15794">
        <f>TEST_DATA!D15794</f>
        <v/>
      </c>
      <c r="E15794">
        <f>TEST_DATA!E15794</f>
        <v/>
      </c>
    </row>
    <row r="15795">
      <c r="A15795">
        <f>TEST_DATA!A15795</f>
        <v/>
      </c>
      <c r="B15795">
        <f>TEST_DATA!B15795</f>
        <v/>
      </c>
      <c r="C15795">
        <f>TEST_DATA!C15795</f>
        <v/>
      </c>
      <c r="D15795">
        <f>TEST_DATA!D15795</f>
        <v/>
      </c>
      <c r="E15795">
        <f>TEST_DATA!E15795</f>
        <v/>
      </c>
    </row>
    <row r="15796">
      <c r="A15796">
        <f>TEST_DATA!A15796</f>
        <v/>
      </c>
      <c r="B15796">
        <f>TEST_DATA!B15796</f>
        <v/>
      </c>
      <c r="C15796">
        <f>TEST_DATA!C15796</f>
        <v/>
      </c>
      <c r="D15796">
        <f>TEST_DATA!D15796</f>
        <v/>
      </c>
      <c r="E15796">
        <f>TEST_DATA!E15796</f>
        <v/>
      </c>
    </row>
    <row r="15797">
      <c r="A15797">
        <f>TEST_DATA!A15797</f>
        <v/>
      </c>
      <c r="B15797">
        <f>TEST_DATA!B15797</f>
        <v/>
      </c>
      <c r="C15797">
        <f>TEST_DATA!C15797</f>
        <v/>
      </c>
      <c r="D15797">
        <f>TEST_DATA!D15797</f>
        <v/>
      </c>
      <c r="E15797">
        <f>TEST_DATA!E15797</f>
        <v/>
      </c>
    </row>
    <row r="15798">
      <c r="A15798">
        <f>TEST_DATA!A15798</f>
        <v/>
      </c>
      <c r="B15798">
        <f>TEST_DATA!B15798</f>
        <v/>
      </c>
      <c r="C15798">
        <f>TEST_DATA!C15798</f>
        <v/>
      </c>
      <c r="D15798">
        <f>TEST_DATA!D15798</f>
        <v/>
      </c>
      <c r="E15798">
        <f>TEST_DATA!E15798</f>
        <v/>
      </c>
    </row>
    <row r="15799">
      <c r="A15799">
        <f>TEST_DATA!A15799</f>
        <v/>
      </c>
      <c r="B15799">
        <f>TEST_DATA!B15799</f>
        <v/>
      </c>
      <c r="C15799">
        <f>TEST_DATA!C15799</f>
        <v/>
      </c>
      <c r="D15799">
        <f>TEST_DATA!D15799</f>
        <v/>
      </c>
      <c r="E15799">
        <f>TEST_DATA!E15799</f>
        <v/>
      </c>
    </row>
    <row r="15800">
      <c r="A15800">
        <f>TEST_DATA!A15800</f>
        <v/>
      </c>
      <c r="B15800">
        <f>TEST_DATA!B15800</f>
        <v/>
      </c>
      <c r="C15800">
        <f>TEST_DATA!C15800</f>
        <v/>
      </c>
      <c r="D15800">
        <f>TEST_DATA!D15800</f>
        <v/>
      </c>
      <c r="E15800">
        <f>TEST_DATA!E15800</f>
        <v/>
      </c>
    </row>
    <row r="15801">
      <c r="A15801">
        <f>TEST_DATA!A15801</f>
        <v/>
      </c>
      <c r="B15801">
        <f>TEST_DATA!B15801</f>
        <v/>
      </c>
      <c r="C15801">
        <f>TEST_DATA!C15801</f>
        <v/>
      </c>
      <c r="D15801">
        <f>TEST_DATA!D15801</f>
        <v/>
      </c>
      <c r="E15801">
        <f>TEST_DATA!E15801</f>
        <v/>
      </c>
    </row>
    <row r="15802">
      <c r="A15802">
        <f>TEST_DATA!A15802</f>
        <v/>
      </c>
      <c r="B15802">
        <f>TEST_DATA!B15802</f>
        <v/>
      </c>
      <c r="C15802">
        <f>TEST_DATA!C15802</f>
        <v/>
      </c>
      <c r="D15802">
        <f>TEST_DATA!D15802</f>
        <v/>
      </c>
      <c r="E15802">
        <f>TEST_DATA!E15802</f>
        <v/>
      </c>
    </row>
    <row r="15803">
      <c r="A15803">
        <f>TEST_DATA!A15803</f>
        <v/>
      </c>
      <c r="B15803">
        <f>TEST_DATA!B15803</f>
        <v/>
      </c>
      <c r="C15803">
        <f>TEST_DATA!C15803</f>
        <v/>
      </c>
      <c r="D15803">
        <f>TEST_DATA!D15803</f>
        <v/>
      </c>
      <c r="E15803">
        <f>TEST_DATA!E15803</f>
        <v/>
      </c>
    </row>
    <row r="15804">
      <c r="A15804">
        <f>TEST_DATA!A15804</f>
        <v/>
      </c>
      <c r="B15804">
        <f>TEST_DATA!B15804</f>
        <v/>
      </c>
      <c r="C15804">
        <f>TEST_DATA!C15804</f>
        <v/>
      </c>
      <c r="D15804">
        <f>TEST_DATA!D15804</f>
        <v/>
      </c>
      <c r="E15804">
        <f>TEST_DATA!E15804</f>
        <v/>
      </c>
    </row>
    <row r="15805">
      <c r="A15805">
        <f>TEST_DATA!A15805</f>
        <v/>
      </c>
      <c r="B15805">
        <f>TEST_DATA!B15805</f>
        <v/>
      </c>
      <c r="C15805">
        <f>TEST_DATA!C15805</f>
        <v/>
      </c>
      <c r="D15805">
        <f>TEST_DATA!D15805</f>
        <v/>
      </c>
      <c r="E15805">
        <f>TEST_DATA!E15805</f>
        <v/>
      </c>
    </row>
    <row r="15806">
      <c r="A15806">
        <f>TEST_DATA!A15806</f>
        <v/>
      </c>
      <c r="B15806">
        <f>TEST_DATA!B15806</f>
        <v/>
      </c>
      <c r="C15806">
        <f>TEST_DATA!C15806</f>
        <v/>
      </c>
      <c r="D15806">
        <f>TEST_DATA!D15806</f>
        <v/>
      </c>
      <c r="E15806">
        <f>TEST_DATA!E15806</f>
        <v/>
      </c>
    </row>
    <row r="15807">
      <c r="A15807">
        <f>TEST_DATA!A15807</f>
        <v/>
      </c>
      <c r="B15807">
        <f>TEST_DATA!B15807</f>
        <v/>
      </c>
      <c r="C15807">
        <f>TEST_DATA!C15807</f>
        <v/>
      </c>
      <c r="D15807">
        <f>TEST_DATA!D15807</f>
        <v/>
      </c>
      <c r="E15807">
        <f>TEST_DATA!E15807</f>
        <v/>
      </c>
    </row>
    <row r="15808">
      <c r="A15808">
        <f>TEST_DATA!A15808</f>
        <v/>
      </c>
      <c r="B15808">
        <f>TEST_DATA!B15808</f>
        <v/>
      </c>
      <c r="C15808">
        <f>TEST_DATA!C15808</f>
        <v/>
      </c>
      <c r="D15808">
        <f>TEST_DATA!D15808</f>
        <v/>
      </c>
      <c r="E15808">
        <f>TEST_DATA!E15808</f>
        <v/>
      </c>
    </row>
    <row r="15809">
      <c r="A15809">
        <f>TEST_DATA!A15809</f>
        <v/>
      </c>
      <c r="B15809">
        <f>TEST_DATA!B15809</f>
        <v/>
      </c>
      <c r="C15809">
        <f>TEST_DATA!C15809</f>
        <v/>
      </c>
      <c r="D15809">
        <f>TEST_DATA!D15809</f>
        <v/>
      </c>
      <c r="E15809">
        <f>TEST_DATA!E15809</f>
        <v/>
      </c>
    </row>
    <row r="15810">
      <c r="A15810">
        <f>TEST_DATA!A15810</f>
        <v/>
      </c>
      <c r="B15810">
        <f>TEST_DATA!B15810</f>
        <v/>
      </c>
      <c r="C15810">
        <f>TEST_DATA!C15810</f>
        <v/>
      </c>
      <c r="D15810">
        <f>TEST_DATA!D15810</f>
        <v/>
      </c>
      <c r="E15810">
        <f>TEST_DATA!E15810</f>
        <v/>
      </c>
    </row>
    <row r="15811">
      <c r="A15811">
        <f>TEST_DATA!A15811</f>
        <v/>
      </c>
      <c r="B15811">
        <f>TEST_DATA!B15811</f>
        <v/>
      </c>
      <c r="C15811">
        <f>TEST_DATA!C15811</f>
        <v/>
      </c>
      <c r="D15811">
        <f>TEST_DATA!D15811</f>
        <v/>
      </c>
      <c r="E15811">
        <f>TEST_DATA!E15811</f>
        <v/>
      </c>
    </row>
    <row r="15812">
      <c r="A15812">
        <f>TEST_DATA!A15812</f>
        <v/>
      </c>
      <c r="B15812">
        <f>TEST_DATA!B15812</f>
        <v/>
      </c>
      <c r="C15812">
        <f>TEST_DATA!C15812</f>
        <v/>
      </c>
      <c r="D15812">
        <f>TEST_DATA!D15812</f>
        <v/>
      </c>
      <c r="E15812">
        <f>TEST_DATA!E15812</f>
        <v/>
      </c>
    </row>
    <row r="15813">
      <c r="A15813">
        <f>TEST_DATA!A15813</f>
        <v/>
      </c>
      <c r="B15813">
        <f>TEST_DATA!B15813</f>
        <v/>
      </c>
      <c r="C15813">
        <f>TEST_DATA!C15813</f>
        <v/>
      </c>
      <c r="D15813">
        <f>TEST_DATA!D15813</f>
        <v/>
      </c>
      <c r="E15813">
        <f>TEST_DATA!E15813</f>
        <v/>
      </c>
    </row>
    <row r="15814">
      <c r="A15814">
        <f>TEST_DATA!A15814</f>
        <v/>
      </c>
      <c r="B15814">
        <f>TEST_DATA!B15814</f>
        <v/>
      </c>
      <c r="C15814">
        <f>TEST_DATA!C15814</f>
        <v/>
      </c>
      <c r="D15814">
        <f>TEST_DATA!D15814</f>
        <v/>
      </c>
      <c r="E15814">
        <f>TEST_DATA!E15814</f>
        <v/>
      </c>
    </row>
    <row r="15815">
      <c r="A15815">
        <f>TEST_DATA!A15815</f>
        <v/>
      </c>
      <c r="B15815">
        <f>TEST_DATA!B15815</f>
        <v/>
      </c>
      <c r="C15815">
        <f>TEST_DATA!C15815</f>
        <v/>
      </c>
      <c r="D15815">
        <f>TEST_DATA!D15815</f>
        <v/>
      </c>
      <c r="E15815">
        <f>TEST_DATA!E15815</f>
        <v/>
      </c>
    </row>
    <row r="15816">
      <c r="A15816">
        <f>TEST_DATA!A15816</f>
        <v/>
      </c>
      <c r="B15816">
        <f>TEST_DATA!B15816</f>
        <v/>
      </c>
      <c r="C15816">
        <f>TEST_DATA!C15816</f>
        <v/>
      </c>
      <c r="D15816">
        <f>TEST_DATA!D15816</f>
        <v/>
      </c>
      <c r="E15816">
        <f>TEST_DATA!E15816</f>
        <v/>
      </c>
    </row>
    <row r="15817">
      <c r="A15817">
        <f>TEST_DATA!A15817</f>
        <v/>
      </c>
      <c r="B15817">
        <f>TEST_DATA!B15817</f>
        <v/>
      </c>
      <c r="C15817">
        <f>TEST_DATA!C15817</f>
        <v/>
      </c>
      <c r="D15817">
        <f>TEST_DATA!D15817</f>
        <v/>
      </c>
      <c r="E15817">
        <f>TEST_DATA!E15817</f>
        <v/>
      </c>
    </row>
    <row r="15818">
      <c r="A15818">
        <f>TEST_DATA!A15818</f>
        <v/>
      </c>
      <c r="B15818">
        <f>TEST_DATA!B15818</f>
        <v/>
      </c>
      <c r="C15818">
        <f>TEST_DATA!C15818</f>
        <v/>
      </c>
      <c r="D15818">
        <f>TEST_DATA!D15818</f>
        <v/>
      </c>
      <c r="E15818">
        <f>TEST_DATA!E15818</f>
        <v/>
      </c>
    </row>
    <row r="15819">
      <c r="A15819">
        <f>TEST_DATA!A15819</f>
        <v/>
      </c>
      <c r="B15819">
        <f>TEST_DATA!B15819</f>
        <v/>
      </c>
      <c r="C15819">
        <f>TEST_DATA!C15819</f>
        <v/>
      </c>
      <c r="D15819">
        <f>TEST_DATA!D15819</f>
        <v/>
      </c>
      <c r="E15819">
        <f>TEST_DATA!E15819</f>
        <v/>
      </c>
    </row>
    <row r="15820">
      <c r="A15820">
        <f>TEST_DATA!A15820</f>
        <v/>
      </c>
      <c r="B15820">
        <f>TEST_DATA!B15820</f>
        <v/>
      </c>
      <c r="C15820">
        <f>TEST_DATA!C15820</f>
        <v/>
      </c>
      <c r="D15820">
        <f>TEST_DATA!D15820</f>
        <v/>
      </c>
      <c r="E15820">
        <f>TEST_DATA!E15820</f>
        <v/>
      </c>
    </row>
    <row r="15821">
      <c r="A15821">
        <f>TEST_DATA!A15821</f>
        <v/>
      </c>
      <c r="B15821">
        <f>TEST_DATA!B15821</f>
        <v/>
      </c>
      <c r="C15821">
        <f>TEST_DATA!C15821</f>
        <v/>
      </c>
      <c r="D15821">
        <f>TEST_DATA!D15821</f>
        <v/>
      </c>
      <c r="E15821">
        <f>TEST_DATA!E15821</f>
        <v/>
      </c>
    </row>
    <row r="15822">
      <c r="A15822">
        <f>TEST_DATA!A15822</f>
        <v/>
      </c>
      <c r="B15822">
        <f>TEST_DATA!B15822</f>
        <v/>
      </c>
      <c r="C15822">
        <f>TEST_DATA!C15822</f>
        <v/>
      </c>
      <c r="D15822">
        <f>TEST_DATA!D15822</f>
        <v/>
      </c>
      <c r="E15822">
        <f>TEST_DATA!E15822</f>
        <v/>
      </c>
    </row>
    <row r="15823">
      <c r="A15823">
        <f>TEST_DATA!A15823</f>
        <v/>
      </c>
      <c r="B15823">
        <f>TEST_DATA!B15823</f>
        <v/>
      </c>
      <c r="C15823">
        <f>TEST_DATA!C15823</f>
        <v/>
      </c>
      <c r="D15823">
        <f>TEST_DATA!D15823</f>
        <v/>
      </c>
      <c r="E15823">
        <f>TEST_DATA!E15823</f>
        <v/>
      </c>
    </row>
    <row r="15824">
      <c r="A15824">
        <f>TEST_DATA!A15824</f>
        <v/>
      </c>
      <c r="B15824">
        <f>TEST_DATA!B15824</f>
        <v/>
      </c>
      <c r="C15824">
        <f>TEST_DATA!C15824</f>
        <v/>
      </c>
      <c r="D15824">
        <f>TEST_DATA!D15824</f>
        <v/>
      </c>
      <c r="E15824">
        <f>TEST_DATA!E15824</f>
        <v/>
      </c>
    </row>
    <row r="15825">
      <c r="A15825">
        <f>TEST_DATA!A15825</f>
        <v/>
      </c>
      <c r="B15825">
        <f>TEST_DATA!B15825</f>
        <v/>
      </c>
      <c r="C15825">
        <f>TEST_DATA!C15825</f>
        <v/>
      </c>
      <c r="D15825">
        <f>TEST_DATA!D15825</f>
        <v/>
      </c>
      <c r="E15825">
        <f>TEST_DATA!E15825</f>
        <v/>
      </c>
    </row>
    <row r="15826">
      <c r="A15826">
        <f>TEST_DATA!A15826</f>
        <v/>
      </c>
      <c r="B15826">
        <f>TEST_DATA!B15826</f>
        <v/>
      </c>
      <c r="C15826">
        <f>TEST_DATA!C15826</f>
        <v/>
      </c>
      <c r="D15826">
        <f>TEST_DATA!D15826</f>
        <v/>
      </c>
      <c r="E15826">
        <f>TEST_DATA!E15826</f>
        <v/>
      </c>
    </row>
    <row r="15827">
      <c r="A15827">
        <f>TEST_DATA!A15827</f>
        <v/>
      </c>
      <c r="B15827">
        <f>TEST_DATA!B15827</f>
        <v/>
      </c>
      <c r="C15827">
        <f>TEST_DATA!C15827</f>
        <v/>
      </c>
      <c r="D15827">
        <f>TEST_DATA!D15827</f>
        <v/>
      </c>
      <c r="E15827">
        <f>TEST_DATA!E15827</f>
        <v/>
      </c>
    </row>
    <row r="15828">
      <c r="A15828">
        <f>TEST_DATA!A15828</f>
        <v/>
      </c>
      <c r="B15828">
        <f>TEST_DATA!B15828</f>
        <v/>
      </c>
      <c r="C15828">
        <f>TEST_DATA!C15828</f>
        <v/>
      </c>
      <c r="D15828">
        <f>TEST_DATA!D15828</f>
        <v/>
      </c>
      <c r="E15828">
        <f>TEST_DATA!E15828</f>
        <v/>
      </c>
    </row>
    <row r="15829">
      <c r="A15829">
        <f>TEST_DATA!A15829</f>
        <v/>
      </c>
      <c r="B15829">
        <f>TEST_DATA!B15829</f>
        <v/>
      </c>
      <c r="C15829">
        <f>TEST_DATA!C15829</f>
        <v/>
      </c>
      <c r="D15829">
        <f>TEST_DATA!D15829</f>
        <v/>
      </c>
      <c r="E15829">
        <f>TEST_DATA!E15829</f>
        <v/>
      </c>
    </row>
    <row r="15830">
      <c r="A15830">
        <f>TEST_DATA!A15830</f>
        <v/>
      </c>
      <c r="B15830">
        <f>TEST_DATA!B15830</f>
        <v/>
      </c>
      <c r="C15830">
        <f>TEST_DATA!C15830</f>
        <v/>
      </c>
      <c r="D15830">
        <f>TEST_DATA!D15830</f>
        <v/>
      </c>
      <c r="E15830">
        <f>TEST_DATA!E15830</f>
        <v/>
      </c>
    </row>
    <row r="15831">
      <c r="A15831">
        <f>TEST_DATA!A15831</f>
        <v/>
      </c>
      <c r="B15831">
        <f>TEST_DATA!B15831</f>
        <v/>
      </c>
      <c r="C15831">
        <f>TEST_DATA!C15831</f>
        <v/>
      </c>
      <c r="D15831">
        <f>TEST_DATA!D15831</f>
        <v/>
      </c>
      <c r="E15831">
        <f>TEST_DATA!E15831</f>
        <v/>
      </c>
    </row>
    <row r="15832">
      <c r="A15832">
        <f>TEST_DATA!A15832</f>
        <v/>
      </c>
      <c r="B15832">
        <f>TEST_DATA!B15832</f>
        <v/>
      </c>
      <c r="C15832">
        <f>TEST_DATA!C15832</f>
        <v/>
      </c>
      <c r="D15832">
        <f>TEST_DATA!D15832</f>
        <v/>
      </c>
      <c r="E15832">
        <f>TEST_DATA!E15832</f>
        <v/>
      </c>
    </row>
    <row r="15833">
      <c r="A15833">
        <f>TEST_DATA!A15833</f>
        <v/>
      </c>
      <c r="B15833">
        <f>TEST_DATA!B15833</f>
        <v/>
      </c>
      <c r="C15833">
        <f>TEST_DATA!C15833</f>
        <v/>
      </c>
      <c r="D15833">
        <f>TEST_DATA!D15833</f>
        <v/>
      </c>
      <c r="E15833">
        <f>TEST_DATA!E15833</f>
        <v/>
      </c>
    </row>
    <row r="15834">
      <c r="A15834">
        <f>TEST_DATA!A15834</f>
        <v/>
      </c>
      <c r="B15834">
        <f>TEST_DATA!B15834</f>
        <v/>
      </c>
      <c r="C15834">
        <f>TEST_DATA!C15834</f>
        <v/>
      </c>
      <c r="D15834">
        <f>TEST_DATA!D15834</f>
        <v/>
      </c>
      <c r="E15834">
        <f>TEST_DATA!E15834</f>
        <v/>
      </c>
    </row>
    <row r="15835">
      <c r="A15835">
        <f>TEST_DATA!A15835</f>
        <v/>
      </c>
      <c r="B15835">
        <f>TEST_DATA!B15835</f>
        <v/>
      </c>
      <c r="C15835">
        <f>TEST_DATA!C15835</f>
        <v/>
      </c>
      <c r="D15835">
        <f>TEST_DATA!D15835</f>
        <v/>
      </c>
      <c r="E15835">
        <f>TEST_DATA!E15835</f>
        <v/>
      </c>
    </row>
    <row r="15836">
      <c r="A15836">
        <f>TEST_DATA!A15836</f>
        <v/>
      </c>
      <c r="B15836">
        <f>TEST_DATA!B15836</f>
        <v/>
      </c>
      <c r="C15836">
        <f>TEST_DATA!C15836</f>
        <v/>
      </c>
      <c r="D15836">
        <f>TEST_DATA!D15836</f>
        <v/>
      </c>
      <c r="E15836">
        <f>TEST_DATA!E15836</f>
        <v/>
      </c>
    </row>
    <row r="15837">
      <c r="A15837">
        <f>TEST_DATA!A15837</f>
        <v/>
      </c>
      <c r="B15837">
        <f>TEST_DATA!B15837</f>
        <v/>
      </c>
      <c r="C15837">
        <f>TEST_DATA!C15837</f>
        <v/>
      </c>
      <c r="D15837">
        <f>TEST_DATA!D15837</f>
        <v/>
      </c>
      <c r="E15837">
        <f>TEST_DATA!E15837</f>
        <v/>
      </c>
    </row>
    <row r="15838">
      <c r="A15838">
        <f>TEST_DATA!A15838</f>
        <v/>
      </c>
      <c r="B15838">
        <f>TEST_DATA!B15838</f>
        <v/>
      </c>
      <c r="C15838">
        <f>TEST_DATA!C15838</f>
        <v/>
      </c>
      <c r="D15838">
        <f>TEST_DATA!D15838</f>
        <v/>
      </c>
      <c r="E15838">
        <f>TEST_DATA!E15838</f>
        <v/>
      </c>
    </row>
    <row r="15839">
      <c r="A15839">
        <f>TEST_DATA!A15839</f>
        <v/>
      </c>
      <c r="B15839">
        <f>TEST_DATA!B15839</f>
        <v/>
      </c>
      <c r="C15839">
        <f>TEST_DATA!C15839</f>
        <v/>
      </c>
      <c r="D15839">
        <f>TEST_DATA!D15839</f>
        <v/>
      </c>
      <c r="E15839">
        <f>TEST_DATA!E15839</f>
        <v/>
      </c>
    </row>
    <row r="15840">
      <c r="A15840">
        <f>TEST_DATA!A15840</f>
        <v/>
      </c>
      <c r="B15840">
        <f>TEST_DATA!B15840</f>
        <v/>
      </c>
      <c r="C15840">
        <f>TEST_DATA!C15840</f>
        <v/>
      </c>
      <c r="D15840">
        <f>TEST_DATA!D15840</f>
        <v/>
      </c>
      <c r="E15840">
        <f>TEST_DATA!E15840</f>
        <v/>
      </c>
    </row>
    <row r="15841">
      <c r="A15841">
        <f>TEST_DATA!A15841</f>
        <v/>
      </c>
      <c r="B15841">
        <f>TEST_DATA!B15841</f>
        <v/>
      </c>
      <c r="C15841">
        <f>TEST_DATA!C15841</f>
        <v/>
      </c>
      <c r="D15841">
        <f>TEST_DATA!D15841</f>
        <v/>
      </c>
      <c r="E15841">
        <f>TEST_DATA!E15841</f>
        <v/>
      </c>
    </row>
    <row r="15842">
      <c r="A15842">
        <f>TEST_DATA!A15842</f>
        <v/>
      </c>
      <c r="B15842">
        <f>TEST_DATA!B15842</f>
        <v/>
      </c>
      <c r="C15842">
        <f>TEST_DATA!C15842</f>
        <v/>
      </c>
      <c r="D15842">
        <f>TEST_DATA!D15842</f>
        <v/>
      </c>
      <c r="E15842">
        <f>TEST_DATA!E15842</f>
        <v/>
      </c>
    </row>
    <row r="15843">
      <c r="A15843">
        <f>TEST_DATA!A15843</f>
        <v/>
      </c>
      <c r="B15843">
        <f>TEST_DATA!B15843</f>
        <v/>
      </c>
      <c r="C15843">
        <f>TEST_DATA!C15843</f>
        <v/>
      </c>
      <c r="D15843">
        <f>TEST_DATA!D15843</f>
        <v/>
      </c>
      <c r="E15843">
        <f>TEST_DATA!E15843</f>
        <v/>
      </c>
    </row>
    <row r="15844">
      <c r="A15844">
        <f>TEST_DATA!A15844</f>
        <v/>
      </c>
      <c r="B15844">
        <f>TEST_DATA!B15844</f>
        <v/>
      </c>
      <c r="C15844">
        <f>TEST_DATA!C15844</f>
        <v/>
      </c>
      <c r="D15844">
        <f>TEST_DATA!D15844</f>
        <v/>
      </c>
      <c r="E15844">
        <f>TEST_DATA!E15844</f>
        <v/>
      </c>
    </row>
    <row r="15845">
      <c r="A15845">
        <f>TEST_DATA!A15845</f>
        <v/>
      </c>
      <c r="B15845">
        <f>TEST_DATA!B15845</f>
        <v/>
      </c>
      <c r="C15845">
        <f>TEST_DATA!C15845</f>
        <v/>
      </c>
      <c r="D15845">
        <f>TEST_DATA!D15845</f>
        <v/>
      </c>
      <c r="E15845">
        <f>TEST_DATA!E15845</f>
        <v/>
      </c>
    </row>
    <row r="15846">
      <c r="A15846">
        <f>TEST_DATA!A15846</f>
        <v/>
      </c>
      <c r="B15846">
        <f>TEST_DATA!B15846</f>
        <v/>
      </c>
      <c r="C15846">
        <f>TEST_DATA!C15846</f>
        <v/>
      </c>
      <c r="D15846">
        <f>TEST_DATA!D15846</f>
        <v/>
      </c>
      <c r="E15846">
        <f>TEST_DATA!E15846</f>
        <v/>
      </c>
    </row>
    <row r="15847">
      <c r="A15847">
        <f>TEST_DATA!A15847</f>
        <v/>
      </c>
      <c r="B15847">
        <f>TEST_DATA!B15847</f>
        <v/>
      </c>
      <c r="C15847">
        <f>TEST_DATA!C15847</f>
        <v/>
      </c>
      <c r="D15847">
        <f>TEST_DATA!D15847</f>
        <v/>
      </c>
      <c r="E15847">
        <f>TEST_DATA!E15847</f>
        <v/>
      </c>
    </row>
    <row r="15848">
      <c r="A15848">
        <f>TEST_DATA!A15848</f>
        <v/>
      </c>
      <c r="B15848">
        <f>TEST_DATA!B15848</f>
        <v/>
      </c>
      <c r="C15848">
        <f>TEST_DATA!C15848</f>
        <v/>
      </c>
      <c r="D15848">
        <f>TEST_DATA!D15848</f>
        <v/>
      </c>
      <c r="E15848">
        <f>TEST_DATA!E15848</f>
        <v/>
      </c>
    </row>
    <row r="15849">
      <c r="A15849">
        <f>TEST_DATA!A15849</f>
        <v/>
      </c>
      <c r="B15849">
        <f>TEST_DATA!B15849</f>
        <v/>
      </c>
      <c r="C15849">
        <f>TEST_DATA!C15849</f>
        <v/>
      </c>
      <c r="D15849">
        <f>TEST_DATA!D15849</f>
        <v/>
      </c>
      <c r="E15849">
        <f>TEST_DATA!E15849</f>
        <v/>
      </c>
    </row>
    <row r="15850">
      <c r="A15850">
        <f>TEST_DATA!A15850</f>
        <v/>
      </c>
      <c r="B15850">
        <f>TEST_DATA!B15850</f>
        <v/>
      </c>
      <c r="C15850">
        <f>TEST_DATA!C15850</f>
        <v/>
      </c>
      <c r="D15850">
        <f>TEST_DATA!D15850</f>
        <v/>
      </c>
      <c r="E15850">
        <f>TEST_DATA!E15850</f>
        <v/>
      </c>
    </row>
    <row r="15851">
      <c r="A15851">
        <f>TEST_DATA!A15851</f>
        <v/>
      </c>
      <c r="B15851">
        <f>TEST_DATA!B15851</f>
        <v/>
      </c>
      <c r="C15851">
        <f>TEST_DATA!C15851</f>
        <v/>
      </c>
      <c r="D15851">
        <f>TEST_DATA!D15851</f>
        <v/>
      </c>
      <c r="E15851">
        <f>TEST_DATA!E15851</f>
        <v/>
      </c>
    </row>
    <row r="15852">
      <c r="A15852">
        <f>TEST_DATA!A15852</f>
        <v/>
      </c>
      <c r="B15852">
        <f>TEST_DATA!B15852</f>
        <v/>
      </c>
      <c r="C15852">
        <f>TEST_DATA!C15852</f>
        <v/>
      </c>
      <c r="D15852">
        <f>TEST_DATA!D15852</f>
        <v/>
      </c>
      <c r="E15852">
        <f>TEST_DATA!E15852</f>
        <v/>
      </c>
    </row>
    <row r="15853">
      <c r="A15853">
        <f>TEST_DATA!A15853</f>
        <v/>
      </c>
      <c r="B15853">
        <f>TEST_DATA!B15853</f>
        <v/>
      </c>
      <c r="C15853">
        <f>TEST_DATA!C15853</f>
        <v/>
      </c>
      <c r="D15853">
        <f>TEST_DATA!D15853</f>
        <v/>
      </c>
      <c r="E15853">
        <f>TEST_DATA!E15853</f>
        <v/>
      </c>
    </row>
    <row r="15854">
      <c r="A15854">
        <f>TEST_DATA!A15854</f>
        <v/>
      </c>
      <c r="B15854">
        <f>TEST_DATA!B15854</f>
        <v/>
      </c>
      <c r="C15854">
        <f>TEST_DATA!C15854</f>
        <v/>
      </c>
      <c r="D15854">
        <f>TEST_DATA!D15854</f>
        <v/>
      </c>
      <c r="E15854">
        <f>TEST_DATA!E15854</f>
        <v/>
      </c>
    </row>
    <row r="15855">
      <c r="A15855">
        <f>TEST_DATA!A15855</f>
        <v/>
      </c>
      <c r="B15855">
        <f>TEST_DATA!B15855</f>
        <v/>
      </c>
      <c r="C15855">
        <f>TEST_DATA!C15855</f>
        <v/>
      </c>
      <c r="D15855">
        <f>TEST_DATA!D15855</f>
        <v/>
      </c>
      <c r="E15855">
        <f>TEST_DATA!E15855</f>
        <v/>
      </c>
    </row>
    <row r="15856">
      <c r="A15856">
        <f>TEST_DATA!A15856</f>
        <v/>
      </c>
      <c r="B15856">
        <f>TEST_DATA!B15856</f>
        <v/>
      </c>
      <c r="C15856">
        <f>TEST_DATA!C15856</f>
        <v/>
      </c>
      <c r="D15856">
        <f>TEST_DATA!D15856</f>
        <v/>
      </c>
      <c r="E15856">
        <f>TEST_DATA!E15856</f>
        <v/>
      </c>
    </row>
    <row r="15857">
      <c r="A15857">
        <f>TEST_DATA!A15857</f>
        <v/>
      </c>
      <c r="B15857">
        <f>TEST_DATA!B15857</f>
        <v/>
      </c>
      <c r="C15857">
        <f>TEST_DATA!C15857</f>
        <v/>
      </c>
      <c r="D15857">
        <f>TEST_DATA!D15857</f>
        <v/>
      </c>
      <c r="E15857">
        <f>TEST_DATA!E15857</f>
        <v/>
      </c>
    </row>
    <row r="15858">
      <c r="A15858">
        <f>TEST_DATA!A15858</f>
        <v/>
      </c>
      <c r="B15858">
        <f>TEST_DATA!B15858</f>
        <v/>
      </c>
      <c r="C15858">
        <f>TEST_DATA!C15858</f>
        <v/>
      </c>
      <c r="D15858">
        <f>TEST_DATA!D15858</f>
        <v/>
      </c>
      <c r="E15858">
        <f>TEST_DATA!E15858</f>
        <v/>
      </c>
    </row>
    <row r="15859">
      <c r="A15859">
        <f>TEST_DATA!A15859</f>
        <v/>
      </c>
      <c r="B15859">
        <f>TEST_DATA!B15859</f>
        <v/>
      </c>
      <c r="C15859">
        <f>TEST_DATA!C15859</f>
        <v/>
      </c>
      <c r="D15859">
        <f>TEST_DATA!D15859</f>
        <v/>
      </c>
      <c r="E15859">
        <f>TEST_DATA!E15859</f>
        <v/>
      </c>
    </row>
    <row r="15860">
      <c r="A15860">
        <f>TEST_DATA!A15860</f>
        <v/>
      </c>
      <c r="B15860">
        <f>TEST_DATA!B15860</f>
        <v/>
      </c>
      <c r="C15860">
        <f>TEST_DATA!C15860</f>
        <v/>
      </c>
      <c r="D15860">
        <f>TEST_DATA!D15860</f>
        <v/>
      </c>
      <c r="E15860">
        <f>TEST_DATA!E15860</f>
        <v/>
      </c>
    </row>
    <row r="15861">
      <c r="A15861">
        <f>TEST_DATA!A15861</f>
        <v/>
      </c>
      <c r="B15861">
        <f>TEST_DATA!B15861</f>
        <v/>
      </c>
      <c r="C15861">
        <f>TEST_DATA!C15861</f>
        <v/>
      </c>
      <c r="D15861">
        <f>TEST_DATA!D15861</f>
        <v/>
      </c>
      <c r="E15861">
        <f>TEST_DATA!E15861</f>
        <v/>
      </c>
    </row>
    <row r="15862">
      <c r="A15862">
        <f>TEST_DATA!A15862</f>
        <v/>
      </c>
      <c r="B15862">
        <f>TEST_DATA!B15862</f>
        <v/>
      </c>
      <c r="C15862">
        <f>TEST_DATA!C15862</f>
        <v/>
      </c>
      <c r="D15862">
        <f>TEST_DATA!D15862</f>
        <v/>
      </c>
      <c r="E15862">
        <f>TEST_DATA!E15862</f>
        <v/>
      </c>
    </row>
    <row r="15863">
      <c r="A15863">
        <f>TEST_DATA!A15863</f>
        <v/>
      </c>
      <c r="B15863">
        <f>TEST_DATA!B15863</f>
        <v/>
      </c>
      <c r="C15863">
        <f>TEST_DATA!C15863</f>
        <v/>
      </c>
      <c r="D15863">
        <f>TEST_DATA!D15863</f>
        <v/>
      </c>
      <c r="E15863">
        <f>TEST_DATA!E15863</f>
        <v/>
      </c>
    </row>
    <row r="15864">
      <c r="A15864">
        <f>TEST_DATA!A15864</f>
        <v/>
      </c>
      <c r="B15864">
        <f>TEST_DATA!B15864</f>
        <v/>
      </c>
      <c r="C15864">
        <f>TEST_DATA!C15864</f>
        <v/>
      </c>
      <c r="D15864">
        <f>TEST_DATA!D15864</f>
        <v/>
      </c>
      <c r="E15864">
        <f>TEST_DATA!E15864</f>
        <v/>
      </c>
    </row>
    <row r="15865">
      <c r="A15865">
        <f>TEST_DATA!A15865</f>
        <v/>
      </c>
      <c r="B15865">
        <f>TEST_DATA!B15865</f>
        <v/>
      </c>
      <c r="C15865">
        <f>TEST_DATA!C15865</f>
        <v/>
      </c>
      <c r="D15865">
        <f>TEST_DATA!D15865</f>
        <v/>
      </c>
      <c r="E15865">
        <f>TEST_DATA!E15865</f>
        <v/>
      </c>
    </row>
    <row r="15866">
      <c r="A15866">
        <f>TEST_DATA!A15866</f>
        <v/>
      </c>
      <c r="B15866">
        <f>TEST_DATA!B15866</f>
        <v/>
      </c>
      <c r="C15866">
        <f>TEST_DATA!C15866</f>
        <v/>
      </c>
      <c r="D15866">
        <f>TEST_DATA!D15866</f>
        <v/>
      </c>
      <c r="E15866">
        <f>TEST_DATA!E15866</f>
        <v/>
      </c>
    </row>
    <row r="15867">
      <c r="A15867">
        <f>TEST_DATA!A15867</f>
        <v/>
      </c>
      <c r="B15867">
        <f>TEST_DATA!B15867</f>
        <v/>
      </c>
      <c r="C15867">
        <f>TEST_DATA!C15867</f>
        <v/>
      </c>
      <c r="D15867">
        <f>TEST_DATA!D15867</f>
        <v/>
      </c>
      <c r="E15867">
        <f>TEST_DATA!E15867</f>
        <v/>
      </c>
    </row>
    <row r="15868">
      <c r="A15868">
        <f>TEST_DATA!A15868</f>
        <v/>
      </c>
      <c r="B15868">
        <f>TEST_DATA!B15868</f>
        <v/>
      </c>
      <c r="C15868">
        <f>TEST_DATA!C15868</f>
        <v/>
      </c>
      <c r="D15868">
        <f>TEST_DATA!D15868</f>
        <v/>
      </c>
      <c r="E15868">
        <f>TEST_DATA!E15868</f>
        <v/>
      </c>
    </row>
    <row r="15869">
      <c r="A15869">
        <f>TEST_DATA!A15869</f>
        <v/>
      </c>
      <c r="B15869">
        <f>TEST_DATA!B15869</f>
        <v/>
      </c>
      <c r="C15869">
        <f>TEST_DATA!C15869</f>
        <v/>
      </c>
      <c r="D15869">
        <f>TEST_DATA!D15869</f>
        <v/>
      </c>
      <c r="E15869">
        <f>TEST_DATA!E15869</f>
        <v/>
      </c>
    </row>
    <row r="15870">
      <c r="A15870">
        <f>TEST_DATA!A15870</f>
        <v/>
      </c>
      <c r="B15870">
        <f>TEST_DATA!B15870</f>
        <v/>
      </c>
      <c r="C15870">
        <f>TEST_DATA!C15870</f>
        <v/>
      </c>
      <c r="D15870">
        <f>TEST_DATA!D15870</f>
        <v/>
      </c>
      <c r="E15870">
        <f>TEST_DATA!E15870</f>
        <v/>
      </c>
    </row>
    <row r="15871">
      <c r="A15871">
        <f>TEST_DATA!A15871</f>
        <v/>
      </c>
      <c r="B15871">
        <f>TEST_DATA!B15871</f>
        <v/>
      </c>
      <c r="C15871">
        <f>TEST_DATA!C15871</f>
        <v/>
      </c>
      <c r="D15871">
        <f>TEST_DATA!D15871</f>
        <v/>
      </c>
      <c r="E15871">
        <f>TEST_DATA!E15871</f>
        <v/>
      </c>
    </row>
    <row r="15872">
      <c r="A15872">
        <f>TEST_DATA!A15872</f>
        <v/>
      </c>
      <c r="B15872">
        <f>TEST_DATA!B15872</f>
        <v/>
      </c>
      <c r="C15872">
        <f>TEST_DATA!C15872</f>
        <v/>
      </c>
      <c r="D15872">
        <f>TEST_DATA!D15872</f>
        <v/>
      </c>
      <c r="E15872">
        <f>TEST_DATA!E15872</f>
        <v/>
      </c>
    </row>
    <row r="15873">
      <c r="A15873">
        <f>TEST_DATA!A15873</f>
        <v/>
      </c>
      <c r="B15873">
        <f>TEST_DATA!B15873</f>
        <v/>
      </c>
      <c r="C15873">
        <f>TEST_DATA!C15873</f>
        <v/>
      </c>
      <c r="D15873">
        <f>TEST_DATA!D15873</f>
        <v/>
      </c>
      <c r="E15873">
        <f>TEST_DATA!E15873</f>
        <v/>
      </c>
    </row>
    <row r="15874">
      <c r="A15874">
        <f>TEST_DATA!A15874</f>
        <v/>
      </c>
      <c r="B15874">
        <f>TEST_DATA!B15874</f>
        <v/>
      </c>
      <c r="C15874">
        <f>TEST_DATA!C15874</f>
        <v/>
      </c>
      <c r="D15874">
        <f>TEST_DATA!D15874</f>
        <v/>
      </c>
      <c r="E15874">
        <f>TEST_DATA!E15874</f>
        <v/>
      </c>
    </row>
    <row r="15875">
      <c r="A15875">
        <f>TEST_DATA!A15875</f>
        <v/>
      </c>
      <c r="B15875">
        <f>TEST_DATA!B15875</f>
        <v/>
      </c>
      <c r="C15875">
        <f>TEST_DATA!C15875</f>
        <v/>
      </c>
      <c r="D15875">
        <f>TEST_DATA!D15875</f>
        <v/>
      </c>
      <c r="E15875">
        <f>TEST_DATA!E15875</f>
        <v/>
      </c>
    </row>
    <row r="15876">
      <c r="A15876">
        <f>TEST_DATA!A15876</f>
        <v/>
      </c>
      <c r="B15876">
        <f>TEST_DATA!B15876</f>
        <v/>
      </c>
      <c r="C15876">
        <f>TEST_DATA!C15876</f>
        <v/>
      </c>
      <c r="D15876">
        <f>TEST_DATA!D15876</f>
        <v/>
      </c>
      <c r="E15876">
        <f>TEST_DATA!E15876</f>
        <v/>
      </c>
    </row>
    <row r="15877">
      <c r="A15877">
        <f>TEST_DATA!A15877</f>
        <v/>
      </c>
      <c r="B15877">
        <f>TEST_DATA!B15877</f>
        <v/>
      </c>
      <c r="C15877">
        <f>TEST_DATA!C15877</f>
        <v/>
      </c>
      <c r="D15877">
        <f>TEST_DATA!D15877</f>
        <v/>
      </c>
      <c r="E15877">
        <f>TEST_DATA!E15877</f>
        <v/>
      </c>
    </row>
    <row r="15878">
      <c r="A15878">
        <f>TEST_DATA!A15878</f>
        <v/>
      </c>
      <c r="B15878">
        <f>TEST_DATA!B15878</f>
        <v/>
      </c>
      <c r="C15878">
        <f>TEST_DATA!C15878</f>
        <v/>
      </c>
      <c r="D15878">
        <f>TEST_DATA!D15878</f>
        <v/>
      </c>
      <c r="E15878">
        <f>TEST_DATA!E15878</f>
        <v/>
      </c>
    </row>
    <row r="15879">
      <c r="A15879">
        <f>TEST_DATA!A15879</f>
        <v/>
      </c>
      <c r="B15879">
        <f>TEST_DATA!B15879</f>
        <v/>
      </c>
      <c r="C15879">
        <f>TEST_DATA!C15879</f>
        <v/>
      </c>
      <c r="D15879">
        <f>TEST_DATA!D15879</f>
        <v/>
      </c>
      <c r="E15879">
        <f>TEST_DATA!E15879</f>
        <v/>
      </c>
    </row>
    <row r="15880">
      <c r="A15880">
        <f>TEST_DATA!A15880</f>
        <v/>
      </c>
      <c r="B15880">
        <f>TEST_DATA!B15880</f>
        <v/>
      </c>
      <c r="C15880">
        <f>TEST_DATA!C15880</f>
        <v/>
      </c>
      <c r="D15880">
        <f>TEST_DATA!D15880</f>
        <v/>
      </c>
      <c r="E15880">
        <f>TEST_DATA!E15880</f>
        <v/>
      </c>
    </row>
    <row r="15881">
      <c r="A15881">
        <f>TEST_DATA!A15881</f>
        <v/>
      </c>
      <c r="B15881">
        <f>TEST_DATA!B15881</f>
        <v/>
      </c>
      <c r="C15881">
        <f>TEST_DATA!C15881</f>
        <v/>
      </c>
      <c r="D15881">
        <f>TEST_DATA!D15881</f>
        <v/>
      </c>
      <c r="E15881">
        <f>TEST_DATA!E15881</f>
        <v/>
      </c>
    </row>
    <row r="15882">
      <c r="A15882">
        <f>TEST_DATA!A15882</f>
        <v/>
      </c>
      <c r="B15882">
        <f>TEST_DATA!B15882</f>
        <v/>
      </c>
      <c r="C15882">
        <f>TEST_DATA!C15882</f>
        <v/>
      </c>
      <c r="D15882">
        <f>TEST_DATA!D15882</f>
        <v/>
      </c>
      <c r="E15882">
        <f>TEST_DATA!E15882</f>
        <v/>
      </c>
    </row>
    <row r="15883">
      <c r="A15883">
        <f>TEST_DATA!A15883</f>
        <v/>
      </c>
      <c r="B15883">
        <f>TEST_DATA!B15883</f>
        <v/>
      </c>
      <c r="C15883">
        <f>TEST_DATA!C15883</f>
        <v/>
      </c>
      <c r="D15883">
        <f>TEST_DATA!D15883</f>
        <v/>
      </c>
      <c r="E15883">
        <f>TEST_DATA!E15883</f>
        <v/>
      </c>
    </row>
    <row r="15884">
      <c r="A15884">
        <f>TEST_DATA!A15884</f>
        <v/>
      </c>
      <c r="B15884">
        <f>TEST_DATA!B15884</f>
        <v/>
      </c>
      <c r="C15884">
        <f>TEST_DATA!C15884</f>
        <v/>
      </c>
      <c r="D15884">
        <f>TEST_DATA!D15884</f>
        <v/>
      </c>
      <c r="E15884">
        <f>TEST_DATA!E15884</f>
        <v/>
      </c>
    </row>
    <row r="15885">
      <c r="A15885">
        <f>TEST_DATA!A15885</f>
        <v/>
      </c>
      <c r="B15885">
        <f>TEST_DATA!B15885</f>
        <v/>
      </c>
      <c r="C15885">
        <f>TEST_DATA!C15885</f>
        <v/>
      </c>
      <c r="D15885">
        <f>TEST_DATA!D15885</f>
        <v/>
      </c>
      <c r="E15885">
        <f>TEST_DATA!E15885</f>
        <v/>
      </c>
    </row>
    <row r="15886">
      <c r="A15886">
        <f>TEST_DATA!A15886</f>
        <v/>
      </c>
      <c r="B15886">
        <f>TEST_DATA!B15886</f>
        <v/>
      </c>
      <c r="C15886">
        <f>TEST_DATA!C15886</f>
        <v/>
      </c>
      <c r="D15886">
        <f>TEST_DATA!D15886</f>
        <v/>
      </c>
      <c r="E15886">
        <f>TEST_DATA!E15886</f>
        <v/>
      </c>
    </row>
    <row r="15887">
      <c r="A15887">
        <f>TEST_DATA!A15887</f>
        <v/>
      </c>
      <c r="B15887">
        <f>TEST_DATA!B15887</f>
        <v/>
      </c>
      <c r="C15887">
        <f>TEST_DATA!C15887</f>
        <v/>
      </c>
      <c r="D15887">
        <f>TEST_DATA!D15887</f>
        <v/>
      </c>
      <c r="E15887">
        <f>TEST_DATA!E15887</f>
        <v/>
      </c>
    </row>
    <row r="15888">
      <c r="A15888">
        <f>TEST_DATA!A15888</f>
        <v/>
      </c>
      <c r="B15888">
        <f>TEST_DATA!B15888</f>
        <v/>
      </c>
      <c r="C15888">
        <f>TEST_DATA!C15888</f>
        <v/>
      </c>
      <c r="D15888">
        <f>TEST_DATA!D15888</f>
        <v/>
      </c>
      <c r="E15888">
        <f>TEST_DATA!E15888</f>
        <v/>
      </c>
    </row>
    <row r="15889">
      <c r="A15889">
        <f>TEST_DATA!A15889</f>
        <v/>
      </c>
      <c r="B15889">
        <f>TEST_DATA!B15889</f>
        <v/>
      </c>
      <c r="C15889">
        <f>TEST_DATA!C15889</f>
        <v/>
      </c>
      <c r="D15889">
        <f>TEST_DATA!D15889</f>
        <v/>
      </c>
      <c r="E15889">
        <f>TEST_DATA!E15889</f>
        <v/>
      </c>
    </row>
    <row r="15890">
      <c r="A15890">
        <f>TEST_DATA!A15890</f>
        <v/>
      </c>
      <c r="B15890">
        <f>TEST_DATA!B15890</f>
        <v/>
      </c>
      <c r="C15890">
        <f>TEST_DATA!C15890</f>
        <v/>
      </c>
      <c r="D15890">
        <f>TEST_DATA!D15890</f>
        <v/>
      </c>
      <c r="E15890">
        <f>TEST_DATA!E15890</f>
        <v/>
      </c>
    </row>
    <row r="15891">
      <c r="A15891">
        <f>TEST_DATA!A15891</f>
        <v/>
      </c>
      <c r="B15891">
        <f>TEST_DATA!B15891</f>
        <v/>
      </c>
      <c r="C15891">
        <f>TEST_DATA!C15891</f>
        <v/>
      </c>
      <c r="D15891">
        <f>TEST_DATA!D15891</f>
        <v/>
      </c>
      <c r="E15891">
        <f>TEST_DATA!E15891</f>
        <v/>
      </c>
    </row>
    <row r="15892">
      <c r="A15892">
        <f>TEST_DATA!A15892</f>
        <v/>
      </c>
      <c r="B15892">
        <f>TEST_DATA!B15892</f>
        <v/>
      </c>
      <c r="C15892">
        <f>TEST_DATA!C15892</f>
        <v/>
      </c>
      <c r="D15892">
        <f>TEST_DATA!D15892</f>
        <v/>
      </c>
      <c r="E15892">
        <f>TEST_DATA!E15892</f>
        <v/>
      </c>
    </row>
    <row r="15893">
      <c r="A15893">
        <f>TEST_DATA!A15893</f>
        <v/>
      </c>
      <c r="B15893">
        <f>TEST_DATA!B15893</f>
        <v/>
      </c>
      <c r="C15893">
        <f>TEST_DATA!C15893</f>
        <v/>
      </c>
      <c r="D15893">
        <f>TEST_DATA!D15893</f>
        <v/>
      </c>
      <c r="E15893">
        <f>TEST_DATA!E15893</f>
        <v/>
      </c>
    </row>
    <row r="15894">
      <c r="A15894">
        <f>TEST_DATA!A15894</f>
        <v/>
      </c>
      <c r="B15894">
        <f>TEST_DATA!B15894</f>
        <v/>
      </c>
      <c r="C15894">
        <f>TEST_DATA!C15894</f>
        <v/>
      </c>
      <c r="D15894">
        <f>TEST_DATA!D15894</f>
        <v/>
      </c>
      <c r="E15894">
        <f>TEST_DATA!E15894</f>
        <v/>
      </c>
    </row>
    <row r="15895">
      <c r="A15895">
        <f>TEST_DATA!A15895</f>
        <v/>
      </c>
      <c r="B15895">
        <f>TEST_DATA!B15895</f>
        <v/>
      </c>
      <c r="C15895">
        <f>TEST_DATA!C15895</f>
        <v/>
      </c>
      <c r="D15895">
        <f>TEST_DATA!D15895</f>
        <v/>
      </c>
      <c r="E15895">
        <f>TEST_DATA!E15895</f>
        <v/>
      </c>
    </row>
    <row r="15896">
      <c r="A15896">
        <f>TEST_DATA!A15896</f>
        <v/>
      </c>
      <c r="B15896">
        <f>TEST_DATA!B15896</f>
        <v/>
      </c>
      <c r="C15896">
        <f>TEST_DATA!C15896</f>
        <v/>
      </c>
      <c r="D15896">
        <f>TEST_DATA!D15896</f>
        <v/>
      </c>
      <c r="E15896">
        <f>TEST_DATA!E15896</f>
        <v/>
      </c>
    </row>
    <row r="15897">
      <c r="A15897">
        <f>TEST_DATA!A15897</f>
        <v/>
      </c>
      <c r="B15897">
        <f>TEST_DATA!B15897</f>
        <v/>
      </c>
      <c r="C15897">
        <f>TEST_DATA!C15897</f>
        <v/>
      </c>
      <c r="D15897">
        <f>TEST_DATA!D15897</f>
        <v/>
      </c>
      <c r="E15897">
        <f>TEST_DATA!E15897</f>
        <v/>
      </c>
    </row>
    <row r="15898">
      <c r="A15898">
        <f>TEST_DATA!A15898</f>
        <v/>
      </c>
      <c r="B15898">
        <f>TEST_DATA!B15898</f>
        <v/>
      </c>
      <c r="C15898">
        <f>TEST_DATA!C15898</f>
        <v/>
      </c>
      <c r="D15898">
        <f>TEST_DATA!D15898</f>
        <v/>
      </c>
      <c r="E15898">
        <f>TEST_DATA!E15898</f>
        <v/>
      </c>
    </row>
    <row r="15899">
      <c r="A15899">
        <f>TEST_DATA!A15899</f>
        <v/>
      </c>
      <c r="B15899">
        <f>TEST_DATA!B15899</f>
        <v/>
      </c>
      <c r="C15899">
        <f>TEST_DATA!C15899</f>
        <v/>
      </c>
      <c r="D15899">
        <f>TEST_DATA!D15899</f>
        <v/>
      </c>
      <c r="E15899">
        <f>TEST_DATA!E15899</f>
        <v/>
      </c>
    </row>
    <row r="15900">
      <c r="A15900">
        <f>TEST_DATA!A15900</f>
        <v/>
      </c>
      <c r="B15900">
        <f>TEST_DATA!B15900</f>
        <v/>
      </c>
      <c r="C15900">
        <f>TEST_DATA!C15900</f>
        <v/>
      </c>
      <c r="D15900">
        <f>TEST_DATA!D15900</f>
        <v/>
      </c>
      <c r="E15900">
        <f>TEST_DATA!E15900</f>
        <v/>
      </c>
    </row>
    <row r="15901">
      <c r="A15901">
        <f>TEST_DATA!A15901</f>
        <v/>
      </c>
      <c r="B15901">
        <f>TEST_DATA!B15901</f>
        <v/>
      </c>
      <c r="C15901">
        <f>TEST_DATA!C15901</f>
        <v/>
      </c>
      <c r="D15901">
        <f>TEST_DATA!D15901</f>
        <v/>
      </c>
      <c r="E15901">
        <f>TEST_DATA!E15901</f>
        <v/>
      </c>
    </row>
    <row r="15902">
      <c r="A15902">
        <f>TEST_DATA!A15902</f>
        <v/>
      </c>
      <c r="B15902">
        <f>TEST_DATA!B15902</f>
        <v/>
      </c>
      <c r="C15902">
        <f>TEST_DATA!C15902</f>
        <v/>
      </c>
      <c r="D15902">
        <f>TEST_DATA!D15902</f>
        <v/>
      </c>
      <c r="E15902">
        <f>TEST_DATA!E15902</f>
        <v/>
      </c>
    </row>
    <row r="15903">
      <c r="A15903">
        <f>TEST_DATA!A15903</f>
        <v/>
      </c>
      <c r="B15903">
        <f>TEST_DATA!B15903</f>
        <v/>
      </c>
      <c r="C15903">
        <f>TEST_DATA!C15903</f>
        <v/>
      </c>
      <c r="D15903">
        <f>TEST_DATA!D15903</f>
        <v/>
      </c>
      <c r="E15903">
        <f>TEST_DATA!E15903</f>
        <v/>
      </c>
    </row>
    <row r="15904">
      <c r="A15904">
        <f>TEST_DATA!A15904</f>
        <v/>
      </c>
      <c r="B15904">
        <f>TEST_DATA!B15904</f>
        <v/>
      </c>
      <c r="C15904">
        <f>TEST_DATA!C15904</f>
        <v/>
      </c>
      <c r="D15904">
        <f>TEST_DATA!D15904</f>
        <v/>
      </c>
      <c r="E15904">
        <f>TEST_DATA!E15904</f>
        <v/>
      </c>
    </row>
    <row r="15905">
      <c r="A15905">
        <f>TEST_DATA!A15905</f>
        <v/>
      </c>
      <c r="B15905">
        <f>TEST_DATA!B15905</f>
        <v/>
      </c>
      <c r="C15905">
        <f>TEST_DATA!C15905</f>
        <v/>
      </c>
      <c r="D15905">
        <f>TEST_DATA!D15905</f>
        <v/>
      </c>
      <c r="E15905">
        <f>TEST_DATA!E15905</f>
        <v/>
      </c>
    </row>
    <row r="15906">
      <c r="A15906">
        <f>TEST_DATA!A15906</f>
        <v/>
      </c>
      <c r="B15906">
        <f>TEST_DATA!B15906</f>
        <v/>
      </c>
      <c r="C15906">
        <f>TEST_DATA!C15906</f>
        <v/>
      </c>
      <c r="D15906">
        <f>TEST_DATA!D15906</f>
        <v/>
      </c>
      <c r="E15906">
        <f>TEST_DATA!E15906</f>
        <v/>
      </c>
    </row>
    <row r="15907">
      <c r="A15907">
        <f>TEST_DATA!A15907</f>
        <v/>
      </c>
      <c r="B15907">
        <f>TEST_DATA!B15907</f>
        <v/>
      </c>
      <c r="C15907">
        <f>TEST_DATA!C15907</f>
        <v/>
      </c>
      <c r="D15907">
        <f>TEST_DATA!D15907</f>
        <v/>
      </c>
      <c r="E15907">
        <f>TEST_DATA!E15907</f>
        <v/>
      </c>
    </row>
    <row r="15908">
      <c r="A15908">
        <f>TEST_DATA!A15908</f>
        <v/>
      </c>
      <c r="B15908">
        <f>TEST_DATA!B15908</f>
        <v/>
      </c>
      <c r="C15908">
        <f>TEST_DATA!C15908</f>
        <v/>
      </c>
      <c r="D15908">
        <f>TEST_DATA!D15908</f>
        <v/>
      </c>
      <c r="E15908">
        <f>TEST_DATA!E15908</f>
        <v/>
      </c>
    </row>
    <row r="15909">
      <c r="A15909">
        <f>TEST_DATA!A15909</f>
        <v/>
      </c>
      <c r="B15909">
        <f>TEST_DATA!B15909</f>
        <v/>
      </c>
      <c r="C15909">
        <f>TEST_DATA!C15909</f>
        <v/>
      </c>
      <c r="D15909">
        <f>TEST_DATA!D15909</f>
        <v/>
      </c>
      <c r="E15909">
        <f>TEST_DATA!E15909</f>
        <v/>
      </c>
    </row>
    <row r="15910">
      <c r="A15910">
        <f>TEST_DATA!A15910</f>
        <v/>
      </c>
      <c r="B15910">
        <f>TEST_DATA!B15910</f>
        <v/>
      </c>
      <c r="C15910">
        <f>TEST_DATA!C15910</f>
        <v/>
      </c>
      <c r="D15910">
        <f>TEST_DATA!D15910</f>
        <v/>
      </c>
      <c r="E15910">
        <f>TEST_DATA!E15910</f>
        <v/>
      </c>
    </row>
    <row r="15911">
      <c r="A15911">
        <f>TEST_DATA!A15911</f>
        <v/>
      </c>
      <c r="B15911">
        <f>TEST_DATA!B15911</f>
        <v/>
      </c>
      <c r="C15911">
        <f>TEST_DATA!C15911</f>
        <v/>
      </c>
      <c r="D15911">
        <f>TEST_DATA!D15911</f>
        <v/>
      </c>
      <c r="E15911">
        <f>TEST_DATA!E15911</f>
        <v/>
      </c>
    </row>
    <row r="15912">
      <c r="A15912">
        <f>TEST_DATA!A15912</f>
        <v/>
      </c>
      <c r="B15912">
        <f>TEST_DATA!B15912</f>
        <v/>
      </c>
      <c r="C15912">
        <f>TEST_DATA!C15912</f>
        <v/>
      </c>
      <c r="D15912">
        <f>TEST_DATA!D15912</f>
        <v/>
      </c>
      <c r="E15912">
        <f>TEST_DATA!E15912</f>
        <v/>
      </c>
    </row>
    <row r="15913">
      <c r="A15913">
        <f>TEST_DATA!A15913</f>
        <v/>
      </c>
      <c r="B15913">
        <f>TEST_DATA!B15913</f>
        <v/>
      </c>
      <c r="C15913">
        <f>TEST_DATA!C15913</f>
        <v/>
      </c>
      <c r="D15913">
        <f>TEST_DATA!D15913</f>
        <v/>
      </c>
      <c r="E15913">
        <f>TEST_DATA!E15913</f>
        <v/>
      </c>
    </row>
    <row r="15914">
      <c r="A15914">
        <f>TEST_DATA!A15914</f>
        <v/>
      </c>
      <c r="B15914">
        <f>TEST_DATA!B15914</f>
        <v/>
      </c>
      <c r="C15914">
        <f>TEST_DATA!C15914</f>
        <v/>
      </c>
      <c r="D15914">
        <f>TEST_DATA!D15914</f>
        <v/>
      </c>
      <c r="E15914">
        <f>TEST_DATA!E15914</f>
        <v/>
      </c>
    </row>
    <row r="15915">
      <c r="A15915">
        <f>TEST_DATA!A15915</f>
        <v/>
      </c>
      <c r="B15915">
        <f>TEST_DATA!B15915</f>
        <v/>
      </c>
      <c r="C15915">
        <f>TEST_DATA!C15915</f>
        <v/>
      </c>
      <c r="D15915">
        <f>TEST_DATA!D15915</f>
        <v/>
      </c>
      <c r="E15915">
        <f>TEST_DATA!E15915</f>
        <v/>
      </c>
    </row>
    <row r="15916">
      <c r="A15916">
        <f>TEST_DATA!A15916</f>
        <v/>
      </c>
      <c r="B15916">
        <f>TEST_DATA!B15916</f>
        <v/>
      </c>
      <c r="C15916">
        <f>TEST_DATA!C15916</f>
        <v/>
      </c>
      <c r="D15916">
        <f>TEST_DATA!D15916</f>
        <v/>
      </c>
      <c r="E15916">
        <f>TEST_DATA!E15916</f>
        <v/>
      </c>
    </row>
    <row r="15917">
      <c r="A15917">
        <f>TEST_DATA!A15917</f>
        <v/>
      </c>
      <c r="B15917">
        <f>TEST_DATA!B15917</f>
        <v/>
      </c>
      <c r="C15917">
        <f>TEST_DATA!C15917</f>
        <v/>
      </c>
      <c r="D15917">
        <f>TEST_DATA!D15917</f>
        <v/>
      </c>
      <c r="E15917">
        <f>TEST_DATA!E15917</f>
        <v/>
      </c>
    </row>
    <row r="15918">
      <c r="A15918">
        <f>TEST_DATA!A15918</f>
        <v/>
      </c>
      <c r="B15918">
        <f>TEST_DATA!B15918</f>
        <v/>
      </c>
      <c r="C15918">
        <f>TEST_DATA!C15918</f>
        <v/>
      </c>
      <c r="D15918">
        <f>TEST_DATA!D15918</f>
        <v/>
      </c>
      <c r="E15918">
        <f>TEST_DATA!E15918</f>
        <v/>
      </c>
    </row>
    <row r="15919">
      <c r="A15919">
        <f>TEST_DATA!A15919</f>
        <v/>
      </c>
      <c r="B15919">
        <f>TEST_DATA!B15919</f>
        <v/>
      </c>
      <c r="C15919">
        <f>TEST_DATA!C15919</f>
        <v/>
      </c>
      <c r="D15919">
        <f>TEST_DATA!D15919</f>
        <v/>
      </c>
      <c r="E15919">
        <f>TEST_DATA!E15919</f>
        <v/>
      </c>
    </row>
    <row r="15920">
      <c r="A15920">
        <f>TEST_DATA!A15920</f>
        <v/>
      </c>
      <c r="B15920">
        <f>TEST_DATA!B15920</f>
        <v/>
      </c>
      <c r="C15920">
        <f>TEST_DATA!C15920</f>
        <v/>
      </c>
      <c r="D15920">
        <f>TEST_DATA!D15920</f>
        <v/>
      </c>
      <c r="E15920">
        <f>TEST_DATA!E15920</f>
        <v/>
      </c>
    </row>
    <row r="15921">
      <c r="A15921">
        <f>TEST_DATA!A15921</f>
        <v/>
      </c>
      <c r="B15921">
        <f>TEST_DATA!B15921</f>
        <v/>
      </c>
      <c r="C15921">
        <f>TEST_DATA!C15921</f>
        <v/>
      </c>
      <c r="D15921">
        <f>TEST_DATA!D15921</f>
        <v/>
      </c>
      <c r="E15921">
        <f>TEST_DATA!E15921</f>
        <v/>
      </c>
    </row>
    <row r="15922">
      <c r="A15922">
        <f>TEST_DATA!A15922</f>
        <v/>
      </c>
      <c r="B15922">
        <f>TEST_DATA!B15922</f>
        <v/>
      </c>
      <c r="C15922">
        <f>TEST_DATA!C15922</f>
        <v/>
      </c>
      <c r="D15922">
        <f>TEST_DATA!D15922</f>
        <v/>
      </c>
      <c r="E15922">
        <f>TEST_DATA!E15922</f>
        <v/>
      </c>
    </row>
    <row r="15923">
      <c r="A15923">
        <f>TEST_DATA!A15923</f>
        <v/>
      </c>
      <c r="B15923">
        <f>TEST_DATA!B15923</f>
        <v/>
      </c>
      <c r="C15923">
        <f>TEST_DATA!C15923</f>
        <v/>
      </c>
      <c r="D15923">
        <f>TEST_DATA!D15923</f>
        <v/>
      </c>
      <c r="E15923">
        <f>TEST_DATA!E15923</f>
        <v/>
      </c>
    </row>
    <row r="15924">
      <c r="A15924">
        <f>TEST_DATA!A15924</f>
        <v/>
      </c>
      <c r="B15924">
        <f>TEST_DATA!B15924</f>
        <v/>
      </c>
      <c r="C15924">
        <f>TEST_DATA!C15924</f>
        <v/>
      </c>
      <c r="D15924">
        <f>TEST_DATA!D15924</f>
        <v/>
      </c>
      <c r="E15924">
        <f>TEST_DATA!E15924</f>
        <v/>
      </c>
    </row>
    <row r="15925">
      <c r="A15925">
        <f>TEST_DATA!A15925</f>
        <v/>
      </c>
      <c r="B15925">
        <f>TEST_DATA!B15925</f>
        <v/>
      </c>
      <c r="C15925">
        <f>TEST_DATA!C15925</f>
        <v/>
      </c>
      <c r="D15925">
        <f>TEST_DATA!D15925</f>
        <v/>
      </c>
      <c r="E15925">
        <f>TEST_DATA!E15925</f>
        <v/>
      </c>
    </row>
    <row r="15926">
      <c r="A15926">
        <f>TEST_DATA!A15926</f>
        <v/>
      </c>
      <c r="B15926">
        <f>TEST_DATA!B15926</f>
        <v/>
      </c>
      <c r="C15926">
        <f>TEST_DATA!C15926</f>
        <v/>
      </c>
      <c r="D15926">
        <f>TEST_DATA!D15926</f>
        <v/>
      </c>
      <c r="E15926">
        <f>TEST_DATA!E15926</f>
        <v/>
      </c>
    </row>
    <row r="15927">
      <c r="A15927">
        <f>TEST_DATA!A15927</f>
        <v/>
      </c>
      <c r="B15927">
        <f>TEST_DATA!B15927</f>
        <v/>
      </c>
      <c r="C15927">
        <f>TEST_DATA!C15927</f>
        <v/>
      </c>
      <c r="D15927">
        <f>TEST_DATA!D15927</f>
        <v/>
      </c>
      <c r="E15927">
        <f>TEST_DATA!E15927</f>
        <v/>
      </c>
    </row>
    <row r="15928">
      <c r="A15928">
        <f>TEST_DATA!A15928</f>
        <v/>
      </c>
      <c r="B15928">
        <f>TEST_DATA!B15928</f>
        <v/>
      </c>
      <c r="C15928">
        <f>TEST_DATA!C15928</f>
        <v/>
      </c>
      <c r="D15928">
        <f>TEST_DATA!D15928</f>
        <v/>
      </c>
      <c r="E15928">
        <f>TEST_DATA!E15928</f>
        <v/>
      </c>
    </row>
    <row r="15929">
      <c r="A15929">
        <f>TEST_DATA!A15929</f>
        <v/>
      </c>
      <c r="B15929">
        <f>TEST_DATA!B15929</f>
        <v/>
      </c>
      <c r="C15929">
        <f>TEST_DATA!C15929</f>
        <v/>
      </c>
      <c r="D15929">
        <f>TEST_DATA!D15929</f>
        <v/>
      </c>
      <c r="E15929">
        <f>TEST_DATA!E15929</f>
        <v/>
      </c>
    </row>
    <row r="15930">
      <c r="A15930">
        <f>TEST_DATA!A15930</f>
        <v/>
      </c>
      <c r="B15930">
        <f>TEST_DATA!B15930</f>
        <v/>
      </c>
      <c r="C15930">
        <f>TEST_DATA!C15930</f>
        <v/>
      </c>
      <c r="D15930">
        <f>TEST_DATA!D15930</f>
        <v/>
      </c>
      <c r="E15930">
        <f>TEST_DATA!E15930</f>
        <v/>
      </c>
    </row>
    <row r="15931">
      <c r="A15931">
        <f>TEST_DATA!A15931</f>
        <v/>
      </c>
      <c r="B15931">
        <f>TEST_DATA!B15931</f>
        <v/>
      </c>
      <c r="C15931">
        <f>TEST_DATA!C15931</f>
        <v/>
      </c>
      <c r="D15931">
        <f>TEST_DATA!D15931</f>
        <v/>
      </c>
      <c r="E15931">
        <f>TEST_DATA!E15931</f>
        <v/>
      </c>
    </row>
    <row r="15932">
      <c r="A15932">
        <f>TEST_DATA!A15932</f>
        <v/>
      </c>
      <c r="B15932">
        <f>TEST_DATA!B15932</f>
        <v/>
      </c>
      <c r="C15932">
        <f>TEST_DATA!C15932</f>
        <v/>
      </c>
      <c r="D15932">
        <f>TEST_DATA!D15932</f>
        <v/>
      </c>
      <c r="E15932">
        <f>TEST_DATA!E15932</f>
        <v/>
      </c>
    </row>
    <row r="15933">
      <c r="A15933">
        <f>TEST_DATA!A15933</f>
        <v/>
      </c>
      <c r="B15933">
        <f>TEST_DATA!B15933</f>
        <v/>
      </c>
      <c r="C15933">
        <f>TEST_DATA!C15933</f>
        <v/>
      </c>
      <c r="D15933">
        <f>TEST_DATA!D15933</f>
        <v/>
      </c>
      <c r="E15933">
        <f>TEST_DATA!E15933</f>
        <v/>
      </c>
    </row>
    <row r="15934">
      <c r="A15934">
        <f>TEST_DATA!A15934</f>
        <v/>
      </c>
      <c r="B15934">
        <f>TEST_DATA!B15934</f>
        <v/>
      </c>
      <c r="C15934">
        <f>TEST_DATA!C15934</f>
        <v/>
      </c>
      <c r="D15934">
        <f>TEST_DATA!D15934</f>
        <v/>
      </c>
      <c r="E15934">
        <f>TEST_DATA!E15934</f>
        <v/>
      </c>
    </row>
    <row r="15935">
      <c r="A15935">
        <f>TEST_DATA!A15935</f>
        <v/>
      </c>
      <c r="B15935">
        <f>TEST_DATA!B15935</f>
        <v/>
      </c>
      <c r="C15935">
        <f>TEST_DATA!C15935</f>
        <v/>
      </c>
      <c r="D15935">
        <f>TEST_DATA!D15935</f>
        <v/>
      </c>
      <c r="E15935">
        <f>TEST_DATA!E15935</f>
        <v/>
      </c>
    </row>
    <row r="15936">
      <c r="A15936">
        <f>TEST_DATA!A15936</f>
        <v/>
      </c>
      <c r="B15936">
        <f>TEST_DATA!B15936</f>
        <v/>
      </c>
      <c r="C15936">
        <f>TEST_DATA!C15936</f>
        <v/>
      </c>
      <c r="D15936">
        <f>TEST_DATA!D15936</f>
        <v/>
      </c>
      <c r="E15936">
        <f>TEST_DATA!E15936</f>
        <v/>
      </c>
    </row>
    <row r="15937">
      <c r="A15937">
        <f>TEST_DATA!A15937</f>
        <v/>
      </c>
      <c r="B15937">
        <f>TEST_DATA!B15937</f>
        <v/>
      </c>
      <c r="C15937">
        <f>TEST_DATA!C15937</f>
        <v/>
      </c>
      <c r="D15937">
        <f>TEST_DATA!D15937</f>
        <v/>
      </c>
      <c r="E15937">
        <f>TEST_DATA!E15937</f>
        <v/>
      </c>
    </row>
    <row r="15938">
      <c r="A15938">
        <f>TEST_DATA!A15938</f>
        <v/>
      </c>
      <c r="B15938">
        <f>TEST_DATA!B15938</f>
        <v/>
      </c>
      <c r="C15938">
        <f>TEST_DATA!C15938</f>
        <v/>
      </c>
      <c r="D15938">
        <f>TEST_DATA!D15938</f>
        <v/>
      </c>
      <c r="E15938">
        <f>TEST_DATA!E15938</f>
        <v/>
      </c>
    </row>
    <row r="15939">
      <c r="A15939">
        <f>TEST_DATA!A15939</f>
        <v/>
      </c>
      <c r="B15939">
        <f>TEST_DATA!B15939</f>
        <v/>
      </c>
      <c r="C15939">
        <f>TEST_DATA!C15939</f>
        <v/>
      </c>
      <c r="D15939">
        <f>TEST_DATA!D15939</f>
        <v/>
      </c>
      <c r="E15939">
        <f>TEST_DATA!E15939</f>
        <v/>
      </c>
    </row>
    <row r="15940">
      <c r="A15940">
        <f>TEST_DATA!A15940</f>
        <v/>
      </c>
      <c r="B15940">
        <f>TEST_DATA!B15940</f>
        <v/>
      </c>
      <c r="C15940">
        <f>TEST_DATA!C15940</f>
        <v/>
      </c>
      <c r="D15940">
        <f>TEST_DATA!D15940</f>
        <v/>
      </c>
      <c r="E15940">
        <f>TEST_DATA!E15940</f>
        <v/>
      </c>
    </row>
    <row r="15941">
      <c r="A15941">
        <f>TEST_DATA!A15941</f>
        <v/>
      </c>
      <c r="B15941">
        <f>TEST_DATA!B15941</f>
        <v/>
      </c>
      <c r="C15941">
        <f>TEST_DATA!C15941</f>
        <v/>
      </c>
      <c r="D15941">
        <f>TEST_DATA!D15941</f>
        <v/>
      </c>
      <c r="E15941">
        <f>TEST_DATA!E15941</f>
        <v/>
      </c>
    </row>
    <row r="15942">
      <c r="A15942">
        <f>TEST_DATA!A15942</f>
        <v/>
      </c>
      <c r="B15942">
        <f>TEST_DATA!B15942</f>
        <v/>
      </c>
      <c r="C15942">
        <f>TEST_DATA!C15942</f>
        <v/>
      </c>
      <c r="D15942">
        <f>TEST_DATA!D15942</f>
        <v/>
      </c>
      <c r="E15942">
        <f>TEST_DATA!E15942</f>
        <v/>
      </c>
    </row>
    <row r="15943">
      <c r="A15943">
        <f>TEST_DATA!A15943</f>
        <v/>
      </c>
      <c r="B15943">
        <f>TEST_DATA!B15943</f>
        <v/>
      </c>
      <c r="C15943">
        <f>TEST_DATA!C15943</f>
        <v/>
      </c>
      <c r="D15943">
        <f>TEST_DATA!D15943</f>
        <v/>
      </c>
      <c r="E15943">
        <f>TEST_DATA!E15943</f>
        <v/>
      </c>
    </row>
    <row r="15944">
      <c r="A15944">
        <f>TEST_DATA!A15944</f>
        <v/>
      </c>
      <c r="B15944">
        <f>TEST_DATA!B15944</f>
        <v/>
      </c>
      <c r="C15944">
        <f>TEST_DATA!C15944</f>
        <v/>
      </c>
      <c r="D15944">
        <f>TEST_DATA!D15944</f>
        <v/>
      </c>
      <c r="E15944">
        <f>TEST_DATA!E15944</f>
        <v/>
      </c>
    </row>
    <row r="15945">
      <c r="A15945">
        <f>TEST_DATA!A15945</f>
        <v/>
      </c>
      <c r="B15945">
        <f>TEST_DATA!B15945</f>
        <v/>
      </c>
      <c r="C15945">
        <f>TEST_DATA!C15945</f>
        <v/>
      </c>
      <c r="D15945">
        <f>TEST_DATA!D15945</f>
        <v/>
      </c>
      <c r="E15945">
        <f>TEST_DATA!E15945</f>
        <v/>
      </c>
    </row>
    <row r="15946">
      <c r="A15946">
        <f>TEST_DATA!A15946</f>
        <v/>
      </c>
      <c r="B15946">
        <f>TEST_DATA!B15946</f>
        <v/>
      </c>
      <c r="C15946">
        <f>TEST_DATA!C15946</f>
        <v/>
      </c>
      <c r="D15946">
        <f>TEST_DATA!D15946</f>
        <v/>
      </c>
      <c r="E15946">
        <f>TEST_DATA!E15946</f>
        <v/>
      </c>
    </row>
    <row r="15947">
      <c r="A15947">
        <f>TEST_DATA!A15947</f>
        <v/>
      </c>
      <c r="B15947">
        <f>TEST_DATA!B15947</f>
        <v/>
      </c>
      <c r="C15947">
        <f>TEST_DATA!C15947</f>
        <v/>
      </c>
      <c r="D15947">
        <f>TEST_DATA!D15947</f>
        <v/>
      </c>
      <c r="E15947">
        <f>TEST_DATA!E15947</f>
        <v/>
      </c>
    </row>
    <row r="15948">
      <c r="A15948">
        <f>TEST_DATA!A15948</f>
        <v/>
      </c>
      <c r="B15948">
        <f>TEST_DATA!B15948</f>
        <v/>
      </c>
      <c r="C15948">
        <f>TEST_DATA!C15948</f>
        <v/>
      </c>
      <c r="D15948">
        <f>TEST_DATA!D15948</f>
        <v/>
      </c>
      <c r="E15948">
        <f>TEST_DATA!E15948</f>
        <v/>
      </c>
    </row>
    <row r="15949">
      <c r="A15949">
        <f>TEST_DATA!A15949</f>
        <v/>
      </c>
      <c r="B15949">
        <f>TEST_DATA!B15949</f>
        <v/>
      </c>
      <c r="C15949">
        <f>TEST_DATA!C15949</f>
        <v/>
      </c>
      <c r="D15949">
        <f>TEST_DATA!D15949</f>
        <v/>
      </c>
      <c r="E15949">
        <f>TEST_DATA!E15949</f>
        <v/>
      </c>
    </row>
    <row r="15950">
      <c r="A15950">
        <f>TEST_DATA!A15950</f>
        <v/>
      </c>
      <c r="B15950">
        <f>TEST_DATA!B15950</f>
        <v/>
      </c>
      <c r="C15950">
        <f>TEST_DATA!C15950</f>
        <v/>
      </c>
      <c r="D15950">
        <f>TEST_DATA!D15950</f>
        <v/>
      </c>
      <c r="E15950">
        <f>TEST_DATA!E15950</f>
        <v/>
      </c>
    </row>
    <row r="15951">
      <c r="A15951">
        <f>TEST_DATA!A15951</f>
        <v/>
      </c>
      <c r="B15951">
        <f>TEST_DATA!B15951</f>
        <v/>
      </c>
      <c r="C15951">
        <f>TEST_DATA!C15951</f>
        <v/>
      </c>
      <c r="D15951">
        <f>TEST_DATA!D15951</f>
        <v/>
      </c>
      <c r="E15951">
        <f>TEST_DATA!E15951</f>
        <v/>
      </c>
    </row>
    <row r="15952">
      <c r="A15952">
        <f>TEST_DATA!A15952</f>
        <v/>
      </c>
      <c r="B15952">
        <f>TEST_DATA!B15952</f>
        <v/>
      </c>
      <c r="C15952">
        <f>TEST_DATA!C15952</f>
        <v/>
      </c>
      <c r="D15952">
        <f>TEST_DATA!D15952</f>
        <v/>
      </c>
      <c r="E15952">
        <f>TEST_DATA!E15952</f>
        <v/>
      </c>
    </row>
    <row r="15953">
      <c r="A15953">
        <f>TEST_DATA!A15953</f>
        <v/>
      </c>
      <c r="B15953">
        <f>TEST_DATA!B15953</f>
        <v/>
      </c>
      <c r="C15953">
        <f>TEST_DATA!C15953</f>
        <v/>
      </c>
      <c r="D15953">
        <f>TEST_DATA!D15953</f>
        <v/>
      </c>
      <c r="E15953">
        <f>TEST_DATA!E15953</f>
        <v/>
      </c>
    </row>
    <row r="15954">
      <c r="A15954">
        <f>TEST_DATA!A15954</f>
        <v/>
      </c>
      <c r="B15954">
        <f>TEST_DATA!B15954</f>
        <v/>
      </c>
      <c r="C15954">
        <f>TEST_DATA!C15954</f>
        <v/>
      </c>
      <c r="D15954">
        <f>TEST_DATA!D15954</f>
        <v/>
      </c>
      <c r="E15954">
        <f>TEST_DATA!E15954</f>
        <v/>
      </c>
    </row>
    <row r="15955">
      <c r="A15955">
        <f>TEST_DATA!A15955</f>
        <v/>
      </c>
      <c r="B15955">
        <f>TEST_DATA!B15955</f>
        <v/>
      </c>
      <c r="C15955">
        <f>TEST_DATA!C15955</f>
        <v/>
      </c>
      <c r="D15955">
        <f>TEST_DATA!D15955</f>
        <v/>
      </c>
      <c r="E15955">
        <f>TEST_DATA!E15955</f>
        <v/>
      </c>
    </row>
    <row r="15956">
      <c r="A15956">
        <f>TEST_DATA!A15956</f>
        <v/>
      </c>
      <c r="B15956">
        <f>TEST_DATA!B15956</f>
        <v/>
      </c>
      <c r="C15956">
        <f>TEST_DATA!C15956</f>
        <v/>
      </c>
      <c r="D15956">
        <f>TEST_DATA!D15956</f>
        <v/>
      </c>
      <c r="E15956">
        <f>TEST_DATA!E15956</f>
        <v/>
      </c>
    </row>
    <row r="15957">
      <c r="A15957">
        <f>TEST_DATA!A15957</f>
        <v/>
      </c>
      <c r="B15957">
        <f>TEST_DATA!B15957</f>
        <v/>
      </c>
      <c r="C15957">
        <f>TEST_DATA!C15957</f>
        <v/>
      </c>
      <c r="D15957">
        <f>TEST_DATA!D15957</f>
        <v/>
      </c>
      <c r="E15957">
        <f>TEST_DATA!E15957</f>
        <v/>
      </c>
    </row>
    <row r="15958">
      <c r="A15958">
        <f>TEST_DATA!A15958</f>
        <v/>
      </c>
      <c r="B15958">
        <f>TEST_DATA!B15958</f>
        <v/>
      </c>
      <c r="C15958">
        <f>TEST_DATA!C15958</f>
        <v/>
      </c>
      <c r="D15958">
        <f>TEST_DATA!D15958</f>
        <v/>
      </c>
      <c r="E15958">
        <f>TEST_DATA!E15958</f>
        <v/>
      </c>
    </row>
    <row r="15959">
      <c r="A15959">
        <f>TEST_DATA!A15959</f>
        <v/>
      </c>
      <c r="B15959">
        <f>TEST_DATA!B15959</f>
        <v/>
      </c>
      <c r="C15959">
        <f>TEST_DATA!C15959</f>
        <v/>
      </c>
      <c r="D15959">
        <f>TEST_DATA!D15959</f>
        <v/>
      </c>
      <c r="E15959">
        <f>TEST_DATA!E15959</f>
        <v/>
      </c>
    </row>
    <row r="15960">
      <c r="A15960">
        <f>TEST_DATA!A15960</f>
        <v/>
      </c>
      <c r="B15960">
        <f>TEST_DATA!B15960</f>
        <v/>
      </c>
      <c r="C15960">
        <f>TEST_DATA!C15960</f>
        <v/>
      </c>
      <c r="D15960">
        <f>TEST_DATA!D15960</f>
        <v/>
      </c>
      <c r="E15960">
        <f>TEST_DATA!E15960</f>
        <v/>
      </c>
    </row>
    <row r="15961">
      <c r="A15961">
        <f>TEST_DATA!A15961</f>
        <v/>
      </c>
      <c r="B15961">
        <f>TEST_DATA!B15961</f>
        <v/>
      </c>
      <c r="C15961">
        <f>TEST_DATA!C15961</f>
        <v/>
      </c>
      <c r="D15961">
        <f>TEST_DATA!D15961</f>
        <v/>
      </c>
      <c r="E15961">
        <f>TEST_DATA!E15961</f>
        <v/>
      </c>
    </row>
    <row r="15962">
      <c r="A15962">
        <f>TEST_DATA!A15962</f>
        <v/>
      </c>
      <c r="B15962">
        <f>TEST_DATA!B15962</f>
        <v/>
      </c>
      <c r="C15962">
        <f>TEST_DATA!C15962</f>
        <v/>
      </c>
      <c r="D15962">
        <f>TEST_DATA!D15962</f>
        <v/>
      </c>
      <c r="E15962">
        <f>TEST_DATA!E15962</f>
        <v/>
      </c>
    </row>
    <row r="15963">
      <c r="A15963">
        <f>TEST_DATA!A15963</f>
        <v/>
      </c>
      <c r="B15963">
        <f>TEST_DATA!B15963</f>
        <v/>
      </c>
      <c r="C15963">
        <f>TEST_DATA!C15963</f>
        <v/>
      </c>
      <c r="D15963">
        <f>TEST_DATA!D15963</f>
        <v/>
      </c>
      <c r="E15963">
        <f>TEST_DATA!E15963</f>
        <v/>
      </c>
    </row>
    <row r="15964">
      <c r="A15964">
        <f>TEST_DATA!A15964</f>
        <v/>
      </c>
      <c r="B15964">
        <f>TEST_DATA!B15964</f>
        <v/>
      </c>
      <c r="C15964">
        <f>TEST_DATA!C15964</f>
        <v/>
      </c>
      <c r="D15964">
        <f>TEST_DATA!D15964</f>
        <v/>
      </c>
      <c r="E15964">
        <f>TEST_DATA!E15964</f>
        <v/>
      </c>
    </row>
    <row r="15965">
      <c r="A15965">
        <f>TEST_DATA!A15965</f>
        <v/>
      </c>
      <c r="B15965">
        <f>TEST_DATA!B15965</f>
        <v/>
      </c>
      <c r="C15965">
        <f>TEST_DATA!C15965</f>
        <v/>
      </c>
      <c r="D15965">
        <f>TEST_DATA!D15965</f>
        <v/>
      </c>
      <c r="E15965">
        <f>TEST_DATA!E15965</f>
        <v/>
      </c>
    </row>
    <row r="15966">
      <c r="A15966">
        <f>TEST_DATA!A15966</f>
        <v/>
      </c>
      <c r="B15966">
        <f>TEST_DATA!B15966</f>
        <v/>
      </c>
      <c r="C15966">
        <f>TEST_DATA!C15966</f>
        <v/>
      </c>
      <c r="D15966">
        <f>TEST_DATA!D15966</f>
        <v/>
      </c>
      <c r="E15966">
        <f>TEST_DATA!E15966</f>
        <v/>
      </c>
    </row>
    <row r="15967">
      <c r="A15967">
        <f>TEST_DATA!A15967</f>
        <v/>
      </c>
      <c r="B15967">
        <f>TEST_DATA!B15967</f>
        <v/>
      </c>
      <c r="C15967">
        <f>TEST_DATA!C15967</f>
        <v/>
      </c>
      <c r="D15967">
        <f>TEST_DATA!D15967</f>
        <v/>
      </c>
      <c r="E15967">
        <f>TEST_DATA!E15967</f>
        <v/>
      </c>
    </row>
    <row r="15968">
      <c r="A15968">
        <f>TEST_DATA!A15968</f>
        <v/>
      </c>
      <c r="B15968">
        <f>TEST_DATA!B15968</f>
        <v/>
      </c>
      <c r="C15968">
        <f>TEST_DATA!C15968</f>
        <v/>
      </c>
      <c r="D15968">
        <f>TEST_DATA!D15968</f>
        <v/>
      </c>
      <c r="E15968">
        <f>TEST_DATA!E15968</f>
        <v/>
      </c>
    </row>
    <row r="15969">
      <c r="A15969">
        <f>TEST_DATA!A15969</f>
        <v/>
      </c>
      <c r="B15969">
        <f>TEST_DATA!B15969</f>
        <v/>
      </c>
      <c r="C15969">
        <f>TEST_DATA!C15969</f>
        <v/>
      </c>
      <c r="D15969">
        <f>TEST_DATA!D15969</f>
        <v/>
      </c>
      <c r="E15969">
        <f>TEST_DATA!E15969</f>
        <v/>
      </c>
    </row>
    <row r="15970">
      <c r="A15970">
        <f>TEST_DATA!A15970</f>
        <v/>
      </c>
      <c r="B15970">
        <f>TEST_DATA!B15970</f>
        <v/>
      </c>
      <c r="C15970">
        <f>TEST_DATA!C15970</f>
        <v/>
      </c>
      <c r="D15970">
        <f>TEST_DATA!D15970</f>
        <v/>
      </c>
      <c r="E15970">
        <f>TEST_DATA!E15970</f>
        <v/>
      </c>
    </row>
    <row r="15971">
      <c r="A15971">
        <f>TEST_DATA!A15971</f>
        <v/>
      </c>
      <c r="B15971">
        <f>TEST_DATA!B15971</f>
        <v/>
      </c>
      <c r="C15971">
        <f>TEST_DATA!C15971</f>
        <v/>
      </c>
      <c r="D15971">
        <f>TEST_DATA!D15971</f>
        <v/>
      </c>
      <c r="E15971">
        <f>TEST_DATA!E15971</f>
        <v/>
      </c>
    </row>
    <row r="15972">
      <c r="A15972">
        <f>TEST_DATA!A15972</f>
        <v/>
      </c>
      <c r="B15972">
        <f>TEST_DATA!B15972</f>
        <v/>
      </c>
      <c r="C15972">
        <f>TEST_DATA!C15972</f>
        <v/>
      </c>
      <c r="D15972">
        <f>TEST_DATA!D15972</f>
        <v/>
      </c>
      <c r="E15972">
        <f>TEST_DATA!E15972</f>
        <v/>
      </c>
    </row>
    <row r="15973">
      <c r="A15973">
        <f>TEST_DATA!A15973</f>
        <v/>
      </c>
      <c r="B15973">
        <f>TEST_DATA!B15973</f>
        <v/>
      </c>
      <c r="C15973">
        <f>TEST_DATA!C15973</f>
        <v/>
      </c>
      <c r="D15973">
        <f>TEST_DATA!D15973</f>
        <v/>
      </c>
      <c r="E15973">
        <f>TEST_DATA!E15973</f>
        <v/>
      </c>
    </row>
    <row r="15974">
      <c r="A15974">
        <f>TEST_DATA!A15974</f>
        <v/>
      </c>
      <c r="B15974">
        <f>TEST_DATA!B15974</f>
        <v/>
      </c>
      <c r="C15974">
        <f>TEST_DATA!C15974</f>
        <v/>
      </c>
      <c r="D15974">
        <f>TEST_DATA!D15974</f>
        <v/>
      </c>
      <c r="E15974">
        <f>TEST_DATA!E15974</f>
        <v/>
      </c>
    </row>
    <row r="15975">
      <c r="A15975">
        <f>TEST_DATA!A15975</f>
        <v/>
      </c>
      <c r="B15975">
        <f>TEST_DATA!B15975</f>
        <v/>
      </c>
      <c r="C15975">
        <f>TEST_DATA!C15975</f>
        <v/>
      </c>
      <c r="D15975">
        <f>TEST_DATA!D15975</f>
        <v/>
      </c>
      <c r="E15975">
        <f>TEST_DATA!E15975</f>
        <v/>
      </c>
    </row>
    <row r="15976">
      <c r="A15976">
        <f>TEST_DATA!A15976</f>
        <v/>
      </c>
      <c r="B15976">
        <f>TEST_DATA!B15976</f>
        <v/>
      </c>
      <c r="C15976">
        <f>TEST_DATA!C15976</f>
        <v/>
      </c>
      <c r="D15976">
        <f>TEST_DATA!D15976</f>
        <v/>
      </c>
      <c r="E15976">
        <f>TEST_DATA!E15976</f>
        <v/>
      </c>
    </row>
    <row r="15977">
      <c r="A15977">
        <f>TEST_DATA!A15977</f>
        <v/>
      </c>
      <c r="B15977">
        <f>TEST_DATA!B15977</f>
        <v/>
      </c>
      <c r="C15977">
        <f>TEST_DATA!C15977</f>
        <v/>
      </c>
      <c r="D15977">
        <f>TEST_DATA!D15977</f>
        <v/>
      </c>
      <c r="E15977">
        <f>TEST_DATA!E15977</f>
        <v/>
      </c>
    </row>
    <row r="15978">
      <c r="A15978">
        <f>TEST_DATA!A15978</f>
        <v/>
      </c>
      <c r="B15978">
        <f>TEST_DATA!B15978</f>
        <v/>
      </c>
      <c r="C15978">
        <f>TEST_DATA!C15978</f>
        <v/>
      </c>
      <c r="D15978">
        <f>TEST_DATA!D15978</f>
        <v/>
      </c>
      <c r="E15978">
        <f>TEST_DATA!E15978</f>
        <v/>
      </c>
    </row>
    <row r="15979">
      <c r="A15979">
        <f>TEST_DATA!A15979</f>
        <v/>
      </c>
      <c r="B15979">
        <f>TEST_DATA!B15979</f>
        <v/>
      </c>
      <c r="C15979">
        <f>TEST_DATA!C15979</f>
        <v/>
      </c>
      <c r="D15979">
        <f>TEST_DATA!D15979</f>
        <v/>
      </c>
      <c r="E15979">
        <f>TEST_DATA!E15979</f>
        <v/>
      </c>
    </row>
    <row r="15980">
      <c r="A15980">
        <f>TEST_DATA!A15980</f>
        <v/>
      </c>
      <c r="B15980">
        <f>TEST_DATA!B15980</f>
        <v/>
      </c>
      <c r="C15980">
        <f>TEST_DATA!C15980</f>
        <v/>
      </c>
      <c r="D15980">
        <f>TEST_DATA!D15980</f>
        <v/>
      </c>
      <c r="E15980">
        <f>TEST_DATA!E15980</f>
        <v/>
      </c>
    </row>
    <row r="15981">
      <c r="A15981">
        <f>TEST_DATA!A15981</f>
        <v/>
      </c>
      <c r="B15981">
        <f>TEST_DATA!B15981</f>
        <v/>
      </c>
      <c r="C15981">
        <f>TEST_DATA!C15981</f>
        <v/>
      </c>
      <c r="D15981">
        <f>TEST_DATA!D15981</f>
        <v/>
      </c>
      <c r="E15981">
        <f>TEST_DATA!E15981</f>
        <v/>
      </c>
    </row>
    <row r="15982">
      <c r="A15982">
        <f>TEST_DATA!A15982</f>
        <v/>
      </c>
      <c r="B15982">
        <f>TEST_DATA!B15982</f>
        <v/>
      </c>
      <c r="C15982">
        <f>TEST_DATA!C15982</f>
        <v/>
      </c>
      <c r="D15982">
        <f>TEST_DATA!D15982</f>
        <v/>
      </c>
      <c r="E15982">
        <f>TEST_DATA!E15982</f>
        <v/>
      </c>
    </row>
    <row r="15983">
      <c r="A15983">
        <f>TEST_DATA!A15983</f>
        <v/>
      </c>
      <c r="B15983">
        <f>TEST_DATA!B15983</f>
        <v/>
      </c>
      <c r="C15983">
        <f>TEST_DATA!C15983</f>
        <v/>
      </c>
      <c r="D15983">
        <f>TEST_DATA!D15983</f>
        <v/>
      </c>
      <c r="E15983">
        <f>TEST_DATA!E15983</f>
        <v/>
      </c>
    </row>
    <row r="15984">
      <c r="A15984">
        <f>TEST_DATA!A15984</f>
        <v/>
      </c>
      <c r="B15984">
        <f>TEST_DATA!B15984</f>
        <v/>
      </c>
      <c r="C15984">
        <f>TEST_DATA!C15984</f>
        <v/>
      </c>
      <c r="D15984">
        <f>TEST_DATA!D15984</f>
        <v/>
      </c>
      <c r="E15984">
        <f>TEST_DATA!E15984</f>
        <v/>
      </c>
    </row>
    <row r="15985">
      <c r="A15985">
        <f>TEST_DATA!A15985</f>
        <v/>
      </c>
      <c r="B15985">
        <f>TEST_DATA!B15985</f>
        <v/>
      </c>
      <c r="C15985">
        <f>TEST_DATA!C15985</f>
        <v/>
      </c>
      <c r="D15985">
        <f>TEST_DATA!D15985</f>
        <v/>
      </c>
      <c r="E15985">
        <f>TEST_DATA!E15985</f>
        <v/>
      </c>
    </row>
    <row r="15986">
      <c r="A15986">
        <f>TEST_DATA!A15986</f>
        <v/>
      </c>
      <c r="B15986">
        <f>TEST_DATA!B15986</f>
        <v/>
      </c>
      <c r="C15986">
        <f>TEST_DATA!C15986</f>
        <v/>
      </c>
      <c r="D15986">
        <f>TEST_DATA!D15986</f>
        <v/>
      </c>
      <c r="E15986">
        <f>TEST_DATA!E15986</f>
        <v/>
      </c>
    </row>
    <row r="15987">
      <c r="A15987">
        <f>TEST_DATA!A15987</f>
        <v/>
      </c>
      <c r="B15987">
        <f>TEST_DATA!B15987</f>
        <v/>
      </c>
      <c r="C15987">
        <f>TEST_DATA!C15987</f>
        <v/>
      </c>
      <c r="D15987">
        <f>TEST_DATA!D15987</f>
        <v/>
      </c>
      <c r="E15987">
        <f>TEST_DATA!E15987</f>
        <v/>
      </c>
    </row>
    <row r="15988">
      <c r="A15988">
        <f>TEST_DATA!A15988</f>
        <v/>
      </c>
      <c r="B15988">
        <f>TEST_DATA!B15988</f>
        <v/>
      </c>
      <c r="C15988">
        <f>TEST_DATA!C15988</f>
        <v/>
      </c>
      <c r="D15988">
        <f>TEST_DATA!D15988</f>
        <v/>
      </c>
      <c r="E15988">
        <f>TEST_DATA!E15988</f>
        <v/>
      </c>
    </row>
    <row r="15989">
      <c r="A15989">
        <f>TEST_DATA!A15989</f>
        <v/>
      </c>
      <c r="B15989">
        <f>TEST_DATA!B15989</f>
        <v/>
      </c>
      <c r="C15989">
        <f>TEST_DATA!C15989</f>
        <v/>
      </c>
      <c r="D15989">
        <f>TEST_DATA!D15989</f>
        <v/>
      </c>
      <c r="E15989">
        <f>TEST_DATA!E15989</f>
        <v/>
      </c>
    </row>
    <row r="15990">
      <c r="A15990">
        <f>TEST_DATA!A15990</f>
        <v/>
      </c>
      <c r="B15990">
        <f>TEST_DATA!B15990</f>
        <v/>
      </c>
      <c r="C15990">
        <f>TEST_DATA!C15990</f>
        <v/>
      </c>
      <c r="D15990">
        <f>TEST_DATA!D15990</f>
        <v/>
      </c>
      <c r="E15990">
        <f>TEST_DATA!E15990</f>
        <v/>
      </c>
    </row>
    <row r="15991">
      <c r="A15991">
        <f>TEST_DATA!A15991</f>
        <v/>
      </c>
      <c r="B15991">
        <f>TEST_DATA!B15991</f>
        <v/>
      </c>
      <c r="C15991">
        <f>TEST_DATA!C15991</f>
        <v/>
      </c>
      <c r="D15991">
        <f>TEST_DATA!D15991</f>
        <v/>
      </c>
      <c r="E15991">
        <f>TEST_DATA!E15991</f>
        <v/>
      </c>
    </row>
    <row r="15992">
      <c r="A15992">
        <f>TEST_DATA!A15992</f>
        <v/>
      </c>
      <c r="B15992">
        <f>TEST_DATA!B15992</f>
        <v/>
      </c>
      <c r="C15992">
        <f>TEST_DATA!C15992</f>
        <v/>
      </c>
      <c r="D15992">
        <f>TEST_DATA!D15992</f>
        <v/>
      </c>
      <c r="E15992">
        <f>TEST_DATA!E15992</f>
        <v/>
      </c>
    </row>
    <row r="15993">
      <c r="A15993">
        <f>TEST_DATA!A15993</f>
        <v/>
      </c>
      <c r="B15993">
        <f>TEST_DATA!B15993</f>
        <v/>
      </c>
      <c r="C15993">
        <f>TEST_DATA!C15993</f>
        <v/>
      </c>
      <c r="D15993">
        <f>TEST_DATA!D15993</f>
        <v/>
      </c>
      <c r="E15993">
        <f>TEST_DATA!E15993</f>
        <v/>
      </c>
    </row>
    <row r="15994">
      <c r="A15994">
        <f>TEST_DATA!A15994</f>
        <v/>
      </c>
      <c r="B15994">
        <f>TEST_DATA!B15994</f>
        <v/>
      </c>
      <c r="C15994">
        <f>TEST_DATA!C15994</f>
        <v/>
      </c>
      <c r="D15994">
        <f>TEST_DATA!D15994</f>
        <v/>
      </c>
      <c r="E15994">
        <f>TEST_DATA!E15994</f>
        <v/>
      </c>
    </row>
    <row r="15995">
      <c r="A15995">
        <f>TEST_DATA!A15995</f>
        <v/>
      </c>
      <c r="B15995">
        <f>TEST_DATA!B15995</f>
        <v/>
      </c>
      <c r="C15995">
        <f>TEST_DATA!C15995</f>
        <v/>
      </c>
      <c r="D15995">
        <f>TEST_DATA!D15995</f>
        <v/>
      </c>
      <c r="E15995">
        <f>TEST_DATA!E15995</f>
        <v/>
      </c>
    </row>
    <row r="15996">
      <c r="A15996">
        <f>TEST_DATA!A15996</f>
        <v/>
      </c>
      <c r="B15996">
        <f>TEST_DATA!B15996</f>
        <v/>
      </c>
      <c r="C15996">
        <f>TEST_DATA!C15996</f>
        <v/>
      </c>
      <c r="D15996">
        <f>TEST_DATA!D15996</f>
        <v/>
      </c>
      <c r="E15996">
        <f>TEST_DATA!E15996</f>
        <v/>
      </c>
    </row>
    <row r="15997">
      <c r="A15997">
        <f>TEST_DATA!A15997</f>
        <v/>
      </c>
      <c r="B15997">
        <f>TEST_DATA!B15997</f>
        <v/>
      </c>
      <c r="C15997">
        <f>TEST_DATA!C15997</f>
        <v/>
      </c>
      <c r="D15997">
        <f>TEST_DATA!D15997</f>
        <v/>
      </c>
      <c r="E15997">
        <f>TEST_DATA!E15997</f>
        <v/>
      </c>
    </row>
    <row r="15998">
      <c r="A15998">
        <f>TEST_DATA!A15998</f>
        <v/>
      </c>
      <c r="B15998">
        <f>TEST_DATA!B15998</f>
        <v/>
      </c>
      <c r="C15998">
        <f>TEST_DATA!C15998</f>
        <v/>
      </c>
      <c r="D15998">
        <f>TEST_DATA!D15998</f>
        <v/>
      </c>
      <c r="E15998">
        <f>TEST_DATA!E15998</f>
        <v/>
      </c>
    </row>
    <row r="15999">
      <c r="A15999">
        <f>TEST_DATA!A15999</f>
        <v/>
      </c>
      <c r="B15999">
        <f>TEST_DATA!B15999</f>
        <v/>
      </c>
      <c r="C15999">
        <f>TEST_DATA!C15999</f>
        <v/>
      </c>
      <c r="D15999">
        <f>TEST_DATA!D15999</f>
        <v/>
      </c>
      <c r="E15999">
        <f>TEST_DATA!E15999</f>
        <v/>
      </c>
    </row>
    <row r="16000">
      <c r="A16000">
        <f>TEST_DATA!A16000</f>
        <v/>
      </c>
      <c r="B16000">
        <f>TEST_DATA!B16000</f>
        <v/>
      </c>
      <c r="C16000">
        <f>TEST_DATA!C16000</f>
        <v/>
      </c>
      <c r="D16000">
        <f>TEST_DATA!D16000</f>
        <v/>
      </c>
      <c r="E16000">
        <f>TEST_DATA!E16000</f>
        <v/>
      </c>
    </row>
    <row r="16001">
      <c r="A16001">
        <f>TEST_DATA!A16001</f>
        <v/>
      </c>
      <c r="B16001">
        <f>TEST_DATA!B16001</f>
        <v/>
      </c>
      <c r="C16001">
        <f>TEST_DATA!C16001</f>
        <v/>
      </c>
      <c r="D16001">
        <f>TEST_DATA!D16001</f>
        <v/>
      </c>
      <c r="E16001">
        <f>TEST_DATA!E16001</f>
        <v/>
      </c>
    </row>
    <row r="16002">
      <c r="A16002">
        <f>TEST_DATA!A16002</f>
        <v/>
      </c>
      <c r="B16002">
        <f>TEST_DATA!B16002</f>
        <v/>
      </c>
      <c r="C16002">
        <f>TEST_DATA!C16002</f>
        <v/>
      </c>
      <c r="D16002">
        <f>TEST_DATA!D16002</f>
        <v/>
      </c>
      <c r="E16002">
        <f>TEST_DATA!E16002</f>
        <v/>
      </c>
    </row>
    <row r="16003">
      <c r="A16003">
        <f>TEST_DATA!A16003</f>
        <v/>
      </c>
      <c r="B16003">
        <f>TEST_DATA!B16003</f>
        <v/>
      </c>
      <c r="C16003">
        <f>TEST_DATA!C16003</f>
        <v/>
      </c>
      <c r="D16003">
        <f>TEST_DATA!D16003</f>
        <v/>
      </c>
      <c r="E16003">
        <f>TEST_DATA!E16003</f>
        <v/>
      </c>
    </row>
    <row r="16004">
      <c r="A16004">
        <f>TEST_DATA!A16004</f>
        <v/>
      </c>
      <c r="B16004">
        <f>TEST_DATA!B16004</f>
        <v/>
      </c>
      <c r="C16004">
        <f>TEST_DATA!C16004</f>
        <v/>
      </c>
      <c r="D16004">
        <f>TEST_DATA!D16004</f>
        <v/>
      </c>
      <c r="E16004">
        <f>TEST_DATA!E16004</f>
        <v/>
      </c>
    </row>
    <row r="16005">
      <c r="A16005">
        <f>TEST_DATA!A16005</f>
        <v/>
      </c>
      <c r="B16005">
        <f>TEST_DATA!B16005</f>
        <v/>
      </c>
      <c r="C16005">
        <f>TEST_DATA!C16005</f>
        <v/>
      </c>
      <c r="D16005">
        <f>TEST_DATA!D16005</f>
        <v/>
      </c>
      <c r="E16005">
        <f>TEST_DATA!E16005</f>
        <v/>
      </c>
    </row>
    <row r="16006">
      <c r="A16006">
        <f>TEST_DATA!A16006</f>
        <v/>
      </c>
      <c r="B16006">
        <f>TEST_DATA!B16006</f>
        <v/>
      </c>
      <c r="C16006">
        <f>TEST_DATA!C16006</f>
        <v/>
      </c>
      <c r="D16006">
        <f>TEST_DATA!D16006</f>
        <v/>
      </c>
      <c r="E16006">
        <f>TEST_DATA!E16006</f>
        <v/>
      </c>
    </row>
    <row r="16007">
      <c r="A16007">
        <f>TEST_DATA!A16007</f>
        <v/>
      </c>
      <c r="B16007">
        <f>TEST_DATA!B16007</f>
        <v/>
      </c>
      <c r="C16007">
        <f>TEST_DATA!C16007</f>
        <v/>
      </c>
      <c r="D16007">
        <f>TEST_DATA!D16007</f>
        <v/>
      </c>
      <c r="E16007">
        <f>TEST_DATA!E16007</f>
        <v/>
      </c>
    </row>
    <row r="16008">
      <c r="A16008">
        <f>TEST_DATA!A16008</f>
        <v/>
      </c>
      <c r="B16008">
        <f>TEST_DATA!B16008</f>
        <v/>
      </c>
      <c r="C16008">
        <f>TEST_DATA!C16008</f>
        <v/>
      </c>
      <c r="D16008">
        <f>TEST_DATA!D16008</f>
        <v/>
      </c>
      <c r="E16008">
        <f>TEST_DATA!E16008</f>
        <v/>
      </c>
    </row>
    <row r="16009">
      <c r="A16009">
        <f>TEST_DATA!A16009</f>
        <v/>
      </c>
      <c r="B16009">
        <f>TEST_DATA!B16009</f>
        <v/>
      </c>
      <c r="C16009">
        <f>TEST_DATA!C16009</f>
        <v/>
      </c>
      <c r="D16009">
        <f>TEST_DATA!D16009</f>
        <v/>
      </c>
      <c r="E16009">
        <f>TEST_DATA!E16009</f>
        <v/>
      </c>
    </row>
    <row r="16010">
      <c r="A16010">
        <f>TEST_DATA!A16010</f>
        <v/>
      </c>
      <c r="B16010">
        <f>TEST_DATA!B16010</f>
        <v/>
      </c>
      <c r="C16010">
        <f>TEST_DATA!C16010</f>
        <v/>
      </c>
      <c r="D16010">
        <f>TEST_DATA!D16010</f>
        <v/>
      </c>
      <c r="E16010">
        <f>TEST_DATA!E16010</f>
        <v/>
      </c>
    </row>
    <row r="16011">
      <c r="A16011">
        <f>TEST_DATA!A16011</f>
        <v/>
      </c>
      <c r="B16011">
        <f>TEST_DATA!B16011</f>
        <v/>
      </c>
      <c r="C16011">
        <f>TEST_DATA!C16011</f>
        <v/>
      </c>
      <c r="D16011">
        <f>TEST_DATA!D16011</f>
        <v/>
      </c>
      <c r="E16011">
        <f>TEST_DATA!E16011</f>
        <v/>
      </c>
    </row>
    <row r="16012">
      <c r="A16012">
        <f>TEST_DATA!A16012</f>
        <v/>
      </c>
      <c r="B16012">
        <f>TEST_DATA!B16012</f>
        <v/>
      </c>
      <c r="C16012">
        <f>TEST_DATA!C16012</f>
        <v/>
      </c>
      <c r="D16012">
        <f>TEST_DATA!D16012</f>
        <v/>
      </c>
      <c r="E16012">
        <f>TEST_DATA!E16012</f>
        <v/>
      </c>
    </row>
    <row r="16013">
      <c r="A16013">
        <f>TEST_DATA!A16013</f>
        <v/>
      </c>
      <c r="B16013">
        <f>TEST_DATA!B16013</f>
        <v/>
      </c>
      <c r="C16013">
        <f>TEST_DATA!C16013</f>
        <v/>
      </c>
      <c r="D16013">
        <f>TEST_DATA!D16013</f>
        <v/>
      </c>
      <c r="E16013">
        <f>TEST_DATA!E16013</f>
        <v/>
      </c>
    </row>
    <row r="16014">
      <c r="A16014">
        <f>TEST_DATA!A16014</f>
        <v/>
      </c>
      <c r="B16014">
        <f>TEST_DATA!B16014</f>
        <v/>
      </c>
      <c r="C16014">
        <f>TEST_DATA!C16014</f>
        <v/>
      </c>
      <c r="D16014">
        <f>TEST_DATA!D16014</f>
        <v/>
      </c>
      <c r="E16014">
        <f>TEST_DATA!E16014</f>
        <v/>
      </c>
    </row>
    <row r="16015">
      <c r="A16015">
        <f>TEST_DATA!A16015</f>
        <v/>
      </c>
      <c r="B16015">
        <f>TEST_DATA!B16015</f>
        <v/>
      </c>
      <c r="C16015">
        <f>TEST_DATA!C16015</f>
        <v/>
      </c>
      <c r="D16015">
        <f>TEST_DATA!D16015</f>
        <v/>
      </c>
      <c r="E16015">
        <f>TEST_DATA!E16015</f>
        <v/>
      </c>
    </row>
    <row r="16016">
      <c r="A16016">
        <f>TEST_DATA!A16016</f>
        <v/>
      </c>
      <c r="B16016">
        <f>TEST_DATA!B16016</f>
        <v/>
      </c>
      <c r="C16016">
        <f>TEST_DATA!C16016</f>
        <v/>
      </c>
      <c r="D16016">
        <f>TEST_DATA!D16016</f>
        <v/>
      </c>
      <c r="E16016">
        <f>TEST_DATA!E16016</f>
        <v/>
      </c>
    </row>
    <row r="16017">
      <c r="A16017">
        <f>TEST_DATA!A16017</f>
        <v/>
      </c>
      <c r="B16017">
        <f>TEST_DATA!B16017</f>
        <v/>
      </c>
      <c r="C16017">
        <f>TEST_DATA!C16017</f>
        <v/>
      </c>
      <c r="D16017">
        <f>TEST_DATA!D16017</f>
        <v/>
      </c>
      <c r="E16017">
        <f>TEST_DATA!E16017</f>
        <v/>
      </c>
    </row>
    <row r="16018">
      <c r="A16018">
        <f>TEST_DATA!A16018</f>
        <v/>
      </c>
      <c r="B16018">
        <f>TEST_DATA!B16018</f>
        <v/>
      </c>
      <c r="C16018">
        <f>TEST_DATA!C16018</f>
        <v/>
      </c>
      <c r="D16018">
        <f>TEST_DATA!D16018</f>
        <v/>
      </c>
      <c r="E16018">
        <f>TEST_DATA!E16018</f>
        <v/>
      </c>
    </row>
    <row r="16019">
      <c r="A16019">
        <f>TEST_DATA!A16019</f>
        <v/>
      </c>
      <c r="B16019">
        <f>TEST_DATA!B16019</f>
        <v/>
      </c>
      <c r="C16019">
        <f>TEST_DATA!C16019</f>
        <v/>
      </c>
      <c r="D16019">
        <f>TEST_DATA!D16019</f>
        <v/>
      </c>
      <c r="E16019">
        <f>TEST_DATA!E16019</f>
        <v/>
      </c>
    </row>
    <row r="16020">
      <c r="A16020">
        <f>TEST_DATA!A16020</f>
        <v/>
      </c>
      <c r="B16020">
        <f>TEST_DATA!B16020</f>
        <v/>
      </c>
      <c r="C16020">
        <f>TEST_DATA!C16020</f>
        <v/>
      </c>
      <c r="D16020">
        <f>TEST_DATA!D16020</f>
        <v/>
      </c>
      <c r="E16020">
        <f>TEST_DATA!E16020</f>
        <v/>
      </c>
    </row>
    <row r="16021">
      <c r="A16021">
        <f>TEST_DATA!A16021</f>
        <v/>
      </c>
      <c r="B16021">
        <f>TEST_DATA!B16021</f>
        <v/>
      </c>
      <c r="C16021">
        <f>TEST_DATA!C16021</f>
        <v/>
      </c>
      <c r="D16021">
        <f>TEST_DATA!D16021</f>
        <v/>
      </c>
      <c r="E16021">
        <f>TEST_DATA!E16021</f>
        <v/>
      </c>
    </row>
    <row r="16022">
      <c r="A16022">
        <f>TEST_DATA!A16022</f>
        <v/>
      </c>
      <c r="B16022">
        <f>TEST_DATA!B16022</f>
        <v/>
      </c>
      <c r="C16022">
        <f>TEST_DATA!C16022</f>
        <v/>
      </c>
      <c r="D16022">
        <f>TEST_DATA!D16022</f>
        <v/>
      </c>
      <c r="E16022">
        <f>TEST_DATA!E16022</f>
        <v/>
      </c>
    </row>
    <row r="16023">
      <c r="A16023">
        <f>TEST_DATA!A16023</f>
        <v/>
      </c>
      <c r="B16023">
        <f>TEST_DATA!B16023</f>
        <v/>
      </c>
      <c r="C16023">
        <f>TEST_DATA!C16023</f>
        <v/>
      </c>
      <c r="D16023">
        <f>TEST_DATA!D16023</f>
        <v/>
      </c>
      <c r="E16023">
        <f>TEST_DATA!E16023</f>
        <v/>
      </c>
    </row>
    <row r="16024">
      <c r="A16024">
        <f>TEST_DATA!A16024</f>
        <v/>
      </c>
      <c r="B16024">
        <f>TEST_DATA!B16024</f>
        <v/>
      </c>
      <c r="C16024">
        <f>TEST_DATA!C16024</f>
        <v/>
      </c>
      <c r="D16024">
        <f>TEST_DATA!D16024</f>
        <v/>
      </c>
      <c r="E16024">
        <f>TEST_DATA!E16024</f>
        <v/>
      </c>
    </row>
    <row r="16025">
      <c r="A16025">
        <f>TEST_DATA!A16025</f>
        <v/>
      </c>
      <c r="B16025">
        <f>TEST_DATA!B16025</f>
        <v/>
      </c>
      <c r="C16025">
        <f>TEST_DATA!C16025</f>
        <v/>
      </c>
      <c r="D16025">
        <f>TEST_DATA!D16025</f>
        <v/>
      </c>
      <c r="E16025">
        <f>TEST_DATA!E16025</f>
        <v/>
      </c>
    </row>
    <row r="16026">
      <c r="A16026">
        <f>TEST_DATA!A16026</f>
        <v/>
      </c>
      <c r="B16026">
        <f>TEST_DATA!B16026</f>
        <v/>
      </c>
      <c r="C16026">
        <f>TEST_DATA!C16026</f>
        <v/>
      </c>
      <c r="D16026">
        <f>TEST_DATA!D16026</f>
        <v/>
      </c>
      <c r="E16026">
        <f>TEST_DATA!E16026</f>
        <v/>
      </c>
    </row>
    <row r="16027">
      <c r="A16027">
        <f>TEST_DATA!A16027</f>
        <v/>
      </c>
      <c r="B16027">
        <f>TEST_DATA!B16027</f>
        <v/>
      </c>
      <c r="C16027">
        <f>TEST_DATA!C16027</f>
        <v/>
      </c>
      <c r="D16027">
        <f>TEST_DATA!D16027</f>
        <v/>
      </c>
      <c r="E16027">
        <f>TEST_DATA!E16027</f>
        <v/>
      </c>
    </row>
    <row r="16028">
      <c r="A16028">
        <f>TEST_DATA!A16028</f>
        <v/>
      </c>
      <c r="B16028">
        <f>TEST_DATA!B16028</f>
        <v/>
      </c>
      <c r="C16028">
        <f>TEST_DATA!C16028</f>
        <v/>
      </c>
      <c r="D16028">
        <f>TEST_DATA!D16028</f>
        <v/>
      </c>
      <c r="E16028">
        <f>TEST_DATA!E16028</f>
        <v/>
      </c>
    </row>
    <row r="16029">
      <c r="A16029">
        <f>TEST_DATA!A16029</f>
        <v/>
      </c>
      <c r="B16029">
        <f>TEST_DATA!B16029</f>
        <v/>
      </c>
      <c r="C16029">
        <f>TEST_DATA!C16029</f>
        <v/>
      </c>
      <c r="D16029">
        <f>TEST_DATA!D16029</f>
        <v/>
      </c>
      <c r="E16029">
        <f>TEST_DATA!E16029</f>
        <v/>
      </c>
    </row>
    <row r="16030">
      <c r="A16030">
        <f>TEST_DATA!A16030</f>
        <v/>
      </c>
      <c r="B16030">
        <f>TEST_DATA!B16030</f>
        <v/>
      </c>
      <c r="C16030">
        <f>TEST_DATA!C16030</f>
        <v/>
      </c>
      <c r="D16030">
        <f>TEST_DATA!D16030</f>
        <v/>
      </c>
      <c r="E16030">
        <f>TEST_DATA!E16030</f>
        <v/>
      </c>
    </row>
    <row r="16031">
      <c r="A16031">
        <f>TEST_DATA!A16031</f>
        <v/>
      </c>
      <c r="B16031">
        <f>TEST_DATA!B16031</f>
        <v/>
      </c>
      <c r="C16031">
        <f>TEST_DATA!C16031</f>
        <v/>
      </c>
      <c r="D16031">
        <f>TEST_DATA!D16031</f>
        <v/>
      </c>
      <c r="E16031">
        <f>TEST_DATA!E16031</f>
        <v/>
      </c>
    </row>
    <row r="16032">
      <c r="A16032">
        <f>TEST_DATA!A16032</f>
        <v/>
      </c>
      <c r="B16032">
        <f>TEST_DATA!B16032</f>
        <v/>
      </c>
      <c r="C16032">
        <f>TEST_DATA!C16032</f>
        <v/>
      </c>
      <c r="D16032">
        <f>TEST_DATA!D16032</f>
        <v/>
      </c>
      <c r="E16032">
        <f>TEST_DATA!E16032</f>
        <v/>
      </c>
    </row>
    <row r="16033">
      <c r="A16033">
        <f>TEST_DATA!A16033</f>
        <v/>
      </c>
      <c r="B16033">
        <f>TEST_DATA!B16033</f>
        <v/>
      </c>
      <c r="C16033">
        <f>TEST_DATA!C16033</f>
        <v/>
      </c>
      <c r="D16033">
        <f>TEST_DATA!D16033</f>
        <v/>
      </c>
      <c r="E16033">
        <f>TEST_DATA!E16033</f>
        <v/>
      </c>
    </row>
    <row r="16034">
      <c r="A16034">
        <f>TEST_DATA!A16034</f>
        <v/>
      </c>
      <c r="B16034">
        <f>TEST_DATA!B16034</f>
        <v/>
      </c>
      <c r="C16034">
        <f>TEST_DATA!C16034</f>
        <v/>
      </c>
      <c r="D16034">
        <f>TEST_DATA!D16034</f>
        <v/>
      </c>
      <c r="E16034">
        <f>TEST_DATA!E16034</f>
        <v/>
      </c>
    </row>
    <row r="16035">
      <c r="A16035">
        <f>TEST_DATA!A16035</f>
        <v/>
      </c>
      <c r="B16035">
        <f>TEST_DATA!B16035</f>
        <v/>
      </c>
      <c r="C16035">
        <f>TEST_DATA!C16035</f>
        <v/>
      </c>
      <c r="D16035">
        <f>TEST_DATA!D16035</f>
        <v/>
      </c>
      <c r="E16035">
        <f>TEST_DATA!E16035</f>
        <v/>
      </c>
    </row>
    <row r="16036">
      <c r="A16036">
        <f>TEST_DATA!A16036</f>
        <v/>
      </c>
      <c r="B16036">
        <f>TEST_DATA!B16036</f>
        <v/>
      </c>
      <c r="C16036">
        <f>TEST_DATA!C16036</f>
        <v/>
      </c>
      <c r="D16036">
        <f>TEST_DATA!D16036</f>
        <v/>
      </c>
      <c r="E16036">
        <f>TEST_DATA!E16036</f>
        <v/>
      </c>
    </row>
    <row r="16037">
      <c r="A16037">
        <f>TEST_DATA!A16037</f>
        <v/>
      </c>
      <c r="B16037">
        <f>TEST_DATA!B16037</f>
        <v/>
      </c>
      <c r="C16037">
        <f>TEST_DATA!C16037</f>
        <v/>
      </c>
      <c r="D16037">
        <f>TEST_DATA!D16037</f>
        <v/>
      </c>
      <c r="E16037">
        <f>TEST_DATA!E16037</f>
        <v/>
      </c>
    </row>
    <row r="16038">
      <c r="A16038">
        <f>TEST_DATA!A16038</f>
        <v/>
      </c>
      <c r="B16038">
        <f>TEST_DATA!B16038</f>
        <v/>
      </c>
      <c r="C16038">
        <f>TEST_DATA!C16038</f>
        <v/>
      </c>
      <c r="D16038">
        <f>TEST_DATA!D16038</f>
        <v/>
      </c>
      <c r="E16038">
        <f>TEST_DATA!E16038</f>
        <v/>
      </c>
    </row>
    <row r="16039">
      <c r="A16039">
        <f>TEST_DATA!A16039</f>
        <v/>
      </c>
      <c r="B16039">
        <f>TEST_DATA!B16039</f>
        <v/>
      </c>
      <c r="C16039">
        <f>TEST_DATA!C16039</f>
        <v/>
      </c>
      <c r="D16039">
        <f>TEST_DATA!D16039</f>
        <v/>
      </c>
      <c r="E16039">
        <f>TEST_DATA!E16039</f>
        <v/>
      </c>
    </row>
    <row r="16040">
      <c r="A16040">
        <f>TEST_DATA!A16040</f>
        <v/>
      </c>
      <c r="B16040">
        <f>TEST_DATA!B16040</f>
        <v/>
      </c>
      <c r="C16040">
        <f>TEST_DATA!C16040</f>
        <v/>
      </c>
      <c r="D16040">
        <f>TEST_DATA!D16040</f>
        <v/>
      </c>
      <c r="E16040">
        <f>TEST_DATA!E16040</f>
        <v/>
      </c>
    </row>
    <row r="16041">
      <c r="A16041">
        <f>TEST_DATA!A16041</f>
        <v/>
      </c>
      <c r="B16041">
        <f>TEST_DATA!B16041</f>
        <v/>
      </c>
      <c r="C16041">
        <f>TEST_DATA!C16041</f>
        <v/>
      </c>
      <c r="D16041">
        <f>TEST_DATA!D16041</f>
        <v/>
      </c>
      <c r="E16041">
        <f>TEST_DATA!E16041</f>
        <v/>
      </c>
    </row>
    <row r="16042">
      <c r="A16042">
        <f>TEST_DATA!A16042</f>
        <v/>
      </c>
      <c r="B16042">
        <f>TEST_DATA!B16042</f>
        <v/>
      </c>
      <c r="C16042">
        <f>TEST_DATA!C16042</f>
        <v/>
      </c>
      <c r="D16042">
        <f>TEST_DATA!D16042</f>
        <v/>
      </c>
      <c r="E16042">
        <f>TEST_DATA!E16042</f>
        <v/>
      </c>
    </row>
    <row r="16043">
      <c r="A16043">
        <f>TEST_DATA!A16043</f>
        <v/>
      </c>
      <c r="B16043">
        <f>TEST_DATA!B16043</f>
        <v/>
      </c>
      <c r="C16043">
        <f>TEST_DATA!C16043</f>
        <v/>
      </c>
      <c r="D16043">
        <f>TEST_DATA!D16043</f>
        <v/>
      </c>
      <c r="E16043">
        <f>TEST_DATA!E16043</f>
        <v/>
      </c>
    </row>
    <row r="16044">
      <c r="A16044">
        <f>TEST_DATA!A16044</f>
        <v/>
      </c>
      <c r="B16044">
        <f>TEST_DATA!B16044</f>
        <v/>
      </c>
      <c r="C16044">
        <f>TEST_DATA!C16044</f>
        <v/>
      </c>
      <c r="D16044">
        <f>TEST_DATA!D16044</f>
        <v/>
      </c>
      <c r="E16044">
        <f>TEST_DATA!E16044</f>
        <v/>
      </c>
    </row>
    <row r="16045">
      <c r="A16045">
        <f>TEST_DATA!A16045</f>
        <v/>
      </c>
      <c r="B16045">
        <f>TEST_DATA!B16045</f>
        <v/>
      </c>
      <c r="C16045">
        <f>TEST_DATA!C16045</f>
        <v/>
      </c>
      <c r="D16045">
        <f>TEST_DATA!D16045</f>
        <v/>
      </c>
      <c r="E16045">
        <f>TEST_DATA!E16045</f>
        <v/>
      </c>
    </row>
    <row r="16046">
      <c r="A16046">
        <f>TEST_DATA!A16046</f>
        <v/>
      </c>
      <c r="B16046">
        <f>TEST_DATA!B16046</f>
        <v/>
      </c>
      <c r="C16046">
        <f>TEST_DATA!C16046</f>
        <v/>
      </c>
      <c r="D16046">
        <f>TEST_DATA!D16046</f>
        <v/>
      </c>
      <c r="E16046">
        <f>TEST_DATA!E16046</f>
        <v/>
      </c>
    </row>
    <row r="16047">
      <c r="A16047">
        <f>TEST_DATA!A16047</f>
        <v/>
      </c>
      <c r="B16047">
        <f>TEST_DATA!B16047</f>
        <v/>
      </c>
      <c r="C16047">
        <f>TEST_DATA!C16047</f>
        <v/>
      </c>
      <c r="D16047">
        <f>TEST_DATA!D16047</f>
        <v/>
      </c>
      <c r="E16047">
        <f>TEST_DATA!E16047</f>
        <v/>
      </c>
    </row>
    <row r="16048">
      <c r="A16048">
        <f>TEST_DATA!A16048</f>
        <v/>
      </c>
      <c r="B16048">
        <f>TEST_DATA!B16048</f>
        <v/>
      </c>
      <c r="C16048">
        <f>TEST_DATA!C16048</f>
        <v/>
      </c>
      <c r="D16048">
        <f>TEST_DATA!D16048</f>
        <v/>
      </c>
      <c r="E16048">
        <f>TEST_DATA!E16048</f>
        <v/>
      </c>
    </row>
    <row r="16049">
      <c r="A16049">
        <f>TEST_DATA!A16049</f>
        <v/>
      </c>
      <c r="B16049">
        <f>TEST_DATA!B16049</f>
        <v/>
      </c>
      <c r="C16049">
        <f>TEST_DATA!C16049</f>
        <v/>
      </c>
      <c r="D16049">
        <f>TEST_DATA!D16049</f>
        <v/>
      </c>
      <c r="E16049">
        <f>TEST_DATA!E16049</f>
        <v/>
      </c>
    </row>
    <row r="16050">
      <c r="A16050">
        <f>TEST_DATA!A16050</f>
        <v/>
      </c>
      <c r="B16050">
        <f>TEST_DATA!B16050</f>
        <v/>
      </c>
      <c r="C16050">
        <f>TEST_DATA!C16050</f>
        <v/>
      </c>
      <c r="D16050">
        <f>TEST_DATA!D16050</f>
        <v/>
      </c>
      <c r="E16050">
        <f>TEST_DATA!E16050</f>
        <v/>
      </c>
    </row>
    <row r="16051">
      <c r="A16051">
        <f>TEST_DATA!A16051</f>
        <v/>
      </c>
      <c r="B16051">
        <f>TEST_DATA!B16051</f>
        <v/>
      </c>
      <c r="C16051">
        <f>TEST_DATA!C16051</f>
        <v/>
      </c>
      <c r="D16051">
        <f>TEST_DATA!D16051</f>
        <v/>
      </c>
      <c r="E16051">
        <f>TEST_DATA!E16051</f>
        <v/>
      </c>
    </row>
    <row r="16052">
      <c r="A16052">
        <f>TEST_DATA!A16052</f>
        <v/>
      </c>
      <c r="B16052">
        <f>TEST_DATA!B16052</f>
        <v/>
      </c>
      <c r="C16052">
        <f>TEST_DATA!C16052</f>
        <v/>
      </c>
      <c r="D16052">
        <f>TEST_DATA!D16052</f>
        <v/>
      </c>
      <c r="E16052">
        <f>TEST_DATA!E16052</f>
        <v/>
      </c>
    </row>
    <row r="16053">
      <c r="A16053">
        <f>TEST_DATA!A16053</f>
        <v/>
      </c>
      <c r="B16053">
        <f>TEST_DATA!B16053</f>
        <v/>
      </c>
      <c r="C16053">
        <f>TEST_DATA!C16053</f>
        <v/>
      </c>
      <c r="D16053">
        <f>TEST_DATA!D16053</f>
        <v/>
      </c>
      <c r="E16053">
        <f>TEST_DATA!E16053</f>
        <v/>
      </c>
    </row>
    <row r="16054">
      <c r="A16054">
        <f>TEST_DATA!A16054</f>
        <v/>
      </c>
      <c r="B16054">
        <f>TEST_DATA!B16054</f>
        <v/>
      </c>
      <c r="C16054">
        <f>TEST_DATA!C16054</f>
        <v/>
      </c>
      <c r="D16054">
        <f>TEST_DATA!D16054</f>
        <v/>
      </c>
      <c r="E16054">
        <f>TEST_DATA!E16054</f>
        <v/>
      </c>
    </row>
    <row r="16055">
      <c r="A16055">
        <f>TEST_DATA!A16055</f>
        <v/>
      </c>
      <c r="B16055">
        <f>TEST_DATA!B16055</f>
        <v/>
      </c>
      <c r="C16055">
        <f>TEST_DATA!C16055</f>
        <v/>
      </c>
      <c r="D16055">
        <f>TEST_DATA!D16055</f>
        <v/>
      </c>
      <c r="E16055">
        <f>TEST_DATA!E16055</f>
        <v/>
      </c>
    </row>
    <row r="16056">
      <c r="A16056">
        <f>TEST_DATA!A16056</f>
        <v/>
      </c>
      <c r="B16056">
        <f>TEST_DATA!B16056</f>
        <v/>
      </c>
      <c r="C16056">
        <f>TEST_DATA!C16056</f>
        <v/>
      </c>
      <c r="D16056">
        <f>TEST_DATA!D16056</f>
        <v/>
      </c>
      <c r="E16056">
        <f>TEST_DATA!E16056</f>
        <v/>
      </c>
    </row>
    <row r="16057">
      <c r="A16057">
        <f>TEST_DATA!A16057</f>
        <v/>
      </c>
      <c r="B16057">
        <f>TEST_DATA!B16057</f>
        <v/>
      </c>
      <c r="C16057">
        <f>TEST_DATA!C16057</f>
        <v/>
      </c>
      <c r="D16057">
        <f>TEST_DATA!D16057</f>
        <v/>
      </c>
      <c r="E16057">
        <f>TEST_DATA!E16057</f>
        <v/>
      </c>
    </row>
    <row r="16058">
      <c r="A16058">
        <f>TEST_DATA!A16058</f>
        <v/>
      </c>
      <c r="B16058">
        <f>TEST_DATA!B16058</f>
        <v/>
      </c>
      <c r="C16058">
        <f>TEST_DATA!C16058</f>
        <v/>
      </c>
      <c r="D16058">
        <f>TEST_DATA!D16058</f>
        <v/>
      </c>
      <c r="E16058">
        <f>TEST_DATA!E16058</f>
        <v/>
      </c>
    </row>
    <row r="16059">
      <c r="A16059">
        <f>TEST_DATA!A16059</f>
        <v/>
      </c>
      <c r="B16059">
        <f>TEST_DATA!B16059</f>
        <v/>
      </c>
      <c r="C16059">
        <f>TEST_DATA!C16059</f>
        <v/>
      </c>
      <c r="D16059">
        <f>TEST_DATA!D16059</f>
        <v/>
      </c>
      <c r="E16059">
        <f>TEST_DATA!E16059</f>
        <v/>
      </c>
    </row>
    <row r="16060">
      <c r="A16060">
        <f>TEST_DATA!A16060</f>
        <v/>
      </c>
      <c r="B16060">
        <f>TEST_DATA!B16060</f>
        <v/>
      </c>
      <c r="C16060">
        <f>TEST_DATA!C16060</f>
        <v/>
      </c>
      <c r="D16060">
        <f>TEST_DATA!D16060</f>
        <v/>
      </c>
      <c r="E16060">
        <f>TEST_DATA!E16060</f>
        <v/>
      </c>
    </row>
    <row r="16061">
      <c r="A16061">
        <f>TEST_DATA!A16061</f>
        <v/>
      </c>
      <c r="B16061">
        <f>TEST_DATA!B16061</f>
        <v/>
      </c>
      <c r="C16061">
        <f>TEST_DATA!C16061</f>
        <v/>
      </c>
      <c r="D16061">
        <f>TEST_DATA!D16061</f>
        <v/>
      </c>
      <c r="E16061">
        <f>TEST_DATA!E16061</f>
        <v/>
      </c>
    </row>
    <row r="16062">
      <c r="A16062">
        <f>TEST_DATA!A16062</f>
        <v/>
      </c>
      <c r="B16062">
        <f>TEST_DATA!B16062</f>
        <v/>
      </c>
      <c r="C16062">
        <f>TEST_DATA!C16062</f>
        <v/>
      </c>
      <c r="D16062">
        <f>TEST_DATA!D16062</f>
        <v/>
      </c>
      <c r="E16062">
        <f>TEST_DATA!E16062</f>
        <v/>
      </c>
    </row>
    <row r="16063">
      <c r="A16063">
        <f>TEST_DATA!A16063</f>
        <v/>
      </c>
      <c r="B16063">
        <f>TEST_DATA!B16063</f>
        <v/>
      </c>
      <c r="C16063">
        <f>TEST_DATA!C16063</f>
        <v/>
      </c>
      <c r="D16063">
        <f>TEST_DATA!D16063</f>
        <v/>
      </c>
      <c r="E16063">
        <f>TEST_DATA!E16063</f>
        <v/>
      </c>
    </row>
    <row r="16064">
      <c r="A16064">
        <f>TEST_DATA!A16064</f>
        <v/>
      </c>
      <c r="B16064">
        <f>TEST_DATA!B16064</f>
        <v/>
      </c>
      <c r="C16064">
        <f>TEST_DATA!C16064</f>
        <v/>
      </c>
      <c r="D16064">
        <f>TEST_DATA!D16064</f>
        <v/>
      </c>
      <c r="E16064">
        <f>TEST_DATA!E16064</f>
        <v/>
      </c>
    </row>
    <row r="16065">
      <c r="A16065">
        <f>TEST_DATA!A16065</f>
        <v/>
      </c>
      <c r="B16065">
        <f>TEST_DATA!B16065</f>
        <v/>
      </c>
      <c r="C16065">
        <f>TEST_DATA!C16065</f>
        <v/>
      </c>
      <c r="D16065">
        <f>TEST_DATA!D16065</f>
        <v/>
      </c>
      <c r="E16065">
        <f>TEST_DATA!E16065</f>
        <v/>
      </c>
    </row>
    <row r="16066">
      <c r="A16066">
        <f>TEST_DATA!A16066</f>
        <v/>
      </c>
      <c r="B16066">
        <f>TEST_DATA!B16066</f>
        <v/>
      </c>
      <c r="C16066">
        <f>TEST_DATA!C16066</f>
        <v/>
      </c>
      <c r="D16066">
        <f>TEST_DATA!D16066</f>
        <v/>
      </c>
      <c r="E16066">
        <f>TEST_DATA!E16066</f>
        <v/>
      </c>
    </row>
    <row r="16067">
      <c r="A16067">
        <f>TEST_DATA!A16067</f>
        <v/>
      </c>
      <c r="B16067">
        <f>TEST_DATA!B16067</f>
        <v/>
      </c>
      <c r="C16067">
        <f>TEST_DATA!C16067</f>
        <v/>
      </c>
      <c r="D16067">
        <f>TEST_DATA!D16067</f>
        <v/>
      </c>
      <c r="E16067">
        <f>TEST_DATA!E16067</f>
        <v/>
      </c>
    </row>
    <row r="16068">
      <c r="A16068">
        <f>TEST_DATA!A16068</f>
        <v/>
      </c>
      <c r="B16068">
        <f>TEST_DATA!B16068</f>
        <v/>
      </c>
      <c r="C16068">
        <f>TEST_DATA!C16068</f>
        <v/>
      </c>
      <c r="D16068">
        <f>TEST_DATA!D16068</f>
        <v/>
      </c>
      <c r="E16068">
        <f>TEST_DATA!E16068</f>
        <v/>
      </c>
    </row>
    <row r="16069">
      <c r="A16069">
        <f>TEST_DATA!A16069</f>
        <v/>
      </c>
      <c r="B16069">
        <f>TEST_DATA!B16069</f>
        <v/>
      </c>
      <c r="C16069">
        <f>TEST_DATA!C16069</f>
        <v/>
      </c>
      <c r="D16069">
        <f>TEST_DATA!D16069</f>
        <v/>
      </c>
      <c r="E16069">
        <f>TEST_DATA!E16069</f>
        <v/>
      </c>
    </row>
    <row r="16070">
      <c r="A16070">
        <f>TEST_DATA!A16070</f>
        <v/>
      </c>
      <c r="B16070">
        <f>TEST_DATA!B16070</f>
        <v/>
      </c>
      <c r="C16070">
        <f>TEST_DATA!C16070</f>
        <v/>
      </c>
      <c r="D16070">
        <f>TEST_DATA!D16070</f>
        <v/>
      </c>
      <c r="E16070">
        <f>TEST_DATA!E16070</f>
        <v/>
      </c>
    </row>
    <row r="16071">
      <c r="A16071">
        <f>TEST_DATA!A16071</f>
        <v/>
      </c>
      <c r="B16071">
        <f>TEST_DATA!B16071</f>
        <v/>
      </c>
      <c r="C16071">
        <f>TEST_DATA!C16071</f>
        <v/>
      </c>
      <c r="D16071">
        <f>TEST_DATA!D16071</f>
        <v/>
      </c>
      <c r="E16071">
        <f>TEST_DATA!E16071</f>
        <v/>
      </c>
    </row>
    <row r="16072">
      <c r="A16072">
        <f>TEST_DATA!A16072</f>
        <v/>
      </c>
      <c r="B16072">
        <f>TEST_DATA!B16072</f>
        <v/>
      </c>
      <c r="C16072">
        <f>TEST_DATA!C16072</f>
        <v/>
      </c>
      <c r="D16072">
        <f>TEST_DATA!D16072</f>
        <v/>
      </c>
      <c r="E16072">
        <f>TEST_DATA!E16072</f>
        <v/>
      </c>
    </row>
    <row r="16073">
      <c r="A16073">
        <f>TEST_DATA!A16073</f>
        <v/>
      </c>
      <c r="B16073">
        <f>TEST_DATA!B16073</f>
        <v/>
      </c>
      <c r="C16073">
        <f>TEST_DATA!C16073</f>
        <v/>
      </c>
      <c r="D16073">
        <f>TEST_DATA!D16073</f>
        <v/>
      </c>
      <c r="E16073">
        <f>TEST_DATA!E16073</f>
        <v/>
      </c>
    </row>
    <row r="16074">
      <c r="A16074">
        <f>TEST_DATA!A16074</f>
        <v/>
      </c>
      <c r="B16074">
        <f>TEST_DATA!B16074</f>
        <v/>
      </c>
      <c r="C16074">
        <f>TEST_DATA!C16074</f>
        <v/>
      </c>
      <c r="D16074">
        <f>TEST_DATA!D16074</f>
        <v/>
      </c>
      <c r="E16074">
        <f>TEST_DATA!E16074</f>
        <v/>
      </c>
    </row>
    <row r="16075">
      <c r="A16075">
        <f>TEST_DATA!A16075</f>
        <v/>
      </c>
      <c r="B16075">
        <f>TEST_DATA!B16075</f>
        <v/>
      </c>
      <c r="C16075">
        <f>TEST_DATA!C16075</f>
        <v/>
      </c>
      <c r="D16075">
        <f>TEST_DATA!D16075</f>
        <v/>
      </c>
      <c r="E16075">
        <f>TEST_DATA!E16075</f>
        <v/>
      </c>
    </row>
    <row r="16076">
      <c r="A16076">
        <f>TEST_DATA!A16076</f>
        <v/>
      </c>
      <c r="B16076">
        <f>TEST_DATA!B16076</f>
        <v/>
      </c>
      <c r="C16076">
        <f>TEST_DATA!C16076</f>
        <v/>
      </c>
      <c r="D16076">
        <f>TEST_DATA!D16076</f>
        <v/>
      </c>
      <c r="E16076">
        <f>TEST_DATA!E16076</f>
        <v/>
      </c>
    </row>
    <row r="16077">
      <c r="A16077">
        <f>TEST_DATA!A16077</f>
        <v/>
      </c>
      <c r="B16077">
        <f>TEST_DATA!B16077</f>
        <v/>
      </c>
      <c r="C16077">
        <f>TEST_DATA!C16077</f>
        <v/>
      </c>
      <c r="D16077">
        <f>TEST_DATA!D16077</f>
        <v/>
      </c>
      <c r="E16077">
        <f>TEST_DATA!E16077</f>
        <v/>
      </c>
    </row>
    <row r="16078">
      <c r="A16078">
        <f>TEST_DATA!A16078</f>
        <v/>
      </c>
      <c r="B16078">
        <f>TEST_DATA!B16078</f>
        <v/>
      </c>
      <c r="C16078">
        <f>TEST_DATA!C16078</f>
        <v/>
      </c>
      <c r="D16078">
        <f>TEST_DATA!D16078</f>
        <v/>
      </c>
      <c r="E16078">
        <f>TEST_DATA!E16078</f>
        <v/>
      </c>
    </row>
    <row r="16079">
      <c r="A16079">
        <f>TEST_DATA!A16079</f>
        <v/>
      </c>
      <c r="B16079">
        <f>TEST_DATA!B16079</f>
        <v/>
      </c>
      <c r="C16079">
        <f>TEST_DATA!C16079</f>
        <v/>
      </c>
      <c r="D16079">
        <f>TEST_DATA!D16079</f>
        <v/>
      </c>
      <c r="E16079">
        <f>TEST_DATA!E16079</f>
        <v/>
      </c>
    </row>
    <row r="16080">
      <c r="A16080">
        <f>TEST_DATA!A16080</f>
        <v/>
      </c>
      <c r="B16080">
        <f>TEST_DATA!B16080</f>
        <v/>
      </c>
      <c r="C16080">
        <f>TEST_DATA!C16080</f>
        <v/>
      </c>
      <c r="D16080">
        <f>TEST_DATA!D16080</f>
        <v/>
      </c>
      <c r="E16080">
        <f>TEST_DATA!E16080</f>
        <v/>
      </c>
    </row>
    <row r="16081">
      <c r="A16081">
        <f>TEST_DATA!A16081</f>
        <v/>
      </c>
      <c r="B16081">
        <f>TEST_DATA!B16081</f>
        <v/>
      </c>
      <c r="C16081">
        <f>TEST_DATA!C16081</f>
        <v/>
      </c>
      <c r="D16081">
        <f>TEST_DATA!D16081</f>
        <v/>
      </c>
      <c r="E16081">
        <f>TEST_DATA!E16081</f>
        <v/>
      </c>
    </row>
    <row r="16082">
      <c r="A16082">
        <f>TEST_DATA!A16082</f>
        <v/>
      </c>
      <c r="B16082">
        <f>TEST_DATA!B16082</f>
        <v/>
      </c>
      <c r="C16082">
        <f>TEST_DATA!C16082</f>
        <v/>
      </c>
      <c r="D16082">
        <f>TEST_DATA!D16082</f>
        <v/>
      </c>
      <c r="E16082">
        <f>TEST_DATA!E16082</f>
        <v/>
      </c>
    </row>
    <row r="16083">
      <c r="A16083">
        <f>TEST_DATA!A16083</f>
        <v/>
      </c>
      <c r="B16083">
        <f>TEST_DATA!B16083</f>
        <v/>
      </c>
      <c r="C16083">
        <f>TEST_DATA!C16083</f>
        <v/>
      </c>
      <c r="D16083">
        <f>TEST_DATA!D16083</f>
        <v/>
      </c>
      <c r="E16083">
        <f>TEST_DATA!E16083</f>
        <v/>
      </c>
    </row>
    <row r="16084">
      <c r="A16084">
        <f>TEST_DATA!A16084</f>
        <v/>
      </c>
      <c r="B16084">
        <f>TEST_DATA!B16084</f>
        <v/>
      </c>
      <c r="C16084">
        <f>TEST_DATA!C16084</f>
        <v/>
      </c>
      <c r="D16084">
        <f>TEST_DATA!D16084</f>
        <v/>
      </c>
      <c r="E16084">
        <f>TEST_DATA!E16084</f>
        <v/>
      </c>
    </row>
    <row r="16085">
      <c r="A16085">
        <f>TEST_DATA!A16085</f>
        <v/>
      </c>
      <c r="B16085">
        <f>TEST_DATA!B16085</f>
        <v/>
      </c>
      <c r="C16085">
        <f>TEST_DATA!C16085</f>
        <v/>
      </c>
      <c r="D16085">
        <f>TEST_DATA!D16085</f>
        <v/>
      </c>
      <c r="E16085">
        <f>TEST_DATA!E16085</f>
        <v/>
      </c>
    </row>
    <row r="16086">
      <c r="A16086">
        <f>TEST_DATA!A16086</f>
        <v/>
      </c>
      <c r="B16086">
        <f>TEST_DATA!B16086</f>
        <v/>
      </c>
      <c r="C16086">
        <f>TEST_DATA!C16086</f>
        <v/>
      </c>
      <c r="D16086">
        <f>TEST_DATA!D16086</f>
        <v/>
      </c>
      <c r="E16086">
        <f>TEST_DATA!E16086</f>
        <v/>
      </c>
    </row>
    <row r="16087">
      <c r="A16087">
        <f>TEST_DATA!A16087</f>
        <v/>
      </c>
      <c r="B16087">
        <f>TEST_DATA!B16087</f>
        <v/>
      </c>
      <c r="C16087">
        <f>TEST_DATA!C16087</f>
        <v/>
      </c>
      <c r="D16087">
        <f>TEST_DATA!D16087</f>
        <v/>
      </c>
      <c r="E16087">
        <f>TEST_DATA!E16087</f>
        <v/>
      </c>
    </row>
    <row r="16088">
      <c r="A16088">
        <f>TEST_DATA!A16088</f>
        <v/>
      </c>
      <c r="B16088">
        <f>TEST_DATA!B16088</f>
        <v/>
      </c>
      <c r="C16088">
        <f>TEST_DATA!C16088</f>
        <v/>
      </c>
      <c r="D16088">
        <f>TEST_DATA!D16088</f>
        <v/>
      </c>
      <c r="E16088">
        <f>TEST_DATA!E16088</f>
        <v/>
      </c>
    </row>
    <row r="16089">
      <c r="A16089">
        <f>TEST_DATA!A16089</f>
        <v/>
      </c>
      <c r="B16089">
        <f>TEST_DATA!B16089</f>
        <v/>
      </c>
      <c r="C16089">
        <f>TEST_DATA!C16089</f>
        <v/>
      </c>
      <c r="D16089">
        <f>TEST_DATA!D16089</f>
        <v/>
      </c>
      <c r="E16089">
        <f>TEST_DATA!E16089</f>
        <v/>
      </c>
    </row>
    <row r="16090">
      <c r="A16090">
        <f>TEST_DATA!A16090</f>
        <v/>
      </c>
      <c r="B16090">
        <f>TEST_DATA!B16090</f>
        <v/>
      </c>
      <c r="C16090">
        <f>TEST_DATA!C16090</f>
        <v/>
      </c>
      <c r="D16090">
        <f>TEST_DATA!D16090</f>
        <v/>
      </c>
      <c r="E16090">
        <f>TEST_DATA!E16090</f>
        <v/>
      </c>
    </row>
    <row r="16091">
      <c r="A16091">
        <f>TEST_DATA!A16091</f>
        <v/>
      </c>
      <c r="B16091">
        <f>TEST_DATA!B16091</f>
        <v/>
      </c>
      <c r="C16091">
        <f>TEST_DATA!C16091</f>
        <v/>
      </c>
      <c r="D16091">
        <f>TEST_DATA!D16091</f>
        <v/>
      </c>
      <c r="E16091">
        <f>TEST_DATA!E16091</f>
        <v/>
      </c>
    </row>
    <row r="16092">
      <c r="A16092">
        <f>TEST_DATA!A16092</f>
        <v/>
      </c>
      <c r="B16092">
        <f>TEST_DATA!B16092</f>
        <v/>
      </c>
      <c r="C16092">
        <f>TEST_DATA!C16092</f>
        <v/>
      </c>
      <c r="D16092">
        <f>TEST_DATA!D16092</f>
        <v/>
      </c>
      <c r="E16092">
        <f>TEST_DATA!E16092</f>
        <v/>
      </c>
    </row>
    <row r="16093">
      <c r="A16093">
        <f>TEST_DATA!A16093</f>
        <v/>
      </c>
      <c r="B16093">
        <f>TEST_DATA!B16093</f>
        <v/>
      </c>
      <c r="C16093">
        <f>TEST_DATA!C16093</f>
        <v/>
      </c>
      <c r="D16093">
        <f>TEST_DATA!D16093</f>
        <v/>
      </c>
      <c r="E16093">
        <f>TEST_DATA!E16093</f>
        <v/>
      </c>
    </row>
    <row r="16094">
      <c r="A16094">
        <f>TEST_DATA!A16094</f>
        <v/>
      </c>
      <c r="B16094">
        <f>TEST_DATA!B16094</f>
        <v/>
      </c>
      <c r="C16094">
        <f>TEST_DATA!C16094</f>
        <v/>
      </c>
      <c r="D16094">
        <f>TEST_DATA!D16094</f>
        <v/>
      </c>
      <c r="E16094">
        <f>TEST_DATA!E16094</f>
        <v/>
      </c>
    </row>
    <row r="16095">
      <c r="A16095">
        <f>TEST_DATA!A16095</f>
        <v/>
      </c>
      <c r="B16095">
        <f>TEST_DATA!B16095</f>
        <v/>
      </c>
      <c r="C16095">
        <f>TEST_DATA!C16095</f>
        <v/>
      </c>
      <c r="D16095">
        <f>TEST_DATA!D16095</f>
        <v/>
      </c>
      <c r="E16095">
        <f>TEST_DATA!E16095</f>
        <v/>
      </c>
    </row>
    <row r="16096">
      <c r="A16096">
        <f>TEST_DATA!A16096</f>
        <v/>
      </c>
      <c r="B16096">
        <f>TEST_DATA!B16096</f>
        <v/>
      </c>
      <c r="C16096">
        <f>TEST_DATA!C16096</f>
        <v/>
      </c>
      <c r="D16096">
        <f>TEST_DATA!D16096</f>
        <v/>
      </c>
      <c r="E16096">
        <f>TEST_DATA!E16096</f>
        <v/>
      </c>
    </row>
    <row r="16097">
      <c r="A16097">
        <f>TEST_DATA!A16097</f>
        <v/>
      </c>
      <c r="B16097">
        <f>TEST_DATA!B16097</f>
        <v/>
      </c>
      <c r="C16097">
        <f>TEST_DATA!C16097</f>
        <v/>
      </c>
      <c r="D16097">
        <f>TEST_DATA!D16097</f>
        <v/>
      </c>
      <c r="E16097">
        <f>TEST_DATA!E16097</f>
        <v/>
      </c>
    </row>
    <row r="16098">
      <c r="A16098">
        <f>TEST_DATA!A16098</f>
        <v/>
      </c>
      <c r="B16098">
        <f>TEST_DATA!B16098</f>
        <v/>
      </c>
      <c r="C16098">
        <f>TEST_DATA!C16098</f>
        <v/>
      </c>
      <c r="D16098">
        <f>TEST_DATA!D16098</f>
        <v/>
      </c>
      <c r="E16098">
        <f>TEST_DATA!E16098</f>
        <v/>
      </c>
    </row>
    <row r="16099">
      <c r="A16099">
        <f>TEST_DATA!A16099</f>
        <v/>
      </c>
      <c r="B16099">
        <f>TEST_DATA!B16099</f>
        <v/>
      </c>
      <c r="C16099">
        <f>TEST_DATA!C16099</f>
        <v/>
      </c>
      <c r="D16099">
        <f>TEST_DATA!D16099</f>
        <v/>
      </c>
      <c r="E16099">
        <f>TEST_DATA!E16099</f>
        <v/>
      </c>
    </row>
    <row r="16100">
      <c r="A16100">
        <f>TEST_DATA!A16100</f>
        <v/>
      </c>
      <c r="B16100">
        <f>TEST_DATA!B16100</f>
        <v/>
      </c>
      <c r="C16100">
        <f>TEST_DATA!C16100</f>
        <v/>
      </c>
      <c r="D16100">
        <f>TEST_DATA!D16100</f>
        <v/>
      </c>
      <c r="E16100">
        <f>TEST_DATA!E16100</f>
        <v/>
      </c>
    </row>
    <row r="16101">
      <c r="A16101">
        <f>TEST_DATA!A16101</f>
        <v/>
      </c>
      <c r="B16101">
        <f>TEST_DATA!B16101</f>
        <v/>
      </c>
      <c r="C16101">
        <f>TEST_DATA!C16101</f>
        <v/>
      </c>
      <c r="D16101">
        <f>TEST_DATA!D16101</f>
        <v/>
      </c>
      <c r="E16101">
        <f>TEST_DATA!E16101</f>
        <v/>
      </c>
    </row>
    <row r="16102">
      <c r="A16102">
        <f>TEST_DATA!A16102</f>
        <v/>
      </c>
      <c r="B16102">
        <f>TEST_DATA!B16102</f>
        <v/>
      </c>
      <c r="C16102">
        <f>TEST_DATA!C16102</f>
        <v/>
      </c>
      <c r="D16102">
        <f>TEST_DATA!D16102</f>
        <v/>
      </c>
      <c r="E16102">
        <f>TEST_DATA!E16102</f>
        <v/>
      </c>
    </row>
    <row r="16103">
      <c r="A16103">
        <f>TEST_DATA!A16103</f>
        <v/>
      </c>
      <c r="B16103">
        <f>TEST_DATA!B16103</f>
        <v/>
      </c>
      <c r="C16103">
        <f>TEST_DATA!C16103</f>
        <v/>
      </c>
      <c r="D16103">
        <f>TEST_DATA!D16103</f>
        <v/>
      </c>
      <c r="E16103">
        <f>TEST_DATA!E16103</f>
        <v/>
      </c>
    </row>
    <row r="16104">
      <c r="A16104">
        <f>TEST_DATA!A16104</f>
        <v/>
      </c>
      <c r="B16104">
        <f>TEST_DATA!B16104</f>
        <v/>
      </c>
      <c r="C16104">
        <f>TEST_DATA!C16104</f>
        <v/>
      </c>
      <c r="D16104">
        <f>TEST_DATA!D16104</f>
        <v/>
      </c>
      <c r="E16104">
        <f>TEST_DATA!E16104</f>
        <v/>
      </c>
    </row>
    <row r="16105">
      <c r="A16105">
        <f>TEST_DATA!A16105</f>
        <v/>
      </c>
      <c r="B16105">
        <f>TEST_DATA!B16105</f>
        <v/>
      </c>
      <c r="C16105">
        <f>TEST_DATA!C16105</f>
        <v/>
      </c>
      <c r="D16105">
        <f>TEST_DATA!D16105</f>
        <v/>
      </c>
      <c r="E16105">
        <f>TEST_DATA!E16105</f>
        <v/>
      </c>
    </row>
    <row r="16106">
      <c r="A16106">
        <f>TEST_DATA!A16106</f>
        <v/>
      </c>
      <c r="B16106">
        <f>TEST_DATA!B16106</f>
        <v/>
      </c>
      <c r="C16106">
        <f>TEST_DATA!C16106</f>
        <v/>
      </c>
      <c r="D16106">
        <f>TEST_DATA!D16106</f>
        <v/>
      </c>
      <c r="E16106">
        <f>TEST_DATA!E16106</f>
        <v/>
      </c>
    </row>
    <row r="16107">
      <c r="A16107">
        <f>TEST_DATA!A16107</f>
        <v/>
      </c>
      <c r="B16107">
        <f>TEST_DATA!B16107</f>
        <v/>
      </c>
      <c r="C16107">
        <f>TEST_DATA!C16107</f>
        <v/>
      </c>
      <c r="D16107">
        <f>TEST_DATA!D16107</f>
        <v/>
      </c>
      <c r="E16107">
        <f>TEST_DATA!E16107</f>
        <v/>
      </c>
    </row>
    <row r="16108">
      <c r="A16108">
        <f>TEST_DATA!A16108</f>
        <v/>
      </c>
      <c r="B16108">
        <f>TEST_DATA!B16108</f>
        <v/>
      </c>
      <c r="C16108">
        <f>TEST_DATA!C16108</f>
        <v/>
      </c>
      <c r="D16108">
        <f>TEST_DATA!D16108</f>
        <v/>
      </c>
      <c r="E16108">
        <f>TEST_DATA!E16108</f>
        <v/>
      </c>
    </row>
    <row r="16109">
      <c r="A16109">
        <f>TEST_DATA!A16109</f>
        <v/>
      </c>
      <c r="B16109">
        <f>TEST_DATA!B16109</f>
        <v/>
      </c>
      <c r="C16109">
        <f>TEST_DATA!C16109</f>
        <v/>
      </c>
      <c r="D16109">
        <f>TEST_DATA!D16109</f>
        <v/>
      </c>
      <c r="E16109">
        <f>TEST_DATA!E16109</f>
        <v/>
      </c>
    </row>
    <row r="16110">
      <c r="A16110">
        <f>TEST_DATA!A16110</f>
        <v/>
      </c>
      <c r="B16110">
        <f>TEST_DATA!B16110</f>
        <v/>
      </c>
      <c r="C16110">
        <f>TEST_DATA!C16110</f>
        <v/>
      </c>
      <c r="D16110">
        <f>TEST_DATA!D16110</f>
        <v/>
      </c>
      <c r="E16110">
        <f>TEST_DATA!E16110</f>
        <v/>
      </c>
    </row>
    <row r="16111">
      <c r="A16111">
        <f>TEST_DATA!A16111</f>
        <v/>
      </c>
      <c r="B16111">
        <f>TEST_DATA!B16111</f>
        <v/>
      </c>
      <c r="C16111">
        <f>TEST_DATA!C16111</f>
        <v/>
      </c>
      <c r="D16111">
        <f>TEST_DATA!D16111</f>
        <v/>
      </c>
      <c r="E16111">
        <f>TEST_DATA!E16111</f>
        <v/>
      </c>
    </row>
    <row r="16112">
      <c r="A16112">
        <f>TEST_DATA!A16112</f>
        <v/>
      </c>
      <c r="B16112">
        <f>TEST_DATA!B16112</f>
        <v/>
      </c>
      <c r="C16112">
        <f>TEST_DATA!C16112</f>
        <v/>
      </c>
      <c r="D16112">
        <f>TEST_DATA!D16112</f>
        <v/>
      </c>
      <c r="E16112">
        <f>TEST_DATA!E16112</f>
        <v/>
      </c>
    </row>
    <row r="16113">
      <c r="A16113">
        <f>TEST_DATA!A16113</f>
        <v/>
      </c>
      <c r="B16113">
        <f>TEST_DATA!B16113</f>
        <v/>
      </c>
      <c r="C16113">
        <f>TEST_DATA!C16113</f>
        <v/>
      </c>
      <c r="D16113">
        <f>TEST_DATA!D16113</f>
        <v/>
      </c>
      <c r="E16113">
        <f>TEST_DATA!E16113</f>
        <v/>
      </c>
    </row>
    <row r="16114">
      <c r="A16114">
        <f>TEST_DATA!A16114</f>
        <v/>
      </c>
      <c r="B16114">
        <f>TEST_DATA!B16114</f>
        <v/>
      </c>
      <c r="C16114">
        <f>TEST_DATA!C16114</f>
        <v/>
      </c>
      <c r="D16114">
        <f>TEST_DATA!D16114</f>
        <v/>
      </c>
      <c r="E16114">
        <f>TEST_DATA!E16114</f>
        <v/>
      </c>
    </row>
    <row r="16115">
      <c r="A16115">
        <f>TEST_DATA!A16115</f>
        <v/>
      </c>
      <c r="B16115">
        <f>TEST_DATA!B16115</f>
        <v/>
      </c>
      <c r="C16115">
        <f>TEST_DATA!C16115</f>
        <v/>
      </c>
      <c r="D16115">
        <f>TEST_DATA!D16115</f>
        <v/>
      </c>
      <c r="E16115">
        <f>TEST_DATA!E16115</f>
        <v/>
      </c>
    </row>
    <row r="16116">
      <c r="A16116">
        <f>TEST_DATA!A16116</f>
        <v/>
      </c>
      <c r="B16116">
        <f>TEST_DATA!B16116</f>
        <v/>
      </c>
      <c r="C16116">
        <f>TEST_DATA!C16116</f>
        <v/>
      </c>
      <c r="D16116">
        <f>TEST_DATA!D16116</f>
        <v/>
      </c>
      <c r="E16116">
        <f>TEST_DATA!E16116</f>
        <v/>
      </c>
    </row>
    <row r="16117">
      <c r="A16117">
        <f>TEST_DATA!A16117</f>
        <v/>
      </c>
      <c r="B16117">
        <f>TEST_DATA!B16117</f>
        <v/>
      </c>
      <c r="C16117">
        <f>TEST_DATA!C16117</f>
        <v/>
      </c>
      <c r="D16117">
        <f>TEST_DATA!D16117</f>
        <v/>
      </c>
      <c r="E16117">
        <f>TEST_DATA!E16117</f>
        <v/>
      </c>
    </row>
    <row r="16118">
      <c r="A16118">
        <f>TEST_DATA!A16118</f>
        <v/>
      </c>
      <c r="B16118">
        <f>TEST_DATA!B16118</f>
        <v/>
      </c>
      <c r="C16118">
        <f>TEST_DATA!C16118</f>
        <v/>
      </c>
      <c r="D16118">
        <f>TEST_DATA!D16118</f>
        <v/>
      </c>
      <c r="E16118">
        <f>TEST_DATA!E16118</f>
        <v/>
      </c>
    </row>
    <row r="16119">
      <c r="A16119">
        <f>TEST_DATA!A16119</f>
        <v/>
      </c>
      <c r="B16119">
        <f>TEST_DATA!B16119</f>
        <v/>
      </c>
      <c r="C16119">
        <f>TEST_DATA!C16119</f>
        <v/>
      </c>
      <c r="D16119">
        <f>TEST_DATA!D16119</f>
        <v/>
      </c>
      <c r="E16119">
        <f>TEST_DATA!E16119</f>
        <v/>
      </c>
    </row>
    <row r="16120">
      <c r="A16120">
        <f>TEST_DATA!A16120</f>
        <v/>
      </c>
      <c r="B16120">
        <f>TEST_DATA!B16120</f>
        <v/>
      </c>
      <c r="C16120">
        <f>TEST_DATA!C16120</f>
        <v/>
      </c>
      <c r="D16120">
        <f>TEST_DATA!D16120</f>
        <v/>
      </c>
      <c r="E16120">
        <f>TEST_DATA!E16120</f>
        <v/>
      </c>
    </row>
    <row r="16121">
      <c r="A16121">
        <f>TEST_DATA!A16121</f>
        <v/>
      </c>
      <c r="B16121">
        <f>TEST_DATA!B16121</f>
        <v/>
      </c>
      <c r="C16121">
        <f>TEST_DATA!C16121</f>
        <v/>
      </c>
      <c r="D16121">
        <f>TEST_DATA!D16121</f>
        <v/>
      </c>
      <c r="E16121">
        <f>TEST_DATA!E16121</f>
        <v/>
      </c>
    </row>
    <row r="16122">
      <c r="A16122">
        <f>TEST_DATA!A16122</f>
        <v/>
      </c>
      <c r="B16122">
        <f>TEST_DATA!B16122</f>
        <v/>
      </c>
      <c r="C16122">
        <f>TEST_DATA!C16122</f>
        <v/>
      </c>
      <c r="D16122">
        <f>TEST_DATA!D16122</f>
        <v/>
      </c>
      <c r="E16122">
        <f>TEST_DATA!E16122</f>
        <v/>
      </c>
    </row>
    <row r="16123">
      <c r="A16123">
        <f>TEST_DATA!A16123</f>
        <v/>
      </c>
      <c r="B16123">
        <f>TEST_DATA!B16123</f>
        <v/>
      </c>
      <c r="C16123">
        <f>TEST_DATA!C16123</f>
        <v/>
      </c>
      <c r="D16123">
        <f>TEST_DATA!D16123</f>
        <v/>
      </c>
      <c r="E16123">
        <f>TEST_DATA!E16123</f>
        <v/>
      </c>
    </row>
    <row r="16124">
      <c r="A16124">
        <f>TEST_DATA!A16124</f>
        <v/>
      </c>
      <c r="B16124">
        <f>TEST_DATA!B16124</f>
        <v/>
      </c>
      <c r="C16124">
        <f>TEST_DATA!C16124</f>
        <v/>
      </c>
      <c r="D16124">
        <f>TEST_DATA!D16124</f>
        <v/>
      </c>
      <c r="E16124">
        <f>TEST_DATA!E16124</f>
        <v/>
      </c>
    </row>
    <row r="16125">
      <c r="A16125">
        <f>TEST_DATA!A16125</f>
        <v/>
      </c>
      <c r="B16125">
        <f>TEST_DATA!B16125</f>
        <v/>
      </c>
      <c r="C16125">
        <f>TEST_DATA!C16125</f>
        <v/>
      </c>
      <c r="D16125">
        <f>TEST_DATA!D16125</f>
        <v/>
      </c>
      <c r="E16125">
        <f>TEST_DATA!E16125</f>
        <v/>
      </c>
    </row>
    <row r="16126">
      <c r="A16126">
        <f>TEST_DATA!A16126</f>
        <v/>
      </c>
      <c r="B16126">
        <f>TEST_DATA!B16126</f>
        <v/>
      </c>
      <c r="C16126">
        <f>TEST_DATA!C16126</f>
        <v/>
      </c>
      <c r="D16126">
        <f>TEST_DATA!D16126</f>
        <v/>
      </c>
      <c r="E16126">
        <f>TEST_DATA!E16126</f>
        <v/>
      </c>
    </row>
    <row r="16127">
      <c r="A16127">
        <f>TEST_DATA!A16127</f>
        <v/>
      </c>
      <c r="B16127">
        <f>TEST_DATA!B16127</f>
        <v/>
      </c>
      <c r="C16127">
        <f>TEST_DATA!C16127</f>
        <v/>
      </c>
      <c r="D16127">
        <f>TEST_DATA!D16127</f>
        <v/>
      </c>
      <c r="E16127">
        <f>TEST_DATA!E16127</f>
        <v/>
      </c>
    </row>
    <row r="16128">
      <c r="A16128">
        <f>TEST_DATA!A16128</f>
        <v/>
      </c>
      <c r="B16128">
        <f>TEST_DATA!B16128</f>
        <v/>
      </c>
      <c r="C16128">
        <f>TEST_DATA!C16128</f>
        <v/>
      </c>
      <c r="D16128">
        <f>TEST_DATA!D16128</f>
        <v/>
      </c>
      <c r="E16128">
        <f>TEST_DATA!E16128</f>
        <v/>
      </c>
    </row>
    <row r="16129">
      <c r="A16129">
        <f>TEST_DATA!A16129</f>
        <v/>
      </c>
      <c r="B16129">
        <f>TEST_DATA!B16129</f>
        <v/>
      </c>
      <c r="C16129">
        <f>TEST_DATA!C16129</f>
        <v/>
      </c>
      <c r="D16129">
        <f>TEST_DATA!D16129</f>
        <v/>
      </c>
      <c r="E16129">
        <f>TEST_DATA!E16129</f>
        <v/>
      </c>
    </row>
    <row r="16130">
      <c r="A16130">
        <f>TEST_DATA!A16130</f>
        <v/>
      </c>
      <c r="B16130">
        <f>TEST_DATA!B16130</f>
        <v/>
      </c>
      <c r="C16130">
        <f>TEST_DATA!C16130</f>
        <v/>
      </c>
      <c r="D16130">
        <f>TEST_DATA!D16130</f>
        <v/>
      </c>
      <c r="E16130">
        <f>TEST_DATA!E16130</f>
        <v/>
      </c>
    </row>
    <row r="16131">
      <c r="A16131">
        <f>TEST_DATA!A16131</f>
        <v/>
      </c>
      <c r="B16131">
        <f>TEST_DATA!B16131</f>
        <v/>
      </c>
      <c r="C16131">
        <f>TEST_DATA!C16131</f>
        <v/>
      </c>
      <c r="D16131">
        <f>TEST_DATA!D16131</f>
        <v/>
      </c>
      <c r="E16131">
        <f>TEST_DATA!E16131</f>
        <v/>
      </c>
    </row>
    <row r="16132">
      <c r="A16132">
        <f>TEST_DATA!A16132</f>
        <v/>
      </c>
      <c r="B16132">
        <f>TEST_DATA!B16132</f>
        <v/>
      </c>
      <c r="C16132">
        <f>TEST_DATA!C16132</f>
        <v/>
      </c>
      <c r="D16132">
        <f>TEST_DATA!D16132</f>
        <v/>
      </c>
      <c r="E16132">
        <f>TEST_DATA!E16132</f>
        <v/>
      </c>
    </row>
    <row r="16133">
      <c r="A16133">
        <f>TEST_DATA!A16133</f>
        <v/>
      </c>
      <c r="B16133">
        <f>TEST_DATA!B16133</f>
        <v/>
      </c>
      <c r="C16133">
        <f>TEST_DATA!C16133</f>
        <v/>
      </c>
      <c r="D16133">
        <f>TEST_DATA!D16133</f>
        <v/>
      </c>
      <c r="E16133">
        <f>TEST_DATA!E16133</f>
        <v/>
      </c>
    </row>
    <row r="16134">
      <c r="A16134">
        <f>TEST_DATA!A16134</f>
        <v/>
      </c>
      <c r="B16134">
        <f>TEST_DATA!B16134</f>
        <v/>
      </c>
      <c r="C16134">
        <f>TEST_DATA!C16134</f>
        <v/>
      </c>
      <c r="D16134">
        <f>TEST_DATA!D16134</f>
        <v/>
      </c>
      <c r="E16134">
        <f>TEST_DATA!E16134</f>
        <v/>
      </c>
    </row>
    <row r="16135">
      <c r="A16135">
        <f>TEST_DATA!A16135</f>
        <v/>
      </c>
      <c r="B16135">
        <f>TEST_DATA!B16135</f>
        <v/>
      </c>
      <c r="C16135">
        <f>TEST_DATA!C16135</f>
        <v/>
      </c>
      <c r="D16135">
        <f>TEST_DATA!D16135</f>
        <v/>
      </c>
      <c r="E16135">
        <f>TEST_DATA!E16135</f>
        <v/>
      </c>
    </row>
    <row r="16136">
      <c r="A16136">
        <f>TEST_DATA!A16136</f>
        <v/>
      </c>
      <c r="B16136">
        <f>TEST_DATA!B16136</f>
        <v/>
      </c>
      <c r="C16136">
        <f>TEST_DATA!C16136</f>
        <v/>
      </c>
      <c r="D16136">
        <f>TEST_DATA!D16136</f>
        <v/>
      </c>
      <c r="E16136">
        <f>TEST_DATA!E16136</f>
        <v/>
      </c>
    </row>
    <row r="16137">
      <c r="A16137">
        <f>TEST_DATA!A16137</f>
        <v/>
      </c>
      <c r="B16137">
        <f>TEST_DATA!B16137</f>
        <v/>
      </c>
      <c r="C16137">
        <f>TEST_DATA!C16137</f>
        <v/>
      </c>
      <c r="D16137">
        <f>TEST_DATA!D16137</f>
        <v/>
      </c>
      <c r="E16137">
        <f>TEST_DATA!E16137</f>
        <v/>
      </c>
    </row>
    <row r="16138">
      <c r="A16138">
        <f>TEST_DATA!A16138</f>
        <v/>
      </c>
      <c r="B16138">
        <f>TEST_DATA!B16138</f>
        <v/>
      </c>
      <c r="C16138">
        <f>TEST_DATA!C16138</f>
        <v/>
      </c>
      <c r="D16138">
        <f>TEST_DATA!D16138</f>
        <v/>
      </c>
      <c r="E16138">
        <f>TEST_DATA!E16138</f>
        <v/>
      </c>
    </row>
    <row r="16139">
      <c r="A16139">
        <f>TEST_DATA!A16139</f>
        <v/>
      </c>
      <c r="B16139">
        <f>TEST_DATA!B16139</f>
        <v/>
      </c>
      <c r="C16139">
        <f>TEST_DATA!C16139</f>
        <v/>
      </c>
      <c r="D16139">
        <f>TEST_DATA!D16139</f>
        <v/>
      </c>
      <c r="E16139">
        <f>TEST_DATA!E16139</f>
        <v/>
      </c>
    </row>
    <row r="16140">
      <c r="A16140">
        <f>TEST_DATA!A16140</f>
        <v/>
      </c>
      <c r="B16140">
        <f>TEST_DATA!B16140</f>
        <v/>
      </c>
      <c r="C16140">
        <f>TEST_DATA!C16140</f>
        <v/>
      </c>
      <c r="D16140">
        <f>TEST_DATA!D16140</f>
        <v/>
      </c>
      <c r="E16140">
        <f>TEST_DATA!E16140</f>
        <v/>
      </c>
    </row>
    <row r="16141">
      <c r="A16141">
        <f>TEST_DATA!A16141</f>
        <v/>
      </c>
      <c r="B16141">
        <f>TEST_DATA!B16141</f>
        <v/>
      </c>
      <c r="C16141">
        <f>TEST_DATA!C16141</f>
        <v/>
      </c>
      <c r="D16141">
        <f>TEST_DATA!D16141</f>
        <v/>
      </c>
      <c r="E16141">
        <f>TEST_DATA!E16141</f>
        <v/>
      </c>
    </row>
    <row r="16142">
      <c r="A16142">
        <f>TEST_DATA!A16142</f>
        <v/>
      </c>
      <c r="B16142">
        <f>TEST_DATA!B16142</f>
        <v/>
      </c>
      <c r="C16142">
        <f>TEST_DATA!C16142</f>
        <v/>
      </c>
      <c r="D16142">
        <f>TEST_DATA!D16142</f>
        <v/>
      </c>
      <c r="E16142">
        <f>TEST_DATA!E16142</f>
        <v/>
      </c>
    </row>
    <row r="16143">
      <c r="A16143">
        <f>TEST_DATA!A16143</f>
        <v/>
      </c>
      <c r="B16143">
        <f>TEST_DATA!B16143</f>
        <v/>
      </c>
      <c r="C16143">
        <f>TEST_DATA!C16143</f>
        <v/>
      </c>
      <c r="D16143">
        <f>TEST_DATA!D16143</f>
        <v/>
      </c>
      <c r="E16143">
        <f>TEST_DATA!E16143</f>
        <v/>
      </c>
    </row>
    <row r="16144">
      <c r="A16144">
        <f>TEST_DATA!A16144</f>
        <v/>
      </c>
      <c r="B16144">
        <f>TEST_DATA!B16144</f>
        <v/>
      </c>
      <c r="C16144">
        <f>TEST_DATA!C16144</f>
        <v/>
      </c>
      <c r="D16144">
        <f>TEST_DATA!D16144</f>
        <v/>
      </c>
      <c r="E16144">
        <f>TEST_DATA!E16144</f>
        <v/>
      </c>
    </row>
    <row r="16145">
      <c r="A16145">
        <f>TEST_DATA!A16145</f>
        <v/>
      </c>
      <c r="B16145">
        <f>TEST_DATA!B16145</f>
        <v/>
      </c>
      <c r="C16145">
        <f>TEST_DATA!C16145</f>
        <v/>
      </c>
      <c r="D16145">
        <f>TEST_DATA!D16145</f>
        <v/>
      </c>
      <c r="E16145">
        <f>TEST_DATA!E16145</f>
        <v/>
      </c>
    </row>
    <row r="16146">
      <c r="A16146">
        <f>TEST_DATA!A16146</f>
        <v/>
      </c>
      <c r="B16146">
        <f>TEST_DATA!B16146</f>
        <v/>
      </c>
      <c r="C16146">
        <f>TEST_DATA!C16146</f>
        <v/>
      </c>
      <c r="D16146">
        <f>TEST_DATA!D16146</f>
        <v/>
      </c>
      <c r="E16146">
        <f>TEST_DATA!E16146</f>
        <v/>
      </c>
    </row>
    <row r="16147">
      <c r="A16147">
        <f>TEST_DATA!A16147</f>
        <v/>
      </c>
      <c r="B16147">
        <f>TEST_DATA!B16147</f>
        <v/>
      </c>
      <c r="C16147">
        <f>TEST_DATA!C16147</f>
        <v/>
      </c>
      <c r="D16147">
        <f>TEST_DATA!D16147</f>
        <v/>
      </c>
      <c r="E16147">
        <f>TEST_DATA!E16147</f>
        <v/>
      </c>
    </row>
    <row r="16148">
      <c r="A16148">
        <f>TEST_DATA!A16148</f>
        <v/>
      </c>
      <c r="B16148">
        <f>TEST_DATA!B16148</f>
        <v/>
      </c>
      <c r="C16148">
        <f>TEST_DATA!C16148</f>
        <v/>
      </c>
      <c r="D16148">
        <f>TEST_DATA!D16148</f>
        <v/>
      </c>
      <c r="E16148">
        <f>TEST_DATA!E16148</f>
        <v/>
      </c>
    </row>
    <row r="16149">
      <c r="A16149">
        <f>TEST_DATA!A16149</f>
        <v/>
      </c>
      <c r="B16149">
        <f>TEST_DATA!B16149</f>
        <v/>
      </c>
      <c r="C16149">
        <f>TEST_DATA!C16149</f>
        <v/>
      </c>
      <c r="D16149">
        <f>TEST_DATA!D16149</f>
        <v/>
      </c>
      <c r="E16149">
        <f>TEST_DATA!E16149</f>
        <v/>
      </c>
    </row>
    <row r="16150">
      <c r="A16150">
        <f>TEST_DATA!A16150</f>
        <v/>
      </c>
      <c r="B16150">
        <f>TEST_DATA!B16150</f>
        <v/>
      </c>
      <c r="C16150">
        <f>TEST_DATA!C16150</f>
        <v/>
      </c>
      <c r="D16150">
        <f>TEST_DATA!D16150</f>
        <v/>
      </c>
      <c r="E16150">
        <f>TEST_DATA!E16150</f>
        <v/>
      </c>
    </row>
    <row r="16151">
      <c r="A16151">
        <f>TEST_DATA!A16151</f>
        <v/>
      </c>
      <c r="B16151">
        <f>TEST_DATA!B16151</f>
        <v/>
      </c>
      <c r="C16151">
        <f>TEST_DATA!C16151</f>
        <v/>
      </c>
      <c r="D16151">
        <f>TEST_DATA!D16151</f>
        <v/>
      </c>
      <c r="E16151">
        <f>TEST_DATA!E16151</f>
        <v/>
      </c>
    </row>
    <row r="16152">
      <c r="A16152">
        <f>TEST_DATA!A16152</f>
        <v/>
      </c>
      <c r="B16152">
        <f>TEST_DATA!B16152</f>
        <v/>
      </c>
      <c r="C16152">
        <f>TEST_DATA!C16152</f>
        <v/>
      </c>
      <c r="D16152">
        <f>TEST_DATA!D16152</f>
        <v/>
      </c>
      <c r="E16152">
        <f>TEST_DATA!E16152</f>
        <v/>
      </c>
    </row>
    <row r="16153">
      <c r="A16153">
        <f>TEST_DATA!A16153</f>
        <v/>
      </c>
      <c r="B16153">
        <f>TEST_DATA!B16153</f>
        <v/>
      </c>
      <c r="C16153">
        <f>TEST_DATA!C16153</f>
        <v/>
      </c>
      <c r="D16153">
        <f>TEST_DATA!D16153</f>
        <v/>
      </c>
      <c r="E16153">
        <f>TEST_DATA!E16153</f>
        <v/>
      </c>
    </row>
    <row r="16154">
      <c r="A16154">
        <f>TEST_DATA!A16154</f>
        <v/>
      </c>
      <c r="B16154">
        <f>TEST_DATA!B16154</f>
        <v/>
      </c>
      <c r="C16154">
        <f>TEST_DATA!C16154</f>
        <v/>
      </c>
      <c r="D16154">
        <f>TEST_DATA!D16154</f>
        <v/>
      </c>
      <c r="E16154">
        <f>TEST_DATA!E16154</f>
        <v/>
      </c>
    </row>
    <row r="16155">
      <c r="A16155">
        <f>TEST_DATA!A16155</f>
        <v/>
      </c>
      <c r="B16155">
        <f>TEST_DATA!B16155</f>
        <v/>
      </c>
      <c r="C16155">
        <f>TEST_DATA!C16155</f>
        <v/>
      </c>
      <c r="D16155">
        <f>TEST_DATA!D16155</f>
        <v/>
      </c>
      <c r="E16155">
        <f>TEST_DATA!E16155</f>
        <v/>
      </c>
    </row>
    <row r="16156">
      <c r="A16156">
        <f>TEST_DATA!A16156</f>
        <v/>
      </c>
      <c r="B16156">
        <f>TEST_DATA!B16156</f>
        <v/>
      </c>
      <c r="C16156">
        <f>TEST_DATA!C16156</f>
        <v/>
      </c>
      <c r="D16156">
        <f>TEST_DATA!D16156</f>
        <v/>
      </c>
      <c r="E16156">
        <f>TEST_DATA!E16156</f>
        <v/>
      </c>
    </row>
    <row r="16157">
      <c r="A16157">
        <f>TEST_DATA!A16157</f>
        <v/>
      </c>
      <c r="B16157">
        <f>TEST_DATA!B16157</f>
        <v/>
      </c>
      <c r="C16157">
        <f>TEST_DATA!C16157</f>
        <v/>
      </c>
      <c r="D16157">
        <f>TEST_DATA!D16157</f>
        <v/>
      </c>
      <c r="E16157">
        <f>TEST_DATA!E16157</f>
        <v/>
      </c>
    </row>
    <row r="16158">
      <c r="A16158">
        <f>TEST_DATA!A16158</f>
        <v/>
      </c>
      <c r="B16158">
        <f>TEST_DATA!B16158</f>
        <v/>
      </c>
      <c r="C16158">
        <f>TEST_DATA!C16158</f>
        <v/>
      </c>
      <c r="D16158">
        <f>TEST_DATA!D16158</f>
        <v/>
      </c>
      <c r="E16158">
        <f>TEST_DATA!E16158</f>
        <v/>
      </c>
    </row>
    <row r="16159">
      <c r="A16159">
        <f>TEST_DATA!A16159</f>
        <v/>
      </c>
      <c r="B16159">
        <f>TEST_DATA!B16159</f>
        <v/>
      </c>
      <c r="C16159">
        <f>TEST_DATA!C16159</f>
        <v/>
      </c>
      <c r="D16159">
        <f>TEST_DATA!D16159</f>
        <v/>
      </c>
      <c r="E16159">
        <f>TEST_DATA!E16159</f>
        <v/>
      </c>
    </row>
    <row r="16160">
      <c r="A16160">
        <f>TEST_DATA!A16160</f>
        <v/>
      </c>
      <c r="B16160">
        <f>TEST_DATA!B16160</f>
        <v/>
      </c>
      <c r="C16160">
        <f>TEST_DATA!C16160</f>
        <v/>
      </c>
      <c r="D16160">
        <f>TEST_DATA!D16160</f>
        <v/>
      </c>
      <c r="E16160">
        <f>TEST_DATA!E16160</f>
        <v/>
      </c>
    </row>
    <row r="16161">
      <c r="A16161">
        <f>TEST_DATA!A16161</f>
        <v/>
      </c>
      <c r="B16161">
        <f>TEST_DATA!B16161</f>
        <v/>
      </c>
      <c r="C16161">
        <f>TEST_DATA!C16161</f>
        <v/>
      </c>
      <c r="D16161">
        <f>TEST_DATA!D16161</f>
        <v/>
      </c>
      <c r="E16161">
        <f>TEST_DATA!E16161</f>
        <v/>
      </c>
    </row>
    <row r="16162">
      <c r="A16162">
        <f>TEST_DATA!A16162</f>
        <v/>
      </c>
      <c r="B16162">
        <f>TEST_DATA!B16162</f>
        <v/>
      </c>
      <c r="C16162">
        <f>TEST_DATA!C16162</f>
        <v/>
      </c>
      <c r="D16162">
        <f>TEST_DATA!D16162</f>
        <v/>
      </c>
      <c r="E16162">
        <f>TEST_DATA!E16162</f>
        <v/>
      </c>
    </row>
    <row r="16163">
      <c r="A16163">
        <f>TEST_DATA!A16163</f>
        <v/>
      </c>
      <c r="B16163">
        <f>TEST_DATA!B16163</f>
        <v/>
      </c>
      <c r="C16163">
        <f>TEST_DATA!C16163</f>
        <v/>
      </c>
      <c r="D16163">
        <f>TEST_DATA!D16163</f>
        <v/>
      </c>
      <c r="E16163">
        <f>TEST_DATA!E16163</f>
        <v/>
      </c>
    </row>
    <row r="16164">
      <c r="A16164">
        <f>TEST_DATA!A16164</f>
        <v/>
      </c>
      <c r="B16164">
        <f>TEST_DATA!B16164</f>
        <v/>
      </c>
      <c r="C16164">
        <f>TEST_DATA!C16164</f>
        <v/>
      </c>
      <c r="D16164">
        <f>TEST_DATA!D16164</f>
        <v/>
      </c>
      <c r="E16164">
        <f>TEST_DATA!E16164</f>
        <v/>
      </c>
    </row>
    <row r="16165">
      <c r="A16165">
        <f>TEST_DATA!A16165</f>
        <v/>
      </c>
      <c r="B16165">
        <f>TEST_DATA!B16165</f>
        <v/>
      </c>
      <c r="C16165">
        <f>TEST_DATA!C16165</f>
        <v/>
      </c>
      <c r="D16165">
        <f>TEST_DATA!D16165</f>
        <v/>
      </c>
      <c r="E16165">
        <f>TEST_DATA!E16165</f>
        <v/>
      </c>
    </row>
    <row r="16166">
      <c r="A16166">
        <f>TEST_DATA!A16166</f>
        <v/>
      </c>
      <c r="B16166">
        <f>TEST_DATA!B16166</f>
        <v/>
      </c>
      <c r="C16166">
        <f>TEST_DATA!C16166</f>
        <v/>
      </c>
      <c r="D16166">
        <f>TEST_DATA!D16166</f>
        <v/>
      </c>
      <c r="E16166">
        <f>TEST_DATA!E16166</f>
        <v/>
      </c>
    </row>
    <row r="16167">
      <c r="A16167">
        <f>TEST_DATA!A16167</f>
        <v/>
      </c>
      <c r="B16167">
        <f>TEST_DATA!B16167</f>
        <v/>
      </c>
      <c r="C16167">
        <f>TEST_DATA!C16167</f>
        <v/>
      </c>
      <c r="D16167">
        <f>TEST_DATA!D16167</f>
        <v/>
      </c>
      <c r="E16167">
        <f>TEST_DATA!E16167</f>
        <v/>
      </c>
    </row>
    <row r="16168">
      <c r="A16168">
        <f>TEST_DATA!A16168</f>
        <v/>
      </c>
      <c r="B16168">
        <f>TEST_DATA!B16168</f>
        <v/>
      </c>
      <c r="C16168">
        <f>TEST_DATA!C16168</f>
        <v/>
      </c>
      <c r="D16168">
        <f>TEST_DATA!D16168</f>
        <v/>
      </c>
      <c r="E16168">
        <f>TEST_DATA!E16168</f>
        <v/>
      </c>
    </row>
    <row r="16169">
      <c r="A16169">
        <f>TEST_DATA!A16169</f>
        <v/>
      </c>
      <c r="B16169">
        <f>TEST_DATA!B16169</f>
        <v/>
      </c>
      <c r="C16169">
        <f>TEST_DATA!C16169</f>
        <v/>
      </c>
      <c r="D16169">
        <f>TEST_DATA!D16169</f>
        <v/>
      </c>
      <c r="E16169">
        <f>TEST_DATA!E16169</f>
        <v/>
      </c>
    </row>
    <row r="16170">
      <c r="A16170">
        <f>TEST_DATA!A16170</f>
        <v/>
      </c>
      <c r="B16170">
        <f>TEST_DATA!B16170</f>
        <v/>
      </c>
      <c r="C16170">
        <f>TEST_DATA!C16170</f>
        <v/>
      </c>
      <c r="D16170">
        <f>TEST_DATA!D16170</f>
        <v/>
      </c>
      <c r="E16170">
        <f>TEST_DATA!E16170</f>
        <v/>
      </c>
    </row>
    <row r="16171">
      <c r="A16171">
        <f>TEST_DATA!A16171</f>
        <v/>
      </c>
      <c r="B16171">
        <f>TEST_DATA!B16171</f>
        <v/>
      </c>
      <c r="C16171">
        <f>TEST_DATA!C16171</f>
        <v/>
      </c>
      <c r="D16171">
        <f>TEST_DATA!D16171</f>
        <v/>
      </c>
      <c r="E16171">
        <f>TEST_DATA!E16171</f>
        <v/>
      </c>
    </row>
    <row r="16172">
      <c r="A16172">
        <f>TEST_DATA!A16172</f>
        <v/>
      </c>
      <c r="B16172">
        <f>TEST_DATA!B16172</f>
        <v/>
      </c>
      <c r="C16172">
        <f>TEST_DATA!C16172</f>
        <v/>
      </c>
      <c r="D16172">
        <f>TEST_DATA!D16172</f>
        <v/>
      </c>
      <c r="E16172">
        <f>TEST_DATA!E16172</f>
        <v/>
      </c>
    </row>
    <row r="16173">
      <c r="A16173">
        <f>TEST_DATA!A16173</f>
        <v/>
      </c>
      <c r="B16173">
        <f>TEST_DATA!B16173</f>
        <v/>
      </c>
      <c r="C16173">
        <f>TEST_DATA!C16173</f>
        <v/>
      </c>
      <c r="D16173">
        <f>TEST_DATA!D16173</f>
        <v/>
      </c>
      <c r="E16173">
        <f>TEST_DATA!E16173</f>
        <v/>
      </c>
    </row>
    <row r="16174">
      <c r="A16174">
        <f>TEST_DATA!A16174</f>
        <v/>
      </c>
      <c r="B16174">
        <f>TEST_DATA!B16174</f>
        <v/>
      </c>
      <c r="C16174">
        <f>TEST_DATA!C16174</f>
        <v/>
      </c>
      <c r="D16174">
        <f>TEST_DATA!D16174</f>
        <v/>
      </c>
      <c r="E16174">
        <f>TEST_DATA!E16174</f>
        <v/>
      </c>
    </row>
    <row r="16175">
      <c r="A16175">
        <f>TEST_DATA!A16175</f>
        <v/>
      </c>
      <c r="B16175">
        <f>TEST_DATA!B16175</f>
        <v/>
      </c>
      <c r="C16175">
        <f>TEST_DATA!C16175</f>
        <v/>
      </c>
      <c r="D16175">
        <f>TEST_DATA!D16175</f>
        <v/>
      </c>
      <c r="E16175">
        <f>TEST_DATA!E16175</f>
        <v/>
      </c>
    </row>
    <row r="16176">
      <c r="A16176">
        <f>TEST_DATA!A16176</f>
        <v/>
      </c>
      <c r="B16176">
        <f>TEST_DATA!B16176</f>
        <v/>
      </c>
      <c r="C16176">
        <f>TEST_DATA!C16176</f>
        <v/>
      </c>
      <c r="D16176">
        <f>TEST_DATA!D16176</f>
        <v/>
      </c>
      <c r="E16176">
        <f>TEST_DATA!E16176</f>
        <v/>
      </c>
    </row>
    <row r="16177">
      <c r="A16177">
        <f>TEST_DATA!A16177</f>
        <v/>
      </c>
      <c r="B16177">
        <f>TEST_DATA!B16177</f>
        <v/>
      </c>
      <c r="C16177">
        <f>TEST_DATA!C16177</f>
        <v/>
      </c>
      <c r="D16177">
        <f>TEST_DATA!D16177</f>
        <v/>
      </c>
      <c r="E16177">
        <f>TEST_DATA!E16177</f>
        <v/>
      </c>
    </row>
    <row r="16178">
      <c r="A16178">
        <f>TEST_DATA!A16178</f>
        <v/>
      </c>
      <c r="B16178">
        <f>TEST_DATA!B16178</f>
        <v/>
      </c>
      <c r="C16178">
        <f>TEST_DATA!C16178</f>
        <v/>
      </c>
      <c r="D16178">
        <f>TEST_DATA!D16178</f>
        <v/>
      </c>
      <c r="E16178">
        <f>TEST_DATA!E16178</f>
        <v/>
      </c>
    </row>
    <row r="16179">
      <c r="A16179">
        <f>TEST_DATA!A16179</f>
        <v/>
      </c>
      <c r="B16179">
        <f>TEST_DATA!B16179</f>
        <v/>
      </c>
      <c r="C16179">
        <f>TEST_DATA!C16179</f>
        <v/>
      </c>
      <c r="D16179">
        <f>TEST_DATA!D16179</f>
        <v/>
      </c>
      <c r="E16179">
        <f>TEST_DATA!E16179</f>
        <v/>
      </c>
    </row>
    <row r="16180">
      <c r="A16180">
        <f>TEST_DATA!A16180</f>
        <v/>
      </c>
      <c r="B16180">
        <f>TEST_DATA!B16180</f>
        <v/>
      </c>
      <c r="C16180">
        <f>TEST_DATA!C16180</f>
        <v/>
      </c>
      <c r="D16180">
        <f>TEST_DATA!D16180</f>
        <v/>
      </c>
      <c r="E16180">
        <f>TEST_DATA!E16180</f>
        <v/>
      </c>
    </row>
    <row r="16181">
      <c r="A16181">
        <f>TEST_DATA!A16181</f>
        <v/>
      </c>
      <c r="B16181">
        <f>TEST_DATA!B16181</f>
        <v/>
      </c>
      <c r="C16181">
        <f>TEST_DATA!C16181</f>
        <v/>
      </c>
      <c r="D16181">
        <f>TEST_DATA!D16181</f>
        <v/>
      </c>
      <c r="E16181">
        <f>TEST_DATA!E16181</f>
        <v/>
      </c>
    </row>
    <row r="16182">
      <c r="A16182">
        <f>TEST_DATA!A16182</f>
        <v/>
      </c>
      <c r="B16182">
        <f>TEST_DATA!B16182</f>
        <v/>
      </c>
      <c r="C16182">
        <f>TEST_DATA!C16182</f>
        <v/>
      </c>
      <c r="D16182">
        <f>TEST_DATA!D16182</f>
        <v/>
      </c>
      <c r="E16182">
        <f>TEST_DATA!E16182</f>
        <v/>
      </c>
    </row>
    <row r="16183">
      <c r="A16183">
        <f>TEST_DATA!A16183</f>
        <v/>
      </c>
      <c r="B16183">
        <f>TEST_DATA!B16183</f>
        <v/>
      </c>
      <c r="C16183">
        <f>TEST_DATA!C16183</f>
        <v/>
      </c>
      <c r="D16183">
        <f>TEST_DATA!D16183</f>
        <v/>
      </c>
      <c r="E16183">
        <f>TEST_DATA!E16183</f>
        <v/>
      </c>
    </row>
    <row r="16184">
      <c r="A16184">
        <f>TEST_DATA!A16184</f>
        <v/>
      </c>
      <c r="B16184">
        <f>TEST_DATA!B16184</f>
        <v/>
      </c>
      <c r="C16184">
        <f>TEST_DATA!C16184</f>
        <v/>
      </c>
      <c r="D16184">
        <f>TEST_DATA!D16184</f>
        <v/>
      </c>
      <c r="E16184">
        <f>TEST_DATA!E16184</f>
        <v/>
      </c>
    </row>
    <row r="16185">
      <c r="A16185">
        <f>TEST_DATA!A16185</f>
        <v/>
      </c>
      <c r="B16185">
        <f>TEST_DATA!B16185</f>
        <v/>
      </c>
      <c r="C16185">
        <f>TEST_DATA!C16185</f>
        <v/>
      </c>
      <c r="D16185">
        <f>TEST_DATA!D16185</f>
        <v/>
      </c>
      <c r="E16185">
        <f>TEST_DATA!E16185</f>
        <v/>
      </c>
    </row>
    <row r="16186">
      <c r="A16186">
        <f>TEST_DATA!A16186</f>
        <v/>
      </c>
      <c r="B16186">
        <f>TEST_DATA!B16186</f>
        <v/>
      </c>
      <c r="C16186">
        <f>TEST_DATA!C16186</f>
        <v/>
      </c>
      <c r="D16186">
        <f>TEST_DATA!D16186</f>
        <v/>
      </c>
      <c r="E16186">
        <f>TEST_DATA!E16186</f>
        <v/>
      </c>
    </row>
    <row r="16187">
      <c r="A16187">
        <f>TEST_DATA!A16187</f>
        <v/>
      </c>
      <c r="B16187">
        <f>TEST_DATA!B16187</f>
        <v/>
      </c>
      <c r="C16187">
        <f>TEST_DATA!C16187</f>
        <v/>
      </c>
      <c r="D16187">
        <f>TEST_DATA!D16187</f>
        <v/>
      </c>
      <c r="E16187">
        <f>TEST_DATA!E16187</f>
        <v/>
      </c>
    </row>
    <row r="16188">
      <c r="A16188">
        <f>TEST_DATA!A16188</f>
        <v/>
      </c>
      <c r="B16188">
        <f>TEST_DATA!B16188</f>
        <v/>
      </c>
      <c r="C16188">
        <f>TEST_DATA!C16188</f>
        <v/>
      </c>
      <c r="D16188">
        <f>TEST_DATA!D16188</f>
        <v/>
      </c>
      <c r="E16188">
        <f>TEST_DATA!E16188</f>
        <v/>
      </c>
    </row>
    <row r="16189">
      <c r="A16189">
        <f>TEST_DATA!A16189</f>
        <v/>
      </c>
      <c r="B16189">
        <f>TEST_DATA!B16189</f>
        <v/>
      </c>
      <c r="C16189">
        <f>TEST_DATA!C16189</f>
        <v/>
      </c>
      <c r="D16189">
        <f>TEST_DATA!D16189</f>
        <v/>
      </c>
      <c r="E16189">
        <f>TEST_DATA!E16189</f>
        <v/>
      </c>
    </row>
    <row r="16190">
      <c r="A16190">
        <f>TEST_DATA!A16190</f>
        <v/>
      </c>
      <c r="B16190">
        <f>TEST_DATA!B16190</f>
        <v/>
      </c>
      <c r="C16190">
        <f>TEST_DATA!C16190</f>
        <v/>
      </c>
      <c r="D16190">
        <f>TEST_DATA!D16190</f>
        <v/>
      </c>
      <c r="E16190">
        <f>TEST_DATA!E16190</f>
        <v/>
      </c>
    </row>
    <row r="16191">
      <c r="A16191">
        <f>TEST_DATA!A16191</f>
        <v/>
      </c>
      <c r="B16191">
        <f>TEST_DATA!B16191</f>
        <v/>
      </c>
      <c r="C16191">
        <f>TEST_DATA!C16191</f>
        <v/>
      </c>
      <c r="D16191">
        <f>TEST_DATA!D16191</f>
        <v/>
      </c>
      <c r="E16191">
        <f>TEST_DATA!E16191</f>
        <v/>
      </c>
    </row>
    <row r="16192">
      <c r="A16192">
        <f>TEST_DATA!A16192</f>
        <v/>
      </c>
      <c r="B16192">
        <f>TEST_DATA!B16192</f>
        <v/>
      </c>
      <c r="C16192">
        <f>TEST_DATA!C16192</f>
        <v/>
      </c>
      <c r="D16192">
        <f>TEST_DATA!D16192</f>
        <v/>
      </c>
      <c r="E16192">
        <f>TEST_DATA!E16192</f>
        <v/>
      </c>
    </row>
    <row r="16193">
      <c r="A16193">
        <f>TEST_DATA!A16193</f>
        <v/>
      </c>
      <c r="B16193">
        <f>TEST_DATA!B16193</f>
        <v/>
      </c>
      <c r="C16193">
        <f>TEST_DATA!C16193</f>
        <v/>
      </c>
      <c r="D16193">
        <f>TEST_DATA!D16193</f>
        <v/>
      </c>
      <c r="E16193">
        <f>TEST_DATA!E16193</f>
        <v/>
      </c>
    </row>
    <row r="16194">
      <c r="A16194">
        <f>TEST_DATA!A16194</f>
        <v/>
      </c>
      <c r="B16194">
        <f>TEST_DATA!B16194</f>
        <v/>
      </c>
      <c r="C16194">
        <f>TEST_DATA!C16194</f>
        <v/>
      </c>
      <c r="D16194">
        <f>TEST_DATA!D16194</f>
        <v/>
      </c>
      <c r="E16194">
        <f>TEST_DATA!E16194</f>
        <v/>
      </c>
    </row>
    <row r="16195">
      <c r="A16195">
        <f>TEST_DATA!A16195</f>
        <v/>
      </c>
      <c r="B16195">
        <f>TEST_DATA!B16195</f>
        <v/>
      </c>
      <c r="C16195">
        <f>TEST_DATA!C16195</f>
        <v/>
      </c>
      <c r="D16195">
        <f>TEST_DATA!D16195</f>
        <v/>
      </c>
      <c r="E16195">
        <f>TEST_DATA!E16195</f>
        <v/>
      </c>
    </row>
    <row r="16196">
      <c r="A16196">
        <f>TEST_DATA!A16196</f>
        <v/>
      </c>
      <c r="B16196">
        <f>TEST_DATA!B16196</f>
        <v/>
      </c>
      <c r="C16196">
        <f>TEST_DATA!C16196</f>
        <v/>
      </c>
      <c r="D16196">
        <f>TEST_DATA!D16196</f>
        <v/>
      </c>
      <c r="E16196">
        <f>TEST_DATA!E16196</f>
        <v/>
      </c>
    </row>
    <row r="16197">
      <c r="A16197">
        <f>TEST_DATA!A16197</f>
        <v/>
      </c>
      <c r="B16197">
        <f>TEST_DATA!B16197</f>
        <v/>
      </c>
      <c r="C16197">
        <f>TEST_DATA!C16197</f>
        <v/>
      </c>
      <c r="D16197">
        <f>TEST_DATA!D16197</f>
        <v/>
      </c>
      <c r="E16197">
        <f>TEST_DATA!E16197</f>
        <v/>
      </c>
    </row>
    <row r="16198">
      <c r="A16198">
        <f>TEST_DATA!A16198</f>
        <v/>
      </c>
      <c r="B16198">
        <f>TEST_DATA!B16198</f>
        <v/>
      </c>
      <c r="C16198">
        <f>TEST_DATA!C16198</f>
        <v/>
      </c>
      <c r="D16198">
        <f>TEST_DATA!D16198</f>
        <v/>
      </c>
      <c r="E16198">
        <f>TEST_DATA!E16198</f>
        <v/>
      </c>
    </row>
    <row r="16199">
      <c r="A16199">
        <f>TEST_DATA!A16199</f>
        <v/>
      </c>
      <c r="B16199">
        <f>TEST_DATA!B16199</f>
        <v/>
      </c>
      <c r="C16199">
        <f>TEST_DATA!C16199</f>
        <v/>
      </c>
      <c r="D16199">
        <f>TEST_DATA!D16199</f>
        <v/>
      </c>
      <c r="E16199">
        <f>TEST_DATA!E16199</f>
        <v/>
      </c>
    </row>
    <row r="16200">
      <c r="A16200">
        <f>TEST_DATA!A16200</f>
        <v/>
      </c>
      <c r="B16200">
        <f>TEST_DATA!B16200</f>
        <v/>
      </c>
      <c r="C16200">
        <f>TEST_DATA!C16200</f>
        <v/>
      </c>
      <c r="D16200">
        <f>TEST_DATA!D16200</f>
        <v/>
      </c>
      <c r="E16200">
        <f>TEST_DATA!E16200</f>
        <v/>
      </c>
    </row>
    <row r="16201">
      <c r="A16201">
        <f>TEST_DATA!A16201</f>
        <v/>
      </c>
      <c r="B16201">
        <f>TEST_DATA!B16201</f>
        <v/>
      </c>
      <c r="C16201">
        <f>TEST_DATA!C16201</f>
        <v/>
      </c>
      <c r="D16201">
        <f>TEST_DATA!D16201</f>
        <v/>
      </c>
      <c r="E16201">
        <f>TEST_DATA!E16201</f>
        <v/>
      </c>
    </row>
    <row r="16202">
      <c r="A16202">
        <f>TEST_DATA!A16202</f>
        <v/>
      </c>
      <c r="B16202">
        <f>TEST_DATA!B16202</f>
        <v/>
      </c>
      <c r="C16202">
        <f>TEST_DATA!C16202</f>
        <v/>
      </c>
      <c r="D16202">
        <f>TEST_DATA!D16202</f>
        <v/>
      </c>
      <c r="E16202">
        <f>TEST_DATA!E16202</f>
        <v/>
      </c>
    </row>
    <row r="16203">
      <c r="A16203">
        <f>TEST_DATA!A16203</f>
        <v/>
      </c>
      <c r="B16203">
        <f>TEST_DATA!B16203</f>
        <v/>
      </c>
      <c r="C16203">
        <f>TEST_DATA!C16203</f>
        <v/>
      </c>
      <c r="D16203">
        <f>TEST_DATA!D16203</f>
        <v/>
      </c>
      <c r="E16203">
        <f>TEST_DATA!E16203</f>
        <v/>
      </c>
    </row>
    <row r="16204">
      <c r="A16204">
        <f>TEST_DATA!A16204</f>
        <v/>
      </c>
      <c r="B16204">
        <f>TEST_DATA!B16204</f>
        <v/>
      </c>
      <c r="C16204">
        <f>TEST_DATA!C16204</f>
        <v/>
      </c>
      <c r="D16204">
        <f>TEST_DATA!D16204</f>
        <v/>
      </c>
      <c r="E16204">
        <f>TEST_DATA!E16204</f>
        <v/>
      </c>
    </row>
    <row r="16205">
      <c r="A16205">
        <f>TEST_DATA!A16205</f>
        <v/>
      </c>
      <c r="B16205">
        <f>TEST_DATA!B16205</f>
        <v/>
      </c>
      <c r="C16205">
        <f>TEST_DATA!C16205</f>
        <v/>
      </c>
      <c r="D16205">
        <f>TEST_DATA!D16205</f>
        <v/>
      </c>
      <c r="E16205">
        <f>TEST_DATA!E16205</f>
        <v/>
      </c>
    </row>
    <row r="16206">
      <c r="A16206">
        <f>TEST_DATA!A16206</f>
        <v/>
      </c>
      <c r="B16206">
        <f>TEST_DATA!B16206</f>
        <v/>
      </c>
      <c r="C16206">
        <f>TEST_DATA!C16206</f>
        <v/>
      </c>
      <c r="D16206">
        <f>TEST_DATA!D16206</f>
        <v/>
      </c>
      <c r="E16206">
        <f>TEST_DATA!E16206</f>
        <v/>
      </c>
    </row>
    <row r="16207">
      <c r="A16207">
        <f>TEST_DATA!A16207</f>
        <v/>
      </c>
      <c r="B16207">
        <f>TEST_DATA!B16207</f>
        <v/>
      </c>
      <c r="C16207">
        <f>TEST_DATA!C16207</f>
        <v/>
      </c>
      <c r="D16207">
        <f>TEST_DATA!D16207</f>
        <v/>
      </c>
      <c r="E16207">
        <f>TEST_DATA!E16207</f>
        <v/>
      </c>
    </row>
    <row r="16208">
      <c r="A16208">
        <f>TEST_DATA!A16208</f>
        <v/>
      </c>
      <c r="B16208">
        <f>TEST_DATA!B16208</f>
        <v/>
      </c>
      <c r="C16208">
        <f>TEST_DATA!C16208</f>
        <v/>
      </c>
      <c r="D16208">
        <f>TEST_DATA!D16208</f>
        <v/>
      </c>
      <c r="E16208">
        <f>TEST_DATA!E16208</f>
        <v/>
      </c>
    </row>
    <row r="16209">
      <c r="A16209">
        <f>TEST_DATA!A16209</f>
        <v/>
      </c>
      <c r="B16209">
        <f>TEST_DATA!B16209</f>
        <v/>
      </c>
      <c r="C16209">
        <f>TEST_DATA!C16209</f>
        <v/>
      </c>
      <c r="D16209">
        <f>TEST_DATA!D16209</f>
        <v/>
      </c>
      <c r="E16209">
        <f>TEST_DATA!E16209</f>
        <v/>
      </c>
    </row>
    <row r="16210">
      <c r="A16210">
        <f>TEST_DATA!A16210</f>
        <v/>
      </c>
      <c r="B16210">
        <f>TEST_DATA!B16210</f>
        <v/>
      </c>
      <c r="C16210">
        <f>TEST_DATA!C16210</f>
        <v/>
      </c>
      <c r="D16210">
        <f>TEST_DATA!D16210</f>
        <v/>
      </c>
      <c r="E16210">
        <f>TEST_DATA!E16210</f>
        <v/>
      </c>
    </row>
    <row r="16211">
      <c r="A16211">
        <f>TEST_DATA!A16211</f>
        <v/>
      </c>
      <c r="B16211">
        <f>TEST_DATA!B16211</f>
        <v/>
      </c>
      <c r="C16211">
        <f>TEST_DATA!C16211</f>
        <v/>
      </c>
      <c r="D16211">
        <f>TEST_DATA!D16211</f>
        <v/>
      </c>
      <c r="E16211">
        <f>TEST_DATA!E16211</f>
        <v/>
      </c>
    </row>
    <row r="16212">
      <c r="A16212">
        <f>TEST_DATA!A16212</f>
        <v/>
      </c>
      <c r="B16212">
        <f>TEST_DATA!B16212</f>
        <v/>
      </c>
      <c r="C16212">
        <f>TEST_DATA!C16212</f>
        <v/>
      </c>
      <c r="D16212">
        <f>TEST_DATA!D16212</f>
        <v/>
      </c>
      <c r="E16212">
        <f>TEST_DATA!E16212</f>
        <v/>
      </c>
    </row>
    <row r="16213">
      <c r="A16213">
        <f>TEST_DATA!A16213</f>
        <v/>
      </c>
      <c r="B16213">
        <f>TEST_DATA!B16213</f>
        <v/>
      </c>
      <c r="C16213">
        <f>TEST_DATA!C16213</f>
        <v/>
      </c>
      <c r="D16213">
        <f>TEST_DATA!D16213</f>
        <v/>
      </c>
      <c r="E16213">
        <f>TEST_DATA!E16213</f>
        <v/>
      </c>
    </row>
    <row r="16214">
      <c r="A16214">
        <f>TEST_DATA!A16214</f>
        <v/>
      </c>
      <c r="B16214">
        <f>TEST_DATA!B16214</f>
        <v/>
      </c>
      <c r="C16214">
        <f>TEST_DATA!C16214</f>
        <v/>
      </c>
      <c r="D16214">
        <f>TEST_DATA!D16214</f>
        <v/>
      </c>
      <c r="E16214">
        <f>TEST_DATA!E16214</f>
        <v/>
      </c>
    </row>
    <row r="16215">
      <c r="A16215">
        <f>TEST_DATA!A16215</f>
        <v/>
      </c>
      <c r="B16215">
        <f>TEST_DATA!B16215</f>
        <v/>
      </c>
      <c r="C16215">
        <f>TEST_DATA!C16215</f>
        <v/>
      </c>
      <c r="D16215">
        <f>TEST_DATA!D16215</f>
        <v/>
      </c>
      <c r="E16215">
        <f>TEST_DATA!E16215</f>
        <v/>
      </c>
    </row>
    <row r="16216">
      <c r="A16216">
        <f>TEST_DATA!A16216</f>
        <v/>
      </c>
      <c r="B16216">
        <f>TEST_DATA!B16216</f>
        <v/>
      </c>
      <c r="C16216">
        <f>TEST_DATA!C16216</f>
        <v/>
      </c>
      <c r="D16216">
        <f>TEST_DATA!D16216</f>
        <v/>
      </c>
      <c r="E16216">
        <f>TEST_DATA!E16216</f>
        <v/>
      </c>
    </row>
    <row r="16217">
      <c r="A16217">
        <f>TEST_DATA!A16217</f>
        <v/>
      </c>
      <c r="B16217">
        <f>TEST_DATA!B16217</f>
        <v/>
      </c>
      <c r="C16217">
        <f>TEST_DATA!C16217</f>
        <v/>
      </c>
      <c r="D16217">
        <f>TEST_DATA!D16217</f>
        <v/>
      </c>
      <c r="E16217">
        <f>TEST_DATA!E16217</f>
        <v/>
      </c>
    </row>
    <row r="16218">
      <c r="A16218">
        <f>TEST_DATA!A16218</f>
        <v/>
      </c>
      <c r="B16218">
        <f>TEST_DATA!B16218</f>
        <v/>
      </c>
      <c r="C16218">
        <f>TEST_DATA!C16218</f>
        <v/>
      </c>
      <c r="D16218">
        <f>TEST_DATA!D16218</f>
        <v/>
      </c>
      <c r="E16218">
        <f>TEST_DATA!E16218</f>
        <v/>
      </c>
    </row>
    <row r="16219">
      <c r="A16219">
        <f>TEST_DATA!A16219</f>
        <v/>
      </c>
      <c r="B16219">
        <f>TEST_DATA!B16219</f>
        <v/>
      </c>
      <c r="C16219">
        <f>TEST_DATA!C16219</f>
        <v/>
      </c>
      <c r="D16219">
        <f>TEST_DATA!D16219</f>
        <v/>
      </c>
      <c r="E16219">
        <f>TEST_DATA!E16219</f>
        <v/>
      </c>
    </row>
    <row r="16220">
      <c r="A16220">
        <f>TEST_DATA!A16220</f>
        <v/>
      </c>
      <c r="B16220">
        <f>TEST_DATA!B16220</f>
        <v/>
      </c>
      <c r="C16220">
        <f>TEST_DATA!C16220</f>
        <v/>
      </c>
      <c r="D16220">
        <f>TEST_DATA!D16220</f>
        <v/>
      </c>
      <c r="E16220">
        <f>TEST_DATA!E16220</f>
        <v/>
      </c>
    </row>
    <row r="16221">
      <c r="A16221">
        <f>TEST_DATA!A16221</f>
        <v/>
      </c>
      <c r="B16221">
        <f>TEST_DATA!B16221</f>
        <v/>
      </c>
      <c r="C16221">
        <f>TEST_DATA!C16221</f>
        <v/>
      </c>
      <c r="D16221">
        <f>TEST_DATA!D16221</f>
        <v/>
      </c>
      <c r="E16221">
        <f>TEST_DATA!E16221</f>
        <v/>
      </c>
    </row>
    <row r="16222">
      <c r="A16222">
        <f>TEST_DATA!A16222</f>
        <v/>
      </c>
      <c r="B16222">
        <f>TEST_DATA!B16222</f>
        <v/>
      </c>
      <c r="C16222">
        <f>TEST_DATA!C16222</f>
        <v/>
      </c>
      <c r="D16222">
        <f>TEST_DATA!D16222</f>
        <v/>
      </c>
      <c r="E16222">
        <f>TEST_DATA!E16222</f>
        <v/>
      </c>
    </row>
    <row r="16223">
      <c r="A16223">
        <f>TEST_DATA!A16223</f>
        <v/>
      </c>
      <c r="B16223">
        <f>TEST_DATA!B16223</f>
        <v/>
      </c>
      <c r="C16223">
        <f>TEST_DATA!C16223</f>
        <v/>
      </c>
      <c r="D16223">
        <f>TEST_DATA!D16223</f>
        <v/>
      </c>
      <c r="E16223">
        <f>TEST_DATA!E16223</f>
        <v/>
      </c>
    </row>
    <row r="16224">
      <c r="A16224">
        <f>TEST_DATA!A16224</f>
        <v/>
      </c>
      <c r="B16224">
        <f>TEST_DATA!B16224</f>
        <v/>
      </c>
      <c r="C16224">
        <f>TEST_DATA!C16224</f>
        <v/>
      </c>
      <c r="D16224">
        <f>TEST_DATA!D16224</f>
        <v/>
      </c>
      <c r="E16224">
        <f>TEST_DATA!E16224</f>
        <v/>
      </c>
    </row>
    <row r="16225">
      <c r="A16225">
        <f>TEST_DATA!A16225</f>
        <v/>
      </c>
      <c r="B16225">
        <f>TEST_DATA!B16225</f>
        <v/>
      </c>
      <c r="C16225">
        <f>TEST_DATA!C16225</f>
        <v/>
      </c>
      <c r="D16225">
        <f>TEST_DATA!D16225</f>
        <v/>
      </c>
      <c r="E16225">
        <f>TEST_DATA!E16225</f>
        <v/>
      </c>
    </row>
    <row r="16226">
      <c r="A16226">
        <f>TEST_DATA!A16226</f>
        <v/>
      </c>
      <c r="B16226">
        <f>TEST_DATA!B16226</f>
        <v/>
      </c>
      <c r="C16226">
        <f>TEST_DATA!C16226</f>
        <v/>
      </c>
      <c r="D16226">
        <f>TEST_DATA!D16226</f>
        <v/>
      </c>
      <c r="E16226">
        <f>TEST_DATA!E16226</f>
        <v/>
      </c>
    </row>
    <row r="16227">
      <c r="A16227">
        <f>TEST_DATA!A16227</f>
        <v/>
      </c>
      <c r="B16227">
        <f>TEST_DATA!B16227</f>
        <v/>
      </c>
      <c r="C16227">
        <f>TEST_DATA!C16227</f>
        <v/>
      </c>
      <c r="D16227">
        <f>TEST_DATA!D16227</f>
        <v/>
      </c>
      <c r="E16227">
        <f>TEST_DATA!E16227</f>
        <v/>
      </c>
    </row>
    <row r="16228">
      <c r="A16228">
        <f>TEST_DATA!A16228</f>
        <v/>
      </c>
      <c r="B16228">
        <f>TEST_DATA!B16228</f>
        <v/>
      </c>
      <c r="C16228">
        <f>TEST_DATA!C16228</f>
        <v/>
      </c>
      <c r="D16228">
        <f>TEST_DATA!D16228</f>
        <v/>
      </c>
      <c r="E16228">
        <f>TEST_DATA!E16228</f>
        <v/>
      </c>
    </row>
    <row r="16229">
      <c r="A16229">
        <f>TEST_DATA!A16229</f>
        <v/>
      </c>
      <c r="B16229">
        <f>TEST_DATA!B16229</f>
        <v/>
      </c>
      <c r="C16229">
        <f>TEST_DATA!C16229</f>
        <v/>
      </c>
      <c r="D16229">
        <f>TEST_DATA!D16229</f>
        <v/>
      </c>
      <c r="E16229">
        <f>TEST_DATA!E16229</f>
        <v/>
      </c>
    </row>
    <row r="16230">
      <c r="A16230">
        <f>TEST_DATA!A16230</f>
        <v/>
      </c>
      <c r="B16230">
        <f>TEST_DATA!B16230</f>
        <v/>
      </c>
      <c r="C16230">
        <f>TEST_DATA!C16230</f>
        <v/>
      </c>
      <c r="D16230">
        <f>TEST_DATA!D16230</f>
        <v/>
      </c>
      <c r="E16230">
        <f>TEST_DATA!E16230</f>
        <v/>
      </c>
    </row>
    <row r="16231">
      <c r="A16231">
        <f>TEST_DATA!A16231</f>
        <v/>
      </c>
      <c r="B16231">
        <f>TEST_DATA!B16231</f>
        <v/>
      </c>
      <c r="C16231">
        <f>TEST_DATA!C16231</f>
        <v/>
      </c>
      <c r="D16231">
        <f>TEST_DATA!D16231</f>
        <v/>
      </c>
      <c r="E16231">
        <f>TEST_DATA!E16231</f>
        <v/>
      </c>
    </row>
    <row r="16232">
      <c r="A16232">
        <f>TEST_DATA!A16232</f>
        <v/>
      </c>
      <c r="B16232">
        <f>TEST_DATA!B16232</f>
        <v/>
      </c>
      <c r="C16232">
        <f>TEST_DATA!C16232</f>
        <v/>
      </c>
      <c r="D16232">
        <f>TEST_DATA!D16232</f>
        <v/>
      </c>
      <c r="E16232">
        <f>TEST_DATA!E16232</f>
        <v/>
      </c>
    </row>
    <row r="16233">
      <c r="A16233">
        <f>TEST_DATA!A16233</f>
        <v/>
      </c>
      <c r="B16233">
        <f>TEST_DATA!B16233</f>
        <v/>
      </c>
      <c r="C16233">
        <f>TEST_DATA!C16233</f>
        <v/>
      </c>
      <c r="D16233">
        <f>TEST_DATA!D16233</f>
        <v/>
      </c>
      <c r="E16233">
        <f>TEST_DATA!E16233</f>
        <v/>
      </c>
    </row>
    <row r="16234">
      <c r="A16234">
        <f>TEST_DATA!A16234</f>
        <v/>
      </c>
      <c r="B16234">
        <f>TEST_DATA!B16234</f>
        <v/>
      </c>
      <c r="C16234">
        <f>TEST_DATA!C16234</f>
        <v/>
      </c>
      <c r="D16234">
        <f>TEST_DATA!D16234</f>
        <v/>
      </c>
      <c r="E16234">
        <f>TEST_DATA!E16234</f>
        <v/>
      </c>
    </row>
    <row r="16235">
      <c r="A16235">
        <f>TEST_DATA!A16235</f>
        <v/>
      </c>
      <c r="B16235">
        <f>TEST_DATA!B16235</f>
        <v/>
      </c>
      <c r="C16235">
        <f>TEST_DATA!C16235</f>
        <v/>
      </c>
      <c r="D16235">
        <f>TEST_DATA!D16235</f>
        <v/>
      </c>
      <c r="E16235">
        <f>TEST_DATA!E16235</f>
        <v/>
      </c>
    </row>
    <row r="16236">
      <c r="A16236">
        <f>TEST_DATA!A16236</f>
        <v/>
      </c>
      <c r="B16236">
        <f>TEST_DATA!B16236</f>
        <v/>
      </c>
      <c r="C16236">
        <f>TEST_DATA!C16236</f>
        <v/>
      </c>
      <c r="D16236">
        <f>TEST_DATA!D16236</f>
        <v/>
      </c>
      <c r="E16236">
        <f>TEST_DATA!E16236</f>
        <v/>
      </c>
    </row>
    <row r="16237">
      <c r="A16237">
        <f>TEST_DATA!A16237</f>
        <v/>
      </c>
      <c r="B16237">
        <f>TEST_DATA!B16237</f>
        <v/>
      </c>
      <c r="C16237">
        <f>TEST_DATA!C16237</f>
        <v/>
      </c>
      <c r="D16237">
        <f>TEST_DATA!D16237</f>
        <v/>
      </c>
      <c r="E16237">
        <f>TEST_DATA!E16237</f>
        <v/>
      </c>
    </row>
    <row r="16238">
      <c r="A16238">
        <f>TEST_DATA!A16238</f>
        <v/>
      </c>
      <c r="B16238">
        <f>TEST_DATA!B16238</f>
        <v/>
      </c>
      <c r="C16238">
        <f>TEST_DATA!C16238</f>
        <v/>
      </c>
      <c r="D16238">
        <f>TEST_DATA!D16238</f>
        <v/>
      </c>
      <c r="E16238">
        <f>TEST_DATA!E16238</f>
        <v/>
      </c>
    </row>
    <row r="16239">
      <c r="A16239">
        <f>TEST_DATA!A16239</f>
        <v/>
      </c>
      <c r="B16239">
        <f>TEST_DATA!B16239</f>
        <v/>
      </c>
      <c r="C16239">
        <f>TEST_DATA!C16239</f>
        <v/>
      </c>
      <c r="D16239">
        <f>TEST_DATA!D16239</f>
        <v/>
      </c>
      <c r="E16239">
        <f>TEST_DATA!E16239</f>
        <v/>
      </c>
    </row>
    <row r="16240">
      <c r="A16240">
        <f>TEST_DATA!A16240</f>
        <v/>
      </c>
      <c r="B16240">
        <f>TEST_DATA!B16240</f>
        <v/>
      </c>
      <c r="C16240">
        <f>TEST_DATA!C16240</f>
        <v/>
      </c>
      <c r="D16240">
        <f>TEST_DATA!D16240</f>
        <v/>
      </c>
      <c r="E16240">
        <f>TEST_DATA!E16240</f>
        <v/>
      </c>
    </row>
    <row r="16241">
      <c r="A16241">
        <f>TEST_DATA!A16241</f>
        <v/>
      </c>
      <c r="B16241">
        <f>TEST_DATA!B16241</f>
        <v/>
      </c>
      <c r="C16241">
        <f>TEST_DATA!C16241</f>
        <v/>
      </c>
      <c r="D16241">
        <f>TEST_DATA!D16241</f>
        <v/>
      </c>
      <c r="E16241">
        <f>TEST_DATA!E16241</f>
        <v/>
      </c>
    </row>
    <row r="16242">
      <c r="A16242">
        <f>TEST_DATA!A16242</f>
        <v/>
      </c>
      <c r="B16242">
        <f>TEST_DATA!B16242</f>
        <v/>
      </c>
      <c r="C16242">
        <f>TEST_DATA!C16242</f>
        <v/>
      </c>
      <c r="D16242">
        <f>TEST_DATA!D16242</f>
        <v/>
      </c>
      <c r="E16242">
        <f>TEST_DATA!E16242</f>
        <v/>
      </c>
    </row>
    <row r="16243">
      <c r="A16243">
        <f>TEST_DATA!A16243</f>
        <v/>
      </c>
      <c r="B16243">
        <f>TEST_DATA!B16243</f>
        <v/>
      </c>
      <c r="C16243">
        <f>TEST_DATA!C16243</f>
        <v/>
      </c>
      <c r="D16243">
        <f>TEST_DATA!D16243</f>
        <v/>
      </c>
      <c r="E16243">
        <f>TEST_DATA!E16243</f>
        <v/>
      </c>
    </row>
    <row r="16244">
      <c r="A16244">
        <f>TEST_DATA!A16244</f>
        <v/>
      </c>
      <c r="B16244">
        <f>TEST_DATA!B16244</f>
        <v/>
      </c>
      <c r="C16244">
        <f>TEST_DATA!C16244</f>
        <v/>
      </c>
      <c r="D16244">
        <f>TEST_DATA!D16244</f>
        <v/>
      </c>
      <c r="E16244">
        <f>TEST_DATA!E16244</f>
        <v/>
      </c>
    </row>
    <row r="16245">
      <c r="A16245">
        <f>TEST_DATA!A16245</f>
        <v/>
      </c>
      <c r="B16245">
        <f>TEST_DATA!B16245</f>
        <v/>
      </c>
      <c r="C16245">
        <f>TEST_DATA!C16245</f>
        <v/>
      </c>
      <c r="D16245">
        <f>TEST_DATA!D16245</f>
        <v/>
      </c>
      <c r="E16245">
        <f>TEST_DATA!E16245</f>
        <v/>
      </c>
    </row>
    <row r="16246">
      <c r="A16246">
        <f>TEST_DATA!A16246</f>
        <v/>
      </c>
      <c r="B16246">
        <f>TEST_DATA!B16246</f>
        <v/>
      </c>
      <c r="C16246">
        <f>TEST_DATA!C16246</f>
        <v/>
      </c>
      <c r="D16246">
        <f>TEST_DATA!D16246</f>
        <v/>
      </c>
      <c r="E16246">
        <f>TEST_DATA!E16246</f>
        <v/>
      </c>
    </row>
    <row r="16247">
      <c r="A16247">
        <f>TEST_DATA!A16247</f>
        <v/>
      </c>
      <c r="B16247">
        <f>TEST_DATA!B16247</f>
        <v/>
      </c>
      <c r="C16247">
        <f>TEST_DATA!C16247</f>
        <v/>
      </c>
      <c r="D16247">
        <f>TEST_DATA!D16247</f>
        <v/>
      </c>
      <c r="E16247">
        <f>TEST_DATA!E16247</f>
        <v/>
      </c>
    </row>
    <row r="16248">
      <c r="A16248">
        <f>TEST_DATA!A16248</f>
        <v/>
      </c>
      <c r="B16248">
        <f>TEST_DATA!B16248</f>
        <v/>
      </c>
      <c r="C16248">
        <f>TEST_DATA!C16248</f>
        <v/>
      </c>
      <c r="D16248">
        <f>TEST_DATA!D16248</f>
        <v/>
      </c>
      <c r="E16248">
        <f>TEST_DATA!E16248</f>
        <v/>
      </c>
    </row>
    <row r="16249">
      <c r="A16249">
        <f>TEST_DATA!A16249</f>
        <v/>
      </c>
      <c r="B16249">
        <f>TEST_DATA!B16249</f>
        <v/>
      </c>
      <c r="C16249">
        <f>TEST_DATA!C16249</f>
        <v/>
      </c>
      <c r="D16249">
        <f>TEST_DATA!D16249</f>
        <v/>
      </c>
      <c r="E16249">
        <f>TEST_DATA!E16249</f>
        <v/>
      </c>
    </row>
    <row r="16250">
      <c r="A16250">
        <f>TEST_DATA!A16250</f>
        <v/>
      </c>
      <c r="B16250">
        <f>TEST_DATA!B16250</f>
        <v/>
      </c>
      <c r="C16250">
        <f>TEST_DATA!C16250</f>
        <v/>
      </c>
      <c r="D16250">
        <f>TEST_DATA!D16250</f>
        <v/>
      </c>
      <c r="E16250">
        <f>TEST_DATA!E16250</f>
        <v/>
      </c>
    </row>
    <row r="16251">
      <c r="A16251">
        <f>TEST_DATA!A16251</f>
        <v/>
      </c>
      <c r="B16251">
        <f>TEST_DATA!B16251</f>
        <v/>
      </c>
      <c r="C16251">
        <f>TEST_DATA!C16251</f>
        <v/>
      </c>
      <c r="D16251">
        <f>TEST_DATA!D16251</f>
        <v/>
      </c>
      <c r="E16251">
        <f>TEST_DATA!E16251</f>
        <v/>
      </c>
    </row>
    <row r="16252">
      <c r="A16252">
        <f>TEST_DATA!A16252</f>
        <v/>
      </c>
      <c r="B16252">
        <f>TEST_DATA!B16252</f>
        <v/>
      </c>
      <c r="C16252">
        <f>TEST_DATA!C16252</f>
        <v/>
      </c>
      <c r="D16252">
        <f>TEST_DATA!D16252</f>
        <v/>
      </c>
      <c r="E16252">
        <f>TEST_DATA!E16252</f>
        <v/>
      </c>
    </row>
    <row r="16253">
      <c r="A16253">
        <f>TEST_DATA!A16253</f>
        <v/>
      </c>
      <c r="B16253">
        <f>TEST_DATA!B16253</f>
        <v/>
      </c>
      <c r="C16253">
        <f>TEST_DATA!C16253</f>
        <v/>
      </c>
      <c r="D16253">
        <f>TEST_DATA!D16253</f>
        <v/>
      </c>
      <c r="E16253">
        <f>TEST_DATA!E16253</f>
        <v/>
      </c>
    </row>
    <row r="16254">
      <c r="A16254">
        <f>TEST_DATA!A16254</f>
        <v/>
      </c>
      <c r="B16254">
        <f>TEST_DATA!B16254</f>
        <v/>
      </c>
      <c r="C16254">
        <f>TEST_DATA!C16254</f>
        <v/>
      </c>
      <c r="D16254">
        <f>TEST_DATA!D16254</f>
        <v/>
      </c>
      <c r="E16254">
        <f>TEST_DATA!E16254</f>
        <v/>
      </c>
    </row>
    <row r="16255">
      <c r="A16255">
        <f>TEST_DATA!A16255</f>
        <v/>
      </c>
      <c r="B16255">
        <f>TEST_DATA!B16255</f>
        <v/>
      </c>
      <c r="C16255">
        <f>TEST_DATA!C16255</f>
        <v/>
      </c>
      <c r="D16255">
        <f>TEST_DATA!D16255</f>
        <v/>
      </c>
      <c r="E16255">
        <f>TEST_DATA!E16255</f>
        <v/>
      </c>
    </row>
    <row r="16256">
      <c r="A16256">
        <f>TEST_DATA!A16256</f>
        <v/>
      </c>
      <c r="B16256">
        <f>TEST_DATA!B16256</f>
        <v/>
      </c>
      <c r="C16256">
        <f>TEST_DATA!C16256</f>
        <v/>
      </c>
      <c r="D16256">
        <f>TEST_DATA!D16256</f>
        <v/>
      </c>
      <c r="E16256">
        <f>TEST_DATA!E16256</f>
        <v/>
      </c>
    </row>
    <row r="16257">
      <c r="A16257">
        <f>TEST_DATA!A16257</f>
        <v/>
      </c>
      <c r="B16257">
        <f>TEST_DATA!B16257</f>
        <v/>
      </c>
      <c r="C16257">
        <f>TEST_DATA!C16257</f>
        <v/>
      </c>
      <c r="D16257">
        <f>TEST_DATA!D16257</f>
        <v/>
      </c>
      <c r="E16257">
        <f>TEST_DATA!E16257</f>
        <v/>
      </c>
    </row>
    <row r="16258">
      <c r="A16258">
        <f>TEST_DATA!A16258</f>
        <v/>
      </c>
      <c r="B16258">
        <f>TEST_DATA!B16258</f>
        <v/>
      </c>
      <c r="C16258">
        <f>TEST_DATA!C16258</f>
        <v/>
      </c>
      <c r="D16258">
        <f>TEST_DATA!D16258</f>
        <v/>
      </c>
      <c r="E16258">
        <f>TEST_DATA!E16258</f>
        <v/>
      </c>
    </row>
    <row r="16259">
      <c r="A16259">
        <f>TEST_DATA!A16259</f>
        <v/>
      </c>
      <c r="B16259">
        <f>TEST_DATA!B16259</f>
        <v/>
      </c>
      <c r="C16259">
        <f>TEST_DATA!C16259</f>
        <v/>
      </c>
      <c r="D16259">
        <f>TEST_DATA!D16259</f>
        <v/>
      </c>
      <c r="E16259">
        <f>TEST_DATA!E16259</f>
        <v/>
      </c>
    </row>
    <row r="16260">
      <c r="A16260">
        <f>TEST_DATA!A16260</f>
        <v/>
      </c>
      <c r="B16260">
        <f>TEST_DATA!B16260</f>
        <v/>
      </c>
      <c r="C16260">
        <f>TEST_DATA!C16260</f>
        <v/>
      </c>
      <c r="D16260">
        <f>TEST_DATA!D16260</f>
        <v/>
      </c>
      <c r="E16260">
        <f>TEST_DATA!E16260</f>
        <v/>
      </c>
    </row>
    <row r="16261">
      <c r="A16261">
        <f>TEST_DATA!A16261</f>
        <v/>
      </c>
      <c r="B16261">
        <f>TEST_DATA!B16261</f>
        <v/>
      </c>
      <c r="C16261">
        <f>TEST_DATA!C16261</f>
        <v/>
      </c>
      <c r="D16261">
        <f>TEST_DATA!D16261</f>
        <v/>
      </c>
      <c r="E16261">
        <f>TEST_DATA!E16261</f>
        <v/>
      </c>
    </row>
    <row r="16262">
      <c r="A16262">
        <f>TEST_DATA!A16262</f>
        <v/>
      </c>
      <c r="B16262">
        <f>TEST_DATA!B16262</f>
        <v/>
      </c>
      <c r="C16262">
        <f>TEST_DATA!C16262</f>
        <v/>
      </c>
      <c r="D16262">
        <f>TEST_DATA!D16262</f>
        <v/>
      </c>
      <c r="E16262">
        <f>TEST_DATA!E16262</f>
        <v/>
      </c>
    </row>
    <row r="16263">
      <c r="A16263">
        <f>TEST_DATA!A16263</f>
        <v/>
      </c>
      <c r="B16263">
        <f>TEST_DATA!B16263</f>
        <v/>
      </c>
      <c r="C16263">
        <f>TEST_DATA!C16263</f>
        <v/>
      </c>
      <c r="D16263">
        <f>TEST_DATA!D16263</f>
        <v/>
      </c>
      <c r="E16263">
        <f>TEST_DATA!E16263</f>
        <v/>
      </c>
    </row>
    <row r="16264">
      <c r="A16264">
        <f>TEST_DATA!A16264</f>
        <v/>
      </c>
      <c r="B16264">
        <f>TEST_DATA!B16264</f>
        <v/>
      </c>
      <c r="C16264">
        <f>TEST_DATA!C16264</f>
        <v/>
      </c>
      <c r="D16264">
        <f>TEST_DATA!D16264</f>
        <v/>
      </c>
      <c r="E16264">
        <f>TEST_DATA!E16264</f>
        <v/>
      </c>
    </row>
    <row r="16265">
      <c r="A16265">
        <f>TEST_DATA!A16265</f>
        <v/>
      </c>
      <c r="B16265">
        <f>TEST_DATA!B16265</f>
        <v/>
      </c>
      <c r="C16265">
        <f>TEST_DATA!C16265</f>
        <v/>
      </c>
      <c r="D16265">
        <f>TEST_DATA!D16265</f>
        <v/>
      </c>
      <c r="E16265">
        <f>TEST_DATA!E16265</f>
        <v/>
      </c>
    </row>
    <row r="16266">
      <c r="A16266">
        <f>TEST_DATA!A16266</f>
        <v/>
      </c>
      <c r="B16266">
        <f>TEST_DATA!B16266</f>
        <v/>
      </c>
      <c r="C16266">
        <f>TEST_DATA!C16266</f>
        <v/>
      </c>
      <c r="D16266">
        <f>TEST_DATA!D16266</f>
        <v/>
      </c>
      <c r="E16266">
        <f>TEST_DATA!E16266</f>
        <v/>
      </c>
    </row>
    <row r="16267">
      <c r="A16267">
        <f>TEST_DATA!A16267</f>
        <v/>
      </c>
      <c r="B16267">
        <f>TEST_DATA!B16267</f>
        <v/>
      </c>
      <c r="C16267">
        <f>TEST_DATA!C16267</f>
        <v/>
      </c>
      <c r="D16267">
        <f>TEST_DATA!D16267</f>
        <v/>
      </c>
      <c r="E16267">
        <f>TEST_DATA!E16267</f>
        <v/>
      </c>
    </row>
    <row r="16268">
      <c r="A16268">
        <f>TEST_DATA!A16268</f>
        <v/>
      </c>
      <c r="B16268">
        <f>TEST_DATA!B16268</f>
        <v/>
      </c>
      <c r="C16268">
        <f>TEST_DATA!C16268</f>
        <v/>
      </c>
      <c r="D16268">
        <f>TEST_DATA!D16268</f>
        <v/>
      </c>
      <c r="E16268">
        <f>TEST_DATA!E16268</f>
        <v/>
      </c>
    </row>
    <row r="16269">
      <c r="A16269">
        <f>TEST_DATA!A16269</f>
        <v/>
      </c>
      <c r="B16269">
        <f>TEST_DATA!B16269</f>
        <v/>
      </c>
      <c r="C16269">
        <f>TEST_DATA!C16269</f>
        <v/>
      </c>
      <c r="D16269">
        <f>TEST_DATA!D16269</f>
        <v/>
      </c>
      <c r="E16269">
        <f>TEST_DATA!E16269</f>
        <v/>
      </c>
    </row>
    <row r="16270">
      <c r="A16270">
        <f>TEST_DATA!A16270</f>
        <v/>
      </c>
      <c r="B16270">
        <f>TEST_DATA!B16270</f>
        <v/>
      </c>
      <c r="C16270">
        <f>TEST_DATA!C16270</f>
        <v/>
      </c>
      <c r="D16270">
        <f>TEST_DATA!D16270</f>
        <v/>
      </c>
      <c r="E16270">
        <f>TEST_DATA!E16270</f>
        <v/>
      </c>
    </row>
    <row r="16271">
      <c r="A16271">
        <f>TEST_DATA!A16271</f>
        <v/>
      </c>
      <c r="B16271">
        <f>TEST_DATA!B16271</f>
        <v/>
      </c>
      <c r="C16271">
        <f>TEST_DATA!C16271</f>
        <v/>
      </c>
      <c r="D16271">
        <f>TEST_DATA!D16271</f>
        <v/>
      </c>
      <c r="E16271">
        <f>TEST_DATA!E16271</f>
        <v/>
      </c>
    </row>
    <row r="16272">
      <c r="A16272">
        <f>TEST_DATA!A16272</f>
        <v/>
      </c>
      <c r="B16272">
        <f>TEST_DATA!B16272</f>
        <v/>
      </c>
      <c r="C16272">
        <f>TEST_DATA!C16272</f>
        <v/>
      </c>
      <c r="D16272">
        <f>TEST_DATA!D16272</f>
        <v/>
      </c>
      <c r="E16272">
        <f>TEST_DATA!E16272</f>
        <v/>
      </c>
    </row>
    <row r="16273">
      <c r="A16273">
        <f>TEST_DATA!A16273</f>
        <v/>
      </c>
      <c r="B16273">
        <f>TEST_DATA!B16273</f>
        <v/>
      </c>
      <c r="C16273">
        <f>TEST_DATA!C16273</f>
        <v/>
      </c>
      <c r="D16273">
        <f>TEST_DATA!D16273</f>
        <v/>
      </c>
      <c r="E16273">
        <f>TEST_DATA!E16273</f>
        <v/>
      </c>
    </row>
    <row r="16274">
      <c r="A16274">
        <f>TEST_DATA!A16274</f>
        <v/>
      </c>
      <c r="B16274">
        <f>TEST_DATA!B16274</f>
        <v/>
      </c>
      <c r="C16274">
        <f>TEST_DATA!C16274</f>
        <v/>
      </c>
      <c r="D16274">
        <f>TEST_DATA!D16274</f>
        <v/>
      </c>
      <c r="E16274">
        <f>TEST_DATA!E16274</f>
        <v/>
      </c>
    </row>
    <row r="16275">
      <c r="A16275">
        <f>TEST_DATA!A16275</f>
        <v/>
      </c>
      <c r="B16275">
        <f>TEST_DATA!B16275</f>
        <v/>
      </c>
      <c r="C16275">
        <f>TEST_DATA!C16275</f>
        <v/>
      </c>
      <c r="D16275">
        <f>TEST_DATA!D16275</f>
        <v/>
      </c>
      <c r="E16275">
        <f>TEST_DATA!E16275</f>
        <v/>
      </c>
    </row>
    <row r="16276">
      <c r="A16276">
        <f>TEST_DATA!A16276</f>
        <v/>
      </c>
      <c r="B16276">
        <f>TEST_DATA!B16276</f>
        <v/>
      </c>
      <c r="C16276">
        <f>TEST_DATA!C16276</f>
        <v/>
      </c>
      <c r="D16276">
        <f>TEST_DATA!D16276</f>
        <v/>
      </c>
      <c r="E16276">
        <f>TEST_DATA!E16276</f>
        <v/>
      </c>
    </row>
    <row r="16277">
      <c r="A16277">
        <f>TEST_DATA!A16277</f>
        <v/>
      </c>
      <c r="B16277">
        <f>TEST_DATA!B16277</f>
        <v/>
      </c>
      <c r="C16277">
        <f>TEST_DATA!C16277</f>
        <v/>
      </c>
      <c r="D16277">
        <f>TEST_DATA!D16277</f>
        <v/>
      </c>
      <c r="E16277">
        <f>TEST_DATA!E16277</f>
        <v/>
      </c>
    </row>
    <row r="16278">
      <c r="A16278">
        <f>TEST_DATA!A16278</f>
        <v/>
      </c>
      <c r="B16278">
        <f>TEST_DATA!B16278</f>
        <v/>
      </c>
      <c r="C16278">
        <f>TEST_DATA!C16278</f>
        <v/>
      </c>
      <c r="D16278">
        <f>TEST_DATA!D16278</f>
        <v/>
      </c>
      <c r="E16278">
        <f>TEST_DATA!E16278</f>
        <v/>
      </c>
    </row>
    <row r="16279">
      <c r="A16279">
        <f>TEST_DATA!A16279</f>
        <v/>
      </c>
      <c r="B16279">
        <f>TEST_DATA!B16279</f>
        <v/>
      </c>
      <c r="C16279">
        <f>TEST_DATA!C16279</f>
        <v/>
      </c>
      <c r="D16279">
        <f>TEST_DATA!D16279</f>
        <v/>
      </c>
      <c r="E16279">
        <f>TEST_DATA!E16279</f>
        <v/>
      </c>
    </row>
    <row r="16280">
      <c r="A16280">
        <f>TEST_DATA!A16280</f>
        <v/>
      </c>
      <c r="B16280">
        <f>TEST_DATA!B16280</f>
        <v/>
      </c>
      <c r="C16280">
        <f>TEST_DATA!C16280</f>
        <v/>
      </c>
      <c r="D16280">
        <f>TEST_DATA!D16280</f>
        <v/>
      </c>
      <c r="E16280">
        <f>TEST_DATA!E16280</f>
        <v/>
      </c>
    </row>
    <row r="16281">
      <c r="A16281">
        <f>TEST_DATA!A16281</f>
        <v/>
      </c>
      <c r="B16281">
        <f>TEST_DATA!B16281</f>
        <v/>
      </c>
      <c r="C16281">
        <f>TEST_DATA!C16281</f>
        <v/>
      </c>
      <c r="D16281">
        <f>TEST_DATA!D16281</f>
        <v/>
      </c>
      <c r="E16281">
        <f>TEST_DATA!E16281</f>
        <v/>
      </c>
    </row>
    <row r="16282">
      <c r="A16282">
        <f>TEST_DATA!A16282</f>
        <v/>
      </c>
      <c r="B16282">
        <f>TEST_DATA!B16282</f>
        <v/>
      </c>
      <c r="C16282">
        <f>TEST_DATA!C16282</f>
        <v/>
      </c>
      <c r="D16282">
        <f>TEST_DATA!D16282</f>
        <v/>
      </c>
      <c r="E16282">
        <f>TEST_DATA!E16282</f>
        <v/>
      </c>
    </row>
    <row r="16283">
      <c r="A16283">
        <f>TEST_DATA!A16283</f>
        <v/>
      </c>
      <c r="B16283">
        <f>TEST_DATA!B16283</f>
        <v/>
      </c>
      <c r="C16283">
        <f>TEST_DATA!C16283</f>
        <v/>
      </c>
      <c r="D16283">
        <f>TEST_DATA!D16283</f>
        <v/>
      </c>
      <c r="E16283">
        <f>TEST_DATA!E16283</f>
        <v/>
      </c>
    </row>
    <row r="16284">
      <c r="A16284">
        <f>TEST_DATA!A16284</f>
        <v/>
      </c>
      <c r="B16284">
        <f>TEST_DATA!B16284</f>
        <v/>
      </c>
      <c r="C16284">
        <f>TEST_DATA!C16284</f>
        <v/>
      </c>
      <c r="D16284">
        <f>TEST_DATA!D16284</f>
        <v/>
      </c>
      <c r="E16284">
        <f>TEST_DATA!E16284</f>
        <v/>
      </c>
    </row>
    <row r="16285">
      <c r="A16285">
        <f>TEST_DATA!A16285</f>
        <v/>
      </c>
      <c r="B16285">
        <f>TEST_DATA!B16285</f>
        <v/>
      </c>
      <c r="C16285">
        <f>TEST_DATA!C16285</f>
        <v/>
      </c>
      <c r="D16285">
        <f>TEST_DATA!D16285</f>
        <v/>
      </c>
      <c r="E16285">
        <f>TEST_DATA!E16285</f>
        <v/>
      </c>
    </row>
    <row r="16286">
      <c r="A16286">
        <f>TEST_DATA!A16286</f>
        <v/>
      </c>
      <c r="B16286">
        <f>TEST_DATA!B16286</f>
        <v/>
      </c>
      <c r="C16286">
        <f>TEST_DATA!C16286</f>
        <v/>
      </c>
      <c r="D16286">
        <f>TEST_DATA!D16286</f>
        <v/>
      </c>
      <c r="E16286">
        <f>TEST_DATA!E16286</f>
        <v/>
      </c>
    </row>
    <row r="16287">
      <c r="A16287">
        <f>TEST_DATA!A16287</f>
        <v/>
      </c>
      <c r="B16287">
        <f>TEST_DATA!B16287</f>
        <v/>
      </c>
      <c r="C16287">
        <f>TEST_DATA!C16287</f>
        <v/>
      </c>
      <c r="D16287">
        <f>TEST_DATA!D16287</f>
        <v/>
      </c>
      <c r="E16287">
        <f>TEST_DATA!E16287</f>
        <v/>
      </c>
    </row>
    <row r="16288">
      <c r="A16288">
        <f>TEST_DATA!A16288</f>
        <v/>
      </c>
      <c r="B16288">
        <f>TEST_DATA!B16288</f>
        <v/>
      </c>
      <c r="C16288">
        <f>TEST_DATA!C16288</f>
        <v/>
      </c>
      <c r="D16288">
        <f>TEST_DATA!D16288</f>
        <v/>
      </c>
      <c r="E16288">
        <f>TEST_DATA!E16288</f>
        <v/>
      </c>
    </row>
    <row r="16289">
      <c r="A16289">
        <f>TEST_DATA!A16289</f>
        <v/>
      </c>
      <c r="B16289">
        <f>TEST_DATA!B16289</f>
        <v/>
      </c>
      <c r="C16289">
        <f>TEST_DATA!C16289</f>
        <v/>
      </c>
      <c r="D16289">
        <f>TEST_DATA!D16289</f>
        <v/>
      </c>
      <c r="E16289">
        <f>TEST_DATA!E16289</f>
        <v/>
      </c>
    </row>
    <row r="16290">
      <c r="A16290">
        <f>TEST_DATA!A16290</f>
        <v/>
      </c>
      <c r="B16290">
        <f>TEST_DATA!B16290</f>
        <v/>
      </c>
      <c r="C16290">
        <f>TEST_DATA!C16290</f>
        <v/>
      </c>
      <c r="D16290">
        <f>TEST_DATA!D16290</f>
        <v/>
      </c>
      <c r="E16290">
        <f>TEST_DATA!E16290</f>
        <v/>
      </c>
    </row>
    <row r="16291">
      <c r="A16291">
        <f>TEST_DATA!A16291</f>
        <v/>
      </c>
      <c r="B16291">
        <f>TEST_DATA!B16291</f>
        <v/>
      </c>
      <c r="C16291">
        <f>TEST_DATA!C16291</f>
        <v/>
      </c>
      <c r="D16291">
        <f>TEST_DATA!D16291</f>
        <v/>
      </c>
      <c r="E16291">
        <f>TEST_DATA!E16291</f>
        <v/>
      </c>
    </row>
    <row r="16292">
      <c r="A16292">
        <f>TEST_DATA!A16292</f>
        <v/>
      </c>
      <c r="B16292">
        <f>TEST_DATA!B16292</f>
        <v/>
      </c>
      <c r="C16292">
        <f>TEST_DATA!C16292</f>
        <v/>
      </c>
      <c r="D16292">
        <f>TEST_DATA!D16292</f>
        <v/>
      </c>
      <c r="E16292">
        <f>TEST_DATA!E16292</f>
        <v/>
      </c>
    </row>
    <row r="16293">
      <c r="A16293">
        <f>TEST_DATA!A16293</f>
        <v/>
      </c>
      <c r="B16293">
        <f>TEST_DATA!B16293</f>
        <v/>
      </c>
      <c r="C16293">
        <f>TEST_DATA!C16293</f>
        <v/>
      </c>
      <c r="D16293">
        <f>TEST_DATA!D16293</f>
        <v/>
      </c>
      <c r="E16293">
        <f>TEST_DATA!E16293</f>
        <v/>
      </c>
    </row>
    <row r="16294">
      <c r="A16294">
        <f>TEST_DATA!A16294</f>
        <v/>
      </c>
      <c r="B16294">
        <f>TEST_DATA!B16294</f>
        <v/>
      </c>
      <c r="C16294">
        <f>TEST_DATA!C16294</f>
        <v/>
      </c>
      <c r="D16294">
        <f>TEST_DATA!D16294</f>
        <v/>
      </c>
      <c r="E16294">
        <f>TEST_DATA!E16294</f>
        <v/>
      </c>
    </row>
    <row r="16295">
      <c r="A16295">
        <f>TEST_DATA!A16295</f>
        <v/>
      </c>
      <c r="B16295">
        <f>TEST_DATA!B16295</f>
        <v/>
      </c>
      <c r="C16295">
        <f>TEST_DATA!C16295</f>
        <v/>
      </c>
      <c r="D16295">
        <f>TEST_DATA!D16295</f>
        <v/>
      </c>
      <c r="E16295">
        <f>TEST_DATA!E16295</f>
        <v/>
      </c>
    </row>
    <row r="16296">
      <c r="A16296">
        <f>TEST_DATA!A16296</f>
        <v/>
      </c>
      <c r="B16296">
        <f>TEST_DATA!B16296</f>
        <v/>
      </c>
      <c r="C16296">
        <f>TEST_DATA!C16296</f>
        <v/>
      </c>
      <c r="D16296">
        <f>TEST_DATA!D16296</f>
        <v/>
      </c>
      <c r="E16296">
        <f>TEST_DATA!E16296</f>
        <v/>
      </c>
    </row>
    <row r="16297">
      <c r="A16297">
        <f>TEST_DATA!A16297</f>
        <v/>
      </c>
      <c r="B16297">
        <f>TEST_DATA!B16297</f>
        <v/>
      </c>
      <c r="C16297">
        <f>TEST_DATA!C16297</f>
        <v/>
      </c>
      <c r="D16297">
        <f>TEST_DATA!D16297</f>
        <v/>
      </c>
      <c r="E16297">
        <f>TEST_DATA!E16297</f>
        <v/>
      </c>
    </row>
    <row r="16298">
      <c r="A16298">
        <f>TEST_DATA!A16298</f>
        <v/>
      </c>
      <c r="B16298">
        <f>TEST_DATA!B16298</f>
        <v/>
      </c>
      <c r="C16298">
        <f>TEST_DATA!C16298</f>
        <v/>
      </c>
      <c r="D16298">
        <f>TEST_DATA!D16298</f>
        <v/>
      </c>
      <c r="E16298">
        <f>TEST_DATA!E16298</f>
        <v/>
      </c>
    </row>
    <row r="16299">
      <c r="A16299">
        <f>TEST_DATA!A16299</f>
        <v/>
      </c>
      <c r="B16299">
        <f>TEST_DATA!B16299</f>
        <v/>
      </c>
      <c r="C16299">
        <f>TEST_DATA!C16299</f>
        <v/>
      </c>
      <c r="D16299">
        <f>TEST_DATA!D16299</f>
        <v/>
      </c>
      <c r="E16299">
        <f>TEST_DATA!E16299</f>
        <v/>
      </c>
    </row>
    <row r="16300">
      <c r="A16300">
        <f>TEST_DATA!A16300</f>
        <v/>
      </c>
      <c r="B16300">
        <f>TEST_DATA!B16300</f>
        <v/>
      </c>
      <c r="C16300">
        <f>TEST_DATA!C16300</f>
        <v/>
      </c>
      <c r="D16300">
        <f>TEST_DATA!D16300</f>
        <v/>
      </c>
      <c r="E16300">
        <f>TEST_DATA!E16300</f>
        <v/>
      </c>
    </row>
    <row r="16301">
      <c r="A16301">
        <f>TEST_DATA!A16301</f>
        <v/>
      </c>
      <c r="B16301">
        <f>TEST_DATA!B16301</f>
        <v/>
      </c>
      <c r="C16301">
        <f>TEST_DATA!C16301</f>
        <v/>
      </c>
      <c r="D16301">
        <f>TEST_DATA!D16301</f>
        <v/>
      </c>
      <c r="E16301">
        <f>TEST_DATA!E16301</f>
        <v/>
      </c>
    </row>
    <row r="16302">
      <c r="A16302">
        <f>TEST_DATA!A16302</f>
        <v/>
      </c>
      <c r="B16302">
        <f>TEST_DATA!B16302</f>
        <v/>
      </c>
      <c r="C16302">
        <f>TEST_DATA!C16302</f>
        <v/>
      </c>
      <c r="D16302">
        <f>TEST_DATA!D16302</f>
        <v/>
      </c>
      <c r="E16302">
        <f>TEST_DATA!E16302</f>
        <v/>
      </c>
    </row>
    <row r="16303">
      <c r="A16303">
        <f>TEST_DATA!A16303</f>
        <v/>
      </c>
      <c r="B16303">
        <f>TEST_DATA!B16303</f>
        <v/>
      </c>
      <c r="C16303">
        <f>TEST_DATA!C16303</f>
        <v/>
      </c>
      <c r="D16303">
        <f>TEST_DATA!D16303</f>
        <v/>
      </c>
      <c r="E16303">
        <f>TEST_DATA!E16303</f>
        <v/>
      </c>
    </row>
    <row r="16304">
      <c r="A16304">
        <f>TEST_DATA!A16304</f>
        <v/>
      </c>
      <c r="B16304">
        <f>TEST_DATA!B16304</f>
        <v/>
      </c>
      <c r="C16304">
        <f>TEST_DATA!C16304</f>
        <v/>
      </c>
      <c r="D16304">
        <f>TEST_DATA!D16304</f>
        <v/>
      </c>
      <c r="E16304">
        <f>TEST_DATA!E16304</f>
        <v/>
      </c>
    </row>
    <row r="16305">
      <c r="A16305">
        <f>TEST_DATA!A16305</f>
        <v/>
      </c>
      <c r="B16305">
        <f>TEST_DATA!B16305</f>
        <v/>
      </c>
      <c r="C16305">
        <f>TEST_DATA!C16305</f>
        <v/>
      </c>
      <c r="D16305">
        <f>TEST_DATA!D16305</f>
        <v/>
      </c>
      <c r="E16305">
        <f>TEST_DATA!E16305</f>
        <v/>
      </c>
    </row>
    <row r="16306">
      <c r="A16306">
        <f>TEST_DATA!A16306</f>
        <v/>
      </c>
      <c r="B16306">
        <f>TEST_DATA!B16306</f>
        <v/>
      </c>
      <c r="C16306">
        <f>TEST_DATA!C16306</f>
        <v/>
      </c>
      <c r="D16306">
        <f>TEST_DATA!D16306</f>
        <v/>
      </c>
      <c r="E16306">
        <f>TEST_DATA!E16306</f>
        <v/>
      </c>
    </row>
    <row r="16307">
      <c r="A16307">
        <f>TEST_DATA!A16307</f>
        <v/>
      </c>
      <c r="B16307">
        <f>TEST_DATA!B16307</f>
        <v/>
      </c>
      <c r="C16307">
        <f>TEST_DATA!C16307</f>
        <v/>
      </c>
      <c r="D16307">
        <f>TEST_DATA!D16307</f>
        <v/>
      </c>
      <c r="E16307">
        <f>TEST_DATA!E16307</f>
        <v/>
      </c>
    </row>
    <row r="16308">
      <c r="A16308">
        <f>TEST_DATA!A16308</f>
        <v/>
      </c>
      <c r="B16308">
        <f>TEST_DATA!B16308</f>
        <v/>
      </c>
      <c r="C16308">
        <f>TEST_DATA!C16308</f>
        <v/>
      </c>
      <c r="D16308">
        <f>TEST_DATA!D16308</f>
        <v/>
      </c>
      <c r="E16308">
        <f>TEST_DATA!E16308</f>
        <v/>
      </c>
    </row>
    <row r="16309">
      <c r="A16309">
        <f>TEST_DATA!A16309</f>
        <v/>
      </c>
      <c r="B16309">
        <f>TEST_DATA!B16309</f>
        <v/>
      </c>
      <c r="C16309">
        <f>TEST_DATA!C16309</f>
        <v/>
      </c>
      <c r="D16309">
        <f>TEST_DATA!D16309</f>
        <v/>
      </c>
      <c r="E16309">
        <f>TEST_DATA!E16309</f>
        <v/>
      </c>
    </row>
    <row r="16310">
      <c r="A16310">
        <f>TEST_DATA!A16310</f>
        <v/>
      </c>
      <c r="B16310">
        <f>TEST_DATA!B16310</f>
        <v/>
      </c>
      <c r="C16310">
        <f>TEST_DATA!C16310</f>
        <v/>
      </c>
      <c r="D16310">
        <f>TEST_DATA!D16310</f>
        <v/>
      </c>
      <c r="E16310">
        <f>TEST_DATA!E16310</f>
        <v/>
      </c>
    </row>
    <row r="16311">
      <c r="A16311">
        <f>TEST_DATA!A16311</f>
        <v/>
      </c>
      <c r="B16311">
        <f>TEST_DATA!B16311</f>
        <v/>
      </c>
      <c r="C16311">
        <f>TEST_DATA!C16311</f>
        <v/>
      </c>
      <c r="D16311">
        <f>TEST_DATA!D16311</f>
        <v/>
      </c>
      <c r="E16311">
        <f>TEST_DATA!E16311</f>
        <v/>
      </c>
    </row>
    <row r="16312">
      <c r="A16312">
        <f>TEST_DATA!A16312</f>
        <v/>
      </c>
      <c r="B16312">
        <f>TEST_DATA!B16312</f>
        <v/>
      </c>
      <c r="C16312">
        <f>TEST_DATA!C16312</f>
        <v/>
      </c>
      <c r="D16312">
        <f>TEST_DATA!D16312</f>
        <v/>
      </c>
      <c r="E16312">
        <f>TEST_DATA!E16312</f>
        <v/>
      </c>
    </row>
    <row r="16313">
      <c r="A16313">
        <f>TEST_DATA!A16313</f>
        <v/>
      </c>
      <c r="B16313">
        <f>TEST_DATA!B16313</f>
        <v/>
      </c>
      <c r="C16313">
        <f>TEST_DATA!C16313</f>
        <v/>
      </c>
      <c r="D16313">
        <f>TEST_DATA!D16313</f>
        <v/>
      </c>
      <c r="E16313">
        <f>TEST_DATA!E16313</f>
        <v/>
      </c>
    </row>
    <row r="16314">
      <c r="A16314">
        <f>TEST_DATA!A16314</f>
        <v/>
      </c>
      <c r="B16314">
        <f>TEST_DATA!B16314</f>
        <v/>
      </c>
      <c r="C16314">
        <f>TEST_DATA!C16314</f>
        <v/>
      </c>
      <c r="D16314">
        <f>TEST_DATA!D16314</f>
        <v/>
      </c>
      <c r="E16314">
        <f>TEST_DATA!E16314</f>
        <v/>
      </c>
    </row>
    <row r="16315">
      <c r="A16315">
        <f>TEST_DATA!A16315</f>
        <v/>
      </c>
      <c r="B16315">
        <f>TEST_DATA!B16315</f>
        <v/>
      </c>
      <c r="C16315">
        <f>TEST_DATA!C16315</f>
        <v/>
      </c>
      <c r="D16315">
        <f>TEST_DATA!D16315</f>
        <v/>
      </c>
      <c r="E16315">
        <f>TEST_DATA!E16315</f>
        <v/>
      </c>
    </row>
    <row r="16316">
      <c r="A16316">
        <f>TEST_DATA!A16316</f>
        <v/>
      </c>
      <c r="B16316">
        <f>TEST_DATA!B16316</f>
        <v/>
      </c>
      <c r="C16316">
        <f>TEST_DATA!C16316</f>
        <v/>
      </c>
      <c r="D16316">
        <f>TEST_DATA!D16316</f>
        <v/>
      </c>
      <c r="E16316">
        <f>TEST_DATA!E16316</f>
        <v/>
      </c>
    </row>
    <row r="16317">
      <c r="A16317">
        <f>TEST_DATA!A16317</f>
        <v/>
      </c>
      <c r="B16317">
        <f>TEST_DATA!B16317</f>
        <v/>
      </c>
      <c r="C16317">
        <f>TEST_DATA!C16317</f>
        <v/>
      </c>
      <c r="D16317">
        <f>TEST_DATA!D16317</f>
        <v/>
      </c>
      <c r="E16317">
        <f>TEST_DATA!E16317</f>
        <v/>
      </c>
    </row>
    <row r="16318">
      <c r="A16318">
        <f>TEST_DATA!A16318</f>
        <v/>
      </c>
      <c r="B16318">
        <f>TEST_DATA!B16318</f>
        <v/>
      </c>
      <c r="C16318">
        <f>TEST_DATA!C16318</f>
        <v/>
      </c>
      <c r="D16318">
        <f>TEST_DATA!D16318</f>
        <v/>
      </c>
      <c r="E16318">
        <f>TEST_DATA!E16318</f>
        <v/>
      </c>
    </row>
    <row r="16319">
      <c r="A16319">
        <f>TEST_DATA!A16319</f>
        <v/>
      </c>
      <c r="B16319">
        <f>TEST_DATA!B16319</f>
        <v/>
      </c>
      <c r="C16319">
        <f>TEST_DATA!C16319</f>
        <v/>
      </c>
      <c r="D16319">
        <f>TEST_DATA!D16319</f>
        <v/>
      </c>
      <c r="E16319">
        <f>TEST_DATA!E16319</f>
        <v/>
      </c>
    </row>
    <row r="16320">
      <c r="A16320">
        <f>TEST_DATA!A16320</f>
        <v/>
      </c>
      <c r="B16320">
        <f>TEST_DATA!B16320</f>
        <v/>
      </c>
      <c r="C16320">
        <f>TEST_DATA!C16320</f>
        <v/>
      </c>
      <c r="D16320">
        <f>TEST_DATA!D16320</f>
        <v/>
      </c>
      <c r="E16320">
        <f>TEST_DATA!E16320</f>
        <v/>
      </c>
    </row>
    <row r="16321">
      <c r="A16321">
        <f>TEST_DATA!A16321</f>
        <v/>
      </c>
      <c r="B16321">
        <f>TEST_DATA!B16321</f>
        <v/>
      </c>
      <c r="C16321">
        <f>TEST_DATA!C16321</f>
        <v/>
      </c>
      <c r="D16321">
        <f>TEST_DATA!D16321</f>
        <v/>
      </c>
      <c r="E16321">
        <f>TEST_DATA!E16321</f>
        <v/>
      </c>
    </row>
    <row r="16322">
      <c r="A16322">
        <f>TEST_DATA!A16322</f>
        <v/>
      </c>
      <c r="B16322">
        <f>TEST_DATA!B16322</f>
        <v/>
      </c>
      <c r="C16322">
        <f>TEST_DATA!C16322</f>
        <v/>
      </c>
      <c r="D16322">
        <f>TEST_DATA!D16322</f>
        <v/>
      </c>
      <c r="E16322">
        <f>TEST_DATA!E16322</f>
        <v/>
      </c>
    </row>
    <row r="16323">
      <c r="A16323">
        <f>TEST_DATA!A16323</f>
        <v/>
      </c>
      <c r="B16323">
        <f>TEST_DATA!B16323</f>
        <v/>
      </c>
      <c r="C16323">
        <f>TEST_DATA!C16323</f>
        <v/>
      </c>
      <c r="D16323">
        <f>TEST_DATA!D16323</f>
        <v/>
      </c>
      <c r="E16323">
        <f>TEST_DATA!E16323</f>
        <v/>
      </c>
    </row>
    <row r="16324">
      <c r="A16324">
        <f>TEST_DATA!A16324</f>
        <v/>
      </c>
      <c r="B16324">
        <f>TEST_DATA!B16324</f>
        <v/>
      </c>
      <c r="C16324">
        <f>TEST_DATA!C16324</f>
        <v/>
      </c>
      <c r="D16324">
        <f>TEST_DATA!D16324</f>
        <v/>
      </c>
      <c r="E16324">
        <f>TEST_DATA!E16324</f>
        <v/>
      </c>
    </row>
    <row r="16325">
      <c r="A16325">
        <f>TEST_DATA!A16325</f>
        <v/>
      </c>
      <c r="B16325">
        <f>TEST_DATA!B16325</f>
        <v/>
      </c>
      <c r="C16325">
        <f>TEST_DATA!C16325</f>
        <v/>
      </c>
      <c r="D16325">
        <f>TEST_DATA!D16325</f>
        <v/>
      </c>
      <c r="E16325">
        <f>TEST_DATA!E16325</f>
        <v/>
      </c>
    </row>
    <row r="16326">
      <c r="A16326">
        <f>TEST_DATA!A16326</f>
        <v/>
      </c>
      <c r="B16326">
        <f>TEST_DATA!B16326</f>
        <v/>
      </c>
      <c r="C16326">
        <f>TEST_DATA!C16326</f>
        <v/>
      </c>
      <c r="D16326">
        <f>TEST_DATA!D16326</f>
        <v/>
      </c>
      <c r="E16326">
        <f>TEST_DATA!E16326</f>
        <v/>
      </c>
    </row>
    <row r="16327">
      <c r="A16327">
        <f>TEST_DATA!A16327</f>
        <v/>
      </c>
      <c r="B16327">
        <f>TEST_DATA!B16327</f>
        <v/>
      </c>
      <c r="C16327">
        <f>TEST_DATA!C16327</f>
        <v/>
      </c>
      <c r="D16327">
        <f>TEST_DATA!D16327</f>
        <v/>
      </c>
      <c r="E16327">
        <f>TEST_DATA!E16327</f>
        <v/>
      </c>
    </row>
    <row r="16328">
      <c r="A16328">
        <f>TEST_DATA!A16328</f>
        <v/>
      </c>
      <c r="B16328">
        <f>TEST_DATA!B16328</f>
        <v/>
      </c>
      <c r="C16328">
        <f>TEST_DATA!C16328</f>
        <v/>
      </c>
      <c r="D16328">
        <f>TEST_DATA!D16328</f>
        <v/>
      </c>
      <c r="E16328">
        <f>TEST_DATA!E16328</f>
        <v/>
      </c>
    </row>
    <row r="16329">
      <c r="A16329">
        <f>TEST_DATA!A16329</f>
        <v/>
      </c>
      <c r="B16329">
        <f>TEST_DATA!B16329</f>
        <v/>
      </c>
      <c r="C16329">
        <f>TEST_DATA!C16329</f>
        <v/>
      </c>
      <c r="D16329">
        <f>TEST_DATA!D16329</f>
        <v/>
      </c>
      <c r="E16329">
        <f>TEST_DATA!E16329</f>
        <v/>
      </c>
    </row>
    <row r="16330">
      <c r="A16330">
        <f>TEST_DATA!A16330</f>
        <v/>
      </c>
      <c r="B16330">
        <f>TEST_DATA!B16330</f>
        <v/>
      </c>
      <c r="C16330">
        <f>TEST_DATA!C16330</f>
        <v/>
      </c>
      <c r="D16330">
        <f>TEST_DATA!D16330</f>
        <v/>
      </c>
      <c r="E16330">
        <f>TEST_DATA!E16330</f>
        <v/>
      </c>
    </row>
    <row r="16331">
      <c r="A16331">
        <f>TEST_DATA!A16331</f>
        <v/>
      </c>
      <c r="B16331">
        <f>TEST_DATA!B16331</f>
        <v/>
      </c>
      <c r="C16331">
        <f>TEST_DATA!C16331</f>
        <v/>
      </c>
      <c r="D16331">
        <f>TEST_DATA!D16331</f>
        <v/>
      </c>
      <c r="E16331">
        <f>TEST_DATA!E16331</f>
        <v/>
      </c>
    </row>
    <row r="16332">
      <c r="A16332">
        <f>TEST_DATA!A16332</f>
        <v/>
      </c>
      <c r="B16332">
        <f>TEST_DATA!B16332</f>
        <v/>
      </c>
      <c r="C16332">
        <f>TEST_DATA!C16332</f>
        <v/>
      </c>
      <c r="D16332">
        <f>TEST_DATA!D16332</f>
        <v/>
      </c>
      <c r="E16332">
        <f>TEST_DATA!E16332</f>
        <v/>
      </c>
    </row>
    <row r="16333">
      <c r="A16333">
        <f>TEST_DATA!A16333</f>
        <v/>
      </c>
      <c r="B16333">
        <f>TEST_DATA!B16333</f>
        <v/>
      </c>
      <c r="C16333">
        <f>TEST_DATA!C16333</f>
        <v/>
      </c>
      <c r="D16333">
        <f>TEST_DATA!D16333</f>
        <v/>
      </c>
      <c r="E16333">
        <f>TEST_DATA!E16333</f>
        <v/>
      </c>
    </row>
    <row r="16334">
      <c r="A16334">
        <f>TEST_DATA!A16334</f>
        <v/>
      </c>
      <c r="B16334">
        <f>TEST_DATA!B16334</f>
        <v/>
      </c>
      <c r="C16334">
        <f>TEST_DATA!C16334</f>
        <v/>
      </c>
      <c r="D16334">
        <f>TEST_DATA!D16334</f>
        <v/>
      </c>
      <c r="E16334">
        <f>TEST_DATA!E16334</f>
        <v/>
      </c>
    </row>
    <row r="16335">
      <c r="A16335">
        <f>TEST_DATA!A16335</f>
        <v/>
      </c>
      <c r="B16335">
        <f>TEST_DATA!B16335</f>
        <v/>
      </c>
      <c r="C16335">
        <f>TEST_DATA!C16335</f>
        <v/>
      </c>
      <c r="D16335">
        <f>TEST_DATA!D16335</f>
        <v/>
      </c>
      <c r="E16335">
        <f>TEST_DATA!E16335</f>
        <v/>
      </c>
    </row>
    <row r="16336">
      <c r="A16336">
        <f>TEST_DATA!A16336</f>
        <v/>
      </c>
      <c r="B16336">
        <f>TEST_DATA!B16336</f>
        <v/>
      </c>
      <c r="C16336">
        <f>TEST_DATA!C16336</f>
        <v/>
      </c>
      <c r="D16336">
        <f>TEST_DATA!D16336</f>
        <v/>
      </c>
      <c r="E16336">
        <f>TEST_DATA!E16336</f>
        <v/>
      </c>
    </row>
    <row r="16337">
      <c r="A16337">
        <f>TEST_DATA!A16337</f>
        <v/>
      </c>
      <c r="B16337">
        <f>TEST_DATA!B16337</f>
        <v/>
      </c>
      <c r="C16337">
        <f>TEST_DATA!C16337</f>
        <v/>
      </c>
      <c r="D16337">
        <f>TEST_DATA!D16337</f>
        <v/>
      </c>
      <c r="E16337">
        <f>TEST_DATA!E16337</f>
        <v/>
      </c>
    </row>
    <row r="16338">
      <c r="A16338">
        <f>TEST_DATA!A16338</f>
        <v/>
      </c>
      <c r="B16338">
        <f>TEST_DATA!B16338</f>
        <v/>
      </c>
      <c r="C16338">
        <f>TEST_DATA!C16338</f>
        <v/>
      </c>
      <c r="D16338">
        <f>TEST_DATA!D16338</f>
        <v/>
      </c>
      <c r="E16338">
        <f>TEST_DATA!E16338</f>
        <v/>
      </c>
    </row>
    <row r="16339">
      <c r="A16339">
        <f>TEST_DATA!A16339</f>
        <v/>
      </c>
      <c r="B16339">
        <f>TEST_DATA!B16339</f>
        <v/>
      </c>
      <c r="C16339">
        <f>TEST_DATA!C16339</f>
        <v/>
      </c>
      <c r="D16339">
        <f>TEST_DATA!D16339</f>
        <v/>
      </c>
      <c r="E16339">
        <f>TEST_DATA!E16339</f>
        <v/>
      </c>
    </row>
    <row r="16340">
      <c r="A16340">
        <f>TEST_DATA!A16340</f>
        <v/>
      </c>
      <c r="B16340">
        <f>TEST_DATA!B16340</f>
        <v/>
      </c>
      <c r="C16340">
        <f>TEST_DATA!C16340</f>
        <v/>
      </c>
      <c r="D16340">
        <f>TEST_DATA!D16340</f>
        <v/>
      </c>
      <c r="E16340">
        <f>TEST_DATA!E16340</f>
        <v/>
      </c>
    </row>
    <row r="16341">
      <c r="A16341">
        <f>TEST_DATA!A16341</f>
        <v/>
      </c>
      <c r="B16341">
        <f>TEST_DATA!B16341</f>
        <v/>
      </c>
      <c r="C16341">
        <f>TEST_DATA!C16341</f>
        <v/>
      </c>
      <c r="D16341">
        <f>TEST_DATA!D16341</f>
        <v/>
      </c>
      <c r="E16341">
        <f>TEST_DATA!E16341</f>
        <v/>
      </c>
    </row>
    <row r="16342">
      <c r="A16342">
        <f>TEST_DATA!A16342</f>
        <v/>
      </c>
      <c r="B16342">
        <f>TEST_DATA!B16342</f>
        <v/>
      </c>
      <c r="C16342">
        <f>TEST_DATA!C16342</f>
        <v/>
      </c>
      <c r="D16342">
        <f>TEST_DATA!D16342</f>
        <v/>
      </c>
      <c r="E16342">
        <f>TEST_DATA!E16342</f>
        <v/>
      </c>
    </row>
    <row r="16343">
      <c r="A16343">
        <f>TEST_DATA!A16343</f>
        <v/>
      </c>
      <c r="B16343">
        <f>TEST_DATA!B16343</f>
        <v/>
      </c>
      <c r="C16343">
        <f>TEST_DATA!C16343</f>
        <v/>
      </c>
      <c r="D16343">
        <f>TEST_DATA!D16343</f>
        <v/>
      </c>
      <c r="E16343">
        <f>TEST_DATA!E16343</f>
        <v/>
      </c>
    </row>
    <row r="16344">
      <c r="A16344">
        <f>TEST_DATA!A16344</f>
        <v/>
      </c>
      <c r="B16344">
        <f>TEST_DATA!B16344</f>
        <v/>
      </c>
      <c r="C16344">
        <f>TEST_DATA!C16344</f>
        <v/>
      </c>
      <c r="D16344">
        <f>TEST_DATA!D16344</f>
        <v/>
      </c>
      <c r="E16344">
        <f>TEST_DATA!E16344</f>
        <v/>
      </c>
    </row>
    <row r="16345">
      <c r="A16345">
        <f>TEST_DATA!A16345</f>
        <v/>
      </c>
      <c r="B16345">
        <f>TEST_DATA!B16345</f>
        <v/>
      </c>
      <c r="C16345">
        <f>TEST_DATA!C16345</f>
        <v/>
      </c>
      <c r="D16345">
        <f>TEST_DATA!D16345</f>
        <v/>
      </c>
      <c r="E16345">
        <f>TEST_DATA!E16345</f>
        <v/>
      </c>
    </row>
    <row r="16346">
      <c r="A16346">
        <f>TEST_DATA!A16346</f>
        <v/>
      </c>
      <c r="B16346">
        <f>TEST_DATA!B16346</f>
        <v/>
      </c>
      <c r="C16346">
        <f>TEST_DATA!C16346</f>
        <v/>
      </c>
      <c r="D16346">
        <f>TEST_DATA!D16346</f>
        <v/>
      </c>
      <c r="E16346">
        <f>TEST_DATA!E16346</f>
        <v/>
      </c>
    </row>
    <row r="16347">
      <c r="A16347">
        <f>TEST_DATA!A16347</f>
        <v/>
      </c>
      <c r="B16347">
        <f>TEST_DATA!B16347</f>
        <v/>
      </c>
      <c r="C16347">
        <f>TEST_DATA!C16347</f>
        <v/>
      </c>
      <c r="D16347">
        <f>TEST_DATA!D16347</f>
        <v/>
      </c>
      <c r="E16347">
        <f>TEST_DATA!E16347</f>
        <v/>
      </c>
    </row>
    <row r="16348">
      <c r="A16348">
        <f>TEST_DATA!A16348</f>
        <v/>
      </c>
      <c r="B16348">
        <f>TEST_DATA!B16348</f>
        <v/>
      </c>
      <c r="C16348">
        <f>TEST_DATA!C16348</f>
        <v/>
      </c>
      <c r="D16348">
        <f>TEST_DATA!D16348</f>
        <v/>
      </c>
      <c r="E16348">
        <f>TEST_DATA!E16348</f>
        <v/>
      </c>
    </row>
    <row r="16349">
      <c r="A16349">
        <f>TEST_DATA!A16349</f>
        <v/>
      </c>
      <c r="B16349">
        <f>TEST_DATA!B16349</f>
        <v/>
      </c>
      <c r="C16349">
        <f>TEST_DATA!C16349</f>
        <v/>
      </c>
      <c r="D16349">
        <f>TEST_DATA!D16349</f>
        <v/>
      </c>
      <c r="E16349">
        <f>TEST_DATA!E16349</f>
        <v/>
      </c>
    </row>
    <row r="16350">
      <c r="A16350">
        <f>TEST_DATA!A16350</f>
        <v/>
      </c>
      <c r="B16350">
        <f>TEST_DATA!B16350</f>
        <v/>
      </c>
      <c r="C16350">
        <f>TEST_DATA!C16350</f>
        <v/>
      </c>
      <c r="D16350">
        <f>TEST_DATA!D16350</f>
        <v/>
      </c>
      <c r="E16350">
        <f>TEST_DATA!E16350</f>
        <v/>
      </c>
    </row>
    <row r="16351">
      <c r="A16351">
        <f>TEST_DATA!A16351</f>
        <v/>
      </c>
      <c r="B16351">
        <f>TEST_DATA!B16351</f>
        <v/>
      </c>
      <c r="C16351">
        <f>TEST_DATA!C16351</f>
        <v/>
      </c>
      <c r="D16351">
        <f>TEST_DATA!D16351</f>
        <v/>
      </c>
      <c r="E16351">
        <f>TEST_DATA!E16351</f>
        <v/>
      </c>
    </row>
    <row r="16352">
      <c r="A16352">
        <f>TEST_DATA!A16352</f>
        <v/>
      </c>
      <c r="B16352">
        <f>TEST_DATA!B16352</f>
        <v/>
      </c>
      <c r="C16352">
        <f>TEST_DATA!C16352</f>
        <v/>
      </c>
      <c r="D16352">
        <f>TEST_DATA!D16352</f>
        <v/>
      </c>
      <c r="E16352">
        <f>TEST_DATA!E16352</f>
        <v/>
      </c>
    </row>
    <row r="16353">
      <c r="A16353">
        <f>TEST_DATA!A16353</f>
        <v/>
      </c>
      <c r="B16353">
        <f>TEST_DATA!B16353</f>
        <v/>
      </c>
      <c r="C16353">
        <f>TEST_DATA!C16353</f>
        <v/>
      </c>
      <c r="D16353">
        <f>TEST_DATA!D16353</f>
        <v/>
      </c>
      <c r="E16353">
        <f>TEST_DATA!E16353</f>
        <v/>
      </c>
    </row>
    <row r="16354">
      <c r="A16354">
        <f>TEST_DATA!A16354</f>
        <v/>
      </c>
      <c r="B16354">
        <f>TEST_DATA!B16354</f>
        <v/>
      </c>
      <c r="C16354">
        <f>TEST_DATA!C16354</f>
        <v/>
      </c>
      <c r="D16354">
        <f>TEST_DATA!D16354</f>
        <v/>
      </c>
      <c r="E16354">
        <f>TEST_DATA!E16354</f>
        <v/>
      </c>
    </row>
    <row r="16355">
      <c r="A16355">
        <f>TEST_DATA!A16355</f>
        <v/>
      </c>
      <c r="B16355">
        <f>TEST_DATA!B16355</f>
        <v/>
      </c>
      <c r="C16355">
        <f>TEST_DATA!C16355</f>
        <v/>
      </c>
      <c r="D16355">
        <f>TEST_DATA!D16355</f>
        <v/>
      </c>
      <c r="E16355">
        <f>TEST_DATA!E16355</f>
        <v/>
      </c>
    </row>
    <row r="16356">
      <c r="A16356">
        <f>TEST_DATA!A16356</f>
        <v/>
      </c>
      <c r="B16356">
        <f>TEST_DATA!B16356</f>
        <v/>
      </c>
      <c r="C16356">
        <f>TEST_DATA!C16356</f>
        <v/>
      </c>
      <c r="D16356">
        <f>TEST_DATA!D16356</f>
        <v/>
      </c>
      <c r="E16356">
        <f>TEST_DATA!E16356</f>
        <v/>
      </c>
    </row>
    <row r="16357">
      <c r="A16357">
        <f>TEST_DATA!A16357</f>
        <v/>
      </c>
      <c r="B16357">
        <f>TEST_DATA!B16357</f>
        <v/>
      </c>
      <c r="C16357">
        <f>TEST_DATA!C16357</f>
        <v/>
      </c>
      <c r="D16357">
        <f>TEST_DATA!D16357</f>
        <v/>
      </c>
      <c r="E16357">
        <f>TEST_DATA!E16357</f>
        <v/>
      </c>
    </row>
    <row r="16358">
      <c r="A16358">
        <f>TEST_DATA!A16358</f>
        <v/>
      </c>
      <c r="B16358">
        <f>TEST_DATA!B16358</f>
        <v/>
      </c>
      <c r="C16358">
        <f>TEST_DATA!C16358</f>
        <v/>
      </c>
      <c r="D16358">
        <f>TEST_DATA!D16358</f>
        <v/>
      </c>
      <c r="E16358">
        <f>TEST_DATA!E16358</f>
        <v/>
      </c>
    </row>
    <row r="16359">
      <c r="A16359">
        <f>TEST_DATA!A16359</f>
        <v/>
      </c>
      <c r="B16359">
        <f>TEST_DATA!B16359</f>
        <v/>
      </c>
      <c r="C16359">
        <f>TEST_DATA!C16359</f>
        <v/>
      </c>
      <c r="D16359">
        <f>TEST_DATA!D16359</f>
        <v/>
      </c>
      <c r="E16359">
        <f>TEST_DATA!E16359</f>
        <v/>
      </c>
    </row>
    <row r="16360">
      <c r="A16360">
        <f>TEST_DATA!A16360</f>
        <v/>
      </c>
      <c r="B16360">
        <f>TEST_DATA!B16360</f>
        <v/>
      </c>
      <c r="C16360">
        <f>TEST_DATA!C16360</f>
        <v/>
      </c>
      <c r="D16360">
        <f>TEST_DATA!D16360</f>
        <v/>
      </c>
      <c r="E16360">
        <f>TEST_DATA!E16360</f>
        <v/>
      </c>
    </row>
    <row r="16361">
      <c r="A16361">
        <f>TEST_DATA!A16361</f>
        <v/>
      </c>
      <c r="B16361">
        <f>TEST_DATA!B16361</f>
        <v/>
      </c>
      <c r="C16361">
        <f>TEST_DATA!C16361</f>
        <v/>
      </c>
      <c r="D16361">
        <f>TEST_DATA!D16361</f>
        <v/>
      </c>
      <c r="E16361">
        <f>TEST_DATA!E16361</f>
        <v/>
      </c>
    </row>
    <row r="16362">
      <c r="A16362">
        <f>TEST_DATA!A16362</f>
        <v/>
      </c>
      <c r="B16362">
        <f>TEST_DATA!B16362</f>
        <v/>
      </c>
      <c r="C16362">
        <f>TEST_DATA!C16362</f>
        <v/>
      </c>
      <c r="D16362">
        <f>TEST_DATA!D16362</f>
        <v/>
      </c>
      <c r="E16362">
        <f>TEST_DATA!E16362</f>
        <v/>
      </c>
    </row>
    <row r="16363">
      <c r="A16363">
        <f>TEST_DATA!A16363</f>
        <v/>
      </c>
      <c r="B16363">
        <f>TEST_DATA!B16363</f>
        <v/>
      </c>
      <c r="C16363">
        <f>TEST_DATA!C16363</f>
        <v/>
      </c>
      <c r="D16363">
        <f>TEST_DATA!D16363</f>
        <v/>
      </c>
      <c r="E16363">
        <f>TEST_DATA!E16363</f>
        <v/>
      </c>
    </row>
    <row r="16364">
      <c r="A16364">
        <f>TEST_DATA!A16364</f>
        <v/>
      </c>
      <c r="B16364">
        <f>TEST_DATA!B16364</f>
        <v/>
      </c>
      <c r="C16364">
        <f>TEST_DATA!C16364</f>
        <v/>
      </c>
      <c r="D16364">
        <f>TEST_DATA!D16364</f>
        <v/>
      </c>
      <c r="E16364">
        <f>TEST_DATA!E16364</f>
        <v/>
      </c>
    </row>
    <row r="16365">
      <c r="A16365">
        <f>TEST_DATA!A16365</f>
        <v/>
      </c>
      <c r="B16365">
        <f>TEST_DATA!B16365</f>
        <v/>
      </c>
      <c r="C16365">
        <f>TEST_DATA!C16365</f>
        <v/>
      </c>
      <c r="D16365">
        <f>TEST_DATA!D16365</f>
        <v/>
      </c>
      <c r="E16365">
        <f>TEST_DATA!E16365</f>
        <v/>
      </c>
    </row>
    <row r="16366">
      <c r="A16366">
        <f>TEST_DATA!A16366</f>
        <v/>
      </c>
      <c r="B16366">
        <f>TEST_DATA!B16366</f>
        <v/>
      </c>
      <c r="C16366">
        <f>TEST_DATA!C16366</f>
        <v/>
      </c>
      <c r="D16366">
        <f>TEST_DATA!D16366</f>
        <v/>
      </c>
      <c r="E16366">
        <f>TEST_DATA!E16366</f>
        <v/>
      </c>
    </row>
    <row r="16367">
      <c r="A16367">
        <f>TEST_DATA!A16367</f>
        <v/>
      </c>
      <c r="B16367">
        <f>TEST_DATA!B16367</f>
        <v/>
      </c>
      <c r="C16367">
        <f>TEST_DATA!C16367</f>
        <v/>
      </c>
      <c r="D16367">
        <f>TEST_DATA!D16367</f>
        <v/>
      </c>
      <c r="E16367">
        <f>TEST_DATA!E16367</f>
        <v/>
      </c>
    </row>
    <row r="16368">
      <c r="A16368">
        <f>TEST_DATA!A16368</f>
        <v/>
      </c>
      <c r="B16368">
        <f>TEST_DATA!B16368</f>
        <v/>
      </c>
      <c r="C16368">
        <f>TEST_DATA!C16368</f>
        <v/>
      </c>
      <c r="D16368">
        <f>TEST_DATA!D16368</f>
        <v/>
      </c>
      <c r="E16368">
        <f>TEST_DATA!E16368</f>
        <v/>
      </c>
    </row>
    <row r="16369">
      <c r="A16369">
        <f>TEST_DATA!A16369</f>
        <v/>
      </c>
      <c r="B16369">
        <f>TEST_DATA!B16369</f>
        <v/>
      </c>
      <c r="C16369">
        <f>TEST_DATA!C16369</f>
        <v/>
      </c>
      <c r="D16369">
        <f>TEST_DATA!D16369</f>
        <v/>
      </c>
      <c r="E16369">
        <f>TEST_DATA!E16369</f>
        <v/>
      </c>
    </row>
    <row r="16370">
      <c r="A16370">
        <f>TEST_DATA!A16370</f>
        <v/>
      </c>
      <c r="B16370">
        <f>TEST_DATA!B16370</f>
        <v/>
      </c>
      <c r="C16370">
        <f>TEST_DATA!C16370</f>
        <v/>
      </c>
      <c r="D16370">
        <f>TEST_DATA!D16370</f>
        <v/>
      </c>
      <c r="E16370">
        <f>TEST_DATA!E16370</f>
        <v/>
      </c>
    </row>
    <row r="16371">
      <c r="A16371">
        <f>TEST_DATA!A16371</f>
        <v/>
      </c>
      <c r="B16371">
        <f>TEST_DATA!B16371</f>
        <v/>
      </c>
      <c r="C16371">
        <f>TEST_DATA!C16371</f>
        <v/>
      </c>
      <c r="D16371">
        <f>TEST_DATA!D16371</f>
        <v/>
      </c>
      <c r="E16371">
        <f>TEST_DATA!E16371</f>
        <v/>
      </c>
    </row>
    <row r="16372">
      <c r="A16372">
        <f>TEST_DATA!A16372</f>
        <v/>
      </c>
      <c r="B16372">
        <f>TEST_DATA!B16372</f>
        <v/>
      </c>
      <c r="C16372">
        <f>TEST_DATA!C16372</f>
        <v/>
      </c>
      <c r="D16372">
        <f>TEST_DATA!D16372</f>
        <v/>
      </c>
      <c r="E16372">
        <f>TEST_DATA!E16372</f>
        <v/>
      </c>
    </row>
    <row r="16373">
      <c r="A16373">
        <f>TEST_DATA!A16373</f>
        <v/>
      </c>
      <c r="B16373">
        <f>TEST_DATA!B16373</f>
        <v/>
      </c>
      <c r="C16373">
        <f>TEST_DATA!C16373</f>
        <v/>
      </c>
      <c r="D16373">
        <f>TEST_DATA!D16373</f>
        <v/>
      </c>
      <c r="E16373">
        <f>TEST_DATA!E16373</f>
        <v/>
      </c>
    </row>
    <row r="16374">
      <c r="A16374">
        <f>TEST_DATA!A16374</f>
        <v/>
      </c>
      <c r="B16374">
        <f>TEST_DATA!B16374</f>
        <v/>
      </c>
      <c r="C16374">
        <f>TEST_DATA!C16374</f>
        <v/>
      </c>
      <c r="D16374">
        <f>TEST_DATA!D16374</f>
        <v/>
      </c>
      <c r="E16374">
        <f>TEST_DATA!E16374</f>
        <v/>
      </c>
    </row>
    <row r="16375">
      <c r="A16375">
        <f>TEST_DATA!A16375</f>
        <v/>
      </c>
      <c r="B16375">
        <f>TEST_DATA!B16375</f>
        <v/>
      </c>
      <c r="C16375">
        <f>TEST_DATA!C16375</f>
        <v/>
      </c>
      <c r="D16375">
        <f>TEST_DATA!D16375</f>
        <v/>
      </c>
      <c r="E16375">
        <f>TEST_DATA!E16375</f>
        <v/>
      </c>
    </row>
    <row r="16376">
      <c r="A16376">
        <f>TEST_DATA!A16376</f>
        <v/>
      </c>
      <c r="B16376">
        <f>TEST_DATA!B16376</f>
        <v/>
      </c>
      <c r="C16376">
        <f>TEST_DATA!C16376</f>
        <v/>
      </c>
      <c r="D16376">
        <f>TEST_DATA!D16376</f>
        <v/>
      </c>
      <c r="E16376">
        <f>TEST_DATA!E16376</f>
        <v/>
      </c>
    </row>
    <row r="16377">
      <c r="A16377">
        <f>TEST_DATA!A16377</f>
        <v/>
      </c>
      <c r="B16377">
        <f>TEST_DATA!B16377</f>
        <v/>
      </c>
      <c r="C16377">
        <f>TEST_DATA!C16377</f>
        <v/>
      </c>
      <c r="D16377">
        <f>TEST_DATA!D16377</f>
        <v/>
      </c>
      <c r="E16377">
        <f>TEST_DATA!E16377</f>
        <v/>
      </c>
    </row>
    <row r="16378">
      <c r="A16378">
        <f>TEST_DATA!A16378</f>
        <v/>
      </c>
      <c r="B16378">
        <f>TEST_DATA!B16378</f>
        <v/>
      </c>
      <c r="C16378">
        <f>TEST_DATA!C16378</f>
        <v/>
      </c>
      <c r="D16378">
        <f>TEST_DATA!D16378</f>
        <v/>
      </c>
      <c r="E16378">
        <f>TEST_DATA!E16378</f>
        <v/>
      </c>
    </row>
    <row r="16379">
      <c r="A16379">
        <f>TEST_DATA!A16379</f>
        <v/>
      </c>
      <c r="B16379">
        <f>TEST_DATA!B16379</f>
        <v/>
      </c>
      <c r="C16379">
        <f>TEST_DATA!C16379</f>
        <v/>
      </c>
      <c r="D16379">
        <f>TEST_DATA!D16379</f>
        <v/>
      </c>
      <c r="E16379">
        <f>TEST_DATA!E16379</f>
        <v/>
      </c>
    </row>
    <row r="16380">
      <c r="A16380">
        <f>TEST_DATA!A16380</f>
        <v/>
      </c>
      <c r="B16380">
        <f>TEST_DATA!B16380</f>
        <v/>
      </c>
      <c r="C16380">
        <f>TEST_DATA!C16380</f>
        <v/>
      </c>
      <c r="D16380">
        <f>TEST_DATA!D16380</f>
        <v/>
      </c>
      <c r="E16380">
        <f>TEST_DATA!E16380</f>
        <v/>
      </c>
    </row>
    <row r="16381">
      <c r="A16381">
        <f>TEST_DATA!A16381</f>
        <v/>
      </c>
      <c r="B16381">
        <f>TEST_DATA!B16381</f>
        <v/>
      </c>
      <c r="C16381">
        <f>TEST_DATA!C16381</f>
        <v/>
      </c>
      <c r="D16381">
        <f>TEST_DATA!D16381</f>
        <v/>
      </c>
      <c r="E16381">
        <f>TEST_DATA!E16381</f>
        <v/>
      </c>
    </row>
    <row r="16382">
      <c r="A16382">
        <f>TEST_DATA!A16382</f>
        <v/>
      </c>
      <c r="B16382">
        <f>TEST_DATA!B16382</f>
        <v/>
      </c>
      <c r="C16382">
        <f>TEST_DATA!C16382</f>
        <v/>
      </c>
      <c r="D16382">
        <f>TEST_DATA!D16382</f>
        <v/>
      </c>
      <c r="E16382">
        <f>TEST_DATA!E16382</f>
        <v/>
      </c>
    </row>
    <row r="16383">
      <c r="A16383">
        <f>TEST_DATA!A16383</f>
        <v/>
      </c>
      <c r="B16383">
        <f>TEST_DATA!B16383</f>
        <v/>
      </c>
      <c r="C16383">
        <f>TEST_DATA!C16383</f>
        <v/>
      </c>
      <c r="D16383">
        <f>TEST_DATA!D16383</f>
        <v/>
      </c>
      <c r="E16383">
        <f>TEST_DATA!E16383</f>
        <v/>
      </c>
    </row>
    <row r="16384">
      <c r="A16384">
        <f>TEST_DATA!A16384</f>
        <v/>
      </c>
      <c r="B16384">
        <f>TEST_DATA!B16384</f>
        <v/>
      </c>
      <c r="C16384">
        <f>TEST_DATA!C16384</f>
        <v/>
      </c>
      <c r="D16384">
        <f>TEST_DATA!D16384</f>
        <v/>
      </c>
      <c r="E16384">
        <f>TEST_DATA!E16384</f>
        <v/>
      </c>
    </row>
    <row r="16385">
      <c r="A16385">
        <f>TEST_DATA!A16385</f>
        <v/>
      </c>
      <c r="B16385">
        <f>TEST_DATA!B16385</f>
        <v/>
      </c>
      <c r="C16385">
        <f>TEST_DATA!C16385</f>
        <v/>
      </c>
      <c r="D16385">
        <f>TEST_DATA!D16385</f>
        <v/>
      </c>
      <c r="E16385">
        <f>TEST_DATA!E16385</f>
        <v/>
      </c>
    </row>
    <row r="16386">
      <c r="A16386">
        <f>TEST_DATA!A16386</f>
        <v/>
      </c>
      <c r="B16386">
        <f>TEST_DATA!B16386</f>
        <v/>
      </c>
      <c r="C16386">
        <f>TEST_DATA!C16386</f>
        <v/>
      </c>
      <c r="D16386">
        <f>TEST_DATA!D16386</f>
        <v/>
      </c>
      <c r="E16386">
        <f>TEST_DATA!E16386</f>
        <v/>
      </c>
    </row>
    <row r="16387">
      <c r="A16387">
        <f>TEST_DATA!A16387</f>
        <v/>
      </c>
      <c r="B16387">
        <f>TEST_DATA!B16387</f>
        <v/>
      </c>
      <c r="C16387">
        <f>TEST_DATA!C16387</f>
        <v/>
      </c>
      <c r="D16387">
        <f>TEST_DATA!D16387</f>
        <v/>
      </c>
      <c r="E16387">
        <f>TEST_DATA!E16387</f>
        <v/>
      </c>
    </row>
    <row r="16388">
      <c r="A16388">
        <f>TEST_DATA!A16388</f>
        <v/>
      </c>
      <c r="B16388">
        <f>TEST_DATA!B16388</f>
        <v/>
      </c>
      <c r="C16388">
        <f>TEST_DATA!C16388</f>
        <v/>
      </c>
      <c r="D16388">
        <f>TEST_DATA!D16388</f>
        <v/>
      </c>
      <c r="E16388">
        <f>TEST_DATA!E16388</f>
        <v/>
      </c>
    </row>
    <row r="16389">
      <c r="A16389">
        <f>TEST_DATA!A16389</f>
        <v/>
      </c>
      <c r="B16389">
        <f>TEST_DATA!B16389</f>
        <v/>
      </c>
      <c r="C16389">
        <f>TEST_DATA!C16389</f>
        <v/>
      </c>
      <c r="D16389">
        <f>TEST_DATA!D16389</f>
        <v/>
      </c>
      <c r="E16389">
        <f>TEST_DATA!E16389</f>
        <v/>
      </c>
    </row>
    <row r="16390">
      <c r="A16390">
        <f>TEST_DATA!A16390</f>
        <v/>
      </c>
      <c r="B16390">
        <f>TEST_DATA!B16390</f>
        <v/>
      </c>
      <c r="C16390">
        <f>TEST_DATA!C16390</f>
        <v/>
      </c>
      <c r="D16390">
        <f>TEST_DATA!D16390</f>
        <v/>
      </c>
      <c r="E16390">
        <f>TEST_DATA!E16390</f>
        <v/>
      </c>
    </row>
    <row r="16391">
      <c r="A16391">
        <f>TEST_DATA!A16391</f>
        <v/>
      </c>
      <c r="B16391">
        <f>TEST_DATA!B16391</f>
        <v/>
      </c>
      <c r="C16391">
        <f>TEST_DATA!C16391</f>
        <v/>
      </c>
      <c r="D16391">
        <f>TEST_DATA!D16391</f>
        <v/>
      </c>
      <c r="E16391">
        <f>TEST_DATA!E16391</f>
        <v/>
      </c>
    </row>
    <row r="16392">
      <c r="A16392">
        <f>TEST_DATA!A16392</f>
        <v/>
      </c>
      <c r="B16392">
        <f>TEST_DATA!B16392</f>
        <v/>
      </c>
      <c r="C16392">
        <f>TEST_DATA!C16392</f>
        <v/>
      </c>
      <c r="D16392">
        <f>TEST_DATA!D16392</f>
        <v/>
      </c>
      <c r="E16392">
        <f>TEST_DATA!E16392</f>
        <v/>
      </c>
    </row>
    <row r="16393">
      <c r="A16393">
        <f>TEST_DATA!A16393</f>
        <v/>
      </c>
      <c r="B16393">
        <f>TEST_DATA!B16393</f>
        <v/>
      </c>
      <c r="C16393">
        <f>TEST_DATA!C16393</f>
        <v/>
      </c>
      <c r="D16393">
        <f>TEST_DATA!D16393</f>
        <v/>
      </c>
      <c r="E16393">
        <f>TEST_DATA!E16393</f>
        <v/>
      </c>
    </row>
    <row r="16394">
      <c r="A16394">
        <f>TEST_DATA!A16394</f>
        <v/>
      </c>
      <c r="B16394">
        <f>TEST_DATA!B16394</f>
        <v/>
      </c>
      <c r="C16394">
        <f>TEST_DATA!C16394</f>
        <v/>
      </c>
      <c r="D16394">
        <f>TEST_DATA!D16394</f>
        <v/>
      </c>
      <c r="E16394">
        <f>TEST_DATA!E16394</f>
        <v/>
      </c>
    </row>
    <row r="16395">
      <c r="A16395">
        <f>TEST_DATA!A16395</f>
        <v/>
      </c>
      <c r="B16395">
        <f>TEST_DATA!B16395</f>
        <v/>
      </c>
      <c r="C16395">
        <f>TEST_DATA!C16395</f>
        <v/>
      </c>
      <c r="D16395">
        <f>TEST_DATA!D16395</f>
        <v/>
      </c>
      <c r="E16395">
        <f>TEST_DATA!E16395</f>
        <v/>
      </c>
    </row>
    <row r="16396">
      <c r="A16396">
        <f>TEST_DATA!A16396</f>
        <v/>
      </c>
      <c r="B16396">
        <f>TEST_DATA!B16396</f>
        <v/>
      </c>
      <c r="C16396">
        <f>TEST_DATA!C16396</f>
        <v/>
      </c>
      <c r="D16396">
        <f>TEST_DATA!D16396</f>
        <v/>
      </c>
      <c r="E16396">
        <f>TEST_DATA!E16396</f>
        <v/>
      </c>
    </row>
    <row r="16397">
      <c r="A16397">
        <f>TEST_DATA!A16397</f>
        <v/>
      </c>
      <c r="B16397">
        <f>TEST_DATA!B16397</f>
        <v/>
      </c>
      <c r="C16397">
        <f>TEST_DATA!C16397</f>
        <v/>
      </c>
      <c r="D16397">
        <f>TEST_DATA!D16397</f>
        <v/>
      </c>
      <c r="E16397">
        <f>TEST_DATA!E16397</f>
        <v/>
      </c>
    </row>
    <row r="16398">
      <c r="A16398">
        <f>TEST_DATA!A16398</f>
        <v/>
      </c>
      <c r="B16398">
        <f>TEST_DATA!B16398</f>
        <v/>
      </c>
      <c r="C16398">
        <f>TEST_DATA!C16398</f>
        <v/>
      </c>
      <c r="D16398">
        <f>TEST_DATA!D16398</f>
        <v/>
      </c>
      <c r="E16398">
        <f>TEST_DATA!E16398</f>
        <v/>
      </c>
    </row>
    <row r="16399">
      <c r="A16399">
        <f>TEST_DATA!A16399</f>
        <v/>
      </c>
      <c r="B16399">
        <f>TEST_DATA!B16399</f>
        <v/>
      </c>
      <c r="C16399">
        <f>TEST_DATA!C16399</f>
        <v/>
      </c>
      <c r="D16399">
        <f>TEST_DATA!D16399</f>
        <v/>
      </c>
      <c r="E16399">
        <f>TEST_DATA!E16399</f>
        <v/>
      </c>
    </row>
    <row r="16400">
      <c r="A16400">
        <f>TEST_DATA!A16400</f>
        <v/>
      </c>
      <c r="B16400">
        <f>TEST_DATA!B16400</f>
        <v/>
      </c>
      <c r="C16400">
        <f>TEST_DATA!C16400</f>
        <v/>
      </c>
      <c r="D16400">
        <f>TEST_DATA!D16400</f>
        <v/>
      </c>
      <c r="E16400">
        <f>TEST_DATA!E16400</f>
        <v/>
      </c>
    </row>
    <row r="16401">
      <c r="A16401">
        <f>TEST_DATA!A16401</f>
        <v/>
      </c>
      <c r="B16401">
        <f>TEST_DATA!B16401</f>
        <v/>
      </c>
      <c r="C16401">
        <f>TEST_DATA!C16401</f>
        <v/>
      </c>
      <c r="D16401">
        <f>TEST_DATA!D16401</f>
        <v/>
      </c>
      <c r="E16401">
        <f>TEST_DATA!E16401</f>
        <v/>
      </c>
    </row>
    <row r="16402">
      <c r="A16402">
        <f>TEST_DATA!A16402</f>
        <v/>
      </c>
      <c r="B16402">
        <f>TEST_DATA!B16402</f>
        <v/>
      </c>
      <c r="C16402">
        <f>TEST_DATA!C16402</f>
        <v/>
      </c>
      <c r="D16402">
        <f>TEST_DATA!D16402</f>
        <v/>
      </c>
      <c r="E16402">
        <f>TEST_DATA!E16402</f>
        <v/>
      </c>
    </row>
    <row r="16403">
      <c r="A16403">
        <f>TEST_DATA!A16403</f>
        <v/>
      </c>
      <c r="B16403">
        <f>TEST_DATA!B16403</f>
        <v/>
      </c>
      <c r="C16403">
        <f>TEST_DATA!C16403</f>
        <v/>
      </c>
      <c r="D16403">
        <f>TEST_DATA!D16403</f>
        <v/>
      </c>
      <c r="E16403">
        <f>TEST_DATA!E16403</f>
        <v/>
      </c>
    </row>
    <row r="16404">
      <c r="A16404">
        <f>TEST_DATA!A16404</f>
        <v/>
      </c>
      <c r="B16404">
        <f>TEST_DATA!B16404</f>
        <v/>
      </c>
      <c r="C16404">
        <f>TEST_DATA!C16404</f>
        <v/>
      </c>
      <c r="D16404">
        <f>TEST_DATA!D16404</f>
        <v/>
      </c>
      <c r="E16404">
        <f>TEST_DATA!E16404</f>
        <v/>
      </c>
    </row>
    <row r="16405">
      <c r="A16405">
        <f>TEST_DATA!A16405</f>
        <v/>
      </c>
      <c r="B16405">
        <f>TEST_DATA!B16405</f>
        <v/>
      </c>
      <c r="C16405">
        <f>TEST_DATA!C16405</f>
        <v/>
      </c>
      <c r="D16405">
        <f>TEST_DATA!D16405</f>
        <v/>
      </c>
      <c r="E16405">
        <f>TEST_DATA!E16405</f>
        <v/>
      </c>
    </row>
    <row r="16406">
      <c r="A16406">
        <f>TEST_DATA!A16406</f>
        <v/>
      </c>
      <c r="B16406">
        <f>TEST_DATA!B16406</f>
        <v/>
      </c>
      <c r="C16406">
        <f>TEST_DATA!C16406</f>
        <v/>
      </c>
      <c r="D16406">
        <f>TEST_DATA!D16406</f>
        <v/>
      </c>
      <c r="E16406">
        <f>TEST_DATA!E16406</f>
        <v/>
      </c>
    </row>
    <row r="16407">
      <c r="A16407">
        <f>TEST_DATA!A16407</f>
        <v/>
      </c>
      <c r="B16407">
        <f>TEST_DATA!B16407</f>
        <v/>
      </c>
      <c r="C16407">
        <f>TEST_DATA!C16407</f>
        <v/>
      </c>
      <c r="D16407">
        <f>TEST_DATA!D16407</f>
        <v/>
      </c>
      <c r="E16407">
        <f>TEST_DATA!E16407</f>
        <v/>
      </c>
    </row>
    <row r="16408">
      <c r="A16408">
        <f>TEST_DATA!A16408</f>
        <v/>
      </c>
      <c r="B16408">
        <f>TEST_DATA!B16408</f>
        <v/>
      </c>
      <c r="C16408">
        <f>TEST_DATA!C16408</f>
        <v/>
      </c>
      <c r="D16408">
        <f>TEST_DATA!D16408</f>
        <v/>
      </c>
      <c r="E16408">
        <f>TEST_DATA!E16408</f>
        <v/>
      </c>
    </row>
    <row r="16409">
      <c r="A16409">
        <f>TEST_DATA!A16409</f>
        <v/>
      </c>
      <c r="B16409">
        <f>TEST_DATA!B16409</f>
        <v/>
      </c>
      <c r="C16409">
        <f>TEST_DATA!C16409</f>
        <v/>
      </c>
      <c r="D16409">
        <f>TEST_DATA!D16409</f>
        <v/>
      </c>
      <c r="E16409">
        <f>TEST_DATA!E16409</f>
        <v/>
      </c>
    </row>
    <row r="16410">
      <c r="A16410">
        <f>TEST_DATA!A16410</f>
        <v/>
      </c>
      <c r="B16410">
        <f>TEST_DATA!B16410</f>
        <v/>
      </c>
      <c r="C16410">
        <f>TEST_DATA!C16410</f>
        <v/>
      </c>
      <c r="D16410">
        <f>TEST_DATA!D16410</f>
        <v/>
      </c>
      <c r="E16410">
        <f>TEST_DATA!E16410</f>
        <v/>
      </c>
    </row>
    <row r="16411">
      <c r="A16411">
        <f>TEST_DATA!A16411</f>
        <v/>
      </c>
      <c r="B16411">
        <f>TEST_DATA!B16411</f>
        <v/>
      </c>
      <c r="C16411">
        <f>TEST_DATA!C16411</f>
        <v/>
      </c>
      <c r="D16411">
        <f>TEST_DATA!D16411</f>
        <v/>
      </c>
      <c r="E16411">
        <f>TEST_DATA!E16411</f>
        <v/>
      </c>
    </row>
    <row r="16412">
      <c r="A16412">
        <f>TEST_DATA!A16412</f>
        <v/>
      </c>
      <c r="B16412">
        <f>TEST_DATA!B16412</f>
        <v/>
      </c>
      <c r="C16412">
        <f>TEST_DATA!C16412</f>
        <v/>
      </c>
      <c r="D16412">
        <f>TEST_DATA!D16412</f>
        <v/>
      </c>
      <c r="E16412">
        <f>TEST_DATA!E16412</f>
        <v/>
      </c>
    </row>
    <row r="16413">
      <c r="A16413">
        <f>TEST_DATA!A16413</f>
        <v/>
      </c>
      <c r="B16413">
        <f>TEST_DATA!B16413</f>
        <v/>
      </c>
      <c r="C16413">
        <f>TEST_DATA!C16413</f>
        <v/>
      </c>
      <c r="D16413">
        <f>TEST_DATA!D16413</f>
        <v/>
      </c>
      <c r="E16413">
        <f>TEST_DATA!E16413</f>
        <v/>
      </c>
    </row>
    <row r="16414">
      <c r="A16414">
        <f>TEST_DATA!A16414</f>
        <v/>
      </c>
      <c r="B16414">
        <f>TEST_DATA!B16414</f>
        <v/>
      </c>
      <c r="C16414">
        <f>TEST_DATA!C16414</f>
        <v/>
      </c>
      <c r="D16414">
        <f>TEST_DATA!D16414</f>
        <v/>
      </c>
      <c r="E16414">
        <f>TEST_DATA!E16414</f>
        <v/>
      </c>
    </row>
    <row r="16415">
      <c r="A16415">
        <f>TEST_DATA!A16415</f>
        <v/>
      </c>
      <c r="B16415">
        <f>TEST_DATA!B16415</f>
        <v/>
      </c>
      <c r="C16415">
        <f>TEST_DATA!C16415</f>
        <v/>
      </c>
      <c r="D16415">
        <f>TEST_DATA!D16415</f>
        <v/>
      </c>
      <c r="E16415">
        <f>TEST_DATA!E16415</f>
        <v/>
      </c>
    </row>
    <row r="16416">
      <c r="A16416">
        <f>TEST_DATA!A16416</f>
        <v/>
      </c>
      <c r="B16416">
        <f>TEST_DATA!B16416</f>
        <v/>
      </c>
      <c r="C16416">
        <f>TEST_DATA!C16416</f>
        <v/>
      </c>
      <c r="D16416">
        <f>TEST_DATA!D16416</f>
        <v/>
      </c>
      <c r="E16416">
        <f>TEST_DATA!E16416</f>
        <v/>
      </c>
    </row>
    <row r="16417">
      <c r="A16417">
        <f>TEST_DATA!A16417</f>
        <v/>
      </c>
      <c r="B16417">
        <f>TEST_DATA!B16417</f>
        <v/>
      </c>
      <c r="C16417">
        <f>TEST_DATA!C16417</f>
        <v/>
      </c>
      <c r="D16417">
        <f>TEST_DATA!D16417</f>
        <v/>
      </c>
      <c r="E16417">
        <f>TEST_DATA!E16417</f>
        <v/>
      </c>
    </row>
    <row r="16418">
      <c r="A16418">
        <f>TEST_DATA!A16418</f>
        <v/>
      </c>
      <c r="B16418">
        <f>TEST_DATA!B16418</f>
        <v/>
      </c>
      <c r="C16418">
        <f>TEST_DATA!C16418</f>
        <v/>
      </c>
      <c r="D16418">
        <f>TEST_DATA!D16418</f>
        <v/>
      </c>
      <c r="E16418">
        <f>TEST_DATA!E16418</f>
        <v/>
      </c>
    </row>
    <row r="16419">
      <c r="A16419">
        <f>TEST_DATA!A16419</f>
        <v/>
      </c>
      <c r="B16419">
        <f>TEST_DATA!B16419</f>
        <v/>
      </c>
      <c r="C16419">
        <f>TEST_DATA!C16419</f>
        <v/>
      </c>
      <c r="D16419">
        <f>TEST_DATA!D16419</f>
        <v/>
      </c>
      <c r="E16419">
        <f>TEST_DATA!E16419</f>
        <v/>
      </c>
    </row>
    <row r="16420">
      <c r="A16420">
        <f>TEST_DATA!A16420</f>
        <v/>
      </c>
      <c r="B16420">
        <f>TEST_DATA!B16420</f>
        <v/>
      </c>
      <c r="C16420">
        <f>TEST_DATA!C16420</f>
        <v/>
      </c>
      <c r="D16420">
        <f>TEST_DATA!D16420</f>
        <v/>
      </c>
      <c r="E16420">
        <f>TEST_DATA!E16420</f>
        <v/>
      </c>
    </row>
    <row r="16421">
      <c r="A16421">
        <f>TEST_DATA!A16421</f>
        <v/>
      </c>
      <c r="B16421">
        <f>TEST_DATA!B16421</f>
        <v/>
      </c>
      <c r="C16421">
        <f>TEST_DATA!C16421</f>
        <v/>
      </c>
      <c r="D16421">
        <f>TEST_DATA!D16421</f>
        <v/>
      </c>
      <c r="E16421">
        <f>TEST_DATA!E16421</f>
        <v/>
      </c>
    </row>
    <row r="16422">
      <c r="A16422">
        <f>TEST_DATA!A16422</f>
        <v/>
      </c>
      <c r="B16422">
        <f>TEST_DATA!B16422</f>
        <v/>
      </c>
      <c r="C16422">
        <f>TEST_DATA!C16422</f>
        <v/>
      </c>
      <c r="D16422">
        <f>TEST_DATA!D16422</f>
        <v/>
      </c>
      <c r="E16422">
        <f>TEST_DATA!E16422</f>
        <v/>
      </c>
    </row>
    <row r="16423">
      <c r="A16423">
        <f>TEST_DATA!A16423</f>
        <v/>
      </c>
      <c r="B16423">
        <f>TEST_DATA!B16423</f>
        <v/>
      </c>
      <c r="C16423">
        <f>TEST_DATA!C16423</f>
        <v/>
      </c>
      <c r="D16423">
        <f>TEST_DATA!D16423</f>
        <v/>
      </c>
      <c r="E16423">
        <f>TEST_DATA!E16423</f>
        <v/>
      </c>
    </row>
    <row r="16424">
      <c r="A16424">
        <f>TEST_DATA!A16424</f>
        <v/>
      </c>
      <c r="B16424">
        <f>TEST_DATA!B16424</f>
        <v/>
      </c>
      <c r="C16424">
        <f>TEST_DATA!C16424</f>
        <v/>
      </c>
      <c r="D16424">
        <f>TEST_DATA!D16424</f>
        <v/>
      </c>
      <c r="E16424">
        <f>TEST_DATA!E16424</f>
        <v/>
      </c>
    </row>
    <row r="16425">
      <c r="A16425">
        <f>TEST_DATA!A16425</f>
        <v/>
      </c>
      <c r="B16425">
        <f>TEST_DATA!B16425</f>
        <v/>
      </c>
      <c r="C16425">
        <f>TEST_DATA!C16425</f>
        <v/>
      </c>
      <c r="D16425">
        <f>TEST_DATA!D16425</f>
        <v/>
      </c>
      <c r="E16425">
        <f>TEST_DATA!E16425</f>
        <v/>
      </c>
    </row>
    <row r="16426">
      <c r="A16426">
        <f>TEST_DATA!A16426</f>
        <v/>
      </c>
      <c r="B16426">
        <f>TEST_DATA!B16426</f>
        <v/>
      </c>
      <c r="C16426">
        <f>TEST_DATA!C16426</f>
        <v/>
      </c>
      <c r="D16426">
        <f>TEST_DATA!D16426</f>
        <v/>
      </c>
      <c r="E16426">
        <f>TEST_DATA!E16426</f>
        <v/>
      </c>
    </row>
    <row r="16427">
      <c r="A16427">
        <f>TEST_DATA!A16427</f>
        <v/>
      </c>
      <c r="B16427">
        <f>TEST_DATA!B16427</f>
        <v/>
      </c>
      <c r="C16427">
        <f>TEST_DATA!C16427</f>
        <v/>
      </c>
      <c r="D16427">
        <f>TEST_DATA!D16427</f>
        <v/>
      </c>
      <c r="E16427">
        <f>TEST_DATA!E16427</f>
        <v/>
      </c>
    </row>
    <row r="16428">
      <c r="A16428">
        <f>TEST_DATA!A16428</f>
        <v/>
      </c>
      <c r="B16428">
        <f>TEST_DATA!B16428</f>
        <v/>
      </c>
      <c r="C16428">
        <f>TEST_DATA!C16428</f>
        <v/>
      </c>
      <c r="D16428">
        <f>TEST_DATA!D16428</f>
        <v/>
      </c>
      <c r="E16428">
        <f>TEST_DATA!E16428</f>
        <v/>
      </c>
    </row>
    <row r="16429">
      <c r="A16429">
        <f>TEST_DATA!A16429</f>
        <v/>
      </c>
      <c r="B16429">
        <f>TEST_DATA!B16429</f>
        <v/>
      </c>
      <c r="C16429">
        <f>TEST_DATA!C16429</f>
        <v/>
      </c>
      <c r="D16429">
        <f>TEST_DATA!D16429</f>
        <v/>
      </c>
      <c r="E16429">
        <f>TEST_DATA!E16429</f>
        <v/>
      </c>
    </row>
    <row r="16430">
      <c r="A16430">
        <f>TEST_DATA!A16430</f>
        <v/>
      </c>
      <c r="B16430">
        <f>TEST_DATA!B16430</f>
        <v/>
      </c>
      <c r="C16430">
        <f>TEST_DATA!C16430</f>
        <v/>
      </c>
      <c r="D16430">
        <f>TEST_DATA!D16430</f>
        <v/>
      </c>
      <c r="E16430">
        <f>TEST_DATA!E16430</f>
        <v/>
      </c>
    </row>
    <row r="16431">
      <c r="A16431">
        <f>TEST_DATA!A16431</f>
        <v/>
      </c>
      <c r="B16431">
        <f>TEST_DATA!B16431</f>
        <v/>
      </c>
      <c r="C16431">
        <f>TEST_DATA!C16431</f>
        <v/>
      </c>
      <c r="D16431">
        <f>TEST_DATA!D16431</f>
        <v/>
      </c>
      <c r="E16431">
        <f>TEST_DATA!E16431</f>
        <v/>
      </c>
    </row>
    <row r="16432">
      <c r="A16432">
        <f>TEST_DATA!A16432</f>
        <v/>
      </c>
      <c r="B16432">
        <f>TEST_DATA!B16432</f>
        <v/>
      </c>
      <c r="C16432">
        <f>TEST_DATA!C16432</f>
        <v/>
      </c>
      <c r="D16432">
        <f>TEST_DATA!D16432</f>
        <v/>
      </c>
      <c r="E16432">
        <f>TEST_DATA!E16432</f>
        <v/>
      </c>
    </row>
    <row r="16433">
      <c r="A16433">
        <f>TEST_DATA!A16433</f>
        <v/>
      </c>
      <c r="B16433">
        <f>TEST_DATA!B16433</f>
        <v/>
      </c>
      <c r="C16433">
        <f>TEST_DATA!C16433</f>
        <v/>
      </c>
      <c r="D16433">
        <f>TEST_DATA!D16433</f>
        <v/>
      </c>
      <c r="E16433">
        <f>TEST_DATA!E16433</f>
        <v/>
      </c>
    </row>
    <row r="16434">
      <c r="A16434">
        <f>TEST_DATA!A16434</f>
        <v/>
      </c>
      <c r="B16434">
        <f>TEST_DATA!B16434</f>
        <v/>
      </c>
      <c r="C16434">
        <f>TEST_DATA!C16434</f>
        <v/>
      </c>
      <c r="D16434">
        <f>TEST_DATA!D16434</f>
        <v/>
      </c>
      <c r="E16434">
        <f>TEST_DATA!E16434</f>
        <v/>
      </c>
    </row>
    <row r="16435">
      <c r="A16435">
        <f>TEST_DATA!A16435</f>
        <v/>
      </c>
      <c r="B16435">
        <f>TEST_DATA!B16435</f>
        <v/>
      </c>
      <c r="C16435">
        <f>TEST_DATA!C16435</f>
        <v/>
      </c>
      <c r="D16435">
        <f>TEST_DATA!D16435</f>
        <v/>
      </c>
      <c r="E16435">
        <f>TEST_DATA!E16435</f>
        <v/>
      </c>
    </row>
    <row r="16436">
      <c r="A16436">
        <f>TEST_DATA!A16436</f>
        <v/>
      </c>
      <c r="B16436">
        <f>TEST_DATA!B16436</f>
        <v/>
      </c>
      <c r="C16436">
        <f>TEST_DATA!C16436</f>
        <v/>
      </c>
      <c r="D16436">
        <f>TEST_DATA!D16436</f>
        <v/>
      </c>
      <c r="E16436">
        <f>TEST_DATA!E16436</f>
        <v/>
      </c>
    </row>
    <row r="16437">
      <c r="A16437">
        <f>TEST_DATA!A16437</f>
        <v/>
      </c>
      <c r="B16437">
        <f>TEST_DATA!B16437</f>
        <v/>
      </c>
      <c r="C16437">
        <f>TEST_DATA!C16437</f>
        <v/>
      </c>
      <c r="D16437">
        <f>TEST_DATA!D16437</f>
        <v/>
      </c>
      <c r="E16437">
        <f>TEST_DATA!E16437</f>
        <v/>
      </c>
    </row>
    <row r="16438">
      <c r="A16438">
        <f>TEST_DATA!A16438</f>
        <v/>
      </c>
      <c r="B16438">
        <f>TEST_DATA!B16438</f>
        <v/>
      </c>
      <c r="C16438">
        <f>TEST_DATA!C16438</f>
        <v/>
      </c>
      <c r="D16438">
        <f>TEST_DATA!D16438</f>
        <v/>
      </c>
      <c r="E16438">
        <f>TEST_DATA!E16438</f>
        <v/>
      </c>
    </row>
    <row r="16439">
      <c r="A16439">
        <f>TEST_DATA!A16439</f>
        <v/>
      </c>
      <c r="B16439">
        <f>TEST_DATA!B16439</f>
        <v/>
      </c>
      <c r="C16439">
        <f>TEST_DATA!C16439</f>
        <v/>
      </c>
      <c r="D16439">
        <f>TEST_DATA!D16439</f>
        <v/>
      </c>
      <c r="E16439">
        <f>TEST_DATA!E16439</f>
        <v/>
      </c>
    </row>
    <row r="16440">
      <c r="A16440">
        <f>TEST_DATA!A16440</f>
        <v/>
      </c>
      <c r="B16440">
        <f>TEST_DATA!B16440</f>
        <v/>
      </c>
      <c r="C16440">
        <f>TEST_DATA!C16440</f>
        <v/>
      </c>
      <c r="D16440">
        <f>TEST_DATA!D16440</f>
        <v/>
      </c>
      <c r="E16440">
        <f>TEST_DATA!E16440</f>
        <v/>
      </c>
    </row>
    <row r="16441">
      <c r="A16441">
        <f>TEST_DATA!A16441</f>
        <v/>
      </c>
      <c r="B16441">
        <f>TEST_DATA!B16441</f>
        <v/>
      </c>
      <c r="C16441">
        <f>TEST_DATA!C16441</f>
        <v/>
      </c>
      <c r="D16441">
        <f>TEST_DATA!D16441</f>
        <v/>
      </c>
      <c r="E16441">
        <f>TEST_DATA!E16441</f>
        <v/>
      </c>
    </row>
    <row r="16442">
      <c r="A16442">
        <f>TEST_DATA!A16442</f>
        <v/>
      </c>
      <c r="B16442">
        <f>TEST_DATA!B16442</f>
        <v/>
      </c>
      <c r="C16442">
        <f>TEST_DATA!C16442</f>
        <v/>
      </c>
      <c r="D16442">
        <f>TEST_DATA!D16442</f>
        <v/>
      </c>
      <c r="E16442">
        <f>TEST_DATA!E16442</f>
        <v/>
      </c>
    </row>
    <row r="16443">
      <c r="A16443">
        <f>TEST_DATA!A16443</f>
        <v/>
      </c>
      <c r="B16443">
        <f>TEST_DATA!B16443</f>
        <v/>
      </c>
      <c r="C16443">
        <f>TEST_DATA!C16443</f>
        <v/>
      </c>
      <c r="D16443">
        <f>TEST_DATA!D16443</f>
        <v/>
      </c>
      <c r="E16443">
        <f>TEST_DATA!E16443</f>
        <v/>
      </c>
    </row>
    <row r="16444">
      <c r="A16444">
        <f>TEST_DATA!A16444</f>
        <v/>
      </c>
      <c r="B16444">
        <f>TEST_DATA!B16444</f>
        <v/>
      </c>
      <c r="C16444">
        <f>TEST_DATA!C16444</f>
        <v/>
      </c>
      <c r="D16444">
        <f>TEST_DATA!D16444</f>
        <v/>
      </c>
      <c r="E16444">
        <f>TEST_DATA!E16444</f>
        <v/>
      </c>
    </row>
    <row r="16445">
      <c r="A16445">
        <f>TEST_DATA!A16445</f>
        <v/>
      </c>
      <c r="B16445">
        <f>TEST_DATA!B16445</f>
        <v/>
      </c>
      <c r="C16445">
        <f>TEST_DATA!C16445</f>
        <v/>
      </c>
      <c r="D16445">
        <f>TEST_DATA!D16445</f>
        <v/>
      </c>
      <c r="E16445">
        <f>TEST_DATA!E16445</f>
        <v/>
      </c>
    </row>
    <row r="16446">
      <c r="A16446">
        <f>TEST_DATA!A16446</f>
        <v/>
      </c>
      <c r="B16446">
        <f>TEST_DATA!B16446</f>
        <v/>
      </c>
      <c r="C16446">
        <f>TEST_DATA!C16446</f>
        <v/>
      </c>
      <c r="D16446">
        <f>TEST_DATA!D16446</f>
        <v/>
      </c>
      <c r="E16446">
        <f>TEST_DATA!E16446</f>
        <v/>
      </c>
    </row>
    <row r="16447">
      <c r="A16447">
        <f>TEST_DATA!A16447</f>
        <v/>
      </c>
      <c r="B16447">
        <f>TEST_DATA!B16447</f>
        <v/>
      </c>
      <c r="C16447">
        <f>TEST_DATA!C16447</f>
        <v/>
      </c>
      <c r="D16447">
        <f>TEST_DATA!D16447</f>
        <v/>
      </c>
      <c r="E16447">
        <f>TEST_DATA!E16447</f>
        <v/>
      </c>
    </row>
    <row r="16448">
      <c r="A16448">
        <f>TEST_DATA!A16448</f>
        <v/>
      </c>
      <c r="B16448">
        <f>TEST_DATA!B16448</f>
        <v/>
      </c>
      <c r="C16448">
        <f>TEST_DATA!C16448</f>
        <v/>
      </c>
      <c r="D16448">
        <f>TEST_DATA!D16448</f>
        <v/>
      </c>
      <c r="E16448">
        <f>TEST_DATA!E16448</f>
        <v/>
      </c>
    </row>
    <row r="16449">
      <c r="A16449">
        <f>TEST_DATA!A16449</f>
        <v/>
      </c>
      <c r="B16449">
        <f>TEST_DATA!B16449</f>
        <v/>
      </c>
      <c r="C16449">
        <f>TEST_DATA!C16449</f>
        <v/>
      </c>
      <c r="D16449">
        <f>TEST_DATA!D16449</f>
        <v/>
      </c>
      <c r="E16449">
        <f>TEST_DATA!E16449</f>
        <v/>
      </c>
    </row>
    <row r="16450">
      <c r="A16450">
        <f>TEST_DATA!A16450</f>
        <v/>
      </c>
      <c r="B16450">
        <f>TEST_DATA!B16450</f>
        <v/>
      </c>
      <c r="C16450">
        <f>TEST_DATA!C16450</f>
        <v/>
      </c>
      <c r="D16450">
        <f>TEST_DATA!D16450</f>
        <v/>
      </c>
      <c r="E16450">
        <f>TEST_DATA!E16450</f>
        <v/>
      </c>
    </row>
    <row r="16451">
      <c r="A16451">
        <f>TEST_DATA!A16451</f>
        <v/>
      </c>
      <c r="B16451">
        <f>TEST_DATA!B16451</f>
        <v/>
      </c>
      <c r="C16451">
        <f>TEST_DATA!C16451</f>
        <v/>
      </c>
      <c r="D16451">
        <f>TEST_DATA!D16451</f>
        <v/>
      </c>
      <c r="E16451">
        <f>TEST_DATA!E16451</f>
        <v/>
      </c>
    </row>
    <row r="16452">
      <c r="A16452">
        <f>TEST_DATA!A16452</f>
        <v/>
      </c>
      <c r="B16452">
        <f>TEST_DATA!B16452</f>
        <v/>
      </c>
      <c r="C16452">
        <f>TEST_DATA!C16452</f>
        <v/>
      </c>
      <c r="D16452">
        <f>TEST_DATA!D16452</f>
        <v/>
      </c>
      <c r="E16452">
        <f>TEST_DATA!E16452</f>
        <v/>
      </c>
    </row>
    <row r="16453">
      <c r="A16453">
        <f>TEST_DATA!A16453</f>
        <v/>
      </c>
      <c r="B16453">
        <f>TEST_DATA!B16453</f>
        <v/>
      </c>
      <c r="C16453">
        <f>TEST_DATA!C16453</f>
        <v/>
      </c>
      <c r="D16453">
        <f>TEST_DATA!D16453</f>
        <v/>
      </c>
      <c r="E16453">
        <f>TEST_DATA!E16453</f>
        <v/>
      </c>
    </row>
    <row r="16454">
      <c r="A16454">
        <f>TEST_DATA!A16454</f>
        <v/>
      </c>
      <c r="B16454">
        <f>TEST_DATA!B16454</f>
        <v/>
      </c>
      <c r="C16454">
        <f>TEST_DATA!C16454</f>
        <v/>
      </c>
      <c r="D16454">
        <f>TEST_DATA!D16454</f>
        <v/>
      </c>
      <c r="E16454">
        <f>TEST_DATA!E16454</f>
        <v/>
      </c>
    </row>
    <row r="16455">
      <c r="A16455">
        <f>TEST_DATA!A16455</f>
        <v/>
      </c>
      <c r="B16455">
        <f>TEST_DATA!B16455</f>
        <v/>
      </c>
      <c r="C16455">
        <f>TEST_DATA!C16455</f>
        <v/>
      </c>
      <c r="D16455">
        <f>TEST_DATA!D16455</f>
        <v/>
      </c>
      <c r="E16455">
        <f>TEST_DATA!E16455</f>
        <v/>
      </c>
    </row>
    <row r="16456">
      <c r="A16456">
        <f>TEST_DATA!A16456</f>
        <v/>
      </c>
      <c r="B16456">
        <f>TEST_DATA!B16456</f>
        <v/>
      </c>
      <c r="C16456">
        <f>TEST_DATA!C16456</f>
        <v/>
      </c>
      <c r="D16456">
        <f>TEST_DATA!D16456</f>
        <v/>
      </c>
      <c r="E16456">
        <f>TEST_DATA!E16456</f>
        <v/>
      </c>
    </row>
    <row r="16457">
      <c r="A16457">
        <f>TEST_DATA!A16457</f>
        <v/>
      </c>
      <c r="B16457">
        <f>TEST_DATA!B16457</f>
        <v/>
      </c>
      <c r="C16457">
        <f>TEST_DATA!C16457</f>
        <v/>
      </c>
      <c r="D16457">
        <f>TEST_DATA!D16457</f>
        <v/>
      </c>
      <c r="E16457">
        <f>TEST_DATA!E16457</f>
        <v/>
      </c>
    </row>
    <row r="16458">
      <c r="A16458">
        <f>TEST_DATA!A16458</f>
        <v/>
      </c>
      <c r="B16458">
        <f>TEST_DATA!B16458</f>
        <v/>
      </c>
      <c r="C16458">
        <f>TEST_DATA!C16458</f>
        <v/>
      </c>
      <c r="D16458">
        <f>TEST_DATA!D16458</f>
        <v/>
      </c>
      <c r="E16458">
        <f>TEST_DATA!E16458</f>
        <v/>
      </c>
    </row>
    <row r="16459">
      <c r="A16459">
        <f>TEST_DATA!A16459</f>
        <v/>
      </c>
      <c r="B16459">
        <f>TEST_DATA!B16459</f>
        <v/>
      </c>
      <c r="C16459">
        <f>TEST_DATA!C16459</f>
        <v/>
      </c>
      <c r="D16459">
        <f>TEST_DATA!D16459</f>
        <v/>
      </c>
      <c r="E16459">
        <f>TEST_DATA!E16459</f>
        <v/>
      </c>
    </row>
    <row r="16460">
      <c r="A16460">
        <f>TEST_DATA!A16460</f>
        <v/>
      </c>
      <c r="B16460">
        <f>TEST_DATA!B16460</f>
        <v/>
      </c>
      <c r="C16460">
        <f>TEST_DATA!C16460</f>
        <v/>
      </c>
      <c r="D16460">
        <f>TEST_DATA!D16460</f>
        <v/>
      </c>
      <c r="E16460">
        <f>TEST_DATA!E16460</f>
        <v/>
      </c>
    </row>
    <row r="16461">
      <c r="A16461">
        <f>TEST_DATA!A16461</f>
        <v/>
      </c>
      <c r="B16461">
        <f>TEST_DATA!B16461</f>
        <v/>
      </c>
      <c r="C16461">
        <f>TEST_DATA!C16461</f>
        <v/>
      </c>
      <c r="D16461">
        <f>TEST_DATA!D16461</f>
        <v/>
      </c>
      <c r="E16461">
        <f>TEST_DATA!E16461</f>
        <v/>
      </c>
    </row>
    <row r="16462">
      <c r="A16462">
        <f>TEST_DATA!A16462</f>
        <v/>
      </c>
      <c r="B16462">
        <f>TEST_DATA!B16462</f>
        <v/>
      </c>
      <c r="C16462">
        <f>TEST_DATA!C16462</f>
        <v/>
      </c>
      <c r="D16462">
        <f>TEST_DATA!D16462</f>
        <v/>
      </c>
      <c r="E16462">
        <f>TEST_DATA!E16462</f>
        <v/>
      </c>
    </row>
    <row r="16463">
      <c r="A16463">
        <f>TEST_DATA!A16463</f>
        <v/>
      </c>
      <c r="B16463">
        <f>TEST_DATA!B16463</f>
        <v/>
      </c>
      <c r="C16463">
        <f>TEST_DATA!C16463</f>
        <v/>
      </c>
      <c r="D16463">
        <f>TEST_DATA!D16463</f>
        <v/>
      </c>
      <c r="E16463">
        <f>TEST_DATA!E16463</f>
        <v/>
      </c>
    </row>
    <row r="16464">
      <c r="A16464">
        <f>TEST_DATA!A16464</f>
        <v/>
      </c>
      <c r="B16464">
        <f>TEST_DATA!B16464</f>
        <v/>
      </c>
      <c r="C16464">
        <f>TEST_DATA!C16464</f>
        <v/>
      </c>
      <c r="D16464">
        <f>TEST_DATA!D16464</f>
        <v/>
      </c>
      <c r="E16464">
        <f>TEST_DATA!E16464</f>
        <v/>
      </c>
    </row>
    <row r="16465">
      <c r="A16465">
        <f>TEST_DATA!A16465</f>
        <v/>
      </c>
      <c r="B16465">
        <f>TEST_DATA!B16465</f>
        <v/>
      </c>
      <c r="C16465">
        <f>TEST_DATA!C16465</f>
        <v/>
      </c>
      <c r="D16465">
        <f>TEST_DATA!D16465</f>
        <v/>
      </c>
      <c r="E16465">
        <f>TEST_DATA!E16465</f>
        <v/>
      </c>
    </row>
    <row r="16466">
      <c r="A16466">
        <f>TEST_DATA!A16466</f>
        <v/>
      </c>
      <c r="B16466">
        <f>TEST_DATA!B16466</f>
        <v/>
      </c>
      <c r="C16466">
        <f>TEST_DATA!C16466</f>
        <v/>
      </c>
      <c r="D16466">
        <f>TEST_DATA!D16466</f>
        <v/>
      </c>
      <c r="E16466">
        <f>TEST_DATA!E16466</f>
        <v/>
      </c>
    </row>
    <row r="16467">
      <c r="A16467">
        <f>TEST_DATA!A16467</f>
        <v/>
      </c>
      <c r="B16467">
        <f>TEST_DATA!B16467</f>
        <v/>
      </c>
      <c r="C16467">
        <f>TEST_DATA!C16467</f>
        <v/>
      </c>
      <c r="D16467">
        <f>TEST_DATA!D16467</f>
        <v/>
      </c>
      <c r="E16467">
        <f>TEST_DATA!E16467</f>
        <v/>
      </c>
    </row>
    <row r="16468">
      <c r="A16468">
        <f>TEST_DATA!A16468</f>
        <v/>
      </c>
      <c r="B16468">
        <f>TEST_DATA!B16468</f>
        <v/>
      </c>
      <c r="C16468">
        <f>TEST_DATA!C16468</f>
        <v/>
      </c>
      <c r="D16468">
        <f>TEST_DATA!D16468</f>
        <v/>
      </c>
      <c r="E16468">
        <f>TEST_DATA!E16468</f>
        <v/>
      </c>
    </row>
    <row r="16469">
      <c r="A16469">
        <f>TEST_DATA!A16469</f>
        <v/>
      </c>
      <c r="B16469">
        <f>TEST_DATA!B16469</f>
        <v/>
      </c>
      <c r="C16469">
        <f>TEST_DATA!C16469</f>
        <v/>
      </c>
      <c r="D16469">
        <f>TEST_DATA!D16469</f>
        <v/>
      </c>
      <c r="E16469">
        <f>TEST_DATA!E16469</f>
        <v/>
      </c>
    </row>
    <row r="16470">
      <c r="A16470">
        <f>TEST_DATA!A16470</f>
        <v/>
      </c>
      <c r="B16470">
        <f>TEST_DATA!B16470</f>
        <v/>
      </c>
      <c r="C16470">
        <f>TEST_DATA!C16470</f>
        <v/>
      </c>
      <c r="D16470">
        <f>TEST_DATA!D16470</f>
        <v/>
      </c>
      <c r="E16470">
        <f>TEST_DATA!E16470</f>
        <v/>
      </c>
    </row>
    <row r="16471">
      <c r="A16471">
        <f>TEST_DATA!A16471</f>
        <v/>
      </c>
      <c r="B16471">
        <f>TEST_DATA!B16471</f>
        <v/>
      </c>
      <c r="C16471">
        <f>TEST_DATA!C16471</f>
        <v/>
      </c>
      <c r="D16471">
        <f>TEST_DATA!D16471</f>
        <v/>
      </c>
      <c r="E16471">
        <f>TEST_DATA!E16471</f>
        <v/>
      </c>
    </row>
    <row r="16472">
      <c r="A16472">
        <f>TEST_DATA!A16472</f>
        <v/>
      </c>
      <c r="B16472">
        <f>TEST_DATA!B16472</f>
        <v/>
      </c>
      <c r="C16472">
        <f>TEST_DATA!C16472</f>
        <v/>
      </c>
      <c r="D16472">
        <f>TEST_DATA!D16472</f>
        <v/>
      </c>
      <c r="E16472">
        <f>TEST_DATA!E16472</f>
        <v/>
      </c>
    </row>
    <row r="16473">
      <c r="A16473">
        <f>TEST_DATA!A16473</f>
        <v/>
      </c>
      <c r="B16473">
        <f>TEST_DATA!B16473</f>
        <v/>
      </c>
      <c r="C16473">
        <f>TEST_DATA!C16473</f>
        <v/>
      </c>
      <c r="D16473">
        <f>TEST_DATA!D16473</f>
        <v/>
      </c>
      <c r="E16473">
        <f>TEST_DATA!E16473</f>
        <v/>
      </c>
    </row>
    <row r="16474">
      <c r="A16474">
        <f>TEST_DATA!A16474</f>
        <v/>
      </c>
      <c r="B16474">
        <f>TEST_DATA!B16474</f>
        <v/>
      </c>
      <c r="C16474">
        <f>TEST_DATA!C16474</f>
        <v/>
      </c>
      <c r="D16474">
        <f>TEST_DATA!D16474</f>
        <v/>
      </c>
      <c r="E16474">
        <f>TEST_DATA!E16474</f>
        <v/>
      </c>
    </row>
    <row r="16475">
      <c r="A16475">
        <f>TEST_DATA!A16475</f>
        <v/>
      </c>
      <c r="B16475">
        <f>TEST_DATA!B16475</f>
        <v/>
      </c>
      <c r="C16475">
        <f>TEST_DATA!C16475</f>
        <v/>
      </c>
      <c r="D16475">
        <f>TEST_DATA!D16475</f>
        <v/>
      </c>
      <c r="E16475">
        <f>TEST_DATA!E16475</f>
        <v/>
      </c>
    </row>
    <row r="16476">
      <c r="A16476">
        <f>TEST_DATA!A16476</f>
        <v/>
      </c>
      <c r="B16476">
        <f>TEST_DATA!B16476</f>
        <v/>
      </c>
      <c r="C16476">
        <f>TEST_DATA!C16476</f>
        <v/>
      </c>
      <c r="D16476">
        <f>TEST_DATA!D16476</f>
        <v/>
      </c>
      <c r="E16476">
        <f>TEST_DATA!E16476</f>
        <v/>
      </c>
    </row>
    <row r="16477">
      <c r="A16477">
        <f>TEST_DATA!A16477</f>
        <v/>
      </c>
      <c r="B16477">
        <f>TEST_DATA!B16477</f>
        <v/>
      </c>
      <c r="C16477">
        <f>TEST_DATA!C16477</f>
        <v/>
      </c>
      <c r="D16477">
        <f>TEST_DATA!D16477</f>
        <v/>
      </c>
      <c r="E16477">
        <f>TEST_DATA!E16477</f>
        <v/>
      </c>
    </row>
    <row r="16478">
      <c r="A16478">
        <f>TEST_DATA!A16478</f>
        <v/>
      </c>
      <c r="B16478">
        <f>TEST_DATA!B16478</f>
        <v/>
      </c>
      <c r="C16478">
        <f>TEST_DATA!C16478</f>
        <v/>
      </c>
      <c r="D16478">
        <f>TEST_DATA!D16478</f>
        <v/>
      </c>
      <c r="E16478">
        <f>TEST_DATA!E16478</f>
        <v/>
      </c>
    </row>
    <row r="16479">
      <c r="A16479">
        <f>TEST_DATA!A16479</f>
        <v/>
      </c>
      <c r="B16479">
        <f>TEST_DATA!B16479</f>
        <v/>
      </c>
      <c r="C16479">
        <f>TEST_DATA!C16479</f>
        <v/>
      </c>
      <c r="D16479">
        <f>TEST_DATA!D16479</f>
        <v/>
      </c>
      <c r="E16479">
        <f>TEST_DATA!E16479</f>
        <v/>
      </c>
    </row>
    <row r="16480">
      <c r="A16480">
        <f>TEST_DATA!A16480</f>
        <v/>
      </c>
      <c r="B16480">
        <f>TEST_DATA!B16480</f>
        <v/>
      </c>
      <c r="C16480">
        <f>TEST_DATA!C16480</f>
        <v/>
      </c>
      <c r="D16480">
        <f>TEST_DATA!D16480</f>
        <v/>
      </c>
      <c r="E16480">
        <f>TEST_DATA!E16480</f>
        <v/>
      </c>
    </row>
    <row r="16481">
      <c r="A16481">
        <f>TEST_DATA!A16481</f>
        <v/>
      </c>
      <c r="B16481">
        <f>TEST_DATA!B16481</f>
        <v/>
      </c>
      <c r="C16481">
        <f>TEST_DATA!C16481</f>
        <v/>
      </c>
      <c r="D16481">
        <f>TEST_DATA!D16481</f>
        <v/>
      </c>
      <c r="E16481">
        <f>TEST_DATA!E16481</f>
        <v/>
      </c>
    </row>
    <row r="16482">
      <c r="A16482">
        <f>TEST_DATA!A16482</f>
        <v/>
      </c>
      <c r="B16482">
        <f>TEST_DATA!B16482</f>
        <v/>
      </c>
      <c r="C16482">
        <f>TEST_DATA!C16482</f>
        <v/>
      </c>
      <c r="D16482">
        <f>TEST_DATA!D16482</f>
        <v/>
      </c>
      <c r="E16482">
        <f>TEST_DATA!E16482</f>
        <v/>
      </c>
    </row>
    <row r="16483">
      <c r="A16483">
        <f>TEST_DATA!A16483</f>
        <v/>
      </c>
      <c r="B16483">
        <f>TEST_DATA!B16483</f>
        <v/>
      </c>
      <c r="C16483">
        <f>TEST_DATA!C16483</f>
        <v/>
      </c>
      <c r="D16483">
        <f>TEST_DATA!D16483</f>
        <v/>
      </c>
      <c r="E16483">
        <f>TEST_DATA!E16483</f>
        <v/>
      </c>
    </row>
    <row r="16484">
      <c r="A16484">
        <f>TEST_DATA!A16484</f>
        <v/>
      </c>
      <c r="B16484">
        <f>TEST_DATA!B16484</f>
        <v/>
      </c>
      <c r="C16484">
        <f>TEST_DATA!C16484</f>
        <v/>
      </c>
      <c r="D16484">
        <f>TEST_DATA!D16484</f>
        <v/>
      </c>
      <c r="E16484">
        <f>TEST_DATA!E16484</f>
        <v/>
      </c>
    </row>
    <row r="16485">
      <c r="A16485">
        <f>TEST_DATA!A16485</f>
        <v/>
      </c>
      <c r="B16485">
        <f>TEST_DATA!B16485</f>
        <v/>
      </c>
      <c r="C16485">
        <f>TEST_DATA!C16485</f>
        <v/>
      </c>
      <c r="D16485">
        <f>TEST_DATA!D16485</f>
        <v/>
      </c>
      <c r="E16485">
        <f>TEST_DATA!E16485</f>
        <v/>
      </c>
    </row>
    <row r="16486">
      <c r="A16486">
        <f>TEST_DATA!A16486</f>
        <v/>
      </c>
      <c r="B16486">
        <f>TEST_DATA!B16486</f>
        <v/>
      </c>
      <c r="C16486">
        <f>TEST_DATA!C16486</f>
        <v/>
      </c>
      <c r="D16486">
        <f>TEST_DATA!D16486</f>
        <v/>
      </c>
      <c r="E16486">
        <f>TEST_DATA!E16486</f>
        <v/>
      </c>
    </row>
    <row r="16487">
      <c r="A16487">
        <f>TEST_DATA!A16487</f>
        <v/>
      </c>
      <c r="B16487">
        <f>TEST_DATA!B16487</f>
        <v/>
      </c>
      <c r="C16487">
        <f>TEST_DATA!C16487</f>
        <v/>
      </c>
      <c r="D16487">
        <f>TEST_DATA!D16487</f>
        <v/>
      </c>
      <c r="E16487">
        <f>TEST_DATA!E16487</f>
        <v/>
      </c>
    </row>
    <row r="16488">
      <c r="A16488">
        <f>TEST_DATA!A16488</f>
        <v/>
      </c>
      <c r="B16488">
        <f>TEST_DATA!B16488</f>
        <v/>
      </c>
      <c r="C16488">
        <f>TEST_DATA!C16488</f>
        <v/>
      </c>
      <c r="D16488">
        <f>TEST_DATA!D16488</f>
        <v/>
      </c>
      <c r="E16488">
        <f>TEST_DATA!E16488</f>
        <v/>
      </c>
    </row>
    <row r="16489">
      <c r="A16489">
        <f>TEST_DATA!A16489</f>
        <v/>
      </c>
      <c r="B16489">
        <f>TEST_DATA!B16489</f>
        <v/>
      </c>
      <c r="C16489">
        <f>TEST_DATA!C16489</f>
        <v/>
      </c>
      <c r="D16489">
        <f>TEST_DATA!D16489</f>
        <v/>
      </c>
      <c r="E16489">
        <f>TEST_DATA!E16489</f>
        <v/>
      </c>
    </row>
    <row r="16490">
      <c r="A16490">
        <f>TEST_DATA!A16490</f>
        <v/>
      </c>
      <c r="B16490">
        <f>TEST_DATA!B16490</f>
        <v/>
      </c>
      <c r="C16490">
        <f>TEST_DATA!C16490</f>
        <v/>
      </c>
      <c r="D16490">
        <f>TEST_DATA!D16490</f>
        <v/>
      </c>
      <c r="E16490">
        <f>TEST_DATA!E16490</f>
        <v/>
      </c>
    </row>
    <row r="16491">
      <c r="A16491">
        <f>TEST_DATA!A16491</f>
        <v/>
      </c>
      <c r="B16491">
        <f>TEST_DATA!B16491</f>
        <v/>
      </c>
      <c r="C16491">
        <f>TEST_DATA!C16491</f>
        <v/>
      </c>
      <c r="D16491">
        <f>TEST_DATA!D16491</f>
        <v/>
      </c>
      <c r="E16491">
        <f>TEST_DATA!E16491</f>
        <v/>
      </c>
    </row>
    <row r="16492">
      <c r="A16492">
        <f>TEST_DATA!A16492</f>
        <v/>
      </c>
      <c r="B16492">
        <f>TEST_DATA!B16492</f>
        <v/>
      </c>
      <c r="C16492">
        <f>TEST_DATA!C16492</f>
        <v/>
      </c>
      <c r="D16492">
        <f>TEST_DATA!D16492</f>
        <v/>
      </c>
      <c r="E16492">
        <f>TEST_DATA!E16492</f>
        <v/>
      </c>
    </row>
    <row r="16493">
      <c r="A16493">
        <f>TEST_DATA!A16493</f>
        <v/>
      </c>
      <c r="B16493">
        <f>TEST_DATA!B16493</f>
        <v/>
      </c>
      <c r="C16493">
        <f>TEST_DATA!C16493</f>
        <v/>
      </c>
      <c r="D16493">
        <f>TEST_DATA!D16493</f>
        <v/>
      </c>
      <c r="E16493">
        <f>TEST_DATA!E16493</f>
        <v/>
      </c>
    </row>
    <row r="16494">
      <c r="A16494">
        <f>TEST_DATA!A16494</f>
        <v/>
      </c>
      <c r="B16494">
        <f>TEST_DATA!B16494</f>
        <v/>
      </c>
      <c r="C16494">
        <f>TEST_DATA!C16494</f>
        <v/>
      </c>
      <c r="D16494">
        <f>TEST_DATA!D16494</f>
        <v/>
      </c>
      <c r="E16494">
        <f>TEST_DATA!E16494</f>
        <v/>
      </c>
    </row>
    <row r="16495">
      <c r="A16495">
        <f>TEST_DATA!A16495</f>
        <v/>
      </c>
      <c r="B16495">
        <f>TEST_DATA!B16495</f>
        <v/>
      </c>
      <c r="C16495">
        <f>TEST_DATA!C16495</f>
        <v/>
      </c>
      <c r="D16495">
        <f>TEST_DATA!D16495</f>
        <v/>
      </c>
      <c r="E16495">
        <f>TEST_DATA!E16495</f>
        <v/>
      </c>
    </row>
    <row r="16496">
      <c r="A16496">
        <f>TEST_DATA!A16496</f>
        <v/>
      </c>
      <c r="B16496">
        <f>TEST_DATA!B16496</f>
        <v/>
      </c>
      <c r="C16496">
        <f>TEST_DATA!C16496</f>
        <v/>
      </c>
      <c r="D16496">
        <f>TEST_DATA!D16496</f>
        <v/>
      </c>
      <c r="E16496">
        <f>TEST_DATA!E16496</f>
        <v/>
      </c>
    </row>
    <row r="16497">
      <c r="A16497">
        <f>TEST_DATA!A16497</f>
        <v/>
      </c>
      <c r="B16497">
        <f>TEST_DATA!B16497</f>
        <v/>
      </c>
      <c r="C16497">
        <f>TEST_DATA!C16497</f>
        <v/>
      </c>
      <c r="D16497">
        <f>TEST_DATA!D16497</f>
        <v/>
      </c>
      <c r="E16497">
        <f>TEST_DATA!E16497</f>
        <v/>
      </c>
    </row>
    <row r="16498">
      <c r="A16498">
        <f>TEST_DATA!A16498</f>
        <v/>
      </c>
      <c r="B16498">
        <f>TEST_DATA!B16498</f>
        <v/>
      </c>
      <c r="C16498">
        <f>TEST_DATA!C16498</f>
        <v/>
      </c>
      <c r="D16498">
        <f>TEST_DATA!D16498</f>
        <v/>
      </c>
      <c r="E16498">
        <f>TEST_DATA!E16498</f>
        <v/>
      </c>
    </row>
    <row r="16499">
      <c r="A16499">
        <f>TEST_DATA!A16499</f>
        <v/>
      </c>
      <c r="B16499">
        <f>TEST_DATA!B16499</f>
        <v/>
      </c>
      <c r="C16499">
        <f>TEST_DATA!C16499</f>
        <v/>
      </c>
      <c r="D16499">
        <f>TEST_DATA!D16499</f>
        <v/>
      </c>
      <c r="E16499">
        <f>TEST_DATA!E16499</f>
        <v/>
      </c>
    </row>
    <row r="16500">
      <c r="A16500">
        <f>TEST_DATA!A16500</f>
        <v/>
      </c>
      <c r="B16500">
        <f>TEST_DATA!B16500</f>
        <v/>
      </c>
      <c r="C16500">
        <f>TEST_DATA!C16500</f>
        <v/>
      </c>
      <c r="D16500">
        <f>TEST_DATA!D16500</f>
        <v/>
      </c>
      <c r="E16500">
        <f>TEST_DATA!E16500</f>
        <v/>
      </c>
    </row>
    <row r="16501">
      <c r="A16501">
        <f>TEST_DATA!A16501</f>
        <v/>
      </c>
      <c r="B16501">
        <f>TEST_DATA!B16501</f>
        <v/>
      </c>
      <c r="C16501">
        <f>TEST_DATA!C16501</f>
        <v/>
      </c>
      <c r="D16501">
        <f>TEST_DATA!D16501</f>
        <v/>
      </c>
      <c r="E16501">
        <f>TEST_DATA!E16501</f>
        <v/>
      </c>
    </row>
    <row r="16502">
      <c r="A16502">
        <f>TEST_DATA!A16502</f>
        <v/>
      </c>
      <c r="B16502">
        <f>TEST_DATA!B16502</f>
        <v/>
      </c>
      <c r="C16502">
        <f>TEST_DATA!C16502</f>
        <v/>
      </c>
      <c r="D16502">
        <f>TEST_DATA!D16502</f>
        <v/>
      </c>
      <c r="E16502">
        <f>TEST_DATA!E16502</f>
        <v/>
      </c>
    </row>
    <row r="16503">
      <c r="A16503">
        <f>TEST_DATA!A16503</f>
        <v/>
      </c>
      <c r="B16503">
        <f>TEST_DATA!B16503</f>
        <v/>
      </c>
      <c r="C16503">
        <f>TEST_DATA!C16503</f>
        <v/>
      </c>
      <c r="D16503">
        <f>TEST_DATA!D16503</f>
        <v/>
      </c>
      <c r="E16503">
        <f>TEST_DATA!E16503</f>
        <v/>
      </c>
    </row>
    <row r="16504">
      <c r="A16504">
        <f>TEST_DATA!A16504</f>
        <v/>
      </c>
      <c r="B16504">
        <f>TEST_DATA!B16504</f>
        <v/>
      </c>
      <c r="C16504">
        <f>TEST_DATA!C16504</f>
        <v/>
      </c>
      <c r="D16504">
        <f>TEST_DATA!D16504</f>
        <v/>
      </c>
      <c r="E16504">
        <f>TEST_DATA!E16504</f>
        <v/>
      </c>
    </row>
    <row r="16505">
      <c r="A16505">
        <f>TEST_DATA!A16505</f>
        <v/>
      </c>
      <c r="B16505">
        <f>TEST_DATA!B16505</f>
        <v/>
      </c>
      <c r="C16505">
        <f>TEST_DATA!C16505</f>
        <v/>
      </c>
      <c r="D16505">
        <f>TEST_DATA!D16505</f>
        <v/>
      </c>
      <c r="E16505">
        <f>TEST_DATA!E16505</f>
        <v/>
      </c>
    </row>
    <row r="16506">
      <c r="A16506">
        <f>TEST_DATA!A16506</f>
        <v/>
      </c>
      <c r="B16506">
        <f>TEST_DATA!B16506</f>
        <v/>
      </c>
      <c r="C16506">
        <f>TEST_DATA!C16506</f>
        <v/>
      </c>
      <c r="D16506">
        <f>TEST_DATA!D16506</f>
        <v/>
      </c>
      <c r="E16506">
        <f>TEST_DATA!E16506</f>
        <v/>
      </c>
    </row>
    <row r="16507">
      <c r="A16507">
        <f>TEST_DATA!A16507</f>
        <v/>
      </c>
      <c r="B16507">
        <f>TEST_DATA!B16507</f>
        <v/>
      </c>
      <c r="C16507">
        <f>TEST_DATA!C16507</f>
        <v/>
      </c>
      <c r="D16507">
        <f>TEST_DATA!D16507</f>
        <v/>
      </c>
      <c r="E16507">
        <f>TEST_DATA!E16507</f>
        <v/>
      </c>
    </row>
    <row r="16508">
      <c r="A16508">
        <f>TEST_DATA!A16508</f>
        <v/>
      </c>
      <c r="B16508">
        <f>TEST_DATA!B16508</f>
        <v/>
      </c>
      <c r="C16508">
        <f>TEST_DATA!C16508</f>
        <v/>
      </c>
      <c r="D16508">
        <f>TEST_DATA!D16508</f>
        <v/>
      </c>
      <c r="E16508">
        <f>TEST_DATA!E16508</f>
        <v/>
      </c>
    </row>
    <row r="16509">
      <c r="A16509">
        <f>TEST_DATA!A16509</f>
        <v/>
      </c>
      <c r="B16509">
        <f>TEST_DATA!B16509</f>
        <v/>
      </c>
      <c r="C16509">
        <f>TEST_DATA!C16509</f>
        <v/>
      </c>
      <c r="D16509">
        <f>TEST_DATA!D16509</f>
        <v/>
      </c>
      <c r="E16509">
        <f>TEST_DATA!E16509</f>
        <v/>
      </c>
    </row>
    <row r="16510">
      <c r="A16510">
        <f>TEST_DATA!A16510</f>
        <v/>
      </c>
      <c r="B16510">
        <f>TEST_DATA!B16510</f>
        <v/>
      </c>
      <c r="C16510">
        <f>TEST_DATA!C16510</f>
        <v/>
      </c>
      <c r="D16510">
        <f>TEST_DATA!D16510</f>
        <v/>
      </c>
      <c r="E16510">
        <f>TEST_DATA!E16510</f>
        <v/>
      </c>
    </row>
    <row r="16511">
      <c r="A16511">
        <f>TEST_DATA!A16511</f>
        <v/>
      </c>
      <c r="B16511">
        <f>TEST_DATA!B16511</f>
        <v/>
      </c>
      <c r="C16511">
        <f>TEST_DATA!C16511</f>
        <v/>
      </c>
      <c r="D16511">
        <f>TEST_DATA!D16511</f>
        <v/>
      </c>
      <c r="E16511">
        <f>TEST_DATA!E16511</f>
        <v/>
      </c>
    </row>
    <row r="16512">
      <c r="A16512">
        <f>TEST_DATA!A16512</f>
        <v/>
      </c>
      <c r="B16512">
        <f>TEST_DATA!B16512</f>
        <v/>
      </c>
      <c r="C16512">
        <f>TEST_DATA!C16512</f>
        <v/>
      </c>
      <c r="D16512">
        <f>TEST_DATA!D16512</f>
        <v/>
      </c>
      <c r="E16512">
        <f>TEST_DATA!E16512</f>
        <v/>
      </c>
    </row>
    <row r="16513">
      <c r="A16513">
        <f>TEST_DATA!A16513</f>
        <v/>
      </c>
      <c r="B16513">
        <f>TEST_DATA!B16513</f>
        <v/>
      </c>
      <c r="C16513">
        <f>TEST_DATA!C16513</f>
        <v/>
      </c>
      <c r="D16513">
        <f>TEST_DATA!D16513</f>
        <v/>
      </c>
      <c r="E16513">
        <f>TEST_DATA!E16513</f>
        <v/>
      </c>
    </row>
    <row r="16514">
      <c r="A16514">
        <f>TEST_DATA!A16514</f>
        <v/>
      </c>
      <c r="B16514">
        <f>TEST_DATA!B16514</f>
        <v/>
      </c>
      <c r="C16514">
        <f>TEST_DATA!C16514</f>
        <v/>
      </c>
      <c r="D16514">
        <f>TEST_DATA!D16514</f>
        <v/>
      </c>
      <c r="E16514">
        <f>TEST_DATA!E16514</f>
        <v/>
      </c>
    </row>
    <row r="16515">
      <c r="A16515">
        <f>TEST_DATA!A16515</f>
        <v/>
      </c>
      <c r="B16515">
        <f>TEST_DATA!B16515</f>
        <v/>
      </c>
      <c r="C16515">
        <f>TEST_DATA!C16515</f>
        <v/>
      </c>
      <c r="D16515">
        <f>TEST_DATA!D16515</f>
        <v/>
      </c>
      <c r="E16515">
        <f>TEST_DATA!E16515</f>
        <v/>
      </c>
    </row>
    <row r="16516">
      <c r="A16516">
        <f>TEST_DATA!A16516</f>
        <v/>
      </c>
      <c r="B16516">
        <f>TEST_DATA!B16516</f>
        <v/>
      </c>
      <c r="C16516">
        <f>TEST_DATA!C16516</f>
        <v/>
      </c>
      <c r="D16516">
        <f>TEST_DATA!D16516</f>
        <v/>
      </c>
      <c r="E16516">
        <f>TEST_DATA!E16516</f>
        <v/>
      </c>
    </row>
    <row r="16517">
      <c r="A16517">
        <f>TEST_DATA!A16517</f>
        <v/>
      </c>
      <c r="B16517">
        <f>TEST_DATA!B16517</f>
        <v/>
      </c>
      <c r="C16517">
        <f>TEST_DATA!C16517</f>
        <v/>
      </c>
      <c r="D16517">
        <f>TEST_DATA!D16517</f>
        <v/>
      </c>
      <c r="E16517">
        <f>TEST_DATA!E16517</f>
        <v/>
      </c>
    </row>
    <row r="16518">
      <c r="A16518">
        <f>TEST_DATA!A16518</f>
        <v/>
      </c>
      <c r="B16518">
        <f>TEST_DATA!B16518</f>
        <v/>
      </c>
      <c r="C16518">
        <f>TEST_DATA!C16518</f>
        <v/>
      </c>
      <c r="D16518">
        <f>TEST_DATA!D16518</f>
        <v/>
      </c>
      <c r="E16518">
        <f>TEST_DATA!E16518</f>
        <v/>
      </c>
    </row>
    <row r="16519">
      <c r="A16519">
        <f>TEST_DATA!A16519</f>
        <v/>
      </c>
      <c r="B16519">
        <f>TEST_DATA!B16519</f>
        <v/>
      </c>
      <c r="C16519">
        <f>TEST_DATA!C16519</f>
        <v/>
      </c>
      <c r="D16519">
        <f>TEST_DATA!D16519</f>
        <v/>
      </c>
      <c r="E16519">
        <f>TEST_DATA!E16519</f>
        <v/>
      </c>
    </row>
    <row r="16520">
      <c r="A16520">
        <f>TEST_DATA!A16520</f>
        <v/>
      </c>
      <c r="B16520">
        <f>TEST_DATA!B16520</f>
        <v/>
      </c>
      <c r="C16520">
        <f>TEST_DATA!C16520</f>
        <v/>
      </c>
      <c r="D16520">
        <f>TEST_DATA!D16520</f>
        <v/>
      </c>
      <c r="E16520">
        <f>TEST_DATA!E16520</f>
        <v/>
      </c>
    </row>
    <row r="16521">
      <c r="A16521">
        <f>TEST_DATA!A16521</f>
        <v/>
      </c>
      <c r="B16521">
        <f>TEST_DATA!B16521</f>
        <v/>
      </c>
      <c r="C16521">
        <f>TEST_DATA!C16521</f>
        <v/>
      </c>
      <c r="D16521">
        <f>TEST_DATA!D16521</f>
        <v/>
      </c>
      <c r="E16521">
        <f>TEST_DATA!E16521</f>
        <v/>
      </c>
    </row>
    <row r="16522">
      <c r="A16522">
        <f>TEST_DATA!A16522</f>
        <v/>
      </c>
      <c r="B16522">
        <f>TEST_DATA!B16522</f>
        <v/>
      </c>
      <c r="C16522">
        <f>TEST_DATA!C16522</f>
        <v/>
      </c>
      <c r="D16522">
        <f>TEST_DATA!D16522</f>
        <v/>
      </c>
      <c r="E16522">
        <f>TEST_DATA!E16522</f>
        <v/>
      </c>
    </row>
    <row r="16523">
      <c r="A16523">
        <f>TEST_DATA!A16523</f>
        <v/>
      </c>
      <c r="B16523">
        <f>TEST_DATA!B16523</f>
        <v/>
      </c>
      <c r="C16523">
        <f>TEST_DATA!C16523</f>
        <v/>
      </c>
      <c r="D16523">
        <f>TEST_DATA!D16523</f>
        <v/>
      </c>
      <c r="E16523">
        <f>TEST_DATA!E16523</f>
        <v/>
      </c>
    </row>
    <row r="16524">
      <c r="A16524">
        <f>TEST_DATA!A16524</f>
        <v/>
      </c>
      <c r="B16524">
        <f>TEST_DATA!B16524</f>
        <v/>
      </c>
      <c r="C16524">
        <f>TEST_DATA!C16524</f>
        <v/>
      </c>
      <c r="D16524">
        <f>TEST_DATA!D16524</f>
        <v/>
      </c>
      <c r="E16524">
        <f>TEST_DATA!E16524</f>
        <v/>
      </c>
    </row>
    <row r="16525">
      <c r="A16525">
        <f>TEST_DATA!A16525</f>
        <v/>
      </c>
      <c r="B16525">
        <f>TEST_DATA!B16525</f>
        <v/>
      </c>
      <c r="C16525">
        <f>TEST_DATA!C16525</f>
        <v/>
      </c>
      <c r="D16525">
        <f>TEST_DATA!D16525</f>
        <v/>
      </c>
      <c r="E16525">
        <f>TEST_DATA!E16525</f>
        <v/>
      </c>
    </row>
    <row r="16526">
      <c r="A16526">
        <f>TEST_DATA!A16526</f>
        <v/>
      </c>
      <c r="B16526">
        <f>TEST_DATA!B16526</f>
        <v/>
      </c>
      <c r="C16526">
        <f>TEST_DATA!C16526</f>
        <v/>
      </c>
      <c r="D16526">
        <f>TEST_DATA!D16526</f>
        <v/>
      </c>
      <c r="E16526">
        <f>TEST_DATA!E16526</f>
        <v/>
      </c>
    </row>
    <row r="16527">
      <c r="A16527">
        <f>TEST_DATA!A16527</f>
        <v/>
      </c>
      <c r="B16527">
        <f>TEST_DATA!B16527</f>
        <v/>
      </c>
      <c r="C16527">
        <f>TEST_DATA!C16527</f>
        <v/>
      </c>
      <c r="D16527">
        <f>TEST_DATA!D16527</f>
        <v/>
      </c>
      <c r="E16527">
        <f>TEST_DATA!E16527</f>
        <v/>
      </c>
    </row>
    <row r="16528">
      <c r="A16528">
        <f>TEST_DATA!A16528</f>
        <v/>
      </c>
      <c r="B16528">
        <f>TEST_DATA!B16528</f>
        <v/>
      </c>
      <c r="C16528">
        <f>TEST_DATA!C16528</f>
        <v/>
      </c>
      <c r="D16528">
        <f>TEST_DATA!D16528</f>
        <v/>
      </c>
      <c r="E16528">
        <f>TEST_DATA!E16528</f>
        <v/>
      </c>
    </row>
    <row r="16529">
      <c r="A16529">
        <f>TEST_DATA!A16529</f>
        <v/>
      </c>
      <c r="B16529">
        <f>TEST_DATA!B16529</f>
        <v/>
      </c>
      <c r="C16529">
        <f>TEST_DATA!C16529</f>
        <v/>
      </c>
      <c r="D16529">
        <f>TEST_DATA!D16529</f>
        <v/>
      </c>
      <c r="E16529">
        <f>TEST_DATA!E16529</f>
        <v/>
      </c>
    </row>
    <row r="16530">
      <c r="A16530">
        <f>TEST_DATA!A16530</f>
        <v/>
      </c>
      <c r="B16530">
        <f>TEST_DATA!B16530</f>
        <v/>
      </c>
      <c r="C16530">
        <f>TEST_DATA!C16530</f>
        <v/>
      </c>
      <c r="D16530">
        <f>TEST_DATA!D16530</f>
        <v/>
      </c>
      <c r="E16530">
        <f>TEST_DATA!E16530</f>
        <v/>
      </c>
    </row>
    <row r="16531">
      <c r="A16531">
        <f>TEST_DATA!A16531</f>
        <v/>
      </c>
      <c r="B16531">
        <f>TEST_DATA!B16531</f>
        <v/>
      </c>
      <c r="C16531">
        <f>TEST_DATA!C16531</f>
        <v/>
      </c>
      <c r="D16531">
        <f>TEST_DATA!D16531</f>
        <v/>
      </c>
      <c r="E16531">
        <f>TEST_DATA!E16531</f>
        <v/>
      </c>
    </row>
    <row r="16532">
      <c r="A16532">
        <f>TEST_DATA!A16532</f>
        <v/>
      </c>
      <c r="B16532">
        <f>TEST_DATA!B16532</f>
        <v/>
      </c>
      <c r="C16532">
        <f>TEST_DATA!C16532</f>
        <v/>
      </c>
      <c r="D16532">
        <f>TEST_DATA!D16532</f>
        <v/>
      </c>
      <c r="E16532">
        <f>TEST_DATA!E16532</f>
        <v/>
      </c>
    </row>
    <row r="16533">
      <c r="A16533">
        <f>TEST_DATA!A16533</f>
        <v/>
      </c>
      <c r="B16533">
        <f>TEST_DATA!B16533</f>
        <v/>
      </c>
      <c r="C16533">
        <f>TEST_DATA!C16533</f>
        <v/>
      </c>
      <c r="D16533">
        <f>TEST_DATA!D16533</f>
        <v/>
      </c>
      <c r="E16533">
        <f>TEST_DATA!E16533</f>
        <v/>
      </c>
    </row>
    <row r="16534">
      <c r="A16534">
        <f>TEST_DATA!A16534</f>
        <v/>
      </c>
      <c r="B16534">
        <f>TEST_DATA!B16534</f>
        <v/>
      </c>
      <c r="C16534">
        <f>TEST_DATA!C16534</f>
        <v/>
      </c>
      <c r="D16534">
        <f>TEST_DATA!D16534</f>
        <v/>
      </c>
      <c r="E16534">
        <f>TEST_DATA!E16534</f>
        <v/>
      </c>
    </row>
    <row r="16535">
      <c r="A16535">
        <f>TEST_DATA!A16535</f>
        <v/>
      </c>
      <c r="B16535">
        <f>TEST_DATA!B16535</f>
        <v/>
      </c>
      <c r="C16535">
        <f>TEST_DATA!C16535</f>
        <v/>
      </c>
      <c r="D16535">
        <f>TEST_DATA!D16535</f>
        <v/>
      </c>
      <c r="E16535">
        <f>TEST_DATA!E16535</f>
        <v/>
      </c>
    </row>
    <row r="16536">
      <c r="A16536">
        <f>TEST_DATA!A16536</f>
        <v/>
      </c>
      <c r="B16536">
        <f>TEST_DATA!B16536</f>
        <v/>
      </c>
      <c r="C16536">
        <f>TEST_DATA!C16536</f>
        <v/>
      </c>
      <c r="D16536">
        <f>TEST_DATA!D16536</f>
        <v/>
      </c>
      <c r="E16536">
        <f>TEST_DATA!E16536</f>
        <v/>
      </c>
    </row>
    <row r="16537">
      <c r="A16537">
        <f>TEST_DATA!A16537</f>
        <v/>
      </c>
      <c r="B16537">
        <f>TEST_DATA!B16537</f>
        <v/>
      </c>
      <c r="C16537">
        <f>TEST_DATA!C16537</f>
        <v/>
      </c>
      <c r="D16537">
        <f>TEST_DATA!D16537</f>
        <v/>
      </c>
      <c r="E16537">
        <f>TEST_DATA!E16537</f>
        <v/>
      </c>
    </row>
    <row r="16538">
      <c r="A16538">
        <f>TEST_DATA!A16538</f>
        <v/>
      </c>
      <c r="B16538">
        <f>TEST_DATA!B16538</f>
        <v/>
      </c>
      <c r="C16538">
        <f>TEST_DATA!C16538</f>
        <v/>
      </c>
      <c r="D16538">
        <f>TEST_DATA!D16538</f>
        <v/>
      </c>
      <c r="E16538">
        <f>TEST_DATA!E16538</f>
        <v/>
      </c>
    </row>
    <row r="16539">
      <c r="A16539">
        <f>TEST_DATA!A16539</f>
        <v/>
      </c>
      <c r="B16539">
        <f>TEST_DATA!B16539</f>
        <v/>
      </c>
      <c r="C16539">
        <f>TEST_DATA!C16539</f>
        <v/>
      </c>
      <c r="D16539">
        <f>TEST_DATA!D16539</f>
        <v/>
      </c>
      <c r="E16539">
        <f>TEST_DATA!E16539</f>
        <v/>
      </c>
    </row>
    <row r="16540">
      <c r="A16540">
        <f>TEST_DATA!A16540</f>
        <v/>
      </c>
      <c r="B16540">
        <f>TEST_DATA!B16540</f>
        <v/>
      </c>
      <c r="C16540">
        <f>TEST_DATA!C16540</f>
        <v/>
      </c>
      <c r="D16540">
        <f>TEST_DATA!D16540</f>
        <v/>
      </c>
      <c r="E16540">
        <f>TEST_DATA!E16540</f>
        <v/>
      </c>
    </row>
    <row r="16541">
      <c r="A16541">
        <f>TEST_DATA!A16541</f>
        <v/>
      </c>
      <c r="B16541">
        <f>TEST_DATA!B16541</f>
        <v/>
      </c>
      <c r="C16541">
        <f>TEST_DATA!C16541</f>
        <v/>
      </c>
      <c r="D16541">
        <f>TEST_DATA!D16541</f>
        <v/>
      </c>
      <c r="E16541">
        <f>TEST_DATA!E16541</f>
        <v/>
      </c>
    </row>
    <row r="16542">
      <c r="A16542">
        <f>TEST_DATA!A16542</f>
        <v/>
      </c>
      <c r="B16542">
        <f>TEST_DATA!B16542</f>
        <v/>
      </c>
      <c r="C16542">
        <f>TEST_DATA!C16542</f>
        <v/>
      </c>
      <c r="D16542">
        <f>TEST_DATA!D16542</f>
        <v/>
      </c>
      <c r="E16542">
        <f>TEST_DATA!E16542</f>
        <v/>
      </c>
    </row>
    <row r="16543">
      <c r="A16543">
        <f>TEST_DATA!A16543</f>
        <v/>
      </c>
      <c r="B16543">
        <f>TEST_DATA!B16543</f>
        <v/>
      </c>
      <c r="C16543">
        <f>TEST_DATA!C16543</f>
        <v/>
      </c>
      <c r="D16543">
        <f>TEST_DATA!D16543</f>
        <v/>
      </c>
      <c r="E16543">
        <f>TEST_DATA!E16543</f>
        <v/>
      </c>
    </row>
    <row r="16544">
      <c r="A16544">
        <f>TEST_DATA!A16544</f>
        <v/>
      </c>
      <c r="B16544">
        <f>TEST_DATA!B16544</f>
        <v/>
      </c>
      <c r="C16544">
        <f>TEST_DATA!C16544</f>
        <v/>
      </c>
      <c r="D16544">
        <f>TEST_DATA!D16544</f>
        <v/>
      </c>
      <c r="E16544">
        <f>TEST_DATA!E16544</f>
        <v/>
      </c>
    </row>
    <row r="16545">
      <c r="A16545">
        <f>TEST_DATA!A16545</f>
        <v/>
      </c>
      <c r="B16545">
        <f>TEST_DATA!B16545</f>
        <v/>
      </c>
      <c r="C16545">
        <f>TEST_DATA!C16545</f>
        <v/>
      </c>
      <c r="D16545">
        <f>TEST_DATA!D16545</f>
        <v/>
      </c>
      <c r="E16545">
        <f>TEST_DATA!E16545</f>
        <v/>
      </c>
    </row>
    <row r="16546">
      <c r="A16546">
        <f>TEST_DATA!A16546</f>
        <v/>
      </c>
      <c r="B16546">
        <f>TEST_DATA!B16546</f>
        <v/>
      </c>
      <c r="C16546">
        <f>TEST_DATA!C16546</f>
        <v/>
      </c>
      <c r="D16546">
        <f>TEST_DATA!D16546</f>
        <v/>
      </c>
      <c r="E16546">
        <f>TEST_DATA!E16546</f>
        <v/>
      </c>
    </row>
    <row r="16547">
      <c r="A16547">
        <f>TEST_DATA!A16547</f>
        <v/>
      </c>
      <c r="B16547">
        <f>TEST_DATA!B16547</f>
        <v/>
      </c>
      <c r="C16547">
        <f>TEST_DATA!C16547</f>
        <v/>
      </c>
      <c r="D16547">
        <f>TEST_DATA!D16547</f>
        <v/>
      </c>
      <c r="E16547">
        <f>TEST_DATA!E16547</f>
        <v/>
      </c>
    </row>
    <row r="16548">
      <c r="A16548">
        <f>TEST_DATA!A16548</f>
        <v/>
      </c>
      <c r="B16548">
        <f>TEST_DATA!B16548</f>
        <v/>
      </c>
      <c r="C16548">
        <f>TEST_DATA!C16548</f>
        <v/>
      </c>
      <c r="D16548">
        <f>TEST_DATA!D16548</f>
        <v/>
      </c>
      <c r="E16548">
        <f>TEST_DATA!E16548</f>
        <v/>
      </c>
    </row>
    <row r="16549">
      <c r="A16549">
        <f>TEST_DATA!A16549</f>
        <v/>
      </c>
      <c r="B16549">
        <f>TEST_DATA!B16549</f>
        <v/>
      </c>
      <c r="C16549">
        <f>TEST_DATA!C16549</f>
        <v/>
      </c>
      <c r="D16549">
        <f>TEST_DATA!D16549</f>
        <v/>
      </c>
      <c r="E16549">
        <f>TEST_DATA!E16549</f>
        <v/>
      </c>
    </row>
    <row r="16550">
      <c r="A16550">
        <f>TEST_DATA!A16550</f>
        <v/>
      </c>
      <c r="B16550">
        <f>TEST_DATA!B16550</f>
        <v/>
      </c>
      <c r="C16550">
        <f>TEST_DATA!C16550</f>
        <v/>
      </c>
      <c r="D16550">
        <f>TEST_DATA!D16550</f>
        <v/>
      </c>
      <c r="E16550">
        <f>TEST_DATA!E16550</f>
        <v/>
      </c>
    </row>
    <row r="16551">
      <c r="A16551">
        <f>TEST_DATA!A16551</f>
        <v/>
      </c>
      <c r="B16551">
        <f>TEST_DATA!B16551</f>
        <v/>
      </c>
      <c r="C16551">
        <f>TEST_DATA!C16551</f>
        <v/>
      </c>
      <c r="D16551">
        <f>TEST_DATA!D16551</f>
        <v/>
      </c>
      <c r="E16551">
        <f>TEST_DATA!E16551</f>
        <v/>
      </c>
    </row>
    <row r="16552">
      <c r="A16552">
        <f>TEST_DATA!A16552</f>
        <v/>
      </c>
      <c r="B16552">
        <f>TEST_DATA!B16552</f>
        <v/>
      </c>
      <c r="C16552">
        <f>TEST_DATA!C16552</f>
        <v/>
      </c>
      <c r="D16552">
        <f>TEST_DATA!D16552</f>
        <v/>
      </c>
      <c r="E16552">
        <f>TEST_DATA!E16552</f>
        <v/>
      </c>
    </row>
    <row r="16553">
      <c r="A16553">
        <f>TEST_DATA!A16553</f>
        <v/>
      </c>
      <c r="B16553">
        <f>TEST_DATA!B16553</f>
        <v/>
      </c>
      <c r="C16553">
        <f>TEST_DATA!C16553</f>
        <v/>
      </c>
      <c r="D16553">
        <f>TEST_DATA!D16553</f>
        <v/>
      </c>
      <c r="E16553">
        <f>TEST_DATA!E16553</f>
        <v/>
      </c>
    </row>
    <row r="16554">
      <c r="A16554">
        <f>TEST_DATA!A16554</f>
        <v/>
      </c>
      <c r="B16554">
        <f>TEST_DATA!B16554</f>
        <v/>
      </c>
      <c r="C16554">
        <f>TEST_DATA!C16554</f>
        <v/>
      </c>
      <c r="D16554">
        <f>TEST_DATA!D16554</f>
        <v/>
      </c>
      <c r="E16554">
        <f>TEST_DATA!E16554</f>
        <v/>
      </c>
    </row>
    <row r="16555">
      <c r="A16555">
        <f>TEST_DATA!A16555</f>
        <v/>
      </c>
      <c r="B16555">
        <f>TEST_DATA!B16555</f>
        <v/>
      </c>
      <c r="C16555">
        <f>TEST_DATA!C16555</f>
        <v/>
      </c>
      <c r="D16555">
        <f>TEST_DATA!D16555</f>
        <v/>
      </c>
      <c r="E16555">
        <f>TEST_DATA!E16555</f>
        <v/>
      </c>
    </row>
    <row r="16556">
      <c r="A16556">
        <f>TEST_DATA!A16556</f>
        <v/>
      </c>
      <c r="B16556">
        <f>TEST_DATA!B16556</f>
        <v/>
      </c>
      <c r="C16556">
        <f>TEST_DATA!C16556</f>
        <v/>
      </c>
      <c r="D16556">
        <f>TEST_DATA!D16556</f>
        <v/>
      </c>
      <c r="E16556">
        <f>TEST_DATA!E16556</f>
        <v/>
      </c>
    </row>
    <row r="16557">
      <c r="A16557">
        <f>TEST_DATA!A16557</f>
        <v/>
      </c>
      <c r="B16557">
        <f>TEST_DATA!B16557</f>
        <v/>
      </c>
      <c r="C16557">
        <f>TEST_DATA!C16557</f>
        <v/>
      </c>
      <c r="D16557">
        <f>TEST_DATA!D16557</f>
        <v/>
      </c>
      <c r="E16557">
        <f>TEST_DATA!E16557</f>
        <v/>
      </c>
    </row>
    <row r="16558">
      <c r="A16558">
        <f>TEST_DATA!A16558</f>
        <v/>
      </c>
      <c r="B16558">
        <f>TEST_DATA!B16558</f>
        <v/>
      </c>
      <c r="C16558">
        <f>TEST_DATA!C16558</f>
        <v/>
      </c>
      <c r="D16558">
        <f>TEST_DATA!D16558</f>
        <v/>
      </c>
      <c r="E16558">
        <f>TEST_DATA!E16558</f>
        <v/>
      </c>
    </row>
    <row r="16559">
      <c r="A16559">
        <f>TEST_DATA!A16559</f>
        <v/>
      </c>
      <c r="B16559">
        <f>TEST_DATA!B16559</f>
        <v/>
      </c>
      <c r="C16559">
        <f>TEST_DATA!C16559</f>
        <v/>
      </c>
      <c r="D16559">
        <f>TEST_DATA!D16559</f>
        <v/>
      </c>
      <c r="E16559">
        <f>TEST_DATA!E16559</f>
        <v/>
      </c>
    </row>
    <row r="16560">
      <c r="A16560">
        <f>TEST_DATA!A16560</f>
        <v/>
      </c>
      <c r="B16560">
        <f>TEST_DATA!B16560</f>
        <v/>
      </c>
      <c r="C16560">
        <f>TEST_DATA!C16560</f>
        <v/>
      </c>
      <c r="D16560">
        <f>TEST_DATA!D16560</f>
        <v/>
      </c>
      <c r="E16560">
        <f>TEST_DATA!E16560</f>
        <v/>
      </c>
    </row>
    <row r="16561">
      <c r="A16561">
        <f>TEST_DATA!A16561</f>
        <v/>
      </c>
      <c r="B16561">
        <f>TEST_DATA!B16561</f>
        <v/>
      </c>
      <c r="C16561">
        <f>TEST_DATA!C16561</f>
        <v/>
      </c>
      <c r="D16561">
        <f>TEST_DATA!D16561</f>
        <v/>
      </c>
      <c r="E16561">
        <f>TEST_DATA!E16561</f>
        <v/>
      </c>
    </row>
    <row r="16562">
      <c r="A16562">
        <f>TEST_DATA!A16562</f>
        <v/>
      </c>
      <c r="B16562">
        <f>TEST_DATA!B16562</f>
        <v/>
      </c>
      <c r="C16562">
        <f>TEST_DATA!C16562</f>
        <v/>
      </c>
      <c r="D16562">
        <f>TEST_DATA!D16562</f>
        <v/>
      </c>
      <c r="E16562">
        <f>TEST_DATA!E16562</f>
        <v/>
      </c>
    </row>
    <row r="16563">
      <c r="A16563">
        <f>TEST_DATA!A16563</f>
        <v/>
      </c>
      <c r="B16563">
        <f>TEST_DATA!B16563</f>
        <v/>
      </c>
      <c r="C16563">
        <f>TEST_DATA!C16563</f>
        <v/>
      </c>
      <c r="D16563">
        <f>TEST_DATA!D16563</f>
        <v/>
      </c>
      <c r="E16563">
        <f>TEST_DATA!E16563</f>
        <v/>
      </c>
    </row>
    <row r="16564">
      <c r="A16564">
        <f>TEST_DATA!A16564</f>
        <v/>
      </c>
      <c r="B16564">
        <f>TEST_DATA!B16564</f>
        <v/>
      </c>
      <c r="C16564">
        <f>TEST_DATA!C16564</f>
        <v/>
      </c>
      <c r="D16564">
        <f>TEST_DATA!D16564</f>
        <v/>
      </c>
      <c r="E16564">
        <f>TEST_DATA!E16564</f>
        <v/>
      </c>
    </row>
    <row r="16565">
      <c r="A16565">
        <f>TEST_DATA!A16565</f>
        <v/>
      </c>
      <c r="B16565">
        <f>TEST_DATA!B16565</f>
        <v/>
      </c>
      <c r="C16565">
        <f>TEST_DATA!C16565</f>
        <v/>
      </c>
      <c r="D16565">
        <f>TEST_DATA!D16565</f>
        <v/>
      </c>
      <c r="E16565">
        <f>TEST_DATA!E16565</f>
        <v/>
      </c>
    </row>
    <row r="16566">
      <c r="A16566">
        <f>TEST_DATA!A16566</f>
        <v/>
      </c>
      <c r="B16566">
        <f>TEST_DATA!B16566</f>
        <v/>
      </c>
      <c r="C16566">
        <f>TEST_DATA!C16566</f>
        <v/>
      </c>
      <c r="D16566">
        <f>TEST_DATA!D16566</f>
        <v/>
      </c>
      <c r="E16566">
        <f>TEST_DATA!E16566</f>
        <v/>
      </c>
    </row>
    <row r="16567">
      <c r="A16567">
        <f>TEST_DATA!A16567</f>
        <v/>
      </c>
      <c r="B16567">
        <f>TEST_DATA!B16567</f>
        <v/>
      </c>
      <c r="C16567">
        <f>TEST_DATA!C16567</f>
        <v/>
      </c>
      <c r="D16567">
        <f>TEST_DATA!D16567</f>
        <v/>
      </c>
      <c r="E16567">
        <f>TEST_DATA!E16567</f>
        <v/>
      </c>
    </row>
    <row r="16568">
      <c r="A16568">
        <f>TEST_DATA!A16568</f>
        <v/>
      </c>
      <c r="B16568">
        <f>TEST_DATA!B16568</f>
        <v/>
      </c>
      <c r="C16568">
        <f>TEST_DATA!C16568</f>
        <v/>
      </c>
      <c r="D16568">
        <f>TEST_DATA!D16568</f>
        <v/>
      </c>
      <c r="E16568">
        <f>TEST_DATA!E16568</f>
        <v/>
      </c>
    </row>
    <row r="16569">
      <c r="A16569">
        <f>TEST_DATA!A16569</f>
        <v/>
      </c>
      <c r="B16569">
        <f>TEST_DATA!B16569</f>
        <v/>
      </c>
      <c r="C16569">
        <f>TEST_DATA!C16569</f>
        <v/>
      </c>
      <c r="D16569">
        <f>TEST_DATA!D16569</f>
        <v/>
      </c>
      <c r="E16569">
        <f>TEST_DATA!E16569</f>
        <v/>
      </c>
    </row>
    <row r="16570">
      <c r="A16570">
        <f>TEST_DATA!A16570</f>
        <v/>
      </c>
      <c r="B16570">
        <f>TEST_DATA!B16570</f>
        <v/>
      </c>
      <c r="C16570">
        <f>TEST_DATA!C16570</f>
        <v/>
      </c>
      <c r="D16570">
        <f>TEST_DATA!D16570</f>
        <v/>
      </c>
      <c r="E16570">
        <f>TEST_DATA!E16570</f>
        <v/>
      </c>
    </row>
    <row r="16571">
      <c r="A16571">
        <f>TEST_DATA!A16571</f>
        <v/>
      </c>
      <c r="B16571">
        <f>TEST_DATA!B16571</f>
        <v/>
      </c>
      <c r="C16571">
        <f>TEST_DATA!C16571</f>
        <v/>
      </c>
      <c r="D16571">
        <f>TEST_DATA!D16571</f>
        <v/>
      </c>
      <c r="E16571">
        <f>TEST_DATA!E16571</f>
        <v/>
      </c>
    </row>
    <row r="16572">
      <c r="A16572">
        <f>TEST_DATA!A16572</f>
        <v/>
      </c>
      <c r="B16572">
        <f>TEST_DATA!B16572</f>
        <v/>
      </c>
      <c r="C16572">
        <f>TEST_DATA!C16572</f>
        <v/>
      </c>
      <c r="D16572">
        <f>TEST_DATA!D16572</f>
        <v/>
      </c>
      <c r="E16572">
        <f>TEST_DATA!E16572</f>
        <v/>
      </c>
    </row>
    <row r="16573">
      <c r="A16573">
        <f>TEST_DATA!A16573</f>
        <v/>
      </c>
      <c r="B16573">
        <f>TEST_DATA!B16573</f>
        <v/>
      </c>
      <c r="C16573">
        <f>TEST_DATA!C16573</f>
        <v/>
      </c>
      <c r="D16573">
        <f>TEST_DATA!D16573</f>
        <v/>
      </c>
      <c r="E16573">
        <f>TEST_DATA!E16573</f>
        <v/>
      </c>
    </row>
    <row r="16574">
      <c r="A16574">
        <f>TEST_DATA!A16574</f>
        <v/>
      </c>
      <c r="B16574">
        <f>TEST_DATA!B16574</f>
        <v/>
      </c>
      <c r="C16574">
        <f>TEST_DATA!C16574</f>
        <v/>
      </c>
      <c r="D16574">
        <f>TEST_DATA!D16574</f>
        <v/>
      </c>
      <c r="E16574">
        <f>TEST_DATA!E16574</f>
        <v/>
      </c>
    </row>
    <row r="16575">
      <c r="A16575">
        <f>TEST_DATA!A16575</f>
        <v/>
      </c>
      <c r="B16575">
        <f>TEST_DATA!B16575</f>
        <v/>
      </c>
      <c r="C16575">
        <f>TEST_DATA!C16575</f>
        <v/>
      </c>
      <c r="D16575">
        <f>TEST_DATA!D16575</f>
        <v/>
      </c>
      <c r="E16575">
        <f>TEST_DATA!E16575</f>
        <v/>
      </c>
    </row>
    <row r="16576">
      <c r="A16576">
        <f>TEST_DATA!A16576</f>
        <v/>
      </c>
      <c r="B16576">
        <f>TEST_DATA!B16576</f>
        <v/>
      </c>
      <c r="C16576">
        <f>TEST_DATA!C16576</f>
        <v/>
      </c>
      <c r="D16576">
        <f>TEST_DATA!D16576</f>
        <v/>
      </c>
      <c r="E16576">
        <f>TEST_DATA!E16576</f>
        <v/>
      </c>
    </row>
    <row r="16577">
      <c r="A16577">
        <f>TEST_DATA!A16577</f>
        <v/>
      </c>
      <c r="B16577">
        <f>TEST_DATA!B16577</f>
        <v/>
      </c>
      <c r="C16577">
        <f>TEST_DATA!C16577</f>
        <v/>
      </c>
      <c r="D16577">
        <f>TEST_DATA!D16577</f>
        <v/>
      </c>
      <c r="E16577">
        <f>TEST_DATA!E16577</f>
        <v/>
      </c>
    </row>
    <row r="16578">
      <c r="A16578">
        <f>TEST_DATA!A16578</f>
        <v/>
      </c>
      <c r="B16578">
        <f>TEST_DATA!B16578</f>
        <v/>
      </c>
      <c r="C16578">
        <f>TEST_DATA!C16578</f>
        <v/>
      </c>
      <c r="D16578">
        <f>TEST_DATA!D16578</f>
        <v/>
      </c>
      <c r="E16578">
        <f>TEST_DATA!E16578</f>
        <v/>
      </c>
    </row>
    <row r="16579">
      <c r="A16579">
        <f>TEST_DATA!A16579</f>
        <v/>
      </c>
      <c r="B16579">
        <f>TEST_DATA!B16579</f>
        <v/>
      </c>
      <c r="C16579">
        <f>TEST_DATA!C16579</f>
        <v/>
      </c>
      <c r="D16579">
        <f>TEST_DATA!D16579</f>
        <v/>
      </c>
      <c r="E16579">
        <f>TEST_DATA!E16579</f>
        <v/>
      </c>
    </row>
    <row r="16580">
      <c r="A16580">
        <f>TEST_DATA!A16580</f>
        <v/>
      </c>
      <c r="B16580">
        <f>TEST_DATA!B16580</f>
        <v/>
      </c>
      <c r="C16580">
        <f>TEST_DATA!C16580</f>
        <v/>
      </c>
      <c r="D16580">
        <f>TEST_DATA!D16580</f>
        <v/>
      </c>
      <c r="E16580">
        <f>TEST_DATA!E16580</f>
        <v/>
      </c>
    </row>
    <row r="16581">
      <c r="A16581">
        <f>TEST_DATA!A16581</f>
        <v/>
      </c>
      <c r="B16581">
        <f>TEST_DATA!B16581</f>
        <v/>
      </c>
      <c r="C16581">
        <f>TEST_DATA!C16581</f>
        <v/>
      </c>
      <c r="D16581">
        <f>TEST_DATA!D16581</f>
        <v/>
      </c>
      <c r="E16581">
        <f>TEST_DATA!E16581</f>
        <v/>
      </c>
    </row>
    <row r="16582">
      <c r="A16582">
        <f>TEST_DATA!A16582</f>
        <v/>
      </c>
      <c r="B16582">
        <f>TEST_DATA!B16582</f>
        <v/>
      </c>
      <c r="C16582">
        <f>TEST_DATA!C16582</f>
        <v/>
      </c>
      <c r="D16582">
        <f>TEST_DATA!D16582</f>
        <v/>
      </c>
      <c r="E16582">
        <f>TEST_DATA!E16582</f>
        <v/>
      </c>
    </row>
    <row r="16583">
      <c r="A16583">
        <f>TEST_DATA!A16583</f>
        <v/>
      </c>
      <c r="B16583">
        <f>TEST_DATA!B16583</f>
        <v/>
      </c>
      <c r="C16583">
        <f>TEST_DATA!C16583</f>
        <v/>
      </c>
      <c r="D16583">
        <f>TEST_DATA!D16583</f>
        <v/>
      </c>
      <c r="E16583">
        <f>TEST_DATA!E16583</f>
        <v/>
      </c>
    </row>
    <row r="16584">
      <c r="A16584">
        <f>TEST_DATA!A16584</f>
        <v/>
      </c>
      <c r="B16584">
        <f>TEST_DATA!B16584</f>
        <v/>
      </c>
      <c r="C16584">
        <f>TEST_DATA!C16584</f>
        <v/>
      </c>
      <c r="D16584">
        <f>TEST_DATA!D16584</f>
        <v/>
      </c>
      <c r="E16584">
        <f>TEST_DATA!E16584</f>
        <v/>
      </c>
    </row>
    <row r="16585">
      <c r="A16585">
        <f>TEST_DATA!A16585</f>
        <v/>
      </c>
      <c r="B16585">
        <f>TEST_DATA!B16585</f>
        <v/>
      </c>
      <c r="C16585">
        <f>TEST_DATA!C16585</f>
        <v/>
      </c>
      <c r="D16585">
        <f>TEST_DATA!D16585</f>
        <v/>
      </c>
      <c r="E16585">
        <f>TEST_DATA!E16585</f>
        <v/>
      </c>
    </row>
    <row r="16586">
      <c r="A16586">
        <f>TEST_DATA!A16586</f>
        <v/>
      </c>
      <c r="B16586">
        <f>TEST_DATA!B16586</f>
        <v/>
      </c>
      <c r="C16586">
        <f>TEST_DATA!C16586</f>
        <v/>
      </c>
      <c r="D16586">
        <f>TEST_DATA!D16586</f>
        <v/>
      </c>
      <c r="E16586">
        <f>TEST_DATA!E16586</f>
        <v/>
      </c>
    </row>
    <row r="16587">
      <c r="A16587">
        <f>TEST_DATA!A16587</f>
        <v/>
      </c>
      <c r="B16587">
        <f>TEST_DATA!B16587</f>
        <v/>
      </c>
      <c r="C16587">
        <f>TEST_DATA!C16587</f>
        <v/>
      </c>
      <c r="D16587">
        <f>TEST_DATA!D16587</f>
        <v/>
      </c>
      <c r="E16587">
        <f>TEST_DATA!E16587</f>
        <v/>
      </c>
    </row>
    <row r="16588">
      <c r="A16588">
        <f>TEST_DATA!A16588</f>
        <v/>
      </c>
      <c r="B16588">
        <f>TEST_DATA!B16588</f>
        <v/>
      </c>
      <c r="C16588">
        <f>TEST_DATA!C16588</f>
        <v/>
      </c>
      <c r="D16588">
        <f>TEST_DATA!D16588</f>
        <v/>
      </c>
      <c r="E16588">
        <f>TEST_DATA!E16588</f>
        <v/>
      </c>
    </row>
    <row r="16589">
      <c r="A16589">
        <f>TEST_DATA!A16589</f>
        <v/>
      </c>
      <c r="B16589">
        <f>TEST_DATA!B16589</f>
        <v/>
      </c>
      <c r="C16589">
        <f>TEST_DATA!C16589</f>
        <v/>
      </c>
      <c r="D16589">
        <f>TEST_DATA!D16589</f>
        <v/>
      </c>
      <c r="E16589">
        <f>TEST_DATA!E16589</f>
        <v/>
      </c>
    </row>
    <row r="16590">
      <c r="A16590">
        <f>TEST_DATA!A16590</f>
        <v/>
      </c>
      <c r="B16590">
        <f>TEST_DATA!B16590</f>
        <v/>
      </c>
      <c r="C16590">
        <f>TEST_DATA!C16590</f>
        <v/>
      </c>
      <c r="D16590">
        <f>TEST_DATA!D16590</f>
        <v/>
      </c>
      <c r="E16590">
        <f>TEST_DATA!E16590</f>
        <v/>
      </c>
    </row>
    <row r="16591">
      <c r="A16591">
        <f>TEST_DATA!A16591</f>
        <v/>
      </c>
      <c r="B16591">
        <f>TEST_DATA!B16591</f>
        <v/>
      </c>
      <c r="C16591">
        <f>TEST_DATA!C16591</f>
        <v/>
      </c>
      <c r="D16591">
        <f>TEST_DATA!D16591</f>
        <v/>
      </c>
      <c r="E16591">
        <f>TEST_DATA!E16591</f>
        <v/>
      </c>
    </row>
    <row r="16592">
      <c r="A16592">
        <f>TEST_DATA!A16592</f>
        <v/>
      </c>
      <c r="B16592">
        <f>TEST_DATA!B16592</f>
        <v/>
      </c>
      <c r="C16592">
        <f>TEST_DATA!C16592</f>
        <v/>
      </c>
      <c r="D16592">
        <f>TEST_DATA!D16592</f>
        <v/>
      </c>
      <c r="E16592">
        <f>TEST_DATA!E16592</f>
        <v/>
      </c>
    </row>
    <row r="16593">
      <c r="A16593">
        <f>TEST_DATA!A16593</f>
        <v/>
      </c>
      <c r="B16593">
        <f>TEST_DATA!B16593</f>
        <v/>
      </c>
      <c r="C16593">
        <f>TEST_DATA!C16593</f>
        <v/>
      </c>
      <c r="D16593">
        <f>TEST_DATA!D16593</f>
        <v/>
      </c>
      <c r="E16593">
        <f>TEST_DATA!E16593</f>
        <v/>
      </c>
    </row>
    <row r="16594">
      <c r="A16594">
        <f>TEST_DATA!A16594</f>
        <v/>
      </c>
      <c r="B16594">
        <f>TEST_DATA!B16594</f>
        <v/>
      </c>
      <c r="C16594">
        <f>TEST_DATA!C16594</f>
        <v/>
      </c>
      <c r="D16594">
        <f>TEST_DATA!D16594</f>
        <v/>
      </c>
      <c r="E16594">
        <f>TEST_DATA!E16594</f>
        <v/>
      </c>
    </row>
    <row r="16595">
      <c r="A16595">
        <f>TEST_DATA!A16595</f>
        <v/>
      </c>
      <c r="B16595">
        <f>TEST_DATA!B16595</f>
        <v/>
      </c>
      <c r="C16595">
        <f>TEST_DATA!C16595</f>
        <v/>
      </c>
      <c r="D16595">
        <f>TEST_DATA!D16595</f>
        <v/>
      </c>
      <c r="E16595">
        <f>TEST_DATA!E16595</f>
        <v/>
      </c>
    </row>
    <row r="16596">
      <c r="A16596">
        <f>TEST_DATA!A16596</f>
        <v/>
      </c>
      <c r="B16596">
        <f>TEST_DATA!B16596</f>
        <v/>
      </c>
      <c r="C16596">
        <f>TEST_DATA!C16596</f>
        <v/>
      </c>
      <c r="D16596">
        <f>TEST_DATA!D16596</f>
        <v/>
      </c>
      <c r="E16596">
        <f>TEST_DATA!E16596</f>
        <v/>
      </c>
    </row>
    <row r="16597">
      <c r="A16597">
        <f>TEST_DATA!A16597</f>
        <v/>
      </c>
      <c r="B16597">
        <f>TEST_DATA!B16597</f>
        <v/>
      </c>
      <c r="C16597">
        <f>TEST_DATA!C16597</f>
        <v/>
      </c>
      <c r="D16597">
        <f>TEST_DATA!D16597</f>
        <v/>
      </c>
      <c r="E16597">
        <f>TEST_DATA!E16597</f>
        <v/>
      </c>
    </row>
    <row r="16598">
      <c r="A16598">
        <f>TEST_DATA!A16598</f>
        <v/>
      </c>
      <c r="B16598">
        <f>TEST_DATA!B16598</f>
        <v/>
      </c>
      <c r="C16598">
        <f>TEST_DATA!C16598</f>
        <v/>
      </c>
      <c r="D16598">
        <f>TEST_DATA!D16598</f>
        <v/>
      </c>
      <c r="E16598">
        <f>TEST_DATA!E16598</f>
        <v/>
      </c>
    </row>
    <row r="16599">
      <c r="A16599">
        <f>TEST_DATA!A16599</f>
        <v/>
      </c>
      <c r="B16599">
        <f>TEST_DATA!B16599</f>
        <v/>
      </c>
      <c r="C16599">
        <f>TEST_DATA!C16599</f>
        <v/>
      </c>
      <c r="D16599">
        <f>TEST_DATA!D16599</f>
        <v/>
      </c>
      <c r="E16599">
        <f>TEST_DATA!E16599</f>
        <v/>
      </c>
    </row>
    <row r="16600">
      <c r="A16600">
        <f>TEST_DATA!A16600</f>
        <v/>
      </c>
      <c r="B16600">
        <f>TEST_DATA!B16600</f>
        <v/>
      </c>
      <c r="C16600">
        <f>TEST_DATA!C16600</f>
        <v/>
      </c>
      <c r="D16600">
        <f>TEST_DATA!D16600</f>
        <v/>
      </c>
      <c r="E16600">
        <f>TEST_DATA!E16600</f>
        <v/>
      </c>
    </row>
    <row r="16601">
      <c r="A16601">
        <f>TEST_DATA!A16601</f>
        <v/>
      </c>
      <c r="B16601">
        <f>TEST_DATA!B16601</f>
        <v/>
      </c>
      <c r="C16601">
        <f>TEST_DATA!C16601</f>
        <v/>
      </c>
      <c r="D16601">
        <f>TEST_DATA!D16601</f>
        <v/>
      </c>
      <c r="E16601">
        <f>TEST_DATA!E16601</f>
        <v/>
      </c>
    </row>
    <row r="16602">
      <c r="A16602">
        <f>TEST_DATA!A16602</f>
        <v/>
      </c>
      <c r="B16602">
        <f>TEST_DATA!B16602</f>
        <v/>
      </c>
      <c r="C16602">
        <f>TEST_DATA!C16602</f>
        <v/>
      </c>
      <c r="D16602">
        <f>TEST_DATA!D16602</f>
        <v/>
      </c>
      <c r="E16602">
        <f>TEST_DATA!E16602</f>
        <v/>
      </c>
    </row>
    <row r="16603">
      <c r="A16603">
        <f>TEST_DATA!A16603</f>
        <v/>
      </c>
      <c r="B16603">
        <f>TEST_DATA!B16603</f>
        <v/>
      </c>
      <c r="C16603">
        <f>TEST_DATA!C16603</f>
        <v/>
      </c>
      <c r="D16603">
        <f>TEST_DATA!D16603</f>
        <v/>
      </c>
      <c r="E16603">
        <f>TEST_DATA!E16603</f>
        <v/>
      </c>
    </row>
    <row r="16604">
      <c r="A16604">
        <f>TEST_DATA!A16604</f>
        <v/>
      </c>
      <c r="B16604">
        <f>TEST_DATA!B16604</f>
        <v/>
      </c>
      <c r="C16604">
        <f>TEST_DATA!C16604</f>
        <v/>
      </c>
      <c r="D16604">
        <f>TEST_DATA!D16604</f>
        <v/>
      </c>
      <c r="E16604">
        <f>TEST_DATA!E16604</f>
        <v/>
      </c>
    </row>
    <row r="16605">
      <c r="A16605">
        <f>TEST_DATA!A16605</f>
        <v/>
      </c>
      <c r="B16605">
        <f>TEST_DATA!B16605</f>
        <v/>
      </c>
      <c r="C16605">
        <f>TEST_DATA!C16605</f>
        <v/>
      </c>
      <c r="D16605">
        <f>TEST_DATA!D16605</f>
        <v/>
      </c>
      <c r="E16605">
        <f>TEST_DATA!E16605</f>
        <v/>
      </c>
    </row>
    <row r="16606">
      <c r="A16606">
        <f>TEST_DATA!A16606</f>
        <v/>
      </c>
      <c r="B16606">
        <f>TEST_DATA!B16606</f>
        <v/>
      </c>
      <c r="C16606">
        <f>TEST_DATA!C16606</f>
        <v/>
      </c>
      <c r="D16606">
        <f>TEST_DATA!D16606</f>
        <v/>
      </c>
      <c r="E16606">
        <f>TEST_DATA!E16606</f>
        <v/>
      </c>
    </row>
    <row r="16607">
      <c r="A16607">
        <f>TEST_DATA!A16607</f>
        <v/>
      </c>
      <c r="B16607">
        <f>TEST_DATA!B16607</f>
        <v/>
      </c>
      <c r="C16607">
        <f>TEST_DATA!C16607</f>
        <v/>
      </c>
      <c r="D16607">
        <f>TEST_DATA!D16607</f>
        <v/>
      </c>
      <c r="E16607">
        <f>TEST_DATA!E16607</f>
        <v/>
      </c>
    </row>
    <row r="16608">
      <c r="A16608">
        <f>TEST_DATA!A16608</f>
        <v/>
      </c>
      <c r="B16608">
        <f>TEST_DATA!B16608</f>
        <v/>
      </c>
      <c r="C16608">
        <f>TEST_DATA!C16608</f>
        <v/>
      </c>
      <c r="D16608">
        <f>TEST_DATA!D16608</f>
        <v/>
      </c>
      <c r="E16608">
        <f>TEST_DATA!E16608</f>
        <v/>
      </c>
    </row>
    <row r="16609">
      <c r="A16609">
        <f>TEST_DATA!A16609</f>
        <v/>
      </c>
      <c r="B16609">
        <f>TEST_DATA!B16609</f>
        <v/>
      </c>
      <c r="C16609">
        <f>TEST_DATA!C16609</f>
        <v/>
      </c>
      <c r="D16609">
        <f>TEST_DATA!D16609</f>
        <v/>
      </c>
      <c r="E16609">
        <f>TEST_DATA!E16609</f>
        <v/>
      </c>
    </row>
    <row r="16610">
      <c r="A16610">
        <f>TEST_DATA!A16610</f>
        <v/>
      </c>
      <c r="B16610">
        <f>TEST_DATA!B16610</f>
        <v/>
      </c>
      <c r="C16610">
        <f>TEST_DATA!C16610</f>
        <v/>
      </c>
      <c r="D16610">
        <f>TEST_DATA!D16610</f>
        <v/>
      </c>
      <c r="E16610">
        <f>TEST_DATA!E16610</f>
        <v/>
      </c>
    </row>
    <row r="16611">
      <c r="A16611">
        <f>TEST_DATA!A16611</f>
        <v/>
      </c>
      <c r="B16611">
        <f>TEST_DATA!B16611</f>
        <v/>
      </c>
      <c r="C16611">
        <f>TEST_DATA!C16611</f>
        <v/>
      </c>
      <c r="D16611">
        <f>TEST_DATA!D16611</f>
        <v/>
      </c>
      <c r="E16611">
        <f>TEST_DATA!E16611</f>
        <v/>
      </c>
    </row>
    <row r="16612">
      <c r="A16612">
        <f>TEST_DATA!A16612</f>
        <v/>
      </c>
      <c r="B16612">
        <f>TEST_DATA!B16612</f>
        <v/>
      </c>
      <c r="C16612">
        <f>TEST_DATA!C16612</f>
        <v/>
      </c>
      <c r="D16612">
        <f>TEST_DATA!D16612</f>
        <v/>
      </c>
      <c r="E16612">
        <f>TEST_DATA!E16612</f>
        <v/>
      </c>
    </row>
    <row r="16613">
      <c r="A16613">
        <f>TEST_DATA!A16613</f>
        <v/>
      </c>
      <c r="B16613">
        <f>TEST_DATA!B16613</f>
        <v/>
      </c>
      <c r="C16613">
        <f>TEST_DATA!C16613</f>
        <v/>
      </c>
      <c r="D16613">
        <f>TEST_DATA!D16613</f>
        <v/>
      </c>
      <c r="E16613">
        <f>TEST_DATA!E16613</f>
        <v/>
      </c>
    </row>
    <row r="16614">
      <c r="A16614">
        <f>TEST_DATA!A16614</f>
        <v/>
      </c>
      <c r="B16614">
        <f>TEST_DATA!B16614</f>
        <v/>
      </c>
      <c r="C16614">
        <f>TEST_DATA!C16614</f>
        <v/>
      </c>
      <c r="D16614">
        <f>TEST_DATA!D16614</f>
        <v/>
      </c>
      <c r="E16614">
        <f>TEST_DATA!E16614</f>
        <v/>
      </c>
    </row>
    <row r="16615">
      <c r="A16615">
        <f>TEST_DATA!A16615</f>
        <v/>
      </c>
      <c r="B16615">
        <f>TEST_DATA!B16615</f>
        <v/>
      </c>
      <c r="C16615">
        <f>TEST_DATA!C16615</f>
        <v/>
      </c>
      <c r="D16615">
        <f>TEST_DATA!D16615</f>
        <v/>
      </c>
      <c r="E16615">
        <f>TEST_DATA!E16615</f>
        <v/>
      </c>
    </row>
    <row r="16616">
      <c r="A16616">
        <f>TEST_DATA!A16616</f>
        <v/>
      </c>
      <c r="B16616">
        <f>TEST_DATA!B16616</f>
        <v/>
      </c>
      <c r="C16616">
        <f>TEST_DATA!C16616</f>
        <v/>
      </c>
      <c r="D16616">
        <f>TEST_DATA!D16616</f>
        <v/>
      </c>
      <c r="E16616">
        <f>TEST_DATA!E16616</f>
        <v/>
      </c>
    </row>
    <row r="16617">
      <c r="A16617">
        <f>TEST_DATA!A16617</f>
        <v/>
      </c>
      <c r="B16617">
        <f>TEST_DATA!B16617</f>
        <v/>
      </c>
      <c r="C16617">
        <f>TEST_DATA!C16617</f>
        <v/>
      </c>
      <c r="D16617">
        <f>TEST_DATA!D16617</f>
        <v/>
      </c>
      <c r="E16617">
        <f>TEST_DATA!E16617</f>
        <v/>
      </c>
    </row>
    <row r="16618">
      <c r="A16618">
        <f>TEST_DATA!A16618</f>
        <v/>
      </c>
      <c r="B16618">
        <f>TEST_DATA!B16618</f>
        <v/>
      </c>
      <c r="C16618">
        <f>TEST_DATA!C16618</f>
        <v/>
      </c>
      <c r="D16618">
        <f>TEST_DATA!D16618</f>
        <v/>
      </c>
      <c r="E16618">
        <f>TEST_DATA!E16618</f>
        <v/>
      </c>
    </row>
    <row r="16619">
      <c r="A16619">
        <f>TEST_DATA!A16619</f>
        <v/>
      </c>
      <c r="B16619">
        <f>TEST_DATA!B16619</f>
        <v/>
      </c>
      <c r="C16619">
        <f>TEST_DATA!C16619</f>
        <v/>
      </c>
      <c r="D16619">
        <f>TEST_DATA!D16619</f>
        <v/>
      </c>
      <c r="E16619">
        <f>TEST_DATA!E16619</f>
        <v/>
      </c>
    </row>
    <row r="16620">
      <c r="A16620">
        <f>TEST_DATA!A16620</f>
        <v/>
      </c>
      <c r="B16620">
        <f>TEST_DATA!B16620</f>
        <v/>
      </c>
      <c r="C16620">
        <f>TEST_DATA!C16620</f>
        <v/>
      </c>
      <c r="D16620">
        <f>TEST_DATA!D16620</f>
        <v/>
      </c>
      <c r="E16620">
        <f>TEST_DATA!E16620</f>
        <v/>
      </c>
    </row>
    <row r="16621">
      <c r="A16621">
        <f>TEST_DATA!A16621</f>
        <v/>
      </c>
      <c r="B16621">
        <f>TEST_DATA!B16621</f>
        <v/>
      </c>
      <c r="C16621">
        <f>TEST_DATA!C16621</f>
        <v/>
      </c>
      <c r="D16621">
        <f>TEST_DATA!D16621</f>
        <v/>
      </c>
      <c r="E16621">
        <f>TEST_DATA!E16621</f>
        <v/>
      </c>
    </row>
    <row r="16622">
      <c r="A16622">
        <f>TEST_DATA!A16622</f>
        <v/>
      </c>
      <c r="B16622">
        <f>TEST_DATA!B16622</f>
        <v/>
      </c>
      <c r="C16622">
        <f>TEST_DATA!C16622</f>
        <v/>
      </c>
      <c r="D16622">
        <f>TEST_DATA!D16622</f>
        <v/>
      </c>
      <c r="E16622">
        <f>TEST_DATA!E16622</f>
        <v/>
      </c>
    </row>
    <row r="16623">
      <c r="A16623">
        <f>TEST_DATA!A16623</f>
        <v/>
      </c>
      <c r="B16623">
        <f>TEST_DATA!B16623</f>
        <v/>
      </c>
      <c r="C16623">
        <f>TEST_DATA!C16623</f>
        <v/>
      </c>
      <c r="D16623">
        <f>TEST_DATA!D16623</f>
        <v/>
      </c>
      <c r="E16623">
        <f>TEST_DATA!E16623</f>
        <v/>
      </c>
    </row>
    <row r="16624">
      <c r="A16624">
        <f>TEST_DATA!A16624</f>
        <v/>
      </c>
      <c r="B16624">
        <f>TEST_DATA!B16624</f>
        <v/>
      </c>
      <c r="C16624">
        <f>TEST_DATA!C16624</f>
        <v/>
      </c>
      <c r="D16624">
        <f>TEST_DATA!D16624</f>
        <v/>
      </c>
      <c r="E16624">
        <f>TEST_DATA!E16624</f>
        <v/>
      </c>
    </row>
    <row r="16625">
      <c r="A16625">
        <f>TEST_DATA!A16625</f>
        <v/>
      </c>
      <c r="B16625">
        <f>TEST_DATA!B16625</f>
        <v/>
      </c>
      <c r="C16625">
        <f>TEST_DATA!C16625</f>
        <v/>
      </c>
      <c r="D16625">
        <f>TEST_DATA!D16625</f>
        <v/>
      </c>
      <c r="E16625">
        <f>TEST_DATA!E16625</f>
        <v/>
      </c>
    </row>
    <row r="16626">
      <c r="A16626">
        <f>TEST_DATA!A16626</f>
        <v/>
      </c>
      <c r="B16626">
        <f>TEST_DATA!B16626</f>
        <v/>
      </c>
      <c r="C16626">
        <f>TEST_DATA!C16626</f>
        <v/>
      </c>
      <c r="D16626">
        <f>TEST_DATA!D16626</f>
        <v/>
      </c>
      <c r="E16626">
        <f>TEST_DATA!E16626</f>
        <v/>
      </c>
    </row>
    <row r="16627">
      <c r="A16627">
        <f>TEST_DATA!A16627</f>
        <v/>
      </c>
      <c r="B16627">
        <f>TEST_DATA!B16627</f>
        <v/>
      </c>
      <c r="C16627">
        <f>TEST_DATA!C16627</f>
        <v/>
      </c>
      <c r="D16627">
        <f>TEST_DATA!D16627</f>
        <v/>
      </c>
      <c r="E16627">
        <f>TEST_DATA!E16627</f>
        <v/>
      </c>
    </row>
    <row r="16628">
      <c r="A16628">
        <f>TEST_DATA!A16628</f>
        <v/>
      </c>
      <c r="B16628">
        <f>TEST_DATA!B16628</f>
        <v/>
      </c>
      <c r="C16628">
        <f>TEST_DATA!C16628</f>
        <v/>
      </c>
      <c r="D16628">
        <f>TEST_DATA!D16628</f>
        <v/>
      </c>
      <c r="E16628">
        <f>TEST_DATA!E16628</f>
        <v/>
      </c>
    </row>
    <row r="16629">
      <c r="A16629">
        <f>TEST_DATA!A16629</f>
        <v/>
      </c>
      <c r="B16629">
        <f>TEST_DATA!B16629</f>
        <v/>
      </c>
      <c r="C16629">
        <f>TEST_DATA!C16629</f>
        <v/>
      </c>
      <c r="D16629">
        <f>TEST_DATA!D16629</f>
        <v/>
      </c>
      <c r="E16629">
        <f>TEST_DATA!E16629</f>
        <v/>
      </c>
    </row>
    <row r="16630">
      <c r="A16630">
        <f>TEST_DATA!A16630</f>
        <v/>
      </c>
      <c r="B16630">
        <f>TEST_DATA!B16630</f>
        <v/>
      </c>
      <c r="C16630">
        <f>TEST_DATA!C16630</f>
        <v/>
      </c>
      <c r="D16630">
        <f>TEST_DATA!D16630</f>
        <v/>
      </c>
      <c r="E16630">
        <f>TEST_DATA!E16630</f>
        <v/>
      </c>
    </row>
    <row r="16631">
      <c r="A16631">
        <f>TEST_DATA!A16631</f>
        <v/>
      </c>
      <c r="B16631">
        <f>TEST_DATA!B16631</f>
        <v/>
      </c>
      <c r="C16631">
        <f>TEST_DATA!C16631</f>
        <v/>
      </c>
      <c r="D16631">
        <f>TEST_DATA!D16631</f>
        <v/>
      </c>
      <c r="E16631">
        <f>TEST_DATA!E16631</f>
        <v/>
      </c>
    </row>
    <row r="16632">
      <c r="A16632">
        <f>TEST_DATA!A16632</f>
        <v/>
      </c>
      <c r="B16632">
        <f>TEST_DATA!B16632</f>
        <v/>
      </c>
      <c r="C16632">
        <f>TEST_DATA!C16632</f>
        <v/>
      </c>
      <c r="D16632">
        <f>TEST_DATA!D16632</f>
        <v/>
      </c>
      <c r="E16632">
        <f>TEST_DATA!E16632</f>
        <v/>
      </c>
    </row>
    <row r="16633">
      <c r="A16633">
        <f>TEST_DATA!A16633</f>
        <v/>
      </c>
      <c r="B16633">
        <f>TEST_DATA!B16633</f>
        <v/>
      </c>
      <c r="C16633">
        <f>TEST_DATA!C16633</f>
        <v/>
      </c>
      <c r="D16633">
        <f>TEST_DATA!D16633</f>
        <v/>
      </c>
      <c r="E16633">
        <f>TEST_DATA!E16633</f>
        <v/>
      </c>
    </row>
    <row r="16634">
      <c r="A16634">
        <f>TEST_DATA!A16634</f>
        <v/>
      </c>
      <c r="B16634">
        <f>TEST_DATA!B16634</f>
        <v/>
      </c>
      <c r="C16634">
        <f>TEST_DATA!C16634</f>
        <v/>
      </c>
      <c r="D16634">
        <f>TEST_DATA!D16634</f>
        <v/>
      </c>
      <c r="E16634">
        <f>TEST_DATA!E16634</f>
        <v/>
      </c>
    </row>
    <row r="16635">
      <c r="A16635">
        <f>TEST_DATA!A16635</f>
        <v/>
      </c>
      <c r="B16635">
        <f>TEST_DATA!B16635</f>
        <v/>
      </c>
      <c r="C16635">
        <f>TEST_DATA!C16635</f>
        <v/>
      </c>
      <c r="D16635">
        <f>TEST_DATA!D16635</f>
        <v/>
      </c>
      <c r="E16635">
        <f>TEST_DATA!E16635</f>
        <v/>
      </c>
    </row>
    <row r="16636">
      <c r="A16636">
        <f>TEST_DATA!A16636</f>
        <v/>
      </c>
      <c r="B16636">
        <f>TEST_DATA!B16636</f>
        <v/>
      </c>
      <c r="C16636">
        <f>TEST_DATA!C16636</f>
        <v/>
      </c>
      <c r="D16636">
        <f>TEST_DATA!D16636</f>
        <v/>
      </c>
      <c r="E16636">
        <f>TEST_DATA!E16636</f>
        <v/>
      </c>
    </row>
    <row r="16637">
      <c r="A16637">
        <f>TEST_DATA!A16637</f>
        <v/>
      </c>
      <c r="B16637">
        <f>TEST_DATA!B16637</f>
        <v/>
      </c>
      <c r="C16637">
        <f>TEST_DATA!C16637</f>
        <v/>
      </c>
      <c r="D16637">
        <f>TEST_DATA!D16637</f>
        <v/>
      </c>
      <c r="E16637">
        <f>TEST_DATA!E16637</f>
        <v/>
      </c>
    </row>
    <row r="16638">
      <c r="A16638">
        <f>TEST_DATA!A16638</f>
        <v/>
      </c>
      <c r="B16638">
        <f>TEST_DATA!B16638</f>
        <v/>
      </c>
      <c r="C16638">
        <f>TEST_DATA!C16638</f>
        <v/>
      </c>
      <c r="D16638">
        <f>TEST_DATA!D16638</f>
        <v/>
      </c>
      <c r="E16638">
        <f>TEST_DATA!E16638</f>
        <v/>
      </c>
    </row>
    <row r="16639">
      <c r="A16639">
        <f>TEST_DATA!A16639</f>
        <v/>
      </c>
      <c r="B16639">
        <f>TEST_DATA!B16639</f>
        <v/>
      </c>
      <c r="C16639">
        <f>TEST_DATA!C16639</f>
        <v/>
      </c>
      <c r="D16639">
        <f>TEST_DATA!D16639</f>
        <v/>
      </c>
      <c r="E16639">
        <f>TEST_DATA!E16639</f>
        <v/>
      </c>
    </row>
    <row r="16640">
      <c r="A16640">
        <f>TEST_DATA!A16640</f>
        <v/>
      </c>
      <c r="B16640">
        <f>TEST_DATA!B16640</f>
        <v/>
      </c>
      <c r="C16640">
        <f>TEST_DATA!C16640</f>
        <v/>
      </c>
      <c r="D16640">
        <f>TEST_DATA!D16640</f>
        <v/>
      </c>
      <c r="E16640">
        <f>TEST_DATA!E16640</f>
        <v/>
      </c>
    </row>
    <row r="16641">
      <c r="A16641">
        <f>TEST_DATA!A16641</f>
        <v/>
      </c>
      <c r="B16641">
        <f>TEST_DATA!B16641</f>
        <v/>
      </c>
      <c r="C16641">
        <f>TEST_DATA!C16641</f>
        <v/>
      </c>
      <c r="D16641">
        <f>TEST_DATA!D16641</f>
        <v/>
      </c>
      <c r="E16641">
        <f>TEST_DATA!E16641</f>
        <v/>
      </c>
    </row>
    <row r="16642">
      <c r="A16642">
        <f>TEST_DATA!A16642</f>
        <v/>
      </c>
      <c r="B16642">
        <f>TEST_DATA!B16642</f>
        <v/>
      </c>
      <c r="C16642">
        <f>TEST_DATA!C16642</f>
        <v/>
      </c>
      <c r="D16642">
        <f>TEST_DATA!D16642</f>
        <v/>
      </c>
      <c r="E16642">
        <f>TEST_DATA!E16642</f>
        <v/>
      </c>
    </row>
    <row r="16643">
      <c r="A16643">
        <f>TEST_DATA!A16643</f>
        <v/>
      </c>
      <c r="B16643">
        <f>TEST_DATA!B16643</f>
        <v/>
      </c>
      <c r="C16643">
        <f>TEST_DATA!C16643</f>
        <v/>
      </c>
      <c r="D16643">
        <f>TEST_DATA!D16643</f>
        <v/>
      </c>
      <c r="E16643">
        <f>TEST_DATA!E16643</f>
        <v/>
      </c>
    </row>
    <row r="16644">
      <c r="A16644">
        <f>TEST_DATA!A16644</f>
        <v/>
      </c>
      <c r="B16644">
        <f>TEST_DATA!B16644</f>
        <v/>
      </c>
      <c r="C16644">
        <f>TEST_DATA!C16644</f>
        <v/>
      </c>
      <c r="D16644">
        <f>TEST_DATA!D16644</f>
        <v/>
      </c>
      <c r="E16644">
        <f>TEST_DATA!E16644</f>
        <v/>
      </c>
    </row>
    <row r="16645">
      <c r="A16645">
        <f>TEST_DATA!A16645</f>
        <v/>
      </c>
      <c r="B16645">
        <f>TEST_DATA!B16645</f>
        <v/>
      </c>
      <c r="C16645">
        <f>TEST_DATA!C16645</f>
        <v/>
      </c>
      <c r="D16645">
        <f>TEST_DATA!D16645</f>
        <v/>
      </c>
      <c r="E16645">
        <f>TEST_DATA!E16645</f>
        <v/>
      </c>
    </row>
    <row r="16646">
      <c r="A16646">
        <f>TEST_DATA!A16646</f>
        <v/>
      </c>
      <c r="B16646">
        <f>TEST_DATA!B16646</f>
        <v/>
      </c>
      <c r="C16646">
        <f>TEST_DATA!C16646</f>
        <v/>
      </c>
      <c r="D16646">
        <f>TEST_DATA!D16646</f>
        <v/>
      </c>
      <c r="E16646">
        <f>TEST_DATA!E16646</f>
        <v/>
      </c>
    </row>
    <row r="16647">
      <c r="A16647">
        <f>TEST_DATA!A16647</f>
        <v/>
      </c>
      <c r="B16647">
        <f>TEST_DATA!B16647</f>
        <v/>
      </c>
      <c r="C16647">
        <f>TEST_DATA!C16647</f>
        <v/>
      </c>
      <c r="D16647">
        <f>TEST_DATA!D16647</f>
        <v/>
      </c>
      <c r="E16647">
        <f>TEST_DATA!E16647</f>
        <v/>
      </c>
    </row>
    <row r="16648">
      <c r="A16648">
        <f>TEST_DATA!A16648</f>
        <v/>
      </c>
      <c r="B16648">
        <f>TEST_DATA!B16648</f>
        <v/>
      </c>
      <c r="C16648">
        <f>TEST_DATA!C16648</f>
        <v/>
      </c>
      <c r="D16648">
        <f>TEST_DATA!D16648</f>
        <v/>
      </c>
      <c r="E16648">
        <f>TEST_DATA!E16648</f>
        <v/>
      </c>
    </row>
    <row r="16649">
      <c r="A16649">
        <f>TEST_DATA!A16649</f>
        <v/>
      </c>
      <c r="B16649">
        <f>TEST_DATA!B16649</f>
        <v/>
      </c>
      <c r="C16649">
        <f>TEST_DATA!C16649</f>
        <v/>
      </c>
      <c r="D16649">
        <f>TEST_DATA!D16649</f>
        <v/>
      </c>
      <c r="E16649">
        <f>TEST_DATA!E16649</f>
        <v/>
      </c>
    </row>
    <row r="16650">
      <c r="A16650">
        <f>TEST_DATA!A16650</f>
        <v/>
      </c>
      <c r="B16650">
        <f>TEST_DATA!B16650</f>
        <v/>
      </c>
      <c r="C16650">
        <f>TEST_DATA!C16650</f>
        <v/>
      </c>
      <c r="D16650">
        <f>TEST_DATA!D16650</f>
        <v/>
      </c>
      <c r="E16650">
        <f>TEST_DATA!E16650</f>
        <v/>
      </c>
    </row>
    <row r="16651">
      <c r="A16651">
        <f>TEST_DATA!A16651</f>
        <v/>
      </c>
      <c r="B16651">
        <f>TEST_DATA!B16651</f>
        <v/>
      </c>
      <c r="C16651">
        <f>TEST_DATA!C16651</f>
        <v/>
      </c>
      <c r="D16651">
        <f>TEST_DATA!D16651</f>
        <v/>
      </c>
      <c r="E16651">
        <f>TEST_DATA!E16651</f>
        <v/>
      </c>
    </row>
    <row r="16652">
      <c r="A16652">
        <f>TEST_DATA!A16652</f>
        <v/>
      </c>
      <c r="B16652">
        <f>TEST_DATA!B16652</f>
        <v/>
      </c>
      <c r="C16652">
        <f>TEST_DATA!C16652</f>
        <v/>
      </c>
      <c r="D16652">
        <f>TEST_DATA!D16652</f>
        <v/>
      </c>
      <c r="E16652">
        <f>TEST_DATA!E16652</f>
        <v/>
      </c>
    </row>
    <row r="16653">
      <c r="A16653">
        <f>TEST_DATA!A16653</f>
        <v/>
      </c>
      <c r="B16653">
        <f>TEST_DATA!B16653</f>
        <v/>
      </c>
      <c r="C16653">
        <f>TEST_DATA!C16653</f>
        <v/>
      </c>
      <c r="D16653">
        <f>TEST_DATA!D16653</f>
        <v/>
      </c>
      <c r="E16653">
        <f>TEST_DATA!E16653</f>
        <v/>
      </c>
    </row>
    <row r="16654">
      <c r="A16654">
        <f>TEST_DATA!A16654</f>
        <v/>
      </c>
      <c r="B16654">
        <f>TEST_DATA!B16654</f>
        <v/>
      </c>
      <c r="C16654">
        <f>TEST_DATA!C16654</f>
        <v/>
      </c>
      <c r="D16654">
        <f>TEST_DATA!D16654</f>
        <v/>
      </c>
      <c r="E16654">
        <f>TEST_DATA!E16654</f>
        <v/>
      </c>
    </row>
    <row r="16655">
      <c r="A16655">
        <f>TEST_DATA!A16655</f>
        <v/>
      </c>
      <c r="B16655">
        <f>TEST_DATA!B16655</f>
        <v/>
      </c>
      <c r="C16655">
        <f>TEST_DATA!C16655</f>
        <v/>
      </c>
      <c r="D16655">
        <f>TEST_DATA!D16655</f>
        <v/>
      </c>
      <c r="E16655">
        <f>TEST_DATA!E16655</f>
        <v/>
      </c>
    </row>
    <row r="16656">
      <c r="A16656">
        <f>TEST_DATA!A16656</f>
        <v/>
      </c>
      <c r="B16656">
        <f>TEST_DATA!B16656</f>
        <v/>
      </c>
      <c r="C16656">
        <f>TEST_DATA!C16656</f>
        <v/>
      </c>
      <c r="D16656">
        <f>TEST_DATA!D16656</f>
        <v/>
      </c>
      <c r="E16656">
        <f>TEST_DATA!E16656</f>
        <v/>
      </c>
    </row>
    <row r="16657">
      <c r="A16657">
        <f>TEST_DATA!A16657</f>
        <v/>
      </c>
      <c r="B16657">
        <f>TEST_DATA!B16657</f>
        <v/>
      </c>
      <c r="C16657">
        <f>TEST_DATA!C16657</f>
        <v/>
      </c>
      <c r="D16657">
        <f>TEST_DATA!D16657</f>
        <v/>
      </c>
      <c r="E16657">
        <f>TEST_DATA!E16657</f>
        <v/>
      </c>
    </row>
    <row r="16658">
      <c r="A16658">
        <f>TEST_DATA!A16658</f>
        <v/>
      </c>
      <c r="B16658">
        <f>TEST_DATA!B16658</f>
        <v/>
      </c>
      <c r="C16658">
        <f>TEST_DATA!C16658</f>
        <v/>
      </c>
      <c r="D16658">
        <f>TEST_DATA!D16658</f>
        <v/>
      </c>
      <c r="E16658">
        <f>TEST_DATA!E16658</f>
        <v/>
      </c>
    </row>
    <row r="16659">
      <c r="A16659">
        <f>TEST_DATA!A16659</f>
        <v/>
      </c>
      <c r="B16659">
        <f>TEST_DATA!B16659</f>
        <v/>
      </c>
      <c r="C16659">
        <f>TEST_DATA!C16659</f>
        <v/>
      </c>
      <c r="D16659">
        <f>TEST_DATA!D16659</f>
        <v/>
      </c>
      <c r="E16659">
        <f>TEST_DATA!E16659</f>
        <v/>
      </c>
    </row>
    <row r="16660">
      <c r="A16660">
        <f>TEST_DATA!A16660</f>
        <v/>
      </c>
      <c r="B16660">
        <f>TEST_DATA!B16660</f>
        <v/>
      </c>
      <c r="C16660">
        <f>TEST_DATA!C16660</f>
        <v/>
      </c>
      <c r="D16660">
        <f>TEST_DATA!D16660</f>
        <v/>
      </c>
      <c r="E16660">
        <f>TEST_DATA!E16660</f>
        <v/>
      </c>
    </row>
    <row r="16661">
      <c r="A16661">
        <f>TEST_DATA!A16661</f>
        <v/>
      </c>
      <c r="B16661">
        <f>TEST_DATA!B16661</f>
        <v/>
      </c>
      <c r="C16661">
        <f>TEST_DATA!C16661</f>
        <v/>
      </c>
      <c r="D16661">
        <f>TEST_DATA!D16661</f>
        <v/>
      </c>
      <c r="E16661">
        <f>TEST_DATA!E16661</f>
        <v/>
      </c>
    </row>
    <row r="16662">
      <c r="A16662">
        <f>TEST_DATA!A16662</f>
        <v/>
      </c>
      <c r="B16662">
        <f>TEST_DATA!B16662</f>
        <v/>
      </c>
      <c r="C16662">
        <f>TEST_DATA!C16662</f>
        <v/>
      </c>
      <c r="D16662">
        <f>TEST_DATA!D16662</f>
        <v/>
      </c>
      <c r="E16662">
        <f>TEST_DATA!E16662</f>
        <v/>
      </c>
    </row>
    <row r="16663">
      <c r="A16663">
        <f>TEST_DATA!A16663</f>
        <v/>
      </c>
      <c r="B16663">
        <f>TEST_DATA!B16663</f>
        <v/>
      </c>
      <c r="C16663">
        <f>TEST_DATA!C16663</f>
        <v/>
      </c>
      <c r="D16663">
        <f>TEST_DATA!D16663</f>
        <v/>
      </c>
      <c r="E16663">
        <f>TEST_DATA!E16663</f>
        <v/>
      </c>
    </row>
    <row r="16664">
      <c r="A16664">
        <f>TEST_DATA!A16664</f>
        <v/>
      </c>
      <c r="B16664">
        <f>TEST_DATA!B16664</f>
        <v/>
      </c>
      <c r="C16664">
        <f>TEST_DATA!C16664</f>
        <v/>
      </c>
      <c r="D16664">
        <f>TEST_DATA!D16664</f>
        <v/>
      </c>
      <c r="E16664">
        <f>TEST_DATA!E16664</f>
        <v/>
      </c>
    </row>
    <row r="16665">
      <c r="A16665">
        <f>TEST_DATA!A16665</f>
        <v/>
      </c>
      <c r="B16665">
        <f>TEST_DATA!B16665</f>
        <v/>
      </c>
      <c r="C16665">
        <f>TEST_DATA!C16665</f>
        <v/>
      </c>
      <c r="D16665">
        <f>TEST_DATA!D16665</f>
        <v/>
      </c>
      <c r="E16665">
        <f>TEST_DATA!E16665</f>
        <v/>
      </c>
    </row>
    <row r="16666">
      <c r="A16666">
        <f>TEST_DATA!A16666</f>
        <v/>
      </c>
      <c r="B16666">
        <f>TEST_DATA!B16666</f>
        <v/>
      </c>
      <c r="C16666">
        <f>TEST_DATA!C16666</f>
        <v/>
      </c>
      <c r="D16666">
        <f>TEST_DATA!D16666</f>
        <v/>
      </c>
      <c r="E16666">
        <f>TEST_DATA!E16666</f>
        <v/>
      </c>
    </row>
    <row r="16667">
      <c r="A16667">
        <f>TEST_DATA!A16667</f>
        <v/>
      </c>
      <c r="B16667">
        <f>TEST_DATA!B16667</f>
        <v/>
      </c>
      <c r="C16667">
        <f>TEST_DATA!C16667</f>
        <v/>
      </c>
      <c r="D16667">
        <f>TEST_DATA!D16667</f>
        <v/>
      </c>
      <c r="E16667">
        <f>TEST_DATA!E16667</f>
        <v/>
      </c>
    </row>
    <row r="16668">
      <c r="A16668">
        <f>TEST_DATA!A16668</f>
        <v/>
      </c>
      <c r="B16668">
        <f>TEST_DATA!B16668</f>
        <v/>
      </c>
      <c r="C16668">
        <f>TEST_DATA!C16668</f>
        <v/>
      </c>
      <c r="D16668">
        <f>TEST_DATA!D16668</f>
        <v/>
      </c>
      <c r="E16668">
        <f>TEST_DATA!E16668</f>
        <v/>
      </c>
    </row>
    <row r="16669">
      <c r="A16669">
        <f>TEST_DATA!A16669</f>
        <v/>
      </c>
      <c r="B16669">
        <f>TEST_DATA!B16669</f>
        <v/>
      </c>
      <c r="C16669">
        <f>TEST_DATA!C16669</f>
        <v/>
      </c>
      <c r="D16669">
        <f>TEST_DATA!D16669</f>
        <v/>
      </c>
      <c r="E16669">
        <f>TEST_DATA!E16669</f>
        <v/>
      </c>
    </row>
    <row r="16670">
      <c r="A16670">
        <f>TEST_DATA!A16670</f>
        <v/>
      </c>
      <c r="B16670">
        <f>TEST_DATA!B16670</f>
        <v/>
      </c>
      <c r="C16670">
        <f>TEST_DATA!C16670</f>
        <v/>
      </c>
      <c r="D16670">
        <f>TEST_DATA!D16670</f>
        <v/>
      </c>
      <c r="E16670">
        <f>TEST_DATA!E16670</f>
        <v/>
      </c>
    </row>
    <row r="16671">
      <c r="A16671">
        <f>TEST_DATA!A16671</f>
        <v/>
      </c>
      <c r="B16671">
        <f>TEST_DATA!B16671</f>
        <v/>
      </c>
      <c r="C16671">
        <f>TEST_DATA!C16671</f>
        <v/>
      </c>
      <c r="D16671">
        <f>TEST_DATA!D16671</f>
        <v/>
      </c>
      <c r="E16671">
        <f>TEST_DATA!E16671</f>
        <v/>
      </c>
    </row>
    <row r="16672">
      <c r="A16672">
        <f>TEST_DATA!A16672</f>
        <v/>
      </c>
      <c r="B16672">
        <f>TEST_DATA!B16672</f>
        <v/>
      </c>
      <c r="C16672">
        <f>TEST_DATA!C16672</f>
        <v/>
      </c>
      <c r="D16672">
        <f>TEST_DATA!D16672</f>
        <v/>
      </c>
      <c r="E16672">
        <f>TEST_DATA!E16672</f>
        <v/>
      </c>
    </row>
    <row r="16673">
      <c r="A16673">
        <f>TEST_DATA!A16673</f>
        <v/>
      </c>
      <c r="B16673">
        <f>TEST_DATA!B16673</f>
        <v/>
      </c>
      <c r="C16673">
        <f>TEST_DATA!C16673</f>
        <v/>
      </c>
      <c r="D16673">
        <f>TEST_DATA!D16673</f>
        <v/>
      </c>
      <c r="E16673">
        <f>TEST_DATA!E16673</f>
        <v/>
      </c>
    </row>
    <row r="16674">
      <c r="A16674">
        <f>TEST_DATA!A16674</f>
        <v/>
      </c>
      <c r="B16674">
        <f>TEST_DATA!B16674</f>
        <v/>
      </c>
      <c r="C16674">
        <f>TEST_DATA!C16674</f>
        <v/>
      </c>
      <c r="D16674">
        <f>TEST_DATA!D16674</f>
        <v/>
      </c>
      <c r="E16674">
        <f>TEST_DATA!E16674</f>
        <v/>
      </c>
    </row>
    <row r="16675">
      <c r="A16675">
        <f>TEST_DATA!A16675</f>
        <v/>
      </c>
      <c r="B16675">
        <f>TEST_DATA!B16675</f>
        <v/>
      </c>
      <c r="C16675">
        <f>TEST_DATA!C16675</f>
        <v/>
      </c>
      <c r="D16675">
        <f>TEST_DATA!D16675</f>
        <v/>
      </c>
      <c r="E16675">
        <f>TEST_DATA!E16675</f>
        <v/>
      </c>
    </row>
    <row r="16676">
      <c r="A16676">
        <f>TEST_DATA!A16676</f>
        <v/>
      </c>
      <c r="B16676">
        <f>TEST_DATA!B16676</f>
        <v/>
      </c>
      <c r="C16676">
        <f>TEST_DATA!C16676</f>
        <v/>
      </c>
      <c r="D16676">
        <f>TEST_DATA!D16676</f>
        <v/>
      </c>
      <c r="E16676">
        <f>TEST_DATA!E16676</f>
        <v/>
      </c>
    </row>
    <row r="16677">
      <c r="A16677">
        <f>TEST_DATA!A16677</f>
        <v/>
      </c>
      <c r="B16677">
        <f>TEST_DATA!B16677</f>
        <v/>
      </c>
      <c r="C16677">
        <f>TEST_DATA!C16677</f>
        <v/>
      </c>
      <c r="D16677">
        <f>TEST_DATA!D16677</f>
        <v/>
      </c>
      <c r="E16677">
        <f>TEST_DATA!E16677</f>
        <v/>
      </c>
    </row>
    <row r="16678">
      <c r="A16678">
        <f>TEST_DATA!A16678</f>
        <v/>
      </c>
      <c r="B16678">
        <f>TEST_DATA!B16678</f>
        <v/>
      </c>
      <c r="C16678">
        <f>TEST_DATA!C16678</f>
        <v/>
      </c>
      <c r="D16678">
        <f>TEST_DATA!D16678</f>
        <v/>
      </c>
      <c r="E16678">
        <f>TEST_DATA!E16678</f>
        <v/>
      </c>
    </row>
    <row r="16679">
      <c r="A16679">
        <f>TEST_DATA!A16679</f>
        <v/>
      </c>
      <c r="B16679">
        <f>TEST_DATA!B16679</f>
        <v/>
      </c>
      <c r="C16679">
        <f>TEST_DATA!C16679</f>
        <v/>
      </c>
      <c r="D16679">
        <f>TEST_DATA!D16679</f>
        <v/>
      </c>
      <c r="E16679">
        <f>TEST_DATA!E16679</f>
        <v/>
      </c>
    </row>
    <row r="16680">
      <c r="A16680">
        <f>TEST_DATA!A16680</f>
        <v/>
      </c>
      <c r="B16680">
        <f>TEST_DATA!B16680</f>
        <v/>
      </c>
      <c r="C16680">
        <f>TEST_DATA!C16680</f>
        <v/>
      </c>
      <c r="D16680">
        <f>TEST_DATA!D16680</f>
        <v/>
      </c>
      <c r="E16680">
        <f>TEST_DATA!E16680</f>
        <v/>
      </c>
    </row>
    <row r="16681">
      <c r="A16681">
        <f>TEST_DATA!A16681</f>
        <v/>
      </c>
      <c r="B16681">
        <f>TEST_DATA!B16681</f>
        <v/>
      </c>
      <c r="C16681">
        <f>TEST_DATA!C16681</f>
        <v/>
      </c>
      <c r="D16681">
        <f>TEST_DATA!D16681</f>
        <v/>
      </c>
      <c r="E16681">
        <f>TEST_DATA!E16681</f>
        <v/>
      </c>
    </row>
    <row r="16682">
      <c r="A16682">
        <f>TEST_DATA!A16682</f>
        <v/>
      </c>
      <c r="B16682">
        <f>TEST_DATA!B16682</f>
        <v/>
      </c>
      <c r="C16682">
        <f>TEST_DATA!C16682</f>
        <v/>
      </c>
      <c r="D16682">
        <f>TEST_DATA!D16682</f>
        <v/>
      </c>
      <c r="E16682">
        <f>TEST_DATA!E16682</f>
        <v/>
      </c>
    </row>
    <row r="16683">
      <c r="A16683">
        <f>TEST_DATA!A16683</f>
        <v/>
      </c>
      <c r="B16683">
        <f>TEST_DATA!B16683</f>
        <v/>
      </c>
      <c r="C16683">
        <f>TEST_DATA!C16683</f>
        <v/>
      </c>
      <c r="D16683">
        <f>TEST_DATA!D16683</f>
        <v/>
      </c>
      <c r="E16683">
        <f>TEST_DATA!E16683</f>
        <v/>
      </c>
    </row>
    <row r="16684">
      <c r="A16684">
        <f>TEST_DATA!A16684</f>
        <v/>
      </c>
      <c r="B16684">
        <f>TEST_DATA!B16684</f>
        <v/>
      </c>
      <c r="C16684">
        <f>TEST_DATA!C16684</f>
        <v/>
      </c>
      <c r="D16684">
        <f>TEST_DATA!D16684</f>
        <v/>
      </c>
      <c r="E16684">
        <f>TEST_DATA!E16684</f>
        <v/>
      </c>
    </row>
    <row r="16685">
      <c r="A16685">
        <f>TEST_DATA!A16685</f>
        <v/>
      </c>
      <c r="B16685">
        <f>TEST_DATA!B16685</f>
        <v/>
      </c>
      <c r="C16685">
        <f>TEST_DATA!C16685</f>
        <v/>
      </c>
      <c r="D16685">
        <f>TEST_DATA!D16685</f>
        <v/>
      </c>
      <c r="E16685">
        <f>TEST_DATA!E16685</f>
        <v/>
      </c>
    </row>
    <row r="16686">
      <c r="A16686">
        <f>TEST_DATA!A16686</f>
        <v/>
      </c>
      <c r="B16686">
        <f>TEST_DATA!B16686</f>
        <v/>
      </c>
      <c r="C16686">
        <f>TEST_DATA!C16686</f>
        <v/>
      </c>
      <c r="D16686">
        <f>TEST_DATA!D16686</f>
        <v/>
      </c>
      <c r="E16686">
        <f>TEST_DATA!E16686</f>
        <v/>
      </c>
    </row>
    <row r="16687">
      <c r="A16687">
        <f>TEST_DATA!A16687</f>
        <v/>
      </c>
      <c r="B16687">
        <f>TEST_DATA!B16687</f>
        <v/>
      </c>
      <c r="C16687">
        <f>TEST_DATA!C16687</f>
        <v/>
      </c>
      <c r="D16687">
        <f>TEST_DATA!D16687</f>
        <v/>
      </c>
      <c r="E16687">
        <f>TEST_DATA!E16687</f>
        <v/>
      </c>
    </row>
    <row r="16688">
      <c r="A16688">
        <f>TEST_DATA!A16688</f>
        <v/>
      </c>
      <c r="B16688">
        <f>TEST_DATA!B16688</f>
        <v/>
      </c>
      <c r="C16688">
        <f>TEST_DATA!C16688</f>
        <v/>
      </c>
      <c r="D16688">
        <f>TEST_DATA!D16688</f>
        <v/>
      </c>
      <c r="E16688">
        <f>TEST_DATA!E16688</f>
        <v/>
      </c>
    </row>
    <row r="16689">
      <c r="A16689">
        <f>TEST_DATA!A16689</f>
        <v/>
      </c>
      <c r="B16689">
        <f>TEST_DATA!B16689</f>
        <v/>
      </c>
      <c r="C16689">
        <f>TEST_DATA!C16689</f>
        <v/>
      </c>
      <c r="D16689">
        <f>TEST_DATA!D16689</f>
        <v/>
      </c>
      <c r="E16689">
        <f>TEST_DATA!E16689</f>
        <v/>
      </c>
    </row>
    <row r="16690">
      <c r="A16690">
        <f>TEST_DATA!A16690</f>
        <v/>
      </c>
      <c r="B16690">
        <f>TEST_DATA!B16690</f>
        <v/>
      </c>
      <c r="C16690">
        <f>TEST_DATA!C16690</f>
        <v/>
      </c>
      <c r="D16690">
        <f>TEST_DATA!D16690</f>
        <v/>
      </c>
      <c r="E16690">
        <f>TEST_DATA!E16690</f>
        <v/>
      </c>
    </row>
    <row r="16691">
      <c r="A16691">
        <f>TEST_DATA!A16691</f>
        <v/>
      </c>
      <c r="B16691">
        <f>TEST_DATA!B16691</f>
        <v/>
      </c>
      <c r="C16691">
        <f>TEST_DATA!C16691</f>
        <v/>
      </c>
      <c r="D16691">
        <f>TEST_DATA!D16691</f>
        <v/>
      </c>
      <c r="E16691">
        <f>TEST_DATA!E16691</f>
        <v/>
      </c>
    </row>
    <row r="16692">
      <c r="A16692">
        <f>TEST_DATA!A16692</f>
        <v/>
      </c>
      <c r="B16692">
        <f>TEST_DATA!B16692</f>
        <v/>
      </c>
      <c r="C16692">
        <f>TEST_DATA!C16692</f>
        <v/>
      </c>
      <c r="D16692">
        <f>TEST_DATA!D16692</f>
        <v/>
      </c>
      <c r="E16692">
        <f>TEST_DATA!E16692</f>
        <v/>
      </c>
    </row>
    <row r="16693">
      <c r="A16693">
        <f>TEST_DATA!A16693</f>
        <v/>
      </c>
      <c r="B16693">
        <f>TEST_DATA!B16693</f>
        <v/>
      </c>
      <c r="C16693">
        <f>TEST_DATA!C16693</f>
        <v/>
      </c>
      <c r="D16693">
        <f>TEST_DATA!D16693</f>
        <v/>
      </c>
      <c r="E16693">
        <f>TEST_DATA!E16693</f>
        <v/>
      </c>
    </row>
    <row r="16694">
      <c r="A16694">
        <f>TEST_DATA!A16694</f>
        <v/>
      </c>
      <c r="B16694">
        <f>TEST_DATA!B16694</f>
        <v/>
      </c>
      <c r="C16694">
        <f>TEST_DATA!C16694</f>
        <v/>
      </c>
      <c r="D16694">
        <f>TEST_DATA!D16694</f>
        <v/>
      </c>
      <c r="E16694">
        <f>TEST_DATA!E16694</f>
        <v/>
      </c>
    </row>
    <row r="16695">
      <c r="A16695">
        <f>TEST_DATA!A16695</f>
        <v/>
      </c>
      <c r="B16695">
        <f>TEST_DATA!B16695</f>
        <v/>
      </c>
      <c r="C16695">
        <f>TEST_DATA!C16695</f>
        <v/>
      </c>
      <c r="D16695">
        <f>TEST_DATA!D16695</f>
        <v/>
      </c>
      <c r="E16695">
        <f>TEST_DATA!E16695</f>
        <v/>
      </c>
    </row>
    <row r="16696">
      <c r="A16696">
        <f>TEST_DATA!A16696</f>
        <v/>
      </c>
      <c r="B16696">
        <f>TEST_DATA!B16696</f>
        <v/>
      </c>
      <c r="C16696">
        <f>TEST_DATA!C16696</f>
        <v/>
      </c>
      <c r="D16696">
        <f>TEST_DATA!D16696</f>
        <v/>
      </c>
      <c r="E16696">
        <f>TEST_DATA!E16696</f>
        <v/>
      </c>
    </row>
    <row r="16697">
      <c r="A16697">
        <f>TEST_DATA!A16697</f>
        <v/>
      </c>
      <c r="B16697">
        <f>TEST_DATA!B16697</f>
        <v/>
      </c>
      <c r="C16697">
        <f>TEST_DATA!C16697</f>
        <v/>
      </c>
      <c r="D16697">
        <f>TEST_DATA!D16697</f>
        <v/>
      </c>
      <c r="E16697">
        <f>TEST_DATA!E16697</f>
        <v/>
      </c>
    </row>
    <row r="16698">
      <c r="A16698">
        <f>TEST_DATA!A16698</f>
        <v/>
      </c>
      <c r="B16698">
        <f>TEST_DATA!B16698</f>
        <v/>
      </c>
      <c r="C16698">
        <f>TEST_DATA!C16698</f>
        <v/>
      </c>
      <c r="D16698">
        <f>TEST_DATA!D16698</f>
        <v/>
      </c>
      <c r="E16698">
        <f>TEST_DATA!E16698</f>
        <v/>
      </c>
    </row>
    <row r="16699">
      <c r="A16699">
        <f>TEST_DATA!A16699</f>
        <v/>
      </c>
      <c r="B16699">
        <f>TEST_DATA!B16699</f>
        <v/>
      </c>
      <c r="C16699">
        <f>TEST_DATA!C16699</f>
        <v/>
      </c>
      <c r="D16699">
        <f>TEST_DATA!D16699</f>
        <v/>
      </c>
      <c r="E16699">
        <f>TEST_DATA!E16699</f>
        <v/>
      </c>
    </row>
    <row r="16700">
      <c r="A16700">
        <f>TEST_DATA!A16700</f>
        <v/>
      </c>
      <c r="B16700">
        <f>TEST_DATA!B16700</f>
        <v/>
      </c>
      <c r="C16700">
        <f>TEST_DATA!C16700</f>
        <v/>
      </c>
      <c r="D16700">
        <f>TEST_DATA!D16700</f>
        <v/>
      </c>
      <c r="E16700">
        <f>TEST_DATA!E16700</f>
        <v/>
      </c>
    </row>
    <row r="16701">
      <c r="A16701">
        <f>TEST_DATA!A16701</f>
        <v/>
      </c>
      <c r="B16701">
        <f>TEST_DATA!B16701</f>
        <v/>
      </c>
      <c r="C16701">
        <f>TEST_DATA!C16701</f>
        <v/>
      </c>
      <c r="D16701">
        <f>TEST_DATA!D16701</f>
        <v/>
      </c>
      <c r="E16701">
        <f>TEST_DATA!E16701</f>
        <v/>
      </c>
    </row>
    <row r="16702">
      <c r="A16702">
        <f>TEST_DATA!A16702</f>
        <v/>
      </c>
      <c r="B16702">
        <f>TEST_DATA!B16702</f>
        <v/>
      </c>
      <c r="C16702">
        <f>TEST_DATA!C16702</f>
        <v/>
      </c>
      <c r="D16702">
        <f>TEST_DATA!D16702</f>
        <v/>
      </c>
      <c r="E16702">
        <f>TEST_DATA!E16702</f>
        <v/>
      </c>
    </row>
    <row r="16703">
      <c r="A16703">
        <f>TEST_DATA!A16703</f>
        <v/>
      </c>
      <c r="B16703">
        <f>TEST_DATA!B16703</f>
        <v/>
      </c>
      <c r="C16703">
        <f>TEST_DATA!C16703</f>
        <v/>
      </c>
      <c r="D16703">
        <f>TEST_DATA!D16703</f>
        <v/>
      </c>
      <c r="E16703">
        <f>TEST_DATA!E16703</f>
        <v/>
      </c>
    </row>
    <row r="16704">
      <c r="A16704">
        <f>TEST_DATA!A16704</f>
        <v/>
      </c>
      <c r="B16704">
        <f>TEST_DATA!B16704</f>
        <v/>
      </c>
      <c r="C16704">
        <f>TEST_DATA!C16704</f>
        <v/>
      </c>
      <c r="D16704">
        <f>TEST_DATA!D16704</f>
        <v/>
      </c>
      <c r="E16704">
        <f>TEST_DATA!E16704</f>
        <v/>
      </c>
    </row>
    <row r="16705">
      <c r="A16705">
        <f>TEST_DATA!A16705</f>
        <v/>
      </c>
      <c r="B16705">
        <f>TEST_DATA!B16705</f>
        <v/>
      </c>
      <c r="C16705">
        <f>TEST_DATA!C16705</f>
        <v/>
      </c>
      <c r="D16705">
        <f>TEST_DATA!D16705</f>
        <v/>
      </c>
      <c r="E16705">
        <f>TEST_DATA!E16705</f>
        <v/>
      </c>
    </row>
    <row r="16706">
      <c r="A16706">
        <f>TEST_DATA!A16706</f>
        <v/>
      </c>
      <c r="B16706">
        <f>TEST_DATA!B16706</f>
        <v/>
      </c>
      <c r="C16706">
        <f>TEST_DATA!C16706</f>
        <v/>
      </c>
      <c r="D16706">
        <f>TEST_DATA!D16706</f>
        <v/>
      </c>
      <c r="E16706">
        <f>TEST_DATA!E16706</f>
        <v/>
      </c>
    </row>
    <row r="16707">
      <c r="A16707">
        <f>TEST_DATA!A16707</f>
        <v/>
      </c>
      <c r="B16707">
        <f>TEST_DATA!B16707</f>
        <v/>
      </c>
      <c r="C16707">
        <f>TEST_DATA!C16707</f>
        <v/>
      </c>
      <c r="D16707">
        <f>TEST_DATA!D16707</f>
        <v/>
      </c>
      <c r="E16707">
        <f>TEST_DATA!E16707</f>
        <v/>
      </c>
    </row>
    <row r="16708">
      <c r="A16708">
        <f>TEST_DATA!A16708</f>
        <v/>
      </c>
      <c r="B16708">
        <f>TEST_DATA!B16708</f>
        <v/>
      </c>
      <c r="C16708">
        <f>TEST_DATA!C16708</f>
        <v/>
      </c>
      <c r="D16708">
        <f>TEST_DATA!D16708</f>
        <v/>
      </c>
      <c r="E16708">
        <f>TEST_DATA!E16708</f>
        <v/>
      </c>
    </row>
    <row r="16709">
      <c r="A16709">
        <f>TEST_DATA!A16709</f>
        <v/>
      </c>
      <c r="B16709">
        <f>TEST_DATA!B16709</f>
        <v/>
      </c>
      <c r="C16709">
        <f>TEST_DATA!C16709</f>
        <v/>
      </c>
      <c r="D16709">
        <f>TEST_DATA!D16709</f>
        <v/>
      </c>
      <c r="E16709">
        <f>TEST_DATA!E16709</f>
        <v/>
      </c>
    </row>
    <row r="16710">
      <c r="A16710">
        <f>TEST_DATA!A16710</f>
        <v/>
      </c>
      <c r="B16710">
        <f>TEST_DATA!B16710</f>
        <v/>
      </c>
      <c r="C16710">
        <f>TEST_DATA!C16710</f>
        <v/>
      </c>
      <c r="D16710">
        <f>TEST_DATA!D16710</f>
        <v/>
      </c>
      <c r="E16710">
        <f>TEST_DATA!E16710</f>
        <v/>
      </c>
    </row>
    <row r="16711">
      <c r="A16711">
        <f>TEST_DATA!A16711</f>
        <v/>
      </c>
      <c r="B16711">
        <f>TEST_DATA!B16711</f>
        <v/>
      </c>
      <c r="C16711">
        <f>TEST_DATA!C16711</f>
        <v/>
      </c>
      <c r="D16711">
        <f>TEST_DATA!D16711</f>
        <v/>
      </c>
      <c r="E16711">
        <f>TEST_DATA!E16711</f>
        <v/>
      </c>
    </row>
    <row r="16712">
      <c r="A16712">
        <f>TEST_DATA!A16712</f>
        <v/>
      </c>
      <c r="B16712">
        <f>TEST_DATA!B16712</f>
        <v/>
      </c>
      <c r="C16712">
        <f>TEST_DATA!C16712</f>
        <v/>
      </c>
      <c r="D16712">
        <f>TEST_DATA!D16712</f>
        <v/>
      </c>
      <c r="E16712">
        <f>TEST_DATA!E16712</f>
        <v/>
      </c>
    </row>
    <row r="16713">
      <c r="A16713">
        <f>TEST_DATA!A16713</f>
        <v/>
      </c>
      <c r="B16713">
        <f>TEST_DATA!B16713</f>
        <v/>
      </c>
      <c r="C16713">
        <f>TEST_DATA!C16713</f>
        <v/>
      </c>
      <c r="D16713">
        <f>TEST_DATA!D16713</f>
        <v/>
      </c>
      <c r="E16713">
        <f>TEST_DATA!E16713</f>
        <v/>
      </c>
    </row>
    <row r="16714">
      <c r="A16714">
        <f>TEST_DATA!A16714</f>
        <v/>
      </c>
      <c r="B16714">
        <f>TEST_DATA!B16714</f>
        <v/>
      </c>
      <c r="C16714">
        <f>TEST_DATA!C16714</f>
        <v/>
      </c>
      <c r="D16714">
        <f>TEST_DATA!D16714</f>
        <v/>
      </c>
      <c r="E16714">
        <f>TEST_DATA!E16714</f>
        <v/>
      </c>
    </row>
    <row r="16715">
      <c r="A16715">
        <f>TEST_DATA!A16715</f>
        <v/>
      </c>
      <c r="B16715">
        <f>TEST_DATA!B16715</f>
        <v/>
      </c>
      <c r="C16715">
        <f>TEST_DATA!C16715</f>
        <v/>
      </c>
      <c r="D16715">
        <f>TEST_DATA!D16715</f>
        <v/>
      </c>
      <c r="E16715">
        <f>TEST_DATA!E16715</f>
        <v/>
      </c>
    </row>
    <row r="16716">
      <c r="A16716">
        <f>TEST_DATA!A16716</f>
        <v/>
      </c>
      <c r="B16716">
        <f>TEST_DATA!B16716</f>
        <v/>
      </c>
      <c r="C16716">
        <f>TEST_DATA!C16716</f>
        <v/>
      </c>
      <c r="D16716">
        <f>TEST_DATA!D16716</f>
        <v/>
      </c>
      <c r="E16716">
        <f>TEST_DATA!E16716</f>
        <v/>
      </c>
    </row>
    <row r="16717">
      <c r="A16717">
        <f>TEST_DATA!A16717</f>
        <v/>
      </c>
      <c r="B16717">
        <f>TEST_DATA!B16717</f>
        <v/>
      </c>
      <c r="C16717">
        <f>TEST_DATA!C16717</f>
        <v/>
      </c>
      <c r="D16717">
        <f>TEST_DATA!D16717</f>
        <v/>
      </c>
      <c r="E16717">
        <f>TEST_DATA!E16717</f>
        <v/>
      </c>
    </row>
    <row r="16718">
      <c r="A16718">
        <f>TEST_DATA!A16718</f>
        <v/>
      </c>
      <c r="B16718">
        <f>TEST_DATA!B16718</f>
        <v/>
      </c>
      <c r="C16718">
        <f>TEST_DATA!C16718</f>
        <v/>
      </c>
      <c r="D16718">
        <f>TEST_DATA!D16718</f>
        <v/>
      </c>
      <c r="E16718">
        <f>TEST_DATA!E16718</f>
        <v/>
      </c>
    </row>
    <row r="16719">
      <c r="A16719">
        <f>TEST_DATA!A16719</f>
        <v/>
      </c>
      <c r="B16719">
        <f>TEST_DATA!B16719</f>
        <v/>
      </c>
      <c r="C16719">
        <f>TEST_DATA!C16719</f>
        <v/>
      </c>
      <c r="D16719">
        <f>TEST_DATA!D16719</f>
        <v/>
      </c>
      <c r="E16719">
        <f>TEST_DATA!E16719</f>
        <v/>
      </c>
    </row>
    <row r="16720">
      <c r="A16720">
        <f>TEST_DATA!A16720</f>
        <v/>
      </c>
      <c r="B16720">
        <f>TEST_DATA!B16720</f>
        <v/>
      </c>
      <c r="C16720">
        <f>TEST_DATA!C16720</f>
        <v/>
      </c>
      <c r="D16720">
        <f>TEST_DATA!D16720</f>
        <v/>
      </c>
      <c r="E16720">
        <f>TEST_DATA!E16720</f>
        <v/>
      </c>
    </row>
    <row r="16721">
      <c r="A16721">
        <f>TEST_DATA!A16721</f>
        <v/>
      </c>
      <c r="B16721">
        <f>TEST_DATA!B16721</f>
        <v/>
      </c>
      <c r="C16721">
        <f>TEST_DATA!C16721</f>
        <v/>
      </c>
      <c r="D16721">
        <f>TEST_DATA!D16721</f>
        <v/>
      </c>
      <c r="E16721">
        <f>TEST_DATA!E16721</f>
        <v/>
      </c>
    </row>
    <row r="16722">
      <c r="A16722">
        <f>TEST_DATA!A16722</f>
        <v/>
      </c>
      <c r="B16722">
        <f>TEST_DATA!B16722</f>
        <v/>
      </c>
      <c r="C16722">
        <f>TEST_DATA!C16722</f>
        <v/>
      </c>
      <c r="D16722">
        <f>TEST_DATA!D16722</f>
        <v/>
      </c>
      <c r="E16722">
        <f>TEST_DATA!E16722</f>
        <v/>
      </c>
    </row>
    <row r="16723">
      <c r="A16723">
        <f>TEST_DATA!A16723</f>
        <v/>
      </c>
      <c r="B16723">
        <f>TEST_DATA!B16723</f>
        <v/>
      </c>
      <c r="C16723">
        <f>TEST_DATA!C16723</f>
        <v/>
      </c>
      <c r="D16723">
        <f>TEST_DATA!D16723</f>
        <v/>
      </c>
      <c r="E16723">
        <f>TEST_DATA!E16723</f>
        <v/>
      </c>
    </row>
    <row r="16724">
      <c r="A16724">
        <f>TEST_DATA!A16724</f>
        <v/>
      </c>
      <c r="B16724">
        <f>TEST_DATA!B16724</f>
        <v/>
      </c>
      <c r="C16724">
        <f>TEST_DATA!C16724</f>
        <v/>
      </c>
      <c r="D16724">
        <f>TEST_DATA!D16724</f>
        <v/>
      </c>
      <c r="E16724">
        <f>TEST_DATA!E16724</f>
        <v/>
      </c>
    </row>
    <row r="16725">
      <c r="A16725">
        <f>TEST_DATA!A16725</f>
        <v/>
      </c>
      <c r="B16725">
        <f>TEST_DATA!B16725</f>
        <v/>
      </c>
      <c r="C16725">
        <f>TEST_DATA!C16725</f>
        <v/>
      </c>
      <c r="D16725">
        <f>TEST_DATA!D16725</f>
        <v/>
      </c>
      <c r="E16725">
        <f>TEST_DATA!E16725</f>
        <v/>
      </c>
    </row>
    <row r="16726">
      <c r="A16726">
        <f>TEST_DATA!A16726</f>
        <v/>
      </c>
      <c r="B16726">
        <f>TEST_DATA!B16726</f>
        <v/>
      </c>
      <c r="C16726">
        <f>TEST_DATA!C16726</f>
        <v/>
      </c>
      <c r="D16726">
        <f>TEST_DATA!D16726</f>
        <v/>
      </c>
      <c r="E16726">
        <f>TEST_DATA!E16726</f>
        <v/>
      </c>
    </row>
    <row r="16727">
      <c r="A16727">
        <f>TEST_DATA!A16727</f>
        <v/>
      </c>
      <c r="B16727">
        <f>TEST_DATA!B16727</f>
        <v/>
      </c>
      <c r="C16727">
        <f>TEST_DATA!C16727</f>
        <v/>
      </c>
      <c r="D16727">
        <f>TEST_DATA!D16727</f>
        <v/>
      </c>
      <c r="E16727">
        <f>TEST_DATA!E16727</f>
        <v/>
      </c>
    </row>
    <row r="16728">
      <c r="A16728">
        <f>TEST_DATA!A16728</f>
        <v/>
      </c>
      <c r="B16728">
        <f>TEST_DATA!B16728</f>
        <v/>
      </c>
      <c r="C16728">
        <f>TEST_DATA!C16728</f>
        <v/>
      </c>
      <c r="D16728">
        <f>TEST_DATA!D16728</f>
        <v/>
      </c>
      <c r="E16728">
        <f>TEST_DATA!E16728</f>
        <v/>
      </c>
    </row>
    <row r="16729">
      <c r="A16729">
        <f>TEST_DATA!A16729</f>
        <v/>
      </c>
      <c r="B16729">
        <f>TEST_DATA!B16729</f>
        <v/>
      </c>
      <c r="C16729">
        <f>TEST_DATA!C16729</f>
        <v/>
      </c>
      <c r="D16729">
        <f>TEST_DATA!D16729</f>
        <v/>
      </c>
      <c r="E16729">
        <f>TEST_DATA!E16729</f>
        <v/>
      </c>
    </row>
    <row r="16730">
      <c r="A16730">
        <f>TEST_DATA!A16730</f>
        <v/>
      </c>
      <c r="B16730">
        <f>TEST_DATA!B16730</f>
        <v/>
      </c>
      <c r="C16730">
        <f>TEST_DATA!C16730</f>
        <v/>
      </c>
      <c r="D16730">
        <f>TEST_DATA!D16730</f>
        <v/>
      </c>
      <c r="E16730">
        <f>TEST_DATA!E16730</f>
        <v/>
      </c>
    </row>
    <row r="16731">
      <c r="A16731">
        <f>TEST_DATA!A16731</f>
        <v/>
      </c>
      <c r="B16731">
        <f>TEST_DATA!B16731</f>
        <v/>
      </c>
      <c r="C16731">
        <f>TEST_DATA!C16731</f>
        <v/>
      </c>
      <c r="D16731">
        <f>TEST_DATA!D16731</f>
        <v/>
      </c>
      <c r="E16731">
        <f>TEST_DATA!E16731</f>
        <v/>
      </c>
    </row>
    <row r="16732">
      <c r="A16732">
        <f>TEST_DATA!A16732</f>
        <v/>
      </c>
      <c r="B16732">
        <f>TEST_DATA!B16732</f>
        <v/>
      </c>
      <c r="C16732">
        <f>TEST_DATA!C16732</f>
        <v/>
      </c>
      <c r="D16732">
        <f>TEST_DATA!D16732</f>
        <v/>
      </c>
      <c r="E16732">
        <f>TEST_DATA!E16732</f>
        <v/>
      </c>
    </row>
    <row r="16733">
      <c r="A16733">
        <f>TEST_DATA!A16733</f>
        <v/>
      </c>
      <c r="B16733">
        <f>TEST_DATA!B16733</f>
        <v/>
      </c>
      <c r="C16733">
        <f>TEST_DATA!C16733</f>
        <v/>
      </c>
      <c r="D16733">
        <f>TEST_DATA!D16733</f>
        <v/>
      </c>
      <c r="E16733">
        <f>TEST_DATA!E16733</f>
        <v/>
      </c>
    </row>
    <row r="16734">
      <c r="A16734">
        <f>TEST_DATA!A16734</f>
        <v/>
      </c>
      <c r="B16734">
        <f>TEST_DATA!B16734</f>
        <v/>
      </c>
      <c r="C16734">
        <f>TEST_DATA!C16734</f>
        <v/>
      </c>
      <c r="D16734">
        <f>TEST_DATA!D16734</f>
        <v/>
      </c>
      <c r="E16734">
        <f>TEST_DATA!E16734</f>
        <v/>
      </c>
    </row>
    <row r="16735">
      <c r="A16735">
        <f>TEST_DATA!A16735</f>
        <v/>
      </c>
      <c r="B16735">
        <f>TEST_DATA!B16735</f>
        <v/>
      </c>
      <c r="C16735">
        <f>TEST_DATA!C16735</f>
        <v/>
      </c>
      <c r="D16735">
        <f>TEST_DATA!D16735</f>
        <v/>
      </c>
      <c r="E16735">
        <f>TEST_DATA!E16735</f>
        <v/>
      </c>
    </row>
    <row r="16736">
      <c r="A16736">
        <f>TEST_DATA!A16736</f>
        <v/>
      </c>
      <c r="B16736">
        <f>TEST_DATA!B16736</f>
        <v/>
      </c>
      <c r="C16736">
        <f>TEST_DATA!C16736</f>
        <v/>
      </c>
      <c r="D16736">
        <f>TEST_DATA!D16736</f>
        <v/>
      </c>
      <c r="E16736">
        <f>TEST_DATA!E16736</f>
        <v/>
      </c>
    </row>
    <row r="16737">
      <c r="A16737">
        <f>TEST_DATA!A16737</f>
        <v/>
      </c>
      <c r="B16737">
        <f>TEST_DATA!B16737</f>
        <v/>
      </c>
      <c r="C16737">
        <f>TEST_DATA!C16737</f>
        <v/>
      </c>
      <c r="D16737">
        <f>TEST_DATA!D16737</f>
        <v/>
      </c>
      <c r="E16737">
        <f>TEST_DATA!E16737</f>
        <v/>
      </c>
    </row>
    <row r="16738">
      <c r="A16738">
        <f>TEST_DATA!A16738</f>
        <v/>
      </c>
      <c r="B16738">
        <f>TEST_DATA!B16738</f>
        <v/>
      </c>
      <c r="C16738">
        <f>TEST_DATA!C16738</f>
        <v/>
      </c>
      <c r="D16738">
        <f>TEST_DATA!D16738</f>
        <v/>
      </c>
      <c r="E16738">
        <f>TEST_DATA!E16738</f>
        <v/>
      </c>
    </row>
    <row r="16739">
      <c r="A16739">
        <f>TEST_DATA!A16739</f>
        <v/>
      </c>
      <c r="B16739">
        <f>TEST_DATA!B16739</f>
        <v/>
      </c>
      <c r="C16739">
        <f>TEST_DATA!C16739</f>
        <v/>
      </c>
      <c r="D16739">
        <f>TEST_DATA!D16739</f>
        <v/>
      </c>
      <c r="E16739">
        <f>TEST_DATA!E16739</f>
        <v/>
      </c>
    </row>
    <row r="16740">
      <c r="A16740">
        <f>TEST_DATA!A16740</f>
        <v/>
      </c>
      <c r="B16740">
        <f>TEST_DATA!B16740</f>
        <v/>
      </c>
      <c r="C16740">
        <f>TEST_DATA!C16740</f>
        <v/>
      </c>
      <c r="D16740">
        <f>TEST_DATA!D16740</f>
        <v/>
      </c>
      <c r="E16740">
        <f>TEST_DATA!E16740</f>
        <v/>
      </c>
    </row>
    <row r="16741">
      <c r="A16741">
        <f>TEST_DATA!A16741</f>
        <v/>
      </c>
      <c r="B16741">
        <f>TEST_DATA!B16741</f>
        <v/>
      </c>
      <c r="C16741">
        <f>TEST_DATA!C16741</f>
        <v/>
      </c>
      <c r="D16741">
        <f>TEST_DATA!D16741</f>
        <v/>
      </c>
      <c r="E16741">
        <f>TEST_DATA!E16741</f>
        <v/>
      </c>
    </row>
    <row r="16742">
      <c r="A16742">
        <f>TEST_DATA!A16742</f>
        <v/>
      </c>
      <c r="B16742">
        <f>TEST_DATA!B16742</f>
        <v/>
      </c>
      <c r="C16742">
        <f>TEST_DATA!C16742</f>
        <v/>
      </c>
      <c r="D16742">
        <f>TEST_DATA!D16742</f>
        <v/>
      </c>
      <c r="E16742">
        <f>TEST_DATA!E16742</f>
        <v/>
      </c>
    </row>
    <row r="16743">
      <c r="A16743">
        <f>TEST_DATA!A16743</f>
        <v/>
      </c>
      <c r="B16743">
        <f>TEST_DATA!B16743</f>
        <v/>
      </c>
      <c r="C16743">
        <f>TEST_DATA!C16743</f>
        <v/>
      </c>
      <c r="D16743">
        <f>TEST_DATA!D16743</f>
        <v/>
      </c>
      <c r="E16743">
        <f>TEST_DATA!E16743</f>
        <v/>
      </c>
    </row>
    <row r="16744">
      <c r="A16744">
        <f>TEST_DATA!A16744</f>
        <v/>
      </c>
      <c r="B16744">
        <f>TEST_DATA!B16744</f>
        <v/>
      </c>
      <c r="C16744">
        <f>TEST_DATA!C16744</f>
        <v/>
      </c>
      <c r="D16744">
        <f>TEST_DATA!D16744</f>
        <v/>
      </c>
      <c r="E16744">
        <f>TEST_DATA!E16744</f>
        <v/>
      </c>
    </row>
    <row r="16745">
      <c r="A16745">
        <f>TEST_DATA!A16745</f>
        <v/>
      </c>
      <c r="B16745">
        <f>TEST_DATA!B16745</f>
        <v/>
      </c>
      <c r="C16745">
        <f>TEST_DATA!C16745</f>
        <v/>
      </c>
      <c r="D16745">
        <f>TEST_DATA!D16745</f>
        <v/>
      </c>
      <c r="E16745">
        <f>TEST_DATA!E16745</f>
        <v/>
      </c>
    </row>
    <row r="16746">
      <c r="A16746">
        <f>TEST_DATA!A16746</f>
        <v/>
      </c>
      <c r="B16746">
        <f>TEST_DATA!B16746</f>
        <v/>
      </c>
      <c r="C16746">
        <f>TEST_DATA!C16746</f>
        <v/>
      </c>
      <c r="D16746">
        <f>TEST_DATA!D16746</f>
        <v/>
      </c>
      <c r="E16746">
        <f>TEST_DATA!E16746</f>
        <v/>
      </c>
    </row>
    <row r="16747">
      <c r="A16747">
        <f>TEST_DATA!A16747</f>
        <v/>
      </c>
      <c r="B16747">
        <f>TEST_DATA!B16747</f>
        <v/>
      </c>
      <c r="C16747">
        <f>TEST_DATA!C16747</f>
        <v/>
      </c>
      <c r="D16747">
        <f>TEST_DATA!D16747</f>
        <v/>
      </c>
      <c r="E16747">
        <f>TEST_DATA!E16747</f>
        <v/>
      </c>
    </row>
    <row r="16748">
      <c r="A16748">
        <f>TEST_DATA!A16748</f>
        <v/>
      </c>
      <c r="B16748">
        <f>TEST_DATA!B16748</f>
        <v/>
      </c>
      <c r="C16748">
        <f>TEST_DATA!C16748</f>
        <v/>
      </c>
      <c r="D16748">
        <f>TEST_DATA!D16748</f>
        <v/>
      </c>
      <c r="E16748">
        <f>TEST_DATA!E16748</f>
        <v/>
      </c>
    </row>
    <row r="16749">
      <c r="A16749">
        <f>TEST_DATA!A16749</f>
        <v/>
      </c>
      <c r="B16749">
        <f>TEST_DATA!B16749</f>
        <v/>
      </c>
      <c r="C16749">
        <f>TEST_DATA!C16749</f>
        <v/>
      </c>
      <c r="D16749">
        <f>TEST_DATA!D16749</f>
        <v/>
      </c>
      <c r="E16749">
        <f>TEST_DATA!E16749</f>
        <v/>
      </c>
    </row>
    <row r="16750">
      <c r="A16750">
        <f>TEST_DATA!A16750</f>
        <v/>
      </c>
      <c r="B16750">
        <f>TEST_DATA!B16750</f>
        <v/>
      </c>
      <c r="C16750">
        <f>TEST_DATA!C16750</f>
        <v/>
      </c>
      <c r="D16750">
        <f>TEST_DATA!D16750</f>
        <v/>
      </c>
      <c r="E16750">
        <f>TEST_DATA!E16750</f>
        <v/>
      </c>
    </row>
    <row r="16751">
      <c r="A16751">
        <f>TEST_DATA!A16751</f>
        <v/>
      </c>
      <c r="B16751">
        <f>TEST_DATA!B16751</f>
        <v/>
      </c>
      <c r="C16751">
        <f>TEST_DATA!C16751</f>
        <v/>
      </c>
      <c r="D16751">
        <f>TEST_DATA!D16751</f>
        <v/>
      </c>
      <c r="E16751">
        <f>TEST_DATA!E16751</f>
        <v/>
      </c>
    </row>
    <row r="16752">
      <c r="A16752">
        <f>TEST_DATA!A16752</f>
        <v/>
      </c>
      <c r="B16752">
        <f>TEST_DATA!B16752</f>
        <v/>
      </c>
      <c r="C16752">
        <f>TEST_DATA!C16752</f>
        <v/>
      </c>
      <c r="D16752">
        <f>TEST_DATA!D16752</f>
        <v/>
      </c>
      <c r="E16752">
        <f>TEST_DATA!E16752</f>
        <v/>
      </c>
    </row>
    <row r="16753">
      <c r="A16753">
        <f>TEST_DATA!A16753</f>
        <v/>
      </c>
      <c r="B16753">
        <f>TEST_DATA!B16753</f>
        <v/>
      </c>
      <c r="C16753">
        <f>TEST_DATA!C16753</f>
        <v/>
      </c>
      <c r="D16753">
        <f>TEST_DATA!D16753</f>
        <v/>
      </c>
      <c r="E16753">
        <f>TEST_DATA!E16753</f>
        <v/>
      </c>
    </row>
    <row r="16754">
      <c r="A16754">
        <f>TEST_DATA!A16754</f>
        <v/>
      </c>
      <c r="B16754">
        <f>TEST_DATA!B16754</f>
        <v/>
      </c>
      <c r="C16754">
        <f>TEST_DATA!C16754</f>
        <v/>
      </c>
      <c r="D16754">
        <f>TEST_DATA!D16754</f>
        <v/>
      </c>
      <c r="E16754">
        <f>TEST_DATA!E16754</f>
        <v/>
      </c>
    </row>
    <row r="16755">
      <c r="A16755">
        <f>TEST_DATA!A16755</f>
        <v/>
      </c>
      <c r="B16755">
        <f>TEST_DATA!B16755</f>
        <v/>
      </c>
      <c r="C16755">
        <f>TEST_DATA!C16755</f>
        <v/>
      </c>
      <c r="D16755">
        <f>TEST_DATA!D16755</f>
        <v/>
      </c>
      <c r="E16755">
        <f>TEST_DATA!E16755</f>
        <v/>
      </c>
    </row>
    <row r="16756">
      <c r="A16756">
        <f>TEST_DATA!A16756</f>
        <v/>
      </c>
      <c r="B16756">
        <f>TEST_DATA!B16756</f>
        <v/>
      </c>
      <c r="C16756">
        <f>TEST_DATA!C16756</f>
        <v/>
      </c>
      <c r="D16756">
        <f>TEST_DATA!D16756</f>
        <v/>
      </c>
      <c r="E16756">
        <f>TEST_DATA!E16756</f>
        <v/>
      </c>
    </row>
    <row r="16757">
      <c r="A16757">
        <f>TEST_DATA!A16757</f>
        <v/>
      </c>
      <c r="B16757">
        <f>TEST_DATA!B16757</f>
        <v/>
      </c>
      <c r="C16757">
        <f>TEST_DATA!C16757</f>
        <v/>
      </c>
      <c r="D16757">
        <f>TEST_DATA!D16757</f>
        <v/>
      </c>
      <c r="E16757">
        <f>TEST_DATA!E16757</f>
        <v/>
      </c>
    </row>
    <row r="16758">
      <c r="A16758">
        <f>TEST_DATA!A16758</f>
        <v/>
      </c>
      <c r="B16758">
        <f>TEST_DATA!B16758</f>
        <v/>
      </c>
      <c r="C16758">
        <f>TEST_DATA!C16758</f>
        <v/>
      </c>
      <c r="D16758">
        <f>TEST_DATA!D16758</f>
        <v/>
      </c>
      <c r="E16758">
        <f>TEST_DATA!E16758</f>
        <v/>
      </c>
    </row>
    <row r="16759">
      <c r="A16759">
        <f>TEST_DATA!A16759</f>
        <v/>
      </c>
      <c r="B16759">
        <f>TEST_DATA!B16759</f>
        <v/>
      </c>
      <c r="C16759">
        <f>TEST_DATA!C16759</f>
        <v/>
      </c>
      <c r="D16759">
        <f>TEST_DATA!D16759</f>
        <v/>
      </c>
      <c r="E16759">
        <f>TEST_DATA!E16759</f>
        <v/>
      </c>
    </row>
    <row r="16760">
      <c r="A16760">
        <f>TEST_DATA!A16760</f>
        <v/>
      </c>
      <c r="B16760">
        <f>TEST_DATA!B16760</f>
        <v/>
      </c>
      <c r="C16760">
        <f>TEST_DATA!C16760</f>
        <v/>
      </c>
      <c r="D16760">
        <f>TEST_DATA!D16760</f>
        <v/>
      </c>
      <c r="E16760">
        <f>TEST_DATA!E16760</f>
        <v/>
      </c>
    </row>
    <row r="16761">
      <c r="A16761">
        <f>TEST_DATA!A16761</f>
        <v/>
      </c>
      <c r="B16761">
        <f>TEST_DATA!B16761</f>
        <v/>
      </c>
      <c r="C16761">
        <f>TEST_DATA!C16761</f>
        <v/>
      </c>
      <c r="D16761">
        <f>TEST_DATA!D16761</f>
        <v/>
      </c>
      <c r="E16761">
        <f>TEST_DATA!E16761</f>
        <v/>
      </c>
    </row>
    <row r="16762">
      <c r="A16762">
        <f>TEST_DATA!A16762</f>
        <v/>
      </c>
      <c r="B16762">
        <f>TEST_DATA!B16762</f>
        <v/>
      </c>
      <c r="C16762">
        <f>TEST_DATA!C16762</f>
        <v/>
      </c>
      <c r="D16762">
        <f>TEST_DATA!D16762</f>
        <v/>
      </c>
      <c r="E16762">
        <f>TEST_DATA!E16762</f>
        <v/>
      </c>
    </row>
    <row r="16763">
      <c r="A16763">
        <f>TEST_DATA!A16763</f>
        <v/>
      </c>
      <c r="B16763">
        <f>TEST_DATA!B16763</f>
        <v/>
      </c>
      <c r="C16763">
        <f>TEST_DATA!C16763</f>
        <v/>
      </c>
      <c r="D16763">
        <f>TEST_DATA!D16763</f>
        <v/>
      </c>
      <c r="E16763">
        <f>TEST_DATA!E16763</f>
        <v/>
      </c>
    </row>
    <row r="16764">
      <c r="A16764">
        <f>TEST_DATA!A16764</f>
        <v/>
      </c>
      <c r="B16764">
        <f>TEST_DATA!B16764</f>
        <v/>
      </c>
      <c r="C16764">
        <f>TEST_DATA!C16764</f>
        <v/>
      </c>
      <c r="D16764">
        <f>TEST_DATA!D16764</f>
        <v/>
      </c>
      <c r="E16764">
        <f>TEST_DATA!E16764</f>
        <v/>
      </c>
    </row>
    <row r="16765">
      <c r="A16765">
        <f>TEST_DATA!A16765</f>
        <v/>
      </c>
      <c r="B16765">
        <f>TEST_DATA!B16765</f>
        <v/>
      </c>
      <c r="C16765">
        <f>TEST_DATA!C16765</f>
        <v/>
      </c>
      <c r="D16765">
        <f>TEST_DATA!D16765</f>
        <v/>
      </c>
      <c r="E16765">
        <f>TEST_DATA!E16765</f>
        <v/>
      </c>
    </row>
    <row r="16766">
      <c r="A16766">
        <f>TEST_DATA!A16766</f>
        <v/>
      </c>
      <c r="B16766">
        <f>TEST_DATA!B16766</f>
        <v/>
      </c>
      <c r="C16766">
        <f>TEST_DATA!C16766</f>
        <v/>
      </c>
      <c r="D16766">
        <f>TEST_DATA!D16766</f>
        <v/>
      </c>
      <c r="E16766">
        <f>TEST_DATA!E16766</f>
        <v/>
      </c>
    </row>
    <row r="16767">
      <c r="A16767">
        <f>TEST_DATA!A16767</f>
        <v/>
      </c>
      <c r="B16767">
        <f>TEST_DATA!B16767</f>
        <v/>
      </c>
      <c r="C16767">
        <f>TEST_DATA!C16767</f>
        <v/>
      </c>
      <c r="D16767">
        <f>TEST_DATA!D16767</f>
        <v/>
      </c>
      <c r="E16767">
        <f>TEST_DATA!E16767</f>
        <v/>
      </c>
    </row>
    <row r="16768">
      <c r="A16768">
        <f>TEST_DATA!A16768</f>
        <v/>
      </c>
      <c r="B16768">
        <f>TEST_DATA!B16768</f>
        <v/>
      </c>
      <c r="C16768">
        <f>TEST_DATA!C16768</f>
        <v/>
      </c>
      <c r="D16768">
        <f>TEST_DATA!D16768</f>
        <v/>
      </c>
      <c r="E16768">
        <f>TEST_DATA!E16768</f>
        <v/>
      </c>
    </row>
    <row r="16769">
      <c r="A16769">
        <f>TEST_DATA!A16769</f>
        <v/>
      </c>
      <c r="B16769">
        <f>TEST_DATA!B16769</f>
        <v/>
      </c>
      <c r="C16769">
        <f>TEST_DATA!C16769</f>
        <v/>
      </c>
      <c r="D16769">
        <f>TEST_DATA!D16769</f>
        <v/>
      </c>
      <c r="E16769">
        <f>TEST_DATA!E16769</f>
        <v/>
      </c>
    </row>
    <row r="16770">
      <c r="A16770">
        <f>TEST_DATA!A16770</f>
        <v/>
      </c>
      <c r="B16770">
        <f>TEST_DATA!B16770</f>
        <v/>
      </c>
      <c r="C16770">
        <f>TEST_DATA!C16770</f>
        <v/>
      </c>
      <c r="D16770">
        <f>TEST_DATA!D16770</f>
        <v/>
      </c>
      <c r="E16770">
        <f>TEST_DATA!E16770</f>
        <v/>
      </c>
    </row>
    <row r="16771">
      <c r="A16771">
        <f>TEST_DATA!A16771</f>
        <v/>
      </c>
      <c r="B16771">
        <f>TEST_DATA!B16771</f>
        <v/>
      </c>
      <c r="C16771">
        <f>TEST_DATA!C16771</f>
        <v/>
      </c>
      <c r="D16771">
        <f>TEST_DATA!D16771</f>
        <v/>
      </c>
      <c r="E16771">
        <f>TEST_DATA!E16771</f>
        <v/>
      </c>
    </row>
    <row r="16772">
      <c r="A16772">
        <f>TEST_DATA!A16772</f>
        <v/>
      </c>
      <c r="B16772">
        <f>TEST_DATA!B16772</f>
        <v/>
      </c>
      <c r="C16772">
        <f>TEST_DATA!C16772</f>
        <v/>
      </c>
      <c r="D16772">
        <f>TEST_DATA!D16772</f>
        <v/>
      </c>
      <c r="E16772">
        <f>TEST_DATA!E16772</f>
        <v/>
      </c>
    </row>
    <row r="16773">
      <c r="A16773">
        <f>TEST_DATA!A16773</f>
        <v/>
      </c>
      <c r="B16773">
        <f>TEST_DATA!B16773</f>
        <v/>
      </c>
      <c r="C16773">
        <f>TEST_DATA!C16773</f>
        <v/>
      </c>
      <c r="D16773">
        <f>TEST_DATA!D16773</f>
        <v/>
      </c>
      <c r="E16773">
        <f>TEST_DATA!E16773</f>
        <v/>
      </c>
    </row>
    <row r="16774">
      <c r="A16774">
        <f>TEST_DATA!A16774</f>
        <v/>
      </c>
      <c r="B16774">
        <f>TEST_DATA!B16774</f>
        <v/>
      </c>
      <c r="C16774">
        <f>TEST_DATA!C16774</f>
        <v/>
      </c>
      <c r="D16774">
        <f>TEST_DATA!D16774</f>
        <v/>
      </c>
      <c r="E16774">
        <f>TEST_DATA!E16774</f>
        <v/>
      </c>
    </row>
    <row r="16775">
      <c r="A16775">
        <f>TEST_DATA!A16775</f>
        <v/>
      </c>
      <c r="B16775">
        <f>TEST_DATA!B16775</f>
        <v/>
      </c>
      <c r="C16775">
        <f>TEST_DATA!C16775</f>
        <v/>
      </c>
      <c r="D16775">
        <f>TEST_DATA!D16775</f>
        <v/>
      </c>
      <c r="E16775">
        <f>TEST_DATA!E16775</f>
        <v/>
      </c>
    </row>
    <row r="16776">
      <c r="A16776">
        <f>TEST_DATA!A16776</f>
        <v/>
      </c>
      <c r="B16776">
        <f>TEST_DATA!B16776</f>
        <v/>
      </c>
      <c r="C16776">
        <f>TEST_DATA!C16776</f>
        <v/>
      </c>
      <c r="D16776">
        <f>TEST_DATA!D16776</f>
        <v/>
      </c>
      <c r="E16776">
        <f>TEST_DATA!E16776</f>
        <v/>
      </c>
    </row>
    <row r="16777">
      <c r="A16777">
        <f>TEST_DATA!A16777</f>
        <v/>
      </c>
      <c r="B16777">
        <f>TEST_DATA!B16777</f>
        <v/>
      </c>
      <c r="C16777">
        <f>TEST_DATA!C16777</f>
        <v/>
      </c>
      <c r="D16777">
        <f>TEST_DATA!D16777</f>
        <v/>
      </c>
      <c r="E16777">
        <f>TEST_DATA!E16777</f>
        <v/>
      </c>
    </row>
    <row r="16778">
      <c r="A16778">
        <f>TEST_DATA!A16778</f>
        <v/>
      </c>
      <c r="B16778">
        <f>TEST_DATA!B16778</f>
        <v/>
      </c>
      <c r="C16778">
        <f>TEST_DATA!C16778</f>
        <v/>
      </c>
      <c r="D16778">
        <f>TEST_DATA!D16778</f>
        <v/>
      </c>
      <c r="E16778">
        <f>TEST_DATA!E16778</f>
        <v/>
      </c>
    </row>
    <row r="16779">
      <c r="A16779">
        <f>TEST_DATA!A16779</f>
        <v/>
      </c>
      <c r="B16779">
        <f>TEST_DATA!B16779</f>
        <v/>
      </c>
      <c r="C16779">
        <f>TEST_DATA!C16779</f>
        <v/>
      </c>
      <c r="D16779">
        <f>TEST_DATA!D16779</f>
        <v/>
      </c>
      <c r="E16779">
        <f>TEST_DATA!E16779</f>
        <v/>
      </c>
    </row>
    <row r="16780">
      <c r="A16780">
        <f>TEST_DATA!A16780</f>
        <v/>
      </c>
      <c r="B16780">
        <f>TEST_DATA!B16780</f>
        <v/>
      </c>
      <c r="C16780">
        <f>TEST_DATA!C16780</f>
        <v/>
      </c>
      <c r="D16780">
        <f>TEST_DATA!D16780</f>
        <v/>
      </c>
      <c r="E16780">
        <f>TEST_DATA!E16780</f>
        <v/>
      </c>
    </row>
    <row r="16781">
      <c r="A16781">
        <f>TEST_DATA!A16781</f>
        <v/>
      </c>
      <c r="B16781">
        <f>TEST_DATA!B16781</f>
        <v/>
      </c>
      <c r="C16781">
        <f>TEST_DATA!C16781</f>
        <v/>
      </c>
      <c r="D16781">
        <f>TEST_DATA!D16781</f>
        <v/>
      </c>
      <c r="E16781">
        <f>TEST_DATA!E16781</f>
        <v/>
      </c>
    </row>
    <row r="16782">
      <c r="A16782">
        <f>TEST_DATA!A16782</f>
        <v/>
      </c>
      <c r="B16782">
        <f>TEST_DATA!B16782</f>
        <v/>
      </c>
      <c r="C16782">
        <f>TEST_DATA!C16782</f>
        <v/>
      </c>
      <c r="D16782">
        <f>TEST_DATA!D16782</f>
        <v/>
      </c>
      <c r="E16782">
        <f>TEST_DATA!E16782</f>
        <v/>
      </c>
    </row>
    <row r="16783">
      <c r="A16783">
        <f>TEST_DATA!A16783</f>
        <v/>
      </c>
      <c r="B16783">
        <f>TEST_DATA!B16783</f>
        <v/>
      </c>
      <c r="C16783">
        <f>TEST_DATA!C16783</f>
        <v/>
      </c>
      <c r="D16783">
        <f>TEST_DATA!D16783</f>
        <v/>
      </c>
      <c r="E16783">
        <f>TEST_DATA!E16783</f>
        <v/>
      </c>
    </row>
    <row r="16784">
      <c r="A16784">
        <f>TEST_DATA!A16784</f>
        <v/>
      </c>
      <c r="B16784">
        <f>TEST_DATA!B16784</f>
        <v/>
      </c>
      <c r="C16784">
        <f>TEST_DATA!C16784</f>
        <v/>
      </c>
      <c r="D16784">
        <f>TEST_DATA!D16784</f>
        <v/>
      </c>
      <c r="E16784">
        <f>TEST_DATA!E16784</f>
        <v/>
      </c>
    </row>
    <row r="16785">
      <c r="A16785">
        <f>TEST_DATA!A16785</f>
        <v/>
      </c>
      <c r="B16785">
        <f>TEST_DATA!B16785</f>
        <v/>
      </c>
      <c r="C16785">
        <f>TEST_DATA!C16785</f>
        <v/>
      </c>
      <c r="D16785">
        <f>TEST_DATA!D16785</f>
        <v/>
      </c>
      <c r="E16785">
        <f>TEST_DATA!E16785</f>
        <v/>
      </c>
    </row>
    <row r="16786">
      <c r="A16786">
        <f>TEST_DATA!A16786</f>
        <v/>
      </c>
      <c r="B16786">
        <f>TEST_DATA!B16786</f>
        <v/>
      </c>
      <c r="C16786">
        <f>TEST_DATA!C16786</f>
        <v/>
      </c>
      <c r="D16786">
        <f>TEST_DATA!D16786</f>
        <v/>
      </c>
      <c r="E16786">
        <f>TEST_DATA!E16786</f>
        <v/>
      </c>
    </row>
    <row r="16787">
      <c r="A16787">
        <f>TEST_DATA!A16787</f>
        <v/>
      </c>
      <c r="B16787">
        <f>TEST_DATA!B16787</f>
        <v/>
      </c>
      <c r="C16787">
        <f>TEST_DATA!C16787</f>
        <v/>
      </c>
      <c r="D16787">
        <f>TEST_DATA!D16787</f>
        <v/>
      </c>
      <c r="E16787">
        <f>TEST_DATA!E16787</f>
        <v/>
      </c>
    </row>
    <row r="16788">
      <c r="A16788">
        <f>TEST_DATA!A16788</f>
        <v/>
      </c>
      <c r="B16788">
        <f>TEST_DATA!B16788</f>
        <v/>
      </c>
      <c r="C16788">
        <f>TEST_DATA!C16788</f>
        <v/>
      </c>
      <c r="D16788">
        <f>TEST_DATA!D16788</f>
        <v/>
      </c>
      <c r="E16788">
        <f>TEST_DATA!E16788</f>
        <v/>
      </c>
    </row>
    <row r="16789">
      <c r="A16789">
        <f>TEST_DATA!A16789</f>
        <v/>
      </c>
      <c r="B16789">
        <f>TEST_DATA!B16789</f>
        <v/>
      </c>
      <c r="C16789">
        <f>TEST_DATA!C16789</f>
        <v/>
      </c>
      <c r="D16789">
        <f>TEST_DATA!D16789</f>
        <v/>
      </c>
      <c r="E16789">
        <f>TEST_DATA!E16789</f>
        <v/>
      </c>
    </row>
    <row r="16790">
      <c r="A16790">
        <f>TEST_DATA!A16790</f>
        <v/>
      </c>
      <c r="B16790">
        <f>TEST_DATA!B16790</f>
        <v/>
      </c>
      <c r="C16790">
        <f>TEST_DATA!C16790</f>
        <v/>
      </c>
      <c r="D16790">
        <f>TEST_DATA!D16790</f>
        <v/>
      </c>
      <c r="E16790">
        <f>TEST_DATA!E16790</f>
        <v/>
      </c>
    </row>
    <row r="16791">
      <c r="A16791">
        <f>TEST_DATA!A16791</f>
        <v/>
      </c>
      <c r="B16791">
        <f>TEST_DATA!B16791</f>
        <v/>
      </c>
      <c r="C16791">
        <f>TEST_DATA!C16791</f>
        <v/>
      </c>
      <c r="D16791">
        <f>TEST_DATA!D16791</f>
        <v/>
      </c>
      <c r="E16791">
        <f>TEST_DATA!E16791</f>
        <v/>
      </c>
    </row>
    <row r="16792">
      <c r="A16792">
        <f>TEST_DATA!A16792</f>
        <v/>
      </c>
      <c r="B16792">
        <f>TEST_DATA!B16792</f>
        <v/>
      </c>
      <c r="C16792">
        <f>TEST_DATA!C16792</f>
        <v/>
      </c>
      <c r="D16792">
        <f>TEST_DATA!D16792</f>
        <v/>
      </c>
      <c r="E16792">
        <f>TEST_DATA!E16792</f>
        <v/>
      </c>
    </row>
    <row r="16793">
      <c r="A16793">
        <f>TEST_DATA!A16793</f>
        <v/>
      </c>
      <c r="B16793">
        <f>TEST_DATA!B16793</f>
        <v/>
      </c>
      <c r="C16793">
        <f>TEST_DATA!C16793</f>
        <v/>
      </c>
      <c r="D16793">
        <f>TEST_DATA!D16793</f>
        <v/>
      </c>
      <c r="E16793">
        <f>TEST_DATA!E16793</f>
        <v/>
      </c>
    </row>
    <row r="16794">
      <c r="A16794">
        <f>TEST_DATA!A16794</f>
        <v/>
      </c>
      <c r="B16794">
        <f>TEST_DATA!B16794</f>
        <v/>
      </c>
      <c r="C16794">
        <f>TEST_DATA!C16794</f>
        <v/>
      </c>
      <c r="D16794">
        <f>TEST_DATA!D16794</f>
        <v/>
      </c>
      <c r="E16794">
        <f>TEST_DATA!E16794</f>
        <v/>
      </c>
    </row>
    <row r="16795">
      <c r="A16795">
        <f>TEST_DATA!A16795</f>
        <v/>
      </c>
      <c r="B16795">
        <f>TEST_DATA!B16795</f>
        <v/>
      </c>
      <c r="C16795">
        <f>TEST_DATA!C16795</f>
        <v/>
      </c>
      <c r="D16795">
        <f>TEST_DATA!D16795</f>
        <v/>
      </c>
      <c r="E16795">
        <f>TEST_DATA!E16795</f>
        <v/>
      </c>
    </row>
    <row r="16796">
      <c r="A16796">
        <f>TEST_DATA!A16796</f>
        <v/>
      </c>
      <c r="B16796">
        <f>TEST_DATA!B16796</f>
        <v/>
      </c>
      <c r="C16796">
        <f>TEST_DATA!C16796</f>
        <v/>
      </c>
      <c r="D16796">
        <f>TEST_DATA!D16796</f>
        <v/>
      </c>
      <c r="E16796">
        <f>TEST_DATA!E16796</f>
        <v/>
      </c>
    </row>
    <row r="16797">
      <c r="A16797">
        <f>TEST_DATA!A16797</f>
        <v/>
      </c>
      <c r="B16797">
        <f>TEST_DATA!B16797</f>
        <v/>
      </c>
      <c r="C16797">
        <f>TEST_DATA!C16797</f>
        <v/>
      </c>
      <c r="D16797">
        <f>TEST_DATA!D16797</f>
        <v/>
      </c>
      <c r="E16797">
        <f>TEST_DATA!E16797</f>
        <v/>
      </c>
    </row>
    <row r="16798">
      <c r="A16798">
        <f>TEST_DATA!A16798</f>
        <v/>
      </c>
      <c r="B16798">
        <f>TEST_DATA!B16798</f>
        <v/>
      </c>
      <c r="C16798">
        <f>TEST_DATA!C16798</f>
        <v/>
      </c>
      <c r="D16798">
        <f>TEST_DATA!D16798</f>
        <v/>
      </c>
      <c r="E16798">
        <f>TEST_DATA!E16798</f>
        <v/>
      </c>
    </row>
    <row r="16799">
      <c r="A16799">
        <f>TEST_DATA!A16799</f>
        <v/>
      </c>
      <c r="B16799">
        <f>TEST_DATA!B16799</f>
        <v/>
      </c>
      <c r="C16799">
        <f>TEST_DATA!C16799</f>
        <v/>
      </c>
      <c r="D16799">
        <f>TEST_DATA!D16799</f>
        <v/>
      </c>
      <c r="E16799">
        <f>TEST_DATA!E16799</f>
        <v/>
      </c>
    </row>
    <row r="16800">
      <c r="A16800">
        <f>TEST_DATA!A16800</f>
        <v/>
      </c>
      <c r="B16800">
        <f>TEST_DATA!B16800</f>
        <v/>
      </c>
      <c r="C16800">
        <f>TEST_DATA!C16800</f>
        <v/>
      </c>
      <c r="D16800">
        <f>TEST_DATA!D16800</f>
        <v/>
      </c>
      <c r="E16800">
        <f>TEST_DATA!E16800</f>
        <v/>
      </c>
    </row>
    <row r="16801">
      <c r="A16801">
        <f>TEST_DATA!A16801</f>
        <v/>
      </c>
      <c r="B16801">
        <f>TEST_DATA!B16801</f>
        <v/>
      </c>
      <c r="C16801">
        <f>TEST_DATA!C16801</f>
        <v/>
      </c>
      <c r="D16801">
        <f>TEST_DATA!D16801</f>
        <v/>
      </c>
      <c r="E16801">
        <f>TEST_DATA!E16801</f>
        <v/>
      </c>
    </row>
    <row r="16802">
      <c r="A16802">
        <f>TEST_DATA!A16802</f>
        <v/>
      </c>
      <c r="B16802">
        <f>TEST_DATA!B16802</f>
        <v/>
      </c>
      <c r="C16802">
        <f>TEST_DATA!C16802</f>
        <v/>
      </c>
      <c r="D16802">
        <f>TEST_DATA!D16802</f>
        <v/>
      </c>
      <c r="E16802">
        <f>TEST_DATA!E16802</f>
        <v/>
      </c>
    </row>
    <row r="16803">
      <c r="A16803">
        <f>TEST_DATA!A16803</f>
        <v/>
      </c>
      <c r="B16803">
        <f>TEST_DATA!B16803</f>
        <v/>
      </c>
      <c r="C16803">
        <f>TEST_DATA!C16803</f>
        <v/>
      </c>
      <c r="D16803">
        <f>TEST_DATA!D16803</f>
        <v/>
      </c>
      <c r="E16803">
        <f>TEST_DATA!E16803</f>
        <v/>
      </c>
    </row>
    <row r="16804">
      <c r="A16804">
        <f>TEST_DATA!A16804</f>
        <v/>
      </c>
      <c r="B16804">
        <f>TEST_DATA!B16804</f>
        <v/>
      </c>
      <c r="C16804">
        <f>TEST_DATA!C16804</f>
        <v/>
      </c>
      <c r="D16804">
        <f>TEST_DATA!D16804</f>
        <v/>
      </c>
      <c r="E16804">
        <f>TEST_DATA!E16804</f>
        <v/>
      </c>
    </row>
    <row r="16805">
      <c r="A16805">
        <f>TEST_DATA!A16805</f>
        <v/>
      </c>
      <c r="B16805">
        <f>TEST_DATA!B16805</f>
        <v/>
      </c>
      <c r="C16805">
        <f>TEST_DATA!C16805</f>
        <v/>
      </c>
      <c r="D16805">
        <f>TEST_DATA!D16805</f>
        <v/>
      </c>
      <c r="E16805">
        <f>TEST_DATA!E16805</f>
        <v/>
      </c>
    </row>
    <row r="16806">
      <c r="A16806">
        <f>TEST_DATA!A16806</f>
        <v/>
      </c>
      <c r="B16806">
        <f>TEST_DATA!B16806</f>
        <v/>
      </c>
      <c r="C16806">
        <f>TEST_DATA!C16806</f>
        <v/>
      </c>
      <c r="D16806">
        <f>TEST_DATA!D16806</f>
        <v/>
      </c>
      <c r="E16806">
        <f>TEST_DATA!E16806</f>
        <v/>
      </c>
    </row>
    <row r="16807">
      <c r="A16807">
        <f>TEST_DATA!A16807</f>
        <v/>
      </c>
      <c r="B16807">
        <f>TEST_DATA!B16807</f>
        <v/>
      </c>
      <c r="C16807">
        <f>TEST_DATA!C16807</f>
        <v/>
      </c>
      <c r="D16807">
        <f>TEST_DATA!D16807</f>
        <v/>
      </c>
      <c r="E16807">
        <f>TEST_DATA!E16807</f>
        <v/>
      </c>
    </row>
    <row r="16808">
      <c r="A16808">
        <f>TEST_DATA!A16808</f>
        <v/>
      </c>
      <c r="B16808">
        <f>TEST_DATA!B16808</f>
        <v/>
      </c>
      <c r="C16808">
        <f>TEST_DATA!C16808</f>
        <v/>
      </c>
      <c r="D16808">
        <f>TEST_DATA!D16808</f>
        <v/>
      </c>
      <c r="E16808">
        <f>TEST_DATA!E16808</f>
        <v/>
      </c>
    </row>
    <row r="16809">
      <c r="A16809">
        <f>TEST_DATA!A16809</f>
        <v/>
      </c>
      <c r="B16809">
        <f>TEST_DATA!B16809</f>
        <v/>
      </c>
      <c r="C16809">
        <f>TEST_DATA!C16809</f>
        <v/>
      </c>
      <c r="D16809">
        <f>TEST_DATA!D16809</f>
        <v/>
      </c>
      <c r="E16809">
        <f>TEST_DATA!E16809</f>
        <v/>
      </c>
    </row>
    <row r="16810">
      <c r="A16810">
        <f>TEST_DATA!A16810</f>
        <v/>
      </c>
      <c r="B16810">
        <f>TEST_DATA!B16810</f>
        <v/>
      </c>
      <c r="C16810">
        <f>TEST_DATA!C16810</f>
        <v/>
      </c>
      <c r="D16810">
        <f>TEST_DATA!D16810</f>
        <v/>
      </c>
      <c r="E16810">
        <f>TEST_DATA!E16810</f>
        <v/>
      </c>
    </row>
    <row r="16811">
      <c r="A16811">
        <f>TEST_DATA!A16811</f>
        <v/>
      </c>
      <c r="B16811">
        <f>TEST_DATA!B16811</f>
        <v/>
      </c>
      <c r="C16811">
        <f>TEST_DATA!C16811</f>
        <v/>
      </c>
      <c r="D16811">
        <f>TEST_DATA!D16811</f>
        <v/>
      </c>
      <c r="E16811">
        <f>TEST_DATA!E16811</f>
        <v/>
      </c>
    </row>
    <row r="16812">
      <c r="A16812">
        <f>TEST_DATA!A16812</f>
        <v/>
      </c>
      <c r="B16812">
        <f>TEST_DATA!B16812</f>
        <v/>
      </c>
      <c r="C16812">
        <f>TEST_DATA!C16812</f>
        <v/>
      </c>
      <c r="D16812">
        <f>TEST_DATA!D16812</f>
        <v/>
      </c>
      <c r="E16812">
        <f>TEST_DATA!E16812</f>
        <v/>
      </c>
    </row>
    <row r="16813">
      <c r="A16813">
        <f>TEST_DATA!A16813</f>
        <v/>
      </c>
      <c r="B16813">
        <f>TEST_DATA!B16813</f>
        <v/>
      </c>
      <c r="C16813">
        <f>TEST_DATA!C16813</f>
        <v/>
      </c>
      <c r="D16813">
        <f>TEST_DATA!D16813</f>
        <v/>
      </c>
      <c r="E16813">
        <f>TEST_DATA!E16813</f>
        <v/>
      </c>
    </row>
    <row r="16814">
      <c r="A16814">
        <f>TEST_DATA!A16814</f>
        <v/>
      </c>
      <c r="B16814">
        <f>TEST_DATA!B16814</f>
        <v/>
      </c>
      <c r="C16814">
        <f>TEST_DATA!C16814</f>
        <v/>
      </c>
      <c r="D16814">
        <f>TEST_DATA!D16814</f>
        <v/>
      </c>
      <c r="E16814">
        <f>TEST_DATA!E16814</f>
        <v/>
      </c>
    </row>
    <row r="16815">
      <c r="A16815">
        <f>TEST_DATA!A16815</f>
        <v/>
      </c>
      <c r="B16815">
        <f>TEST_DATA!B16815</f>
        <v/>
      </c>
      <c r="C16815">
        <f>TEST_DATA!C16815</f>
        <v/>
      </c>
      <c r="D16815">
        <f>TEST_DATA!D16815</f>
        <v/>
      </c>
      <c r="E16815">
        <f>TEST_DATA!E16815</f>
        <v/>
      </c>
    </row>
    <row r="16816">
      <c r="A16816">
        <f>TEST_DATA!A16816</f>
        <v/>
      </c>
      <c r="B16816">
        <f>TEST_DATA!B16816</f>
        <v/>
      </c>
      <c r="C16816">
        <f>TEST_DATA!C16816</f>
        <v/>
      </c>
      <c r="D16816">
        <f>TEST_DATA!D16816</f>
        <v/>
      </c>
      <c r="E16816">
        <f>TEST_DATA!E16816</f>
        <v/>
      </c>
    </row>
    <row r="16817">
      <c r="A16817">
        <f>TEST_DATA!A16817</f>
        <v/>
      </c>
      <c r="B16817">
        <f>TEST_DATA!B16817</f>
        <v/>
      </c>
      <c r="C16817">
        <f>TEST_DATA!C16817</f>
        <v/>
      </c>
      <c r="D16817">
        <f>TEST_DATA!D16817</f>
        <v/>
      </c>
      <c r="E16817">
        <f>TEST_DATA!E16817</f>
        <v/>
      </c>
    </row>
    <row r="16818">
      <c r="A16818">
        <f>TEST_DATA!A16818</f>
        <v/>
      </c>
      <c r="B16818">
        <f>TEST_DATA!B16818</f>
        <v/>
      </c>
      <c r="C16818">
        <f>TEST_DATA!C16818</f>
        <v/>
      </c>
      <c r="D16818">
        <f>TEST_DATA!D16818</f>
        <v/>
      </c>
      <c r="E16818">
        <f>TEST_DATA!E16818</f>
        <v/>
      </c>
    </row>
    <row r="16819">
      <c r="A16819">
        <f>TEST_DATA!A16819</f>
        <v/>
      </c>
      <c r="B16819">
        <f>TEST_DATA!B16819</f>
        <v/>
      </c>
      <c r="C16819">
        <f>TEST_DATA!C16819</f>
        <v/>
      </c>
      <c r="D16819">
        <f>TEST_DATA!D16819</f>
        <v/>
      </c>
      <c r="E16819">
        <f>TEST_DATA!E16819</f>
        <v/>
      </c>
    </row>
    <row r="16820">
      <c r="A16820">
        <f>TEST_DATA!A16820</f>
        <v/>
      </c>
      <c r="B16820">
        <f>TEST_DATA!B16820</f>
        <v/>
      </c>
      <c r="C16820">
        <f>TEST_DATA!C16820</f>
        <v/>
      </c>
      <c r="D16820">
        <f>TEST_DATA!D16820</f>
        <v/>
      </c>
      <c r="E16820">
        <f>TEST_DATA!E16820</f>
        <v/>
      </c>
    </row>
    <row r="16821">
      <c r="A16821">
        <f>TEST_DATA!A16821</f>
        <v/>
      </c>
      <c r="B16821">
        <f>TEST_DATA!B16821</f>
        <v/>
      </c>
      <c r="C16821">
        <f>TEST_DATA!C16821</f>
        <v/>
      </c>
      <c r="D16821">
        <f>TEST_DATA!D16821</f>
        <v/>
      </c>
      <c r="E16821">
        <f>TEST_DATA!E16821</f>
        <v/>
      </c>
    </row>
    <row r="16822">
      <c r="A16822">
        <f>TEST_DATA!A16822</f>
        <v/>
      </c>
      <c r="B16822">
        <f>TEST_DATA!B16822</f>
        <v/>
      </c>
      <c r="C16822">
        <f>TEST_DATA!C16822</f>
        <v/>
      </c>
      <c r="D16822">
        <f>TEST_DATA!D16822</f>
        <v/>
      </c>
      <c r="E16822">
        <f>TEST_DATA!E16822</f>
        <v/>
      </c>
    </row>
    <row r="16823">
      <c r="A16823">
        <f>TEST_DATA!A16823</f>
        <v/>
      </c>
      <c r="B16823">
        <f>TEST_DATA!B16823</f>
        <v/>
      </c>
      <c r="C16823">
        <f>TEST_DATA!C16823</f>
        <v/>
      </c>
      <c r="D16823">
        <f>TEST_DATA!D16823</f>
        <v/>
      </c>
      <c r="E16823">
        <f>TEST_DATA!E16823</f>
        <v/>
      </c>
    </row>
    <row r="16824">
      <c r="A16824">
        <f>TEST_DATA!A16824</f>
        <v/>
      </c>
      <c r="B16824">
        <f>TEST_DATA!B16824</f>
        <v/>
      </c>
      <c r="C16824">
        <f>TEST_DATA!C16824</f>
        <v/>
      </c>
      <c r="D16824">
        <f>TEST_DATA!D16824</f>
        <v/>
      </c>
      <c r="E16824">
        <f>TEST_DATA!E16824</f>
        <v/>
      </c>
    </row>
    <row r="16825">
      <c r="A16825">
        <f>TEST_DATA!A16825</f>
        <v/>
      </c>
      <c r="B16825">
        <f>TEST_DATA!B16825</f>
        <v/>
      </c>
      <c r="C16825">
        <f>TEST_DATA!C16825</f>
        <v/>
      </c>
      <c r="D16825">
        <f>TEST_DATA!D16825</f>
        <v/>
      </c>
      <c r="E16825">
        <f>TEST_DATA!E16825</f>
        <v/>
      </c>
    </row>
    <row r="16826">
      <c r="A16826">
        <f>TEST_DATA!A16826</f>
        <v/>
      </c>
      <c r="B16826">
        <f>TEST_DATA!B16826</f>
        <v/>
      </c>
      <c r="C16826">
        <f>TEST_DATA!C16826</f>
        <v/>
      </c>
      <c r="D16826">
        <f>TEST_DATA!D16826</f>
        <v/>
      </c>
      <c r="E16826">
        <f>TEST_DATA!E16826</f>
        <v/>
      </c>
    </row>
    <row r="16827">
      <c r="A16827">
        <f>TEST_DATA!A16827</f>
        <v/>
      </c>
      <c r="B16827">
        <f>TEST_DATA!B16827</f>
        <v/>
      </c>
      <c r="C16827">
        <f>TEST_DATA!C16827</f>
        <v/>
      </c>
      <c r="D16827">
        <f>TEST_DATA!D16827</f>
        <v/>
      </c>
      <c r="E16827">
        <f>TEST_DATA!E16827</f>
        <v/>
      </c>
    </row>
    <row r="16828">
      <c r="A16828">
        <f>TEST_DATA!A16828</f>
        <v/>
      </c>
      <c r="B16828">
        <f>TEST_DATA!B16828</f>
        <v/>
      </c>
      <c r="C16828">
        <f>TEST_DATA!C16828</f>
        <v/>
      </c>
      <c r="D16828">
        <f>TEST_DATA!D16828</f>
        <v/>
      </c>
      <c r="E16828">
        <f>TEST_DATA!E16828</f>
        <v/>
      </c>
    </row>
    <row r="16829">
      <c r="A16829">
        <f>TEST_DATA!A16829</f>
        <v/>
      </c>
      <c r="B16829">
        <f>TEST_DATA!B16829</f>
        <v/>
      </c>
      <c r="C16829">
        <f>TEST_DATA!C16829</f>
        <v/>
      </c>
      <c r="D16829">
        <f>TEST_DATA!D16829</f>
        <v/>
      </c>
      <c r="E16829">
        <f>TEST_DATA!E16829</f>
        <v/>
      </c>
    </row>
    <row r="16830">
      <c r="A16830">
        <f>TEST_DATA!A16830</f>
        <v/>
      </c>
      <c r="B16830">
        <f>TEST_DATA!B16830</f>
        <v/>
      </c>
      <c r="C16830">
        <f>TEST_DATA!C16830</f>
        <v/>
      </c>
      <c r="D16830">
        <f>TEST_DATA!D16830</f>
        <v/>
      </c>
      <c r="E16830">
        <f>TEST_DATA!E16830</f>
        <v/>
      </c>
    </row>
    <row r="16831">
      <c r="A16831">
        <f>TEST_DATA!A16831</f>
        <v/>
      </c>
      <c r="B16831">
        <f>TEST_DATA!B16831</f>
        <v/>
      </c>
      <c r="C16831">
        <f>TEST_DATA!C16831</f>
        <v/>
      </c>
      <c r="D16831">
        <f>TEST_DATA!D16831</f>
        <v/>
      </c>
      <c r="E16831">
        <f>TEST_DATA!E16831</f>
        <v/>
      </c>
    </row>
    <row r="16832">
      <c r="A16832">
        <f>TEST_DATA!A16832</f>
        <v/>
      </c>
      <c r="B16832">
        <f>TEST_DATA!B16832</f>
        <v/>
      </c>
      <c r="C16832">
        <f>TEST_DATA!C16832</f>
        <v/>
      </c>
      <c r="D16832">
        <f>TEST_DATA!D16832</f>
        <v/>
      </c>
      <c r="E16832">
        <f>TEST_DATA!E16832</f>
        <v/>
      </c>
    </row>
    <row r="16833">
      <c r="A16833">
        <f>TEST_DATA!A16833</f>
        <v/>
      </c>
      <c r="B16833">
        <f>TEST_DATA!B16833</f>
        <v/>
      </c>
      <c r="C16833">
        <f>TEST_DATA!C16833</f>
        <v/>
      </c>
      <c r="D16833">
        <f>TEST_DATA!D16833</f>
        <v/>
      </c>
      <c r="E16833">
        <f>TEST_DATA!E16833</f>
        <v/>
      </c>
    </row>
    <row r="16834">
      <c r="A16834">
        <f>TEST_DATA!A16834</f>
        <v/>
      </c>
      <c r="B16834">
        <f>TEST_DATA!B16834</f>
        <v/>
      </c>
      <c r="C16834">
        <f>TEST_DATA!C16834</f>
        <v/>
      </c>
      <c r="D16834">
        <f>TEST_DATA!D16834</f>
        <v/>
      </c>
      <c r="E16834">
        <f>TEST_DATA!E16834</f>
        <v/>
      </c>
    </row>
    <row r="16835">
      <c r="A16835">
        <f>TEST_DATA!A16835</f>
        <v/>
      </c>
      <c r="B16835">
        <f>TEST_DATA!B16835</f>
        <v/>
      </c>
      <c r="C16835">
        <f>TEST_DATA!C16835</f>
        <v/>
      </c>
      <c r="D16835">
        <f>TEST_DATA!D16835</f>
        <v/>
      </c>
      <c r="E16835">
        <f>TEST_DATA!E16835</f>
        <v/>
      </c>
    </row>
    <row r="16836">
      <c r="A16836">
        <f>TEST_DATA!A16836</f>
        <v/>
      </c>
      <c r="B16836">
        <f>TEST_DATA!B16836</f>
        <v/>
      </c>
      <c r="C16836">
        <f>TEST_DATA!C16836</f>
        <v/>
      </c>
      <c r="D16836">
        <f>TEST_DATA!D16836</f>
        <v/>
      </c>
      <c r="E16836">
        <f>TEST_DATA!E16836</f>
        <v/>
      </c>
    </row>
    <row r="16837">
      <c r="A16837">
        <f>TEST_DATA!A16837</f>
        <v/>
      </c>
      <c r="B16837">
        <f>TEST_DATA!B16837</f>
        <v/>
      </c>
      <c r="C16837">
        <f>TEST_DATA!C16837</f>
        <v/>
      </c>
      <c r="D16837">
        <f>TEST_DATA!D16837</f>
        <v/>
      </c>
      <c r="E16837">
        <f>TEST_DATA!E16837</f>
        <v/>
      </c>
    </row>
    <row r="16838">
      <c r="A16838">
        <f>TEST_DATA!A16838</f>
        <v/>
      </c>
      <c r="B16838">
        <f>TEST_DATA!B16838</f>
        <v/>
      </c>
      <c r="C16838">
        <f>TEST_DATA!C16838</f>
        <v/>
      </c>
      <c r="D16838">
        <f>TEST_DATA!D16838</f>
        <v/>
      </c>
      <c r="E16838">
        <f>TEST_DATA!E16838</f>
        <v/>
      </c>
    </row>
    <row r="16839">
      <c r="A16839">
        <f>TEST_DATA!A16839</f>
        <v/>
      </c>
      <c r="B16839">
        <f>TEST_DATA!B16839</f>
        <v/>
      </c>
      <c r="C16839">
        <f>TEST_DATA!C16839</f>
        <v/>
      </c>
      <c r="D16839">
        <f>TEST_DATA!D16839</f>
        <v/>
      </c>
      <c r="E16839">
        <f>TEST_DATA!E16839</f>
        <v/>
      </c>
    </row>
    <row r="16840">
      <c r="A16840">
        <f>TEST_DATA!A16840</f>
        <v/>
      </c>
      <c r="B16840">
        <f>TEST_DATA!B16840</f>
        <v/>
      </c>
      <c r="C16840">
        <f>TEST_DATA!C16840</f>
        <v/>
      </c>
      <c r="D16840">
        <f>TEST_DATA!D16840</f>
        <v/>
      </c>
      <c r="E16840">
        <f>TEST_DATA!E16840</f>
        <v/>
      </c>
    </row>
    <row r="16841">
      <c r="A16841">
        <f>TEST_DATA!A16841</f>
        <v/>
      </c>
      <c r="B16841">
        <f>TEST_DATA!B16841</f>
        <v/>
      </c>
      <c r="C16841">
        <f>TEST_DATA!C16841</f>
        <v/>
      </c>
      <c r="D16841">
        <f>TEST_DATA!D16841</f>
        <v/>
      </c>
      <c r="E16841">
        <f>TEST_DATA!E16841</f>
        <v/>
      </c>
    </row>
    <row r="16842">
      <c r="A16842">
        <f>TEST_DATA!A16842</f>
        <v/>
      </c>
      <c r="B16842">
        <f>TEST_DATA!B16842</f>
        <v/>
      </c>
      <c r="C16842">
        <f>TEST_DATA!C16842</f>
        <v/>
      </c>
      <c r="D16842">
        <f>TEST_DATA!D16842</f>
        <v/>
      </c>
      <c r="E16842">
        <f>TEST_DATA!E16842</f>
        <v/>
      </c>
    </row>
    <row r="16843">
      <c r="A16843">
        <f>TEST_DATA!A16843</f>
        <v/>
      </c>
      <c r="B16843">
        <f>TEST_DATA!B16843</f>
        <v/>
      </c>
      <c r="C16843">
        <f>TEST_DATA!C16843</f>
        <v/>
      </c>
      <c r="D16843">
        <f>TEST_DATA!D16843</f>
        <v/>
      </c>
      <c r="E16843">
        <f>TEST_DATA!E16843</f>
        <v/>
      </c>
    </row>
    <row r="16844">
      <c r="A16844">
        <f>TEST_DATA!A16844</f>
        <v/>
      </c>
      <c r="B16844">
        <f>TEST_DATA!B16844</f>
        <v/>
      </c>
      <c r="C16844">
        <f>TEST_DATA!C16844</f>
        <v/>
      </c>
      <c r="D16844">
        <f>TEST_DATA!D16844</f>
        <v/>
      </c>
      <c r="E16844">
        <f>TEST_DATA!E16844</f>
        <v/>
      </c>
    </row>
    <row r="16845">
      <c r="A16845">
        <f>TEST_DATA!A16845</f>
        <v/>
      </c>
      <c r="B16845">
        <f>TEST_DATA!B16845</f>
        <v/>
      </c>
      <c r="C16845">
        <f>TEST_DATA!C16845</f>
        <v/>
      </c>
      <c r="D16845">
        <f>TEST_DATA!D16845</f>
        <v/>
      </c>
      <c r="E16845">
        <f>TEST_DATA!E16845</f>
        <v/>
      </c>
    </row>
    <row r="16846">
      <c r="A16846">
        <f>TEST_DATA!A16846</f>
        <v/>
      </c>
      <c r="B16846">
        <f>TEST_DATA!B16846</f>
        <v/>
      </c>
      <c r="C16846">
        <f>TEST_DATA!C16846</f>
        <v/>
      </c>
      <c r="D16846">
        <f>TEST_DATA!D16846</f>
        <v/>
      </c>
      <c r="E16846">
        <f>TEST_DATA!E16846</f>
        <v/>
      </c>
    </row>
    <row r="16847">
      <c r="A16847">
        <f>TEST_DATA!A16847</f>
        <v/>
      </c>
      <c r="B16847">
        <f>TEST_DATA!B16847</f>
        <v/>
      </c>
      <c r="C16847">
        <f>TEST_DATA!C16847</f>
        <v/>
      </c>
      <c r="D16847">
        <f>TEST_DATA!D16847</f>
        <v/>
      </c>
      <c r="E16847">
        <f>TEST_DATA!E16847</f>
        <v/>
      </c>
    </row>
    <row r="16848">
      <c r="A16848">
        <f>TEST_DATA!A16848</f>
        <v/>
      </c>
      <c r="B16848">
        <f>TEST_DATA!B16848</f>
        <v/>
      </c>
      <c r="C16848">
        <f>TEST_DATA!C16848</f>
        <v/>
      </c>
      <c r="D16848">
        <f>TEST_DATA!D16848</f>
        <v/>
      </c>
      <c r="E16848">
        <f>TEST_DATA!E16848</f>
        <v/>
      </c>
    </row>
    <row r="16849">
      <c r="A16849">
        <f>TEST_DATA!A16849</f>
        <v/>
      </c>
      <c r="B16849">
        <f>TEST_DATA!B16849</f>
        <v/>
      </c>
      <c r="C16849">
        <f>TEST_DATA!C16849</f>
        <v/>
      </c>
      <c r="D16849">
        <f>TEST_DATA!D16849</f>
        <v/>
      </c>
      <c r="E16849">
        <f>TEST_DATA!E16849</f>
        <v/>
      </c>
    </row>
    <row r="16850">
      <c r="A16850">
        <f>TEST_DATA!A16850</f>
        <v/>
      </c>
      <c r="B16850">
        <f>TEST_DATA!B16850</f>
        <v/>
      </c>
      <c r="C16850">
        <f>TEST_DATA!C16850</f>
        <v/>
      </c>
      <c r="D16850">
        <f>TEST_DATA!D16850</f>
        <v/>
      </c>
      <c r="E16850">
        <f>TEST_DATA!E16850</f>
        <v/>
      </c>
    </row>
    <row r="16851">
      <c r="A16851">
        <f>TEST_DATA!A16851</f>
        <v/>
      </c>
      <c r="B16851">
        <f>TEST_DATA!B16851</f>
        <v/>
      </c>
      <c r="C16851">
        <f>TEST_DATA!C16851</f>
        <v/>
      </c>
      <c r="D16851">
        <f>TEST_DATA!D16851</f>
        <v/>
      </c>
      <c r="E16851">
        <f>TEST_DATA!E16851</f>
        <v/>
      </c>
    </row>
    <row r="16852">
      <c r="A16852">
        <f>TEST_DATA!A16852</f>
        <v/>
      </c>
      <c r="B16852">
        <f>TEST_DATA!B16852</f>
        <v/>
      </c>
      <c r="C16852">
        <f>TEST_DATA!C16852</f>
        <v/>
      </c>
      <c r="D16852">
        <f>TEST_DATA!D16852</f>
        <v/>
      </c>
      <c r="E16852">
        <f>TEST_DATA!E16852</f>
        <v/>
      </c>
    </row>
    <row r="16853">
      <c r="A16853">
        <f>TEST_DATA!A16853</f>
        <v/>
      </c>
      <c r="B16853">
        <f>TEST_DATA!B16853</f>
        <v/>
      </c>
      <c r="C16853">
        <f>TEST_DATA!C16853</f>
        <v/>
      </c>
      <c r="D16853">
        <f>TEST_DATA!D16853</f>
        <v/>
      </c>
      <c r="E16853">
        <f>TEST_DATA!E16853</f>
        <v/>
      </c>
    </row>
    <row r="16854">
      <c r="A16854">
        <f>TEST_DATA!A16854</f>
        <v/>
      </c>
      <c r="B16854">
        <f>TEST_DATA!B16854</f>
        <v/>
      </c>
      <c r="C16854">
        <f>TEST_DATA!C16854</f>
        <v/>
      </c>
      <c r="D16854">
        <f>TEST_DATA!D16854</f>
        <v/>
      </c>
      <c r="E16854">
        <f>TEST_DATA!E16854</f>
        <v/>
      </c>
    </row>
    <row r="16855">
      <c r="A16855">
        <f>TEST_DATA!A16855</f>
        <v/>
      </c>
      <c r="B16855">
        <f>TEST_DATA!B16855</f>
        <v/>
      </c>
      <c r="C16855">
        <f>TEST_DATA!C16855</f>
        <v/>
      </c>
      <c r="D16855">
        <f>TEST_DATA!D16855</f>
        <v/>
      </c>
      <c r="E16855">
        <f>TEST_DATA!E16855</f>
        <v/>
      </c>
    </row>
    <row r="16856">
      <c r="A16856">
        <f>TEST_DATA!A16856</f>
        <v/>
      </c>
      <c r="B16856">
        <f>TEST_DATA!B16856</f>
        <v/>
      </c>
      <c r="C16856">
        <f>TEST_DATA!C16856</f>
        <v/>
      </c>
      <c r="D16856">
        <f>TEST_DATA!D16856</f>
        <v/>
      </c>
      <c r="E16856">
        <f>TEST_DATA!E16856</f>
        <v/>
      </c>
    </row>
    <row r="16857">
      <c r="A16857">
        <f>TEST_DATA!A16857</f>
        <v/>
      </c>
      <c r="B16857">
        <f>TEST_DATA!B16857</f>
        <v/>
      </c>
      <c r="C16857">
        <f>TEST_DATA!C16857</f>
        <v/>
      </c>
      <c r="D16857">
        <f>TEST_DATA!D16857</f>
        <v/>
      </c>
      <c r="E16857">
        <f>TEST_DATA!E16857</f>
        <v/>
      </c>
    </row>
    <row r="16858">
      <c r="A16858">
        <f>TEST_DATA!A16858</f>
        <v/>
      </c>
      <c r="B16858">
        <f>TEST_DATA!B16858</f>
        <v/>
      </c>
      <c r="C16858">
        <f>TEST_DATA!C16858</f>
        <v/>
      </c>
      <c r="D16858">
        <f>TEST_DATA!D16858</f>
        <v/>
      </c>
      <c r="E16858">
        <f>TEST_DATA!E16858</f>
        <v/>
      </c>
    </row>
    <row r="16859">
      <c r="A16859">
        <f>TEST_DATA!A16859</f>
        <v/>
      </c>
      <c r="B16859">
        <f>TEST_DATA!B16859</f>
        <v/>
      </c>
      <c r="C16859">
        <f>TEST_DATA!C16859</f>
        <v/>
      </c>
      <c r="D16859">
        <f>TEST_DATA!D16859</f>
        <v/>
      </c>
      <c r="E16859">
        <f>TEST_DATA!E16859</f>
        <v/>
      </c>
    </row>
    <row r="16860">
      <c r="A16860">
        <f>TEST_DATA!A16860</f>
        <v/>
      </c>
      <c r="B16860">
        <f>TEST_DATA!B16860</f>
        <v/>
      </c>
      <c r="C16860">
        <f>TEST_DATA!C16860</f>
        <v/>
      </c>
      <c r="D16860">
        <f>TEST_DATA!D16860</f>
        <v/>
      </c>
      <c r="E16860">
        <f>TEST_DATA!E16860</f>
        <v/>
      </c>
    </row>
    <row r="16861">
      <c r="A16861">
        <f>TEST_DATA!A16861</f>
        <v/>
      </c>
      <c r="B16861">
        <f>TEST_DATA!B16861</f>
        <v/>
      </c>
      <c r="C16861">
        <f>TEST_DATA!C16861</f>
        <v/>
      </c>
      <c r="D16861">
        <f>TEST_DATA!D16861</f>
        <v/>
      </c>
      <c r="E16861">
        <f>TEST_DATA!E16861</f>
        <v/>
      </c>
    </row>
    <row r="16862">
      <c r="A16862">
        <f>TEST_DATA!A16862</f>
        <v/>
      </c>
      <c r="B16862">
        <f>TEST_DATA!B16862</f>
        <v/>
      </c>
      <c r="C16862">
        <f>TEST_DATA!C16862</f>
        <v/>
      </c>
      <c r="D16862">
        <f>TEST_DATA!D16862</f>
        <v/>
      </c>
      <c r="E16862">
        <f>TEST_DATA!E16862</f>
        <v/>
      </c>
    </row>
    <row r="16863">
      <c r="A16863">
        <f>TEST_DATA!A16863</f>
        <v/>
      </c>
      <c r="B16863">
        <f>TEST_DATA!B16863</f>
        <v/>
      </c>
      <c r="C16863">
        <f>TEST_DATA!C16863</f>
        <v/>
      </c>
      <c r="D16863">
        <f>TEST_DATA!D16863</f>
        <v/>
      </c>
      <c r="E16863">
        <f>TEST_DATA!E16863</f>
        <v/>
      </c>
    </row>
    <row r="16864">
      <c r="A16864">
        <f>TEST_DATA!A16864</f>
        <v/>
      </c>
      <c r="B16864">
        <f>TEST_DATA!B16864</f>
        <v/>
      </c>
      <c r="C16864">
        <f>TEST_DATA!C16864</f>
        <v/>
      </c>
      <c r="D16864">
        <f>TEST_DATA!D16864</f>
        <v/>
      </c>
      <c r="E16864">
        <f>TEST_DATA!E16864</f>
        <v/>
      </c>
    </row>
    <row r="16865">
      <c r="A16865">
        <f>TEST_DATA!A16865</f>
        <v/>
      </c>
      <c r="B16865">
        <f>TEST_DATA!B16865</f>
        <v/>
      </c>
      <c r="C16865">
        <f>TEST_DATA!C16865</f>
        <v/>
      </c>
      <c r="D16865">
        <f>TEST_DATA!D16865</f>
        <v/>
      </c>
      <c r="E16865">
        <f>TEST_DATA!E16865</f>
        <v/>
      </c>
    </row>
    <row r="16866">
      <c r="A16866">
        <f>TEST_DATA!A16866</f>
        <v/>
      </c>
      <c r="B16866">
        <f>TEST_DATA!B16866</f>
        <v/>
      </c>
      <c r="C16866">
        <f>TEST_DATA!C16866</f>
        <v/>
      </c>
      <c r="D16866">
        <f>TEST_DATA!D16866</f>
        <v/>
      </c>
      <c r="E16866">
        <f>TEST_DATA!E16866</f>
        <v/>
      </c>
    </row>
    <row r="16867">
      <c r="A16867">
        <f>TEST_DATA!A16867</f>
        <v/>
      </c>
      <c r="B16867">
        <f>TEST_DATA!B16867</f>
        <v/>
      </c>
      <c r="C16867">
        <f>TEST_DATA!C16867</f>
        <v/>
      </c>
      <c r="D16867">
        <f>TEST_DATA!D16867</f>
        <v/>
      </c>
      <c r="E16867">
        <f>TEST_DATA!E16867</f>
        <v/>
      </c>
    </row>
    <row r="16868">
      <c r="A16868">
        <f>TEST_DATA!A16868</f>
        <v/>
      </c>
      <c r="B16868">
        <f>TEST_DATA!B16868</f>
        <v/>
      </c>
      <c r="C16868">
        <f>TEST_DATA!C16868</f>
        <v/>
      </c>
      <c r="D16868">
        <f>TEST_DATA!D16868</f>
        <v/>
      </c>
      <c r="E16868">
        <f>TEST_DATA!E16868</f>
        <v/>
      </c>
    </row>
    <row r="16869">
      <c r="A16869">
        <f>TEST_DATA!A16869</f>
        <v/>
      </c>
      <c r="B16869">
        <f>TEST_DATA!B16869</f>
        <v/>
      </c>
      <c r="C16869">
        <f>TEST_DATA!C16869</f>
        <v/>
      </c>
      <c r="D16869">
        <f>TEST_DATA!D16869</f>
        <v/>
      </c>
      <c r="E16869">
        <f>TEST_DATA!E16869</f>
        <v/>
      </c>
    </row>
    <row r="16870">
      <c r="A16870">
        <f>TEST_DATA!A16870</f>
        <v/>
      </c>
      <c r="B16870">
        <f>TEST_DATA!B16870</f>
        <v/>
      </c>
      <c r="C16870">
        <f>TEST_DATA!C16870</f>
        <v/>
      </c>
      <c r="D16870">
        <f>TEST_DATA!D16870</f>
        <v/>
      </c>
      <c r="E16870">
        <f>TEST_DATA!E16870</f>
        <v/>
      </c>
    </row>
    <row r="16871">
      <c r="A16871">
        <f>TEST_DATA!A16871</f>
        <v/>
      </c>
      <c r="B16871">
        <f>TEST_DATA!B16871</f>
        <v/>
      </c>
      <c r="C16871">
        <f>TEST_DATA!C16871</f>
        <v/>
      </c>
      <c r="D16871">
        <f>TEST_DATA!D16871</f>
        <v/>
      </c>
      <c r="E16871">
        <f>TEST_DATA!E16871</f>
        <v/>
      </c>
    </row>
    <row r="16872">
      <c r="A16872">
        <f>TEST_DATA!A16872</f>
        <v/>
      </c>
      <c r="B16872">
        <f>TEST_DATA!B16872</f>
        <v/>
      </c>
      <c r="C16872">
        <f>TEST_DATA!C16872</f>
        <v/>
      </c>
      <c r="D16872">
        <f>TEST_DATA!D16872</f>
        <v/>
      </c>
      <c r="E16872">
        <f>TEST_DATA!E16872</f>
        <v/>
      </c>
    </row>
    <row r="16873">
      <c r="A16873">
        <f>TEST_DATA!A16873</f>
        <v/>
      </c>
      <c r="B16873">
        <f>TEST_DATA!B16873</f>
        <v/>
      </c>
      <c r="C16873">
        <f>TEST_DATA!C16873</f>
        <v/>
      </c>
      <c r="D16873">
        <f>TEST_DATA!D16873</f>
        <v/>
      </c>
      <c r="E16873">
        <f>TEST_DATA!E16873</f>
        <v/>
      </c>
    </row>
    <row r="16874">
      <c r="A16874">
        <f>TEST_DATA!A16874</f>
        <v/>
      </c>
      <c r="B16874">
        <f>TEST_DATA!B16874</f>
        <v/>
      </c>
      <c r="C16874">
        <f>TEST_DATA!C16874</f>
        <v/>
      </c>
      <c r="D16874">
        <f>TEST_DATA!D16874</f>
        <v/>
      </c>
      <c r="E16874">
        <f>TEST_DATA!E16874</f>
        <v/>
      </c>
    </row>
    <row r="16875">
      <c r="A16875">
        <f>TEST_DATA!A16875</f>
        <v/>
      </c>
      <c r="B16875">
        <f>TEST_DATA!B16875</f>
        <v/>
      </c>
      <c r="C16875">
        <f>TEST_DATA!C16875</f>
        <v/>
      </c>
      <c r="D16875">
        <f>TEST_DATA!D16875</f>
        <v/>
      </c>
      <c r="E16875">
        <f>TEST_DATA!E16875</f>
        <v/>
      </c>
    </row>
    <row r="16876">
      <c r="A16876">
        <f>TEST_DATA!A16876</f>
        <v/>
      </c>
      <c r="B16876">
        <f>TEST_DATA!B16876</f>
        <v/>
      </c>
      <c r="C16876">
        <f>TEST_DATA!C16876</f>
        <v/>
      </c>
      <c r="D16876">
        <f>TEST_DATA!D16876</f>
        <v/>
      </c>
      <c r="E16876">
        <f>TEST_DATA!E16876</f>
        <v/>
      </c>
    </row>
    <row r="16877">
      <c r="A16877">
        <f>TEST_DATA!A16877</f>
        <v/>
      </c>
      <c r="B16877">
        <f>TEST_DATA!B16877</f>
        <v/>
      </c>
      <c r="C16877">
        <f>TEST_DATA!C16877</f>
        <v/>
      </c>
      <c r="D16877">
        <f>TEST_DATA!D16877</f>
        <v/>
      </c>
      <c r="E16877">
        <f>TEST_DATA!E16877</f>
        <v/>
      </c>
    </row>
    <row r="16878">
      <c r="A16878">
        <f>TEST_DATA!A16878</f>
        <v/>
      </c>
      <c r="B16878">
        <f>TEST_DATA!B16878</f>
        <v/>
      </c>
      <c r="C16878">
        <f>TEST_DATA!C16878</f>
        <v/>
      </c>
      <c r="D16878">
        <f>TEST_DATA!D16878</f>
        <v/>
      </c>
      <c r="E16878">
        <f>TEST_DATA!E16878</f>
        <v/>
      </c>
    </row>
    <row r="16879">
      <c r="A16879">
        <f>TEST_DATA!A16879</f>
        <v/>
      </c>
      <c r="B16879">
        <f>TEST_DATA!B16879</f>
        <v/>
      </c>
      <c r="C16879">
        <f>TEST_DATA!C16879</f>
        <v/>
      </c>
      <c r="D16879">
        <f>TEST_DATA!D16879</f>
        <v/>
      </c>
      <c r="E16879">
        <f>TEST_DATA!E16879</f>
        <v/>
      </c>
    </row>
    <row r="16880">
      <c r="A16880">
        <f>TEST_DATA!A16880</f>
        <v/>
      </c>
      <c r="B16880">
        <f>TEST_DATA!B16880</f>
        <v/>
      </c>
      <c r="C16880">
        <f>TEST_DATA!C16880</f>
        <v/>
      </c>
      <c r="D16880">
        <f>TEST_DATA!D16880</f>
        <v/>
      </c>
      <c r="E16880">
        <f>TEST_DATA!E16880</f>
        <v/>
      </c>
    </row>
    <row r="16881">
      <c r="A16881">
        <f>TEST_DATA!A16881</f>
        <v/>
      </c>
      <c r="B16881">
        <f>TEST_DATA!B16881</f>
        <v/>
      </c>
      <c r="C16881">
        <f>TEST_DATA!C16881</f>
        <v/>
      </c>
      <c r="D16881">
        <f>TEST_DATA!D16881</f>
        <v/>
      </c>
      <c r="E16881">
        <f>TEST_DATA!E16881</f>
        <v/>
      </c>
    </row>
    <row r="16882">
      <c r="A16882">
        <f>TEST_DATA!A16882</f>
        <v/>
      </c>
      <c r="B16882">
        <f>TEST_DATA!B16882</f>
        <v/>
      </c>
      <c r="C16882">
        <f>TEST_DATA!C16882</f>
        <v/>
      </c>
      <c r="D16882">
        <f>TEST_DATA!D16882</f>
        <v/>
      </c>
      <c r="E16882">
        <f>TEST_DATA!E16882</f>
        <v/>
      </c>
    </row>
    <row r="16883">
      <c r="A16883">
        <f>TEST_DATA!A16883</f>
        <v/>
      </c>
      <c r="B16883">
        <f>TEST_DATA!B16883</f>
        <v/>
      </c>
      <c r="C16883">
        <f>TEST_DATA!C16883</f>
        <v/>
      </c>
      <c r="D16883">
        <f>TEST_DATA!D16883</f>
        <v/>
      </c>
      <c r="E16883">
        <f>TEST_DATA!E16883</f>
        <v/>
      </c>
    </row>
    <row r="16884">
      <c r="A16884">
        <f>TEST_DATA!A16884</f>
        <v/>
      </c>
      <c r="B16884">
        <f>TEST_DATA!B16884</f>
        <v/>
      </c>
      <c r="C16884">
        <f>TEST_DATA!C16884</f>
        <v/>
      </c>
      <c r="D16884">
        <f>TEST_DATA!D16884</f>
        <v/>
      </c>
      <c r="E16884">
        <f>TEST_DATA!E16884</f>
        <v/>
      </c>
    </row>
    <row r="16885">
      <c r="A16885">
        <f>TEST_DATA!A16885</f>
        <v/>
      </c>
      <c r="B16885">
        <f>TEST_DATA!B16885</f>
        <v/>
      </c>
      <c r="C16885">
        <f>TEST_DATA!C16885</f>
        <v/>
      </c>
      <c r="D16885">
        <f>TEST_DATA!D16885</f>
        <v/>
      </c>
      <c r="E16885">
        <f>TEST_DATA!E16885</f>
        <v/>
      </c>
    </row>
    <row r="16886">
      <c r="A16886">
        <f>TEST_DATA!A16886</f>
        <v/>
      </c>
      <c r="B16886">
        <f>TEST_DATA!B16886</f>
        <v/>
      </c>
      <c r="C16886">
        <f>TEST_DATA!C16886</f>
        <v/>
      </c>
      <c r="D16886">
        <f>TEST_DATA!D16886</f>
        <v/>
      </c>
      <c r="E16886">
        <f>TEST_DATA!E16886</f>
        <v/>
      </c>
    </row>
    <row r="16887">
      <c r="A16887">
        <f>TEST_DATA!A16887</f>
        <v/>
      </c>
      <c r="B16887">
        <f>TEST_DATA!B16887</f>
        <v/>
      </c>
      <c r="C16887">
        <f>TEST_DATA!C16887</f>
        <v/>
      </c>
      <c r="D16887">
        <f>TEST_DATA!D16887</f>
        <v/>
      </c>
      <c r="E16887">
        <f>TEST_DATA!E16887</f>
        <v/>
      </c>
    </row>
    <row r="16888">
      <c r="A16888">
        <f>TEST_DATA!A16888</f>
        <v/>
      </c>
      <c r="B16888">
        <f>TEST_DATA!B16888</f>
        <v/>
      </c>
      <c r="C16888">
        <f>TEST_DATA!C16888</f>
        <v/>
      </c>
      <c r="D16888">
        <f>TEST_DATA!D16888</f>
        <v/>
      </c>
      <c r="E16888">
        <f>TEST_DATA!E16888</f>
        <v/>
      </c>
    </row>
    <row r="16889">
      <c r="A16889">
        <f>TEST_DATA!A16889</f>
        <v/>
      </c>
      <c r="B16889">
        <f>TEST_DATA!B16889</f>
        <v/>
      </c>
      <c r="C16889">
        <f>TEST_DATA!C16889</f>
        <v/>
      </c>
      <c r="D16889">
        <f>TEST_DATA!D16889</f>
        <v/>
      </c>
      <c r="E16889">
        <f>TEST_DATA!E16889</f>
        <v/>
      </c>
    </row>
    <row r="16890">
      <c r="A16890">
        <f>TEST_DATA!A16890</f>
        <v/>
      </c>
      <c r="B16890">
        <f>TEST_DATA!B16890</f>
        <v/>
      </c>
      <c r="C16890">
        <f>TEST_DATA!C16890</f>
        <v/>
      </c>
      <c r="D16890">
        <f>TEST_DATA!D16890</f>
        <v/>
      </c>
      <c r="E16890">
        <f>TEST_DATA!E16890</f>
        <v/>
      </c>
    </row>
    <row r="16891">
      <c r="A16891">
        <f>TEST_DATA!A16891</f>
        <v/>
      </c>
      <c r="B16891">
        <f>TEST_DATA!B16891</f>
        <v/>
      </c>
      <c r="C16891">
        <f>TEST_DATA!C16891</f>
        <v/>
      </c>
      <c r="D16891">
        <f>TEST_DATA!D16891</f>
        <v/>
      </c>
      <c r="E16891">
        <f>TEST_DATA!E16891</f>
        <v/>
      </c>
    </row>
    <row r="16892">
      <c r="A16892">
        <f>TEST_DATA!A16892</f>
        <v/>
      </c>
      <c r="B16892">
        <f>TEST_DATA!B16892</f>
        <v/>
      </c>
      <c r="C16892">
        <f>TEST_DATA!C16892</f>
        <v/>
      </c>
      <c r="D16892">
        <f>TEST_DATA!D16892</f>
        <v/>
      </c>
      <c r="E16892">
        <f>TEST_DATA!E16892</f>
        <v/>
      </c>
    </row>
    <row r="16893">
      <c r="A16893">
        <f>TEST_DATA!A16893</f>
        <v/>
      </c>
      <c r="B16893">
        <f>TEST_DATA!B16893</f>
        <v/>
      </c>
      <c r="C16893">
        <f>TEST_DATA!C16893</f>
        <v/>
      </c>
      <c r="D16893">
        <f>TEST_DATA!D16893</f>
        <v/>
      </c>
      <c r="E16893">
        <f>TEST_DATA!E16893</f>
        <v/>
      </c>
    </row>
    <row r="16894">
      <c r="A16894">
        <f>TEST_DATA!A16894</f>
        <v/>
      </c>
      <c r="B16894">
        <f>TEST_DATA!B16894</f>
        <v/>
      </c>
      <c r="C16894">
        <f>TEST_DATA!C16894</f>
        <v/>
      </c>
      <c r="D16894">
        <f>TEST_DATA!D16894</f>
        <v/>
      </c>
      <c r="E16894">
        <f>TEST_DATA!E16894</f>
        <v/>
      </c>
    </row>
    <row r="16895">
      <c r="A16895">
        <f>TEST_DATA!A16895</f>
        <v/>
      </c>
      <c r="B16895">
        <f>TEST_DATA!B16895</f>
        <v/>
      </c>
      <c r="C16895">
        <f>TEST_DATA!C16895</f>
        <v/>
      </c>
      <c r="D16895">
        <f>TEST_DATA!D16895</f>
        <v/>
      </c>
      <c r="E16895">
        <f>TEST_DATA!E16895</f>
        <v/>
      </c>
    </row>
    <row r="16896">
      <c r="A16896">
        <f>TEST_DATA!A16896</f>
        <v/>
      </c>
      <c r="B16896">
        <f>TEST_DATA!B16896</f>
        <v/>
      </c>
      <c r="C16896">
        <f>TEST_DATA!C16896</f>
        <v/>
      </c>
      <c r="D16896">
        <f>TEST_DATA!D16896</f>
        <v/>
      </c>
      <c r="E16896">
        <f>TEST_DATA!E16896</f>
        <v/>
      </c>
    </row>
    <row r="16897">
      <c r="A16897">
        <f>TEST_DATA!A16897</f>
        <v/>
      </c>
      <c r="B16897">
        <f>TEST_DATA!B16897</f>
        <v/>
      </c>
      <c r="C16897">
        <f>TEST_DATA!C16897</f>
        <v/>
      </c>
      <c r="D16897">
        <f>TEST_DATA!D16897</f>
        <v/>
      </c>
      <c r="E16897">
        <f>TEST_DATA!E16897</f>
        <v/>
      </c>
    </row>
    <row r="16898">
      <c r="A16898">
        <f>TEST_DATA!A16898</f>
        <v/>
      </c>
      <c r="B16898">
        <f>TEST_DATA!B16898</f>
        <v/>
      </c>
      <c r="C16898">
        <f>TEST_DATA!C16898</f>
        <v/>
      </c>
      <c r="D16898">
        <f>TEST_DATA!D16898</f>
        <v/>
      </c>
      <c r="E16898">
        <f>TEST_DATA!E16898</f>
        <v/>
      </c>
    </row>
    <row r="16899">
      <c r="A16899">
        <f>TEST_DATA!A16899</f>
        <v/>
      </c>
      <c r="B16899">
        <f>TEST_DATA!B16899</f>
        <v/>
      </c>
      <c r="C16899">
        <f>TEST_DATA!C16899</f>
        <v/>
      </c>
      <c r="D16899">
        <f>TEST_DATA!D16899</f>
        <v/>
      </c>
      <c r="E16899">
        <f>TEST_DATA!E16899</f>
        <v/>
      </c>
    </row>
    <row r="16900">
      <c r="A16900">
        <f>TEST_DATA!A16900</f>
        <v/>
      </c>
      <c r="B16900">
        <f>TEST_DATA!B16900</f>
        <v/>
      </c>
      <c r="C16900">
        <f>TEST_DATA!C16900</f>
        <v/>
      </c>
      <c r="D16900">
        <f>TEST_DATA!D16900</f>
        <v/>
      </c>
      <c r="E16900">
        <f>TEST_DATA!E16900</f>
        <v/>
      </c>
    </row>
    <row r="16901">
      <c r="A16901">
        <f>TEST_DATA!A16901</f>
        <v/>
      </c>
      <c r="B16901">
        <f>TEST_DATA!B16901</f>
        <v/>
      </c>
      <c r="C16901">
        <f>TEST_DATA!C16901</f>
        <v/>
      </c>
      <c r="D16901">
        <f>TEST_DATA!D16901</f>
        <v/>
      </c>
      <c r="E16901">
        <f>TEST_DATA!E16901</f>
        <v/>
      </c>
    </row>
    <row r="16902">
      <c r="A16902">
        <f>TEST_DATA!A16902</f>
        <v/>
      </c>
      <c r="B16902">
        <f>TEST_DATA!B16902</f>
        <v/>
      </c>
      <c r="C16902">
        <f>TEST_DATA!C16902</f>
        <v/>
      </c>
      <c r="D16902">
        <f>TEST_DATA!D16902</f>
        <v/>
      </c>
      <c r="E16902">
        <f>TEST_DATA!E16902</f>
        <v/>
      </c>
    </row>
    <row r="16903">
      <c r="A16903">
        <f>TEST_DATA!A16903</f>
        <v/>
      </c>
      <c r="B16903">
        <f>TEST_DATA!B16903</f>
        <v/>
      </c>
      <c r="C16903">
        <f>TEST_DATA!C16903</f>
        <v/>
      </c>
      <c r="D16903">
        <f>TEST_DATA!D16903</f>
        <v/>
      </c>
      <c r="E16903">
        <f>TEST_DATA!E16903</f>
        <v/>
      </c>
    </row>
    <row r="16904">
      <c r="A16904">
        <f>TEST_DATA!A16904</f>
        <v/>
      </c>
      <c r="B16904">
        <f>TEST_DATA!B16904</f>
        <v/>
      </c>
      <c r="C16904">
        <f>TEST_DATA!C16904</f>
        <v/>
      </c>
      <c r="D16904">
        <f>TEST_DATA!D16904</f>
        <v/>
      </c>
      <c r="E16904">
        <f>TEST_DATA!E16904</f>
        <v/>
      </c>
    </row>
    <row r="16905">
      <c r="A16905">
        <f>TEST_DATA!A16905</f>
        <v/>
      </c>
      <c r="B16905">
        <f>TEST_DATA!B16905</f>
        <v/>
      </c>
      <c r="C16905">
        <f>TEST_DATA!C16905</f>
        <v/>
      </c>
      <c r="D16905">
        <f>TEST_DATA!D16905</f>
        <v/>
      </c>
      <c r="E16905">
        <f>TEST_DATA!E16905</f>
        <v/>
      </c>
    </row>
    <row r="16906">
      <c r="A16906">
        <f>TEST_DATA!A16906</f>
        <v/>
      </c>
      <c r="B16906">
        <f>TEST_DATA!B16906</f>
        <v/>
      </c>
      <c r="C16906">
        <f>TEST_DATA!C16906</f>
        <v/>
      </c>
      <c r="D16906">
        <f>TEST_DATA!D16906</f>
        <v/>
      </c>
      <c r="E16906">
        <f>TEST_DATA!E16906</f>
        <v/>
      </c>
    </row>
    <row r="16907">
      <c r="A16907">
        <f>TEST_DATA!A16907</f>
        <v/>
      </c>
      <c r="B16907">
        <f>TEST_DATA!B16907</f>
        <v/>
      </c>
      <c r="C16907">
        <f>TEST_DATA!C16907</f>
        <v/>
      </c>
      <c r="D16907">
        <f>TEST_DATA!D16907</f>
        <v/>
      </c>
      <c r="E16907">
        <f>TEST_DATA!E16907</f>
        <v/>
      </c>
    </row>
    <row r="16908">
      <c r="A16908">
        <f>TEST_DATA!A16908</f>
        <v/>
      </c>
      <c r="B16908">
        <f>TEST_DATA!B16908</f>
        <v/>
      </c>
      <c r="C16908">
        <f>TEST_DATA!C16908</f>
        <v/>
      </c>
      <c r="D16908">
        <f>TEST_DATA!D16908</f>
        <v/>
      </c>
      <c r="E16908">
        <f>TEST_DATA!E16908</f>
        <v/>
      </c>
    </row>
    <row r="16909">
      <c r="A16909">
        <f>TEST_DATA!A16909</f>
        <v/>
      </c>
      <c r="B16909">
        <f>TEST_DATA!B16909</f>
        <v/>
      </c>
      <c r="C16909">
        <f>TEST_DATA!C16909</f>
        <v/>
      </c>
      <c r="D16909">
        <f>TEST_DATA!D16909</f>
        <v/>
      </c>
      <c r="E16909">
        <f>TEST_DATA!E16909</f>
        <v/>
      </c>
    </row>
    <row r="16910">
      <c r="A16910">
        <f>TEST_DATA!A16910</f>
        <v/>
      </c>
      <c r="B16910">
        <f>TEST_DATA!B16910</f>
        <v/>
      </c>
      <c r="C16910">
        <f>TEST_DATA!C16910</f>
        <v/>
      </c>
      <c r="D16910">
        <f>TEST_DATA!D16910</f>
        <v/>
      </c>
      <c r="E16910">
        <f>TEST_DATA!E16910</f>
        <v/>
      </c>
    </row>
    <row r="16911">
      <c r="A16911">
        <f>TEST_DATA!A16911</f>
        <v/>
      </c>
      <c r="B16911">
        <f>TEST_DATA!B16911</f>
        <v/>
      </c>
      <c r="C16911">
        <f>TEST_DATA!C16911</f>
        <v/>
      </c>
      <c r="D16911">
        <f>TEST_DATA!D16911</f>
        <v/>
      </c>
      <c r="E16911">
        <f>TEST_DATA!E16911</f>
        <v/>
      </c>
    </row>
    <row r="16912">
      <c r="A16912">
        <f>TEST_DATA!A16912</f>
        <v/>
      </c>
      <c r="B16912">
        <f>TEST_DATA!B16912</f>
        <v/>
      </c>
      <c r="C16912">
        <f>TEST_DATA!C16912</f>
        <v/>
      </c>
      <c r="D16912">
        <f>TEST_DATA!D16912</f>
        <v/>
      </c>
      <c r="E16912">
        <f>TEST_DATA!E16912</f>
        <v/>
      </c>
    </row>
    <row r="16913">
      <c r="A16913">
        <f>TEST_DATA!A16913</f>
        <v/>
      </c>
      <c r="B16913">
        <f>TEST_DATA!B16913</f>
        <v/>
      </c>
      <c r="C16913">
        <f>TEST_DATA!C16913</f>
        <v/>
      </c>
      <c r="D16913">
        <f>TEST_DATA!D16913</f>
        <v/>
      </c>
      <c r="E16913">
        <f>TEST_DATA!E16913</f>
        <v/>
      </c>
    </row>
    <row r="16914">
      <c r="A16914">
        <f>TEST_DATA!A16914</f>
        <v/>
      </c>
      <c r="B16914">
        <f>TEST_DATA!B16914</f>
        <v/>
      </c>
      <c r="C16914">
        <f>TEST_DATA!C16914</f>
        <v/>
      </c>
      <c r="D16914">
        <f>TEST_DATA!D16914</f>
        <v/>
      </c>
      <c r="E16914">
        <f>TEST_DATA!E16914</f>
        <v/>
      </c>
    </row>
    <row r="16915">
      <c r="A16915">
        <f>TEST_DATA!A16915</f>
        <v/>
      </c>
      <c r="B16915">
        <f>TEST_DATA!B16915</f>
        <v/>
      </c>
      <c r="C16915">
        <f>TEST_DATA!C16915</f>
        <v/>
      </c>
      <c r="D16915">
        <f>TEST_DATA!D16915</f>
        <v/>
      </c>
      <c r="E16915">
        <f>TEST_DATA!E16915</f>
        <v/>
      </c>
    </row>
    <row r="16916">
      <c r="A16916">
        <f>TEST_DATA!A16916</f>
        <v/>
      </c>
      <c r="B16916">
        <f>TEST_DATA!B16916</f>
        <v/>
      </c>
      <c r="C16916">
        <f>TEST_DATA!C16916</f>
        <v/>
      </c>
      <c r="D16916">
        <f>TEST_DATA!D16916</f>
        <v/>
      </c>
      <c r="E16916">
        <f>TEST_DATA!E16916</f>
        <v/>
      </c>
    </row>
    <row r="16917">
      <c r="A16917">
        <f>TEST_DATA!A16917</f>
        <v/>
      </c>
      <c r="B16917">
        <f>TEST_DATA!B16917</f>
        <v/>
      </c>
      <c r="C16917">
        <f>TEST_DATA!C16917</f>
        <v/>
      </c>
      <c r="D16917">
        <f>TEST_DATA!D16917</f>
        <v/>
      </c>
      <c r="E16917">
        <f>TEST_DATA!E16917</f>
        <v/>
      </c>
    </row>
    <row r="16918">
      <c r="A16918">
        <f>TEST_DATA!A16918</f>
        <v/>
      </c>
      <c r="B16918">
        <f>TEST_DATA!B16918</f>
        <v/>
      </c>
      <c r="C16918">
        <f>TEST_DATA!C16918</f>
        <v/>
      </c>
      <c r="D16918">
        <f>TEST_DATA!D16918</f>
        <v/>
      </c>
      <c r="E16918">
        <f>TEST_DATA!E16918</f>
        <v/>
      </c>
    </row>
    <row r="16919">
      <c r="A16919">
        <f>TEST_DATA!A16919</f>
        <v/>
      </c>
      <c r="B16919">
        <f>TEST_DATA!B16919</f>
        <v/>
      </c>
      <c r="C16919">
        <f>TEST_DATA!C16919</f>
        <v/>
      </c>
      <c r="D16919">
        <f>TEST_DATA!D16919</f>
        <v/>
      </c>
      <c r="E16919">
        <f>TEST_DATA!E16919</f>
        <v/>
      </c>
    </row>
    <row r="16920">
      <c r="A16920">
        <f>TEST_DATA!A16920</f>
        <v/>
      </c>
      <c r="B16920">
        <f>TEST_DATA!B16920</f>
        <v/>
      </c>
      <c r="C16920">
        <f>TEST_DATA!C16920</f>
        <v/>
      </c>
      <c r="D16920">
        <f>TEST_DATA!D16920</f>
        <v/>
      </c>
      <c r="E16920">
        <f>TEST_DATA!E16920</f>
        <v/>
      </c>
    </row>
    <row r="16921">
      <c r="A16921">
        <f>TEST_DATA!A16921</f>
        <v/>
      </c>
      <c r="B16921">
        <f>TEST_DATA!B16921</f>
        <v/>
      </c>
      <c r="C16921">
        <f>TEST_DATA!C16921</f>
        <v/>
      </c>
      <c r="D16921">
        <f>TEST_DATA!D16921</f>
        <v/>
      </c>
      <c r="E16921">
        <f>TEST_DATA!E16921</f>
        <v/>
      </c>
    </row>
    <row r="16922">
      <c r="A16922">
        <f>TEST_DATA!A16922</f>
        <v/>
      </c>
      <c r="B16922">
        <f>TEST_DATA!B16922</f>
        <v/>
      </c>
      <c r="C16922">
        <f>TEST_DATA!C16922</f>
        <v/>
      </c>
      <c r="D16922">
        <f>TEST_DATA!D16922</f>
        <v/>
      </c>
      <c r="E16922">
        <f>TEST_DATA!E16922</f>
        <v/>
      </c>
    </row>
    <row r="16923">
      <c r="A16923">
        <f>TEST_DATA!A16923</f>
        <v/>
      </c>
      <c r="B16923">
        <f>TEST_DATA!B16923</f>
        <v/>
      </c>
      <c r="C16923">
        <f>TEST_DATA!C16923</f>
        <v/>
      </c>
      <c r="D16923">
        <f>TEST_DATA!D16923</f>
        <v/>
      </c>
      <c r="E16923">
        <f>TEST_DATA!E16923</f>
        <v/>
      </c>
    </row>
    <row r="16924">
      <c r="A16924">
        <f>TEST_DATA!A16924</f>
        <v/>
      </c>
      <c r="B16924">
        <f>TEST_DATA!B16924</f>
        <v/>
      </c>
      <c r="C16924">
        <f>TEST_DATA!C16924</f>
        <v/>
      </c>
      <c r="D16924">
        <f>TEST_DATA!D16924</f>
        <v/>
      </c>
      <c r="E16924">
        <f>TEST_DATA!E16924</f>
        <v/>
      </c>
    </row>
    <row r="16925">
      <c r="A16925">
        <f>TEST_DATA!A16925</f>
        <v/>
      </c>
      <c r="B16925">
        <f>TEST_DATA!B16925</f>
        <v/>
      </c>
      <c r="C16925">
        <f>TEST_DATA!C16925</f>
        <v/>
      </c>
      <c r="D16925">
        <f>TEST_DATA!D16925</f>
        <v/>
      </c>
      <c r="E16925">
        <f>TEST_DATA!E16925</f>
        <v/>
      </c>
    </row>
    <row r="16926">
      <c r="A16926">
        <f>TEST_DATA!A16926</f>
        <v/>
      </c>
      <c r="B16926">
        <f>TEST_DATA!B16926</f>
        <v/>
      </c>
      <c r="C16926">
        <f>TEST_DATA!C16926</f>
        <v/>
      </c>
      <c r="D16926">
        <f>TEST_DATA!D16926</f>
        <v/>
      </c>
      <c r="E16926">
        <f>TEST_DATA!E16926</f>
        <v/>
      </c>
    </row>
    <row r="16927">
      <c r="A16927">
        <f>TEST_DATA!A16927</f>
        <v/>
      </c>
      <c r="B16927">
        <f>TEST_DATA!B16927</f>
        <v/>
      </c>
      <c r="C16927">
        <f>TEST_DATA!C16927</f>
        <v/>
      </c>
      <c r="D16927">
        <f>TEST_DATA!D16927</f>
        <v/>
      </c>
      <c r="E16927">
        <f>TEST_DATA!E16927</f>
        <v/>
      </c>
    </row>
    <row r="16928">
      <c r="A16928">
        <f>TEST_DATA!A16928</f>
        <v/>
      </c>
      <c r="B16928">
        <f>TEST_DATA!B16928</f>
        <v/>
      </c>
      <c r="C16928">
        <f>TEST_DATA!C16928</f>
        <v/>
      </c>
      <c r="D16928">
        <f>TEST_DATA!D16928</f>
        <v/>
      </c>
      <c r="E16928">
        <f>TEST_DATA!E16928</f>
        <v/>
      </c>
    </row>
    <row r="16929">
      <c r="A16929">
        <f>TEST_DATA!A16929</f>
        <v/>
      </c>
      <c r="B16929">
        <f>TEST_DATA!B16929</f>
        <v/>
      </c>
      <c r="C16929">
        <f>TEST_DATA!C16929</f>
        <v/>
      </c>
      <c r="D16929">
        <f>TEST_DATA!D16929</f>
        <v/>
      </c>
      <c r="E16929">
        <f>TEST_DATA!E16929</f>
        <v/>
      </c>
    </row>
    <row r="16930">
      <c r="A16930">
        <f>TEST_DATA!A16930</f>
        <v/>
      </c>
      <c r="B16930">
        <f>TEST_DATA!B16930</f>
        <v/>
      </c>
      <c r="C16930">
        <f>TEST_DATA!C16930</f>
        <v/>
      </c>
      <c r="D16930">
        <f>TEST_DATA!D16930</f>
        <v/>
      </c>
      <c r="E16930">
        <f>TEST_DATA!E16930</f>
        <v/>
      </c>
    </row>
    <row r="16931">
      <c r="A16931">
        <f>TEST_DATA!A16931</f>
        <v/>
      </c>
      <c r="B16931">
        <f>TEST_DATA!B16931</f>
        <v/>
      </c>
      <c r="C16931">
        <f>TEST_DATA!C16931</f>
        <v/>
      </c>
      <c r="D16931">
        <f>TEST_DATA!D16931</f>
        <v/>
      </c>
      <c r="E16931">
        <f>TEST_DATA!E16931</f>
        <v/>
      </c>
    </row>
    <row r="16932">
      <c r="A16932">
        <f>TEST_DATA!A16932</f>
        <v/>
      </c>
      <c r="B16932">
        <f>TEST_DATA!B16932</f>
        <v/>
      </c>
      <c r="C16932">
        <f>TEST_DATA!C16932</f>
        <v/>
      </c>
      <c r="D16932">
        <f>TEST_DATA!D16932</f>
        <v/>
      </c>
      <c r="E16932">
        <f>TEST_DATA!E16932</f>
        <v/>
      </c>
    </row>
    <row r="16933">
      <c r="A16933">
        <f>TEST_DATA!A16933</f>
        <v/>
      </c>
      <c r="B16933">
        <f>TEST_DATA!B16933</f>
        <v/>
      </c>
      <c r="C16933">
        <f>TEST_DATA!C16933</f>
        <v/>
      </c>
      <c r="D16933">
        <f>TEST_DATA!D16933</f>
        <v/>
      </c>
      <c r="E16933">
        <f>TEST_DATA!E16933</f>
        <v/>
      </c>
    </row>
    <row r="16934">
      <c r="A16934">
        <f>TEST_DATA!A16934</f>
        <v/>
      </c>
      <c r="B16934">
        <f>TEST_DATA!B16934</f>
        <v/>
      </c>
      <c r="C16934">
        <f>TEST_DATA!C16934</f>
        <v/>
      </c>
      <c r="D16934">
        <f>TEST_DATA!D16934</f>
        <v/>
      </c>
      <c r="E16934">
        <f>TEST_DATA!E16934</f>
        <v/>
      </c>
    </row>
    <row r="16935">
      <c r="A16935">
        <f>TEST_DATA!A16935</f>
        <v/>
      </c>
      <c r="B16935">
        <f>TEST_DATA!B16935</f>
        <v/>
      </c>
      <c r="C16935">
        <f>TEST_DATA!C16935</f>
        <v/>
      </c>
      <c r="D16935">
        <f>TEST_DATA!D16935</f>
        <v/>
      </c>
      <c r="E16935">
        <f>TEST_DATA!E16935</f>
        <v/>
      </c>
    </row>
    <row r="16936">
      <c r="A16936">
        <f>TEST_DATA!A16936</f>
        <v/>
      </c>
      <c r="B16936">
        <f>TEST_DATA!B16936</f>
        <v/>
      </c>
      <c r="C16936">
        <f>TEST_DATA!C16936</f>
        <v/>
      </c>
      <c r="D16936">
        <f>TEST_DATA!D16936</f>
        <v/>
      </c>
      <c r="E16936">
        <f>TEST_DATA!E16936</f>
        <v/>
      </c>
    </row>
    <row r="16937">
      <c r="A16937">
        <f>TEST_DATA!A16937</f>
        <v/>
      </c>
      <c r="B16937">
        <f>TEST_DATA!B16937</f>
        <v/>
      </c>
      <c r="C16937">
        <f>TEST_DATA!C16937</f>
        <v/>
      </c>
      <c r="D16937">
        <f>TEST_DATA!D16937</f>
        <v/>
      </c>
      <c r="E16937">
        <f>TEST_DATA!E16937</f>
        <v/>
      </c>
    </row>
    <row r="16938">
      <c r="A16938">
        <f>TEST_DATA!A16938</f>
        <v/>
      </c>
      <c r="B16938">
        <f>TEST_DATA!B16938</f>
        <v/>
      </c>
      <c r="C16938">
        <f>TEST_DATA!C16938</f>
        <v/>
      </c>
      <c r="D16938">
        <f>TEST_DATA!D16938</f>
        <v/>
      </c>
      <c r="E16938">
        <f>TEST_DATA!E16938</f>
        <v/>
      </c>
    </row>
    <row r="16939">
      <c r="A16939">
        <f>TEST_DATA!A16939</f>
        <v/>
      </c>
      <c r="B16939">
        <f>TEST_DATA!B16939</f>
        <v/>
      </c>
      <c r="C16939">
        <f>TEST_DATA!C16939</f>
        <v/>
      </c>
      <c r="D16939">
        <f>TEST_DATA!D16939</f>
        <v/>
      </c>
      <c r="E16939">
        <f>TEST_DATA!E16939</f>
        <v/>
      </c>
    </row>
    <row r="16940">
      <c r="A16940">
        <f>TEST_DATA!A16940</f>
        <v/>
      </c>
      <c r="B16940">
        <f>TEST_DATA!B16940</f>
        <v/>
      </c>
      <c r="C16940">
        <f>TEST_DATA!C16940</f>
        <v/>
      </c>
      <c r="D16940">
        <f>TEST_DATA!D16940</f>
        <v/>
      </c>
      <c r="E16940">
        <f>TEST_DATA!E16940</f>
        <v/>
      </c>
    </row>
    <row r="16941">
      <c r="A16941">
        <f>TEST_DATA!A16941</f>
        <v/>
      </c>
      <c r="B16941">
        <f>TEST_DATA!B16941</f>
        <v/>
      </c>
      <c r="C16941">
        <f>TEST_DATA!C16941</f>
        <v/>
      </c>
      <c r="D16941">
        <f>TEST_DATA!D16941</f>
        <v/>
      </c>
      <c r="E16941">
        <f>TEST_DATA!E16941</f>
        <v/>
      </c>
    </row>
    <row r="16942">
      <c r="A16942">
        <f>TEST_DATA!A16942</f>
        <v/>
      </c>
      <c r="B16942">
        <f>TEST_DATA!B16942</f>
        <v/>
      </c>
      <c r="C16942">
        <f>TEST_DATA!C16942</f>
        <v/>
      </c>
      <c r="D16942">
        <f>TEST_DATA!D16942</f>
        <v/>
      </c>
      <c r="E16942">
        <f>TEST_DATA!E16942</f>
        <v/>
      </c>
    </row>
    <row r="16943">
      <c r="A16943">
        <f>TEST_DATA!A16943</f>
        <v/>
      </c>
      <c r="B16943">
        <f>TEST_DATA!B16943</f>
        <v/>
      </c>
      <c r="C16943">
        <f>TEST_DATA!C16943</f>
        <v/>
      </c>
      <c r="D16943">
        <f>TEST_DATA!D16943</f>
        <v/>
      </c>
      <c r="E16943">
        <f>TEST_DATA!E16943</f>
        <v/>
      </c>
    </row>
    <row r="16944">
      <c r="A16944">
        <f>TEST_DATA!A16944</f>
        <v/>
      </c>
      <c r="B16944">
        <f>TEST_DATA!B16944</f>
        <v/>
      </c>
      <c r="C16944">
        <f>TEST_DATA!C16944</f>
        <v/>
      </c>
      <c r="D16944">
        <f>TEST_DATA!D16944</f>
        <v/>
      </c>
      <c r="E16944">
        <f>TEST_DATA!E16944</f>
        <v/>
      </c>
    </row>
    <row r="16945">
      <c r="A16945">
        <f>TEST_DATA!A16945</f>
        <v/>
      </c>
      <c r="B16945">
        <f>TEST_DATA!B16945</f>
        <v/>
      </c>
      <c r="C16945">
        <f>TEST_DATA!C16945</f>
        <v/>
      </c>
      <c r="D16945">
        <f>TEST_DATA!D16945</f>
        <v/>
      </c>
      <c r="E16945">
        <f>TEST_DATA!E16945</f>
        <v/>
      </c>
    </row>
    <row r="16946">
      <c r="A16946">
        <f>TEST_DATA!A16946</f>
        <v/>
      </c>
      <c r="B16946">
        <f>TEST_DATA!B16946</f>
        <v/>
      </c>
      <c r="C16946">
        <f>TEST_DATA!C16946</f>
        <v/>
      </c>
      <c r="D16946">
        <f>TEST_DATA!D16946</f>
        <v/>
      </c>
      <c r="E16946">
        <f>TEST_DATA!E16946</f>
        <v/>
      </c>
    </row>
    <row r="16947">
      <c r="A16947">
        <f>TEST_DATA!A16947</f>
        <v/>
      </c>
      <c r="B16947">
        <f>TEST_DATA!B16947</f>
        <v/>
      </c>
      <c r="C16947">
        <f>TEST_DATA!C16947</f>
        <v/>
      </c>
      <c r="D16947">
        <f>TEST_DATA!D16947</f>
        <v/>
      </c>
      <c r="E16947">
        <f>TEST_DATA!E16947</f>
        <v/>
      </c>
    </row>
    <row r="16948">
      <c r="A16948">
        <f>TEST_DATA!A16948</f>
        <v/>
      </c>
      <c r="B16948">
        <f>TEST_DATA!B16948</f>
        <v/>
      </c>
      <c r="C16948">
        <f>TEST_DATA!C16948</f>
        <v/>
      </c>
      <c r="D16948">
        <f>TEST_DATA!D16948</f>
        <v/>
      </c>
      <c r="E16948">
        <f>TEST_DATA!E16948</f>
        <v/>
      </c>
    </row>
    <row r="16949">
      <c r="A16949">
        <f>TEST_DATA!A16949</f>
        <v/>
      </c>
      <c r="B16949">
        <f>TEST_DATA!B16949</f>
        <v/>
      </c>
      <c r="C16949">
        <f>TEST_DATA!C16949</f>
        <v/>
      </c>
      <c r="D16949">
        <f>TEST_DATA!D16949</f>
        <v/>
      </c>
      <c r="E16949">
        <f>TEST_DATA!E16949</f>
        <v/>
      </c>
    </row>
    <row r="16950">
      <c r="A16950">
        <f>TEST_DATA!A16950</f>
        <v/>
      </c>
      <c r="B16950">
        <f>TEST_DATA!B16950</f>
        <v/>
      </c>
      <c r="C16950">
        <f>TEST_DATA!C16950</f>
        <v/>
      </c>
      <c r="D16950">
        <f>TEST_DATA!D16950</f>
        <v/>
      </c>
      <c r="E16950">
        <f>TEST_DATA!E16950</f>
        <v/>
      </c>
    </row>
    <row r="16951">
      <c r="A16951">
        <f>TEST_DATA!A16951</f>
        <v/>
      </c>
      <c r="B16951">
        <f>TEST_DATA!B16951</f>
        <v/>
      </c>
      <c r="C16951">
        <f>TEST_DATA!C16951</f>
        <v/>
      </c>
      <c r="D16951">
        <f>TEST_DATA!D16951</f>
        <v/>
      </c>
      <c r="E16951">
        <f>TEST_DATA!E16951</f>
        <v/>
      </c>
    </row>
    <row r="16952">
      <c r="A16952">
        <f>TEST_DATA!A16952</f>
        <v/>
      </c>
      <c r="B16952">
        <f>TEST_DATA!B16952</f>
        <v/>
      </c>
      <c r="C16952">
        <f>TEST_DATA!C16952</f>
        <v/>
      </c>
      <c r="D16952">
        <f>TEST_DATA!D16952</f>
        <v/>
      </c>
      <c r="E16952">
        <f>TEST_DATA!E16952</f>
        <v/>
      </c>
    </row>
    <row r="16953">
      <c r="A16953">
        <f>TEST_DATA!A16953</f>
        <v/>
      </c>
      <c r="B16953">
        <f>TEST_DATA!B16953</f>
        <v/>
      </c>
      <c r="C16953">
        <f>TEST_DATA!C16953</f>
        <v/>
      </c>
      <c r="D16953">
        <f>TEST_DATA!D16953</f>
        <v/>
      </c>
      <c r="E16953">
        <f>TEST_DATA!E16953</f>
        <v/>
      </c>
    </row>
    <row r="16954">
      <c r="A16954">
        <f>TEST_DATA!A16954</f>
        <v/>
      </c>
      <c r="B16954">
        <f>TEST_DATA!B16954</f>
        <v/>
      </c>
      <c r="C16954">
        <f>TEST_DATA!C16954</f>
        <v/>
      </c>
      <c r="D16954">
        <f>TEST_DATA!D16954</f>
        <v/>
      </c>
      <c r="E16954">
        <f>TEST_DATA!E16954</f>
        <v/>
      </c>
    </row>
    <row r="16955">
      <c r="A16955">
        <f>TEST_DATA!A16955</f>
        <v/>
      </c>
      <c r="B16955">
        <f>TEST_DATA!B16955</f>
        <v/>
      </c>
      <c r="C16955">
        <f>TEST_DATA!C16955</f>
        <v/>
      </c>
      <c r="D16955">
        <f>TEST_DATA!D16955</f>
        <v/>
      </c>
      <c r="E16955">
        <f>TEST_DATA!E16955</f>
        <v/>
      </c>
    </row>
    <row r="16956">
      <c r="A16956">
        <f>TEST_DATA!A16956</f>
        <v/>
      </c>
      <c r="B16956">
        <f>TEST_DATA!B16956</f>
        <v/>
      </c>
      <c r="C16956">
        <f>TEST_DATA!C16956</f>
        <v/>
      </c>
      <c r="D16956">
        <f>TEST_DATA!D16956</f>
        <v/>
      </c>
      <c r="E16956">
        <f>TEST_DATA!E16956</f>
        <v/>
      </c>
    </row>
    <row r="16957">
      <c r="A16957">
        <f>TEST_DATA!A16957</f>
        <v/>
      </c>
      <c r="B16957">
        <f>TEST_DATA!B16957</f>
        <v/>
      </c>
      <c r="C16957">
        <f>TEST_DATA!C16957</f>
        <v/>
      </c>
      <c r="D16957">
        <f>TEST_DATA!D16957</f>
        <v/>
      </c>
      <c r="E16957">
        <f>TEST_DATA!E16957</f>
        <v/>
      </c>
    </row>
    <row r="16958">
      <c r="A16958">
        <f>TEST_DATA!A16958</f>
        <v/>
      </c>
      <c r="B16958">
        <f>TEST_DATA!B16958</f>
        <v/>
      </c>
      <c r="C16958">
        <f>TEST_DATA!C16958</f>
        <v/>
      </c>
      <c r="D16958">
        <f>TEST_DATA!D16958</f>
        <v/>
      </c>
      <c r="E16958">
        <f>TEST_DATA!E16958</f>
        <v/>
      </c>
    </row>
    <row r="16959">
      <c r="A16959">
        <f>TEST_DATA!A16959</f>
        <v/>
      </c>
      <c r="B16959">
        <f>TEST_DATA!B16959</f>
        <v/>
      </c>
      <c r="C16959">
        <f>TEST_DATA!C16959</f>
        <v/>
      </c>
      <c r="D16959">
        <f>TEST_DATA!D16959</f>
        <v/>
      </c>
      <c r="E16959">
        <f>TEST_DATA!E16959</f>
        <v/>
      </c>
    </row>
    <row r="16960">
      <c r="A16960">
        <f>TEST_DATA!A16960</f>
        <v/>
      </c>
      <c r="B16960">
        <f>TEST_DATA!B16960</f>
        <v/>
      </c>
      <c r="C16960">
        <f>TEST_DATA!C16960</f>
        <v/>
      </c>
      <c r="D16960">
        <f>TEST_DATA!D16960</f>
        <v/>
      </c>
      <c r="E16960">
        <f>TEST_DATA!E16960</f>
        <v/>
      </c>
    </row>
    <row r="16961">
      <c r="A16961">
        <f>TEST_DATA!A16961</f>
        <v/>
      </c>
      <c r="B16961">
        <f>TEST_DATA!B16961</f>
        <v/>
      </c>
      <c r="C16961">
        <f>TEST_DATA!C16961</f>
        <v/>
      </c>
      <c r="D16961">
        <f>TEST_DATA!D16961</f>
        <v/>
      </c>
      <c r="E16961">
        <f>TEST_DATA!E16961</f>
        <v/>
      </c>
    </row>
    <row r="16962">
      <c r="A16962">
        <f>TEST_DATA!A16962</f>
        <v/>
      </c>
      <c r="B16962">
        <f>TEST_DATA!B16962</f>
        <v/>
      </c>
      <c r="C16962">
        <f>TEST_DATA!C16962</f>
        <v/>
      </c>
      <c r="D16962">
        <f>TEST_DATA!D16962</f>
        <v/>
      </c>
      <c r="E16962">
        <f>TEST_DATA!E16962</f>
        <v/>
      </c>
    </row>
    <row r="16963">
      <c r="A16963">
        <f>TEST_DATA!A16963</f>
        <v/>
      </c>
      <c r="B16963">
        <f>TEST_DATA!B16963</f>
        <v/>
      </c>
      <c r="C16963">
        <f>TEST_DATA!C16963</f>
        <v/>
      </c>
      <c r="D16963">
        <f>TEST_DATA!D16963</f>
        <v/>
      </c>
      <c r="E16963">
        <f>TEST_DATA!E16963</f>
        <v/>
      </c>
    </row>
    <row r="16964">
      <c r="A16964">
        <f>TEST_DATA!A16964</f>
        <v/>
      </c>
      <c r="B16964">
        <f>TEST_DATA!B16964</f>
        <v/>
      </c>
      <c r="C16964">
        <f>TEST_DATA!C16964</f>
        <v/>
      </c>
      <c r="D16964">
        <f>TEST_DATA!D16964</f>
        <v/>
      </c>
      <c r="E16964">
        <f>TEST_DATA!E16964</f>
        <v/>
      </c>
    </row>
    <row r="16965">
      <c r="A16965">
        <f>TEST_DATA!A16965</f>
        <v/>
      </c>
      <c r="B16965">
        <f>TEST_DATA!B16965</f>
        <v/>
      </c>
      <c r="C16965">
        <f>TEST_DATA!C16965</f>
        <v/>
      </c>
      <c r="D16965">
        <f>TEST_DATA!D16965</f>
        <v/>
      </c>
      <c r="E16965">
        <f>TEST_DATA!E16965</f>
        <v/>
      </c>
    </row>
    <row r="16966">
      <c r="A16966">
        <f>TEST_DATA!A16966</f>
        <v/>
      </c>
      <c r="B16966">
        <f>TEST_DATA!B16966</f>
        <v/>
      </c>
      <c r="C16966">
        <f>TEST_DATA!C16966</f>
        <v/>
      </c>
      <c r="D16966">
        <f>TEST_DATA!D16966</f>
        <v/>
      </c>
      <c r="E16966">
        <f>TEST_DATA!E16966</f>
        <v/>
      </c>
    </row>
    <row r="16967">
      <c r="A16967">
        <f>TEST_DATA!A16967</f>
        <v/>
      </c>
      <c r="B16967">
        <f>TEST_DATA!B16967</f>
        <v/>
      </c>
      <c r="C16967">
        <f>TEST_DATA!C16967</f>
        <v/>
      </c>
      <c r="D16967">
        <f>TEST_DATA!D16967</f>
        <v/>
      </c>
      <c r="E16967">
        <f>TEST_DATA!E16967</f>
        <v/>
      </c>
    </row>
    <row r="16968">
      <c r="A16968">
        <f>TEST_DATA!A16968</f>
        <v/>
      </c>
      <c r="B16968">
        <f>TEST_DATA!B16968</f>
        <v/>
      </c>
      <c r="C16968">
        <f>TEST_DATA!C16968</f>
        <v/>
      </c>
      <c r="D16968">
        <f>TEST_DATA!D16968</f>
        <v/>
      </c>
      <c r="E16968">
        <f>TEST_DATA!E16968</f>
        <v/>
      </c>
    </row>
    <row r="16969">
      <c r="A16969">
        <f>TEST_DATA!A16969</f>
        <v/>
      </c>
      <c r="B16969">
        <f>TEST_DATA!B16969</f>
        <v/>
      </c>
      <c r="C16969">
        <f>TEST_DATA!C16969</f>
        <v/>
      </c>
      <c r="D16969">
        <f>TEST_DATA!D16969</f>
        <v/>
      </c>
      <c r="E16969">
        <f>TEST_DATA!E16969</f>
        <v/>
      </c>
    </row>
    <row r="16970">
      <c r="A16970">
        <f>TEST_DATA!A16970</f>
        <v/>
      </c>
      <c r="B16970">
        <f>TEST_DATA!B16970</f>
        <v/>
      </c>
      <c r="C16970">
        <f>TEST_DATA!C16970</f>
        <v/>
      </c>
      <c r="D16970">
        <f>TEST_DATA!D16970</f>
        <v/>
      </c>
      <c r="E16970">
        <f>TEST_DATA!E16970</f>
        <v/>
      </c>
    </row>
    <row r="16971">
      <c r="A16971">
        <f>TEST_DATA!A16971</f>
        <v/>
      </c>
      <c r="B16971">
        <f>TEST_DATA!B16971</f>
        <v/>
      </c>
      <c r="C16971">
        <f>TEST_DATA!C16971</f>
        <v/>
      </c>
      <c r="D16971">
        <f>TEST_DATA!D16971</f>
        <v/>
      </c>
      <c r="E16971">
        <f>TEST_DATA!E16971</f>
        <v/>
      </c>
    </row>
    <row r="16972">
      <c r="A16972">
        <f>TEST_DATA!A16972</f>
        <v/>
      </c>
      <c r="B16972">
        <f>TEST_DATA!B16972</f>
        <v/>
      </c>
      <c r="C16972">
        <f>TEST_DATA!C16972</f>
        <v/>
      </c>
      <c r="D16972">
        <f>TEST_DATA!D16972</f>
        <v/>
      </c>
      <c r="E16972">
        <f>TEST_DATA!E16972</f>
        <v/>
      </c>
    </row>
    <row r="16973">
      <c r="A16973">
        <f>TEST_DATA!A16973</f>
        <v/>
      </c>
      <c r="B16973">
        <f>TEST_DATA!B16973</f>
        <v/>
      </c>
      <c r="C16973">
        <f>TEST_DATA!C16973</f>
        <v/>
      </c>
      <c r="D16973">
        <f>TEST_DATA!D16973</f>
        <v/>
      </c>
      <c r="E16973">
        <f>TEST_DATA!E16973</f>
        <v/>
      </c>
    </row>
    <row r="16974">
      <c r="A16974">
        <f>TEST_DATA!A16974</f>
        <v/>
      </c>
      <c r="B16974">
        <f>TEST_DATA!B16974</f>
        <v/>
      </c>
      <c r="C16974">
        <f>TEST_DATA!C16974</f>
        <v/>
      </c>
      <c r="D16974">
        <f>TEST_DATA!D16974</f>
        <v/>
      </c>
      <c r="E16974">
        <f>TEST_DATA!E16974</f>
        <v/>
      </c>
    </row>
    <row r="16975">
      <c r="A16975">
        <f>TEST_DATA!A16975</f>
        <v/>
      </c>
      <c r="B16975">
        <f>TEST_DATA!B16975</f>
        <v/>
      </c>
      <c r="C16975">
        <f>TEST_DATA!C16975</f>
        <v/>
      </c>
      <c r="D16975">
        <f>TEST_DATA!D16975</f>
        <v/>
      </c>
      <c r="E16975">
        <f>TEST_DATA!E16975</f>
        <v/>
      </c>
    </row>
    <row r="16976">
      <c r="A16976">
        <f>TEST_DATA!A16976</f>
        <v/>
      </c>
      <c r="B16976">
        <f>TEST_DATA!B16976</f>
        <v/>
      </c>
      <c r="C16976">
        <f>TEST_DATA!C16976</f>
        <v/>
      </c>
      <c r="D16976">
        <f>TEST_DATA!D16976</f>
        <v/>
      </c>
      <c r="E16976">
        <f>TEST_DATA!E16976</f>
        <v/>
      </c>
    </row>
    <row r="16977">
      <c r="A16977">
        <f>TEST_DATA!A16977</f>
        <v/>
      </c>
      <c r="B16977">
        <f>TEST_DATA!B16977</f>
        <v/>
      </c>
      <c r="C16977">
        <f>TEST_DATA!C16977</f>
        <v/>
      </c>
      <c r="D16977">
        <f>TEST_DATA!D16977</f>
        <v/>
      </c>
      <c r="E16977">
        <f>TEST_DATA!E16977</f>
        <v/>
      </c>
    </row>
    <row r="16978">
      <c r="A16978">
        <f>TEST_DATA!A16978</f>
        <v/>
      </c>
      <c r="B16978">
        <f>TEST_DATA!B16978</f>
        <v/>
      </c>
      <c r="C16978">
        <f>TEST_DATA!C16978</f>
        <v/>
      </c>
      <c r="D16978">
        <f>TEST_DATA!D16978</f>
        <v/>
      </c>
      <c r="E16978">
        <f>TEST_DATA!E16978</f>
        <v/>
      </c>
    </row>
    <row r="16979">
      <c r="A16979">
        <f>TEST_DATA!A16979</f>
        <v/>
      </c>
      <c r="B16979">
        <f>TEST_DATA!B16979</f>
        <v/>
      </c>
      <c r="C16979">
        <f>TEST_DATA!C16979</f>
        <v/>
      </c>
      <c r="D16979">
        <f>TEST_DATA!D16979</f>
        <v/>
      </c>
      <c r="E16979">
        <f>TEST_DATA!E16979</f>
        <v/>
      </c>
    </row>
    <row r="16980">
      <c r="A16980">
        <f>TEST_DATA!A16980</f>
        <v/>
      </c>
      <c r="B16980">
        <f>TEST_DATA!B16980</f>
        <v/>
      </c>
      <c r="C16980">
        <f>TEST_DATA!C16980</f>
        <v/>
      </c>
      <c r="D16980">
        <f>TEST_DATA!D16980</f>
        <v/>
      </c>
      <c r="E16980">
        <f>TEST_DATA!E16980</f>
        <v/>
      </c>
    </row>
    <row r="16981">
      <c r="A16981">
        <f>TEST_DATA!A16981</f>
        <v/>
      </c>
      <c r="B16981">
        <f>TEST_DATA!B16981</f>
        <v/>
      </c>
      <c r="C16981">
        <f>TEST_DATA!C16981</f>
        <v/>
      </c>
      <c r="D16981">
        <f>TEST_DATA!D16981</f>
        <v/>
      </c>
      <c r="E16981">
        <f>TEST_DATA!E16981</f>
        <v/>
      </c>
    </row>
    <row r="16982">
      <c r="A16982">
        <f>TEST_DATA!A16982</f>
        <v/>
      </c>
      <c r="B16982">
        <f>TEST_DATA!B16982</f>
        <v/>
      </c>
      <c r="C16982">
        <f>TEST_DATA!C16982</f>
        <v/>
      </c>
      <c r="D16982">
        <f>TEST_DATA!D16982</f>
        <v/>
      </c>
      <c r="E16982">
        <f>TEST_DATA!E16982</f>
        <v/>
      </c>
    </row>
    <row r="16983">
      <c r="A16983">
        <f>TEST_DATA!A16983</f>
        <v/>
      </c>
      <c r="B16983">
        <f>TEST_DATA!B16983</f>
        <v/>
      </c>
      <c r="C16983">
        <f>TEST_DATA!C16983</f>
        <v/>
      </c>
      <c r="D16983">
        <f>TEST_DATA!D16983</f>
        <v/>
      </c>
      <c r="E16983">
        <f>TEST_DATA!E16983</f>
        <v/>
      </c>
    </row>
    <row r="16984">
      <c r="A16984">
        <f>TEST_DATA!A16984</f>
        <v/>
      </c>
      <c r="B16984">
        <f>TEST_DATA!B16984</f>
        <v/>
      </c>
      <c r="C16984">
        <f>TEST_DATA!C16984</f>
        <v/>
      </c>
      <c r="D16984">
        <f>TEST_DATA!D16984</f>
        <v/>
      </c>
      <c r="E16984">
        <f>TEST_DATA!E16984</f>
        <v/>
      </c>
    </row>
    <row r="16985">
      <c r="A16985">
        <f>TEST_DATA!A16985</f>
        <v/>
      </c>
      <c r="B16985">
        <f>TEST_DATA!B16985</f>
        <v/>
      </c>
      <c r="C16985">
        <f>TEST_DATA!C16985</f>
        <v/>
      </c>
      <c r="D16985">
        <f>TEST_DATA!D16985</f>
        <v/>
      </c>
      <c r="E16985">
        <f>TEST_DATA!E16985</f>
        <v/>
      </c>
    </row>
    <row r="16986">
      <c r="A16986">
        <f>TEST_DATA!A16986</f>
        <v/>
      </c>
      <c r="B16986">
        <f>TEST_DATA!B16986</f>
        <v/>
      </c>
      <c r="C16986">
        <f>TEST_DATA!C16986</f>
        <v/>
      </c>
      <c r="D16986">
        <f>TEST_DATA!D16986</f>
        <v/>
      </c>
      <c r="E16986">
        <f>TEST_DATA!E16986</f>
        <v/>
      </c>
    </row>
    <row r="16987">
      <c r="A16987">
        <f>TEST_DATA!A16987</f>
        <v/>
      </c>
      <c r="B16987">
        <f>TEST_DATA!B16987</f>
        <v/>
      </c>
      <c r="C16987">
        <f>TEST_DATA!C16987</f>
        <v/>
      </c>
      <c r="D16987">
        <f>TEST_DATA!D16987</f>
        <v/>
      </c>
      <c r="E16987">
        <f>TEST_DATA!E16987</f>
        <v/>
      </c>
    </row>
    <row r="16988">
      <c r="A16988">
        <f>TEST_DATA!A16988</f>
        <v/>
      </c>
      <c r="B16988">
        <f>TEST_DATA!B16988</f>
        <v/>
      </c>
      <c r="C16988">
        <f>TEST_DATA!C16988</f>
        <v/>
      </c>
      <c r="D16988">
        <f>TEST_DATA!D16988</f>
        <v/>
      </c>
      <c r="E16988">
        <f>TEST_DATA!E16988</f>
        <v/>
      </c>
    </row>
    <row r="16989">
      <c r="A16989">
        <f>TEST_DATA!A16989</f>
        <v/>
      </c>
      <c r="B16989">
        <f>TEST_DATA!B16989</f>
        <v/>
      </c>
      <c r="C16989">
        <f>TEST_DATA!C16989</f>
        <v/>
      </c>
      <c r="D16989">
        <f>TEST_DATA!D16989</f>
        <v/>
      </c>
      <c r="E16989">
        <f>TEST_DATA!E16989</f>
        <v/>
      </c>
    </row>
    <row r="16990">
      <c r="A16990">
        <f>TEST_DATA!A16990</f>
        <v/>
      </c>
      <c r="B16990">
        <f>TEST_DATA!B16990</f>
        <v/>
      </c>
      <c r="C16990">
        <f>TEST_DATA!C16990</f>
        <v/>
      </c>
      <c r="D16990">
        <f>TEST_DATA!D16990</f>
        <v/>
      </c>
      <c r="E16990">
        <f>TEST_DATA!E16990</f>
        <v/>
      </c>
    </row>
    <row r="16991">
      <c r="A16991">
        <f>TEST_DATA!A16991</f>
        <v/>
      </c>
      <c r="B16991">
        <f>TEST_DATA!B16991</f>
        <v/>
      </c>
      <c r="C16991">
        <f>TEST_DATA!C16991</f>
        <v/>
      </c>
      <c r="D16991">
        <f>TEST_DATA!D16991</f>
        <v/>
      </c>
      <c r="E16991">
        <f>TEST_DATA!E16991</f>
        <v/>
      </c>
    </row>
    <row r="16992">
      <c r="A16992">
        <f>TEST_DATA!A16992</f>
        <v/>
      </c>
      <c r="B16992">
        <f>TEST_DATA!B16992</f>
        <v/>
      </c>
      <c r="C16992">
        <f>TEST_DATA!C16992</f>
        <v/>
      </c>
      <c r="D16992">
        <f>TEST_DATA!D16992</f>
        <v/>
      </c>
      <c r="E16992">
        <f>TEST_DATA!E16992</f>
        <v/>
      </c>
    </row>
    <row r="16993">
      <c r="A16993">
        <f>TEST_DATA!A16993</f>
        <v/>
      </c>
      <c r="B16993">
        <f>TEST_DATA!B16993</f>
        <v/>
      </c>
      <c r="C16993">
        <f>TEST_DATA!C16993</f>
        <v/>
      </c>
      <c r="D16993">
        <f>TEST_DATA!D16993</f>
        <v/>
      </c>
      <c r="E16993">
        <f>TEST_DATA!E16993</f>
        <v/>
      </c>
    </row>
    <row r="16994">
      <c r="A16994">
        <f>TEST_DATA!A16994</f>
        <v/>
      </c>
      <c r="B16994">
        <f>TEST_DATA!B16994</f>
        <v/>
      </c>
      <c r="C16994">
        <f>TEST_DATA!C16994</f>
        <v/>
      </c>
      <c r="D16994">
        <f>TEST_DATA!D16994</f>
        <v/>
      </c>
      <c r="E16994">
        <f>TEST_DATA!E16994</f>
        <v/>
      </c>
    </row>
    <row r="16995">
      <c r="A16995">
        <f>TEST_DATA!A16995</f>
        <v/>
      </c>
      <c r="B16995">
        <f>TEST_DATA!B16995</f>
        <v/>
      </c>
      <c r="C16995">
        <f>TEST_DATA!C16995</f>
        <v/>
      </c>
      <c r="D16995">
        <f>TEST_DATA!D16995</f>
        <v/>
      </c>
      <c r="E16995">
        <f>TEST_DATA!E16995</f>
        <v/>
      </c>
    </row>
    <row r="16996">
      <c r="A16996">
        <f>TEST_DATA!A16996</f>
        <v/>
      </c>
      <c r="B16996">
        <f>TEST_DATA!B16996</f>
        <v/>
      </c>
      <c r="C16996">
        <f>TEST_DATA!C16996</f>
        <v/>
      </c>
      <c r="D16996">
        <f>TEST_DATA!D16996</f>
        <v/>
      </c>
      <c r="E16996">
        <f>TEST_DATA!E16996</f>
        <v/>
      </c>
    </row>
    <row r="16997">
      <c r="A16997">
        <f>TEST_DATA!A16997</f>
        <v/>
      </c>
      <c r="B16997">
        <f>TEST_DATA!B16997</f>
        <v/>
      </c>
      <c r="C16997">
        <f>TEST_DATA!C16997</f>
        <v/>
      </c>
      <c r="D16997">
        <f>TEST_DATA!D16997</f>
        <v/>
      </c>
      <c r="E16997">
        <f>TEST_DATA!E16997</f>
        <v/>
      </c>
    </row>
    <row r="16998">
      <c r="A16998">
        <f>TEST_DATA!A16998</f>
        <v/>
      </c>
      <c r="B16998">
        <f>TEST_DATA!B16998</f>
        <v/>
      </c>
      <c r="C16998">
        <f>TEST_DATA!C16998</f>
        <v/>
      </c>
      <c r="D16998">
        <f>TEST_DATA!D16998</f>
        <v/>
      </c>
      <c r="E16998">
        <f>TEST_DATA!E16998</f>
        <v/>
      </c>
    </row>
    <row r="16999">
      <c r="A16999">
        <f>TEST_DATA!A16999</f>
        <v/>
      </c>
      <c r="B16999">
        <f>TEST_DATA!B16999</f>
        <v/>
      </c>
      <c r="C16999">
        <f>TEST_DATA!C16999</f>
        <v/>
      </c>
      <c r="D16999">
        <f>TEST_DATA!D16999</f>
        <v/>
      </c>
      <c r="E16999">
        <f>TEST_DATA!E16999</f>
        <v/>
      </c>
    </row>
    <row r="17000">
      <c r="A17000">
        <f>TEST_DATA!A17000</f>
        <v/>
      </c>
      <c r="B17000">
        <f>TEST_DATA!B17000</f>
        <v/>
      </c>
      <c r="C17000">
        <f>TEST_DATA!C17000</f>
        <v/>
      </c>
      <c r="D17000">
        <f>TEST_DATA!D17000</f>
        <v/>
      </c>
      <c r="E17000">
        <f>TEST_DATA!E17000</f>
        <v/>
      </c>
    </row>
    <row r="17001">
      <c r="A17001">
        <f>TEST_DATA!A17001</f>
        <v/>
      </c>
      <c r="B17001">
        <f>TEST_DATA!B17001</f>
        <v/>
      </c>
      <c r="C17001">
        <f>TEST_DATA!C17001</f>
        <v/>
      </c>
      <c r="D17001">
        <f>TEST_DATA!D17001</f>
        <v/>
      </c>
      <c r="E17001">
        <f>TEST_DATA!E17001</f>
        <v/>
      </c>
    </row>
    <row r="17002">
      <c r="A17002">
        <f>TEST_DATA!A17002</f>
        <v/>
      </c>
      <c r="B17002">
        <f>TEST_DATA!B17002</f>
        <v/>
      </c>
      <c r="C17002">
        <f>TEST_DATA!C17002</f>
        <v/>
      </c>
      <c r="D17002">
        <f>TEST_DATA!D17002</f>
        <v/>
      </c>
      <c r="E17002">
        <f>TEST_DATA!E17002</f>
        <v/>
      </c>
    </row>
    <row r="17003">
      <c r="A17003">
        <f>TEST_DATA!A17003</f>
        <v/>
      </c>
      <c r="B17003">
        <f>TEST_DATA!B17003</f>
        <v/>
      </c>
      <c r="C17003">
        <f>TEST_DATA!C17003</f>
        <v/>
      </c>
      <c r="D17003">
        <f>TEST_DATA!D17003</f>
        <v/>
      </c>
      <c r="E17003">
        <f>TEST_DATA!E17003</f>
        <v/>
      </c>
    </row>
    <row r="17004">
      <c r="A17004">
        <f>TEST_DATA!A17004</f>
        <v/>
      </c>
      <c r="B17004">
        <f>TEST_DATA!B17004</f>
        <v/>
      </c>
      <c r="C17004">
        <f>TEST_DATA!C17004</f>
        <v/>
      </c>
      <c r="D17004">
        <f>TEST_DATA!D17004</f>
        <v/>
      </c>
      <c r="E17004">
        <f>TEST_DATA!E17004</f>
        <v/>
      </c>
    </row>
    <row r="17005">
      <c r="A17005">
        <f>TEST_DATA!A17005</f>
        <v/>
      </c>
      <c r="B17005">
        <f>TEST_DATA!B17005</f>
        <v/>
      </c>
      <c r="C17005">
        <f>TEST_DATA!C17005</f>
        <v/>
      </c>
      <c r="D17005">
        <f>TEST_DATA!D17005</f>
        <v/>
      </c>
      <c r="E17005">
        <f>TEST_DATA!E17005</f>
        <v/>
      </c>
    </row>
    <row r="17006">
      <c r="A17006">
        <f>TEST_DATA!A17006</f>
        <v/>
      </c>
      <c r="B17006">
        <f>TEST_DATA!B17006</f>
        <v/>
      </c>
      <c r="C17006">
        <f>TEST_DATA!C17006</f>
        <v/>
      </c>
      <c r="D17006">
        <f>TEST_DATA!D17006</f>
        <v/>
      </c>
      <c r="E17006">
        <f>TEST_DATA!E17006</f>
        <v/>
      </c>
    </row>
    <row r="17007">
      <c r="A17007">
        <f>TEST_DATA!A17007</f>
        <v/>
      </c>
      <c r="B17007">
        <f>TEST_DATA!B17007</f>
        <v/>
      </c>
      <c r="C17007">
        <f>TEST_DATA!C17007</f>
        <v/>
      </c>
      <c r="D17007">
        <f>TEST_DATA!D17007</f>
        <v/>
      </c>
      <c r="E17007">
        <f>TEST_DATA!E17007</f>
        <v/>
      </c>
    </row>
    <row r="17008">
      <c r="A17008">
        <f>TEST_DATA!A17008</f>
        <v/>
      </c>
      <c r="B17008">
        <f>TEST_DATA!B17008</f>
        <v/>
      </c>
      <c r="C17008">
        <f>TEST_DATA!C17008</f>
        <v/>
      </c>
      <c r="D17008">
        <f>TEST_DATA!D17008</f>
        <v/>
      </c>
      <c r="E17008">
        <f>TEST_DATA!E17008</f>
        <v/>
      </c>
    </row>
    <row r="17009">
      <c r="A17009">
        <f>TEST_DATA!A17009</f>
        <v/>
      </c>
      <c r="B17009">
        <f>TEST_DATA!B17009</f>
        <v/>
      </c>
      <c r="C17009">
        <f>TEST_DATA!C17009</f>
        <v/>
      </c>
      <c r="D17009">
        <f>TEST_DATA!D17009</f>
        <v/>
      </c>
      <c r="E17009">
        <f>TEST_DATA!E17009</f>
        <v/>
      </c>
    </row>
    <row r="17010">
      <c r="A17010">
        <f>TEST_DATA!A17010</f>
        <v/>
      </c>
      <c r="B17010">
        <f>TEST_DATA!B17010</f>
        <v/>
      </c>
      <c r="C17010">
        <f>TEST_DATA!C17010</f>
        <v/>
      </c>
      <c r="D17010">
        <f>TEST_DATA!D17010</f>
        <v/>
      </c>
      <c r="E17010">
        <f>TEST_DATA!E17010</f>
        <v/>
      </c>
    </row>
    <row r="17011">
      <c r="A17011">
        <f>TEST_DATA!A17011</f>
        <v/>
      </c>
      <c r="B17011">
        <f>TEST_DATA!B17011</f>
        <v/>
      </c>
      <c r="C17011">
        <f>TEST_DATA!C17011</f>
        <v/>
      </c>
      <c r="D17011">
        <f>TEST_DATA!D17011</f>
        <v/>
      </c>
      <c r="E17011">
        <f>TEST_DATA!E17011</f>
        <v/>
      </c>
    </row>
    <row r="17012">
      <c r="A17012">
        <f>TEST_DATA!A17012</f>
        <v/>
      </c>
      <c r="B17012">
        <f>TEST_DATA!B17012</f>
        <v/>
      </c>
      <c r="C17012">
        <f>TEST_DATA!C17012</f>
        <v/>
      </c>
      <c r="D17012">
        <f>TEST_DATA!D17012</f>
        <v/>
      </c>
      <c r="E17012">
        <f>TEST_DATA!E17012</f>
        <v/>
      </c>
    </row>
    <row r="17013">
      <c r="A17013">
        <f>TEST_DATA!A17013</f>
        <v/>
      </c>
      <c r="B17013">
        <f>TEST_DATA!B17013</f>
        <v/>
      </c>
      <c r="C17013">
        <f>TEST_DATA!C17013</f>
        <v/>
      </c>
      <c r="D17013">
        <f>TEST_DATA!D17013</f>
        <v/>
      </c>
      <c r="E17013">
        <f>TEST_DATA!E17013</f>
        <v/>
      </c>
    </row>
    <row r="17014">
      <c r="A17014">
        <f>TEST_DATA!A17014</f>
        <v/>
      </c>
      <c r="B17014">
        <f>TEST_DATA!B17014</f>
        <v/>
      </c>
      <c r="C17014">
        <f>TEST_DATA!C17014</f>
        <v/>
      </c>
      <c r="D17014">
        <f>TEST_DATA!D17014</f>
        <v/>
      </c>
      <c r="E17014">
        <f>TEST_DATA!E17014</f>
        <v/>
      </c>
    </row>
    <row r="17015">
      <c r="A17015">
        <f>TEST_DATA!A17015</f>
        <v/>
      </c>
      <c r="B17015">
        <f>TEST_DATA!B17015</f>
        <v/>
      </c>
      <c r="C17015">
        <f>TEST_DATA!C17015</f>
        <v/>
      </c>
      <c r="D17015">
        <f>TEST_DATA!D17015</f>
        <v/>
      </c>
      <c r="E17015">
        <f>TEST_DATA!E17015</f>
        <v/>
      </c>
    </row>
    <row r="17016">
      <c r="A17016">
        <f>TEST_DATA!A17016</f>
        <v/>
      </c>
      <c r="B17016">
        <f>TEST_DATA!B17016</f>
        <v/>
      </c>
      <c r="C17016">
        <f>TEST_DATA!C17016</f>
        <v/>
      </c>
      <c r="D17016">
        <f>TEST_DATA!D17016</f>
        <v/>
      </c>
      <c r="E17016">
        <f>TEST_DATA!E17016</f>
        <v/>
      </c>
    </row>
    <row r="17017">
      <c r="A17017">
        <f>TEST_DATA!A17017</f>
        <v/>
      </c>
      <c r="B17017">
        <f>TEST_DATA!B17017</f>
        <v/>
      </c>
      <c r="C17017">
        <f>TEST_DATA!C17017</f>
        <v/>
      </c>
      <c r="D17017">
        <f>TEST_DATA!D17017</f>
        <v/>
      </c>
      <c r="E17017">
        <f>TEST_DATA!E17017</f>
        <v/>
      </c>
    </row>
    <row r="17018">
      <c r="A17018">
        <f>TEST_DATA!A17018</f>
        <v/>
      </c>
      <c r="B17018">
        <f>TEST_DATA!B17018</f>
        <v/>
      </c>
      <c r="C17018">
        <f>TEST_DATA!C17018</f>
        <v/>
      </c>
      <c r="D17018">
        <f>TEST_DATA!D17018</f>
        <v/>
      </c>
      <c r="E17018">
        <f>TEST_DATA!E17018</f>
        <v/>
      </c>
    </row>
    <row r="17019">
      <c r="A17019">
        <f>TEST_DATA!A17019</f>
        <v/>
      </c>
      <c r="B17019">
        <f>TEST_DATA!B17019</f>
        <v/>
      </c>
      <c r="C17019">
        <f>TEST_DATA!C17019</f>
        <v/>
      </c>
      <c r="D17019">
        <f>TEST_DATA!D17019</f>
        <v/>
      </c>
      <c r="E17019">
        <f>TEST_DATA!E17019</f>
        <v/>
      </c>
    </row>
    <row r="17020">
      <c r="A17020">
        <f>TEST_DATA!A17020</f>
        <v/>
      </c>
      <c r="B17020">
        <f>TEST_DATA!B17020</f>
        <v/>
      </c>
      <c r="C17020">
        <f>TEST_DATA!C17020</f>
        <v/>
      </c>
      <c r="D17020">
        <f>TEST_DATA!D17020</f>
        <v/>
      </c>
      <c r="E17020">
        <f>TEST_DATA!E17020</f>
        <v/>
      </c>
    </row>
    <row r="17021">
      <c r="A17021">
        <f>TEST_DATA!A17021</f>
        <v/>
      </c>
      <c r="B17021">
        <f>TEST_DATA!B17021</f>
        <v/>
      </c>
      <c r="C17021">
        <f>TEST_DATA!C17021</f>
        <v/>
      </c>
      <c r="D17021">
        <f>TEST_DATA!D17021</f>
        <v/>
      </c>
      <c r="E17021">
        <f>TEST_DATA!E17021</f>
        <v/>
      </c>
    </row>
    <row r="17022">
      <c r="A17022">
        <f>TEST_DATA!A17022</f>
        <v/>
      </c>
      <c r="B17022">
        <f>TEST_DATA!B17022</f>
        <v/>
      </c>
      <c r="C17022">
        <f>TEST_DATA!C17022</f>
        <v/>
      </c>
      <c r="D17022">
        <f>TEST_DATA!D17022</f>
        <v/>
      </c>
      <c r="E17022">
        <f>TEST_DATA!E17022</f>
        <v/>
      </c>
    </row>
    <row r="17023">
      <c r="A17023">
        <f>TEST_DATA!A17023</f>
        <v/>
      </c>
      <c r="B17023">
        <f>TEST_DATA!B17023</f>
        <v/>
      </c>
      <c r="C17023">
        <f>TEST_DATA!C17023</f>
        <v/>
      </c>
      <c r="D17023">
        <f>TEST_DATA!D17023</f>
        <v/>
      </c>
      <c r="E17023">
        <f>TEST_DATA!E17023</f>
        <v/>
      </c>
    </row>
    <row r="17024">
      <c r="A17024">
        <f>TEST_DATA!A17024</f>
        <v/>
      </c>
      <c r="B17024">
        <f>TEST_DATA!B17024</f>
        <v/>
      </c>
      <c r="C17024">
        <f>TEST_DATA!C17024</f>
        <v/>
      </c>
      <c r="D17024">
        <f>TEST_DATA!D17024</f>
        <v/>
      </c>
      <c r="E17024">
        <f>TEST_DATA!E17024</f>
        <v/>
      </c>
    </row>
    <row r="17025">
      <c r="A17025">
        <f>TEST_DATA!A17025</f>
        <v/>
      </c>
      <c r="B17025">
        <f>TEST_DATA!B17025</f>
        <v/>
      </c>
      <c r="C17025">
        <f>TEST_DATA!C17025</f>
        <v/>
      </c>
      <c r="D17025">
        <f>TEST_DATA!D17025</f>
        <v/>
      </c>
      <c r="E17025">
        <f>TEST_DATA!E17025</f>
        <v/>
      </c>
    </row>
    <row r="17026">
      <c r="A17026">
        <f>TEST_DATA!A17026</f>
        <v/>
      </c>
      <c r="B17026">
        <f>TEST_DATA!B17026</f>
        <v/>
      </c>
      <c r="C17026">
        <f>TEST_DATA!C17026</f>
        <v/>
      </c>
      <c r="D17026">
        <f>TEST_DATA!D17026</f>
        <v/>
      </c>
      <c r="E17026">
        <f>TEST_DATA!E17026</f>
        <v/>
      </c>
    </row>
    <row r="17027">
      <c r="A17027">
        <f>TEST_DATA!A17027</f>
        <v/>
      </c>
      <c r="B17027">
        <f>TEST_DATA!B17027</f>
        <v/>
      </c>
      <c r="C17027">
        <f>TEST_DATA!C17027</f>
        <v/>
      </c>
      <c r="D17027">
        <f>TEST_DATA!D17027</f>
        <v/>
      </c>
      <c r="E17027">
        <f>TEST_DATA!E17027</f>
        <v/>
      </c>
    </row>
    <row r="17028">
      <c r="A17028">
        <f>TEST_DATA!A17028</f>
        <v/>
      </c>
      <c r="B17028">
        <f>TEST_DATA!B17028</f>
        <v/>
      </c>
      <c r="C17028">
        <f>TEST_DATA!C17028</f>
        <v/>
      </c>
      <c r="D17028">
        <f>TEST_DATA!D17028</f>
        <v/>
      </c>
      <c r="E17028">
        <f>TEST_DATA!E17028</f>
        <v/>
      </c>
    </row>
    <row r="17029">
      <c r="A17029">
        <f>TEST_DATA!A17029</f>
        <v/>
      </c>
      <c r="B17029">
        <f>TEST_DATA!B17029</f>
        <v/>
      </c>
      <c r="C17029">
        <f>TEST_DATA!C17029</f>
        <v/>
      </c>
      <c r="D17029">
        <f>TEST_DATA!D17029</f>
        <v/>
      </c>
      <c r="E17029">
        <f>TEST_DATA!E17029</f>
        <v/>
      </c>
    </row>
    <row r="17030">
      <c r="A17030">
        <f>TEST_DATA!A17030</f>
        <v/>
      </c>
      <c r="B17030">
        <f>TEST_DATA!B17030</f>
        <v/>
      </c>
      <c r="C17030">
        <f>TEST_DATA!C17030</f>
        <v/>
      </c>
      <c r="D17030">
        <f>TEST_DATA!D17030</f>
        <v/>
      </c>
      <c r="E17030">
        <f>TEST_DATA!E17030</f>
        <v/>
      </c>
    </row>
    <row r="17031">
      <c r="A17031">
        <f>TEST_DATA!A17031</f>
        <v/>
      </c>
      <c r="B17031">
        <f>TEST_DATA!B17031</f>
        <v/>
      </c>
      <c r="C17031">
        <f>TEST_DATA!C17031</f>
        <v/>
      </c>
      <c r="D17031">
        <f>TEST_DATA!D17031</f>
        <v/>
      </c>
      <c r="E17031">
        <f>TEST_DATA!E17031</f>
        <v/>
      </c>
    </row>
    <row r="17032">
      <c r="A17032">
        <f>TEST_DATA!A17032</f>
        <v/>
      </c>
      <c r="B17032">
        <f>TEST_DATA!B17032</f>
        <v/>
      </c>
      <c r="C17032">
        <f>TEST_DATA!C17032</f>
        <v/>
      </c>
      <c r="D17032">
        <f>TEST_DATA!D17032</f>
        <v/>
      </c>
      <c r="E17032">
        <f>TEST_DATA!E17032</f>
        <v/>
      </c>
    </row>
    <row r="17033">
      <c r="A17033">
        <f>TEST_DATA!A17033</f>
        <v/>
      </c>
      <c r="B17033">
        <f>TEST_DATA!B17033</f>
        <v/>
      </c>
      <c r="C17033">
        <f>TEST_DATA!C17033</f>
        <v/>
      </c>
      <c r="D17033">
        <f>TEST_DATA!D17033</f>
        <v/>
      </c>
      <c r="E17033">
        <f>TEST_DATA!E17033</f>
        <v/>
      </c>
    </row>
    <row r="17034">
      <c r="A17034">
        <f>TEST_DATA!A17034</f>
        <v/>
      </c>
      <c r="B17034">
        <f>TEST_DATA!B17034</f>
        <v/>
      </c>
      <c r="C17034">
        <f>TEST_DATA!C17034</f>
        <v/>
      </c>
      <c r="D17034">
        <f>TEST_DATA!D17034</f>
        <v/>
      </c>
      <c r="E17034">
        <f>TEST_DATA!E17034</f>
        <v/>
      </c>
    </row>
    <row r="17035">
      <c r="A17035">
        <f>TEST_DATA!A17035</f>
        <v/>
      </c>
      <c r="B17035">
        <f>TEST_DATA!B17035</f>
        <v/>
      </c>
      <c r="C17035">
        <f>TEST_DATA!C17035</f>
        <v/>
      </c>
      <c r="D17035">
        <f>TEST_DATA!D17035</f>
        <v/>
      </c>
      <c r="E17035">
        <f>TEST_DATA!E17035</f>
        <v/>
      </c>
    </row>
    <row r="17036">
      <c r="A17036">
        <f>TEST_DATA!A17036</f>
        <v/>
      </c>
      <c r="B17036">
        <f>TEST_DATA!B17036</f>
        <v/>
      </c>
      <c r="C17036">
        <f>TEST_DATA!C17036</f>
        <v/>
      </c>
      <c r="D17036">
        <f>TEST_DATA!D17036</f>
        <v/>
      </c>
      <c r="E17036">
        <f>TEST_DATA!E17036</f>
        <v/>
      </c>
    </row>
    <row r="17037">
      <c r="A17037">
        <f>TEST_DATA!A17037</f>
        <v/>
      </c>
      <c r="B17037">
        <f>TEST_DATA!B17037</f>
        <v/>
      </c>
      <c r="C17037">
        <f>TEST_DATA!C17037</f>
        <v/>
      </c>
      <c r="D17037">
        <f>TEST_DATA!D17037</f>
        <v/>
      </c>
      <c r="E17037">
        <f>TEST_DATA!E17037</f>
        <v/>
      </c>
    </row>
    <row r="17038">
      <c r="A17038">
        <f>TEST_DATA!A17038</f>
        <v/>
      </c>
      <c r="B17038">
        <f>TEST_DATA!B17038</f>
        <v/>
      </c>
      <c r="C17038">
        <f>TEST_DATA!C17038</f>
        <v/>
      </c>
      <c r="D17038">
        <f>TEST_DATA!D17038</f>
        <v/>
      </c>
      <c r="E17038">
        <f>TEST_DATA!E17038</f>
        <v/>
      </c>
    </row>
    <row r="17039">
      <c r="A17039">
        <f>TEST_DATA!A17039</f>
        <v/>
      </c>
      <c r="B17039">
        <f>TEST_DATA!B17039</f>
        <v/>
      </c>
      <c r="C17039">
        <f>TEST_DATA!C17039</f>
        <v/>
      </c>
      <c r="D17039">
        <f>TEST_DATA!D17039</f>
        <v/>
      </c>
      <c r="E17039">
        <f>TEST_DATA!E17039</f>
        <v/>
      </c>
    </row>
    <row r="17040">
      <c r="A17040">
        <f>TEST_DATA!A17040</f>
        <v/>
      </c>
      <c r="B17040">
        <f>TEST_DATA!B17040</f>
        <v/>
      </c>
      <c r="C17040">
        <f>TEST_DATA!C17040</f>
        <v/>
      </c>
      <c r="D17040">
        <f>TEST_DATA!D17040</f>
        <v/>
      </c>
      <c r="E17040">
        <f>TEST_DATA!E17040</f>
        <v/>
      </c>
    </row>
    <row r="17041">
      <c r="A17041">
        <f>TEST_DATA!A17041</f>
        <v/>
      </c>
      <c r="B17041">
        <f>TEST_DATA!B17041</f>
        <v/>
      </c>
      <c r="C17041">
        <f>TEST_DATA!C17041</f>
        <v/>
      </c>
      <c r="D17041">
        <f>TEST_DATA!D17041</f>
        <v/>
      </c>
      <c r="E17041">
        <f>TEST_DATA!E17041</f>
        <v/>
      </c>
    </row>
    <row r="17042">
      <c r="A17042">
        <f>TEST_DATA!A17042</f>
        <v/>
      </c>
      <c r="B17042">
        <f>TEST_DATA!B17042</f>
        <v/>
      </c>
      <c r="C17042">
        <f>TEST_DATA!C17042</f>
        <v/>
      </c>
      <c r="D17042">
        <f>TEST_DATA!D17042</f>
        <v/>
      </c>
      <c r="E17042">
        <f>TEST_DATA!E17042</f>
        <v/>
      </c>
    </row>
    <row r="17043">
      <c r="A17043">
        <f>TEST_DATA!A17043</f>
        <v/>
      </c>
      <c r="B17043">
        <f>TEST_DATA!B17043</f>
        <v/>
      </c>
      <c r="C17043">
        <f>TEST_DATA!C17043</f>
        <v/>
      </c>
      <c r="D17043">
        <f>TEST_DATA!D17043</f>
        <v/>
      </c>
      <c r="E17043">
        <f>TEST_DATA!E17043</f>
        <v/>
      </c>
    </row>
    <row r="17044">
      <c r="A17044">
        <f>TEST_DATA!A17044</f>
        <v/>
      </c>
      <c r="B17044">
        <f>TEST_DATA!B17044</f>
        <v/>
      </c>
      <c r="C17044">
        <f>TEST_DATA!C17044</f>
        <v/>
      </c>
      <c r="D17044">
        <f>TEST_DATA!D17044</f>
        <v/>
      </c>
      <c r="E17044">
        <f>TEST_DATA!E17044</f>
        <v/>
      </c>
    </row>
    <row r="17045">
      <c r="A17045">
        <f>TEST_DATA!A17045</f>
        <v/>
      </c>
      <c r="B17045">
        <f>TEST_DATA!B17045</f>
        <v/>
      </c>
      <c r="C17045">
        <f>TEST_DATA!C17045</f>
        <v/>
      </c>
      <c r="D17045">
        <f>TEST_DATA!D17045</f>
        <v/>
      </c>
      <c r="E17045">
        <f>TEST_DATA!E17045</f>
        <v/>
      </c>
    </row>
    <row r="17046">
      <c r="A17046">
        <f>TEST_DATA!A17046</f>
        <v/>
      </c>
      <c r="B17046">
        <f>TEST_DATA!B17046</f>
        <v/>
      </c>
      <c r="C17046">
        <f>TEST_DATA!C17046</f>
        <v/>
      </c>
      <c r="D17046">
        <f>TEST_DATA!D17046</f>
        <v/>
      </c>
      <c r="E17046">
        <f>TEST_DATA!E17046</f>
        <v/>
      </c>
    </row>
    <row r="17047">
      <c r="A17047">
        <f>TEST_DATA!A17047</f>
        <v/>
      </c>
      <c r="B17047">
        <f>TEST_DATA!B17047</f>
        <v/>
      </c>
      <c r="C17047">
        <f>TEST_DATA!C17047</f>
        <v/>
      </c>
      <c r="D17047">
        <f>TEST_DATA!D17047</f>
        <v/>
      </c>
      <c r="E17047">
        <f>TEST_DATA!E17047</f>
        <v/>
      </c>
    </row>
    <row r="17048">
      <c r="A17048">
        <f>TEST_DATA!A17048</f>
        <v/>
      </c>
      <c r="B17048">
        <f>TEST_DATA!B17048</f>
        <v/>
      </c>
      <c r="C17048">
        <f>TEST_DATA!C17048</f>
        <v/>
      </c>
      <c r="D17048">
        <f>TEST_DATA!D17048</f>
        <v/>
      </c>
      <c r="E17048">
        <f>TEST_DATA!E17048</f>
        <v/>
      </c>
    </row>
    <row r="17049">
      <c r="A17049">
        <f>TEST_DATA!A17049</f>
        <v/>
      </c>
      <c r="B17049">
        <f>TEST_DATA!B17049</f>
        <v/>
      </c>
      <c r="C17049">
        <f>TEST_DATA!C17049</f>
        <v/>
      </c>
      <c r="D17049">
        <f>TEST_DATA!D17049</f>
        <v/>
      </c>
      <c r="E17049">
        <f>TEST_DATA!E17049</f>
        <v/>
      </c>
    </row>
    <row r="17050">
      <c r="A17050">
        <f>TEST_DATA!A17050</f>
        <v/>
      </c>
      <c r="B17050">
        <f>TEST_DATA!B17050</f>
        <v/>
      </c>
      <c r="C17050">
        <f>TEST_DATA!C17050</f>
        <v/>
      </c>
      <c r="D17050">
        <f>TEST_DATA!D17050</f>
        <v/>
      </c>
      <c r="E17050">
        <f>TEST_DATA!E17050</f>
        <v/>
      </c>
    </row>
    <row r="17051">
      <c r="A17051">
        <f>TEST_DATA!A17051</f>
        <v/>
      </c>
      <c r="B17051">
        <f>TEST_DATA!B17051</f>
        <v/>
      </c>
      <c r="C17051">
        <f>TEST_DATA!C17051</f>
        <v/>
      </c>
      <c r="D17051">
        <f>TEST_DATA!D17051</f>
        <v/>
      </c>
      <c r="E17051">
        <f>TEST_DATA!E17051</f>
        <v/>
      </c>
    </row>
    <row r="17052">
      <c r="A17052">
        <f>TEST_DATA!A17052</f>
        <v/>
      </c>
      <c r="B17052">
        <f>TEST_DATA!B17052</f>
        <v/>
      </c>
      <c r="C17052">
        <f>TEST_DATA!C17052</f>
        <v/>
      </c>
      <c r="D17052">
        <f>TEST_DATA!D17052</f>
        <v/>
      </c>
      <c r="E17052">
        <f>TEST_DATA!E17052</f>
        <v/>
      </c>
    </row>
    <row r="17053">
      <c r="A17053">
        <f>TEST_DATA!A17053</f>
        <v/>
      </c>
      <c r="B17053">
        <f>TEST_DATA!B17053</f>
        <v/>
      </c>
      <c r="C17053">
        <f>TEST_DATA!C17053</f>
        <v/>
      </c>
      <c r="D17053">
        <f>TEST_DATA!D17053</f>
        <v/>
      </c>
      <c r="E17053">
        <f>TEST_DATA!E17053</f>
        <v/>
      </c>
    </row>
    <row r="17054">
      <c r="A17054">
        <f>TEST_DATA!A17054</f>
        <v/>
      </c>
      <c r="B17054">
        <f>TEST_DATA!B17054</f>
        <v/>
      </c>
      <c r="C17054">
        <f>TEST_DATA!C17054</f>
        <v/>
      </c>
      <c r="D17054">
        <f>TEST_DATA!D17054</f>
        <v/>
      </c>
      <c r="E17054">
        <f>TEST_DATA!E17054</f>
        <v/>
      </c>
    </row>
    <row r="17055">
      <c r="A17055">
        <f>TEST_DATA!A17055</f>
        <v/>
      </c>
      <c r="B17055">
        <f>TEST_DATA!B17055</f>
        <v/>
      </c>
      <c r="C17055">
        <f>TEST_DATA!C17055</f>
        <v/>
      </c>
      <c r="D17055">
        <f>TEST_DATA!D17055</f>
        <v/>
      </c>
      <c r="E17055">
        <f>TEST_DATA!E17055</f>
        <v/>
      </c>
    </row>
    <row r="17056">
      <c r="A17056">
        <f>TEST_DATA!A17056</f>
        <v/>
      </c>
      <c r="B17056">
        <f>TEST_DATA!B17056</f>
        <v/>
      </c>
      <c r="C17056">
        <f>TEST_DATA!C17056</f>
        <v/>
      </c>
      <c r="D17056">
        <f>TEST_DATA!D17056</f>
        <v/>
      </c>
      <c r="E17056">
        <f>TEST_DATA!E17056</f>
        <v/>
      </c>
    </row>
    <row r="17057">
      <c r="A17057">
        <f>TEST_DATA!A17057</f>
        <v/>
      </c>
      <c r="B17057">
        <f>TEST_DATA!B17057</f>
        <v/>
      </c>
      <c r="C17057">
        <f>TEST_DATA!C17057</f>
        <v/>
      </c>
      <c r="D17057">
        <f>TEST_DATA!D17057</f>
        <v/>
      </c>
      <c r="E17057">
        <f>TEST_DATA!E17057</f>
        <v/>
      </c>
    </row>
    <row r="17058">
      <c r="A17058">
        <f>TEST_DATA!A17058</f>
        <v/>
      </c>
      <c r="B17058">
        <f>TEST_DATA!B17058</f>
        <v/>
      </c>
      <c r="C17058">
        <f>TEST_DATA!C17058</f>
        <v/>
      </c>
      <c r="D17058">
        <f>TEST_DATA!D17058</f>
        <v/>
      </c>
      <c r="E17058">
        <f>TEST_DATA!E17058</f>
        <v/>
      </c>
    </row>
    <row r="17059">
      <c r="A17059">
        <f>TEST_DATA!A17059</f>
        <v/>
      </c>
      <c r="B17059">
        <f>TEST_DATA!B17059</f>
        <v/>
      </c>
      <c r="C17059">
        <f>TEST_DATA!C17059</f>
        <v/>
      </c>
      <c r="D17059">
        <f>TEST_DATA!D17059</f>
        <v/>
      </c>
      <c r="E17059">
        <f>TEST_DATA!E17059</f>
        <v/>
      </c>
    </row>
    <row r="17060">
      <c r="A17060">
        <f>TEST_DATA!A17060</f>
        <v/>
      </c>
      <c r="B17060">
        <f>TEST_DATA!B17060</f>
        <v/>
      </c>
      <c r="C17060">
        <f>TEST_DATA!C17060</f>
        <v/>
      </c>
      <c r="D17060">
        <f>TEST_DATA!D17060</f>
        <v/>
      </c>
      <c r="E17060">
        <f>TEST_DATA!E17060</f>
        <v/>
      </c>
    </row>
    <row r="17061">
      <c r="A17061">
        <f>TEST_DATA!A17061</f>
        <v/>
      </c>
      <c r="B17061">
        <f>TEST_DATA!B17061</f>
        <v/>
      </c>
      <c r="C17061">
        <f>TEST_DATA!C17061</f>
        <v/>
      </c>
      <c r="D17061">
        <f>TEST_DATA!D17061</f>
        <v/>
      </c>
      <c r="E17061">
        <f>TEST_DATA!E17061</f>
        <v/>
      </c>
    </row>
    <row r="17062">
      <c r="A17062">
        <f>TEST_DATA!A17062</f>
        <v/>
      </c>
      <c r="B17062">
        <f>TEST_DATA!B17062</f>
        <v/>
      </c>
      <c r="C17062">
        <f>TEST_DATA!C17062</f>
        <v/>
      </c>
      <c r="D17062">
        <f>TEST_DATA!D17062</f>
        <v/>
      </c>
      <c r="E17062">
        <f>TEST_DATA!E17062</f>
        <v/>
      </c>
    </row>
    <row r="17063">
      <c r="A17063">
        <f>TEST_DATA!A17063</f>
        <v/>
      </c>
      <c r="B17063">
        <f>TEST_DATA!B17063</f>
        <v/>
      </c>
      <c r="C17063">
        <f>TEST_DATA!C17063</f>
        <v/>
      </c>
      <c r="D17063">
        <f>TEST_DATA!D17063</f>
        <v/>
      </c>
      <c r="E17063">
        <f>TEST_DATA!E17063</f>
        <v/>
      </c>
    </row>
    <row r="17064">
      <c r="A17064">
        <f>TEST_DATA!A17064</f>
        <v/>
      </c>
      <c r="B17064">
        <f>TEST_DATA!B17064</f>
        <v/>
      </c>
      <c r="C17064">
        <f>TEST_DATA!C17064</f>
        <v/>
      </c>
      <c r="D17064">
        <f>TEST_DATA!D17064</f>
        <v/>
      </c>
      <c r="E17064">
        <f>TEST_DATA!E17064</f>
        <v/>
      </c>
    </row>
    <row r="17065">
      <c r="A17065">
        <f>TEST_DATA!A17065</f>
        <v/>
      </c>
      <c r="B17065">
        <f>TEST_DATA!B17065</f>
        <v/>
      </c>
      <c r="C17065">
        <f>TEST_DATA!C17065</f>
        <v/>
      </c>
      <c r="D17065">
        <f>TEST_DATA!D17065</f>
        <v/>
      </c>
      <c r="E17065">
        <f>TEST_DATA!E17065</f>
        <v/>
      </c>
    </row>
    <row r="17066">
      <c r="A17066">
        <f>TEST_DATA!A17066</f>
        <v/>
      </c>
      <c r="B17066">
        <f>TEST_DATA!B17066</f>
        <v/>
      </c>
      <c r="C17066">
        <f>TEST_DATA!C17066</f>
        <v/>
      </c>
      <c r="D17066">
        <f>TEST_DATA!D17066</f>
        <v/>
      </c>
      <c r="E17066">
        <f>TEST_DATA!E17066</f>
        <v/>
      </c>
    </row>
    <row r="17067">
      <c r="A17067">
        <f>TEST_DATA!A17067</f>
        <v/>
      </c>
      <c r="B17067">
        <f>TEST_DATA!B17067</f>
        <v/>
      </c>
      <c r="C17067">
        <f>TEST_DATA!C17067</f>
        <v/>
      </c>
      <c r="D17067">
        <f>TEST_DATA!D17067</f>
        <v/>
      </c>
      <c r="E17067">
        <f>TEST_DATA!E17067</f>
        <v/>
      </c>
    </row>
    <row r="17068">
      <c r="A17068">
        <f>TEST_DATA!A17068</f>
        <v/>
      </c>
      <c r="B17068">
        <f>TEST_DATA!B17068</f>
        <v/>
      </c>
      <c r="C17068">
        <f>TEST_DATA!C17068</f>
        <v/>
      </c>
      <c r="D17068">
        <f>TEST_DATA!D17068</f>
        <v/>
      </c>
      <c r="E17068">
        <f>TEST_DATA!E17068</f>
        <v/>
      </c>
    </row>
    <row r="17069">
      <c r="A17069">
        <f>TEST_DATA!A17069</f>
        <v/>
      </c>
      <c r="B17069">
        <f>TEST_DATA!B17069</f>
        <v/>
      </c>
      <c r="C17069">
        <f>TEST_DATA!C17069</f>
        <v/>
      </c>
      <c r="D17069">
        <f>TEST_DATA!D17069</f>
        <v/>
      </c>
      <c r="E17069">
        <f>TEST_DATA!E17069</f>
        <v/>
      </c>
    </row>
    <row r="17070">
      <c r="A17070">
        <f>TEST_DATA!A17070</f>
        <v/>
      </c>
      <c r="B17070">
        <f>TEST_DATA!B17070</f>
        <v/>
      </c>
      <c r="C17070">
        <f>TEST_DATA!C17070</f>
        <v/>
      </c>
      <c r="D17070">
        <f>TEST_DATA!D17070</f>
        <v/>
      </c>
      <c r="E17070">
        <f>TEST_DATA!E17070</f>
        <v/>
      </c>
    </row>
    <row r="17071">
      <c r="A17071">
        <f>TEST_DATA!A17071</f>
        <v/>
      </c>
      <c r="B17071">
        <f>TEST_DATA!B17071</f>
        <v/>
      </c>
      <c r="C17071">
        <f>TEST_DATA!C17071</f>
        <v/>
      </c>
      <c r="D17071">
        <f>TEST_DATA!D17071</f>
        <v/>
      </c>
      <c r="E17071">
        <f>TEST_DATA!E17071</f>
        <v/>
      </c>
    </row>
    <row r="17072">
      <c r="A17072">
        <f>TEST_DATA!A17072</f>
        <v/>
      </c>
      <c r="B17072">
        <f>TEST_DATA!B17072</f>
        <v/>
      </c>
      <c r="C17072">
        <f>TEST_DATA!C17072</f>
        <v/>
      </c>
      <c r="D17072">
        <f>TEST_DATA!D17072</f>
        <v/>
      </c>
      <c r="E17072">
        <f>TEST_DATA!E17072</f>
        <v/>
      </c>
    </row>
    <row r="17073">
      <c r="A17073">
        <f>TEST_DATA!A17073</f>
        <v/>
      </c>
      <c r="B17073">
        <f>TEST_DATA!B17073</f>
        <v/>
      </c>
      <c r="C17073">
        <f>TEST_DATA!C17073</f>
        <v/>
      </c>
      <c r="D17073">
        <f>TEST_DATA!D17073</f>
        <v/>
      </c>
      <c r="E17073">
        <f>TEST_DATA!E17073</f>
        <v/>
      </c>
    </row>
    <row r="17074">
      <c r="A17074">
        <f>TEST_DATA!A17074</f>
        <v/>
      </c>
      <c r="B17074">
        <f>TEST_DATA!B17074</f>
        <v/>
      </c>
      <c r="C17074">
        <f>TEST_DATA!C17074</f>
        <v/>
      </c>
      <c r="D17074">
        <f>TEST_DATA!D17074</f>
        <v/>
      </c>
      <c r="E17074">
        <f>TEST_DATA!E17074</f>
        <v/>
      </c>
    </row>
    <row r="17075">
      <c r="A17075">
        <f>TEST_DATA!A17075</f>
        <v/>
      </c>
      <c r="B17075">
        <f>TEST_DATA!B17075</f>
        <v/>
      </c>
      <c r="C17075">
        <f>TEST_DATA!C17075</f>
        <v/>
      </c>
      <c r="D17075">
        <f>TEST_DATA!D17075</f>
        <v/>
      </c>
      <c r="E17075">
        <f>TEST_DATA!E17075</f>
        <v/>
      </c>
    </row>
    <row r="17076">
      <c r="A17076">
        <f>TEST_DATA!A17076</f>
        <v/>
      </c>
      <c r="B17076">
        <f>TEST_DATA!B17076</f>
        <v/>
      </c>
      <c r="C17076">
        <f>TEST_DATA!C17076</f>
        <v/>
      </c>
      <c r="D17076">
        <f>TEST_DATA!D17076</f>
        <v/>
      </c>
      <c r="E17076">
        <f>TEST_DATA!E17076</f>
        <v/>
      </c>
    </row>
    <row r="17077">
      <c r="A17077">
        <f>TEST_DATA!A17077</f>
        <v/>
      </c>
      <c r="B17077">
        <f>TEST_DATA!B17077</f>
        <v/>
      </c>
      <c r="C17077">
        <f>TEST_DATA!C17077</f>
        <v/>
      </c>
      <c r="D17077">
        <f>TEST_DATA!D17077</f>
        <v/>
      </c>
      <c r="E17077">
        <f>TEST_DATA!E17077</f>
        <v/>
      </c>
    </row>
    <row r="17078">
      <c r="A17078">
        <f>TEST_DATA!A17078</f>
        <v/>
      </c>
      <c r="B17078">
        <f>TEST_DATA!B17078</f>
        <v/>
      </c>
      <c r="C17078">
        <f>TEST_DATA!C17078</f>
        <v/>
      </c>
      <c r="D17078">
        <f>TEST_DATA!D17078</f>
        <v/>
      </c>
      <c r="E17078">
        <f>TEST_DATA!E17078</f>
        <v/>
      </c>
    </row>
    <row r="17079">
      <c r="A17079">
        <f>TEST_DATA!A17079</f>
        <v/>
      </c>
      <c r="B17079">
        <f>TEST_DATA!B17079</f>
        <v/>
      </c>
      <c r="C17079">
        <f>TEST_DATA!C17079</f>
        <v/>
      </c>
      <c r="D17079">
        <f>TEST_DATA!D17079</f>
        <v/>
      </c>
      <c r="E17079">
        <f>TEST_DATA!E17079</f>
        <v/>
      </c>
    </row>
    <row r="17080">
      <c r="A17080">
        <f>TEST_DATA!A17080</f>
        <v/>
      </c>
      <c r="B17080">
        <f>TEST_DATA!B17080</f>
        <v/>
      </c>
      <c r="C17080">
        <f>TEST_DATA!C17080</f>
        <v/>
      </c>
      <c r="D17080">
        <f>TEST_DATA!D17080</f>
        <v/>
      </c>
      <c r="E17080">
        <f>TEST_DATA!E17080</f>
        <v/>
      </c>
    </row>
    <row r="17081">
      <c r="A17081">
        <f>TEST_DATA!A17081</f>
        <v/>
      </c>
      <c r="B17081">
        <f>TEST_DATA!B17081</f>
        <v/>
      </c>
      <c r="C17081">
        <f>TEST_DATA!C17081</f>
        <v/>
      </c>
      <c r="D17081">
        <f>TEST_DATA!D17081</f>
        <v/>
      </c>
      <c r="E17081">
        <f>TEST_DATA!E17081</f>
        <v/>
      </c>
    </row>
    <row r="17082">
      <c r="A17082">
        <f>TEST_DATA!A17082</f>
        <v/>
      </c>
      <c r="B17082">
        <f>TEST_DATA!B17082</f>
        <v/>
      </c>
      <c r="C17082">
        <f>TEST_DATA!C17082</f>
        <v/>
      </c>
      <c r="D17082">
        <f>TEST_DATA!D17082</f>
        <v/>
      </c>
      <c r="E17082">
        <f>TEST_DATA!E17082</f>
        <v/>
      </c>
    </row>
    <row r="17083">
      <c r="A17083">
        <f>TEST_DATA!A17083</f>
        <v/>
      </c>
      <c r="B17083">
        <f>TEST_DATA!B17083</f>
        <v/>
      </c>
      <c r="C17083">
        <f>TEST_DATA!C17083</f>
        <v/>
      </c>
      <c r="D17083">
        <f>TEST_DATA!D17083</f>
        <v/>
      </c>
      <c r="E17083">
        <f>TEST_DATA!E17083</f>
        <v/>
      </c>
    </row>
    <row r="17084">
      <c r="A17084">
        <f>TEST_DATA!A17084</f>
        <v/>
      </c>
      <c r="B17084">
        <f>TEST_DATA!B17084</f>
        <v/>
      </c>
      <c r="C17084">
        <f>TEST_DATA!C17084</f>
        <v/>
      </c>
      <c r="D17084">
        <f>TEST_DATA!D17084</f>
        <v/>
      </c>
      <c r="E17084">
        <f>TEST_DATA!E17084</f>
        <v/>
      </c>
    </row>
    <row r="17085">
      <c r="A17085">
        <f>TEST_DATA!A17085</f>
        <v/>
      </c>
      <c r="B17085">
        <f>TEST_DATA!B17085</f>
        <v/>
      </c>
      <c r="C17085">
        <f>TEST_DATA!C17085</f>
        <v/>
      </c>
      <c r="D17085">
        <f>TEST_DATA!D17085</f>
        <v/>
      </c>
      <c r="E17085">
        <f>TEST_DATA!E17085</f>
        <v/>
      </c>
    </row>
    <row r="17086">
      <c r="A17086">
        <f>TEST_DATA!A17086</f>
        <v/>
      </c>
      <c r="B17086">
        <f>TEST_DATA!B17086</f>
        <v/>
      </c>
      <c r="C17086">
        <f>TEST_DATA!C17086</f>
        <v/>
      </c>
      <c r="D17086">
        <f>TEST_DATA!D17086</f>
        <v/>
      </c>
      <c r="E17086">
        <f>TEST_DATA!E17086</f>
        <v/>
      </c>
    </row>
    <row r="17087">
      <c r="A17087">
        <f>TEST_DATA!A17087</f>
        <v/>
      </c>
      <c r="B17087">
        <f>TEST_DATA!B17087</f>
        <v/>
      </c>
      <c r="C17087">
        <f>TEST_DATA!C17087</f>
        <v/>
      </c>
      <c r="D17087">
        <f>TEST_DATA!D17087</f>
        <v/>
      </c>
      <c r="E17087">
        <f>TEST_DATA!E17087</f>
        <v/>
      </c>
    </row>
    <row r="17088">
      <c r="A17088">
        <f>TEST_DATA!A17088</f>
        <v/>
      </c>
      <c r="B17088">
        <f>TEST_DATA!B17088</f>
        <v/>
      </c>
      <c r="C17088">
        <f>TEST_DATA!C17088</f>
        <v/>
      </c>
      <c r="D17088">
        <f>TEST_DATA!D17088</f>
        <v/>
      </c>
      <c r="E17088">
        <f>TEST_DATA!E17088</f>
        <v/>
      </c>
    </row>
    <row r="17089">
      <c r="A17089">
        <f>TEST_DATA!A17089</f>
        <v/>
      </c>
      <c r="B17089">
        <f>TEST_DATA!B17089</f>
        <v/>
      </c>
      <c r="C17089">
        <f>TEST_DATA!C17089</f>
        <v/>
      </c>
      <c r="D17089">
        <f>TEST_DATA!D17089</f>
        <v/>
      </c>
      <c r="E17089">
        <f>TEST_DATA!E17089</f>
        <v/>
      </c>
    </row>
    <row r="17090">
      <c r="A17090">
        <f>TEST_DATA!A17090</f>
        <v/>
      </c>
      <c r="B17090">
        <f>TEST_DATA!B17090</f>
        <v/>
      </c>
      <c r="C17090">
        <f>TEST_DATA!C17090</f>
        <v/>
      </c>
      <c r="D17090">
        <f>TEST_DATA!D17090</f>
        <v/>
      </c>
      <c r="E17090">
        <f>TEST_DATA!E17090</f>
        <v/>
      </c>
    </row>
    <row r="17091">
      <c r="A17091">
        <f>TEST_DATA!A17091</f>
        <v/>
      </c>
      <c r="B17091">
        <f>TEST_DATA!B17091</f>
        <v/>
      </c>
      <c r="C17091">
        <f>TEST_DATA!C17091</f>
        <v/>
      </c>
      <c r="D17091">
        <f>TEST_DATA!D17091</f>
        <v/>
      </c>
      <c r="E17091">
        <f>TEST_DATA!E17091</f>
        <v/>
      </c>
    </row>
    <row r="17092">
      <c r="A17092">
        <f>TEST_DATA!A17092</f>
        <v/>
      </c>
      <c r="B17092">
        <f>TEST_DATA!B17092</f>
        <v/>
      </c>
      <c r="C17092">
        <f>TEST_DATA!C17092</f>
        <v/>
      </c>
      <c r="D17092">
        <f>TEST_DATA!D17092</f>
        <v/>
      </c>
      <c r="E17092">
        <f>TEST_DATA!E17092</f>
        <v/>
      </c>
    </row>
    <row r="17093">
      <c r="A17093">
        <f>TEST_DATA!A17093</f>
        <v/>
      </c>
      <c r="B17093">
        <f>TEST_DATA!B17093</f>
        <v/>
      </c>
      <c r="C17093">
        <f>TEST_DATA!C17093</f>
        <v/>
      </c>
      <c r="D17093">
        <f>TEST_DATA!D17093</f>
        <v/>
      </c>
      <c r="E17093">
        <f>TEST_DATA!E17093</f>
        <v/>
      </c>
    </row>
    <row r="17094">
      <c r="A17094">
        <f>TEST_DATA!A17094</f>
        <v/>
      </c>
      <c r="B17094">
        <f>TEST_DATA!B17094</f>
        <v/>
      </c>
      <c r="C17094">
        <f>TEST_DATA!C17094</f>
        <v/>
      </c>
      <c r="D17094">
        <f>TEST_DATA!D17094</f>
        <v/>
      </c>
      <c r="E17094">
        <f>TEST_DATA!E17094</f>
        <v/>
      </c>
    </row>
    <row r="17095">
      <c r="A17095">
        <f>TEST_DATA!A17095</f>
        <v/>
      </c>
      <c r="B17095">
        <f>TEST_DATA!B17095</f>
        <v/>
      </c>
      <c r="C17095">
        <f>TEST_DATA!C17095</f>
        <v/>
      </c>
      <c r="D17095">
        <f>TEST_DATA!D17095</f>
        <v/>
      </c>
      <c r="E17095">
        <f>TEST_DATA!E17095</f>
        <v/>
      </c>
    </row>
    <row r="17096">
      <c r="A17096">
        <f>TEST_DATA!A17096</f>
        <v/>
      </c>
      <c r="B17096">
        <f>TEST_DATA!B17096</f>
        <v/>
      </c>
      <c r="C17096">
        <f>TEST_DATA!C17096</f>
        <v/>
      </c>
      <c r="D17096">
        <f>TEST_DATA!D17096</f>
        <v/>
      </c>
      <c r="E17096">
        <f>TEST_DATA!E17096</f>
        <v/>
      </c>
    </row>
    <row r="17097">
      <c r="A17097">
        <f>TEST_DATA!A17097</f>
        <v/>
      </c>
      <c r="B17097">
        <f>TEST_DATA!B17097</f>
        <v/>
      </c>
      <c r="C17097">
        <f>TEST_DATA!C17097</f>
        <v/>
      </c>
      <c r="D17097">
        <f>TEST_DATA!D17097</f>
        <v/>
      </c>
      <c r="E17097">
        <f>TEST_DATA!E17097</f>
        <v/>
      </c>
    </row>
    <row r="17098">
      <c r="A17098">
        <f>TEST_DATA!A17098</f>
        <v/>
      </c>
      <c r="B17098">
        <f>TEST_DATA!B17098</f>
        <v/>
      </c>
      <c r="C17098">
        <f>TEST_DATA!C17098</f>
        <v/>
      </c>
      <c r="D17098">
        <f>TEST_DATA!D17098</f>
        <v/>
      </c>
      <c r="E17098">
        <f>TEST_DATA!E17098</f>
        <v/>
      </c>
    </row>
    <row r="17099">
      <c r="A17099">
        <f>TEST_DATA!A17099</f>
        <v/>
      </c>
      <c r="B17099">
        <f>TEST_DATA!B17099</f>
        <v/>
      </c>
      <c r="C17099">
        <f>TEST_DATA!C17099</f>
        <v/>
      </c>
      <c r="D17099">
        <f>TEST_DATA!D17099</f>
        <v/>
      </c>
      <c r="E17099">
        <f>TEST_DATA!E17099</f>
        <v/>
      </c>
    </row>
    <row r="17100">
      <c r="A17100">
        <f>TEST_DATA!A17100</f>
        <v/>
      </c>
      <c r="B17100">
        <f>TEST_DATA!B17100</f>
        <v/>
      </c>
      <c r="C17100">
        <f>TEST_DATA!C17100</f>
        <v/>
      </c>
      <c r="D17100">
        <f>TEST_DATA!D17100</f>
        <v/>
      </c>
      <c r="E17100">
        <f>TEST_DATA!E17100</f>
        <v/>
      </c>
    </row>
    <row r="17101">
      <c r="A17101">
        <f>TEST_DATA!A17101</f>
        <v/>
      </c>
      <c r="B17101">
        <f>TEST_DATA!B17101</f>
        <v/>
      </c>
      <c r="C17101">
        <f>TEST_DATA!C17101</f>
        <v/>
      </c>
      <c r="D17101">
        <f>TEST_DATA!D17101</f>
        <v/>
      </c>
      <c r="E17101">
        <f>TEST_DATA!E17101</f>
        <v/>
      </c>
    </row>
    <row r="17102">
      <c r="A17102">
        <f>TEST_DATA!A17102</f>
        <v/>
      </c>
      <c r="B17102">
        <f>TEST_DATA!B17102</f>
        <v/>
      </c>
      <c r="C17102">
        <f>TEST_DATA!C17102</f>
        <v/>
      </c>
      <c r="D17102">
        <f>TEST_DATA!D17102</f>
        <v/>
      </c>
      <c r="E17102">
        <f>TEST_DATA!E17102</f>
        <v/>
      </c>
    </row>
    <row r="17103">
      <c r="A17103">
        <f>TEST_DATA!A17103</f>
        <v/>
      </c>
      <c r="B17103">
        <f>TEST_DATA!B17103</f>
        <v/>
      </c>
      <c r="C17103">
        <f>TEST_DATA!C17103</f>
        <v/>
      </c>
      <c r="D17103">
        <f>TEST_DATA!D17103</f>
        <v/>
      </c>
      <c r="E17103">
        <f>TEST_DATA!E17103</f>
        <v/>
      </c>
    </row>
    <row r="17104">
      <c r="A17104">
        <f>TEST_DATA!A17104</f>
        <v/>
      </c>
      <c r="B17104">
        <f>TEST_DATA!B17104</f>
        <v/>
      </c>
      <c r="C17104">
        <f>TEST_DATA!C17104</f>
        <v/>
      </c>
      <c r="D17104">
        <f>TEST_DATA!D17104</f>
        <v/>
      </c>
      <c r="E17104">
        <f>TEST_DATA!E17104</f>
        <v/>
      </c>
    </row>
    <row r="17105">
      <c r="A17105">
        <f>TEST_DATA!A17105</f>
        <v/>
      </c>
      <c r="B17105">
        <f>TEST_DATA!B17105</f>
        <v/>
      </c>
      <c r="C17105">
        <f>TEST_DATA!C17105</f>
        <v/>
      </c>
      <c r="D17105">
        <f>TEST_DATA!D17105</f>
        <v/>
      </c>
      <c r="E17105">
        <f>TEST_DATA!E17105</f>
        <v/>
      </c>
    </row>
    <row r="17106">
      <c r="A17106">
        <f>TEST_DATA!A17106</f>
        <v/>
      </c>
      <c r="B17106">
        <f>TEST_DATA!B17106</f>
        <v/>
      </c>
      <c r="C17106">
        <f>TEST_DATA!C17106</f>
        <v/>
      </c>
      <c r="D17106">
        <f>TEST_DATA!D17106</f>
        <v/>
      </c>
      <c r="E17106">
        <f>TEST_DATA!E17106</f>
        <v/>
      </c>
    </row>
    <row r="17107">
      <c r="A17107">
        <f>TEST_DATA!A17107</f>
        <v/>
      </c>
      <c r="B17107">
        <f>TEST_DATA!B17107</f>
        <v/>
      </c>
      <c r="C17107">
        <f>TEST_DATA!C17107</f>
        <v/>
      </c>
      <c r="D17107">
        <f>TEST_DATA!D17107</f>
        <v/>
      </c>
      <c r="E17107">
        <f>TEST_DATA!E17107</f>
        <v/>
      </c>
    </row>
    <row r="17108">
      <c r="A17108">
        <f>TEST_DATA!A17108</f>
        <v/>
      </c>
      <c r="B17108">
        <f>TEST_DATA!B17108</f>
        <v/>
      </c>
      <c r="C17108">
        <f>TEST_DATA!C17108</f>
        <v/>
      </c>
      <c r="D17108">
        <f>TEST_DATA!D17108</f>
        <v/>
      </c>
      <c r="E17108">
        <f>TEST_DATA!E17108</f>
        <v/>
      </c>
    </row>
    <row r="17109">
      <c r="A17109">
        <f>TEST_DATA!A17109</f>
        <v/>
      </c>
      <c r="B17109">
        <f>TEST_DATA!B17109</f>
        <v/>
      </c>
      <c r="C17109">
        <f>TEST_DATA!C17109</f>
        <v/>
      </c>
      <c r="D17109">
        <f>TEST_DATA!D17109</f>
        <v/>
      </c>
      <c r="E17109">
        <f>TEST_DATA!E17109</f>
        <v/>
      </c>
    </row>
    <row r="17110">
      <c r="A17110">
        <f>TEST_DATA!A17110</f>
        <v/>
      </c>
      <c r="B17110">
        <f>TEST_DATA!B17110</f>
        <v/>
      </c>
      <c r="C17110">
        <f>TEST_DATA!C17110</f>
        <v/>
      </c>
      <c r="D17110">
        <f>TEST_DATA!D17110</f>
        <v/>
      </c>
      <c r="E17110">
        <f>TEST_DATA!E17110</f>
        <v/>
      </c>
    </row>
    <row r="17111">
      <c r="A17111">
        <f>TEST_DATA!A17111</f>
        <v/>
      </c>
      <c r="B17111">
        <f>TEST_DATA!B17111</f>
        <v/>
      </c>
      <c r="C17111">
        <f>TEST_DATA!C17111</f>
        <v/>
      </c>
      <c r="D17111">
        <f>TEST_DATA!D17111</f>
        <v/>
      </c>
      <c r="E17111">
        <f>TEST_DATA!E17111</f>
        <v/>
      </c>
    </row>
    <row r="17112">
      <c r="A17112">
        <f>TEST_DATA!A17112</f>
        <v/>
      </c>
      <c r="B17112">
        <f>TEST_DATA!B17112</f>
        <v/>
      </c>
      <c r="C17112">
        <f>TEST_DATA!C17112</f>
        <v/>
      </c>
      <c r="D17112">
        <f>TEST_DATA!D17112</f>
        <v/>
      </c>
      <c r="E17112">
        <f>TEST_DATA!E17112</f>
        <v/>
      </c>
    </row>
    <row r="17113">
      <c r="A17113">
        <f>TEST_DATA!A17113</f>
        <v/>
      </c>
      <c r="B17113">
        <f>TEST_DATA!B17113</f>
        <v/>
      </c>
      <c r="C17113">
        <f>TEST_DATA!C17113</f>
        <v/>
      </c>
      <c r="D17113">
        <f>TEST_DATA!D17113</f>
        <v/>
      </c>
      <c r="E17113">
        <f>TEST_DATA!E17113</f>
        <v/>
      </c>
    </row>
    <row r="17114">
      <c r="A17114">
        <f>TEST_DATA!A17114</f>
        <v/>
      </c>
      <c r="B17114">
        <f>TEST_DATA!B17114</f>
        <v/>
      </c>
      <c r="C17114">
        <f>TEST_DATA!C17114</f>
        <v/>
      </c>
      <c r="D17114">
        <f>TEST_DATA!D17114</f>
        <v/>
      </c>
      <c r="E17114">
        <f>TEST_DATA!E17114</f>
        <v/>
      </c>
    </row>
    <row r="17115">
      <c r="A17115">
        <f>TEST_DATA!A17115</f>
        <v/>
      </c>
      <c r="B17115">
        <f>TEST_DATA!B17115</f>
        <v/>
      </c>
      <c r="C17115">
        <f>TEST_DATA!C17115</f>
        <v/>
      </c>
      <c r="D17115">
        <f>TEST_DATA!D17115</f>
        <v/>
      </c>
      <c r="E17115">
        <f>TEST_DATA!E17115</f>
        <v/>
      </c>
    </row>
    <row r="17116">
      <c r="A17116">
        <f>TEST_DATA!A17116</f>
        <v/>
      </c>
      <c r="B17116">
        <f>TEST_DATA!B17116</f>
        <v/>
      </c>
      <c r="C17116">
        <f>TEST_DATA!C17116</f>
        <v/>
      </c>
      <c r="D17116">
        <f>TEST_DATA!D17116</f>
        <v/>
      </c>
      <c r="E17116">
        <f>TEST_DATA!E17116</f>
        <v/>
      </c>
    </row>
    <row r="17117">
      <c r="A17117">
        <f>TEST_DATA!A17117</f>
        <v/>
      </c>
      <c r="B17117">
        <f>TEST_DATA!B17117</f>
        <v/>
      </c>
      <c r="C17117">
        <f>TEST_DATA!C17117</f>
        <v/>
      </c>
      <c r="D17117">
        <f>TEST_DATA!D17117</f>
        <v/>
      </c>
      <c r="E17117">
        <f>TEST_DATA!E17117</f>
        <v/>
      </c>
    </row>
    <row r="17118">
      <c r="A17118">
        <f>TEST_DATA!A17118</f>
        <v/>
      </c>
      <c r="B17118">
        <f>TEST_DATA!B17118</f>
        <v/>
      </c>
      <c r="C17118">
        <f>TEST_DATA!C17118</f>
        <v/>
      </c>
      <c r="D17118">
        <f>TEST_DATA!D17118</f>
        <v/>
      </c>
      <c r="E17118">
        <f>TEST_DATA!E17118</f>
        <v/>
      </c>
    </row>
    <row r="17119">
      <c r="A17119">
        <f>TEST_DATA!A17119</f>
        <v/>
      </c>
      <c r="B17119">
        <f>TEST_DATA!B17119</f>
        <v/>
      </c>
      <c r="C17119">
        <f>TEST_DATA!C17119</f>
        <v/>
      </c>
      <c r="D17119">
        <f>TEST_DATA!D17119</f>
        <v/>
      </c>
      <c r="E17119">
        <f>TEST_DATA!E17119</f>
        <v/>
      </c>
    </row>
    <row r="17120">
      <c r="A17120">
        <f>TEST_DATA!A17120</f>
        <v/>
      </c>
      <c r="B17120">
        <f>TEST_DATA!B17120</f>
        <v/>
      </c>
      <c r="C17120">
        <f>TEST_DATA!C17120</f>
        <v/>
      </c>
      <c r="D17120">
        <f>TEST_DATA!D17120</f>
        <v/>
      </c>
      <c r="E17120">
        <f>TEST_DATA!E17120</f>
        <v/>
      </c>
    </row>
    <row r="17121">
      <c r="A17121">
        <f>TEST_DATA!A17121</f>
        <v/>
      </c>
      <c r="B17121">
        <f>TEST_DATA!B17121</f>
        <v/>
      </c>
      <c r="C17121">
        <f>TEST_DATA!C17121</f>
        <v/>
      </c>
      <c r="D17121">
        <f>TEST_DATA!D17121</f>
        <v/>
      </c>
      <c r="E17121">
        <f>TEST_DATA!E17121</f>
        <v/>
      </c>
    </row>
    <row r="17122">
      <c r="A17122">
        <f>TEST_DATA!A17122</f>
        <v/>
      </c>
      <c r="B17122">
        <f>TEST_DATA!B17122</f>
        <v/>
      </c>
      <c r="C17122">
        <f>TEST_DATA!C17122</f>
        <v/>
      </c>
      <c r="D17122">
        <f>TEST_DATA!D17122</f>
        <v/>
      </c>
      <c r="E17122">
        <f>TEST_DATA!E17122</f>
        <v/>
      </c>
    </row>
    <row r="17123">
      <c r="A17123">
        <f>TEST_DATA!A17123</f>
        <v/>
      </c>
      <c r="B17123">
        <f>TEST_DATA!B17123</f>
        <v/>
      </c>
      <c r="C17123">
        <f>TEST_DATA!C17123</f>
        <v/>
      </c>
      <c r="D17123">
        <f>TEST_DATA!D17123</f>
        <v/>
      </c>
      <c r="E17123">
        <f>TEST_DATA!E17123</f>
        <v/>
      </c>
    </row>
    <row r="17124">
      <c r="A17124">
        <f>TEST_DATA!A17124</f>
        <v/>
      </c>
      <c r="B17124">
        <f>TEST_DATA!B17124</f>
        <v/>
      </c>
      <c r="C17124">
        <f>TEST_DATA!C17124</f>
        <v/>
      </c>
      <c r="D17124">
        <f>TEST_DATA!D17124</f>
        <v/>
      </c>
      <c r="E17124">
        <f>TEST_DATA!E17124</f>
        <v/>
      </c>
    </row>
    <row r="17125">
      <c r="A17125">
        <f>TEST_DATA!A17125</f>
        <v/>
      </c>
      <c r="B17125">
        <f>TEST_DATA!B17125</f>
        <v/>
      </c>
      <c r="C17125">
        <f>TEST_DATA!C17125</f>
        <v/>
      </c>
      <c r="D17125">
        <f>TEST_DATA!D17125</f>
        <v/>
      </c>
      <c r="E17125">
        <f>TEST_DATA!E17125</f>
        <v/>
      </c>
    </row>
    <row r="17126">
      <c r="A17126">
        <f>TEST_DATA!A17126</f>
        <v/>
      </c>
      <c r="B17126">
        <f>TEST_DATA!B17126</f>
        <v/>
      </c>
      <c r="C17126">
        <f>TEST_DATA!C17126</f>
        <v/>
      </c>
      <c r="D17126">
        <f>TEST_DATA!D17126</f>
        <v/>
      </c>
      <c r="E17126">
        <f>TEST_DATA!E17126</f>
        <v/>
      </c>
    </row>
    <row r="17127">
      <c r="A17127">
        <f>TEST_DATA!A17127</f>
        <v/>
      </c>
      <c r="B17127">
        <f>TEST_DATA!B17127</f>
        <v/>
      </c>
      <c r="C17127">
        <f>TEST_DATA!C17127</f>
        <v/>
      </c>
      <c r="D17127">
        <f>TEST_DATA!D17127</f>
        <v/>
      </c>
      <c r="E17127">
        <f>TEST_DATA!E17127</f>
        <v/>
      </c>
    </row>
    <row r="17128">
      <c r="A17128">
        <f>TEST_DATA!A17128</f>
        <v/>
      </c>
      <c r="B17128">
        <f>TEST_DATA!B17128</f>
        <v/>
      </c>
      <c r="C17128">
        <f>TEST_DATA!C17128</f>
        <v/>
      </c>
      <c r="D17128">
        <f>TEST_DATA!D17128</f>
        <v/>
      </c>
      <c r="E17128">
        <f>TEST_DATA!E17128</f>
        <v/>
      </c>
    </row>
    <row r="17129">
      <c r="A17129">
        <f>TEST_DATA!A17129</f>
        <v/>
      </c>
      <c r="B17129">
        <f>TEST_DATA!B17129</f>
        <v/>
      </c>
      <c r="C17129">
        <f>TEST_DATA!C17129</f>
        <v/>
      </c>
      <c r="D17129">
        <f>TEST_DATA!D17129</f>
        <v/>
      </c>
      <c r="E17129">
        <f>TEST_DATA!E17129</f>
        <v/>
      </c>
    </row>
    <row r="17130">
      <c r="A17130">
        <f>TEST_DATA!A17130</f>
        <v/>
      </c>
      <c r="B17130">
        <f>TEST_DATA!B17130</f>
        <v/>
      </c>
      <c r="C17130">
        <f>TEST_DATA!C17130</f>
        <v/>
      </c>
      <c r="D17130">
        <f>TEST_DATA!D17130</f>
        <v/>
      </c>
      <c r="E17130">
        <f>TEST_DATA!E17130</f>
        <v/>
      </c>
    </row>
    <row r="17131">
      <c r="A17131">
        <f>TEST_DATA!A17131</f>
        <v/>
      </c>
      <c r="B17131">
        <f>TEST_DATA!B17131</f>
        <v/>
      </c>
      <c r="C17131">
        <f>TEST_DATA!C17131</f>
        <v/>
      </c>
      <c r="D17131">
        <f>TEST_DATA!D17131</f>
        <v/>
      </c>
      <c r="E17131">
        <f>TEST_DATA!E17131</f>
        <v/>
      </c>
    </row>
    <row r="17132">
      <c r="A17132">
        <f>TEST_DATA!A17132</f>
        <v/>
      </c>
      <c r="B17132">
        <f>TEST_DATA!B17132</f>
        <v/>
      </c>
      <c r="C17132">
        <f>TEST_DATA!C17132</f>
        <v/>
      </c>
      <c r="D17132">
        <f>TEST_DATA!D17132</f>
        <v/>
      </c>
      <c r="E17132">
        <f>TEST_DATA!E17132</f>
        <v/>
      </c>
    </row>
    <row r="17133">
      <c r="A17133">
        <f>TEST_DATA!A17133</f>
        <v/>
      </c>
      <c r="B17133">
        <f>TEST_DATA!B17133</f>
        <v/>
      </c>
      <c r="C17133">
        <f>TEST_DATA!C17133</f>
        <v/>
      </c>
      <c r="D17133">
        <f>TEST_DATA!D17133</f>
        <v/>
      </c>
      <c r="E17133">
        <f>TEST_DATA!E17133</f>
        <v/>
      </c>
    </row>
    <row r="17134">
      <c r="A17134">
        <f>TEST_DATA!A17134</f>
        <v/>
      </c>
      <c r="B17134">
        <f>TEST_DATA!B17134</f>
        <v/>
      </c>
      <c r="C17134">
        <f>TEST_DATA!C17134</f>
        <v/>
      </c>
      <c r="D17134">
        <f>TEST_DATA!D17134</f>
        <v/>
      </c>
      <c r="E17134">
        <f>TEST_DATA!E17134</f>
        <v/>
      </c>
    </row>
    <row r="17135">
      <c r="A17135">
        <f>TEST_DATA!A17135</f>
        <v/>
      </c>
      <c r="B17135">
        <f>TEST_DATA!B17135</f>
        <v/>
      </c>
      <c r="C17135">
        <f>TEST_DATA!C17135</f>
        <v/>
      </c>
      <c r="D17135">
        <f>TEST_DATA!D17135</f>
        <v/>
      </c>
      <c r="E17135">
        <f>TEST_DATA!E17135</f>
        <v/>
      </c>
    </row>
    <row r="17136">
      <c r="A17136">
        <f>TEST_DATA!A17136</f>
        <v/>
      </c>
      <c r="B17136">
        <f>TEST_DATA!B17136</f>
        <v/>
      </c>
      <c r="C17136">
        <f>TEST_DATA!C17136</f>
        <v/>
      </c>
      <c r="D17136">
        <f>TEST_DATA!D17136</f>
        <v/>
      </c>
      <c r="E17136">
        <f>TEST_DATA!E17136</f>
        <v/>
      </c>
    </row>
    <row r="17137">
      <c r="A17137">
        <f>TEST_DATA!A17137</f>
        <v/>
      </c>
      <c r="B17137">
        <f>TEST_DATA!B17137</f>
        <v/>
      </c>
      <c r="C17137">
        <f>TEST_DATA!C17137</f>
        <v/>
      </c>
      <c r="D17137">
        <f>TEST_DATA!D17137</f>
        <v/>
      </c>
      <c r="E17137">
        <f>TEST_DATA!E17137</f>
        <v/>
      </c>
    </row>
    <row r="17138">
      <c r="A17138">
        <f>TEST_DATA!A17138</f>
        <v/>
      </c>
      <c r="B17138">
        <f>TEST_DATA!B17138</f>
        <v/>
      </c>
      <c r="C17138">
        <f>TEST_DATA!C17138</f>
        <v/>
      </c>
      <c r="D17138">
        <f>TEST_DATA!D17138</f>
        <v/>
      </c>
      <c r="E17138">
        <f>TEST_DATA!E17138</f>
        <v/>
      </c>
    </row>
    <row r="17139">
      <c r="A17139">
        <f>TEST_DATA!A17139</f>
        <v/>
      </c>
      <c r="B17139">
        <f>TEST_DATA!B17139</f>
        <v/>
      </c>
      <c r="C17139">
        <f>TEST_DATA!C17139</f>
        <v/>
      </c>
      <c r="D17139">
        <f>TEST_DATA!D17139</f>
        <v/>
      </c>
      <c r="E17139">
        <f>TEST_DATA!E17139</f>
        <v/>
      </c>
    </row>
    <row r="17140">
      <c r="A17140">
        <f>TEST_DATA!A17140</f>
        <v/>
      </c>
      <c r="B17140">
        <f>TEST_DATA!B17140</f>
        <v/>
      </c>
      <c r="C17140">
        <f>TEST_DATA!C17140</f>
        <v/>
      </c>
      <c r="D17140">
        <f>TEST_DATA!D17140</f>
        <v/>
      </c>
      <c r="E17140">
        <f>TEST_DATA!E17140</f>
        <v/>
      </c>
    </row>
    <row r="17141">
      <c r="A17141">
        <f>TEST_DATA!A17141</f>
        <v/>
      </c>
      <c r="B17141">
        <f>TEST_DATA!B17141</f>
        <v/>
      </c>
      <c r="C17141">
        <f>TEST_DATA!C17141</f>
        <v/>
      </c>
      <c r="D17141">
        <f>TEST_DATA!D17141</f>
        <v/>
      </c>
      <c r="E17141">
        <f>TEST_DATA!E17141</f>
        <v/>
      </c>
    </row>
    <row r="17142">
      <c r="A17142">
        <f>TEST_DATA!A17142</f>
        <v/>
      </c>
      <c r="B17142">
        <f>TEST_DATA!B17142</f>
        <v/>
      </c>
      <c r="C17142">
        <f>TEST_DATA!C17142</f>
        <v/>
      </c>
      <c r="D17142">
        <f>TEST_DATA!D17142</f>
        <v/>
      </c>
      <c r="E17142">
        <f>TEST_DATA!E17142</f>
        <v/>
      </c>
    </row>
    <row r="17143">
      <c r="A17143">
        <f>TEST_DATA!A17143</f>
        <v/>
      </c>
      <c r="B17143">
        <f>TEST_DATA!B17143</f>
        <v/>
      </c>
      <c r="C17143">
        <f>TEST_DATA!C17143</f>
        <v/>
      </c>
      <c r="D17143">
        <f>TEST_DATA!D17143</f>
        <v/>
      </c>
      <c r="E17143">
        <f>TEST_DATA!E17143</f>
        <v/>
      </c>
    </row>
    <row r="17144">
      <c r="A17144">
        <f>TEST_DATA!A17144</f>
        <v/>
      </c>
      <c r="B17144">
        <f>TEST_DATA!B17144</f>
        <v/>
      </c>
      <c r="C17144">
        <f>TEST_DATA!C17144</f>
        <v/>
      </c>
      <c r="D17144">
        <f>TEST_DATA!D17144</f>
        <v/>
      </c>
      <c r="E17144">
        <f>TEST_DATA!E17144</f>
        <v/>
      </c>
    </row>
    <row r="17145">
      <c r="A17145">
        <f>TEST_DATA!A17145</f>
        <v/>
      </c>
      <c r="B17145">
        <f>TEST_DATA!B17145</f>
        <v/>
      </c>
      <c r="C17145">
        <f>TEST_DATA!C17145</f>
        <v/>
      </c>
      <c r="D17145">
        <f>TEST_DATA!D17145</f>
        <v/>
      </c>
      <c r="E17145">
        <f>TEST_DATA!E17145</f>
        <v/>
      </c>
    </row>
    <row r="17146">
      <c r="A17146">
        <f>TEST_DATA!A17146</f>
        <v/>
      </c>
      <c r="B17146">
        <f>TEST_DATA!B17146</f>
        <v/>
      </c>
      <c r="C17146">
        <f>TEST_DATA!C17146</f>
        <v/>
      </c>
      <c r="D17146">
        <f>TEST_DATA!D17146</f>
        <v/>
      </c>
      <c r="E17146">
        <f>TEST_DATA!E17146</f>
        <v/>
      </c>
    </row>
    <row r="17147">
      <c r="A17147">
        <f>TEST_DATA!A17147</f>
        <v/>
      </c>
      <c r="B17147">
        <f>TEST_DATA!B17147</f>
        <v/>
      </c>
      <c r="C17147">
        <f>TEST_DATA!C17147</f>
        <v/>
      </c>
      <c r="D17147">
        <f>TEST_DATA!D17147</f>
        <v/>
      </c>
      <c r="E17147">
        <f>TEST_DATA!E17147</f>
        <v/>
      </c>
    </row>
    <row r="17148">
      <c r="A17148">
        <f>TEST_DATA!A17148</f>
        <v/>
      </c>
      <c r="B17148">
        <f>TEST_DATA!B17148</f>
        <v/>
      </c>
      <c r="C17148">
        <f>TEST_DATA!C17148</f>
        <v/>
      </c>
      <c r="D17148">
        <f>TEST_DATA!D17148</f>
        <v/>
      </c>
      <c r="E17148">
        <f>TEST_DATA!E17148</f>
        <v/>
      </c>
    </row>
    <row r="17149">
      <c r="A17149">
        <f>TEST_DATA!A17149</f>
        <v/>
      </c>
      <c r="B17149">
        <f>TEST_DATA!B17149</f>
        <v/>
      </c>
      <c r="C17149">
        <f>TEST_DATA!C17149</f>
        <v/>
      </c>
      <c r="D17149">
        <f>TEST_DATA!D17149</f>
        <v/>
      </c>
      <c r="E17149">
        <f>TEST_DATA!E17149</f>
        <v/>
      </c>
    </row>
    <row r="17150">
      <c r="A17150">
        <f>TEST_DATA!A17150</f>
        <v/>
      </c>
      <c r="B17150">
        <f>TEST_DATA!B17150</f>
        <v/>
      </c>
      <c r="C17150">
        <f>TEST_DATA!C17150</f>
        <v/>
      </c>
      <c r="D17150">
        <f>TEST_DATA!D17150</f>
        <v/>
      </c>
      <c r="E17150">
        <f>TEST_DATA!E17150</f>
        <v/>
      </c>
    </row>
    <row r="17151">
      <c r="A17151">
        <f>TEST_DATA!A17151</f>
        <v/>
      </c>
      <c r="B17151">
        <f>TEST_DATA!B17151</f>
        <v/>
      </c>
      <c r="C17151">
        <f>TEST_DATA!C17151</f>
        <v/>
      </c>
      <c r="D17151">
        <f>TEST_DATA!D17151</f>
        <v/>
      </c>
      <c r="E17151">
        <f>TEST_DATA!E17151</f>
        <v/>
      </c>
    </row>
    <row r="17152">
      <c r="A17152">
        <f>TEST_DATA!A17152</f>
        <v/>
      </c>
      <c r="B17152">
        <f>TEST_DATA!B17152</f>
        <v/>
      </c>
      <c r="C17152">
        <f>TEST_DATA!C17152</f>
        <v/>
      </c>
      <c r="D17152">
        <f>TEST_DATA!D17152</f>
        <v/>
      </c>
      <c r="E17152">
        <f>TEST_DATA!E17152</f>
        <v/>
      </c>
    </row>
    <row r="17153">
      <c r="A17153">
        <f>TEST_DATA!A17153</f>
        <v/>
      </c>
      <c r="B17153">
        <f>TEST_DATA!B17153</f>
        <v/>
      </c>
      <c r="C17153">
        <f>TEST_DATA!C17153</f>
        <v/>
      </c>
      <c r="D17153">
        <f>TEST_DATA!D17153</f>
        <v/>
      </c>
      <c r="E17153">
        <f>TEST_DATA!E17153</f>
        <v/>
      </c>
    </row>
    <row r="17154">
      <c r="A17154">
        <f>TEST_DATA!A17154</f>
        <v/>
      </c>
      <c r="B17154">
        <f>TEST_DATA!B17154</f>
        <v/>
      </c>
      <c r="C17154">
        <f>TEST_DATA!C17154</f>
        <v/>
      </c>
      <c r="D17154">
        <f>TEST_DATA!D17154</f>
        <v/>
      </c>
      <c r="E17154">
        <f>TEST_DATA!E17154</f>
        <v/>
      </c>
    </row>
    <row r="17155">
      <c r="A17155">
        <f>TEST_DATA!A17155</f>
        <v/>
      </c>
      <c r="B17155">
        <f>TEST_DATA!B17155</f>
        <v/>
      </c>
      <c r="C17155">
        <f>TEST_DATA!C17155</f>
        <v/>
      </c>
      <c r="D17155">
        <f>TEST_DATA!D17155</f>
        <v/>
      </c>
      <c r="E17155">
        <f>TEST_DATA!E17155</f>
        <v/>
      </c>
    </row>
    <row r="17156">
      <c r="A17156">
        <f>TEST_DATA!A17156</f>
        <v/>
      </c>
      <c r="B17156">
        <f>TEST_DATA!B17156</f>
        <v/>
      </c>
      <c r="C17156">
        <f>TEST_DATA!C17156</f>
        <v/>
      </c>
      <c r="D17156">
        <f>TEST_DATA!D17156</f>
        <v/>
      </c>
      <c r="E17156">
        <f>TEST_DATA!E17156</f>
        <v/>
      </c>
    </row>
    <row r="17157">
      <c r="A17157">
        <f>TEST_DATA!A17157</f>
        <v/>
      </c>
      <c r="B17157">
        <f>TEST_DATA!B17157</f>
        <v/>
      </c>
      <c r="C17157">
        <f>TEST_DATA!C17157</f>
        <v/>
      </c>
      <c r="D17157">
        <f>TEST_DATA!D17157</f>
        <v/>
      </c>
      <c r="E17157">
        <f>TEST_DATA!E17157</f>
        <v/>
      </c>
    </row>
    <row r="17158">
      <c r="A17158">
        <f>TEST_DATA!A17158</f>
        <v/>
      </c>
      <c r="B17158">
        <f>TEST_DATA!B17158</f>
        <v/>
      </c>
      <c r="C17158">
        <f>TEST_DATA!C17158</f>
        <v/>
      </c>
      <c r="D17158">
        <f>TEST_DATA!D17158</f>
        <v/>
      </c>
      <c r="E17158">
        <f>TEST_DATA!E17158</f>
        <v/>
      </c>
    </row>
    <row r="17159">
      <c r="A17159">
        <f>TEST_DATA!A17159</f>
        <v/>
      </c>
      <c r="B17159">
        <f>TEST_DATA!B17159</f>
        <v/>
      </c>
      <c r="C17159">
        <f>TEST_DATA!C17159</f>
        <v/>
      </c>
      <c r="D17159">
        <f>TEST_DATA!D17159</f>
        <v/>
      </c>
      <c r="E17159">
        <f>TEST_DATA!E17159</f>
        <v/>
      </c>
    </row>
    <row r="17160">
      <c r="A17160">
        <f>TEST_DATA!A17160</f>
        <v/>
      </c>
      <c r="B17160">
        <f>TEST_DATA!B17160</f>
        <v/>
      </c>
      <c r="C17160">
        <f>TEST_DATA!C17160</f>
        <v/>
      </c>
      <c r="D17160">
        <f>TEST_DATA!D17160</f>
        <v/>
      </c>
      <c r="E17160">
        <f>TEST_DATA!E17160</f>
        <v/>
      </c>
    </row>
    <row r="17161">
      <c r="A17161">
        <f>TEST_DATA!A17161</f>
        <v/>
      </c>
      <c r="B17161">
        <f>TEST_DATA!B17161</f>
        <v/>
      </c>
      <c r="C17161">
        <f>TEST_DATA!C17161</f>
        <v/>
      </c>
      <c r="D17161">
        <f>TEST_DATA!D17161</f>
        <v/>
      </c>
      <c r="E17161">
        <f>TEST_DATA!E17161</f>
        <v/>
      </c>
    </row>
    <row r="17162">
      <c r="A17162">
        <f>TEST_DATA!A17162</f>
        <v/>
      </c>
      <c r="B17162">
        <f>TEST_DATA!B17162</f>
        <v/>
      </c>
      <c r="C17162">
        <f>TEST_DATA!C17162</f>
        <v/>
      </c>
      <c r="D17162">
        <f>TEST_DATA!D17162</f>
        <v/>
      </c>
      <c r="E17162">
        <f>TEST_DATA!E17162</f>
        <v/>
      </c>
    </row>
    <row r="17163">
      <c r="A17163">
        <f>TEST_DATA!A17163</f>
        <v/>
      </c>
      <c r="B17163">
        <f>TEST_DATA!B17163</f>
        <v/>
      </c>
      <c r="C17163">
        <f>TEST_DATA!C17163</f>
        <v/>
      </c>
      <c r="D17163">
        <f>TEST_DATA!D17163</f>
        <v/>
      </c>
      <c r="E17163">
        <f>TEST_DATA!E17163</f>
        <v/>
      </c>
    </row>
    <row r="17164">
      <c r="A17164">
        <f>TEST_DATA!A17164</f>
        <v/>
      </c>
      <c r="B17164">
        <f>TEST_DATA!B17164</f>
        <v/>
      </c>
      <c r="C17164">
        <f>TEST_DATA!C17164</f>
        <v/>
      </c>
      <c r="D17164">
        <f>TEST_DATA!D17164</f>
        <v/>
      </c>
      <c r="E17164">
        <f>TEST_DATA!E17164</f>
        <v/>
      </c>
    </row>
    <row r="17165">
      <c r="A17165">
        <f>TEST_DATA!A17165</f>
        <v/>
      </c>
      <c r="B17165">
        <f>TEST_DATA!B17165</f>
        <v/>
      </c>
      <c r="C17165">
        <f>TEST_DATA!C17165</f>
        <v/>
      </c>
      <c r="D17165">
        <f>TEST_DATA!D17165</f>
        <v/>
      </c>
      <c r="E17165">
        <f>TEST_DATA!E17165</f>
        <v/>
      </c>
    </row>
    <row r="17166">
      <c r="A17166">
        <f>TEST_DATA!A17166</f>
        <v/>
      </c>
      <c r="B17166">
        <f>TEST_DATA!B17166</f>
        <v/>
      </c>
      <c r="C17166">
        <f>TEST_DATA!C17166</f>
        <v/>
      </c>
      <c r="D17166">
        <f>TEST_DATA!D17166</f>
        <v/>
      </c>
      <c r="E17166">
        <f>TEST_DATA!E17166</f>
        <v/>
      </c>
    </row>
    <row r="17167">
      <c r="A17167">
        <f>TEST_DATA!A17167</f>
        <v/>
      </c>
      <c r="B17167">
        <f>TEST_DATA!B17167</f>
        <v/>
      </c>
      <c r="C17167">
        <f>TEST_DATA!C17167</f>
        <v/>
      </c>
      <c r="D17167">
        <f>TEST_DATA!D17167</f>
        <v/>
      </c>
      <c r="E17167">
        <f>TEST_DATA!E17167</f>
        <v/>
      </c>
    </row>
    <row r="17168">
      <c r="A17168">
        <f>TEST_DATA!A17168</f>
        <v/>
      </c>
      <c r="B17168">
        <f>TEST_DATA!B17168</f>
        <v/>
      </c>
      <c r="C17168">
        <f>TEST_DATA!C17168</f>
        <v/>
      </c>
      <c r="D17168">
        <f>TEST_DATA!D17168</f>
        <v/>
      </c>
      <c r="E17168">
        <f>TEST_DATA!E17168</f>
        <v/>
      </c>
    </row>
    <row r="17169">
      <c r="A17169">
        <f>TEST_DATA!A17169</f>
        <v/>
      </c>
      <c r="B17169">
        <f>TEST_DATA!B17169</f>
        <v/>
      </c>
      <c r="C17169">
        <f>TEST_DATA!C17169</f>
        <v/>
      </c>
      <c r="D17169">
        <f>TEST_DATA!D17169</f>
        <v/>
      </c>
      <c r="E17169">
        <f>TEST_DATA!E17169</f>
        <v/>
      </c>
    </row>
    <row r="17170">
      <c r="A17170">
        <f>TEST_DATA!A17170</f>
        <v/>
      </c>
      <c r="B17170">
        <f>TEST_DATA!B17170</f>
        <v/>
      </c>
      <c r="C17170">
        <f>TEST_DATA!C17170</f>
        <v/>
      </c>
      <c r="D17170">
        <f>TEST_DATA!D17170</f>
        <v/>
      </c>
      <c r="E17170">
        <f>TEST_DATA!E17170</f>
        <v/>
      </c>
    </row>
    <row r="17171">
      <c r="A17171">
        <f>TEST_DATA!A17171</f>
        <v/>
      </c>
      <c r="B17171">
        <f>TEST_DATA!B17171</f>
        <v/>
      </c>
      <c r="C17171">
        <f>TEST_DATA!C17171</f>
        <v/>
      </c>
      <c r="D17171">
        <f>TEST_DATA!D17171</f>
        <v/>
      </c>
      <c r="E17171">
        <f>TEST_DATA!E17171</f>
        <v/>
      </c>
    </row>
    <row r="17172">
      <c r="A17172">
        <f>TEST_DATA!A17172</f>
        <v/>
      </c>
      <c r="B17172">
        <f>TEST_DATA!B17172</f>
        <v/>
      </c>
      <c r="C17172">
        <f>TEST_DATA!C17172</f>
        <v/>
      </c>
      <c r="D17172">
        <f>TEST_DATA!D17172</f>
        <v/>
      </c>
      <c r="E17172">
        <f>TEST_DATA!E17172</f>
        <v/>
      </c>
    </row>
    <row r="17173">
      <c r="A17173">
        <f>TEST_DATA!A17173</f>
        <v/>
      </c>
      <c r="B17173">
        <f>TEST_DATA!B17173</f>
        <v/>
      </c>
      <c r="C17173">
        <f>TEST_DATA!C17173</f>
        <v/>
      </c>
      <c r="D17173">
        <f>TEST_DATA!D17173</f>
        <v/>
      </c>
      <c r="E17173">
        <f>TEST_DATA!E17173</f>
        <v/>
      </c>
    </row>
    <row r="17174">
      <c r="A17174">
        <f>TEST_DATA!A17174</f>
        <v/>
      </c>
      <c r="B17174">
        <f>TEST_DATA!B17174</f>
        <v/>
      </c>
      <c r="C17174">
        <f>TEST_DATA!C17174</f>
        <v/>
      </c>
      <c r="D17174">
        <f>TEST_DATA!D17174</f>
        <v/>
      </c>
      <c r="E17174">
        <f>TEST_DATA!E17174</f>
        <v/>
      </c>
    </row>
    <row r="17175">
      <c r="A17175">
        <f>TEST_DATA!A17175</f>
        <v/>
      </c>
      <c r="B17175">
        <f>TEST_DATA!B17175</f>
        <v/>
      </c>
      <c r="C17175">
        <f>TEST_DATA!C17175</f>
        <v/>
      </c>
      <c r="D17175">
        <f>TEST_DATA!D17175</f>
        <v/>
      </c>
      <c r="E17175">
        <f>TEST_DATA!E17175</f>
        <v/>
      </c>
    </row>
    <row r="17176">
      <c r="A17176">
        <f>TEST_DATA!A17176</f>
        <v/>
      </c>
      <c r="B17176">
        <f>TEST_DATA!B17176</f>
        <v/>
      </c>
      <c r="C17176">
        <f>TEST_DATA!C17176</f>
        <v/>
      </c>
      <c r="D17176">
        <f>TEST_DATA!D17176</f>
        <v/>
      </c>
      <c r="E17176">
        <f>TEST_DATA!E17176</f>
        <v/>
      </c>
    </row>
    <row r="17177">
      <c r="A17177">
        <f>TEST_DATA!A17177</f>
        <v/>
      </c>
      <c r="B17177">
        <f>TEST_DATA!B17177</f>
        <v/>
      </c>
      <c r="C17177">
        <f>TEST_DATA!C17177</f>
        <v/>
      </c>
      <c r="D17177">
        <f>TEST_DATA!D17177</f>
        <v/>
      </c>
      <c r="E17177">
        <f>TEST_DATA!E17177</f>
        <v/>
      </c>
    </row>
    <row r="17178">
      <c r="A17178">
        <f>TEST_DATA!A17178</f>
        <v/>
      </c>
      <c r="B17178">
        <f>TEST_DATA!B17178</f>
        <v/>
      </c>
      <c r="C17178">
        <f>TEST_DATA!C17178</f>
        <v/>
      </c>
      <c r="D17178">
        <f>TEST_DATA!D17178</f>
        <v/>
      </c>
      <c r="E17178">
        <f>TEST_DATA!E17178</f>
        <v/>
      </c>
    </row>
    <row r="17179">
      <c r="A17179">
        <f>TEST_DATA!A17179</f>
        <v/>
      </c>
      <c r="B17179">
        <f>TEST_DATA!B17179</f>
        <v/>
      </c>
      <c r="C17179">
        <f>TEST_DATA!C17179</f>
        <v/>
      </c>
      <c r="D17179">
        <f>TEST_DATA!D17179</f>
        <v/>
      </c>
      <c r="E17179">
        <f>TEST_DATA!E17179</f>
        <v/>
      </c>
    </row>
    <row r="17180">
      <c r="A17180">
        <f>TEST_DATA!A17180</f>
        <v/>
      </c>
      <c r="B17180">
        <f>TEST_DATA!B17180</f>
        <v/>
      </c>
      <c r="C17180">
        <f>TEST_DATA!C17180</f>
        <v/>
      </c>
      <c r="D17180">
        <f>TEST_DATA!D17180</f>
        <v/>
      </c>
      <c r="E17180">
        <f>TEST_DATA!E17180</f>
        <v/>
      </c>
    </row>
    <row r="17181">
      <c r="A17181">
        <f>TEST_DATA!A17181</f>
        <v/>
      </c>
      <c r="B17181">
        <f>TEST_DATA!B17181</f>
        <v/>
      </c>
      <c r="C17181">
        <f>TEST_DATA!C17181</f>
        <v/>
      </c>
      <c r="D17181">
        <f>TEST_DATA!D17181</f>
        <v/>
      </c>
      <c r="E17181">
        <f>TEST_DATA!E17181</f>
        <v/>
      </c>
    </row>
    <row r="17182">
      <c r="A17182">
        <f>TEST_DATA!A17182</f>
        <v/>
      </c>
      <c r="B17182">
        <f>TEST_DATA!B17182</f>
        <v/>
      </c>
      <c r="C17182">
        <f>TEST_DATA!C17182</f>
        <v/>
      </c>
      <c r="D17182">
        <f>TEST_DATA!D17182</f>
        <v/>
      </c>
      <c r="E17182">
        <f>TEST_DATA!E17182</f>
        <v/>
      </c>
    </row>
    <row r="17183">
      <c r="A17183">
        <f>TEST_DATA!A17183</f>
        <v/>
      </c>
      <c r="B17183">
        <f>TEST_DATA!B17183</f>
        <v/>
      </c>
      <c r="C17183">
        <f>TEST_DATA!C17183</f>
        <v/>
      </c>
      <c r="D17183">
        <f>TEST_DATA!D17183</f>
        <v/>
      </c>
      <c r="E17183">
        <f>TEST_DATA!E17183</f>
        <v/>
      </c>
    </row>
    <row r="17184">
      <c r="A17184">
        <f>TEST_DATA!A17184</f>
        <v/>
      </c>
      <c r="B17184">
        <f>TEST_DATA!B17184</f>
        <v/>
      </c>
      <c r="C17184">
        <f>TEST_DATA!C17184</f>
        <v/>
      </c>
      <c r="D17184">
        <f>TEST_DATA!D17184</f>
        <v/>
      </c>
      <c r="E17184">
        <f>TEST_DATA!E17184</f>
        <v/>
      </c>
    </row>
    <row r="17185">
      <c r="A17185">
        <f>TEST_DATA!A17185</f>
        <v/>
      </c>
      <c r="B17185">
        <f>TEST_DATA!B17185</f>
        <v/>
      </c>
      <c r="C17185">
        <f>TEST_DATA!C17185</f>
        <v/>
      </c>
      <c r="D17185">
        <f>TEST_DATA!D17185</f>
        <v/>
      </c>
      <c r="E17185">
        <f>TEST_DATA!E17185</f>
        <v/>
      </c>
    </row>
    <row r="17186">
      <c r="A17186">
        <f>TEST_DATA!A17186</f>
        <v/>
      </c>
      <c r="B17186">
        <f>TEST_DATA!B17186</f>
        <v/>
      </c>
      <c r="C17186">
        <f>TEST_DATA!C17186</f>
        <v/>
      </c>
      <c r="D17186">
        <f>TEST_DATA!D17186</f>
        <v/>
      </c>
      <c r="E17186">
        <f>TEST_DATA!E17186</f>
        <v/>
      </c>
    </row>
    <row r="17187">
      <c r="A17187">
        <f>TEST_DATA!A17187</f>
        <v/>
      </c>
      <c r="B17187">
        <f>TEST_DATA!B17187</f>
        <v/>
      </c>
      <c r="C17187">
        <f>TEST_DATA!C17187</f>
        <v/>
      </c>
      <c r="D17187">
        <f>TEST_DATA!D17187</f>
        <v/>
      </c>
      <c r="E17187">
        <f>TEST_DATA!E17187</f>
        <v/>
      </c>
    </row>
    <row r="17188">
      <c r="A17188">
        <f>TEST_DATA!A17188</f>
        <v/>
      </c>
      <c r="B17188">
        <f>TEST_DATA!B17188</f>
        <v/>
      </c>
      <c r="C17188">
        <f>TEST_DATA!C17188</f>
        <v/>
      </c>
      <c r="D17188">
        <f>TEST_DATA!D17188</f>
        <v/>
      </c>
      <c r="E17188">
        <f>TEST_DATA!E17188</f>
        <v/>
      </c>
    </row>
    <row r="17189">
      <c r="A17189">
        <f>TEST_DATA!A17189</f>
        <v/>
      </c>
      <c r="B17189">
        <f>TEST_DATA!B17189</f>
        <v/>
      </c>
      <c r="C17189">
        <f>TEST_DATA!C17189</f>
        <v/>
      </c>
      <c r="D17189">
        <f>TEST_DATA!D17189</f>
        <v/>
      </c>
      <c r="E17189">
        <f>TEST_DATA!E17189</f>
        <v/>
      </c>
    </row>
    <row r="17190">
      <c r="A17190">
        <f>TEST_DATA!A17190</f>
        <v/>
      </c>
      <c r="B17190">
        <f>TEST_DATA!B17190</f>
        <v/>
      </c>
      <c r="C17190">
        <f>TEST_DATA!C17190</f>
        <v/>
      </c>
      <c r="D17190">
        <f>TEST_DATA!D17190</f>
        <v/>
      </c>
      <c r="E17190">
        <f>TEST_DATA!E17190</f>
        <v/>
      </c>
    </row>
    <row r="17191">
      <c r="A17191">
        <f>TEST_DATA!A17191</f>
        <v/>
      </c>
      <c r="B17191">
        <f>TEST_DATA!B17191</f>
        <v/>
      </c>
      <c r="C17191">
        <f>TEST_DATA!C17191</f>
        <v/>
      </c>
      <c r="D17191">
        <f>TEST_DATA!D17191</f>
        <v/>
      </c>
      <c r="E17191">
        <f>TEST_DATA!E17191</f>
        <v/>
      </c>
    </row>
    <row r="17192">
      <c r="A17192">
        <f>TEST_DATA!A17192</f>
        <v/>
      </c>
      <c r="B17192">
        <f>TEST_DATA!B17192</f>
        <v/>
      </c>
      <c r="C17192">
        <f>TEST_DATA!C17192</f>
        <v/>
      </c>
      <c r="D17192">
        <f>TEST_DATA!D17192</f>
        <v/>
      </c>
      <c r="E17192">
        <f>TEST_DATA!E17192</f>
        <v/>
      </c>
    </row>
    <row r="17193">
      <c r="A17193">
        <f>TEST_DATA!A17193</f>
        <v/>
      </c>
      <c r="B17193">
        <f>TEST_DATA!B17193</f>
        <v/>
      </c>
      <c r="C17193">
        <f>TEST_DATA!C17193</f>
        <v/>
      </c>
      <c r="D17193">
        <f>TEST_DATA!D17193</f>
        <v/>
      </c>
      <c r="E17193">
        <f>TEST_DATA!E17193</f>
        <v/>
      </c>
    </row>
    <row r="17194">
      <c r="A17194">
        <f>TEST_DATA!A17194</f>
        <v/>
      </c>
      <c r="B17194">
        <f>TEST_DATA!B17194</f>
        <v/>
      </c>
      <c r="C17194">
        <f>TEST_DATA!C17194</f>
        <v/>
      </c>
      <c r="D17194">
        <f>TEST_DATA!D17194</f>
        <v/>
      </c>
      <c r="E17194">
        <f>TEST_DATA!E17194</f>
        <v/>
      </c>
    </row>
    <row r="17195">
      <c r="A17195">
        <f>TEST_DATA!A17195</f>
        <v/>
      </c>
      <c r="B17195">
        <f>TEST_DATA!B17195</f>
        <v/>
      </c>
      <c r="C17195">
        <f>TEST_DATA!C17195</f>
        <v/>
      </c>
      <c r="D17195">
        <f>TEST_DATA!D17195</f>
        <v/>
      </c>
      <c r="E17195">
        <f>TEST_DATA!E17195</f>
        <v/>
      </c>
    </row>
    <row r="17196">
      <c r="A17196">
        <f>TEST_DATA!A17196</f>
        <v/>
      </c>
      <c r="B17196">
        <f>TEST_DATA!B17196</f>
        <v/>
      </c>
      <c r="C17196">
        <f>TEST_DATA!C17196</f>
        <v/>
      </c>
      <c r="D17196">
        <f>TEST_DATA!D17196</f>
        <v/>
      </c>
      <c r="E17196">
        <f>TEST_DATA!E17196</f>
        <v/>
      </c>
    </row>
    <row r="17197">
      <c r="A17197">
        <f>TEST_DATA!A17197</f>
        <v/>
      </c>
      <c r="B17197">
        <f>TEST_DATA!B17197</f>
        <v/>
      </c>
      <c r="C17197">
        <f>TEST_DATA!C17197</f>
        <v/>
      </c>
      <c r="D17197">
        <f>TEST_DATA!D17197</f>
        <v/>
      </c>
      <c r="E17197">
        <f>TEST_DATA!E17197</f>
        <v/>
      </c>
    </row>
    <row r="17198">
      <c r="A17198">
        <f>TEST_DATA!A17198</f>
        <v/>
      </c>
      <c r="B17198">
        <f>TEST_DATA!B17198</f>
        <v/>
      </c>
      <c r="C17198">
        <f>TEST_DATA!C17198</f>
        <v/>
      </c>
      <c r="D17198">
        <f>TEST_DATA!D17198</f>
        <v/>
      </c>
      <c r="E17198">
        <f>TEST_DATA!E17198</f>
        <v/>
      </c>
    </row>
    <row r="17199">
      <c r="A17199">
        <f>TEST_DATA!A17199</f>
        <v/>
      </c>
      <c r="B17199">
        <f>TEST_DATA!B17199</f>
        <v/>
      </c>
      <c r="C17199">
        <f>TEST_DATA!C17199</f>
        <v/>
      </c>
      <c r="D17199">
        <f>TEST_DATA!D17199</f>
        <v/>
      </c>
      <c r="E17199">
        <f>TEST_DATA!E17199</f>
        <v/>
      </c>
    </row>
    <row r="17200">
      <c r="A17200">
        <f>TEST_DATA!A17200</f>
        <v/>
      </c>
      <c r="B17200">
        <f>TEST_DATA!B17200</f>
        <v/>
      </c>
      <c r="C17200">
        <f>TEST_DATA!C17200</f>
        <v/>
      </c>
      <c r="D17200">
        <f>TEST_DATA!D17200</f>
        <v/>
      </c>
      <c r="E17200">
        <f>TEST_DATA!E17200</f>
        <v/>
      </c>
    </row>
    <row r="17201">
      <c r="A17201">
        <f>TEST_DATA!A17201</f>
        <v/>
      </c>
      <c r="B17201">
        <f>TEST_DATA!B17201</f>
        <v/>
      </c>
      <c r="C17201">
        <f>TEST_DATA!C17201</f>
        <v/>
      </c>
      <c r="D17201">
        <f>TEST_DATA!D17201</f>
        <v/>
      </c>
      <c r="E17201">
        <f>TEST_DATA!E17201</f>
        <v/>
      </c>
    </row>
    <row r="17202">
      <c r="A17202">
        <f>TEST_DATA!A17202</f>
        <v/>
      </c>
      <c r="B17202">
        <f>TEST_DATA!B17202</f>
        <v/>
      </c>
      <c r="C17202">
        <f>TEST_DATA!C17202</f>
        <v/>
      </c>
      <c r="D17202">
        <f>TEST_DATA!D17202</f>
        <v/>
      </c>
      <c r="E17202">
        <f>TEST_DATA!E17202</f>
        <v/>
      </c>
    </row>
    <row r="17203">
      <c r="A17203">
        <f>TEST_DATA!A17203</f>
        <v/>
      </c>
      <c r="B17203">
        <f>TEST_DATA!B17203</f>
        <v/>
      </c>
      <c r="C17203">
        <f>TEST_DATA!C17203</f>
        <v/>
      </c>
      <c r="D17203">
        <f>TEST_DATA!D17203</f>
        <v/>
      </c>
      <c r="E17203">
        <f>TEST_DATA!E17203</f>
        <v/>
      </c>
    </row>
    <row r="17204">
      <c r="A17204">
        <f>TEST_DATA!A17204</f>
        <v/>
      </c>
      <c r="B17204">
        <f>TEST_DATA!B17204</f>
        <v/>
      </c>
      <c r="C17204">
        <f>TEST_DATA!C17204</f>
        <v/>
      </c>
      <c r="D17204">
        <f>TEST_DATA!D17204</f>
        <v/>
      </c>
      <c r="E17204">
        <f>TEST_DATA!E17204</f>
        <v/>
      </c>
    </row>
    <row r="17205">
      <c r="A17205">
        <f>TEST_DATA!A17205</f>
        <v/>
      </c>
      <c r="B17205">
        <f>TEST_DATA!B17205</f>
        <v/>
      </c>
      <c r="C17205">
        <f>TEST_DATA!C17205</f>
        <v/>
      </c>
      <c r="D17205">
        <f>TEST_DATA!D17205</f>
        <v/>
      </c>
      <c r="E17205">
        <f>TEST_DATA!E17205</f>
        <v/>
      </c>
    </row>
    <row r="17206">
      <c r="A17206">
        <f>TEST_DATA!A17206</f>
        <v/>
      </c>
      <c r="B17206">
        <f>TEST_DATA!B17206</f>
        <v/>
      </c>
      <c r="C17206">
        <f>TEST_DATA!C17206</f>
        <v/>
      </c>
      <c r="D17206">
        <f>TEST_DATA!D17206</f>
        <v/>
      </c>
      <c r="E17206">
        <f>TEST_DATA!E17206</f>
        <v/>
      </c>
    </row>
    <row r="17207">
      <c r="A17207">
        <f>TEST_DATA!A17207</f>
        <v/>
      </c>
      <c r="B17207">
        <f>TEST_DATA!B17207</f>
        <v/>
      </c>
      <c r="C17207">
        <f>TEST_DATA!C17207</f>
        <v/>
      </c>
      <c r="D17207">
        <f>TEST_DATA!D17207</f>
        <v/>
      </c>
      <c r="E17207">
        <f>TEST_DATA!E17207</f>
        <v/>
      </c>
    </row>
    <row r="17208">
      <c r="A17208">
        <f>TEST_DATA!A17208</f>
        <v/>
      </c>
      <c r="B17208">
        <f>TEST_DATA!B17208</f>
        <v/>
      </c>
      <c r="C17208">
        <f>TEST_DATA!C17208</f>
        <v/>
      </c>
      <c r="D17208">
        <f>TEST_DATA!D17208</f>
        <v/>
      </c>
      <c r="E17208">
        <f>TEST_DATA!E17208</f>
        <v/>
      </c>
    </row>
    <row r="17209">
      <c r="A17209">
        <f>TEST_DATA!A17209</f>
        <v/>
      </c>
      <c r="B17209">
        <f>TEST_DATA!B17209</f>
        <v/>
      </c>
      <c r="C17209">
        <f>TEST_DATA!C17209</f>
        <v/>
      </c>
      <c r="D17209">
        <f>TEST_DATA!D17209</f>
        <v/>
      </c>
      <c r="E17209">
        <f>TEST_DATA!E17209</f>
        <v/>
      </c>
    </row>
    <row r="17210">
      <c r="A17210">
        <f>TEST_DATA!A17210</f>
        <v/>
      </c>
      <c r="B17210">
        <f>TEST_DATA!B17210</f>
        <v/>
      </c>
      <c r="C17210">
        <f>TEST_DATA!C17210</f>
        <v/>
      </c>
      <c r="D17210">
        <f>TEST_DATA!D17210</f>
        <v/>
      </c>
      <c r="E17210">
        <f>TEST_DATA!E17210</f>
        <v/>
      </c>
    </row>
    <row r="17211">
      <c r="A17211">
        <f>TEST_DATA!A17211</f>
        <v/>
      </c>
      <c r="B17211">
        <f>TEST_DATA!B17211</f>
        <v/>
      </c>
      <c r="C17211">
        <f>TEST_DATA!C17211</f>
        <v/>
      </c>
      <c r="D17211">
        <f>TEST_DATA!D17211</f>
        <v/>
      </c>
      <c r="E17211">
        <f>TEST_DATA!E17211</f>
        <v/>
      </c>
    </row>
    <row r="17212">
      <c r="A17212">
        <f>TEST_DATA!A17212</f>
        <v/>
      </c>
      <c r="B17212">
        <f>TEST_DATA!B17212</f>
        <v/>
      </c>
      <c r="C17212">
        <f>TEST_DATA!C17212</f>
        <v/>
      </c>
      <c r="D17212">
        <f>TEST_DATA!D17212</f>
        <v/>
      </c>
      <c r="E17212">
        <f>TEST_DATA!E17212</f>
        <v/>
      </c>
    </row>
    <row r="17213">
      <c r="A17213">
        <f>TEST_DATA!A17213</f>
        <v/>
      </c>
      <c r="B17213">
        <f>TEST_DATA!B17213</f>
        <v/>
      </c>
      <c r="C17213">
        <f>TEST_DATA!C17213</f>
        <v/>
      </c>
      <c r="D17213">
        <f>TEST_DATA!D17213</f>
        <v/>
      </c>
      <c r="E17213">
        <f>TEST_DATA!E17213</f>
        <v/>
      </c>
    </row>
    <row r="17214">
      <c r="A17214">
        <f>TEST_DATA!A17214</f>
        <v/>
      </c>
      <c r="B17214">
        <f>TEST_DATA!B17214</f>
        <v/>
      </c>
      <c r="C17214">
        <f>TEST_DATA!C17214</f>
        <v/>
      </c>
      <c r="D17214">
        <f>TEST_DATA!D17214</f>
        <v/>
      </c>
      <c r="E17214">
        <f>TEST_DATA!E17214</f>
        <v/>
      </c>
    </row>
    <row r="17215">
      <c r="A17215">
        <f>TEST_DATA!A17215</f>
        <v/>
      </c>
      <c r="B17215">
        <f>TEST_DATA!B17215</f>
        <v/>
      </c>
      <c r="C17215">
        <f>TEST_DATA!C17215</f>
        <v/>
      </c>
      <c r="D17215">
        <f>TEST_DATA!D17215</f>
        <v/>
      </c>
      <c r="E17215">
        <f>TEST_DATA!E17215</f>
        <v/>
      </c>
    </row>
    <row r="17216">
      <c r="A17216">
        <f>TEST_DATA!A17216</f>
        <v/>
      </c>
      <c r="B17216">
        <f>TEST_DATA!B17216</f>
        <v/>
      </c>
      <c r="C17216">
        <f>TEST_DATA!C17216</f>
        <v/>
      </c>
      <c r="D17216">
        <f>TEST_DATA!D17216</f>
        <v/>
      </c>
      <c r="E17216">
        <f>TEST_DATA!E17216</f>
        <v/>
      </c>
    </row>
    <row r="17217">
      <c r="A17217">
        <f>TEST_DATA!A17217</f>
        <v/>
      </c>
      <c r="B17217">
        <f>TEST_DATA!B17217</f>
        <v/>
      </c>
      <c r="C17217">
        <f>TEST_DATA!C17217</f>
        <v/>
      </c>
      <c r="D17217">
        <f>TEST_DATA!D17217</f>
        <v/>
      </c>
      <c r="E17217">
        <f>TEST_DATA!E17217</f>
        <v/>
      </c>
    </row>
    <row r="17218">
      <c r="A17218">
        <f>TEST_DATA!A17218</f>
        <v/>
      </c>
      <c r="B17218">
        <f>TEST_DATA!B17218</f>
        <v/>
      </c>
      <c r="C17218">
        <f>TEST_DATA!C17218</f>
        <v/>
      </c>
      <c r="D17218">
        <f>TEST_DATA!D17218</f>
        <v/>
      </c>
      <c r="E17218">
        <f>TEST_DATA!E17218</f>
        <v/>
      </c>
    </row>
    <row r="17219">
      <c r="A17219">
        <f>TEST_DATA!A17219</f>
        <v/>
      </c>
      <c r="B17219">
        <f>TEST_DATA!B17219</f>
        <v/>
      </c>
      <c r="C17219">
        <f>TEST_DATA!C17219</f>
        <v/>
      </c>
      <c r="D17219">
        <f>TEST_DATA!D17219</f>
        <v/>
      </c>
      <c r="E17219">
        <f>TEST_DATA!E17219</f>
        <v/>
      </c>
    </row>
    <row r="17220">
      <c r="A17220">
        <f>TEST_DATA!A17220</f>
        <v/>
      </c>
      <c r="B17220">
        <f>TEST_DATA!B17220</f>
        <v/>
      </c>
      <c r="C17220">
        <f>TEST_DATA!C17220</f>
        <v/>
      </c>
      <c r="D17220">
        <f>TEST_DATA!D17220</f>
        <v/>
      </c>
      <c r="E17220">
        <f>TEST_DATA!E17220</f>
        <v/>
      </c>
    </row>
    <row r="17221">
      <c r="A17221">
        <f>TEST_DATA!A17221</f>
        <v/>
      </c>
      <c r="B17221">
        <f>TEST_DATA!B17221</f>
        <v/>
      </c>
      <c r="C17221">
        <f>TEST_DATA!C17221</f>
        <v/>
      </c>
      <c r="D17221">
        <f>TEST_DATA!D17221</f>
        <v/>
      </c>
      <c r="E17221">
        <f>TEST_DATA!E17221</f>
        <v/>
      </c>
    </row>
    <row r="17222">
      <c r="A17222">
        <f>TEST_DATA!A17222</f>
        <v/>
      </c>
      <c r="B17222">
        <f>TEST_DATA!B17222</f>
        <v/>
      </c>
      <c r="C17222">
        <f>TEST_DATA!C17222</f>
        <v/>
      </c>
      <c r="D17222">
        <f>TEST_DATA!D17222</f>
        <v/>
      </c>
      <c r="E17222">
        <f>TEST_DATA!E17222</f>
        <v/>
      </c>
    </row>
    <row r="17223">
      <c r="A17223">
        <f>TEST_DATA!A17223</f>
        <v/>
      </c>
      <c r="B17223">
        <f>TEST_DATA!B17223</f>
        <v/>
      </c>
      <c r="C17223">
        <f>TEST_DATA!C17223</f>
        <v/>
      </c>
      <c r="D17223">
        <f>TEST_DATA!D17223</f>
        <v/>
      </c>
      <c r="E17223">
        <f>TEST_DATA!E17223</f>
        <v/>
      </c>
    </row>
    <row r="17224">
      <c r="A17224">
        <f>TEST_DATA!A17224</f>
        <v/>
      </c>
      <c r="B17224">
        <f>TEST_DATA!B17224</f>
        <v/>
      </c>
      <c r="C17224">
        <f>TEST_DATA!C17224</f>
        <v/>
      </c>
      <c r="D17224">
        <f>TEST_DATA!D17224</f>
        <v/>
      </c>
      <c r="E17224">
        <f>TEST_DATA!E17224</f>
        <v/>
      </c>
    </row>
    <row r="17225">
      <c r="A17225">
        <f>TEST_DATA!A17225</f>
        <v/>
      </c>
      <c r="B17225">
        <f>TEST_DATA!B17225</f>
        <v/>
      </c>
      <c r="C17225">
        <f>TEST_DATA!C17225</f>
        <v/>
      </c>
      <c r="D17225">
        <f>TEST_DATA!D17225</f>
        <v/>
      </c>
      <c r="E17225">
        <f>TEST_DATA!E17225</f>
        <v/>
      </c>
    </row>
    <row r="17226">
      <c r="A17226">
        <f>TEST_DATA!A17226</f>
        <v/>
      </c>
      <c r="B17226">
        <f>TEST_DATA!B17226</f>
        <v/>
      </c>
      <c r="C17226">
        <f>TEST_DATA!C17226</f>
        <v/>
      </c>
      <c r="D17226">
        <f>TEST_DATA!D17226</f>
        <v/>
      </c>
      <c r="E17226">
        <f>TEST_DATA!E17226</f>
        <v/>
      </c>
    </row>
    <row r="17227">
      <c r="A17227">
        <f>TEST_DATA!A17227</f>
        <v/>
      </c>
      <c r="B17227">
        <f>TEST_DATA!B17227</f>
        <v/>
      </c>
      <c r="C17227">
        <f>TEST_DATA!C17227</f>
        <v/>
      </c>
      <c r="D17227">
        <f>TEST_DATA!D17227</f>
        <v/>
      </c>
      <c r="E17227">
        <f>TEST_DATA!E17227</f>
        <v/>
      </c>
    </row>
    <row r="17228">
      <c r="A17228">
        <f>TEST_DATA!A17228</f>
        <v/>
      </c>
      <c r="B17228">
        <f>TEST_DATA!B17228</f>
        <v/>
      </c>
      <c r="C17228">
        <f>TEST_DATA!C17228</f>
        <v/>
      </c>
      <c r="D17228">
        <f>TEST_DATA!D17228</f>
        <v/>
      </c>
      <c r="E17228">
        <f>TEST_DATA!E17228</f>
        <v/>
      </c>
    </row>
    <row r="17229">
      <c r="A17229">
        <f>TEST_DATA!A17229</f>
        <v/>
      </c>
      <c r="B17229">
        <f>TEST_DATA!B17229</f>
        <v/>
      </c>
      <c r="C17229">
        <f>TEST_DATA!C17229</f>
        <v/>
      </c>
      <c r="D17229">
        <f>TEST_DATA!D17229</f>
        <v/>
      </c>
      <c r="E17229">
        <f>TEST_DATA!E17229</f>
        <v/>
      </c>
    </row>
    <row r="17230">
      <c r="A17230">
        <f>TEST_DATA!A17230</f>
        <v/>
      </c>
      <c r="B17230">
        <f>TEST_DATA!B17230</f>
        <v/>
      </c>
      <c r="C17230">
        <f>TEST_DATA!C17230</f>
        <v/>
      </c>
      <c r="D17230">
        <f>TEST_DATA!D17230</f>
        <v/>
      </c>
      <c r="E17230">
        <f>TEST_DATA!E17230</f>
        <v/>
      </c>
    </row>
    <row r="17231">
      <c r="A17231">
        <f>TEST_DATA!A17231</f>
        <v/>
      </c>
      <c r="B17231">
        <f>TEST_DATA!B17231</f>
        <v/>
      </c>
      <c r="C17231">
        <f>TEST_DATA!C17231</f>
        <v/>
      </c>
      <c r="D17231">
        <f>TEST_DATA!D17231</f>
        <v/>
      </c>
      <c r="E17231">
        <f>TEST_DATA!E17231</f>
        <v/>
      </c>
    </row>
    <row r="17232">
      <c r="A17232">
        <f>TEST_DATA!A17232</f>
        <v/>
      </c>
      <c r="B17232">
        <f>TEST_DATA!B17232</f>
        <v/>
      </c>
      <c r="C17232">
        <f>TEST_DATA!C17232</f>
        <v/>
      </c>
      <c r="D17232">
        <f>TEST_DATA!D17232</f>
        <v/>
      </c>
      <c r="E17232">
        <f>TEST_DATA!E17232</f>
        <v/>
      </c>
    </row>
    <row r="17233">
      <c r="A17233">
        <f>TEST_DATA!A17233</f>
        <v/>
      </c>
      <c r="B17233">
        <f>TEST_DATA!B17233</f>
        <v/>
      </c>
      <c r="C17233">
        <f>TEST_DATA!C17233</f>
        <v/>
      </c>
      <c r="D17233">
        <f>TEST_DATA!D17233</f>
        <v/>
      </c>
      <c r="E17233">
        <f>TEST_DATA!E17233</f>
        <v/>
      </c>
    </row>
    <row r="17234">
      <c r="A17234">
        <f>TEST_DATA!A17234</f>
        <v/>
      </c>
      <c r="B17234">
        <f>TEST_DATA!B17234</f>
        <v/>
      </c>
      <c r="C17234">
        <f>TEST_DATA!C17234</f>
        <v/>
      </c>
      <c r="D17234">
        <f>TEST_DATA!D17234</f>
        <v/>
      </c>
      <c r="E17234">
        <f>TEST_DATA!E17234</f>
        <v/>
      </c>
    </row>
    <row r="17235">
      <c r="A17235">
        <f>TEST_DATA!A17235</f>
        <v/>
      </c>
      <c r="B17235">
        <f>TEST_DATA!B17235</f>
        <v/>
      </c>
      <c r="C17235">
        <f>TEST_DATA!C17235</f>
        <v/>
      </c>
      <c r="D17235">
        <f>TEST_DATA!D17235</f>
        <v/>
      </c>
      <c r="E17235">
        <f>TEST_DATA!E17235</f>
        <v/>
      </c>
    </row>
    <row r="17236">
      <c r="A17236">
        <f>TEST_DATA!A17236</f>
        <v/>
      </c>
      <c r="B17236">
        <f>TEST_DATA!B17236</f>
        <v/>
      </c>
      <c r="C17236">
        <f>TEST_DATA!C17236</f>
        <v/>
      </c>
      <c r="D17236">
        <f>TEST_DATA!D17236</f>
        <v/>
      </c>
      <c r="E17236">
        <f>TEST_DATA!E17236</f>
        <v/>
      </c>
    </row>
    <row r="17237">
      <c r="A17237">
        <f>TEST_DATA!A17237</f>
        <v/>
      </c>
      <c r="B17237">
        <f>TEST_DATA!B17237</f>
        <v/>
      </c>
      <c r="C17237">
        <f>TEST_DATA!C17237</f>
        <v/>
      </c>
      <c r="D17237">
        <f>TEST_DATA!D17237</f>
        <v/>
      </c>
      <c r="E17237">
        <f>TEST_DATA!E17237</f>
        <v/>
      </c>
    </row>
    <row r="17238">
      <c r="A17238">
        <f>TEST_DATA!A17238</f>
        <v/>
      </c>
      <c r="B17238">
        <f>TEST_DATA!B17238</f>
        <v/>
      </c>
      <c r="C17238">
        <f>TEST_DATA!C17238</f>
        <v/>
      </c>
      <c r="D17238">
        <f>TEST_DATA!D17238</f>
        <v/>
      </c>
      <c r="E17238">
        <f>TEST_DATA!E17238</f>
        <v/>
      </c>
    </row>
    <row r="17239">
      <c r="A17239">
        <f>TEST_DATA!A17239</f>
        <v/>
      </c>
      <c r="B17239">
        <f>TEST_DATA!B17239</f>
        <v/>
      </c>
      <c r="C17239">
        <f>TEST_DATA!C17239</f>
        <v/>
      </c>
      <c r="D17239">
        <f>TEST_DATA!D17239</f>
        <v/>
      </c>
      <c r="E17239">
        <f>TEST_DATA!E17239</f>
        <v/>
      </c>
    </row>
    <row r="17240">
      <c r="A17240">
        <f>TEST_DATA!A17240</f>
        <v/>
      </c>
      <c r="B17240">
        <f>TEST_DATA!B17240</f>
        <v/>
      </c>
      <c r="C17240">
        <f>TEST_DATA!C17240</f>
        <v/>
      </c>
      <c r="D17240">
        <f>TEST_DATA!D17240</f>
        <v/>
      </c>
      <c r="E17240">
        <f>TEST_DATA!E17240</f>
        <v/>
      </c>
    </row>
    <row r="17241">
      <c r="A17241">
        <f>TEST_DATA!A17241</f>
        <v/>
      </c>
      <c r="B17241">
        <f>TEST_DATA!B17241</f>
        <v/>
      </c>
      <c r="C17241">
        <f>TEST_DATA!C17241</f>
        <v/>
      </c>
      <c r="D17241">
        <f>TEST_DATA!D17241</f>
        <v/>
      </c>
      <c r="E17241">
        <f>TEST_DATA!E17241</f>
        <v/>
      </c>
    </row>
    <row r="17242">
      <c r="A17242">
        <f>TEST_DATA!A17242</f>
        <v/>
      </c>
      <c r="B17242">
        <f>TEST_DATA!B17242</f>
        <v/>
      </c>
      <c r="C17242">
        <f>TEST_DATA!C17242</f>
        <v/>
      </c>
      <c r="D17242">
        <f>TEST_DATA!D17242</f>
        <v/>
      </c>
      <c r="E17242">
        <f>TEST_DATA!E17242</f>
        <v/>
      </c>
    </row>
    <row r="17243">
      <c r="A17243">
        <f>TEST_DATA!A17243</f>
        <v/>
      </c>
      <c r="B17243">
        <f>TEST_DATA!B17243</f>
        <v/>
      </c>
      <c r="C17243">
        <f>TEST_DATA!C17243</f>
        <v/>
      </c>
      <c r="D17243">
        <f>TEST_DATA!D17243</f>
        <v/>
      </c>
      <c r="E17243">
        <f>TEST_DATA!E17243</f>
        <v/>
      </c>
    </row>
    <row r="17244">
      <c r="A17244">
        <f>TEST_DATA!A17244</f>
        <v/>
      </c>
      <c r="B17244">
        <f>TEST_DATA!B17244</f>
        <v/>
      </c>
      <c r="C17244">
        <f>TEST_DATA!C17244</f>
        <v/>
      </c>
      <c r="D17244">
        <f>TEST_DATA!D17244</f>
        <v/>
      </c>
      <c r="E17244">
        <f>TEST_DATA!E17244</f>
        <v/>
      </c>
    </row>
    <row r="17245">
      <c r="A17245">
        <f>TEST_DATA!A17245</f>
        <v/>
      </c>
      <c r="B17245">
        <f>TEST_DATA!B17245</f>
        <v/>
      </c>
      <c r="C17245">
        <f>TEST_DATA!C17245</f>
        <v/>
      </c>
      <c r="D17245">
        <f>TEST_DATA!D17245</f>
        <v/>
      </c>
      <c r="E17245">
        <f>TEST_DATA!E17245</f>
        <v/>
      </c>
    </row>
    <row r="17246">
      <c r="A17246">
        <f>TEST_DATA!A17246</f>
        <v/>
      </c>
      <c r="B17246">
        <f>TEST_DATA!B17246</f>
        <v/>
      </c>
      <c r="C17246">
        <f>TEST_DATA!C17246</f>
        <v/>
      </c>
      <c r="D17246">
        <f>TEST_DATA!D17246</f>
        <v/>
      </c>
      <c r="E17246">
        <f>TEST_DATA!E17246</f>
        <v/>
      </c>
    </row>
    <row r="17247">
      <c r="A17247">
        <f>TEST_DATA!A17247</f>
        <v/>
      </c>
      <c r="B17247">
        <f>TEST_DATA!B17247</f>
        <v/>
      </c>
      <c r="C17247">
        <f>TEST_DATA!C17247</f>
        <v/>
      </c>
      <c r="D17247">
        <f>TEST_DATA!D17247</f>
        <v/>
      </c>
      <c r="E17247">
        <f>TEST_DATA!E17247</f>
        <v/>
      </c>
    </row>
    <row r="17248">
      <c r="A17248">
        <f>TEST_DATA!A17248</f>
        <v/>
      </c>
      <c r="B17248">
        <f>TEST_DATA!B17248</f>
        <v/>
      </c>
      <c r="C17248">
        <f>TEST_DATA!C17248</f>
        <v/>
      </c>
      <c r="D17248">
        <f>TEST_DATA!D17248</f>
        <v/>
      </c>
      <c r="E17248">
        <f>TEST_DATA!E17248</f>
        <v/>
      </c>
    </row>
    <row r="17249">
      <c r="A17249">
        <f>TEST_DATA!A17249</f>
        <v/>
      </c>
      <c r="B17249">
        <f>TEST_DATA!B17249</f>
        <v/>
      </c>
      <c r="C17249">
        <f>TEST_DATA!C17249</f>
        <v/>
      </c>
      <c r="D17249">
        <f>TEST_DATA!D17249</f>
        <v/>
      </c>
      <c r="E17249">
        <f>TEST_DATA!E17249</f>
        <v/>
      </c>
    </row>
    <row r="17250">
      <c r="A17250">
        <f>TEST_DATA!A17250</f>
        <v/>
      </c>
      <c r="B17250">
        <f>TEST_DATA!B17250</f>
        <v/>
      </c>
      <c r="C17250">
        <f>TEST_DATA!C17250</f>
        <v/>
      </c>
      <c r="D17250">
        <f>TEST_DATA!D17250</f>
        <v/>
      </c>
      <c r="E17250">
        <f>TEST_DATA!E17250</f>
        <v/>
      </c>
    </row>
    <row r="17251">
      <c r="A17251">
        <f>TEST_DATA!A17251</f>
        <v/>
      </c>
      <c r="B17251">
        <f>TEST_DATA!B17251</f>
        <v/>
      </c>
      <c r="C17251">
        <f>TEST_DATA!C17251</f>
        <v/>
      </c>
      <c r="D17251">
        <f>TEST_DATA!D17251</f>
        <v/>
      </c>
      <c r="E17251">
        <f>TEST_DATA!E17251</f>
        <v/>
      </c>
    </row>
    <row r="17252">
      <c r="A17252">
        <f>TEST_DATA!A17252</f>
        <v/>
      </c>
      <c r="B17252">
        <f>TEST_DATA!B17252</f>
        <v/>
      </c>
      <c r="C17252">
        <f>TEST_DATA!C17252</f>
        <v/>
      </c>
      <c r="D17252">
        <f>TEST_DATA!D17252</f>
        <v/>
      </c>
      <c r="E17252">
        <f>TEST_DATA!E17252</f>
        <v/>
      </c>
    </row>
    <row r="17253">
      <c r="A17253">
        <f>TEST_DATA!A17253</f>
        <v/>
      </c>
      <c r="B17253">
        <f>TEST_DATA!B17253</f>
        <v/>
      </c>
      <c r="C17253">
        <f>TEST_DATA!C17253</f>
        <v/>
      </c>
      <c r="D17253">
        <f>TEST_DATA!D17253</f>
        <v/>
      </c>
      <c r="E17253">
        <f>TEST_DATA!E17253</f>
        <v/>
      </c>
    </row>
    <row r="17254">
      <c r="A17254">
        <f>TEST_DATA!A17254</f>
        <v/>
      </c>
      <c r="B17254">
        <f>TEST_DATA!B17254</f>
        <v/>
      </c>
      <c r="C17254">
        <f>TEST_DATA!C17254</f>
        <v/>
      </c>
      <c r="D17254">
        <f>TEST_DATA!D17254</f>
        <v/>
      </c>
      <c r="E17254">
        <f>TEST_DATA!E17254</f>
        <v/>
      </c>
    </row>
    <row r="17255">
      <c r="A17255">
        <f>TEST_DATA!A17255</f>
        <v/>
      </c>
      <c r="B17255">
        <f>TEST_DATA!B17255</f>
        <v/>
      </c>
      <c r="C17255">
        <f>TEST_DATA!C17255</f>
        <v/>
      </c>
      <c r="D17255">
        <f>TEST_DATA!D17255</f>
        <v/>
      </c>
      <c r="E17255">
        <f>TEST_DATA!E17255</f>
        <v/>
      </c>
    </row>
    <row r="17256">
      <c r="A17256">
        <f>TEST_DATA!A17256</f>
        <v/>
      </c>
      <c r="B17256">
        <f>TEST_DATA!B17256</f>
        <v/>
      </c>
      <c r="C17256">
        <f>TEST_DATA!C17256</f>
        <v/>
      </c>
      <c r="D17256">
        <f>TEST_DATA!D17256</f>
        <v/>
      </c>
      <c r="E17256">
        <f>TEST_DATA!E17256</f>
        <v/>
      </c>
    </row>
    <row r="17257">
      <c r="A17257">
        <f>TEST_DATA!A17257</f>
        <v/>
      </c>
      <c r="B17257">
        <f>TEST_DATA!B17257</f>
        <v/>
      </c>
      <c r="C17257">
        <f>TEST_DATA!C17257</f>
        <v/>
      </c>
      <c r="D17257">
        <f>TEST_DATA!D17257</f>
        <v/>
      </c>
      <c r="E17257">
        <f>TEST_DATA!E17257</f>
        <v/>
      </c>
    </row>
    <row r="17258">
      <c r="A17258">
        <f>TEST_DATA!A17258</f>
        <v/>
      </c>
      <c r="B17258">
        <f>TEST_DATA!B17258</f>
        <v/>
      </c>
      <c r="C17258">
        <f>TEST_DATA!C17258</f>
        <v/>
      </c>
      <c r="D17258">
        <f>TEST_DATA!D17258</f>
        <v/>
      </c>
      <c r="E17258">
        <f>TEST_DATA!E17258</f>
        <v/>
      </c>
    </row>
    <row r="17259">
      <c r="A17259">
        <f>TEST_DATA!A17259</f>
        <v/>
      </c>
      <c r="B17259">
        <f>TEST_DATA!B17259</f>
        <v/>
      </c>
      <c r="C17259">
        <f>TEST_DATA!C17259</f>
        <v/>
      </c>
      <c r="D17259">
        <f>TEST_DATA!D17259</f>
        <v/>
      </c>
      <c r="E17259">
        <f>TEST_DATA!E17259</f>
        <v/>
      </c>
    </row>
    <row r="17260">
      <c r="A17260">
        <f>TEST_DATA!A17260</f>
        <v/>
      </c>
      <c r="B17260">
        <f>TEST_DATA!B17260</f>
        <v/>
      </c>
      <c r="C17260">
        <f>TEST_DATA!C17260</f>
        <v/>
      </c>
      <c r="D17260">
        <f>TEST_DATA!D17260</f>
        <v/>
      </c>
      <c r="E17260">
        <f>TEST_DATA!E17260</f>
        <v/>
      </c>
    </row>
    <row r="17261">
      <c r="A17261">
        <f>TEST_DATA!A17261</f>
        <v/>
      </c>
      <c r="B17261">
        <f>TEST_DATA!B17261</f>
        <v/>
      </c>
      <c r="C17261">
        <f>TEST_DATA!C17261</f>
        <v/>
      </c>
      <c r="D17261">
        <f>TEST_DATA!D17261</f>
        <v/>
      </c>
      <c r="E17261">
        <f>TEST_DATA!E17261</f>
        <v/>
      </c>
    </row>
    <row r="17262">
      <c r="A17262">
        <f>TEST_DATA!A17262</f>
        <v/>
      </c>
      <c r="B17262">
        <f>TEST_DATA!B17262</f>
        <v/>
      </c>
      <c r="C17262">
        <f>TEST_DATA!C17262</f>
        <v/>
      </c>
      <c r="D17262">
        <f>TEST_DATA!D17262</f>
        <v/>
      </c>
      <c r="E17262">
        <f>TEST_DATA!E17262</f>
        <v/>
      </c>
    </row>
    <row r="17263">
      <c r="A17263">
        <f>TEST_DATA!A17263</f>
        <v/>
      </c>
      <c r="B17263">
        <f>TEST_DATA!B17263</f>
        <v/>
      </c>
      <c r="C17263">
        <f>TEST_DATA!C17263</f>
        <v/>
      </c>
      <c r="D17263">
        <f>TEST_DATA!D17263</f>
        <v/>
      </c>
      <c r="E17263">
        <f>TEST_DATA!E17263</f>
        <v/>
      </c>
    </row>
    <row r="17264">
      <c r="A17264">
        <f>TEST_DATA!A17264</f>
        <v/>
      </c>
      <c r="B17264">
        <f>TEST_DATA!B17264</f>
        <v/>
      </c>
      <c r="C17264">
        <f>TEST_DATA!C17264</f>
        <v/>
      </c>
      <c r="D17264">
        <f>TEST_DATA!D17264</f>
        <v/>
      </c>
      <c r="E17264">
        <f>TEST_DATA!E17264</f>
        <v/>
      </c>
    </row>
    <row r="17265">
      <c r="A17265">
        <f>TEST_DATA!A17265</f>
        <v/>
      </c>
      <c r="B17265">
        <f>TEST_DATA!B17265</f>
        <v/>
      </c>
      <c r="C17265">
        <f>TEST_DATA!C17265</f>
        <v/>
      </c>
      <c r="D17265">
        <f>TEST_DATA!D17265</f>
        <v/>
      </c>
      <c r="E17265">
        <f>TEST_DATA!E17265</f>
        <v/>
      </c>
    </row>
    <row r="17266">
      <c r="A17266">
        <f>TEST_DATA!A17266</f>
        <v/>
      </c>
      <c r="B17266">
        <f>TEST_DATA!B17266</f>
        <v/>
      </c>
      <c r="C17266">
        <f>TEST_DATA!C17266</f>
        <v/>
      </c>
      <c r="D17266">
        <f>TEST_DATA!D17266</f>
        <v/>
      </c>
      <c r="E17266">
        <f>TEST_DATA!E17266</f>
        <v/>
      </c>
    </row>
    <row r="17267">
      <c r="A17267">
        <f>TEST_DATA!A17267</f>
        <v/>
      </c>
      <c r="B17267">
        <f>TEST_DATA!B17267</f>
        <v/>
      </c>
      <c r="C17267">
        <f>TEST_DATA!C17267</f>
        <v/>
      </c>
      <c r="D17267">
        <f>TEST_DATA!D17267</f>
        <v/>
      </c>
      <c r="E17267">
        <f>TEST_DATA!E17267</f>
        <v/>
      </c>
    </row>
    <row r="17268">
      <c r="A17268">
        <f>TEST_DATA!A17268</f>
        <v/>
      </c>
      <c r="B17268">
        <f>TEST_DATA!B17268</f>
        <v/>
      </c>
      <c r="C17268">
        <f>TEST_DATA!C17268</f>
        <v/>
      </c>
      <c r="D17268">
        <f>TEST_DATA!D17268</f>
        <v/>
      </c>
      <c r="E17268">
        <f>TEST_DATA!E17268</f>
        <v/>
      </c>
    </row>
    <row r="17269">
      <c r="A17269">
        <f>TEST_DATA!A17269</f>
        <v/>
      </c>
      <c r="B17269">
        <f>TEST_DATA!B17269</f>
        <v/>
      </c>
      <c r="C17269">
        <f>TEST_DATA!C17269</f>
        <v/>
      </c>
      <c r="D17269">
        <f>TEST_DATA!D17269</f>
        <v/>
      </c>
      <c r="E17269">
        <f>TEST_DATA!E17269</f>
        <v/>
      </c>
    </row>
    <row r="17270">
      <c r="A17270">
        <f>TEST_DATA!A17270</f>
        <v/>
      </c>
      <c r="B17270">
        <f>TEST_DATA!B17270</f>
        <v/>
      </c>
      <c r="C17270">
        <f>TEST_DATA!C17270</f>
        <v/>
      </c>
      <c r="D17270">
        <f>TEST_DATA!D17270</f>
        <v/>
      </c>
      <c r="E17270">
        <f>TEST_DATA!E17270</f>
        <v/>
      </c>
    </row>
    <row r="17271">
      <c r="A17271">
        <f>TEST_DATA!A17271</f>
        <v/>
      </c>
      <c r="B17271">
        <f>TEST_DATA!B17271</f>
        <v/>
      </c>
      <c r="C17271">
        <f>TEST_DATA!C17271</f>
        <v/>
      </c>
      <c r="D17271">
        <f>TEST_DATA!D17271</f>
        <v/>
      </c>
      <c r="E17271">
        <f>TEST_DATA!E17271</f>
        <v/>
      </c>
    </row>
    <row r="17272">
      <c r="A17272">
        <f>TEST_DATA!A17272</f>
        <v/>
      </c>
      <c r="B17272">
        <f>TEST_DATA!B17272</f>
        <v/>
      </c>
      <c r="C17272">
        <f>TEST_DATA!C17272</f>
        <v/>
      </c>
      <c r="D17272">
        <f>TEST_DATA!D17272</f>
        <v/>
      </c>
      <c r="E17272">
        <f>TEST_DATA!E17272</f>
        <v/>
      </c>
    </row>
    <row r="17273">
      <c r="A17273">
        <f>TEST_DATA!A17273</f>
        <v/>
      </c>
      <c r="B17273">
        <f>TEST_DATA!B17273</f>
        <v/>
      </c>
      <c r="C17273">
        <f>TEST_DATA!C17273</f>
        <v/>
      </c>
      <c r="D17273">
        <f>TEST_DATA!D17273</f>
        <v/>
      </c>
      <c r="E17273">
        <f>TEST_DATA!E17273</f>
        <v/>
      </c>
    </row>
    <row r="17274">
      <c r="A17274">
        <f>TEST_DATA!A17274</f>
        <v/>
      </c>
      <c r="B17274">
        <f>TEST_DATA!B17274</f>
        <v/>
      </c>
      <c r="C17274">
        <f>TEST_DATA!C17274</f>
        <v/>
      </c>
      <c r="D17274">
        <f>TEST_DATA!D17274</f>
        <v/>
      </c>
      <c r="E17274">
        <f>TEST_DATA!E17274</f>
        <v/>
      </c>
    </row>
    <row r="17275">
      <c r="A17275">
        <f>TEST_DATA!A17275</f>
        <v/>
      </c>
      <c r="B17275">
        <f>TEST_DATA!B17275</f>
        <v/>
      </c>
      <c r="C17275">
        <f>TEST_DATA!C17275</f>
        <v/>
      </c>
      <c r="D17275">
        <f>TEST_DATA!D17275</f>
        <v/>
      </c>
      <c r="E17275">
        <f>TEST_DATA!E17275</f>
        <v/>
      </c>
    </row>
    <row r="17276">
      <c r="A17276">
        <f>TEST_DATA!A17276</f>
        <v/>
      </c>
      <c r="B17276">
        <f>TEST_DATA!B17276</f>
        <v/>
      </c>
      <c r="C17276">
        <f>TEST_DATA!C17276</f>
        <v/>
      </c>
      <c r="D17276">
        <f>TEST_DATA!D17276</f>
        <v/>
      </c>
      <c r="E17276">
        <f>TEST_DATA!E17276</f>
        <v/>
      </c>
    </row>
    <row r="17277">
      <c r="A17277">
        <f>TEST_DATA!A17277</f>
        <v/>
      </c>
      <c r="B17277">
        <f>TEST_DATA!B17277</f>
        <v/>
      </c>
      <c r="C17277">
        <f>TEST_DATA!C17277</f>
        <v/>
      </c>
      <c r="D17277">
        <f>TEST_DATA!D17277</f>
        <v/>
      </c>
      <c r="E17277">
        <f>TEST_DATA!E17277</f>
        <v/>
      </c>
    </row>
    <row r="17278">
      <c r="A17278">
        <f>TEST_DATA!A17278</f>
        <v/>
      </c>
      <c r="B17278">
        <f>TEST_DATA!B17278</f>
        <v/>
      </c>
      <c r="C17278">
        <f>TEST_DATA!C17278</f>
        <v/>
      </c>
      <c r="D17278">
        <f>TEST_DATA!D17278</f>
        <v/>
      </c>
      <c r="E17278">
        <f>TEST_DATA!E17278</f>
        <v/>
      </c>
    </row>
    <row r="17279">
      <c r="A17279">
        <f>TEST_DATA!A17279</f>
        <v/>
      </c>
      <c r="B17279">
        <f>TEST_DATA!B17279</f>
        <v/>
      </c>
      <c r="C17279">
        <f>TEST_DATA!C17279</f>
        <v/>
      </c>
      <c r="D17279">
        <f>TEST_DATA!D17279</f>
        <v/>
      </c>
      <c r="E17279">
        <f>TEST_DATA!E17279</f>
        <v/>
      </c>
    </row>
    <row r="17280">
      <c r="A17280">
        <f>TEST_DATA!A17280</f>
        <v/>
      </c>
      <c r="B17280">
        <f>TEST_DATA!B17280</f>
        <v/>
      </c>
      <c r="C17280">
        <f>TEST_DATA!C17280</f>
        <v/>
      </c>
      <c r="D17280">
        <f>TEST_DATA!D17280</f>
        <v/>
      </c>
      <c r="E17280">
        <f>TEST_DATA!E17280</f>
        <v/>
      </c>
    </row>
    <row r="17281">
      <c r="A17281">
        <f>TEST_DATA!A17281</f>
        <v/>
      </c>
      <c r="B17281">
        <f>TEST_DATA!B17281</f>
        <v/>
      </c>
      <c r="C17281">
        <f>TEST_DATA!C17281</f>
        <v/>
      </c>
      <c r="D17281">
        <f>TEST_DATA!D17281</f>
        <v/>
      </c>
      <c r="E17281">
        <f>TEST_DATA!E17281</f>
        <v/>
      </c>
    </row>
    <row r="17282">
      <c r="A17282">
        <f>TEST_DATA!A17282</f>
        <v/>
      </c>
      <c r="B17282">
        <f>TEST_DATA!B17282</f>
        <v/>
      </c>
      <c r="C17282">
        <f>TEST_DATA!C17282</f>
        <v/>
      </c>
      <c r="D17282">
        <f>TEST_DATA!D17282</f>
        <v/>
      </c>
      <c r="E17282">
        <f>TEST_DATA!E17282</f>
        <v/>
      </c>
    </row>
    <row r="17283">
      <c r="A17283">
        <f>TEST_DATA!A17283</f>
        <v/>
      </c>
      <c r="B17283">
        <f>TEST_DATA!B17283</f>
        <v/>
      </c>
      <c r="C17283">
        <f>TEST_DATA!C17283</f>
        <v/>
      </c>
      <c r="D17283">
        <f>TEST_DATA!D17283</f>
        <v/>
      </c>
      <c r="E17283">
        <f>TEST_DATA!E17283</f>
        <v/>
      </c>
    </row>
    <row r="17284">
      <c r="A17284">
        <f>TEST_DATA!A17284</f>
        <v/>
      </c>
      <c r="B17284">
        <f>TEST_DATA!B17284</f>
        <v/>
      </c>
      <c r="C17284">
        <f>TEST_DATA!C17284</f>
        <v/>
      </c>
      <c r="D17284">
        <f>TEST_DATA!D17284</f>
        <v/>
      </c>
      <c r="E17284">
        <f>TEST_DATA!E17284</f>
        <v/>
      </c>
    </row>
    <row r="17285">
      <c r="A17285">
        <f>TEST_DATA!A17285</f>
        <v/>
      </c>
      <c r="B17285">
        <f>TEST_DATA!B17285</f>
        <v/>
      </c>
      <c r="C17285">
        <f>TEST_DATA!C17285</f>
        <v/>
      </c>
      <c r="D17285">
        <f>TEST_DATA!D17285</f>
        <v/>
      </c>
      <c r="E17285">
        <f>TEST_DATA!E17285</f>
        <v/>
      </c>
    </row>
    <row r="17286">
      <c r="A17286">
        <f>TEST_DATA!A17286</f>
        <v/>
      </c>
      <c r="B17286">
        <f>TEST_DATA!B17286</f>
        <v/>
      </c>
      <c r="C17286">
        <f>TEST_DATA!C17286</f>
        <v/>
      </c>
      <c r="D17286">
        <f>TEST_DATA!D17286</f>
        <v/>
      </c>
      <c r="E17286">
        <f>TEST_DATA!E17286</f>
        <v/>
      </c>
    </row>
    <row r="17287">
      <c r="A17287">
        <f>TEST_DATA!A17287</f>
        <v/>
      </c>
      <c r="B17287">
        <f>TEST_DATA!B17287</f>
        <v/>
      </c>
      <c r="C17287">
        <f>TEST_DATA!C17287</f>
        <v/>
      </c>
      <c r="D17287">
        <f>TEST_DATA!D17287</f>
        <v/>
      </c>
      <c r="E17287">
        <f>TEST_DATA!E17287</f>
        <v/>
      </c>
    </row>
    <row r="17288">
      <c r="A17288">
        <f>TEST_DATA!A17288</f>
        <v/>
      </c>
      <c r="B17288">
        <f>TEST_DATA!B17288</f>
        <v/>
      </c>
      <c r="C17288">
        <f>TEST_DATA!C17288</f>
        <v/>
      </c>
      <c r="D17288">
        <f>TEST_DATA!D17288</f>
        <v/>
      </c>
      <c r="E17288">
        <f>TEST_DATA!E17288</f>
        <v/>
      </c>
    </row>
    <row r="17289">
      <c r="A17289">
        <f>TEST_DATA!A17289</f>
        <v/>
      </c>
      <c r="B17289">
        <f>TEST_DATA!B17289</f>
        <v/>
      </c>
      <c r="C17289">
        <f>TEST_DATA!C17289</f>
        <v/>
      </c>
      <c r="D17289">
        <f>TEST_DATA!D17289</f>
        <v/>
      </c>
      <c r="E17289">
        <f>TEST_DATA!E17289</f>
        <v/>
      </c>
    </row>
    <row r="17290">
      <c r="A17290">
        <f>TEST_DATA!A17290</f>
        <v/>
      </c>
      <c r="B17290">
        <f>TEST_DATA!B17290</f>
        <v/>
      </c>
      <c r="C17290">
        <f>TEST_DATA!C17290</f>
        <v/>
      </c>
      <c r="D17290">
        <f>TEST_DATA!D17290</f>
        <v/>
      </c>
      <c r="E17290">
        <f>TEST_DATA!E17290</f>
        <v/>
      </c>
    </row>
    <row r="17291">
      <c r="A17291">
        <f>TEST_DATA!A17291</f>
        <v/>
      </c>
      <c r="B17291">
        <f>TEST_DATA!B17291</f>
        <v/>
      </c>
      <c r="C17291">
        <f>TEST_DATA!C17291</f>
        <v/>
      </c>
      <c r="D17291">
        <f>TEST_DATA!D17291</f>
        <v/>
      </c>
      <c r="E17291">
        <f>TEST_DATA!E17291</f>
        <v/>
      </c>
    </row>
    <row r="17292">
      <c r="A17292">
        <f>TEST_DATA!A17292</f>
        <v/>
      </c>
      <c r="B17292">
        <f>TEST_DATA!B17292</f>
        <v/>
      </c>
      <c r="C17292">
        <f>TEST_DATA!C17292</f>
        <v/>
      </c>
      <c r="D17292">
        <f>TEST_DATA!D17292</f>
        <v/>
      </c>
      <c r="E17292">
        <f>TEST_DATA!E17292</f>
        <v/>
      </c>
    </row>
    <row r="17293">
      <c r="A17293">
        <f>TEST_DATA!A17293</f>
        <v/>
      </c>
      <c r="B17293">
        <f>TEST_DATA!B17293</f>
        <v/>
      </c>
      <c r="C17293">
        <f>TEST_DATA!C17293</f>
        <v/>
      </c>
      <c r="D17293">
        <f>TEST_DATA!D17293</f>
        <v/>
      </c>
      <c r="E17293">
        <f>TEST_DATA!E17293</f>
        <v/>
      </c>
    </row>
    <row r="17294">
      <c r="A17294">
        <f>TEST_DATA!A17294</f>
        <v/>
      </c>
      <c r="B17294">
        <f>TEST_DATA!B17294</f>
        <v/>
      </c>
      <c r="C17294">
        <f>TEST_DATA!C17294</f>
        <v/>
      </c>
      <c r="D17294">
        <f>TEST_DATA!D17294</f>
        <v/>
      </c>
      <c r="E17294">
        <f>TEST_DATA!E17294</f>
        <v/>
      </c>
    </row>
    <row r="17295">
      <c r="A17295">
        <f>TEST_DATA!A17295</f>
        <v/>
      </c>
      <c r="B17295">
        <f>TEST_DATA!B17295</f>
        <v/>
      </c>
      <c r="C17295">
        <f>TEST_DATA!C17295</f>
        <v/>
      </c>
      <c r="D17295">
        <f>TEST_DATA!D17295</f>
        <v/>
      </c>
      <c r="E17295">
        <f>TEST_DATA!E17295</f>
        <v/>
      </c>
    </row>
    <row r="17296">
      <c r="A17296">
        <f>TEST_DATA!A17296</f>
        <v/>
      </c>
      <c r="B17296">
        <f>TEST_DATA!B17296</f>
        <v/>
      </c>
      <c r="C17296">
        <f>TEST_DATA!C17296</f>
        <v/>
      </c>
      <c r="D17296">
        <f>TEST_DATA!D17296</f>
        <v/>
      </c>
      <c r="E17296">
        <f>TEST_DATA!E17296</f>
        <v/>
      </c>
    </row>
    <row r="17297">
      <c r="A17297">
        <f>TEST_DATA!A17297</f>
        <v/>
      </c>
      <c r="B17297">
        <f>TEST_DATA!B17297</f>
        <v/>
      </c>
      <c r="C17297">
        <f>TEST_DATA!C17297</f>
        <v/>
      </c>
      <c r="D17297">
        <f>TEST_DATA!D17297</f>
        <v/>
      </c>
      <c r="E17297">
        <f>TEST_DATA!E17297</f>
        <v/>
      </c>
    </row>
    <row r="17298">
      <c r="A17298">
        <f>TEST_DATA!A17298</f>
        <v/>
      </c>
      <c r="B17298">
        <f>TEST_DATA!B17298</f>
        <v/>
      </c>
      <c r="C17298">
        <f>TEST_DATA!C17298</f>
        <v/>
      </c>
      <c r="D17298">
        <f>TEST_DATA!D17298</f>
        <v/>
      </c>
      <c r="E17298">
        <f>TEST_DATA!E17298</f>
        <v/>
      </c>
    </row>
    <row r="17299">
      <c r="A17299">
        <f>TEST_DATA!A17299</f>
        <v/>
      </c>
      <c r="B17299">
        <f>TEST_DATA!B17299</f>
        <v/>
      </c>
      <c r="C17299">
        <f>TEST_DATA!C17299</f>
        <v/>
      </c>
      <c r="D17299">
        <f>TEST_DATA!D17299</f>
        <v/>
      </c>
      <c r="E17299">
        <f>TEST_DATA!E17299</f>
        <v/>
      </c>
    </row>
    <row r="17300">
      <c r="A17300">
        <f>TEST_DATA!A17300</f>
        <v/>
      </c>
      <c r="B17300">
        <f>TEST_DATA!B17300</f>
        <v/>
      </c>
      <c r="C17300">
        <f>TEST_DATA!C17300</f>
        <v/>
      </c>
      <c r="D17300">
        <f>TEST_DATA!D17300</f>
        <v/>
      </c>
      <c r="E17300">
        <f>TEST_DATA!E17300</f>
        <v/>
      </c>
    </row>
    <row r="17301">
      <c r="A17301">
        <f>TEST_DATA!A17301</f>
        <v/>
      </c>
      <c r="B17301">
        <f>TEST_DATA!B17301</f>
        <v/>
      </c>
      <c r="C17301">
        <f>TEST_DATA!C17301</f>
        <v/>
      </c>
      <c r="D17301">
        <f>TEST_DATA!D17301</f>
        <v/>
      </c>
      <c r="E17301">
        <f>TEST_DATA!E17301</f>
        <v/>
      </c>
    </row>
    <row r="17302">
      <c r="A17302">
        <f>TEST_DATA!A17302</f>
        <v/>
      </c>
      <c r="B17302">
        <f>TEST_DATA!B17302</f>
        <v/>
      </c>
      <c r="C17302">
        <f>TEST_DATA!C17302</f>
        <v/>
      </c>
      <c r="D17302">
        <f>TEST_DATA!D17302</f>
        <v/>
      </c>
      <c r="E17302">
        <f>TEST_DATA!E17302</f>
        <v/>
      </c>
    </row>
    <row r="17303">
      <c r="A17303">
        <f>TEST_DATA!A17303</f>
        <v/>
      </c>
      <c r="B17303">
        <f>TEST_DATA!B17303</f>
        <v/>
      </c>
      <c r="C17303">
        <f>TEST_DATA!C17303</f>
        <v/>
      </c>
      <c r="D17303">
        <f>TEST_DATA!D17303</f>
        <v/>
      </c>
      <c r="E17303">
        <f>TEST_DATA!E17303</f>
        <v/>
      </c>
    </row>
    <row r="17304">
      <c r="A17304">
        <f>TEST_DATA!A17304</f>
        <v/>
      </c>
      <c r="B17304">
        <f>TEST_DATA!B17304</f>
        <v/>
      </c>
      <c r="C17304">
        <f>TEST_DATA!C17304</f>
        <v/>
      </c>
      <c r="D17304">
        <f>TEST_DATA!D17304</f>
        <v/>
      </c>
      <c r="E17304">
        <f>TEST_DATA!E17304</f>
        <v/>
      </c>
    </row>
    <row r="17305">
      <c r="A17305">
        <f>TEST_DATA!A17305</f>
        <v/>
      </c>
      <c r="B17305">
        <f>TEST_DATA!B17305</f>
        <v/>
      </c>
      <c r="C17305">
        <f>TEST_DATA!C17305</f>
        <v/>
      </c>
      <c r="D17305">
        <f>TEST_DATA!D17305</f>
        <v/>
      </c>
      <c r="E17305">
        <f>TEST_DATA!E17305</f>
        <v/>
      </c>
    </row>
    <row r="17306">
      <c r="A17306">
        <f>TEST_DATA!A17306</f>
        <v/>
      </c>
      <c r="B17306">
        <f>TEST_DATA!B17306</f>
        <v/>
      </c>
      <c r="C17306">
        <f>TEST_DATA!C17306</f>
        <v/>
      </c>
      <c r="D17306">
        <f>TEST_DATA!D17306</f>
        <v/>
      </c>
      <c r="E17306">
        <f>TEST_DATA!E17306</f>
        <v/>
      </c>
    </row>
    <row r="17307">
      <c r="A17307">
        <f>TEST_DATA!A17307</f>
        <v/>
      </c>
      <c r="B17307">
        <f>TEST_DATA!B17307</f>
        <v/>
      </c>
      <c r="C17307">
        <f>TEST_DATA!C17307</f>
        <v/>
      </c>
      <c r="D17307">
        <f>TEST_DATA!D17307</f>
        <v/>
      </c>
      <c r="E17307">
        <f>TEST_DATA!E17307</f>
        <v/>
      </c>
    </row>
    <row r="17308">
      <c r="A17308">
        <f>TEST_DATA!A17308</f>
        <v/>
      </c>
      <c r="B17308">
        <f>TEST_DATA!B17308</f>
        <v/>
      </c>
      <c r="C17308">
        <f>TEST_DATA!C17308</f>
        <v/>
      </c>
      <c r="D17308">
        <f>TEST_DATA!D17308</f>
        <v/>
      </c>
      <c r="E17308">
        <f>TEST_DATA!E17308</f>
        <v/>
      </c>
    </row>
    <row r="17309">
      <c r="A17309">
        <f>TEST_DATA!A17309</f>
        <v/>
      </c>
      <c r="B17309">
        <f>TEST_DATA!B17309</f>
        <v/>
      </c>
      <c r="C17309">
        <f>TEST_DATA!C17309</f>
        <v/>
      </c>
      <c r="D17309">
        <f>TEST_DATA!D17309</f>
        <v/>
      </c>
      <c r="E17309">
        <f>TEST_DATA!E17309</f>
        <v/>
      </c>
    </row>
    <row r="17310">
      <c r="A17310">
        <f>TEST_DATA!A17310</f>
        <v/>
      </c>
      <c r="B17310">
        <f>TEST_DATA!B17310</f>
        <v/>
      </c>
      <c r="C17310">
        <f>TEST_DATA!C17310</f>
        <v/>
      </c>
      <c r="D17310">
        <f>TEST_DATA!D17310</f>
        <v/>
      </c>
      <c r="E17310">
        <f>TEST_DATA!E17310</f>
        <v/>
      </c>
    </row>
    <row r="17311">
      <c r="A17311">
        <f>TEST_DATA!A17311</f>
        <v/>
      </c>
      <c r="B17311">
        <f>TEST_DATA!B17311</f>
        <v/>
      </c>
      <c r="C17311">
        <f>TEST_DATA!C17311</f>
        <v/>
      </c>
      <c r="D17311">
        <f>TEST_DATA!D17311</f>
        <v/>
      </c>
      <c r="E17311">
        <f>TEST_DATA!E17311</f>
        <v/>
      </c>
    </row>
    <row r="17312">
      <c r="A17312">
        <f>TEST_DATA!A17312</f>
        <v/>
      </c>
      <c r="B17312">
        <f>TEST_DATA!B17312</f>
        <v/>
      </c>
      <c r="C17312">
        <f>TEST_DATA!C17312</f>
        <v/>
      </c>
      <c r="D17312">
        <f>TEST_DATA!D17312</f>
        <v/>
      </c>
      <c r="E17312">
        <f>TEST_DATA!E17312</f>
        <v/>
      </c>
    </row>
    <row r="17313">
      <c r="A17313">
        <f>TEST_DATA!A17313</f>
        <v/>
      </c>
      <c r="B17313">
        <f>TEST_DATA!B17313</f>
        <v/>
      </c>
      <c r="C17313">
        <f>TEST_DATA!C17313</f>
        <v/>
      </c>
      <c r="D17313">
        <f>TEST_DATA!D17313</f>
        <v/>
      </c>
      <c r="E17313">
        <f>TEST_DATA!E17313</f>
        <v/>
      </c>
    </row>
    <row r="17314">
      <c r="A17314">
        <f>TEST_DATA!A17314</f>
        <v/>
      </c>
      <c r="B17314">
        <f>TEST_DATA!B17314</f>
        <v/>
      </c>
      <c r="C17314">
        <f>TEST_DATA!C17314</f>
        <v/>
      </c>
      <c r="D17314">
        <f>TEST_DATA!D17314</f>
        <v/>
      </c>
      <c r="E17314">
        <f>TEST_DATA!E17314</f>
        <v/>
      </c>
    </row>
    <row r="17315">
      <c r="A17315">
        <f>TEST_DATA!A17315</f>
        <v/>
      </c>
      <c r="B17315">
        <f>TEST_DATA!B17315</f>
        <v/>
      </c>
      <c r="C17315">
        <f>TEST_DATA!C17315</f>
        <v/>
      </c>
      <c r="D17315">
        <f>TEST_DATA!D17315</f>
        <v/>
      </c>
      <c r="E17315">
        <f>TEST_DATA!E17315</f>
        <v/>
      </c>
    </row>
    <row r="17316">
      <c r="A17316">
        <f>TEST_DATA!A17316</f>
        <v/>
      </c>
      <c r="B17316">
        <f>TEST_DATA!B17316</f>
        <v/>
      </c>
      <c r="C17316">
        <f>TEST_DATA!C17316</f>
        <v/>
      </c>
      <c r="D17316">
        <f>TEST_DATA!D17316</f>
        <v/>
      </c>
      <c r="E17316">
        <f>TEST_DATA!E17316</f>
        <v/>
      </c>
    </row>
    <row r="17317">
      <c r="A17317">
        <f>TEST_DATA!A17317</f>
        <v/>
      </c>
      <c r="B17317">
        <f>TEST_DATA!B17317</f>
        <v/>
      </c>
      <c r="C17317">
        <f>TEST_DATA!C17317</f>
        <v/>
      </c>
      <c r="D17317">
        <f>TEST_DATA!D17317</f>
        <v/>
      </c>
      <c r="E17317">
        <f>TEST_DATA!E17317</f>
        <v/>
      </c>
    </row>
    <row r="17318">
      <c r="A17318">
        <f>TEST_DATA!A17318</f>
        <v/>
      </c>
      <c r="B17318">
        <f>TEST_DATA!B17318</f>
        <v/>
      </c>
      <c r="C17318">
        <f>TEST_DATA!C17318</f>
        <v/>
      </c>
      <c r="D17318">
        <f>TEST_DATA!D17318</f>
        <v/>
      </c>
      <c r="E17318">
        <f>TEST_DATA!E17318</f>
        <v/>
      </c>
    </row>
    <row r="17319">
      <c r="A17319">
        <f>TEST_DATA!A17319</f>
        <v/>
      </c>
      <c r="B17319">
        <f>TEST_DATA!B17319</f>
        <v/>
      </c>
      <c r="C17319">
        <f>TEST_DATA!C17319</f>
        <v/>
      </c>
      <c r="D17319">
        <f>TEST_DATA!D17319</f>
        <v/>
      </c>
      <c r="E17319">
        <f>TEST_DATA!E17319</f>
        <v/>
      </c>
    </row>
    <row r="17320">
      <c r="A17320">
        <f>TEST_DATA!A17320</f>
        <v/>
      </c>
      <c r="B17320">
        <f>TEST_DATA!B17320</f>
        <v/>
      </c>
      <c r="C17320">
        <f>TEST_DATA!C17320</f>
        <v/>
      </c>
      <c r="D17320">
        <f>TEST_DATA!D17320</f>
        <v/>
      </c>
      <c r="E17320">
        <f>TEST_DATA!E17320</f>
        <v/>
      </c>
    </row>
    <row r="17321">
      <c r="A17321">
        <f>TEST_DATA!A17321</f>
        <v/>
      </c>
      <c r="B17321">
        <f>TEST_DATA!B17321</f>
        <v/>
      </c>
      <c r="C17321">
        <f>TEST_DATA!C17321</f>
        <v/>
      </c>
      <c r="D17321">
        <f>TEST_DATA!D17321</f>
        <v/>
      </c>
      <c r="E17321">
        <f>TEST_DATA!E17321</f>
        <v/>
      </c>
    </row>
    <row r="17322">
      <c r="A17322">
        <f>TEST_DATA!A17322</f>
        <v/>
      </c>
      <c r="B17322">
        <f>TEST_DATA!B17322</f>
        <v/>
      </c>
      <c r="C17322">
        <f>TEST_DATA!C17322</f>
        <v/>
      </c>
      <c r="D17322">
        <f>TEST_DATA!D17322</f>
        <v/>
      </c>
      <c r="E17322">
        <f>TEST_DATA!E17322</f>
        <v/>
      </c>
    </row>
    <row r="17323">
      <c r="A17323">
        <f>TEST_DATA!A17323</f>
        <v/>
      </c>
      <c r="B17323">
        <f>TEST_DATA!B17323</f>
        <v/>
      </c>
      <c r="C17323">
        <f>TEST_DATA!C17323</f>
        <v/>
      </c>
      <c r="D17323">
        <f>TEST_DATA!D17323</f>
        <v/>
      </c>
      <c r="E17323">
        <f>TEST_DATA!E17323</f>
        <v/>
      </c>
    </row>
    <row r="17324">
      <c r="A17324">
        <f>TEST_DATA!A17324</f>
        <v/>
      </c>
      <c r="B17324">
        <f>TEST_DATA!B17324</f>
        <v/>
      </c>
      <c r="C17324">
        <f>TEST_DATA!C17324</f>
        <v/>
      </c>
      <c r="D17324">
        <f>TEST_DATA!D17324</f>
        <v/>
      </c>
      <c r="E17324">
        <f>TEST_DATA!E17324</f>
        <v/>
      </c>
    </row>
    <row r="17325">
      <c r="A17325">
        <f>TEST_DATA!A17325</f>
        <v/>
      </c>
      <c r="B17325">
        <f>TEST_DATA!B17325</f>
        <v/>
      </c>
      <c r="C17325">
        <f>TEST_DATA!C17325</f>
        <v/>
      </c>
      <c r="D17325">
        <f>TEST_DATA!D17325</f>
        <v/>
      </c>
      <c r="E17325">
        <f>TEST_DATA!E17325</f>
        <v/>
      </c>
    </row>
    <row r="17326">
      <c r="A17326">
        <f>TEST_DATA!A17326</f>
        <v/>
      </c>
      <c r="B17326">
        <f>TEST_DATA!B17326</f>
        <v/>
      </c>
      <c r="C17326">
        <f>TEST_DATA!C17326</f>
        <v/>
      </c>
      <c r="D17326">
        <f>TEST_DATA!D17326</f>
        <v/>
      </c>
      <c r="E17326">
        <f>TEST_DATA!E17326</f>
        <v/>
      </c>
    </row>
    <row r="17327">
      <c r="A17327">
        <f>TEST_DATA!A17327</f>
        <v/>
      </c>
      <c r="B17327">
        <f>TEST_DATA!B17327</f>
        <v/>
      </c>
      <c r="C17327">
        <f>TEST_DATA!C17327</f>
        <v/>
      </c>
      <c r="D17327">
        <f>TEST_DATA!D17327</f>
        <v/>
      </c>
      <c r="E17327">
        <f>TEST_DATA!E17327</f>
        <v/>
      </c>
    </row>
    <row r="17328">
      <c r="A17328">
        <f>TEST_DATA!A17328</f>
        <v/>
      </c>
      <c r="B17328">
        <f>TEST_DATA!B17328</f>
        <v/>
      </c>
      <c r="C17328">
        <f>TEST_DATA!C17328</f>
        <v/>
      </c>
      <c r="D17328">
        <f>TEST_DATA!D17328</f>
        <v/>
      </c>
      <c r="E17328">
        <f>TEST_DATA!E17328</f>
        <v/>
      </c>
    </row>
    <row r="17329">
      <c r="A17329">
        <f>TEST_DATA!A17329</f>
        <v/>
      </c>
      <c r="B17329">
        <f>TEST_DATA!B17329</f>
        <v/>
      </c>
      <c r="C17329">
        <f>TEST_DATA!C17329</f>
        <v/>
      </c>
      <c r="D17329">
        <f>TEST_DATA!D17329</f>
        <v/>
      </c>
      <c r="E17329">
        <f>TEST_DATA!E17329</f>
        <v/>
      </c>
    </row>
    <row r="17330">
      <c r="A17330">
        <f>TEST_DATA!A17330</f>
        <v/>
      </c>
      <c r="B17330">
        <f>TEST_DATA!B17330</f>
        <v/>
      </c>
      <c r="C17330">
        <f>TEST_DATA!C17330</f>
        <v/>
      </c>
      <c r="D17330">
        <f>TEST_DATA!D17330</f>
        <v/>
      </c>
      <c r="E17330">
        <f>TEST_DATA!E17330</f>
        <v/>
      </c>
    </row>
    <row r="17331">
      <c r="A17331">
        <f>TEST_DATA!A17331</f>
        <v/>
      </c>
      <c r="B17331">
        <f>TEST_DATA!B17331</f>
        <v/>
      </c>
      <c r="C17331">
        <f>TEST_DATA!C17331</f>
        <v/>
      </c>
      <c r="D17331">
        <f>TEST_DATA!D17331</f>
        <v/>
      </c>
      <c r="E17331">
        <f>TEST_DATA!E17331</f>
        <v/>
      </c>
    </row>
    <row r="17332">
      <c r="A17332">
        <f>TEST_DATA!A17332</f>
        <v/>
      </c>
      <c r="B17332">
        <f>TEST_DATA!B17332</f>
        <v/>
      </c>
      <c r="C17332">
        <f>TEST_DATA!C17332</f>
        <v/>
      </c>
      <c r="D17332">
        <f>TEST_DATA!D17332</f>
        <v/>
      </c>
      <c r="E17332">
        <f>TEST_DATA!E17332</f>
        <v/>
      </c>
    </row>
    <row r="17333">
      <c r="A17333">
        <f>TEST_DATA!A17333</f>
        <v/>
      </c>
      <c r="B17333">
        <f>TEST_DATA!B17333</f>
        <v/>
      </c>
      <c r="C17333">
        <f>TEST_DATA!C17333</f>
        <v/>
      </c>
      <c r="D17333">
        <f>TEST_DATA!D17333</f>
        <v/>
      </c>
      <c r="E17333">
        <f>TEST_DATA!E17333</f>
        <v/>
      </c>
    </row>
    <row r="17334">
      <c r="A17334">
        <f>TEST_DATA!A17334</f>
        <v/>
      </c>
      <c r="B17334">
        <f>TEST_DATA!B17334</f>
        <v/>
      </c>
      <c r="C17334">
        <f>TEST_DATA!C17334</f>
        <v/>
      </c>
      <c r="D17334">
        <f>TEST_DATA!D17334</f>
        <v/>
      </c>
      <c r="E17334">
        <f>TEST_DATA!E17334</f>
        <v/>
      </c>
    </row>
    <row r="17335">
      <c r="A17335">
        <f>TEST_DATA!A17335</f>
        <v/>
      </c>
      <c r="B17335">
        <f>TEST_DATA!B17335</f>
        <v/>
      </c>
      <c r="C17335">
        <f>TEST_DATA!C17335</f>
        <v/>
      </c>
      <c r="D17335">
        <f>TEST_DATA!D17335</f>
        <v/>
      </c>
      <c r="E17335">
        <f>TEST_DATA!E17335</f>
        <v/>
      </c>
    </row>
    <row r="17336">
      <c r="A17336">
        <f>TEST_DATA!A17336</f>
        <v/>
      </c>
      <c r="B17336">
        <f>TEST_DATA!B17336</f>
        <v/>
      </c>
      <c r="C17336">
        <f>TEST_DATA!C17336</f>
        <v/>
      </c>
      <c r="D17336">
        <f>TEST_DATA!D17336</f>
        <v/>
      </c>
      <c r="E17336">
        <f>TEST_DATA!E17336</f>
        <v/>
      </c>
    </row>
    <row r="17337">
      <c r="A17337">
        <f>TEST_DATA!A17337</f>
        <v/>
      </c>
      <c r="B17337">
        <f>TEST_DATA!B17337</f>
        <v/>
      </c>
      <c r="C17337">
        <f>TEST_DATA!C17337</f>
        <v/>
      </c>
      <c r="D17337">
        <f>TEST_DATA!D17337</f>
        <v/>
      </c>
      <c r="E17337">
        <f>TEST_DATA!E17337</f>
        <v/>
      </c>
    </row>
    <row r="17338">
      <c r="A17338">
        <f>TEST_DATA!A17338</f>
        <v/>
      </c>
      <c r="B17338">
        <f>TEST_DATA!B17338</f>
        <v/>
      </c>
      <c r="C17338">
        <f>TEST_DATA!C17338</f>
        <v/>
      </c>
      <c r="D17338">
        <f>TEST_DATA!D17338</f>
        <v/>
      </c>
      <c r="E17338">
        <f>TEST_DATA!E17338</f>
        <v/>
      </c>
    </row>
    <row r="17339">
      <c r="A17339">
        <f>TEST_DATA!A17339</f>
        <v/>
      </c>
      <c r="B17339">
        <f>TEST_DATA!B17339</f>
        <v/>
      </c>
      <c r="C17339">
        <f>TEST_DATA!C17339</f>
        <v/>
      </c>
      <c r="D17339">
        <f>TEST_DATA!D17339</f>
        <v/>
      </c>
      <c r="E17339">
        <f>TEST_DATA!E17339</f>
        <v/>
      </c>
    </row>
    <row r="17340">
      <c r="A17340">
        <f>TEST_DATA!A17340</f>
        <v/>
      </c>
      <c r="B17340">
        <f>TEST_DATA!B17340</f>
        <v/>
      </c>
      <c r="C17340">
        <f>TEST_DATA!C17340</f>
        <v/>
      </c>
      <c r="D17340">
        <f>TEST_DATA!D17340</f>
        <v/>
      </c>
      <c r="E17340">
        <f>TEST_DATA!E17340</f>
        <v/>
      </c>
    </row>
    <row r="17341">
      <c r="A17341">
        <f>TEST_DATA!A17341</f>
        <v/>
      </c>
      <c r="B17341">
        <f>TEST_DATA!B17341</f>
        <v/>
      </c>
      <c r="C17341">
        <f>TEST_DATA!C17341</f>
        <v/>
      </c>
      <c r="D17341">
        <f>TEST_DATA!D17341</f>
        <v/>
      </c>
      <c r="E17341">
        <f>TEST_DATA!E17341</f>
        <v/>
      </c>
    </row>
    <row r="17342">
      <c r="A17342">
        <f>TEST_DATA!A17342</f>
        <v/>
      </c>
      <c r="B17342">
        <f>TEST_DATA!B17342</f>
        <v/>
      </c>
      <c r="C17342">
        <f>TEST_DATA!C17342</f>
        <v/>
      </c>
      <c r="D17342">
        <f>TEST_DATA!D17342</f>
        <v/>
      </c>
      <c r="E17342">
        <f>TEST_DATA!E17342</f>
        <v/>
      </c>
    </row>
    <row r="17343">
      <c r="A17343">
        <f>TEST_DATA!A17343</f>
        <v/>
      </c>
      <c r="B17343">
        <f>TEST_DATA!B17343</f>
        <v/>
      </c>
      <c r="C17343">
        <f>TEST_DATA!C17343</f>
        <v/>
      </c>
      <c r="D17343">
        <f>TEST_DATA!D17343</f>
        <v/>
      </c>
      <c r="E17343">
        <f>TEST_DATA!E17343</f>
        <v/>
      </c>
    </row>
    <row r="17344">
      <c r="A17344">
        <f>TEST_DATA!A17344</f>
        <v/>
      </c>
      <c r="B17344">
        <f>TEST_DATA!B17344</f>
        <v/>
      </c>
      <c r="C17344">
        <f>TEST_DATA!C17344</f>
        <v/>
      </c>
      <c r="D17344">
        <f>TEST_DATA!D17344</f>
        <v/>
      </c>
      <c r="E17344">
        <f>TEST_DATA!E17344</f>
        <v/>
      </c>
    </row>
    <row r="17345">
      <c r="A17345">
        <f>TEST_DATA!A17345</f>
        <v/>
      </c>
      <c r="B17345">
        <f>TEST_DATA!B17345</f>
        <v/>
      </c>
      <c r="C17345">
        <f>TEST_DATA!C17345</f>
        <v/>
      </c>
      <c r="D17345">
        <f>TEST_DATA!D17345</f>
        <v/>
      </c>
      <c r="E17345">
        <f>TEST_DATA!E17345</f>
        <v/>
      </c>
    </row>
    <row r="17346">
      <c r="A17346">
        <f>TEST_DATA!A17346</f>
        <v/>
      </c>
      <c r="B17346">
        <f>TEST_DATA!B17346</f>
        <v/>
      </c>
      <c r="C17346">
        <f>TEST_DATA!C17346</f>
        <v/>
      </c>
      <c r="D17346">
        <f>TEST_DATA!D17346</f>
        <v/>
      </c>
      <c r="E17346">
        <f>TEST_DATA!E17346</f>
        <v/>
      </c>
    </row>
    <row r="17347">
      <c r="A17347">
        <f>TEST_DATA!A17347</f>
        <v/>
      </c>
      <c r="B17347">
        <f>TEST_DATA!B17347</f>
        <v/>
      </c>
      <c r="C17347">
        <f>TEST_DATA!C17347</f>
        <v/>
      </c>
      <c r="D17347">
        <f>TEST_DATA!D17347</f>
        <v/>
      </c>
      <c r="E17347">
        <f>TEST_DATA!E17347</f>
        <v/>
      </c>
    </row>
    <row r="17348">
      <c r="A17348">
        <f>TEST_DATA!A17348</f>
        <v/>
      </c>
      <c r="B17348">
        <f>TEST_DATA!B17348</f>
        <v/>
      </c>
      <c r="C17348">
        <f>TEST_DATA!C17348</f>
        <v/>
      </c>
      <c r="D17348">
        <f>TEST_DATA!D17348</f>
        <v/>
      </c>
      <c r="E17348">
        <f>TEST_DATA!E17348</f>
        <v/>
      </c>
    </row>
    <row r="17349">
      <c r="A17349">
        <f>TEST_DATA!A17349</f>
        <v/>
      </c>
      <c r="B17349">
        <f>TEST_DATA!B17349</f>
        <v/>
      </c>
      <c r="C17349">
        <f>TEST_DATA!C17349</f>
        <v/>
      </c>
      <c r="D17349">
        <f>TEST_DATA!D17349</f>
        <v/>
      </c>
      <c r="E17349">
        <f>TEST_DATA!E17349</f>
        <v/>
      </c>
    </row>
    <row r="17350">
      <c r="A17350">
        <f>TEST_DATA!A17350</f>
        <v/>
      </c>
      <c r="B17350">
        <f>TEST_DATA!B17350</f>
        <v/>
      </c>
      <c r="C17350">
        <f>TEST_DATA!C17350</f>
        <v/>
      </c>
      <c r="D17350">
        <f>TEST_DATA!D17350</f>
        <v/>
      </c>
      <c r="E17350">
        <f>TEST_DATA!E17350</f>
        <v/>
      </c>
    </row>
    <row r="17351">
      <c r="A17351">
        <f>TEST_DATA!A17351</f>
        <v/>
      </c>
      <c r="B17351">
        <f>TEST_DATA!B17351</f>
        <v/>
      </c>
      <c r="C17351">
        <f>TEST_DATA!C17351</f>
        <v/>
      </c>
      <c r="D17351">
        <f>TEST_DATA!D17351</f>
        <v/>
      </c>
      <c r="E17351">
        <f>TEST_DATA!E17351</f>
        <v/>
      </c>
    </row>
    <row r="17352">
      <c r="A17352">
        <f>TEST_DATA!A17352</f>
        <v/>
      </c>
      <c r="B17352">
        <f>TEST_DATA!B17352</f>
        <v/>
      </c>
      <c r="C17352">
        <f>TEST_DATA!C17352</f>
        <v/>
      </c>
      <c r="D17352">
        <f>TEST_DATA!D17352</f>
        <v/>
      </c>
      <c r="E17352">
        <f>TEST_DATA!E17352</f>
        <v/>
      </c>
    </row>
    <row r="17353">
      <c r="A17353">
        <f>TEST_DATA!A17353</f>
        <v/>
      </c>
      <c r="B17353">
        <f>TEST_DATA!B17353</f>
        <v/>
      </c>
      <c r="C17353">
        <f>TEST_DATA!C17353</f>
        <v/>
      </c>
      <c r="D17353">
        <f>TEST_DATA!D17353</f>
        <v/>
      </c>
      <c r="E17353">
        <f>TEST_DATA!E17353</f>
        <v/>
      </c>
    </row>
    <row r="17354">
      <c r="A17354">
        <f>TEST_DATA!A17354</f>
        <v/>
      </c>
      <c r="B17354">
        <f>TEST_DATA!B17354</f>
        <v/>
      </c>
      <c r="C17354">
        <f>TEST_DATA!C17354</f>
        <v/>
      </c>
      <c r="D17354">
        <f>TEST_DATA!D17354</f>
        <v/>
      </c>
      <c r="E17354">
        <f>TEST_DATA!E17354</f>
        <v/>
      </c>
    </row>
    <row r="17355">
      <c r="A17355">
        <f>TEST_DATA!A17355</f>
        <v/>
      </c>
      <c r="B17355">
        <f>TEST_DATA!B17355</f>
        <v/>
      </c>
      <c r="C17355">
        <f>TEST_DATA!C17355</f>
        <v/>
      </c>
      <c r="D17355">
        <f>TEST_DATA!D17355</f>
        <v/>
      </c>
      <c r="E17355">
        <f>TEST_DATA!E17355</f>
        <v/>
      </c>
    </row>
    <row r="17356">
      <c r="A17356">
        <f>TEST_DATA!A17356</f>
        <v/>
      </c>
      <c r="B17356">
        <f>TEST_DATA!B17356</f>
        <v/>
      </c>
      <c r="C17356">
        <f>TEST_DATA!C17356</f>
        <v/>
      </c>
      <c r="D17356">
        <f>TEST_DATA!D17356</f>
        <v/>
      </c>
      <c r="E17356">
        <f>TEST_DATA!E17356</f>
        <v/>
      </c>
    </row>
    <row r="17357">
      <c r="A17357">
        <f>TEST_DATA!A17357</f>
        <v/>
      </c>
      <c r="B17357">
        <f>TEST_DATA!B17357</f>
        <v/>
      </c>
      <c r="C17357">
        <f>TEST_DATA!C17357</f>
        <v/>
      </c>
      <c r="D17357">
        <f>TEST_DATA!D17357</f>
        <v/>
      </c>
      <c r="E17357">
        <f>TEST_DATA!E17357</f>
        <v/>
      </c>
    </row>
    <row r="17358">
      <c r="A17358">
        <f>TEST_DATA!A17358</f>
        <v/>
      </c>
      <c r="B17358">
        <f>TEST_DATA!B17358</f>
        <v/>
      </c>
      <c r="C17358">
        <f>TEST_DATA!C17358</f>
        <v/>
      </c>
      <c r="D17358">
        <f>TEST_DATA!D17358</f>
        <v/>
      </c>
      <c r="E17358">
        <f>TEST_DATA!E17358</f>
        <v/>
      </c>
    </row>
    <row r="17359">
      <c r="A17359">
        <f>TEST_DATA!A17359</f>
        <v/>
      </c>
      <c r="B17359">
        <f>TEST_DATA!B17359</f>
        <v/>
      </c>
      <c r="C17359">
        <f>TEST_DATA!C17359</f>
        <v/>
      </c>
      <c r="D17359">
        <f>TEST_DATA!D17359</f>
        <v/>
      </c>
      <c r="E17359">
        <f>TEST_DATA!E17359</f>
        <v/>
      </c>
    </row>
    <row r="17360">
      <c r="A17360">
        <f>TEST_DATA!A17360</f>
        <v/>
      </c>
      <c r="B17360">
        <f>TEST_DATA!B17360</f>
        <v/>
      </c>
      <c r="C17360">
        <f>TEST_DATA!C17360</f>
        <v/>
      </c>
      <c r="D17360">
        <f>TEST_DATA!D17360</f>
        <v/>
      </c>
      <c r="E17360">
        <f>TEST_DATA!E17360</f>
        <v/>
      </c>
    </row>
    <row r="17361">
      <c r="A17361">
        <f>TEST_DATA!A17361</f>
        <v/>
      </c>
      <c r="B17361">
        <f>TEST_DATA!B17361</f>
        <v/>
      </c>
      <c r="C17361">
        <f>TEST_DATA!C17361</f>
        <v/>
      </c>
      <c r="D17361">
        <f>TEST_DATA!D17361</f>
        <v/>
      </c>
      <c r="E17361">
        <f>TEST_DATA!E17361</f>
        <v/>
      </c>
    </row>
    <row r="17362">
      <c r="A17362">
        <f>TEST_DATA!A17362</f>
        <v/>
      </c>
      <c r="B17362">
        <f>TEST_DATA!B17362</f>
        <v/>
      </c>
      <c r="C17362">
        <f>TEST_DATA!C17362</f>
        <v/>
      </c>
      <c r="D17362">
        <f>TEST_DATA!D17362</f>
        <v/>
      </c>
      <c r="E17362">
        <f>TEST_DATA!E17362</f>
        <v/>
      </c>
    </row>
    <row r="17363">
      <c r="A17363">
        <f>TEST_DATA!A17363</f>
        <v/>
      </c>
      <c r="B17363">
        <f>TEST_DATA!B17363</f>
        <v/>
      </c>
      <c r="C17363">
        <f>TEST_DATA!C17363</f>
        <v/>
      </c>
      <c r="D17363">
        <f>TEST_DATA!D17363</f>
        <v/>
      </c>
      <c r="E17363">
        <f>TEST_DATA!E17363</f>
        <v/>
      </c>
    </row>
    <row r="17364">
      <c r="A17364">
        <f>TEST_DATA!A17364</f>
        <v/>
      </c>
      <c r="B17364">
        <f>TEST_DATA!B17364</f>
        <v/>
      </c>
      <c r="C17364">
        <f>TEST_DATA!C17364</f>
        <v/>
      </c>
      <c r="D17364">
        <f>TEST_DATA!D17364</f>
        <v/>
      </c>
      <c r="E17364">
        <f>TEST_DATA!E17364</f>
        <v/>
      </c>
    </row>
    <row r="17365">
      <c r="A17365">
        <f>TEST_DATA!A17365</f>
        <v/>
      </c>
      <c r="B17365">
        <f>TEST_DATA!B17365</f>
        <v/>
      </c>
      <c r="C17365">
        <f>TEST_DATA!C17365</f>
        <v/>
      </c>
      <c r="D17365">
        <f>TEST_DATA!D17365</f>
        <v/>
      </c>
      <c r="E17365">
        <f>TEST_DATA!E17365</f>
        <v/>
      </c>
    </row>
    <row r="17366">
      <c r="A17366">
        <f>TEST_DATA!A17366</f>
        <v/>
      </c>
      <c r="B17366">
        <f>TEST_DATA!B17366</f>
        <v/>
      </c>
      <c r="C17366">
        <f>TEST_DATA!C17366</f>
        <v/>
      </c>
      <c r="D17366">
        <f>TEST_DATA!D17366</f>
        <v/>
      </c>
      <c r="E17366">
        <f>TEST_DATA!E17366</f>
        <v/>
      </c>
    </row>
    <row r="17367">
      <c r="A17367">
        <f>TEST_DATA!A17367</f>
        <v/>
      </c>
      <c r="B17367">
        <f>TEST_DATA!B17367</f>
        <v/>
      </c>
      <c r="C17367">
        <f>TEST_DATA!C17367</f>
        <v/>
      </c>
      <c r="D17367">
        <f>TEST_DATA!D17367</f>
        <v/>
      </c>
      <c r="E17367">
        <f>TEST_DATA!E17367</f>
        <v/>
      </c>
    </row>
    <row r="17368">
      <c r="A17368">
        <f>TEST_DATA!A17368</f>
        <v/>
      </c>
      <c r="B17368">
        <f>TEST_DATA!B17368</f>
        <v/>
      </c>
      <c r="C17368">
        <f>TEST_DATA!C17368</f>
        <v/>
      </c>
      <c r="D17368">
        <f>TEST_DATA!D17368</f>
        <v/>
      </c>
      <c r="E17368">
        <f>TEST_DATA!E17368</f>
        <v/>
      </c>
    </row>
    <row r="17369">
      <c r="A17369">
        <f>TEST_DATA!A17369</f>
        <v/>
      </c>
      <c r="B17369">
        <f>TEST_DATA!B17369</f>
        <v/>
      </c>
      <c r="C17369">
        <f>TEST_DATA!C17369</f>
        <v/>
      </c>
      <c r="D17369">
        <f>TEST_DATA!D17369</f>
        <v/>
      </c>
      <c r="E17369">
        <f>TEST_DATA!E17369</f>
        <v/>
      </c>
    </row>
    <row r="17370">
      <c r="A17370">
        <f>TEST_DATA!A17370</f>
        <v/>
      </c>
      <c r="B17370">
        <f>TEST_DATA!B17370</f>
        <v/>
      </c>
      <c r="C17370">
        <f>TEST_DATA!C17370</f>
        <v/>
      </c>
      <c r="D17370">
        <f>TEST_DATA!D17370</f>
        <v/>
      </c>
      <c r="E17370">
        <f>TEST_DATA!E17370</f>
        <v/>
      </c>
    </row>
    <row r="17371">
      <c r="A17371">
        <f>TEST_DATA!A17371</f>
        <v/>
      </c>
      <c r="B17371">
        <f>TEST_DATA!B17371</f>
        <v/>
      </c>
      <c r="C17371">
        <f>TEST_DATA!C17371</f>
        <v/>
      </c>
      <c r="D17371">
        <f>TEST_DATA!D17371</f>
        <v/>
      </c>
      <c r="E17371">
        <f>TEST_DATA!E17371</f>
        <v/>
      </c>
    </row>
    <row r="17372">
      <c r="A17372">
        <f>TEST_DATA!A17372</f>
        <v/>
      </c>
      <c r="B17372">
        <f>TEST_DATA!B17372</f>
        <v/>
      </c>
      <c r="C17372">
        <f>TEST_DATA!C17372</f>
        <v/>
      </c>
      <c r="D17372">
        <f>TEST_DATA!D17372</f>
        <v/>
      </c>
      <c r="E17372">
        <f>TEST_DATA!E17372</f>
        <v/>
      </c>
    </row>
    <row r="17373">
      <c r="A17373">
        <f>TEST_DATA!A17373</f>
        <v/>
      </c>
      <c r="B17373">
        <f>TEST_DATA!B17373</f>
        <v/>
      </c>
      <c r="C17373">
        <f>TEST_DATA!C17373</f>
        <v/>
      </c>
      <c r="D17373">
        <f>TEST_DATA!D17373</f>
        <v/>
      </c>
      <c r="E17373">
        <f>TEST_DATA!E17373</f>
        <v/>
      </c>
    </row>
    <row r="17374">
      <c r="A17374">
        <f>TEST_DATA!A17374</f>
        <v/>
      </c>
      <c r="B17374">
        <f>TEST_DATA!B17374</f>
        <v/>
      </c>
      <c r="C17374">
        <f>TEST_DATA!C17374</f>
        <v/>
      </c>
      <c r="D17374">
        <f>TEST_DATA!D17374</f>
        <v/>
      </c>
      <c r="E17374">
        <f>TEST_DATA!E17374</f>
        <v/>
      </c>
    </row>
    <row r="17375">
      <c r="A17375">
        <f>TEST_DATA!A17375</f>
        <v/>
      </c>
      <c r="B17375">
        <f>TEST_DATA!B17375</f>
        <v/>
      </c>
      <c r="C17375">
        <f>TEST_DATA!C17375</f>
        <v/>
      </c>
      <c r="D17375">
        <f>TEST_DATA!D17375</f>
        <v/>
      </c>
      <c r="E17375">
        <f>TEST_DATA!E17375</f>
        <v/>
      </c>
    </row>
    <row r="17376">
      <c r="A17376">
        <f>TEST_DATA!A17376</f>
        <v/>
      </c>
      <c r="B17376">
        <f>TEST_DATA!B17376</f>
        <v/>
      </c>
      <c r="C17376">
        <f>TEST_DATA!C17376</f>
        <v/>
      </c>
      <c r="D17376">
        <f>TEST_DATA!D17376</f>
        <v/>
      </c>
      <c r="E17376">
        <f>TEST_DATA!E17376</f>
        <v/>
      </c>
    </row>
    <row r="17377">
      <c r="A17377">
        <f>TEST_DATA!A17377</f>
        <v/>
      </c>
      <c r="B17377">
        <f>TEST_DATA!B17377</f>
        <v/>
      </c>
      <c r="C17377">
        <f>TEST_DATA!C17377</f>
        <v/>
      </c>
      <c r="D17377">
        <f>TEST_DATA!D17377</f>
        <v/>
      </c>
      <c r="E17377">
        <f>TEST_DATA!E17377</f>
        <v/>
      </c>
    </row>
    <row r="17378">
      <c r="A17378">
        <f>TEST_DATA!A17378</f>
        <v/>
      </c>
      <c r="B17378">
        <f>TEST_DATA!B17378</f>
        <v/>
      </c>
      <c r="C17378">
        <f>TEST_DATA!C17378</f>
        <v/>
      </c>
      <c r="D17378">
        <f>TEST_DATA!D17378</f>
        <v/>
      </c>
      <c r="E17378">
        <f>TEST_DATA!E17378</f>
        <v/>
      </c>
    </row>
    <row r="17379">
      <c r="A17379">
        <f>TEST_DATA!A17379</f>
        <v/>
      </c>
      <c r="B17379">
        <f>TEST_DATA!B17379</f>
        <v/>
      </c>
      <c r="C17379">
        <f>TEST_DATA!C17379</f>
        <v/>
      </c>
      <c r="D17379">
        <f>TEST_DATA!D17379</f>
        <v/>
      </c>
      <c r="E17379">
        <f>TEST_DATA!E17379</f>
        <v/>
      </c>
    </row>
    <row r="17380">
      <c r="A17380">
        <f>TEST_DATA!A17380</f>
        <v/>
      </c>
      <c r="B17380">
        <f>TEST_DATA!B17380</f>
        <v/>
      </c>
      <c r="C17380">
        <f>TEST_DATA!C17380</f>
        <v/>
      </c>
      <c r="D17380">
        <f>TEST_DATA!D17380</f>
        <v/>
      </c>
      <c r="E17380">
        <f>TEST_DATA!E17380</f>
        <v/>
      </c>
    </row>
    <row r="17381">
      <c r="A17381">
        <f>TEST_DATA!A17381</f>
        <v/>
      </c>
      <c r="B17381">
        <f>TEST_DATA!B17381</f>
        <v/>
      </c>
      <c r="C17381">
        <f>TEST_DATA!C17381</f>
        <v/>
      </c>
      <c r="D17381">
        <f>TEST_DATA!D17381</f>
        <v/>
      </c>
      <c r="E17381">
        <f>TEST_DATA!E17381</f>
        <v/>
      </c>
    </row>
    <row r="17382">
      <c r="A17382">
        <f>TEST_DATA!A17382</f>
        <v/>
      </c>
      <c r="B17382">
        <f>TEST_DATA!B17382</f>
        <v/>
      </c>
      <c r="C17382">
        <f>TEST_DATA!C17382</f>
        <v/>
      </c>
      <c r="D17382">
        <f>TEST_DATA!D17382</f>
        <v/>
      </c>
      <c r="E17382">
        <f>TEST_DATA!E17382</f>
        <v/>
      </c>
    </row>
    <row r="17383">
      <c r="A17383">
        <f>TEST_DATA!A17383</f>
        <v/>
      </c>
      <c r="B17383">
        <f>TEST_DATA!B17383</f>
        <v/>
      </c>
      <c r="C17383">
        <f>TEST_DATA!C17383</f>
        <v/>
      </c>
      <c r="D17383">
        <f>TEST_DATA!D17383</f>
        <v/>
      </c>
      <c r="E17383">
        <f>TEST_DATA!E17383</f>
        <v/>
      </c>
    </row>
    <row r="17384">
      <c r="A17384">
        <f>TEST_DATA!A17384</f>
        <v/>
      </c>
      <c r="B17384">
        <f>TEST_DATA!B17384</f>
        <v/>
      </c>
      <c r="C17384">
        <f>TEST_DATA!C17384</f>
        <v/>
      </c>
      <c r="D17384">
        <f>TEST_DATA!D17384</f>
        <v/>
      </c>
      <c r="E17384">
        <f>TEST_DATA!E17384</f>
        <v/>
      </c>
    </row>
    <row r="17385">
      <c r="A17385">
        <f>TEST_DATA!A17385</f>
        <v/>
      </c>
      <c r="B17385">
        <f>TEST_DATA!B17385</f>
        <v/>
      </c>
      <c r="C17385">
        <f>TEST_DATA!C17385</f>
        <v/>
      </c>
      <c r="D17385">
        <f>TEST_DATA!D17385</f>
        <v/>
      </c>
      <c r="E17385">
        <f>TEST_DATA!E17385</f>
        <v/>
      </c>
    </row>
    <row r="17386">
      <c r="A17386">
        <f>TEST_DATA!A17386</f>
        <v/>
      </c>
      <c r="B17386">
        <f>TEST_DATA!B17386</f>
        <v/>
      </c>
      <c r="C17386">
        <f>TEST_DATA!C17386</f>
        <v/>
      </c>
      <c r="D17386">
        <f>TEST_DATA!D17386</f>
        <v/>
      </c>
      <c r="E17386">
        <f>TEST_DATA!E17386</f>
        <v/>
      </c>
    </row>
    <row r="17387">
      <c r="A17387">
        <f>TEST_DATA!A17387</f>
        <v/>
      </c>
      <c r="B17387">
        <f>TEST_DATA!B17387</f>
        <v/>
      </c>
      <c r="C17387">
        <f>TEST_DATA!C17387</f>
        <v/>
      </c>
      <c r="D17387">
        <f>TEST_DATA!D17387</f>
        <v/>
      </c>
      <c r="E17387">
        <f>TEST_DATA!E17387</f>
        <v/>
      </c>
    </row>
    <row r="17388">
      <c r="A17388">
        <f>TEST_DATA!A17388</f>
        <v/>
      </c>
      <c r="B17388">
        <f>TEST_DATA!B17388</f>
        <v/>
      </c>
      <c r="C17388">
        <f>TEST_DATA!C17388</f>
        <v/>
      </c>
      <c r="D17388">
        <f>TEST_DATA!D17388</f>
        <v/>
      </c>
      <c r="E17388">
        <f>TEST_DATA!E17388</f>
        <v/>
      </c>
    </row>
    <row r="17389">
      <c r="A17389">
        <f>TEST_DATA!A17389</f>
        <v/>
      </c>
      <c r="B17389">
        <f>TEST_DATA!B17389</f>
        <v/>
      </c>
      <c r="C17389">
        <f>TEST_DATA!C17389</f>
        <v/>
      </c>
      <c r="D17389">
        <f>TEST_DATA!D17389</f>
        <v/>
      </c>
      <c r="E17389">
        <f>TEST_DATA!E17389</f>
        <v/>
      </c>
    </row>
    <row r="17390">
      <c r="A17390">
        <f>TEST_DATA!A17390</f>
        <v/>
      </c>
      <c r="B17390">
        <f>TEST_DATA!B17390</f>
        <v/>
      </c>
      <c r="C17390">
        <f>TEST_DATA!C17390</f>
        <v/>
      </c>
      <c r="D17390">
        <f>TEST_DATA!D17390</f>
        <v/>
      </c>
      <c r="E17390">
        <f>TEST_DATA!E17390</f>
        <v/>
      </c>
    </row>
    <row r="17391">
      <c r="A17391">
        <f>TEST_DATA!A17391</f>
        <v/>
      </c>
      <c r="B17391">
        <f>TEST_DATA!B17391</f>
        <v/>
      </c>
      <c r="C17391">
        <f>TEST_DATA!C17391</f>
        <v/>
      </c>
      <c r="D17391">
        <f>TEST_DATA!D17391</f>
        <v/>
      </c>
      <c r="E17391">
        <f>TEST_DATA!E17391</f>
        <v/>
      </c>
    </row>
    <row r="17392">
      <c r="A17392">
        <f>TEST_DATA!A17392</f>
        <v/>
      </c>
      <c r="B17392">
        <f>TEST_DATA!B17392</f>
        <v/>
      </c>
      <c r="C17392">
        <f>TEST_DATA!C17392</f>
        <v/>
      </c>
      <c r="D17392">
        <f>TEST_DATA!D17392</f>
        <v/>
      </c>
      <c r="E17392">
        <f>TEST_DATA!E17392</f>
        <v/>
      </c>
    </row>
    <row r="17393">
      <c r="A17393">
        <f>TEST_DATA!A17393</f>
        <v/>
      </c>
      <c r="B17393">
        <f>TEST_DATA!B17393</f>
        <v/>
      </c>
      <c r="C17393">
        <f>TEST_DATA!C17393</f>
        <v/>
      </c>
      <c r="D17393">
        <f>TEST_DATA!D17393</f>
        <v/>
      </c>
      <c r="E17393">
        <f>TEST_DATA!E17393</f>
        <v/>
      </c>
    </row>
    <row r="17394">
      <c r="A17394">
        <f>TEST_DATA!A17394</f>
        <v/>
      </c>
      <c r="B17394">
        <f>TEST_DATA!B17394</f>
        <v/>
      </c>
      <c r="C17394">
        <f>TEST_DATA!C17394</f>
        <v/>
      </c>
      <c r="D17394">
        <f>TEST_DATA!D17394</f>
        <v/>
      </c>
      <c r="E17394">
        <f>TEST_DATA!E17394</f>
        <v/>
      </c>
    </row>
    <row r="17395">
      <c r="A17395">
        <f>TEST_DATA!A17395</f>
        <v/>
      </c>
      <c r="B17395">
        <f>TEST_DATA!B17395</f>
        <v/>
      </c>
      <c r="C17395">
        <f>TEST_DATA!C17395</f>
        <v/>
      </c>
      <c r="D17395">
        <f>TEST_DATA!D17395</f>
        <v/>
      </c>
      <c r="E17395">
        <f>TEST_DATA!E17395</f>
        <v/>
      </c>
    </row>
    <row r="17396">
      <c r="A17396">
        <f>TEST_DATA!A17396</f>
        <v/>
      </c>
      <c r="B17396">
        <f>TEST_DATA!B17396</f>
        <v/>
      </c>
      <c r="C17396">
        <f>TEST_DATA!C17396</f>
        <v/>
      </c>
      <c r="D17396">
        <f>TEST_DATA!D17396</f>
        <v/>
      </c>
      <c r="E17396">
        <f>TEST_DATA!E17396</f>
        <v/>
      </c>
    </row>
    <row r="17397">
      <c r="A17397">
        <f>TEST_DATA!A17397</f>
        <v/>
      </c>
      <c r="B17397">
        <f>TEST_DATA!B17397</f>
        <v/>
      </c>
      <c r="C17397">
        <f>TEST_DATA!C17397</f>
        <v/>
      </c>
      <c r="D17397">
        <f>TEST_DATA!D17397</f>
        <v/>
      </c>
      <c r="E17397">
        <f>TEST_DATA!E17397</f>
        <v/>
      </c>
    </row>
    <row r="17398">
      <c r="A17398">
        <f>TEST_DATA!A17398</f>
        <v/>
      </c>
      <c r="B17398">
        <f>TEST_DATA!B17398</f>
        <v/>
      </c>
      <c r="C17398">
        <f>TEST_DATA!C17398</f>
        <v/>
      </c>
      <c r="D17398">
        <f>TEST_DATA!D17398</f>
        <v/>
      </c>
      <c r="E17398">
        <f>TEST_DATA!E17398</f>
        <v/>
      </c>
    </row>
    <row r="17399">
      <c r="A17399">
        <f>TEST_DATA!A17399</f>
        <v/>
      </c>
      <c r="B17399">
        <f>TEST_DATA!B17399</f>
        <v/>
      </c>
      <c r="C17399">
        <f>TEST_DATA!C17399</f>
        <v/>
      </c>
      <c r="D17399">
        <f>TEST_DATA!D17399</f>
        <v/>
      </c>
      <c r="E17399">
        <f>TEST_DATA!E17399</f>
        <v/>
      </c>
    </row>
    <row r="17400">
      <c r="A17400">
        <f>TEST_DATA!A17400</f>
        <v/>
      </c>
      <c r="B17400">
        <f>TEST_DATA!B17400</f>
        <v/>
      </c>
      <c r="C17400">
        <f>TEST_DATA!C17400</f>
        <v/>
      </c>
      <c r="D17400">
        <f>TEST_DATA!D17400</f>
        <v/>
      </c>
      <c r="E17400">
        <f>TEST_DATA!E17400</f>
        <v/>
      </c>
    </row>
    <row r="17401">
      <c r="A17401">
        <f>TEST_DATA!A17401</f>
        <v/>
      </c>
      <c r="B17401">
        <f>TEST_DATA!B17401</f>
        <v/>
      </c>
      <c r="C17401">
        <f>TEST_DATA!C17401</f>
        <v/>
      </c>
      <c r="D17401">
        <f>TEST_DATA!D17401</f>
        <v/>
      </c>
      <c r="E17401">
        <f>TEST_DATA!E17401</f>
        <v/>
      </c>
    </row>
    <row r="17402">
      <c r="A17402">
        <f>TEST_DATA!A17402</f>
        <v/>
      </c>
      <c r="B17402">
        <f>TEST_DATA!B17402</f>
        <v/>
      </c>
      <c r="C17402">
        <f>TEST_DATA!C17402</f>
        <v/>
      </c>
      <c r="D17402">
        <f>TEST_DATA!D17402</f>
        <v/>
      </c>
      <c r="E17402">
        <f>TEST_DATA!E17402</f>
        <v/>
      </c>
    </row>
    <row r="17403">
      <c r="A17403">
        <f>TEST_DATA!A17403</f>
        <v/>
      </c>
      <c r="B17403">
        <f>TEST_DATA!B17403</f>
        <v/>
      </c>
      <c r="C17403">
        <f>TEST_DATA!C17403</f>
        <v/>
      </c>
      <c r="D17403">
        <f>TEST_DATA!D17403</f>
        <v/>
      </c>
      <c r="E17403">
        <f>TEST_DATA!E17403</f>
        <v/>
      </c>
    </row>
    <row r="17404">
      <c r="A17404">
        <f>TEST_DATA!A17404</f>
        <v/>
      </c>
      <c r="B17404">
        <f>TEST_DATA!B17404</f>
        <v/>
      </c>
      <c r="C17404">
        <f>TEST_DATA!C17404</f>
        <v/>
      </c>
      <c r="D17404">
        <f>TEST_DATA!D17404</f>
        <v/>
      </c>
      <c r="E17404">
        <f>TEST_DATA!E17404</f>
        <v/>
      </c>
    </row>
    <row r="17405">
      <c r="A17405">
        <f>TEST_DATA!A17405</f>
        <v/>
      </c>
      <c r="B17405">
        <f>TEST_DATA!B17405</f>
        <v/>
      </c>
      <c r="C17405">
        <f>TEST_DATA!C17405</f>
        <v/>
      </c>
      <c r="D17405">
        <f>TEST_DATA!D17405</f>
        <v/>
      </c>
      <c r="E17405">
        <f>TEST_DATA!E17405</f>
        <v/>
      </c>
    </row>
    <row r="17406">
      <c r="A17406">
        <f>TEST_DATA!A17406</f>
        <v/>
      </c>
      <c r="B17406">
        <f>TEST_DATA!B17406</f>
        <v/>
      </c>
      <c r="C17406">
        <f>TEST_DATA!C17406</f>
        <v/>
      </c>
      <c r="D17406">
        <f>TEST_DATA!D17406</f>
        <v/>
      </c>
      <c r="E17406">
        <f>TEST_DATA!E17406</f>
        <v/>
      </c>
    </row>
    <row r="17407">
      <c r="A17407">
        <f>TEST_DATA!A17407</f>
        <v/>
      </c>
      <c r="B17407">
        <f>TEST_DATA!B17407</f>
        <v/>
      </c>
      <c r="C17407">
        <f>TEST_DATA!C17407</f>
        <v/>
      </c>
      <c r="D17407">
        <f>TEST_DATA!D17407</f>
        <v/>
      </c>
      <c r="E17407">
        <f>TEST_DATA!E17407</f>
        <v/>
      </c>
    </row>
    <row r="17408">
      <c r="A17408">
        <f>TEST_DATA!A17408</f>
        <v/>
      </c>
      <c r="B17408">
        <f>TEST_DATA!B17408</f>
        <v/>
      </c>
      <c r="C17408">
        <f>TEST_DATA!C17408</f>
        <v/>
      </c>
      <c r="D17408">
        <f>TEST_DATA!D17408</f>
        <v/>
      </c>
      <c r="E17408">
        <f>TEST_DATA!E17408</f>
        <v/>
      </c>
    </row>
    <row r="17409">
      <c r="A17409">
        <f>TEST_DATA!A17409</f>
        <v/>
      </c>
      <c r="B17409">
        <f>TEST_DATA!B17409</f>
        <v/>
      </c>
      <c r="C17409">
        <f>TEST_DATA!C17409</f>
        <v/>
      </c>
      <c r="D17409">
        <f>TEST_DATA!D17409</f>
        <v/>
      </c>
      <c r="E17409">
        <f>TEST_DATA!E17409</f>
        <v/>
      </c>
    </row>
    <row r="17410">
      <c r="A17410">
        <f>TEST_DATA!A17410</f>
        <v/>
      </c>
      <c r="B17410">
        <f>TEST_DATA!B17410</f>
        <v/>
      </c>
      <c r="C17410">
        <f>TEST_DATA!C17410</f>
        <v/>
      </c>
      <c r="D17410">
        <f>TEST_DATA!D17410</f>
        <v/>
      </c>
      <c r="E17410">
        <f>TEST_DATA!E17410</f>
        <v/>
      </c>
    </row>
    <row r="17411">
      <c r="A17411">
        <f>TEST_DATA!A17411</f>
        <v/>
      </c>
      <c r="B17411">
        <f>TEST_DATA!B17411</f>
        <v/>
      </c>
      <c r="C17411">
        <f>TEST_DATA!C17411</f>
        <v/>
      </c>
      <c r="D17411">
        <f>TEST_DATA!D17411</f>
        <v/>
      </c>
      <c r="E17411">
        <f>TEST_DATA!E17411</f>
        <v/>
      </c>
    </row>
    <row r="17412">
      <c r="A17412">
        <f>TEST_DATA!A17412</f>
        <v/>
      </c>
      <c r="B17412">
        <f>TEST_DATA!B17412</f>
        <v/>
      </c>
      <c r="C17412">
        <f>TEST_DATA!C17412</f>
        <v/>
      </c>
      <c r="D17412">
        <f>TEST_DATA!D17412</f>
        <v/>
      </c>
      <c r="E17412">
        <f>TEST_DATA!E17412</f>
        <v/>
      </c>
    </row>
    <row r="17413">
      <c r="A17413">
        <f>TEST_DATA!A17413</f>
        <v/>
      </c>
      <c r="B17413">
        <f>TEST_DATA!B17413</f>
        <v/>
      </c>
      <c r="C17413">
        <f>TEST_DATA!C17413</f>
        <v/>
      </c>
      <c r="D17413">
        <f>TEST_DATA!D17413</f>
        <v/>
      </c>
      <c r="E17413">
        <f>TEST_DATA!E17413</f>
        <v/>
      </c>
    </row>
    <row r="17414">
      <c r="A17414">
        <f>TEST_DATA!A17414</f>
        <v/>
      </c>
      <c r="B17414">
        <f>TEST_DATA!B17414</f>
        <v/>
      </c>
      <c r="C17414">
        <f>TEST_DATA!C17414</f>
        <v/>
      </c>
      <c r="D17414">
        <f>TEST_DATA!D17414</f>
        <v/>
      </c>
      <c r="E17414">
        <f>TEST_DATA!E17414</f>
        <v/>
      </c>
    </row>
    <row r="17415">
      <c r="A17415">
        <f>TEST_DATA!A17415</f>
        <v/>
      </c>
      <c r="B17415">
        <f>TEST_DATA!B17415</f>
        <v/>
      </c>
      <c r="C17415">
        <f>TEST_DATA!C17415</f>
        <v/>
      </c>
      <c r="D17415">
        <f>TEST_DATA!D17415</f>
        <v/>
      </c>
      <c r="E17415">
        <f>TEST_DATA!E17415</f>
        <v/>
      </c>
    </row>
    <row r="17416">
      <c r="A17416">
        <f>TEST_DATA!A17416</f>
        <v/>
      </c>
      <c r="B17416">
        <f>TEST_DATA!B17416</f>
        <v/>
      </c>
      <c r="C17416">
        <f>TEST_DATA!C17416</f>
        <v/>
      </c>
      <c r="D17416">
        <f>TEST_DATA!D17416</f>
        <v/>
      </c>
      <c r="E17416">
        <f>TEST_DATA!E17416</f>
        <v/>
      </c>
    </row>
    <row r="17417">
      <c r="A17417">
        <f>TEST_DATA!A17417</f>
        <v/>
      </c>
      <c r="B17417">
        <f>TEST_DATA!B17417</f>
        <v/>
      </c>
      <c r="C17417">
        <f>TEST_DATA!C17417</f>
        <v/>
      </c>
      <c r="D17417">
        <f>TEST_DATA!D17417</f>
        <v/>
      </c>
      <c r="E17417">
        <f>TEST_DATA!E17417</f>
        <v/>
      </c>
    </row>
    <row r="17418">
      <c r="A17418">
        <f>TEST_DATA!A17418</f>
        <v/>
      </c>
      <c r="B17418">
        <f>TEST_DATA!B17418</f>
        <v/>
      </c>
      <c r="C17418">
        <f>TEST_DATA!C17418</f>
        <v/>
      </c>
      <c r="D17418">
        <f>TEST_DATA!D17418</f>
        <v/>
      </c>
      <c r="E17418">
        <f>TEST_DATA!E17418</f>
        <v/>
      </c>
    </row>
    <row r="17419">
      <c r="A17419">
        <f>TEST_DATA!A17419</f>
        <v/>
      </c>
      <c r="B17419">
        <f>TEST_DATA!B17419</f>
        <v/>
      </c>
      <c r="C17419">
        <f>TEST_DATA!C17419</f>
        <v/>
      </c>
      <c r="D17419">
        <f>TEST_DATA!D17419</f>
        <v/>
      </c>
      <c r="E17419">
        <f>TEST_DATA!E17419</f>
        <v/>
      </c>
    </row>
    <row r="17420">
      <c r="A17420">
        <f>TEST_DATA!A17420</f>
        <v/>
      </c>
      <c r="B17420">
        <f>TEST_DATA!B17420</f>
        <v/>
      </c>
      <c r="C17420">
        <f>TEST_DATA!C17420</f>
        <v/>
      </c>
      <c r="D17420">
        <f>TEST_DATA!D17420</f>
        <v/>
      </c>
      <c r="E17420">
        <f>TEST_DATA!E17420</f>
        <v/>
      </c>
    </row>
    <row r="17421">
      <c r="A17421">
        <f>TEST_DATA!A17421</f>
        <v/>
      </c>
      <c r="B17421">
        <f>TEST_DATA!B17421</f>
        <v/>
      </c>
      <c r="C17421">
        <f>TEST_DATA!C17421</f>
        <v/>
      </c>
      <c r="D17421">
        <f>TEST_DATA!D17421</f>
        <v/>
      </c>
      <c r="E17421">
        <f>TEST_DATA!E17421</f>
        <v/>
      </c>
    </row>
    <row r="17422">
      <c r="A17422">
        <f>TEST_DATA!A17422</f>
        <v/>
      </c>
      <c r="B17422">
        <f>TEST_DATA!B17422</f>
        <v/>
      </c>
      <c r="C17422">
        <f>TEST_DATA!C17422</f>
        <v/>
      </c>
      <c r="D17422">
        <f>TEST_DATA!D17422</f>
        <v/>
      </c>
      <c r="E17422">
        <f>TEST_DATA!E17422</f>
        <v/>
      </c>
    </row>
    <row r="17423">
      <c r="A17423">
        <f>TEST_DATA!A17423</f>
        <v/>
      </c>
      <c r="B17423">
        <f>TEST_DATA!B17423</f>
        <v/>
      </c>
      <c r="C17423">
        <f>TEST_DATA!C17423</f>
        <v/>
      </c>
      <c r="D17423">
        <f>TEST_DATA!D17423</f>
        <v/>
      </c>
      <c r="E17423">
        <f>TEST_DATA!E17423</f>
        <v/>
      </c>
    </row>
    <row r="17424">
      <c r="A17424">
        <f>TEST_DATA!A17424</f>
        <v/>
      </c>
      <c r="B17424">
        <f>TEST_DATA!B17424</f>
        <v/>
      </c>
      <c r="C17424">
        <f>TEST_DATA!C17424</f>
        <v/>
      </c>
      <c r="D17424">
        <f>TEST_DATA!D17424</f>
        <v/>
      </c>
      <c r="E17424">
        <f>TEST_DATA!E17424</f>
        <v/>
      </c>
    </row>
    <row r="17425">
      <c r="A17425">
        <f>TEST_DATA!A17425</f>
        <v/>
      </c>
      <c r="B17425">
        <f>TEST_DATA!B17425</f>
        <v/>
      </c>
      <c r="C17425">
        <f>TEST_DATA!C17425</f>
        <v/>
      </c>
      <c r="D17425">
        <f>TEST_DATA!D17425</f>
        <v/>
      </c>
      <c r="E17425">
        <f>TEST_DATA!E17425</f>
        <v/>
      </c>
    </row>
    <row r="17426">
      <c r="A17426">
        <f>TEST_DATA!A17426</f>
        <v/>
      </c>
      <c r="B17426">
        <f>TEST_DATA!B17426</f>
        <v/>
      </c>
      <c r="C17426">
        <f>TEST_DATA!C17426</f>
        <v/>
      </c>
      <c r="D17426">
        <f>TEST_DATA!D17426</f>
        <v/>
      </c>
      <c r="E17426">
        <f>TEST_DATA!E17426</f>
        <v/>
      </c>
    </row>
    <row r="17427">
      <c r="A17427">
        <f>TEST_DATA!A17427</f>
        <v/>
      </c>
      <c r="B17427">
        <f>TEST_DATA!B17427</f>
        <v/>
      </c>
      <c r="C17427">
        <f>TEST_DATA!C17427</f>
        <v/>
      </c>
      <c r="D17427">
        <f>TEST_DATA!D17427</f>
        <v/>
      </c>
      <c r="E17427">
        <f>TEST_DATA!E17427</f>
        <v/>
      </c>
    </row>
    <row r="17428">
      <c r="A17428">
        <f>TEST_DATA!A17428</f>
        <v/>
      </c>
      <c r="B17428">
        <f>TEST_DATA!B17428</f>
        <v/>
      </c>
      <c r="C17428">
        <f>TEST_DATA!C17428</f>
        <v/>
      </c>
      <c r="D17428">
        <f>TEST_DATA!D17428</f>
        <v/>
      </c>
      <c r="E17428">
        <f>TEST_DATA!E17428</f>
        <v/>
      </c>
    </row>
    <row r="17429">
      <c r="A17429">
        <f>TEST_DATA!A17429</f>
        <v/>
      </c>
      <c r="B17429">
        <f>TEST_DATA!B17429</f>
        <v/>
      </c>
      <c r="C17429">
        <f>TEST_DATA!C17429</f>
        <v/>
      </c>
      <c r="D17429">
        <f>TEST_DATA!D17429</f>
        <v/>
      </c>
      <c r="E17429">
        <f>TEST_DATA!E17429</f>
        <v/>
      </c>
    </row>
    <row r="17430">
      <c r="A17430">
        <f>TEST_DATA!A17430</f>
        <v/>
      </c>
      <c r="B17430">
        <f>TEST_DATA!B17430</f>
        <v/>
      </c>
      <c r="C17430">
        <f>TEST_DATA!C17430</f>
        <v/>
      </c>
      <c r="D17430">
        <f>TEST_DATA!D17430</f>
        <v/>
      </c>
      <c r="E17430">
        <f>TEST_DATA!E17430</f>
        <v/>
      </c>
    </row>
    <row r="17431">
      <c r="A17431">
        <f>TEST_DATA!A17431</f>
        <v/>
      </c>
      <c r="B17431">
        <f>TEST_DATA!B17431</f>
        <v/>
      </c>
      <c r="C17431">
        <f>TEST_DATA!C17431</f>
        <v/>
      </c>
      <c r="D17431">
        <f>TEST_DATA!D17431</f>
        <v/>
      </c>
      <c r="E17431">
        <f>TEST_DATA!E17431</f>
        <v/>
      </c>
    </row>
    <row r="17432">
      <c r="A17432">
        <f>TEST_DATA!A17432</f>
        <v/>
      </c>
      <c r="B17432">
        <f>TEST_DATA!B17432</f>
        <v/>
      </c>
      <c r="C17432">
        <f>TEST_DATA!C17432</f>
        <v/>
      </c>
      <c r="D17432">
        <f>TEST_DATA!D17432</f>
        <v/>
      </c>
      <c r="E17432">
        <f>TEST_DATA!E17432</f>
        <v/>
      </c>
    </row>
    <row r="17433">
      <c r="A17433">
        <f>TEST_DATA!A17433</f>
        <v/>
      </c>
      <c r="B17433">
        <f>TEST_DATA!B17433</f>
        <v/>
      </c>
      <c r="C17433">
        <f>TEST_DATA!C17433</f>
        <v/>
      </c>
      <c r="D17433">
        <f>TEST_DATA!D17433</f>
        <v/>
      </c>
      <c r="E17433">
        <f>TEST_DATA!E17433</f>
        <v/>
      </c>
    </row>
    <row r="17434">
      <c r="A17434">
        <f>TEST_DATA!A17434</f>
        <v/>
      </c>
      <c r="B17434">
        <f>TEST_DATA!B17434</f>
        <v/>
      </c>
      <c r="C17434">
        <f>TEST_DATA!C17434</f>
        <v/>
      </c>
      <c r="D17434">
        <f>TEST_DATA!D17434</f>
        <v/>
      </c>
      <c r="E17434">
        <f>TEST_DATA!E17434</f>
        <v/>
      </c>
    </row>
    <row r="17435">
      <c r="A17435">
        <f>TEST_DATA!A17435</f>
        <v/>
      </c>
      <c r="B17435">
        <f>TEST_DATA!B17435</f>
        <v/>
      </c>
      <c r="C17435">
        <f>TEST_DATA!C17435</f>
        <v/>
      </c>
      <c r="D17435">
        <f>TEST_DATA!D17435</f>
        <v/>
      </c>
      <c r="E17435">
        <f>TEST_DATA!E17435</f>
        <v/>
      </c>
    </row>
    <row r="17436">
      <c r="A17436">
        <f>TEST_DATA!A17436</f>
        <v/>
      </c>
      <c r="B17436">
        <f>TEST_DATA!B17436</f>
        <v/>
      </c>
      <c r="C17436">
        <f>TEST_DATA!C17436</f>
        <v/>
      </c>
      <c r="D17436">
        <f>TEST_DATA!D17436</f>
        <v/>
      </c>
      <c r="E17436">
        <f>TEST_DATA!E17436</f>
        <v/>
      </c>
    </row>
    <row r="17437">
      <c r="A17437">
        <f>TEST_DATA!A17437</f>
        <v/>
      </c>
      <c r="B17437">
        <f>TEST_DATA!B17437</f>
        <v/>
      </c>
      <c r="C17437">
        <f>TEST_DATA!C17437</f>
        <v/>
      </c>
      <c r="D17437">
        <f>TEST_DATA!D17437</f>
        <v/>
      </c>
      <c r="E17437">
        <f>TEST_DATA!E17437</f>
        <v/>
      </c>
    </row>
    <row r="17438">
      <c r="A17438">
        <f>TEST_DATA!A17438</f>
        <v/>
      </c>
      <c r="B17438">
        <f>TEST_DATA!B17438</f>
        <v/>
      </c>
      <c r="C17438">
        <f>TEST_DATA!C17438</f>
        <v/>
      </c>
      <c r="D17438">
        <f>TEST_DATA!D17438</f>
        <v/>
      </c>
      <c r="E17438">
        <f>TEST_DATA!E17438</f>
        <v/>
      </c>
    </row>
    <row r="17439">
      <c r="A17439">
        <f>TEST_DATA!A17439</f>
        <v/>
      </c>
      <c r="B17439">
        <f>TEST_DATA!B17439</f>
        <v/>
      </c>
      <c r="C17439">
        <f>TEST_DATA!C17439</f>
        <v/>
      </c>
      <c r="D17439">
        <f>TEST_DATA!D17439</f>
        <v/>
      </c>
      <c r="E17439">
        <f>TEST_DATA!E17439</f>
        <v/>
      </c>
    </row>
    <row r="17440">
      <c r="A17440">
        <f>TEST_DATA!A17440</f>
        <v/>
      </c>
      <c r="B17440">
        <f>TEST_DATA!B17440</f>
        <v/>
      </c>
      <c r="C17440">
        <f>TEST_DATA!C17440</f>
        <v/>
      </c>
      <c r="D17440">
        <f>TEST_DATA!D17440</f>
        <v/>
      </c>
      <c r="E17440">
        <f>TEST_DATA!E17440</f>
        <v/>
      </c>
    </row>
    <row r="17441">
      <c r="A17441">
        <f>TEST_DATA!A17441</f>
        <v/>
      </c>
      <c r="B17441">
        <f>TEST_DATA!B17441</f>
        <v/>
      </c>
      <c r="C17441">
        <f>TEST_DATA!C17441</f>
        <v/>
      </c>
      <c r="D17441">
        <f>TEST_DATA!D17441</f>
        <v/>
      </c>
      <c r="E17441">
        <f>TEST_DATA!E17441</f>
        <v/>
      </c>
    </row>
    <row r="17442">
      <c r="A17442">
        <f>TEST_DATA!A17442</f>
        <v/>
      </c>
      <c r="B17442">
        <f>TEST_DATA!B17442</f>
        <v/>
      </c>
      <c r="C17442">
        <f>TEST_DATA!C17442</f>
        <v/>
      </c>
      <c r="D17442">
        <f>TEST_DATA!D17442</f>
        <v/>
      </c>
      <c r="E17442">
        <f>TEST_DATA!E17442</f>
        <v/>
      </c>
    </row>
    <row r="17443">
      <c r="A17443">
        <f>TEST_DATA!A17443</f>
        <v/>
      </c>
      <c r="B17443">
        <f>TEST_DATA!B17443</f>
        <v/>
      </c>
      <c r="C17443">
        <f>TEST_DATA!C17443</f>
        <v/>
      </c>
      <c r="D17443">
        <f>TEST_DATA!D17443</f>
        <v/>
      </c>
      <c r="E17443">
        <f>TEST_DATA!E17443</f>
        <v/>
      </c>
    </row>
    <row r="17444">
      <c r="A17444">
        <f>TEST_DATA!A17444</f>
        <v/>
      </c>
      <c r="B17444">
        <f>TEST_DATA!B17444</f>
        <v/>
      </c>
      <c r="C17444">
        <f>TEST_DATA!C17444</f>
        <v/>
      </c>
      <c r="D17444">
        <f>TEST_DATA!D17444</f>
        <v/>
      </c>
      <c r="E17444">
        <f>TEST_DATA!E17444</f>
        <v/>
      </c>
    </row>
    <row r="17445">
      <c r="A17445">
        <f>TEST_DATA!A17445</f>
        <v/>
      </c>
      <c r="B17445">
        <f>TEST_DATA!B17445</f>
        <v/>
      </c>
      <c r="C17445">
        <f>TEST_DATA!C17445</f>
        <v/>
      </c>
      <c r="D17445">
        <f>TEST_DATA!D17445</f>
        <v/>
      </c>
      <c r="E17445">
        <f>TEST_DATA!E17445</f>
        <v/>
      </c>
    </row>
    <row r="17446">
      <c r="A17446">
        <f>TEST_DATA!A17446</f>
        <v/>
      </c>
      <c r="B17446">
        <f>TEST_DATA!B17446</f>
        <v/>
      </c>
      <c r="C17446">
        <f>TEST_DATA!C17446</f>
        <v/>
      </c>
      <c r="D17446">
        <f>TEST_DATA!D17446</f>
        <v/>
      </c>
      <c r="E17446">
        <f>TEST_DATA!E17446</f>
        <v/>
      </c>
    </row>
    <row r="17447">
      <c r="A17447">
        <f>TEST_DATA!A17447</f>
        <v/>
      </c>
      <c r="B17447">
        <f>TEST_DATA!B17447</f>
        <v/>
      </c>
      <c r="C17447">
        <f>TEST_DATA!C17447</f>
        <v/>
      </c>
      <c r="D17447">
        <f>TEST_DATA!D17447</f>
        <v/>
      </c>
      <c r="E17447">
        <f>TEST_DATA!E17447</f>
        <v/>
      </c>
    </row>
    <row r="17448">
      <c r="A17448">
        <f>TEST_DATA!A17448</f>
        <v/>
      </c>
      <c r="B17448">
        <f>TEST_DATA!B17448</f>
        <v/>
      </c>
      <c r="C17448">
        <f>TEST_DATA!C17448</f>
        <v/>
      </c>
      <c r="D17448">
        <f>TEST_DATA!D17448</f>
        <v/>
      </c>
      <c r="E17448">
        <f>TEST_DATA!E17448</f>
        <v/>
      </c>
    </row>
    <row r="17449">
      <c r="A17449">
        <f>TEST_DATA!A17449</f>
        <v/>
      </c>
      <c r="B17449">
        <f>TEST_DATA!B17449</f>
        <v/>
      </c>
      <c r="C17449">
        <f>TEST_DATA!C17449</f>
        <v/>
      </c>
      <c r="D17449">
        <f>TEST_DATA!D17449</f>
        <v/>
      </c>
      <c r="E17449">
        <f>TEST_DATA!E17449</f>
        <v/>
      </c>
    </row>
    <row r="17450">
      <c r="A17450">
        <f>TEST_DATA!A17450</f>
        <v/>
      </c>
      <c r="B17450">
        <f>TEST_DATA!B17450</f>
        <v/>
      </c>
      <c r="C17450">
        <f>TEST_DATA!C17450</f>
        <v/>
      </c>
      <c r="D17450">
        <f>TEST_DATA!D17450</f>
        <v/>
      </c>
      <c r="E17450">
        <f>TEST_DATA!E17450</f>
        <v/>
      </c>
    </row>
    <row r="17451">
      <c r="A17451">
        <f>TEST_DATA!A17451</f>
        <v/>
      </c>
      <c r="B17451">
        <f>TEST_DATA!B17451</f>
        <v/>
      </c>
      <c r="C17451">
        <f>TEST_DATA!C17451</f>
        <v/>
      </c>
      <c r="D17451">
        <f>TEST_DATA!D17451</f>
        <v/>
      </c>
      <c r="E17451">
        <f>TEST_DATA!E17451</f>
        <v/>
      </c>
    </row>
    <row r="17452">
      <c r="A17452">
        <f>TEST_DATA!A17452</f>
        <v/>
      </c>
      <c r="B17452">
        <f>TEST_DATA!B17452</f>
        <v/>
      </c>
      <c r="C17452">
        <f>TEST_DATA!C17452</f>
        <v/>
      </c>
      <c r="D17452">
        <f>TEST_DATA!D17452</f>
        <v/>
      </c>
      <c r="E17452">
        <f>TEST_DATA!E17452</f>
        <v/>
      </c>
    </row>
    <row r="17453">
      <c r="A17453">
        <f>TEST_DATA!A17453</f>
        <v/>
      </c>
      <c r="B17453">
        <f>TEST_DATA!B17453</f>
        <v/>
      </c>
      <c r="C17453">
        <f>TEST_DATA!C17453</f>
        <v/>
      </c>
      <c r="D17453">
        <f>TEST_DATA!D17453</f>
        <v/>
      </c>
      <c r="E17453">
        <f>TEST_DATA!E17453</f>
        <v/>
      </c>
    </row>
    <row r="17454">
      <c r="A17454">
        <f>TEST_DATA!A17454</f>
        <v/>
      </c>
      <c r="B17454">
        <f>TEST_DATA!B17454</f>
        <v/>
      </c>
      <c r="C17454">
        <f>TEST_DATA!C17454</f>
        <v/>
      </c>
      <c r="D17454">
        <f>TEST_DATA!D17454</f>
        <v/>
      </c>
      <c r="E17454">
        <f>TEST_DATA!E17454</f>
        <v/>
      </c>
    </row>
    <row r="17455">
      <c r="A17455">
        <f>TEST_DATA!A17455</f>
        <v/>
      </c>
      <c r="B17455">
        <f>TEST_DATA!B17455</f>
        <v/>
      </c>
      <c r="C17455">
        <f>TEST_DATA!C17455</f>
        <v/>
      </c>
      <c r="D17455">
        <f>TEST_DATA!D17455</f>
        <v/>
      </c>
      <c r="E17455">
        <f>TEST_DATA!E17455</f>
        <v/>
      </c>
    </row>
    <row r="17456">
      <c r="A17456">
        <f>TEST_DATA!A17456</f>
        <v/>
      </c>
      <c r="B17456">
        <f>TEST_DATA!B17456</f>
        <v/>
      </c>
      <c r="C17456">
        <f>TEST_DATA!C17456</f>
        <v/>
      </c>
      <c r="D17456">
        <f>TEST_DATA!D17456</f>
        <v/>
      </c>
      <c r="E17456">
        <f>TEST_DATA!E17456</f>
        <v/>
      </c>
    </row>
    <row r="17457">
      <c r="A17457">
        <f>TEST_DATA!A17457</f>
        <v/>
      </c>
      <c r="B17457">
        <f>TEST_DATA!B17457</f>
        <v/>
      </c>
      <c r="C17457">
        <f>TEST_DATA!C17457</f>
        <v/>
      </c>
      <c r="D17457">
        <f>TEST_DATA!D17457</f>
        <v/>
      </c>
      <c r="E17457">
        <f>TEST_DATA!E17457</f>
        <v/>
      </c>
    </row>
    <row r="17458">
      <c r="A17458">
        <f>TEST_DATA!A17458</f>
        <v/>
      </c>
      <c r="B17458">
        <f>TEST_DATA!B17458</f>
        <v/>
      </c>
      <c r="C17458">
        <f>TEST_DATA!C17458</f>
        <v/>
      </c>
      <c r="D17458">
        <f>TEST_DATA!D17458</f>
        <v/>
      </c>
      <c r="E17458">
        <f>TEST_DATA!E17458</f>
        <v/>
      </c>
    </row>
    <row r="17459">
      <c r="A17459">
        <f>TEST_DATA!A17459</f>
        <v/>
      </c>
      <c r="B17459">
        <f>TEST_DATA!B17459</f>
        <v/>
      </c>
      <c r="C17459">
        <f>TEST_DATA!C17459</f>
        <v/>
      </c>
      <c r="D17459">
        <f>TEST_DATA!D17459</f>
        <v/>
      </c>
      <c r="E17459">
        <f>TEST_DATA!E17459</f>
        <v/>
      </c>
    </row>
    <row r="17460">
      <c r="A17460">
        <f>TEST_DATA!A17460</f>
        <v/>
      </c>
      <c r="B17460">
        <f>TEST_DATA!B17460</f>
        <v/>
      </c>
      <c r="C17460">
        <f>TEST_DATA!C17460</f>
        <v/>
      </c>
      <c r="D17460">
        <f>TEST_DATA!D17460</f>
        <v/>
      </c>
      <c r="E17460">
        <f>TEST_DATA!E17460</f>
        <v/>
      </c>
    </row>
    <row r="17461">
      <c r="A17461">
        <f>TEST_DATA!A17461</f>
        <v/>
      </c>
      <c r="B17461">
        <f>TEST_DATA!B17461</f>
        <v/>
      </c>
      <c r="C17461">
        <f>TEST_DATA!C17461</f>
        <v/>
      </c>
      <c r="D17461">
        <f>TEST_DATA!D17461</f>
        <v/>
      </c>
      <c r="E17461">
        <f>TEST_DATA!E17461</f>
        <v/>
      </c>
    </row>
    <row r="17462">
      <c r="A17462">
        <f>TEST_DATA!A17462</f>
        <v/>
      </c>
      <c r="B17462">
        <f>TEST_DATA!B17462</f>
        <v/>
      </c>
      <c r="C17462">
        <f>TEST_DATA!C17462</f>
        <v/>
      </c>
      <c r="D17462">
        <f>TEST_DATA!D17462</f>
        <v/>
      </c>
      <c r="E17462">
        <f>TEST_DATA!E17462</f>
        <v/>
      </c>
    </row>
    <row r="17463">
      <c r="A17463">
        <f>TEST_DATA!A17463</f>
        <v/>
      </c>
      <c r="B17463">
        <f>TEST_DATA!B17463</f>
        <v/>
      </c>
      <c r="C17463">
        <f>TEST_DATA!C17463</f>
        <v/>
      </c>
      <c r="D17463">
        <f>TEST_DATA!D17463</f>
        <v/>
      </c>
      <c r="E17463">
        <f>TEST_DATA!E17463</f>
        <v/>
      </c>
    </row>
    <row r="17464">
      <c r="A17464">
        <f>TEST_DATA!A17464</f>
        <v/>
      </c>
      <c r="B17464">
        <f>TEST_DATA!B17464</f>
        <v/>
      </c>
      <c r="C17464">
        <f>TEST_DATA!C17464</f>
        <v/>
      </c>
      <c r="D17464">
        <f>TEST_DATA!D17464</f>
        <v/>
      </c>
      <c r="E17464">
        <f>TEST_DATA!E17464</f>
        <v/>
      </c>
    </row>
    <row r="17465">
      <c r="A17465">
        <f>TEST_DATA!A17465</f>
        <v/>
      </c>
      <c r="B17465">
        <f>TEST_DATA!B17465</f>
        <v/>
      </c>
      <c r="C17465">
        <f>TEST_DATA!C17465</f>
        <v/>
      </c>
      <c r="D17465">
        <f>TEST_DATA!D17465</f>
        <v/>
      </c>
      <c r="E17465">
        <f>TEST_DATA!E17465</f>
        <v/>
      </c>
    </row>
    <row r="17466">
      <c r="A17466">
        <f>TEST_DATA!A17466</f>
        <v/>
      </c>
      <c r="B17466">
        <f>TEST_DATA!B17466</f>
        <v/>
      </c>
      <c r="C17466">
        <f>TEST_DATA!C17466</f>
        <v/>
      </c>
      <c r="D17466">
        <f>TEST_DATA!D17466</f>
        <v/>
      </c>
      <c r="E17466">
        <f>TEST_DATA!E17466</f>
        <v/>
      </c>
    </row>
    <row r="17467">
      <c r="A17467">
        <f>TEST_DATA!A17467</f>
        <v/>
      </c>
      <c r="B17467">
        <f>TEST_DATA!B17467</f>
        <v/>
      </c>
      <c r="C17467">
        <f>TEST_DATA!C17467</f>
        <v/>
      </c>
      <c r="D17467">
        <f>TEST_DATA!D17467</f>
        <v/>
      </c>
      <c r="E17467">
        <f>TEST_DATA!E17467</f>
        <v/>
      </c>
    </row>
    <row r="17468">
      <c r="A17468">
        <f>TEST_DATA!A17468</f>
        <v/>
      </c>
      <c r="B17468">
        <f>TEST_DATA!B17468</f>
        <v/>
      </c>
      <c r="C17468">
        <f>TEST_DATA!C17468</f>
        <v/>
      </c>
      <c r="D17468">
        <f>TEST_DATA!D17468</f>
        <v/>
      </c>
      <c r="E17468">
        <f>TEST_DATA!E17468</f>
        <v/>
      </c>
    </row>
    <row r="17469">
      <c r="A17469">
        <f>TEST_DATA!A17469</f>
        <v/>
      </c>
      <c r="B17469">
        <f>TEST_DATA!B17469</f>
        <v/>
      </c>
      <c r="C17469">
        <f>TEST_DATA!C17469</f>
        <v/>
      </c>
      <c r="D17469">
        <f>TEST_DATA!D17469</f>
        <v/>
      </c>
      <c r="E17469">
        <f>TEST_DATA!E17469</f>
        <v/>
      </c>
    </row>
    <row r="17470">
      <c r="A17470">
        <f>TEST_DATA!A17470</f>
        <v/>
      </c>
      <c r="B17470">
        <f>TEST_DATA!B17470</f>
        <v/>
      </c>
      <c r="C17470">
        <f>TEST_DATA!C17470</f>
        <v/>
      </c>
      <c r="D17470">
        <f>TEST_DATA!D17470</f>
        <v/>
      </c>
      <c r="E17470">
        <f>TEST_DATA!E17470</f>
        <v/>
      </c>
    </row>
    <row r="17471">
      <c r="A17471">
        <f>TEST_DATA!A17471</f>
        <v/>
      </c>
      <c r="B17471">
        <f>TEST_DATA!B17471</f>
        <v/>
      </c>
      <c r="C17471">
        <f>TEST_DATA!C17471</f>
        <v/>
      </c>
      <c r="D17471">
        <f>TEST_DATA!D17471</f>
        <v/>
      </c>
      <c r="E17471">
        <f>TEST_DATA!E17471</f>
        <v/>
      </c>
    </row>
    <row r="17472">
      <c r="A17472">
        <f>TEST_DATA!A17472</f>
        <v/>
      </c>
      <c r="B17472">
        <f>TEST_DATA!B17472</f>
        <v/>
      </c>
      <c r="C17472">
        <f>TEST_DATA!C17472</f>
        <v/>
      </c>
      <c r="D17472">
        <f>TEST_DATA!D17472</f>
        <v/>
      </c>
      <c r="E17472">
        <f>TEST_DATA!E17472</f>
        <v/>
      </c>
    </row>
    <row r="17473">
      <c r="A17473">
        <f>TEST_DATA!A17473</f>
        <v/>
      </c>
      <c r="B17473">
        <f>TEST_DATA!B17473</f>
        <v/>
      </c>
      <c r="C17473">
        <f>TEST_DATA!C17473</f>
        <v/>
      </c>
      <c r="D17473">
        <f>TEST_DATA!D17473</f>
        <v/>
      </c>
      <c r="E17473">
        <f>TEST_DATA!E17473</f>
        <v/>
      </c>
    </row>
    <row r="17474">
      <c r="A17474">
        <f>TEST_DATA!A17474</f>
        <v/>
      </c>
      <c r="B17474">
        <f>TEST_DATA!B17474</f>
        <v/>
      </c>
      <c r="C17474">
        <f>TEST_DATA!C17474</f>
        <v/>
      </c>
      <c r="D17474">
        <f>TEST_DATA!D17474</f>
        <v/>
      </c>
      <c r="E17474">
        <f>TEST_DATA!E17474</f>
        <v/>
      </c>
    </row>
    <row r="17475">
      <c r="A17475">
        <f>TEST_DATA!A17475</f>
        <v/>
      </c>
      <c r="B17475">
        <f>TEST_DATA!B17475</f>
        <v/>
      </c>
      <c r="C17475">
        <f>TEST_DATA!C17475</f>
        <v/>
      </c>
      <c r="D17475">
        <f>TEST_DATA!D17475</f>
        <v/>
      </c>
      <c r="E17475">
        <f>TEST_DATA!E17475</f>
        <v/>
      </c>
    </row>
    <row r="17476">
      <c r="A17476">
        <f>TEST_DATA!A17476</f>
        <v/>
      </c>
      <c r="B17476">
        <f>TEST_DATA!B17476</f>
        <v/>
      </c>
      <c r="C17476">
        <f>TEST_DATA!C17476</f>
        <v/>
      </c>
      <c r="D17476">
        <f>TEST_DATA!D17476</f>
        <v/>
      </c>
      <c r="E17476">
        <f>TEST_DATA!E17476</f>
        <v/>
      </c>
    </row>
    <row r="17477">
      <c r="A17477">
        <f>TEST_DATA!A17477</f>
        <v/>
      </c>
      <c r="B17477">
        <f>TEST_DATA!B17477</f>
        <v/>
      </c>
      <c r="C17477">
        <f>TEST_DATA!C17477</f>
        <v/>
      </c>
      <c r="D17477">
        <f>TEST_DATA!D17477</f>
        <v/>
      </c>
      <c r="E17477">
        <f>TEST_DATA!E17477</f>
        <v/>
      </c>
    </row>
    <row r="17478">
      <c r="A17478">
        <f>TEST_DATA!A17478</f>
        <v/>
      </c>
      <c r="B17478">
        <f>TEST_DATA!B17478</f>
        <v/>
      </c>
      <c r="C17478">
        <f>TEST_DATA!C17478</f>
        <v/>
      </c>
      <c r="D17478">
        <f>TEST_DATA!D17478</f>
        <v/>
      </c>
      <c r="E17478">
        <f>TEST_DATA!E17478</f>
        <v/>
      </c>
    </row>
    <row r="17479">
      <c r="A17479">
        <f>TEST_DATA!A17479</f>
        <v/>
      </c>
      <c r="B17479">
        <f>TEST_DATA!B17479</f>
        <v/>
      </c>
      <c r="C17479">
        <f>TEST_DATA!C17479</f>
        <v/>
      </c>
      <c r="D17479">
        <f>TEST_DATA!D17479</f>
        <v/>
      </c>
      <c r="E17479">
        <f>TEST_DATA!E17479</f>
        <v/>
      </c>
    </row>
    <row r="17480">
      <c r="A17480">
        <f>TEST_DATA!A17480</f>
        <v/>
      </c>
      <c r="B17480">
        <f>TEST_DATA!B17480</f>
        <v/>
      </c>
      <c r="C17480">
        <f>TEST_DATA!C17480</f>
        <v/>
      </c>
      <c r="D17480">
        <f>TEST_DATA!D17480</f>
        <v/>
      </c>
      <c r="E17480">
        <f>TEST_DATA!E17480</f>
        <v/>
      </c>
    </row>
    <row r="17481">
      <c r="A17481">
        <f>TEST_DATA!A17481</f>
        <v/>
      </c>
      <c r="B17481">
        <f>TEST_DATA!B17481</f>
        <v/>
      </c>
      <c r="C17481">
        <f>TEST_DATA!C17481</f>
        <v/>
      </c>
      <c r="D17481">
        <f>TEST_DATA!D17481</f>
        <v/>
      </c>
      <c r="E17481">
        <f>TEST_DATA!E17481</f>
        <v/>
      </c>
    </row>
    <row r="17482">
      <c r="A17482">
        <f>TEST_DATA!A17482</f>
        <v/>
      </c>
      <c r="B17482">
        <f>TEST_DATA!B17482</f>
        <v/>
      </c>
      <c r="C17482">
        <f>TEST_DATA!C17482</f>
        <v/>
      </c>
      <c r="D17482">
        <f>TEST_DATA!D17482</f>
        <v/>
      </c>
      <c r="E17482">
        <f>TEST_DATA!E17482</f>
        <v/>
      </c>
    </row>
    <row r="17483">
      <c r="A17483">
        <f>TEST_DATA!A17483</f>
        <v/>
      </c>
      <c r="B17483">
        <f>TEST_DATA!B17483</f>
        <v/>
      </c>
      <c r="C17483">
        <f>TEST_DATA!C17483</f>
        <v/>
      </c>
      <c r="D17483">
        <f>TEST_DATA!D17483</f>
        <v/>
      </c>
      <c r="E17483">
        <f>TEST_DATA!E17483</f>
        <v/>
      </c>
    </row>
    <row r="17484">
      <c r="A17484">
        <f>TEST_DATA!A17484</f>
        <v/>
      </c>
      <c r="B17484">
        <f>TEST_DATA!B17484</f>
        <v/>
      </c>
      <c r="C17484">
        <f>TEST_DATA!C17484</f>
        <v/>
      </c>
      <c r="D17484">
        <f>TEST_DATA!D17484</f>
        <v/>
      </c>
      <c r="E17484">
        <f>TEST_DATA!E17484</f>
        <v/>
      </c>
    </row>
    <row r="17485">
      <c r="A17485">
        <f>TEST_DATA!A17485</f>
        <v/>
      </c>
      <c r="B17485">
        <f>TEST_DATA!B17485</f>
        <v/>
      </c>
      <c r="C17485">
        <f>TEST_DATA!C17485</f>
        <v/>
      </c>
      <c r="D17485">
        <f>TEST_DATA!D17485</f>
        <v/>
      </c>
      <c r="E17485">
        <f>TEST_DATA!E17485</f>
        <v/>
      </c>
    </row>
    <row r="17486">
      <c r="A17486">
        <f>TEST_DATA!A17486</f>
        <v/>
      </c>
      <c r="B17486">
        <f>TEST_DATA!B17486</f>
        <v/>
      </c>
      <c r="C17486">
        <f>TEST_DATA!C17486</f>
        <v/>
      </c>
      <c r="D17486">
        <f>TEST_DATA!D17486</f>
        <v/>
      </c>
      <c r="E17486">
        <f>TEST_DATA!E17486</f>
        <v/>
      </c>
    </row>
    <row r="17487">
      <c r="A17487">
        <f>TEST_DATA!A17487</f>
        <v/>
      </c>
      <c r="B17487">
        <f>TEST_DATA!B17487</f>
        <v/>
      </c>
      <c r="C17487">
        <f>TEST_DATA!C17487</f>
        <v/>
      </c>
      <c r="D17487">
        <f>TEST_DATA!D17487</f>
        <v/>
      </c>
      <c r="E17487">
        <f>TEST_DATA!E17487</f>
        <v/>
      </c>
    </row>
    <row r="17488">
      <c r="A17488">
        <f>TEST_DATA!A17488</f>
        <v/>
      </c>
      <c r="B17488">
        <f>TEST_DATA!B17488</f>
        <v/>
      </c>
      <c r="C17488">
        <f>TEST_DATA!C17488</f>
        <v/>
      </c>
      <c r="D17488">
        <f>TEST_DATA!D17488</f>
        <v/>
      </c>
      <c r="E17488">
        <f>TEST_DATA!E17488</f>
        <v/>
      </c>
    </row>
    <row r="17489">
      <c r="A17489">
        <f>TEST_DATA!A17489</f>
        <v/>
      </c>
      <c r="B17489">
        <f>TEST_DATA!B17489</f>
        <v/>
      </c>
      <c r="C17489">
        <f>TEST_DATA!C17489</f>
        <v/>
      </c>
      <c r="D17489">
        <f>TEST_DATA!D17489</f>
        <v/>
      </c>
      <c r="E17489">
        <f>TEST_DATA!E17489</f>
        <v/>
      </c>
    </row>
    <row r="17490">
      <c r="A17490">
        <f>TEST_DATA!A17490</f>
        <v/>
      </c>
      <c r="B17490">
        <f>TEST_DATA!B17490</f>
        <v/>
      </c>
      <c r="C17490">
        <f>TEST_DATA!C17490</f>
        <v/>
      </c>
      <c r="D17490">
        <f>TEST_DATA!D17490</f>
        <v/>
      </c>
      <c r="E17490">
        <f>TEST_DATA!E17490</f>
        <v/>
      </c>
    </row>
    <row r="17491">
      <c r="A17491">
        <f>TEST_DATA!A17491</f>
        <v/>
      </c>
      <c r="B17491">
        <f>TEST_DATA!B17491</f>
        <v/>
      </c>
      <c r="C17491">
        <f>TEST_DATA!C17491</f>
        <v/>
      </c>
      <c r="D17491">
        <f>TEST_DATA!D17491</f>
        <v/>
      </c>
      <c r="E17491">
        <f>TEST_DATA!E17491</f>
        <v/>
      </c>
    </row>
    <row r="17492">
      <c r="A17492">
        <f>TEST_DATA!A17492</f>
        <v/>
      </c>
      <c r="B17492">
        <f>TEST_DATA!B17492</f>
        <v/>
      </c>
      <c r="C17492">
        <f>TEST_DATA!C17492</f>
        <v/>
      </c>
      <c r="D17492">
        <f>TEST_DATA!D17492</f>
        <v/>
      </c>
      <c r="E17492">
        <f>TEST_DATA!E17492</f>
        <v/>
      </c>
    </row>
    <row r="17493">
      <c r="A17493">
        <f>TEST_DATA!A17493</f>
        <v/>
      </c>
      <c r="B17493">
        <f>TEST_DATA!B17493</f>
        <v/>
      </c>
      <c r="C17493">
        <f>TEST_DATA!C17493</f>
        <v/>
      </c>
      <c r="D17493">
        <f>TEST_DATA!D17493</f>
        <v/>
      </c>
      <c r="E17493">
        <f>TEST_DATA!E17493</f>
        <v/>
      </c>
    </row>
    <row r="17494">
      <c r="A17494">
        <f>TEST_DATA!A17494</f>
        <v/>
      </c>
      <c r="B17494">
        <f>TEST_DATA!B17494</f>
        <v/>
      </c>
      <c r="C17494">
        <f>TEST_DATA!C17494</f>
        <v/>
      </c>
      <c r="D17494">
        <f>TEST_DATA!D17494</f>
        <v/>
      </c>
      <c r="E17494">
        <f>TEST_DATA!E17494</f>
        <v/>
      </c>
    </row>
    <row r="17495">
      <c r="A17495">
        <f>TEST_DATA!A17495</f>
        <v/>
      </c>
      <c r="B17495">
        <f>TEST_DATA!B17495</f>
        <v/>
      </c>
      <c r="C17495">
        <f>TEST_DATA!C17495</f>
        <v/>
      </c>
      <c r="D17495">
        <f>TEST_DATA!D17495</f>
        <v/>
      </c>
      <c r="E17495">
        <f>TEST_DATA!E17495</f>
        <v/>
      </c>
    </row>
    <row r="17496">
      <c r="A17496">
        <f>TEST_DATA!A17496</f>
        <v/>
      </c>
      <c r="B17496">
        <f>TEST_DATA!B17496</f>
        <v/>
      </c>
      <c r="C17496">
        <f>TEST_DATA!C17496</f>
        <v/>
      </c>
      <c r="D17496">
        <f>TEST_DATA!D17496</f>
        <v/>
      </c>
      <c r="E17496">
        <f>TEST_DATA!E17496</f>
        <v/>
      </c>
    </row>
    <row r="17497">
      <c r="A17497">
        <f>TEST_DATA!A17497</f>
        <v/>
      </c>
      <c r="B17497">
        <f>TEST_DATA!B17497</f>
        <v/>
      </c>
      <c r="C17497">
        <f>TEST_DATA!C17497</f>
        <v/>
      </c>
      <c r="D17497">
        <f>TEST_DATA!D17497</f>
        <v/>
      </c>
      <c r="E17497">
        <f>TEST_DATA!E17497</f>
        <v/>
      </c>
    </row>
    <row r="17498">
      <c r="A17498">
        <f>TEST_DATA!A17498</f>
        <v/>
      </c>
      <c r="B17498">
        <f>TEST_DATA!B17498</f>
        <v/>
      </c>
      <c r="C17498">
        <f>TEST_DATA!C17498</f>
        <v/>
      </c>
      <c r="D17498">
        <f>TEST_DATA!D17498</f>
        <v/>
      </c>
      <c r="E17498">
        <f>TEST_DATA!E17498</f>
        <v/>
      </c>
    </row>
    <row r="17499">
      <c r="A17499">
        <f>TEST_DATA!A17499</f>
        <v/>
      </c>
      <c r="B17499">
        <f>TEST_DATA!B17499</f>
        <v/>
      </c>
      <c r="C17499">
        <f>TEST_DATA!C17499</f>
        <v/>
      </c>
      <c r="D17499">
        <f>TEST_DATA!D17499</f>
        <v/>
      </c>
      <c r="E17499">
        <f>TEST_DATA!E17499</f>
        <v/>
      </c>
    </row>
    <row r="17500">
      <c r="A17500">
        <f>TEST_DATA!A17500</f>
        <v/>
      </c>
      <c r="B17500">
        <f>TEST_DATA!B17500</f>
        <v/>
      </c>
      <c r="C17500">
        <f>TEST_DATA!C17500</f>
        <v/>
      </c>
      <c r="D17500">
        <f>TEST_DATA!D17500</f>
        <v/>
      </c>
      <c r="E17500">
        <f>TEST_DATA!E17500</f>
        <v/>
      </c>
    </row>
    <row r="17501">
      <c r="A17501">
        <f>TEST_DATA!A17501</f>
        <v/>
      </c>
      <c r="B17501">
        <f>TEST_DATA!B17501</f>
        <v/>
      </c>
      <c r="C17501">
        <f>TEST_DATA!C17501</f>
        <v/>
      </c>
      <c r="D17501">
        <f>TEST_DATA!D17501</f>
        <v/>
      </c>
      <c r="E17501">
        <f>TEST_DATA!E17501</f>
        <v/>
      </c>
    </row>
    <row r="17502">
      <c r="A17502">
        <f>TEST_DATA!A17502</f>
        <v/>
      </c>
      <c r="B17502">
        <f>TEST_DATA!B17502</f>
        <v/>
      </c>
      <c r="C17502">
        <f>TEST_DATA!C17502</f>
        <v/>
      </c>
      <c r="D17502">
        <f>TEST_DATA!D17502</f>
        <v/>
      </c>
      <c r="E17502">
        <f>TEST_DATA!E17502</f>
        <v/>
      </c>
    </row>
    <row r="17503">
      <c r="A17503">
        <f>TEST_DATA!A17503</f>
        <v/>
      </c>
      <c r="B17503">
        <f>TEST_DATA!B17503</f>
        <v/>
      </c>
      <c r="C17503">
        <f>TEST_DATA!C17503</f>
        <v/>
      </c>
      <c r="D17503">
        <f>TEST_DATA!D17503</f>
        <v/>
      </c>
      <c r="E17503">
        <f>TEST_DATA!E17503</f>
        <v/>
      </c>
    </row>
    <row r="17504">
      <c r="A17504">
        <f>TEST_DATA!A17504</f>
        <v/>
      </c>
      <c r="B17504">
        <f>TEST_DATA!B17504</f>
        <v/>
      </c>
      <c r="C17504">
        <f>TEST_DATA!C17504</f>
        <v/>
      </c>
      <c r="D17504">
        <f>TEST_DATA!D17504</f>
        <v/>
      </c>
      <c r="E17504">
        <f>TEST_DATA!E17504</f>
        <v/>
      </c>
    </row>
    <row r="17505">
      <c r="A17505">
        <f>TEST_DATA!A17505</f>
        <v/>
      </c>
      <c r="B17505">
        <f>TEST_DATA!B17505</f>
        <v/>
      </c>
      <c r="C17505">
        <f>TEST_DATA!C17505</f>
        <v/>
      </c>
      <c r="D17505">
        <f>TEST_DATA!D17505</f>
        <v/>
      </c>
      <c r="E17505">
        <f>TEST_DATA!E17505</f>
        <v/>
      </c>
    </row>
    <row r="17506">
      <c r="A17506">
        <f>TEST_DATA!A17506</f>
        <v/>
      </c>
      <c r="B17506">
        <f>TEST_DATA!B17506</f>
        <v/>
      </c>
      <c r="C17506">
        <f>TEST_DATA!C17506</f>
        <v/>
      </c>
      <c r="D17506">
        <f>TEST_DATA!D17506</f>
        <v/>
      </c>
      <c r="E17506">
        <f>TEST_DATA!E17506</f>
        <v/>
      </c>
    </row>
    <row r="17507">
      <c r="A17507">
        <f>TEST_DATA!A17507</f>
        <v/>
      </c>
      <c r="B17507">
        <f>TEST_DATA!B17507</f>
        <v/>
      </c>
      <c r="C17507">
        <f>TEST_DATA!C17507</f>
        <v/>
      </c>
      <c r="D17507">
        <f>TEST_DATA!D17507</f>
        <v/>
      </c>
      <c r="E17507">
        <f>TEST_DATA!E17507</f>
        <v/>
      </c>
    </row>
    <row r="17508">
      <c r="A17508">
        <f>TEST_DATA!A17508</f>
        <v/>
      </c>
      <c r="B17508">
        <f>TEST_DATA!B17508</f>
        <v/>
      </c>
      <c r="C17508">
        <f>TEST_DATA!C17508</f>
        <v/>
      </c>
      <c r="D17508">
        <f>TEST_DATA!D17508</f>
        <v/>
      </c>
      <c r="E17508">
        <f>TEST_DATA!E17508</f>
        <v/>
      </c>
    </row>
    <row r="17509">
      <c r="A17509">
        <f>TEST_DATA!A17509</f>
        <v/>
      </c>
      <c r="B17509">
        <f>TEST_DATA!B17509</f>
        <v/>
      </c>
      <c r="C17509">
        <f>TEST_DATA!C17509</f>
        <v/>
      </c>
      <c r="D17509">
        <f>TEST_DATA!D17509</f>
        <v/>
      </c>
      <c r="E17509">
        <f>TEST_DATA!E17509</f>
        <v/>
      </c>
    </row>
    <row r="17510">
      <c r="A17510">
        <f>TEST_DATA!A17510</f>
        <v/>
      </c>
      <c r="B17510">
        <f>TEST_DATA!B17510</f>
        <v/>
      </c>
      <c r="C17510">
        <f>TEST_DATA!C17510</f>
        <v/>
      </c>
      <c r="D17510">
        <f>TEST_DATA!D17510</f>
        <v/>
      </c>
      <c r="E17510">
        <f>TEST_DATA!E17510</f>
        <v/>
      </c>
    </row>
    <row r="17511">
      <c r="A17511">
        <f>TEST_DATA!A17511</f>
        <v/>
      </c>
      <c r="B17511">
        <f>TEST_DATA!B17511</f>
        <v/>
      </c>
      <c r="C17511">
        <f>TEST_DATA!C17511</f>
        <v/>
      </c>
      <c r="D17511">
        <f>TEST_DATA!D17511</f>
        <v/>
      </c>
      <c r="E17511">
        <f>TEST_DATA!E17511</f>
        <v/>
      </c>
    </row>
    <row r="17512">
      <c r="A17512">
        <f>TEST_DATA!A17512</f>
        <v/>
      </c>
      <c r="B17512">
        <f>TEST_DATA!B17512</f>
        <v/>
      </c>
      <c r="C17512">
        <f>TEST_DATA!C17512</f>
        <v/>
      </c>
      <c r="D17512">
        <f>TEST_DATA!D17512</f>
        <v/>
      </c>
      <c r="E17512">
        <f>TEST_DATA!E17512</f>
        <v/>
      </c>
    </row>
    <row r="17513">
      <c r="A17513">
        <f>TEST_DATA!A17513</f>
        <v/>
      </c>
      <c r="B17513">
        <f>TEST_DATA!B17513</f>
        <v/>
      </c>
      <c r="C17513">
        <f>TEST_DATA!C17513</f>
        <v/>
      </c>
      <c r="D17513">
        <f>TEST_DATA!D17513</f>
        <v/>
      </c>
      <c r="E17513">
        <f>TEST_DATA!E17513</f>
        <v/>
      </c>
    </row>
    <row r="17514">
      <c r="A17514">
        <f>TEST_DATA!A17514</f>
        <v/>
      </c>
      <c r="B17514">
        <f>TEST_DATA!B17514</f>
        <v/>
      </c>
      <c r="C17514">
        <f>TEST_DATA!C17514</f>
        <v/>
      </c>
      <c r="D17514">
        <f>TEST_DATA!D17514</f>
        <v/>
      </c>
      <c r="E17514">
        <f>TEST_DATA!E17514</f>
        <v/>
      </c>
    </row>
    <row r="17515">
      <c r="A17515">
        <f>TEST_DATA!A17515</f>
        <v/>
      </c>
      <c r="B17515">
        <f>TEST_DATA!B17515</f>
        <v/>
      </c>
      <c r="C17515">
        <f>TEST_DATA!C17515</f>
        <v/>
      </c>
      <c r="D17515">
        <f>TEST_DATA!D17515</f>
        <v/>
      </c>
      <c r="E17515">
        <f>TEST_DATA!E17515</f>
        <v/>
      </c>
    </row>
    <row r="17516">
      <c r="A17516">
        <f>TEST_DATA!A17516</f>
        <v/>
      </c>
      <c r="B17516">
        <f>TEST_DATA!B17516</f>
        <v/>
      </c>
      <c r="C17516">
        <f>TEST_DATA!C17516</f>
        <v/>
      </c>
      <c r="D17516">
        <f>TEST_DATA!D17516</f>
        <v/>
      </c>
      <c r="E17516">
        <f>TEST_DATA!E17516</f>
        <v/>
      </c>
    </row>
    <row r="17517">
      <c r="A17517">
        <f>TEST_DATA!A17517</f>
        <v/>
      </c>
      <c r="B17517">
        <f>TEST_DATA!B17517</f>
        <v/>
      </c>
      <c r="C17517">
        <f>TEST_DATA!C17517</f>
        <v/>
      </c>
      <c r="D17517">
        <f>TEST_DATA!D17517</f>
        <v/>
      </c>
      <c r="E17517">
        <f>TEST_DATA!E17517</f>
        <v/>
      </c>
    </row>
    <row r="17518">
      <c r="A17518">
        <f>TEST_DATA!A17518</f>
        <v/>
      </c>
      <c r="B17518">
        <f>TEST_DATA!B17518</f>
        <v/>
      </c>
      <c r="C17518">
        <f>TEST_DATA!C17518</f>
        <v/>
      </c>
      <c r="D17518">
        <f>TEST_DATA!D17518</f>
        <v/>
      </c>
      <c r="E17518">
        <f>TEST_DATA!E17518</f>
        <v/>
      </c>
    </row>
    <row r="17519">
      <c r="A17519">
        <f>TEST_DATA!A17519</f>
        <v/>
      </c>
      <c r="B17519">
        <f>TEST_DATA!B17519</f>
        <v/>
      </c>
      <c r="C17519">
        <f>TEST_DATA!C17519</f>
        <v/>
      </c>
      <c r="D17519">
        <f>TEST_DATA!D17519</f>
        <v/>
      </c>
      <c r="E17519">
        <f>TEST_DATA!E17519</f>
        <v/>
      </c>
    </row>
    <row r="17520">
      <c r="A17520">
        <f>TEST_DATA!A17520</f>
        <v/>
      </c>
      <c r="B17520">
        <f>TEST_DATA!B17520</f>
        <v/>
      </c>
      <c r="C17520">
        <f>TEST_DATA!C17520</f>
        <v/>
      </c>
      <c r="D17520">
        <f>TEST_DATA!D17520</f>
        <v/>
      </c>
      <c r="E17520">
        <f>TEST_DATA!E17520</f>
        <v/>
      </c>
    </row>
    <row r="17521">
      <c r="A17521">
        <f>TEST_DATA!A17521</f>
        <v/>
      </c>
      <c r="B17521">
        <f>TEST_DATA!B17521</f>
        <v/>
      </c>
      <c r="C17521">
        <f>TEST_DATA!C17521</f>
        <v/>
      </c>
      <c r="D17521">
        <f>TEST_DATA!D17521</f>
        <v/>
      </c>
      <c r="E17521">
        <f>TEST_DATA!E17521</f>
        <v/>
      </c>
    </row>
    <row r="17522">
      <c r="A17522">
        <f>TEST_DATA!A17522</f>
        <v/>
      </c>
      <c r="B17522">
        <f>TEST_DATA!B17522</f>
        <v/>
      </c>
      <c r="C17522">
        <f>TEST_DATA!C17522</f>
        <v/>
      </c>
      <c r="D17522">
        <f>TEST_DATA!D17522</f>
        <v/>
      </c>
      <c r="E17522">
        <f>TEST_DATA!E17522</f>
        <v/>
      </c>
    </row>
    <row r="17523">
      <c r="A17523">
        <f>TEST_DATA!A17523</f>
        <v/>
      </c>
      <c r="B17523">
        <f>TEST_DATA!B17523</f>
        <v/>
      </c>
      <c r="C17523">
        <f>TEST_DATA!C17523</f>
        <v/>
      </c>
      <c r="D17523">
        <f>TEST_DATA!D17523</f>
        <v/>
      </c>
      <c r="E17523">
        <f>TEST_DATA!E17523</f>
        <v/>
      </c>
    </row>
    <row r="17524">
      <c r="A17524">
        <f>TEST_DATA!A17524</f>
        <v/>
      </c>
      <c r="B17524">
        <f>TEST_DATA!B17524</f>
        <v/>
      </c>
      <c r="C17524">
        <f>TEST_DATA!C17524</f>
        <v/>
      </c>
      <c r="D17524">
        <f>TEST_DATA!D17524</f>
        <v/>
      </c>
      <c r="E17524">
        <f>TEST_DATA!E17524</f>
        <v/>
      </c>
    </row>
    <row r="17525">
      <c r="A17525">
        <f>TEST_DATA!A17525</f>
        <v/>
      </c>
      <c r="B17525">
        <f>TEST_DATA!B17525</f>
        <v/>
      </c>
      <c r="C17525">
        <f>TEST_DATA!C17525</f>
        <v/>
      </c>
      <c r="D17525">
        <f>TEST_DATA!D17525</f>
        <v/>
      </c>
      <c r="E17525">
        <f>TEST_DATA!E17525</f>
        <v/>
      </c>
    </row>
    <row r="17526">
      <c r="A17526">
        <f>TEST_DATA!A17526</f>
        <v/>
      </c>
      <c r="B17526">
        <f>TEST_DATA!B17526</f>
        <v/>
      </c>
      <c r="C17526">
        <f>TEST_DATA!C17526</f>
        <v/>
      </c>
      <c r="D17526">
        <f>TEST_DATA!D17526</f>
        <v/>
      </c>
      <c r="E17526">
        <f>TEST_DATA!E17526</f>
        <v/>
      </c>
    </row>
    <row r="17527">
      <c r="A17527">
        <f>TEST_DATA!A17527</f>
        <v/>
      </c>
      <c r="B17527">
        <f>TEST_DATA!B17527</f>
        <v/>
      </c>
      <c r="C17527">
        <f>TEST_DATA!C17527</f>
        <v/>
      </c>
      <c r="D17527">
        <f>TEST_DATA!D17527</f>
        <v/>
      </c>
      <c r="E17527">
        <f>TEST_DATA!E17527</f>
        <v/>
      </c>
    </row>
    <row r="17528">
      <c r="A17528">
        <f>TEST_DATA!A17528</f>
        <v/>
      </c>
      <c r="B17528">
        <f>TEST_DATA!B17528</f>
        <v/>
      </c>
      <c r="C17528">
        <f>TEST_DATA!C17528</f>
        <v/>
      </c>
      <c r="D17528">
        <f>TEST_DATA!D17528</f>
        <v/>
      </c>
      <c r="E17528">
        <f>TEST_DATA!E17528</f>
        <v/>
      </c>
    </row>
    <row r="17529">
      <c r="A17529">
        <f>TEST_DATA!A17529</f>
        <v/>
      </c>
      <c r="B17529">
        <f>TEST_DATA!B17529</f>
        <v/>
      </c>
      <c r="C17529">
        <f>TEST_DATA!C17529</f>
        <v/>
      </c>
      <c r="D17529">
        <f>TEST_DATA!D17529</f>
        <v/>
      </c>
      <c r="E17529">
        <f>TEST_DATA!E17529</f>
        <v/>
      </c>
    </row>
    <row r="17530">
      <c r="A17530">
        <f>TEST_DATA!A17530</f>
        <v/>
      </c>
      <c r="B17530">
        <f>TEST_DATA!B17530</f>
        <v/>
      </c>
      <c r="C17530">
        <f>TEST_DATA!C17530</f>
        <v/>
      </c>
      <c r="D17530">
        <f>TEST_DATA!D17530</f>
        <v/>
      </c>
      <c r="E17530">
        <f>TEST_DATA!E17530</f>
        <v/>
      </c>
    </row>
    <row r="17531">
      <c r="A17531">
        <f>TEST_DATA!A17531</f>
        <v/>
      </c>
      <c r="B17531">
        <f>TEST_DATA!B17531</f>
        <v/>
      </c>
      <c r="C17531">
        <f>TEST_DATA!C17531</f>
        <v/>
      </c>
      <c r="D17531">
        <f>TEST_DATA!D17531</f>
        <v/>
      </c>
      <c r="E17531">
        <f>TEST_DATA!E17531</f>
        <v/>
      </c>
    </row>
    <row r="17532">
      <c r="A17532">
        <f>TEST_DATA!A17532</f>
        <v/>
      </c>
      <c r="B17532">
        <f>TEST_DATA!B17532</f>
        <v/>
      </c>
      <c r="C17532">
        <f>TEST_DATA!C17532</f>
        <v/>
      </c>
      <c r="D17532">
        <f>TEST_DATA!D17532</f>
        <v/>
      </c>
      <c r="E17532">
        <f>TEST_DATA!E17532</f>
        <v/>
      </c>
    </row>
    <row r="17533">
      <c r="A17533">
        <f>TEST_DATA!A17533</f>
        <v/>
      </c>
      <c r="B17533">
        <f>TEST_DATA!B17533</f>
        <v/>
      </c>
      <c r="C17533">
        <f>TEST_DATA!C17533</f>
        <v/>
      </c>
      <c r="D17533">
        <f>TEST_DATA!D17533</f>
        <v/>
      </c>
      <c r="E17533">
        <f>TEST_DATA!E17533</f>
        <v/>
      </c>
    </row>
    <row r="17534">
      <c r="A17534">
        <f>TEST_DATA!A17534</f>
        <v/>
      </c>
      <c r="B17534">
        <f>TEST_DATA!B17534</f>
        <v/>
      </c>
      <c r="C17534">
        <f>TEST_DATA!C17534</f>
        <v/>
      </c>
      <c r="D17534">
        <f>TEST_DATA!D17534</f>
        <v/>
      </c>
      <c r="E17534">
        <f>TEST_DATA!E17534</f>
        <v/>
      </c>
    </row>
    <row r="17535">
      <c r="A17535">
        <f>TEST_DATA!A17535</f>
        <v/>
      </c>
      <c r="B17535">
        <f>TEST_DATA!B17535</f>
        <v/>
      </c>
      <c r="C17535">
        <f>TEST_DATA!C17535</f>
        <v/>
      </c>
      <c r="D17535">
        <f>TEST_DATA!D17535</f>
        <v/>
      </c>
      <c r="E17535">
        <f>TEST_DATA!E17535</f>
        <v/>
      </c>
    </row>
    <row r="17536">
      <c r="A17536">
        <f>TEST_DATA!A17536</f>
        <v/>
      </c>
      <c r="B17536">
        <f>TEST_DATA!B17536</f>
        <v/>
      </c>
      <c r="C17536">
        <f>TEST_DATA!C17536</f>
        <v/>
      </c>
      <c r="D17536">
        <f>TEST_DATA!D17536</f>
        <v/>
      </c>
      <c r="E17536">
        <f>TEST_DATA!E17536</f>
        <v/>
      </c>
    </row>
    <row r="17537">
      <c r="A17537">
        <f>TEST_DATA!A17537</f>
        <v/>
      </c>
      <c r="B17537">
        <f>TEST_DATA!B17537</f>
        <v/>
      </c>
      <c r="C17537">
        <f>TEST_DATA!C17537</f>
        <v/>
      </c>
      <c r="D17537">
        <f>TEST_DATA!D17537</f>
        <v/>
      </c>
      <c r="E17537">
        <f>TEST_DATA!E17537</f>
        <v/>
      </c>
    </row>
    <row r="17538">
      <c r="A17538">
        <f>TEST_DATA!A17538</f>
        <v/>
      </c>
      <c r="B17538">
        <f>TEST_DATA!B17538</f>
        <v/>
      </c>
      <c r="C17538">
        <f>TEST_DATA!C17538</f>
        <v/>
      </c>
      <c r="D17538">
        <f>TEST_DATA!D17538</f>
        <v/>
      </c>
      <c r="E17538">
        <f>TEST_DATA!E17538</f>
        <v/>
      </c>
    </row>
    <row r="17539">
      <c r="A17539">
        <f>TEST_DATA!A17539</f>
        <v/>
      </c>
      <c r="B17539">
        <f>TEST_DATA!B17539</f>
        <v/>
      </c>
      <c r="C17539">
        <f>TEST_DATA!C17539</f>
        <v/>
      </c>
      <c r="D17539">
        <f>TEST_DATA!D17539</f>
        <v/>
      </c>
      <c r="E17539">
        <f>TEST_DATA!E17539</f>
        <v/>
      </c>
    </row>
    <row r="17540">
      <c r="A17540">
        <f>TEST_DATA!A17540</f>
        <v/>
      </c>
      <c r="B17540">
        <f>TEST_DATA!B17540</f>
        <v/>
      </c>
      <c r="C17540">
        <f>TEST_DATA!C17540</f>
        <v/>
      </c>
      <c r="D17540">
        <f>TEST_DATA!D17540</f>
        <v/>
      </c>
      <c r="E17540">
        <f>TEST_DATA!E17540</f>
        <v/>
      </c>
    </row>
    <row r="17541">
      <c r="A17541">
        <f>TEST_DATA!A17541</f>
        <v/>
      </c>
      <c r="B17541">
        <f>TEST_DATA!B17541</f>
        <v/>
      </c>
      <c r="C17541">
        <f>TEST_DATA!C17541</f>
        <v/>
      </c>
      <c r="D17541">
        <f>TEST_DATA!D17541</f>
        <v/>
      </c>
      <c r="E17541">
        <f>TEST_DATA!E17541</f>
        <v/>
      </c>
    </row>
    <row r="17542">
      <c r="A17542">
        <f>TEST_DATA!A17542</f>
        <v/>
      </c>
      <c r="B17542">
        <f>TEST_DATA!B17542</f>
        <v/>
      </c>
      <c r="C17542">
        <f>TEST_DATA!C17542</f>
        <v/>
      </c>
      <c r="D17542">
        <f>TEST_DATA!D17542</f>
        <v/>
      </c>
      <c r="E17542">
        <f>TEST_DATA!E17542</f>
        <v/>
      </c>
    </row>
    <row r="17543">
      <c r="A17543">
        <f>TEST_DATA!A17543</f>
        <v/>
      </c>
      <c r="B17543">
        <f>TEST_DATA!B17543</f>
        <v/>
      </c>
      <c r="C17543">
        <f>TEST_DATA!C17543</f>
        <v/>
      </c>
      <c r="D17543">
        <f>TEST_DATA!D17543</f>
        <v/>
      </c>
      <c r="E17543">
        <f>TEST_DATA!E17543</f>
        <v/>
      </c>
    </row>
    <row r="17544">
      <c r="A17544">
        <f>TEST_DATA!A17544</f>
        <v/>
      </c>
      <c r="B17544">
        <f>TEST_DATA!B17544</f>
        <v/>
      </c>
      <c r="C17544">
        <f>TEST_DATA!C17544</f>
        <v/>
      </c>
      <c r="D17544">
        <f>TEST_DATA!D17544</f>
        <v/>
      </c>
      <c r="E17544">
        <f>TEST_DATA!E17544</f>
        <v/>
      </c>
    </row>
    <row r="17545">
      <c r="A17545">
        <f>TEST_DATA!A17545</f>
        <v/>
      </c>
      <c r="B17545">
        <f>TEST_DATA!B17545</f>
        <v/>
      </c>
      <c r="C17545">
        <f>TEST_DATA!C17545</f>
        <v/>
      </c>
      <c r="D17545">
        <f>TEST_DATA!D17545</f>
        <v/>
      </c>
      <c r="E17545">
        <f>TEST_DATA!E17545</f>
        <v/>
      </c>
    </row>
    <row r="17546">
      <c r="A17546">
        <f>TEST_DATA!A17546</f>
        <v/>
      </c>
      <c r="B17546">
        <f>TEST_DATA!B17546</f>
        <v/>
      </c>
      <c r="C17546">
        <f>TEST_DATA!C17546</f>
        <v/>
      </c>
      <c r="D17546">
        <f>TEST_DATA!D17546</f>
        <v/>
      </c>
      <c r="E17546">
        <f>TEST_DATA!E17546</f>
        <v/>
      </c>
    </row>
    <row r="17547">
      <c r="A17547">
        <f>TEST_DATA!A17547</f>
        <v/>
      </c>
      <c r="B17547">
        <f>TEST_DATA!B17547</f>
        <v/>
      </c>
      <c r="C17547">
        <f>TEST_DATA!C17547</f>
        <v/>
      </c>
      <c r="D17547">
        <f>TEST_DATA!D17547</f>
        <v/>
      </c>
      <c r="E17547">
        <f>TEST_DATA!E17547</f>
        <v/>
      </c>
    </row>
    <row r="17548">
      <c r="A17548">
        <f>TEST_DATA!A17548</f>
        <v/>
      </c>
      <c r="B17548">
        <f>TEST_DATA!B17548</f>
        <v/>
      </c>
      <c r="C17548">
        <f>TEST_DATA!C17548</f>
        <v/>
      </c>
      <c r="D17548">
        <f>TEST_DATA!D17548</f>
        <v/>
      </c>
      <c r="E17548">
        <f>TEST_DATA!E17548</f>
        <v/>
      </c>
    </row>
    <row r="17549">
      <c r="A17549">
        <f>TEST_DATA!A17549</f>
        <v/>
      </c>
      <c r="B17549">
        <f>TEST_DATA!B17549</f>
        <v/>
      </c>
      <c r="C17549">
        <f>TEST_DATA!C17549</f>
        <v/>
      </c>
      <c r="D17549">
        <f>TEST_DATA!D17549</f>
        <v/>
      </c>
      <c r="E17549">
        <f>TEST_DATA!E17549</f>
        <v/>
      </c>
    </row>
    <row r="17550">
      <c r="A17550">
        <f>TEST_DATA!A17550</f>
        <v/>
      </c>
      <c r="B17550">
        <f>TEST_DATA!B17550</f>
        <v/>
      </c>
      <c r="C17550">
        <f>TEST_DATA!C17550</f>
        <v/>
      </c>
      <c r="D17550">
        <f>TEST_DATA!D17550</f>
        <v/>
      </c>
      <c r="E17550">
        <f>TEST_DATA!E17550</f>
        <v/>
      </c>
    </row>
    <row r="17551">
      <c r="A17551">
        <f>TEST_DATA!A17551</f>
        <v/>
      </c>
      <c r="B17551">
        <f>TEST_DATA!B17551</f>
        <v/>
      </c>
      <c r="C17551">
        <f>TEST_DATA!C17551</f>
        <v/>
      </c>
      <c r="D17551">
        <f>TEST_DATA!D17551</f>
        <v/>
      </c>
      <c r="E17551">
        <f>TEST_DATA!E17551</f>
        <v/>
      </c>
    </row>
    <row r="17552">
      <c r="A17552">
        <f>TEST_DATA!A17552</f>
        <v/>
      </c>
      <c r="B17552">
        <f>TEST_DATA!B17552</f>
        <v/>
      </c>
      <c r="C17552">
        <f>TEST_DATA!C17552</f>
        <v/>
      </c>
      <c r="D17552">
        <f>TEST_DATA!D17552</f>
        <v/>
      </c>
      <c r="E17552">
        <f>TEST_DATA!E17552</f>
        <v/>
      </c>
    </row>
    <row r="17553">
      <c r="A17553">
        <f>TEST_DATA!A17553</f>
        <v/>
      </c>
      <c r="B17553">
        <f>TEST_DATA!B17553</f>
        <v/>
      </c>
      <c r="C17553">
        <f>TEST_DATA!C17553</f>
        <v/>
      </c>
      <c r="D17553">
        <f>TEST_DATA!D17553</f>
        <v/>
      </c>
      <c r="E17553">
        <f>TEST_DATA!E17553</f>
        <v/>
      </c>
    </row>
    <row r="17554">
      <c r="A17554">
        <f>TEST_DATA!A17554</f>
        <v/>
      </c>
      <c r="B17554">
        <f>TEST_DATA!B17554</f>
        <v/>
      </c>
      <c r="C17554">
        <f>TEST_DATA!C17554</f>
        <v/>
      </c>
      <c r="D17554">
        <f>TEST_DATA!D17554</f>
        <v/>
      </c>
      <c r="E17554">
        <f>TEST_DATA!E17554</f>
        <v/>
      </c>
    </row>
    <row r="17555">
      <c r="A17555">
        <f>TEST_DATA!A17555</f>
        <v/>
      </c>
      <c r="B17555">
        <f>TEST_DATA!B17555</f>
        <v/>
      </c>
      <c r="C17555">
        <f>TEST_DATA!C17555</f>
        <v/>
      </c>
      <c r="D17555">
        <f>TEST_DATA!D17555</f>
        <v/>
      </c>
      <c r="E17555">
        <f>TEST_DATA!E17555</f>
        <v/>
      </c>
    </row>
    <row r="17556">
      <c r="A17556">
        <f>TEST_DATA!A17556</f>
        <v/>
      </c>
      <c r="B17556">
        <f>TEST_DATA!B17556</f>
        <v/>
      </c>
      <c r="C17556">
        <f>TEST_DATA!C17556</f>
        <v/>
      </c>
      <c r="D17556">
        <f>TEST_DATA!D17556</f>
        <v/>
      </c>
      <c r="E17556">
        <f>TEST_DATA!E17556</f>
        <v/>
      </c>
    </row>
    <row r="17557">
      <c r="A17557">
        <f>TEST_DATA!A17557</f>
        <v/>
      </c>
      <c r="B17557">
        <f>TEST_DATA!B17557</f>
        <v/>
      </c>
      <c r="C17557">
        <f>TEST_DATA!C17557</f>
        <v/>
      </c>
      <c r="D17557">
        <f>TEST_DATA!D17557</f>
        <v/>
      </c>
      <c r="E17557">
        <f>TEST_DATA!E17557</f>
        <v/>
      </c>
    </row>
    <row r="17558">
      <c r="A17558">
        <f>TEST_DATA!A17558</f>
        <v/>
      </c>
      <c r="B17558">
        <f>TEST_DATA!B17558</f>
        <v/>
      </c>
      <c r="C17558">
        <f>TEST_DATA!C17558</f>
        <v/>
      </c>
      <c r="D17558">
        <f>TEST_DATA!D17558</f>
        <v/>
      </c>
      <c r="E17558">
        <f>TEST_DATA!E17558</f>
        <v/>
      </c>
    </row>
    <row r="17559">
      <c r="A17559">
        <f>TEST_DATA!A17559</f>
        <v/>
      </c>
      <c r="B17559">
        <f>TEST_DATA!B17559</f>
        <v/>
      </c>
      <c r="C17559">
        <f>TEST_DATA!C17559</f>
        <v/>
      </c>
      <c r="D17559">
        <f>TEST_DATA!D17559</f>
        <v/>
      </c>
      <c r="E17559">
        <f>TEST_DATA!E17559</f>
        <v/>
      </c>
    </row>
    <row r="17560">
      <c r="A17560">
        <f>TEST_DATA!A17560</f>
        <v/>
      </c>
      <c r="B17560">
        <f>TEST_DATA!B17560</f>
        <v/>
      </c>
      <c r="C17560">
        <f>TEST_DATA!C17560</f>
        <v/>
      </c>
      <c r="D17560">
        <f>TEST_DATA!D17560</f>
        <v/>
      </c>
      <c r="E17560">
        <f>TEST_DATA!E17560</f>
        <v/>
      </c>
    </row>
    <row r="17561">
      <c r="A17561">
        <f>TEST_DATA!A17561</f>
        <v/>
      </c>
      <c r="B17561">
        <f>TEST_DATA!B17561</f>
        <v/>
      </c>
      <c r="C17561">
        <f>TEST_DATA!C17561</f>
        <v/>
      </c>
      <c r="D17561">
        <f>TEST_DATA!D17561</f>
        <v/>
      </c>
      <c r="E17561">
        <f>TEST_DATA!E17561</f>
        <v/>
      </c>
    </row>
    <row r="17562">
      <c r="A17562">
        <f>TEST_DATA!A17562</f>
        <v/>
      </c>
      <c r="B17562">
        <f>TEST_DATA!B17562</f>
        <v/>
      </c>
      <c r="C17562">
        <f>TEST_DATA!C17562</f>
        <v/>
      </c>
      <c r="D17562">
        <f>TEST_DATA!D17562</f>
        <v/>
      </c>
      <c r="E17562">
        <f>TEST_DATA!E17562</f>
        <v/>
      </c>
    </row>
    <row r="17563">
      <c r="A17563">
        <f>TEST_DATA!A17563</f>
        <v/>
      </c>
      <c r="B17563">
        <f>TEST_DATA!B17563</f>
        <v/>
      </c>
      <c r="C17563">
        <f>TEST_DATA!C17563</f>
        <v/>
      </c>
      <c r="D17563">
        <f>TEST_DATA!D17563</f>
        <v/>
      </c>
      <c r="E17563">
        <f>TEST_DATA!E17563</f>
        <v/>
      </c>
    </row>
    <row r="17564">
      <c r="A17564">
        <f>TEST_DATA!A17564</f>
        <v/>
      </c>
      <c r="B17564">
        <f>TEST_DATA!B17564</f>
        <v/>
      </c>
      <c r="C17564">
        <f>TEST_DATA!C17564</f>
        <v/>
      </c>
      <c r="D17564">
        <f>TEST_DATA!D17564</f>
        <v/>
      </c>
      <c r="E17564">
        <f>TEST_DATA!E17564</f>
        <v/>
      </c>
    </row>
    <row r="17565">
      <c r="A17565">
        <f>TEST_DATA!A17565</f>
        <v/>
      </c>
      <c r="B17565">
        <f>TEST_DATA!B17565</f>
        <v/>
      </c>
      <c r="C17565">
        <f>TEST_DATA!C17565</f>
        <v/>
      </c>
      <c r="D17565">
        <f>TEST_DATA!D17565</f>
        <v/>
      </c>
      <c r="E17565">
        <f>TEST_DATA!E17565</f>
        <v/>
      </c>
    </row>
    <row r="17566">
      <c r="A17566">
        <f>TEST_DATA!A17566</f>
        <v/>
      </c>
      <c r="B17566">
        <f>TEST_DATA!B17566</f>
        <v/>
      </c>
      <c r="C17566">
        <f>TEST_DATA!C17566</f>
        <v/>
      </c>
      <c r="D17566">
        <f>TEST_DATA!D17566</f>
        <v/>
      </c>
      <c r="E17566">
        <f>TEST_DATA!E17566</f>
        <v/>
      </c>
    </row>
    <row r="17567">
      <c r="A17567">
        <f>TEST_DATA!A17567</f>
        <v/>
      </c>
      <c r="B17567">
        <f>TEST_DATA!B17567</f>
        <v/>
      </c>
      <c r="C17567">
        <f>TEST_DATA!C17567</f>
        <v/>
      </c>
      <c r="D17567">
        <f>TEST_DATA!D17567</f>
        <v/>
      </c>
      <c r="E17567">
        <f>TEST_DATA!E17567</f>
        <v/>
      </c>
    </row>
    <row r="17568">
      <c r="A17568">
        <f>TEST_DATA!A17568</f>
        <v/>
      </c>
      <c r="B17568">
        <f>TEST_DATA!B17568</f>
        <v/>
      </c>
      <c r="C17568">
        <f>TEST_DATA!C17568</f>
        <v/>
      </c>
      <c r="D17568">
        <f>TEST_DATA!D17568</f>
        <v/>
      </c>
      <c r="E17568">
        <f>TEST_DATA!E17568</f>
        <v/>
      </c>
    </row>
    <row r="17569">
      <c r="A17569">
        <f>TEST_DATA!A17569</f>
        <v/>
      </c>
      <c r="B17569">
        <f>TEST_DATA!B17569</f>
        <v/>
      </c>
      <c r="C17569">
        <f>TEST_DATA!C17569</f>
        <v/>
      </c>
      <c r="D17569">
        <f>TEST_DATA!D17569</f>
        <v/>
      </c>
      <c r="E17569">
        <f>TEST_DATA!E17569</f>
        <v/>
      </c>
    </row>
    <row r="17570">
      <c r="A17570">
        <f>TEST_DATA!A17570</f>
        <v/>
      </c>
      <c r="B17570">
        <f>TEST_DATA!B17570</f>
        <v/>
      </c>
      <c r="C17570">
        <f>TEST_DATA!C17570</f>
        <v/>
      </c>
      <c r="D17570">
        <f>TEST_DATA!D17570</f>
        <v/>
      </c>
      <c r="E17570">
        <f>TEST_DATA!E17570</f>
        <v/>
      </c>
    </row>
    <row r="17571">
      <c r="A17571">
        <f>TEST_DATA!A17571</f>
        <v/>
      </c>
      <c r="B17571">
        <f>TEST_DATA!B17571</f>
        <v/>
      </c>
      <c r="C17571">
        <f>TEST_DATA!C17571</f>
        <v/>
      </c>
      <c r="D17571">
        <f>TEST_DATA!D17571</f>
        <v/>
      </c>
      <c r="E17571">
        <f>TEST_DATA!E17571</f>
        <v/>
      </c>
    </row>
    <row r="17572">
      <c r="A17572">
        <f>TEST_DATA!A17572</f>
        <v/>
      </c>
      <c r="B17572">
        <f>TEST_DATA!B17572</f>
        <v/>
      </c>
      <c r="C17572">
        <f>TEST_DATA!C17572</f>
        <v/>
      </c>
      <c r="D17572">
        <f>TEST_DATA!D17572</f>
        <v/>
      </c>
      <c r="E17572">
        <f>TEST_DATA!E17572</f>
        <v/>
      </c>
    </row>
    <row r="17573">
      <c r="A17573">
        <f>TEST_DATA!A17573</f>
        <v/>
      </c>
      <c r="B17573">
        <f>TEST_DATA!B17573</f>
        <v/>
      </c>
      <c r="C17573">
        <f>TEST_DATA!C17573</f>
        <v/>
      </c>
      <c r="D17573">
        <f>TEST_DATA!D17573</f>
        <v/>
      </c>
      <c r="E17573">
        <f>TEST_DATA!E17573</f>
        <v/>
      </c>
    </row>
    <row r="17574">
      <c r="A17574">
        <f>TEST_DATA!A17574</f>
        <v/>
      </c>
      <c r="B17574">
        <f>TEST_DATA!B17574</f>
        <v/>
      </c>
      <c r="C17574">
        <f>TEST_DATA!C17574</f>
        <v/>
      </c>
      <c r="D17574">
        <f>TEST_DATA!D17574</f>
        <v/>
      </c>
      <c r="E17574">
        <f>TEST_DATA!E17574</f>
        <v/>
      </c>
    </row>
    <row r="17575">
      <c r="A17575">
        <f>TEST_DATA!A17575</f>
        <v/>
      </c>
      <c r="B17575">
        <f>TEST_DATA!B17575</f>
        <v/>
      </c>
      <c r="C17575">
        <f>TEST_DATA!C17575</f>
        <v/>
      </c>
      <c r="D17575">
        <f>TEST_DATA!D17575</f>
        <v/>
      </c>
      <c r="E17575">
        <f>TEST_DATA!E17575</f>
        <v/>
      </c>
    </row>
    <row r="17576">
      <c r="A17576">
        <f>TEST_DATA!A17576</f>
        <v/>
      </c>
      <c r="B17576">
        <f>TEST_DATA!B17576</f>
        <v/>
      </c>
      <c r="C17576">
        <f>TEST_DATA!C17576</f>
        <v/>
      </c>
      <c r="D17576">
        <f>TEST_DATA!D17576</f>
        <v/>
      </c>
      <c r="E17576">
        <f>TEST_DATA!E17576</f>
        <v/>
      </c>
    </row>
    <row r="17577">
      <c r="A17577">
        <f>TEST_DATA!A17577</f>
        <v/>
      </c>
      <c r="B17577">
        <f>TEST_DATA!B17577</f>
        <v/>
      </c>
      <c r="C17577">
        <f>TEST_DATA!C17577</f>
        <v/>
      </c>
      <c r="D17577">
        <f>TEST_DATA!D17577</f>
        <v/>
      </c>
      <c r="E17577">
        <f>TEST_DATA!E17577</f>
        <v/>
      </c>
    </row>
    <row r="17578">
      <c r="A17578">
        <f>TEST_DATA!A17578</f>
        <v/>
      </c>
      <c r="B17578">
        <f>TEST_DATA!B17578</f>
        <v/>
      </c>
      <c r="C17578">
        <f>TEST_DATA!C17578</f>
        <v/>
      </c>
      <c r="D17578">
        <f>TEST_DATA!D17578</f>
        <v/>
      </c>
      <c r="E17578">
        <f>TEST_DATA!E17578</f>
        <v/>
      </c>
    </row>
    <row r="17579">
      <c r="A17579">
        <f>TEST_DATA!A17579</f>
        <v/>
      </c>
      <c r="B17579">
        <f>TEST_DATA!B17579</f>
        <v/>
      </c>
      <c r="C17579">
        <f>TEST_DATA!C17579</f>
        <v/>
      </c>
      <c r="D17579">
        <f>TEST_DATA!D17579</f>
        <v/>
      </c>
      <c r="E17579">
        <f>TEST_DATA!E17579</f>
        <v/>
      </c>
    </row>
    <row r="17580">
      <c r="A17580">
        <f>TEST_DATA!A17580</f>
        <v/>
      </c>
      <c r="B17580">
        <f>TEST_DATA!B17580</f>
        <v/>
      </c>
      <c r="C17580">
        <f>TEST_DATA!C17580</f>
        <v/>
      </c>
      <c r="D17580">
        <f>TEST_DATA!D17580</f>
        <v/>
      </c>
      <c r="E17580">
        <f>TEST_DATA!E17580</f>
        <v/>
      </c>
    </row>
    <row r="17581">
      <c r="A17581">
        <f>TEST_DATA!A17581</f>
        <v/>
      </c>
      <c r="B17581">
        <f>TEST_DATA!B17581</f>
        <v/>
      </c>
      <c r="C17581">
        <f>TEST_DATA!C17581</f>
        <v/>
      </c>
      <c r="D17581">
        <f>TEST_DATA!D17581</f>
        <v/>
      </c>
      <c r="E17581">
        <f>TEST_DATA!E17581</f>
        <v/>
      </c>
    </row>
    <row r="17582">
      <c r="A17582">
        <f>TEST_DATA!A17582</f>
        <v/>
      </c>
      <c r="B17582">
        <f>TEST_DATA!B17582</f>
        <v/>
      </c>
      <c r="C17582">
        <f>TEST_DATA!C17582</f>
        <v/>
      </c>
      <c r="D17582">
        <f>TEST_DATA!D17582</f>
        <v/>
      </c>
      <c r="E17582">
        <f>TEST_DATA!E17582</f>
        <v/>
      </c>
    </row>
    <row r="17583">
      <c r="A17583">
        <f>TEST_DATA!A17583</f>
        <v/>
      </c>
      <c r="B17583">
        <f>TEST_DATA!B17583</f>
        <v/>
      </c>
      <c r="C17583">
        <f>TEST_DATA!C17583</f>
        <v/>
      </c>
      <c r="D17583">
        <f>TEST_DATA!D17583</f>
        <v/>
      </c>
      <c r="E17583">
        <f>TEST_DATA!E17583</f>
        <v/>
      </c>
    </row>
    <row r="17584">
      <c r="A17584">
        <f>TEST_DATA!A17584</f>
        <v/>
      </c>
      <c r="B17584">
        <f>TEST_DATA!B17584</f>
        <v/>
      </c>
      <c r="C17584">
        <f>TEST_DATA!C17584</f>
        <v/>
      </c>
      <c r="D17584">
        <f>TEST_DATA!D17584</f>
        <v/>
      </c>
      <c r="E17584">
        <f>TEST_DATA!E17584</f>
        <v/>
      </c>
    </row>
    <row r="17585">
      <c r="A17585">
        <f>TEST_DATA!A17585</f>
        <v/>
      </c>
      <c r="B17585">
        <f>TEST_DATA!B17585</f>
        <v/>
      </c>
      <c r="C17585">
        <f>TEST_DATA!C17585</f>
        <v/>
      </c>
      <c r="D17585">
        <f>TEST_DATA!D17585</f>
        <v/>
      </c>
      <c r="E17585">
        <f>TEST_DATA!E17585</f>
        <v/>
      </c>
    </row>
    <row r="17586">
      <c r="A17586">
        <f>TEST_DATA!A17586</f>
        <v/>
      </c>
      <c r="B17586">
        <f>TEST_DATA!B17586</f>
        <v/>
      </c>
      <c r="C17586">
        <f>TEST_DATA!C17586</f>
        <v/>
      </c>
      <c r="D17586">
        <f>TEST_DATA!D17586</f>
        <v/>
      </c>
      <c r="E17586">
        <f>TEST_DATA!E17586</f>
        <v/>
      </c>
    </row>
    <row r="17587">
      <c r="A17587">
        <f>TEST_DATA!A17587</f>
        <v/>
      </c>
      <c r="B17587">
        <f>TEST_DATA!B17587</f>
        <v/>
      </c>
      <c r="C17587">
        <f>TEST_DATA!C17587</f>
        <v/>
      </c>
      <c r="D17587">
        <f>TEST_DATA!D17587</f>
        <v/>
      </c>
      <c r="E17587">
        <f>TEST_DATA!E17587</f>
        <v/>
      </c>
    </row>
    <row r="17588">
      <c r="A17588">
        <f>TEST_DATA!A17588</f>
        <v/>
      </c>
      <c r="B17588">
        <f>TEST_DATA!B17588</f>
        <v/>
      </c>
      <c r="C17588">
        <f>TEST_DATA!C17588</f>
        <v/>
      </c>
      <c r="D17588">
        <f>TEST_DATA!D17588</f>
        <v/>
      </c>
      <c r="E17588">
        <f>TEST_DATA!E17588</f>
        <v/>
      </c>
    </row>
    <row r="17589">
      <c r="A17589">
        <f>TEST_DATA!A17589</f>
        <v/>
      </c>
      <c r="B17589">
        <f>TEST_DATA!B17589</f>
        <v/>
      </c>
      <c r="C17589">
        <f>TEST_DATA!C17589</f>
        <v/>
      </c>
      <c r="D17589">
        <f>TEST_DATA!D17589</f>
        <v/>
      </c>
      <c r="E17589">
        <f>TEST_DATA!E17589</f>
        <v/>
      </c>
    </row>
    <row r="17590">
      <c r="A17590">
        <f>TEST_DATA!A17590</f>
        <v/>
      </c>
      <c r="B17590">
        <f>TEST_DATA!B17590</f>
        <v/>
      </c>
      <c r="C17590">
        <f>TEST_DATA!C17590</f>
        <v/>
      </c>
      <c r="D17590">
        <f>TEST_DATA!D17590</f>
        <v/>
      </c>
      <c r="E17590">
        <f>TEST_DATA!E17590</f>
        <v/>
      </c>
    </row>
    <row r="17591">
      <c r="A17591">
        <f>TEST_DATA!A17591</f>
        <v/>
      </c>
      <c r="B17591">
        <f>TEST_DATA!B17591</f>
        <v/>
      </c>
      <c r="C17591">
        <f>TEST_DATA!C17591</f>
        <v/>
      </c>
      <c r="D17591">
        <f>TEST_DATA!D17591</f>
        <v/>
      </c>
      <c r="E17591">
        <f>TEST_DATA!E17591</f>
        <v/>
      </c>
    </row>
    <row r="17592">
      <c r="A17592">
        <f>TEST_DATA!A17592</f>
        <v/>
      </c>
      <c r="B17592">
        <f>TEST_DATA!B17592</f>
        <v/>
      </c>
      <c r="C17592">
        <f>TEST_DATA!C17592</f>
        <v/>
      </c>
      <c r="D17592">
        <f>TEST_DATA!D17592</f>
        <v/>
      </c>
      <c r="E17592">
        <f>TEST_DATA!E17592</f>
        <v/>
      </c>
    </row>
    <row r="17593">
      <c r="A17593">
        <f>TEST_DATA!A17593</f>
        <v/>
      </c>
      <c r="B17593">
        <f>TEST_DATA!B17593</f>
        <v/>
      </c>
      <c r="C17593">
        <f>TEST_DATA!C17593</f>
        <v/>
      </c>
      <c r="D17593">
        <f>TEST_DATA!D17593</f>
        <v/>
      </c>
      <c r="E17593">
        <f>TEST_DATA!E17593</f>
        <v/>
      </c>
    </row>
    <row r="17594">
      <c r="A17594">
        <f>TEST_DATA!A17594</f>
        <v/>
      </c>
      <c r="B17594">
        <f>TEST_DATA!B17594</f>
        <v/>
      </c>
      <c r="C17594">
        <f>TEST_DATA!C17594</f>
        <v/>
      </c>
      <c r="D17594">
        <f>TEST_DATA!D17594</f>
        <v/>
      </c>
      <c r="E17594">
        <f>TEST_DATA!E17594</f>
        <v/>
      </c>
    </row>
    <row r="17595">
      <c r="A17595">
        <f>TEST_DATA!A17595</f>
        <v/>
      </c>
      <c r="B17595">
        <f>TEST_DATA!B17595</f>
        <v/>
      </c>
      <c r="C17595">
        <f>TEST_DATA!C17595</f>
        <v/>
      </c>
      <c r="D17595">
        <f>TEST_DATA!D17595</f>
        <v/>
      </c>
      <c r="E17595">
        <f>TEST_DATA!E17595</f>
        <v/>
      </c>
    </row>
    <row r="17596">
      <c r="A17596">
        <f>TEST_DATA!A17596</f>
        <v/>
      </c>
      <c r="B17596">
        <f>TEST_DATA!B17596</f>
        <v/>
      </c>
      <c r="C17596">
        <f>TEST_DATA!C17596</f>
        <v/>
      </c>
      <c r="D17596">
        <f>TEST_DATA!D17596</f>
        <v/>
      </c>
      <c r="E17596">
        <f>TEST_DATA!E17596</f>
        <v/>
      </c>
    </row>
    <row r="17597">
      <c r="A17597">
        <f>TEST_DATA!A17597</f>
        <v/>
      </c>
      <c r="B17597">
        <f>TEST_DATA!B17597</f>
        <v/>
      </c>
      <c r="C17597">
        <f>TEST_DATA!C17597</f>
        <v/>
      </c>
      <c r="D17597">
        <f>TEST_DATA!D17597</f>
        <v/>
      </c>
      <c r="E17597">
        <f>TEST_DATA!E17597</f>
        <v/>
      </c>
    </row>
    <row r="17598">
      <c r="A17598">
        <f>TEST_DATA!A17598</f>
        <v/>
      </c>
      <c r="B17598">
        <f>TEST_DATA!B17598</f>
        <v/>
      </c>
      <c r="C17598">
        <f>TEST_DATA!C17598</f>
        <v/>
      </c>
      <c r="D17598">
        <f>TEST_DATA!D17598</f>
        <v/>
      </c>
      <c r="E17598">
        <f>TEST_DATA!E17598</f>
        <v/>
      </c>
    </row>
    <row r="17599">
      <c r="A17599">
        <f>TEST_DATA!A17599</f>
        <v/>
      </c>
      <c r="B17599">
        <f>TEST_DATA!B17599</f>
        <v/>
      </c>
      <c r="C17599">
        <f>TEST_DATA!C17599</f>
        <v/>
      </c>
      <c r="D17599">
        <f>TEST_DATA!D17599</f>
        <v/>
      </c>
      <c r="E17599">
        <f>TEST_DATA!E17599</f>
        <v/>
      </c>
    </row>
    <row r="17600">
      <c r="A17600">
        <f>TEST_DATA!A17600</f>
        <v/>
      </c>
      <c r="B17600">
        <f>TEST_DATA!B17600</f>
        <v/>
      </c>
      <c r="C17600">
        <f>TEST_DATA!C17600</f>
        <v/>
      </c>
      <c r="D17600">
        <f>TEST_DATA!D17600</f>
        <v/>
      </c>
      <c r="E17600">
        <f>TEST_DATA!E17600</f>
        <v/>
      </c>
    </row>
    <row r="17601">
      <c r="A17601">
        <f>TEST_DATA!A17601</f>
        <v/>
      </c>
      <c r="B17601">
        <f>TEST_DATA!B17601</f>
        <v/>
      </c>
      <c r="C17601">
        <f>TEST_DATA!C17601</f>
        <v/>
      </c>
      <c r="D17601">
        <f>TEST_DATA!D17601</f>
        <v/>
      </c>
      <c r="E17601">
        <f>TEST_DATA!E17601</f>
        <v/>
      </c>
    </row>
    <row r="17602">
      <c r="A17602">
        <f>TEST_DATA!A17602</f>
        <v/>
      </c>
      <c r="B17602">
        <f>TEST_DATA!B17602</f>
        <v/>
      </c>
      <c r="C17602">
        <f>TEST_DATA!C17602</f>
        <v/>
      </c>
      <c r="D17602">
        <f>TEST_DATA!D17602</f>
        <v/>
      </c>
      <c r="E17602">
        <f>TEST_DATA!E17602</f>
        <v/>
      </c>
    </row>
    <row r="17603">
      <c r="A17603">
        <f>TEST_DATA!A17603</f>
        <v/>
      </c>
      <c r="B17603">
        <f>TEST_DATA!B17603</f>
        <v/>
      </c>
      <c r="C17603">
        <f>TEST_DATA!C17603</f>
        <v/>
      </c>
      <c r="D17603">
        <f>TEST_DATA!D17603</f>
        <v/>
      </c>
      <c r="E17603">
        <f>TEST_DATA!E17603</f>
        <v/>
      </c>
    </row>
    <row r="17604">
      <c r="A17604">
        <f>TEST_DATA!A17604</f>
        <v/>
      </c>
      <c r="B17604">
        <f>TEST_DATA!B17604</f>
        <v/>
      </c>
      <c r="C17604">
        <f>TEST_DATA!C17604</f>
        <v/>
      </c>
      <c r="D17604">
        <f>TEST_DATA!D17604</f>
        <v/>
      </c>
      <c r="E17604">
        <f>TEST_DATA!E17604</f>
        <v/>
      </c>
    </row>
    <row r="17605">
      <c r="A17605">
        <f>TEST_DATA!A17605</f>
        <v/>
      </c>
      <c r="B17605">
        <f>TEST_DATA!B17605</f>
        <v/>
      </c>
      <c r="C17605">
        <f>TEST_DATA!C17605</f>
        <v/>
      </c>
      <c r="D17605">
        <f>TEST_DATA!D17605</f>
        <v/>
      </c>
      <c r="E17605">
        <f>TEST_DATA!E17605</f>
        <v/>
      </c>
    </row>
    <row r="17606">
      <c r="A17606">
        <f>TEST_DATA!A17606</f>
        <v/>
      </c>
      <c r="B17606">
        <f>TEST_DATA!B17606</f>
        <v/>
      </c>
      <c r="C17606">
        <f>TEST_DATA!C17606</f>
        <v/>
      </c>
      <c r="D17606">
        <f>TEST_DATA!D17606</f>
        <v/>
      </c>
      <c r="E17606">
        <f>TEST_DATA!E17606</f>
        <v/>
      </c>
    </row>
    <row r="17607">
      <c r="A17607">
        <f>TEST_DATA!A17607</f>
        <v/>
      </c>
      <c r="B17607">
        <f>TEST_DATA!B17607</f>
        <v/>
      </c>
      <c r="C17607">
        <f>TEST_DATA!C17607</f>
        <v/>
      </c>
      <c r="D17607">
        <f>TEST_DATA!D17607</f>
        <v/>
      </c>
      <c r="E17607">
        <f>TEST_DATA!E17607</f>
        <v/>
      </c>
    </row>
    <row r="17608">
      <c r="A17608">
        <f>TEST_DATA!A17608</f>
        <v/>
      </c>
      <c r="B17608">
        <f>TEST_DATA!B17608</f>
        <v/>
      </c>
      <c r="C17608">
        <f>TEST_DATA!C17608</f>
        <v/>
      </c>
      <c r="D17608">
        <f>TEST_DATA!D17608</f>
        <v/>
      </c>
      <c r="E17608">
        <f>TEST_DATA!E17608</f>
        <v/>
      </c>
    </row>
    <row r="17609">
      <c r="A17609">
        <f>TEST_DATA!A17609</f>
        <v/>
      </c>
      <c r="B17609">
        <f>TEST_DATA!B17609</f>
        <v/>
      </c>
      <c r="C17609">
        <f>TEST_DATA!C17609</f>
        <v/>
      </c>
      <c r="D17609">
        <f>TEST_DATA!D17609</f>
        <v/>
      </c>
      <c r="E17609">
        <f>TEST_DATA!E17609</f>
        <v/>
      </c>
    </row>
    <row r="17610">
      <c r="A17610">
        <f>TEST_DATA!A17610</f>
        <v/>
      </c>
      <c r="B17610">
        <f>TEST_DATA!B17610</f>
        <v/>
      </c>
      <c r="C17610">
        <f>TEST_DATA!C17610</f>
        <v/>
      </c>
      <c r="D17610">
        <f>TEST_DATA!D17610</f>
        <v/>
      </c>
      <c r="E17610">
        <f>TEST_DATA!E17610</f>
        <v/>
      </c>
    </row>
    <row r="17611">
      <c r="A17611">
        <f>TEST_DATA!A17611</f>
        <v/>
      </c>
      <c r="B17611">
        <f>TEST_DATA!B17611</f>
        <v/>
      </c>
      <c r="C17611">
        <f>TEST_DATA!C17611</f>
        <v/>
      </c>
      <c r="D17611">
        <f>TEST_DATA!D17611</f>
        <v/>
      </c>
      <c r="E17611">
        <f>TEST_DATA!E17611</f>
        <v/>
      </c>
    </row>
    <row r="17612">
      <c r="A17612">
        <f>TEST_DATA!A17612</f>
        <v/>
      </c>
      <c r="B17612">
        <f>TEST_DATA!B17612</f>
        <v/>
      </c>
      <c r="C17612">
        <f>TEST_DATA!C17612</f>
        <v/>
      </c>
      <c r="D17612">
        <f>TEST_DATA!D17612</f>
        <v/>
      </c>
      <c r="E17612">
        <f>TEST_DATA!E17612</f>
        <v/>
      </c>
    </row>
    <row r="17613">
      <c r="A17613">
        <f>TEST_DATA!A17613</f>
        <v/>
      </c>
      <c r="B17613">
        <f>TEST_DATA!B17613</f>
        <v/>
      </c>
      <c r="C17613">
        <f>TEST_DATA!C17613</f>
        <v/>
      </c>
      <c r="D17613">
        <f>TEST_DATA!D17613</f>
        <v/>
      </c>
      <c r="E17613">
        <f>TEST_DATA!E17613</f>
        <v/>
      </c>
    </row>
    <row r="17614">
      <c r="A17614">
        <f>TEST_DATA!A17614</f>
        <v/>
      </c>
      <c r="B17614">
        <f>TEST_DATA!B17614</f>
        <v/>
      </c>
      <c r="C17614">
        <f>TEST_DATA!C17614</f>
        <v/>
      </c>
      <c r="D17614">
        <f>TEST_DATA!D17614</f>
        <v/>
      </c>
      <c r="E17614">
        <f>TEST_DATA!E17614</f>
        <v/>
      </c>
    </row>
    <row r="17615">
      <c r="A17615">
        <f>TEST_DATA!A17615</f>
        <v/>
      </c>
      <c r="B17615">
        <f>TEST_DATA!B17615</f>
        <v/>
      </c>
      <c r="C17615">
        <f>TEST_DATA!C17615</f>
        <v/>
      </c>
      <c r="D17615">
        <f>TEST_DATA!D17615</f>
        <v/>
      </c>
      <c r="E17615">
        <f>TEST_DATA!E17615</f>
        <v/>
      </c>
    </row>
    <row r="17616">
      <c r="A17616">
        <f>TEST_DATA!A17616</f>
        <v/>
      </c>
      <c r="B17616">
        <f>TEST_DATA!B17616</f>
        <v/>
      </c>
      <c r="C17616">
        <f>TEST_DATA!C17616</f>
        <v/>
      </c>
      <c r="D17616">
        <f>TEST_DATA!D17616</f>
        <v/>
      </c>
      <c r="E17616">
        <f>TEST_DATA!E17616</f>
        <v/>
      </c>
    </row>
    <row r="17617">
      <c r="A17617">
        <f>TEST_DATA!A17617</f>
        <v/>
      </c>
      <c r="B17617">
        <f>TEST_DATA!B17617</f>
        <v/>
      </c>
      <c r="C17617">
        <f>TEST_DATA!C17617</f>
        <v/>
      </c>
      <c r="D17617">
        <f>TEST_DATA!D17617</f>
        <v/>
      </c>
      <c r="E17617">
        <f>TEST_DATA!E17617</f>
        <v/>
      </c>
    </row>
    <row r="17618">
      <c r="A17618">
        <f>TEST_DATA!A17618</f>
        <v/>
      </c>
      <c r="B17618">
        <f>TEST_DATA!B17618</f>
        <v/>
      </c>
      <c r="C17618">
        <f>TEST_DATA!C17618</f>
        <v/>
      </c>
      <c r="D17618">
        <f>TEST_DATA!D17618</f>
        <v/>
      </c>
      <c r="E17618">
        <f>TEST_DATA!E17618</f>
        <v/>
      </c>
    </row>
    <row r="17619">
      <c r="A17619">
        <f>TEST_DATA!A17619</f>
        <v/>
      </c>
      <c r="B17619">
        <f>TEST_DATA!B17619</f>
        <v/>
      </c>
      <c r="C17619">
        <f>TEST_DATA!C17619</f>
        <v/>
      </c>
      <c r="D17619">
        <f>TEST_DATA!D17619</f>
        <v/>
      </c>
      <c r="E17619">
        <f>TEST_DATA!E17619</f>
        <v/>
      </c>
    </row>
    <row r="17620">
      <c r="A17620">
        <f>TEST_DATA!A17620</f>
        <v/>
      </c>
      <c r="B17620">
        <f>TEST_DATA!B17620</f>
        <v/>
      </c>
      <c r="C17620">
        <f>TEST_DATA!C17620</f>
        <v/>
      </c>
      <c r="D17620">
        <f>TEST_DATA!D17620</f>
        <v/>
      </c>
      <c r="E17620">
        <f>TEST_DATA!E17620</f>
        <v/>
      </c>
    </row>
    <row r="17621">
      <c r="A17621">
        <f>TEST_DATA!A17621</f>
        <v/>
      </c>
      <c r="B17621">
        <f>TEST_DATA!B17621</f>
        <v/>
      </c>
      <c r="C17621">
        <f>TEST_DATA!C17621</f>
        <v/>
      </c>
      <c r="D17621">
        <f>TEST_DATA!D17621</f>
        <v/>
      </c>
      <c r="E17621">
        <f>TEST_DATA!E17621</f>
        <v/>
      </c>
    </row>
    <row r="17622">
      <c r="A17622">
        <f>TEST_DATA!A17622</f>
        <v/>
      </c>
      <c r="B17622">
        <f>TEST_DATA!B17622</f>
        <v/>
      </c>
      <c r="C17622">
        <f>TEST_DATA!C17622</f>
        <v/>
      </c>
      <c r="D17622">
        <f>TEST_DATA!D17622</f>
        <v/>
      </c>
      <c r="E17622">
        <f>TEST_DATA!E17622</f>
        <v/>
      </c>
    </row>
    <row r="17623">
      <c r="A17623">
        <f>TEST_DATA!A17623</f>
        <v/>
      </c>
      <c r="B17623">
        <f>TEST_DATA!B17623</f>
        <v/>
      </c>
      <c r="C17623">
        <f>TEST_DATA!C17623</f>
        <v/>
      </c>
      <c r="D17623">
        <f>TEST_DATA!D17623</f>
        <v/>
      </c>
      <c r="E17623">
        <f>TEST_DATA!E17623</f>
        <v/>
      </c>
    </row>
    <row r="17624">
      <c r="A17624">
        <f>TEST_DATA!A17624</f>
        <v/>
      </c>
      <c r="B17624">
        <f>TEST_DATA!B17624</f>
        <v/>
      </c>
      <c r="C17624">
        <f>TEST_DATA!C17624</f>
        <v/>
      </c>
      <c r="D17624">
        <f>TEST_DATA!D17624</f>
        <v/>
      </c>
      <c r="E17624">
        <f>TEST_DATA!E17624</f>
        <v/>
      </c>
    </row>
    <row r="17625">
      <c r="A17625">
        <f>TEST_DATA!A17625</f>
        <v/>
      </c>
      <c r="B17625">
        <f>TEST_DATA!B17625</f>
        <v/>
      </c>
      <c r="C17625">
        <f>TEST_DATA!C17625</f>
        <v/>
      </c>
      <c r="D17625">
        <f>TEST_DATA!D17625</f>
        <v/>
      </c>
      <c r="E17625">
        <f>TEST_DATA!E17625</f>
        <v/>
      </c>
    </row>
    <row r="17626">
      <c r="A17626">
        <f>TEST_DATA!A17626</f>
        <v/>
      </c>
      <c r="B17626">
        <f>TEST_DATA!B17626</f>
        <v/>
      </c>
      <c r="C17626">
        <f>TEST_DATA!C17626</f>
        <v/>
      </c>
      <c r="D17626">
        <f>TEST_DATA!D17626</f>
        <v/>
      </c>
      <c r="E17626">
        <f>TEST_DATA!E17626</f>
        <v/>
      </c>
    </row>
    <row r="17627">
      <c r="A17627">
        <f>TEST_DATA!A17627</f>
        <v/>
      </c>
      <c r="B17627">
        <f>TEST_DATA!B17627</f>
        <v/>
      </c>
      <c r="C17627">
        <f>TEST_DATA!C17627</f>
        <v/>
      </c>
      <c r="D17627">
        <f>TEST_DATA!D17627</f>
        <v/>
      </c>
      <c r="E17627">
        <f>TEST_DATA!E17627</f>
        <v/>
      </c>
    </row>
    <row r="17628">
      <c r="A17628">
        <f>TEST_DATA!A17628</f>
        <v/>
      </c>
      <c r="B17628">
        <f>TEST_DATA!B17628</f>
        <v/>
      </c>
      <c r="C17628">
        <f>TEST_DATA!C17628</f>
        <v/>
      </c>
      <c r="D17628">
        <f>TEST_DATA!D17628</f>
        <v/>
      </c>
      <c r="E17628">
        <f>TEST_DATA!E17628</f>
        <v/>
      </c>
    </row>
    <row r="17629">
      <c r="A17629">
        <f>TEST_DATA!A17629</f>
        <v/>
      </c>
      <c r="B17629">
        <f>TEST_DATA!B17629</f>
        <v/>
      </c>
      <c r="C17629">
        <f>TEST_DATA!C17629</f>
        <v/>
      </c>
      <c r="D17629">
        <f>TEST_DATA!D17629</f>
        <v/>
      </c>
      <c r="E17629">
        <f>TEST_DATA!E17629</f>
        <v/>
      </c>
    </row>
    <row r="17630">
      <c r="A17630">
        <f>TEST_DATA!A17630</f>
        <v/>
      </c>
      <c r="B17630">
        <f>TEST_DATA!B17630</f>
        <v/>
      </c>
      <c r="C17630">
        <f>TEST_DATA!C17630</f>
        <v/>
      </c>
      <c r="D17630">
        <f>TEST_DATA!D17630</f>
        <v/>
      </c>
      <c r="E17630">
        <f>TEST_DATA!E17630</f>
        <v/>
      </c>
    </row>
    <row r="17631">
      <c r="A17631">
        <f>TEST_DATA!A17631</f>
        <v/>
      </c>
      <c r="B17631">
        <f>TEST_DATA!B17631</f>
        <v/>
      </c>
      <c r="C17631">
        <f>TEST_DATA!C17631</f>
        <v/>
      </c>
      <c r="D17631">
        <f>TEST_DATA!D17631</f>
        <v/>
      </c>
      <c r="E17631">
        <f>TEST_DATA!E17631</f>
        <v/>
      </c>
    </row>
    <row r="17632">
      <c r="A17632">
        <f>TEST_DATA!A17632</f>
        <v/>
      </c>
      <c r="B17632">
        <f>TEST_DATA!B17632</f>
        <v/>
      </c>
      <c r="C17632">
        <f>TEST_DATA!C17632</f>
        <v/>
      </c>
      <c r="D17632">
        <f>TEST_DATA!D17632</f>
        <v/>
      </c>
      <c r="E17632">
        <f>TEST_DATA!E17632</f>
        <v/>
      </c>
    </row>
    <row r="17633">
      <c r="A17633">
        <f>TEST_DATA!A17633</f>
        <v/>
      </c>
      <c r="B17633">
        <f>TEST_DATA!B17633</f>
        <v/>
      </c>
      <c r="C17633">
        <f>TEST_DATA!C17633</f>
        <v/>
      </c>
      <c r="D17633">
        <f>TEST_DATA!D17633</f>
        <v/>
      </c>
      <c r="E17633">
        <f>TEST_DATA!E17633</f>
        <v/>
      </c>
    </row>
    <row r="17634">
      <c r="A17634">
        <f>TEST_DATA!A17634</f>
        <v/>
      </c>
      <c r="B17634">
        <f>TEST_DATA!B17634</f>
        <v/>
      </c>
      <c r="C17634">
        <f>TEST_DATA!C17634</f>
        <v/>
      </c>
      <c r="D17634">
        <f>TEST_DATA!D17634</f>
        <v/>
      </c>
      <c r="E17634">
        <f>TEST_DATA!E17634</f>
        <v/>
      </c>
    </row>
    <row r="17635">
      <c r="A17635">
        <f>TEST_DATA!A17635</f>
        <v/>
      </c>
      <c r="B17635">
        <f>TEST_DATA!B17635</f>
        <v/>
      </c>
      <c r="C17635">
        <f>TEST_DATA!C17635</f>
        <v/>
      </c>
      <c r="D17635">
        <f>TEST_DATA!D17635</f>
        <v/>
      </c>
      <c r="E17635">
        <f>TEST_DATA!E17635</f>
        <v/>
      </c>
    </row>
    <row r="17636">
      <c r="A17636">
        <f>TEST_DATA!A17636</f>
        <v/>
      </c>
      <c r="B17636">
        <f>TEST_DATA!B17636</f>
        <v/>
      </c>
      <c r="C17636">
        <f>TEST_DATA!C17636</f>
        <v/>
      </c>
      <c r="D17636">
        <f>TEST_DATA!D17636</f>
        <v/>
      </c>
      <c r="E17636">
        <f>TEST_DATA!E17636</f>
        <v/>
      </c>
    </row>
    <row r="17637">
      <c r="A17637">
        <f>TEST_DATA!A17637</f>
        <v/>
      </c>
      <c r="B17637">
        <f>TEST_DATA!B17637</f>
        <v/>
      </c>
      <c r="C17637">
        <f>TEST_DATA!C17637</f>
        <v/>
      </c>
      <c r="D17637">
        <f>TEST_DATA!D17637</f>
        <v/>
      </c>
      <c r="E17637">
        <f>TEST_DATA!E17637</f>
        <v/>
      </c>
    </row>
    <row r="17638">
      <c r="A17638">
        <f>TEST_DATA!A17638</f>
        <v/>
      </c>
      <c r="B17638">
        <f>TEST_DATA!B17638</f>
        <v/>
      </c>
      <c r="C17638">
        <f>TEST_DATA!C17638</f>
        <v/>
      </c>
      <c r="D17638">
        <f>TEST_DATA!D17638</f>
        <v/>
      </c>
      <c r="E17638">
        <f>TEST_DATA!E17638</f>
        <v/>
      </c>
    </row>
    <row r="17639">
      <c r="A17639">
        <f>TEST_DATA!A17639</f>
        <v/>
      </c>
      <c r="B17639">
        <f>TEST_DATA!B17639</f>
        <v/>
      </c>
      <c r="C17639">
        <f>TEST_DATA!C17639</f>
        <v/>
      </c>
      <c r="D17639">
        <f>TEST_DATA!D17639</f>
        <v/>
      </c>
      <c r="E17639">
        <f>TEST_DATA!E17639</f>
        <v/>
      </c>
    </row>
    <row r="17640">
      <c r="A17640">
        <f>TEST_DATA!A17640</f>
        <v/>
      </c>
      <c r="B17640">
        <f>TEST_DATA!B17640</f>
        <v/>
      </c>
      <c r="C17640">
        <f>TEST_DATA!C17640</f>
        <v/>
      </c>
      <c r="D17640">
        <f>TEST_DATA!D17640</f>
        <v/>
      </c>
      <c r="E17640">
        <f>TEST_DATA!E17640</f>
        <v/>
      </c>
    </row>
    <row r="17641">
      <c r="A17641">
        <f>TEST_DATA!A17641</f>
        <v/>
      </c>
      <c r="B17641">
        <f>TEST_DATA!B17641</f>
        <v/>
      </c>
      <c r="C17641">
        <f>TEST_DATA!C17641</f>
        <v/>
      </c>
      <c r="D17641">
        <f>TEST_DATA!D17641</f>
        <v/>
      </c>
      <c r="E17641">
        <f>TEST_DATA!E17641</f>
        <v/>
      </c>
    </row>
    <row r="17642">
      <c r="A17642">
        <f>TEST_DATA!A17642</f>
        <v/>
      </c>
      <c r="B17642">
        <f>TEST_DATA!B17642</f>
        <v/>
      </c>
      <c r="C17642">
        <f>TEST_DATA!C17642</f>
        <v/>
      </c>
      <c r="D17642">
        <f>TEST_DATA!D17642</f>
        <v/>
      </c>
      <c r="E17642">
        <f>TEST_DATA!E17642</f>
        <v/>
      </c>
    </row>
    <row r="17643">
      <c r="A17643">
        <f>TEST_DATA!A17643</f>
        <v/>
      </c>
      <c r="B17643">
        <f>TEST_DATA!B17643</f>
        <v/>
      </c>
      <c r="C17643">
        <f>TEST_DATA!C17643</f>
        <v/>
      </c>
      <c r="D17643">
        <f>TEST_DATA!D17643</f>
        <v/>
      </c>
      <c r="E17643">
        <f>TEST_DATA!E17643</f>
        <v/>
      </c>
    </row>
    <row r="17644">
      <c r="A17644">
        <f>TEST_DATA!A17644</f>
        <v/>
      </c>
      <c r="B17644">
        <f>TEST_DATA!B17644</f>
        <v/>
      </c>
      <c r="C17644">
        <f>TEST_DATA!C17644</f>
        <v/>
      </c>
      <c r="D17644">
        <f>TEST_DATA!D17644</f>
        <v/>
      </c>
      <c r="E17644">
        <f>TEST_DATA!E17644</f>
        <v/>
      </c>
    </row>
    <row r="17645">
      <c r="A17645">
        <f>TEST_DATA!A17645</f>
        <v/>
      </c>
      <c r="B17645">
        <f>TEST_DATA!B17645</f>
        <v/>
      </c>
      <c r="C17645">
        <f>TEST_DATA!C17645</f>
        <v/>
      </c>
      <c r="D17645">
        <f>TEST_DATA!D17645</f>
        <v/>
      </c>
      <c r="E17645">
        <f>TEST_DATA!E17645</f>
        <v/>
      </c>
    </row>
    <row r="17646">
      <c r="A17646">
        <f>TEST_DATA!A17646</f>
        <v/>
      </c>
      <c r="B17646">
        <f>TEST_DATA!B17646</f>
        <v/>
      </c>
      <c r="C17646">
        <f>TEST_DATA!C17646</f>
        <v/>
      </c>
      <c r="D17646">
        <f>TEST_DATA!D17646</f>
        <v/>
      </c>
      <c r="E17646">
        <f>TEST_DATA!E17646</f>
        <v/>
      </c>
    </row>
    <row r="17647">
      <c r="A17647">
        <f>TEST_DATA!A17647</f>
        <v/>
      </c>
      <c r="B17647">
        <f>TEST_DATA!B17647</f>
        <v/>
      </c>
      <c r="C17647">
        <f>TEST_DATA!C17647</f>
        <v/>
      </c>
      <c r="D17647">
        <f>TEST_DATA!D17647</f>
        <v/>
      </c>
      <c r="E17647">
        <f>TEST_DATA!E17647</f>
        <v/>
      </c>
    </row>
    <row r="17648">
      <c r="A17648">
        <f>TEST_DATA!A17648</f>
        <v/>
      </c>
      <c r="B17648">
        <f>TEST_DATA!B17648</f>
        <v/>
      </c>
      <c r="C17648">
        <f>TEST_DATA!C17648</f>
        <v/>
      </c>
      <c r="D17648">
        <f>TEST_DATA!D17648</f>
        <v/>
      </c>
      <c r="E17648">
        <f>TEST_DATA!E17648</f>
        <v/>
      </c>
    </row>
    <row r="17649">
      <c r="A17649">
        <f>TEST_DATA!A17649</f>
        <v/>
      </c>
      <c r="B17649">
        <f>TEST_DATA!B17649</f>
        <v/>
      </c>
      <c r="C17649">
        <f>TEST_DATA!C17649</f>
        <v/>
      </c>
      <c r="D17649">
        <f>TEST_DATA!D17649</f>
        <v/>
      </c>
      <c r="E17649">
        <f>TEST_DATA!E17649</f>
        <v/>
      </c>
    </row>
    <row r="17650">
      <c r="A17650">
        <f>TEST_DATA!A17650</f>
        <v/>
      </c>
      <c r="B17650">
        <f>TEST_DATA!B17650</f>
        <v/>
      </c>
      <c r="C17650">
        <f>TEST_DATA!C17650</f>
        <v/>
      </c>
      <c r="D17650">
        <f>TEST_DATA!D17650</f>
        <v/>
      </c>
      <c r="E17650">
        <f>TEST_DATA!E17650</f>
        <v/>
      </c>
    </row>
    <row r="17651">
      <c r="A17651">
        <f>TEST_DATA!A17651</f>
        <v/>
      </c>
      <c r="B17651">
        <f>TEST_DATA!B17651</f>
        <v/>
      </c>
      <c r="C17651">
        <f>TEST_DATA!C17651</f>
        <v/>
      </c>
      <c r="D17651">
        <f>TEST_DATA!D17651</f>
        <v/>
      </c>
      <c r="E17651">
        <f>TEST_DATA!E17651</f>
        <v/>
      </c>
    </row>
    <row r="17652">
      <c r="A17652">
        <f>TEST_DATA!A17652</f>
        <v/>
      </c>
      <c r="B17652">
        <f>TEST_DATA!B17652</f>
        <v/>
      </c>
      <c r="C17652">
        <f>TEST_DATA!C17652</f>
        <v/>
      </c>
      <c r="D17652">
        <f>TEST_DATA!D17652</f>
        <v/>
      </c>
      <c r="E17652">
        <f>TEST_DATA!E17652</f>
        <v/>
      </c>
    </row>
    <row r="17653">
      <c r="A17653">
        <f>TEST_DATA!A17653</f>
        <v/>
      </c>
      <c r="B17653">
        <f>TEST_DATA!B17653</f>
        <v/>
      </c>
      <c r="C17653">
        <f>TEST_DATA!C17653</f>
        <v/>
      </c>
      <c r="D17653">
        <f>TEST_DATA!D17653</f>
        <v/>
      </c>
      <c r="E17653">
        <f>TEST_DATA!E17653</f>
        <v/>
      </c>
    </row>
    <row r="17654">
      <c r="A17654">
        <f>TEST_DATA!A17654</f>
        <v/>
      </c>
      <c r="B17654">
        <f>TEST_DATA!B17654</f>
        <v/>
      </c>
      <c r="C17654">
        <f>TEST_DATA!C17654</f>
        <v/>
      </c>
      <c r="D17654">
        <f>TEST_DATA!D17654</f>
        <v/>
      </c>
      <c r="E17654">
        <f>TEST_DATA!E17654</f>
        <v/>
      </c>
    </row>
    <row r="17655">
      <c r="A17655">
        <f>TEST_DATA!A17655</f>
        <v/>
      </c>
      <c r="B17655">
        <f>TEST_DATA!B17655</f>
        <v/>
      </c>
      <c r="C17655">
        <f>TEST_DATA!C17655</f>
        <v/>
      </c>
      <c r="D17655">
        <f>TEST_DATA!D17655</f>
        <v/>
      </c>
      <c r="E17655">
        <f>TEST_DATA!E17655</f>
        <v/>
      </c>
    </row>
    <row r="17656">
      <c r="A17656">
        <f>TEST_DATA!A17656</f>
        <v/>
      </c>
      <c r="B17656">
        <f>TEST_DATA!B17656</f>
        <v/>
      </c>
      <c r="C17656">
        <f>TEST_DATA!C17656</f>
        <v/>
      </c>
      <c r="D17656">
        <f>TEST_DATA!D17656</f>
        <v/>
      </c>
      <c r="E17656">
        <f>TEST_DATA!E17656</f>
        <v/>
      </c>
    </row>
    <row r="17657">
      <c r="A17657">
        <f>TEST_DATA!A17657</f>
        <v/>
      </c>
      <c r="B17657">
        <f>TEST_DATA!B17657</f>
        <v/>
      </c>
      <c r="C17657">
        <f>TEST_DATA!C17657</f>
        <v/>
      </c>
      <c r="D17657">
        <f>TEST_DATA!D17657</f>
        <v/>
      </c>
      <c r="E17657">
        <f>TEST_DATA!E17657</f>
        <v/>
      </c>
    </row>
    <row r="17658">
      <c r="A17658">
        <f>TEST_DATA!A17658</f>
        <v/>
      </c>
      <c r="B17658">
        <f>TEST_DATA!B17658</f>
        <v/>
      </c>
      <c r="C17658">
        <f>TEST_DATA!C17658</f>
        <v/>
      </c>
      <c r="D17658">
        <f>TEST_DATA!D17658</f>
        <v/>
      </c>
      <c r="E17658">
        <f>TEST_DATA!E17658</f>
        <v/>
      </c>
    </row>
    <row r="17659">
      <c r="A17659">
        <f>TEST_DATA!A17659</f>
        <v/>
      </c>
      <c r="B17659">
        <f>TEST_DATA!B17659</f>
        <v/>
      </c>
      <c r="C17659">
        <f>TEST_DATA!C17659</f>
        <v/>
      </c>
      <c r="D17659">
        <f>TEST_DATA!D17659</f>
        <v/>
      </c>
      <c r="E17659">
        <f>TEST_DATA!E17659</f>
        <v/>
      </c>
    </row>
    <row r="17660">
      <c r="A17660">
        <f>TEST_DATA!A17660</f>
        <v/>
      </c>
      <c r="B17660">
        <f>TEST_DATA!B17660</f>
        <v/>
      </c>
      <c r="C17660">
        <f>TEST_DATA!C17660</f>
        <v/>
      </c>
      <c r="D17660">
        <f>TEST_DATA!D17660</f>
        <v/>
      </c>
      <c r="E17660">
        <f>TEST_DATA!E17660</f>
        <v/>
      </c>
    </row>
    <row r="17661">
      <c r="A17661">
        <f>TEST_DATA!A17661</f>
        <v/>
      </c>
      <c r="B17661">
        <f>TEST_DATA!B17661</f>
        <v/>
      </c>
      <c r="C17661">
        <f>TEST_DATA!C17661</f>
        <v/>
      </c>
      <c r="D17661">
        <f>TEST_DATA!D17661</f>
        <v/>
      </c>
      <c r="E17661">
        <f>TEST_DATA!E17661</f>
        <v/>
      </c>
    </row>
    <row r="17662">
      <c r="A17662">
        <f>TEST_DATA!A17662</f>
        <v/>
      </c>
      <c r="B17662">
        <f>TEST_DATA!B17662</f>
        <v/>
      </c>
      <c r="C17662">
        <f>TEST_DATA!C17662</f>
        <v/>
      </c>
      <c r="D17662">
        <f>TEST_DATA!D17662</f>
        <v/>
      </c>
      <c r="E17662">
        <f>TEST_DATA!E17662</f>
        <v/>
      </c>
    </row>
    <row r="17663">
      <c r="A17663">
        <f>TEST_DATA!A17663</f>
        <v/>
      </c>
      <c r="B17663">
        <f>TEST_DATA!B17663</f>
        <v/>
      </c>
      <c r="C17663">
        <f>TEST_DATA!C17663</f>
        <v/>
      </c>
      <c r="D17663">
        <f>TEST_DATA!D17663</f>
        <v/>
      </c>
      <c r="E17663">
        <f>TEST_DATA!E17663</f>
        <v/>
      </c>
    </row>
    <row r="17664">
      <c r="A17664">
        <f>TEST_DATA!A17664</f>
        <v/>
      </c>
      <c r="B17664">
        <f>TEST_DATA!B17664</f>
        <v/>
      </c>
      <c r="C17664">
        <f>TEST_DATA!C17664</f>
        <v/>
      </c>
      <c r="D17664">
        <f>TEST_DATA!D17664</f>
        <v/>
      </c>
      <c r="E17664">
        <f>TEST_DATA!E17664</f>
        <v/>
      </c>
    </row>
    <row r="17665">
      <c r="A17665">
        <f>TEST_DATA!A17665</f>
        <v/>
      </c>
      <c r="B17665">
        <f>TEST_DATA!B17665</f>
        <v/>
      </c>
      <c r="C17665">
        <f>TEST_DATA!C17665</f>
        <v/>
      </c>
      <c r="D17665">
        <f>TEST_DATA!D17665</f>
        <v/>
      </c>
      <c r="E17665">
        <f>TEST_DATA!E17665</f>
        <v/>
      </c>
    </row>
    <row r="17666">
      <c r="A17666">
        <f>TEST_DATA!A17666</f>
        <v/>
      </c>
      <c r="B17666">
        <f>TEST_DATA!B17666</f>
        <v/>
      </c>
      <c r="C17666">
        <f>TEST_DATA!C17666</f>
        <v/>
      </c>
      <c r="D17666">
        <f>TEST_DATA!D17666</f>
        <v/>
      </c>
      <c r="E17666">
        <f>TEST_DATA!E17666</f>
        <v/>
      </c>
    </row>
    <row r="17667">
      <c r="A17667">
        <f>TEST_DATA!A17667</f>
        <v/>
      </c>
      <c r="B17667">
        <f>TEST_DATA!B17667</f>
        <v/>
      </c>
      <c r="C17667">
        <f>TEST_DATA!C17667</f>
        <v/>
      </c>
      <c r="D17667">
        <f>TEST_DATA!D17667</f>
        <v/>
      </c>
      <c r="E17667">
        <f>TEST_DATA!E17667</f>
        <v/>
      </c>
    </row>
    <row r="17668">
      <c r="A17668">
        <f>TEST_DATA!A17668</f>
        <v/>
      </c>
      <c r="B17668">
        <f>TEST_DATA!B17668</f>
        <v/>
      </c>
      <c r="C17668">
        <f>TEST_DATA!C17668</f>
        <v/>
      </c>
      <c r="D17668">
        <f>TEST_DATA!D17668</f>
        <v/>
      </c>
      <c r="E17668">
        <f>TEST_DATA!E17668</f>
        <v/>
      </c>
    </row>
    <row r="17669">
      <c r="A17669">
        <f>TEST_DATA!A17669</f>
        <v/>
      </c>
      <c r="B17669">
        <f>TEST_DATA!B17669</f>
        <v/>
      </c>
      <c r="C17669">
        <f>TEST_DATA!C17669</f>
        <v/>
      </c>
      <c r="D17669">
        <f>TEST_DATA!D17669</f>
        <v/>
      </c>
      <c r="E17669">
        <f>TEST_DATA!E17669</f>
        <v/>
      </c>
    </row>
    <row r="17670">
      <c r="A17670">
        <f>TEST_DATA!A17670</f>
        <v/>
      </c>
      <c r="B17670">
        <f>TEST_DATA!B17670</f>
        <v/>
      </c>
      <c r="C17670">
        <f>TEST_DATA!C17670</f>
        <v/>
      </c>
      <c r="D17670">
        <f>TEST_DATA!D17670</f>
        <v/>
      </c>
      <c r="E17670">
        <f>TEST_DATA!E17670</f>
        <v/>
      </c>
    </row>
    <row r="17671">
      <c r="A17671">
        <f>TEST_DATA!A17671</f>
        <v/>
      </c>
      <c r="B17671">
        <f>TEST_DATA!B17671</f>
        <v/>
      </c>
      <c r="C17671">
        <f>TEST_DATA!C17671</f>
        <v/>
      </c>
      <c r="D17671">
        <f>TEST_DATA!D17671</f>
        <v/>
      </c>
      <c r="E17671">
        <f>TEST_DATA!E17671</f>
        <v/>
      </c>
    </row>
    <row r="17672">
      <c r="A17672">
        <f>TEST_DATA!A17672</f>
        <v/>
      </c>
      <c r="B17672">
        <f>TEST_DATA!B17672</f>
        <v/>
      </c>
      <c r="C17672">
        <f>TEST_DATA!C17672</f>
        <v/>
      </c>
      <c r="D17672">
        <f>TEST_DATA!D17672</f>
        <v/>
      </c>
      <c r="E17672">
        <f>TEST_DATA!E17672</f>
        <v/>
      </c>
    </row>
    <row r="17673">
      <c r="A17673">
        <f>TEST_DATA!A17673</f>
        <v/>
      </c>
      <c r="B17673">
        <f>TEST_DATA!B17673</f>
        <v/>
      </c>
      <c r="C17673">
        <f>TEST_DATA!C17673</f>
        <v/>
      </c>
      <c r="D17673">
        <f>TEST_DATA!D17673</f>
        <v/>
      </c>
      <c r="E17673">
        <f>TEST_DATA!E17673</f>
        <v/>
      </c>
    </row>
    <row r="17674">
      <c r="A17674">
        <f>TEST_DATA!A17674</f>
        <v/>
      </c>
      <c r="B17674">
        <f>TEST_DATA!B17674</f>
        <v/>
      </c>
      <c r="C17674">
        <f>TEST_DATA!C17674</f>
        <v/>
      </c>
      <c r="D17674">
        <f>TEST_DATA!D17674</f>
        <v/>
      </c>
      <c r="E17674">
        <f>TEST_DATA!E17674</f>
        <v/>
      </c>
    </row>
    <row r="17675">
      <c r="A17675">
        <f>TEST_DATA!A17675</f>
        <v/>
      </c>
      <c r="B17675">
        <f>TEST_DATA!B17675</f>
        <v/>
      </c>
      <c r="C17675">
        <f>TEST_DATA!C17675</f>
        <v/>
      </c>
      <c r="D17675">
        <f>TEST_DATA!D17675</f>
        <v/>
      </c>
      <c r="E17675">
        <f>TEST_DATA!E17675</f>
        <v/>
      </c>
    </row>
    <row r="17676">
      <c r="A17676">
        <f>TEST_DATA!A17676</f>
        <v/>
      </c>
      <c r="B17676">
        <f>TEST_DATA!B17676</f>
        <v/>
      </c>
      <c r="C17676">
        <f>TEST_DATA!C17676</f>
        <v/>
      </c>
      <c r="D17676">
        <f>TEST_DATA!D17676</f>
        <v/>
      </c>
      <c r="E17676">
        <f>TEST_DATA!E17676</f>
        <v/>
      </c>
    </row>
    <row r="17677">
      <c r="A17677">
        <f>TEST_DATA!A17677</f>
        <v/>
      </c>
      <c r="B17677">
        <f>TEST_DATA!B17677</f>
        <v/>
      </c>
      <c r="C17677">
        <f>TEST_DATA!C17677</f>
        <v/>
      </c>
      <c r="D17677">
        <f>TEST_DATA!D17677</f>
        <v/>
      </c>
      <c r="E17677">
        <f>TEST_DATA!E17677</f>
        <v/>
      </c>
    </row>
    <row r="17678">
      <c r="A17678">
        <f>TEST_DATA!A17678</f>
        <v/>
      </c>
      <c r="B17678">
        <f>TEST_DATA!B17678</f>
        <v/>
      </c>
      <c r="C17678">
        <f>TEST_DATA!C17678</f>
        <v/>
      </c>
      <c r="D17678">
        <f>TEST_DATA!D17678</f>
        <v/>
      </c>
      <c r="E17678">
        <f>TEST_DATA!E17678</f>
        <v/>
      </c>
    </row>
    <row r="17679">
      <c r="A17679">
        <f>TEST_DATA!A17679</f>
        <v/>
      </c>
      <c r="B17679">
        <f>TEST_DATA!B17679</f>
        <v/>
      </c>
      <c r="C17679">
        <f>TEST_DATA!C17679</f>
        <v/>
      </c>
      <c r="D17679">
        <f>TEST_DATA!D17679</f>
        <v/>
      </c>
      <c r="E17679">
        <f>TEST_DATA!E17679</f>
        <v/>
      </c>
    </row>
    <row r="17680">
      <c r="A17680">
        <f>TEST_DATA!A17680</f>
        <v/>
      </c>
      <c r="B17680">
        <f>TEST_DATA!B17680</f>
        <v/>
      </c>
      <c r="C17680">
        <f>TEST_DATA!C17680</f>
        <v/>
      </c>
      <c r="D17680">
        <f>TEST_DATA!D17680</f>
        <v/>
      </c>
      <c r="E17680">
        <f>TEST_DATA!E17680</f>
        <v/>
      </c>
    </row>
    <row r="17681">
      <c r="A17681">
        <f>TEST_DATA!A17681</f>
        <v/>
      </c>
      <c r="B17681">
        <f>TEST_DATA!B17681</f>
        <v/>
      </c>
      <c r="C17681">
        <f>TEST_DATA!C17681</f>
        <v/>
      </c>
      <c r="D17681">
        <f>TEST_DATA!D17681</f>
        <v/>
      </c>
      <c r="E17681">
        <f>TEST_DATA!E17681</f>
        <v/>
      </c>
    </row>
    <row r="17682">
      <c r="A17682">
        <f>TEST_DATA!A17682</f>
        <v/>
      </c>
      <c r="B17682">
        <f>TEST_DATA!B17682</f>
        <v/>
      </c>
      <c r="C17682">
        <f>TEST_DATA!C17682</f>
        <v/>
      </c>
      <c r="D17682">
        <f>TEST_DATA!D17682</f>
        <v/>
      </c>
      <c r="E17682">
        <f>TEST_DATA!E17682</f>
        <v/>
      </c>
    </row>
    <row r="17683">
      <c r="A17683">
        <f>TEST_DATA!A17683</f>
        <v/>
      </c>
      <c r="B17683">
        <f>TEST_DATA!B17683</f>
        <v/>
      </c>
      <c r="C17683">
        <f>TEST_DATA!C17683</f>
        <v/>
      </c>
      <c r="D17683">
        <f>TEST_DATA!D17683</f>
        <v/>
      </c>
      <c r="E17683">
        <f>TEST_DATA!E17683</f>
        <v/>
      </c>
    </row>
    <row r="17684">
      <c r="A17684">
        <f>TEST_DATA!A17684</f>
        <v/>
      </c>
      <c r="B17684">
        <f>TEST_DATA!B17684</f>
        <v/>
      </c>
      <c r="C17684">
        <f>TEST_DATA!C17684</f>
        <v/>
      </c>
      <c r="D17684">
        <f>TEST_DATA!D17684</f>
        <v/>
      </c>
      <c r="E17684">
        <f>TEST_DATA!E17684</f>
        <v/>
      </c>
    </row>
    <row r="17685">
      <c r="A17685">
        <f>TEST_DATA!A17685</f>
        <v/>
      </c>
      <c r="B17685">
        <f>TEST_DATA!B17685</f>
        <v/>
      </c>
      <c r="C17685">
        <f>TEST_DATA!C17685</f>
        <v/>
      </c>
      <c r="D17685">
        <f>TEST_DATA!D17685</f>
        <v/>
      </c>
      <c r="E17685">
        <f>TEST_DATA!E17685</f>
        <v/>
      </c>
    </row>
    <row r="17686">
      <c r="A17686">
        <f>TEST_DATA!A17686</f>
        <v/>
      </c>
      <c r="B17686">
        <f>TEST_DATA!B17686</f>
        <v/>
      </c>
      <c r="C17686">
        <f>TEST_DATA!C17686</f>
        <v/>
      </c>
      <c r="D17686">
        <f>TEST_DATA!D17686</f>
        <v/>
      </c>
      <c r="E17686">
        <f>TEST_DATA!E17686</f>
        <v/>
      </c>
    </row>
    <row r="17687">
      <c r="A17687">
        <f>TEST_DATA!A17687</f>
        <v/>
      </c>
      <c r="B17687">
        <f>TEST_DATA!B17687</f>
        <v/>
      </c>
      <c r="C17687">
        <f>TEST_DATA!C17687</f>
        <v/>
      </c>
      <c r="D17687">
        <f>TEST_DATA!D17687</f>
        <v/>
      </c>
      <c r="E17687">
        <f>TEST_DATA!E17687</f>
        <v/>
      </c>
    </row>
    <row r="17688">
      <c r="A17688">
        <f>TEST_DATA!A17688</f>
        <v/>
      </c>
      <c r="B17688">
        <f>TEST_DATA!B17688</f>
        <v/>
      </c>
      <c r="C17688">
        <f>TEST_DATA!C17688</f>
        <v/>
      </c>
      <c r="D17688">
        <f>TEST_DATA!D17688</f>
        <v/>
      </c>
      <c r="E17688">
        <f>TEST_DATA!E17688</f>
        <v/>
      </c>
    </row>
    <row r="17689">
      <c r="A17689">
        <f>TEST_DATA!A17689</f>
        <v/>
      </c>
      <c r="B17689">
        <f>TEST_DATA!B17689</f>
        <v/>
      </c>
      <c r="C17689">
        <f>TEST_DATA!C17689</f>
        <v/>
      </c>
      <c r="D17689">
        <f>TEST_DATA!D17689</f>
        <v/>
      </c>
      <c r="E17689">
        <f>TEST_DATA!E17689</f>
        <v/>
      </c>
    </row>
    <row r="17690">
      <c r="A17690">
        <f>TEST_DATA!A17690</f>
        <v/>
      </c>
      <c r="B17690">
        <f>TEST_DATA!B17690</f>
        <v/>
      </c>
      <c r="C17690">
        <f>TEST_DATA!C17690</f>
        <v/>
      </c>
      <c r="D17690">
        <f>TEST_DATA!D17690</f>
        <v/>
      </c>
      <c r="E17690">
        <f>TEST_DATA!E17690</f>
        <v/>
      </c>
    </row>
    <row r="17691">
      <c r="A17691">
        <f>TEST_DATA!A17691</f>
        <v/>
      </c>
      <c r="B17691">
        <f>TEST_DATA!B17691</f>
        <v/>
      </c>
      <c r="C17691">
        <f>TEST_DATA!C17691</f>
        <v/>
      </c>
      <c r="D17691">
        <f>TEST_DATA!D17691</f>
        <v/>
      </c>
      <c r="E17691">
        <f>TEST_DATA!E17691</f>
        <v/>
      </c>
    </row>
    <row r="17692">
      <c r="A17692">
        <f>TEST_DATA!A17692</f>
        <v/>
      </c>
      <c r="B17692">
        <f>TEST_DATA!B17692</f>
        <v/>
      </c>
      <c r="C17692">
        <f>TEST_DATA!C17692</f>
        <v/>
      </c>
      <c r="D17692">
        <f>TEST_DATA!D17692</f>
        <v/>
      </c>
      <c r="E17692">
        <f>TEST_DATA!E17692</f>
        <v/>
      </c>
    </row>
    <row r="17693">
      <c r="A17693">
        <f>TEST_DATA!A17693</f>
        <v/>
      </c>
      <c r="B17693">
        <f>TEST_DATA!B17693</f>
        <v/>
      </c>
      <c r="C17693">
        <f>TEST_DATA!C17693</f>
        <v/>
      </c>
      <c r="D17693">
        <f>TEST_DATA!D17693</f>
        <v/>
      </c>
      <c r="E17693">
        <f>TEST_DATA!E17693</f>
        <v/>
      </c>
    </row>
    <row r="17694">
      <c r="A17694">
        <f>TEST_DATA!A17694</f>
        <v/>
      </c>
      <c r="B17694">
        <f>TEST_DATA!B17694</f>
        <v/>
      </c>
      <c r="C17694">
        <f>TEST_DATA!C17694</f>
        <v/>
      </c>
      <c r="D17694">
        <f>TEST_DATA!D17694</f>
        <v/>
      </c>
      <c r="E17694">
        <f>TEST_DATA!E17694</f>
        <v/>
      </c>
    </row>
    <row r="17695">
      <c r="A17695">
        <f>TEST_DATA!A17695</f>
        <v/>
      </c>
      <c r="B17695">
        <f>TEST_DATA!B17695</f>
        <v/>
      </c>
      <c r="C17695">
        <f>TEST_DATA!C17695</f>
        <v/>
      </c>
      <c r="D17695">
        <f>TEST_DATA!D17695</f>
        <v/>
      </c>
      <c r="E17695">
        <f>TEST_DATA!E17695</f>
        <v/>
      </c>
    </row>
    <row r="17696">
      <c r="A17696">
        <f>TEST_DATA!A17696</f>
        <v/>
      </c>
      <c r="B17696">
        <f>TEST_DATA!B17696</f>
        <v/>
      </c>
      <c r="C17696">
        <f>TEST_DATA!C17696</f>
        <v/>
      </c>
      <c r="D17696">
        <f>TEST_DATA!D17696</f>
        <v/>
      </c>
      <c r="E17696">
        <f>TEST_DATA!E17696</f>
        <v/>
      </c>
    </row>
    <row r="17697">
      <c r="A17697">
        <f>TEST_DATA!A17697</f>
        <v/>
      </c>
      <c r="B17697">
        <f>TEST_DATA!B17697</f>
        <v/>
      </c>
      <c r="C17697">
        <f>TEST_DATA!C17697</f>
        <v/>
      </c>
      <c r="D17697">
        <f>TEST_DATA!D17697</f>
        <v/>
      </c>
      <c r="E17697">
        <f>TEST_DATA!E17697</f>
        <v/>
      </c>
    </row>
    <row r="17698">
      <c r="A17698">
        <f>TEST_DATA!A17698</f>
        <v/>
      </c>
      <c r="B17698">
        <f>TEST_DATA!B17698</f>
        <v/>
      </c>
      <c r="C17698">
        <f>TEST_DATA!C17698</f>
        <v/>
      </c>
      <c r="D17698">
        <f>TEST_DATA!D17698</f>
        <v/>
      </c>
      <c r="E17698">
        <f>TEST_DATA!E17698</f>
        <v/>
      </c>
    </row>
    <row r="17699">
      <c r="A17699">
        <f>TEST_DATA!A17699</f>
        <v/>
      </c>
      <c r="B17699">
        <f>TEST_DATA!B17699</f>
        <v/>
      </c>
      <c r="C17699">
        <f>TEST_DATA!C17699</f>
        <v/>
      </c>
      <c r="D17699">
        <f>TEST_DATA!D17699</f>
        <v/>
      </c>
      <c r="E17699">
        <f>TEST_DATA!E17699</f>
        <v/>
      </c>
    </row>
    <row r="17700">
      <c r="A17700">
        <f>TEST_DATA!A17700</f>
        <v/>
      </c>
      <c r="B17700">
        <f>TEST_DATA!B17700</f>
        <v/>
      </c>
      <c r="C17700">
        <f>TEST_DATA!C17700</f>
        <v/>
      </c>
      <c r="D17700">
        <f>TEST_DATA!D17700</f>
        <v/>
      </c>
      <c r="E17700">
        <f>TEST_DATA!E17700</f>
        <v/>
      </c>
    </row>
    <row r="17701">
      <c r="A17701">
        <f>TEST_DATA!A17701</f>
        <v/>
      </c>
      <c r="B17701">
        <f>TEST_DATA!B17701</f>
        <v/>
      </c>
      <c r="C17701">
        <f>TEST_DATA!C17701</f>
        <v/>
      </c>
      <c r="D17701">
        <f>TEST_DATA!D17701</f>
        <v/>
      </c>
      <c r="E17701">
        <f>TEST_DATA!E17701</f>
        <v/>
      </c>
    </row>
    <row r="17702">
      <c r="A17702">
        <f>TEST_DATA!A17702</f>
        <v/>
      </c>
      <c r="B17702">
        <f>TEST_DATA!B17702</f>
        <v/>
      </c>
      <c r="C17702">
        <f>TEST_DATA!C17702</f>
        <v/>
      </c>
      <c r="D17702">
        <f>TEST_DATA!D17702</f>
        <v/>
      </c>
      <c r="E17702">
        <f>TEST_DATA!E17702</f>
        <v/>
      </c>
    </row>
    <row r="17703">
      <c r="A17703">
        <f>TEST_DATA!A17703</f>
        <v/>
      </c>
      <c r="B17703">
        <f>TEST_DATA!B17703</f>
        <v/>
      </c>
      <c r="C17703">
        <f>TEST_DATA!C17703</f>
        <v/>
      </c>
      <c r="D17703">
        <f>TEST_DATA!D17703</f>
        <v/>
      </c>
      <c r="E17703">
        <f>TEST_DATA!E17703</f>
        <v/>
      </c>
    </row>
    <row r="17704">
      <c r="A17704">
        <f>TEST_DATA!A17704</f>
        <v/>
      </c>
      <c r="B17704">
        <f>TEST_DATA!B17704</f>
        <v/>
      </c>
      <c r="C17704">
        <f>TEST_DATA!C17704</f>
        <v/>
      </c>
      <c r="D17704">
        <f>TEST_DATA!D17704</f>
        <v/>
      </c>
      <c r="E17704">
        <f>TEST_DATA!E17704</f>
        <v/>
      </c>
    </row>
    <row r="17705">
      <c r="A17705">
        <f>TEST_DATA!A17705</f>
        <v/>
      </c>
      <c r="B17705">
        <f>TEST_DATA!B17705</f>
        <v/>
      </c>
      <c r="C17705">
        <f>TEST_DATA!C17705</f>
        <v/>
      </c>
      <c r="D17705">
        <f>TEST_DATA!D17705</f>
        <v/>
      </c>
      <c r="E17705">
        <f>TEST_DATA!E17705</f>
        <v/>
      </c>
    </row>
    <row r="17706">
      <c r="A17706">
        <f>TEST_DATA!A17706</f>
        <v/>
      </c>
      <c r="B17706">
        <f>TEST_DATA!B17706</f>
        <v/>
      </c>
      <c r="C17706">
        <f>TEST_DATA!C17706</f>
        <v/>
      </c>
      <c r="D17706">
        <f>TEST_DATA!D17706</f>
        <v/>
      </c>
      <c r="E17706">
        <f>TEST_DATA!E17706</f>
        <v/>
      </c>
    </row>
    <row r="17707">
      <c r="A17707">
        <f>TEST_DATA!A17707</f>
        <v/>
      </c>
      <c r="B17707">
        <f>TEST_DATA!B17707</f>
        <v/>
      </c>
      <c r="C17707">
        <f>TEST_DATA!C17707</f>
        <v/>
      </c>
      <c r="D17707">
        <f>TEST_DATA!D17707</f>
        <v/>
      </c>
      <c r="E17707">
        <f>TEST_DATA!E17707</f>
        <v/>
      </c>
    </row>
    <row r="17708">
      <c r="A17708">
        <f>TEST_DATA!A17708</f>
        <v/>
      </c>
      <c r="B17708">
        <f>TEST_DATA!B17708</f>
        <v/>
      </c>
      <c r="C17708">
        <f>TEST_DATA!C17708</f>
        <v/>
      </c>
      <c r="D17708">
        <f>TEST_DATA!D17708</f>
        <v/>
      </c>
      <c r="E17708">
        <f>TEST_DATA!E17708</f>
        <v/>
      </c>
    </row>
    <row r="17709">
      <c r="A17709">
        <f>TEST_DATA!A17709</f>
        <v/>
      </c>
      <c r="B17709">
        <f>TEST_DATA!B17709</f>
        <v/>
      </c>
      <c r="C17709">
        <f>TEST_DATA!C17709</f>
        <v/>
      </c>
      <c r="D17709">
        <f>TEST_DATA!D17709</f>
        <v/>
      </c>
      <c r="E17709">
        <f>TEST_DATA!E17709</f>
        <v/>
      </c>
    </row>
    <row r="17710">
      <c r="A17710">
        <f>TEST_DATA!A17710</f>
        <v/>
      </c>
      <c r="B17710">
        <f>TEST_DATA!B17710</f>
        <v/>
      </c>
      <c r="C17710">
        <f>TEST_DATA!C17710</f>
        <v/>
      </c>
      <c r="D17710">
        <f>TEST_DATA!D17710</f>
        <v/>
      </c>
      <c r="E17710">
        <f>TEST_DATA!E17710</f>
        <v/>
      </c>
    </row>
    <row r="17711">
      <c r="A17711">
        <f>TEST_DATA!A17711</f>
        <v/>
      </c>
      <c r="B17711">
        <f>TEST_DATA!B17711</f>
        <v/>
      </c>
      <c r="C17711">
        <f>TEST_DATA!C17711</f>
        <v/>
      </c>
      <c r="D17711">
        <f>TEST_DATA!D17711</f>
        <v/>
      </c>
      <c r="E17711">
        <f>TEST_DATA!E17711</f>
        <v/>
      </c>
    </row>
    <row r="17712">
      <c r="A17712">
        <f>TEST_DATA!A17712</f>
        <v/>
      </c>
      <c r="B17712">
        <f>TEST_DATA!B17712</f>
        <v/>
      </c>
      <c r="C17712">
        <f>TEST_DATA!C17712</f>
        <v/>
      </c>
      <c r="D17712">
        <f>TEST_DATA!D17712</f>
        <v/>
      </c>
      <c r="E17712">
        <f>TEST_DATA!E17712</f>
        <v/>
      </c>
    </row>
    <row r="17713">
      <c r="A17713">
        <f>TEST_DATA!A17713</f>
        <v/>
      </c>
      <c r="B17713">
        <f>TEST_DATA!B17713</f>
        <v/>
      </c>
      <c r="C17713">
        <f>TEST_DATA!C17713</f>
        <v/>
      </c>
      <c r="D17713">
        <f>TEST_DATA!D17713</f>
        <v/>
      </c>
      <c r="E17713">
        <f>TEST_DATA!E17713</f>
        <v/>
      </c>
    </row>
    <row r="17714">
      <c r="A17714">
        <f>TEST_DATA!A17714</f>
        <v/>
      </c>
      <c r="B17714">
        <f>TEST_DATA!B17714</f>
        <v/>
      </c>
      <c r="C17714">
        <f>TEST_DATA!C17714</f>
        <v/>
      </c>
      <c r="D17714">
        <f>TEST_DATA!D17714</f>
        <v/>
      </c>
      <c r="E17714">
        <f>TEST_DATA!E17714</f>
        <v/>
      </c>
    </row>
    <row r="17715">
      <c r="A17715">
        <f>TEST_DATA!A17715</f>
        <v/>
      </c>
      <c r="B17715">
        <f>TEST_DATA!B17715</f>
        <v/>
      </c>
      <c r="C17715">
        <f>TEST_DATA!C17715</f>
        <v/>
      </c>
      <c r="D17715">
        <f>TEST_DATA!D17715</f>
        <v/>
      </c>
      <c r="E17715">
        <f>TEST_DATA!E17715</f>
        <v/>
      </c>
    </row>
    <row r="17716">
      <c r="A17716">
        <f>TEST_DATA!A17716</f>
        <v/>
      </c>
      <c r="B17716">
        <f>TEST_DATA!B17716</f>
        <v/>
      </c>
      <c r="C17716">
        <f>TEST_DATA!C17716</f>
        <v/>
      </c>
      <c r="D17716">
        <f>TEST_DATA!D17716</f>
        <v/>
      </c>
      <c r="E17716">
        <f>TEST_DATA!E17716</f>
        <v/>
      </c>
    </row>
    <row r="17717">
      <c r="A17717">
        <f>TEST_DATA!A17717</f>
        <v/>
      </c>
      <c r="B17717">
        <f>TEST_DATA!B17717</f>
        <v/>
      </c>
      <c r="C17717">
        <f>TEST_DATA!C17717</f>
        <v/>
      </c>
      <c r="D17717">
        <f>TEST_DATA!D17717</f>
        <v/>
      </c>
      <c r="E17717">
        <f>TEST_DATA!E17717</f>
        <v/>
      </c>
    </row>
    <row r="17718">
      <c r="A17718">
        <f>TEST_DATA!A17718</f>
        <v/>
      </c>
      <c r="B17718">
        <f>TEST_DATA!B17718</f>
        <v/>
      </c>
      <c r="C17718">
        <f>TEST_DATA!C17718</f>
        <v/>
      </c>
      <c r="D17718">
        <f>TEST_DATA!D17718</f>
        <v/>
      </c>
      <c r="E17718">
        <f>TEST_DATA!E17718</f>
        <v/>
      </c>
    </row>
    <row r="17719">
      <c r="A17719">
        <f>TEST_DATA!A17719</f>
        <v/>
      </c>
      <c r="B17719">
        <f>TEST_DATA!B17719</f>
        <v/>
      </c>
      <c r="C17719">
        <f>TEST_DATA!C17719</f>
        <v/>
      </c>
      <c r="D17719">
        <f>TEST_DATA!D17719</f>
        <v/>
      </c>
      <c r="E17719">
        <f>TEST_DATA!E17719</f>
        <v/>
      </c>
    </row>
    <row r="17720">
      <c r="A17720">
        <f>TEST_DATA!A17720</f>
        <v/>
      </c>
      <c r="B17720">
        <f>TEST_DATA!B17720</f>
        <v/>
      </c>
      <c r="C17720">
        <f>TEST_DATA!C17720</f>
        <v/>
      </c>
      <c r="D17720">
        <f>TEST_DATA!D17720</f>
        <v/>
      </c>
      <c r="E17720">
        <f>TEST_DATA!E17720</f>
        <v/>
      </c>
    </row>
    <row r="17721">
      <c r="A17721">
        <f>TEST_DATA!A17721</f>
        <v/>
      </c>
      <c r="B17721">
        <f>TEST_DATA!B17721</f>
        <v/>
      </c>
      <c r="C17721">
        <f>TEST_DATA!C17721</f>
        <v/>
      </c>
      <c r="D17721">
        <f>TEST_DATA!D17721</f>
        <v/>
      </c>
      <c r="E17721">
        <f>TEST_DATA!E17721</f>
        <v/>
      </c>
    </row>
    <row r="17722">
      <c r="A17722">
        <f>TEST_DATA!A17722</f>
        <v/>
      </c>
      <c r="B17722">
        <f>TEST_DATA!B17722</f>
        <v/>
      </c>
      <c r="C17722">
        <f>TEST_DATA!C17722</f>
        <v/>
      </c>
      <c r="D17722">
        <f>TEST_DATA!D17722</f>
        <v/>
      </c>
      <c r="E17722">
        <f>TEST_DATA!E17722</f>
        <v/>
      </c>
    </row>
    <row r="17723">
      <c r="A17723">
        <f>TEST_DATA!A17723</f>
        <v/>
      </c>
      <c r="B17723">
        <f>TEST_DATA!B17723</f>
        <v/>
      </c>
      <c r="C17723">
        <f>TEST_DATA!C17723</f>
        <v/>
      </c>
      <c r="D17723">
        <f>TEST_DATA!D17723</f>
        <v/>
      </c>
      <c r="E17723">
        <f>TEST_DATA!E17723</f>
        <v/>
      </c>
    </row>
    <row r="17724">
      <c r="A17724">
        <f>TEST_DATA!A17724</f>
        <v/>
      </c>
      <c r="B17724">
        <f>TEST_DATA!B17724</f>
        <v/>
      </c>
      <c r="C17724">
        <f>TEST_DATA!C17724</f>
        <v/>
      </c>
      <c r="D17724">
        <f>TEST_DATA!D17724</f>
        <v/>
      </c>
      <c r="E17724">
        <f>TEST_DATA!E17724</f>
        <v/>
      </c>
    </row>
    <row r="17725">
      <c r="A17725">
        <f>TEST_DATA!A17725</f>
        <v/>
      </c>
      <c r="B17725">
        <f>TEST_DATA!B17725</f>
        <v/>
      </c>
      <c r="C17725">
        <f>TEST_DATA!C17725</f>
        <v/>
      </c>
      <c r="D17725">
        <f>TEST_DATA!D17725</f>
        <v/>
      </c>
      <c r="E17725">
        <f>TEST_DATA!E17725</f>
        <v/>
      </c>
    </row>
    <row r="17726">
      <c r="A17726">
        <f>TEST_DATA!A17726</f>
        <v/>
      </c>
      <c r="B17726">
        <f>TEST_DATA!B17726</f>
        <v/>
      </c>
      <c r="C17726">
        <f>TEST_DATA!C17726</f>
        <v/>
      </c>
      <c r="D17726">
        <f>TEST_DATA!D17726</f>
        <v/>
      </c>
      <c r="E17726">
        <f>TEST_DATA!E17726</f>
        <v/>
      </c>
    </row>
    <row r="17727">
      <c r="A17727">
        <f>TEST_DATA!A17727</f>
        <v/>
      </c>
      <c r="B17727">
        <f>TEST_DATA!B17727</f>
        <v/>
      </c>
      <c r="C17727">
        <f>TEST_DATA!C17727</f>
        <v/>
      </c>
      <c r="D17727">
        <f>TEST_DATA!D17727</f>
        <v/>
      </c>
      <c r="E17727">
        <f>TEST_DATA!E17727</f>
        <v/>
      </c>
    </row>
    <row r="17728">
      <c r="A17728">
        <f>TEST_DATA!A17728</f>
        <v/>
      </c>
      <c r="B17728">
        <f>TEST_DATA!B17728</f>
        <v/>
      </c>
      <c r="C17728">
        <f>TEST_DATA!C17728</f>
        <v/>
      </c>
      <c r="D17728">
        <f>TEST_DATA!D17728</f>
        <v/>
      </c>
      <c r="E17728">
        <f>TEST_DATA!E17728</f>
        <v/>
      </c>
    </row>
    <row r="17729">
      <c r="A17729">
        <f>TEST_DATA!A17729</f>
        <v/>
      </c>
      <c r="B17729">
        <f>TEST_DATA!B17729</f>
        <v/>
      </c>
      <c r="C17729">
        <f>TEST_DATA!C17729</f>
        <v/>
      </c>
      <c r="D17729">
        <f>TEST_DATA!D17729</f>
        <v/>
      </c>
      <c r="E17729">
        <f>TEST_DATA!E17729</f>
        <v/>
      </c>
    </row>
    <row r="17730">
      <c r="A17730">
        <f>TEST_DATA!A17730</f>
        <v/>
      </c>
      <c r="B17730">
        <f>TEST_DATA!B17730</f>
        <v/>
      </c>
      <c r="C17730">
        <f>TEST_DATA!C17730</f>
        <v/>
      </c>
      <c r="D17730">
        <f>TEST_DATA!D17730</f>
        <v/>
      </c>
      <c r="E17730">
        <f>TEST_DATA!E17730</f>
        <v/>
      </c>
    </row>
    <row r="17731">
      <c r="A17731">
        <f>TEST_DATA!A17731</f>
        <v/>
      </c>
      <c r="B17731">
        <f>TEST_DATA!B17731</f>
        <v/>
      </c>
      <c r="C17731">
        <f>TEST_DATA!C17731</f>
        <v/>
      </c>
      <c r="D17731">
        <f>TEST_DATA!D17731</f>
        <v/>
      </c>
      <c r="E17731">
        <f>TEST_DATA!E17731</f>
        <v/>
      </c>
    </row>
    <row r="17732">
      <c r="A17732">
        <f>TEST_DATA!A17732</f>
        <v/>
      </c>
      <c r="B17732">
        <f>TEST_DATA!B17732</f>
        <v/>
      </c>
      <c r="C17732">
        <f>TEST_DATA!C17732</f>
        <v/>
      </c>
      <c r="D17732">
        <f>TEST_DATA!D17732</f>
        <v/>
      </c>
      <c r="E17732">
        <f>TEST_DATA!E17732</f>
        <v/>
      </c>
    </row>
    <row r="17733">
      <c r="A17733">
        <f>TEST_DATA!A17733</f>
        <v/>
      </c>
      <c r="B17733">
        <f>TEST_DATA!B17733</f>
        <v/>
      </c>
      <c r="C17733">
        <f>TEST_DATA!C17733</f>
        <v/>
      </c>
      <c r="D17733">
        <f>TEST_DATA!D17733</f>
        <v/>
      </c>
      <c r="E17733">
        <f>TEST_DATA!E17733</f>
        <v/>
      </c>
    </row>
    <row r="17734">
      <c r="A17734">
        <f>TEST_DATA!A17734</f>
        <v/>
      </c>
      <c r="B17734">
        <f>TEST_DATA!B17734</f>
        <v/>
      </c>
      <c r="C17734">
        <f>TEST_DATA!C17734</f>
        <v/>
      </c>
      <c r="D17734">
        <f>TEST_DATA!D17734</f>
        <v/>
      </c>
      <c r="E17734">
        <f>TEST_DATA!E17734</f>
        <v/>
      </c>
    </row>
    <row r="17735">
      <c r="A17735">
        <f>TEST_DATA!A17735</f>
        <v/>
      </c>
      <c r="B17735">
        <f>TEST_DATA!B17735</f>
        <v/>
      </c>
      <c r="C17735">
        <f>TEST_DATA!C17735</f>
        <v/>
      </c>
      <c r="D17735">
        <f>TEST_DATA!D17735</f>
        <v/>
      </c>
      <c r="E17735">
        <f>TEST_DATA!E17735</f>
        <v/>
      </c>
    </row>
    <row r="17736">
      <c r="A17736">
        <f>TEST_DATA!A17736</f>
        <v/>
      </c>
      <c r="B17736">
        <f>TEST_DATA!B17736</f>
        <v/>
      </c>
      <c r="C17736">
        <f>TEST_DATA!C17736</f>
        <v/>
      </c>
      <c r="D17736">
        <f>TEST_DATA!D17736</f>
        <v/>
      </c>
      <c r="E17736">
        <f>TEST_DATA!E17736</f>
        <v/>
      </c>
    </row>
    <row r="17737">
      <c r="A17737">
        <f>TEST_DATA!A17737</f>
        <v/>
      </c>
      <c r="B17737">
        <f>TEST_DATA!B17737</f>
        <v/>
      </c>
      <c r="C17737">
        <f>TEST_DATA!C17737</f>
        <v/>
      </c>
      <c r="D17737">
        <f>TEST_DATA!D17737</f>
        <v/>
      </c>
      <c r="E17737">
        <f>TEST_DATA!E17737</f>
        <v/>
      </c>
    </row>
    <row r="17738">
      <c r="A17738">
        <f>TEST_DATA!A17738</f>
        <v/>
      </c>
      <c r="B17738">
        <f>TEST_DATA!B17738</f>
        <v/>
      </c>
      <c r="C17738">
        <f>TEST_DATA!C17738</f>
        <v/>
      </c>
      <c r="D17738">
        <f>TEST_DATA!D17738</f>
        <v/>
      </c>
      <c r="E17738">
        <f>TEST_DATA!E17738</f>
        <v/>
      </c>
    </row>
    <row r="17739">
      <c r="A17739">
        <f>TEST_DATA!A17739</f>
        <v/>
      </c>
      <c r="B17739">
        <f>TEST_DATA!B17739</f>
        <v/>
      </c>
      <c r="C17739">
        <f>TEST_DATA!C17739</f>
        <v/>
      </c>
      <c r="D17739">
        <f>TEST_DATA!D17739</f>
        <v/>
      </c>
      <c r="E17739">
        <f>TEST_DATA!E17739</f>
        <v/>
      </c>
    </row>
    <row r="17740">
      <c r="A17740">
        <f>TEST_DATA!A17740</f>
        <v/>
      </c>
      <c r="B17740">
        <f>TEST_DATA!B17740</f>
        <v/>
      </c>
      <c r="C17740">
        <f>TEST_DATA!C17740</f>
        <v/>
      </c>
      <c r="D17740">
        <f>TEST_DATA!D17740</f>
        <v/>
      </c>
      <c r="E17740">
        <f>TEST_DATA!E17740</f>
        <v/>
      </c>
    </row>
    <row r="17741">
      <c r="A17741">
        <f>TEST_DATA!A17741</f>
        <v/>
      </c>
      <c r="B17741">
        <f>TEST_DATA!B17741</f>
        <v/>
      </c>
      <c r="C17741">
        <f>TEST_DATA!C17741</f>
        <v/>
      </c>
      <c r="D17741">
        <f>TEST_DATA!D17741</f>
        <v/>
      </c>
      <c r="E17741">
        <f>TEST_DATA!E17741</f>
        <v/>
      </c>
    </row>
    <row r="17742">
      <c r="A17742">
        <f>TEST_DATA!A17742</f>
        <v/>
      </c>
      <c r="B17742">
        <f>TEST_DATA!B17742</f>
        <v/>
      </c>
      <c r="C17742">
        <f>TEST_DATA!C17742</f>
        <v/>
      </c>
      <c r="D17742">
        <f>TEST_DATA!D17742</f>
        <v/>
      </c>
      <c r="E17742">
        <f>TEST_DATA!E17742</f>
        <v/>
      </c>
    </row>
    <row r="17743">
      <c r="A17743">
        <f>TEST_DATA!A17743</f>
        <v/>
      </c>
      <c r="B17743">
        <f>TEST_DATA!B17743</f>
        <v/>
      </c>
      <c r="C17743">
        <f>TEST_DATA!C17743</f>
        <v/>
      </c>
      <c r="D17743">
        <f>TEST_DATA!D17743</f>
        <v/>
      </c>
      <c r="E17743">
        <f>TEST_DATA!E17743</f>
        <v/>
      </c>
    </row>
    <row r="17744">
      <c r="A17744">
        <f>TEST_DATA!A17744</f>
        <v/>
      </c>
      <c r="B17744">
        <f>TEST_DATA!B17744</f>
        <v/>
      </c>
      <c r="C17744">
        <f>TEST_DATA!C17744</f>
        <v/>
      </c>
      <c r="D17744">
        <f>TEST_DATA!D17744</f>
        <v/>
      </c>
      <c r="E17744">
        <f>TEST_DATA!E17744</f>
        <v/>
      </c>
    </row>
    <row r="17745">
      <c r="A17745">
        <f>TEST_DATA!A17745</f>
        <v/>
      </c>
      <c r="B17745">
        <f>TEST_DATA!B17745</f>
        <v/>
      </c>
      <c r="C17745">
        <f>TEST_DATA!C17745</f>
        <v/>
      </c>
      <c r="D17745">
        <f>TEST_DATA!D17745</f>
        <v/>
      </c>
      <c r="E17745">
        <f>TEST_DATA!E17745</f>
        <v/>
      </c>
    </row>
    <row r="17746">
      <c r="A17746">
        <f>TEST_DATA!A17746</f>
        <v/>
      </c>
      <c r="B17746">
        <f>TEST_DATA!B17746</f>
        <v/>
      </c>
      <c r="C17746">
        <f>TEST_DATA!C17746</f>
        <v/>
      </c>
      <c r="D17746">
        <f>TEST_DATA!D17746</f>
        <v/>
      </c>
      <c r="E17746">
        <f>TEST_DATA!E17746</f>
        <v/>
      </c>
    </row>
    <row r="17747">
      <c r="A17747">
        <f>TEST_DATA!A17747</f>
        <v/>
      </c>
      <c r="B17747">
        <f>TEST_DATA!B17747</f>
        <v/>
      </c>
      <c r="C17747">
        <f>TEST_DATA!C17747</f>
        <v/>
      </c>
      <c r="D17747">
        <f>TEST_DATA!D17747</f>
        <v/>
      </c>
      <c r="E17747">
        <f>TEST_DATA!E17747</f>
        <v/>
      </c>
    </row>
    <row r="17748">
      <c r="A17748">
        <f>TEST_DATA!A17748</f>
        <v/>
      </c>
      <c r="B17748">
        <f>TEST_DATA!B17748</f>
        <v/>
      </c>
      <c r="C17748">
        <f>TEST_DATA!C17748</f>
        <v/>
      </c>
      <c r="D17748">
        <f>TEST_DATA!D17748</f>
        <v/>
      </c>
      <c r="E17748">
        <f>TEST_DATA!E17748</f>
        <v/>
      </c>
    </row>
    <row r="17749">
      <c r="A17749">
        <f>TEST_DATA!A17749</f>
        <v/>
      </c>
      <c r="B17749">
        <f>TEST_DATA!B17749</f>
        <v/>
      </c>
      <c r="C17749">
        <f>TEST_DATA!C17749</f>
        <v/>
      </c>
      <c r="D17749">
        <f>TEST_DATA!D17749</f>
        <v/>
      </c>
      <c r="E17749">
        <f>TEST_DATA!E17749</f>
        <v/>
      </c>
    </row>
    <row r="17750">
      <c r="A17750">
        <f>TEST_DATA!A17750</f>
        <v/>
      </c>
      <c r="B17750">
        <f>TEST_DATA!B17750</f>
        <v/>
      </c>
      <c r="C17750">
        <f>TEST_DATA!C17750</f>
        <v/>
      </c>
      <c r="D17750">
        <f>TEST_DATA!D17750</f>
        <v/>
      </c>
      <c r="E17750">
        <f>TEST_DATA!E17750</f>
        <v/>
      </c>
    </row>
    <row r="17751">
      <c r="A17751">
        <f>TEST_DATA!A17751</f>
        <v/>
      </c>
      <c r="B17751">
        <f>TEST_DATA!B17751</f>
        <v/>
      </c>
      <c r="C17751">
        <f>TEST_DATA!C17751</f>
        <v/>
      </c>
      <c r="D17751">
        <f>TEST_DATA!D17751</f>
        <v/>
      </c>
      <c r="E17751">
        <f>TEST_DATA!E17751</f>
        <v/>
      </c>
    </row>
    <row r="17752">
      <c r="A17752">
        <f>TEST_DATA!A17752</f>
        <v/>
      </c>
      <c r="B17752">
        <f>TEST_DATA!B17752</f>
        <v/>
      </c>
      <c r="C17752">
        <f>TEST_DATA!C17752</f>
        <v/>
      </c>
      <c r="D17752">
        <f>TEST_DATA!D17752</f>
        <v/>
      </c>
      <c r="E17752">
        <f>TEST_DATA!E17752</f>
        <v/>
      </c>
    </row>
    <row r="17753">
      <c r="A17753">
        <f>TEST_DATA!A17753</f>
        <v/>
      </c>
      <c r="B17753">
        <f>TEST_DATA!B17753</f>
        <v/>
      </c>
      <c r="C17753">
        <f>TEST_DATA!C17753</f>
        <v/>
      </c>
      <c r="D17753">
        <f>TEST_DATA!D17753</f>
        <v/>
      </c>
      <c r="E17753">
        <f>TEST_DATA!E17753</f>
        <v/>
      </c>
    </row>
    <row r="17754">
      <c r="A17754">
        <f>TEST_DATA!A17754</f>
        <v/>
      </c>
      <c r="B17754">
        <f>TEST_DATA!B17754</f>
        <v/>
      </c>
      <c r="C17754">
        <f>TEST_DATA!C17754</f>
        <v/>
      </c>
      <c r="D17754">
        <f>TEST_DATA!D17754</f>
        <v/>
      </c>
      <c r="E17754">
        <f>TEST_DATA!E17754</f>
        <v/>
      </c>
    </row>
    <row r="17755">
      <c r="A17755">
        <f>TEST_DATA!A17755</f>
        <v/>
      </c>
      <c r="B17755">
        <f>TEST_DATA!B17755</f>
        <v/>
      </c>
      <c r="C17755">
        <f>TEST_DATA!C17755</f>
        <v/>
      </c>
      <c r="D17755">
        <f>TEST_DATA!D17755</f>
        <v/>
      </c>
      <c r="E17755">
        <f>TEST_DATA!E17755</f>
        <v/>
      </c>
    </row>
    <row r="17756">
      <c r="A17756">
        <f>TEST_DATA!A17756</f>
        <v/>
      </c>
      <c r="B17756">
        <f>TEST_DATA!B17756</f>
        <v/>
      </c>
      <c r="C17756">
        <f>TEST_DATA!C17756</f>
        <v/>
      </c>
      <c r="D17756">
        <f>TEST_DATA!D17756</f>
        <v/>
      </c>
      <c r="E17756">
        <f>TEST_DATA!E17756</f>
        <v/>
      </c>
    </row>
    <row r="17757">
      <c r="A17757">
        <f>TEST_DATA!A17757</f>
        <v/>
      </c>
      <c r="B17757">
        <f>TEST_DATA!B17757</f>
        <v/>
      </c>
      <c r="C17757">
        <f>TEST_DATA!C17757</f>
        <v/>
      </c>
      <c r="D17757">
        <f>TEST_DATA!D17757</f>
        <v/>
      </c>
      <c r="E17757">
        <f>TEST_DATA!E17757</f>
        <v/>
      </c>
    </row>
    <row r="17758">
      <c r="A17758">
        <f>TEST_DATA!A17758</f>
        <v/>
      </c>
      <c r="B17758">
        <f>TEST_DATA!B17758</f>
        <v/>
      </c>
      <c r="C17758">
        <f>TEST_DATA!C17758</f>
        <v/>
      </c>
      <c r="D17758">
        <f>TEST_DATA!D17758</f>
        <v/>
      </c>
      <c r="E17758">
        <f>TEST_DATA!E17758</f>
        <v/>
      </c>
    </row>
    <row r="17759">
      <c r="A17759">
        <f>TEST_DATA!A17759</f>
        <v/>
      </c>
      <c r="B17759">
        <f>TEST_DATA!B17759</f>
        <v/>
      </c>
      <c r="C17759">
        <f>TEST_DATA!C17759</f>
        <v/>
      </c>
      <c r="D17759">
        <f>TEST_DATA!D17759</f>
        <v/>
      </c>
      <c r="E17759">
        <f>TEST_DATA!E17759</f>
        <v/>
      </c>
    </row>
    <row r="17760">
      <c r="A17760">
        <f>TEST_DATA!A17760</f>
        <v/>
      </c>
      <c r="B17760">
        <f>TEST_DATA!B17760</f>
        <v/>
      </c>
      <c r="C17760">
        <f>TEST_DATA!C17760</f>
        <v/>
      </c>
      <c r="D17760">
        <f>TEST_DATA!D17760</f>
        <v/>
      </c>
      <c r="E17760">
        <f>TEST_DATA!E17760</f>
        <v/>
      </c>
    </row>
    <row r="17761">
      <c r="A17761">
        <f>TEST_DATA!A17761</f>
        <v/>
      </c>
      <c r="B17761">
        <f>TEST_DATA!B17761</f>
        <v/>
      </c>
      <c r="C17761">
        <f>TEST_DATA!C17761</f>
        <v/>
      </c>
      <c r="D17761">
        <f>TEST_DATA!D17761</f>
        <v/>
      </c>
      <c r="E17761">
        <f>TEST_DATA!E17761</f>
        <v/>
      </c>
    </row>
    <row r="17762">
      <c r="A17762">
        <f>TEST_DATA!A17762</f>
        <v/>
      </c>
      <c r="B17762">
        <f>TEST_DATA!B17762</f>
        <v/>
      </c>
      <c r="C17762">
        <f>TEST_DATA!C17762</f>
        <v/>
      </c>
      <c r="D17762">
        <f>TEST_DATA!D17762</f>
        <v/>
      </c>
      <c r="E17762">
        <f>TEST_DATA!E17762</f>
        <v/>
      </c>
    </row>
    <row r="17763">
      <c r="A17763">
        <f>TEST_DATA!A17763</f>
        <v/>
      </c>
      <c r="B17763">
        <f>TEST_DATA!B17763</f>
        <v/>
      </c>
      <c r="C17763">
        <f>TEST_DATA!C17763</f>
        <v/>
      </c>
      <c r="D17763">
        <f>TEST_DATA!D17763</f>
        <v/>
      </c>
      <c r="E17763">
        <f>TEST_DATA!E17763</f>
        <v/>
      </c>
    </row>
    <row r="17764">
      <c r="A17764">
        <f>TEST_DATA!A17764</f>
        <v/>
      </c>
      <c r="B17764">
        <f>TEST_DATA!B17764</f>
        <v/>
      </c>
      <c r="C17764">
        <f>TEST_DATA!C17764</f>
        <v/>
      </c>
      <c r="D17764">
        <f>TEST_DATA!D17764</f>
        <v/>
      </c>
      <c r="E17764">
        <f>TEST_DATA!E17764</f>
        <v/>
      </c>
    </row>
    <row r="17765">
      <c r="A17765">
        <f>TEST_DATA!A17765</f>
        <v/>
      </c>
      <c r="B17765">
        <f>TEST_DATA!B17765</f>
        <v/>
      </c>
      <c r="C17765">
        <f>TEST_DATA!C17765</f>
        <v/>
      </c>
      <c r="D17765">
        <f>TEST_DATA!D17765</f>
        <v/>
      </c>
      <c r="E17765">
        <f>TEST_DATA!E17765</f>
        <v/>
      </c>
    </row>
    <row r="17766">
      <c r="A17766">
        <f>TEST_DATA!A17766</f>
        <v/>
      </c>
      <c r="B17766">
        <f>TEST_DATA!B17766</f>
        <v/>
      </c>
      <c r="C17766">
        <f>TEST_DATA!C17766</f>
        <v/>
      </c>
      <c r="D17766">
        <f>TEST_DATA!D17766</f>
        <v/>
      </c>
      <c r="E17766">
        <f>TEST_DATA!E17766</f>
        <v/>
      </c>
    </row>
    <row r="17767">
      <c r="A17767">
        <f>TEST_DATA!A17767</f>
        <v/>
      </c>
      <c r="B17767">
        <f>TEST_DATA!B17767</f>
        <v/>
      </c>
      <c r="C17767">
        <f>TEST_DATA!C17767</f>
        <v/>
      </c>
      <c r="D17767">
        <f>TEST_DATA!D17767</f>
        <v/>
      </c>
      <c r="E17767">
        <f>TEST_DATA!E17767</f>
        <v/>
      </c>
    </row>
    <row r="17768">
      <c r="A17768">
        <f>TEST_DATA!A17768</f>
        <v/>
      </c>
      <c r="B17768">
        <f>TEST_DATA!B17768</f>
        <v/>
      </c>
      <c r="C17768">
        <f>TEST_DATA!C17768</f>
        <v/>
      </c>
      <c r="D17768">
        <f>TEST_DATA!D17768</f>
        <v/>
      </c>
      <c r="E17768">
        <f>TEST_DATA!E17768</f>
        <v/>
      </c>
    </row>
    <row r="17769">
      <c r="A17769">
        <f>TEST_DATA!A17769</f>
        <v/>
      </c>
      <c r="B17769">
        <f>TEST_DATA!B17769</f>
        <v/>
      </c>
      <c r="C17769">
        <f>TEST_DATA!C17769</f>
        <v/>
      </c>
      <c r="D17769">
        <f>TEST_DATA!D17769</f>
        <v/>
      </c>
      <c r="E17769">
        <f>TEST_DATA!E17769</f>
        <v/>
      </c>
    </row>
    <row r="17770">
      <c r="A17770">
        <f>TEST_DATA!A17770</f>
        <v/>
      </c>
      <c r="B17770">
        <f>TEST_DATA!B17770</f>
        <v/>
      </c>
      <c r="C17770">
        <f>TEST_DATA!C17770</f>
        <v/>
      </c>
      <c r="D17770">
        <f>TEST_DATA!D17770</f>
        <v/>
      </c>
      <c r="E17770">
        <f>TEST_DATA!E17770</f>
        <v/>
      </c>
    </row>
    <row r="17771">
      <c r="A17771">
        <f>TEST_DATA!A17771</f>
        <v/>
      </c>
      <c r="B17771">
        <f>TEST_DATA!B17771</f>
        <v/>
      </c>
      <c r="C17771">
        <f>TEST_DATA!C17771</f>
        <v/>
      </c>
      <c r="D17771">
        <f>TEST_DATA!D17771</f>
        <v/>
      </c>
      <c r="E17771">
        <f>TEST_DATA!E17771</f>
        <v/>
      </c>
    </row>
    <row r="17772">
      <c r="A17772">
        <f>TEST_DATA!A17772</f>
        <v/>
      </c>
      <c r="B17772">
        <f>TEST_DATA!B17772</f>
        <v/>
      </c>
      <c r="C17772">
        <f>TEST_DATA!C17772</f>
        <v/>
      </c>
      <c r="D17772">
        <f>TEST_DATA!D17772</f>
        <v/>
      </c>
      <c r="E17772">
        <f>TEST_DATA!E17772</f>
        <v/>
      </c>
    </row>
    <row r="17773">
      <c r="A17773">
        <f>TEST_DATA!A17773</f>
        <v/>
      </c>
      <c r="B17773">
        <f>TEST_DATA!B17773</f>
        <v/>
      </c>
      <c r="C17773">
        <f>TEST_DATA!C17773</f>
        <v/>
      </c>
      <c r="D17773">
        <f>TEST_DATA!D17773</f>
        <v/>
      </c>
      <c r="E17773">
        <f>TEST_DATA!E17773</f>
        <v/>
      </c>
    </row>
    <row r="17774">
      <c r="A17774">
        <f>TEST_DATA!A17774</f>
        <v/>
      </c>
      <c r="B17774">
        <f>TEST_DATA!B17774</f>
        <v/>
      </c>
      <c r="C17774">
        <f>TEST_DATA!C17774</f>
        <v/>
      </c>
      <c r="D17774">
        <f>TEST_DATA!D17774</f>
        <v/>
      </c>
      <c r="E17774">
        <f>TEST_DATA!E17774</f>
        <v/>
      </c>
    </row>
    <row r="17775">
      <c r="A17775">
        <f>TEST_DATA!A17775</f>
        <v/>
      </c>
      <c r="B17775">
        <f>TEST_DATA!B17775</f>
        <v/>
      </c>
      <c r="C17775">
        <f>TEST_DATA!C17775</f>
        <v/>
      </c>
      <c r="D17775">
        <f>TEST_DATA!D17775</f>
        <v/>
      </c>
      <c r="E17775">
        <f>TEST_DATA!E17775</f>
        <v/>
      </c>
    </row>
    <row r="17776">
      <c r="A17776">
        <f>TEST_DATA!A17776</f>
        <v/>
      </c>
      <c r="B17776">
        <f>TEST_DATA!B17776</f>
        <v/>
      </c>
      <c r="C17776">
        <f>TEST_DATA!C17776</f>
        <v/>
      </c>
      <c r="D17776">
        <f>TEST_DATA!D17776</f>
        <v/>
      </c>
      <c r="E17776">
        <f>TEST_DATA!E17776</f>
        <v/>
      </c>
    </row>
    <row r="17777">
      <c r="A17777">
        <f>TEST_DATA!A17777</f>
        <v/>
      </c>
      <c r="B17777">
        <f>TEST_DATA!B17777</f>
        <v/>
      </c>
      <c r="C17777">
        <f>TEST_DATA!C17777</f>
        <v/>
      </c>
      <c r="D17777">
        <f>TEST_DATA!D17777</f>
        <v/>
      </c>
      <c r="E17777">
        <f>TEST_DATA!E17777</f>
        <v/>
      </c>
    </row>
    <row r="17778">
      <c r="A17778">
        <f>TEST_DATA!A17778</f>
        <v/>
      </c>
      <c r="B17778">
        <f>TEST_DATA!B17778</f>
        <v/>
      </c>
      <c r="C17778">
        <f>TEST_DATA!C17778</f>
        <v/>
      </c>
      <c r="D17778">
        <f>TEST_DATA!D17778</f>
        <v/>
      </c>
      <c r="E17778">
        <f>TEST_DATA!E17778</f>
        <v/>
      </c>
    </row>
    <row r="17779">
      <c r="A17779">
        <f>TEST_DATA!A17779</f>
        <v/>
      </c>
      <c r="B17779">
        <f>TEST_DATA!B17779</f>
        <v/>
      </c>
      <c r="C17779">
        <f>TEST_DATA!C17779</f>
        <v/>
      </c>
      <c r="D17779">
        <f>TEST_DATA!D17779</f>
        <v/>
      </c>
      <c r="E17779">
        <f>TEST_DATA!E17779</f>
        <v/>
      </c>
    </row>
    <row r="17780">
      <c r="A17780">
        <f>TEST_DATA!A17780</f>
        <v/>
      </c>
      <c r="B17780">
        <f>TEST_DATA!B17780</f>
        <v/>
      </c>
      <c r="C17780">
        <f>TEST_DATA!C17780</f>
        <v/>
      </c>
      <c r="D17780">
        <f>TEST_DATA!D17780</f>
        <v/>
      </c>
      <c r="E17780">
        <f>TEST_DATA!E17780</f>
        <v/>
      </c>
    </row>
    <row r="17781">
      <c r="A17781">
        <f>TEST_DATA!A17781</f>
        <v/>
      </c>
      <c r="B17781">
        <f>TEST_DATA!B17781</f>
        <v/>
      </c>
      <c r="C17781">
        <f>TEST_DATA!C17781</f>
        <v/>
      </c>
      <c r="D17781">
        <f>TEST_DATA!D17781</f>
        <v/>
      </c>
      <c r="E17781">
        <f>TEST_DATA!E17781</f>
        <v/>
      </c>
    </row>
    <row r="17782">
      <c r="A17782">
        <f>TEST_DATA!A17782</f>
        <v/>
      </c>
      <c r="B17782">
        <f>TEST_DATA!B17782</f>
        <v/>
      </c>
      <c r="C17782">
        <f>TEST_DATA!C17782</f>
        <v/>
      </c>
      <c r="D17782">
        <f>TEST_DATA!D17782</f>
        <v/>
      </c>
      <c r="E17782">
        <f>TEST_DATA!E17782</f>
        <v/>
      </c>
    </row>
    <row r="17783">
      <c r="A17783">
        <f>TEST_DATA!A17783</f>
        <v/>
      </c>
      <c r="B17783">
        <f>TEST_DATA!B17783</f>
        <v/>
      </c>
      <c r="C17783">
        <f>TEST_DATA!C17783</f>
        <v/>
      </c>
      <c r="D17783">
        <f>TEST_DATA!D17783</f>
        <v/>
      </c>
      <c r="E17783">
        <f>TEST_DATA!E17783</f>
        <v/>
      </c>
    </row>
    <row r="17784">
      <c r="A17784">
        <f>TEST_DATA!A17784</f>
        <v/>
      </c>
      <c r="B17784">
        <f>TEST_DATA!B17784</f>
        <v/>
      </c>
      <c r="C17784">
        <f>TEST_DATA!C17784</f>
        <v/>
      </c>
      <c r="D17784">
        <f>TEST_DATA!D17784</f>
        <v/>
      </c>
      <c r="E17784">
        <f>TEST_DATA!E17784</f>
        <v/>
      </c>
    </row>
    <row r="17785">
      <c r="A17785">
        <f>TEST_DATA!A17785</f>
        <v/>
      </c>
      <c r="B17785">
        <f>TEST_DATA!B17785</f>
        <v/>
      </c>
      <c r="C17785">
        <f>TEST_DATA!C17785</f>
        <v/>
      </c>
      <c r="D17785">
        <f>TEST_DATA!D17785</f>
        <v/>
      </c>
      <c r="E17785">
        <f>TEST_DATA!E17785</f>
        <v/>
      </c>
    </row>
    <row r="17786">
      <c r="A17786">
        <f>TEST_DATA!A17786</f>
        <v/>
      </c>
      <c r="B17786">
        <f>TEST_DATA!B17786</f>
        <v/>
      </c>
      <c r="C17786">
        <f>TEST_DATA!C17786</f>
        <v/>
      </c>
      <c r="D17786">
        <f>TEST_DATA!D17786</f>
        <v/>
      </c>
      <c r="E17786">
        <f>TEST_DATA!E17786</f>
        <v/>
      </c>
    </row>
    <row r="17787">
      <c r="A17787">
        <f>TEST_DATA!A17787</f>
        <v/>
      </c>
      <c r="B17787">
        <f>TEST_DATA!B17787</f>
        <v/>
      </c>
      <c r="C17787">
        <f>TEST_DATA!C17787</f>
        <v/>
      </c>
      <c r="D17787">
        <f>TEST_DATA!D17787</f>
        <v/>
      </c>
      <c r="E17787">
        <f>TEST_DATA!E17787</f>
        <v/>
      </c>
    </row>
    <row r="17788">
      <c r="A17788">
        <f>TEST_DATA!A17788</f>
        <v/>
      </c>
      <c r="B17788">
        <f>TEST_DATA!B17788</f>
        <v/>
      </c>
      <c r="C17788">
        <f>TEST_DATA!C17788</f>
        <v/>
      </c>
      <c r="D17788">
        <f>TEST_DATA!D17788</f>
        <v/>
      </c>
      <c r="E17788">
        <f>TEST_DATA!E17788</f>
        <v/>
      </c>
    </row>
    <row r="17789">
      <c r="A17789">
        <f>TEST_DATA!A17789</f>
        <v/>
      </c>
      <c r="B17789">
        <f>TEST_DATA!B17789</f>
        <v/>
      </c>
      <c r="C17789">
        <f>TEST_DATA!C17789</f>
        <v/>
      </c>
      <c r="D17789">
        <f>TEST_DATA!D17789</f>
        <v/>
      </c>
      <c r="E17789">
        <f>TEST_DATA!E17789</f>
        <v/>
      </c>
    </row>
    <row r="17790">
      <c r="A17790">
        <f>TEST_DATA!A17790</f>
        <v/>
      </c>
      <c r="B17790">
        <f>TEST_DATA!B17790</f>
        <v/>
      </c>
      <c r="C17790">
        <f>TEST_DATA!C17790</f>
        <v/>
      </c>
      <c r="D17790">
        <f>TEST_DATA!D17790</f>
        <v/>
      </c>
      <c r="E17790">
        <f>TEST_DATA!E17790</f>
        <v/>
      </c>
    </row>
    <row r="17791">
      <c r="A17791">
        <f>TEST_DATA!A17791</f>
        <v/>
      </c>
      <c r="B17791">
        <f>TEST_DATA!B17791</f>
        <v/>
      </c>
      <c r="C17791">
        <f>TEST_DATA!C17791</f>
        <v/>
      </c>
      <c r="D17791">
        <f>TEST_DATA!D17791</f>
        <v/>
      </c>
      <c r="E17791">
        <f>TEST_DATA!E17791</f>
        <v/>
      </c>
    </row>
    <row r="17792">
      <c r="A17792">
        <f>TEST_DATA!A17792</f>
        <v/>
      </c>
      <c r="B17792">
        <f>TEST_DATA!B17792</f>
        <v/>
      </c>
      <c r="C17792">
        <f>TEST_DATA!C17792</f>
        <v/>
      </c>
      <c r="D17792">
        <f>TEST_DATA!D17792</f>
        <v/>
      </c>
      <c r="E17792">
        <f>TEST_DATA!E17792</f>
        <v/>
      </c>
    </row>
    <row r="17793">
      <c r="A17793">
        <f>TEST_DATA!A17793</f>
        <v/>
      </c>
      <c r="B17793">
        <f>TEST_DATA!B17793</f>
        <v/>
      </c>
      <c r="C17793">
        <f>TEST_DATA!C17793</f>
        <v/>
      </c>
      <c r="D17793">
        <f>TEST_DATA!D17793</f>
        <v/>
      </c>
      <c r="E17793">
        <f>TEST_DATA!E17793</f>
        <v/>
      </c>
    </row>
    <row r="17794">
      <c r="A17794">
        <f>TEST_DATA!A17794</f>
        <v/>
      </c>
      <c r="B17794">
        <f>TEST_DATA!B17794</f>
        <v/>
      </c>
      <c r="C17794">
        <f>TEST_DATA!C17794</f>
        <v/>
      </c>
      <c r="D17794">
        <f>TEST_DATA!D17794</f>
        <v/>
      </c>
      <c r="E17794">
        <f>TEST_DATA!E17794</f>
        <v/>
      </c>
    </row>
    <row r="17795">
      <c r="A17795">
        <f>TEST_DATA!A17795</f>
        <v/>
      </c>
      <c r="B17795">
        <f>TEST_DATA!B17795</f>
        <v/>
      </c>
      <c r="C17795">
        <f>TEST_DATA!C17795</f>
        <v/>
      </c>
      <c r="D17795">
        <f>TEST_DATA!D17795</f>
        <v/>
      </c>
      <c r="E17795">
        <f>TEST_DATA!E17795</f>
        <v/>
      </c>
    </row>
    <row r="17796">
      <c r="A17796">
        <f>TEST_DATA!A17796</f>
        <v/>
      </c>
      <c r="B17796">
        <f>TEST_DATA!B17796</f>
        <v/>
      </c>
      <c r="C17796">
        <f>TEST_DATA!C17796</f>
        <v/>
      </c>
      <c r="D17796">
        <f>TEST_DATA!D17796</f>
        <v/>
      </c>
      <c r="E17796">
        <f>TEST_DATA!E17796</f>
        <v/>
      </c>
    </row>
    <row r="17797">
      <c r="A17797">
        <f>TEST_DATA!A17797</f>
        <v/>
      </c>
      <c r="B17797">
        <f>TEST_DATA!B17797</f>
        <v/>
      </c>
      <c r="C17797">
        <f>TEST_DATA!C17797</f>
        <v/>
      </c>
      <c r="D17797">
        <f>TEST_DATA!D17797</f>
        <v/>
      </c>
      <c r="E17797">
        <f>TEST_DATA!E17797</f>
        <v/>
      </c>
    </row>
    <row r="17798">
      <c r="A17798">
        <f>TEST_DATA!A17798</f>
        <v/>
      </c>
      <c r="B17798">
        <f>TEST_DATA!B17798</f>
        <v/>
      </c>
      <c r="C17798">
        <f>TEST_DATA!C17798</f>
        <v/>
      </c>
      <c r="D17798">
        <f>TEST_DATA!D17798</f>
        <v/>
      </c>
      <c r="E17798">
        <f>TEST_DATA!E17798</f>
        <v/>
      </c>
    </row>
    <row r="17799">
      <c r="A17799">
        <f>TEST_DATA!A17799</f>
        <v/>
      </c>
      <c r="B17799">
        <f>TEST_DATA!B17799</f>
        <v/>
      </c>
      <c r="C17799">
        <f>TEST_DATA!C17799</f>
        <v/>
      </c>
      <c r="D17799">
        <f>TEST_DATA!D17799</f>
        <v/>
      </c>
      <c r="E17799">
        <f>TEST_DATA!E17799</f>
        <v/>
      </c>
    </row>
    <row r="17800">
      <c r="A17800">
        <f>TEST_DATA!A17800</f>
        <v/>
      </c>
      <c r="B17800">
        <f>TEST_DATA!B17800</f>
        <v/>
      </c>
      <c r="C17800">
        <f>TEST_DATA!C17800</f>
        <v/>
      </c>
      <c r="D17800">
        <f>TEST_DATA!D17800</f>
        <v/>
      </c>
      <c r="E17800">
        <f>TEST_DATA!E17800</f>
        <v/>
      </c>
    </row>
    <row r="17801">
      <c r="A17801">
        <f>TEST_DATA!A17801</f>
        <v/>
      </c>
      <c r="B17801">
        <f>TEST_DATA!B17801</f>
        <v/>
      </c>
      <c r="C17801">
        <f>TEST_DATA!C17801</f>
        <v/>
      </c>
      <c r="D17801">
        <f>TEST_DATA!D17801</f>
        <v/>
      </c>
      <c r="E17801">
        <f>TEST_DATA!E17801</f>
        <v/>
      </c>
    </row>
    <row r="17802">
      <c r="A17802">
        <f>TEST_DATA!A17802</f>
        <v/>
      </c>
      <c r="B17802">
        <f>TEST_DATA!B17802</f>
        <v/>
      </c>
      <c r="C17802">
        <f>TEST_DATA!C17802</f>
        <v/>
      </c>
      <c r="D17802">
        <f>TEST_DATA!D17802</f>
        <v/>
      </c>
      <c r="E17802">
        <f>TEST_DATA!E17802</f>
        <v/>
      </c>
    </row>
    <row r="17803">
      <c r="A17803">
        <f>TEST_DATA!A17803</f>
        <v/>
      </c>
      <c r="B17803">
        <f>TEST_DATA!B17803</f>
        <v/>
      </c>
      <c r="C17803">
        <f>TEST_DATA!C17803</f>
        <v/>
      </c>
      <c r="D17803">
        <f>TEST_DATA!D17803</f>
        <v/>
      </c>
      <c r="E17803">
        <f>TEST_DATA!E17803</f>
        <v/>
      </c>
    </row>
    <row r="17804">
      <c r="A17804">
        <f>TEST_DATA!A17804</f>
        <v/>
      </c>
      <c r="B17804">
        <f>TEST_DATA!B17804</f>
        <v/>
      </c>
      <c r="C17804">
        <f>TEST_DATA!C17804</f>
        <v/>
      </c>
      <c r="D17804">
        <f>TEST_DATA!D17804</f>
        <v/>
      </c>
      <c r="E17804">
        <f>TEST_DATA!E17804</f>
        <v/>
      </c>
    </row>
    <row r="17805">
      <c r="A17805">
        <f>TEST_DATA!A17805</f>
        <v/>
      </c>
      <c r="B17805">
        <f>TEST_DATA!B17805</f>
        <v/>
      </c>
      <c r="C17805">
        <f>TEST_DATA!C17805</f>
        <v/>
      </c>
      <c r="D17805">
        <f>TEST_DATA!D17805</f>
        <v/>
      </c>
      <c r="E17805">
        <f>TEST_DATA!E17805</f>
        <v/>
      </c>
    </row>
    <row r="17806">
      <c r="A17806">
        <f>TEST_DATA!A17806</f>
        <v/>
      </c>
      <c r="B17806">
        <f>TEST_DATA!B17806</f>
        <v/>
      </c>
      <c r="C17806">
        <f>TEST_DATA!C17806</f>
        <v/>
      </c>
      <c r="D17806">
        <f>TEST_DATA!D17806</f>
        <v/>
      </c>
      <c r="E17806">
        <f>TEST_DATA!E17806</f>
        <v/>
      </c>
    </row>
    <row r="17807">
      <c r="A17807">
        <f>TEST_DATA!A17807</f>
        <v/>
      </c>
      <c r="B17807">
        <f>TEST_DATA!B17807</f>
        <v/>
      </c>
      <c r="C17807">
        <f>TEST_DATA!C17807</f>
        <v/>
      </c>
      <c r="D17807">
        <f>TEST_DATA!D17807</f>
        <v/>
      </c>
      <c r="E17807">
        <f>TEST_DATA!E17807</f>
        <v/>
      </c>
    </row>
    <row r="17808">
      <c r="A17808">
        <f>TEST_DATA!A17808</f>
        <v/>
      </c>
      <c r="B17808">
        <f>TEST_DATA!B17808</f>
        <v/>
      </c>
      <c r="C17808">
        <f>TEST_DATA!C17808</f>
        <v/>
      </c>
      <c r="D17808">
        <f>TEST_DATA!D17808</f>
        <v/>
      </c>
      <c r="E17808">
        <f>TEST_DATA!E17808</f>
        <v/>
      </c>
    </row>
    <row r="17809">
      <c r="A17809">
        <f>TEST_DATA!A17809</f>
        <v/>
      </c>
      <c r="B17809">
        <f>TEST_DATA!B17809</f>
        <v/>
      </c>
      <c r="C17809">
        <f>TEST_DATA!C17809</f>
        <v/>
      </c>
      <c r="D17809">
        <f>TEST_DATA!D17809</f>
        <v/>
      </c>
      <c r="E17809">
        <f>TEST_DATA!E17809</f>
        <v/>
      </c>
    </row>
    <row r="17810">
      <c r="A17810">
        <f>TEST_DATA!A17810</f>
        <v/>
      </c>
      <c r="B17810">
        <f>TEST_DATA!B17810</f>
        <v/>
      </c>
      <c r="C17810">
        <f>TEST_DATA!C17810</f>
        <v/>
      </c>
      <c r="D17810">
        <f>TEST_DATA!D17810</f>
        <v/>
      </c>
      <c r="E17810">
        <f>TEST_DATA!E17810</f>
        <v/>
      </c>
    </row>
    <row r="17811">
      <c r="A17811">
        <f>TEST_DATA!A17811</f>
        <v/>
      </c>
      <c r="B17811">
        <f>TEST_DATA!B17811</f>
        <v/>
      </c>
      <c r="C17811">
        <f>TEST_DATA!C17811</f>
        <v/>
      </c>
      <c r="D17811">
        <f>TEST_DATA!D17811</f>
        <v/>
      </c>
      <c r="E17811">
        <f>TEST_DATA!E17811</f>
        <v/>
      </c>
    </row>
    <row r="17812">
      <c r="A17812">
        <f>TEST_DATA!A17812</f>
        <v/>
      </c>
      <c r="B17812">
        <f>TEST_DATA!B17812</f>
        <v/>
      </c>
      <c r="C17812">
        <f>TEST_DATA!C17812</f>
        <v/>
      </c>
      <c r="D17812">
        <f>TEST_DATA!D17812</f>
        <v/>
      </c>
      <c r="E17812">
        <f>TEST_DATA!E17812</f>
        <v/>
      </c>
    </row>
    <row r="17813">
      <c r="A17813">
        <f>TEST_DATA!A17813</f>
        <v/>
      </c>
      <c r="B17813">
        <f>TEST_DATA!B17813</f>
        <v/>
      </c>
      <c r="C17813">
        <f>TEST_DATA!C17813</f>
        <v/>
      </c>
      <c r="D17813">
        <f>TEST_DATA!D17813</f>
        <v/>
      </c>
      <c r="E17813">
        <f>TEST_DATA!E17813</f>
        <v/>
      </c>
    </row>
    <row r="17814">
      <c r="A17814">
        <f>TEST_DATA!A17814</f>
        <v/>
      </c>
      <c r="B17814">
        <f>TEST_DATA!B17814</f>
        <v/>
      </c>
      <c r="C17814">
        <f>TEST_DATA!C17814</f>
        <v/>
      </c>
      <c r="D17814">
        <f>TEST_DATA!D17814</f>
        <v/>
      </c>
      <c r="E17814">
        <f>TEST_DATA!E17814</f>
        <v/>
      </c>
    </row>
    <row r="17815">
      <c r="A17815">
        <f>TEST_DATA!A17815</f>
        <v/>
      </c>
      <c r="B17815">
        <f>TEST_DATA!B17815</f>
        <v/>
      </c>
      <c r="C17815">
        <f>TEST_DATA!C17815</f>
        <v/>
      </c>
      <c r="D17815">
        <f>TEST_DATA!D17815</f>
        <v/>
      </c>
      <c r="E17815">
        <f>TEST_DATA!E17815</f>
        <v/>
      </c>
    </row>
    <row r="17816">
      <c r="A17816">
        <f>TEST_DATA!A17816</f>
        <v/>
      </c>
      <c r="B17816">
        <f>TEST_DATA!B17816</f>
        <v/>
      </c>
      <c r="C17816">
        <f>TEST_DATA!C17816</f>
        <v/>
      </c>
      <c r="D17816">
        <f>TEST_DATA!D17816</f>
        <v/>
      </c>
      <c r="E17816">
        <f>TEST_DATA!E17816</f>
        <v/>
      </c>
    </row>
    <row r="17817">
      <c r="A17817">
        <f>TEST_DATA!A17817</f>
        <v/>
      </c>
      <c r="B17817">
        <f>TEST_DATA!B17817</f>
        <v/>
      </c>
      <c r="C17817">
        <f>TEST_DATA!C17817</f>
        <v/>
      </c>
      <c r="D17817">
        <f>TEST_DATA!D17817</f>
        <v/>
      </c>
      <c r="E17817">
        <f>TEST_DATA!E17817</f>
        <v/>
      </c>
    </row>
    <row r="17818">
      <c r="A17818">
        <f>TEST_DATA!A17818</f>
        <v/>
      </c>
      <c r="B17818">
        <f>TEST_DATA!B17818</f>
        <v/>
      </c>
      <c r="C17818">
        <f>TEST_DATA!C17818</f>
        <v/>
      </c>
      <c r="D17818">
        <f>TEST_DATA!D17818</f>
        <v/>
      </c>
      <c r="E17818">
        <f>TEST_DATA!E17818</f>
        <v/>
      </c>
    </row>
    <row r="17819">
      <c r="A17819">
        <f>TEST_DATA!A17819</f>
        <v/>
      </c>
      <c r="B17819">
        <f>TEST_DATA!B17819</f>
        <v/>
      </c>
      <c r="C17819">
        <f>TEST_DATA!C17819</f>
        <v/>
      </c>
      <c r="D17819">
        <f>TEST_DATA!D17819</f>
        <v/>
      </c>
      <c r="E17819">
        <f>TEST_DATA!E17819</f>
        <v/>
      </c>
    </row>
    <row r="17820">
      <c r="A17820">
        <f>TEST_DATA!A17820</f>
        <v/>
      </c>
      <c r="B17820">
        <f>TEST_DATA!B17820</f>
        <v/>
      </c>
      <c r="C17820">
        <f>TEST_DATA!C17820</f>
        <v/>
      </c>
      <c r="D17820">
        <f>TEST_DATA!D17820</f>
        <v/>
      </c>
      <c r="E17820">
        <f>TEST_DATA!E17820</f>
        <v/>
      </c>
    </row>
    <row r="17821">
      <c r="A17821">
        <f>TEST_DATA!A17821</f>
        <v/>
      </c>
      <c r="B17821">
        <f>TEST_DATA!B17821</f>
        <v/>
      </c>
      <c r="C17821">
        <f>TEST_DATA!C17821</f>
        <v/>
      </c>
      <c r="D17821">
        <f>TEST_DATA!D17821</f>
        <v/>
      </c>
      <c r="E17821">
        <f>TEST_DATA!E17821</f>
        <v/>
      </c>
    </row>
    <row r="17822">
      <c r="A17822">
        <f>TEST_DATA!A17822</f>
        <v/>
      </c>
      <c r="B17822">
        <f>TEST_DATA!B17822</f>
        <v/>
      </c>
      <c r="C17822">
        <f>TEST_DATA!C17822</f>
        <v/>
      </c>
      <c r="D17822">
        <f>TEST_DATA!D17822</f>
        <v/>
      </c>
      <c r="E17822">
        <f>TEST_DATA!E17822</f>
        <v/>
      </c>
    </row>
    <row r="17823">
      <c r="A17823">
        <f>TEST_DATA!A17823</f>
        <v/>
      </c>
      <c r="B17823">
        <f>TEST_DATA!B17823</f>
        <v/>
      </c>
      <c r="C17823">
        <f>TEST_DATA!C17823</f>
        <v/>
      </c>
      <c r="D17823">
        <f>TEST_DATA!D17823</f>
        <v/>
      </c>
      <c r="E17823">
        <f>TEST_DATA!E17823</f>
        <v/>
      </c>
    </row>
    <row r="17824">
      <c r="A17824">
        <f>TEST_DATA!A17824</f>
        <v/>
      </c>
      <c r="B17824">
        <f>TEST_DATA!B17824</f>
        <v/>
      </c>
      <c r="C17824">
        <f>TEST_DATA!C17824</f>
        <v/>
      </c>
      <c r="D17824">
        <f>TEST_DATA!D17824</f>
        <v/>
      </c>
      <c r="E17824">
        <f>TEST_DATA!E17824</f>
        <v/>
      </c>
    </row>
    <row r="17825">
      <c r="A17825">
        <f>TEST_DATA!A17825</f>
        <v/>
      </c>
      <c r="B17825">
        <f>TEST_DATA!B17825</f>
        <v/>
      </c>
      <c r="C17825">
        <f>TEST_DATA!C17825</f>
        <v/>
      </c>
      <c r="D17825">
        <f>TEST_DATA!D17825</f>
        <v/>
      </c>
      <c r="E17825">
        <f>TEST_DATA!E17825</f>
        <v/>
      </c>
    </row>
    <row r="17826">
      <c r="A17826">
        <f>TEST_DATA!A17826</f>
        <v/>
      </c>
      <c r="B17826">
        <f>TEST_DATA!B17826</f>
        <v/>
      </c>
      <c r="C17826">
        <f>TEST_DATA!C17826</f>
        <v/>
      </c>
      <c r="D17826">
        <f>TEST_DATA!D17826</f>
        <v/>
      </c>
      <c r="E17826">
        <f>TEST_DATA!E17826</f>
        <v/>
      </c>
    </row>
    <row r="17827">
      <c r="A17827">
        <f>TEST_DATA!A17827</f>
        <v/>
      </c>
      <c r="B17827">
        <f>TEST_DATA!B17827</f>
        <v/>
      </c>
      <c r="C17827">
        <f>TEST_DATA!C17827</f>
        <v/>
      </c>
      <c r="D17827">
        <f>TEST_DATA!D17827</f>
        <v/>
      </c>
      <c r="E17827">
        <f>TEST_DATA!E17827</f>
        <v/>
      </c>
    </row>
    <row r="17828">
      <c r="A17828">
        <f>TEST_DATA!A17828</f>
        <v/>
      </c>
      <c r="B17828">
        <f>TEST_DATA!B17828</f>
        <v/>
      </c>
      <c r="C17828">
        <f>TEST_DATA!C17828</f>
        <v/>
      </c>
      <c r="D17828">
        <f>TEST_DATA!D17828</f>
        <v/>
      </c>
      <c r="E17828">
        <f>TEST_DATA!E17828</f>
        <v/>
      </c>
    </row>
    <row r="17829">
      <c r="A17829">
        <f>TEST_DATA!A17829</f>
        <v/>
      </c>
      <c r="B17829">
        <f>TEST_DATA!B17829</f>
        <v/>
      </c>
      <c r="C17829">
        <f>TEST_DATA!C17829</f>
        <v/>
      </c>
      <c r="D17829">
        <f>TEST_DATA!D17829</f>
        <v/>
      </c>
      <c r="E17829">
        <f>TEST_DATA!E17829</f>
        <v/>
      </c>
    </row>
    <row r="17830">
      <c r="A17830">
        <f>TEST_DATA!A17830</f>
        <v/>
      </c>
      <c r="B17830">
        <f>TEST_DATA!B17830</f>
        <v/>
      </c>
      <c r="C17830">
        <f>TEST_DATA!C17830</f>
        <v/>
      </c>
      <c r="D17830">
        <f>TEST_DATA!D17830</f>
        <v/>
      </c>
      <c r="E17830">
        <f>TEST_DATA!E17830</f>
        <v/>
      </c>
    </row>
    <row r="17831">
      <c r="A17831">
        <f>TEST_DATA!A17831</f>
        <v/>
      </c>
      <c r="B17831">
        <f>TEST_DATA!B17831</f>
        <v/>
      </c>
      <c r="C17831">
        <f>TEST_DATA!C17831</f>
        <v/>
      </c>
      <c r="D17831">
        <f>TEST_DATA!D17831</f>
        <v/>
      </c>
      <c r="E17831">
        <f>TEST_DATA!E17831</f>
        <v/>
      </c>
    </row>
    <row r="17832">
      <c r="A17832">
        <f>TEST_DATA!A17832</f>
        <v/>
      </c>
      <c r="B17832">
        <f>TEST_DATA!B17832</f>
        <v/>
      </c>
      <c r="C17832">
        <f>TEST_DATA!C17832</f>
        <v/>
      </c>
      <c r="D17832">
        <f>TEST_DATA!D17832</f>
        <v/>
      </c>
      <c r="E17832">
        <f>TEST_DATA!E17832</f>
        <v/>
      </c>
    </row>
    <row r="17833">
      <c r="A17833">
        <f>TEST_DATA!A17833</f>
        <v/>
      </c>
      <c r="B17833">
        <f>TEST_DATA!B17833</f>
        <v/>
      </c>
      <c r="C17833">
        <f>TEST_DATA!C17833</f>
        <v/>
      </c>
      <c r="D17833">
        <f>TEST_DATA!D17833</f>
        <v/>
      </c>
      <c r="E17833">
        <f>TEST_DATA!E17833</f>
        <v/>
      </c>
    </row>
    <row r="17834">
      <c r="A17834">
        <f>TEST_DATA!A17834</f>
        <v/>
      </c>
      <c r="B17834">
        <f>TEST_DATA!B17834</f>
        <v/>
      </c>
      <c r="C17834">
        <f>TEST_DATA!C17834</f>
        <v/>
      </c>
      <c r="D17834">
        <f>TEST_DATA!D17834</f>
        <v/>
      </c>
      <c r="E17834">
        <f>TEST_DATA!E17834</f>
        <v/>
      </c>
    </row>
    <row r="17835">
      <c r="A17835">
        <f>TEST_DATA!A17835</f>
        <v/>
      </c>
      <c r="B17835">
        <f>TEST_DATA!B17835</f>
        <v/>
      </c>
      <c r="C17835">
        <f>TEST_DATA!C17835</f>
        <v/>
      </c>
      <c r="D17835">
        <f>TEST_DATA!D17835</f>
        <v/>
      </c>
      <c r="E17835">
        <f>TEST_DATA!E17835</f>
        <v/>
      </c>
    </row>
    <row r="17836">
      <c r="A17836">
        <f>TEST_DATA!A17836</f>
        <v/>
      </c>
      <c r="B17836">
        <f>TEST_DATA!B17836</f>
        <v/>
      </c>
      <c r="C17836">
        <f>TEST_DATA!C17836</f>
        <v/>
      </c>
      <c r="D17836">
        <f>TEST_DATA!D17836</f>
        <v/>
      </c>
      <c r="E17836">
        <f>TEST_DATA!E17836</f>
        <v/>
      </c>
    </row>
    <row r="17837">
      <c r="A17837">
        <f>TEST_DATA!A17837</f>
        <v/>
      </c>
      <c r="B17837">
        <f>TEST_DATA!B17837</f>
        <v/>
      </c>
      <c r="C17837">
        <f>TEST_DATA!C17837</f>
        <v/>
      </c>
      <c r="D17837">
        <f>TEST_DATA!D17837</f>
        <v/>
      </c>
      <c r="E17837">
        <f>TEST_DATA!E17837</f>
        <v/>
      </c>
    </row>
    <row r="17838">
      <c r="A17838">
        <f>TEST_DATA!A17838</f>
        <v/>
      </c>
      <c r="B17838">
        <f>TEST_DATA!B17838</f>
        <v/>
      </c>
      <c r="C17838">
        <f>TEST_DATA!C17838</f>
        <v/>
      </c>
      <c r="D17838">
        <f>TEST_DATA!D17838</f>
        <v/>
      </c>
      <c r="E17838">
        <f>TEST_DATA!E17838</f>
        <v/>
      </c>
    </row>
    <row r="17839">
      <c r="A17839">
        <f>TEST_DATA!A17839</f>
        <v/>
      </c>
      <c r="B17839">
        <f>TEST_DATA!B17839</f>
        <v/>
      </c>
      <c r="C17839">
        <f>TEST_DATA!C17839</f>
        <v/>
      </c>
      <c r="D17839">
        <f>TEST_DATA!D17839</f>
        <v/>
      </c>
      <c r="E17839">
        <f>TEST_DATA!E17839</f>
        <v/>
      </c>
    </row>
    <row r="17840">
      <c r="A17840">
        <f>TEST_DATA!A17840</f>
        <v/>
      </c>
      <c r="B17840">
        <f>TEST_DATA!B17840</f>
        <v/>
      </c>
      <c r="C17840">
        <f>TEST_DATA!C17840</f>
        <v/>
      </c>
      <c r="D17840">
        <f>TEST_DATA!D17840</f>
        <v/>
      </c>
      <c r="E17840">
        <f>TEST_DATA!E17840</f>
        <v/>
      </c>
    </row>
    <row r="17841">
      <c r="A17841">
        <f>TEST_DATA!A17841</f>
        <v/>
      </c>
      <c r="B17841">
        <f>TEST_DATA!B17841</f>
        <v/>
      </c>
      <c r="C17841">
        <f>TEST_DATA!C17841</f>
        <v/>
      </c>
      <c r="D17841">
        <f>TEST_DATA!D17841</f>
        <v/>
      </c>
      <c r="E17841">
        <f>TEST_DATA!E17841</f>
        <v/>
      </c>
    </row>
    <row r="17842">
      <c r="A17842">
        <f>TEST_DATA!A17842</f>
        <v/>
      </c>
      <c r="B17842">
        <f>TEST_DATA!B17842</f>
        <v/>
      </c>
      <c r="C17842">
        <f>TEST_DATA!C17842</f>
        <v/>
      </c>
      <c r="D17842">
        <f>TEST_DATA!D17842</f>
        <v/>
      </c>
      <c r="E17842">
        <f>TEST_DATA!E17842</f>
        <v/>
      </c>
    </row>
    <row r="17843">
      <c r="A17843">
        <f>TEST_DATA!A17843</f>
        <v/>
      </c>
      <c r="B17843">
        <f>TEST_DATA!B17843</f>
        <v/>
      </c>
      <c r="C17843">
        <f>TEST_DATA!C17843</f>
        <v/>
      </c>
      <c r="D17843">
        <f>TEST_DATA!D17843</f>
        <v/>
      </c>
      <c r="E17843">
        <f>TEST_DATA!E17843</f>
        <v/>
      </c>
    </row>
    <row r="17844">
      <c r="A17844">
        <f>TEST_DATA!A17844</f>
        <v/>
      </c>
      <c r="B17844">
        <f>TEST_DATA!B17844</f>
        <v/>
      </c>
      <c r="C17844">
        <f>TEST_DATA!C17844</f>
        <v/>
      </c>
      <c r="D17844">
        <f>TEST_DATA!D17844</f>
        <v/>
      </c>
      <c r="E17844">
        <f>TEST_DATA!E17844</f>
        <v/>
      </c>
    </row>
    <row r="17845">
      <c r="A17845">
        <f>TEST_DATA!A17845</f>
        <v/>
      </c>
      <c r="B17845">
        <f>TEST_DATA!B17845</f>
        <v/>
      </c>
      <c r="C17845">
        <f>TEST_DATA!C17845</f>
        <v/>
      </c>
      <c r="D17845">
        <f>TEST_DATA!D17845</f>
        <v/>
      </c>
      <c r="E17845">
        <f>TEST_DATA!E17845</f>
        <v/>
      </c>
    </row>
    <row r="17846">
      <c r="A17846">
        <f>TEST_DATA!A17846</f>
        <v/>
      </c>
      <c r="B17846">
        <f>TEST_DATA!B17846</f>
        <v/>
      </c>
      <c r="C17846">
        <f>TEST_DATA!C17846</f>
        <v/>
      </c>
      <c r="D17846">
        <f>TEST_DATA!D17846</f>
        <v/>
      </c>
      <c r="E17846">
        <f>TEST_DATA!E17846</f>
        <v/>
      </c>
    </row>
    <row r="17847">
      <c r="A17847">
        <f>TEST_DATA!A17847</f>
        <v/>
      </c>
      <c r="B17847">
        <f>TEST_DATA!B17847</f>
        <v/>
      </c>
      <c r="C17847">
        <f>TEST_DATA!C17847</f>
        <v/>
      </c>
      <c r="D17847">
        <f>TEST_DATA!D17847</f>
        <v/>
      </c>
      <c r="E17847">
        <f>TEST_DATA!E17847</f>
        <v/>
      </c>
    </row>
    <row r="17848">
      <c r="A17848">
        <f>TEST_DATA!A17848</f>
        <v/>
      </c>
      <c r="B17848">
        <f>TEST_DATA!B17848</f>
        <v/>
      </c>
      <c r="C17848">
        <f>TEST_DATA!C17848</f>
        <v/>
      </c>
      <c r="D17848">
        <f>TEST_DATA!D17848</f>
        <v/>
      </c>
      <c r="E17848">
        <f>TEST_DATA!E17848</f>
        <v/>
      </c>
    </row>
    <row r="17849">
      <c r="A17849">
        <f>TEST_DATA!A17849</f>
        <v/>
      </c>
      <c r="B17849">
        <f>TEST_DATA!B17849</f>
        <v/>
      </c>
      <c r="C17849">
        <f>TEST_DATA!C17849</f>
        <v/>
      </c>
      <c r="D17849">
        <f>TEST_DATA!D17849</f>
        <v/>
      </c>
      <c r="E17849">
        <f>TEST_DATA!E17849</f>
        <v/>
      </c>
    </row>
    <row r="17850">
      <c r="A17850">
        <f>TEST_DATA!A17850</f>
        <v/>
      </c>
      <c r="B17850">
        <f>TEST_DATA!B17850</f>
        <v/>
      </c>
      <c r="C17850">
        <f>TEST_DATA!C17850</f>
        <v/>
      </c>
      <c r="D17850">
        <f>TEST_DATA!D17850</f>
        <v/>
      </c>
      <c r="E17850">
        <f>TEST_DATA!E17850</f>
        <v/>
      </c>
    </row>
    <row r="17851">
      <c r="A17851">
        <f>TEST_DATA!A17851</f>
        <v/>
      </c>
      <c r="B17851">
        <f>TEST_DATA!B17851</f>
        <v/>
      </c>
      <c r="C17851">
        <f>TEST_DATA!C17851</f>
        <v/>
      </c>
      <c r="D17851">
        <f>TEST_DATA!D17851</f>
        <v/>
      </c>
      <c r="E17851">
        <f>TEST_DATA!E17851</f>
        <v/>
      </c>
    </row>
    <row r="17852">
      <c r="A17852">
        <f>TEST_DATA!A17852</f>
        <v/>
      </c>
      <c r="B17852">
        <f>TEST_DATA!B17852</f>
        <v/>
      </c>
      <c r="C17852">
        <f>TEST_DATA!C17852</f>
        <v/>
      </c>
      <c r="D17852">
        <f>TEST_DATA!D17852</f>
        <v/>
      </c>
      <c r="E17852">
        <f>TEST_DATA!E17852</f>
        <v/>
      </c>
    </row>
    <row r="17853">
      <c r="A17853">
        <f>TEST_DATA!A17853</f>
        <v/>
      </c>
      <c r="B17853">
        <f>TEST_DATA!B17853</f>
        <v/>
      </c>
      <c r="C17853">
        <f>TEST_DATA!C17853</f>
        <v/>
      </c>
      <c r="D17853">
        <f>TEST_DATA!D17853</f>
        <v/>
      </c>
      <c r="E17853">
        <f>TEST_DATA!E17853</f>
        <v/>
      </c>
    </row>
    <row r="17854">
      <c r="A17854">
        <f>TEST_DATA!A17854</f>
        <v/>
      </c>
      <c r="B17854">
        <f>TEST_DATA!B17854</f>
        <v/>
      </c>
      <c r="C17854">
        <f>TEST_DATA!C17854</f>
        <v/>
      </c>
      <c r="D17854">
        <f>TEST_DATA!D17854</f>
        <v/>
      </c>
      <c r="E17854">
        <f>TEST_DATA!E17854</f>
        <v/>
      </c>
    </row>
    <row r="17855">
      <c r="A17855">
        <f>TEST_DATA!A17855</f>
        <v/>
      </c>
      <c r="B17855">
        <f>TEST_DATA!B17855</f>
        <v/>
      </c>
      <c r="C17855">
        <f>TEST_DATA!C17855</f>
        <v/>
      </c>
      <c r="D17855">
        <f>TEST_DATA!D17855</f>
        <v/>
      </c>
      <c r="E17855">
        <f>TEST_DATA!E17855</f>
        <v/>
      </c>
    </row>
    <row r="17856">
      <c r="A17856">
        <f>TEST_DATA!A17856</f>
        <v/>
      </c>
      <c r="B17856">
        <f>TEST_DATA!B17856</f>
        <v/>
      </c>
      <c r="C17856">
        <f>TEST_DATA!C17856</f>
        <v/>
      </c>
      <c r="D17856">
        <f>TEST_DATA!D17856</f>
        <v/>
      </c>
      <c r="E17856">
        <f>TEST_DATA!E17856</f>
        <v/>
      </c>
    </row>
    <row r="17857">
      <c r="A17857">
        <f>TEST_DATA!A17857</f>
        <v/>
      </c>
      <c r="B17857">
        <f>TEST_DATA!B17857</f>
        <v/>
      </c>
      <c r="C17857">
        <f>TEST_DATA!C17857</f>
        <v/>
      </c>
      <c r="D17857">
        <f>TEST_DATA!D17857</f>
        <v/>
      </c>
      <c r="E17857">
        <f>TEST_DATA!E17857</f>
        <v/>
      </c>
    </row>
    <row r="17858">
      <c r="A17858">
        <f>TEST_DATA!A17858</f>
        <v/>
      </c>
      <c r="B17858">
        <f>TEST_DATA!B17858</f>
        <v/>
      </c>
      <c r="C17858">
        <f>TEST_DATA!C17858</f>
        <v/>
      </c>
      <c r="D17858">
        <f>TEST_DATA!D17858</f>
        <v/>
      </c>
      <c r="E17858">
        <f>TEST_DATA!E17858</f>
        <v/>
      </c>
    </row>
    <row r="17859">
      <c r="A17859">
        <f>TEST_DATA!A17859</f>
        <v/>
      </c>
      <c r="B17859">
        <f>TEST_DATA!B17859</f>
        <v/>
      </c>
      <c r="C17859">
        <f>TEST_DATA!C17859</f>
        <v/>
      </c>
      <c r="D17859">
        <f>TEST_DATA!D17859</f>
        <v/>
      </c>
      <c r="E17859">
        <f>TEST_DATA!E17859</f>
        <v/>
      </c>
    </row>
    <row r="17860">
      <c r="A17860">
        <f>TEST_DATA!A17860</f>
        <v/>
      </c>
      <c r="B17860">
        <f>TEST_DATA!B17860</f>
        <v/>
      </c>
      <c r="C17860">
        <f>TEST_DATA!C17860</f>
        <v/>
      </c>
      <c r="D17860">
        <f>TEST_DATA!D17860</f>
        <v/>
      </c>
      <c r="E17860">
        <f>TEST_DATA!E17860</f>
        <v/>
      </c>
    </row>
    <row r="17861">
      <c r="A17861">
        <f>TEST_DATA!A17861</f>
        <v/>
      </c>
      <c r="B17861">
        <f>TEST_DATA!B17861</f>
        <v/>
      </c>
      <c r="C17861">
        <f>TEST_DATA!C17861</f>
        <v/>
      </c>
      <c r="D17861">
        <f>TEST_DATA!D17861</f>
        <v/>
      </c>
      <c r="E17861">
        <f>TEST_DATA!E17861</f>
        <v/>
      </c>
    </row>
    <row r="17862">
      <c r="A17862">
        <f>TEST_DATA!A17862</f>
        <v/>
      </c>
      <c r="B17862">
        <f>TEST_DATA!B17862</f>
        <v/>
      </c>
      <c r="C17862">
        <f>TEST_DATA!C17862</f>
        <v/>
      </c>
      <c r="D17862">
        <f>TEST_DATA!D17862</f>
        <v/>
      </c>
      <c r="E17862">
        <f>TEST_DATA!E17862</f>
        <v/>
      </c>
    </row>
    <row r="17863">
      <c r="A17863">
        <f>TEST_DATA!A17863</f>
        <v/>
      </c>
      <c r="B17863">
        <f>TEST_DATA!B17863</f>
        <v/>
      </c>
      <c r="C17863">
        <f>TEST_DATA!C17863</f>
        <v/>
      </c>
      <c r="D17863">
        <f>TEST_DATA!D17863</f>
        <v/>
      </c>
      <c r="E17863">
        <f>TEST_DATA!E17863</f>
        <v/>
      </c>
    </row>
    <row r="17864">
      <c r="A17864">
        <f>TEST_DATA!A17864</f>
        <v/>
      </c>
      <c r="B17864">
        <f>TEST_DATA!B17864</f>
        <v/>
      </c>
      <c r="C17864">
        <f>TEST_DATA!C17864</f>
        <v/>
      </c>
      <c r="D17864">
        <f>TEST_DATA!D17864</f>
        <v/>
      </c>
      <c r="E17864">
        <f>TEST_DATA!E17864</f>
        <v/>
      </c>
    </row>
    <row r="17865">
      <c r="A17865">
        <f>TEST_DATA!A17865</f>
        <v/>
      </c>
      <c r="B17865">
        <f>TEST_DATA!B17865</f>
        <v/>
      </c>
      <c r="C17865">
        <f>TEST_DATA!C17865</f>
        <v/>
      </c>
      <c r="D17865">
        <f>TEST_DATA!D17865</f>
        <v/>
      </c>
      <c r="E17865">
        <f>TEST_DATA!E17865</f>
        <v/>
      </c>
    </row>
    <row r="17866">
      <c r="A17866">
        <f>TEST_DATA!A17866</f>
        <v/>
      </c>
      <c r="B17866">
        <f>TEST_DATA!B17866</f>
        <v/>
      </c>
      <c r="C17866">
        <f>TEST_DATA!C17866</f>
        <v/>
      </c>
      <c r="D17866">
        <f>TEST_DATA!D17866</f>
        <v/>
      </c>
      <c r="E17866">
        <f>TEST_DATA!E17866</f>
        <v/>
      </c>
    </row>
    <row r="17867">
      <c r="A17867">
        <f>TEST_DATA!A17867</f>
        <v/>
      </c>
      <c r="B17867">
        <f>TEST_DATA!B17867</f>
        <v/>
      </c>
      <c r="C17867">
        <f>TEST_DATA!C17867</f>
        <v/>
      </c>
      <c r="D17867">
        <f>TEST_DATA!D17867</f>
        <v/>
      </c>
      <c r="E17867">
        <f>TEST_DATA!E17867</f>
        <v/>
      </c>
    </row>
    <row r="17868">
      <c r="A17868">
        <f>TEST_DATA!A17868</f>
        <v/>
      </c>
      <c r="B17868">
        <f>TEST_DATA!B17868</f>
        <v/>
      </c>
      <c r="C17868">
        <f>TEST_DATA!C17868</f>
        <v/>
      </c>
      <c r="D17868">
        <f>TEST_DATA!D17868</f>
        <v/>
      </c>
      <c r="E17868">
        <f>TEST_DATA!E17868</f>
        <v/>
      </c>
    </row>
    <row r="17869">
      <c r="A17869">
        <f>TEST_DATA!A17869</f>
        <v/>
      </c>
      <c r="B17869">
        <f>TEST_DATA!B17869</f>
        <v/>
      </c>
      <c r="C17869">
        <f>TEST_DATA!C17869</f>
        <v/>
      </c>
      <c r="D17869">
        <f>TEST_DATA!D17869</f>
        <v/>
      </c>
      <c r="E17869">
        <f>TEST_DATA!E17869</f>
        <v/>
      </c>
    </row>
    <row r="17870">
      <c r="A17870">
        <f>TEST_DATA!A17870</f>
        <v/>
      </c>
      <c r="B17870">
        <f>TEST_DATA!B17870</f>
        <v/>
      </c>
      <c r="C17870">
        <f>TEST_DATA!C17870</f>
        <v/>
      </c>
      <c r="D17870">
        <f>TEST_DATA!D17870</f>
        <v/>
      </c>
      <c r="E17870">
        <f>TEST_DATA!E17870</f>
        <v/>
      </c>
    </row>
    <row r="17871">
      <c r="A17871">
        <f>TEST_DATA!A17871</f>
        <v/>
      </c>
      <c r="B17871">
        <f>TEST_DATA!B17871</f>
        <v/>
      </c>
      <c r="C17871">
        <f>TEST_DATA!C17871</f>
        <v/>
      </c>
      <c r="D17871">
        <f>TEST_DATA!D17871</f>
        <v/>
      </c>
      <c r="E17871">
        <f>TEST_DATA!E17871</f>
        <v/>
      </c>
    </row>
    <row r="17872">
      <c r="A17872">
        <f>TEST_DATA!A17872</f>
        <v/>
      </c>
      <c r="B17872">
        <f>TEST_DATA!B17872</f>
        <v/>
      </c>
      <c r="C17872">
        <f>TEST_DATA!C17872</f>
        <v/>
      </c>
      <c r="D17872">
        <f>TEST_DATA!D17872</f>
        <v/>
      </c>
      <c r="E17872">
        <f>TEST_DATA!E17872</f>
        <v/>
      </c>
    </row>
    <row r="17873">
      <c r="A17873">
        <f>TEST_DATA!A17873</f>
        <v/>
      </c>
      <c r="B17873">
        <f>TEST_DATA!B17873</f>
        <v/>
      </c>
      <c r="C17873">
        <f>TEST_DATA!C17873</f>
        <v/>
      </c>
      <c r="D17873">
        <f>TEST_DATA!D17873</f>
        <v/>
      </c>
      <c r="E17873">
        <f>TEST_DATA!E17873</f>
        <v/>
      </c>
    </row>
    <row r="17874">
      <c r="A17874">
        <f>TEST_DATA!A17874</f>
        <v/>
      </c>
      <c r="B17874">
        <f>TEST_DATA!B17874</f>
        <v/>
      </c>
      <c r="C17874">
        <f>TEST_DATA!C17874</f>
        <v/>
      </c>
      <c r="D17874">
        <f>TEST_DATA!D17874</f>
        <v/>
      </c>
      <c r="E17874">
        <f>TEST_DATA!E17874</f>
        <v/>
      </c>
    </row>
    <row r="17875">
      <c r="A17875">
        <f>TEST_DATA!A17875</f>
        <v/>
      </c>
      <c r="B17875">
        <f>TEST_DATA!B17875</f>
        <v/>
      </c>
      <c r="C17875">
        <f>TEST_DATA!C17875</f>
        <v/>
      </c>
      <c r="D17875">
        <f>TEST_DATA!D17875</f>
        <v/>
      </c>
      <c r="E17875">
        <f>TEST_DATA!E17875</f>
        <v/>
      </c>
    </row>
    <row r="17876">
      <c r="A17876">
        <f>TEST_DATA!A17876</f>
        <v/>
      </c>
      <c r="B17876">
        <f>TEST_DATA!B17876</f>
        <v/>
      </c>
      <c r="C17876">
        <f>TEST_DATA!C17876</f>
        <v/>
      </c>
      <c r="D17876">
        <f>TEST_DATA!D17876</f>
        <v/>
      </c>
      <c r="E17876">
        <f>TEST_DATA!E17876</f>
        <v/>
      </c>
    </row>
    <row r="17877">
      <c r="A17877">
        <f>TEST_DATA!A17877</f>
        <v/>
      </c>
      <c r="B17877">
        <f>TEST_DATA!B17877</f>
        <v/>
      </c>
      <c r="C17877">
        <f>TEST_DATA!C17877</f>
        <v/>
      </c>
      <c r="D17877">
        <f>TEST_DATA!D17877</f>
        <v/>
      </c>
      <c r="E17877">
        <f>TEST_DATA!E17877</f>
        <v/>
      </c>
    </row>
    <row r="17878">
      <c r="A17878">
        <f>TEST_DATA!A17878</f>
        <v/>
      </c>
      <c r="B17878">
        <f>TEST_DATA!B17878</f>
        <v/>
      </c>
      <c r="C17878">
        <f>TEST_DATA!C17878</f>
        <v/>
      </c>
      <c r="D17878">
        <f>TEST_DATA!D17878</f>
        <v/>
      </c>
      <c r="E17878">
        <f>TEST_DATA!E17878</f>
        <v/>
      </c>
    </row>
    <row r="17879">
      <c r="A17879">
        <f>TEST_DATA!A17879</f>
        <v/>
      </c>
      <c r="B17879">
        <f>TEST_DATA!B17879</f>
        <v/>
      </c>
      <c r="C17879">
        <f>TEST_DATA!C17879</f>
        <v/>
      </c>
      <c r="D17879">
        <f>TEST_DATA!D17879</f>
        <v/>
      </c>
      <c r="E17879">
        <f>TEST_DATA!E17879</f>
        <v/>
      </c>
    </row>
    <row r="17880">
      <c r="A17880">
        <f>TEST_DATA!A17880</f>
        <v/>
      </c>
      <c r="B17880">
        <f>TEST_DATA!B17880</f>
        <v/>
      </c>
      <c r="C17880">
        <f>TEST_DATA!C17880</f>
        <v/>
      </c>
      <c r="D17880">
        <f>TEST_DATA!D17880</f>
        <v/>
      </c>
      <c r="E17880">
        <f>TEST_DATA!E17880</f>
        <v/>
      </c>
    </row>
    <row r="17881">
      <c r="A17881">
        <f>TEST_DATA!A17881</f>
        <v/>
      </c>
      <c r="B17881">
        <f>TEST_DATA!B17881</f>
        <v/>
      </c>
      <c r="C17881">
        <f>TEST_DATA!C17881</f>
        <v/>
      </c>
      <c r="D17881">
        <f>TEST_DATA!D17881</f>
        <v/>
      </c>
      <c r="E17881">
        <f>TEST_DATA!E17881</f>
        <v/>
      </c>
    </row>
    <row r="17882">
      <c r="A17882">
        <f>TEST_DATA!A17882</f>
        <v/>
      </c>
      <c r="B17882">
        <f>TEST_DATA!B17882</f>
        <v/>
      </c>
      <c r="C17882">
        <f>TEST_DATA!C17882</f>
        <v/>
      </c>
      <c r="D17882">
        <f>TEST_DATA!D17882</f>
        <v/>
      </c>
      <c r="E17882">
        <f>TEST_DATA!E17882</f>
        <v/>
      </c>
    </row>
    <row r="17883">
      <c r="A17883">
        <f>TEST_DATA!A17883</f>
        <v/>
      </c>
      <c r="B17883">
        <f>TEST_DATA!B17883</f>
        <v/>
      </c>
      <c r="C17883">
        <f>TEST_DATA!C17883</f>
        <v/>
      </c>
      <c r="D17883">
        <f>TEST_DATA!D17883</f>
        <v/>
      </c>
      <c r="E17883">
        <f>TEST_DATA!E17883</f>
        <v/>
      </c>
    </row>
    <row r="17884">
      <c r="A17884">
        <f>TEST_DATA!A17884</f>
        <v/>
      </c>
      <c r="B17884">
        <f>TEST_DATA!B17884</f>
        <v/>
      </c>
      <c r="C17884">
        <f>TEST_DATA!C17884</f>
        <v/>
      </c>
      <c r="D17884">
        <f>TEST_DATA!D17884</f>
        <v/>
      </c>
      <c r="E17884">
        <f>TEST_DATA!E17884</f>
        <v/>
      </c>
    </row>
    <row r="17885">
      <c r="A17885">
        <f>TEST_DATA!A17885</f>
        <v/>
      </c>
      <c r="B17885">
        <f>TEST_DATA!B17885</f>
        <v/>
      </c>
      <c r="C17885">
        <f>TEST_DATA!C17885</f>
        <v/>
      </c>
      <c r="D17885">
        <f>TEST_DATA!D17885</f>
        <v/>
      </c>
      <c r="E17885">
        <f>TEST_DATA!E17885</f>
        <v/>
      </c>
    </row>
    <row r="17886">
      <c r="A17886">
        <f>TEST_DATA!A17886</f>
        <v/>
      </c>
      <c r="B17886">
        <f>TEST_DATA!B17886</f>
        <v/>
      </c>
      <c r="C17886">
        <f>TEST_DATA!C17886</f>
        <v/>
      </c>
      <c r="D17886">
        <f>TEST_DATA!D17886</f>
        <v/>
      </c>
      <c r="E17886">
        <f>TEST_DATA!E17886</f>
        <v/>
      </c>
    </row>
    <row r="17887">
      <c r="A17887">
        <f>TEST_DATA!A17887</f>
        <v/>
      </c>
      <c r="B17887">
        <f>TEST_DATA!B17887</f>
        <v/>
      </c>
      <c r="C17887">
        <f>TEST_DATA!C17887</f>
        <v/>
      </c>
      <c r="D17887">
        <f>TEST_DATA!D17887</f>
        <v/>
      </c>
      <c r="E17887">
        <f>TEST_DATA!E17887</f>
        <v/>
      </c>
    </row>
    <row r="17888">
      <c r="A17888">
        <f>TEST_DATA!A17888</f>
        <v/>
      </c>
      <c r="B17888">
        <f>TEST_DATA!B17888</f>
        <v/>
      </c>
      <c r="C17888">
        <f>TEST_DATA!C17888</f>
        <v/>
      </c>
      <c r="D17888">
        <f>TEST_DATA!D17888</f>
        <v/>
      </c>
      <c r="E17888">
        <f>TEST_DATA!E17888</f>
        <v/>
      </c>
    </row>
    <row r="17889">
      <c r="A17889">
        <f>TEST_DATA!A17889</f>
        <v/>
      </c>
      <c r="B17889">
        <f>TEST_DATA!B17889</f>
        <v/>
      </c>
      <c r="C17889">
        <f>TEST_DATA!C17889</f>
        <v/>
      </c>
      <c r="D17889">
        <f>TEST_DATA!D17889</f>
        <v/>
      </c>
      <c r="E17889">
        <f>TEST_DATA!E17889</f>
        <v/>
      </c>
    </row>
    <row r="17890">
      <c r="A17890">
        <f>TEST_DATA!A17890</f>
        <v/>
      </c>
      <c r="B17890">
        <f>TEST_DATA!B17890</f>
        <v/>
      </c>
      <c r="C17890">
        <f>TEST_DATA!C17890</f>
        <v/>
      </c>
      <c r="D17890">
        <f>TEST_DATA!D17890</f>
        <v/>
      </c>
      <c r="E17890">
        <f>TEST_DATA!E17890</f>
        <v/>
      </c>
    </row>
    <row r="17891">
      <c r="A17891">
        <f>TEST_DATA!A17891</f>
        <v/>
      </c>
      <c r="B17891">
        <f>TEST_DATA!B17891</f>
        <v/>
      </c>
      <c r="C17891">
        <f>TEST_DATA!C17891</f>
        <v/>
      </c>
      <c r="D17891">
        <f>TEST_DATA!D17891</f>
        <v/>
      </c>
      <c r="E17891">
        <f>TEST_DATA!E17891</f>
        <v/>
      </c>
    </row>
    <row r="17892">
      <c r="A17892">
        <f>TEST_DATA!A17892</f>
        <v/>
      </c>
      <c r="B17892">
        <f>TEST_DATA!B17892</f>
        <v/>
      </c>
      <c r="C17892">
        <f>TEST_DATA!C17892</f>
        <v/>
      </c>
      <c r="D17892">
        <f>TEST_DATA!D17892</f>
        <v/>
      </c>
      <c r="E17892">
        <f>TEST_DATA!E17892</f>
        <v/>
      </c>
    </row>
    <row r="17893">
      <c r="A17893">
        <f>TEST_DATA!A17893</f>
        <v/>
      </c>
      <c r="B17893">
        <f>TEST_DATA!B17893</f>
        <v/>
      </c>
      <c r="C17893">
        <f>TEST_DATA!C17893</f>
        <v/>
      </c>
      <c r="D17893">
        <f>TEST_DATA!D17893</f>
        <v/>
      </c>
      <c r="E17893">
        <f>TEST_DATA!E17893</f>
        <v/>
      </c>
    </row>
    <row r="17894">
      <c r="A17894">
        <f>TEST_DATA!A17894</f>
        <v/>
      </c>
      <c r="B17894">
        <f>TEST_DATA!B17894</f>
        <v/>
      </c>
      <c r="C17894">
        <f>TEST_DATA!C17894</f>
        <v/>
      </c>
      <c r="D17894">
        <f>TEST_DATA!D17894</f>
        <v/>
      </c>
      <c r="E17894">
        <f>TEST_DATA!E17894</f>
        <v/>
      </c>
    </row>
    <row r="17895">
      <c r="A17895">
        <f>TEST_DATA!A17895</f>
        <v/>
      </c>
      <c r="B17895">
        <f>TEST_DATA!B17895</f>
        <v/>
      </c>
      <c r="C17895">
        <f>TEST_DATA!C17895</f>
        <v/>
      </c>
      <c r="D17895">
        <f>TEST_DATA!D17895</f>
        <v/>
      </c>
      <c r="E17895">
        <f>TEST_DATA!E17895</f>
        <v/>
      </c>
    </row>
    <row r="17896">
      <c r="A17896">
        <f>TEST_DATA!A17896</f>
        <v/>
      </c>
      <c r="B17896">
        <f>TEST_DATA!B17896</f>
        <v/>
      </c>
      <c r="C17896">
        <f>TEST_DATA!C17896</f>
        <v/>
      </c>
      <c r="D17896">
        <f>TEST_DATA!D17896</f>
        <v/>
      </c>
      <c r="E17896">
        <f>TEST_DATA!E17896</f>
        <v/>
      </c>
    </row>
    <row r="17897">
      <c r="A17897">
        <f>TEST_DATA!A17897</f>
        <v/>
      </c>
      <c r="B17897">
        <f>TEST_DATA!B17897</f>
        <v/>
      </c>
      <c r="C17897">
        <f>TEST_DATA!C17897</f>
        <v/>
      </c>
      <c r="D17897">
        <f>TEST_DATA!D17897</f>
        <v/>
      </c>
      <c r="E17897">
        <f>TEST_DATA!E17897</f>
        <v/>
      </c>
    </row>
    <row r="17898">
      <c r="A17898">
        <f>TEST_DATA!A17898</f>
        <v/>
      </c>
      <c r="B17898">
        <f>TEST_DATA!B17898</f>
        <v/>
      </c>
      <c r="C17898">
        <f>TEST_DATA!C17898</f>
        <v/>
      </c>
      <c r="D17898">
        <f>TEST_DATA!D17898</f>
        <v/>
      </c>
      <c r="E17898">
        <f>TEST_DATA!E17898</f>
        <v/>
      </c>
    </row>
    <row r="17899">
      <c r="A17899">
        <f>TEST_DATA!A17899</f>
        <v/>
      </c>
      <c r="B17899">
        <f>TEST_DATA!B17899</f>
        <v/>
      </c>
      <c r="C17899">
        <f>TEST_DATA!C17899</f>
        <v/>
      </c>
      <c r="D17899">
        <f>TEST_DATA!D17899</f>
        <v/>
      </c>
      <c r="E17899">
        <f>TEST_DATA!E17899</f>
        <v/>
      </c>
    </row>
    <row r="17900">
      <c r="A17900">
        <f>TEST_DATA!A17900</f>
        <v/>
      </c>
      <c r="B17900">
        <f>TEST_DATA!B17900</f>
        <v/>
      </c>
      <c r="C17900">
        <f>TEST_DATA!C17900</f>
        <v/>
      </c>
      <c r="D17900">
        <f>TEST_DATA!D17900</f>
        <v/>
      </c>
      <c r="E17900">
        <f>TEST_DATA!E17900</f>
        <v/>
      </c>
    </row>
    <row r="17901">
      <c r="A17901">
        <f>TEST_DATA!A17901</f>
        <v/>
      </c>
      <c r="B17901">
        <f>TEST_DATA!B17901</f>
        <v/>
      </c>
      <c r="C17901">
        <f>TEST_DATA!C17901</f>
        <v/>
      </c>
      <c r="D17901">
        <f>TEST_DATA!D17901</f>
        <v/>
      </c>
      <c r="E17901">
        <f>TEST_DATA!E17901</f>
        <v/>
      </c>
    </row>
    <row r="17902">
      <c r="A17902">
        <f>TEST_DATA!A17902</f>
        <v/>
      </c>
      <c r="B17902">
        <f>TEST_DATA!B17902</f>
        <v/>
      </c>
      <c r="C17902">
        <f>TEST_DATA!C17902</f>
        <v/>
      </c>
      <c r="D17902">
        <f>TEST_DATA!D17902</f>
        <v/>
      </c>
      <c r="E17902">
        <f>TEST_DATA!E17902</f>
        <v/>
      </c>
    </row>
    <row r="17903">
      <c r="A17903">
        <f>TEST_DATA!A17903</f>
        <v/>
      </c>
      <c r="B17903">
        <f>TEST_DATA!B17903</f>
        <v/>
      </c>
      <c r="C17903">
        <f>TEST_DATA!C17903</f>
        <v/>
      </c>
      <c r="D17903">
        <f>TEST_DATA!D17903</f>
        <v/>
      </c>
      <c r="E17903">
        <f>TEST_DATA!E17903</f>
        <v/>
      </c>
    </row>
    <row r="17904">
      <c r="A17904">
        <f>TEST_DATA!A17904</f>
        <v/>
      </c>
      <c r="B17904">
        <f>TEST_DATA!B17904</f>
        <v/>
      </c>
      <c r="C17904">
        <f>TEST_DATA!C17904</f>
        <v/>
      </c>
      <c r="D17904">
        <f>TEST_DATA!D17904</f>
        <v/>
      </c>
      <c r="E17904">
        <f>TEST_DATA!E17904</f>
        <v/>
      </c>
    </row>
    <row r="17905">
      <c r="A17905">
        <f>TEST_DATA!A17905</f>
        <v/>
      </c>
      <c r="B17905">
        <f>TEST_DATA!B17905</f>
        <v/>
      </c>
      <c r="C17905">
        <f>TEST_DATA!C17905</f>
        <v/>
      </c>
      <c r="D17905">
        <f>TEST_DATA!D17905</f>
        <v/>
      </c>
      <c r="E17905">
        <f>TEST_DATA!E17905</f>
        <v/>
      </c>
    </row>
    <row r="17906">
      <c r="A17906">
        <f>TEST_DATA!A17906</f>
        <v/>
      </c>
      <c r="B17906">
        <f>TEST_DATA!B17906</f>
        <v/>
      </c>
      <c r="C17906">
        <f>TEST_DATA!C17906</f>
        <v/>
      </c>
      <c r="D17906">
        <f>TEST_DATA!D17906</f>
        <v/>
      </c>
      <c r="E17906">
        <f>TEST_DATA!E17906</f>
        <v/>
      </c>
    </row>
    <row r="17907">
      <c r="A17907">
        <f>TEST_DATA!A17907</f>
        <v/>
      </c>
      <c r="B17907">
        <f>TEST_DATA!B17907</f>
        <v/>
      </c>
      <c r="C17907">
        <f>TEST_DATA!C17907</f>
        <v/>
      </c>
      <c r="D17907">
        <f>TEST_DATA!D17907</f>
        <v/>
      </c>
      <c r="E17907">
        <f>TEST_DATA!E17907</f>
        <v/>
      </c>
    </row>
    <row r="17908">
      <c r="A17908">
        <f>TEST_DATA!A17908</f>
        <v/>
      </c>
      <c r="B17908">
        <f>TEST_DATA!B17908</f>
        <v/>
      </c>
      <c r="C17908">
        <f>TEST_DATA!C17908</f>
        <v/>
      </c>
      <c r="D17908">
        <f>TEST_DATA!D17908</f>
        <v/>
      </c>
      <c r="E17908">
        <f>TEST_DATA!E17908</f>
        <v/>
      </c>
    </row>
    <row r="17909">
      <c r="A17909">
        <f>TEST_DATA!A17909</f>
        <v/>
      </c>
      <c r="B17909">
        <f>TEST_DATA!B17909</f>
        <v/>
      </c>
      <c r="C17909">
        <f>TEST_DATA!C17909</f>
        <v/>
      </c>
      <c r="D17909">
        <f>TEST_DATA!D17909</f>
        <v/>
      </c>
      <c r="E17909">
        <f>TEST_DATA!E17909</f>
        <v/>
      </c>
    </row>
    <row r="17910">
      <c r="A17910">
        <f>TEST_DATA!A17910</f>
        <v/>
      </c>
      <c r="B17910">
        <f>TEST_DATA!B17910</f>
        <v/>
      </c>
      <c r="C17910">
        <f>TEST_DATA!C17910</f>
        <v/>
      </c>
      <c r="D17910">
        <f>TEST_DATA!D17910</f>
        <v/>
      </c>
      <c r="E17910">
        <f>TEST_DATA!E17910</f>
        <v/>
      </c>
    </row>
    <row r="17911">
      <c r="A17911">
        <f>TEST_DATA!A17911</f>
        <v/>
      </c>
      <c r="B17911">
        <f>TEST_DATA!B17911</f>
        <v/>
      </c>
      <c r="C17911">
        <f>TEST_DATA!C17911</f>
        <v/>
      </c>
      <c r="D17911">
        <f>TEST_DATA!D17911</f>
        <v/>
      </c>
      <c r="E17911">
        <f>TEST_DATA!E17911</f>
        <v/>
      </c>
    </row>
    <row r="17912">
      <c r="A17912">
        <f>TEST_DATA!A17912</f>
        <v/>
      </c>
      <c r="B17912">
        <f>TEST_DATA!B17912</f>
        <v/>
      </c>
      <c r="C17912">
        <f>TEST_DATA!C17912</f>
        <v/>
      </c>
      <c r="D17912">
        <f>TEST_DATA!D17912</f>
        <v/>
      </c>
      <c r="E17912">
        <f>TEST_DATA!E17912</f>
        <v/>
      </c>
    </row>
    <row r="17913">
      <c r="A17913">
        <f>TEST_DATA!A17913</f>
        <v/>
      </c>
      <c r="B17913">
        <f>TEST_DATA!B17913</f>
        <v/>
      </c>
      <c r="C17913">
        <f>TEST_DATA!C17913</f>
        <v/>
      </c>
      <c r="D17913">
        <f>TEST_DATA!D17913</f>
        <v/>
      </c>
      <c r="E17913">
        <f>TEST_DATA!E17913</f>
        <v/>
      </c>
    </row>
    <row r="17914">
      <c r="A17914">
        <f>TEST_DATA!A17914</f>
        <v/>
      </c>
      <c r="B17914">
        <f>TEST_DATA!B17914</f>
        <v/>
      </c>
      <c r="C17914">
        <f>TEST_DATA!C17914</f>
        <v/>
      </c>
      <c r="D17914">
        <f>TEST_DATA!D17914</f>
        <v/>
      </c>
      <c r="E17914">
        <f>TEST_DATA!E17914</f>
        <v/>
      </c>
    </row>
    <row r="17915">
      <c r="A17915">
        <f>TEST_DATA!A17915</f>
        <v/>
      </c>
      <c r="B17915">
        <f>TEST_DATA!B17915</f>
        <v/>
      </c>
      <c r="C17915">
        <f>TEST_DATA!C17915</f>
        <v/>
      </c>
      <c r="D17915">
        <f>TEST_DATA!D17915</f>
        <v/>
      </c>
      <c r="E17915">
        <f>TEST_DATA!E17915</f>
        <v/>
      </c>
    </row>
    <row r="17916">
      <c r="A17916">
        <f>TEST_DATA!A17916</f>
        <v/>
      </c>
      <c r="B17916">
        <f>TEST_DATA!B17916</f>
        <v/>
      </c>
      <c r="C17916">
        <f>TEST_DATA!C17916</f>
        <v/>
      </c>
      <c r="D17916">
        <f>TEST_DATA!D17916</f>
        <v/>
      </c>
      <c r="E17916">
        <f>TEST_DATA!E17916</f>
        <v/>
      </c>
    </row>
    <row r="17917">
      <c r="A17917">
        <f>TEST_DATA!A17917</f>
        <v/>
      </c>
      <c r="B17917">
        <f>TEST_DATA!B17917</f>
        <v/>
      </c>
      <c r="C17917">
        <f>TEST_DATA!C17917</f>
        <v/>
      </c>
      <c r="D17917">
        <f>TEST_DATA!D17917</f>
        <v/>
      </c>
      <c r="E17917">
        <f>TEST_DATA!E17917</f>
        <v/>
      </c>
    </row>
    <row r="17918">
      <c r="A17918">
        <f>TEST_DATA!A17918</f>
        <v/>
      </c>
      <c r="B17918">
        <f>TEST_DATA!B17918</f>
        <v/>
      </c>
      <c r="C17918">
        <f>TEST_DATA!C17918</f>
        <v/>
      </c>
      <c r="D17918">
        <f>TEST_DATA!D17918</f>
        <v/>
      </c>
      <c r="E17918">
        <f>TEST_DATA!E17918</f>
        <v/>
      </c>
    </row>
    <row r="17919">
      <c r="A17919">
        <f>TEST_DATA!A17919</f>
        <v/>
      </c>
      <c r="B17919">
        <f>TEST_DATA!B17919</f>
        <v/>
      </c>
      <c r="C17919">
        <f>TEST_DATA!C17919</f>
        <v/>
      </c>
      <c r="D17919">
        <f>TEST_DATA!D17919</f>
        <v/>
      </c>
      <c r="E17919">
        <f>TEST_DATA!E17919</f>
        <v/>
      </c>
    </row>
    <row r="17920">
      <c r="A17920">
        <f>TEST_DATA!A17920</f>
        <v/>
      </c>
      <c r="B17920">
        <f>TEST_DATA!B17920</f>
        <v/>
      </c>
      <c r="C17920">
        <f>TEST_DATA!C17920</f>
        <v/>
      </c>
      <c r="D17920">
        <f>TEST_DATA!D17920</f>
        <v/>
      </c>
      <c r="E17920">
        <f>TEST_DATA!E17920</f>
        <v/>
      </c>
    </row>
    <row r="17921">
      <c r="A17921">
        <f>TEST_DATA!A17921</f>
        <v/>
      </c>
      <c r="B17921">
        <f>TEST_DATA!B17921</f>
        <v/>
      </c>
      <c r="C17921">
        <f>TEST_DATA!C17921</f>
        <v/>
      </c>
      <c r="D17921">
        <f>TEST_DATA!D17921</f>
        <v/>
      </c>
      <c r="E17921">
        <f>TEST_DATA!E17921</f>
        <v/>
      </c>
    </row>
    <row r="17922">
      <c r="A17922">
        <f>TEST_DATA!A17922</f>
        <v/>
      </c>
      <c r="B17922">
        <f>TEST_DATA!B17922</f>
        <v/>
      </c>
      <c r="C17922">
        <f>TEST_DATA!C17922</f>
        <v/>
      </c>
      <c r="D17922">
        <f>TEST_DATA!D17922</f>
        <v/>
      </c>
      <c r="E17922">
        <f>TEST_DATA!E17922</f>
        <v/>
      </c>
    </row>
    <row r="17923">
      <c r="A17923">
        <f>TEST_DATA!A17923</f>
        <v/>
      </c>
      <c r="B17923">
        <f>TEST_DATA!B17923</f>
        <v/>
      </c>
      <c r="C17923">
        <f>TEST_DATA!C17923</f>
        <v/>
      </c>
      <c r="D17923">
        <f>TEST_DATA!D17923</f>
        <v/>
      </c>
      <c r="E17923">
        <f>TEST_DATA!E17923</f>
        <v/>
      </c>
    </row>
    <row r="17924">
      <c r="A17924">
        <f>TEST_DATA!A17924</f>
        <v/>
      </c>
      <c r="B17924">
        <f>TEST_DATA!B17924</f>
        <v/>
      </c>
      <c r="C17924">
        <f>TEST_DATA!C17924</f>
        <v/>
      </c>
      <c r="D17924">
        <f>TEST_DATA!D17924</f>
        <v/>
      </c>
      <c r="E17924">
        <f>TEST_DATA!E17924</f>
        <v/>
      </c>
    </row>
    <row r="17925">
      <c r="A17925">
        <f>TEST_DATA!A17925</f>
        <v/>
      </c>
      <c r="B17925">
        <f>TEST_DATA!B17925</f>
        <v/>
      </c>
      <c r="C17925">
        <f>TEST_DATA!C17925</f>
        <v/>
      </c>
      <c r="D17925">
        <f>TEST_DATA!D17925</f>
        <v/>
      </c>
      <c r="E17925">
        <f>TEST_DATA!E17925</f>
        <v/>
      </c>
    </row>
    <row r="17926">
      <c r="A17926">
        <f>TEST_DATA!A17926</f>
        <v/>
      </c>
      <c r="B17926">
        <f>TEST_DATA!B17926</f>
        <v/>
      </c>
      <c r="C17926">
        <f>TEST_DATA!C17926</f>
        <v/>
      </c>
      <c r="D17926">
        <f>TEST_DATA!D17926</f>
        <v/>
      </c>
      <c r="E17926">
        <f>TEST_DATA!E17926</f>
        <v/>
      </c>
    </row>
    <row r="17927">
      <c r="A17927">
        <f>TEST_DATA!A17927</f>
        <v/>
      </c>
      <c r="B17927">
        <f>TEST_DATA!B17927</f>
        <v/>
      </c>
      <c r="C17927">
        <f>TEST_DATA!C17927</f>
        <v/>
      </c>
      <c r="D17927">
        <f>TEST_DATA!D17927</f>
        <v/>
      </c>
      <c r="E17927">
        <f>TEST_DATA!E17927</f>
        <v/>
      </c>
    </row>
    <row r="17928">
      <c r="A17928">
        <f>TEST_DATA!A17928</f>
        <v/>
      </c>
      <c r="B17928">
        <f>TEST_DATA!B17928</f>
        <v/>
      </c>
      <c r="C17928">
        <f>TEST_DATA!C17928</f>
        <v/>
      </c>
      <c r="D17928">
        <f>TEST_DATA!D17928</f>
        <v/>
      </c>
      <c r="E17928">
        <f>TEST_DATA!E17928</f>
        <v/>
      </c>
    </row>
    <row r="17929">
      <c r="A17929">
        <f>TEST_DATA!A17929</f>
        <v/>
      </c>
      <c r="B17929">
        <f>TEST_DATA!B17929</f>
        <v/>
      </c>
      <c r="C17929">
        <f>TEST_DATA!C17929</f>
        <v/>
      </c>
      <c r="D17929">
        <f>TEST_DATA!D17929</f>
        <v/>
      </c>
      <c r="E17929">
        <f>TEST_DATA!E17929</f>
        <v/>
      </c>
    </row>
    <row r="17930">
      <c r="A17930">
        <f>TEST_DATA!A17930</f>
        <v/>
      </c>
      <c r="B17930">
        <f>TEST_DATA!B17930</f>
        <v/>
      </c>
      <c r="C17930">
        <f>TEST_DATA!C17930</f>
        <v/>
      </c>
      <c r="D17930">
        <f>TEST_DATA!D17930</f>
        <v/>
      </c>
      <c r="E17930">
        <f>TEST_DATA!E17930</f>
        <v/>
      </c>
    </row>
    <row r="17931">
      <c r="A17931">
        <f>TEST_DATA!A17931</f>
        <v/>
      </c>
      <c r="B17931">
        <f>TEST_DATA!B17931</f>
        <v/>
      </c>
      <c r="C17931">
        <f>TEST_DATA!C17931</f>
        <v/>
      </c>
      <c r="D17931">
        <f>TEST_DATA!D17931</f>
        <v/>
      </c>
      <c r="E17931">
        <f>TEST_DATA!E17931</f>
        <v/>
      </c>
    </row>
    <row r="17932">
      <c r="A17932">
        <f>TEST_DATA!A17932</f>
        <v/>
      </c>
      <c r="B17932">
        <f>TEST_DATA!B17932</f>
        <v/>
      </c>
      <c r="C17932">
        <f>TEST_DATA!C17932</f>
        <v/>
      </c>
      <c r="D17932">
        <f>TEST_DATA!D17932</f>
        <v/>
      </c>
      <c r="E17932">
        <f>TEST_DATA!E17932</f>
        <v/>
      </c>
    </row>
    <row r="17933">
      <c r="A17933">
        <f>TEST_DATA!A17933</f>
        <v/>
      </c>
      <c r="B17933">
        <f>TEST_DATA!B17933</f>
        <v/>
      </c>
      <c r="C17933">
        <f>TEST_DATA!C17933</f>
        <v/>
      </c>
      <c r="D17933">
        <f>TEST_DATA!D17933</f>
        <v/>
      </c>
      <c r="E17933">
        <f>TEST_DATA!E17933</f>
        <v/>
      </c>
    </row>
    <row r="17934">
      <c r="A17934">
        <f>TEST_DATA!A17934</f>
        <v/>
      </c>
      <c r="B17934">
        <f>TEST_DATA!B17934</f>
        <v/>
      </c>
      <c r="C17934">
        <f>TEST_DATA!C17934</f>
        <v/>
      </c>
      <c r="D17934">
        <f>TEST_DATA!D17934</f>
        <v/>
      </c>
      <c r="E17934">
        <f>TEST_DATA!E17934</f>
        <v/>
      </c>
    </row>
    <row r="17935">
      <c r="A17935">
        <f>TEST_DATA!A17935</f>
        <v/>
      </c>
      <c r="B17935">
        <f>TEST_DATA!B17935</f>
        <v/>
      </c>
      <c r="C17935">
        <f>TEST_DATA!C17935</f>
        <v/>
      </c>
      <c r="D17935">
        <f>TEST_DATA!D17935</f>
        <v/>
      </c>
      <c r="E17935">
        <f>TEST_DATA!E17935</f>
        <v/>
      </c>
    </row>
    <row r="17936">
      <c r="A17936">
        <f>TEST_DATA!A17936</f>
        <v/>
      </c>
      <c r="B17936">
        <f>TEST_DATA!B17936</f>
        <v/>
      </c>
      <c r="C17936">
        <f>TEST_DATA!C17936</f>
        <v/>
      </c>
      <c r="D17936">
        <f>TEST_DATA!D17936</f>
        <v/>
      </c>
      <c r="E17936">
        <f>TEST_DATA!E17936</f>
        <v/>
      </c>
    </row>
    <row r="17937">
      <c r="A17937">
        <f>TEST_DATA!A17937</f>
        <v/>
      </c>
      <c r="B17937">
        <f>TEST_DATA!B17937</f>
        <v/>
      </c>
      <c r="C17937">
        <f>TEST_DATA!C17937</f>
        <v/>
      </c>
      <c r="D17937">
        <f>TEST_DATA!D17937</f>
        <v/>
      </c>
      <c r="E17937">
        <f>TEST_DATA!E17937</f>
        <v/>
      </c>
    </row>
    <row r="17938">
      <c r="A17938">
        <f>TEST_DATA!A17938</f>
        <v/>
      </c>
      <c r="B17938">
        <f>TEST_DATA!B17938</f>
        <v/>
      </c>
      <c r="C17938">
        <f>TEST_DATA!C17938</f>
        <v/>
      </c>
      <c r="D17938">
        <f>TEST_DATA!D17938</f>
        <v/>
      </c>
      <c r="E17938">
        <f>TEST_DATA!E17938</f>
        <v/>
      </c>
    </row>
    <row r="17939">
      <c r="A17939">
        <f>TEST_DATA!A17939</f>
        <v/>
      </c>
      <c r="B17939">
        <f>TEST_DATA!B17939</f>
        <v/>
      </c>
      <c r="C17939">
        <f>TEST_DATA!C17939</f>
        <v/>
      </c>
      <c r="D17939">
        <f>TEST_DATA!D17939</f>
        <v/>
      </c>
      <c r="E17939">
        <f>TEST_DATA!E17939</f>
        <v/>
      </c>
    </row>
    <row r="17940">
      <c r="A17940">
        <f>TEST_DATA!A17940</f>
        <v/>
      </c>
      <c r="B17940">
        <f>TEST_DATA!B17940</f>
        <v/>
      </c>
      <c r="C17940">
        <f>TEST_DATA!C17940</f>
        <v/>
      </c>
      <c r="D17940">
        <f>TEST_DATA!D17940</f>
        <v/>
      </c>
      <c r="E17940">
        <f>TEST_DATA!E17940</f>
        <v/>
      </c>
    </row>
    <row r="17941">
      <c r="A17941">
        <f>TEST_DATA!A17941</f>
        <v/>
      </c>
      <c r="B17941">
        <f>TEST_DATA!B17941</f>
        <v/>
      </c>
      <c r="C17941">
        <f>TEST_DATA!C17941</f>
        <v/>
      </c>
      <c r="D17941">
        <f>TEST_DATA!D17941</f>
        <v/>
      </c>
      <c r="E17941">
        <f>TEST_DATA!E17941</f>
        <v/>
      </c>
    </row>
    <row r="17942">
      <c r="A17942">
        <f>TEST_DATA!A17942</f>
        <v/>
      </c>
      <c r="B17942">
        <f>TEST_DATA!B17942</f>
        <v/>
      </c>
      <c r="C17942">
        <f>TEST_DATA!C17942</f>
        <v/>
      </c>
      <c r="D17942">
        <f>TEST_DATA!D17942</f>
        <v/>
      </c>
      <c r="E17942">
        <f>TEST_DATA!E17942</f>
        <v/>
      </c>
    </row>
    <row r="17943">
      <c r="A17943">
        <f>TEST_DATA!A17943</f>
        <v/>
      </c>
      <c r="B17943">
        <f>TEST_DATA!B17943</f>
        <v/>
      </c>
      <c r="C17943">
        <f>TEST_DATA!C17943</f>
        <v/>
      </c>
      <c r="D17943">
        <f>TEST_DATA!D17943</f>
        <v/>
      </c>
      <c r="E17943">
        <f>TEST_DATA!E17943</f>
        <v/>
      </c>
    </row>
    <row r="17944">
      <c r="A17944">
        <f>TEST_DATA!A17944</f>
        <v/>
      </c>
      <c r="B17944">
        <f>TEST_DATA!B17944</f>
        <v/>
      </c>
      <c r="C17944">
        <f>TEST_DATA!C17944</f>
        <v/>
      </c>
      <c r="D17944">
        <f>TEST_DATA!D17944</f>
        <v/>
      </c>
      <c r="E17944">
        <f>TEST_DATA!E17944</f>
        <v/>
      </c>
    </row>
    <row r="17945">
      <c r="A17945">
        <f>TEST_DATA!A17945</f>
        <v/>
      </c>
      <c r="B17945">
        <f>TEST_DATA!B17945</f>
        <v/>
      </c>
      <c r="C17945">
        <f>TEST_DATA!C17945</f>
        <v/>
      </c>
      <c r="D17945">
        <f>TEST_DATA!D17945</f>
        <v/>
      </c>
      <c r="E17945">
        <f>TEST_DATA!E17945</f>
        <v/>
      </c>
    </row>
    <row r="17946">
      <c r="A17946">
        <f>TEST_DATA!A17946</f>
        <v/>
      </c>
      <c r="B17946">
        <f>TEST_DATA!B17946</f>
        <v/>
      </c>
      <c r="C17946">
        <f>TEST_DATA!C17946</f>
        <v/>
      </c>
      <c r="D17946">
        <f>TEST_DATA!D17946</f>
        <v/>
      </c>
      <c r="E17946">
        <f>TEST_DATA!E17946</f>
        <v/>
      </c>
    </row>
    <row r="17947">
      <c r="A17947">
        <f>TEST_DATA!A17947</f>
        <v/>
      </c>
      <c r="B17947">
        <f>TEST_DATA!B17947</f>
        <v/>
      </c>
      <c r="C17947">
        <f>TEST_DATA!C17947</f>
        <v/>
      </c>
      <c r="D17947">
        <f>TEST_DATA!D17947</f>
        <v/>
      </c>
      <c r="E17947">
        <f>TEST_DATA!E17947</f>
        <v/>
      </c>
    </row>
    <row r="17948">
      <c r="A17948">
        <f>TEST_DATA!A17948</f>
        <v/>
      </c>
      <c r="B17948">
        <f>TEST_DATA!B17948</f>
        <v/>
      </c>
      <c r="C17948">
        <f>TEST_DATA!C17948</f>
        <v/>
      </c>
      <c r="D17948">
        <f>TEST_DATA!D17948</f>
        <v/>
      </c>
      <c r="E17948">
        <f>TEST_DATA!E17948</f>
        <v/>
      </c>
    </row>
    <row r="17949">
      <c r="A17949">
        <f>TEST_DATA!A17949</f>
        <v/>
      </c>
      <c r="B17949">
        <f>TEST_DATA!B17949</f>
        <v/>
      </c>
      <c r="C17949">
        <f>TEST_DATA!C17949</f>
        <v/>
      </c>
      <c r="D17949">
        <f>TEST_DATA!D17949</f>
        <v/>
      </c>
      <c r="E17949">
        <f>TEST_DATA!E17949</f>
        <v/>
      </c>
    </row>
    <row r="17950">
      <c r="A17950">
        <f>TEST_DATA!A17950</f>
        <v/>
      </c>
      <c r="B17950">
        <f>TEST_DATA!B17950</f>
        <v/>
      </c>
      <c r="C17950">
        <f>TEST_DATA!C17950</f>
        <v/>
      </c>
      <c r="D17950">
        <f>TEST_DATA!D17950</f>
        <v/>
      </c>
      <c r="E17950">
        <f>TEST_DATA!E17950</f>
        <v/>
      </c>
    </row>
    <row r="17951">
      <c r="A17951">
        <f>TEST_DATA!A17951</f>
        <v/>
      </c>
      <c r="B17951">
        <f>TEST_DATA!B17951</f>
        <v/>
      </c>
      <c r="C17951">
        <f>TEST_DATA!C17951</f>
        <v/>
      </c>
      <c r="D17951">
        <f>TEST_DATA!D17951</f>
        <v/>
      </c>
      <c r="E17951">
        <f>TEST_DATA!E17951</f>
        <v/>
      </c>
    </row>
    <row r="17952">
      <c r="A17952">
        <f>TEST_DATA!A17952</f>
        <v/>
      </c>
      <c r="B17952">
        <f>TEST_DATA!B17952</f>
        <v/>
      </c>
      <c r="C17952">
        <f>TEST_DATA!C17952</f>
        <v/>
      </c>
      <c r="D17952">
        <f>TEST_DATA!D17952</f>
        <v/>
      </c>
      <c r="E17952">
        <f>TEST_DATA!E17952</f>
        <v/>
      </c>
    </row>
    <row r="17953">
      <c r="A17953">
        <f>TEST_DATA!A17953</f>
        <v/>
      </c>
      <c r="B17953">
        <f>TEST_DATA!B17953</f>
        <v/>
      </c>
      <c r="C17953">
        <f>TEST_DATA!C17953</f>
        <v/>
      </c>
      <c r="D17953">
        <f>TEST_DATA!D17953</f>
        <v/>
      </c>
      <c r="E17953">
        <f>TEST_DATA!E17953</f>
        <v/>
      </c>
    </row>
    <row r="17954">
      <c r="A17954">
        <f>TEST_DATA!A17954</f>
        <v/>
      </c>
      <c r="B17954">
        <f>TEST_DATA!B17954</f>
        <v/>
      </c>
      <c r="C17954">
        <f>TEST_DATA!C17954</f>
        <v/>
      </c>
      <c r="D17954">
        <f>TEST_DATA!D17954</f>
        <v/>
      </c>
      <c r="E17954">
        <f>TEST_DATA!E17954</f>
        <v/>
      </c>
    </row>
    <row r="17955">
      <c r="A17955">
        <f>TEST_DATA!A17955</f>
        <v/>
      </c>
      <c r="B17955">
        <f>TEST_DATA!B17955</f>
        <v/>
      </c>
      <c r="C17955">
        <f>TEST_DATA!C17955</f>
        <v/>
      </c>
      <c r="D17955">
        <f>TEST_DATA!D17955</f>
        <v/>
      </c>
      <c r="E17955">
        <f>TEST_DATA!E17955</f>
        <v/>
      </c>
    </row>
    <row r="17956">
      <c r="A17956">
        <f>TEST_DATA!A17956</f>
        <v/>
      </c>
      <c r="B17956">
        <f>TEST_DATA!B17956</f>
        <v/>
      </c>
      <c r="C17956">
        <f>TEST_DATA!C17956</f>
        <v/>
      </c>
      <c r="D17956">
        <f>TEST_DATA!D17956</f>
        <v/>
      </c>
      <c r="E17956">
        <f>TEST_DATA!E17956</f>
        <v/>
      </c>
    </row>
    <row r="17957">
      <c r="A17957">
        <f>TEST_DATA!A17957</f>
        <v/>
      </c>
      <c r="B17957">
        <f>TEST_DATA!B17957</f>
        <v/>
      </c>
      <c r="C17957">
        <f>TEST_DATA!C17957</f>
        <v/>
      </c>
      <c r="D17957">
        <f>TEST_DATA!D17957</f>
        <v/>
      </c>
      <c r="E17957">
        <f>TEST_DATA!E17957</f>
        <v/>
      </c>
    </row>
    <row r="17958">
      <c r="A17958">
        <f>TEST_DATA!A17958</f>
        <v/>
      </c>
      <c r="B17958">
        <f>TEST_DATA!B17958</f>
        <v/>
      </c>
      <c r="C17958">
        <f>TEST_DATA!C17958</f>
        <v/>
      </c>
      <c r="D17958">
        <f>TEST_DATA!D17958</f>
        <v/>
      </c>
      <c r="E17958">
        <f>TEST_DATA!E17958</f>
        <v/>
      </c>
    </row>
    <row r="17959">
      <c r="A17959">
        <f>TEST_DATA!A17959</f>
        <v/>
      </c>
      <c r="B17959">
        <f>TEST_DATA!B17959</f>
        <v/>
      </c>
      <c r="C17959">
        <f>TEST_DATA!C17959</f>
        <v/>
      </c>
      <c r="D17959">
        <f>TEST_DATA!D17959</f>
        <v/>
      </c>
      <c r="E17959">
        <f>TEST_DATA!E17959</f>
        <v/>
      </c>
    </row>
    <row r="17960">
      <c r="A17960">
        <f>TEST_DATA!A17960</f>
        <v/>
      </c>
      <c r="B17960">
        <f>TEST_DATA!B17960</f>
        <v/>
      </c>
      <c r="C17960">
        <f>TEST_DATA!C17960</f>
        <v/>
      </c>
      <c r="D17960">
        <f>TEST_DATA!D17960</f>
        <v/>
      </c>
      <c r="E17960">
        <f>TEST_DATA!E17960</f>
        <v/>
      </c>
    </row>
    <row r="17961">
      <c r="A17961">
        <f>TEST_DATA!A17961</f>
        <v/>
      </c>
      <c r="B17961">
        <f>TEST_DATA!B17961</f>
        <v/>
      </c>
      <c r="C17961">
        <f>TEST_DATA!C17961</f>
        <v/>
      </c>
      <c r="D17961">
        <f>TEST_DATA!D17961</f>
        <v/>
      </c>
      <c r="E17961">
        <f>TEST_DATA!E17961</f>
        <v/>
      </c>
    </row>
    <row r="17962">
      <c r="A17962">
        <f>TEST_DATA!A17962</f>
        <v/>
      </c>
      <c r="B17962">
        <f>TEST_DATA!B17962</f>
        <v/>
      </c>
      <c r="C17962">
        <f>TEST_DATA!C17962</f>
        <v/>
      </c>
      <c r="D17962">
        <f>TEST_DATA!D17962</f>
        <v/>
      </c>
      <c r="E17962">
        <f>TEST_DATA!E17962</f>
        <v/>
      </c>
    </row>
    <row r="17963">
      <c r="A17963">
        <f>TEST_DATA!A17963</f>
        <v/>
      </c>
      <c r="B17963">
        <f>TEST_DATA!B17963</f>
        <v/>
      </c>
      <c r="C17963">
        <f>TEST_DATA!C17963</f>
        <v/>
      </c>
      <c r="D17963">
        <f>TEST_DATA!D17963</f>
        <v/>
      </c>
      <c r="E17963">
        <f>TEST_DATA!E17963</f>
        <v/>
      </c>
    </row>
    <row r="17964">
      <c r="A17964">
        <f>TEST_DATA!A17964</f>
        <v/>
      </c>
      <c r="B17964">
        <f>TEST_DATA!B17964</f>
        <v/>
      </c>
      <c r="C17964">
        <f>TEST_DATA!C17964</f>
        <v/>
      </c>
      <c r="D17964">
        <f>TEST_DATA!D17964</f>
        <v/>
      </c>
      <c r="E17964">
        <f>TEST_DATA!E17964</f>
        <v/>
      </c>
    </row>
    <row r="17965">
      <c r="A17965">
        <f>TEST_DATA!A17965</f>
        <v/>
      </c>
      <c r="B17965">
        <f>TEST_DATA!B17965</f>
        <v/>
      </c>
      <c r="C17965">
        <f>TEST_DATA!C17965</f>
        <v/>
      </c>
      <c r="D17965">
        <f>TEST_DATA!D17965</f>
        <v/>
      </c>
      <c r="E17965">
        <f>TEST_DATA!E17965</f>
        <v/>
      </c>
    </row>
    <row r="17966">
      <c r="A17966">
        <f>TEST_DATA!A17966</f>
        <v/>
      </c>
      <c r="B17966">
        <f>TEST_DATA!B17966</f>
        <v/>
      </c>
      <c r="C17966">
        <f>TEST_DATA!C17966</f>
        <v/>
      </c>
      <c r="D17966">
        <f>TEST_DATA!D17966</f>
        <v/>
      </c>
      <c r="E17966">
        <f>TEST_DATA!E17966</f>
        <v/>
      </c>
    </row>
    <row r="17967">
      <c r="A17967">
        <f>TEST_DATA!A17967</f>
        <v/>
      </c>
      <c r="B17967">
        <f>TEST_DATA!B17967</f>
        <v/>
      </c>
      <c r="C17967">
        <f>TEST_DATA!C17967</f>
        <v/>
      </c>
      <c r="D17967">
        <f>TEST_DATA!D17967</f>
        <v/>
      </c>
      <c r="E17967">
        <f>TEST_DATA!E17967</f>
        <v/>
      </c>
    </row>
    <row r="17968">
      <c r="A17968">
        <f>TEST_DATA!A17968</f>
        <v/>
      </c>
      <c r="B17968">
        <f>TEST_DATA!B17968</f>
        <v/>
      </c>
      <c r="C17968">
        <f>TEST_DATA!C17968</f>
        <v/>
      </c>
      <c r="D17968">
        <f>TEST_DATA!D17968</f>
        <v/>
      </c>
      <c r="E17968">
        <f>TEST_DATA!E17968</f>
        <v/>
      </c>
    </row>
    <row r="17969">
      <c r="A17969">
        <f>TEST_DATA!A17969</f>
        <v/>
      </c>
      <c r="B17969">
        <f>TEST_DATA!B17969</f>
        <v/>
      </c>
      <c r="C17969">
        <f>TEST_DATA!C17969</f>
        <v/>
      </c>
      <c r="D17969">
        <f>TEST_DATA!D17969</f>
        <v/>
      </c>
      <c r="E17969">
        <f>TEST_DATA!E17969</f>
        <v/>
      </c>
    </row>
    <row r="17970">
      <c r="A17970">
        <f>TEST_DATA!A17970</f>
        <v/>
      </c>
      <c r="B17970">
        <f>TEST_DATA!B17970</f>
        <v/>
      </c>
      <c r="C17970">
        <f>TEST_DATA!C17970</f>
        <v/>
      </c>
      <c r="D17970">
        <f>TEST_DATA!D17970</f>
        <v/>
      </c>
      <c r="E17970">
        <f>TEST_DATA!E17970</f>
        <v/>
      </c>
    </row>
    <row r="17971">
      <c r="A17971">
        <f>TEST_DATA!A17971</f>
        <v/>
      </c>
      <c r="B17971">
        <f>TEST_DATA!B17971</f>
        <v/>
      </c>
      <c r="C17971">
        <f>TEST_DATA!C17971</f>
        <v/>
      </c>
      <c r="D17971">
        <f>TEST_DATA!D17971</f>
        <v/>
      </c>
      <c r="E17971">
        <f>TEST_DATA!E17971</f>
        <v/>
      </c>
    </row>
    <row r="17972">
      <c r="A17972">
        <f>TEST_DATA!A17972</f>
        <v/>
      </c>
      <c r="B17972">
        <f>TEST_DATA!B17972</f>
        <v/>
      </c>
      <c r="C17972">
        <f>TEST_DATA!C17972</f>
        <v/>
      </c>
      <c r="D17972">
        <f>TEST_DATA!D17972</f>
        <v/>
      </c>
      <c r="E17972">
        <f>TEST_DATA!E17972</f>
        <v/>
      </c>
    </row>
    <row r="17973">
      <c r="A17973">
        <f>TEST_DATA!A17973</f>
        <v/>
      </c>
      <c r="B17973">
        <f>TEST_DATA!B17973</f>
        <v/>
      </c>
      <c r="C17973">
        <f>TEST_DATA!C17973</f>
        <v/>
      </c>
      <c r="D17973">
        <f>TEST_DATA!D17973</f>
        <v/>
      </c>
      <c r="E17973">
        <f>TEST_DATA!E17973</f>
        <v/>
      </c>
    </row>
    <row r="17974">
      <c r="A17974">
        <f>TEST_DATA!A17974</f>
        <v/>
      </c>
      <c r="B17974">
        <f>TEST_DATA!B17974</f>
        <v/>
      </c>
      <c r="C17974">
        <f>TEST_DATA!C17974</f>
        <v/>
      </c>
      <c r="D17974">
        <f>TEST_DATA!D17974</f>
        <v/>
      </c>
      <c r="E17974">
        <f>TEST_DATA!E17974</f>
        <v/>
      </c>
    </row>
    <row r="17975">
      <c r="A17975">
        <f>TEST_DATA!A17975</f>
        <v/>
      </c>
      <c r="B17975">
        <f>TEST_DATA!B17975</f>
        <v/>
      </c>
      <c r="C17975">
        <f>TEST_DATA!C17975</f>
        <v/>
      </c>
      <c r="D17975">
        <f>TEST_DATA!D17975</f>
        <v/>
      </c>
      <c r="E17975">
        <f>TEST_DATA!E17975</f>
        <v/>
      </c>
    </row>
    <row r="17976">
      <c r="A17976">
        <f>TEST_DATA!A17976</f>
        <v/>
      </c>
      <c r="B17976">
        <f>TEST_DATA!B17976</f>
        <v/>
      </c>
      <c r="C17976">
        <f>TEST_DATA!C17976</f>
        <v/>
      </c>
      <c r="D17976">
        <f>TEST_DATA!D17976</f>
        <v/>
      </c>
      <c r="E17976">
        <f>TEST_DATA!E17976</f>
        <v/>
      </c>
    </row>
    <row r="17977">
      <c r="A17977">
        <f>TEST_DATA!A17977</f>
        <v/>
      </c>
      <c r="B17977">
        <f>TEST_DATA!B17977</f>
        <v/>
      </c>
      <c r="C17977">
        <f>TEST_DATA!C17977</f>
        <v/>
      </c>
      <c r="D17977">
        <f>TEST_DATA!D17977</f>
        <v/>
      </c>
      <c r="E17977">
        <f>TEST_DATA!E17977</f>
        <v/>
      </c>
    </row>
    <row r="17978">
      <c r="A17978">
        <f>TEST_DATA!A17978</f>
        <v/>
      </c>
      <c r="B17978">
        <f>TEST_DATA!B17978</f>
        <v/>
      </c>
      <c r="C17978">
        <f>TEST_DATA!C17978</f>
        <v/>
      </c>
      <c r="D17978">
        <f>TEST_DATA!D17978</f>
        <v/>
      </c>
      <c r="E17978">
        <f>TEST_DATA!E17978</f>
        <v/>
      </c>
    </row>
    <row r="17979">
      <c r="A17979">
        <f>TEST_DATA!A17979</f>
        <v/>
      </c>
      <c r="B17979">
        <f>TEST_DATA!B17979</f>
        <v/>
      </c>
      <c r="C17979">
        <f>TEST_DATA!C17979</f>
        <v/>
      </c>
      <c r="D17979">
        <f>TEST_DATA!D17979</f>
        <v/>
      </c>
      <c r="E17979">
        <f>TEST_DATA!E17979</f>
        <v/>
      </c>
    </row>
    <row r="17980">
      <c r="A17980">
        <f>TEST_DATA!A17980</f>
        <v/>
      </c>
      <c r="B17980">
        <f>TEST_DATA!B17980</f>
        <v/>
      </c>
      <c r="C17980">
        <f>TEST_DATA!C17980</f>
        <v/>
      </c>
      <c r="D17980">
        <f>TEST_DATA!D17980</f>
        <v/>
      </c>
      <c r="E17980">
        <f>TEST_DATA!E17980</f>
        <v/>
      </c>
    </row>
    <row r="17981">
      <c r="A17981">
        <f>TEST_DATA!A17981</f>
        <v/>
      </c>
      <c r="B17981">
        <f>TEST_DATA!B17981</f>
        <v/>
      </c>
      <c r="C17981">
        <f>TEST_DATA!C17981</f>
        <v/>
      </c>
      <c r="D17981">
        <f>TEST_DATA!D17981</f>
        <v/>
      </c>
      <c r="E17981">
        <f>TEST_DATA!E17981</f>
        <v/>
      </c>
    </row>
    <row r="17982">
      <c r="A17982">
        <f>TEST_DATA!A17982</f>
        <v/>
      </c>
      <c r="B17982">
        <f>TEST_DATA!B17982</f>
        <v/>
      </c>
      <c r="C17982">
        <f>TEST_DATA!C17982</f>
        <v/>
      </c>
      <c r="D17982">
        <f>TEST_DATA!D17982</f>
        <v/>
      </c>
      <c r="E17982">
        <f>TEST_DATA!E17982</f>
        <v/>
      </c>
    </row>
    <row r="17983">
      <c r="A17983">
        <f>TEST_DATA!A17983</f>
        <v/>
      </c>
      <c r="B17983">
        <f>TEST_DATA!B17983</f>
        <v/>
      </c>
      <c r="C17983">
        <f>TEST_DATA!C17983</f>
        <v/>
      </c>
      <c r="D17983">
        <f>TEST_DATA!D17983</f>
        <v/>
      </c>
      <c r="E17983">
        <f>TEST_DATA!E17983</f>
        <v/>
      </c>
    </row>
    <row r="17984">
      <c r="A17984">
        <f>TEST_DATA!A17984</f>
        <v/>
      </c>
      <c r="B17984">
        <f>TEST_DATA!B17984</f>
        <v/>
      </c>
      <c r="C17984">
        <f>TEST_DATA!C17984</f>
        <v/>
      </c>
      <c r="D17984">
        <f>TEST_DATA!D17984</f>
        <v/>
      </c>
      <c r="E17984">
        <f>TEST_DATA!E17984</f>
        <v/>
      </c>
    </row>
    <row r="17985">
      <c r="A17985">
        <f>TEST_DATA!A17985</f>
        <v/>
      </c>
      <c r="B17985">
        <f>TEST_DATA!B17985</f>
        <v/>
      </c>
      <c r="C17985">
        <f>TEST_DATA!C17985</f>
        <v/>
      </c>
      <c r="D17985">
        <f>TEST_DATA!D17985</f>
        <v/>
      </c>
      <c r="E17985">
        <f>TEST_DATA!E17985</f>
        <v/>
      </c>
    </row>
    <row r="17986">
      <c r="A17986">
        <f>TEST_DATA!A17986</f>
        <v/>
      </c>
      <c r="B17986">
        <f>TEST_DATA!B17986</f>
        <v/>
      </c>
      <c r="C17986">
        <f>TEST_DATA!C17986</f>
        <v/>
      </c>
      <c r="D17986">
        <f>TEST_DATA!D17986</f>
        <v/>
      </c>
      <c r="E17986">
        <f>TEST_DATA!E17986</f>
        <v/>
      </c>
    </row>
    <row r="17987">
      <c r="A17987">
        <f>TEST_DATA!A17987</f>
        <v/>
      </c>
      <c r="B17987">
        <f>TEST_DATA!B17987</f>
        <v/>
      </c>
      <c r="C17987">
        <f>TEST_DATA!C17987</f>
        <v/>
      </c>
      <c r="D17987">
        <f>TEST_DATA!D17987</f>
        <v/>
      </c>
      <c r="E17987">
        <f>TEST_DATA!E17987</f>
        <v/>
      </c>
    </row>
    <row r="17988">
      <c r="A17988">
        <f>TEST_DATA!A17988</f>
        <v/>
      </c>
      <c r="B17988">
        <f>TEST_DATA!B17988</f>
        <v/>
      </c>
      <c r="C17988">
        <f>TEST_DATA!C17988</f>
        <v/>
      </c>
      <c r="D17988">
        <f>TEST_DATA!D17988</f>
        <v/>
      </c>
      <c r="E17988">
        <f>TEST_DATA!E17988</f>
        <v/>
      </c>
    </row>
    <row r="17989">
      <c r="A17989">
        <f>TEST_DATA!A17989</f>
        <v/>
      </c>
      <c r="B17989">
        <f>TEST_DATA!B17989</f>
        <v/>
      </c>
      <c r="C17989">
        <f>TEST_DATA!C17989</f>
        <v/>
      </c>
      <c r="D17989">
        <f>TEST_DATA!D17989</f>
        <v/>
      </c>
      <c r="E17989">
        <f>TEST_DATA!E17989</f>
        <v/>
      </c>
    </row>
    <row r="17990">
      <c r="A17990">
        <f>TEST_DATA!A17990</f>
        <v/>
      </c>
      <c r="B17990">
        <f>TEST_DATA!B17990</f>
        <v/>
      </c>
      <c r="C17990">
        <f>TEST_DATA!C17990</f>
        <v/>
      </c>
      <c r="D17990">
        <f>TEST_DATA!D17990</f>
        <v/>
      </c>
      <c r="E17990">
        <f>TEST_DATA!E17990</f>
        <v/>
      </c>
    </row>
    <row r="17991">
      <c r="A17991">
        <f>TEST_DATA!A17991</f>
        <v/>
      </c>
      <c r="B17991">
        <f>TEST_DATA!B17991</f>
        <v/>
      </c>
      <c r="C17991">
        <f>TEST_DATA!C17991</f>
        <v/>
      </c>
      <c r="D17991">
        <f>TEST_DATA!D17991</f>
        <v/>
      </c>
      <c r="E17991">
        <f>TEST_DATA!E17991</f>
        <v/>
      </c>
    </row>
    <row r="17992">
      <c r="A17992">
        <f>TEST_DATA!A17992</f>
        <v/>
      </c>
      <c r="B17992">
        <f>TEST_DATA!B17992</f>
        <v/>
      </c>
      <c r="C17992">
        <f>TEST_DATA!C17992</f>
        <v/>
      </c>
      <c r="D17992">
        <f>TEST_DATA!D17992</f>
        <v/>
      </c>
      <c r="E17992">
        <f>TEST_DATA!E17992</f>
        <v/>
      </c>
    </row>
    <row r="17993">
      <c r="A17993">
        <f>TEST_DATA!A17993</f>
        <v/>
      </c>
      <c r="B17993">
        <f>TEST_DATA!B17993</f>
        <v/>
      </c>
      <c r="C17993">
        <f>TEST_DATA!C17993</f>
        <v/>
      </c>
      <c r="D17993">
        <f>TEST_DATA!D17993</f>
        <v/>
      </c>
      <c r="E17993">
        <f>TEST_DATA!E17993</f>
        <v/>
      </c>
    </row>
    <row r="17994">
      <c r="A17994">
        <f>TEST_DATA!A17994</f>
        <v/>
      </c>
      <c r="B17994">
        <f>TEST_DATA!B17994</f>
        <v/>
      </c>
      <c r="C17994">
        <f>TEST_DATA!C17994</f>
        <v/>
      </c>
      <c r="D17994">
        <f>TEST_DATA!D17994</f>
        <v/>
      </c>
      <c r="E17994">
        <f>TEST_DATA!E17994</f>
        <v/>
      </c>
    </row>
    <row r="17995">
      <c r="A17995">
        <f>TEST_DATA!A17995</f>
        <v/>
      </c>
      <c r="B17995">
        <f>TEST_DATA!B17995</f>
        <v/>
      </c>
      <c r="C17995">
        <f>TEST_DATA!C17995</f>
        <v/>
      </c>
      <c r="D17995">
        <f>TEST_DATA!D17995</f>
        <v/>
      </c>
      <c r="E17995">
        <f>TEST_DATA!E17995</f>
        <v/>
      </c>
    </row>
    <row r="17996">
      <c r="A17996">
        <f>TEST_DATA!A17996</f>
        <v/>
      </c>
      <c r="B17996">
        <f>TEST_DATA!B17996</f>
        <v/>
      </c>
      <c r="C17996">
        <f>TEST_DATA!C17996</f>
        <v/>
      </c>
      <c r="D17996">
        <f>TEST_DATA!D17996</f>
        <v/>
      </c>
      <c r="E17996">
        <f>TEST_DATA!E17996</f>
        <v/>
      </c>
    </row>
    <row r="17997">
      <c r="A17997">
        <f>TEST_DATA!A17997</f>
        <v/>
      </c>
      <c r="B17997">
        <f>TEST_DATA!B17997</f>
        <v/>
      </c>
      <c r="C17997">
        <f>TEST_DATA!C17997</f>
        <v/>
      </c>
      <c r="D17997">
        <f>TEST_DATA!D17997</f>
        <v/>
      </c>
      <c r="E17997">
        <f>TEST_DATA!E17997</f>
        <v/>
      </c>
    </row>
    <row r="17998">
      <c r="A17998">
        <f>TEST_DATA!A17998</f>
        <v/>
      </c>
      <c r="B17998">
        <f>TEST_DATA!B17998</f>
        <v/>
      </c>
      <c r="C17998">
        <f>TEST_DATA!C17998</f>
        <v/>
      </c>
      <c r="D17998">
        <f>TEST_DATA!D17998</f>
        <v/>
      </c>
      <c r="E17998">
        <f>TEST_DATA!E17998</f>
        <v/>
      </c>
    </row>
    <row r="17999">
      <c r="A17999">
        <f>TEST_DATA!A17999</f>
        <v/>
      </c>
      <c r="B17999">
        <f>TEST_DATA!B17999</f>
        <v/>
      </c>
      <c r="C17999">
        <f>TEST_DATA!C17999</f>
        <v/>
      </c>
      <c r="D17999">
        <f>TEST_DATA!D17999</f>
        <v/>
      </c>
      <c r="E17999">
        <f>TEST_DATA!E17999</f>
        <v/>
      </c>
    </row>
    <row r="18000">
      <c r="A18000">
        <f>TEST_DATA!A18000</f>
        <v/>
      </c>
      <c r="B18000">
        <f>TEST_DATA!B18000</f>
        <v/>
      </c>
      <c r="C18000">
        <f>TEST_DATA!C18000</f>
        <v/>
      </c>
      <c r="D18000">
        <f>TEST_DATA!D18000</f>
        <v/>
      </c>
      <c r="E18000">
        <f>TEST_DATA!E18000</f>
        <v/>
      </c>
    </row>
    <row r="18001">
      <c r="A18001">
        <f>TEST_DATA!A18001</f>
        <v/>
      </c>
      <c r="B18001">
        <f>TEST_DATA!B18001</f>
        <v/>
      </c>
      <c r="C18001">
        <f>TEST_DATA!C18001</f>
        <v/>
      </c>
      <c r="D18001">
        <f>TEST_DATA!D18001</f>
        <v/>
      </c>
      <c r="E18001">
        <f>TEST_DATA!E18001</f>
        <v/>
      </c>
    </row>
    <row r="18002">
      <c r="A18002">
        <f>TEST_DATA!A18002</f>
        <v/>
      </c>
      <c r="B18002">
        <f>TEST_DATA!B18002</f>
        <v/>
      </c>
      <c r="C18002">
        <f>TEST_DATA!C18002</f>
        <v/>
      </c>
      <c r="D18002">
        <f>TEST_DATA!D18002</f>
        <v/>
      </c>
      <c r="E18002">
        <f>TEST_DATA!E18002</f>
        <v/>
      </c>
    </row>
    <row r="18003">
      <c r="A18003">
        <f>TEST_DATA!A18003</f>
        <v/>
      </c>
      <c r="B18003">
        <f>TEST_DATA!B18003</f>
        <v/>
      </c>
      <c r="C18003">
        <f>TEST_DATA!C18003</f>
        <v/>
      </c>
      <c r="D18003">
        <f>TEST_DATA!D18003</f>
        <v/>
      </c>
      <c r="E18003">
        <f>TEST_DATA!E18003</f>
        <v/>
      </c>
    </row>
    <row r="18004">
      <c r="A18004">
        <f>TEST_DATA!A18004</f>
        <v/>
      </c>
      <c r="B18004">
        <f>TEST_DATA!B18004</f>
        <v/>
      </c>
      <c r="C18004">
        <f>TEST_DATA!C18004</f>
        <v/>
      </c>
      <c r="D18004">
        <f>TEST_DATA!D18004</f>
        <v/>
      </c>
      <c r="E18004">
        <f>TEST_DATA!E18004</f>
        <v/>
      </c>
    </row>
    <row r="18005">
      <c r="A18005">
        <f>TEST_DATA!A18005</f>
        <v/>
      </c>
      <c r="B18005">
        <f>TEST_DATA!B18005</f>
        <v/>
      </c>
      <c r="C18005">
        <f>TEST_DATA!C18005</f>
        <v/>
      </c>
      <c r="D18005">
        <f>TEST_DATA!D18005</f>
        <v/>
      </c>
      <c r="E18005">
        <f>TEST_DATA!E18005</f>
        <v/>
      </c>
    </row>
    <row r="18006">
      <c r="A18006">
        <f>TEST_DATA!A18006</f>
        <v/>
      </c>
      <c r="B18006">
        <f>TEST_DATA!B18006</f>
        <v/>
      </c>
      <c r="C18006">
        <f>TEST_DATA!C18006</f>
        <v/>
      </c>
      <c r="D18006">
        <f>TEST_DATA!D18006</f>
        <v/>
      </c>
      <c r="E18006">
        <f>TEST_DATA!E18006</f>
        <v/>
      </c>
    </row>
    <row r="18007">
      <c r="A18007">
        <f>TEST_DATA!A18007</f>
        <v/>
      </c>
      <c r="B18007">
        <f>TEST_DATA!B18007</f>
        <v/>
      </c>
      <c r="C18007">
        <f>TEST_DATA!C18007</f>
        <v/>
      </c>
      <c r="D18007">
        <f>TEST_DATA!D18007</f>
        <v/>
      </c>
      <c r="E18007">
        <f>TEST_DATA!E18007</f>
        <v/>
      </c>
    </row>
    <row r="18008">
      <c r="A18008">
        <f>TEST_DATA!A18008</f>
        <v/>
      </c>
      <c r="B18008">
        <f>TEST_DATA!B18008</f>
        <v/>
      </c>
      <c r="C18008">
        <f>TEST_DATA!C18008</f>
        <v/>
      </c>
      <c r="D18008">
        <f>TEST_DATA!D18008</f>
        <v/>
      </c>
      <c r="E18008">
        <f>TEST_DATA!E18008</f>
        <v/>
      </c>
    </row>
    <row r="18009">
      <c r="A18009">
        <f>TEST_DATA!A18009</f>
        <v/>
      </c>
      <c r="B18009">
        <f>TEST_DATA!B18009</f>
        <v/>
      </c>
      <c r="C18009">
        <f>TEST_DATA!C18009</f>
        <v/>
      </c>
      <c r="D18009">
        <f>TEST_DATA!D18009</f>
        <v/>
      </c>
      <c r="E18009">
        <f>TEST_DATA!E18009</f>
        <v/>
      </c>
    </row>
    <row r="18010">
      <c r="A18010">
        <f>TEST_DATA!A18010</f>
        <v/>
      </c>
      <c r="B18010">
        <f>TEST_DATA!B18010</f>
        <v/>
      </c>
      <c r="C18010">
        <f>TEST_DATA!C18010</f>
        <v/>
      </c>
      <c r="D18010">
        <f>TEST_DATA!D18010</f>
        <v/>
      </c>
      <c r="E18010">
        <f>TEST_DATA!E18010</f>
        <v/>
      </c>
    </row>
    <row r="18011">
      <c r="A18011">
        <f>TEST_DATA!A18011</f>
        <v/>
      </c>
      <c r="B18011">
        <f>TEST_DATA!B18011</f>
        <v/>
      </c>
      <c r="C18011">
        <f>TEST_DATA!C18011</f>
        <v/>
      </c>
      <c r="D18011">
        <f>TEST_DATA!D18011</f>
        <v/>
      </c>
      <c r="E18011">
        <f>TEST_DATA!E18011</f>
        <v/>
      </c>
    </row>
    <row r="18012">
      <c r="A18012">
        <f>TEST_DATA!A18012</f>
        <v/>
      </c>
      <c r="B18012">
        <f>TEST_DATA!B18012</f>
        <v/>
      </c>
      <c r="C18012">
        <f>TEST_DATA!C18012</f>
        <v/>
      </c>
      <c r="D18012">
        <f>TEST_DATA!D18012</f>
        <v/>
      </c>
      <c r="E18012">
        <f>TEST_DATA!E18012</f>
        <v/>
      </c>
    </row>
    <row r="18013">
      <c r="A18013">
        <f>TEST_DATA!A18013</f>
        <v/>
      </c>
      <c r="B18013">
        <f>TEST_DATA!B18013</f>
        <v/>
      </c>
      <c r="C18013">
        <f>TEST_DATA!C18013</f>
        <v/>
      </c>
      <c r="D18013">
        <f>TEST_DATA!D18013</f>
        <v/>
      </c>
      <c r="E18013">
        <f>TEST_DATA!E18013</f>
        <v/>
      </c>
    </row>
    <row r="18014">
      <c r="A18014">
        <f>TEST_DATA!A18014</f>
        <v/>
      </c>
      <c r="B18014">
        <f>TEST_DATA!B18014</f>
        <v/>
      </c>
      <c r="C18014">
        <f>TEST_DATA!C18014</f>
        <v/>
      </c>
      <c r="D18014">
        <f>TEST_DATA!D18014</f>
        <v/>
      </c>
      <c r="E18014">
        <f>TEST_DATA!E18014</f>
        <v/>
      </c>
    </row>
    <row r="18015">
      <c r="A18015">
        <f>TEST_DATA!A18015</f>
        <v/>
      </c>
      <c r="B18015">
        <f>TEST_DATA!B18015</f>
        <v/>
      </c>
      <c r="C18015">
        <f>TEST_DATA!C18015</f>
        <v/>
      </c>
      <c r="D18015">
        <f>TEST_DATA!D18015</f>
        <v/>
      </c>
      <c r="E18015">
        <f>TEST_DATA!E18015</f>
        <v/>
      </c>
    </row>
    <row r="18016">
      <c r="A18016">
        <f>TEST_DATA!A18016</f>
        <v/>
      </c>
      <c r="B18016">
        <f>TEST_DATA!B18016</f>
        <v/>
      </c>
      <c r="C18016">
        <f>TEST_DATA!C18016</f>
        <v/>
      </c>
      <c r="D18016">
        <f>TEST_DATA!D18016</f>
        <v/>
      </c>
      <c r="E18016">
        <f>TEST_DATA!E18016</f>
        <v/>
      </c>
    </row>
    <row r="18017">
      <c r="A18017">
        <f>TEST_DATA!A18017</f>
        <v/>
      </c>
      <c r="B18017">
        <f>TEST_DATA!B18017</f>
        <v/>
      </c>
      <c r="C18017">
        <f>TEST_DATA!C18017</f>
        <v/>
      </c>
      <c r="D18017">
        <f>TEST_DATA!D18017</f>
        <v/>
      </c>
      <c r="E18017">
        <f>TEST_DATA!E18017</f>
        <v/>
      </c>
    </row>
    <row r="18018">
      <c r="A18018">
        <f>TEST_DATA!A18018</f>
        <v/>
      </c>
      <c r="B18018">
        <f>TEST_DATA!B18018</f>
        <v/>
      </c>
      <c r="C18018">
        <f>TEST_DATA!C18018</f>
        <v/>
      </c>
      <c r="D18018">
        <f>TEST_DATA!D18018</f>
        <v/>
      </c>
      <c r="E18018">
        <f>TEST_DATA!E18018</f>
        <v/>
      </c>
    </row>
    <row r="18019">
      <c r="A18019">
        <f>TEST_DATA!A18019</f>
        <v/>
      </c>
      <c r="B18019">
        <f>TEST_DATA!B18019</f>
        <v/>
      </c>
      <c r="C18019">
        <f>TEST_DATA!C18019</f>
        <v/>
      </c>
      <c r="D18019">
        <f>TEST_DATA!D18019</f>
        <v/>
      </c>
      <c r="E18019">
        <f>TEST_DATA!E18019</f>
        <v/>
      </c>
    </row>
    <row r="18020">
      <c r="A18020">
        <f>TEST_DATA!A18020</f>
        <v/>
      </c>
      <c r="B18020">
        <f>TEST_DATA!B18020</f>
        <v/>
      </c>
      <c r="C18020">
        <f>TEST_DATA!C18020</f>
        <v/>
      </c>
      <c r="D18020">
        <f>TEST_DATA!D18020</f>
        <v/>
      </c>
      <c r="E18020">
        <f>TEST_DATA!E18020</f>
        <v/>
      </c>
    </row>
    <row r="18021">
      <c r="A18021">
        <f>TEST_DATA!A18021</f>
        <v/>
      </c>
      <c r="B18021">
        <f>TEST_DATA!B18021</f>
        <v/>
      </c>
      <c r="C18021">
        <f>TEST_DATA!C18021</f>
        <v/>
      </c>
      <c r="D18021">
        <f>TEST_DATA!D18021</f>
        <v/>
      </c>
      <c r="E18021">
        <f>TEST_DATA!E18021</f>
        <v/>
      </c>
    </row>
    <row r="18022">
      <c r="A18022">
        <f>TEST_DATA!A18022</f>
        <v/>
      </c>
      <c r="B18022">
        <f>TEST_DATA!B18022</f>
        <v/>
      </c>
      <c r="C18022">
        <f>TEST_DATA!C18022</f>
        <v/>
      </c>
      <c r="D18022">
        <f>TEST_DATA!D18022</f>
        <v/>
      </c>
      <c r="E18022">
        <f>TEST_DATA!E18022</f>
        <v/>
      </c>
    </row>
    <row r="18023">
      <c r="A18023">
        <f>TEST_DATA!A18023</f>
        <v/>
      </c>
      <c r="B18023">
        <f>TEST_DATA!B18023</f>
        <v/>
      </c>
      <c r="C18023">
        <f>TEST_DATA!C18023</f>
        <v/>
      </c>
      <c r="D18023">
        <f>TEST_DATA!D18023</f>
        <v/>
      </c>
      <c r="E18023">
        <f>TEST_DATA!E18023</f>
        <v/>
      </c>
    </row>
    <row r="18024">
      <c r="A18024">
        <f>TEST_DATA!A18024</f>
        <v/>
      </c>
      <c r="B18024">
        <f>TEST_DATA!B18024</f>
        <v/>
      </c>
      <c r="C18024">
        <f>TEST_DATA!C18024</f>
        <v/>
      </c>
      <c r="D18024">
        <f>TEST_DATA!D18024</f>
        <v/>
      </c>
      <c r="E18024">
        <f>TEST_DATA!E18024</f>
        <v/>
      </c>
    </row>
    <row r="18025">
      <c r="A18025">
        <f>TEST_DATA!A18025</f>
        <v/>
      </c>
      <c r="B18025">
        <f>TEST_DATA!B18025</f>
        <v/>
      </c>
      <c r="C18025">
        <f>TEST_DATA!C18025</f>
        <v/>
      </c>
      <c r="D18025">
        <f>TEST_DATA!D18025</f>
        <v/>
      </c>
      <c r="E18025">
        <f>TEST_DATA!E18025</f>
        <v/>
      </c>
    </row>
    <row r="18026">
      <c r="A18026">
        <f>TEST_DATA!A18026</f>
        <v/>
      </c>
      <c r="B18026">
        <f>TEST_DATA!B18026</f>
        <v/>
      </c>
      <c r="C18026">
        <f>TEST_DATA!C18026</f>
        <v/>
      </c>
      <c r="D18026">
        <f>TEST_DATA!D18026</f>
        <v/>
      </c>
      <c r="E18026">
        <f>TEST_DATA!E18026</f>
        <v/>
      </c>
    </row>
    <row r="18027">
      <c r="A18027">
        <f>TEST_DATA!A18027</f>
        <v/>
      </c>
      <c r="B18027">
        <f>TEST_DATA!B18027</f>
        <v/>
      </c>
      <c r="C18027">
        <f>TEST_DATA!C18027</f>
        <v/>
      </c>
      <c r="D18027">
        <f>TEST_DATA!D18027</f>
        <v/>
      </c>
      <c r="E18027">
        <f>TEST_DATA!E18027</f>
        <v/>
      </c>
    </row>
    <row r="18028">
      <c r="A18028">
        <f>TEST_DATA!A18028</f>
        <v/>
      </c>
      <c r="B18028">
        <f>TEST_DATA!B18028</f>
        <v/>
      </c>
      <c r="C18028">
        <f>TEST_DATA!C18028</f>
        <v/>
      </c>
      <c r="D18028">
        <f>TEST_DATA!D18028</f>
        <v/>
      </c>
      <c r="E18028">
        <f>TEST_DATA!E18028</f>
        <v/>
      </c>
    </row>
    <row r="18029">
      <c r="A18029">
        <f>TEST_DATA!A18029</f>
        <v/>
      </c>
      <c r="B18029">
        <f>TEST_DATA!B18029</f>
        <v/>
      </c>
      <c r="C18029">
        <f>TEST_DATA!C18029</f>
        <v/>
      </c>
      <c r="D18029">
        <f>TEST_DATA!D18029</f>
        <v/>
      </c>
      <c r="E18029">
        <f>TEST_DATA!E18029</f>
        <v/>
      </c>
    </row>
    <row r="18030">
      <c r="A18030">
        <f>TEST_DATA!A18030</f>
        <v/>
      </c>
      <c r="B18030">
        <f>TEST_DATA!B18030</f>
        <v/>
      </c>
      <c r="C18030">
        <f>TEST_DATA!C18030</f>
        <v/>
      </c>
      <c r="D18030">
        <f>TEST_DATA!D18030</f>
        <v/>
      </c>
      <c r="E18030">
        <f>TEST_DATA!E18030</f>
        <v/>
      </c>
    </row>
    <row r="18031">
      <c r="A18031">
        <f>TEST_DATA!A18031</f>
        <v/>
      </c>
      <c r="B18031">
        <f>TEST_DATA!B18031</f>
        <v/>
      </c>
      <c r="C18031">
        <f>TEST_DATA!C18031</f>
        <v/>
      </c>
      <c r="D18031">
        <f>TEST_DATA!D18031</f>
        <v/>
      </c>
      <c r="E18031">
        <f>TEST_DATA!E18031</f>
        <v/>
      </c>
    </row>
    <row r="18032">
      <c r="A18032">
        <f>TEST_DATA!A18032</f>
        <v/>
      </c>
      <c r="B18032">
        <f>TEST_DATA!B18032</f>
        <v/>
      </c>
      <c r="C18032">
        <f>TEST_DATA!C18032</f>
        <v/>
      </c>
      <c r="D18032">
        <f>TEST_DATA!D18032</f>
        <v/>
      </c>
      <c r="E18032">
        <f>TEST_DATA!E18032</f>
        <v/>
      </c>
    </row>
    <row r="18033">
      <c r="A18033">
        <f>TEST_DATA!A18033</f>
        <v/>
      </c>
      <c r="B18033">
        <f>TEST_DATA!B18033</f>
        <v/>
      </c>
      <c r="C18033">
        <f>TEST_DATA!C18033</f>
        <v/>
      </c>
      <c r="D18033">
        <f>TEST_DATA!D18033</f>
        <v/>
      </c>
      <c r="E18033">
        <f>TEST_DATA!E18033</f>
        <v/>
      </c>
    </row>
    <row r="18034">
      <c r="A18034">
        <f>TEST_DATA!A18034</f>
        <v/>
      </c>
      <c r="B18034">
        <f>TEST_DATA!B18034</f>
        <v/>
      </c>
      <c r="C18034">
        <f>TEST_DATA!C18034</f>
        <v/>
      </c>
      <c r="D18034">
        <f>TEST_DATA!D18034</f>
        <v/>
      </c>
      <c r="E18034">
        <f>TEST_DATA!E18034</f>
        <v/>
      </c>
    </row>
    <row r="18035">
      <c r="A18035">
        <f>TEST_DATA!A18035</f>
        <v/>
      </c>
      <c r="B18035">
        <f>TEST_DATA!B18035</f>
        <v/>
      </c>
      <c r="C18035">
        <f>TEST_DATA!C18035</f>
        <v/>
      </c>
      <c r="D18035">
        <f>TEST_DATA!D18035</f>
        <v/>
      </c>
      <c r="E18035">
        <f>TEST_DATA!E18035</f>
        <v/>
      </c>
    </row>
    <row r="18036">
      <c r="A18036">
        <f>TEST_DATA!A18036</f>
        <v/>
      </c>
      <c r="B18036">
        <f>TEST_DATA!B18036</f>
        <v/>
      </c>
      <c r="C18036">
        <f>TEST_DATA!C18036</f>
        <v/>
      </c>
      <c r="D18036">
        <f>TEST_DATA!D18036</f>
        <v/>
      </c>
      <c r="E18036">
        <f>TEST_DATA!E18036</f>
        <v/>
      </c>
    </row>
    <row r="18037">
      <c r="A18037">
        <f>TEST_DATA!A18037</f>
        <v/>
      </c>
      <c r="B18037">
        <f>TEST_DATA!B18037</f>
        <v/>
      </c>
      <c r="C18037">
        <f>TEST_DATA!C18037</f>
        <v/>
      </c>
      <c r="D18037">
        <f>TEST_DATA!D18037</f>
        <v/>
      </c>
      <c r="E18037">
        <f>TEST_DATA!E18037</f>
        <v/>
      </c>
    </row>
    <row r="18038">
      <c r="A18038">
        <f>TEST_DATA!A18038</f>
        <v/>
      </c>
      <c r="B18038">
        <f>TEST_DATA!B18038</f>
        <v/>
      </c>
      <c r="C18038">
        <f>TEST_DATA!C18038</f>
        <v/>
      </c>
      <c r="D18038">
        <f>TEST_DATA!D18038</f>
        <v/>
      </c>
      <c r="E18038">
        <f>TEST_DATA!E18038</f>
        <v/>
      </c>
    </row>
    <row r="18039">
      <c r="A18039">
        <f>TEST_DATA!A18039</f>
        <v/>
      </c>
      <c r="B18039">
        <f>TEST_DATA!B18039</f>
        <v/>
      </c>
      <c r="C18039">
        <f>TEST_DATA!C18039</f>
        <v/>
      </c>
      <c r="D18039">
        <f>TEST_DATA!D18039</f>
        <v/>
      </c>
      <c r="E18039">
        <f>TEST_DATA!E18039</f>
        <v/>
      </c>
    </row>
    <row r="18040">
      <c r="A18040">
        <f>TEST_DATA!A18040</f>
        <v/>
      </c>
      <c r="B18040">
        <f>TEST_DATA!B18040</f>
        <v/>
      </c>
      <c r="C18040">
        <f>TEST_DATA!C18040</f>
        <v/>
      </c>
      <c r="D18040">
        <f>TEST_DATA!D18040</f>
        <v/>
      </c>
      <c r="E18040">
        <f>TEST_DATA!E18040</f>
        <v/>
      </c>
    </row>
    <row r="18041">
      <c r="A18041">
        <f>TEST_DATA!A18041</f>
        <v/>
      </c>
      <c r="B18041">
        <f>TEST_DATA!B18041</f>
        <v/>
      </c>
      <c r="C18041">
        <f>TEST_DATA!C18041</f>
        <v/>
      </c>
      <c r="D18041">
        <f>TEST_DATA!D18041</f>
        <v/>
      </c>
      <c r="E18041">
        <f>TEST_DATA!E18041</f>
        <v/>
      </c>
    </row>
    <row r="18042">
      <c r="A18042">
        <f>TEST_DATA!A18042</f>
        <v/>
      </c>
      <c r="B18042">
        <f>TEST_DATA!B18042</f>
        <v/>
      </c>
      <c r="C18042">
        <f>TEST_DATA!C18042</f>
        <v/>
      </c>
      <c r="D18042">
        <f>TEST_DATA!D18042</f>
        <v/>
      </c>
      <c r="E18042">
        <f>TEST_DATA!E18042</f>
        <v/>
      </c>
    </row>
    <row r="18043">
      <c r="A18043">
        <f>TEST_DATA!A18043</f>
        <v/>
      </c>
      <c r="B18043">
        <f>TEST_DATA!B18043</f>
        <v/>
      </c>
      <c r="C18043">
        <f>TEST_DATA!C18043</f>
        <v/>
      </c>
      <c r="D18043">
        <f>TEST_DATA!D18043</f>
        <v/>
      </c>
      <c r="E18043">
        <f>TEST_DATA!E18043</f>
        <v/>
      </c>
    </row>
    <row r="18044">
      <c r="A18044">
        <f>TEST_DATA!A18044</f>
        <v/>
      </c>
      <c r="B18044">
        <f>TEST_DATA!B18044</f>
        <v/>
      </c>
      <c r="C18044">
        <f>TEST_DATA!C18044</f>
        <v/>
      </c>
      <c r="D18044">
        <f>TEST_DATA!D18044</f>
        <v/>
      </c>
      <c r="E18044">
        <f>TEST_DATA!E18044</f>
        <v/>
      </c>
    </row>
    <row r="18045">
      <c r="A18045">
        <f>TEST_DATA!A18045</f>
        <v/>
      </c>
      <c r="B18045">
        <f>TEST_DATA!B18045</f>
        <v/>
      </c>
      <c r="C18045">
        <f>TEST_DATA!C18045</f>
        <v/>
      </c>
      <c r="D18045">
        <f>TEST_DATA!D18045</f>
        <v/>
      </c>
      <c r="E18045">
        <f>TEST_DATA!E18045</f>
        <v/>
      </c>
    </row>
    <row r="18046">
      <c r="A18046">
        <f>TEST_DATA!A18046</f>
        <v/>
      </c>
      <c r="B18046">
        <f>TEST_DATA!B18046</f>
        <v/>
      </c>
      <c r="C18046">
        <f>TEST_DATA!C18046</f>
        <v/>
      </c>
      <c r="D18046">
        <f>TEST_DATA!D18046</f>
        <v/>
      </c>
      <c r="E18046">
        <f>TEST_DATA!E18046</f>
        <v/>
      </c>
    </row>
    <row r="18047">
      <c r="A18047">
        <f>TEST_DATA!A18047</f>
        <v/>
      </c>
      <c r="B18047">
        <f>TEST_DATA!B18047</f>
        <v/>
      </c>
      <c r="C18047">
        <f>TEST_DATA!C18047</f>
        <v/>
      </c>
      <c r="D18047">
        <f>TEST_DATA!D18047</f>
        <v/>
      </c>
      <c r="E18047">
        <f>TEST_DATA!E18047</f>
        <v/>
      </c>
    </row>
    <row r="18048">
      <c r="A18048">
        <f>TEST_DATA!A18048</f>
        <v/>
      </c>
      <c r="B18048">
        <f>TEST_DATA!B18048</f>
        <v/>
      </c>
      <c r="C18048">
        <f>TEST_DATA!C18048</f>
        <v/>
      </c>
      <c r="D18048">
        <f>TEST_DATA!D18048</f>
        <v/>
      </c>
      <c r="E18048">
        <f>TEST_DATA!E18048</f>
        <v/>
      </c>
    </row>
    <row r="18049">
      <c r="A18049">
        <f>TEST_DATA!A18049</f>
        <v/>
      </c>
      <c r="B18049">
        <f>TEST_DATA!B18049</f>
        <v/>
      </c>
      <c r="C18049">
        <f>TEST_DATA!C18049</f>
        <v/>
      </c>
      <c r="D18049">
        <f>TEST_DATA!D18049</f>
        <v/>
      </c>
      <c r="E18049">
        <f>TEST_DATA!E18049</f>
        <v/>
      </c>
    </row>
    <row r="18050">
      <c r="A18050">
        <f>TEST_DATA!A18050</f>
        <v/>
      </c>
      <c r="B18050">
        <f>TEST_DATA!B18050</f>
        <v/>
      </c>
      <c r="C18050">
        <f>TEST_DATA!C18050</f>
        <v/>
      </c>
      <c r="D18050">
        <f>TEST_DATA!D18050</f>
        <v/>
      </c>
      <c r="E18050">
        <f>TEST_DATA!E18050</f>
        <v/>
      </c>
    </row>
    <row r="18051">
      <c r="A18051">
        <f>TEST_DATA!A18051</f>
        <v/>
      </c>
      <c r="B18051">
        <f>TEST_DATA!B18051</f>
        <v/>
      </c>
      <c r="C18051">
        <f>TEST_DATA!C18051</f>
        <v/>
      </c>
      <c r="D18051">
        <f>TEST_DATA!D18051</f>
        <v/>
      </c>
      <c r="E18051">
        <f>TEST_DATA!E18051</f>
        <v/>
      </c>
    </row>
    <row r="18052">
      <c r="A18052">
        <f>TEST_DATA!A18052</f>
        <v/>
      </c>
      <c r="B18052">
        <f>TEST_DATA!B18052</f>
        <v/>
      </c>
      <c r="C18052">
        <f>TEST_DATA!C18052</f>
        <v/>
      </c>
      <c r="D18052">
        <f>TEST_DATA!D18052</f>
        <v/>
      </c>
      <c r="E18052">
        <f>TEST_DATA!E18052</f>
        <v/>
      </c>
    </row>
    <row r="18053">
      <c r="A18053">
        <f>TEST_DATA!A18053</f>
        <v/>
      </c>
      <c r="B18053">
        <f>TEST_DATA!B18053</f>
        <v/>
      </c>
      <c r="C18053">
        <f>TEST_DATA!C18053</f>
        <v/>
      </c>
      <c r="D18053">
        <f>TEST_DATA!D18053</f>
        <v/>
      </c>
      <c r="E18053">
        <f>TEST_DATA!E18053</f>
        <v/>
      </c>
    </row>
    <row r="18054">
      <c r="A18054">
        <f>TEST_DATA!A18054</f>
        <v/>
      </c>
      <c r="B18054">
        <f>TEST_DATA!B18054</f>
        <v/>
      </c>
      <c r="C18054">
        <f>TEST_DATA!C18054</f>
        <v/>
      </c>
      <c r="D18054">
        <f>TEST_DATA!D18054</f>
        <v/>
      </c>
      <c r="E18054">
        <f>TEST_DATA!E18054</f>
        <v/>
      </c>
    </row>
    <row r="18055">
      <c r="A18055">
        <f>TEST_DATA!A18055</f>
        <v/>
      </c>
      <c r="B18055">
        <f>TEST_DATA!B18055</f>
        <v/>
      </c>
      <c r="C18055">
        <f>TEST_DATA!C18055</f>
        <v/>
      </c>
      <c r="D18055">
        <f>TEST_DATA!D18055</f>
        <v/>
      </c>
      <c r="E18055">
        <f>TEST_DATA!E18055</f>
        <v/>
      </c>
    </row>
    <row r="18056">
      <c r="A18056">
        <f>TEST_DATA!A18056</f>
        <v/>
      </c>
      <c r="B18056">
        <f>TEST_DATA!B18056</f>
        <v/>
      </c>
      <c r="C18056">
        <f>TEST_DATA!C18056</f>
        <v/>
      </c>
      <c r="D18056">
        <f>TEST_DATA!D18056</f>
        <v/>
      </c>
      <c r="E18056">
        <f>TEST_DATA!E18056</f>
        <v/>
      </c>
    </row>
    <row r="18057">
      <c r="A18057">
        <f>TEST_DATA!A18057</f>
        <v/>
      </c>
      <c r="B18057">
        <f>TEST_DATA!B18057</f>
        <v/>
      </c>
      <c r="C18057">
        <f>TEST_DATA!C18057</f>
        <v/>
      </c>
      <c r="D18057">
        <f>TEST_DATA!D18057</f>
        <v/>
      </c>
      <c r="E18057">
        <f>TEST_DATA!E18057</f>
        <v/>
      </c>
    </row>
    <row r="18058">
      <c r="A18058">
        <f>TEST_DATA!A18058</f>
        <v/>
      </c>
      <c r="B18058">
        <f>TEST_DATA!B18058</f>
        <v/>
      </c>
      <c r="C18058">
        <f>TEST_DATA!C18058</f>
        <v/>
      </c>
      <c r="D18058">
        <f>TEST_DATA!D18058</f>
        <v/>
      </c>
      <c r="E18058">
        <f>TEST_DATA!E18058</f>
        <v/>
      </c>
    </row>
    <row r="18059">
      <c r="A18059">
        <f>TEST_DATA!A18059</f>
        <v/>
      </c>
      <c r="B18059">
        <f>TEST_DATA!B18059</f>
        <v/>
      </c>
      <c r="C18059">
        <f>TEST_DATA!C18059</f>
        <v/>
      </c>
      <c r="D18059">
        <f>TEST_DATA!D18059</f>
        <v/>
      </c>
      <c r="E18059">
        <f>TEST_DATA!E18059</f>
        <v/>
      </c>
    </row>
    <row r="18060">
      <c r="A18060">
        <f>TEST_DATA!A18060</f>
        <v/>
      </c>
      <c r="B18060">
        <f>TEST_DATA!B18060</f>
        <v/>
      </c>
      <c r="C18060">
        <f>TEST_DATA!C18060</f>
        <v/>
      </c>
      <c r="D18060">
        <f>TEST_DATA!D18060</f>
        <v/>
      </c>
      <c r="E18060">
        <f>TEST_DATA!E18060</f>
        <v/>
      </c>
    </row>
    <row r="18061">
      <c r="A18061">
        <f>TEST_DATA!A18061</f>
        <v/>
      </c>
      <c r="B18061">
        <f>TEST_DATA!B18061</f>
        <v/>
      </c>
      <c r="C18061">
        <f>TEST_DATA!C18061</f>
        <v/>
      </c>
      <c r="D18061">
        <f>TEST_DATA!D18061</f>
        <v/>
      </c>
      <c r="E18061">
        <f>TEST_DATA!E18061</f>
        <v/>
      </c>
    </row>
    <row r="18062">
      <c r="A18062">
        <f>TEST_DATA!A18062</f>
        <v/>
      </c>
      <c r="B18062">
        <f>TEST_DATA!B18062</f>
        <v/>
      </c>
      <c r="C18062">
        <f>TEST_DATA!C18062</f>
        <v/>
      </c>
      <c r="D18062">
        <f>TEST_DATA!D18062</f>
        <v/>
      </c>
      <c r="E18062">
        <f>TEST_DATA!E18062</f>
        <v/>
      </c>
    </row>
    <row r="18063">
      <c r="A18063">
        <f>TEST_DATA!A18063</f>
        <v/>
      </c>
      <c r="B18063">
        <f>TEST_DATA!B18063</f>
        <v/>
      </c>
      <c r="C18063">
        <f>TEST_DATA!C18063</f>
        <v/>
      </c>
      <c r="D18063">
        <f>TEST_DATA!D18063</f>
        <v/>
      </c>
      <c r="E18063">
        <f>TEST_DATA!E18063</f>
        <v/>
      </c>
    </row>
    <row r="18064">
      <c r="A18064">
        <f>TEST_DATA!A18064</f>
        <v/>
      </c>
      <c r="B18064">
        <f>TEST_DATA!B18064</f>
        <v/>
      </c>
      <c r="C18064">
        <f>TEST_DATA!C18064</f>
        <v/>
      </c>
      <c r="D18064">
        <f>TEST_DATA!D18064</f>
        <v/>
      </c>
      <c r="E18064">
        <f>TEST_DATA!E18064</f>
        <v/>
      </c>
    </row>
    <row r="18065">
      <c r="A18065">
        <f>TEST_DATA!A18065</f>
        <v/>
      </c>
      <c r="B18065">
        <f>TEST_DATA!B18065</f>
        <v/>
      </c>
      <c r="C18065">
        <f>TEST_DATA!C18065</f>
        <v/>
      </c>
      <c r="D18065">
        <f>TEST_DATA!D18065</f>
        <v/>
      </c>
      <c r="E18065">
        <f>TEST_DATA!E18065</f>
        <v/>
      </c>
    </row>
    <row r="18066">
      <c r="A18066">
        <f>TEST_DATA!A18066</f>
        <v/>
      </c>
      <c r="B18066">
        <f>TEST_DATA!B18066</f>
        <v/>
      </c>
      <c r="C18066">
        <f>TEST_DATA!C18066</f>
        <v/>
      </c>
      <c r="D18066">
        <f>TEST_DATA!D18066</f>
        <v/>
      </c>
      <c r="E18066">
        <f>TEST_DATA!E18066</f>
        <v/>
      </c>
    </row>
    <row r="18067">
      <c r="A18067">
        <f>TEST_DATA!A18067</f>
        <v/>
      </c>
      <c r="B18067">
        <f>TEST_DATA!B18067</f>
        <v/>
      </c>
      <c r="C18067">
        <f>TEST_DATA!C18067</f>
        <v/>
      </c>
      <c r="D18067">
        <f>TEST_DATA!D18067</f>
        <v/>
      </c>
      <c r="E18067">
        <f>TEST_DATA!E18067</f>
        <v/>
      </c>
    </row>
    <row r="18068">
      <c r="A18068">
        <f>TEST_DATA!A18068</f>
        <v/>
      </c>
      <c r="B18068">
        <f>TEST_DATA!B18068</f>
        <v/>
      </c>
      <c r="C18068">
        <f>TEST_DATA!C18068</f>
        <v/>
      </c>
      <c r="D18068">
        <f>TEST_DATA!D18068</f>
        <v/>
      </c>
      <c r="E18068">
        <f>TEST_DATA!E18068</f>
        <v/>
      </c>
    </row>
    <row r="18069">
      <c r="A18069">
        <f>TEST_DATA!A18069</f>
        <v/>
      </c>
      <c r="B18069">
        <f>TEST_DATA!B18069</f>
        <v/>
      </c>
      <c r="C18069">
        <f>TEST_DATA!C18069</f>
        <v/>
      </c>
      <c r="D18069">
        <f>TEST_DATA!D18069</f>
        <v/>
      </c>
      <c r="E18069">
        <f>TEST_DATA!E18069</f>
        <v/>
      </c>
    </row>
    <row r="18070">
      <c r="A18070">
        <f>TEST_DATA!A18070</f>
        <v/>
      </c>
      <c r="B18070">
        <f>TEST_DATA!B18070</f>
        <v/>
      </c>
      <c r="C18070">
        <f>TEST_DATA!C18070</f>
        <v/>
      </c>
      <c r="D18070">
        <f>TEST_DATA!D18070</f>
        <v/>
      </c>
      <c r="E18070">
        <f>TEST_DATA!E18070</f>
        <v/>
      </c>
    </row>
    <row r="18071">
      <c r="A18071">
        <f>TEST_DATA!A18071</f>
        <v/>
      </c>
      <c r="B18071">
        <f>TEST_DATA!B18071</f>
        <v/>
      </c>
      <c r="C18071">
        <f>TEST_DATA!C18071</f>
        <v/>
      </c>
      <c r="D18071">
        <f>TEST_DATA!D18071</f>
        <v/>
      </c>
      <c r="E18071">
        <f>TEST_DATA!E18071</f>
        <v/>
      </c>
    </row>
    <row r="18072">
      <c r="A18072">
        <f>TEST_DATA!A18072</f>
        <v/>
      </c>
      <c r="B18072">
        <f>TEST_DATA!B18072</f>
        <v/>
      </c>
      <c r="C18072">
        <f>TEST_DATA!C18072</f>
        <v/>
      </c>
      <c r="D18072">
        <f>TEST_DATA!D18072</f>
        <v/>
      </c>
      <c r="E18072">
        <f>TEST_DATA!E18072</f>
        <v/>
      </c>
    </row>
    <row r="18073">
      <c r="A18073">
        <f>TEST_DATA!A18073</f>
        <v/>
      </c>
      <c r="B18073">
        <f>TEST_DATA!B18073</f>
        <v/>
      </c>
      <c r="C18073">
        <f>TEST_DATA!C18073</f>
        <v/>
      </c>
      <c r="D18073">
        <f>TEST_DATA!D18073</f>
        <v/>
      </c>
      <c r="E18073">
        <f>TEST_DATA!E18073</f>
        <v/>
      </c>
    </row>
    <row r="18074">
      <c r="A18074">
        <f>TEST_DATA!A18074</f>
        <v/>
      </c>
      <c r="B18074">
        <f>TEST_DATA!B18074</f>
        <v/>
      </c>
      <c r="C18074">
        <f>TEST_DATA!C18074</f>
        <v/>
      </c>
      <c r="D18074">
        <f>TEST_DATA!D18074</f>
        <v/>
      </c>
      <c r="E18074">
        <f>TEST_DATA!E18074</f>
        <v/>
      </c>
    </row>
    <row r="18075">
      <c r="A18075">
        <f>TEST_DATA!A18075</f>
        <v/>
      </c>
      <c r="B18075">
        <f>TEST_DATA!B18075</f>
        <v/>
      </c>
      <c r="C18075">
        <f>TEST_DATA!C18075</f>
        <v/>
      </c>
      <c r="D18075">
        <f>TEST_DATA!D18075</f>
        <v/>
      </c>
      <c r="E18075">
        <f>TEST_DATA!E18075</f>
        <v/>
      </c>
    </row>
    <row r="18076">
      <c r="A18076">
        <f>TEST_DATA!A18076</f>
        <v/>
      </c>
      <c r="B18076">
        <f>TEST_DATA!B18076</f>
        <v/>
      </c>
      <c r="C18076">
        <f>TEST_DATA!C18076</f>
        <v/>
      </c>
      <c r="D18076">
        <f>TEST_DATA!D18076</f>
        <v/>
      </c>
      <c r="E18076">
        <f>TEST_DATA!E18076</f>
        <v/>
      </c>
    </row>
    <row r="18077">
      <c r="A18077">
        <f>TEST_DATA!A18077</f>
        <v/>
      </c>
      <c r="B18077">
        <f>TEST_DATA!B18077</f>
        <v/>
      </c>
      <c r="C18077">
        <f>TEST_DATA!C18077</f>
        <v/>
      </c>
      <c r="D18077">
        <f>TEST_DATA!D18077</f>
        <v/>
      </c>
      <c r="E18077">
        <f>TEST_DATA!E18077</f>
        <v/>
      </c>
    </row>
    <row r="18078">
      <c r="A18078">
        <f>TEST_DATA!A18078</f>
        <v/>
      </c>
      <c r="B18078">
        <f>TEST_DATA!B18078</f>
        <v/>
      </c>
      <c r="C18078">
        <f>TEST_DATA!C18078</f>
        <v/>
      </c>
      <c r="D18078">
        <f>TEST_DATA!D18078</f>
        <v/>
      </c>
      <c r="E18078">
        <f>TEST_DATA!E18078</f>
        <v/>
      </c>
    </row>
    <row r="18079">
      <c r="A18079">
        <f>TEST_DATA!A18079</f>
        <v/>
      </c>
      <c r="B18079">
        <f>TEST_DATA!B18079</f>
        <v/>
      </c>
      <c r="C18079">
        <f>TEST_DATA!C18079</f>
        <v/>
      </c>
      <c r="D18079">
        <f>TEST_DATA!D18079</f>
        <v/>
      </c>
      <c r="E18079">
        <f>TEST_DATA!E18079</f>
        <v/>
      </c>
    </row>
    <row r="18080">
      <c r="A18080">
        <f>TEST_DATA!A18080</f>
        <v/>
      </c>
      <c r="B18080">
        <f>TEST_DATA!B18080</f>
        <v/>
      </c>
      <c r="C18080">
        <f>TEST_DATA!C18080</f>
        <v/>
      </c>
      <c r="D18080">
        <f>TEST_DATA!D18080</f>
        <v/>
      </c>
      <c r="E18080">
        <f>TEST_DATA!E18080</f>
        <v/>
      </c>
    </row>
    <row r="18081">
      <c r="A18081">
        <f>TEST_DATA!A18081</f>
        <v/>
      </c>
      <c r="B18081">
        <f>TEST_DATA!B18081</f>
        <v/>
      </c>
      <c r="C18081">
        <f>TEST_DATA!C18081</f>
        <v/>
      </c>
      <c r="D18081">
        <f>TEST_DATA!D18081</f>
        <v/>
      </c>
      <c r="E18081">
        <f>TEST_DATA!E18081</f>
        <v/>
      </c>
    </row>
    <row r="18082">
      <c r="A18082">
        <f>TEST_DATA!A18082</f>
        <v/>
      </c>
      <c r="B18082">
        <f>TEST_DATA!B18082</f>
        <v/>
      </c>
      <c r="C18082">
        <f>TEST_DATA!C18082</f>
        <v/>
      </c>
      <c r="D18082">
        <f>TEST_DATA!D18082</f>
        <v/>
      </c>
      <c r="E18082">
        <f>TEST_DATA!E18082</f>
        <v/>
      </c>
    </row>
    <row r="18083">
      <c r="A18083">
        <f>TEST_DATA!A18083</f>
        <v/>
      </c>
      <c r="B18083">
        <f>TEST_DATA!B18083</f>
        <v/>
      </c>
      <c r="C18083">
        <f>TEST_DATA!C18083</f>
        <v/>
      </c>
      <c r="D18083">
        <f>TEST_DATA!D18083</f>
        <v/>
      </c>
      <c r="E18083">
        <f>TEST_DATA!E18083</f>
        <v/>
      </c>
    </row>
    <row r="18084">
      <c r="A18084">
        <f>TEST_DATA!A18084</f>
        <v/>
      </c>
      <c r="B18084">
        <f>TEST_DATA!B18084</f>
        <v/>
      </c>
      <c r="C18084">
        <f>TEST_DATA!C18084</f>
        <v/>
      </c>
      <c r="D18084">
        <f>TEST_DATA!D18084</f>
        <v/>
      </c>
      <c r="E18084">
        <f>TEST_DATA!E18084</f>
        <v/>
      </c>
    </row>
    <row r="18085">
      <c r="A18085">
        <f>TEST_DATA!A18085</f>
        <v/>
      </c>
      <c r="B18085">
        <f>TEST_DATA!B18085</f>
        <v/>
      </c>
      <c r="C18085">
        <f>TEST_DATA!C18085</f>
        <v/>
      </c>
      <c r="D18085">
        <f>TEST_DATA!D18085</f>
        <v/>
      </c>
      <c r="E18085">
        <f>TEST_DATA!E18085</f>
        <v/>
      </c>
    </row>
    <row r="18086">
      <c r="A18086">
        <f>TEST_DATA!A18086</f>
        <v/>
      </c>
      <c r="B18086">
        <f>TEST_DATA!B18086</f>
        <v/>
      </c>
      <c r="C18086">
        <f>TEST_DATA!C18086</f>
        <v/>
      </c>
      <c r="D18086">
        <f>TEST_DATA!D18086</f>
        <v/>
      </c>
      <c r="E18086">
        <f>TEST_DATA!E18086</f>
        <v/>
      </c>
    </row>
    <row r="18087">
      <c r="A18087">
        <f>TEST_DATA!A18087</f>
        <v/>
      </c>
      <c r="B18087">
        <f>TEST_DATA!B18087</f>
        <v/>
      </c>
      <c r="C18087">
        <f>TEST_DATA!C18087</f>
        <v/>
      </c>
      <c r="D18087">
        <f>TEST_DATA!D18087</f>
        <v/>
      </c>
      <c r="E18087">
        <f>TEST_DATA!E18087</f>
        <v/>
      </c>
    </row>
    <row r="18088">
      <c r="A18088">
        <f>TEST_DATA!A18088</f>
        <v/>
      </c>
      <c r="B18088">
        <f>TEST_DATA!B18088</f>
        <v/>
      </c>
      <c r="C18088">
        <f>TEST_DATA!C18088</f>
        <v/>
      </c>
      <c r="D18088">
        <f>TEST_DATA!D18088</f>
        <v/>
      </c>
      <c r="E18088">
        <f>TEST_DATA!E18088</f>
        <v/>
      </c>
    </row>
    <row r="18089">
      <c r="A18089">
        <f>TEST_DATA!A18089</f>
        <v/>
      </c>
      <c r="B18089">
        <f>TEST_DATA!B18089</f>
        <v/>
      </c>
      <c r="C18089">
        <f>TEST_DATA!C18089</f>
        <v/>
      </c>
      <c r="D18089">
        <f>TEST_DATA!D18089</f>
        <v/>
      </c>
      <c r="E18089">
        <f>TEST_DATA!E18089</f>
        <v/>
      </c>
    </row>
    <row r="18090">
      <c r="A18090">
        <f>TEST_DATA!A18090</f>
        <v/>
      </c>
      <c r="B18090">
        <f>TEST_DATA!B18090</f>
        <v/>
      </c>
      <c r="C18090">
        <f>TEST_DATA!C18090</f>
        <v/>
      </c>
      <c r="D18090">
        <f>TEST_DATA!D18090</f>
        <v/>
      </c>
      <c r="E18090">
        <f>TEST_DATA!E18090</f>
        <v/>
      </c>
    </row>
    <row r="18091">
      <c r="A18091">
        <f>TEST_DATA!A18091</f>
        <v/>
      </c>
      <c r="B18091">
        <f>TEST_DATA!B18091</f>
        <v/>
      </c>
      <c r="C18091">
        <f>TEST_DATA!C18091</f>
        <v/>
      </c>
      <c r="D18091">
        <f>TEST_DATA!D18091</f>
        <v/>
      </c>
      <c r="E18091">
        <f>TEST_DATA!E18091</f>
        <v/>
      </c>
    </row>
    <row r="18092">
      <c r="A18092">
        <f>TEST_DATA!A18092</f>
        <v/>
      </c>
      <c r="B18092">
        <f>TEST_DATA!B18092</f>
        <v/>
      </c>
      <c r="C18092">
        <f>TEST_DATA!C18092</f>
        <v/>
      </c>
      <c r="D18092">
        <f>TEST_DATA!D18092</f>
        <v/>
      </c>
      <c r="E18092">
        <f>TEST_DATA!E18092</f>
        <v/>
      </c>
    </row>
    <row r="18093">
      <c r="A18093">
        <f>TEST_DATA!A18093</f>
        <v/>
      </c>
      <c r="B18093">
        <f>TEST_DATA!B18093</f>
        <v/>
      </c>
      <c r="C18093">
        <f>TEST_DATA!C18093</f>
        <v/>
      </c>
      <c r="D18093">
        <f>TEST_DATA!D18093</f>
        <v/>
      </c>
      <c r="E18093">
        <f>TEST_DATA!E18093</f>
        <v/>
      </c>
    </row>
    <row r="18094">
      <c r="A18094">
        <f>TEST_DATA!A18094</f>
        <v/>
      </c>
      <c r="B18094">
        <f>TEST_DATA!B18094</f>
        <v/>
      </c>
      <c r="C18094">
        <f>TEST_DATA!C18094</f>
        <v/>
      </c>
      <c r="D18094">
        <f>TEST_DATA!D18094</f>
        <v/>
      </c>
      <c r="E18094">
        <f>TEST_DATA!E18094</f>
        <v/>
      </c>
    </row>
    <row r="18095">
      <c r="A18095">
        <f>TEST_DATA!A18095</f>
        <v/>
      </c>
      <c r="B18095">
        <f>TEST_DATA!B18095</f>
        <v/>
      </c>
      <c r="C18095">
        <f>TEST_DATA!C18095</f>
        <v/>
      </c>
      <c r="D18095">
        <f>TEST_DATA!D18095</f>
        <v/>
      </c>
      <c r="E18095">
        <f>TEST_DATA!E18095</f>
        <v/>
      </c>
    </row>
    <row r="18096">
      <c r="A18096">
        <f>TEST_DATA!A18096</f>
        <v/>
      </c>
      <c r="B18096">
        <f>TEST_DATA!B18096</f>
        <v/>
      </c>
      <c r="C18096">
        <f>TEST_DATA!C18096</f>
        <v/>
      </c>
      <c r="D18096">
        <f>TEST_DATA!D18096</f>
        <v/>
      </c>
      <c r="E18096">
        <f>TEST_DATA!E18096</f>
        <v/>
      </c>
    </row>
    <row r="18097">
      <c r="A18097">
        <f>TEST_DATA!A18097</f>
        <v/>
      </c>
      <c r="B18097">
        <f>TEST_DATA!B18097</f>
        <v/>
      </c>
      <c r="C18097">
        <f>TEST_DATA!C18097</f>
        <v/>
      </c>
      <c r="D18097">
        <f>TEST_DATA!D18097</f>
        <v/>
      </c>
      <c r="E18097">
        <f>TEST_DATA!E18097</f>
        <v/>
      </c>
    </row>
    <row r="18098">
      <c r="A18098">
        <f>TEST_DATA!A18098</f>
        <v/>
      </c>
      <c r="B18098">
        <f>TEST_DATA!B18098</f>
        <v/>
      </c>
      <c r="C18098">
        <f>TEST_DATA!C18098</f>
        <v/>
      </c>
      <c r="D18098">
        <f>TEST_DATA!D18098</f>
        <v/>
      </c>
      <c r="E18098">
        <f>TEST_DATA!E18098</f>
        <v/>
      </c>
    </row>
    <row r="18099">
      <c r="A18099">
        <f>TEST_DATA!A18099</f>
        <v/>
      </c>
      <c r="B18099">
        <f>TEST_DATA!B18099</f>
        <v/>
      </c>
      <c r="C18099">
        <f>TEST_DATA!C18099</f>
        <v/>
      </c>
      <c r="D18099">
        <f>TEST_DATA!D18099</f>
        <v/>
      </c>
      <c r="E18099">
        <f>TEST_DATA!E18099</f>
        <v/>
      </c>
    </row>
    <row r="18100">
      <c r="A18100">
        <f>TEST_DATA!A18100</f>
        <v/>
      </c>
      <c r="B18100">
        <f>TEST_DATA!B18100</f>
        <v/>
      </c>
      <c r="C18100">
        <f>TEST_DATA!C18100</f>
        <v/>
      </c>
      <c r="D18100">
        <f>TEST_DATA!D18100</f>
        <v/>
      </c>
      <c r="E18100">
        <f>TEST_DATA!E18100</f>
        <v/>
      </c>
    </row>
    <row r="18101">
      <c r="A18101">
        <f>TEST_DATA!A18101</f>
        <v/>
      </c>
      <c r="B18101">
        <f>TEST_DATA!B18101</f>
        <v/>
      </c>
      <c r="C18101">
        <f>TEST_DATA!C18101</f>
        <v/>
      </c>
      <c r="D18101">
        <f>TEST_DATA!D18101</f>
        <v/>
      </c>
      <c r="E18101">
        <f>TEST_DATA!E18101</f>
        <v/>
      </c>
    </row>
    <row r="18102">
      <c r="A18102">
        <f>TEST_DATA!A18102</f>
        <v/>
      </c>
      <c r="B18102">
        <f>TEST_DATA!B18102</f>
        <v/>
      </c>
      <c r="C18102">
        <f>TEST_DATA!C18102</f>
        <v/>
      </c>
      <c r="D18102">
        <f>TEST_DATA!D18102</f>
        <v/>
      </c>
      <c r="E18102">
        <f>TEST_DATA!E18102</f>
        <v/>
      </c>
    </row>
    <row r="18103">
      <c r="A18103">
        <f>TEST_DATA!A18103</f>
        <v/>
      </c>
      <c r="B18103">
        <f>TEST_DATA!B18103</f>
        <v/>
      </c>
      <c r="C18103">
        <f>TEST_DATA!C18103</f>
        <v/>
      </c>
      <c r="D18103">
        <f>TEST_DATA!D18103</f>
        <v/>
      </c>
      <c r="E18103">
        <f>TEST_DATA!E18103</f>
        <v/>
      </c>
    </row>
    <row r="18104">
      <c r="A18104">
        <f>TEST_DATA!A18104</f>
        <v/>
      </c>
      <c r="B18104">
        <f>TEST_DATA!B18104</f>
        <v/>
      </c>
      <c r="C18104">
        <f>TEST_DATA!C18104</f>
        <v/>
      </c>
      <c r="D18104">
        <f>TEST_DATA!D18104</f>
        <v/>
      </c>
      <c r="E18104">
        <f>TEST_DATA!E18104</f>
        <v/>
      </c>
    </row>
    <row r="18105">
      <c r="A18105">
        <f>TEST_DATA!A18105</f>
        <v/>
      </c>
      <c r="B18105">
        <f>TEST_DATA!B18105</f>
        <v/>
      </c>
      <c r="C18105">
        <f>TEST_DATA!C18105</f>
        <v/>
      </c>
      <c r="D18105">
        <f>TEST_DATA!D18105</f>
        <v/>
      </c>
      <c r="E18105">
        <f>TEST_DATA!E18105</f>
        <v/>
      </c>
    </row>
    <row r="18106">
      <c r="A18106">
        <f>TEST_DATA!A18106</f>
        <v/>
      </c>
      <c r="B18106">
        <f>TEST_DATA!B18106</f>
        <v/>
      </c>
      <c r="C18106">
        <f>TEST_DATA!C18106</f>
        <v/>
      </c>
      <c r="D18106">
        <f>TEST_DATA!D18106</f>
        <v/>
      </c>
      <c r="E18106">
        <f>TEST_DATA!E18106</f>
        <v/>
      </c>
    </row>
    <row r="18107">
      <c r="A18107">
        <f>TEST_DATA!A18107</f>
        <v/>
      </c>
      <c r="B18107">
        <f>TEST_DATA!B18107</f>
        <v/>
      </c>
      <c r="C18107">
        <f>TEST_DATA!C18107</f>
        <v/>
      </c>
      <c r="D18107">
        <f>TEST_DATA!D18107</f>
        <v/>
      </c>
      <c r="E18107">
        <f>TEST_DATA!E18107</f>
        <v/>
      </c>
    </row>
    <row r="18108">
      <c r="A18108">
        <f>TEST_DATA!A18108</f>
        <v/>
      </c>
      <c r="B18108">
        <f>TEST_DATA!B18108</f>
        <v/>
      </c>
      <c r="C18108">
        <f>TEST_DATA!C18108</f>
        <v/>
      </c>
      <c r="D18108">
        <f>TEST_DATA!D18108</f>
        <v/>
      </c>
      <c r="E18108">
        <f>TEST_DATA!E18108</f>
        <v/>
      </c>
    </row>
    <row r="18109">
      <c r="A18109">
        <f>TEST_DATA!A18109</f>
        <v/>
      </c>
      <c r="B18109">
        <f>TEST_DATA!B18109</f>
        <v/>
      </c>
      <c r="C18109">
        <f>TEST_DATA!C18109</f>
        <v/>
      </c>
      <c r="D18109">
        <f>TEST_DATA!D18109</f>
        <v/>
      </c>
      <c r="E18109">
        <f>TEST_DATA!E18109</f>
        <v/>
      </c>
    </row>
    <row r="18110">
      <c r="A18110">
        <f>TEST_DATA!A18110</f>
        <v/>
      </c>
      <c r="B18110">
        <f>TEST_DATA!B18110</f>
        <v/>
      </c>
      <c r="C18110">
        <f>TEST_DATA!C18110</f>
        <v/>
      </c>
      <c r="D18110">
        <f>TEST_DATA!D18110</f>
        <v/>
      </c>
      <c r="E18110">
        <f>TEST_DATA!E18110</f>
        <v/>
      </c>
    </row>
    <row r="18111">
      <c r="A18111">
        <f>TEST_DATA!A18111</f>
        <v/>
      </c>
      <c r="B18111">
        <f>TEST_DATA!B18111</f>
        <v/>
      </c>
      <c r="C18111">
        <f>TEST_DATA!C18111</f>
        <v/>
      </c>
      <c r="D18111">
        <f>TEST_DATA!D18111</f>
        <v/>
      </c>
      <c r="E18111">
        <f>TEST_DATA!E18111</f>
        <v/>
      </c>
    </row>
    <row r="18112">
      <c r="A18112">
        <f>TEST_DATA!A18112</f>
        <v/>
      </c>
      <c r="B18112">
        <f>TEST_DATA!B18112</f>
        <v/>
      </c>
      <c r="C18112">
        <f>TEST_DATA!C18112</f>
        <v/>
      </c>
      <c r="D18112">
        <f>TEST_DATA!D18112</f>
        <v/>
      </c>
      <c r="E18112">
        <f>TEST_DATA!E18112</f>
        <v/>
      </c>
    </row>
    <row r="18113">
      <c r="A18113">
        <f>TEST_DATA!A18113</f>
        <v/>
      </c>
      <c r="B18113">
        <f>TEST_DATA!B18113</f>
        <v/>
      </c>
      <c r="C18113">
        <f>TEST_DATA!C18113</f>
        <v/>
      </c>
      <c r="D18113">
        <f>TEST_DATA!D18113</f>
        <v/>
      </c>
      <c r="E18113">
        <f>TEST_DATA!E18113</f>
        <v/>
      </c>
    </row>
    <row r="18114">
      <c r="A18114">
        <f>TEST_DATA!A18114</f>
        <v/>
      </c>
      <c r="B18114">
        <f>TEST_DATA!B18114</f>
        <v/>
      </c>
      <c r="C18114">
        <f>TEST_DATA!C18114</f>
        <v/>
      </c>
      <c r="D18114">
        <f>TEST_DATA!D18114</f>
        <v/>
      </c>
      <c r="E18114">
        <f>TEST_DATA!E18114</f>
        <v/>
      </c>
    </row>
    <row r="18115">
      <c r="A18115">
        <f>TEST_DATA!A18115</f>
        <v/>
      </c>
      <c r="B18115">
        <f>TEST_DATA!B18115</f>
        <v/>
      </c>
      <c r="C18115">
        <f>TEST_DATA!C18115</f>
        <v/>
      </c>
      <c r="D18115">
        <f>TEST_DATA!D18115</f>
        <v/>
      </c>
      <c r="E18115">
        <f>TEST_DATA!E18115</f>
        <v/>
      </c>
    </row>
    <row r="18116">
      <c r="A18116">
        <f>TEST_DATA!A18116</f>
        <v/>
      </c>
      <c r="B18116">
        <f>TEST_DATA!B18116</f>
        <v/>
      </c>
      <c r="C18116">
        <f>TEST_DATA!C18116</f>
        <v/>
      </c>
      <c r="D18116">
        <f>TEST_DATA!D18116</f>
        <v/>
      </c>
      <c r="E18116">
        <f>TEST_DATA!E18116</f>
        <v/>
      </c>
    </row>
    <row r="18117">
      <c r="A18117">
        <f>TEST_DATA!A18117</f>
        <v/>
      </c>
      <c r="B18117">
        <f>TEST_DATA!B18117</f>
        <v/>
      </c>
      <c r="C18117">
        <f>TEST_DATA!C18117</f>
        <v/>
      </c>
      <c r="D18117">
        <f>TEST_DATA!D18117</f>
        <v/>
      </c>
      <c r="E18117">
        <f>TEST_DATA!E18117</f>
        <v/>
      </c>
    </row>
    <row r="18118">
      <c r="A18118">
        <f>TEST_DATA!A18118</f>
        <v/>
      </c>
      <c r="B18118">
        <f>TEST_DATA!B18118</f>
        <v/>
      </c>
      <c r="C18118">
        <f>TEST_DATA!C18118</f>
        <v/>
      </c>
      <c r="D18118">
        <f>TEST_DATA!D18118</f>
        <v/>
      </c>
      <c r="E18118">
        <f>TEST_DATA!E18118</f>
        <v/>
      </c>
    </row>
    <row r="18119">
      <c r="A18119">
        <f>TEST_DATA!A18119</f>
        <v/>
      </c>
      <c r="B18119">
        <f>TEST_DATA!B18119</f>
        <v/>
      </c>
      <c r="C18119">
        <f>TEST_DATA!C18119</f>
        <v/>
      </c>
      <c r="D18119">
        <f>TEST_DATA!D18119</f>
        <v/>
      </c>
      <c r="E18119">
        <f>TEST_DATA!E18119</f>
        <v/>
      </c>
    </row>
    <row r="18120">
      <c r="A18120">
        <f>TEST_DATA!A18120</f>
        <v/>
      </c>
      <c r="B18120">
        <f>TEST_DATA!B18120</f>
        <v/>
      </c>
      <c r="C18120">
        <f>TEST_DATA!C18120</f>
        <v/>
      </c>
      <c r="D18120">
        <f>TEST_DATA!D18120</f>
        <v/>
      </c>
      <c r="E18120">
        <f>TEST_DATA!E18120</f>
        <v/>
      </c>
    </row>
    <row r="18121">
      <c r="A18121">
        <f>TEST_DATA!A18121</f>
        <v/>
      </c>
      <c r="B18121">
        <f>TEST_DATA!B18121</f>
        <v/>
      </c>
      <c r="C18121">
        <f>TEST_DATA!C18121</f>
        <v/>
      </c>
      <c r="D18121">
        <f>TEST_DATA!D18121</f>
        <v/>
      </c>
      <c r="E18121">
        <f>TEST_DATA!E18121</f>
        <v/>
      </c>
    </row>
    <row r="18122">
      <c r="A18122">
        <f>TEST_DATA!A18122</f>
        <v/>
      </c>
      <c r="B18122">
        <f>TEST_DATA!B18122</f>
        <v/>
      </c>
      <c r="C18122">
        <f>TEST_DATA!C18122</f>
        <v/>
      </c>
      <c r="D18122">
        <f>TEST_DATA!D18122</f>
        <v/>
      </c>
      <c r="E18122">
        <f>TEST_DATA!E18122</f>
        <v/>
      </c>
    </row>
    <row r="18123">
      <c r="A18123">
        <f>TEST_DATA!A18123</f>
        <v/>
      </c>
      <c r="B18123">
        <f>TEST_DATA!B18123</f>
        <v/>
      </c>
      <c r="C18123">
        <f>TEST_DATA!C18123</f>
        <v/>
      </c>
      <c r="D18123">
        <f>TEST_DATA!D18123</f>
        <v/>
      </c>
      <c r="E18123">
        <f>TEST_DATA!E18123</f>
        <v/>
      </c>
    </row>
    <row r="18124">
      <c r="A18124">
        <f>TEST_DATA!A18124</f>
        <v/>
      </c>
      <c r="B18124">
        <f>TEST_DATA!B18124</f>
        <v/>
      </c>
      <c r="C18124">
        <f>TEST_DATA!C18124</f>
        <v/>
      </c>
      <c r="D18124">
        <f>TEST_DATA!D18124</f>
        <v/>
      </c>
      <c r="E18124">
        <f>TEST_DATA!E18124</f>
        <v/>
      </c>
    </row>
    <row r="18125">
      <c r="A18125">
        <f>TEST_DATA!A18125</f>
        <v/>
      </c>
      <c r="B18125">
        <f>TEST_DATA!B18125</f>
        <v/>
      </c>
      <c r="C18125">
        <f>TEST_DATA!C18125</f>
        <v/>
      </c>
      <c r="D18125">
        <f>TEST_DATA!D18125</f>
        <v/>
      </c>
      <c r="E18125">
        <f>TEST_DATA!E18125</f>
        <v/>
      </c>
    </row>
    <row r="18126">
      <c r="A18126">
        <f>TEST_DATA!A18126</f>
        <v/>
      </c>
      <c r="B18126">
        <f>TEST_DATA!B18126</f>
        <v/>
      </c>
      <c r="C18126">
        <f>TEST_DATA!C18126</f>
        <v/>
      </c>
      <c r="D18126">
        <f>TEST_DATA!D18126</f>
        <v/>
      </c>
      <c r="E18126">
        <f>TEST_DATA!E18126</f>
        <v/>
      </c>
    </row>
    <row r="18127">
      <c r="A18127">
        <f>TEST_DATA!A18127</f>
        <v/>
      </c>
      <c r="B18127">
        <f>TEST_DATA!B18127</f>
        <v/>
      </c>
      <c r="C18127">
        <f>TEST_DATA!C18127</f>
        <v/>
      </c>
      <c r="D18127">
        <f>TEST_DATA!D18127</f>
        <v/>
      </c>
      <c r="E18127">
        <f>TEST_DATA!E18127</f>
        <v/>
      </c>
    </row>
    <row r="18128">
      <c r="A18128">
        <f>TEST_DATA!A18128</f>
        <v/>
      </c>
      <c r="B18128">
        <f>TEST_DATA!B18128</f>
        <v/>
      </c>
      <c r="C18128">
        <f>TEST_DATA!C18128</f>
        <v/>
      </c>
      <c r="D18128">
        <f>TEST_DATA!D18128</f>
        <v/>
      </c>
      <c r="E18128">
        <f>TEST_DATA!E18128</f>
        <v/>
      </c>
    </row>
    <row r="18129">
      <c r="A18129">
        <f>TEST_DATA!A18129</f>
        <v/>
      </c>
      <c r="B18129">
        <f>TEST_DATA!B18129</f>
        <v/>
      </c>
      <c r="C18129">
        <f>TEST_DATA!C18129</f>
        <v/>
      </c>
      <c r="D18129">
        <f>TEST_DATA!D18129</f>
        <v/>
      </c>
      <c r="E18129">
        <f>TEST_DATA!E18129</f>
        <v/>
      </c>
    </row>
    <row r="18130">
      <c r="A18130">
        <f>TEST_DATA!A18130</f>
        <v/>
      </c>
      <c r="B18130">
        <f>TEST_DATA!B18130</f>
        <v/>
      </c>
      <c r="C18130">
        <f>TEST_DATA!C18130</f>
        <v/>
      </c>
      <c r="D18130">
        <f>TEST_DATA!D18130</f>
        <v/>
      </c>
      <c r="E18130">
        <f>TEST_DATA!E18130</f>
        <v/>
      </c>
    </row>
    <row r="18131">
      <c r="A18131">
        <f>TEST_DATA!A18131</f>
        <v/>
      </c>
      <c r="B18131">
        <f>TEST_DATA!B18131</f>
        <v/>
      </c>
      <c r="C18131">
        <f>TEST_DATA!C18131</f>
        <v/>
      </c>
      <c r="D18131">
        <f>TEST_DATA!D18131</f>
        <v/>
      </c>
      <c r="E18131">
        <f>TEST_DATA!E18131</f>
        <v/>
      </c>
    </row>
    <row r="18132">
      <c r="A18132">
        <f>TEST_DATA!A18132</f>
        <v/>
      </c>
      <c r="B18132">
        <f>TEST_DATA!B18132</f>
        <v/>
      </c>
      <c r="C18132">
        <f>TEST_DATA!C18132</f>
        <v/>
      </c>
      <c r="D18132">
        <f>TEST_DATA!D18132</f>
        <v/>
      </c>
      <c r="E18132">
        <f>TEST_DATA!E18132</f>
        <v/>
      </c>
    </row>
    <row r="18133">
      <c r="A18133">
        <f>TEST_DATA!A18133</f>
        <v/>
      </c>
      <c r="B18133">
        <f>TEST_DATA!B18133</f>
        <v/>
      </c>
      <c r="C18133">
        <f>TEST_DATA!C18133</f>
        <v/>
      </c>
      <c r="D18133">
        <f>TEST_DATA!D18133</f>
        <v/>
      </c>
      <c r="E18133">
        <f>TEST_DATA!E18133</f>
        <v/>
      </c>
    </row>
    <row r="18134">
      <c r="A18134">
        <f>TEST_DATA!A18134</f>
        <v/>
      </c>
      <c r="B18134">
        <f>TEST_DATA!B18134</f>
        <v/>
      </c>
      <c r="C18134">
        <f>TEST_DATA!C18134</f>
        <v/>
      </c>
      <c r="D18134">
        <f>TEST_DATA!D18134</f>
        <v/>
      </c>
      <c r="E18134">
        <f>TEST_DATA!E18134</f>
        <v/>
      </c>
    </row>
    <row r="18135">
      <c r="A18135">
        <f>TEST_DATA!A18135</f>
        <v/>
      </c>
      <c r="B18135">
        <f>TEST_DATA!B18135</f>
        <v/>
      </c>
      <c r="C18135">
        <f>TEST_DATA!C18135</f>
        <v/>
      </c>
      <c r="D18135">
        <f>TEST_DATA!D18135</f>
        <v/>
      </c>
      <c r="E18135">
        <f>TEST_DATA!E18135</f>
        <v/>
      </c>
    </row>
    <row r="18136">
      <c r="A18136">
        <f>TEST_DATA!A18136</f>
        <v/>
      </c>
      <c r="B18136">
        <f>TEST_DATA!B18136</f>
        <v/>
      </c>
      <c r="C18136">
        <f>TEST_DATA!C18136</f>
        <v/>
      </c>
      <c r="D18136">
        <f>TEST_DATA!D18136</f>
        <v/>
      </c>
      <c r="E18136">
        <f>TEST_DATA!E18136</f>
        <v/>
      </c>
    </row>
    <row r="18137">
      <c r="A18137">
        <f>TEST_DATA!A18137</f>
        <v/>
      </c>
      <c r="B18137">
        <f>TEST_DATA!B18137</f>
        <v/>
      </c>
      <c r="C18137">
        <f>TEST_DATA!C18137</f>
        <v/>
      </c>
      <c r="D18137">
        <f>TEST_DATA!D18137</f>
        <v/>
      </c>
      <c r="E18137">
        <f>TEST_DATA!E18137</f>
        <v/>
      </c>
    </row>
    <row r="18138">
      <c r="A18138">
        <f>TEST_DATA!A18138</f>
        <v/>
      </c>
      <c r="B18138">
        <f>TEST_DATA!B18138</f>
        <v/>
      </c>
      <c r="C18138">
        <f>TEST_DATA!C18138</f>
        <v/>
      </c>
      <c r="D18138">
        <f>TEST_DATA!D18138</f>
        <v/>
      </c>
      <c r="E18138">
        <f>TEST_DATA!E18138</f>
        <v/>
      </c>
    </row>
    <row r="18139">
      <c r="A18139">
        <f>TEST_DATA!A18139</f>
        <v/>
      </c>
      <c r="B18139">
        <f>TEST_DATA!B18139</f>
        <v/>
      </c>
      <c r="C18139">
        <f>TEST_DATA!C18139</f>
        <v/>
      </c>
      <c r="D18139">
        <f>TEST_DATA!D18139</f>
        <v/>
      </c>
      <c r="E18139">
        <f>TEST_DATA!E18139</f>
        <v/>
      </c>
    </row>
    <row r="18140">
      <c r="A18140">
        <f>TEST_DATA!A18140</f>
        <v/>
      </c>
      <c r="B18140">
        <f>TEST_DATA!B18140</f>
        <v/>
      </c>
      <c r="C18140">
        <f>TEST_DATA!C18140</f>
        <v/>
      </c>
      <c r="D18140">
        <f>TEST_DATA!D18140</f>
        <v/>
      </c>
      <c r="E18140">
        <f>TEST_DATA!E18140</f>
        <v/>
      </c>
    </row>
    <row r="18141">
      <c r="A18141">
        <f>TEST_DATA!A18141</f>
        <v/>
      </c>
      <c r="B18141">
        <f>TEST_DATA!B18141</f>
        <v/>
      </c>
      <c r="C18141">
        <f>TEST_DATA!C18141</f>
        <v/>
      </c>
      <c r="D18141">
        <f>TEST_DATA!D18141</f>
        <v/>
      </c>
      <c r="E18141">
        <f>TEST_DATA!E18141</f>
        <v/>
      </c>
    </row>
    <row r="18142">
      <c r="A18142">
        <f>TEST_DATA!A18142</f>
        <v/>
      </c>
      <c r="B18142">
        <f>TEST_DATA!B18142</f>
        <v/>
      </c>
      <c r="C18142">
        <f>TEST_DATA!C18142</f>
        <v/>
      </c>
      <c r="D18142">
        <f>TEST_DATA!D18142</f>
        <v/>
      </c>
      <c r="E18142">
        <f>TEST_DATA!E18142</f>
        <v/>
      </c>
    </row>
    <row r="18143">
      <c r="A18143">
        <f>TEST_DATA!A18143</f>
        <v/>
      </c>
      <c r="B18143">
        <f>TEST_DATA!B18143</f>
        <v/>
      </c>
      <c r="C18143">
        <f>TEST_DATA!C18143</f>
        <v/>
      </c>
      <c r="D18143">
        <f>TEST_DATA!D18143</f>
        <v/>
      </c>
      <c r="E18143">
        <f>TEST_DATA!E18143</f>
        <v/>
      </c>
    </row>
    <row r="18144">
      <c r="A18144">
        <f>TEST_DATA!A18144</f>
        <v/>
      </c>
      <c r="B18144">
        <f>TEST_DATA!B18144</f>
        <v/>
      </c>
      <c r="C18144">
        <f>TEST_DATA!C18144</f>
        <v/>
      </c>
      <c r="D18144">
        <f>TEST_DATA!D18144</f>
        <v/>
      </c>
      <c r="E18144">
        <f>TEST_DATA!E18144</f>
        <v/>
      </c>
    </row>
    <row r="18145">
      <c r="A18145">
        <f>TEST_DATA!A18145</f>
        <v/>
      </c>
      <c r="B18145">
        <f>TEST_DATA!B18145</f>
        <v/>
      </c>
      <c r="C18145">
        <f>TEST_DATA!C18145</f>
        <v/>
      </c>
      <c r="D18145">
        <f>TEST_DATA!D18145</f>
        <v/>
      </c>
      <c r="E18145">
        <f>TEST_DATA!E18145</f>
        <v/>
      </c>
    </row>
    <row r="18146">
      <c r="A18146">
        <f>TEST_DATA!A18146</f>
        <v/>
      </c>
      <c r="B18146">
        <f>TEST_DATA!B18146</f>
        <v/>
      </c>
      <c r="C18146">
        <f>TEST_DATA!C18146</f>
        <v/>
      </c>
      <c r="D18146">
        <f>TEST_DATA!D18146</f>
        <v/>
      </c>
      <c r="E18146">
        <f>TEST_DATA!E18146</f>
        <v/>
      </c>
    </row>
    <row r="18147">
      <c r="A18147">
        <f>TEST_DATA!A18147</f>
        <v/>
      </c>
      <c r="B18147">
        <f>TEST_DATA!B18147</f>
        <v/>
      </c>
      <c r="C18147">
        <f>TEST_DATA!C18147</f>
        <v/>
      </c>
      <c r="D18147">
        <f>TEST_DATA!D18147</f>
        <v/>
      </c>
      <c r="E18147">
        <f>TEST_DATA!E18147</f>
        <v/>
      </c>
    </row>
    <row r="18148">
      <c r="A18148">
        <f>TEST_DATA!A18148</f>
        <v/>
      </c>
      <c r="B18148">
        <f>TEST_DATA!B18148</f>
        <v/>
      </c>
      <c r="C18148">
        <f>TEST_DATA!C18148</f>
        <v/>
      </c>
      <c r="D18148">
        <f>TEST_DATA!D18148</f>
        <v/>
      </c>
      <c r="E18148">
        <f>TEST_DATA!E18148</f>
        <v/>
      </c>
    </row>
    <row r="18149">
      <c r="A18149">
        <f>TEST_DATA!A18149</f>
        <v/>
      </c>
      <c r="B18149">
        <f>TEST_DATA!B18149</f>
        <v/>
      </c>
      <c r="C18149">
        <f>TEST_DATA!C18149</f>
        <v/>
      </c>
      <c r="D18149">
        <f>TEST_DATA!D18149</f>
        <v/>
      </c>
      <c r="E18149">
        <f>TEST_DATA!E18149</f>
        <v/>
      </c>
    </row>
    <row r="18150">
      <c r="A18150">
        <f>TEST_DATA!A18150</f>
        <v/>
      </c>
      <c r="B18150">
        <f>TEST_DATA!B18150</f>
        <v/>
      </c>
      <c r="C18150">
        <f>TEST_DATA!C18150</f>
        <v/>
      </c>
      <c r="D18150">
        <f>TEST_DATA!D18150</f>
        <v/>
      </c>
      <c r="E18150">
        <f>TEST_DATA!E18150</f>
        <v/>
      </c>
    </row>
    <row r="18151">
      <c r="A18151">
        <f>TEST_DATA!A18151</f>
        <v/>
      </c>
      <c r="B18151">
        <f>TEST_DATA!B18151</f>
        <v/>
      </c>
      <c r="C18151">
        <f>TEST_DATA!C18151</f>
        <v/>
      </c>
      <c r="D18151">
        <f>TEST_DATA!D18151</f>
        <v/>
      </c>
      <c r="E18151">
        <f>TEST_DATA!E18151</f>
        <v/>
      </c>
    </row>
    <row r="18152">
      <c r="A18152">
        <f>TEST_DATA!A18152</f>
        <v/>
      </c>
      <c r="B18152">
        <f>TEST_DATA!B18152</f>
        <v/>
      </c>
      <c r="C18152">
        <f>TEST_DATA!C18152</f>
        <v/>
      </c>
      <c r="D18152">
        <f>TEST_DATA!D18152</f>
        <v/>
      </c>
      <c r="E18152">
        <f>TEST_DATA!E18152</f>
        <v/>
      </c>
    </row>
    <row r="18153">
      <c r="A18153">
        <f>TEST_DATA!A18153</f>
        <v/>
      </c>
      <c r="B18153">
        <f>TEST_DATA!B18153</f>
        <v/>
      </c>
      <c r="C18153">
        <f>TEST_DATA!C18153</f>
        <v/>
      </c>
      <c r="D18153">
        <f>TEST_DATA!D18153</f>
        <v/>
      </c>
      <c r="E18153">
        <f>TEST_DATA!E18153</f>
        <v/>
      </c>
    </row>
    <row r="18154">
      <c r="A18154">
        <f>TEST_DATA!A18154</f>
        <v/>
      </c>
      <c r="B18154">
        <f>TEST_DATA!B18154</f>
        <v/>
      </c>
      <c r="C18154">
        <f>TEST_DATA!C18154</f>
        <v/>
      </c>
      <c r="D18154">
        <f>TEST_DATA!D18154</f>
        <v/>
      </c>
      <c r="E18154">
        <f>TEST_DATA!E18154</f>
        <v/>
      </c>
    </row>
    <row r="18155">
      <c r="A18155">
        <f>TEST_DATA!A18155</f>
        <v/>
      </c>
      <c r="B18155">
        <f>TEST_DATA!B18155</f>
        <v/>
      </c>
      <c r="C18155">
        <f>TEST_DATA!C18155</f>
        <v/>
      </c>
      <c r="D18155">
        <f>TEST_DATA!D18155</f>
        <v/>
      </c>
      <c r="E18155">
        <f>TEST_DATA!E18155</f>
        <v/>
      </c>
    </row>
    <row r="18156">
      <c r="A18156">
        <f>TEST_DATA!A18156</f>
        <v/>
      </c>
      <c r="B18156">
        <f>TEST_DATA!B18156</f>
        <v/>
      </c>
      <c r="C18156">
        <f>TEST_DATA!C18156</f>
        <v/>
      </c>
      <c r="D18156">
        <f>TEST_DATA!D18156</f>
        <v/>
      </c>
      <c r="E18156">
        <f>TEST_DATA!E18156</f>
        <v/>
      </c>
    </row>
    <row r="18157">
      <c r="A18157">
        <f>TEST_DATA!A18157</f>
        <v/>
      </c>
      <c r="B18157">
        <f>TEST_DATA!B18157</f>
        <v/>
      </c>
      <c r="C18157">
        <f>TEST_DATA!C18157</f>
        <v/>
      </c>
      <c r="D18157">
        <f>TEST_DATA!D18157</f>
        <v/>
      </c>
      <c r="E18157">
        <f>TEST_DATA!E18157</f>
        <v/>
      </c>
    </row>
    <row r="18158">
      <c r="A18158">
        <f>TEST_DATA!A18158</f>
        <v/>
      </c>
      <c r="B18158">
        <f>TEST_DATA!B18158</f>
        <v/>
      </c>
      <c r="C18158">
        <f>TEST_DATA!C18158</f>
        <v/>
      </c>
      <c r="D18158">
        <f>TEST_DATA!D18158</f>
        <v/>
      </c>
      <c r="E18158">
        <f>TEST_DATA!E18158</f>
        <v/>
      </c>
    </row>
    <row r="18159">
      <c r="A18159">
        <f>TEST_DATA!A18159</f>
        <v/>
      </c>
      <c r="B18159">
        <f>TEST_DATA!B18159</f>
        <v/>
      </c>
      <c r="C18159">
        <f>TEST_DATA!C18159</f>
        <v/>
      </c>
      <c r="D18159">
        <f>TEST_DATA!D18159</f>
        <v/>
      </c>
      <c r="E18159">
        <f>TEST_DATA!E18159</f>
        <v/>
      </c>
    </row>
    <row r="18160">
      <c r="A18160">
        <f>TEST_DATA!A18160</f>
        <v/>
      </c>
      <c r="B18160">
        <f>TEST_DATA!B18160</f>
        <v/>
      </c>
      <c r="C18160">
        <f>TEST_DATA!C18160</f>
        <v/>
      </c>
      <c r="D18160">
        <f>TEST_DATA!D18160</f>
        <v/>
      </c>
      <c r="E18160">
        <f>TEST_DATA!E18160</f>
        <v/>
      </c>
    </row>
    <row r="18161">
      <c r="A18161">
        <f>TEST_DATA!A18161</f>
        <v/>
      </c>
      <c r="B18161">
        <f>TEST_DATA!B18161</f>
        <v/>
      </c>
      <c r="C18161">
        <f>TEST_DATA!C18161</f>
        <v/>
      </c>
      <c r="D18161">
        <f>TEST_DATA!D18161</f>
        <v/>
      </c>
      <c r="E18161">
        <f>TEST_DATA!E18161</f>
        <v/>
      </c>
    </row>
    <row r="18162">
      <c r="A18162">
        <f>TEST_DATA!A18162</f>
        <v/>
      </c>
      <c r="B18162">
        <f>TEST_DATA!B18162</f>
        <v/>
      </c>
      <c r="C18162">
        <f>TEST_DATA!C18162</f>
        <v/>
      </c>
      <c r="D18162">
        <f>TEST_DATA!D18162</f>
        <v/>
      </c>
      <c r="E18162">
        <f>TEST_DATA!E18162</f>
        <v/>
      </c>
    </row>
    <row r="18163">
      <c r="A18163">
        <f>TEST_DATA!A18163</f>
        <v/>
      </c>
      <c r="B18163">
        <f>TEST_DATA!B18163</f>
        <v/>
      </c>
      <c r="C18163">
        <f>TEST_DATA!C18163</f>
        <v/>
      </c>
      <c r="D18163">
        <f>TEST_DATA!D18163</f>
        <v/>
      </c>
      <c r="E18163">
        <f>TEST_DATA!E18163</f>
        <v/>
      </c>
    </row>
    <row r="18164">
      <c r="A18164">
        <f>TEST_DATA!A18164</f>
        <v/>
      </c>
      <c r="B18164">
        <f>TEST_DATA!B18164</f>
        <v/>
      </c>
      <c r="C18164">
        <f>TEST_DATA!C18164</f>
        <v/>
      </c>
      <c r="D18164">
        <f>TEST_DATA!D18164</f>
        <v/>
      </c>
      <c r="E18164">
        <f>TEST_DATA!E18164</f>
        <v/>
      </c>
    </row>
    <row r="18165">
      <c r="A18165">
        <f>TEST_DATA!A18165</f>
        <v/>
      </c>
      <c r="B18165">
        <f>TEST_DATA!B18165</f>
        <v/>
      </c>
      <c r="C18165">
        <f>TEST_DATA!C18165</f>
        <v/>
      </c>
      <c r="D18165">
        <f>TEST_DATA!D18165</f>
        <v/>
      </c>
      <c r="E18165">
        <f>TEST_DATA!E18165</f>
        <v/>
      </c>
    </row>
    <row r="18166">
      <c r="A18166">
        <f>TEST_DATA!A18166</f>
        <v/>
      </c>
      <c r="B18166">
        <f>TEST_DATA!B18166</f>
        <v/>
      </c>
      <c r="C18166">
        <f>TEST_DATA!C18166</f>
        <v/>
      </c>
      <c r="D18166">
        <f>TEST_DATA!D18166</f>
        <v/>
      </c>
      <c r="E18166">
        <f>TEST_DATA!E18166</f>
        <v/>
      </c>
    </row>
    <row r="18167">
      <c r="A18167">
        <f>TEST_DATA!A18167</f>
        <v/>
      </c>
      <c r="B18167">
        <f>TEST_DATA!B18167</f>
        <v/>
      </c>
      <c r="C18167">
        <f>TEST_DATA!C18167</f>
        <v/>
      </c>
      <c r="D18167">
        <f>TEST_DATA!D18167</f>
        <v/>
      </c>
      <c r="E18167">
        <f>TEST_DATA!E18167</f>
        <v/>
      </c>
    </row>
    <row r="18168">
      <c r="A18168">
        <f>TEST_DATA!A18168</f>
        <v/>
      </c>
      <c r="B18168">
        <f>TEST_DATA!B18168</f>
        <v/>
      </c>
      <c r="C18168">
        <f>TEST_DATA!C18168</f>
        <v/>
      </c>
      <c r="D18168">
        <f>TEST_DATA!D18168</f>
        <v/>
      </c>
      <c r="E18168">
        <f>TEST_DATA!E18168</f>
        <v/>
      </c>
    </row>
    <row r="18169">
      <c r="A18169">
        <f>TEST_DATA!A18169</f>
        <v/>
      </c>
      <c r="B18169">
        <f>TEST_DATA!B18169</f>
        <v/>
      </c>
      <c r="C18169">
        <f>TEST_DATA!C18169</f>
        <v/>
      </c>
      <c r="D18169">
        <f>TEST_DATA!D18169</f>
        <v/>
      </c>
      <c r="E18169">
        <f>TEST_DATA!E18169</f>
        <v/>
      </c>
    </row>
    <row r="18170">
      <c r="A18170">
        <f>TEST_DATA!A18170</f>
        <v/>
      </c>
      <c r="B18170">
        <f>TEST_DATA!B18170</f>
        <v/>
      </c>
      <c r="C18170">
        <f>TEST_DATA!C18170</f>
        <v/>
      </c>
      <c r="D18170">
        <f>TEST_DATA!D18170</f>
        <v/>
      </c>
      <c r="E18170">
        <f>TEST_DATA!E18170</f>
        <v/>
      </c>
    </row>
    <row r="18171">
      <c r="A18171">
        <f>TEST_DATA!A18171</f>
        <v/>
      </c>
      <c r="B18171">
        <f>TEST_DATA!B18171</f>
        <v/>
      </c>
      <c r="C18171">
        <f>TEST_DATA!C18171</f>
        <v/>
      </c>
      <c r="D18171">
        <f>TEST_DATA!D18171</f>
        <v/>
      </c>
      <c r="E18171">
        <f>TEST_DATA!E18171</f>
        <v/>
      </c>
    </row>
    <row r="18172">
      <c r="A18172">
        <f>TEST_DATA!A18172</f>
        <v/>
      </c>
      <c r="B18172">
        <f>TEST_DATA!B18172</f>
        <v/>
      </c>
      <c r="C18172">
        <f>TEST_DATA!C18172</f>
        <v/>
      </c>
      <c r="D18172">
        <f>TEST_DATA!D18172</f>
        <v/>
      </c>
      <c r="E18172">
        <f>TEST_DATA!E18172</f>
        <v/>
      </c>
    </row>
    <row r="18173">
      <c r="A18173">
        <f>TEST_DATA!A18173</f>
        <v/>
      </c>
      <c r="B18173">
        <f>TEST_DATA!B18173</f>
        <v/>
      </c>
      <c r="C18173">
        <f>TEST_DATA!C18173</f>
        <v/>
      </c>
      <c r="D18173">
        <f>TEST_DATA!D18173</f>
        <v/>
      </c>
      <c r="E18173">
        <f>TEST_DATA!E18173</f>
        <v/>
      </c>
    </row>
    <row r="18174">
      <c r="A18174">
        <f>TEST_DATA!A18174</f>
        <v/>
      </c>
      <c r="B18174">
        <f>TEST_DATA!B18174</f>
        <v/>
      </c>
      <c r="C18174">
        <f>TEST_DATA!C18174</f>
        <v/>
      </c>
      <c r="D18174">
        <f>TEST_DATA!D18174</f>
        <v/>
      </c>
      <c r="E18174">
        <f>TEST_DATA!E18174</f>
        <v/>
      </c>
    </row>
    <row r="18175">
      <c r="A18175">
        <f>TEST_DATA!A18175</f>
        <v/>
      </c>
      <c r="B18175">
        <f>TEST_DATA!B18175</f>
        <v/>
      </c>
      <c r="C18175">
        <f>TEST_DATA!C18175</f>
        <v/>
      </c>
      <c r="D18175">
        <f>TEST_DATA!D18175</f>
        <v/>
      </c>
      <c r="E18175">
        <f>TEST_DATA!E18175</f>
        <v/>
      </c>
    </row>
    <row r="18176">
      <c r="A18176">
        <f>TEST_DATA!A18176</f>
        <v/>
      </c>
      <c r="B18176">
        <f>TEST_DATA!B18176</f>
        <v/>
      </c>
      <c r="C18176">
        <f>TEST_DATA!C18176</f>
        <v/>
      </c>
      <c r="D18176">
        <f>TEST_DATA!D18176</f>
        <v/>
      </c>
      <c r="E18176">
        <f>TEST_DATA!E18176</f>
        <v/>
      </c>
    </row>
    <row r="18177">
      <c r="A18177">
        <f>TEST_DATA!A18177</f>
        <v/>
      </c>
      <c r="B18177">
        <f>TEST_DATA!B18177</f>
        <v/>
      </c>
      <c r="C18177">
        <f>TEST_DATA!C18177</f>
        <v/>
      </c>
      <c r="D18177">
        <f>TEST_DATA!D18177</f>
        <v/>
      </c>
      <c r="E18177">
        <f>TEST_DATA!E18177</f>
        <v/>
      </c>
    </row>
    <row r="18178">
      <c r="A18178">
        <f>TEST_DATA!A18178</f>
        <v/>
      </c>
      <c r="B18178">
        <f>TEST_DATA!B18178</f>
        <v/>
      </c>
      <c r="C18178">
        <f>TEST_DATA!C18178</f>
        <v/>
      </c>
      <c r="D18178">
        <f>TEST_DATA!D18178</f>
        <v/>
      </c>
      <c r="E18178">
        <f>TEST_DATA!E18178</f>
        <v/>
      </c>
    </row>
    <row r="18179">
      <c r="A18179">
        <f>TEST_DATA!A18179</f>
        <v/>
      </c>
      <c r="B18179">
        <f>TEST_DATA!B18179</f>
        <v/>
      </c>
      <c r="C18179">
        <f>TEST_DATA!C18179</f>
        <v/>
      </c>
      <c r="D18179">
        <f>TEST_DATA!D18179</f>
        <v/>
      </c>
      <c r="E18179">
        <f>TEST_DATA!E18179</f>
        <v/>
      </c>
    </row>
    <row r="18180">
      <c r="A18180">
        <f>TEST_DATA!A18180</f>
        <v/>
      </c>
      <c r="B18180">
        <f>TEST_DATA!B18180</f>
        <v/>
      </c>
      <c r="C18180">
        <f>TEST_DATA!C18180</f>
        <v/>
      </c>
      <c r="D18180">
        <f>TEST_DATA!D18180</f>
        <v/>
      </c>
      <c r="E18180">
        <f>TEST_DATA!E18180</f>
        <v/>
      </c>
    </row>
    <row r="18181">
      <c r="A18181">
        <f>TEST_DATA!A18181</f>
        <v/>
      </c>
      <c r="B18181">
        <f>TEST_DATA!B18181</f>
        <v/>
      </c>
      <c r="C18181">
        <f>TEST_DATA!C18181</f>
        <v/>
      </c>
      <c r="D18181">
        <f>TEST_DATA!D18181</f>
        <v/>
      </c>
      <c r="E18181">
        <f>TEST_DATA!E18181</f>
        <v/>
      </c>
    </row>
    <row r="18182">
      <c r="A18182">
        <f>TEST_DATA!A18182</f>
        <v/>
      </c>
      <c r="B18182">
        <f>TEST_DATA!B18182</f>
        <v/>
      </c>
      <c r="C18182">
        <f>TEST_DATA!C18182</f>
        <v/>
      </c>
      <c r="D18182">
        <f>TEST_DATA!D18182</f>
        <v/>
      </c>
      <c r="E18182">
        <f>TEST_DATA!E18182</f>
        <v/>
      </c>
    </row>
    <row r="18183">
      <c r="A18183">
        <f>TEST_DATA!A18183</f>
        <v/>
      </c>
      <c r="B18183">
        <f>TEST_DATA!B18183</f>
        <v/>
      </c>
      <c r="C18183">
        <f>TEST_DATA!C18183</f>
        <v/>
      </c>
      <c r="D18183">
        <f>TEST_DATA!D18183</f>
        <v/>
      </c>
      <c r="E18183">
        <f>TEST_DATA!E18183</f>
        <v/>
      </c>
    </row>
    <row r="18184">
      <c r="A18184">
        <f>TEST_DATA!A18184</f>
        <v/>
      </c>
      <c r="B18184">
        <f>TEST_DATA!B18184</f>
        <v/>
      </c>
      <c r="C18184">
        <f>TEST_DATA!C18184</f>
        <v/>
      </c>
      <c r="D18184">
        <f>TEST_DATA!D18184</f>
        <v/>
      </c>
      <c r="E18184">
        <f>TEST_DATA!E18184</f>
        <v/>
      </c>
    </row>
    <row r="18185">
      <c r="A18185">
        <f>TEST_DATA!A18185</f>
        <v/>
      </c>
      <c r="B18185">
        <f>TEST_DATA!B18185</f>
        <v/>
      </c>
      <c r="C18185">
        <f>TEST_DATA!C18185</f>
        <v/>
      </c>
      <c r="D18185">
        <f>TEST_DATA!D18185</f>
        <v/>
      </c>
      <c r="E18185">
        <f>TEST_DATA!E18185</f>
        <v/>
      </c>
    </row>
    <row r="18186">
      <c r="A18186">
        <f>TEST_DATA!A18186</f>
        <v/>
      </c>
      <c r="B18186">
        <f>TEST_DATA!B18186</f>
        <v/>
      </c>
      <c r="C18186">
        <f>TEST_DATA!C18186</f>
        <v/>
      </c>
      <c r="D18186">
        <f>TEST_DATA!D18186</f>
        <v/>
      </c>
      <c r="E18186">
        <f>TEST_DATA!E18186</f>
        <v/>
      </c>
    </row>
    <row r="18187">
      <c r="A18187">
        <f>TEST_DATA!A18187</f>
        <v/>
      </c>
      <c r="B18187">
        <f>TEST_DATA!B18187</f>
        <v/>
      </c>
      <c r="C18187">
        <f>TEST_DATA!C18187</f>
        <v/>
      </c>
      <c r="D18187">
        <f>TEST_DATA!D18187</f>
        <v/>
      </c>
      <c r="E18187">
        <f>TEST_DATA!E18187</f>
        <v/>
      </c>
    </row>
    <row r="18188">
      <c r="A18188">
        <f>TEST_DATA!A18188</f>
        <v/>
      </c>
      <c r="B18188">
        <f>TEST_DATA!B18188</f>
        <v/>
      </c>
      <c r="C18188">
        <f>TEST_DATA!C18188</f>
        <v/>
      </c>
      <c r="D18188">
        <f>TEST_DATA!D18188</f>
        <v/>
      </c>
      <c r="E18188">
        <f>TEST_DATA!E18188</f>
        <v/>
      </c>
    </row>
    <row r="18189">
      <c r="A18189">
        <f>TEST_DATA!A18189</f>
        <v/>
      </c>
      <c r="B18189">
        <f>TEST_DATA!B18189</f>
        <v/>
      </c>
      <c r="C18189">
        <f>TEST_DATA!C18189</f>
        <v/>
      </c>
      <c r="D18189">
        <f>TEST_DATA!D18189</f>
        <v/>
      </c>
      <c r="E18189">
        <f>TEST_DATA!E18189</f>
        <v/>
      </c>
    </row>
    <row r="18190">
      <c r="A18190">
        <f>TEST_DATA!A18190</f>
        <v/>
      </c>
      <c r="B18190">
        <f>TEST_DATA!B18190</f>
        <v/>
      </c>
      <c r="C18190">
        <f>TEST_DATA!C18190</f>
        <v/>
      </c>
      <c r="D18190">
        <f>TEST_DATA!D18190</f>
        <v/>
      </c>
      <c r="E18190">
        <f>TEST_DATA!E18190</f>
        <v/>
      </c>
    </row>
    <row r="18191">
      <c r="A18191">
        <f>TEST_DATA!A18191</f>
        <v/>
      </c>
      <c r="B18191">
        <f>TEST_DATA!B18191</f>
        <v/>
      </c>
      <c r="C18191">
        <f>TEST_DATA!C18191</f>
        <v/>
      </c>
      <c r="D18191">
        <f>TEST_DATA!D18191</f>
        <v/>
      </c>
      <c r="E18191">
        <f>TEST_DATA!E18191</f>
        <v/>
      </c>
    </row>
    <row r="18192">
      <c r="A18192">
        <f>TEST_DATA!A18192</f>
        <v/>
      </c>
      <c r="B18192">
        <f>TEST_DATA!B18192</f>
        <v/>
      </c>
      <c r="C18192">
        <f>TEST_DATA!C18192</f>
        <v/>
      </c>
      <c r="D18192">
        <f>TEST_DATA!D18192</f>
        <v/>
      </c>
      <c r="E18192">
        <f>TEST_DATA!E18192</f>
        <v/>
      </c>
    </row>
    <row r="18193">
      <c r="A18193">
        <f>TEST_DATA!A18193</f>
        <v/>
      </c>
      <c r="B18193">
        <f>TEST_DATA!B18193</f>
        <v/>
      </c>
      <c r="C18193">
        <f>TEST_DATA!C18193</f>
        <v/>
      </c>
      <c r="D18193">
        <f>TEST_DATA!D18193</f>
        <v/>
      </c>
      <c r="E18193">
        <f>TEST_DATA!E18193</f>
        <v/>
      </c>
    </row>
    <row r="18194">
      <c r="A18194">
        <f>TEST_DATA!A18194</f>
        <v/>
      </c>
      <c r="B18194">
        <f>TEST_DATA!B18194</f>
        <v/>
      </c>
      <c r="C18194">
        <f>TEST_DATA!C18194</f>
        <v/>
      </c>
      <c r="D18194">
        <f>TEST_DATA!D18194</f>
        <v/>
      </c>
      <c r="E18194">
        <f>TEST_DATA!E18194</f>
        <v/>
      </c>
    </row>
    <row r="18195">
      <c r="A18195">
        <f>TEST_DATA!A18195</f>
        <v/>
      </c>
      <c r="B18195">
        <f>TEST_DATA!B18195</f>
        <v/>
      </c>
      <c r="C18195">
        <f>TEST_DATA!C18195</f>
        <v/>
      </c>
      <c r="D18195">
        <f>TEST_DATA!D18195</f>
        <v/>
      </c>
      <c r="E18195">
        <f>TEST_DATA!E18195</f>
        <v/>
      </c>
    </row>
    <row r="18196">
      <c r="A18196">
        <f>TEST_DATA!A18196</f>
        <v/>
      </c>
      <c r="B18196">
        <f>TEST_DATA!B18196</f>
        <v/>
      </c>
      <c r="C18196">
        <f>TEST_DATA!C18196</f>
        <v/>
      </c>
      <c r="D18196">
        <f>TEST_DATA!D18196</f>
        <v/>
      </c>
      <c r="E18196">
        <f>TEST_DATA!E18196</f>
        <v/>
      </c>
    </row>
    <row r="18197">
      <c r="A18197">
        <f>TEST_DATA!A18197</f>
        <v/>
      </c>
      <c r="B18197">
        <f>TEST_DATA!B18197</f>
        <v/>
      </c>
      <c r="C18197">
        <f>TEST_DATA!C18197</f>
        <v/>
      </c>
      <c r="D18197">
        <f>TEST_DATA!D18197</f>
        <v/>
      </c>
      <c r="E18197">
        <f>TEST_DATA!E18197</f>
        <v/>
      </c>
    </row>
    <row r="18198">
      <c r="A18198">
        <f>TEST_DATA!A18198</f>
        <v/>
      </c>
      <c r="B18198">
        <f>TEST_DATA!B18198</f>
        <v/>
      </c>
      <c r="C18198">
        <f>TEST_DATA!C18198</f>
        <v/>
      </c>
      <c r="D18198">
        <f>TEST_DATA!D18198</f>
        <v/>
      </c>
      <c r="E18198">
        <f>TEST_DATA!E18198</f>
        <v/>
      </c>
    </row>
    <row r="18199">
      <c r="A18199">
        <f>TEST_DATA!A18199</f>
        <v/>
      </c>
      <c r="B18199">
        <f>TEST_DATA!B18199</f>
        <v/>
      </c>
      <c r="C18199">
        <f>TEST_DATA!C18199</f>
        <v/>
      </c>
      <c r="D18199">
        <f>TEST_DATA!D18199</f>
        <v/>
      </c>
      <c r="E18199">
        <f>TEST_DATA!E18199</f>
        <v/>
      </c>
    </row>
    <row r="18200">
      <c r="A18200">
        <f>TEST_DATA!A18200</f>
        <v/>
      </c>
      <c r="B18200">
        <f>TEST_DATA!B18200</f>
        <v/>
      </c>
      <c r="C18200">
        <f>TEST_DATA!C18200</f>
        <v/>
      </c>
      <c r="D18200">
        <f>TEST_DATA!D18200</f>
        <v/>
      </c>
      <c r="E18200">
        <f>TEST_DATA!E18200</f>
        <v/>
      </c>
    </row>
    <row r="18201">
      <c r="A18201">
        <f>TEST_DATA!A18201</f>
        <v/>
      </c>
      <c r="B18201">
        <f>TEST_DATA!B18201</f>
        <v/>
      </c>
      <c r="C18201">
        <f>TEST_DATA!C18201</f>
        <v/>
      </c>
      <c r="D18201">
        <f>TEST_DATA!D18201</f>
        <v/>
      </c>
      <c r="E18201">
        <f>TEST_DATA!E18201</f>
        <v/>
      </c>
    </row>
    <row r="18202">
      <c r="A18202">
        <f>TEST_DATA!A18202</f>
        <v/>
      </c>
      <c r="B18202">
        <f>TEST_DATA!B18202</f>
        <v/>
      </c>
      <c r="C18202">
        <f>TEST_DATA!C18202</f>
        <v/>
      </c>
      <c r="D18202">
        <f>TEST_DATA!D18202</f>
        <v/>
      </c>
      <c r="E18202">
        <f>TEST_DATA!E18202</f>
        <v/>
      </c>
    </row>
    <row r="18203">
      <c r="A18203">
        <f>TEST_DATA!A18203</f>
        <v/>
      </c>
      <c r="B18203">
        <f>TEST_DATA!B18203</f>
        <v/>
      </c>
      <c r="C18203">
        <f>TEST_DATA!C18203</f>
        <v/>
      </c>
      <c r="D18203">
        <f>TEST_DATA!D18203</f>
        <v/>
      </c>
      <c r="E18203">
        <f>TEST_DATA!E18203</f>
        <v/>
      </c>
    </row>
    <row r="18204">
      <c r="A18204">
        <f>TEST_DATA!A18204</f>
        <v/>
      </c>
      <c r="B18204">
        <f>TEST_DATA!B18204</f>
        <v/>
      </c>
      <c r="C18204">
        <f>TEST_DATA!C18204</f>
        <v/>
      </c>
      <c r="D18204">
        <f>TEST_DATA!D18204</f>
        <v/>
      </c>
      <c r="E18204">
        <f>TEST_DATA!E18204</f>
        <v/>
      </c>
    </row>
    <row r="18205">
      <c r="A18205">
        <f>TEST_DATA!A18205</f>
        <v/>
      </c>
      <c r="B18205">
        <f>TEST_DATA!B18205</f>
        <v/>
      </c>
      <c r="C18205">
        <f>TEST_DATA!C18205</f>
        <v/>
      </c>
      <c r="D18205">
        <f>TEST_DATA!D18205</f>
        <v/>
      </c>
      <c r="E18205">
        <f>TEST_DATA!E18205</f>
        <v/>
      </c>
    </row>
    <row r="18206">
      <c r="A18206">
        <f>TEST_DATA!A18206</f>
        <v/>
      </c>
      <c r="B18206">
        <f>TEST_DATA!B18206</f>
        <v/>
      </c>
      <c r="C18206">
        <f>TEST_DATA!C18206</f>
        <v/>
      </c>
      <c r="D18206">
        <f>TEST_DATA!D18206</f>
        <v/>
      </c>
      <c r="E18206">
        <f>TEST_DATA!E18206</f>
        <v/>
      </c>
    </row>
    <row r="18207">
      <c r="A18207">
        <f>TEST_DATA!A18207</f>
        <v/>
      </c>
      <c r="B18207">
        <f>TEST_DATA!B18207</f>
        <v/>
      </c>
      <c r="C18207">
        <f>TEST_DATA!C18207</f>
        <v/>
      </c>
      <c r="D18207">
        <f>TEST_DATA!D18207</f>
        <v/>
      </c>
      <c r="E18207">
        <f>TEST_DATA!E18207</f>
        <v/>
      </c>
    </row>
    <row r="18208">
      <c r="A18208">
        <f>TEST_DATA!A18208</f>
        <v/>
      </c>
      <c r="B18208">
        <f>TEST_DATA!B18208</f>
        <v/>
      </c>
      <c r="C18208">
        <f>TEST_DATA!C18208</f>
        <v/>
      </c>
      <c r="D18208">
        <f>TEST_DATA!D18208</f>
        <v/>
      </c>
      <c r="E18208">
        <f>TEST_DATA!E18208</f>
        <v/>
      </c>
    </row>
    <row r="18209">
      <c r="A18209">
        <f>TEST_DATA!A18209</f>
        <v/>
      </c>
      <c r="B18209">
        <f>TEST_DATA!B18209</f>
        <v/>
      </c>
      <c r="C18209">
        <f>TEST_DATA!C18209</f>
        <v/>
      </c>
      <c r="D18209">
        <f>TEST_DATA!D18209</f>
        <v/>
      </c>
      <c r="E18209">
        <f>TEST_DATA!E18209</f>
        <v/>
      </c>
    </row>
    <row r="18210">
      <c r="A18210">
        <f>TEST_DATA!A18210</f>
        <v/>
      </c>
      <c r="B18210">
        <f>TEST_DATA!B18210</f>
        <v/>
      </c>
      <c r="C18210">
        <f>TEST_DATA!C18210</f>
        <v/>
      </c>
      <c r="D18210">
        <f>TEST_DATA!D18210</f>
        <v/>
      </c>
      <c r="E18210">
        <f>TEST_DATA!E18210</f>
        <v/>
      </c>
    </row>
    <row r="18211">
      <c r="A18211">
        <f>TEST_DATA!A18211</f>
        <v/>
      </c>
      <c r="B18211">
        <f>TEST_DATA!B18211</f>
        <v/>
      </c>
      <c r="C18211">
        <f>TEST_DATA!C18211</f>
        <v/>
      </c>
      <c r="D18211">
        <f>TEST_DATA!D18211</f>
        <v/>
      </c>
      <c r="E18211">
        <f>TEST_DATA!E18211</f>
        <v/>
      </c>
    </row>
    <row r="18212">
      <c r="A18212">
        <f>TEST_DATA!A18212</f>
        <v/>
      </c>
      <c r="B18212">
        <f>TEST_DATA!B18212</f>
        <v/>
      </c>
      <c r="C18212">
        <f>TEST_DATA!C18212</f>
        <v/>
      </c>
      <c r="D18212">
        <f>TEST_DATA!D18212</f>
        <v/>
      </c>
      <c r="E18212">
        <f>TEST_DATA!E18212</f>
        <v/>
      </c>
    </row>
    <row r="18213">
      <c r="A18213">
        <f>TEST_DATA!A18213</f>
        <v/>
      </c>
      <c r="B18213">
        <f>TEST_DATA!B18213</f>
        <v/>
      </c>
      <c r="C18213">
        <f>TEST_DATA!C18213</f>
        <v/>
      </c>
      <c r="D18213">
        <f>TEST_DATA!D18213</f>
        <v/>
      </c>
      <c r="E18213">
        <f>TEST_DATA!E18213</f>
        <v/>
      </c>
    </row>
    <row r="18214">
      <c r="A18214">
        <f>TEST_DATA!A18214</f>
        <v/>
      </c>
      <c r="B18214">
        <f>TEST_DATA!B18214</f>
        <v/>
      </c>
      <c r="C18214">
        <f>TEST_DATA!C18214</f>
        <v/>
      </c>
      <c r="D18214">
        <f>TEST_DATA!D18214</f>
        <v/>
      </c>
      <c r="E18214">
        <f>TEST_DATA!E18214</f>
        <v/>
      </c>
    </row>
    <row r="18215">
      <c r="A18215">
        <f>TEST_DATA!A18215</f>
        <v/>
      </c>
      <c r="B18215">
        <f>TEST_DATA!B18215</f>
        <v/>
      </c>
      <c r="C18215">
        <f>TEST_DATA!C18215</f>
        <v/>
      </c>
      <c r="D18215">
        <f>TEST_DATA!D18215</f>
        <v/>
      </c>
      <c r="E18215">
        <f>TEST_DATA!E18215</f>
        <v/>
      </c>
    </row>
    <row r="18216">
      <c r="A18216">
        <f>TEST_DATA!A18216</f>
        <v/>
      </c>
      <c r="B18216">
        <f>TEST_DATA!B18216</f>
        <v/>
      </c>
      <c r="C18216">
        <f>TEST_DATA!C18216</f>
        <v/>
      </c>
      <c r="D18216">
        <f>TEST_DATA!D18216</f>
        <v/>
      </c>
      <c r="E18216">
        <f>TEST_DATA!E18216</f>
        <v/>
      </c>
    </row>
    <row r="18217">
      <c r="A18217">
        <f>TEST_DATA!A18217</f>
        <v/>
      </c>
      <c r="B18217">
        <f>TEST_DATA!B18217</f>
        <v/>
      </c>
      <c r="C18217">
        <f>TEST_DATA!C18217</f>
        <v/>
      </c>
      <c r="D18217">
        <f>TEST_DATA!D18217</f>
        <v/>
      </c>
      <c r="E18217">
        <f>TEST_DATA!E18217</f>
        <v/>
      </c>
    </row>
    <row r="18218">
      <c r="A18218">
        <f>TEST_DATA!A18218</f>
        <v/>
      </c>
      <c r="B18218">
        <f>TEST_DATA!B18218</f>
        <v/>
      </c>
      <c r="C18218">
        <f>TEST_DATA!C18218</f>
        <v/>
      </c>
      <c r="D18218">
        <f>TEST_DATA!D18218</f>
        <v/>
      </c>
      <c r="E18218">
        <f>TEST_DATA!E18218</f>
        <v/>
      </c>
    </row>
    <row r="18219">
      <c r="A18219">
        <f>TEST_DATA!A18219</f>
        <v/>
      </c>
      <c r="B18219">
        <f>TEST_DATA!B18219</f>
        <v/>
      </c>
      <c r="C18219">
        <f>TEST_DATA!C18219</f>
        <v/>
      </c>
      <c r="D18219">
        <f>TEST_DATA!D18219</f>
        <v/>
      </c>
      <c r="E18219">
        <f>TEST_DATA!E18219</f>
        <v/>
      </c>
    </row>
    <row r="18220">
      <c r="A18220">
        <f>TEST_DATA!A18220</f>
        <v/>
      </c>
      <c r="B18220">
        <f>TEST_DATA!B18220</f>
        <v/>
      </c>
      <c r="C18220">
        <f>TEST_DATA!C18220</f>
        <v/>
      </c>
      <c r="D18220">
        <f>TEST_DATA!D18220</f>
        <v/>
      </c>
      <c r="E18220">
        <f>TEST_DATA!E18220</f>
        <v/>
      </c>
    </row>
    <row r="18221">
      <c r="A18221">
        <f>TEST_DATA!A18221</f>
        <v/>
      </c>
      <c r="B18221">
        <f>TEST_DATA!B18221</f>
        <v/>
      </c>
      <c r="C18221">
        <f>TEST_DATA!C18221</f>
        <v/>
      </c>
      <c r="D18221">
        <f>TEST_DATA!D18221</f>
        <v/>
      </c>
      <c r="E18221">
        <f>TEST_DATA!E18221</f>
        <v/>
      </c>
    </row>
    <row r="18222">
      <c r="A18222">
        <f>TEST_DATA!A18222</f>
        <v/>
      </c>
      <c r="B18222">
        <f>TEST_DATA!B18222</f>
        <v/>
      </c>
      <c r="C18222">
        <f>TEST_DATA!C18222</f>
        <v/>
      </c>
      <c r="D18222">
        <f>TEST_DATA!D18222</f>
        <v/>
      </c>
      <c r="E18222">
        <f>TEST_DATA!E18222</f>
        <v/>
      </c>
    </row>
    <row r="18223">
      <c r="A18223">
        <f>TEST_DATA!A18223</f>
        <v/>
      </c>
      <c r="B18223">
        <f>TEST_DATA!B18223</f>
        <v/>
      </c>
      <c r="C18223">
        <f>TEST_DATA!C18223</f>
        <v/>
      </c>
      <c r="D18223">
        <f>TEST_DATA!D18223</f>
        <v/>
      </c>
      <c r="E18223">
        <f>TEST_DATA!E18223</f>
        <v/>
      </c>
    </row>
    <row r="18224">
      <c r="A18224">
        <f>TEST_DATA!A18224</f>
        <v/>
      </c>
      <c r="B18224">
        <f>TEST_DATA!B18224</f>
        <v/>
      </c>
      <c r="C18224">
        <f>TEST_DATA!C18224</f>
        <v/>
      </c>
      <c r="D18224">
        <f>TEST_DATA!D18224</f>
        <v/>
      </c>
      <c r="E18224">
        <f>TEST_DATA!E18224</f>
        <v/>
      </c>
    </row>
    <row r="18225">
      <c r="A18225">
        <f>TEST_DATA!A18225</f>
        <v/>
      </c>
      <c r="B18225">
        <f>TEST_DATA!B18225</f>
        <v/>
      </c>
      <c r="C18225">
        <f>TEST_DATA!C18225</f>
        <v/>
      </c>
      <c r="D18225">
        <f>TEST_DATA!D18225</f>
        <v/>
      </c>
      <c r="E18225">
        <f>TEST_DATA!E18225</f>
        <v/>
      </c>
    </row>
    <row r="18226">
      <c r="A18226">
        <f>TEST_DATA!A18226</f>
        <v/>
      </c>
      <c r="B18226">
        <f>TEST_DATA!B18226</f>
        <v/>
      </c>
      <c r="C18226">
        <f>TEST_DATA!C18226</f>
        <v/>
      </c>
      <c r="D18226">
        <f>TEST_DATA!D18226</f>
        <v/>
      </c>
      <c r="E18226">
        <f>TEST_DATA!E18226</f>
        <v/>
      </c>
    </row>
    <row r="18227">
      <c r="A18227">
        <f>TEST_DATA!A18227</f>
        <v/>
      </c>
      <c r="B18227">
        <f>TEST_DATA!B18227</f>
        <v/>
      </c>
      <c r="C18227">
        <f>TEST_DATA!C18227</f>
        <v/>
      </c>
      <c r="D18227">
        <f>TEST_DATA!D18227</f>
        <v/>
      </c>
      <c r="E18227">
        <f>TEST_DATA!E18227</f>
        <v/>
      </c>
    </row>
    <row r="18228">
      <c r="A18228">
        <f>TEST_DATA!A18228</f>
        <v/>
      </c>
      <c r="B18228">
        <f>TEST_DATA!B18228</f>
        <v/>
      </c>
      <c r="C18228">
        <f>TEST_DATA!C18228</f>
        <v/>
      </c>
      <c r="D18228">
        <f>TEST_DATA!D18228</f>
        <v/>
      </c>
      <c r="E18228">
        <f>TEST_DATA!E18228</f>
        <v/>
      </c>
    </row>
    <row r="18229">
      <c r="A18229">
        <f>TEST_DATA!A18229</f>
        <v/>
      </c>
      <c r="B18229">
        <f>TEST_DATA!B18229</f>
        <v/>
      </c>
      <c r="C18229">
        <f>TEST_DATA!C18229</f>
        <v/>
      </c>
      <c r="D18229">
        <f>TEST_DATA!D18229</f>
        <v/>
      </c>
      <c r="E18229">
        <f>TEST_DATA!E18229</f>
        <v/>
      </c>
    </row>
    <row r="18230">
      <c r="A18230">
        <f>TEST_DATA!A18230</f>
        <v/>
      </c>
      <c r="B18230">
        <f>TEST_DATA!B18230</f>
        <v/>
      </c>
      <c r="C18230">
        <f>TEST_DATA!C18230</f>
        <v/>
      </c>
      <c r="D18230">
        <f>TEST_DATA!D18230</f>
        <v/>
      </c>
      <c r="E18230">
        <f>TEST_DATA!E18230</f>
        <v/>
      </c>
    </row>
    <row r="18231">
      <c r="A18231">
        <f>TEST_DATA!A18231</f>
        <v/>
      </c>
      <c r="B18231">
        <f>TEST_DATA!B18231</f>
        <v/>
      </c>
      <c r="C18231">
        <f>TEST_DATA!C18231</f>
        <v/>
      </c>
      <c r="D18231">
        <f>TEST_DATA!D18231</f>
        <v/>
      </c>
      <c r="E18231">
        <f>TEST_DATA!E18231</f>
        <v/>
      </c>
    </row>
    <row r="18232">
      <c r="A18232">
        <f>TEST_DATA!A18232</f>
        <v/>
      </c>
      <c r="B18232">
        <f>TEST_DATA!B18232</f>
        <v/>
      </c>
      <c r="C18232">
        <f>TEST_DATA!C18232</f>
        <v/>
      </c>
      <c r="D18232">
        <f>TEST_DATA!D18232</f>
        <v/>
      </c>
      <c r="E18232">
        <f>TEST_DATA!E18232</f>
        <v/>
      </c>
    </row>
    <row r="18233">
      <c r="A18233">
        <f>TEST_DATA!A18233</f>
        <v/>
      </c>
      <c r="B18233">
        <f>TEST_DATA!B18233</f>
        <v/>
      </c>
      <c r="C18233">
        <f>TEST_DATA!C18233</f>
        <v/>
      </c>
      <c r="D18233">
        <f>TEST_DATA!D18233</f>
        <v/>
      </c>
      <c r="E18233">
        <f>TEST_DATA!E18233</f>
        <v/>
      </c>
    </row>
    <row r="18234">
      <c r="A18234">
        <f>TEST_DATA!A18234</f>
        <v/>
      </c>
      <c r="B18234">
        <f>TEST_DATA!B18234</f>
        <v/>
      </c>
      <c r="C18234">
        <f>TEST_DATA!C18234</f>
        <v/>
      </c>
      <c r="D18234">
        <f>TEST_DATA!D18234</f>
        <v/>
      </c>
      <c r="E18234">
        <f>TEST_DATA!E18234</f>
        <v/>
      </c>
    </row>
    <row r="18235">
      <c r="A18235">
        <f>TEST_DATA!A18235</f>
        <v/>
      </c>
      <c r="B18235">
        <f>TEST_DATA!B18235</f>
        <v/>
      </c>
      <c r="C18235">
        <f>TEST_DATA!C18235</f>
        <v/>
      </c>
      <c r="D18235">
        <f>TEST_DATA!D18235</f>
        <v/>
      </c>
      <c r="E18235">
        <f>TEST_DATA!E18235</f>
        <v/>
      </c>
    </row>
    <row r="18236">
      <c r="A18236">
        <f>TEST_DATA!A18236</f>
        <v/>
      </c>
      <c r="B18236">
        <f>TEST_DATA!B18236</f>
        <v/>
      </c>
      <c r="C18236">
        <f>TEST_DATA!C18236</f>
        <v/>
      </c>
      <c r="D18236">
        <f>TEST_DATA!D18236</f>
        <v/>
      </c>
      <c r="E18236">
        <f>TEST_DATA!E18236</f>
        <v/>
      </c>
    </row>
    <row r="18237">
      <c r="A18237">
        <f>TEST_DATA!A18237</f>
        <v/>
      </c>
      <c r="B18237">
        <f>TEST_DATA!B18237</f>
        <v/>
      </c>
      <c r="C18237">
        <f>TEST_DATA!C18237</f>
        <v/>
      </c>
      <c r="D18237">
        <f>TEST_DATA!D18237</f>
        <v/>
      </c>
      <c r="E18237">
        <f>TEST_DATA!E18237</f>
        <v/>
      </c>
    </row>
    <row r="18238">
      <c r="A18238">
        <f>TEST_DATA!A18238</f>
        <v/>
      </c>
      <c r="B18238">
        <f>TEST_DATA!B18238</f>
        <v/>
      </c>
      <c r="C18238">
        <f>TEST_DATA!C18238</f>
        <v/>
      </c>
      <c r="D18238">
        <f>TEST_DATA!D18238</f>
        <v/>
      </c>
      <c r="E18238">
        <f>TEST_DATA!E18238</f>
        <v/>
      </c>
    </row>
    <row r="18239">
      <c r="A18239">
        <f>TEST_DATA!A18239</f>
        <v/>
      </c>
      <c r="B18239">
        <f>TEST_DATA!B18239</f>
        <v/>
      </c>
      <c r="C18239">
        <f>TEST_DATA!C18239</f>
        <v/>
      </c>
      <c r="D18239">
        <f>TEST_DATA!D18239</f>
        <v/>
      </c>
      <c r="E18239">
        <f>TEST_DATA!E18239</f>
        <v/>
      </c>
    </row>
    <row r="18240">
      <c r="A18240">
        <f>TEST_DATA!A18240</f>
        <v/>
      </c>
      <c r="B18240">
        <f>TEST_DATA!B18240</f>
        <v/>
      </c>
      <c r="C18240">
        <f>TEST_DATA!C18240</f>
        <v/>
      </c>
      <c r="D18240">
        <f>TEST_DATA!D18240</f>
        <v/>
      </c>
      <c r="E18240">
        <f>TEST_DATA!E18240</f>
        <v/>
      </c>
    </row>
    <row r="18241">
      <c r="A18241">
        <f>TEST_DATA!A18241</f>
        <v/>
      </c>
      <c r="B18241">
        <f>TEST_DATA!B18241</f>
        <v/>
      </c>
      <c r="C18241">
        <f>TEST_DATA!C18241</f>
        <v/>
      </c>
      <c r="D18241">
        <f>TEST_DATA!D18241</f>
        <v/>
      </c>
      <c r="E18241">
        <f>TEST_DATA!E18241</f>
        <v/>
      </c>
    </row>
    <row r="18242">
      <c r="A18242">
        <f>TEST_DATA!A18242</f>
        <v/>
      </c>
      <c r="B18242">
        <f>TEST_DATA!B18242</f>
        <v/>
      </c>
      <c r="C18242">
        <f>TEST_DATA!C18242</f>
        <v/>
      </c>
      <c r="D18242">
        <f>TEST_DATA!D18242</f>
        <v/>
      </c>
      <c r="E18242">
        <f>TEST_DATA!E18242</f>
        <v/>
      </c>
    </row>
    <row r="18243">
      <c r="A18243">
        <f>TEST_DATA!A18243</f>
        <v/>
      </c>
      <c r="B18243">
        <f>TEST_DATA!B18243</f>
        <v/>
      </c>
      <c r="C18243">
        <f>TEST_DATA!C18243</f>
        <v/>
      </c>
      <c r="D18243">
        <f>TEST_DATA!D18243</f>
        <v/>
      </c>
      <c r="E18243">
        <f>TEST_DATA!E18243</f>
        <v/>
      </c>
    </row>
    <row r="18244">
      <c r="A18244">
        <f>TEST_DATA!A18244</f>
        <v/>
      </c>
      <c r="B18244">
        <f>TEST_DATA!B18244</f>
        <v/>
      </c>
      <c r="C18244">
        <f>TEST_DATA!C18244</f>
        <v/>
      </c>
      <c r="D18244">
        <f>TEST_DATA!D18244</f>
        <v/>
      </c>
      <c r="E18244">
        <f>TEST_DATA!E18244</f>
        <v/>
      </c>
    </row>
    <row r="18245">
      <c r="A18245">
        <f>TEST_DATA!A18245</f>
        <v/>
      </c>
      <c r="B18245">
        <f>TEST_DATA!B18245</f>
        <v/>
      </c>
      <c r="C18245">
        <f>TEST_DATA!C18245</f>
        <v/>
      </c>
      <c r="D18245">
        <f>TEST_DATA!D18245</f>
        <v/>
      </c>
      <c r="E18245">
        <f>TEST_DATA!E18245</f>
        <v/>
      </c>
    </row>
    <row r="18246">
      <c r="A18246">
        <f>TEST_DATA!A18246</f>
        <v/>
      </c>
      <c r="B18246">
        <f>TEST_DATA!B18246</f>
        <v/>
      </c>
      <c r="C18246">
        <f>TEST_DATA!C18246</f>
        <v/>
      </c>
      <c r="D18246">
        <f>TEST_DATA!D18246</f>
        <v/>
      </c>
      <c r="E18246">
        <f>TEST_DATA!E18246</f>
        <v/>
      </c>
    </row>
    <row r="18247">
      <c r="A18247">
        <f>TEST_DATA!A18247</f>
        <v/>
      </c>
      <c r="B18247">
        <f>TEST_DATA!B18247</f>
        <v/>
      </c>
      <c r="C18247">
        <f>TEST_DATA!C18247</f>
        <v/>
      </c>
      <c r="D18247">
        <f>TEST_DATA!D18247</f>
        <v/>
      </c>
      <c r="E18247">
        <f>TEST_DATA!E18247</f>
        <v/>
      </c>
    </row>
    <row r="18248">
      <c r="A18248">
        <f>TEST_DATA!A18248</f>
        <v/>
      </c>
      <c r="B18248">
        <f>TEST_DATA!B18248</f>
        <v/>
      </c>
      <c r="C18248">
        <f>TEST_DATA!C18248</f>
        <v/>
      </c>
      <c r="D18248">
        <f>TEST_DATA!D18248</f>
        <v/>
      </c>
      <c r="E18248">
        <f>TEST_DATA!E18248</f>
        <v/>
      </c>
    </row>
    <row r="18249">
      <c r="A18249">
        <f>TEST_DATA!A18249</f>
        <v/>
      </c>
      <c r="B18249">
        <f>TEST_DATA!B18249</f>
        <v/>
      </c>
      <c r="C18249">
        <f>TEST_DATA!C18249</f>
        <v/>
      </c>
      <c r="D18249">
        <f>TEST_DATA!D18249</f>
        <v/>
      </c>
      <c r="E18249">
        <f>TEST_DATA!E18249</f>
        <v/>
      </c>
    </row>
    <row r="18250">
      <c r="A18250">
        <f>TEST_DATA!A18250</f>
        <v/>
      </c>
      <c r="B18250">
        <f>TEST_DATA!B18250</f>
        <v/>
      </c>
      <c r="C18250">
        <f>TEST_DATA!C18250</f>
        <v/>
      </c>
      <c r="D18250">
        <f>TEST_DATA!D18250</f>
        <v/>
      </c>
      <c r="E18250">
        <f>TEST_DATA!E18250</f>
        <v/>
      </c>
    </row>
    <row r="18251">
      <c r="A18251">
        <f>TEST_DATA!A18251</f>
        <v/>
      </c>
      <c r="B18251">
        <f>TEST_DATA!B18251</f>
        <v/>
      </c>
      <c r="C18251">
        <f>TEST_DATA!C18251</f>
        <v/>
      </c>
      <c r="D18251">
        <f>TEST_DATA!D18251</f>
        <v/>
      </c>
      <c r="E18251">
        <f>TEST_DATA!E18251</f>
        <v/>
      </c>
    </row>
    <row r="18252">
      <c r="A18252">
        <f>TEST_DATA!A18252</f>
        <v/>
      </c>
      <c r="B18252">
        <f>TEST_DATA!B18252</f>
        <v/>
      </c>
      <c r="C18252">
        <f>TEST_DATA!C18252</f>
        <v/>
      </c>
      <c r="D18252">
        <f>TEST_DATA!D18252</f>
        <v/>
      </c>
      <c r="E18252">
        <f>TEST_DATA!E18252</f>
        <v/>
      </c>
    </row>
    <row r="18253">
      <c r="A18253">
        <f>TEST_DATA!A18253</f>
        <v/>
      </c>
      <c r="B18253">
        <f>TEST_DATA!B18253</f>
        <v/>
      </c>
      <c r="C18253">
        <f>TEST_DATA!C18253</f>
        <v/>
      </c>
      <c r="D18253">
        <f>TEST_DATA!D18253</f>
        <v/>
      </c>
      <c r="E18253">
        <f>TEST_DATA!E18253</f>
        <v/>
      </c>
    </row>
    <row r="18254">
      <c r="A18254">
        <f>TEST_DATA!A18254</f>
        <v/>
      </c>
      <c r="B18254">
        <f>TEST_DATA!B18254</f>
        <v/>
      </c>
      <c r="C18254">
        <f>TEST_DATA!C18254</f>
        <v/>
      </c>
      <c r="D18254">
        <f>TEST_DATA!D18254</f>
        <v/>
      </c>
      <c r="E18254">
        <f>TEST_DATA!E18254</f>
        <v/>
      </c>
    </row>
    <row r="18255">
      <c r="A18255">
        <f>TEST_DATA!A18255</f>
        <v/>
      </c>
      <c r="B18255">
        <f>TEST_DATA!B18255</f>
        <v/>
      </c>
      <c r="C18255">
        <f>TEST_DATA!C18255</f>
        <v/>
      </c>
      <c r="D18255">
        <f>TEST_DATA!D18255</f>
        <v/>
      </c>
      <c r="E18255">
        <f>TEST_DATA!E18255</f>
        <v/>
      </c>
    </row>
    <row r="18256">
      <c r="A18256">
        <f>TEST_DATA!A18256</f>
        <v/>
      </c>
      <c r="B18256">
        <f>TEST_DATA!B18256</f>
        <v/>
      </c>
      <c r="C18256">
        <f>TEST_DATA!C18256</f>
        <v/>
      </c>
      <c r="D18256">
        <f>TEST_DATA!D18256</f>
        <v/>
      </c>
      <c r="E18256">
        <f>TEST_DATA!E18256</f>
        <v/>
      </c>
    </row>
    <row r="18257">
      <c r="A18257">
        <f>TEST_DATA!A18257</f>
        <v/>
      </c>
      <c r="B18257">
        <f>TEST_DATA!B18257</f>
        <v/>
      </c>
      <c r="C18257">
        <f>TEST_DATA!C18257</f>
        <v/>
      </c>
      <c r="D18257">
        <f>TEST_DATA!D18257</f>
        <v/>
      </c>
      <c r="E18257">
        <f>TEST_DATA!E18257</f>
        <v/>
      </c>
    </row>
    <row r="18258">
      <c r="A18258">
        <f>TEST_DATA!A18258</f>
        <v/>
      </c>
      <c r="B18258">
        <f>TEST_DATA!B18258</f>
        <v/>
      </c>
      <c r="C18258">
        <f>TEST_DATA!C18258</f>
        <v/>
      </c>
      <c r="D18258">
        <f>TEST_DATA!D18258</f>
        <v/>
      </c>
      <c r="E18258">
        <f>TEST_DATA!E18258</f>
        <v/>
      </c>
    </row>
    <row r="18259">
      <c r="A18259">
        <f>TEST_DATA!A18259</f>
        <v/>
      </c>
      <c r="B18259">
        <f>TEST_DATA!B18259</f>
        <v/>
      </c>
      <c r="C18259">
        <f>TEST_DATA!C18259</f>
        <v/>
      </c>
      <c r="D18259">
        <f>TEST_DATA!D18259</f>
        <v/>
      </c>
      <c r="E18259">
        <f>TEST_DATA!E18259</f>
        <v/>
      </c>
    </row>
    <row r="18260">
      <c r="A18260">
        <f>TEST_DATA!A18260</f>
        <v/>
      </c>
      <c r="B18260">
        <f>TEST_DATA!B18260</f>
        <v/>
      </c>
      <c r="C18260">
        <f>TEST_DATA!C18260</f>
        <v/>
      </c>
      <c r="D18260">
        <f>TEST_DATA!D18260</f>
        <v/>
      </c>
      <c r="E18260">
        <f>TEST_DATA!E18260</f>
        <v/>
      </c>
    </row>
    <row r="18261">
      <c r="A18261">
        <f>TEST_DATA!A18261</f>
        <v/>
      </c>
      <c r="B18261">
        <f>TEST_DATA!B18261</f>
        <v/>
      </c>
      <c r="C18261">
        <f>TEST_DATA!C18261</f>
        <v/>
      </c>
      <c r="D18261">
        <f>TEST_DATA!D18261</f>
        <v/>
      </c>
      <c r="E18261">
        <f>TEST_DATA!E18261</f>
        <v/>
      </c>
    </row>
    <row r="18262">
      <c r="A18262">
        <f>TEST_DATA!A18262</f>
        <v/>
      </c>
      <c r="B18262">
        <f>TEST_DATA!B18262</f>
        <v/>
      </c>
      <c r="C18262">
        <f>TEST_DATA!C18262</f>
        <v/>
      </c>
      <c r="D18262">
        <f>TEST_DATA!D18262</f>
        <v/>
      </c>
      <c r="E18262">
        <f>TEST_DATA!E18262</f>
        <v/>
      </c>
    </row>
    <row r="18263">
      <c r="A18263">
        <f>TEST_DATA!A18263</f>
        <v/>
      </c>
      <c r="B18263">
        <f>TEST_DATA!B18263</f>
        <v/>
      </c>
      <c r="C18263">
        <f>TEST_DATA!C18263</f>
        <v/>
      </c>
      <c r="D18263">
        <f>TEST_DATA!D18263</f>
        <v/>
      </c>
      <c r="E18263">
        <f>TEST_DATA!E18263</f>
        <v/>
      </c>
    </row>
    <row r="18264">
      <c r="A18264">
        <f>TEST_DATA!A18264</f>
        <v/>
      </c>
      <c r="B18264">
        <f>TEST_DATA!B18264</f>
        <v/>
      </c>
      <c r="C18264">
        <f>TEST_DATA!C18264</f>
        <v/>
      </c>
      <c r="D18264">
        <f>TEST_DATA!D18264</f>
        <v/>
      </c>
      <c r="E18264">
        <f>TEST_DATA!E18264</f>
        <v/>
      </c>
    </row>
    <row r="18265">
      <c r="A18265">
        <f>TEST_DATA!A18265</f>
        <v/>
      </c>
      <c r="B18265">
        <f>TEST_DATA!B18265</f>
        <v/>
      </c>
      <c r="C18265">
        <f>TEST_DATA!C18265</f>
        <v/>
      </c>
      <c r="D18265">
        <f>TEST_DATA!D18265</f>
        <v/>
      </c>
      <c r="E18265">
        <f>TEST_DATA!E18265</f>
        <v/>
      </c>
    </row>
    <row r="18266">
      <c r="A18266">
        <f>TEST_DATA!A18266</f>
        <v/>
      </c>
      <c r="B18266">
        <f>TEST_DATA!B18266</f>
        <v/>
      </c>
      <c r="C18266">
        <f>TEST_DATA!C18266</f>
        <v/>
      </c>
      <c r="D18266">
        <f>TEST_DATA!D18266</f>
        <v/>
      </c>
      <c r="E18266">
        <f>TEST_DATA!E18266</f>
        <v/>
      </c>
    </row>
    <row r="18267">
      <c r="A18267">
        <f>TEST_DATA!A18267</f>
        <v/>
      </c>
      <c r="B18267">
        <f>TEST_DATA!B18267</f>
        <v/>
      </c>
      <c r="C18267">
        <f>TEST_DATA!C18267</f>
        <v/>
      </c>
      <c r="D18267">
        <f>TEST_DATA!D18267</f>
        <v/>
      </c>
      <c r="E18267">
        <f>TEST_DATA!E18267</f>
        <v/>
      </c>
    </row>
    <row r="18268">
      <c r="A18268">
        <f>TEST_DATA!A18268</f>
        <v/>
      </c>
      <c r="B18268">
        <f>TEST_DATA!B18268</f>
        <v/>
      </c>
      <c r="C18268">
        <f>TEST_DATA!C18268</f>
        <v/>
      </c>
      <c r="D18268">
        <f>TEST_DATA!D18268</f>
        <v/>
      </c>
      <c r="E18268">
        <f>TEST_DATA!E18268</f>
        <v/>
      </c>
    </row>
    <row r="18269">
      <c r="A18269">
        <f>TEST_DATA!A18269</f>
        <v/>
      </c>
      <c r="B18269">
        <f>TEST_DATA!B18269</f>
        <v/>
      </c>
      <c r="C18269">
        <f>TEST_DATA!C18269</f>
        <v/>
      </c>
      <c r="D18269">
        <f>TEST_DATA!D18269</f>
        <v/>
      </c>
      <c r="E18269">
        <f>TEST_DATA!E18269</f>
        <v/>
      </c>
    </row>
    <row r="18270">
      <c r="A18270">
        <f>TEST_DATA!A18270</f>
        <v/>
      </c>
      <c r="B18270">
        <f>TEST_DATA!B18270</f>
        <v/>
      </c>
      <c r="C18270">
        <f>TEST_DATA!C18270</f>
        <v/>
      </c>
      <c r="D18270">
        <f>TEST_DATA!D18270</f>
        <v/>
      </c>
      <c r="E18270">
        <f>TEST_DATA!E18270</f>
        <v/>
      </c>
    </row>
    <row r="18271">
      <c r="A18271">
        <f>TEST_DATA!A18271</f>
        <v/>
      </c>
      <c r="B18271">
        <f>TEST_DATA!B18271</f>
        <v/>
      </c>
      <c r="C18271">
        <f>TEST_DATA!C18271</f>
        <v/>
      </c>
      <c r="D18271">
        <f>TEST_DATA!D18271</f>
        <v/>
      </c>
      <c r="E18271">
        <f>TEST_DATA!E18271</f>
        <v/>
      </c>
    </row>
    <row r="18272">
      <c r="A18272">
        <f>TEST_DATA!A18272</f>
        <v/>
      </c>
      <c r="B18272">
        <f>TEST_DATA!B18272</f>
        <v/>
      </c>
      <c r="C18272">
        <f>TEST_DATA!C18272</f>
        <v/>
      </c>
      <c r="D18272">
        <f>TEST_DATA!D18272</f>
        <v/>
      </c>
      <c r="E18272">
        <f>TEST_DATA!E18272</f>
        <v/>
      </c>
    </row>
    <row r="18273">
      <c r="A18273">
        <f>TEST_DATA!A18273</f>
        <v/>
      </c>
      <c r="B18273">
        <f>TEST_DATA!B18273</f>
        <v/>
      </c>
      <c r="C18273">
        <f>TEST_DATA!C18273</f>
        <v/>
      </c>
      <c r="D18273">
        <f>TEST_DATA!D18273</f>
        <v/>
      </c>
      <c r="E18273">
        <f>TEST_DATA!E18273</f>
        <v/>
      </c>
    </row>
    <row r="18274">
      <c r="A18274">
        <f>TEST_DATA!A18274</f>
        <v/>
      </c>
      <c r="B18274">
        <f>TEST_DATA!B18274</f>
        <v/>
      </c>
      <c r="C18274">
        <f>TEST_DATA!C18274</f>
        <v/>
      </c>
      <c r="D18274">
        <f>TEST_DATA!D18274</f>
        <v/>
      </c>
      <c r="E18274">
        <f>TEST_DATA!E18274</f>
        <v/>
      </c>
    </row>
    <row r="18275">
      <c r="A18275">
        <f>TEST_DATA!A18275</f>
        <v/>
      </c>
      <c r="B18275">
        <f>TEST_DATA!B18275</f>
        <v/>
      </c>
      <c r="C18275">
        <f>TEST_DATA!C18275</f>
        <v/>
      </c>
      <c r="D18275">
        <f>TEST_DATA!D18275</f>
        <v/>
      </c>
      <c r="E18275">
        <f>TEST_DATA!E18275</f>
        <v/>
      </c>
    </row>
    <row r="18276">
      <c r="A18276">
        <f>TEST_DATA!A18276</f>
        <v/>
      </c>
      <c r="B18276">
        <f>TEST_DATA!B18276</f>
        <v/>
      </c>
      <c r="C18276">
        <f>TEST_DATA!C18276</f>
        <v/>
      </c>
      <c r="D18276">
        <f>TEST_DATA!D18276</f>
        <v/>
      </c>
      <c r="E18276">
        <f>TEST_DATA!E18276</f>
        <v/>
      </c>
    </row>
    <row r="18277">
      <c r="A18277">
        <f>TEST_DATA!A18277</f>
        <v/>
      </c>
      <c r="B18277">
        <f>TEST_DATA!B18277</f>
        <v/>
      </c>
      <c r="C18277">
        <f>TEST_DATA!C18277</f>
        <v/>
      </c>
      <c r="D18277">
        <f>TEST_DATA!D18277</f>
        <v/>
      </c>
      <c r="E18277">
        <f>TEST_DATA!E18277</f>
        <v/>
      </c>
    </row>
    <row r="18278">
      <c r="A18278">
        <f>TEST_DATA!A18278</f>
        <v/>
      </c>
      <c r="B18278">
        <f>TEST_DATA!B18278</f>
        <v/>
      </c>
      <c r="C18278">
        <f>TEST_DATA!C18278</f>
        <v/>
      </c>
      <c r="D18278">
        <f>TEST_DATA!D18278</f>
        <v/>
      </c>
      <c r="E18278">
        <f>TEST_DATA!E18278</f>
        <v/>
      </c>
    </row>
    <row r="18279">
      <c r="A18279">
        <f>TEST_DATA!A18279</f>
        <v/>
      </c>
      <c r="B18279">
        <f>TEST_DATA!B18279</f>
        <v/>
      </c>
      <c r="C18279">
        <f>TEST_DATA!C18279</f>
        <v/>
      </c>
      <c r="D18279">
        <f>TEST_DATA!D18279</f>
        <v/>
      </c>
      <c r="E18279">
        <f>TEST_DATA!E18279</f>
        <v/>
      </c>
    </row>
    <row r="18280">
      <c r="A18280">
        <f>TEST_DATA!A18280</f>
        <v/>
      </c>
      <c r="B18280">
        <f>TEST_DATA!B18280</f>
        <v/>
      </c>
      <c r="C18280">
        <f>TEST_DATA!C18280</f>
        <v/>
      </c>
      <c r="D18280">
        <f>TEST_DATA!D18280</f>
        <v/>
      </c>
      <c r="E18280">
        <f>TEST_DATA!E18280</f>
        <v/>
      </c>
    </row>
    <row r="18281">
      <c r="A18281">
        <f>TEST_DATA!A18281</f>
        <v/>
      </c>
      <c r="B18281">
        <f>TEST_DATA!B18281</f>
        <v/>
      </c>
      <c r="C18281">
        <f>TEST_DATA!C18281</f>
        <v/>
      </c>
      <c r="D18281">
        <f>TEST_DATA!D18281</f>
        <v/>
      </c>
      <c r="E18281">
        <f>TEST_DATA!E18281</f>
        <v/>
      </c>
    </row>
    <row r="18282">
      <c r="A18282">
        <f>TEST_DATA!A18282</f>
        <v/>
      </c>
      <c r="B18282">
        <f>TEST_DATA!B18282</f>
        <v/>
      </c>
      <c r="C18282">
        <f>TEST_DATA!C18282</f>
        <v/>
      </c>
      <c r="D18282">
        <f>TEST_DATA!D18282</f>
        <v/>
      </c>
      <c r="E18282">
        <f>TEST_DATA!E18282</f>
        <v/>
      </c>
    </row>
    <row r="18283">
      <c r="A18283">
        <f>TEST_DATA!A18283</f>
        <v/>
      </c>
      <c r="B18283">
        <f>TEST_DATA!B18283</f>
        <v/>
      </c>
      <c r="C18283">
        <f>TEST_DATA!C18283</f>
        <v/>
      </c>
      <c r="D18283">
        <f>TEST_DATA!D18283</f>
        <v/>
      </c>
      <c r="E18283">
        <f>TEST_DATA!E18283</f>
        <v/>
      </c>
    </row>
    <row r="18284">
      <c r="A18284">
        <f>TEST_DATA!A18284</f>
        <v/>
      </c>
      <c r="B18284">
        <f>TEST_DATA!B18284</f>
        <v/>
      </c>
      <c r="C18284">
        <f>TEST_DATA!C18284</f>
        <v/>
      </c>
      <c r="D18284">
        <f>TEST_DATA!D18284</f>
        <v/>
      </c>
      <c r="E18284">
        <f>TEST_DATA!E18284</f>
        <v/>
      </c>
    </row>
    <row r="18285">
      <c r="A18285">
        <f>TEST_DATA!A18285</f>
        <v/>
      </c>
      <c r="B18285">
        <f>TEST_DATA!B18285</f>
        <v/>
      </c>
      <c r="C18285">
        <f>TEST_DATA!C18285</f>
        <v/>
      </c>
      <c r="D18285">
        <f>TEST_DATA!D18285</f>
        <v/>
      </c>
      <c r="E18285">
        <f>TEST_DATA!E18285</f>
        <v/>
      </c>
    </row>
    <row r="18286">
      <c r="A18286">
        <f>TEST_DATA!A18286</f>
        <v/>
      </c>
      <c r="B18286">
        <f>TEST_DATA!B18286</f>
        <v/>
      </c>
      <c r="C18286">
        <f>TEST_DATA!C18286</f>
        <v/>
      </c>
      <c r="D18286">
        <f>TEST_DATA!D18286</f>
        <v/>
      </c>
      <c r="E18286">
        <f>TEST_DATA!E18286</f>
        <v/>
      </c>
    </row>
    <row r="18287">
      <c r="A18287">
        <f>TEST_DATA!A18287</f>
        <v/>
      </c>
      <c r="B18287">
        <f>TEST_DATA!B18287</f>
        <v/>
      </c>
      <c r="C18287">
        <f>TEST_DATA!C18287</f>
        <v/>
      </c>
      <c r="D18287">
        <f>TEST_DATA!D18287</f>
        <v/>
      </c>
      <c r="E18287">
        <f>TEST_DATA!E18287</f>
        <v/>
      </c>
    </row>
    <row r="18288">
      <c r="A18288">
        <f>TEST_DATA!A18288</f>
        <v/>
      </c>
      <c r="B18288">
        <f>TEST_DATA!B18288</f>
        <v/>
      </c>
      <c r="C18288">
        <f>TEST_DATA!C18288</f>
        <v/>
      </c>
      <c r="D18288">
        <f>TEST_DATA!D18288</f>
        <v/>
      </c>
      <c r="E18288">
        <f>TEST_DATA!E18288</f>
        <v/>
      </c>
    </row>
    <row r="18289">
      <c r="A18289">
        <f>TEST_DATA!A18289</f>
        <v/>
      </c>
      <c r="B18289">
        <f>TEST_DATA!B18289</f>
        <v/>
      </c>
      <c r="C18289">
        <f>TEST_DATA!C18289</f>
        <v/>
      </c>
      <c r="D18289">
        <f>TEST_DATA!D18289</f>
        <v/>
      </c>
      <c r="E18289">
        <f>TEST_DATA!E18289</f>
        <v/>
      </c>
    </row>
    <row r="18290">
      <c r="A18290">
        <f>TEST_DATA!A18290</f>
        <v/>
      </c>
      <c r="B18290">
        <f>TEST_DATA!B18290</f>
        <v/>
      </c>
      <c r="C18290">
        <f>TEST_DATA!C18290</f>
        <v/>
      </c>
      <c r="D18290">
        <f>TEST_DATA!D18290</f>
        <v/>
      </c>
      <c r="E18290">
        <f>TEST_DATA!E18290</f>
        <v/>
      </c>
    </row>
    <row r="18291">
      <c r="A18291">
        <f>TEST_DATA!A18291</f>
        <v/>
      </c>
      <c r="B18291">
        <f>TEST_DATA!B18291</f>
        <v/>
      </c>
      <c r="C18291">
        <f>TEST_DATA!C18291</f>
        <v/>
      </c>
      <c r="D18291">
        <f>TEST_DATA!D18291</f>
        <v/>
      </c>
      <c r="E18291">
        <f>TEST_DATA!E18291</f>
        <v/>
      </c>
    </row>
    <row r="18292">
      <c r="A18292">
        <f>TEST_DATA!A18292</f>
        <v/>
      </c>
      <c r="B18292">
        <f>TEST_DATA!B18292</f>
        <v/>
      </c>
      <c r="C18292">
        <f>TEST_DATA!C18292</f>
        <v/>
      </c>
      <c r="D18292">
        <f>TEST_DATA!D18292</f>
        <v/>
      </c>
      <c r="E18292">
        <f>TEST_DATA!E18292</f>
        <v/>
      </c>
    </row>
    <row r="18293">
      <c r="A18293">
        <f>TEST_DATA!A18293</f>
        <v/>
      </c>
      <c r="B18293">
        <f>TEST_DATA!B18293</f>
        <v/>
      </c>
      <c r="C18293">
        <f>TEST_DATA!C18293</f>
        <v/>
      </c>
      <c r="D18293">
        <f>TEST_DATA!D18293</f>
        <v/>
      </c>
      <c r="E18293">
        <f>TEST_DATA!E18293</f>
        <v/>
      </c>
    </row>
    <row r="18294">
      <c r="A18294">
        <f>TEST_DATA!A18294</f>
        <v/>
      </c>
      <c r="B18294">
        <f>TEST_DATA!B18294</f>
        <v/>
      </c>
      <c r="C18294">
        <f>TEST_DATA!C18294</f>
        <v/>
      </c>
      <c r="D18294">
        <f>TEST_DATA!D18294</f>
        <v/>
      </c>
      <c r="E18294">
        <f>TEST_DATA!E18294</f>
        <v/>
      </c>
    </row>
    <row r="18295">
      <c r="A18295">
        <f>TEST_DATA!A18295</f>
        <v/>
      </c>
      <c r="B18295">
        <f>TEST_DATA!B18295</f>
        <v/>
      </c>
      <c r="C18295">
        <f>TEST_DATA!C18295</f>
        <v/>
      </c>
      <c r="D18295">
        <f>TEST_DATA!D18295</f>
        <v/>
      </c>
      <c r="E18295">
        <f>TEST_DATA!E18295</f>
        <v/>
      </c>
    </row>
    <row r="18296">
      <c r="A18296">
        <f>TEST_DATA!A18296</f>
        <v/>
      </c>
      <c r="B18296">
        <f>TEST_DATA!B18296</f>
        <v/>
      </c>
      <c r="C18296">
        <f>TEST_DATA!C18296</f>
        <v/>
      </c>
      <c r="D18296">
        <f>TEST_DATA!D18296</f>
        <v/>
      </c>
      <c r="E18296">
        <f>TEST_DATA!E18296</f>
        <v/>
      </c>
    </row>
    <row r="18297">
      <c r="A18297">
        <f>TEST_DATA!A18297</f>
        <v/>
      </c>
      <c r="B18297">
        <f>TEST_DATA!B18297</f>
        <v/>
      </c>
      <c r="C18297">
        <f>TEST_DATA!C18297</f>
        <v/>
      </c>
      <c r="D18297">
        <f>TEST_DATA!D18297</f>
        <v/>
      </c>
      <c r="E18297">
        <f>TEST_DATA!E18297</f>
        <v/>
      </c>
    </row>
    <row r="18298">
      <c r="A18298">
        <f>TEST_DATA!A18298</f>
        <v/>
      </c>
      <c r="B18298">
        <f>TEST_DATA!B18298</f>
        <v/>
      </c>
      <c r="C18298">
        <f>TEST_DATA!C18298</f>
        <v/>
      </c>
      <c r="D18298">
        <f>TEST_DATA!D18298</f>
        <v/>
      </c>
      <c r="E18298">
        <f>TEST_DATA!E18298</f>
        <v/>
      </c>
    </row>
    <row r="18299">
      <c r="A18299">
        <f>TEST_DATA!A18299</f>
        <v/>
      </c>
      <c r="B18299">
        <f>TEST_DATA!B18299</f>
        <v/>
      </c>
      <c r="C18299">
        <f>TEST_DATA!C18299</f>
        <v/>
      </c>
      <c r="D18299">
        <f>TEST_DATA!D18299</f>
        <v/>
      </c>
      <c r="E18299">
        <f>TEST_DATA!E18299</f>
        <v/>
      </c>
    </row>
    <row r="18300">
      <c r="A18300">
        <f>TEST_DATA!A18300</f>
        <v/>
      </c>
      <c r="B18300">
        <f>TEST_DATA!B18300</f>
        <v/>
      </c>
      <c r="C18300">
        <f>TEST_DATA!C18300</f>
        <v/>
      </c>
      <c r="D18300">
        <f>TEST_DATA!D18300</f>
        <v/>
      </c>
      <c r="E18300">
        <f>TEST_DATA!E18300</f>
        <v/>
      </c>
    </row>
    <row r="18301">
      <c r="A18301">
        <f>TEST_DATA!A18301</f>
        <v/>
      </c>
      <c r="B18301">
        <f>TEST_DATA!B18301</f>
        <v/>
      </c>
      <c r="C18301">
        <f>TEST_DATA!C18301</f>
        <v/>
      </c>
      <c r="D18301">
        <f>TEST_DATA!D18301</f>
        <v/>
      </c>
      <c r="E18301">
        <f>TEST_DATA!E18301</f>
        <v/>
      </c>
    </row>
    <row r="18302">
      <c r="A18302">
        <f>TEST_DATA!A18302</f>
        <v/>
      </c>
      <c r="B18302">
        <f>TEST_DATA!B18302</f>
        <v/>
      </c>
      <c r="C18302">
        <f>TEST_DATA!C18302</f>
        <v/>
      </c>
      <c r="D18302">
        <f>TEST_DATA!D18302</f>
        <v/>
      </c>
      <c r="E18302">
        <f>TEST_DATA!E18302</f>
        <v/>
      </c>
    </row>
    <row r="18303">
      <c r="A18303">
        <f>TEST_DATA!A18303</f>
        <v/>
      </c>
      <c r="B18303">
        <f>TEST_DATA!B18303</f>
        <v/>
      </c>
      <c r="C18303">
        <f>TEST_DATA!C18303</f>
        <v/>
      </c>
      <c r="D18303">
        <f>TEST_DATA!D18303</f>
        <v/>
      </c>
      <c r="E18303">
        <f>TEST_DATA!E18303</f>
        <v/>
      </c>
    </row>
    <row r="18304">
      <c r="A18304">
        <f>TEST_DATA!A18304</f>
        <v/>
      </c>
      <c r="B18304">
        <f>TEST_DATA!B18304</f>
        <v/>
      </c>
      <c r="C18304">
        <f>TEST_DATA!C18304</f>
        <v/>
      </c>
      <c r="D18304">
        <f>TEST_DATA!D18304</f>
        <v/>
      </c>
      <c r="E18304">
        <f>TEST_DATA!E18304</f>
        <v/>
      </c>
    </row>
    <row r="18305">
      <c r="A18305">
        <f>TEST_DATA!A18305</f>
        <v/>
      </c>
      <c r="B18305">
        <f>TEST_DATA!B18305</f>
        <v/>
      </c>
      <c r="C18305">
        <f>TEST_DATA!C18305</f>
        <v/>
      </c>
      <c r="D18305">
        <f>TEST_DATA!D18305</f>
        <v/>
      </c>
      <c r="E18305">
        <f>TEST_DATA!E18305</f>
        <v/>
      </c>
    </row>
    <row r="18306">
      <c r="A18306">
        <f>TEST_DATA!A18306</f>
        <v/>
      </c>
      <c r="B18306">
        <f>TEST_DATA!B18306</f>
        <v/>
      </c>
      <c r="C18306">
        <f>TEST_DATA!C18306</f>
        <v/>
      </c>
      <c r="D18306">
        <f>TEST_DATA!D18306</f>
        <v/>
      </c>
      <c r="E18306">
        <f>TEST_DATA!E18306</f>
        <v/>
      </c>
    </row>
    <row r="18307">
      <c r="A18307">
        <f>TEST_DATA!A18307</f>
        <v/>
      </c>
      <c r="B18307">
        <f>TEST_DATA!B18307</f>
        <v/>
      </c>
      <c r="C18307">
        <f>TEST_DATA!C18307</f>
        <v/>
      </c>
      <c r="D18307">
        <f>TEST_DATA!D18307</f>
        <v/>
      </c>
      <c r="E18307">
        <f>TEST_DATA!E18307</f>
        <v/>
      </c>
    </row>
    <row r="18308">
      <c r="A18308">
        <f>TEST_DATA!A18308</f>
        <v/>
      </c>
      <c r="B18308">
        <f>TEST_DATA!B18308</f>
        <v/>
      </c>
      <c r="C18308">
        <f>TEST_DATA!C18308</f>
        <v/>
      </c>
      <c r="D18308">
        <f>TEST_DATA!D18308</f>
        <v/>
      </c>
      <c r="E18308">
        <f>TEST_DATA!E18308</f>
        <v/>
      </c>
    </row>
    <row r="18309">
      <c r="A18309">
        <f>TEST_DATA!A18309</f>
        <v/>
      </c>
      <c r="B18309">
        <f>TEST_DATA!B18309</f>
        <v/>
      </c>
      <c r="C18309">
        <f>TEST_DATA!C18309</f>
        <v/>
      </c>
      <c r="D18309">
        <f>TEST_DATA!D18309</f>
        <v/>
      </c>
      <c r="E18309">
        <f>TEST_DATA!E18309</f>
        <v/>
      </c>
    </row>
    <row r="18310">
      <c r="A18310">
        <f>TEST_DATA!A18310</f>
        <v/>
      </c>
      <c r="B18310">
        <f>TEST_DATA!B18310</f>
        <v/>
      </c>
      <c r="C18310">
        <f>TEST_DATA!C18310</f>
        <v/>
      </c>
      <c r="D18310">
        <f>TEST_DATA!D18310</f>
        <v/>
      </c>
      <c r="E18310">
        <f>TEST_DATA!E18310</f>
        <v/>
      </c>
    </row>
    <row r="18311">
      <c r="A18311">
        <f>TEST_DATA!A18311</f>
        <v/>
      </c>
      <c r="B18311">
        <f>TEST_DATA!B18311</f>
        <v/>
      </c>
      <c r="C18311">
        <f>TEST_DATA!C18311</f>
        <v/>
      </c>
      <c r="D18311">
        <f>TEST_DATA!D18311</f>
        <v/>
      </c>
      <c r="E18311">
        <f>TEST_DATA!E18311</f>
        <v/>
      </c>
    </row>
    <row r="18312">
      <c r="A18312">
        <f>TEST_DATA!A18312</f>
        <v/>
      </c>
      <c r="B18312">
        <f>TEST_DATA!B18312</f>
        <v/>
      </c>
      <c r="C18312">
        <f>TEST_DATA!C18312</f>
        <v/>
      </c>
      <c r="D18312">
        <f>TEST_DATA!D18312</f>
        <v/>
      </c>
      <c r="E18312">
        <f>TEST_DATA!E18312</f>
        <v/>
      </c>
    </row>
    <row r="18313">
      <c r="A18313">
        <f>TEST_DATA!A18313</f>
        <v/>
      </c>
      <c r="B18313">
        <f>TEST_DATA!B18313</f>
        <v/>
      </c>
      <c r="C18313">
        <f>TEST_DATA!C18313</f>
        <v/>
      </c>
      <c r="D18313">
        <f>TEST_DATA!D18313</f>
        <v/>
      </c>
      <c r="E18313">
        <f>TEST_DATA!E18313</f>
        <v/>
      </c>
    </row>
    <row r="18314">
      <c r="A18314">
        <f>TEST_DATA!A18314</f>
        <v/>
      </c>
      <c r="B18314">
        <f>TEST_DATA!B18314</f>
        <v/>
      </c>
      <c r="C18314">
        <f>TEST_DATA!C18314</f>
        <v/>
      </c>
      <c r="D18314">
        <f>TEST_DATA!D18314</f>
        <v/>
      </c>
      <c r="E18314">
        <f>TEST_DATA!E18314</f>
        <v/>
      </c>
    </row>
    <row r="18315">
      <c r="A18315">
        <f>TEST_DATA!A18315</f>
        <v/>
      </c>
      <c r="B18315">
        <f>TEST_DATA!B18315</f>
        <v/>
      </c>
      <c r="C18315">
        <f>TEST_DATA!C18315</f>
        <v/>
      </c>
      <c r="D18315">
        <f>TEST_DATA!D18315</f>
        <v/>
      </c>
      <c r="E18315">
        <f>TEST_DATA!E18315</f>
        <v/>
      </c>
    </row>
    <row r="18316">
      <c r="A18316">
        <f>TEST_DATA!A18316</f>
        <v/>
      </c>
      <c r="B18316">
        <f>TEST_DATA!B18316</f>
        <v/>
      </c>
      <c r="C18316">
        <f>TEST_DATA!C18316</f>
        <v/>
      </c>
      <c r="D18316">
        <f>TEST_DATA!D18316</f>
        <v/>
      </c>
      <c r="E18316">
        <f>TEST_DATA!E18316</f>
        <v/>
      </c>
    </row>
    <row r="18317">
      <c r="A18317">
        <f>TEST_DATA!A18317</f>
        <v/>
      </c>
      <c r="B18317">
        <f>TEST_DATA!B18317</f>
        <v/>
      </c>
      <c r="C18317">
        <f>TEST_DATA!C18317</f>
        <v/>
      </c>
      <c r="D18317">
        <f>TEST_DATA!D18317</f>
        <v/>
      </c>
      <c r="E18317">
        <f>TEST_DATA!E18317</f>
        <v/>
      </c>
    </row>
    <row r="18318">
      <c r="A18318">
        <f>TEST_DATA!A18318</f>
        <v/>
      </c>
      <c r="B18318">
        <f>TEST_DATA!B18318</f>
        <v/>
      </c>
      <c r="C18318">
        <f>TEST_DATA!C18318</f>
        <v/>
      </c>
      <c r="D18318">
        <f>TEST_DATA!D18318</f>
        <v/>
      </c>
      <c r="E18318">
        <f>TEST_DATA!E18318</f>
        <v/>
      </c>
    </row>
    <row r="18319">
      <c r="A18319">
        <f>TEST_DATA!A18319</f>
        <v/>
      </c>
      <c r="B18319">
        <f>TEST_DATA!B18319</f>
        <v/>
      </c>
      <c r="C18319">
        <f>TEST_DATA!C18319</f>
        <v/>
      </c>
      <c r="D18319">
        <f>TEST_DATA!D18319</f>
        <v/>
      </c>
      <c r="E18319">
        <f>TEST_DATA!E18319</f>
        <v/>
      </c>
    </row>
    <row r="18320">
      <c r="A18320">
        <f>TEST_DATA!A18320</f>
        <v/>
      </c>
      <c r="B18320">
        <f>TEST_DATA!B18320</f>
        <v/>
      </c>
      <c r="C18320">
        <f>TEST_DATA!C18320</f>
        <v/>
      </c>
      <c r="D18320">
        <f>TEST_DATA!D18320</f>
        <v/>
      </c>
      <c r="E18320">
        <f>TEST_DATA!E18320</f>
        <v/>
      </c>
    </row>
    <row r="18321">
      <c r="A18321">
        <f>TEST_DATA!A18321</f>
        <v/>
      </c>
      <c r="B18321">
        <f>TEST_DATA!B18321</f>
        <v/>
      </c>
      <c r="C18321">
        <f>TEST_DATA!C18321</f>
        <v/>
      </c>
      <c r="D18321">
        <f>TEST_DATA!D18321</f>
        <v/>
      </c>
      <c r="E18321">
        <f>TEST_DATA!E18321</f>
        <v/>
      </c>
    </row>
    <row r="18322">
      <c r="A18322">
        <f>TEST_DATA!A18322</f>
        <v/>
      </c>
      <c r="B18322">
        <f>TEST_DATA!B18322</f>
        <v/>
      </c>
      <c r="C18322">
        <f>TEST_DATA!C18322</f>
        <v/>
      </c>
      <c r="D18322">
        <f>TEST_DATA!D18322</f>
        <v/>
      </c>
      <c r="E18322">
        <f>TEST_DATA!E18322</f>
        <v/>
      </c>
    </row>
    <row r="18323">
      <c r="A18323">
        <f>TEST_DATA!A18323</f>
        <v/>
      </c>
      <c r="B18323">
        <f>TEST_DATA!B18323</f>
        <v/>
      </c>
      <c r="C18323">
        <f>TEST_DATA!C18323</f>
        <v/>
      </c>
      <c r="D18323">
        <f>TEST_DATA!D18323</f>
        <v/>
      </c>
      <c r="E18323">
        <f>TEST_DATA!E18323</f>
        <v/>
      </c>
    </row>
    <row r="18324">
      <c r="A18324">
        <f>TEST_DATA!A18324</f>
        <v/>
      </c>
      <c r="B18324">
        <f>TEST_DATA!B18324</f>
        <v/>
      </c>
      <c r="C18324">
        <f>TEST_DATA!C18324</f>
        <v/>
      </c>
      <c r="D18324">
        <f>TEST_DATA!D18324</f>
        <v/>
      </c>
      <c r="E18324">
        <f>TEST_DATA!E18324</f>
        <v/>
      </c>
    </row>
    <row r="18325">
      <c r="A18325">
        <f>TEST_DATA!A18325</f>
        <v/>
      </c>
      <c r="B18325">
        <f>TEST_DATA!B18325</f>
        <v/>
      </c>
      <c r="C18325">
        <f>TEST_DATA!C18325</f>
        <v/>
      </c>
      <c r="D18325">
        <f>TEST_DATA!D18325</f>
        <v/>
      </c>
      <c r="E18325">
        <f>TEST_DATA!E18325</f>
        <v/>
      </c>
    </row>
    <row r="18326">
      <c r="A18326">
        <f>TEST_DATA!A18326</f>
        <v/>
      </c>
      <c r="B18326">
        <f>TEST_DATA!B18326</f>
        <v/>
      </c>
      <c r="C18326">
        <f>TEST_DATA!C18326</f>
        <v/>
      </c>
      <c r="D18326">
        <f>TEST_DATA!D18326</f>
        <v/>
      </c>
      <c r="E18326">
        <f>TEST_DATA!E18326</f>
        <v/>
      </c>
    </row>
    <row r="18327">
      <c r="A18327">
        <f>TEST_DATA!A18327</f>
        <v/>
      </c>
      <c r="B18327">
        <f>TEST_DATA!B18327</f>
        <v/>
      </c>
      <c r="C18327">
        <f>TEST_DATA!C18327</f>
        <v/>
      </c>
      <c r="D18327">
        <f>TEST_DATA!D18327</f>
        <v/>
      </c>
      <c r="E18327">
        <f>TEST_DATA!E18327</f>
        <v/>
      </c>
    </row>
    <row r="18328">
      <c r="A18328">
        <f>TEST_DATA!A18328</f>
        <v/>
      </c>
      <c r="B18328">
        <f>TEST_DATA!B18328</f>
        <v/>
      </c>
      <c r="C18328">
        <f>TEST_DATA!C18328</f>
        <v/>
      </c>
      <c r="D18328">
        <f>TEST_DATA!D18328</f>
        <v/>
      </c>
      <c r="E18328">
        <f>TEST_DATA!E18328</f>
        <v/>
      </c>
    </row>
    <row r="18329">
      <c r="A18329">
        <f>TEST_DATA!A18329</f>
        <v/>
      </c>
      <c r="B18329">
        <f>TEST_DATA!B18329</f>
        <v/>
      </c>
      <c r="C18329">
        <f>TEST_DATA!C18329</f>
        <v/>
      </c>
      <c r="D18329">
        <f>TEST_DATA!D18329</f>
        <v/>
      </c>
      <c r="E18329">
        <f>TEST_DATA!E18329</f>
        <v/>
      </c>
    </row>
    <row r="18330">
      <c r="A18330">
        <f>TEST_DATA!A18330</f>
        <v/>
      </c>
      <c r="B18330">
        <f>TEST_DATA!B18330</f>
        <v/>
      </c>
      <c r="C18330">
        <f>TEST_DATA!C18330</f>
        <v/>
      </c>
      <c r="D18330">
        <f>TEST_DATA!D18330</f>
        <v/>
      </c>
      <c r="E18330">
        <f>TEST_DATA!E18330</f>
        <v/>
      </c>
    </row>
    <row r="18331">
      <c r="A18331">
        <f>TEST_DATA!A18331</f>
        <v/>
      </c>
      <c r="B18331">
        <f>TEST_DATA!B18331</f>
        <v/>
      </c>
      <c r="C18331">
        <f>TEST_DATA!C18331</f>
        <v/>
      </c>
      <c r="D18331">
        <f>TEST_DATA!D18331</f>
        <v/>
      </c>
      <c r="E18331">
        <f>TEST_DATA!E18331</f>
        <v/>
      </c>
    </row>
    <row r="18332">
      <c r="A18332">
        <f>TEST_DATA!A18332</f>
        <v/>
      </c>
      <c r="B18332">
        <f>TEST_DATA!B18332</f>
        <v/>
      </c>
      <c r="C18332">
        <f>TEST_DATA!C18332</f>
        <v/>
      </c>
      <c r="D18332">
        <f>TEST_DATA!D18332</f>
        <v/>
      </c>
      <c r="E18332">
        <f>TEST_DATA!E18332</f>
        <v/>
      </c>
    </row>
    <row r="18333">
      <c r="A18333">
        <f>TEST_DATA!A18333</f>
        <v/>
      </c>
      <c r="B18333">
        <f>TEST_DATA!B18333</f>
        <v/>
      </c>
      <c r="C18333">
        <f>TEST_DATA!C18333</f>
        <v/>
      </c>
      <c r="D18333">
        <f>TEST_DATA!D18333</f>
        <v/>
      </c>
      <c r="E18333">
        <f>TEST_DATA!E18333</f>
        <v/>
      </c>
    </row>
    <row r="18334">
      <c r="A18334">
        <f>TEST_DATA!A18334</f>
        <v/>
      </c>
      <c r="B18334">
        <f>TEST_DATA!B18334</f>
        <v/>
      </c>
      <c r="C18334">
        <f>TEST_DATA!C18334</f>
        <v/>
      </c>
      <c r="D18334">
        <f>TEST_DATA!D18334</f>
        <v/>
      </c>
      <c r="E18334">
        <f>TEST_DATA!E18334</f>
        <v/>
      </c>
    </row>
    <row r="18335">
      <c r="A18335">
        <f>TEST_DATA!A18335</f>
        <v/>
      </c>
      <c r="B18335">
        <f>TEST_DATA!B18335</f>
        <v/>
      </c>
      <c r="C18335">
        <f>TEST_DATA!C18335</f>
        <v/>
      </c>
      <c r="D18335">
        <f>TEST_DATA!D18335</f>
        <v/>
      </c>
      <c r="E18335">
        <f>TEST_DATA!E18335</f>
        <v/>
      </c>
    </row>
    <row r="18336">
      <c r="A18336">
        <f>TEST_DATA!A18336</f>
        <v/>
      </c>
      <c r="B18336">
        <f>TEST_DATA!B18336</f>
        <v/>
      </c>
      <c r="C18336">
        <f>TEST_DATA!C18336</f>
        <v/>
      </c>
      <c r="D18336">
        <f>TEST_DATA!D18336</f>
        <v/>
      </c>
      <c r="E18336">
        <f>TEST_DATA!E18336</f>
        <v/>
      </c>
    </row>
    <row r="18337">
      <c r="A18337">
        <f>TEST_DATA!A18337</f>
        <v/>
      </c>
      <c r="B18337">
        <f>TEST_DATA!B18337</f>
        <v/>
      </c>
      <c r="C18337">
        <f>TEST_DATA!C18337</f>
        <v/>
      </c>
      <c r="D18337">
        <f>TEST_DATA!D18337</f>
        <v/>
      </c>
      <c r="E18337">
        <f>TEST_DATA!E18337</f>
        <v/>
      </c>
    </row>
    <row r="18338">
      <c r="A18338">
        <f>TEST_DATA!A18338</f>
        <v/>
      </c>
      <c r="B18338">
        <f>TEST_DATA!B18338</f>
        <v/>
      </c>
      <c r="C18338">
        <f>TEST_DATA!C18338</f>
        <v/>
      </c>
      <c r="D18338">
        <f>TEST_DATA!D18338</f>
        <v/>
      </c>
      <c r="E18338">
        <f>TEST_DATA!E18338</f>
        <v/>
      </c>
    </row>
    <row r="18339">
      <c r="A18339">
        <f>TEST_DATA!A18339</f>
        <v/>
      </c>
      <c r="B18339">
        <f>TEST_DATA!B18339</f>
        <v/>
      </c>
      <c r="C18339">
        <f>TEST_DATA!C18339</f>
        <v/>
      </c>
      <c r="D18339">
        <f>TEST_DATA!D18339</f>
        <v/>
      </c>
      <c r="E18339">
        <f>TEST_DATA!E18339</f>
        <v/>
      </c>
    </row>
    <row r="18340">
      <c r="A18340">
        <f>TEST_DATA!A18340</f>
        <v/>
      </c>
      <c r="B18340">
        <f>TEST_DATA!B18340</f>
        <v/>
      </c>
      <c r="C18340">
        <f>TEST_DATA!C18340</f>
        <v/>
      </c>
      <c r="D18340">
        <f>TEST_DATA!D18340</f>
        <v/>
      </c>
      <c r="E18340">
        <f>TEST_DATA!E18340</f>
        <v/>
      </c>
    </row>
    <row r="18341">
      <c r="A18341">
        <f>TEST_DATA!A18341</f>
        <v/>
      </c>
      <c r="B18341">
        <f>TEST_DATA!B18341</f>
        <v/>
      </c>
      <c r="C18341">
        <f>TEST_DATA!C18341</f>
        <v/>
      </c>
      <c r="D18341">
        <f>TEST_DATA!D18341</f>
        <v/>
      </c>
      <c r="E18341">
        <f>TEST_DATA!E18341</f>
        <v/>
      </c>
    </row>
    <row r="18342">
      <c r="A18342">
        <f>TEST_DATA!A18342</f>
        <v/>
      </c>
      <c r="B18342">
        <f>TEST_DATA!B18342</f>
        <v/>
      </c>
      <c r="C18342">
        <f>TEST_DATA!C18342</f>
        <v/>
      </c>
      <c r="D18342">
        <f>TEST_DATA!D18342</f>
        <v/>
      </c>
      <c r="E18342">
        <f>TEST_DATA!E18342</f>
        <v/>
      </c>
    </row>
    <row r="18343">
      <c r="A18343">
        <f>TEST_DATA!A18343</f>
        <v/>
      </c>
      <c r="B18343">
        <f>TEST_DATA!B18343</f>
        <v/>
      </c>
      <c r="C18343">
        <f>TEST_DATA!C18343</f>
        <v/>
      </c>
      <c r="D18343">
        <f>TEST_DATA!D18343</f>
        <v/>
      </c>
      <c r="E18343">
        <f>TEST_DATA!E18343</f>
        <v/>
      </c>
    </row>
    <row r="18344">
      <c r="A18344">
        <f>TEST_DATA!A18344</f>
        <v/>
      </c>
      <c r="B18344">
        <f>TEST_DATA!B18344</f>
        <v/>
      </c>
      <c r="C18344">
        <f>TEST_DATA!C18344</f>
        <v/>
      </c>
      <c r="D18344">
        <f>TEST_DATA!D18344</f>
        <v/>
      </c>
      <c r="E18344">
        <f>TEST_DATA!E18344</f>
        <v/>
      </c>
    </row>
    <row r="18345">
      <c r="A18345">
        <f>TEST_DATA!A18345</f>
        <v/>
      </c>
      <c r="B18345">
        <f>TEST_DATA!B18345</f>
        <v/>
      </c>
      <c r="C18345">
        <f>TEST_DATA!C18345</f>
        <v/>
      </c>
      <c r="D18345">
        <f>TEST_DATA!D18345</f>
        <v/>
      </c>
      <c r="E18345">
        <f>TEST_DATA!E18345</f>
        <v/>
      </c>
    </row>
    <row r="18346">
      <c r="A18346">
        <f>TEST_DATA!A18346</f>
        <v/>
      </c>
      <c r="B18346">
        <f>TEST_DATA!B18346</f>
        <v/>
      </c>
      <c r="C18346">
        <f>TEST_DATA!C18346</f>
        <v/>
      </c>
      <c r="D18346">
        <f>TEST_DATA!D18346</f>
        <v/>
      </c>
      <c r="E18346">
        <f>TEST_DATA!E18346</f>
        <v/>
      </c>
    </row>
    <row r="18347">
      <c r="A18347">
        <f>TEST_DATA!A18347</f>
        <v/>
      </c>
      <c r="B18347">
        <f>TEST_DATA!B18347</f>
        <v/>
      </c>
      <c r="C18347">
        <f>TEST_DATA!C18347</f>
        <v/>
      </c>
      <c r="D18347">
        <f>TEST_DATA!D18347</f>
        <v/>
      </c>
      <c r="E18347">
        <f>TEST_DATA!E18347</f>
        <v/>
      </c>
    </row>
    <row r="18348">
      <c r="A18348">
        <f>TEST_DATA!A18348</f>
        <v/>
      </c>
      <c r="B18348">
        <f>TEST_DATA!B18348</f>
        <v/>
      </c>
      <c r="C18348">
        <f>TEST_DATA!C18348</f>
        <v/>
      </c>
      <c r="D18348">
        <f>TEST_DATA!D18348</f>
        <v/>
      </c>
      <c r="E18348">
        <f>TEST_DATA!E18348</f>
        <v/>
      </c>
    </row>
    <row r="18349">
      <c r="A18349">
        <f>TEST_DATA!A18349</f>
        <v/>
      </c>
      <c r="B18349">
        <f>TEST_DATA!B18349</f>
        <v/>
      </c>
      <c r="C18349">
        <f>TEST_DATA!C18349</f>
        <v/>
      </c>
      <c r="D18349">
        <f>TEST_DATA!D18349</f>
        <v/>
      </c>
      <c r="E18349">
        <f>TEST_DATA!E18349</f>
        <v/>
      </c>
    </row>
    <row r="18350">
      <c r="A18350">
        <f>TEST_DATA!A18350</f>
        <v/>
      </c>
      <c r="B18350">
        <f>TEST_DATA!B18350</f>
        <v/>
      </c>
      <c r="C18350">
        <f>TEST_DATA!C18350</f>
        <v/>
      </c>
      <c r="D18350">
        <f>TEST_DATA!D18350</f>
        <v/>
      </c>
      <c r="E18350">
        <f>TEST_DATA!E18350</f>
        <v/>
      </c>
    </row>
    <row r="18351">
      <c r="A18351">
        <f>TEST_DATA!A18351</f>
        <v/>
      </c>
      <c r="B18351">
        <f>TEST_DATA!B18351</f>
        <v/>
      </c>
      <c r="C18351">
        <f>TEST_DATA!C18351</f>
        <v/>
      </c>
      <c r="D18351">
        <f>TEST_DATA!D18351</f>
        <v/>
      </c>
      <c r="E18351">
        <f>TEST_DATA!E18351</f>
        <v/>
      </c>
    </row>
    <row r="18352">
      <c r="A18352">
        <f>TEST_DATA!A18352</f>
        <v/>
      </c>
      <c r="B18352">
        <f>TEST_DATA!B18352</f>
        <v/>
      </c>
      <c r="C18352">
        <f>TEST_DATA!C18352</f>
        <v/>
      </c>
      <c r="D18352">
        <f>TEST_DATA!D18352</f>
        <v/>
      </c>
      <c r="E18352">
        <f>TEST_DATA!E18352</f>
        <v/>
      </c>
    </row>
    <row r="18353">
      <c r="A18353">
        <f>TEST_DATA!A18353</f>
        <v/>
      </c>
      <c r="B18353">
        <f>TEST_DATA!B18353</f>
        <v/>
      </c>
      <c r="C18353">
        <f>TEST_DATA!C18353</f>
        <v/>
      </c>
      <c r="D18353">
        <f>TEST_DATA!D18353</f>
        <v/>
      </c>
      <c r="E18353">
        <f>TEST_DATA!E18353</f>
        <v/>
      </c>
    </row>
    <row r="18354">
      <c r="A18354">
        <f>TEST_DATA!A18354</f>
        <v/>
      </c>
      <c r="B18354">
        <f>TEST_DATA!B18354</f>
        <v/>
      </c>
      <c r="C18354">
        <f>TEST_DATA!C18354</f>
        <v/>
      </c>
      <c r="D18354">
        <f>TEST_DATA!D18354</f>
        <v/>
      </c>
      <c r="E18354">
        <f>TEST_DATA!E18354</f>
        <v/>
      </c>
    </row>
    <row r="18355">
      <c r="A18355">
        <f>TEST_DATA!A18355</f>
        <v/>
      </c>
      <c r="B18355">
        <f>TEST_DATA!B18355</f>
        <v/>
      </c>
      <c r="C18355">
        <f>TEST_DATA!C18355</f>
        <v/>
      </c>
      <c r="D18355">
        <f>TEST_DATA!D18355</f>
        <v/>
      </c>
      <c r="E18355">
        <f>TEST_DATA!E18355</f>
        <v/>
      </c>
    </row>
    <row r="18356">
      <c r="A18356">
        <f>TEST_DATA!A18356</f>
        <v/>
      </c>
      <c r="B18356">
        <f>TEST_DATA!B18356</f>
        <v/>
      </c>
      <c r="C18356">
        <f>TEST_DATA!C18356</f>
        <v/>
      </c>
      <c r="D18356">
        <f>TEST_DATA!D18356</f>
        <v/>
      </c>
      <c r="E18356">
        <f>TEST_DATA!E18356</f>
        <v/>
      </c>
    </row>
    <row r="18357">
      <c r="A18357">
        <f>TEST_DATA!A18357</f>
        <v/>
      </c>
      <c r="B18357">
        <f>TEST_DATA!B18357</f>
        <v/>
      </c>
      <c r="C18357">
        <f>TEST_DATA!C18357</f>
        <v/>
      </c>
      <c r="D18357">
        <f>TEST_DATA!D18357</f>
        <v/>
      </c>
      <c r="E18357">
        <f>TEST_DATA!E18357</f>
        <v/>
      </c>
    </row>
    <row r="18358">
      <c r="A18358">
        <f>TEST_DATA!A18358</f>
        <v/>
      </c>
      <c r="B18358">
        <f>TEST_DATA!B18358</f>
        <v/>
      </c>
      <c r="C18358">
        <f>TEST_DATA!C18358</f>
        <v/>
      </c>
      <c r="D18358">
        <f>TEST_DATA!D18358</f>
        <v/>
      </c>
      <c r="E18358">
        <f>TEST_DATA!E18358</f>
        <v/>
      </c>
    </row>
    <row r="18359">
      <c r="A18359">
        <f>TEST_DATA!A18359</f>
        <v/>
      </c>
      <c r="B18359">
        <f>TEST_DATA!B18359</f>
        <v/>
      </c>
      <c r="C18359">
        <f>TEST_DATA!C18359</f>
        <v/>
      </c>
      <c r="D18359">
        <f>TEST_DATA!D18359</f>
        <v/>
      </c>
      <c r="E18359">
        <f>TEST_DATA!E18359</f>
        <v/>
      </c>
    </row>
    <row r="18360">
      <c r="A18360">
        <f>TEST_DATA!A18360</f>
        <v/>
      </c>
      <c r="B18360">
        <f>TEST_DATA!B18360</f>
        <v/>
      </c>
      <c r="C18360">
        <f>TEST_DATA!C18360</f>
        <v/>
      </c>
      <c r="D18360">
        <f>TEST_DATA!D18360</f>
        <v/>
      </c>
      <c r="E18360">
        <f>TEST_DATA!E18360</f>
        <v/>
      </c>
    </row>
    <row r="18361">
      <c r="A18361">
        <f>TEST_DATA!A18361</f>
        <v/>
      </c>
      <c r="B18361">
        <f>TEST_DATA!B18361</f>
        <v/>
      </c>
      <c r="C18361">
        <f>TEST_DATA!C18361</f>
        <v/>
      </c>
      <c r="D18361">
        <f>TEST_DATA!D18361</f>
        <v/>
      </c>
      <c r="E18361">
        <f>TEST_DATA!E18361</f>
        <v/>
      </c>
    </row>
    <row r="18362">
      <c r="A18362">
        <f>TEST_DATA!A18362</f>
        <v/>
      </c>
      <c r="B18362">
        <f>TEST_DATA!B18362</f>
        <v/>
      </c>
      <c r="C18362">
        <f>TEST_DATA!C18362</f>
        <v/>
      </c>
      <c r="D18362">
        <f>TEST_DATA!D18362</f>
        <v/>
      </c>
      <c r="E18362">
        <f>TEST_DATA!E18362</f>
        <v/>
      </c>
    </row>
    <row r="18363">
      <c r="A18363">
        <f>TEST_DATA!A18363</f>
        <v/>
      </c>
      <c r="B18363">
        <f>TEST_DATA!B18363</f>
        <v/>
      </c>
      <c r="C18363">
        <f>TEST_DATA!C18363</f>
        <v/>
      </c>
      <c r="D18363">
        <f>TEST_DATA!D18363</f>
        <v/>
      </c>
      <c r="E18363">
        <f>TEST_DATA!E18363</f>
        <v/>
      </c>
    </row>
    <row r="18364">
      <c r="A18364">
        <f>TEST_DATA!A18364</f>
        <v/>
      </c>
      <c r="B18364">
        <f>TEST_DATA!B18364</f>
        <v/>
      </c>
      <c r="C18364">
        <f>TEST_DATA!C18364</f>
        <v/>
      </c>
      <c r="D18364">
        <f>TEST_DATA!D18364</f>
        <v/>
      </c>
      <c r="E18364">
        <f>TEST_DATA!E18364</f>
        <v/>
      </c>
    </row>
    <row r="18365">
      <c r="A18365">
        <f>TEST_DATA!A18365</f>
        <v/>
      </c>
      <c r="B18365">
        <f>TEST_DATA!B18365</f>
        <v/>
      </c>
      <c r="C18365">
        <f>TEST_DATA!C18365</f>
        <v/>
      </c>
      <c r="D18365">
        <f>TEST_DATA!D18365</f>
        <v/>
      </c>
      <c r="E18365">
        <f>TEST_DATA!E18365</f>
        <v/>
      </c>
    </row>
    <row r="18366">
      <c r="A18366">
        <f>TEST_DATA!A18366</f>
        <v/>
      </c>
      <c r="B18366">
        <f>TEST_DATA!B18366</f>
        <v/>
      </c>
      <c r="C18366">
        <f>TEST_DATA!C18366</f>
        <v/>
      </c>
      <c r="D18366">
        <f>TEST_DATA!D18366</f>
        <v/>
      </c>
      <c r="E18366">
        <f>TEST_DATA!E18366</f>
        <v/>
      </c>
    </row>
    <row r="18367">
      <c r="A18367">
        <f>TEST_DATA!A18367</f>
        <v/>
      </c>
      <c r="B18367">
        <f>TEST_DATA!B18367</f>
        <v/>
      </c>
      <c r="C18367">
        <f>TEST_DATA!C18367</f>
        <v/>
      </c>
      <c r="D18367">
        <f>TEST_DATA!D18367</f>
        <v/>
      </c>
      <c r="E18367">
        <f>TEST_DATA!E18367</f>
        <v/>
      </c>
    </row>
    <row r="18368">
      <c r="A18368">
        <f>TEST_DATA!A18368</f>
        <v/>
      </c>
      <c r="B18368">
        <f>TEST_DATA!B18368</f>
        <v/>
      </c>
      <c r="C18368">
        <f>TEST_DATA!C18368</f>
        <v/>
      </c>
      <c r="D18368">
        <f>TEST_DATA!D18368</f>
        <v/>
      </c>
      <c r="E18368">
        <f>TEST_DATA!E18368</f>
        <v/>
      </c>
    </row>
    <row r="18369">
      <c r="A18369">
        <f>TEST_DATA!A18369</f>
        <v/>
      </c>
      <c r="B18369">
        <f>TEST_DATA!B18369</f>
        <v/>
      </c>
      <c r="C18369">
        <f>TEST_DATA!C18369</f>
        <v/>
      </c>
      <c r="D18369">
        <f>TEST_DATA!D18369</f>
        <v/>
      </c>
      <c r="E18369">
        <f>TEST_DATA!E18369</f>
        <v/>
      </c>
    </row>
    <row r="18370">
      <c r="A18370">
        <f>TEST_DATA!A18370</f>
        <v/>
      </c>
      <c r="B18370">
        <f>TEST_DATA!B18370</f>
        <v/>
      </c>
      <c r="C18370">
        <f>TEST_DATA!C18370</f>
        <v/>
      </c>
      <c r="D18370">
        <f>TEST_DATA!D18370</f>
        <v/>
      </c>
      <c r="E18370">
        <f>TEST_DATA!E18370</f>
        <v/>
      </c>
    </row>
    <row r="18371">
      <c r="A18371">
        <f>TEST_DATA!A18371</f>
        <v/>
      </c>
      <c r="B18371">
        <f>TEST_DATA!B18371</f>
        <v/>
      </c>
      <c r="C18371">
        <f>TEST_DATA!C18371</f>
        <v/>
      </c>
      <c r="D18371">
        <f>TEST_DATA!D18371</f>
        <v/>
      </c>
      <c r="E18371">
        <f>TEST_DATA!E18371</f>
        <v/>
      </c>
    </row>
    <row r="18372">
      <c r="A18372">
        <f>TEST_DATA!A18372</f>
        <v/>
      </c>
      <c r="B18372">
        <f>TEST_DATA!B18372</f>
        <v/>
      </c>
      <c r="C18372">
        <f>TEST_DATA!C18372</f>
        <v/>
      </c>
      <c r="D18372">
        <f>TEST_DATA!D18372</f>
        <v/>
      </c>
      <c r="E18372">
        <f>TEST_DATA!E18372</f>
        <v/>
      </c>
    </row>
    <row r="18373">
      <c r="A18373">
        <f>TEST_DATA!A18373</f>
        <v/>
      </c>
      <c r="B18373">
        <f>TEST_DATA!B18373</f>
        <v/>
      </c>
      <c r="C18373">
        <f>TEST_DATA!C18373</f>
        <v/>
      </c>
      <c r="D18373">
        <f>TEST_DATA!D18373</f>
        <v/>
      </c>
      <c r="E18373">
        <f>TEST_DATA!E18373</f>
        <v/>
      </c>
    </row>
    <row r="18374">
      <c r="A18374">
        <f>TEST_DATA!A18374</f>
        <v/>
      </c>
      <c r="B18374">
        <f>TEST_DATA!B18374</f>
        <v/>
      </c>
      <c r="C18374">
        <f>TEST_DATA!C18374</f>
        <v/>
      </c>
      <c r="D18374">
        <f>TEST_DATA!D18374</f>
        <v/>
      </c>
      <c r="E18374">
        <f>TEST_DATA!E18374</f>
        <v/>
      </c>
    </row>
    <row r="18375">
      <c r="A18375">
        <f>TEST_DATA!A18375</f>
        <v/>
      </c>
      <c r="B18375">
        <f>TEST_DATA!B18375</f>
        <v/>
      </c>
      <c r="C18375">
        <f>TEST_DATA!C18375</f>
        <v/>
      </c>
      <c r="D18375">
        <f>TEST_DATA!D18375</f>
        <v/>
      </c>
      <c r="E18375">
        <f>TEST_DATA!E18375</f>
        <v/>
      </c>
    </row>
    <row r="18376">
      <c r="A18376">
        <f>TEST_DATA!A18376</f>
        <v/>
      </c>
      <c r="B18376">
        <f>TEST_DATA!B18376</f>
        <v/>
      </c>
      <c r="C18376">
        <f>TEST_DATA!C18376</f>
        <v/>
      </c>
      <c r="D18376">
        <f>TEST_DATA!D18376</f>
        <v/>
      </c>
      <c r="E18376">
        <f>TEST_DATA!E18376</f>
        <v/>
      </c>
    </row>
    <row r="18377">
      <c r="A18377">
        <f>TEST_DATA!A18377</f>
        <v/>
      </c>
      <c r="B18377">
        <f>TEST_DATA!B18377</f>
        <v/>
      </c>
      <c r="C18377">
        <f>TEST_DATA!C18377</f>
        <v/>
      </c>
      <c r="D18377">
        <f>TEST_DATA!D18377</f>
        <v/>
      </c>
      <c r="E18377">
        <f>TEST_DATA!E18377</f>
        <v/>
      </c>
    </row>
    <row r="18378">
      <c r="A18378">
        <f>TEST_DATA!A18378</f>
        <v/>
      </c>
      <c r="B18378">
        <f>TEST_DATA!B18378</f>
        <v/>
      </c>
      <c r="C18378">
        <f>TEST_DATA!C18378</f>
        <v/>
      </c>
      <c r="D18378">
        <f>TEST_DATA!D18378</f>
        <v/>
      </c>
      <c r="E18378">
        <f>TEST_DATA!E18378</f>
        <v/>
      </c>
    </row>
    <row r="18379">
      <c r="A18379">
        <f>TEST_DATA!A18379</f>
        <v/>
      </c>
      <c r="B18379">
        <f>TEST_DATA!B18379</f>
        <v/>
      </c>
      <c r="C18379">
        <f>TEST_DATA!C18379</f>
        <v/>
      </c>
      <c r="D18379">
        <f>TEST_DATA!D18379</f>
        <v/>
      </c>
      <c r="E18379">
        <f>TEST_DATA!E18379</f>
        <v/>
      </c>
    </row>
    <row r="18380">
      <c r="A18380">
        <f>TEST_DATA!A18380</f>
        <v/>
      </c>
      <c r="B18380">
        <f>TEST_DATA!B18380</f>
        <v/>
      </c>
      <c r="C18380">
        <f>TEST_DATA!C18380</f>
        <v/>
      </c>
      <c r="D18380">
        <f>TEST_DATA!D18380</f>
        <v/>
      </c>
      <c r="E18380">
        <f>TEST_DATA!E18380</f>
        <v/>
      </c>
    </row>
    <row r="18381">
      <c r="A18381">
        <f>TEST_DATA!A18381</f>
        <v/>
      </c>
      <c r="B18381">
        <f>TEST_DATA!B18381</f>
        <v/>
      </c>
      <c r="C18381">
        <f>TEST_DATA!C18381</f>
        <v/>
      </c>
      <c r="D18381">
        <f>TEST_DATA!D18381</f>
        <v/>
      </c>
      <c r="E18381">
        <f>TEST_DATA!E18381</f>
        <v/>
      </c>
    </row>
    <row r="18382">
      <c r="A18382">
        <f>TEST_DATA!A18382</f>
        <v/>
      </c>
      <c r="B18382">
        <f>TEST_DATA!B18382</f>
        <v/>
      </c>
      <c r="C18382">
        <f>TEST_DATA!C18382</f>
        <v/>
      </c>
      <c r="D18382">
        <f>TEST_DATA!D18382</f>
        <v/>
      </c>
      <c r="E18382">
        <f>TEST_DATA!E18382</f>
        <v/>
      </c>
    </row>
    <row r="18383">
      <c r="A18383">
        <f>TEST_DATA!A18383</f>
        <v/>
      </c>
      <c r="B18383">
        <f>TEST_DATA!B18383</f>
        <v/>
      </c>
      <c r="C18383">
        <f>TEST_DATA!C18383</f>
        <v/>
      </c>
      <c r="D18383">
        <f>TEST_DATA!D18383</f>
        <v/>
      </c>
      <c r="E18383">
        <f>TEST_DATA!E18383</f>
        <v/>
      </c>
    </row>
    <row r="18384">
      <c r="A18384">
        <f>TEST_DATA!A18384</f>
        <v/>
      </c>
      <c r="B18384">
        <f>TEST_DATA!B18384</f>
        <v/>
      </c>
      <c r="C18384">
        <f>TEST_DATA!C18384</f>
        <v/>
      </c>
      <c r="D18384">
        <f>TEST_DATA!D18384</f>
        <v/>
      </c>
      <c r="E18384">
        <f>TEST_DATA!E18384</f>
        <v/>
      </c>
    </row>
    <row r="18385">
      <c r="A18385">
        <f>TEST_DATA!A18385</f>
        <v/>
      </c>
      <c r="B18385">
        <f>TEST_DATA!B18385</f>
        <v/>
      </c>
      <c r="C18385">
        <f>TEST_DATA!C18385</f>
        <v/>
      </c>
      <c r="D18385">
        <f>TEST_DATA!D18385</f>
        <v/>
      </c>
      <c r="E18385">
        <f>TEST_DATA!E18385</f>
        <v/>
      </c>
    </row>
    <row r="18386">
      <c r="A18386">
        <f>TEST_DATA!A18386</f>
        <v/>
      </c>
      <c r="B18386">
        <f>TEST_DATA!B18386</f>
        <v/>
      </c>
      <c r="C18386">
        <f>TEST_DATA!C18386</f>
        <v/>
      </c>
      <c r="D18386">
        <f>TEST_DATA!D18386</f>
        <v/>
      </c>
      <c r="E18386">
        <f>TEST_DATA!E18386</f>
        <v/>
      </c>
    </row>
    <row r="18387">
      <c r="A18387">
        <f>TEST_DATA!A18387</f>
        <v/>
      </c>
      <c r="B18387">
        <f>TEST_DATA!B18387</f>
        <v/>
      </c>
      <c r="C18387">
        <f>TEST_DATA!C18387</f>
        <v/>
      </c>
      <c r="D18387">
        <f>TEST_DATA!D18387</f>
        <v/>
      </c>
      <c r="E18387">
        <f>TEST_DATA!E18387</f>
        <v/>
      </c>
    </row>
    <row r="18388">
      <c r="A18388">
        <f>TEST_DATA!A18388</f>
        <v/>
      </c>
      <c r="B18388">
        <f>TEST_DATA!B18388</f>
        <v/>
      </c>
      <c r="C18388">
        <f>TEST_DATA!C18388</f>
        <v/>
      </c>
      <c r="D18388">
        <f>TEST_DATA!D18388</f>
        <v/>
      </c>
      <c r="E18388">
        <f>TEST_DATA!E18388</f>
        <v/>
      </c>
    </row>
    <row r="18389">
      <c r="A18389">
        <f>TEST_DATA!A18389</f>
        <v/>
      </c>
      <c r="B18389">
        <f>TEST_DATA!B18389</f>
        <v/>
      </c>
      <c r="C18389">
        <f>TEST_DATA!C18389</f>
        <v/>
      </c>
      <c r="D18389">
        <f>TEST_DATA!D18389</f>
        <v/>
      </c>
      <c r="E18389">
        <f>TEST_DATA!E18389</f>
        <v/>
      </c>
    </row>
    <row r="18390">
      <c r="A18390">
        <f>TEST_DATA!A18390</f>
        <v/>
      </c>
      <c r="B18390">
        <f>TEST_DATA!B18390</f>
        <v/>
      </c>
      <c r="C18390">
        <f>TEST_DATA!C18390</f>
        <v/>
      </c>
      <c r="D18390">
        <f>TEST_DATA!D18390</f>
        <v/>
      </c>
      <c r="E18390">
        <f>TEST_DATA!E18390</f>
        <v/>
      </c>
    </row>
    <row r="18391">
      <c r="A18391">
        <f>TEST_DATA!A18391</f>
        <v/>
      </c>
      <c r="B18391">
        <f>TEST_DATA!B18391</f>
        <v/>
      </c>
      <c r="C18391">
        <f>TEST_DATA!C18391</f>
        <v/>
      </c>
      <c r="D18391">
        <f>TEST_DATA!D18391</f>
        <v/>
      </c>
      <c r="E18391">
        <f>TEST_DATA!E18391</f>
        <v/>
      </c>
    </row>
    <row r="18392">
      <c r="A18392">
        <f>TEST_DATA!A18392</f>
        <v/>
      </c>
      <c r="B18392">
        <f>TEST_DATA!B18392</f>
        <v/>
      </c>
      <c r="C18392">
        <f>TEST_DATA!C18392</f>
        <v/>
      </c>
      <c r="D18392">
        <f>TEST_DATA!D18392</f>
        <v/>
      </c>
      <c r="E18392">
        <f>TEST_DATA!E18392</f>
        <v/>
      </c>
    </row>
    <row r="18393">
      <c r="A18393">
        <f>TEST_DATA!A18393</f>
        <v/>
      </c>
      <c r="B18393">
        <f>TEST_DATA!B18393</f>
        <v/>
      </c>
      <c r="C18393">
        <f>TEST_DATA!C18393</f>
        <v/>
      </c>
      <c r="D18393">
        <f>TEST_DATA!D18393</f>
        <v/>
      </c>
      <c r="E18393">
        <f>TEST_DATA!E18393</f>
        <v/>
      </c>
    </row>
    <row r="18394">
      <c r="A18394">
        <f>TEST_DATA!A18394</f>
        <v/>
      </c>
      <c r="B18394">
        <f>TEST_DATA!B18394</f>
        <v/>
      </c>
      <c r="C18394">
        <f>TEST_DATA!C18394</f>
        <v/>
      </c>
      <c r="D18394">
        <f>TEST_DATA!D18394</f>
        <v/>
      </c>
      <c r="E18394">
        <f>TEST_DATA!E18394</f>
        <v/>
      </c>
    </row>
    <row r="18395">
      <c r="A18395">
        <f>TEST_DATA!A18395</f>
        <v/>
      </c>
      <c r="B18395">
        <f>TEST_DATA!B18395</f>
        <v/>
      </c>
      <c r="C18395">
        <f>TEST_DATA!C18395</f>
        <v/>
      </c>
      <c r="D18395">
        <f>TEST_DATA!D18395</f>
        <v/>
      </c>
      <c r="E18395">
        <f>TEST_DATA!E18395</f>
        <v/>
      </c>
    </row>
    <row r="18396">
      <c r="A18396">
        <f>TEST_DATA!A18396</f>
        <v/>
      </c>
      <c r="B18396">
        <f>TEST_DATA!B18396</f>
        <v/>
      </c>
      <c r="C18396">
        <f>TEST_DATA!C18396</f>
        <v/>
      </c>
      <c r="D18396">
        <f>TEST_DATA!D18396</f>
        <v/>
      </c>
      <c r="E18396">
        <f>TEST_DATA!E18396</f>
        <v/>
      </c>
    </row>
    <row r="18397">
      <c r="A18397">
        <f>TEST_DATA!A18397</f>
        <v/>
      </c>
      <c r="B18397">
        <f>TEST_DATA!B18397</f>
        <v/>
      </c>
      <c r="C18397">
        <f>TEST_DATA!C18397</f>
        <v/>
      </c>
      <c r="D18397">
        <f>TEST_DATA!D18397</f>
        <v/>
      </c>
      <c r="E18397">
        <f>TEST_DATA!E18397</f>
        <v/>
      </c>
    </row>
    <row r="18398">
      <c r="A18398">
        <f>TEST_DATA!A18398</f>
        <v/>
      </c>
      <c r="B18398">
        <f>TEST_DATA!B18398</f>
        <v/>
      </c>
      <c r="C18398">
        <f>TEST_DATA!C18398</f>
        <v/>
      </c>
      <c r="D18398">
        <f>TEST_DATA!D18398</f>
        <v/>
      </c>
      <c r="E18398">
        <f>TEST_DATA!E18398</f>
        <v/>
      </c>
    </row>
    <row r="18399">
      <c r="A18399">
        <f>TEST_DATA!A18399</f>
        <v/>
      </c>
      <c r="B18399">
        <f>TEST_DATA!B18399</f>
        <v/>
      </c>
      <c r="C18399">
        <f>TEST_DATA!C18399</f>
        <v/>
      </c>
      <c r="D18399">
        <f>TEST_DATA!D18399</f>
        <v/>
      </c>
      <c r="E18399">
        <f>TEST_DATA!E18399</f>
        <v/>
      </c>
    </row>
    <row r="18400">
      <c r="A18400">
        <f>TEST_DATA!A18400</f>
        <v/>
      </c>
      <c r="B18400">
        <f>TEST_DATA!B18400</f>
        <v/>
      </c>
      <c r="C18400">
        <f>TEST_DATA!C18400</f>
        <v/>
      </c>
      <c r="D18400">
        <f>TEST_DATA!D18400</f>
        <v/>
      </c>
      <c r="E18400">
        <f>TEST_DATA!E18400</f>
        <v/>
      </c>
    </row>
    <row r="18401">
      <c r="A18401">
        <f>TEST_DATA!A18401</f>
        <v/>
      </c>
      <c r="B18401">
        <f>TEST_DATA!B18401</f>
        <v/>
      </c>
      <c r="C18401">
        <f>TEST_DATA!C18401</f>
        <v/>
      </c>
      <c r="D18401">
        <f>TEST_DATA!D18401</f>
        <v/>
      </c>
      <c r="E18401">
        <f>TEST_DATA!E18401</f>
        <v/>
      </c>
    </row>
    <row r="18402">
      <c r="A18402">
        <f>TEST_DATA!A18402</f>
        <v/>
      </c>
      <c r="B18402">
        <f>TEST_DATA!B18402</f>
        <v/>
      </c>
      <c r="C18402">
        <f>TEST_DATA!C18402</f>
        <v/>
      </c>
      <c r="D18402">
        <f>TEST_DATA!D18402</f>
        <v/>
      </c>
      <c r="E18402">
        <f>TEST_DATA!E18402</f>
        <v/>
      </c>
    </row>
    <row r="18403">
      <c r="A18403">
        <f>TEST_DATA!A18403</f>
        <v/>
      </c>
      <c r="B18403">
        <f>TEST_DATA!B18403</f>
        <v/>
      </c>
      <c r="C18403">
        <f>TEST_DATA!C18403</f>
        <v/>
      </c>
      <c r="D18403">
        <f>TEST_DATA!D18403</f>
        <v/>
      </c>
      <c r="E18403">
        <f>TEST_DATA!E18403</f>
        <v/>
      </c>
    </row>
    <row r="18404">
      <c r="A18404">
        <f>TEST_DATA!A18404</f>
        <v/>
      </c>
      <c r="B18404">
        <f>TEST_DATA!B18404</f>
        <v/>
      </c>
      <c r="C18404">
        <f>TEST_DATA!C18404</f>
        <v/>
      </c>
      <c r="D18404">
        <f>TEST_DATA!D18404</f>
        <v/>
      </c>
      <c r="E18404">
        <f>TEST_DATA!E18404</f>
        <v/>
      </c>
    </row>
    <row r="18405">
      <c r="A18405">
        <f>TEST_DATA!A18405</f>
        <v/>
      </c>
      <c r="B18405">
        <f>TEST_DATA!B18405</f>
        <v/>
      </c>
      <c r="C18405">
        <f>TEST_DATA!C18405</f>
        <v/>
      </c>
      <c r="D18405">
        <f>TEST_DATA!D18405</f>
        <v/>
      </c>
      <c r="E18405">
        <f>TEST_DATA!E18405</f>
        <v/>
      </c>
    </row>
    <row r="18406">
      <c r="A18406">
        <f>TEST_DATA!A18406</f>
        <v/>
      </c>
      <c r="B18406">
        <f>TEST_DATA!B18406</f>
        <v/>
      </c>
      <c r="C18406">
        <f>TEST_DATA!C18406</f>
        <v/>
      </c>
      <c r="D18406">
        <f>TEST_DATA!D18406</f>
        <v/>
      </c>
      <c r="E18406">
        <f>TEST_DATA!E18406</f>
        <v/>
      </c>
    </row>
    <row r="18407">
      <c r="A18407">
        <f>TEST_DATA!A18407</f>
        <v/>
      </c>
      <c r="B18407">
        <f>TEST_DATA!B18407</f>
        <v/>
      </c>
      <c r="C18407">
        <f>TEST_DATA!C18407</f>
        <v/>
      </c>
      <c r="D18407">
        <f>TEST_DATA!D18407</f>
        <v/>
      </c>
      <c r="E18407">
        <f>TEST_DATA!E18407</f>
        <v/>
      </c>
    </row>
    <row r="18408">
      <c r="A18408">
        <f>TEST_DATA!A18408</f>
        <v/>
      </c>
      <c r="B18408">
        <f>TEST_DATA!B18408</f>
        <v/>
      </c>
      <c r="C18408">
        <f>TEST_DATA!C18408</f>
        <v/>
      </c>
      <c r="D18408">
        <f>TEST_DATA!D18408</f>
        <v/>
      </c>
      <c r="E18408">
        <f>TEST_DATA!E18408</f>
        <v/>
      </c>
    </row>
    <row r="18409">
      <c r="A18409">
        <f>TEST_DATA!A18409</f>
        <v/>
      </c>
      <c r="B18409">
        <f>TEST_DATA!B18409</f>
        <v/>
      </c>
      <c r="C18409">
        <f>TEST_DATA!C18409</f>
        <v/>
      </c>
      <c r="D18409">
        <f>TEST_DATA!D18409</f>
        <v/>
      </c>
      <c r="E18409">
        <f>TEST_DATA!E18409</f>
        <v/>
      </c>
    </row>
    <row r="18410">
      <c r="A18410">
        <f>TEST_DATA!A18410</f>
        <v/>
      </c>
      <c r="B18410">
        <f>TEST_DATA!B18410</f>
        <v/>
      </c>
      <c r="C18410">
        <f>TEST_DATA!C18410</f>
        <v/>
      </c>
      <c r="D18410">
        <f>TEST_DATA!D18410</f>
        <v/>
      </c>
      <c r="E18410">
        <f>TEST_DATA!E18410</f>
        <v/>
      </c>
    </row>
    <row r="18411">
      <c r="A18411">
        <f>TEST_DATA!A18411</f>
        <v/>
      </c>
      <c r="B18411">
        <f>TEST_DATA!B18411</f>
        <v/>
      </c>
      <c r="C18411">
        <f>TEST_DATA!C18411</f>
        <v/>
      </c>
      <c r="D18411">
        <f>TEST_DATA!D18411</f>
        <v/>
      </c>
      <c r="E18411">
        <f>TEST_DATA!E18411</f>
        <v/>
      </c>
    </row>
    <row r="18412">
      <c r="A18412">
        <f>TEST_DATA!A18412</f>
        <v/>
      </c>
      <c r="B18412">
        <f>TEST_DATA!B18412</f>
        <v/>
      </c>
      <c r="C18412">
        <f>TEST_DATA!C18412</f>
        <v/>
      </c>
      <c r="D18412">
        <f>TEST_DATA!D18412</f>
        <v/>
      </c>
      <c r="E18412">
        <f>TEST_DATA!E18412</f>
        <v/>
      </c>
    </row>
    <row r="18413">
      <c r="A18413">
        <f>TEST_DATA!A18413</f>
        <v/>
      </c>
      <c r="B18413">
        <f>TEST_DATA!B18413</f>
        <v/>
      </c>
      <c r="C18413">
        <f>TEST_DATA!C18413</f>
        <v/>
      </c>
      <c r="D18413">
        <f>TEST_DATA!D18413</f>
        <v/>
      </c>
      <c r="E18413">
        <f>TEST_DATA!E18413</f>
        <v/>
      </c>
    </row>
    <row r="18414">
      <c r="A18414">
        <f>TEST_DATA!A18414</f>
        <v/>
      </c>
      <c r="B18414">
        <f>TEST_DATA!B18414</f>
        <v/>
      </c>
      <c r="C18414">
        <f>TEST_DATA!C18414</f>
        <v/>
      </c>
      <c r="D18414">
        <f>TEST_DATA!D18414</f>
        <v/>
      </c>
      <c r="E18414">
        <f>TEST_DATA!E18414</f>
        <v/>
      </c>
    </row>
    <row r="18415">
      <c r="A18415">
        <f>TEST_DATA!A18415</f>
        <v/>
      </c>
      <c r="B18415">
        <f>TEST_DATA!B18415</f>
        <v/>
      </c>
      <c r="C18415">
        <f>TEST_DATA!C18415</f>
        <v/>
      </c>
      <c r="D18415">
        <f>TEST_DATA!D18415</f>
        <v/>
      </c>
      <c r="E18415">
        <f>TEST_DATA!E18415</f>
        <v/>
      </c>
    </row>
    <row r="18416">
      <c r="A18416">
        <f>TEST_DATA!A18416</f>
        <v/>
      </c>
      <c r="B18416">
        <f>TEST_DATA!B18416</f>
        <v/>
      </c>
      <c r="C18416">
        <f>TEST_DATA!C18416</f>
        <v/>
      </c>
      <c r="D18416">
        <f>TEST_DATA!D18416</f>
        <v/>
      </c>
      <c r="E18416">
        <f>TEST_DATA!E18416</f>
        <v/>
      </c>
    </row>
    <row r="18417">
      <c r="A18417">
        <f>TEST_DATA!A18417</f>
        <v/>
      </c>
      <c r="B18417">
        <f>TEST_DATA!B18417</f>
        <v/>
      </c>
      <c r="C18417">
        <f>TEST_DATA!C18417</f>
        <v/>
      </c>
      <c r="D18417">
        <f>TEST_DATA!D18417</f>
        <v/>
      </c>
      <c r="E18417">
        <f>TEST_DATA!E18417</f>
        <v/>
      </c>
    </row>
    <row r="18418">
      <c r="A18418">
        <f>TEST_DATA!A18418</f>
        <v/>
      </c>
      <c r="B18418">
        <f>TEST_DATA!B18418</f>
        <v/>
      </c>
      <c r="C18418">
        <f>TEST_DATA!C18418</f>
        <v/>
      </c>
      <c r="D18418">
        <f>TEST_DATA!D18418</f>
        <v/>
      </c>
      <c r="E18418">
        <f>TEST_DATA!E18418</f>
        <v/>
      </c>
    </row>
    <row r="18419">
      <c r="A18419">
        <f>TEST_DATA!A18419</f>
        <v/>
      </c>
      <c r="B18419">
        <f>TEST_DATA!B18419</f>
        <v/>
      </c>
      <c r="C18419">
        <f>TEST_DATA!C18419</f>
        <v/>
      </c>
      <c r="D18419">
        <f>TEST_DATA!D18419</f>
        <v/>
      </c>
      <c r="E18419">
        <f>TEST_DATA!E18419</f>
        <v/>
      </c>
    </row>
    <row r="18420">
      <c r="A18420">
        <f>TEST_DATA!A18420</f>
        <v/>
      </c>
      <c r="B18420">
        <f>TEST_DATA!B18420</f>
        <v/>
      </c>
      <c r="C18420">
        <f>TEST_DATA!C18420</f>
        <v/>
      </c>
      <c r="D18420">
        <f>TEST_DATA!D18420</f>
        <v/>
      </c>
      <c r="E18420">
        <f>TEST_DATA!E18420</f>
        <v/>
      </c>
    </row>
    <row r="18421">
      <c r="A18421">
        <f>TEST_DATA!A18421</f>
        <v/>
      </c>
      <c r="B18421">
        <f>TEST_DATA!B18421</f>
        <v/>
      </c>
      <c r="C18421">
        <f>TEST_DATA!C18421</f>
        <v/>
      </c>
      <c r="D18421">
        <f>TEST_DATA!D18421</f>
        <v/>
      </c>
      <c r="E18421">
        <f>TEST_DATA!E18421</f>
        <v/>
      </c>
    </row>
    <row r="18422">
      <c r="A18422">
        <f>TEST_DATA!A18422</f>
        <v/>
      </c>
      <c r="B18422">
        <f>TEST_DATA!B18422</f>
        <v/>
      </c>
      <c r="C18422">
        <f>TEST_DATA!C18422</f>
        <v/>
      </c>
      <c r="D18422">
        <f>TEST_DATA!D18422</f>
        <v/>
      </c>
      <c r="E18422">
        <f>TEST_DATA!E18422</f>
        <v/>
      </c>
    </row>
    <row r="18423">
      <c r="A18423">
        <f>TEST_DATA!A18423</f>
        <v/>
      </c>
      <c r="B18423">
        <f>TEST_DATA!B18423</f>
        <v/>
      </c>
      <c r="C18423">
        <f>TEST_DATA!C18423</f>
        <v/>
      </c>
      <c r="D18423">
        <f>TEST_DATA!D18423</f>
        <v/>
      </c>
      <c r="E18423">
        <f>TEST_DATA!E18423</f>
        <v/>
      </c>
    </row>
    <row r="18424">
      <c r="A18424">
        <f>TEST_DATA!A18424</f>
        <v/>
      </c>
      <c r="B18424">
        <f>TEST_DATA!B18424</f>
        <v/>
      </c>
      <c r="C18424">
        <f>TEST_DATA!C18424</f>
        <v/>
      </c>
      <c r="D18424">
        <f>TEST_DATA!D18424</f>
        <v/>
      </c>
      <c r="E18424">
        <f>TEST_DATA!E18424</f>
        <v/>
      </c>
    </row>
    <row r="18425">
      <c r="A18425">
        <f>TEST_DATA!A18425</f>
        <v/>
      </c>
      <c r="B18425">
        <f>TEST_DATA!B18425</f>
        <v/>
      </c>
      <c r="C18425">
        <f>TEST_DATA!C18425</f>
        <v/>
      </c>
      <c r="D18425">
        <f>TEST_DATA!D18425</f>
        <v/>
      </c>
      <c r="E18425">
        <f>TEST_DATA!E18425</f>
        <v/>
      </c>
    </row>
    <row r="18426">
      <c r="A18426">
        <f>TEST_DATA!A18426</f>
        <v/>
      </c>
      <c r="B18426">
        <f>TEST_DATA!B18426</f>
        <v/>
      </c>
      <c r="C18426">
        <f>TEST_DATA!C18426</f>
        <v/>
      </c>
      <c r="D18426">
        <f>TEST_DATA!D18426</f>
        <v/>
      </c>
      <c r="E18426">
        <f>TEST_DATA!E18426</f>
        <v/>
      </c>
    </row>
    <row r="18427">
      <c r="A18427">
        <f>TEST_DATA!A18427</f>
        <v/>
      </c>
      <c r="B18427">
        <f>TEST_DATA!B18427</f>
        <v/>
      </c>
      <c r="C18427">
        <f>TEST_DATA!C18427</f>
        <v/>
      </c>
      <c r="D18427">
        <f>TEST_DATA!D18427</f>
        <v/>
      </c>
      <c r="E18427">
        <f>TEST_DATA!E18427</f>
        <v/>
      </c>
    </row>
    <row r="18428">
      <c r="A18428">
        <f>TEST_DATA!A18428</f>
        <v/>
      </c>
      <c r="B18428">
        <f>TEST_DATA!B18428</f>
        <v/>
      </c>
      <c r="C18428">
        <f>TEST_DATA!C18428</f>
        <v/>
      </c>
      <c r="D18428">
        <f>TEST_DATA!D18428</f>
        <v/>
      </c>
      <c r="E18428">
        <f>TEST_DATA!E18428</f>
        <v/>
      </c>
    </row>
    <row r="18429">
      <c r="A18429">
        <f>TEST_DATA!A18429</f>
        <v/>
      </c>
      <c r="B18429">
        <f>TEST_DATA!B18429</f>
        <v/>
      </c>
      <c r="C18429">
        <f>TEST_DATA!C18429</f>
        <v/>
      </c>
      <c r="D18429">
        <f>TEST_DATA!D18429</f>
        <v/>
      </c>
      <c r="E18429">
        <f>TEST_DATA!E18429</f>
        <v/>
      </c>
    </row>
    <row r="18430">
      <c r="A18430">
        <f>TEST_DATA!A18430</f>
        <v/>
      </c>
      <c r="B18430">
        <f>TEST_DATA!B18430</f>
        <v/>
      </c>
      <c r="C18430">
        <f>TEST_DATA!C18430</f>
        <v/>
      </c>
      <c r="D18430">
        <f>TEST_DATA!D18430</f>
        <v/>
      </c>
      <c r="E18430">
        <f>TEST_DATA!E18430</f>
        <v/>
      </c>
    </row>
    <row r="18431">
      <c r="A18431">
        <f>TEST_DATA!A18431</f>
        <v/>
      </c>
      <c r="B18431">
        <f>TEST_DATA!B18431</f>
        <v/>
      </c>
      <c r="C18431">
        <f>TEST_DATA!C18431</f>
        <v/>
      </c>
      <c r="D18431">
        <f>TEST_DATA!D18431</f>
        <v/>
      </c>
      <c r="E18431">
        <f>TEST_DATA!E18431</f>
        <v/>
      </c>
    </row>
    <row r="18432">
      <c r="A18432">
        <f>TEST_DATA!A18432</f>
        <v/>
      </c>
      <c r="B18432">
        <f>TEST_DATA!B18432</f>
        <v/>
      </c>
      <c r="C18432">
        <f>TEST_DATA!C18432</f>
        <v/>
      </c>
      <c r="D18432">
        <f>TEST_DATA!D18432</f>
        <v/>
      </c>
      <c r="E18432">
        <f>TEST_DATA!E18432</f>
        <v/>
      </c>
    </row>
    <row r="18433">
      <c r="A18433">
        <f>TEST_DATA!A18433</f>
        <v/>
      </c>
      <c r="B18433">
        <f>TEST_DATA!B18433</f>
        <v/>
      </c>
      <c r="C18433">
        <f>TEST_DATA!C18433</f>
        <v/>
      </c>
      <c r="D18433">
        <f>TEST_DATA!D18433</f>
        <v/>
      </c>
      <c r="E18433">
        <f>TEST_DATA!E18433</f>
        <v/>
      </c>
    </row>
    <row r="18434">
      <c r="A18434">
        <f>TEST_DATA!A18434</f>
        <v/>
      </c>
      <c r="B18434">
        <f>TEST_DATA!B18434</f>
        <v/>
      </c>
      <c r="C18434">
        <f>TEST_DATA!C18434</f>
        <v/>
      </c>
      <c r="D18434">
        <f>TEST_DATA!D18434</f>
        <v/>
      </c>
      <c r="E18434">
        <f>TEST_DATA!E18434</f>
        <v/>
      </c>
    </row>
    <row r="18435">
      <c r="A18435">
        <f>TEST_DATA!A18435</f>
        <v/>
      </c>
      <c r="B18435">
        <f>TEST_DATA!B18435</f>
        <v/>
      </c>
      <c r="C18435">
        <f>TEST_DATA!C18435</f>
        <v/>
      </c>
      <c r="D18435">
        <f>TEST_DATA!D18435</f>
        <v/>
      </c>
      <c r="E18435">
        <f>TEST_DATA!E18435</f>
        <v/>
      </c>
    </row>
    <row r="18436">
      <c r="A18436">
        <f>TEST_DATA!A18436</f>
        <v/>
      </c>
      <c r="B18436">
        <f>TEST_DATA!B18436</f>
        <v/>
      </c>
      <c r="C18436">
        <f>TEST_DATA!C18436</f>
        <v/>
      </c>
      <c r="D18436">
        <f>TEST_DATA!D18436</f>
        <v/>
      </c>
      <c r="E18436">
        <f>TEST_DATA!E18436</f>
        <v/>
      </c>
    </row>
    <row r="18437">
      <c r="A18437">
        <f>TEST_DATA!A18437</f>
        <v/>
      </c>
      <c r="B18437">
        <f>TEST_DATA!B18437</f>
        <v/>
      </c>
      <c r="C18437">
        <f>TEST_DATA!C18437</f>
        <v/>
      </c>
      <c r="D18437">
        <f>TEST_DATA!D18437</f>
        <v/>
      </c>
      <c r="E18437">
        <f>TEST_DATA!E18437</f>
        <v/>
      </c>
    </row>
    <row r="18438">
      <c r="A18438">
        <f>TEST_DATA!A18438</f>
        <v/>
      </c>
      <c r="B18438">
        <f>TEST_DATA!B18438</f>
        <v/>
      </c>
      <c r="C18438">
        <f>TEST_DATA!C18438</f>
        <v/>
      </c>
      <c r="D18438">
        <f>TEST_DATA!D18438</f>
        <v/>
      </c>
      <c r="E18438">
        <f>TEST_DATA!E18438</f>
        <v/>
      </c>
    </row>
    <row r="18439">
      <c r="A18439">
        <f>TEST_DATA!A18439</f>
        <v/>
      </c>
      <c r="B18439">
        <f>TEST_DATA!B18439</f>
        <v/>
      </c>
      <c r="C18439">
        <f>TEST_DATA!C18439</f>
        <v/>
      </c>
      <c r="D18439">
        <f>TEST_DATA!D18439</f>
        <v/>
      </c>
      <c r="E18439">
        <f>TEST_DATA!E18439</f>
        <v/>
      </c>
    </row>
    <row r="18440">
      <c r="A18440">
        <f>TEST_DATA!A18440</f>
        <v/>
      </c>
      <c r="B18440">
        <f>TEST_DATA!B18440</f>
        <v/>
      </c>
      <c r="C18440">
        <f>TEST_DATA!C18440</f>
        <v/>
      </c>
      <c r="D18440">
        <f>TEST_DATA!D18440</f>
        <v/>
      </c>
      <c r="E18440">
        <f>TEST_DATA!E18440</f>
        <v/>
      </c>
    </row>
    <row r="18441">
      <c r="A18441">
        <f>TEST_DATA!A18441</f>
        <v/>
      </c>
      <c r="B18441">
        <f>TEST_DATA!B18441</f>
        <v/>
      </c>
      <c r="C18441">
        <f>TEST_DATA!C18441</f>
        <v/>
      </c>
      <c r="D18441">
        <f>TEST_DATA!D18441</f>
        <v/>
      </c>
      <c r="E18441">
        <f>TEST_DATA!E18441</f>
        <v/>
      </c>
    </row>
    <row r="18442">
      <c r="A18442">
        <f>TEST_DATA!A18442</f>
        <v/>
      </c>
      <c r="B18442">
        <f>TEST_DATA!B18442</f>
        <v/>
      </c>
      <c r="C18442">
        <f>TEST_DATA!C18442</f>
        <v/>
      </c>
      <c r="D18442">
        <f>TEST_DATA!D18442</f>
        <v/>
      </c>
      <c r="E18442">
        <f>TEST_DATA!E18442</f>
        <v/>
      </c>
    </row>
    <row r="18443">
      <c r="A18443">
        <f>TEST_DATA!A18443</f>
        <v/>
      </c>
      <c r="B18443">
        <f>TEST_DATA!B18443</f>
        <v/>
      </c>
      <c r="C18443">
        <f>TEST_DATA!C18443</f>
        <v/>
      </c>
      <c r="D18443">
        <f>TEST_DATA!D18443</f>
        <v/>
      </c>
      <c r="E18443">
        <f>TEST_DATA!E18443</f>
        <v/>
      </c>
    </row>
    <row r="18444">
      <c r="A18444">
        <f>TEST_DATA!A18444</f>
        <v/>
      </c>
      <c r="B18444">
        <f>TEST_DATA!B18444</f>
        <v/>
      </c>
      <c r="C18444">
        <f>TEST_DATA!C18444</f>
        <v/>
      </c>
      <c r="D18444">
        <f>TEST_DATA!D18444</f>
        <v/>
      </c>
      <c r="E18444">
        <f>TEST_DATA!E18444</f>
        <v/>
      </c>
    </row>
    <row r="18445">
      <c r="A18445">
        <f>TEST_DATA!A18445</f>
        <v/>
      </c>
      <c r="B18445">
        <f>TEST_DATA!B18445</f>
        <v/>
      </c>
      <c r="C18445">
        <f>TEST_DATA!C18445</f>
        <v/>
      </c>
      <c r="D18445">
        <f>TEST_DATA!D18445</f>
        <v/>
      </c>
      <c r="E18445">
        <f>TEST_DATA!E18445</f>
        <v/>
      </c>
    </row>
    <row r="18446">
      <c r="A18446">
        <f>TEST_DATA!A18446</f>
        <v/>
      </c>
      <c r="B18446">
        <f>TEST_DATA!B18446</f>
        <v/>
      </c>
      <c r="C18446">
        <f>TEST_DATA!C18446</f>
        <v/>
      </c>
      <c r="D18446">
        <f>TEST_DATA!D18446</f>
        <v/>
      </c>
      <c r="E18446">
        <f>TEST_DATA!E18446</f>
        <v/>
      </c>
    </row>
    <row r="18447">
      <c r="A18447">
        <f>TEST_DATA!A18447</f>
        <v/>
      </c>
      <c r="B18447">
        <f>TEST_DATA!B18447</f>
        <v/>
      </c>
      <c r="C18447">
        <f>TEST_DATA!C18447</f>
        <v/>
      </c>
      <c r="D18447">
        <f>TEST_DATA!D18447</f>
        <v/>
      </c>
      <c r="E18447">
        <f>TEST_DATA!E18447</f>
        <v/>
      </c>
    </row>
    <row r="18448">
      <c r="A18448">
        <f>TEST_DATA!A18448</f>
        <v/>
      </c>
      <c r="B18448">
        <f>TEST_DATA!B18448</f>
        <v/>
      </c>
      <c r="C18448">
        <f>TEST_DATA!C18448</f>
        <v/>
      </c>
      <c r="D18448">
        <f>TEST_DATA!D18448</f>
        <v/>
      </c>
      <c r="E18448">
        <f>TEST_DATA!E18448</f>
        <v/>
      </c>
    </row>
    <row r="18449">
      <c r="A18449">
        <f>TEST_DATA!A18449</f>
        <v/>
      </c>
      <c r="B18449">
        <f>TEST_DATA!B18449</f>
        <v/>
      </c>
      <c r="C18449">
        <f>TEST_DATA!C18449</f>
        <v/>
      </c>
      <c r="D18449">
        <f>TEST_DATA!D18449</f>
        <v/>
      </c>
      <c r="E18449">
        <f>TEST_DATA!E18449</f>
        <v/>
      </c>
    </row>
    <row r="18450">
      <c r="A18450">
        <f>TEST_DATA!A18450</f>
        <v/>
      </c>
      <c r="B18450">
        <f>TEST_DATA!B18450</f>
        <v/>
      </c>
      <c r="C18450">
        <f>TEST_DATA!C18450</f>
        <v/>
      </c>
      <c r="D18450">
        <f>TEST_DATA!D18450</f>
        <v/>
      </c>
      <c r="E18450">
        <f>TEST_DATA!E18450</f>
        <v/>
      </c>
    </row>
    <row r="18451">
      <c r="A18451">
        <f>TEST_DATA!A18451</f>
        <v/>
      </c>
      <c r="B18451">
        <f>TEST_DATA!B18451</f>
        <v/>
      </c>
      <c r="C18451">
        <f>TEST_DATA!C18451</f>
        <v/>
      </c>
      <c r="D18451">
        <f>TEST_DATA!D18451</f>
        <v/>
      </c>
      <c r="E18451">
        <f>TEST_DATA!E18451</f>
        <v/>
      </c>
    </row>
    <row r="18452">
      <c r="A18452">
        <f>TEST_DATA!A18452</f>
        <v/>
      </c>
      <c r="B18452">
        <f>TEST_DATA!B18452</f>
        <v/>
      </c>
      <c r="C18452">
        <f>TEST_DATA!C18452</f>
        <v/>
      </c>
      <c r="D18452">
        <f>TEST_DATA!D18452</f>
        <v/>
      </c>
      <c r="E18452">
        <f>TEST_DATA!E18452</f>
        <v/>
      </c>
    </row>
    <row r="18453">
      <c r="A18453">
        <f>TEST_DATA!A18453</f>
        <v/>
      </c>
      <c r="B18453">
        <f>TEST_DATA!B18453</f>
        <v/>
      </c>
      <c r="C18453">
        <f>TEST_DATA!C18453</f>
        <v/>
      </c>
      <c r="D18453">
        <f>TEST_DATA!D18453</f>
        <v/>
      </c>
      <c r="E18453">
        <f>TEST_DATA!E18453</f>
        <v/>
      </c>
    </row>
    <row r="18454">
      <c r="A18454">
        <f>TEST_DATA!A18454</f>
        <v/>
      </c>
      <c r="B18454">
        <f>TEST_DATA!B18454</f>
        <v/>
      </c>
      <c r="C18454">
        <f>TEST_DATA!C18454</f>
        <v/>
      </c>
      <c r="D18454">
        <f>TEST_DATA!D18454</f>
        <v/>
      </c>
      <c r="E18454">
        <f>TEST_DATA!E18454</f>
        <v/>
      </c>
    </row>
    <row r="18455">
      <c r="A18455">
        <f>TEST_DATA!A18455</f>
        <v/>
      </c>
      <c r="B18455">
        <f>TEST_DATA!B18455</f>
        <v/>
      </c>
      <c r="C18455">
        <f>TEST_DATA!C18455</f>
        <v/>
      </c>
      <c r="D18455">
        <f>TEST_DATA!D18455</f>
        <v/>
      </c>
      <c r="E18455">
        <f>TEST_DATA!E18455</f>
        <v/>
      </c>
    </row>
    <row r="18456">
      <c r="A18456">
        <f>TEST_DATA!A18456</f>
        <v/>
      </c>
      <c r="B18456">
        <f>TEST_DATA!B18456</f>
        <v/>
      </c>
      <c r="C18456">
        <f>TEST_DATA!C18456</f>
        <v/>
      </c>
      <c r="D18456">
        <f>TEST_DATA!D18456</f>
        <v/>
      </c>
      <c r="E18456">
        <f>TEST_DATA!E18456</f>
        <v/>
      </c>
    </row>
    <row r="18457">
      <c r="A18457">
        <f>TEST_DATA!A18457</f>
        <v/>
      </c>
      <c r="B18457">
        <f>TEST_DATA!B18457</f>
        <v/>
      </c>
      <c r="C18457">
        <f>TEST_DATA!C18457</f>
        <v/>
      </c>
      <c r="D18457">
        <f>TEST_DATA!D18457</f>
        <v/>
      </c>
      <c r="E18457">
        <f>TEST_DATA!E18457</f>
        <v/>
      </c>
    </row>
    <row r="18458">
      <c r="A18458">
        <f>TEST_DATA!A18458</f>
        <v/>
      </c>
      <c r="B18458">
        <f>TEST_DATA!B18458</f>
        <v/>
      </c>
      <c r="C18458">
        <f>TEST_DATA!C18458</f>
        <v/>
      </c>
      <c r="D18458">
        <f>TEST_DATA!D18458</f>
        <v/>
      </c>
      <c r="E18458">
        <f>TEST_DATA!E18458</f>
        <v/>
      </c>
    </row>
    <row r="18459">
      <c r="A18459">
        <f>TEST_DATA!A18459</f>
        <v/>
      </c>
      <c r="B18459">
        <f>TEST_DATA!B18459</f>
        <v/>
      </c>
      <c r="C18459">
        <f>TEST_DATA!C18459</f>
        <v/>
      </c>
      <c r="D18459">
        <f>TEST_DATA!D18459</f>
        <v/>
      </c>
      <c r="E18459">
        <f>TEST_DATA!E18459</f>
        <v/>
      </c>
    </row>
    <row r="18460">
      <c r="A18460">
        <f>TEST_DATA!A18460</f>
        <v/>
      </c>
      <c r="B18460">
        <f>TEST_DATA!B18460</f>
        <v/>
      </c>
      <c r="C18460">
        <f>TEST_DATA!C18460</f>
        <v/>
      </c>
      <c r="D18460">
        <f>TEST_DATA!D18460</f>
        <v/>
      </c>
      <c r="E18460">
        <f>TEST_DATA!E18460</f>
        <v/>
      </c>
    </row>
    <row r="18461">
      <c r="A18461">
        <f>TEST_DATA!A18461</f>
        <v/>
      </c>
      <c r="B18461">
        <f>TEST_DATA!B18461</f>
        <v/>
      </c>
      <c r="C18461">
        <f>TEST_DATA!C18461</f>
        <v/>
      </c>
      <c r="D18461">
        <f>TEST_DATA!D18461</f>
        <v/>
      </c>
      <c r="E18461">
        <f>TEST_DATA!E18461</f>
        <v/>
      </c>
    </row>
    <row r="18462">
      <c r="A18462">
        <f>TEST_DATA!A18462</f>
        <v/>
      </c>
      <c r="B18462">
        <f>TEST_DATA!B18462</f>
        <v/>
      </c>
      <c r="C18462">
        <f>TEST_DATA!C18462</f>
        <v/>
      </c>
      <c r="D18462">
        <f>TEST_DATA!D18462</f>
        <v/>
      </c>
      <c r="E18462">
        <f>TEST_DATA!E18462</f>
        <v/>
      </c>
    </row>
    <row r="18463">
      <c r="A18463">
        <f>TEST_DATA!A18463</f>
        <v/>
      </c>
      <c r="B18463">
        <f>TEST_DATA!B18463</f>
        <v/>
      </c>
      <c r="C18463">
        <f>TEST_DATA!C18463</f>
        <v/>
      </c>
      <c r="D18463">
        <f>TEST_DATA!D18463</f>
        <v/>
      </c>
      <c r="E18463">
        <f>TEST_DATA!E18463</f>
        <v/>
      </c>
    </row>
    <row r="18464">
      <c r="A18464">
        <f>TEST_DATA!A18464</f>
        <v/>
      </c>
      <c r="B18464">
        <f>TEST_DATA!B18464</f>
        <v/>
      </c>
      <c r="C18464">
        <f>TEST_DATA!C18464</f>
        <v/>
      </c>
      <c r="D18464">
        <f>TEST_DATA!D18464</f>
        <v/>
      </c>
      <c r="E18464">
        <f>TEST_DATA!E18464</f>
        <v/>
      </c>
    </row>
    <row r="18465">
      <c r="A18465">
        <f>TEST_DATA!A18465</f>
        <v/>
      </c>
      <c r="B18465">
        <f>TEST_DATA!B18465</f>
        <v/>
      </c>
      <c r="C18465">
        <f>TEST_DATA!C18465</f>
        <v/>
      </c>
      <c r="D18465">
        <f>TEST_DATA!D18465</f>
        <v/>
      </c>
      <c r="E18465">
        <f>TEST_DATA!E18465</f>
        <v/>
      </c>
    </row>
    <row r="18466">
      <c r="A18466">
        <f>TEST_DATA!A18466</f>
        <v/>
      </c>
      <c r="B18466">
        <f>TEST_DATA!B18466</f>
        <v/>
      </c>
      <c r="C18466">
        <f>TEST_DATA!C18466</f>
        <v/>
      </c>
      <c r="D18466">
        <f>TEST_DATA!D18466</f>
        <v/>
      </c>
      <c r="E18466">
        <f>TEST_DATA!E18466</f>
        <v/>
      </c>
    </row>
    <row r="18467">
      <c r="A18467">
        <f>TEST_DATA!A18467</f>
        <v/>
      </c>
      <c r="B18467">
        <f>TEST_DATA!B18467</f>
        <v/>
      </c>
      <c r="C18467">
        <f>TEST_DATA!C18467</f>
        <v/>
      </c>
      <c r="D18467">
        <f>TEST_DATA!D18467</f>
        <v/>
      </c>
      <c r="E18467">
        <f>TEST_DATA!E18467</f>
        <v/>
      </c>
    </row>
    <row r="18468">
      <c r="A18468">
        <f>TEST_DATA!A18468</f>
        <v/>
      </c>
      <c r="B18468">
        <f>TEST_DATA!B18468</f>
        <v/>
      </c>
      <c r="C18468">
        <f>TEST_DATA!C18468</f>
        <v/>
      </c>
      <c r="D18468">
        <f>TEST_DATA!D18468</f>
        <v/>
      </c>
      <c r="E18468">
        <f>TEST_DATA!E18468</f>
        <v/>
      </c>
    </row>
    <row r="18469">
      <c r="A18469">
        <f>TEST_DATA!A18469</f>
        <v/>
      </c>
      <c r="B18469">
        <f>TEST_DATA!B18469</f>
        <v/>
      </c>
      <c r="C18469">
        <f>TEST_DATA!C18469</f>
        <v/>
      </c>
      <c r="D18469">
        <f>TEST_DATA!D18469</f>
        <v/>
      </c>
      <c r="E18469">
        <f>TEST_DATA!E18469</f>
        <v/>
      </c>
    </row>
    <row r="18470">
      <c r="A18470">
        <f>TEST_DATA!A18470</f>
        <v/>
      </c>
      <c r="B18470">
        <f>TEST_DATA!B18470</f>
        <v/>
      </c>
      <c r="C18470">
        <f>TEST_DATA!C18470</f>
        <v/>
      </c>
      <c r="D18470">
        <f>TEST_DATA!D18470</f>
        <v/>
      </c>
      <c r="E18470">
        <f>TEST_DATA!E18470</f>
        <v/>
      </c>
    </row>
    <row r="18471">
      <c r="A18471">
        <f>TEST_DATA!A18471</f>
        <v/>
      </c>
      <c r="B18471">
        <f>TEST_DATA!B18471</f>
        <v/>
      </c>
      <c r="C18471">
        <f>TEST_DATA!C18471</f>
        <v/>
      </c>
      <c r="D18471">
        <f>TEST_DATA!D18471</f>
        <v/>
      </c>
      <c r="E18471">
        <f>TEST_DATA!E18471</f>
        <v/>
      </c>
    </row>
    <row r="18472">
      <c r="A18472">
        <f>TEST_DATA!A18472</f>
        <v/>
      </c>
      <c r="B18472">
        <f>TEST_DATA!B18472</f>
        <v/>
      </c>
      <c r="C18472">
        <f>TEST_DATA!C18472</f>
        <v/>
      </c>
      <c r="D18472">
        <f>TEST_DATA!D18472</f>
        <v/>
      </c>
      <c r="E18472">
        <f>TEST_DATA!E18472</f>
        <v/>
      </c>
    </row>
    <row r="18473">
      <c r="A18473">
        <f>TEST_DATA!A18473</f>
        <v/>
      </c>
      <c r="B18473">
        <f>TEST_DATA!B18473</f>
        <v/>
      </c>
      <c r="C18473">
        <f>TEST_DATA!C18473</f>
        <v/>
      </c>
      <c r="D18473">
        <f>TEST_DATA!D18473</f>
        <v/>
      </c>
      <c r="E18473">
        <f>TEST_DATA!E18473</f>
        <v/>
      </c>
    </row>
    <row r="18474">
      <c r="A18474">
        <f>TEST_DATA!A18474</f>
        <v/>
      </c>
      <c r="B18474">
        <f>TEST_DATA!B18474</f>
        <v/>
      </c>
      <c r="C18474">
        <f>TEST_DATA!C18474</f>
        <v/>
      </c>
      <c r="D18474">
        <f>TEST_DATA!D18474</f>
        <v/>
      </c>
      <c r="E18474">
        <f>TEST_DATA!E18474</f>
        <v/>
      </c>
    </row>
    <row r="18475">
      <c r="A18475">
        <f>TEST_DATA!A18475</f>
        <v/>
      </c>
      <c r="B18475">
        <f>TEST_DATA!B18475</f>
        <v/>
      </c>
      <c r="C18475">
        <f>TEST_DATA!C18475</f>
        <v/>
      </c>
      <c r="D18475">
        <f>TEST_DATA!D18475</f>
        <v/>
      </c>
      <c r="E18475">
        <f>TEST_DATA!E18475</f>
        <v/>
      </c>
    </row>
    <row r="18476">
      <c r="A18476">
        <f>TEST_DATA!A18476</f>
        <v/>
      </c>
      <c r="B18476">
        <f>TEST_DATA!B18476</f>
        <v/>
      </c>
      <c r="C18476">
        <f>TEST_DATA!C18476</f>
        <v/>
      </c>
      <c r="D18476">
        <f>TEST_DATA!D18476</f>
        <v/>
      </c>
      <c r="E18476">
        <f>TEST_DATA!E18476</f>
        <v/>
      </c>
    </row>
    <row r="18477">
      <c r="A18477">
        <f>TEST_DATA!A18477</f>
        <v/>
      </c>
      <c r="B18477">
        <f>TEST_DATA!B18477</f>
        <v/>
      </c>
      <c r="C18477">
        <f>TEST_DATA!C18477</f>
        <v/>
      </c>
      <c r="D18477">
        <f>TEST_DATA!D18477</f>
        <v/>
      </c>
      <c r="E18477">
        <f>TEST_DATA!E18477</f>
        <v/>
      </c>
    </row>
    <row r="18478">
      <c r="A18478">
        <f>TEST_DATA!A18478</f>
        <v/>
      </c>
      <c r="B18478">
        <f>TEST_DATA!B18478</f>
        <v/>
      </c>
      <c r="C18478">
        <f>TEST_DATA!C18478</f>
        <v/>
      </c>
      <c r="D18478">
        <f>TEST_DATA!D18478</f>
        <v/>
      </c>
      <c r="E18478">
        <f>TEST_DATA!E18478</f>
        <v/>
      </c>
    </row>
    <row r="18479">
      <c r="A18479">
        <f>TEST_DATA!A18479</f>
        <v/>
      </c>
      <c r="B18479">
        <f>TEST_DATA!B18479</f>
        <v/>
      </c>
      <c r="C18479">
        <f>TEST_DATA!C18479</f>
        <v/>
      </c>
      <c r="D18479">
        <f>TEST_DATA!D18479</f>
        <v/>
      </c>
      <c r="E18479">
        <f>TEST_DATA!E18479</f>
        <v/>
      </c>
    </row>
    <row r="18480">
      <c r="A18480">
        <f>TEST_DATA!A18480</f>
        <v/>
      </c>
      <c r="B18480">
        <f>TEST_DATA!B18480</f>
        <v/>
      </c>
      <c r="C18480">
        <f>TEST_DATA!C18480</f>
        <v/>
      </c>
      <c r="D18480">
        <f>TEST_DATA!D18480</f>
        <v/>
      </c>
      <c r="E18480">
        <f>TEST_DATA!E18480</f>
        <v/>
      </c>
    </row>
    <row r="18481">
      <c r="A18481">
        <f>TEST_DATA!A18481</f>
        <v/>
      </c>
      <c r="B18481">
        <f>TEST_DATA!B18481</f>
        <v/>
      </c>
      <c r="C18481">
        <f>TEST_DATA!C18481</f>
        <v/>
      </c>
      <c r="D18481">
        <f>TEST_DATA!D18481</f>
        <v/>
      </c>
      <c r="E18481">
        <f>TEST_DATA!E18481</f>
        <v/>
      </c>
    </row>
    <row r="18482">
      <c r="A18482">
        <f>TEST_DATA!A18482</f>
        <v/>
      </c>
      <c r="B18482">
        <f>TEST_DATA!B18482</f>
        <v/>
      </c>
      <c r="C18482">
        <f>TEST_DATA!C18482</f>
        <v/>
      </c>
      <c r="D18482">
        <f>TEST_DATA!D18482</f>
        <v/>
      </c>
      <c r="E18482">
        <f>TEST_DATA!E18482</f>
        <v/>
      </c>
    </row>
    <row r="18483">
      <c r="A18483">
        <f>TEST_DATA!A18483</f>
        <v/>
      </c>
      <c r="B18483">
        <f>TEST_DATA!B18483</f>
        <v/>
      </c>
      <c r="C18483">
        <f>TEST_DATA!C18483</f>
        <v/>
      </c>
      <c r="D18483">
        <f>TEST_DATA!D18483</f>
        <v/>
      </c>
      <c r="E18483">
        <f>TEST_DATA!E18483</f>
        <v/>
      </c>
    </row>
    <row r="18484">
      <c r="A18484">
        <f>TEST_DATA!A18484</f>
        <v/>
      </c>
      <c r="B18484">
        <f>TEST_DATA!B18484</f>
        <v/>
      </c>
      <c r="C18484">
        <f>TEST_DATA!C18484</f>
        <v/>
      </c>
      <c r="D18484">
        <f>TEST_DATA!D18484</f>
        <v/>
      </c>
      <c r="E18484">
        <f>TEST_DATA!E18484</f>
        <v/>
      </c>
    </row>
    <row r="18485">
      <c r="A18485">
        <f>TEST_DATA!A18485</f>
        <v/>
      </c>
      <c r="B18485">
        <f>TEST_DATA!B18485</f>
        <v/>
      </c>
      <c r="C18485">
        <f>TEST_DATA!C18485</f>
        <v/>
      </c>
      <c r="D18485">
        <f>TEST_DATA!D18485</f>
        <v/>
      </c>
      <c r="E18485">
        <f>TEST_DATA!E18485</f>
        <v/>
      </c>
    </row>
    <row r="18486">
      <c r="A18486">
        <f>TEST_DATA!A18486</f>
        <v/>
      </c>
      <c r="B18486">
        <f>TEST_DATA!B18486</f>
        <v/>
      </c>
      <c r="C18486">
        <f>TEST_DATA!C18486</f>
        <v/>
      </c>
      <c r="D18486">
        <f>TEST_DATA!D18486</f>
        <v/>
      </c>
      <c r="E18486">
        <f>TEST_DATA!E18486</f>
        <v/>
      </c>
    </row>
    <row r="18487">
      <c r="A18487">
        <f>TEST_DATA!A18487</f>
        <v/>
      </c>
      <c r="B18487">
        <f>TEST_DATA!B18487</f>
        <v/>
      </c>
      <c r="C18487">
        <f>TEST_DATA!C18487</f>
        <v/>
      </c>
      <c r="D18487">
        <f>TEST_DATA!D18487</f>
        <v/>
      </c>
      <c r="E18487">
        <f>TEST_DATA!E18487</f>
        <v/>
      </c>
    </row>
    <row r="18488">
      <c r="A18488">
        <f>TEST_DATA!A18488</f>
        <v/>
      </c>
      <c r="B18488">
        <f>TEST_DATA!B18488</f>
        <v/>
      </c>
      <c r="C18488">
        <f>TEST_DATA!C18488</f>
        <v/>
      </c>
      <c r="D18488">
        <f>TEST_DATA!D18488</f>
        <v/>
      </c>
      <c r="E18488">
        <f>TEST_DATA!E18488</f>
        <v/>
      </c>
    </row>
    <row r="18489">
      <c r="A18489">
        <f>TEST_DATA!A18489</f>
        <v/>
      </c>
      <c r="B18489">
        <f>TEST_DATA!B18489</f>
        <v/>
      </c>
      <c r="C18489">
        <f>TEST_DATA!C18489</f>
        <v/>
      </c>
      <c r="D18489">
        <f>TEST_DATA!D18489</f>
        <v/>
      </c>
      <c r="E18489">
        <f>TEST_DATA!E18489</f>
        <v/>
      </c>
    </row>
    <row r="18490">
      <c r="A18490">
        <f>TEST_DATA!A18490</f>
        <v/>
      </c>
      <c r="B18490">
        <f>TEST_DATA!B18490</f>
        <v/>
      </c>
      <c r="C18490">
        <f>TEST_DATA!C18490</f>
        <v/>
      </c>
      <c r="D18490">
        <f>TEST_DATA!D18490</f>
        <v/>
      </c>
      <c r="E18490">
        <f>TEST_DATA!E18490</f>
        <v/>
      </c>
    </row>
    <row r="18491">
      <c r="A18491">
        <f>TEST_DATA!A18491</f>
        <v/>
      </c>
      <c r="B18491">
        <f>TEST_DATA!B18491</f>
        <v/>
      </c>
      <c r="C18491">
        <f>TEST_DATA!C18491</f>
        <v/>
      </c>
      <c r="D18491">
        <f>TEST_DATA!D18491</f>
        <v/>
      </c>
      <c r="E18491">
        <f>TEST_DATA!E18491</f>
        <v/>
      </c>
    </row>
    <row r="18492">
      <c r="A18492">
        <f>TEST_DATA!A18492</f>
        <v/>
      </c>
      <c r="B18492">
        <f>TEST_DATA!B18492</f>
        <v/>
      </c>
      <c r="C18492">
        <f>TEST_DATA!C18492</f>
        <v/>
      </c>
      <c r="D18492">
        <f>TEST_DATA!D18492</f>
        <v/>
      </c>
      <c r="E18492">
        <f>TEST_DATA!E18492</f>
        <v/>
      </c>
    </row>
    <row r="18493">
      <c r="A18493">
        <f>TEST_DATA!A18493</f>
        <v/>
      </c>
      <c r="B18493">
        <f>TEST_DATA!B18493</f>
        <v/>
      </c>
      <c r="C18493">
        <f>TEST_DATA!C18493</f>
        <v/>
      </c>
      <c r="D18493">
        <f>TEST_DATA!D18493</f>
        <v/>
      </c>
      <c r="E18493">
        <f>TEST_DATA!E18493</f>
        <v/>
      </c>
    </row>
    <row r="18494">
      <c r="A18494">
        <f>TEST_DATA!A18494</f>
        <v/>
      </c>
      <c r="B18494">
        <f>TEST_DATA!B18494</f>
        <v/>
      </c>
      <c r="C18494">
        <f>TEST_DATA!C18494</f>
        <v/>
      </c>
      <c r="D18494">
        <f>TEST_DATA!D18494</f>
        <v/>
      </c>
      <c r="E18494">
        <f>TEST_DATA!E18494</f>
        <v/>
      </c>
    </row>
    <row r="18495">
      <c r="A18495">
        <f>TEST_DATA!A18495</f>
        <v/>
      </c>
      <c r="B18495">
        <f>TEST_DATA!B18495</f>
        <v/>
      </c>
      <c r="C18495">
        <f>TEST_DATA!C18495</f>
        <v/>
      </c>
      <c r="D18495">
        <f>TEST_DATA!D18495</f>
        <v/>
      </c>
      <c r="E18495">
        <f>TEST_DATA!E18495</f>
        <v/>
      </c>
    </row>
    <row r="18496">
      <c r="A18496">
        <f>TEST_DATA!A18496</f>
        <v/>
      </c>
      <c r="B18496">
        <f>TEST_DATA!B18496</f>
        <v/>
      </c>
      <c r="C18496">
        <f>TEST_DATA!C18496</f>
        <v/>
      </c>
      <c r="D18496">
        <f>TEST_DATA!D18496</f>
        <v/>
      </c>
      <c r="E18496">
        <f>TEST_DATA!E18496</f>
        <v/>
      </c>
    </row>
    <row r="18497">
      <c r="A18497">
        <f>TEST_DATA!A18497</f>
        <v/>
      </c>
      <c r="B18497">
        <f>TEST_DATA!B18497</f>
        <v/>
      </c>
      <c r="C18497">
        <f>TEST_DATA!C18497</f>
        <v/>
      </c>
      <c r="D18497">
        <f>TEST_DATA!D18497</f>
        <v/>
      </c>
      <c r="E18497">
        <f>TEST_DATA!E18497</f>
        <v/>
      </c>
    </row>
    <row r="18498">
      <c r="A18498">
        <f>TEST_DATA!A18498</f>
        <v/>
      </c>
      <c r="B18498">
        <f>TEST_DATA!B18498</f>
        <v/>
      </c>
      <c r="C18498">
        <f>TEST_DATA!C18498</f>
        <v/>
      </c>
      <c r="D18498">
        <f>TEST_DATA!D18498</f>
        <v/>
      </c>
      <c r="E18498">
        <f>TEST_DATA!E18498</f>
        <v/>
      </c>
    </row>
    <row r="18499">
      <c r="A18499">
        <f>TEST_DATA!A18499</f>
        <v/>
      </c>
      <c r="B18499">
        <f>TEST_DATA!B18499</f>
        <v/>
      </c>
      <c r="C18499">
        <f>TEST_DATA!C18499</f>
        <v/>
      </c>
      <c r="D18499">
        <f>TEST_DATA!D18499</f>
        <v/>
      </c>
      <c r="E18499">
        <f>TEST_DATA!E18499</f>
        <v/>
      </c>
    </row>
    <row r="18500">
      <c r="A18500">
        <f>TEST_DATA!A18500</f>
        <v/>
      </c>
      <c r="B18500">
        <f>TEST_DATA!B18500</f>
        <v/>
      </c>
      <c r="C18500">
        <f>TEST_DATA!C18500</f>
        <v/>
      </c>
      <c r="D18500">
        <f>TEST_DATA!D18500</f>
        <v/>
      </c>
      <c r="E18500">
        <f>TEST_DATA!E18500</f>
        <v/>
      </c>
    </row>
    <row r="18501">
      <c r="A18501">
        <f>TEST_DATA!A18501</f>
        <v/>
      </c>
      <c r="B18501">
        <f>TEST_DATA!B18501</f>
        <v/>
      </c>
      <c r="C18501">
        <f>TEST_DATA!C18501</f>
        <v/>
      </c>
      <c r="D18501">
        <f>TEST_DATA!D18501</f>
        <v/>
      </c>
      <c r="E18501">
        <f>TEST_DATA!E18501</f>
        <v/>
      </c>
    </row>
    <row r="18502">
      <c r="A18502">
        <f>TEST_DATA!A18502</f>
        <v/>
      </c>
      <c r="B18502">
        <f>TEST_DATA!B18502</f>
        <v/>
      </c>
      <c r="C18502">
        <f>TEST_DATA!C18502</f>
        <v/>
      </c>
      <c r="D18502">
        <f>TEST_DATA!D18502</f>
        <v/>
      </c>
      <c r="E18502">
        <f>TEST_DATA!E18502</f>
        <v/>
      </c>
    </row>
    <row r="18503">
      <c r="A18503">
        <f>TEST_DATA!A18503</f>
        <v/>
      </c>
      <c r="B18503">
        <f>TEST_DATA!B18503</f>
        <v/>
      </c>
      <c r="C18503">
        <f>TEST_DATA!C18503</f>
        <v/>
      </c>
      <c r="D18503">
        <f>TEST_DATA!D18503</f>
        <v/>
      </c>
      <c r="E18503">
        <f>TEST_DATA!E18503</f>
        <v/>
      </c>
    </row>
    <row r="18504">
      <c r="A18504">
        <f>TEST_DATA!A18504</f>
        <v/>
      </c>
      <c r="B18504">
        <f>TEST_DATA!B18504</f>
        <v/>
      </c>
      <c r="C18504">
        <f>TEST_DATA!C18504</f>
        <v/>
      </c>
      <c r="D18504">
        <f>TEST_DATA!D18504</f>
        <v/>
      </c>
      <c r="E18504">
        <f>TEST_DATA!E18504</f>
        <v/>
      </c>
    </row>
    <row r="18505">
      <c r="A18505">
        <f>TEST_DATA!A18505</f>
        <v/>
      </c>
      <c r="B18505">
        <f>TEST_DATA!B18505</f>
        <v/>
      </c>
      <c r="C18505">
        <f>TEST_DATA!C18505</f>
        <v/>
      </c>
      <c r="D18505">
        <f>TEST_DATA!D18505</f>
        <v/>
      </c>
      <c r="E18505">
        <f>TEST_DATA!E18505</f>
        <v/>
      </c>
    </row>
    <row r="18506">
      <c r="A18506">
        <f>TEST_DATA!A18506</f>
        <v/>
      </c>
      <c r="B18506">
        <f>TEST_DATA!B18506</f>
        <v/>
      </c>
      <c r="C18506">
        <f>TEST_DATA!C18506</f>
        <v/>
      </c>
      <c r="D18506">
        <f>TEST_DATA!D18506</f>
        <v/>
      </c>
      <c r="E18506">
        <f>TEST_DATA!E18506</f>
        <v/>
      </c>
    </row>
    <row r="18507">
      <c r="A18507">
        <f>TEST_DATA!A18507</f>
        <v/>
      </c>
      <c r="B18507">
        <f>TEST_DATA!B18507</f>
        <v/>
      </c>
      <c r="C18507">
        <f>TEST_DATA!C18507</f>
        <v/>
      </c>
      <c r="D18507">
        <f>TEST_DATA!D18507</f>
        <v/>
      </c>
      <c r="E18507">
        <f>TEST_DATA!E18507</f>
        <v/>
      </c>
    </row>
    <row r="18508">
      <c r="A18508">
        <f>TEST_DATA!A18508</f>
        <v/>
      </c>
      <c r="B18508">
        <f>TEST_DATA!B18508</f>
        <v/>
      </c>
      <c r="C18508">
        <f>TEST_DATA!C18508</f>
        <v/>
      </c>
      <c r="D18508">
        <f>TEST_DATA!D18508</f>
        <v/>
      </c>
      <c r="E18508">
        <f>TEST_DATA!E18508</f>
        <v/>
      </c>
    </row>
    <row r="18509">
      <c r="A18509">
        <f>TEST_DATA!A18509</f>
        <v/>
      </c>
      <c r="B18509">
        <f>TEST_DATA!B18509</f>
        <v/>
      </c>
      <c r="C18509">
        <f>TEST_DATA!C18509</f>
        <v/>
      </c>
      <c r="D18509">
        <f>TEST_DATA!D18509</f>
        <v/>
      </c>
      <c r="E18509">
        <f>TEST_DATA!E18509</f>
        <v/>
      </c>
    </row>
    <row r="18510">
      <c r="A18510">
        <f>TEST_DATA!A18510</f>
        <v/>
      </c>
      <c r="B18510">
        <f>TEST_DATA!B18510</f>
        <v/>
      </c>
      <c r="C18510">
        <f>TEST_DATA!C18510</f>
        <v/>
      </c>
      <c r="D18510">
        <f>TEST_DATA!D18510</f>
        <v/>
      </c>
      <c r="E18510">
        <f>TEST_DATA!E18510</f>
        <v/>
      </c>
    </row>
    <row r="18511">
      <c r="A18511">
        <f>TEST_DATA!A18511</f>
        <v/>
      </c>
      <c r="B18511">
        <f>TEST_DATA!B18511</f>
        <v/>
      </c>
      <c r="C18511">
        <f>TEST_DATA!C18511</f>
        <v/>
      </c>
      <c r="D18511">
        <f>TEST_DATA!D18511</f>
        <v/>
      </c>
      <c r="E18511">
        <f>TEST_DATA!E18511</f>
        <v/>
      </c>
    </row>
    <row r="18512">
      <c r="A18512">
        <f>TEST_DATA!A18512</f>
        <v/>
      </c>
      <c r="B18512">
        <f>TEST_DATA!B18512</f>
        <v/>
      </c>
      <c r="C18512">
        <f>TEST_DATA!C18512</f>
        <v/>
      </c>
      <c r="D18512">
        <f>TEST_DATA!D18512</f>
        <v/>
      </c>
      <c r="E18512">
        <f>TEST_DATA!E18512</f>
        <v/>
      </c>
    </row>
    <row r="18513">
      <c r="A18513">
        <f>TEST_DATA!A18513</f>
        <v/>
      </c>
      <c r="B18513">
        <f>TEST_DATA!B18513</f>
        <v/>
      </c>
      <c r="C18513">
        <f>TEST_DATA!C18513</f>
        <v/>
      </c>
      <c r="D18513">
        <f>TEST_DATA!D18513</f>
        <v/>
      </c>
      <c r="E18513">
        <f>TEST_DATA!E18513</f>
        <v/>
      </c>
    </row>
    <row r="18514">
      <c r="A18514">
        <f>TEST_DATA!A18514</f>
        <v/>
      </c>
      <c r="B18514">
        <f>TEST_DATA!B18514</f>
        <v/>
      </c>
      <c r="C18514">
        <f>TEST_DATA!C18514</f>
        <v/>
      </c>
      <c r="D18514">
        <f>TEST_DATA!D18514</f>
        <v/>
      </c>
      <c r="E18514">
        <f>TEST_DATA!E18514</f>
        <v/>
      </c>
    </row>
    <row r="18515">
      <c r="A18515">
        <f>TEST_DATA!A18515</f>
        <v/>
      </c>
      <c r="B18515">
        <f>TEST_DATA!B18515</f>
        <v/>
      </c>
      <c r="C18515">
        <f>TEST_DATA!C18515</f>
        <v/>
      </c>
      <c r="D18515">
        <f>TEST_DATA!D18515</f>
        <v/>
      </c>
      <c r="E18515">
        <f>TEST_DATA!E18515</f>
        <v/>
      </c>
    </row>
    <row r="18516">
      <c r="A18516">
        <f>TEST_DATA!A18516</f>
        <v/>
      </c>
      <c r="B18516">
        <f>TEST_DATA!B18516</f>
        <v/>
      </c>
      <c r="C18516">
        <f>TEST_DATA!C18516</f>
        <v/>
      </c>
      <c r="D18516">
        <f>TEST_DATA!D18516</f>
        <v/>
      </c>
      <c r="E18516">
        <f>TEST_DATA!E18516</f>
        <v/>
      </c>
    </row>
    <row r="18517">
      <c r="A18517">
        <f>TEST_DATA!A18517</f>
        <v/>
      </c>
      <c r="B18517">
        <f>TEST_DATA!B18517</f>
        <v/>
      </c>
      <c r="C18517">
        <f>TEST_DATA!C18517</f>
        <v/>
      </c>
      <c r="D18517">
        <f>TEST_DATA!D18517</f>
        <v/>
      </c>
      <c r="E18517">
        <f>TEST_DATA!E18517</f>
        <v/>
      </c>
    </row>
    <row r="18518">
      <c r="A18518">
        <f>TEST_DATA!A18518</f>
        <v/>
      </c>
      <c r="B18518">
        <f>TEST_DATA!B18518</f>
        <v/>
      </c>
      <c r="C18518">
        <f>TEST_DATA!C18518</f>
        <v/>
      </c>
      <c r="D18518">
        <f>TEST_DATA!D18518</f>
        <v/>
      </c>
      <c r="E18518">
        <f>TEST_DATA!E18518</f>
        <v/>
      </c>
    </row>
    <row r="18519">
      <c r="A18519">
        <f>TEST_DATA!A18519</f>
        <v/>
      </c>
      <c r="B18519">
        <f>TEST_DATA!B18519</f>
        <v/>
      </c>
      <c r="C18519">
        <f>TEST_DATA!C18519</f>
        <v/>
      </c>
      <c r="D18519">
        <f>TEST_DATA!D18519</f>
        <v/>
      </c>
      <c r="E18519">
        <f>TEST_DATA!E18519</f>
        <v/>
      </c>
    </row>
    <row r="18520">
      <c r="A18520">
        <f>TEST_DATA!A18520</f>
        <v/>
      </c>
      <c r="B18520">
        <f>TEST_DATA!B18520</f>
        <v/>
      </c>
      <c r="C18520">
        <f>TEST_DATA!C18520</f>
        <v/>
      </c>
      <c r="D18520">
        <f>TEST_DATA!D18520</f>
        <v/>
      </c>
      <c r="E18520">
        <f>TEST_DATA!E18520</f>
        <v/>
      </c>
    </row>
    <row r="18521">
      <c r="A18521">
        <f>TEST_DATA!A18521</f>
        <v/>
      </c>
      <c r="B18521">
        <f>TEST_DATA!B18521</f>
        <v/>
      </c>
      <c r="C18521">
        <f>TEST_DATA!C18521</f>
        <v/>
      </c>
      <c r="D18521">
        <f>TEST_DATA!D18521</f>
        <v/>
      </c>
      <c r="E18521">
        <f>TEST_DATA!E18521</f>
        <v/>
      </c>
    </row>
    <row r="18522">
      <c r="A18522">
        <f>TEST_DATA!A18522</f>
        <v/>
      </c>
      <c r="B18522">
        <f>TEST_DATA!B18522</f>
        <v/>
      </c>
      <c r="C18522">
        <f>TEST_DATA!C18522</f>
        <v/>
      </c>
      <c r="D18522">
        <f>TEST_DATA!D18522</f>
        <v/>
      </c>
      <c r="E18522">
        <f>TEST_DATA!E18522</f>
        <v/>
      </c>
    </row>
    <row r="18523">
      <c r="A18523">
        <f>TEST_DATA!A18523</f>
        <v/>
      </c>
      <c r="B18523">
        <f>TEST_DATA!B18523</f>
        <v/>
      </c>
      <c r="C18523">
        <f>TEST_DATA!C18523</f>
        <v/>
      </c>
      <c r="D18523">
        <f>TEST_DATA!D18523</f>
        <v/>
      </c>
      <c r="E18523">
        <f>TEST_DATA!E18523</f>
        <v/>
      </c>
    </row>
    <row r="18524">
      <c r="A18524">
        <f>TEST_DATA!A18524</f>
        <v/>
      </c>
      <c r="B18524">
        <f>TEST_DATA!B18524</f>
        <v/>
      </c>
      <c r="C18524">
        <f>TEST_DATA!C18524</f>
        <v/>
      </c>
      <c r="D18524">
        <f>TEST_DATA!D18524</f>
        <v/>
      </c>
      <c r="E18524">
        <f>TEST_DATA!E18524</f>
        <v/>
      </c>
    </row>
    <row r="18525">
      <c r="A18525">
        <f>TEST_DATA!A18525</f>
        <v/>
      </c>
      <c r="B18525">
        <f>TEST_DATA!B18525</f>
        <v/>
      </c>
      <c r="C18525">
        <f>TEST_DATA!C18525</f>
        <v/>
      </c>
      <c r="D18525">
        <f>TEST_DATA!D18525</f>
        <v/>
      </c>
      <c r="E18525">
        <f>TEST_DATA!E18525</f>
        <v/>
      </c>
    </row>
    <row r="18526">
      <c r="A18526">
        <f>TEST_DATA!A18526</f>
        <v/>
      </c>
      <c r="B18526">
        <f>TEST_DATA!B18526</f>
        <v/>
      </c>
      <c r="C18526">
        <f>TEST_DATA!C18526</f>
        <v/>
      </c>
      <c r="D18526">
        <f>TEST_DATA!D18526</f>
        <v/>
      </c>
      <c r="E18526">
        <f>TEST_DATA!E18526</f>
        <v/>
      </c>
    </row>
    <row r="18527">
      <c r="A18527">
        <f>TEST_DATA!A18527</f>
        <v/>
      </c>
      <c r="B18527">
        <f>TEST_DATA!B18527</f>
        <v/>
      </c>
      <c r="C18527">
        <f>TEST_DATA!C18527</f>
        <v/>
      </c>
      <c r="D18527">
        <f>TEST_DATA!D18527</f>
        <v/>
      </c>
      <c r="E18527">
        <f>TEST_DATA!E18527</f>
        <v/>
      </c>
    </row>
    <row r="18528">
      <c r="A18528">
        <f>TEST_DATA!A18528</f>
        <v/>
      </c>
      <c r="B18528">
        <f>TEST_DATA!B18528</f>
        <v/>
      </c>
      <c r="C18528">
        <f>TEST_DATA!C18528</f>
        <v/>
      </c>
      <c r="D18528">
        <f>TEST_DATA!D18528</f>
        <v/>
      </c>
      <c r="E18528">
        <f>TEST_DATA!E18528</f>
        <v/>
      </c>
    </row>
    <row r="18529">
      <c r="A18529">
        <f>TEST_DATA!A18529</f>
        <v/>
      </c>
      <c r="B18529">
        <f>TEST_DATA!B18529</f>
        <v/>
      </c>
      <c r="C18529">
        <f>TEST_DATA!C18529</f>
        <v/>
      </c>
      <c r="D18529">
        <f>TEST_DATA!D18529</f>
        <v/>
      </c>
      <c r="E18529">
        <f>TEST_DATA!E18529</f>
        <v/>
      </c>
    </row>
    <row r="18530">
      <c r="A18530">
        <f>TEST_DATA!A18530</f>
        <v/>
      </c>
      <c r="B18530">
        <f>TEST_DATA!B18530</f>
        <v/>
      </c>
      <c r="C18530">
        <f>TEST_DATA!C18530</f>
        <v/>
      </c>
      <c r="D18530">
        <f>TEST_DATA!D18530</f>
        <v/>
      </c>
      <c r="E18530">
        <f>TEST_DATA!E18530</f>
        <v/>
      </c>
    </row>
    <row r="18531">
      <c r="A18531">
        <f>TEST_DATA!A18531</f>
        <v/>
      </c>
      <c r="B18531">
        <f>TEST_DATA!B18531</f>
        <v/>
      </c>
      <c r="C18531">
        <f>TEST_DATA!C18531</f>
        <v/>
      </c>
      <c r="D18531">
        <f>TEST_DATA!D18531</f>
        <v/>
      </c>
      <c r="E18531">
        <f>TEST_DATA!E18531</f>
        <v/>
      </c>
    </row>
    <row r="18532">
      <c r="A18532">
        <f>TEST_DATA!A18532</f>
        <v/>
      </c>
      <c r="B18532">
        <f>TEST_DATA!B18532</f>
        <v/>
      </c>
      <c r="C18532">
        <f>TEST_DATA!C18532</f>
        <v/>
      </c>
      <c r="D18532">
        <f>TEST_DATA!D18532</f>
        <v/>
      </c>
      <c r="E18532">
        <f>TEST_DATA!E18532</f>
        <v/>
      </c>
    </row>
    <row r="18533">
      <c r="A18533">
        <f>TEST_DATA!A18533</f>
        <v/>
      </c>
      <c r="B18533">
        <f>TEST_DATA!B18533</f>
        <v/>
      </c>
      <c r="C18533">
        <f>TEST_DATA!C18533</f>
        <v/>
      </c>
      <c r="D18533">
        <f>TEST_DATA!D18533</f>
        <v/>
      </c>
      <c r="E18533">
        <f>TEST_DATA!E18533</f>
        <v/>
      </c>
    </row>
    <row r="18534">
      <c r="A18534">
        <f>TEST_DATA!A18534</f>
        <v/>
      </c>
      <c r="B18534">
        <f>TEST_DATA!B18534</f>
        <v/>
      </c>
      <c r="C18534">
        <f>TEST_DATA!C18534</f>
        <v/>
      </c>
      <c r="D18534">
        <f>TEST_DATA!D18534</f>
        <v/>
      </c>
      <c r="E18534">
        <f>TEST_DATA!E18534</f>
        <v/>
      </c>
    </row>
    <row r="18535">
      <c r="A18535">
        <f>TEST_DATA!A18535</f>
        <v/>
      </c>
      <c r="B18535">
        <f>TEST_DATA!B18535</f>
        <v/>
      </c>
      <c r="C18535">
        <f>TEST_DATA!C18535</f>
        <v/>
      </c>
      <c r="D18535">
        <f>TEST_DATA!D18535</f>
        <v/>
      </c>
      <c r="E18535">
        <f>TEST_DATA!E18535</f>
        <v/>
      </c>
    </row>
    <row r="18536">
      <c r="A18536">
        <f>TEST_DATA!A18536</f>
        <v/>
      </c>
      <c r="B18536">
        <f>TEST_DATA!B18536</f>
        <v/>
      </c>
      <c r="C18536">
        <f>TEST_DATA!C18536</f>
        <v/>
      </c>
      <c r="D18536">
        <f>TEST_DATA!D18536</f>
        <v/>
      </c>
      <c r="E18536">
        <f>TEST_DATA!E18536</f>
        <v/>
      </c>
    </row>
    <row r="18537">
      <c r="A18537">
        <f>TEST_DATA!A18537</f>
        <v/>
      </c>
      <c r="B18537">
        <f>TEST_DATA!B18537</f>
        <v/>
      </c>
      <c r="C18537">
        <f>TEST_DATA!C18537</f>
        <v/>
      </c>
      <c r="D18537">
        <f>TEST_DATA!D18537</f>
        <v/>
      </c>
      <c r="E18537">
        <f>TEST_DATA!E18537</f>
        <v/>
      </c>
    </row>
    <row r="18538">
      <c r="A18538">
        <f>TEST_DATA!A18538</f>
        <v/>
      </c>
      <c r="B18538">
        <f>TEST_DATA!B18538</f>
        <v/>
      </c>
      <c r="C18538">
        <f>TEST_DATA!C18538</f>
        <v/>
      </c>
      <c r="D18538">
        <f>TEST_DATA!D18538</f>
        <v/>
      </c>
      <c r="E18538">
        <f>TEST_DATA!E18538</f>
        <v/>
      </c>
    </row>
    <row r="18539">
      <c r="A18539">
        <f>TEST_DATA!A18539</f>
        <v/>
      </c>
      <c r="B18539">
        <f>TEST_DATA!B18539</f>
        <v/>
      </c>
      <c r="C18539">
        <f>TEST_DATA!C18539</f>
        <v/>
      </c>
      <c r="D18539">
        <f>TEST_DATA!D18539</f>
        <v/>
      </c>
      <c r="E18539">
        <f>TEST_DATA!E18539</f>
        <v/>
      </c>
    </row>
    <row r="18540">
      <c r="A18540">
        <f>TEST_DATA!A18540</f>
        <v/>
      </c>
      <c r="B18540">
        <f>TEST_DATA!B18540</f>
        <v/>
      </c>
      <c r="C18540">
        <f>TEST_DATA!C18540</f>
        <v/>
      </c>
      <c r="D18540">
        <f>TEST_DATA!D18540</f>
        <v/>
      </c>
      <c r="E18540">
        <f>TEST_DATA!E18540</f>
        <v/>
      </c>
    </row>
    <row r="18541">
      <c r="A18541">
        <f>TEST_DATA!A18541</f>
        <v/>
      </c>
      <c r="B18541">
        <f>TEST_DATA!B18541</f>
        <v/>
      </c>
      <c r="C18541">
        <f>TEST_DATA!C18541</f>
        <v/>
      </c>
      <c r="D18541">
        <f>TEST_DATA!D18541</f>
        <v/>
      </c>
      <c r="E18541">
        <f>TEST_DATA!E18541</f>
        <v/>
      </c>
    </row>
    <row r="18542">
      <c r="A18542">
        <f>TEST_DATA!A18542</f>
        <v/>
      </c>
      <c r="B18542">
        <f>TEST_DATA!B18542</f>
        <v/>
      </c>
      <c r="C18542">
        <f>TEST_DATA!C18542</f>
        <v/>
      </c>
      <c r="D18542">
        <f>TEST_DATA!D18542</f>
        <v/>
      </c>
      <c r="E18542">
        <f>TEST_DATA!E18542</f>
        <v/>
      </c>
    </row>
    <row r="18543">
      <c r="A18543">
        <f>TEST_DATA!A18543</f>
        <v/>
      </c>
      <c r="B18543">
        <f>TEST_DATA!B18543</f>
        <v/>
      </c>
      <c r="C18543">
        <f>TEST_DATA!C18543</f>
        <v/>
      </c>
      <c r="D18543">
        <f>TEST_DATA!D18543</f>
        <v/>
      </c>
      <c r="E18543">
        <f>TEST_DATA!E18543</f>
        <v/>
      </c>
    </row>
    <row r="18544">
      <c r="A18544">
        <f>TEST_DATA!A18544</f>
        <v/>
      </c>
      <c r="B18544">
        <f>TEST_DATA!B18544</f>
        <v/>
      </c>
      <c r="C18544">
        <f>TEST_DATA!C18544</f>
        <v/>
      </c>
      <c r="D18544">
        <f>TEST_DATA!D18544</f>
        <v/>
      </c>
      <c r="E18544">
        <f>TEST_DATA!E18544</f>
        <v/>
      </c>
    </row>
    <row r="18545">
      <c r="A18545">
        <f>TEST_DATA!A18545</f>
        <v/>
      </c>
      <c r="B18545">
        <f>TEST_DATA!B18545</f>
        <v/>
      </c>
      <c r="C18545">
        <f>TEST_DATA!C18545</f>
        <v/>
      </c>
      <c r="D18545">
        <f>TEST_DATA!D18545</f>
        <v/>
      </c>
      <c r="E18545">
        <f>TEST_DATA!E18545</f>
        <v/>
      </c>
    </row>
    <row r="18546">
      <c r="A18546">
        <f>TEST_DATA!A18546</f>
        <v/>
      </c>
      <c r="B18546">
        <f>TEST_DATA!B18546</f>
        <v/>
      </c>
      <c r="C18546">
        <f>TEST_DATA!C18546</f>
        <v/>
      </c>
      <c r="D18546">
        <f>TEST_DATA!D18546</f>
        <v/>
      </c>
      <c r="E18546">
        <f>TEST_DATA!E18546</f>
        <v/>
      </c>
    </row>
    <row r="18547">
      <c r="A18547">
        <f>TEST_DATA!A18547</f>
        <v/>
      </c>
      <c r="B18547">
        <f>TEST_DATA!B18547</f>
        <v/>
      </c>
      <c r="C18547">
        <f>TEST_DATA!C18547</f>
        <v/>
      </c>
      <c r="D18547">
        <f>TEST_DATA!D18547</f>
        <v/>
      </c>
      <c r="E18547">
        <f>TEST_DATA!E18547</f>
        <v/>
      </c>
    </row>
    <row r="18548">
      <c r="A18548">
        <f>TEST_DATA!A18548</f>
        <v/>
      </c>
      <c r="B18548">
        <f>TEST_DATA!B18548</f>
        <v/>
      </c>
      <c r="C18548">
        <f>TEST_DATA!C18548</f>
        <v/>
      </c>
      <c r="D18548">
        <f>TEST_DATA!D18548</f>
        <v/>
      </c>
      <c r="E18548">
        <f>TEST_DATA!E18548</f>
        <v/>
      </c>
    </row>
    <row r="18549">
      <c r="A18549">
        <f>TEST_DATA!A18549</f>
        <v/>
      </c>
      <c r="B18549">
        <f>TEST_DATA!B18549</f>
        <v/>
      </c>
      <c r="C18549">
        <f>TEST_DATA!C18549</f>
        <v/>
      </c>
      <c r="D18549">
        <f>TEST_DATA!D18549</f>
        <v/>
      </c>
      <c r="E18549">
        <f>TEST_DATA!E18549</f>
        <v/>
      </c>
    </row>
    <row r="18550">
      <c r="A18550">
        <f>TEST_DATA!A18550</f>
        <v/>
      </c>
      <c r="B18550">
        <f>TEST_DATA!B18550</f>
        <v/>
      </c>
      <c r="C18550">
        <f>TEST_DATA!C18550</f>
        <v/>
      </c>
      <c r="D18550">
        <f>TEST_DATA!D18550</f>
        <v/>
      </c>
      <c r="E18550">
        <f>TEST_DATA!E18550</f>
        <v/>
      </c>
    </row>
    <row r="18551">
      <c r="A18551">
        <f>TEST_DATA!A18551</f>
        <v/>
      </c>
      <c r="B18551">
        <f>TEST_DATA!B18551</f>
        <v/>
      </c>
      <c r="C18551">
        <f>TEST_DATA!C18551</f>
        <v/>
      </c>
      <c r="D18551">
        <f>TEST_DATA!D18551</f>
        <v/>
      </c>
      <c r="E18551">
        <f>TEST_DATA!E18551</f>
        <v/>
      </c>
    </row>
    <row r="18552">
      <c r="A18552">
        <f>TEST_DATA!A18552</f>
        <v/>
      </c>
      <c r="B18552">
        <f>TEST_DATA!B18552</f>
        <v/>
      </c>
      <c r="C18552">
        <f>TEST_DATA!C18552</f>
        <v/>
      </c>
      <c r="D18552">
        <f>TEST_DATA!D18552</f>
        <v/>
      </c>
      <c r="E18552">
        <f>TEST_DATA!E18552</f>
        <v/>
      </c>
    </row>
    <row r="18553">
      <c r="A18553">
        <f>TEST_DATA!A18553</f>
        <v/>
      </c>
      <c r="B18553">
        <f>TEST_DATA!B18553</f>
        <v/>
      </c>
      <c r="C18553">
        <f>TEST_DATA!C18553</f>
        <v/>
      </c>
      <c r="D18553">
        <f>TEST_DATA!D18553</f>
        <v/>
      </c>
      <c r="E18553">
        <f>TEST_DATA!E18553</f>
        <v/>
      </c>
    </row>
    <row r="18554">
      <c r="A18554">
        <f>TEST_DATA!A18554</f>
        <v/>
      </c>
      <c r="B18554">
        <f>TEST_DATA!B18554</f>
        <v/>
      </c>
      <c r="C18554">
        <f>TEST_DATA!C18554</f>
        <v/>
      </c>
      <c r="D18554">
        <f>TEST_DATA!D18554</f>
        <v/>
      </c>
      <c r="E18554">
        <f>TEST_DATA!E18554</f>
        <v/>
      </c>
    </row>
    <row r="18555">
      <c r="A18555">
        <f>TEST_DATA!A18555</f>
        <v/>
      </c>
      <c r="B18555">
        <f>TEST_DATA!B18555</f>
        <v/>
      </c>
      <c r="C18555">
        <f>TEST_DATA!C18555</f>
        <v/>
      </c>
      <c r="D18555">
        <f>TEST_DATA!D18555</f>
        <v/>
      </c>
      <c r="E18555">
        <f>TEST_DATA!E18555</f>
        <v/>
      </c>
    </row>
    <row r="18556">
      <c r="A18556">
        <f>TEST_DATA!A18556</f>
        <v/>
      </c>
      <c r="B18556">
        <f>TEST_DATA!B18556</f>
        <v/>
      </c>
      <c r="C18556">
        <f>TEST_DATA!C18556</f>
        <v/>
      </c>
      <c r="D18556">
        <f>TEST_DATA!D18556</f>
        <v/>
      </c>
      <c r="E18556">
        <f>TEST_DATA!E18556</f>
        <v/>
      </c>
    </row>
    <row r="18557">
      <c r="A18557">
        <f>TEST_DATA!A18557</f>
        <v/>
      </c>
      <c r="B18557">
        <f>TEST_DATA!B18557</f>
        <v/>
      </c>
      <c r="C18557">
        <f>TEST_DATA!C18557</f>
        <v/>
      </c>
      <c r="D18557">
        <f>TEST_DATA!D18557</f>
        <v/>
      </c>
      <c r="E18557">
        <f>TEST_DATA!E18557</f>
        <v/>
      </c>
    </row>
    <row r="18558">
      <c r="A18558">
        <f>TEST_DATA!A18558</f>
        <v/>
      </c>
      <c r="B18558">
        <f>TEST_DATA!B18558</f>
        <v/>
      </c>
      <c r="C18558">
        <f>TEST_DATA!C18558</f>
        <v/>
      </c>
      <c r="D18558">
        <f>TEST_DATA!D18558</f>
        <v/>
      </c>
      <c r="E18558">
        <f>TEST_DATA!E18558</f>
        <v/>
      </c>
    </row>
    <row r="18559">
      <c r="A18559">
        <f>TEST_DATA!A18559</f>
        <v/>
      </c>
      <c r="B18559">
        <f>TEST_DATA!B18559</f>
        <v/>
      </c>
      <c r="C18559">
        <f>TEST_DATA!C18559</f>
        <v/>
      </c>
      <c r="D18559">
        <f>TEST_DATA!D18559</f>
        <v/>
      </c>
      <c r="E18559">
        <f>TEST_DATA!E18559</f>
        <v/>
      </c>
    </row>
    <row r="18560">
      <c r="A18560">
        <f>TEST_DATA!A18560</f>
        <v/>
      </c>
      <c r="B18560">
        <f>TEST_DATA!B18560</f>
        <v/>
      </c>
      <c r="C18560">
        <f>TEST_DATA!C18560</f>
        <v/>
      </c>
      <c r="D18560">
        <f>TEST_DATA!D18560</f>
        <v/>
      </c>
      <c r="E18560">
        <f>TEST_DATA!E18560</f>
        <v/>
      </c>
    </row>
    <row r="18561">
      <c r="A18561">
        <f>TEST_DATA!A18561</f>
        <v/>
      </c>
      <c r="B18561">
        <f>TEST_DATA!B18561</f>
        <v/>
      </c>
      <c r="C18561">
        <f>TEST_DATA!C18561</f>
        <v/>
      </c>
      <c r="D18561">
        <f>TEST_DATA!D18561</f>
        <v/>
      </c>
      <c r="E18561">
        <f>TEST_DATA!E18561</f>
        <v/>
      </c>
    </row>
    <row r="18562">
      <c r="A18562">
        <f>TEST_DATA!A18562</f>
        <v/>
      </c>
      <c r="B18562">
        <f>TEST_DATA!B18562</f>
        <v/>
      </c>
      <c r="C18562">
        <f>TEST_DATA!C18562</f>
        <v/>
      </c>
      <c r="D18562">
        <f>TEST_DATA!D18562</f>
        <v/>
      </c>
      <c r="E18562">
        <f>TEST_DATA!E18562</f>
        <v/>
      </c>
    </row>
    <row r="18563">
      <c r="A18563">
        <f>TEST_DATA!A18563</f>
        <v/>
      </c>
      <c r="B18563">
        <f>TEST_DATA!B18563</f>
        <v/>
      </c>
      <c r="C18563">
        <f>TEST_DATA!C18563</f>
        <v/>
      </c>
      <c r="D18563">
        <f>TEST_DATA!D18563</f>
        <v/>
      </c>
      <c r="E18563">
        <f>TEST_DATA!E18563</f>
        <v/>
      </c>
    </row>
    <row r="18564">
      <c r="A18564">
        <f>TEST_DATA!A18564</f>
        <v/>
      </c>
      <c r="B18564">
        <f>TEST_DATA!B18564</f>
        <v/>
      </c>
      <c r="C18564">
        <f>TEST_DATA!C18564</f>
        <v/>
      </c>
      <c r="D18564">
        <f>TEST_DATA!D18564</f>
        <v/>
      </c>
      <c r="E18564">
        <f>TEST_DATA!E18564</f>
        <v/>
      </c>
    </row>
    <row r="18565">
      <c r="A18565">
        <f>TEST_DATA!A18565</f>
        <v/>
      </c>
      <c r="B18565">
        <f>TEST_DATA!B18565</f>
        <v/>
      </c>
      <c r="C18565">
        <f>TEST_DATA!C18565</f>
        <v/>
      </c>
      <c r="D18565">
        <f>TEST_DATA!D18565</f>
        <v/>
      </c>
      <c r="E18565">
        <f>TEST_DATA!E18565</f>
        <v/>
      </c>
    </row>
    <row r="18566">
      <c r="A18566">
        <f>TEST_DATA!A18566</f>
        <v/>
      </c>
      <c r="B18566">
        <f>TEST_DATA!B18566</f>
        <v/>
      </c>
      <c r="C18566">
        <f>TEST_DATA!C18566</f>
        <v/>
      </c>
      <c r="D18566">
        <f>TEST_DATA!D18566</f>
        <v/>
      </c>
      <c r="E18566">
        <f>TEST_DATA!E18566</f>
        <v/>
      </c>
    </row>
    <row r="18567">
      <c r="A18567">
        <f>TEST_DATA!A18567</f>
        <v/>
      </c>
      <c r="B18567">
        <f>TEST_DATA!B18567</f>
        <v/>
      </c>
      <c r="C18567">
        <f>TEST_DATA!C18567</f>
        <v/>
      </c>
      <c r="D18567">
        <f>TEST_DATA!D18567</f>
        <v/>
      </c>
      <c r="E18567">
        <f>TEST_DATA!E18567</f>
        <v/>
      </c>
    </row>
    <row r="18568">
      <c r="A18568">
        <f>TEST_DATA!A18568</f>
        <v/>
      </c>
      <c r="B18568">
        <f>TEST_DATA!B18568</f>
        <v/>
      </c>
      <c r="C18568">
        <f>TEST_DATA!C18568</f>
        <v/>
      </c>
      <c r="D18568">
        <f>TEST_DATA!D18568</f>
        <v/>
      </c>
      <c r="E18568">
        <f>TEST_DATA!E18568</f>
        <v/>
      </c>
    </row>
    <row r="18569">
      <c r="A18569">
        <f>TEST_DATA!A18569</f>
        <v/>
      </c>
      <c r="B18569">
        <f>TEST_DATA!B18569</f>
        <v/>
      </c>
      <c r="C18569">
        <f>TEST_DATA!C18569</f>
        <v/>
      </c>
      <c r="D18569">
        <f>TEST_DATA!D18569</f>
        <v/>
      </c>
      <c r="E18569">
        <f>TEST_DATA!E18569</f>
        <v/>
      </c>
    </row>
    <row r="18570">
      <c r="A18570">
        <f>TEST_DATA!A18570</f>
        <v/>
      </c>
      <c r="B18570">
        <f>TEST_DATA!B18570</f>
        <v/>
      </c>
      <c r="C18570">
        <f>TEST_DATA!C18570</f>
        <v/>
      </c>
      <c r="D18570">
        <f>TEST_DATA!D18570</f>
        <v/>
      </c>
      <c r="E18570">
        <f>TEST_DATA!E18570</f>
        <v/>
      </c>
    </row>
    <row r="18571">
      <c r="A18571">
        <f>TEST_DATA!A18571</f>
        <v/>
      </c>
      <c r="B18571">
        <f>TEST_DATA!B18571</f>
        <v/>
      </c>
      <c r="C18571">
        <f>TEST_DATA!C18571</f>
        <v/>
      </c>
      <c r="D18571">
        <f>TEST_DATA!D18571</f>
        <v/>
      </c>
      <c r="E18571">
        <f>TEST_DATA!E18571</f>
        <v/>
      </c>
    </row>
    <row r="18572">
      <c r="A18572">
        <f>TEST_DATA!A18572</f>
        <v/>
      </c>
      <c r="B18572">
        <f>TEST_DATA!B18572</f>
        <v/>
      </c>
      <c r="C18572">
        <f>TEST_DATA!C18572</f>
        <v/>
      </c>
      <c r="D18572">
        <f>TEST_DATA!D18572</f>
        <v/>
      </c>
      <c r="E18572">
        <f>TEST_DATA!E18572</f>
        <v/>
      </c>
    </row>
    <row r="18573">
      <c r="A18573">
        <f>TEST_DATA!A18573</f>
        <v/>
      </c>
      <c r="B18573">
        <f>TEST_DATA!B18573</f>
        <v/>
      </c>
      <c r="C18573">
        <f>TEST_DATA!C18573</f>
        <v/>
      </c>
      <c r="D18573">
        <f>TEST_DATA!D18573</f>
        <v/>
      </c>
      <c r="E18573">
        <f>TEST_DATA!E18573</f>
        <v/>
      </c>
    </row>
    <row r="18574">
      <c r="A18574">
        <f>TEST_DATA!A18574</f>
        <v/>
      </c>
      <c r="B18574">
        <f>TEST_DATA!B18574</f>
        <v/>
      </c>
      <c r="C18574">
        <f>TEST_DATA!C18574</f>
        <v/>
      </c>
      <c r="D18574">
        <f>TEST_DATA!D18574</f>
        <v/>
      </c>
      <c r="E18574">
        <f>TEST_DATA!E18574</f>
        <v/>
      </c>
    </row>
    <row r="18575">
      <c r="A18575">
        <f>TEST_DATA!A18575</f>
        <v/>
      </c>
      <c r="B18575">
        <f>TEST_DATA!B18575</f>
        <v/>
      </c>
      <c r="C18575">
        <f>TEST_DATA!C18575</f>
        <v/>
      </c>
      <c r="D18575">
        <f>TEST_DATA!D18575</f>
        <v/>
      </c>
      <c r="E18575">
        <f>TEST_DATA!E18575</f>
        <v/>
      </c>
    </row>
    <row r="18576">
      <c r="A18576">
        <f>TEST_DATA!A18576</f>
        <v/>
      </c>
      <c r="B18576">
        <f>TEST_DATA!B18576</f>
        <v/>
      </c>
      <c r="C18576">
        <f>TEST_DATA!C18576</f>
        <v/>
      </c>
      <c r="D18576">
        <f>TEST_DATA!D18576</f>
        <v/>
      </c>
      <c r="E18576">
        <f>TEST_DATA!E18576</f>
        <v/>
      </c>
    </row>
    <row r="18577">
      <c r="A18577">
        <f>TEST_DATA!A18577</f>
        <v/>
      </c>
      <c r="B18577">
        <f>TEST_DATA!B18577</f>
        <v/>
      </c>
      <c r="C18577">
        <f>TEST_DATA!C18577</f>
        <v/>
      </c>
      <c r="D18577">
        <f>TEST_DATA!D18577</f>
        <v/>
      </c>
      <c r="E18577">
        <f>TEST_DATA!E18577</f>
        <v/>
      </c>
    </row>
    <row r="18578">
      <c r="A18578">
        <f>TEST_DATA!A18578</f>
        <v/>
      </c>
      <c r="B18578">
        <f>TEST_DATA!B18578</f>
        <v/>
      </c>
      <c r="C18578">
        <f>TEST_DATA!C18578</f>
        <v/>
      </c>
      <c r="D18578">
        <f>TEST_DATA!D18578</f>
        <v/>
      </c>
      <c r="E18578">
        <f>TEST_DATA!E18578</f>
        <v/>
      </c>
    </row>
    <row r="18579">
      <c r="A18579">
        <f>TEST_DATA!A18579</f>
        <v/>
      </c>
      <c r="B18579">
        <f>TEST_DATA!B18579</f>
        <v/>
      </c>
      <c r="C18579">
        <f>TEST_DATA!C18579</f>
        <v/>
      </c>
      <c r="D18579">
        <f>TEST_DATA!D18579</f>
        <v/>
      </c>
      <c r="E18579">
        <f>TEST_DATA!E18579</f>
        <v/>
      </c>
    </row>
    <row r="18580">
      <c r="A18580">
        <f>TEST_DATA!A18580</f>
        <v/>
      </c>
      <c r="B18580">
        <f>TEST_DATA!B18580</f>
        <v/>
      </c>
      <c r="C18580">
        <f>TEST_DATA!C18580</f>
        <v/>
      </c>
      <c r="D18580">
        <f>TEST_DATA!D18580</f>
        <v/>
      </c>
      <c r="E18580">
        <f>TEST_DATA!E18580</f>
        <v/>
      </c>
    </row>
    <row r="18581">
      <c r="A18581">
        <f>TEST_DATA!A18581</f>
        <v/>
      </c>
      <c r="B18581">
        <f>TEST_DATA!B18581</f>
        <v/>
      </c>
      <c r="C18581">
        <f>TEST_DATA!C18581</f>
        <v/>
      </c>
      <c r="D18581">
        <f>TEST_DATA!D18581</f>
        <v/>
      </c>
      <c r="E18581">
        <f>TEST_DATA!E18581</f>
        <v/>
      </c>
    </row>
    <row r="18582">
      <c r="A18582">
        <f>TEST_DATA!A18582</f>
        <v/>
      </c>
      <c r="B18582">
        <f>TEST_DATA!B18582</f>
        <v/>
      </c>
      <c r="C18582">
        <f>TEST_DATA!C18582</f>
        <v/>
      </c>
      <c r="D18582">
        <f>TEST_DATA!D18582</f>
        <v/>
      </c>
      <c r="E18582">
        <f>TEST_DATA!E18582</f>
        <v/>
      </c>
    </row>
    <row r="18583">
      <c r="A18583">
        <f>TEST_DATA!A18583</f>
        <v/>
      </c>
      <c r="B18583">
        <f>TEST_DATA!B18583</f>
        <v/>
      </c>
      <c r="C18583">
        <f>TEST_DATA!C18583</f>
        <v/>
      </c>
      <c r="D18583">
        <f>TEST_DATA!D18583</f>
        <v/>
      </c>
      <c r="E18583">
        <f>TEST_DATA!E18583</f>
        <v/>
      </c>
    </row>
    <row r="18584">
      <c r="A18584">
        <f>TEST_DATA!A18584</f>
        <v/>
      </c>
      <c r="B18584">
        <f>TEST_DATA!B18584</f>
        <v/>
      </c>
      <c r="C18584">
        <f>TEST_DATA!C18584</f>
        <v/>
      </c>
      <c r="D18584">
        <f>TEST_DATA!D18584</f>
        <v/>
      </c>
      <c r="E18584">
        <f>TEST_DATA!E18584</f>
        <v/>
      </c>
    </row>
    <row r="18585">
      <c r="A18585">
        <f>TEST_DATA!A18585</f>
        <v/>
      </c>
      <c r="B18585">
        <f>TEST_DATA!B18585</f>
        <v/>
      </c>
      <c r="C18585">
        <f>TEST_DATA!C18585</f>
        <v/>
      </c>
      <c r="D18585">
        <f>TEST_DATA!D18585</f>
        <v/>
      </c>
      <c r="E18585">
        <f>TEST_DATA!E18585</f>
        <v/>
      </c>
    </row>
    <row r="18586">
      <c r="A18586">
        <f>TEST_DATA!A18586</f>
        <v/>
      </c>
      <c r="B18586">
        <f>TEST_DATA!B18586</f>
        <v/>
      </c>
      <c r="C18586">
        <f>TEST_DATA!C18586</f>
        <v/>
      </c>
      <c r="D18586">
        <f>TEST_DATA!D18586</f>
        <v/>
      </c>
      <c r="E18586">
        <f>TEST_DATA!E18586</f>
        <v/>
      </c>
    </row>
    <row r="18587">
      <c r="A18587">
        <f>TEST_DATA!A18587</f>
        <v/>
      </c>
      <c r="B18587">
        <f>TEST_DATA!B18587</f>
        <v/>
      </c>
      <c r="C18587">
        <f>TEST_DATA!C18587</f>
        <v/>
      </c>
      <c r="D18587">
        <f>TEST_DATA!D18587</f>
        <v/>
      </c>
      <c r="E18587">
        <f>TEST_DATA!E18587</f>
        <v/>
      </c>
    </row>
    <row r="18588">
      <c r="A18588">
        <f>TEST_DATA!A18588</f>
        <v/>
      </c>
      <c r="B18588">
        <f>TEST_DATA!B18588</f>
        <v/>
      </c>
      <c r="C18588">
        <f>TEST_DATA!C18588</f>
        <v/>
      </c>
      <c r="D18588">
        <f>TEST_DATA!D18588</f>
        <v/>
      </c>
      <c r="E18588">
        <f>TEST_DATA!E18588</f>
        <v/>
      </c>
    </row>
    <row r="18589">
      <c r="A18589">
        <f>TEST_DATA!A18589</f>
        <v/>
      </c>
      <c r="B18589">
        <f>TEST_DATA!B18589</f>
        <v/>
      </c>
      <c r="C18589">
        <f>TEST_DATA!C18589</f>
        <v/>
      </c>
      <c r="D18589">
        <f>TEST_DATA!D18589</f>
        <v/>
      </c>
      <c r="E18589">
        <f>TEST_DATA!E18589</f>
        <v/>
      </c>
    </row>
    <row r="18590">
      <c r="A18590">
        <f>TEST_DATA!A18590</f>
        <v/>
      </c>
      <c r="B18590">
        <f>TEST_DATA!B18590</f>
        <v/>
      </c>
      <c r="C18590">
        <f>TEST_DATA!C18590</f>
        <v/>
      </c>
      <c r="D18590">
        <f>TEST_DATA!D18590</f>
        <v/>
      </c>
      <c r="E18590">
        <f>TEST_DATA!E18590</f>
        <v/>
      </c>
    </row>
    <row r="18591">
      <c r="A18591">
        <f>TEST_DATA!A18591</f>
        <v/>
      </c>
      <c r="B18591">
        <f>TEST_DATA!B18591</f>
        <v/>
      </c>
      <c r="C18591">
        <f>TEST_DATA!C18591</f>
        <v/>
      </c>
      <c r="D18591">
        <f>TEST_DATA!D18591</f>
        <v/>
      </c>
      <c r="E18591">
        <f>TEST_DATA!E18591</f>
        <v/>
      </c>
    </row>
    <row r="18592">
      <c r="A18592">
        <f>TEST_DATA!A18592</f>
        <v/>
      </c>
      <c r="B18592">
        <f>TEST_DATA!B18592</f>
        <v/>
      </c>
      <c r="C18592">
        <f>TEST_DATA!C18592</f>
        <v/>
      </c>
      <c r="D18592">
        <f>TEST_DATA!D18592</f>
        <v/>
      </c>
      <c r="E18592">
        <f>TEST_DATA!E18592</f>
        <v/>
      </c>
    </row>
    <row r="18593">
      <c r="A18593">
        <f>TEST_DATA!A18593</f>
        <v/>
      </c>
      <c r="B18593">
        <f>TEST_DATA!B18593</f>
        <v/>
      </c>
      <c r="C18593">
        <f>TEST_DATA!C18593</f>
        <v/>
      </c>
      <c r="D18593">
        <f>TEST_DATA!D18593</f>
        <v/>
      </c>
      <c r="E18593">
        <f>TEST_DATA!E18593</f>
        <v/>
      </c>
    </row>
    <row r="18594">
      <c r="A18594">
        <f>TEST_DATA!A18594</f>
        <v/>
      </c>
      <c r="B18594">
        <f>TEST_DATA!B18594</f>
        <v/>
      </c>
      <c r="C18594">
        <f>TEST_DATA!C18594</f>
        <v/>
      </c>
      <c r="D18594">
        <f>TEST_DATA!D18594</f>
        <v/>
      </c>
      <c r="E18594">
        <f>TEST_DATA!E18594</f>
        <v/>
      </c>
    </row>
    <row r="18595">
      <c r="A18595">
        <f>TEST_DATA!A18595</f>
        <v/>
      </c>
      <c r="B18595">
        <f>TEST_DATA!B18595</f>
        <v/>
      </c>
      <c r="C18595">
        <f>TEST_DATA!C18595</f>
        <v/>
      </c>
      <c r="D18595">
        <f>TEST_DATA!D18595</f>
        <v/>
      </c>
      <c r="E18595">
        <f>TEST_DATA!E18595</f>
        <v/>
      </c>
    </row>
    <row r="18596">
      <c r="A18596">
        <f>TEST_DATA!A18596</f>
        <v/>
      </c>
      <c r="B18596">
        <f>TEST_DATA!B18596</f>
        <v/>
      </c>
      <c r="C18596">
        <f>TEST_DATA!C18596</f>
        <v/>
      </c>
      <c r="D18596">
        <f>TEST_DATA!D18596</f>
        <v/>
      </c>
      <c r="E18596">
        <f>TEST_DATA!E18596</f>
        <v/>
      </c>
    </row>
    <row r="18597">
      <c r="A18597">
        <f>TEST_DATA!A18597</f>
        <v/>
      </c>
      <c r="B18597">
        <f>TEST_DATA!B18597</f>
        <v/>
      </c>
      <c r="C18597">
        <f>TEST_DATA!C18597</f>
        <v/>
      </c>
      <c r="D18597">
        <f>TEST_DATA!D18597</f>
        <v/>
      </c>
      <c r="E18597">
        <f>TEST_DATA!E18597</f>
        <v/>
      </c>
    </row>
    <row r="18598">
      <c r="A18598">
        <f>TEST_DATA!A18598</f>
        <v/>
      </c>
      <c r="B18598">
        <f>TEST_DATA!B18598</f>
        <v/>
      </c>
      <c r="C18598">
        <f>TEST_DATA!C18598</f>
        <v/>
      </c>
      <c r="D18598">
        <f>TEST_DATA!D18598</f>
        <v/>
      </c>
      <c r="E18598">
        <f>TEST_DATA!E18598</f>
        <v/>
      </c>
    </row>
    <row r="18599">
      <c r="A18599">
        <f>TEST_DATA!A18599</f>
        <v/>
      </c>
      <c r="B18599">
        <f>TEST_DATA!B18599</f>
        <v/>
      </c>
      <c r="C18599">
        <f>TEST_DATA!C18599</f>
        <v/>
      </c>
      <c r="D18599">
        <f>TEST_DATA!D18599</f>
        <v/>
      </c>
      <c r="E18599">
        <f>TEST_DATA!E18599</f>
        <v/>
      </c>
    </row>
    <row r="18600">
      <c r="A18600">
        <f>TEST_DATA!A18600</f>
        <v/>
      </c>
      <c r="B18600">
        <f>TEST_DATA!B18600</f>
        <v/>
      </c>
      <c r="C18600">
        <f>TEST_DATA!C18600</f>
        <v/>
      </c>
      <c r="D18600">
        <f>TEST_DATA!D18600</f>
        <v/>
      </c>
      <c r="E18600">
        <f>TEST_DATA!E18600</f>
        <v/>
      </c>
    </row>
    <row r="18601">
      <c r="A18601">
        <f>TEST_DATA!A18601</f>
        <v/>
      </c>
      <c r="B18601">
        <f>TEST_DATA!B18601</f>
        <v/>
      </c>
      <c r="C18601">
        <f>TEST_DATA!C18601</f>
        <v/>
      </c>
      <c r="D18601">
        <f>TEST_DATA!D18601</f>
        <v/>
      </c>
      <c r="E18601">
        <f>TEST_DATA!E18601</f>
        <v/>
      </c>
    </row>
    <row r="18602">
      <c r="A18602">
        <f>TEST_DATA!A18602</f>
        <v/>
      </c>
      <c r="B18602">
        <f>TEST_DATA!B18602</f>
        <v/>
      </c>
      <c r="C18602">
        <f>TEST_DATA!C18602</f>
        <v/>
      </c>
      <c r="D18602">
        <f>TEST_DATA!D18602</f>
        <v/>
      </c>
      <c r="E18602">
        <f>TEST_DATA!E18602</f>
        <v/>
      </c>
    </row>
    <row r="18603">
      <c r="A18603">
        <f>TEST_DATA!A18603</f>
        <v/>
      </c>
      <c r="B18603">
        <f>TEST_DATA!B18603</f>
        <v/>
      </c>
      <c r="C18603">
        <f>TEST_DATA!C18603</f>
        <v/>
      </c>
      <c r="D18603">
        <f>TEST_DATA!D18603</f>
        <v/>
      </c>
      <c r="E18603">
        <f>TEST_DATA!E18603</f>
        <v/>
      </c>
    </row>
    <row r="18604">
      <c r="A18604">
        <f>TEST_DATA!A18604</f>
        <v/>
      </c>
      <c r="B18604">
        <f>TEST_DATA!B18604</f>
        <v/>
      </c>
      <c r="C18604">
        <f>TEST_DATA!C18604</f>
        <v/>
      </c>
      <c r="D18604">
        <f>TEST_DATA!D18604</f>
        <v/>
      </c>
      <c r="E18604">
        <f>TEST_DATA!E18604</f>
        <v/>
      </c>
    </row>
    <row r="18605">
      <c r="A18605">
        <f>TEST_DATA!A18605</f>
        <v/>
      </c>
      <c r="B18605">
        <f>TEST_DATA!B18605</f>
        <v/>
      </c>
      <c r="C18605">
        <f>TEST_DATA!C18605</f>
        <v/>
      </c>
      <c r="D18605">
        <f>TEST_DATA!D18605</f>
        <v/>
      </c>
      <c r="E18605">
        <f>TEST_DATA!E18605</f>
        <v/>
      </c>
    </row>
    <row r="18606">
      <c r="A18606">
        <f>TEST_DATA!A18606</f>
        <v/>
      </c>
      <c r="B18606">
        <f>TEST_DATA!B18606</f>
        <v/>
      </c>
      <c r="C18606">
        <f>TEST_DATA!C18606</f>
        <v/>
      </c>
      <c r="D18606">
        <f>TEST_DATA!D18606</f>
        <v/>
      </c>
      <c r="E18606">
        <f>TEST_DATA!E18606</f>
        <v/>
      </c>
    </row>
    <row r="18607">
      <c r="A18607">
        <f>TEST_DATA!A18607</f>
        <v/>
      </c>
      <c r="B18607">
        <f>TEST_DATA!B18607</f>
        <v/>
      </c>
      <c r="C18607">
        <f>TEST_DATA!C18607</f>
        <v/>
      </c>
      <c r="D18607">
        <f>TEST_DATA!D18607</f>
        <v/>
      </c>
      <c r="E18607">
        <f>TEST_DATA!E18607</f>
        <v/>
      </c>
    </row>
    <row r="18608">
      <c r="A18608">
        <f>TEST_DATA!A18608</f>
        <v/>
      </c>
      <c r="B18608">
        <f>TEST_DATA!B18608</f>
        <v/>
      </c>
      <c r="C18608">
        <f>TEST_DATA!C18608</f>
        <v/>
      </c>
      <c r="D18608">
        <f>TEST_DATA!D18608</f>
        <v/>
      </c>
      <c r="E18608">
        <f>TEST_DATA!E18608</f>
        <v/>
      </c>
    </row>
    <row r="18609">
      <c r="A18609">
        <f>TEST_DATA!A18609</f>
        <v/>
      </c>
      <c r="B18609">
        <f>TEST_DATA!B18609</f>
        <v/>
      </c>
      <c r="C18609">
        <f>TEST_DATA!C18609</f>
        <v/>
      </c>
      <c r="D18609">
        <f>TEST_DATA!D18609</f>
        <v/>
      </c>
      <c r="E18609">
        <f>TEST_DATA!E18609</f>
        <v/>
      </c>
    </row>
    <row r="18610">
      <c r="A18610">
        <f>TEST_DATA!A18610</f>
        <v/>
      </c>
      <c r="B18610">
        <f>TEST_DATA!B18610</f>
        <v/>
      </c>
      <c r="C18610">
        <f>TEST_DATA!C18610</f>
        <v/>
      </c>
      <c r="D18610">
        <f>TEST_DATA!D18610</f>
        <v/>
      </c>
      <c r="E18610">
        <f>TEST_DATA!E18610</f>
        <v/>
      </c>
    </row>
    <row r="18611">
      <c r="A18611">
        <f>TEST_DATA!A18611</f>
        <v/>
      </c>
      <c r="B18611">
        <f>TEST_DATA!B18611</f>
        <v/>
      </c>
      <c r="C18611">
        <f>TEST_DATA!C18611</f>
        <v/>
      </c>
      <c r="D18611">
        <f>TEST_DATA!D18611</f>
        <v/>
      </c>
      <c r="E18611">
        <f>TEST_DATA!E18611</f>
        <v/>
      </c>
    </row>
    <row r="18612">
      <c r="A18612">
        <f>TEST_DATA!A18612</f>
        <v/>
      </c>
      <c r="B18612">
        <f>TEST_DATA!B18612</f>
        <v/>
      </c>
      <c r="C18612">
        <f>TEST_DATA!C18612</f>
        <v/>
      </c>
      <c r="D18612">
        <f>TEST_DATA!D18612</f>
        <v/>
      </c>
      <c r="E18612">
        <f>TEST_DATA!E18612</f>
        <v/>
      </c>
    </row>
    <row r="18613">
      <c r="A18613">
        <f>TEST_DATA!A18613</f>
        <v/>
      </c>
      <c r="B18613">
        <f>TEST_DATA!B18613</f>
        <v/>
      </c>
      <c r="C18613">
        <f>TEST_DATA!C18613</f>
        <v/>
      </c>
      <c r="D18613">
        <f>TEST_DATA!D18613</f>
        <v/>
      </c>
      <c r="E18613">
        <f>TEST_DATA!E18613</f>
        <v/>
      </c>
    </row>
    <row r="18614">
      <c r="A18614">
        <f>TEST_DATA!A18614</f>
        <v/>
      </c>
      <c r="B18614">
        <f>TEST_DATA!B18614</f>
        <v/>
      </c>
      <c r="C18614">
        <f>TEST_DATA!C18614</f>
        <v/>
      </c>
      <c r="D18614">
        <f>TEST_DATA!D18614</f>
        <v/>
      </c>
      <c r="E18614">
        <f>TEST_DATA!E18614</f>
        <v/>
      </c>
    </row>
    <row r="18615">
      <c r="A18615">
        <f>TEST_DATA!A18615</f>
        <v/>
      </c>
      <c r="B18615">
        <f>TEST_DATA!B18615</f>
        <v/>
      </c>
      <c r="C18615">
        <f>TEST_DATA!C18615</f>
        <v/>
      </c>
      <c r="D18615">
        <f>TEST_DATA!D18615</f>
        <v/>
      </c>
      <c r="E18615">
        <f>TEST_DATA!E18615</f>
        <v/>
      </c>
    </row>
    <row r="18616">
      <c r="A18616">
        <f>TEST_DATA!A18616</f>
        <v/>
      </c>
      <c r="B18616">
        <f>TEST_DATA!B18616</f>
        <v/>
      </c>
      <c r="C18616">
        <f>TEST_DATA!C18616</f>
        <v/>
      </c>
      <c r="D18616">
        <f>TEST_DATA!D18616</f>
        <v/>
      </c>
      <c r="E18616">
        <f>TEST_DATA!E18616</f>
        <v/>
      </c>
    </row>
    <row r="18617">
      <c r="A18617">
        <f>TEST_DATA!A18617</f>
        <v/>
      </c>
      <c r="B18617">
        <f>TEST_DATA!B18617</f>
        <v/>
      </c>
      <c r="C18617">
        <f>TEST_DATA!C18617</f>
        <v/>
      </c>
      <c r="D18617">
        <f>TEST_DATA!D18617</f>
        <v/>
      </c>
      <c r="E18617">
        <f>TEST_DATA!E18617</f>
        <v/>
      </c>
    </row>
    <row r="18618">
      <c r="A18618">
        <f>TEST_DATA!A18618</f>
        <v/>
      </c>
      <c r="B18618">
        <f>TEST_DATA!B18618</f>
        <v/>
      </c>
      <c r="C18618">
        <f>TEST_DATA!C18618</f>
        <v/>
      </c>
      <c r="D18618">
        <f>TEST_DATA!D18618</f>
        <v/>
      </c>
      <c r="E18618">
        <f>TEST_DATA!E18618</f>
        <v/>
      </c>
    </row>
    <row r="18619">
      <c r="A18619">
        <f>TEST_DATA!A18619</f>
        <v/>
      </c>
      <c r="B18619">
        <f>TEST_DATA!B18619</f>
        <v/>
      </c>
      <c r="C18619">
        <f>TEST_DATA!C18619</f>
        <v/>
      </c>
      <c r="D18619">
        <f>TEST_DATA!D18619</f>
        <v/>
      </c>
      <c r="E18619">
        <f>TEST_DATA!E18619</f>
        <v/>
      </c>
    </row>
    <row r="18620">
      <c r="A18620">
        <f>TEST_DATA!A18620</f>
        <v/>
      </c>
      <c r="B18620">
        <f>TEST_DATA!B18620</f>
        <v/>
      </c>
      <c r="C18620">
        <f>TEST_DATA!C18620</f>
        <v/>
      </c>
      <c r="D18620">
        <f>TEST_DATA!D18620</f>
        <v/>
      </c>
      <c r="E18620">
        <f>TEST_DATA!E18620</f>
        <v/>
      </c>
    </row>
    <row r="18621">
      <c r="A18621">
        <f>TEST_DATA!A18621</f>
        <v/>
      </c>
      <c r="B18621">
        <f>TEST_DATA!B18621</f>
        <v/>
      </c>
      <c r="C18621">
        <f>TEST_DATA!C18621</f>
        <v/>
      </c>
      <c r="D18621">
        <f>TEST_DATA!D18621</f>
        <v/>
      </c>
      <c r="E18621">
        <f>TEST_DATA!E18621</f>
        <v/>
      </c>
    </row>
    <row r="18622">
      <c r="A18622">
        <f>TEST_DATA!A18622</f>
        <v/>
      </c>
      <c r="B18622">
        <f>TEST_DATA!B18622</f>
        <v/>
      </c>
      <c r="C18622">
        <f>TEST_DATA!C18622</f>
        <v/>
      </c>
      <c r="D18622">
        <f>TEST_DATA!D18622</f>
        <v/>
      </c>
      <c r="E18622">
        <f>TEST_DATA!E18622</f>
        <v/>
      </c>
    </row>
    <row r="18623">
      <c r="A18623">
        <f>TEST_DATA!A18623</f>
        <v/>
      </c>
      <c r="B18623">
        <f>TEST_DATA!B18623</f>
        <v/>
      </c>
      <c r="C18623">
        <f>TEST_DATA!C18623</f>
        <v/>
      </c>
      <c r="D18623">
        <f>TEST_DATA!D18623</f>
        <v/>
      </c>
      <c r="E18623">
        <f>TEST_DATA!E18623</f>
        <v/>
      </c>
    </row>
    <row r="18624">
      <c r="A18624">
        <f>TEST_DATA!A18624</f>
        <v/>
      </c>
      <c r="B18624">
        <f>TEST_DATA!B18624</f>
        <v/>
      </c>
      <c r="C18624">
        <f>TEST_DATA!C18624</f>
        <v/>
      </c>
      <c r="D18624">
        <f>TEST_DATA!D18624</f>
        <v/>
      </c>
      <c r="E18624">
        <f>TEST_DATA!E18624</f>
        <v/>
      </c>
    </row>
    <row r="18625">
      <c r="A18625">
        <f>TEST_DATA!A18625</f>
        <v/>
      </c>
      <c r="B18625">
        <f>TEST_DATA!B18625</f>
        <v/>
      </c>
      <c r="C18625">
        <f>TEST_DATA!C18625</f>
        <v/>
      </c>
      <c r="D18625">
        <f>TEST_DATA!D18625</f>
        <v/>
      </c>
      <c r="E18625">
        <f>TEST_DATA!E18625</f>
        <v/>
      </c>
    </row>
    <row r="18626">
      <c r="A18626">
        <f>TEST_DATA!A18626</f>
        <v/>
      </c>
      <c r="B18626">
        <f>TEST_DATA!B18626</f>
        <v/>
      </c>
      <c r="C18626">
        <f>TEST_DATA!C18626</f>
        <v/>
      </c>
      <c r="D18626">
        <f>TEST_DATA!D18626</f>
        <v/>
      </c>
      <c r="E18626">
        <f>TEST_DATA!E18626</f>
        <v/>
      </c>
    </row>
    <row r="18627">
      <c r="A18627">
        <f>TEST_DATA!A18627</f>
        <v/>
      </c>
      <c r="B18627">
        <f>TEST_DATA!B18627</f>
        <v/>
      </c>
      <c r="C18627">
        <f>TEST_DATA!C18627</f>
        <v/>
      </c>
      <c r="D18627">
        <f>TEST_DATA!D18627</f>
        <v/>
      </c>
      <c r="E18627">
        <f>TEST_DATA!E18627</f>
        <v/>
      </c>
    </row>
    <row r="18628">
      <c r="A18628">
        <f>TEST_DATA!A18628</f>
        <v/>
      </c>
      <c r="B18628">
        <f>TEST_DATA!B18628</f>
        <v/>
      </c>
      <c r="C18628">
        <f>TEST_DATA!C18628</f>
        <v/>
      </c>
      <c r="D18628">
        <f>TEST_DATA!D18628</f>
        <v/>
      </c>
      <c r="E18628">
        <f>TEST_DATA!E18628</f>
        <v/>
      </c>
    </row>
    <row r="18629">
      <c r="A18629">
        <f>TEST_DATA!A18629</f>
        <v/>
      </c>
      <c r="B18629">
        <f>TEST_DATA!B18629</f>
        <v/>
      </c>
      <c r="C18629">
        <f>TEST_DATA!C18629</f>
        <v/>
      </c>
      <c r="D18629">
        <f>TEST_DATA!D18629</f>
        <v/>
      </c>
      <c r="E18629">
        <f>TEST_DATA!E18629</f>
        <v/>
      </c>
    </row>
    <row r="18630">
      <c r="A18630">
        <f>TEST_DATA!A18630</f>
        <v/>
      </c>
      <c r="B18630">
        <f>TEST_DATA!B18630</f>
        <v/>
      </c>
      <c r="C18630">
        <f>TEST_DATA!C18630</f>
        <v/>
      </c>
      <c r="D18630">
        <f>TEST_DATA!D18630</f>
        <v/>
      </c>
      <c r="E18630">
        <f>TEST_DATA!E18630</f>
        <v/>
      </c>
    </row>
    <row r="18631">
      <c r="A18631">
        <f>TEST_DATA!A18631</f>
        <v/>
      </c>
      <c r="B18631">
        <f>TEST_DATA!B18631</f>
        <v/>
      </c>
      <c r="C18631">
        <f>TEST_DATA!C18631</f>
        <v/>
      </c>
      <c r="D18631">
        <f>TEST_DATA!D18631</f>
        <v/>
      </c>
      <c r="E18631">
        <f>TEST_DATA!E18631</f>
        <v/>
      </c>
    </row>
    <row r="18632">
      <c r="A18632">
        <f>TEST_DATA!A18632</f>
        <v/>
      </c>
      <c r="B18632">
        <f>TEST_DATA!B18632</f>
        <v/>
      </c>
      <c r="C18632">
        <f>TEST_DATA!C18632</f>
        <v/>
      </c>
      <c r="D18632">
        <f>TEST_DATA!D18632</f>
        <v/>
      </c>
      <c r="E18632">
        <f>TEST_DATA!E18632</f>
        <v/>
      </c>
    </row>
    <row r="18633">
      <c r="A18633">
        <f>TEST_DATA!A18633</f>
        <v/>
      </c>
      <c r="B18633">
        <f>TEST_DATA!B18633</f>
        <v/>
      </c>
      <c r="C18633">
        <f>TEST_DATA!C18633</f>
        <v/>
      </c>
      <c r="D18633">
        <f>TEST_DATA!D18633</f>
        <v/>
      </c>
      <c r="E18633">
        <f>TEST_DATA!E18633</f>
        <v/>
      </c>
    </row>
    <row r="18634">
      <c r="A18634">
        <f>TEST_DATA!A18634</f>
        <v/>
      </c>
      <c r="B18634">
        <f>TEST_DATA!B18634</f>
        <v/>
      </c>
      <c r="C18634">
        <f>TEST_DATA!C18634</f>
        <v/>
      </c>
      <c r="D18634">
        <f>TEST_DATA!D18634</f>
        <v/>
      </c>
      <c r="E18634">
        <f>TEST_DATA!E18634</f>
        <v/>
      </c>
    </row>
    <row r="18635">
      <c r="A18635">
        <f>TEST_DATA!A18635</f>
        <v/>
      </c>
      <c r="B18635">
        <f>TEST_DATA!B18635</f>
        <v/>
      </c>
      <c r="C18635">
        <f>TEST_DATA!C18635</f>
        <v/>
      </c>
      <c r="D18635">
        <f>TEST_DATA!D18635</f>
        <v/>
      </c>
      <c r="E18635">
        <f>TEST_DATA!E18635</f>
        <v/>
      </c>
    </row>
    <row r="18636">
      <c r="A18636">
        <f>TEST_DATA!A18636</f>
        <v/>
      </c>
      <c r="B18636">
        <f>TEST_DATA!B18636</f>
        <v/>
      </c>
      <c r="C18636">
        <f>TEST_DATA!C18636</f>
        <v/>
      </c>
      <c r="D18636">
        <f>TEST_DATA!D18636</f>
        <v/>
      </c>
      <c r="E18636">
        <f>TEST_DATA!E18636</f>
        <v/>
      </c>
    </row>
    <row r="18637">
      <c r="A18637">
        <f>TEST_DATA!A18637</f>
        <v/>
      </c>
      <c r="B18637">
        <f>TEST_DATA!B18637</f>
        <v/>
      </c>
      <c r="C18637">
        <f>TEST_DATA!C18637</f>
        <v/>
      </c>
      <c r="D18637">
        <f>TEST_DATA!D18637</f>
        <v/>
      </c>
      <c r="E18637">
        <f>TEST_DATA!E18637</f>
        <v/>
      </c>
    </row>
    <row r="18638">
      <c r="A18638">
        <f>TEST_DATA!A18638</f>
        <v/>
      </c>
      <c r="B18638">
        <f>TEST_DATA!B18638</f>
        <v/>
      </c>
      <c r="C18638">
        <f>TEST_DATA!C18638</f>
        <v/>
      </c>
      <c r="D18638">
        <f>TEST_DATA!D18638</f>
        <v/>
      </c>
      <c r="E18638">
        <f>TEST_DATA!E18638</f>
        <v/>
      </c>
    </row>
    <row r="18639">
      <c r="A18639">
        <f>TEST_DATA!A18639</f>
        <v/>
      </c>
      <c r="B18639">
        <f>TEST_DATA!B18639</f>
        <v/>
      </c>
      <c r="C18639">
        <f>TEST_DATA!C18639</f>
        <v/>
      </c>
      <c r="D18639">
        <f>TEST_DATA!D18639</f>
        <v/>
      </c>
      <c r="E18639">
        <f>TEST_DATA!E18639</f>
        <v/>
      </c>
    </row>
    <row r="18640">
      <c r="A18640">
        <f>TEST_DATA!A18640</f>
        <v/>
      </c>
      <c r="B18640">
        <f>TEST_DATA!B18640</f>
        <v/>
      </c>
      <c r="C18640">
        <f>TEST_DATA!C18640</f>
        <v/>
      </c>
      <c r="D18640">
        <f>TEST_DATA!D18640</f>
        <v/>
      </c>
      <c r="E18640">
        <f>TEST_DATA!E18640</f>
        <v/>
      </c>
    </row>
    <row r="18641">
      <c r="A18641">
        <f>TEST_DATA!A18641</f>
        <v/>
      </c>
      <c r="B18641">
        <f>TEST_DATA!B18641</f>
        <v/>
      </c>
      <c r="C18641">
        <f>TEST_DATA!C18641</f>
        <v/>
      </c>
      <c r="D18641">
        <f>TEST_DATA!D18641</f>
        <v/>
      </c>
      <c r="E18641">
        <f>TEST_DATA!E18641</f>
        <v/>
      </c>
    </row>
    <row r="18642">
      <c r="A18642">
        <f>TEST_DATA!A18642</f>
        <v/>
      </c>
      <c r="B18642">
        <f>TEST_DATA!B18642</f>
        <v/>
      </c>
      <c r="C18642">
        <f>TEST_DATA!C18642</f>
        <v/>
      </c>
      <c r="D18642">
        <f>TEST_DATA!D18642</f>
        <v/>
      </c>
      <c r="E18642">
        <f>TEST_DATA!E18642</f>
        <v/>
      </c>
    </row>
    <row r="18643">
      <c r="A18643">
        <f>TEST_DATA!A18643</f>
        <v/>
      </c>
      <c r="B18643">
        <f>TEST_DATA!B18643</f>
        <v/>
      </c>
      <c r="C18643">
        <f>TEST_DATA!C18643</f>
        <v/>
      </c>
      <c r="D18643">
        <f>TEST_DATA!D18643</f>
        <v/>
      </c>
      <c r="E18643">
        <f>TEST_DATA!E18643</f>
        <v/>
      </c>
    </row>
    <row r="18644">
      <c r="A18644">
        <f>TEST_DATA!A18644</f>
        <v/>
      </c>
      <c r="B18644">
        <f>TEST_DATA!B18644</f>
        <v/>
      </c>
      <c r="C18644">
        <f>TEST_DATA!C18644</f>
        <v/>
      </c>
      <c r="D18644">
        <f>TEST_DATA!D18644</f>
        <v/>
      </c>
      <c r="E18644">
        <f>TEST_DATA!E18644</f>
        <v/>
      </c>
    </row>
    <row r="18645">
      <c r="A18645">
        <f>TEST_DATA!A18645</f>
        <v/>
      </c>
      <c r="B18645">
        <f>TEST_DATA!B18645</f>
        <v/>
      </c>
      <c r="C18645">
        <f>TEST_DATA!C18645</f>
        <v/>
      </c>
      <c r="D18645">
        <f>TEST_DATA!D18645</f>
        <v/>
      </c>
      <c r="E18645">
        <f>TEST_DATA!E18645</f>
        <v/>
      </c>
    </row>
    <row r="18646">
      <c r="A18646">
        <f>TEST_DATA!A18646</f>
        <v/>
      </c>
      <c r="B18646">
        <f>TEST_DATA!B18646</f>
        <v/>
      </c>
      <c r="C18646">
        <f>TEST_DATA!C18646</f>
        <v/>
      </c>
      <c r="D18646">
        <f>TEST_DATA!D18646</f>
        <v/>
      </c>
      <c r="E18646">
        <f>TEST_DATA!E18646</f>
        <v/>
      </c>
    </row>
    <row r="18647">
      <c r="A18647">
        <f>TEST_DATA!A18647</f>
        <v/>
      </c>
      <c r="B18647">
        <f>TEST_DATA!B18647</f>
        <v/>
      </c>
      <c r="C18647">
        <f>TEST_DATA!C18647</f>
        <v/>
      </c>
      <c r="D18647">
        <f>TEST_DATA!D18647</f>
        <v/>
      </c>
      <c r="E18647">
        <f>TEST_DATA!E18647</f>
        <v/>
      </c>
    </row>
    <row r="18648">
      <c r="A18648">
        <f>TEST_DATA!A18648</f>
        <v/>
      </c>
      <c r="B18648">
        <f>TEST_DATA!B18648</f>
        <v/>
      </c>
      <c r="C18648">
        <f>TEST_DATA!C18648</f>
        <v/>
      </c>
      <c r="D18648">
        <f>TEST_DATA!D18648</f>
        <v/>
      </c>
      <c r="E18648">
        <f>TEST_DATA!E18648</f>
        <v/>
      </c>
    </row>
    <row r="18649">
      <c r="A18649">
        <f>TEST_DATA!A18649</f>
        <v/>
      </c>
      <c r="B18649">
        <f>TEST_DATA!B18649</f>
        <v/>
      </c>
      <c r="C18649">
        <f>TEST_DATA!C18649</f>
        <v/>
      </c>
      <c r="D18649">
        <f>TEST_DATA!D18649</f>
        <v/>
      </c>
      <c r="E18649">
        <f>TEST_DATA!E18649</f>
        <v/>
      </c>
    </row>
    <row r="18650">
      <c r="A18650">
        <f>TEST_DATA!A18650</f>
        <v/>
      </c>
      <c r="B18650">
        <f>TEST_DATA!B18650</f>
        <v/>
      </c>
      <c r="C18650">
        <f>TEST_DATA!C18650</f>
        <v/>
      </c>
      <c r="D18650">
        <f>TEST_DATA!D18650</f>
        <v/>
      </c>
      <c r="E18650">
        <f>TEST_DATA!E18650</f>
        <v/>
      </c>
    </row>
    <row r="18651">
      <c r="A18651">
        <f>TEST_DATA!A18651</f>
        <v/>
      </c>
      <c r="B18651">
        <f>TEST_DATA!B18651</f>
        <v/>
      </c>
      <c r="C18651">
        <f>TEST_DATA!C18651</f>
        <v/>
      </c>
      <c r="D18651">
        <f>TEST_DATA!D18651</f>
        <v/>
      </c>
      <c r="E18651">
        <f>TEST_DATA!E18651</f>
        <v/>
      </c>
    </row>
    <row r="18652">
      <c r="A18652">
        <f>TEST_DATA!A18652</f>
        <v/>
      </c>
      <c r="B18652">
        <f>TEST_DATA!B18652</f>
        <v/>
      </c>
      <c r="C18652">
        <f>TEST_DATA!C18652</f>
        <v/>
      </c>
      <c r="D18652">
        <f>TEST_DATA!D18652</f>
        <v/>
      </c>
      <c r="E18652">
        <f>TEST_DATA!E18652</f>
        <v/>
      </c>
    </row>
    <row r="18653">
      <c r="A18653">
        <f>TEST_DATA!A18653</f>
        <v/>
      </c>
      <c r="B18653">
        <f>TEST_DATA!B18653</f>
        <v/>
      </c>
      <c r="C18653">
        <f>TEST_DATA!C18653</f>
        <v/>
      </c>
      <c r="D18653">
        <f>TEST_DATA!D18653</f>
        <v/>
      </c>
      <c r="E18653">
        <f>TEST_DATA!E18653</f>
        <v/>
      </c>
    </row>
    <row r="18654">
      <c r="A18654">
        <f>TEST_DATA!A18654</f>
        <v/>
      </c>
      <c r="B18654">
        <f>TEST_DATA!B18654</f>
        <v/>
      </c>
      <c r="C18654">
        <f>TEST_DATA!C18654</f>
        <v/>
      </c>
      <c r="D18654">
        <f>TEST_DATA!D18654</f>
        <v/>
      </c>
      <c r="E18654">
        <f>TEST_DATA!E18654</f>
        <v/>
      </c>
    </row>
    <row r="18655">
      <c r="A18655">
        <f>TEST_DATA!A18655</f>
        <v/>
      </c>
      <c r="B18655">
        <f>TEST_DATA!B18655</f>
        <v/>
      </c>
      <c r="C18655">
        <f>TEST_DATA!C18655</f>
        <v/>
      </c>
      <c r="D18655">
        <f>TEST_DATA!D18655</f>
        <v/>
      </c>
      <c r="E18655">
        <f>TEST_DATA!E18655</f>
        <v/>
      </c>
    </row>
    <row r="18656">
      <c r="A18656">
        <f>TEST_DATA!A18656</f>
        <v/>
      </c>
      <c r="B18656">
        <f>TEST_DATA!B18656</f>
        <v/>
      </c>
      <c r="C18656">
        <f>TEST_DATA!C18656</f>
        <v/>
      </c>
      <c r="D18656">
        <f>TEST_DATA!D18656</f>
        <v/>
      </c>
      <c r="E18656">
        <f>TEST_DATA!E18656</f>
        <v/>
      </c>
    </row>
    <row r="18657">
      <c r="A18657">
        <f>TEST_DATA!A18657</f>
        <v/>
      </c>
      <c r="B18657">
        <f>TEST_DATA!B18657</f>
        <v/>
      </c>
      <c r="C18657">
        <f>TEST_DATA!C18657</f>
        <v/>
      </c>
      <c r="D18657">
        <f>TEST_DATA!D18657</f>
        <v/>
      </c>
      <c r="E18657">
        <f>TEST_DATA!E18657</f>
        <v/>
      </c>
    </row>
    <row r="18658">
      <c r="A18658">
        <f>TEST_DATA!A18658</f>
        <v/>
      </c>
      <c r="B18658">
        <f>TEST_DATA!B18658</f>
        <v/>
      </c>
      <c r="C18658">
        <f>TEST_DATA!C18658</f>
        <v/>
      </c>
      <c r="D18658">
        <f>TEST_DATA!D18658</f>
        <v/>
      </c>
      <c r="E18658">
        <f>TEST_DATA!E18658</f>
        <v/>
      </c>
    </row>
    <row r="18659">
      <c r="A18659">
        <f>TEST_DATA!A18659</f>
        <v/>
      </c>
      <c r="B18659">
        <f>TEST_DATA!B18659</f>
        <v/>
      </c>
      <c r="C18659">
        <f>TEST_DATA!C18659</f>
        <v/>
      </c>
      <c r="D18659">
        <f>TEST_DATA!D18659</f>
        <v/>
      </c>
      <c r="E18659">
        <f>TEST_DATA!E18659</f>
        <v/>
      </c>
    </row>
    <row r="18660">
      <c r="A18660">
        <f>TEST_DATA!A18660</f>
        <v/>
      </c>
      <c r="B18660">
        <f>TEST_DATA!B18660</f>
        <v/>
      </c>
      <c r="C18660">
        <f>TEST_DATA!C18660</f>
        <v/>
      </c>
      <c r="D18660">
        <f>TEST_DATA!D18660</f>
        <v/>
      </c>
      <c r="E18660">
        <f>TEST_DATA!E18660</f>
        <v/>
      </c>
    </row>
    <row r="18661">
      <c r="A18661">
        <f>TEST_DATA!A18661</f>
        <v/>
      </c>
      <c r="B18661">
        <f>TEST_DATA!B18661</f>
        <v/>
      </c>
      <c r="C18661">
        <f>TEST_DATA!C18661</f>
        <v/>
      </c>
      <c r="D18661">
        <f>TEST_DATA!D18661</f>
        <v/>
      </c>
      <c r="E18661">
        <f>TEST_DATA!E18661</f>
        <v/>
      </c>
    </row>
    <row r="18662">
      <c r="A18662">
        <f>TEST_DATA!A18662</f>
        <v/>
      </c>
      <c r="B18662">
        <f>TEST_DATA!B18662</f>
        <v/>
      </c>
      <c r="C18662">
        <f>TEST_DATA!C18662</f>
        <v/>
      </c>
      <c r="D18662">
        <f>TEST_DATA!D18662</f>
        <v/>
      </c>
      <c r="E18662">
        <f>TEST_DATA!E18662</f>
        <v/>
      </c>
    </row>
    <row r="18663">
      <c r="A18663">
        <f>TEST_DATA!A18663</f>
        <v/>
      </c>
      <c r="B18663">
        <f>TEST_DATA!B18663</f>
        <v/>
      </c>
      <c r="C18663">
        <f>TEST_DATA!C18663</f>
        <v/>
      </c>
      <c r="D18663">
        <f>TEST_DATA!D18663</f>
        <v/>
      </c>
      <c r="E18663">
        <f>TEST_DATA!E18663</f>
        <v/>
      </c>
    </row>
    <row r="18664">
      <c r="A18664">
        <f>TEST_DATA!A18664</f>
        <v/>
      </c>
      <c r="B18664">
        <f>TEST_DATA!B18664</f>
        <v/>
      </c>
      <c r="C18664">
        <f>TEST_DATA!C18664</f>
        <v/>
      </c>
      <c r="D18664">
        <f>TEST_DATA!D18664</f>
        <v/>
      </c>
      <c r="E18664">
        <f>TEST_DATA!E18664</f>
        <v/>
      </c>
    </row>
    <row r="18665">
      <c r="A18665">
        <f>TEST_DATA!A18665</f>
        <v/>
      </c>
      <c r="B18665">
        <f>TEST_DATA!B18665</f>
        <v/>
      </c>
      <c r="C18665">
        <f>TEST_DATA!C18665</f>
        <v/>
      </c>
      <c r="D18665">
        <f>TEST_DATA!D18665</f>
        <v/>
      </c>
      <c r="E18665">
        <f>TEST_DATA!E18665</f>
        <v/>
      </c>
    </row>
    <row r="18666">
      <c r="A18666">
        <f>TEST_DATA!A18666</f>
        <v/>
      </c>
      <c r="B18666">
        <f>TEST_DATA!B18666</f>
        <v/>
      </c>
      <c r="C18666">
        <f>TEST_DATA!C18666</f>
        <v/>
      </c>
      <c r="D18666">
        <f>TEST_DATA!D18666</f>
        <v/>
      </c>
      <c r="E18666">
        <f>TEST_DATA!E18666</f>
        <v/>
      </c>
    </row>
    <row r="18667">
      <c r="A18667">
        <f>TEST_DATA!A18667</f>
        <v/>
      </c>
      <c r="B18667">
        <f>TEST_DATA!B18667</f>
        <v/>
      </c>
      <c r="C18667">
        <f>TEST_DATA!C18667</f>
        <v/>
      </c>
      <c r="D18667">
        <f>TEST_DATA!D18667</f>
        <v/>
      </c>
      <c r="E18667">
        <f>TEST_DATA!E18667</f>
        <v/>
      </c>
    </row>
    <row r="18668">
      <c r="A18668">
        <f>TEST_DATA!A18668</f>
        <v/>
      </c>
      <c r="B18668">
        <f>TEST_DATA!B18668</f>
        <v/>
      </c>
      <c r="C18668">
        <f>TEST_DATA!C18668</f>
        <v/>
      </c>
      <c r="D18668">
        <f>TEST_DATA!D18668</f>
        <v/>
      </c>
      <c r="E18668">
        <f>TEST_DATA!E18668</f>
        <v/>
      </c>
    </row>
    <row r="18669">
      <c r="A18669">
        <f>TEST_DATA!A18669</f>
        <v/>
      </c>
      <c r="B18669">
        <f>TEST_DATA!B18669</f>
        <v/>
      </c>
      <c r="C18669">
        <f>TEST_DATA!C18669</f>
        <v/>
      </c>
      <c r="D18669">
        <f>TEST_DATA!D18669</f>
        <v/>
      </c>
      <c r="E18669">
        <f>TEST_DATA!E18669</f>
        <v/>
      </c>
    </row>
    <row r="18670">
      <c r="A18670">
        <f>TEST_DATA!A18670</f>
        <v/>
      </c>
      <c r="B18670">
        <f>TEST_DATA!B18670</f>
        <v/>
      </c>
      <c r="C18670">
        <f>TEST_DATA!C18670</f>
        <v/>
      </c>
      <c r="D18670">
        <f>TEST_DATA!D18670</f>
        <v/>
      </c>
      <c r="E18670">
        <f>TEST_DATA!E18670</f>
        <v/>
      </c>
    </row>
    <row r="18671">
      <c r="A18671">
        <f>TEST_DATA!A18671</f>
        <v/>
      </c>
      <c r="B18671">
        <f>TEST_DATA!B18671</f>
        <v/>
      </c>
      <c r="C18671">
        <f>TEST_DATA!C18671</f>
        <v/>
      </c>
      <c r="D18671">
        <f>TEST_DATA!D18671</f>
        <v/>
      </c>
      <c r="E18671">
        <f>TEST_DATA!E18671</f>
        <v/>
      </c>
    </row>
    <row r="18672">
      <c r="A18672">
        <f>TEST_DATA!A18672</f>
        <v/>
      </c>
      <c r="B18672">
        <f>TEST_DATA!B18672</f>
        <v/>
      </c>
      <c r="C18672">
        <f>TEST_DATA!C18672</f>
        <v/>
      </c>
      <c r="D18672">
        <f>TEST_DATA!D18672</f>
        <v/>
      </c>
      <c r="E18672">
        <f>TEST_DATA!E18672</f>
        <v/>
      </c>
    </row>
    <row r="18673">
      <c r="A18673">
        <f>TEST_DATA!A18673</f>
        <v/>
      </c>
      <c r="B18673">
        <f>TEST_DATA!B18673</f>
        <v/>
      </c>
      <c r="C18673">
        <f>TEST_DATA!C18673</f>
        <v/>
      </c>
      <c r="D18673">
        <f>TEST_DATA!D18673</f>
        <v/>
      </c>
      <c r="E18673">
        <f>TEST_DATA!E18673</f>
        <v/>
      </c>
    </row>
    <row r="18674">
      <c r="A18674">
        <f>TEST_DATA!A18674</f>
        <v/>
      </c>
      <c r="B18674">
        <f>TEST_DATA!B18674</f>
        <v/>
      </c>
      <c r="C18674">
        <f>TEST_DATA!C18674</f>
        <v/>
      </c>
      <c r="D18674">
        <f>TEST_DATA!D18674</f>
        <v/>
      </c>
      <c r="E18674">
        <f>TEST_DATA!E18674</f>
        <v/>
      </c>
    </row>
    <row r="18675">
      <c r="A18675">
        <f>TEST_DATA!A18675</f>
        <v/>
      </c>
      <c r="B18675">
        <f>TEST_DATA!B18675</f>
        <v/>
      </c>
      <c r="C18675">
        <f>TEST_DATA!C18675</f>
        <v/>
      </c>
      <c r="D18675">
        <f>TEST_DATA!D18675</f>
        <v/>
      </c>
      <c r="E18675">
        <f>TEST_DATA!E18675</f>
        <v/>
      </c>
    </row>
    <row r="18676">
      <c r="A18676">
        <f>TEST_DATA!A18676</f>
        <v/>
      </c>
      <c r="B18676">
        <f>TEST_DATA!B18676</f>
        <v/>
      </c>
      <c r="C18676">
        <f>TEST_DATA!C18676</f>
        <v/>
      </c>
      <c r="D18676">
        <f>TEST_DATA!D18676</f>
        <v/>
      </c>
      <c r="E18676">
        <f>TEST_DATA!E18676</f>
        <v/>
      </c>
    </row>
    <row r="18677">
      <c r="A18677">
        <f>TEST_DATA!A18677</f>
        <v/>
      </c>
      <c r="B18677">
        <f>TEST_DATA!B18677</f>
        <v/>
      </c>
      <c r="C18677">
        <f>TEST_DATA!C18677</f>
        <v/>
      </c>
      <c r="D18677">
        <f>TEST_DATA!D18677</f>
        <v/>
      </c>
      <c r="E18677">
        <f>TEST_DATA!E18677</f>
        <v/>
      </c>
    </row>
    <row r="18678">
      <c r="A18678">
        <f>TEST_DATA!A18678</f>
        <v/>
      </c>
      <c r="B18678">
        <f>TEST_DATA!B18678</f>
        <v/>
      </c>
      <c r="C18678">
        <f>TEST_DATA!C18678</f>
        <v/>
      </c>
      <c r="D18678">
        <f>TEST_DATA!D18678</f>
        <v/>
      </c>
      <c r="E18678">
        <f>TEST_DATA!E18678</f>
        <v/>
      </c>
    </row>
    <row r="18679">
      <c r="A18679">
        <f>TEST_DATA!A18679</f>
        <v/>
      </c>
      <c r="B18679">
        <f>TEST_DATA!B18679</f>
        <v/>
      </c>
      <c r="C18679">
        <f>TEST_DATA!C18679</f>
        <v/>
      </c>
      <c r="D18679">
        <f>TEST_DATA!D18679</f>
        <v/>
      </c>
      <c r="E18679">
        <f>TEST_DATA!E18679</f>
        <v/>
      </c>
    </row>
    <row r="18680">
      <c r="A18680">
        <f>TEST_DATA!A18680</f>
        <v/>
      </c>
      <c r="B18680">
        <f>TEST_DATA!B18680</f>
        <v/>
      </c>
      <c r="C18680">
        <f>TEST_DATA!C18680</f>
        <v/>
      </c>
      <c r="D18680">
        <f>TEST_DATA!D18680</f>
        <v/>
      </c>
      <c r="E18680">
        <f>TEST_DATA!E18680</f>
        <v/>
      </c>
    </row>
    <row r="18681">
      <c r="A18681">
        <f>TEST_DATA!A18681</f>
        <v/>
      </c>
      <c r="B18681">
        <f>TEST_DATA!B18681</f>
        <v/>
      </c>
      <c r="C18681">
        <f>TEST_DATA!C18681</f>
        <v/>
      </c>
      <c r="D18681">
        <f>TEST_DATA!D18681</f>
        <v/>
      </c>
      <c r="E18681">
        <f>TEST_DATA!E18681</f>
        <v/>
      </c>
    </row>
    <row r="18682">
      <c r="A18682">
        <f>TEST_DATA!A18682</f>
        <v/>
      </c>
      <c r="B18682">
        <f>TEST_DATA!B18682</f>
        <v/>
      </c>
      <c r="C18682">
        <f>TEST_DATA!C18682</f>
        <v/>
      </c>
      <c r="D18682">
        <f>TEST_DATA!D18682</f>
        <v/>
      </c>
      <c r="E18682">
        <f>TEST_DATA!E18682</f>
        <v/>
      </c>
    </row>
    <row r="18683">
      <c r="A18683">
        <f>TEST_DATA!A18683</f>
        <v/>
      </c>
      <c r="B18683">
        <f>TEST_DATA!B18683</f>
        <v/>
      </c>
      <c r="C18683">
        <f>TEST_DATA!C18683</f>
        <v/>
      </c>
      <c r="D18683">
        <f>TEST_DATA!D18683</f>
        <v/>
      </c>
      <c r="E18683">
        <f>TEST_DATA!E18683</f>
        <v/>
      </c>
    </row>
    <row r="18684">
      <c r="A18684">
        <f>TEST_DATA!A18684</f>
        <v/>
      </c>
      <c r="B18684">
        <f>TEST_DATA!B18684</f>
        <v/>
      </c>
      <c r="C18684">
        <f>TEST_DATA!C18684</f>
        <v/>
      </c>
      <c r="D18684">
        <f>TEST_DATA!D18684</f>
        <v/>
      </c>
      <c r="E18684">
        <f>TEST_DATA!E18684</f>
        <v/>
      </c>
    </row>
    <row r="18685">
      <c r="A18685">
        <f>TEST_DATA!A18685</f>
        <v/>
      </c>
      <c r="B18685">
        <f>TEST_DATA!B18685</f>
        <v/>
      </c>
      <c r="C18685">
        <f>TEST_DATA!C18685</f>
        <v/>
      </c>
      <c r="D18685">
        <f>TEST_DATA!D18685</f>
        <v/>
      </c>
      <c r="E18685">
        <f>TEST_DATA!E18685</f>
        <v/>
      </c>
    </row>
    <row r="18686">
      <c r="A18686">
        <f>TEST_DATA!A18686</f>
        <v/>
      </c>
      <c r="B18686">
        <f>TEST_DATA!B18686</f>
        <v/>
      </c>
      <c r="C18686">
        <f>TEST_DATA!C18686</f>
        <v/>
      </c>
      <c r="D18686">
        <f>TEST_DATA!D18686</f>
        <v/>
      </c>
      <c r="E18686">
        <f>TEST_DATA!E18686</f>
        <v/>
      </c>
    </row>
    <row r="18687">
      <c r="A18687">
        <f>TEST_DATA!A18687</f>
        <v/>
      </c>
      <c r="B18687">
        <f>TEST_DATA!B18687</f>
        <v/>
      </c>
      <c r="C18687">
        <f>TEST_DATA!C18687</f>
        <v/>
      </c>
      <c r="D18687">
        <f>TEST_DATA!D18687</f>
        <v/>
      </c>
      <c r="E18687">
        <f>TEST_DATA!E18687</f>
        <v/>
      </c>
    </row>
    <row r="18688">
      <c r="A18688">
        <f>TEST_DATA!A18688</f>
        <v/>
      </c>
      <c r="B18688">
        <f>TEST_DATA!B18688</f>
        <v/>
      </c>
      <c r="C18688">
        <f>TEST_DATA!C18688</f>
        <v/>
      </c>
      <c r="D18688">
        <f>TEST_DATA!D18688</f>
        <v/>
      </c>
      <c r="E18688">
        <f>TEST_DATA!E18688</f>
        <v/>
      </c>
    </row>
    <row r="18689">
      <c r="A18689">
        <f>TEST_DATA!A18689</f>
        <v/>
      </c>
      <c r="B18689">
        <f>TEST_DATA!B18689</f>
        <v/>
      </c>
      <c r="C18689">
        <f>TEST_DATA!C18689</f>
        <v/>
      </c>
      <c r="D18689">
        <f>TEST_DATA!D18689</f>
        <v/>
      </c>
      <c r="E18689">
        <f>TEST_DATA!E18689</f>
        <v/>
      </c>
    </row>
    <row r="18690">
      <c r="A18690">
        <f>TEST_DATA!A18690</f>
        <v/>
      </c>
      <c r="B18690">
        <f>TEST_DATA!B18690</f>
        <v/>
      </c>
      <c r="C18690">
        <f>TEST_DATA!C18690</f>
        <v/>
      </c>
      <c r="D18690">
        <f>TEST_DATA!D18690</f>
        <v/>
      </c>
      <c r="E18690">
        <f>TEST_DATA!E18690</f>
        <v/>
      </c>
    </row>
    <row r="18691">
      <c r="A18691">
        <f>TEST_DATA!A18691</f>
        <v/>
      </c>
      <c r="B18691">
        <f>TEST_DATA!B18691</f>
        <v/>
      </c>
      <c r="C18691">
        <f>TEST_DATA!C18691</f>
        <v/>
      </c>
      <c r="D18691">
        <f>TEST_DATA!D18691</f>
        <v/>
      </c>
      <c r="E18691">
        <f>TEST_DATA!E18691</f>
        <v/>
      </c>
    </row>
    <row r="18692">
      <c r="A18692">
        <f>TEST_DATA!A18692</f>
        <v/>
      </c>
      <c r="B18692">
        <f>TEST_DATA!B18692</f>
        <v/>
      </c>
      <c r="C18692">
        <f>TEST_DATA!C18692</f>
        <v/>
      </c>
      <c r="D18692">
        <f>TEST_DATA!D18692</f>
        <v/>
      </c>
      <c r="E18692">
        <f>TEST_DATA!E18692</f>
        <v/>
      </c>
    </row>
    <row r="18693">
      <c r="A18693">
        <f>TEST_DATA!A18693</f>
        <v/>
      </c>
      <c r="B18693">
        <f>TEST_DATA!B18693</f>
        <v/>
      </c>
      <c r="C18693">
        <f>TEST_DATA!C18693</f>
        <v/>
      </c>
      <c r="D18693">
        <f>TEST_DATA!D18693</f>
        <v/>
      </c>
      <c r="E18693">
        <f>TEST_DATA!E18693</f>
        <v/>
      </c>
    </row>
    <row r="18694">
      <c r="A18694">
        <f>TEST_DATA!A18694</f>
        <v/>
      </c>
      <c r="B18694">
        <f>TEST_DATA!B18694</f>
        <v/>
      </c>
      <c r="C18694">
        <f>TEST_DATA!C18694</f>
        <v/>
      </c>
      <c r="D18694">
        <f>TEST_DATA!D18694</f>
        <v/>
      </c>
      <c r="E18694">
        <f>TEST_DATA!E18694</f>
        <v/>
      </c>
    </row>
    <row r="18695">
      <c r="A18695">
        <f>TEST_DATA!A18695</f>
        <v/>
      </c>
      <c r="B18695">
        <f>TEST_DATA!B18695</f>
        <v/>
      </c>
      <c r="C18695">
        <f>TEST_DATA!C18695</f>
        <v/>
      </c>
      <c r="D18695">
        <f>TEST_DATA!D18695</f>
        <v/>
      </c>
      <c r="E18695">
        <f>TEST_DATA!E18695</f>
        <v/>
      </c>
    </row>
    <row r="18696">
      <c r="A18696">
        <f>TEST_DATA!A18696</f>
        <v/>
      </c>
      <c r="B18696">
        <f>TEST_DATA!B18696</f>
        <v/>
      </c>
      <c r="C18696">
        <f>TEST_DATA!C18696</f>
        <v/>
      </c>
      <c r="D18696">
        <f>TEST_DATA!D18696</f>
        <v/>
      </c>
      <c r="E18696">
        <f>TEST_DATA!E18696</f>
        <v/>
      </c>
    </row>
    <row r="18697">
      <c r="A18697">
        <f>TEST_DATA!A18697</f>
        <v/>
      </c>
      <c r="B18697">
        <f>TEST_DATA!B18697</f>
        <v/>
      </c>
      <c r="C18697">
        <f>TEST_DATA!C18697</f>
        <v/>
      </c>
      <c r="D18697">
        <f>TEST_DATA!D18697</f>
        <v/>
      </c>
      <c r="E18697">
        <f>TEST_DATA!E18697</f>
        <v/>
      </c>
    </row>
    <row r="18698">
      <c r="A18698">
        <f>TEST_DATA!A18698</f>
        <v/>
      </c>
      <c r="B18698">
        <f>TEST_DATA!B18698</f>
        <v/>
      </c>
      <c r="C18698">
        <f>TEST_DATA!C18698</f>
        <v/>
      </c>
      <c r="D18698">
        <f>TEST_DATA!D18698</f>
        <v/>
      </c>
      <c r="E18698">
        <f>TEST_DATA!E18698</f>
        <v/>
      </c>
    </row>
    <row r="18699">
      <c r="A18699">
        <f>TEST_DATA!A18699</f>
        <v/>
      </c>
      <c r="B18699">
        <f>TEST_DATA!B18699</f>
        <v/>
      </c>
      <c r="C18699">
        <f>TEST_DATA!C18699</f>
        <v/>
      </c>
      <c r="D18699">
        <f>TEST_DATA!D18699</f>
        <v/>
      </c>
      <c r="E18699">
        <f>TEST_DATA!E18699</f>
        <v/>
      </c>
    </row>
    <row r="18700">
      <c r="A18700">
        <f>TEST_DATA!A18700</f>
        <v/>
      </c>
      <c r="B18700">
        <f>TEST_DATA!B18700</f>
        <v/>
      </c>
      <c r="C18700">
        <f>TEST_DATA!C18700</f>
        <v/>
      </c>
      <c r="D18700">
        <f>TEST_DATA!D18700</f>
        <v/>
      </c>
      <c r="E18700">
        <f>TEST_DATA!E18700</f>
        <v/>
      </c>
    </row>
    <row r="18701">
      <c r="A18701">
        <f>TEST_DATA!A18701</f>
        <v/>
      </c>
      <c r="B18701">
        <f>TEST_DATA!B18701</f>
        <v/>
      </c>
      <c r="C18701">
        <f>TEST_DATA!C18701</f>
        <v/>
      </c>
      <c r="D18701">
        <f>TEST_DATA!D18701</f>
        <v/>
      </c>
      <c r="E18701">
        <f>TEST_DATA!E18701</f>
        <v/>
      </c>
    </row>
    <row r="18702">
      <c r="A18702">
        <f>TEST_DATA!A18702</f>
        <v/>
      </c>
      <c r="B18702">
        <f>TEST_DATA!B18702</f>
        <v/>
      </c>
      <c r="C18702">
        <f>TEST_DATA!C18702</f>
        <v/>
      </c>
      <c r="D18702">
        <f>TEST_DATA!D18702</f>
        <v/>
      </c>
      <c r="E18702">
        <f>TEST_DATA!E18702</f>
        <v/>
      </c>
    </row>
    <row r="18703">
      <c r="A18703">
        <f>TEST_DATA!A18703</f>
        <v/>
      </c>
      <c r="B18703">
        <f>TEST_DATA!B18703</f>
        <v/>
      </c>
      <c r="C18703">
        <f>TEST_DATA!C18703</f>
        <v/>
      </c>
      <c r="D18703">
        <f>TEST_DATA!D18703</f>
        <v/>
      </c>
      <c r="E18703">
        <f>TEST_DATA!E18703</f>
        <v/>
      </c>
    </row>
    <row r="18704">
      <c r="A18704">
        <f>TEST_DATA!A18704</f>
        <v/>
      </c>
      <c r="B18704">
        <f>TEST_DATA!B18704</f>
        <v/>
      </c>
      <c r="C18704">
        <f>TEST_DATA!C18704</f>
        <v/>
      </c>
      <c r="D18704">
        <f>TEST_DATA!D18704</f>
        <v/>
      </c>
      <c r="E18704">
        <f>TEST_DATA!E18704</f>
        <v/>
      </c>
    </row>
    <row r="18705">
      <c r="A18705">
        <f>TEST_DATA!A18705</f>
        <v/>
      </c>
      <c r="B18705">
        <f>TEST_DATA!B18705</f>
        <v/>
      </c>
      <c r="C18705">
        <f>TEST_DATA!C18705</f>
        <v/>
      </c>
      <c r="D18705">
        <f>TEST_DATA!D18705</f>
        <v/>
      </c>
      <c r="E18705">
        <f>TEST_DATA!E18705</f>
        <v/>
      </c>
    </row>
    <row r="18706">
      <c r="A18706">
        <f>TEST_DATA!A18706</f>
        <v/>
      </c>
      <c r="B18706">
        <f>TEST_DATA!B18706</f>
        <v/>
      </c>
      <c r="C18706">
        <f>TEST_DATA!C18706</f>
        <v/>
      </c>
      <c r="D18706">
        <f>TEST_DATA!D18706</f>
        <v/>
      </c>
      <c r="E18706">
        <f>TEST_DATA!E18706</f>
        <v/>
      </c>
    </row>
    <row r="18707">
      <c r="A18707">
        <f>TEST_DATA!A18707</f>
        <v/>
      </c>
      <c r="B18707">
        <f>TEST_DATA!B18707</f>
        <v/>
      </c>
      <c r="C18707">
        <f>TEST_DATA!C18707</f>
        <v/>
      </c>
      <c r="D18707">
        <f>TEST_DATA!D18707</f>
        <v/>
      </c>
      <c r="E18707">
        <f>TEST_DATA!E18707</f>
        <v/>
      </c>
    </row>
    <row r="18708">
      <c r="A18708">
        <f>TEST_DATA!A18708</f>
        <v/>
      </c>
      <c r="B18708">
        <f>TEST_DATA!B18708</f>
        <v/>
      </c>
      <c r="C18708">
        <f>TEST_DATA!C18708</f>
        <v/>
      </c>
      <c r="D18708">
        <f>TEST_DATA!D18708</f>
        <v/>
      </c>
      <c r="E18708">
        <f>TEST_DATA!E18708</f>
        <v/>
      </c>
    </row>
    <row r="18709">
      <c r="A18709">
        <f>TEST_DATA!A18709</f>
        <v/>
      </c>
      <c r="B18709">
        <f>TEST_DATA!B18709</f>
        <v/>
      </c>
      <c r="C18709">
        <f>TEST_DATA!C18709</f>
        <v/>
      </c>
      <c r="D18709">
        <f>TEST_DATA!D18709</f>
        <v/>
      </c>
      <c r="E18709">
        <f>TEST_DATA!E18709</f>
        <v/>
      </c>
    </row>
    <row r="18710">
      <c r="A18710">
        <f>TEST_DATA!A18710</f>
        <v/>
      </c>
      <c r="B18710">
        <f>TEST_DATA!B18710</f>
        <v/>
      </c>
      <c r="C18710">
        <f>TEST_DATA!C18710</f>
        <v/>
      </c>
      <c r="D18710">
        <f>TEST_DATA!D18710</f>
        <v/>
      </c>
      <c r="E18710">
        <f>TEST_DATA!E18710</f>
        <v/>
      </c>
    </row>
    <row r="18711">
      <c r="A18711">
        <f>TEST_DATA!A18711</f>
        <v/>
      </c>
      <c r="B18711">
        <f>TEST_DATA!B18711</f>
        <v/>
      </c>
      <c r="C18711">
        <f>TEST_DATA!C18711</f>
        <v/>
      </c>
      <c r="D18711">
        <f>TEST_DATA!D18711</f>
        <v/>
      </c>
      <c r="E18711">
        <f>TEST_DATA!E18711</f>
        <v/>
      </c>
    </row>
    <row r="18712">
      <c r="A18712">
        <f>TEST_DATA!A18712</f>
        <v/>
      </c>
      <c r="B18712">
        <f>TEST_DATA!B18712</f>
        <v/>
      </c>
      <c r="C18712">
        <f>TEST_DATA!C18712</f>
        <v/>
      </c>
      <c r="D18712">
        <f>TEST_DATA!D18712</f>
        <v/>
      </c>
      <c r="E18712">
        <f>TEST_DATA!E18712</f>
        <v/>
      </c>
    </row>
    <row r="18713">
      <c r="A18713">
        <f>TEST_DATA!A18713</f>
        <v/>
      </c>
      <c r="B18713">
        <f>TEST_DATA!B18713</f>
        <v/>
      </c>
      <c r="C18713">
        <f>TEST_DATA!C18713</f>
        <v/>
      </c>
      <c r="D18713">
        <f>TEST_DATA!D18713</f>
        <v/>
      </c>
      <c r="E18713">
        <f>TEST_DATA!E18713</f>
        <v/>
      </c>
    </row>
    <row r="18714">
      <c r="A18714">
        <f>TEST_DATA!A18714</f>
        <v/>
      </c>
      <c r="B18714">
        <f>TEST_DATA!B18714</f>
        <v/>
      </c>
      <c r="C18714">
        <f>TEST_DATA!C18714</f>
        <v/>
      </c>
      <c r="D18714">
        <f>TEST_DATA!D18714</f>
        <v/>
      </c>
      <c r="E18714">
        <f>TEST_DATA!E18714</f>
        <v/>
      </c>
    </row>
    <row r="18715">
      <c r="A18715">
        <f>TEST_DATA!A18715</f>
        <v/>
      </c>
      <c r="B18715">
        <f>TEST_DATA!B18715</f>
        <v/>
      </c>
      <c r="C18715">
        <f>TEST_DATA!C18715</f>
        <v/>
      </c>
      <c r="D18715">
        <f>TEST_DATA!D18715</f>
        <v/>
      </c>
      <c r="E18715">
        <f>TEST_DATA!E18715</f>
        <v/>
      </c>
    </row>
    <row r="18716">
      <c r="A18716">
        <f>TEST_DATA!A18716</f>
        <v/>
      </c>
      <c r="B18716">
        <f>TEST_DATA!B18716</f>
        <v/>
      </c>
      <c r="C18716">
        <f>TEST_DATA!C18716</f>
        <v/>
      </c>
      <c r="D18716">
        <f>TEST_DATA!D18716</f>
        <v/>
      </c>
      <c r="E18716">
        <f>TEST_DATA!E18716</f>
        <v/>
      </c>
    </row>
    <row r="18717">
      <c r="A18717">
        <f>TEST_DATA!A18717</f>
        <v/>
      </c>
      <c r="B18717">
        <f>TEST_DATA!B18717</f>
        <v/>
      </c>
      <c r="C18717">
        <f>TEST_DATA!C18717</f>
        <v/>
      </c>
      <c r="D18717">
        <f>TEST_DATA!D18717</f>
        <v/>
      </c>
      <c r="E18717">
        <f>TEST_DATA!E18717</f>
        <v/>
      </c>
    </row>
    <row r="18718">
      <c r="A18718">
        <f>TEST_DATA!A18718</f>
        <v/>
      </c>
      <c r="B18718">
        <f>TEST_DATA!B18718</f>
        <v/>
      </c>
      <c r="C18718">
        <f>TEST_DATA!C18718</f>
        <v/>
      </c>
      <c r="D18718">
        <f>TEST_DATA!D18718</f>
        <v/>
      </c>
      <c r="E18718">
        <f>TEST_DATA!E18718</f>
        <v/>
      </c>
    </row>
    <row r="18719">
      <c r="A18719">
        <f>TEST_DATA!A18719</f>
        <v/>
      </c>
      <c r="B18719">
        <f>TEST_DATA!B18719</f>
        <v/>
      </c>
      <c r="C18719">
        <f>TEST_DATA!C18719</f>
        <v/>
      </c>
      <c r="D18719">
        <f>TEST_DATA!D18719</f>
        <v/>
      </c>
      <c r="E18719">
        <f>TEST_DATA!E18719</f>
        <v/>
      </c>
    </row>
    <row r="18720">
      <c r="A18720">
        <f>TEST_DATA!A18720</f>
        <v/>
      </c>
      <c r="B18720">
        <f>TEST_DATA!B18720</f>
        <v/>
      </c>
      <c r="C18720">
        <f>TEST_DATA!C18720</f>
        <v/>
      </c>
      <c r="D18720">
        <f>TEST_DATA!D18720</f>
        <v/>
      </c>
      <c r="E18720">
        <f>TEST_DATA!E18720</f>
        <v/>
      </c>
    </row>
    <row r="18721">
      <c r="A18721">
        <f>TEST_DATA!A18721</f>
        <v/>
      </c>
      <c r="B18721">
        <f>TEST_DATA!B18721</f>
        <v/>
      </c>
      <c r="C18721">
        <f>TEST_DATA!C18721</f>
        <v/>
      </c>
      <c r="D18721">
        <f>TEST_DATA!D18721</f>
        <v/>
      </c>
      <c r="E18721">
        <f>TEST_DATA!E18721</f>
        <v/>
      </c>
    </row>
    <row r="18722">
      <c r="A18722">
        <f>TEST_DATA!A18722</f>
        <v/>
      </c>
      <c r="B18722">
        <f>TEST_DATA!B18722</f>
        <v/>
      </c>
      <c r="C18722">
        <f>TEST_DATA!C18722</f>
        <v/>
      </c>
      <c r="D18722">
        <f>TEST_DATA!D18722</f>
        <v/>
      </c>
      <c r="E18722">
        <f>TEST_DATA!E18722</f>
        <v/>
      </c>
    </row>
    <row r="18723">
      <c r="A18723">
        <f>TEST_DATA!A18723</f>
        <v/>
      </c>
      <c r="B18723">
        <f>TEST_DATA!B18723</f>
        <v/>
      </c>
      <c r="C18723">
        <f>TEST_DATA!C18723</f>
        <v/>
      </c>
      <c r="D18723">
        <f>TEST_DATA!D18723</f>
        <v/>
      </c>
      <c r="E18723">
        <f>TEST_DATA!E18723</f>
        <v/>
      </c>
    </row>
    <row r="18724">
      <c r="A18724">
        <f>TEST_DATA!A18724</f>
        <v/>
      </c>
      <c r="B18724">
        <f>TEST_DATA!B18724</f>
        <v/>
      </c>
      <c r="C18724">
        <f>TEST_DATA!C18724</f>
        <v/>
      </c>
      <c r="D18724">
        <f>TEST_DATA!D18724</f>
        <v/>
      </c>
      <c r="E18724">
        <f>TEST_DATA!E18724</f>
        <v/>
      </c>
    </row>
    <row r="18725">
      <c r="A18725">
        <f>TEST_DATA!A18725</f>
        <v/>
      </c>
      <c r="B18725">
        <f>TEST_DATA!B18725</f>
        <v/>
      </c>
      <c r="C18725">
        <f>TEST_DATA!C18725</f>
        <v/>
      </c>
      <c r="D18725">
        <f>TEST_DATA!D18725</f>
        <v/>
      </c>
      <c r="E18725">
        <f>TEST_DATA!E18725</f>
        <v/>
      </c>
    </row>
    <row r="18726">
      <c r="A18726">
        <f>TEST_DATA!A18726</f>
        <v/>
      </c>
      <c r="B18726">
        <f>TEST_DATA!B18726</f>
        <v/>
      </c>
      <c r="C18726">
        <f>TEST_DATA!C18726</f>
        <v/>
      </c>
      <c r="D18726">
        <f>TEST_DATA!D18726</f>
        <v/>
      </c>
      <c r="E18726">
        <f>TEST_DATA!E18726</f>
        <v/>
      </c>
    </row>
    <row r="18727">
      <c r="A18727">
        <f>TEST_DATA!A18727</f>
        <v/>
      </c>
      <c r="B18727">
        <f>TEST_DATA!B18727</f>
        <v/>
      </c>
      <c r="C18727">
        <f>TEST_DATA!C18727</f>
        <v/>
      </c>
      <c r="D18727">
        <f>TEST_DATA!D18727</f>
        <v/>
      </c>
      <c r="E18727">
        <f>TEST_DATA!E18727</f>
        <v/>
      </c>
    </row>
    <row r="18728">
      <c r="A18728">
        <f>TEST_DATA!A18728</f>
        <v/>
      </c>
      <c r="B18728">
        <f>TEST_DATA!B18728</f>
        <v/>
      </c>
      <c r="C18728">
        <f>TEST_DATA!C18728</f>
        <v/>
      </c>
      <c r="D18728">
        <f>TEST_DATA!D18728</f>
        <v/>
      </c>
      <c r="E18728">
        <f>TEST_DATA!E18728</f>
        <v/>
      </c>
    </row>
    <row r="18729">
      <c r="A18729">
        <f>TEST_DATA!A18729</f>
        <v/>
      </c>
      <c r="B18729">
        <f>TEST_DATA!B18729</f>
        <v/>
      </c>
      <c r="C18729">
        <f>TEST_DATA!C18729</f>
        <v/>
      </c>
      <c r="D18729">
        <f>TEST_DATA!D18729</f>
        <v/>
      </c>
      <c r="E18729">
        <f>TEST_DATA!E18729</f>
        <v/>
      </c>
    </row>
    <row r="18730">
      <c r="A18730">
        <f>TEST_DATA!A18730</f>
        <v/>
      </c>
      <c r="B18730">
        <f>TEST_DATA!B18730</f>
        <v/>
      </c>
      <c r="C18730">
        <f>TEST_DATA!C18730</f>
        <v/>
      </c>
      <c r="D18730">
        <f>TEST_DATA!D18730</f>
        <v/>
      </c>
      <c r="E18730">
        <f>TEST_DATA!E18730</f>
        <v/>
      </c>
    </row>
    <row r="18731">
      <c r="A18731">
        <f>TEST_DATA!A18731</f>
        <v/>
      </c>
      <c r="B18731">
        <f>TEST_DATA!B18731</f>
        <v/>
      </c>
      <c r="C18731">
        <f>TEST_DATA!C18731</f>
        <v/>
      </c>
      <c r="D18731">
        <f>TEST_DATA!D18731</f>
        <v/>
      </c>
      <c r="E18731">
        <f>TEST_DATA!E18731</f>
        <v/>
      </c>
    </row>
    <row r="18732">
      <c r="A18732">
        <f>TEST_DATA!A18732</f>
        <v/>
      </c>
      <c r="B18732">
        <f>TEST_DATA!B18732</f>
        <v/>
      </c>
      <c r="C18732">
        <f>TEST_DATA!C18732</f>
        <v/>
      </c>
      <c r="D18732">
        <f>TEST_DATA!D18732</f>
        <v/>
      </c>
      <c r="E18732">
        <f>TEST_DATA!E18732</f>
        <v/>
      </c>
    </row>
    <row r="18733">
      <c r="A18733">
        <f>TEST_DATA!A18733</f>
        <v/>
      </c>
      <c r="B18733">
        <f>TEST_DATA!B18733</f>
        <v/>
      </c>
      <c r="C18733">
        <f>TEST_DATA!C18733</f>
        <v/>
      </c>
      <c r="D18733">
        <f>TEST_DATA!D18733</f>
        <v/>
      </c>
      <c r="E18733">
        <f>TEST_DATA!E18733</f>
        <v/>
      </c>
    </row>
    <row r="18734">
      <c r="A18734">
        <f>TEST_DATA!A18734</f>
        <v/>
      </c>
      <c r="B18734">
        <f>TEST_DATA!B18734</f>
        <v/>
      </c>
      <c r="C18734">
        <f>TEST_DATA!C18734</f>
        <v/>
      </c>
      <c r="D18734">
        <f>TEST_DATA!D18734</f>
        <v/>
      </c>
      <c r="E18734">
        <f>TEST_DATA!E18734</f>
        <v/>
      </c>
    </row>
    <row r="18735">
      <c r="A18735">
        <f>TEST_DATA!A18735</f>
        <v/>
      </c>
      <c r="B18735">
        <f>TEST_DATA!B18735</f>
        <v/>
      </c>
      <c r="C18735">
        <f>TEST_DATA!C18735</f>
        <v/>
      </c>
      <c r="D18735">
        <f>TEST_DATA!D18735</f>
        <v/>
      </c>
      <c r="E18735">
        <f>TEST_DATA!E18735</f>
        <v/>
      </c>
    </row>
    <row r="18736">
      <c r="A18736">
        <f>TEST_DATA!A18736</f>
        <v/>
      </c>
      <c r="B18736">
        <f>TEST_DATA!B18736</f>
        <v/>
      </c>
      <c r="C18736">
        <f>TEST_DATA!C18736</f>
        <v/>
      </c>
      <c r="D18736">
        <f>TEST_DATA!D18736</f>
        <v/>
      </c>
      <c r="E18736">
        <f>TEST_DATA!E18736</f>
        <v/>
      </c>
    </row>
    <row r="18737">
      <c r="A18737">
        <f>TEST_DATA!A18737</f>
        <v/>
      </c>
      <c r="B18737">
        <f>TEST_DATA!B18737</f>
        <v/>
      </c>
      <c r="C18737">
        <f>TEST_DATA!C18737</f>
        <v/>
      </c>
      <c r="D18737">
        <f>TEST_DATA!D18737</f>
        <v/>
      </c>
      <c r="E18737">
        <f>TEST_DATA!E18737</f>
        <v/>
      </c>
    </row>
    <row r="18738">
      <c r="A18738">
        <f>TEST_DATA!A18738</f>
        <v/>
      </c>
      <c r="B18738">
        <f>TEST_DATA!B18738</f>
        <v/>
      </c>
      <c r="C18738">
        <f>TEST_DATA!C18738</f>
        <v/>
      </c>
      <c r="D18738">
        <f>TEST_DATA!D18738</f>
        <v/>
      </c>
      <c r="E18738">
        <f>TEST_DATA!E18738</f>
        <v/>
      </c>
    </row>
    <row r="18739">
      <c r="A18739">
        <f>TEST_DATA!A18739</f>
        <v/>
      </c>
      <c r="B18739">
        <f>TEST_DATA!B18739</f>
        <v/>
      </c>
      <c r="C18739">
        <f>TEST_DATA!C18739</f>
        <v/>
      </c>
      <c r="D18739">
        <f>TEST_DATA!D18739</f>
        <v/>
      </c>
      <c r="E18739">
        <f>TEST_DATA!E18739</f>
        <v/>
      </c>
    </row>
    <row r="18740">
      <c r="A18740">
        <f>TEST_DATA!A18740</f>
        <v/>
      </c>
      <c r="B18740">
        <f>TEST_DATA!B18740</f>
        <v/>
      </c>
      <c r="C18740">
        <f>TEST_DATA!C18740</f>
        <v/>
      </c>
      <c r="D18740">
        <f>TEST_DATA!D18740</f>
        <v/>
      </c>
      <c r="E18740">
        <f>TEST_DATA!E18740</f>
        <v/>
      </c>
    </row>
    <row r="18741">
      <c r="A18741">
        <f>TEST_DATA!A18741</f>
        <v/>
      </c>
      <c r="B18741">
        <f>TEST_DATA!B18741</f>
        <v/>
      </c>
      <c r="C18741">
        <f>TEST_DATA!C18741</f>
        <v/>
      </c>
      <c r="D18741">
        <f>TEST_DATA!D18741</f>
        <v/>
      </c>
      <c r="E18741">
        <f>TEST_DATA!E18741</f>
        <v/>
      </c>
    </row>
    <row r="18742">
      <c r="A18742">
        <f>TEST_DATA!A18742</f>
        <v/>
      </c>
      <c r="B18742">
        <f>TEST_DATA!B18742</f>
        <v/>
      </c>
      <c r="C18742">
        <f>TEST_DATA!C18742</f>
        <v/>
      </c>
      <c r="D18742">
        <f>TEST_DATA!D18742</f>
        <v/>
      </c>
      <c r="E18742">
        <f>TEST_DATA!E18742</f>
        <v/>
      </c>
    </row>
    <row r="18743">
      <c r="A18743">
        <f>TEST_DATA!A18743</f>
        <v/>
      </c>
      <c r="B18743">
        <f>TEST_DATA!B18743</f>
        <v/>
      </c>
      <c r="C18743">
        <f>TEST_DATA!C18743</f>
        <v/>
      </c>
      <c r="D18743">
        <f>TEST_DATA!D18743</f>
        <v/>
      </c>
      <c r="E18743">
        <f>TEST_DATA!E18743</f>
        <v/>
      </c>
    </row>
    <row r="18744">
      <c r="A18744">
        <f>TEST_DATA!A18744</f>
        <v/>
      </c>
      <c r="B18744">
        <f>TEST_DATA!B18744</f>
        <v/>
      </c>
      <c r="C18744">
        <f>TEST_DATA!C18744</f>
        <v/>
      </c>
      <c r="D18744">
        <f>TEST_DATA!D18744</f>
        <v/>
      </c>
      <c r="E18744">
        <f>TEST_DATA!E18744</f>
        <v/>
      </c>
    </row>
    <row r="18745">
      <c r="A18745">
        <f>TEST_DATA!A18745</f>
        <v/>
      </c>
      <c r="B18745">
        <f>TEST_DATA!B18745</f>
        <v/>
      </c>
      <c r="C18745">
        <f>TEST_DATA!C18745</f>
        <v/>
      </c>
      <c r="D18745">
        <f>TEST_DATA!D18745</f>
        <v/>
      </c>
      <c r="E18745">
        <f>TEST_DATA!E18745</f>
        <v/>
      </c>
    </row>
    <row r="18746">
      <c r="A18746">
        <f>TEST_DATA!A18746</f>
        <v/>
      </c>
      <c r="B18746">
        <f>TEST_DATA!B18746</f>
        <v/>
      </c>
      <c r="C18746">
        <f>TEST_DATA!C18746</f>
        <v/>
      </c>
      <c r="D18746">
        <f>TEST_DATA!D18746</f>
        <v/>
      </c>
      <c r="E18746">
        <f>TEST_DATA!E18746</f>
        <v/>
      </c>
    </row>
    <row r="18747">
      <c r="A18747">
        <f>TEST_DATA!A18747</f>
        <v/>
      </c>
      <c r="B18747">
        <f>TEST_DATA!B18747</f>
        <v/>
      </c>
      <c r="C18747">
        <f>TEST_DATA!C18747</f>
        <v/>
      </c>
      <c r="D18747">
        <f>TEST_DATA!D18747</f>
        <v/>
      </c>
      <c r="E18747">
        <f>TEST_DATA!E18747</f>
        <v/>
      </c>
    </row>
    <row r="18748">
      <c r="A18748">
        <f>TEST_DATA!A18748</f>
        <v/>
      </c>
      <c r="B18748">
        <f>TEST_DATA!B18748</f>
        <v/>
      </c>
      <c r="C18748">
        <f>TEST_DATA!C18748</f>
        <v/>
      </c>
      <c r="D18748">
        <f>TEST_DATA!D18748</f>
        <v/>
      </c>
      <c r="E18748">
        <f>TEST_DATA!E18748</f>
        <v/>
      </c>
    </row>
    <row r="18749">
      <c r="A18749">
        <f>TEST_DATA!A18749</f>
        <v/>
      </c>
      <c r="B18749">
        <f>TEST_DATA!B18749</f>
        <v/>
      </c>
      <c r="C18749">
        <f>TEST_DATA!C18749</f>
        <v/>
      </c>
      <c r="D18749">
        <f>TEST_DATA!D18749</f>
        <v/>
      </c>
      <c r="E18749">
        <f>TEST_DATA!E18749</f>
        <v/>
      </c>
    </row>
    <row r="18750">
      <c r="A18750">
        <f>TEST_DATA!A18750</f>
        <v/>
      </c>
      <c r="B18750">
        <f>TEST_DATA!B18750</f>
        <v/>
      </c>
      <c r="C18750">
        <f>TEST_DATA!C18750</f>
        <v/>
      </c>
      <c r="D18750">
        <f>TEST_DATA!D18750</f>
        <v/>
      </c>
      <c r="E18750">
        <f>TEST_DATA!E18750</f>
        <v/>
      </c>
    </row>
    <row r="18751">
      <c r="A18751">
        <f>TEST_DATA!A18751</f>
        <v/>
      </c>
      <c r="B18751">
        <f>TEST_DATA!B18751</f>
        <v/>
      </c>
      <c r="C18751">
        <f>TEST_DATA!C18751</f>
        <v/>
      </c>
      <c r="D18751">
        <f>TEST_DATA!D18751</f>
        <v/>
      </c>
      <c r="E18751">
        <f>TEST_DATA!E18751</f>
        <v/>
      </c>
    </row>
    <row r="18752">
      <c r="A18752">
        <f>TEST_DATA!A18752</f>
        <v/>
      </c>
      <c r="B18752">
        <f>TEST_DATA!B18752</f>
        <v/>
      </c>
      <c r="C18752">
        <f>TEST_DATA!C18752</f>
        <v/>
      </c>
      <c r="D18752">
        <f>TEST_DATA!D18752</f>
        <v/>
      </c>
      <c r="E18752">
        <f>TEST_DATA!E18752</f>
        <v/>
      </c>
    </row>
    <row r="18753">
      <c r="A18753">
        <f>TEST_DATA!A18753</f>
        <v/>
      </c>
      <c r="B18753">
        <f>TEST_DATA!B18753</f>
        <v/>
      </c>
      <c r="C18753">
        <f>TEST_DATA!C18753</f>
        <v/>
      </c>
      <c r="D18753">
        <f>TEST_DATA!D18753</f>
        <v/>
      </c>
      <c r="E18753">
        <f>TEST_DATA!E18753</f>
        <v/>
      </c>
    </row>
    <row r="18754">
      <c r="A18754">
        <f>TEST_DATA!A18754</f>
        <v/>
      </c>
      <c r="B18754">
        <f>TEST_DATA!B18754</f>
        <v/>
      </c>
      <c r="C18754">
        <f>TEST_DATA!C18754</f>
        <v/>
      </c>
      <c r="D18754">
        <f>TEST_DATA!D18754</f>
        <v/>
      </c>
      <c r="E18754">
        <f>TEST_DATA!E18754</f>
        <v/>
      </c>
    </row>
    <row r="18755">
      <c r="A18755">
        <f>TEST_DATA!A18755</f>
        <v/>
      </c>
      <c r="B18755">
        <f>TEST_DATA!B18755</f>
        <v/>
      </c>
      <c r="C18755">
        <f>TEST_DATA!C18755</f>
        <v/>
      </c>
      <c r="D18755">
        <f>TEST_DATA!D18755</f>
        <v/>
      </c>
      <c r="E18755">
        <f>TEST_DATA!E18755</f>
        <v/>
      </c>
    </row>
    <row r="18756">
      <c r="A18756">
        <f>TEST_DATA!A18756</f>
        <v/>
      </c>
      <c r="B18756">
        <f>TEST_DATA!B18756</f>
        <v/>
      </c>
      <c r="C18756">
        <f>TEST_DATA!C18756</f>
        <v/>
      </c>
      <c r="D18756">
        <f>TEST_DATA!D18756</f>
        <v/>
      </c>
      <c r="E18756">
        <f>TEST_DATA!E18756</f>
        <v/>
      </c>
    </row>
    <row r="18757">
      <c r="A18757">
        <f>TEST_DATA!A18757</f>
        <v/>
      </c>
      <c r="B18757">
        <f>TEST_DATA!B18757</f>
        <v/>
      </c>
      <c r="C18757">
        <f>TEST_DATA!C18757</f>
        <v/>
      </c>
      <c r="D18757">
        <f>TEST_DATA!D18757</f>
        <v/>
      </c>
      <c r="E18757">
        <f>TEST_DATA!E18757</f>
        <v/>
      </c>
    </row>
    <row r="18758">
      <c r="A18758">
        <f>TEST_DATA!A18758</f>
        <v/>
      </c>
      <c r="B18758">
        <f>TEST_DATA!B18758</f>
        <v/>
      </c>
      <c r="C18758">
        <f>TEST_DATA!C18758</f>
        <v/>
      </c>
      <c r="D18758">
        <f>TEST_DATA!D18758</f>
        <v/>
      </c>
      <c r="E18758">
        <f>TEST_DATA!E18758</f>
        <v/>
      </c>
    </row>
    <row r="18759">
      <c r="A18759">
        <f>TEST_DATA!A18759</f>
        <v/>
      </c>
      <c r="B18759">
        <f>TEST_DATA!B18759</f>
        <v/>
      </c>
      <c r="C18759">
        <f>TEST_DATA!C18759</f>
        <v/>
      </c>
      <c r="D18759">
        <f>TEST_DATA!D18759</f>
        <v/>
      </c>
      <c r="E18759">
        <f>TEST_DATA!E18759</f>
        <v/>
      </c>
    </row>
    <row r="18760">
      <c r="A18760">
        <f>TEST_DATA!A18760</f>
        <v/>
      </c>
      <c r="B18760">
        <f>TEST_DATA!B18760</f>
        <v/>
      </c>
      <c r="C18760">
        <f>TEST_DATA!C18760</f>
        <v/>
      </c>
      <c r="D18760">
        <f>TEST_DATA!D18760</f>
        <v/>
      </c>
      <c r="E18760">
        <f>TEST_DATA!E18760</f>
        <v/>
      </c>
    </row>
    <row r="18761">
      <c r="A18761">
        <f>TEST_DATA!A18761</f>
        <v/>
      </c>
      <c r="B18761">
        <f>TEST_DATA!B18761</f>
        <v/>
      </c>
      <c r="C18761">
        <f>TEST_DATA!C18761</f>
        <v/>
      </c>
      <c r="D18761">
        <f>TEST_DATA!D18761</f>
        <v/>
      </c>
      <c r="E18761">
        <f>TEST_DATA!E18761</f>
        <v/>
      </c>
    </row>
    <row r="18762">
      <c r="A18762">
        <f>TEST_DATA!A18762</f>
        <v/>
      </c>
      <c r="B18762">
        <f>TEST_DATA!B18762</f>
        <v/>
      </c>
      <c r="C18762">
        <f>TEST_DATA!C18762</f>
        <v/>
      </c>
      <c r="D18762">
        <f>TEST_DATA!D18762</f>
        <v/>
      </c>
      <c r="E18762">
        <f>TEST_DATA!E18762</f>
        <v/>
      </c>
    </row>
    <row r="18763">
      <c r="A18763">
        <f>TEST_DATA!A18763</f>
        <v/>
      </c>
      <c r="B18763">
        <f>TEST_DATA!B18763</f>
        <v/>
      </c>
      <c r="C18763">
        <f>TEST_DATA!C18763</f>
        <v/>
      </c>
      <c r="D18763">
        <f>TEST_DATA!D18763</f>
        <v/>
      </c>
      <c r="E18763">
        <f>TEST_DATA!E18763</f>
        <v/>
      </c>
    </row>
    <row r="18764">
      <c r="A18764">
        <f>TEST_DATA!A18764</f>
        <v/>
      </c>
      <c r="B18764">
        <f>TEST_DATA!B18764</f>
        <v/>
      </c>
      <c r="C18764">
        <f>TEST_DATA!C18764</f>
        <v/>
      </c>
      <c r="D18764">
        <f>TEST_DATA!D18764</f>
        <v/>
      </c>
      <c r="E18764">
        <f>TEST_DATA!E18764</f>
        <v/>
      </c>
    </row>
    <row r="18765">
      <c r="A18765">
        <f>TEST_DATA!A18765</f>
        <v/>
      </c>
      <c r="B18765">
        <f>TEST_DATA!B18765</f>
        <v/>
      </c>
      <c r="C18765">
        <f>TEST_DATA!C18765</f>
        <v/>
      </c>
      <c r="D18765">
        <f>TEST_DATA!D18765</f>
        <v/>
      </c>
      <c r="E18765">
        <f>TEST_DATA!E18765</f>
        <v/>
      </c>
    </row>
    <row r="18766">
      <c r="A18766">
        <f>TEST_DATA!A18766</f>
        <v/>
      </c>
      <c r="B18766">
        <f>TEST_DATA!B18766</f>
        <v/>
      </c>
      <c r="C18766">
        <f>TEST_DATA!C18766</f>
        <v/>
      </c>
      <c r="D18766">
        <f>TEST_DATA!D18766</f>
        <v/>
      </c>
      <c r="E18766">
        <f>TEST_DATA!E18766</f>
        <v/>
      </c>
    </row>
    <row r="18767">
      <c r="A18767">
        <f>TEST_DATA!A18767</f>
        <v/>
      </c>
      <c r="B18767">
        <f>TEST_DATA!B18767</f>
        <v/>
      </c>
      <c r="C18767">
        <f>TEST_DATA!C18767</f>
        <v/>
      </c>
      <c r="D18767">
        <f>TEST_DATA!D18767</f>
        <v/>
      </c>
      <c r="E18767">
        <f>TEST_DATA!E18767</f>
        <v/>
      </c>
    </row>
    <row r="18768">
      <c r="A18768">
        <f>TEST_DATA!A18768</f>
        <v/>
      </c>
      <c r="B18768">
        <f>TEST_DATA!B18768</f>
        <v/>
      </c>
      <c r="C18768">
        <f>TEST_DATA!C18768</f>
        <v/>
      </c>
      <c r="D18768">
        <f>TEST_DATA!D18768</f>
        <v/>
      </c>
      <c r="E18768">
        <f>TEST_DATA!E18768</f>
        <v/>
      </c>
    </row>
    <row r="18769">
      <c r="A18769">
        <f>TEST_DATA!A18769</f>
        <v/>
      </c>
      <c r="B18769">
        <f>TEST_DATA!B18769</f>
        <v/>
      </c>
      <c r="C18769">
        <f>TEST_DATA!C18769</f>
        <v/>
      </c>
      <c r="D18769">
        <f>TEST_DATA!D18769</f>
        <v/>
      </c>
      <c r="E18769">
        <f>TEST_DATA!E18769</f>
        <v/>
      </c>
    </row>
    <row r="18770">
      <c r="A18770">
        <f>TEST_DATA!A18770</f>
        <v/>
      </c>
      <c r="B18770">
        <f>TEST_DATA!B18770</f>
        <v/>
      </c>
      <c r="C18770">
        <f>TEST_DATA!C18770</f>
        <v/>
      </c>
      <c r="D18770">
        <f>TEST_DATA!D18770</f>
        <v/>
      </c>
      <c r="E18770">
        <f>TEST_DATA!E18770</f>
        <v/>
      </c>
    </row>
    <row r="18771">
      <c r="A18771">
        <f>TEST_DATA!A18771</f>
        <v/>
      </c>
      <c r="B18771">
        <f>TEST_DATA!B18771</f>
        <v/>
      </c>
      <c r="C18771">
        <f>TEST_DATA!C18771</f>
        <v/>
      </c>
      <c r="D18771">
        <f>TEST_DATA!D18771</f>
        <v/>
      </c>
      <c r="E18771">
        <f>TEST_DATA!E18771</f>
        <v/>
      </c>
    </row>
    <row r="18772">
      <c r="A18772">
        <f>TEST_DATA!A18772</f>
        <v/>
      </c>
      <c r="B18772">
        <f>TEST_DATA!B18772</f>
        <v/>
      </c>
      <c r="C18772">
        <f>TEST_DATA!C18772</f>
        <v/>
      </c>
      <c r="D18772">
        <f>TEST_DATA!D18772</f>
        <v/>
      </c>
      <c r="E18772">
        <f>TEST_DATA!E18772</f>
        <v/>
      </c>
    </row>
    <row r="18773">
      <c r="A18773">
        <f>TEST_DATA!A18773</f>
        <v/>
      </c>
      <c r="B18773">
        <f>TEST_DATA!B18773</f>
        <v/>
      </c>
      <c r="C18773">
        <f>TEST_DATA!C18773</f>
        <v/>
      </c>
      <c r="D18773">
        <f>TEST_DATA!D18773</f>
        <v/>
      </c>
      <c r="E18773">
        <f>TEST_DATA!E18773</f>
        <v/>
      </c>
    </row>
    <row r="18774">
      <c r="A18774">
        <f>TEST_DATA!A18774</f>
        <v/>
      </c>
      <c r="B18774">
        <f>TEST_DATA!B18774</f>
        <v/>
      </c>
      <c r="C18774">
        <f>TEST_DATA!C18774</f>
        <v/>
      </c>
      <c r="D18774">
        <f>TEST_DATA!D18774</f>
        <v/>
      </c>
      <c r="E18774">
        <f>TEST_DATA!E18774</f>
        <v/>
      </c>
    </row>
    <row r="18775">
      <c r="A18775">
        <f>TEST_DATA!A18775</f>
        <v/>
      </c>
      <c r="B18775">
        <f>TEST_DATA!B18775</f>
        <v/>
      </c>
      <c r="C18775">
        <f>TEST_DATA!C18775</f>
        <v/>
      </c>
      <c r="D18775">
        <f>TEST_DATA!D18775</f>
        <v/>
      </c>
      <c r="E18775">
        <f>TEST_DATA!E18775</f>
        <v/>
      </c>
    </row>
    <row r="18776">
      <c r="A18776">
        <f>TEST_DATA!A18776</f>
        <v/>
      </c>
      <c r="B18776">
        <f>TEST_DATA!B18776</f>
        <v/>
      </c>
      <c r="C18776">
        <f>TEST_DATA!C18776</f>
        <v/>
      </c>
      <c r="D18776">
        <f>TEST_DATA!D18776</f>
        <v/>
      </c>
      <c r="E18776">
        <f>TEST_DATA!E18776</f>
        <v/>
      </c>
    </row>
    <row r="18777">
      <c r="A18777">
        <f>TEST_DATA!A18777</f>
        <v/>
      </c>
      <c r="B18777">
        <f>TEST_DATA!B18777</f>
        <v/>
      </c>
      <c r="C18777">
        <f>TEST_DATA!C18777</f>
        <v/>
      </c>
      <c r="D18777">
        <f>TEST_DATA!D18777</f>
        <v/>
      </c>
      <c r="E18777">
        <f>TEST_DATA!E18777</f>
        <v/>
      </c>
    </row>
    <row r="18778">
      <c r="A18778">
        <f>TEST_DATA!A18778</f>
        <v/>
      </c>
      <c r="B18778">
        <f>TEST_DATA!B18778</f>
        <v/>
      </c>
      <c r="C18778">
        <f>TEST_DATA!C18778</f>
        <v/>
      </c>
      <c r="D18778">
        <f>TEST_DATA!D18778</f>
        <v/>
      </c>
      <c r="E18778">
        <f>TEST_DATA!E18778</f>
        <v/>
      </c>
    </row>
    <row r="18779">
      <c r="A18779">
        <f>TEST_DATA!A18779</f>
        <v/>
      </c>
      <c r="B18779">
        <f>TEST_DATA!B18779</f>
        <v/>
      </c>
      <c r="C18779">
        <f>TEST_DATA!C18779</f>
        <v/>
      </c>
      <c r="D18779">
        <f>TEST_DATA!D18779</f>
        <v/>
      </c>
      <c r="E18779">
        <f>TEST_DATA!E18779</f>
        <v/>
      </c>
    </row>
    <row r="18780">
      <c r="A18780">
        <f>TEST_DATA!A18780</f>
        <v/>
      </c>
      <c r="B18780">
        <f>TEST_DATA!B18780</f>
        <v/>
      </c>
      <c r="C18780">
        <f>TEST_DATA!C18780</f>
        <v/>
      </c>
      <c r="D18780">
        <f>TEST_DATA!D18780</f>
        <v/>
      </c>
      <c r="E18780">
        <f>TEST_DATA!E18780</f>
        <v/>
      </c>
    </row>
    <row r="18781">
      <c r="A18781">
        <f>TEST_DATA!A18781</f>
        <v/>
      </c>
      <c r="B18781">
        <f>TEST_DATA!B18781</f>
        <v/>
      </c>
      <c r="C18781">
        <f>TEST_DATA!C18781</f>
        <v/>
      </c>
      <c r="D18781">
        <f>TEST_DATA!D18781</f>
        <v/>
      </c>
      <c r="E18781">
        <f>TEST_DATA!E18781</f>
        <v/>
      </c>
    </row>
    <row r="18782">
      <c r="A18782">
        <f>TEST_DATA!A18782</f>
        <v/>
      </c>
      <c r="B18782">
        <f>TEST_DATA!B18782</f>
        <v/>
      </c>
      <c r="C18782">
        <f>TEST_DATA!C18782</f>
        <v/>
      </c>
      <c r="D18782">
        <f>TEST_DATA!D18782</f>
        <v/>
      </c>
      <c r="E18782">
        <f>TEST_DATA!E18782</f>
        <v/>
      </c>
    </row>
    <row r="18783">
      <c r="A18783">
        <f>TEST_DATA!A18783</f>
        <v/>
      </c>
      <c r="B18783">
        <f>TEST_DATA!B18783</f>
        <v/>
      </c>
      <c r="C18783">
        <f>TEST_DATA!C18783</f>
        <v/>
      </c>
      <c r="D18783">
        <f>TEST_DATA!D18783</f>
        <v/>
      </c>
      <c r="E18783">
        <f>TEST_DATA!E18783</f>
        <v/>
      </c>
    </row>
    <row r="18784">
      <c r="A18784">
        <f>TEST_DATA!A18784</f>
        <v/>
      </c>
      <c r="B18784">
        <f>TEST_DATA!B18784</f>
        <v/>
      </c>
      <c r="C18784">
        <f>TEST_DATA!C18784</f>
        <v/>
      </c>
      <c r="D18784">
        <f>TEST_DATA!D18784</f>
        <v/>
      </c>
      <c r="E18784">
        <f>TEST_DATA!E18784</f>
        <v/>
      </c>
    </row>
    <row r="18785">
      <c r="A18785">
        <f>TEST_DATA!A18785</f>
        <v/>
      </c>
      <c r="B18785">
        <f>TEST_DATA!B18785</f>
        <v/>
      </c>
      <c r="C18785">
        <f>TEST_DATA!C18785</f>
        <v/>
      </c>
      <c r="D18785">
        <f>TEST_DATA!D18785</f>
        <v/>
      </c>
      <c r="E18785">
        <f>TEST_DATA!E18785</f>
        <v/>
      </c>
    </row>
    <row r="18786">
      <c r="A18786">
        <f>TEST_DATA!A18786</f>
        <v/>
      </c>
      <c r="B18786">
        <f>TEST_DATA!B18786</f>
        <v/>
      </c>
      <c r="C18786">
        <f>TEST_DATA!C18786</f>
        <v/>
      </c>
      <c r="D18786">
        <f>TEST_DATA!D18786</f>
        <v/>
      </c>
      <c r="E18786">
        <f>TEST_DATA!E18786</f>
        <v/>
      </c>
    </row>
    <row r="18787">
      <c r="A18787">
        <f>TEST_DATA!A18787</f>
        <v/>
      </c>
      <c r="B18787">
        <f>TEST_DATA!B18787</f>
        <v/>
      </c>
      <c r="C18787">
        <f>TEST_DATA!C18787</f>
        <v/>
      </c>
      <c r="D18787">
        <f>TEST_DATA!D18787</f>
        <v/>
      </c>
      <c r="E18787">
        <f>TEST_DATA!E18787</f>
        <v/>
      </c>
    </row>
    <row r="18788">
      <c r="A18788">
        <f>TEST_DATA!A18788</f>
        <v/>
      </c>
      <c r="B18788">
        <f>TEST_DATA!B18788</f>
        <v/>
      </c>
      <c r="C18788">
        <f>TEST_DATA!C18788</f>
        <v/>
      </c>
      <c r="D18788">
        <f>TEST_DATA!D18788</f>
        <v/>
      </c>
      <c r="E18788">
        <f>TEST_DATA!E18788</f>
        <v/>
      </c>
    </row>
    <row r="18789">
      <c r="A18789">
        <f>TEST_DATA!A18789</f>
        <v/>
      </c>
      <c r="B18789">
        <f>TEST_DATA!B18789</f>
        <v/>
      </c>
      <c r="C18789">
        <f>TEST_DATA!C18789</f>
        <v/>
      </c>
      <c r="D18789">
        <f>TEST_DATA!D18789</f>
        <v/>
      </c>
      <c r="E18789">
        <f>TEST_DATA!E18789</f>
        <v/>
      </c>
    </row>
    <row r="18790">
      <c r="A18790">
        <f>TEST_DATA!A18790</f>
        <v/>
      </c>
      <c r="B18790">
        <f>TEST_DATA!B18790</f>
        <v/>
      </c>
      <c r="C18790">
        <f>TEST_DATA!C18790</f>
        <v/>
      </c>
      <c r="D18790">
        <f>TEST_DATA!D18790</f>
        <v/>
      </c>
      <c r="E18790">
        <f>TEST_DATA!E18790</f>
        <v/>
      </c>
    </row>
    <row r="18791">
      <c r="A18791">
        <f>TEST_DATA!A18791</f>
        <v/>
      </c>
      <c r="B18791">
        <f>TEST_DATA!B18791</f>
        <v/>
      </c>
      <c r="C18791">
        <f>TEST_DATA!C18791</f>
        <v/>
      </c>
      <c r="D18791">
        <f>TEST_DATA!D18791</f>
        <v/>
      </c>
      <c r="E18791">
        <f>TEST_DATA!E18791</f>
        <v/>
      </c>
    </row>
    <row r="18792">
      <c r="A18792">
        <f>TEST_DATA!A18792</f>
        <v/>
      </c>
      <c r="B18792">
        <f>TEST_DATA!B18792</f>
        <v/>
      </c>
      <c r="C18792">
        <f>TEST_DATA!C18792</f>
        <v/>
      </c>
      <c r="D18792">
        <f>TEST_DATA!D18792</f>
        <v/>
      </c>
      <c r="E18792">
        <f>TEST_DATA!E18792</f>
        <v/>
      </c>
    </row>
    <row r="18793">
      <c r="A18793">
        <f>TEST_DATA!A18793</f>
        <v/>
      </c>
      <c r="B18793">
        <f>TEST_DATA!B18793</f>
        <v/>
      </c>
      <c r="C18793">
        <f>TEST_DATA!C18793</f>
        <v/>
      </c>
      <c r="D18793">
        <f>TEST_DATA!D18793</f>
        <v/>
      </c>
      <c r="E18793">
        <f>TEST_DATA!E18793</f>
        <v/>
      </c>
    </row>
    <row r="18794">
      <c r="A18794">
        <f>TEST_DATA!A18794</f>
        <v/>
      </c>
      <c r="B18794">
        <f>TEST_DATA!B18794</f>
        <v/>
      </c>
      <c r="C18794">
        <f>TEST_DATA!C18794</f>
        <v/>
      </c>
      <c r="D18794">
        <f>TEST_DATA!D18794</f>
        <v/>
      </c>
      <c r="E18794">
        <f>TEST_DATA!E18794</f>
        <v/>
      </c>
    </row>
    <row r="18795">
      <c r="A18795">
        <f>TEST_DATA!A18795</f>
        <v/>
      </c>
      <c r="B18795">
        <f>TEST_DATA!B18795</f>
        <v/>
      </c>
      <c r="C18795">
        <f>TEST_DATA!C18795</f>
        <v/>
      </c>
      <c r="D18795">
        <f>TEST_DATA!D18795</f>
        <v/>
      </c>
      <c r="E18795">
        <f>TEST_DATA!E18795</f>
        <v/>
      </c>
    </row>
    <row r="18796">
      <c r="A18796">
        <f>TEST_DATA!A18796</f>
        <v/>
      </c>
      <c r="B18796">
        <f>TEST_DATA!B18796</f>
        <v/>
      </c>
      <c r="C18796">
        <f>TEST_DATA!C18796</f>
        <v/>
      </c>
      <c r="D18796">
        <f>TEST_DATA!D18796</f>
        <v/>
      </c>
      <c r="E18796">
        <f>TEST_DATA!E18796</f>
        <v/>
      </c>
    </row>
    <row r="18797">
      <c r="A18797">
        <f>TEST_DATA!A18797</f>
        <v/>
      </c>
      <c r="B18797">
        <f>TEST_DATA!B18797</f>
        <v/>
      </c>
      <c r="C18797">
        <f>TEST_DATA!C18797</f>
        <v/>
      </c>
      <c r="D18797">
        <f>TEST_DATA!D18797</f>
        <v/>
      </c>
      <c r="E18797">
        <f>TEST_DATA!E18797</f>
        <v/>
      </c>
    </row>
    <row r="18798">
      <c r="A18798">
        <f>TEST_DATA!A18798</f>
        <v/>
      </c>
      <c r="B18798">
        <f>TEST_DATA!B18798</f>
        <v/>
      </c>
      <c r="C18798">
        <f>TEST_DATA!C18798</f>
        <v/>
      </c>
      <c r="D18798">
        <f>TEST_DATA!D18798</f>
        <v/>
      </c>
      <c r="E18798">
        <f>TEST_DATA!E18798</f>
        <v/>
      </c>
    </row>
    <row r="18799">
      <c r="A18799">
        <f>TEST_DATA!A18799</f>
        <v/>
      </c>
      <c r="B18799">
        <f>TEST_DATA!B18799</f>
        <v/>
      </c>
      <c r="C18799">
        <f>TEST_DATA!C18799</f>
        <v/>
      </c>
      <c r="D18799">
        <f>TEST_DATA!D18799</f>
        <v/>
      </c>
      <c r="E18799">
        <f>TEST_DATA!E18799</f>
        <v/>
      </c>
    </row>
    <row r="18800">
      <c r="A18800">
        <f>TEST_DATA!A18800</f>
        <v/>
      </c>
      <c r="B18800">
        <f>TEST_DATA!B18800</f>
        <v/>
      </c>
      <c r="C18800">
        <f>TEST_DATA!C18800</f>
        <v/>
      </c>
      <c r="D18800">
        <f>TEST_DATA!D18800</f>
        <v/>
      </c>
      <c r="E18800">
        <f>TEST_DATA!E18800</f>
        <v/>
      </c>
    </row>
    <row r="18801">
      <c r="A18801">
        <f>TEST_DATA!A18801</f>
        <v/>
      </c>
      <c r="B18801">
        <f>TEST_DATA!B18801</f>
        <v/>
      </c>
      <c r="C18801">
        <f>TEST_DATA!C18801</f>
        <v/>
      </c>
      <c r="D18801">
        <f>TEST_DATA!D18801</f>
        <v/>
      </c>
      <c r="E18801">
        <f>TEST_DATA!E18801</f>
        <v/>
      </c>
    </row>
    <row r="18802">
      <c r="A18802">
        <f>TEST_DATA!A18802</f>
        <v/>
      </c>
      <c r="B18802">
        <f>TEST_DATA!B18802</f>
        <v/>
      </c>
      <c r="C18802">
        <f>TEST_DATA!C18802</f>
        <v/>
      </c>
      <c r="D18802">
        <f>TEST_DATA!D18802</f>
        <v/>
      </c>
      <c r="E18802">
        <f>TEST_DATA!E18802</f>
        <v/>
      </c>
    </row>
    <row r="18803">
      <c r="A18803">
        <f>TEST_DATA!A18803</f>
        <v/>
      </c>
      <c r="B18803">
        <f>TEST_DATA!B18803</f>
        <v/>
      </c>
      <c r="C18803">
        <f>TEST_DATA!C18803</f>
        <v/>
      </c>
      <c r="D18803">
        <f>TEST_DATA!D18803</f>
        <v/>
      </c>
      <c r="E18803">
        <f>TEST_DATA!E18803</f>
        <v/>
      </c>
    </row>
    <row r="18804">
      <c r="A18804">
        <f>TEST_DATA!A18804</f>
        <v/>
      </c>
      <c r="B18804">
        <f>TEST_DATA!B18804</f>
        <v/>
      </c>
      <c r="C18804">
        <f>TEST_DATA!C18804</f>
        <v/>
      </c>
      <c r="D18804">
        <f>TEST_DATA!D18804</f>
        <v/>
      </c>
      <c r="E18804">
        <f>TEST_DATA!E18804</f>
        <v/>
      </c>
    </row>
    <row r="18805">
      <c r="A18805">
        <f>TEST_DATA!A18805</f>
        <v/>
      </c>
      <c r="B18805">
        <f>TEST_DATA!B18805</f>
        <v/>
      </c>
      <c r="C18805">
        <f>TEST_DATA!C18805</f>
        <v/>
      </c>
      <c r="D18805">
        <f>TEST_DATA!D18805</f>
        <v/>
      </c>
      <c r="E18805">
        <f>TEST_DATA!E18805</f>
        <v/>
      </c>
    </row>
    <row r="18806">
      <c r="A18806">
        <f>TEST_DATA!A18806</f>
        <v/>
      </c>
      <c r="B18806">
        <f>TEST_DATA!B18806</f>
        <v/>
      </c>
      <c r="C18806">
        <f>TEST_DATA!C18806</f>
        <v/>
      </c>
      <c r="D18806">
        <f>TEST_DATA!D18806</f>
        <v/>
      </c>
      <c r="E18806">
        <f>TEST_DATA!E18806</f>
        <v/>
      </c>
    </row>
    <row r="18807">
      <c r="A18807">
        <f>TEST_DATA!A18807</f>
        <v/>
      </c>
      <c r="B18807">
        <f>TEST_DATA!B18807</f>
        <v/>
      </c>
      <c r="C18807">
        <f>TEST_DATA!C18807</f>
        <v/>
      </c>
      <c r="D18807">
        <f>TEST_DATA!D18807</f>
        <v/>
      </c>
      <c r="E18807">
        <f>TEST_DATA!E18807</f>
        <v/>
      </c>
    </row>
    <row r="18808">
      <c r="A18808">
        <f>TEST_DATA!A18808</f>
        <v/>
      </c>
      <c r="B18808">
        <f>TEST_DATA!B18808</f>
        <v/>
      </c>
      <c r="C18808">
        <f>TEST_DATA!C18808</f>
        <v/>
      </c>
      <c r="D18808">
        <f>TEST_DATA!D18808</f>
        <v/>
      </c>
      <c r="E18808">
        <f>TEST_DATA!E18808</f>
        <v/>
      </c>
    </row>
    <row r="18809">
      <c r="A18809">
        <f>TEST_DATA!A18809</f>
        <v/>
      </c>
      <c r="B18809">
        <f>TEST_DATA!B18809</f>
        <v/>
      </c>
      <c r="C18809">
        <f>TEST_DATA!C18809</f>
        <v/>
      </c>
      <c r="D18809">
        <f>TEST_DATA!D18809</f>
        <v/>
      </c>
      <c r="E18809">
        <f>TEST_DATA!E18809</f>
        <v/>
      </c>
    </row>
    <row r="18810">
      <c r="A18810">
        <f>TEST_DATA!A18810</f>
        <v/>
      </c>
      <c r="B18810">
        <f>TEST_DATA!B18810</f>
        <v/>
      </c>
      <c r="C18810">
        <f>TEST_DATA!C18810</f>
        <v/>
      </c>
      <c r="D18810">
        <f>TEST_DATA!D18810</f>
        <v/>
      </c>
      <c r="E18810">
        <f>TEST_DATA!E18810</f>
        <v/>
      </c>
    </row>
    <row r="18811">
      <c r="A18811">
        <f>TEST_DATA!A18811</f>
        <v/>
      </c>
      <c r="B18811">
        <f>TEST_DATA!B18811</f>
        <v/>
      </c>
      <c r="C18811">
        <f>TEST_DATA!C18811</f>
        <v/>
      </c>
      <c r="D18811">
        <f>TEST_DATA!D18811</f>
        <v/>
      </c>
      <c r="E18811">
        <f>TEST_DATA!E18811</f>
        <v/>
      </c>
    </row>
    <row r="18812">
      <c r="A18812">
        <f>TEST_DATA!A18812</f>
        <v/>
      </c>
      <c r="B18812">
        <f>TEST_DATA!B18812</f>
        <v/>
      </c>
      <c r="C18812">
        <f>TEST_DATA!C18812</f>
        <v/>
      </c>
      <c r="D18812">
        <f>TEST_DATA!D18812</f>
        <v/>
      </c>
      <c r="E18812">
        <f>TEST_DATA!E18812</f>
        <v/>
      </c>
    </row>
    <row r="18813">
      <c r="A18813">
        <f>TEST_DATA!A18813</f>
        <v/>
      </c>
      <c r="B18813">
        <f>TEST_DATA!B18813</f>
        <v/>
      </c>
      <c r="C18813">
        <f>TEST_DATA!C18813</f>
        <v/>
      </c>
      <c r="D18813">
        <f>TEST_DATA!D18813</f>
        <v/>
      </c>
      <c r="E18813">
        <f>TEST_DATA!E18813</f>
        <v/>
      </c>
    </row>
    <row r="18814">
      <c r="A18814">
        <f>TEST_DATA!A18814</f>
        <v/>
      </c>
      <c r="B18814">
        <f>TEST_DATA!B18814</f>
        <v/>
      </c>
      <c r="C18814">
        <f>TEST_DATA!C18814</f>
        <v/>
      </c>
      <c r="D18814">
        <f>TEST_DATA!D18814</f>
        <v/>
      </c>
      <c r="E18814">
        <f>TEST_DATA!E18814</f>
        <v/>
      </c>
    </row>
    <row r="18815">
      <c r="A18815">
        <f>TEST_DATA!A18815</f>
        <v/>
      </c>
      <c r="B18815">
        <f>TEST_DATA!B18815</f>
        <v/>
      </c>
      <c r="C18815">
        <f>TEST_DATA!C18815</f>
        <v/>
      </c>
      <c r="D18815">
        <f>TEST_DATA!D18815</f>
        <v/>
      </c>
      <c r="E18815">
        <f>TEST_DATA!E18815</f>
        <v/>
      </c>
    </row>
    <row r="18816">
      <c r="A18816">
        <f>TEST_DATA!A18816</f>
        <v/>
      </c>
      <c r="B18816">
        <f>TEST_DATA!B18816</f>
        <v/>
      </c>
      <c r="C18816">
        <f>TEST_DATA!C18816</f>
        <v/>
      </c>
      <c r="D18816">
        <f>TEST_DATA!D18816</f>
        <v/>
      </c>
      <c r="E18816">
        <f>TEST_DATA!E18816</f>
        <v/>
      </c>
    </row>
    <row r="18817">
      <c r="A18817">
        <f>TEST_DATA!A18817</f>
        <v/>
      </c>
      <c r="B18817">
        <f>TEST_DATA!B18817</f>
        <v/>
      </c>
      <c r="C18817">
        <f>TEST_DATA!C18817</f>
        <v/>
      </c>
      <c r="D18817">
        <f>TEST_DATA!D18817</f>
        <v/>
      </c>
      <c r="E18817">
        <f>TEST_DATA!E18817</f>
        <v/>
      </c>
    </row>
    <row r="18818">
      <c r="A18818">
        <f>TEST_DATA!A18818</f>
        <v/>
      </c>
      <c r="B18818">
        <f>TEST_DATA!B18818</f>
        <v/>
      </c>
      <c r="C18818">
        <f>TEST_DATA!C18818</f>
        <v/>
      </c>
      <c r="D18818">
        <f>TEST_DATA!D18818</f>
        <v/>
      </c>
      <c r="E18818">
        <f>TEST_DATA!E18818</f>
        <v/>
      </c>
    </row>
    <row r="18819">
      <c r="A18819">
        <f>TEST_DATA!A18819</f>
        <v/>
      </c>
      <c r="B18819">
        <f>TEST_DATA!B18819</f>
        <v/>
      </c>
      <c r="C18819">
        <f>TEST_DATA!C18819</f>
        <v/>
      </c>
      <c r="D18819">
        <f>TEST_DATA!D18819</f>
        <v/>
      </c>
      <c r="E18819">
        <f>TEST_DATA!E18819</f>
        <v/>
      </c>
    </row>
    <row r="18820">
      <c r="A18820">
        <f>TEST_DATA!A18820</f>
        <v/>
      </c>
      <c r="B18820">
        <f>TEST_DATA!B18820</f>
        <v/>
      </c>
      <c r="C18820">
        <f>TEST_DATA!C18820</f>
        <v/>
      </c>
      <c r="D18820">
        <f>TEST_DATA!D18820</f>
        <v/>
      </c>
      <c r="E18820">
        <f>TEST_DATA!E18820</f>
        <v/>
      </c>
    </row>
    <row r="18821">
      <c r="A18821">
        <f>TEST_DATA!A18821</f>
        <v/>
      </c>
      <c r="B18821">
        <f>TEST_DATA!B18821</f>
        <v/>
      </c>
      <c r="C18821">
        <f>TEST_DATA!C18821</f>
        <v/>
      </c>
      <c r="D18821">
        <f>TEST_DATA!D18821</f>
        <v/>
      </c>
      <c r="E18821">
        <f>TEST_DATA!E18821</f>
        <v/>
      </c>
    </row>
    <row r="18822">
      <c r="A18822">
        <f>TEST_DATA!A18822</f>
        <v/>
      </c>
      <c r="B18822">
        <f>TEST_DATA!B18822</f>
        <v/>
      </c>
      <c r="C18822">
        <f>TEST_DATA!C18822</f>
        <v/>
      </c>
      <c r="D18822">
        <f>TEST_DATA!D18822</f>
        <v/>
      </c>
      <c r="E18822">
        <f>TEST_DATA!E18822</f>
        <v/>
      </c>
    </row>
    <row r="18823">
      <c r="A18823">
        <f>TEST_DATA!A18823</f>
        <v/>
      </c>
      <c r="B18823">
        <f>TEST_DATA!B18823</f>
        <v/>
      </c>
      <c r="C18823">
        <f>TEST_DATA!C18823</f>
        <v/>
      </c>
      <c r="D18823">
        <f>TEST_DATA!D18823</f>
        <v/>
      </c>
      <c r="E18823">
        <f>TEST_DATA!E18823</f>
        <v/>
      </c>
    </row>
    <row r="18824">
      <c r="A18824">
        <f>TEST_DATA!A18824</f>
        <v/>
      </c>
      <c r="B18824">
        <f>TEST_DATA!B18824</f>
        <v/>
      </c>
      <c r="C18824">
        <f>TEST_DATA!C18824</f>
        <v/>
      </c>
      <c r="D18824">
        <f>TEST_DATA!D18824</f>
        <v/>
      </c>
      <c r="E18824">
        <f>TEST_DATA!E18824</f>
        <v/>
      </c>
    </row>
    <row r="18825">
      <c r="A18825">
        <f>TEST_DATA!A18825</f>
        <v/>
      </c>
      <c r="B18825">
        <f>TEST_DATA!B18825</f>
        <v/>
      </c>
      <c r="C18825">
        <f>TEST_DATA!C18825</f>
        <v/>
      </c>
      <c r="D18825">
        <f>TEST_DATA!D18825</f>
        <v/>
      </c>
      <c r="E18825">
        <f>TEST_DATA!E18825</f>
        <v/>
      </c>
    </row>
    <row r="18826">
      <c r="A18826">
        <f>TEST_DATA!A18826</f>
        <v/>
      </c>
      <c r="B18826">
        <f>TEST_DATA!B18826</f>
        <v/>
      </c>
      <c r="C18826">
        <f>TEST_DATA!C18826</f>
        <v/>
      </c>
      <c r="D18826">
        <f>TEST_DATA!D18826</f>
        <v/>
      </c>
      <c r="E18826">
        <f>TEST_DATA!E18826</f>
        <v/>
      </c>
    </row>
    <row r="18827">
      <c r="A18827">
        <f>TEST_DATA!A18827</f>
        <v/>
      </c>
      <c r="B18827">
        <f>TEST_DATA!B18827</f>
        <v/>
      </c>
      <c r="C18827">
        <f>TEST_DATA!C18827</f>
        <v/>
      </c>
      <c r="D18827">
        <f>TEST_DATA!D18827</f>
        <v/>
      </c>
      <c r="E18827">
        <f>TEST_DATA!E18827</f>
        <v/>
      </c>
    </row>
    <row r="18828">
      <c r="A18828">
        <f>TEST_DATA!A18828</f>
        <v/>
      </c>
      <c r="B18828">
        <f>TEST_DATA!B18828</f>
        <v/>
      </c>
      <c r="C18828">
        <f>TEST_DATA!C18828</f>
        <v/>
      </c>
      <c r="D18828">
        <f>TEST_DATA!D18828</f>
        <v/>
      </c>
      <c r="E18828">
        <f>TEST_DATA!E18828</f>
        <v/>
      </c>
    </row>
    <row r="18829">
      <c r="A18829">
        <f>TEST_DATA!A18829</f>
        <v/>
      </c>
      <c r="B18829">
        <f>TEST_DATA!B18829</f>
        <v/>
      </c>
      <c r="C18829">
        <f>TEST_DATA!C18829</f>
        <v/>
      </c>
      <c r="D18829">
        <f>TEST_DATA!D18829</f>
        <v/>
      </c>
      <c r="E18829">
        <f>TEST_DATA!E18829</f>
        <v/>
      </c>
    </row>
    <row r="18830">
      <c r="A18830">
        <f>TEST_DATA!A18830</f>
        <v/>
      </c>
      <c r="B18830">
        <f>TEST_DATA!B18830</f>
        <v/>
      </c>
      <c r="C18830">
        <f>TEST_DATA!C18830</f>
        <v/>
      </c>
      <c r="D18830">
        <f>TEST_DATA!D18830</f>
        <v/>
      </c>
      <c r="E18830">
        <f>TEST_DATA!E18830</f>
        <v/>
      </c>
    </row>
    <row r="18831">
      <c r="A18831">
        <f>TEST_DATA!A18831</f>
        <v/>
      </c>
      <c r="B18831">
        <f>TEST_DATA!B18831</f>
        <v/>
      </c>
      <c r="C18831">
        <f>TEST_DATA!C18831</f>
        <v/>
      </c>
      <c r="D18831">
        <f>TEST_DATA!D18831</f>
        <v/>
      </c>
      <c r="E18831">
        <f>TEST_DATA!E18831</f>
        <v/>
      </c>
    </row>
    <row r="18832">
      <c r="A18832">
        <f>TEST_DATA!A18832</f>
        <v/>
      </c>
      <c r="B18832">
        <f>TEST_DATA!B18832</f>
        <v/>
      </c>
      <c r="C18832">
        <f>TEST_DATA!C18832</f>
        <v/>
      </c>
      <c r="D18832">
        <f>TEST_DATA!D18832</f>
        <v/>
      </c>
      <c r="E18832">
        <f>TEST_DATA!E18832</f>
        <v/>
      </c>
    </row>
    <row r="18833">
      <c r="A18833">
        <f>TEST_DATA!A18833</f>
        <v/>
      </c>
      <c r="B18833">
        <f>TEST_DATA!B18833</f>
        <v/>
      </c>
      <c r="C18833">
        <f>TEST_DATA!C18833</f>
        <v/>
      </c>
      <c r="D18833">
        <f>TEST_DATA!D18833</f>
        <v/>
      </c>
      <c r="E18833">
        <f>TEST_DATA!E18833</f>
        <v/>
      </c>
    </row>
    <row r="18834">
      <c r="A18834">
        <f>TEST_DATA!A18834</f>
        <v/>
      </c>
      <c r="B18834">
        <f>TEST_DATA!B18834</f>
        <v/>
      </c>
      <c r="C18834">
        <f>TEST_DATA!C18834</f>
        <v/>
      </c>
      <c r="D18834">
        <f>TEST_DATA!D18834</f>
        <v/>
      </c>
      <c r="E18834">
        <f>TEST_DATA!E18834</f>
        <v/>
      </c>
    </row>
    <row r="18835">
      <c r="A18835">
        <f>TEST_DATA!A18835</f>
        <v/>
      </c>
      <c r="B18835">
        <f>TEST_DATA!B18835</f>
        <v/>
      </c>
      <c r="C18835">
        <f>TEST_DATA!C18835</f>
        <v/>
      </c>
      <c r="D18835">
        <f>TEST_DATA!D18835</f>
        <v/>
      </c>
      <c r="E18835">
        <f>TEST_DATA!E18835</f>
        <v/>
      </c>
    </row>
    <row r="18836">
      <c r="A18836">
        <f>TEST_DATA!A18836</f>
        <v/>
      </c>
      <c r="B18836">
        <f>TEST_DATA!B18836</f>
        <v/>
      </c>
      <c r="C18836">
        <f>TEST_DATA!C18836</f>
        <v/>
      </c>
      <c r="D18836">
        <f>TEST_DATA!D18836</f>
        <v/>
      </c>
      <c r="E18836">
        <f>TEST_DATA!E18836</f>
        <v/>
      </c>
    </row>
    <row r="18837">
      <c r="A18837">
        <f>TEST_DATA!A18837</f>
        <v/>
      </c>
      <c r="B18837">
        <f>TEST_DATA!B18837</f>
        <v/>
      </c>
      <c r="C18837">
        <f>TEST_DATA!C18837</f>
        <v/>
      </c>
      <c r="D18837">
        <f>TEST_DATA!D18837</f>
        <v/>
      </c>
      <c r="E18837">
        <f>TEST_DATA!E18837</f>
        <v/>
      </c>
    </row>
    <row r="18838">
      <c r="A18838">
        <f>TEST_DATA!A18838</f>
        <v/>
      </c>
      <c r="B18838">
        <f>TEST_DATA!B18838</f>
        <v/>
      </c>
      <c r="C18838">
        <f>TEST_DATA!C18838</f>
        <v/>
      </c>
      <c r="D18838">
        <f>TEST_DATA!D18838</f>
        <v/>
      </c>
      <c r="E18838">
        <f>TEST_DATA!E18838</f>
        <v/>
      </c>
    </row>
    <row r="18839">
      <c r="A18839">
        <f>TEST_DATA!A18839</f>
        <v/>
      </c>
      <c r="B18839">
        <f>TEST_DATA!B18839</f>
        <v/>
      </c>
      <c r="C18839">
        <f>TEST_DATA!C18839</f>
        <v/>
      </c>
      <c r="D18839">
        <f>TEST_DATA!D18839</f>
        <v/>
      </c>
      <c r="E18839">
        <f>TEST_DATA!E18839</f>
        <v/>
      </c>
    </row>
    <row r="18840">
      <c r="A18840">
        <f>TEST_DATA!A18840</f>
        <v/>
      </c>
      <c r="B18840">
        <f>TEST_DATA!B18840</f>
        <v/>
      </c>
      <c r="C18840">
        <f>TEST_DATA!C18840</f>
        <v/>
      </c>
      <c r="D18840">
        <f>TEST_DATA!D18840</f>
        <v/>
      </c>
      <c r="E18840">
        <f>TEST_DATA!E18840</f>
        <v/>
      </c>
    </row>
    <row r="18841">
      <c r="A18841">
        <f>TEST_DATA!A18841</f>
        <v/>
      </c>
      <c r="B18841">
        <f>TEST_DATA!B18841</f>
        <v/>
      </c>
      <c r="C18841">
        <f>TEST_DATA!C18841</f>
        <v/>
      </c>
      <c r="D18841">
        <f>TEST_DATA!D18841</f>
        <v/>
      </c>
      <c r="E18841">
        <f>TEST_DATA!E18841</f>
        <v/>
      </c>
    </row>
    <row r="18842">
      <c r="A18842">
        <f>TEST_DATA!A18842</f>
        <v/>
      </c>
      <c r="B18842">
        <f>TEST_DATA!B18842</f>
        <v/>
      </c>
      <c r="C18842">
        <f>TEST_DATA!C18842</f>
        <v/>
      </c>
      <c r="D18842">
        <f>TEST_DATA!D18842</f>
        <v/>
      </c>
      <c r="E18842">
        <f>TEST_DATA!E18842</f>
        <v/>
      </c>
    </row>
    <row r="18843">
      <c r="A18843">
        <f>TEST_DATA!A18843</f>
        <v/>
      </c>
      <c r="B18843">
        <f>TEST_DATA!B18843</f>
        <v/>
      </c>
      <c r="C18843">
        <f>TEST_DATA!C18843</f>
        <v/>
      </c>
      <c r="D18843">
        <f>TEST_DATA!D18843</f>
        <v/>
      </c>
      <c r="E18843">
        <f>TEST_DATA!E18843</f>
        <v/>
      </c>
    </row>
    <row r="18844">
      <c r="A18844">
        <f>TEST_DATA!A18844</f>
        <v/>
      </c>
      <c r="B18844">
        <f>TEST_DATA!B18844</f>
        <v/>
      </c>
      <c r="C18844">
        <f>TEST_DATA!C18844</f>
        <v/>
      </c>
      <c r="D18844">
        <f>TEST_DATA!D18844</f>
        <v/>
      </c>
      <c r="E18844">
        <f>TEST_DATA!E18844</f>
        <v/>
      </c>
    </row>
    <row r="18845">
      <c r="A18845">
        <f>TEST_DATA!A18845</f>
        <v/>
      </c>
      <c r="B18845">
        <f>TEST_DATA!B18845</f>
        <v/>
      </c>
      <c r="C18845">
        <f>TEST_DATA!C18845</f>
        <v/>
      </c>
      <c r="D18845">
        <f>TEST_DATA!D18845</f>
        <v/>
      </c>
      <c r="E18845">
        <f>TEST_DATA!E18845</f>
        <v/>
      </c>
    </row>
    <row r="18846">
      <c r="A18846">
        <f>TEST_DATA!A18846</f>
        <v/>
      </c>
      <c r="B18846">
        <f>TEST_DATA!B18846</f>
        <v/>
      </c>
      <c r="C18846">
        <f>TEST_DATA!C18846</f>
        <v/>
      </c>
      <c r="D18846">
        <f>TEST_DATA!D18846</f>
        <v/>
      </c>
      <c r="E18846">
        <f>TEST_DATA!E18846</f>
        <v/>
      </c>
    </row>
    <row r="18847">
      <c r="A18847">
        <f>TEST_DATA!A18847</f>
        <v/>
      </c>
      <c r="B18847">
        <f>TEST_DATA!B18847</f>
        <v/>
      </c>
      <c r="C18847">
        <f>TEST_DATA!C18847</f>
        <v/>
      </c>
      <c r="D18847">
        <f>TEST_DATA!D18847</f>
        <v/>
      </c>
      <c r="E18847">
        <f>TEST_DATA!E18847</f>
        <v/>
      </c>
    </row>
    <row r="18848">
      <c r="A18848">
        <f>TEST_DATA!A18848</f>
        <v/>
      </c>
      <c r="B18848">
        <f>TEST_DATA!B18848</f>
        <v/>
      </c>
      <c r="C18848">
        <f>TEST_DATA!C18848</f>
        <v/>
      </c>
      <c r="D18848">
        <f>TEST_DATA!D18848</f>
        <v/>
      </c>
      <c r="E18848">
        <f>TEST_DATA!E18848</f>
        <v/>
      </c>
    </row>
    <row r="18849">
      <c r="A18849">
        <f>TEST_DATA!A18849</f>
        <v/>
      </c>
      <c r="B18849">
        <f>TEST_DATA!B18849</f>
        <v/>
      </c>
      <c r="C18849">
        <f>TEST_DATA!C18849</f>
        <v/>
      </c>
      <c r="D18849">
        <f>TEST_DATA!D18849</f>
        <v/>
      </c>
      <c r="E18849">
        <f>TEST_DATA!E18849</f>
        <v/>
      </c>
    </row>
    <row r="18850">
      <c r="A18850">
        <f>TEST_DATA!A18850</f>
        <v/>
      </c>
      <c r="B18850">
        <f>TEST_DATA!B18850</f>
        <v/>
      </c>
      <c r="C18850">
        <f>TEST_DATA!C18850</f>
        <v/>
      </c>
      <c r="D18850">
        <f>TEST_DATA!D18850</f>
        <v/>
      </c>
      <c r="E18850">
        <f>TEST_DATA!E18850</f>
        <v/>
      </c>
    </row>
    <row r="18851">
      <c r="A18851">
        <f>TEST_DATA!A18851</f>
        <v/>
      </c>
      <c r="B18851">
        <f>TEST_DATA!B18851</f>
        <v/>
      </c>
      <c r="C18851">
        <f>TEST_DATA!C18851</f>
        <v/>
      </c>
      <c r="D18851">
        <f>TEST_DATA!D18851</f>
        <v/>
      </c>
      <c r="E18851">
        <f>TEST_DATA!E18851</f>
        <v/>
      </c>
    </row>
    <row r="18852">
      <c r="A18852">
        <f>TEST_DATA!A18852</f>
        <v/>
      </c>
      <c r="B18852">
        <f>TEST_DATA!B18852</f>
        <v/>
      </c>
      <c r="C18852">
        <f>TEST_DATA!C18852</f>
        <v/>
      </c>
      <c r="D18852">
        <f>TEST_DATA!D18852</f>
        <v/>
      </c>
      <c r="E18852">
        <f>TEST_DATA!E18852</f>
        <v/>
      </c>
    </row>
    <row r="18853">
      <c r="A18853">
        <f>TEST_DATA!A18853</f>
        <v/>
      </c>
      <c r="B18853">
        <f>TEST_DATA!B18853</f>
        <v/>
      </c>
      <c r="C18853">
        <f>TEST_DATA!C18853</f>
        <v/>
      </c>
      <c r="D18853">
        <f>TEST_DATA!D18853</f>
        <v/>
      </c>
      <c r="E18853">
        <f>TEST_DATA!E18853</f>
        <v/>
      </c>
    </row>
    <row r="18854">
      <c r="A18854">
        <f>TEST_DATA!A18854</f>
        <v/>
      </c>
      <c r="B18854">
        <f>TEST_DATA!B18854</f>
        <v/>
      </c>
      <c r="C18854">
        <f>TEST_DATA!C18854</f>
        <v/>
      </c>
      <c r="D18854">
        <f>TEST_DATA!D18854</f>
        <v/>
      </c>
      <c r="E18854">
        <f>TEST_DATA!E18854</f>
        <v/>
      </c>
    </row>
    <row r="18855">
      <c r="A18855">
        <f>TEST_DATA!A18855</f>
        <v/>
      </c>
      <c r="B18855">
        <f>TEST_DATA!B18855</f>
        <v/>
      </c>
      <c r="C18855">
        <f>TEST_DATA!C18855</f>
        <v/>
      </c>
      <c r="D18855">
        <f>TEST_DATA!D18855</f>
        <v/>
      </c>
      <c r="E18855">
        <f>TEST_DATA!E18855</f>
        <v/>
      </c>
    </row>
    <row r="18856">
      <c r="A18856">
        <f>TEST_DATA!A18856</f>
        <v/>
      </c>
      <c r="B18856">
        <f>TEST_DATA!B18856</f>
        <v/>
      </c>
      <c r="C18856">
        <f>TEST_DATA!C18856</f>
        <v/>
      </c>
      <c r="D18856">
        <f>TEST_DATA!D18856</f>
        <v/>
      </c>
      <c r="E18856">
        <f>TEST_DATA!E18856</f>
        <v/>
      </c>
    </row>
    <row r="18857">
      <c r="A18857">
        <f>TEST_DATA!A18857</f>
        <v/>
      </c>
      <c r="B18857">
        <f>TEST_DATA!B18857</f>
        <v/>
      </c>
      <c r="C18857">
        <f>TEST_DATA!C18857</f>
        <v/>
      </c>
      <c r="D18857">
        <f>TEST_DATA!D18857</f>
        <v/>
      </c>
      <c r="E18857">
        <f>TEST_DATA!E18857</f>
        <v/>
      </c>
    </row>
    <row r="18858">
      <c r="A18858">
        <f>TEST_DATA!A18858</f>
        <v/>
      </c>
      <c r="B18858">
        <f>TEST_DATA!B18858</f>
        <v/>
      </c>
      <c r="C18858">
        <f>TEST_DATA!C18858</f>
        <v/>
      </c>
      <c r="D18858">
        <f>TEST_DATA!D18858</f>
        <v/>
      </c>
      <c r="E18858">
        <f>TEST_DATA!E18858</f>
        <v/>
      </c>
    </row>
    <row r="18859">
      <c r="A18859">
        <f>TEST_DATA!A18859</f>
        <v/>
      </c>
      <c r="B18859">
        <f>TEST_DATA!B18859</f>
        <v/>
      </c>
      <c r="C18859">
        <f>TEST_DATA!C18859</f>
        <v/>
      </c>
      <c r="D18859">
        <f>TEST_DATA!D18859</f>
        <v/>
      </c>
      <c r="E18859">
        <f>TEST_DATA!E18859</f>
        <v/>
      </c>
    </row>
    <row r="18860">
      <c r="A18860">
        <f>TEST_DATA!A18860</f>
        <v/>
      </c>
      <c r="B18860">
        <f>TEST_DATA!B18860</f>
        <v/>
      </c>
      <c r="C18860">
        <f>TEST_DATA!C18860</f>
        <v/>
      </c>
      <c r="D18860">
        <f>TEST_DATA!D18860</f>
        <v/>
      </c>
      <c r="E18860">
        <f>TEST_DATA!E18860</f>
        <v/>
      </c>
    </row>
    <row r="18861">
      <c r="A18861">
        <f>TEST_DATA!A18861</f>
        <v/>
      </c>
      <c r="B18861">
        <f>TEST_DATA!B18861</f>
        <v/>
      </c>
      <c r="C18861">
        <f>TEST_DATA!C18861</f>
        <v/>
      </c>
      <c r="D18861">
        <f>TEST_DATA!D18861</f>
        <v/>
      </c>
      <c r="E18861">
        <f>TEST_DATA!E18861</f>
        <v/>
      </c>
    </row>
    <row r="18862">
      <c r="A18862">
        <f>TEST_DATA!A18862</f>
        <v/>
      </c>
      <c r="B18862">
        <f>TEST_DATA!B18862</f>
        <v/>
      </c>
      <c r="C18862">
        <f>TEST_DATA!C18862</f>
        <v/>
      </c>
      <c r="D18862">
        <f>TEST_DATA!D18862</f>
        <v/>
      </c>
      <c r="E18862">
        <f>TEST_DATA!E18862</f>
        <v/>
      </c>
    </row>
    <row r="18863">
      <c r="A18863">
        <f>TEST_DATA!A18863</f>
        <v/>
      </c>
      <c r="B18863">
        <f>TEST_DATA!B18863</f>
        <v/>
      </c>
      <c r="C18863">
        <f>TEST_DATA!C18863</f>
        <v/>
      </c>
      <c r="D18863">
        <f>TEST_DATA!D18863</f>
        <v/>
      </c>
      <c r="E18863">
        <f>TEST_DATA!E18863</f>
        <v/>
      </c>
    </row>
    <row r="18864">
      <c r="A18864">
        <f>TEST_DATA!A18864</f>
        <v/>
      </c>
      <c r="B18864">
        <f>TEST_DATA!B18864</f>
        <v/>
      </c>
      <c r="C18864">
        <f>TEST_DATA!C18864</f>
        <v/>
      </c>
      <c r="D18864">
        <f>TEST_DATA!D18864</f>
        <v/>
      </c>
      <c r="E18864">
        <f>TEST_DATA!E18864</f>
        <v/>
      </c>
    </row>
    <row r="18865">
      <c r="A18865">
        <f>TEST_DATA!A18865</f>
        <v/>
      </c>
      <c r="B18865">
        <f>TEST_DATA!B18865</f>
        <v/>
      </c>
      <c r="C18865">
        <f>TEST_DATA!C18865</f>
        <v/>
      </c>
      <c r="D18865">
        <f>TEST_DATA!D18865</f>
        <v/>
      </c>
      <c r="E18865">
        <f>TEST_DATA!E18865</f>
        <v/>
      </c>
    </row>
    <row r="18866">
      <c r="A18866">
        <f>TEST_DATA!A18866</f>
        <v/>
      </c>
      <c r="B18866">
        <f>TEST_DATA!B18866</f>
        <v/>
      </c>
      <c r="C18866">
        <f>TEST_DATA!C18866</f>
        <v/>
      </c>
      <c r="D18866">
        <f>TEST_DATA!D18866</f>
        <v/>
      </c>
      <c r="E18866">
        <f>TEST_DATA!E18866</f>
        <v/>
      </c>
    </row>
    <row r="18867">
      <c r="A18867">
        <f>TEST_DATA!A18867</f>
        <v/>
      </c>
      <c r="B18867">
        <f>TEST_DATA!B18867</f>
        <v/>
      </c>
      <c r="C18867">
        <f>TEST_DATA!C18867</f>
        <v/>
      </c>
      <c r="D18867">
        <f>TEST_DATA!D18867</f>
        <v/>
      </c>
      <c r="E18867">
        <f>TEST_DATA!E18867</f>
        <v/>
      </c>
    </row>
    <row r="18868">
      <c r="A18868">
        <f>TEST_DATA!A18868</f>
        <v/>
      </c>
      <c r="B18868">
        <f>TEST_DATA!B18868</f>
        <v/>
      </c>
      <c r="C18868">
        <f>TEST_DATA!C18868</f>
        <v/>
      </c>
      <c r="D18868">
        <f>TEST_DATA!D18868</f>
        <v/>
      </c>
      <c r="E18868">
        <f>TEST_DATA!E18868</f>
        <v/>
      </c>
    </row>
    <row r="18869">
      <c r="A18869">
        <f>TEST_DATA!A18869</f>
        <v/>
      </c>
      <c r="B18869">
        <f>TEST_DATA!B18869</f>
        <v/>
      </c>
      <c r="C18869">
        <f>TEST_DATA!C18869</f>
        <v/>
      </c>
      <c r="D18869">
        <f>TEST_DATA!D18869</f>
        <v/>
      </c>
      <c r="E18869">
        <f>TEST_DATA!E18869</f>
        <v/>
      </c>
    </row>
    <row r="18870">
      <c r="A18870">
        <f>TEST_DATA!A18870</f>
        <v/>
      </c>
      <c r="B18870">
        <f>TEST_DATA!B18870</f>
        <v/>
      </c>
      <c r="C18870">
        <f>TEST_DATA!C18870</f>
        <v/>
      </c>
      <c r="D18870">
        <f>TEST_DATA!D18870</f>
        <v/>
      </c>
      <c r="E18870">
        <f>TEST_DATA!E18870</f>
        <v/>
      </c>
    </row>
    <row r="18871">
      <c r="A18871">
        <f>TEST_DATA!A18871</f>
        <v/>
      </c>
      <c r="B18871">
        <f>TEST_DATA!B18871</f>
        <v/>
      </c>
      <c r="C18871">
        <f>TEST_DATA!C18871</f>
        <v/>
      </c>
      <c r="D18871">
        <f>TEST_DATA!D18871</f>
        <v/>
      </c>
      <c r="E18871">
        <f>TEST_DATA!E18871</f>
        <v/>
      </c>
    </row>
    <row r="18872">
      <c r="A18872">
        <f>TEST_DATA!A18872</f>
        <v/>
      </c>
      <c r="B18872">
        <f>TEST_DATA!B18872</f>
        <v/>
      </c>
      <c r="C18872">
        <f>TEST_DATA!C18872</f>
        <v/>
      </c>
      <c r="D18872">
        <f>TEST_DATA!D18872</f>
        <v/>
      </c>
      <c r="E18872">
        <f>TEST_DATA!E18872</f>
        <v/>
      </c>
    </row>
    <row r="18873">
      <c r="A18873">
        <f>TEST_DATA!A18873</f>
        <v/>
      </c>
      <c r="B18873">
        <f>TEST_DATA!B18873</f>
        <v/>
      </c>
      <c r="C18873">
        <f>TEST_DATA!C18873</f>
        <v/>
      </c>
      <c r="D18873">
        <f>TEST_DATA!D18873</f>
        <v/>
      </c>
      <c r="E18873">
        <f>TEST_DATA!E18873</f>
        <v/>
      </c>
    </row>
    <row r="18874">
      <c r="A18874">
        <f>TEST_DATA!A18874</f>
        <v/>
      </c>
      <c r="B18874">
        <f>TEST_DATA!B18874</f>
        <v/>
      </c>
      <c r="C18874">
        <f>TEST_DATA!C18874</f>
        <v/>
      </c>
      <c r="D18874">
        <f>TEST_DATA!D18874</f>
        <v/>
      </c>
      <c r="E18874">
        <f>TEST_DATA!E18874</f>
        <v/>
      </c>
    </row>
    <row r="18875">
      <c r="A18875">
        <f>TEST_DATA!A18875</f>
        <v/>
      </c>
      <c r="B18875">
        <f>TEST_DATA!B18875</f>
        <v/>
      </c>
      <c r="C18875">
        <f>TEST_DATA!C18875</f>
        <v/>
      </c>
      <c r="D18875">
        <f>TEST_DATA!D18875</f>
        <v/>
      </c>
      <c r="E18875">
        <f>TEST_DATA!E18875</f>
        <v/>
      </c>
    </row>
    <row r="18876">
      <c r="A18876">
        <f>TEST_DATA!A18876</f>
        <v/>
      </c>
      <c r="B18876">
        <f>TEST_DATA!B18876</f>
        <v/>
      </c>
      <c r="C18876">
        <f>TEST_DATA!C18876</f>
        <v/>
      </c>
      <c r="D18876">
        <f>TEST_DATA!D18876</f>
        <v/>
      </c>
      <c r="E18876">
        <f>TEST_DATA!E18876</f>
        <v/>
      </c>
    </row>
    <row r="18877">
      <c r="A18877">
        <f>TEST_DATA!A18877</f>
        <v/>
      </c>
      <c r="B18877">
        <f>TEST_DATA!B18877</f>
        <v/>
      </c>
      <c r="C18877">
        <f>TEST_DATA!C18877</f>
        <v/>
      </c>
      <c r="D18877">
        <f>TEST_DATA!D18877</f>
        <v/>
      </c>
      <c r="E18877">
        <f>TEST_DATA!E18877</f>
        <v/>
      </c>
    </row>
    <row r="18878">
      <c r="A18878">
        <f>TEST_DATA!A18878</f>
        <v/>
      </c>
      <c r="B18878">
        <f>TEST_DATA!B18878</f>
        <v/>
      </c>
      <c r="C18878">
        <f>TEST_DATA!C18878</f>
        <v/>
      </c>
      <c r="D18878">
        <f>TEST_DATA!D18878</f>
        <v/>
      </c>
      <c r="E18878">
        <f>TEST_DATA!E18878</f>
        <v/>
      </c>
    </row>
    <row r="18879">
      <c r="A18879">
        <f>TEST_DATA!A18879</f>
        <v/>
      </c>
      <c r="B18879">
        <f>TEST_DATA!B18879</f>
        <v/>
      </c>
      <c r="C18879">
        <f>TEST_DATA!C18879</f>
        <v/>
      </c>
      <c r="D18879">
        <f>TEST_DATA!D18879</f>
        <v/>
      </c>
      <c r="E18879">
        <f>TEST_DATA!E18879</f>
        <v/>
      </c>
    </row>
    <row r="18880">
      <c r="A18880">
        <f>TEST_DATA!A18880</f>
        <v/>
      </c>
      <c r="B18880">
        <f>TEST_DATA!B18880</f>
        <v/>
      </c>
      <c r="C18880">
        <f>TEST_DATA!C18880</f>
        <v/>
      </c>
      <c r="D18880">
        <f>TEST_DATA!D18880</f>
        <v/>
      </c>
      <c r="E18880">
        <f>TEST_DATA!E18880</f>
        <v/>
      </c>
    </row>
    <row r="18881">
      <c r="A18881">
        <f>TEST_DATA!A18881</f>
        <v/>
      </c>
      <c r="B18881">
        <f>TEST_DATA!B18881</f>
        <v/>
      </c>
      <c r="C18881">
        <f>TEST_DATA!C18881</f>
        <v/>
      </c>
      <c r="D18881">
        <f>TEST_DATA!D18881</f>
        <v/>
      </c>
      <c r="E18881">
        <f>TEST_DATA!E18881</f>
        <v/>
      </c>
    </row>
    <row r="18882">
      <c r="A18882">
        <f>TEST_DATA!A18882</f>
        <v/>
      </c>
      <c r="B18882">
        <f>TEST_DATA!B18882</f>
        <v/>
      </c>
      <c r="C18882">
        <f>TEST_DATA!C18882</f>
        <v/>
      </c>
      <c r="D18882">
        <f>TEST_DATA!D18882</f>
        <v/>
      </c>
      <c r="E18882">
        <f>TEST_DATA!E18882</f>
        <v/>
      </c>
    </row>
    <row r="18883">
      <c r="A18883">
        <f>TEST_DATA!A18883</f>
        <v/>
      </c>
      <c r="B18883">
        <f>TEST_DATA!B18883</f>
        <v/>
      </c>
      <c r="C18883">
        <f>TEST_DATA!C18883</f>
        <v/>
      </c>
      <c r="D18883">
        <f>TEST_DATA!D18883</f>
        <v/>
      </c>
      <c r="E18883">
        <f>TEST_DATA!E18883</f>
        <v/>
      </c>
    </row>
    <row r="18884">
      <c r="A18884">
        <f>TEST_DATA!A18884</f>
        <v/>
      </c>
      <c r="B18884">
        <f>TEST_DATA!B18884</f>
        <v/>
      </c>
      <c r="C18884">
        <f>TEST_DATA!C18884</f>
        <v/>
      </c>
      <c r="D18884">
        <f>TEST_DATA!D18884</f>
        <v/>
      </c>
      <c r="E18884">
        <f>TEST_DATA!E18884</f>
        <v/>
      </c>
    </row>
    <row r="18885">
      <c r="A18885">
        <f>TEST_DATA!A18885</f>
        <v/>
      </c>
      <c r="B18885">
        <f>TEST_DATA!B18885</f>
        <v/>
      </c>
      <c r="C18885">
        <f>TEST_DATA!C18885</f>
        <v/>
      </c>
      <c r="D18885">
        <f>TEST_DATA!D18885</f>
        <v/>
      </c>
      <c r="E18885">
        <f>TEST_DATA!E18885</f>
        <v/>
      </c>
    </row>
    <row r="18886">
      <c r="A18886">
        <f>TEST_DATA!A18886</f>
        <v/>
      </c>
      <c r="B18886">
        <f>TEST_DATA!B18886</f>
        <v/>
      </c>
      <c r="C18886">
        <f>TEST_DATA!C18886</f>
        <v/>
      </c>
      <c r="D18886">
        <f>TEST_DATA!D18886</f>
        <v/>
      </c>
      <c r="E18886">
        <f>TEST_DATA!E18886</f>
        <v/>
      </c>
    </row>
    <row r="18887">
      <c r="A18887">
        <f>TEST_DATA!A18887</f>
        <v/>
      </c>
      <c r="B18887">
        <f>TEST_DATA!B18887</f>
        <v/>
      </c>
      <c r="C18887">
        <f>TEST_DATA!C18887</f>
        <v/>
      </c>
      <c r="D18887">
        <f>TEST_DATA!D18887</f>
        <v/>
      </c>
      <c r="E18887">
        <f>TEST_DATA!E18887</f>
        <v/>
      </c>
    </row>
    <row r="18888">
      <c r="A18888">
        <f>TEST_DATA!A18888</f>
        <v/>
      </c>
      <c r="B18888">
        <f>TEST_DATA!B18888</f>
        <v/>
      </c>
      <c r="C18888">
        <f>TEST_DATA!C18888</f>
        <v/>
      </c>
      <c r="D18888">
        <f>TEST_DATA!D18888</f>
        <v/>
      </c>
      <c r="E18888">
        <f>TEST_DATA!E18888</f>
        <v/>
      </c>
    </row>
    <row r="18889">
      <c r="A18889">
        <f>TEST_DATA!A18889</f>
        <v/>
      </c>
      <c r="B18889">
        <f>TEST_DATA!B18889</f>
        <v/>
      </c>
      <c r="C18889">
        <f>TEST_DATA!C18889</f>
        <v/>
      </c>
      <c r="D18889">
        <f>TEST_DATA!D18889</f>
        <v/>
      </c>
      <c r="E18889">
        <f>TEST_DATA!E18889</f>
        <v/>
      </c>
    </row>
    <row r="18890">
      <c r="A18890">
        <f>TEST_DATA!A18890</f>
        <v/>
      </c>
      <c r="B18890">
        <f>TEST_DATA!B18890</f>
        <v/>
      </c>
      <c r="C18890">
        <f>TEST_DATA!C18890</f>
        <v/>
      </c>
      <c r="D18890">
        <f>TEST_DATA!D18890</f>
        <v/>
      </c>
      <c r="E18890">
        <f>TEST_DATA!E18890</f>
        <v/>
      </c>
    </row>
    <row r="18891">
      <c r="A18891">
        <f>TEST_DATA!A18891</f>
        <v/>
      </c>
      <c r="B18891">
        <f>TEST_DATA!B18891</f>
        <v/>
      </c>
      <c r="C18891">
        <f>TEST_DATA!C18891</f>
        <v/>
      </c>
      <c r="D18891">
        <f>TEST_DATA!D18891</f>
        <v/>
      </c>
      <c r="E18891">
        <f>TEST_DATA!E18891</f>
        <v/>
      </c>
    </row>
    <row r="18892">
      <c r="A18892">
        <f>TEST_DATA!A18892</f>
        <v/>
      </c>
      <c r="B18892">
        <f>TEST_DATA!B18892</f>
        <v/>
      </c>
      <c r="C18892">
        <f>TEST_DATA!C18892</f>
        <v/>
      </c>
      <c r="D18892">
        <f>TEST_DATA!D18892</f>
        <v/>
      </c>
      <c r="E18892">
        <f>TEST_DATA!E18892</f>
        <v/>
      </c>
    </row>
    <row r="18893">
      <c r="A18893">
        <f>TEST_DATA!A18893</f>
        <v/>
      </c>
      <c r="B18893">
        <f>TEST_DATA!B18893</f>
        <v/>
      </c>
      <c r="C18893">
        <f>TEST_DATA!C18893</f>
        <v/>
      </c>
      <c r="D18893">
        <f>TEST_DATA!D18893</f>
        <v/>
      </c>
      <c r="E18893">
        <f>TEST_DATA!E18893</f>
        <v/>
      </c>
    </row>
    <row r="18894">
      <c r="A18894">
        <f>TEST_DATA!A18894</f>
        <v/>
      </c>
      <c r="B18894">
        <f>TEST_DATA!B18894</f>
        <v/>
      </c>
      <c r="C18894">
        <f>TEST_DATA!C18894</f>
        <v/>
      </c>
      <c r="D18894">
        <f>TEST_DATA!D18894</f>
        <v/>
      </c>
      <c r="E18894">
        <f>TEST_DATA!E18894</f>
        <v/>
      </c>
    </row>
    <row r="18895">
      <c r="A18895">
        <f>TEST_DATA!A18895</f>
        <v/>
      </c>
      <c r="B18895">
        <f>TEST_DATA!B18895</f>
        <v/>
      </c>
      <c r="C18895">
        <f>TEST_DATA!C18895</f>
        <v/>
      </c>
      <c r="D18895">
        <f>TEST_DATA!D18895</f>
        <v/>
      </c>
      <c r="E18895">
        <f>TEST_DATA!E18895</f>
        <v/>
      </c>
    </row>
    <row r="18896">
      <c r="A18896">
        <f>TEST_DATA!A18896</f>
        <v/>
      </c>
      <c r="B18896">
        <f>TEST_DATA!B18896</f>
        <v/>
      </c>
      <c r="C18896">
        <f>TEST_DATA!C18896</f>
        <v/>
      </c>
      <c r="D18896">
        <f>TEST_DATA!D18896</f>
        <v/>
      </c>
      <c r="E18896">
        <f>TEST_DATA!E18896</f>
        <v/>
      </c>
    </row>
    <row r="18897">
      <c r="A18897">
        <f>TEST_DATA!A18897</f>
        <v/>
      </c>
      <c r="B18897">
        <f>TEST_DATA!B18897</f>
        <v/>
      </c>
      <c r="C18897">
        <f>TEST_DATA!C18897</f>
        <v/>
      </c>
      <c r="D18897">
        <f>TEST_DATA!D18897</f>
        <v/>
      </c>
      <c r="E18897">
        <f>TEST_DATA!E18897</f>
        <v/>
      </c>
    </row>
    <row r="18898">
      <c r="A18898">
        <f>TEST_DATA!A18898</f>
        <v/>
      </c>
      <c r="B18898">
        <f>TEST_DATA!B18898</f>
        <v/>
      </c>
      <c r="C18898">
        <f>TEST_DATA!C18898</f>
        <v/>
      </c>
      <c r="D18898">
        <f>TEST_DATA!D18898</f>
        <v/>
      </c>
      <c r="E18898">
        <f>TEST_DATA!E18898</f>
        <v/>
      </c>
    </row>
    <row r="18899">
      <c r="A18899">
        <f>TEST_DATA!A18899</f>
        <v/>
      </c>
      <c r="B18899">
        <f>TEST_DATA!B18899</f>
        <v/>
      </c>
      <c r="C18899">
        <f>TEST_DATA!C18899</f>
        <v/>
      </c>
      <c r="D18899">
        <f>TEST_DATA!D18899</f>
        <v/>
      </c>
      <c r="E18899">
        <f>TEST_DATA!E18899</f>
        <v/>
      </c>
    </row>
    <row r="18900">
      <c r="A18900">
        <f>TEST_DATA!A18900</f>
        <v/>
      </c>
      <c r="B18900">
        <f>TEST_DATA!B18900</f>
        <v/>
      </c>
      <c r="C18900">
        <f>TEST_DATA!C18900</f>
        <v/>
      </c>
      <c r="D18900">
        <f>TEST_DATA!D18900</f>
        <v/>
      </c>
      <c r="E18900">
        <f>TEST_DATA!E18900</f>
        <v/>
      </c>
    </row>
    <row r="18901">
      <c r="A18901">
        <f>TEST_DATA!A18901</f>
        <v/>
      </c>
      <c r="B18901">
        <f>TEST_DATA!B18901</f>
        <v/>
      </c>
      <c r="C18901">
        <f>TEST_DATA!C18901</f>
        <v/>
      </c>
      <c r="D18901">
        <f>TEST_DATA!D18901</f>
        <v/>
      </c>
      <c r="E18901">
        <f>TEST_DATA!E18901</f>
        <v/>
      </c>
    </row>
    <row r="18902">
      <c r="A18902">
        <f>TEST_DATA!A18902</f>
        <v/>
      </c>
      <c r="B18902">
        <f>TEST_DATA!B18902</f>
        <v/>
      </c>
      <c r="C18902">
        <f>TEST_DATA!C18902</f>
        <v/>
      </c>
      <c r="D18902">
        <f>TEST_DATA!D18902</f>
        <v/>
      </c>
      <c r="E18902">
        <f>TEST_DATA!E18902</f>
        <v/>
      </c>
    </row>
    <row r="18903">
      <c r="A18903">
        <f>TEST_DATA!A18903</f>
        <v/>
      </c>
      <c r="B18903">
        <f>TEST_DATA!B18903</f>
        <v/>
      </c>
      <c r="C18903">
        <f>TEST_DATA!C18903</f>
        <v/>
      </c>
      <c r="D18903">
        <f>TEST_DATA!D18903</f>
        <v/>
      </c>
      <c r="E18903">
        <f>TEST_DATA!E18903</f>
        <v/>
      </c>
    </row>
    <row r="18904">
      <c r="A18904">
        <f>TEST_DATA!A18904</f>
        <v/>
      </c>
      <c r="B18904">
        <f>TEST_DATA!B18904</f>
        <v/>
      </c>
      <c r="C18904">
        <f>TEST_DATA!C18904</f>
        <v/>
      </c>
      <c r="D18904">
        <f>TEST_DATA!D18904</f>
        <v/>
      </c>
      <c r="E18904">
        <f>TEST_DATA!E18904</f>
        <v/>
      </c>
    </row>
    <row r="18905">
      <c r="A18905">
        <f>TEST_DATA!A18905</f>
        <v/>
      </c>
      <c r="B18905">
        <f>TEST_DATA!B18905</f>
        <v/>
      </c>
      <c r="C18905">
        <f>TEST_DATA!C18905</f>
        <v/>
      </c>
      <c r="D18905">
        <f>TEST_DATA!D18905</f>
        <v/>
      </c>
      <c r="E18905">
        <f>TEST_DATA!E18905</f>
        <v/>
      </c>
    </row>
    <row r="18906">
      <c r="A18906">
        <f>TEST_DATA!A18906</f>
        <v/>
      </c>
      <c r="B18906">
        <f>TEST_DATA!B18906</f>
        <v/>
      </c>
      <c r="C18906">
        <f>TEST_DATA!C18906</f>
        <v/>
      </c>
      <c r="D18906">
        <f>TEST_DATA!D18906</f>
        <v/>
      </c>
      <c r="E18906">
        <f>TEST_DATA!E18906</f>
        <v/>
      </c>
    </row>
    <row r="18907">
      <c r="A18907">
        <f>TEST_DATA!A18907</f>
        <v/>
      </c>
      <c r="B18907">
        <f>TEST_DATA!B18907</f>
        <v/>
      </c>
      <c r="C18907">
        <f>TEST_DATA!C18907</f>
        <v/>
      </c>
      <c r="D18907">
        <f>TEST_DATA!D18907</f>
        <v/>
      </c>
      <c r="E18907">
        <f>TEST_DATA!E18907</f>
        <v/>
      </c>
    </row>
    <row r="18908">
      <c r="A18908">
        <f>TEST_DATA!A18908</f>
        <v/>
      </c>
      <c r="B18908">
        <f>TEST_DATA!B18908</f>
        <v/>
      </c>
      <c r="C18908">
        <f>TEST_DATA!C18908</f>
        <v/>
      </c>
      <c r="D18908">
        <f>TEST_DATA!D18908</f>
        <v/>
      </c>
      <c r="E18908">
        <f>TEST_DATA!E18908</f>
        <v/>
      </c>
    </row>
    <row r="18909">
      <c r="A18909">
        <f>TEST_DATA!A18909</f>
        <v/>
      </c>
      <c r="B18909">
        <f>TEST_DATA!B18909</f>
        <v/>
      </c>
      <c r="C18909">
        <f>TEST_DATA!C18909</f>
        <v/>
      </c>
      <c r="D18909">
        <f>TEST_DATA!D18909</f>
        <v/>
      </c>
      <c r="E18909">
        <f>TEST_DATA!E18909</f>
        <v/>
      </c>
    </row>
    <row r="18910">
      <c r="A18910">
        <f>TEST_DATA!A18910</f>
        <v/>
      </c>
      <c r="B18910">
        <f>TEST_DATA!B18910</f>
        <v/>
      </c>
      <c r="C18910">
        <f>TEST_DATA!C18910</f>
        <v/>
      </c>
      <c r="D18910">
        <f>TEST_DATA!D18910</f>
        <v/>
      </c>
      <c r="E18910">
        <f>TEST_DATA!E18910</f>
        <v/>
      </c>
    </row>
    <row r="18911">
      <c r="A18911">
        <f>TEST_DATA!A18911</f>
        <v/>
      </c>
      <c r="B18911">
        <f>TEST_DATA!B18911</f>
        <v/>
      </c>
      <c r="C18911">
        <f>TEST_DATA!C18911</f>
        <v/>
      </c>
      <c r="D18911">
        <f>TEST_DATA!D18911</f>
        <v/>
      </c>
      <c r="E18911">
        <f>TEST_DATA!E18911</f>
        <v/>
      </c>
    </row>
    <row r="18912">
      <c r="A18912">
        <f>TEST_DATA!A18912</f>
        <v/>
      </c>
      <c r="B18912">
        <f>TEST_DATA!B18912</f>
        <v/>
      </c>
      <c r="C18912">
        <f>TEST_DATA!C18912</f>
        <v/>
      </c>
      <c r="D18912">
        <f>TEST_DATA!D18912</f>
        <v/>
      </c>
      <c r="E18912">
        <f>TEST_DATA!E18912</f>
        <v/>
      </c>
    </row>
    <row r="18913">
      <c r="A18913">
        <f>TEST_DATA!A18913</f>
        <v/>
      </c>
      <c r="B18913">
        <f>TEST_DATA!B18913</f>
        <v/>
      </c>
      <c r="C18913">
        <f>TEST_DATA!C18913</f>
        <v/>
      </c>
      <c r="D18913">
        <f>TEST_DATA!D18913</f>
        <v/>
      </c>
      <c r="E18913">
        <f>TEST_DATA!E18913</f>
        <v/>
      </c>
    </row>
    <row r="18914">
      <c r="A18914">
        <f>TEST_DATA!A18914</f>
        <v/>
      </c>
      <c r="B18914">
        <f>TEST_DATA!B18914</f>
        <v/>
      </c>
      <c r="C18914">
        <f>TEST_DATA!C18914</f>
        <v/>
      </c>
      <c r="D18914">
        <f>TEST_DATA!D18914</f>
        <v/>
      </c>
      <c r="E18914">
        <f>TEST_DATA!E18914</f>
        <v/>
      </c>
    </row>
    <row r="18915">
      <c r="A18915">
        <f>TEST_DATA!A18915</f>
        <v/>
      </c>
      <c r="B18915">
        <f>TEST_DATA!B18915</f>
        <v/>
      </c>
      <c r="C18915">
        <f>TEST_DATA!C18915</f>
        <v/>
      </c>
      <c r="D18915">
        <f>TEST_DATA!D18915</f>
        <v/>
      </c>
      <c r="E18915">
        <f>TEST_DATA!E18915</f>
        <v/>
      </c>
    </row>
    <row r="18916">
      <c r="A18916">
        <f>TEST_DATA!A18916</f>
        <v/>
      </c>
      <c r="B18916">
        <f>TEST_DATA!B18916</f>
        <v/>
      </c>
      <c r="C18916">
        <f>TEST_DATA!C18916</f>
        <v/>
      </c>
      <c r="D18916">
        <f>TEST_DATA!D18916</f>
        <v/>
      </c>
      <c r="E18916">
        <f>TEST_DATA!E18916</f>
        <v/>
      </c>
    </row>
    <row r="18917">
      <c r="A18917">
        <f>TEST_DATA!A18917</f>
        <v/>
      </c>
      <c r="B18917">
        <f>TEST_DATA!B18917</f>
        <v/>
      </c>
      <c r="C18917">
        <f>TEST_DATA!C18917</f>
        <v/>
      </c>
      <c r="D18917">
        <f>TEST_DATA!D18917</f>
        <v/>
      </c>
      <c r="E18917">
        <f>TEST_DATA!E18917</f>
        <v/>
      </c>
    </row>
    <row r="18918">
      <c r="A18918">
        <f>TEST_DATA!A18918</f>
        <v/>
      </c>
      <c r="B18918">
        <f>TEST_DATA!B18918</f>
        <v/>
      </c>
      <c r="C18918">
        <f>TEST_DATA!C18918</f>
        <v/>
      </c>
      <c r="D18918">
        <f>TEST_DATA!D18918</f>
        <v/>
      </c>
      <c r="E18918">
        <f>TEST_DATA!E18918</f>
        <v/>
      </c>
    </row>
    <row r="18919">
      <c r="A18919">
        <f>TEST_DATA!A18919</f>
        <v/>
      </c>
      <c r="B18919">
        <f>TEST_DATA!B18919</f>
        <v/>
      </c>
      <c r="C18919">
        <f>TEST_DATA!C18919</f>
        <v/>
      </c>
      <c r="D18919">
        <f>TEST_DATA!D18919</f>
        <v/>
      </c>
      <c r="E18919">
        <f>TEST_DATA!E18919</f>
        <v/>
      </c>
    </row>
    <row r="18920">
      <c r="A18920">
        <f>TEST_DATA!A18920</f>
        <v/>
      </c>
      <c r="B18920">
        <f>TEST_DATA!B18920</f>
        <v/>
      </c>
      <c r="C18920">
        <f>TEST_DATA!C18920</f>
        <v/>
      </c>
      <c r="D18920">
        <f>TEST_DATA!D18920</f>
        <v/>
      </c>
      <c r="E18920">
        <f>TEST_DATA!E18920</f>
        <v/>
      </c>
    </row>
    <row r="18921">
      <c r="A18921">
        <f>TEST_DATA!A18921</f>
        <v/>
      </c>
      <c r="B18921">
        <f>TEST_DATA!B18921</f>
        <v/>
      </c>
      <c r="C18921">
        <f>TEST_DATA!C18921</f>
        <v/>
      </c>
      <c r="D18921">
        <f>TEST_DATA!D18921</f>
        <v/>
      </c>
      <c r="E18921">
        <f>TEST_DATA!E18921</f>
        <v/>
      </c>
    </row>
    <row r="18922">
      <c r="A18922">
        <f>TEST_DATA!A18922</f>
        <v/>
      </c>
      <c r="B18922">
        <f>TEST_DATA!B18922</f>
        <v/>
      </c>
      <c r="C18922">
        <f>TEST_DATA!C18922</f>
        <v/>
      </c>
      <c r="D18922">
        <f>TEST_DATA!D18922</f>
        <v/>
      </c>
      <c r="E18922">
        <f>TEST_DATA!E18922</f>
        <v/>
      </c>
    </row>
    <row r="18923">
      <c r="A18923">
        <f>TEST_DATA!A18923</f>
        <v/>
      </c>
      <c r="B18923">
        <f>TEST_DATA!B18923</f>
        <v/>
      </c>
      <c r="C18923">
        <f>TEST_DATA!C18923</f>
        <v/>
      </c>
      <c r="D18923">
        <f>TEST_DATA!D18923</f>
        <v/>
      </c>
      <c r="E18923">
        <f>TEST_DATA!E18923</f>
        <v/>
      </c>
    </row>
    <row r="18924">
      <c r="A18924">
        <f>TEST_DATA!A18924</f>
        <v/>
      </c>
      <c r="B18924">
        <f>TEST_DATA!B18924</f>
        <v/>
      </c>
      <c r="C18924">
        <f>TEST_DATA!C18924</f>
        <v/>
      </c>
      <c r="D18924">
        <f>TEST_DATA!D18924</f>
        <v/>
      </c>
      <c r="E18924">
        <f>TEST_DATA!E18924</f>
        <v/>
      </c>
    </row>
    <row r="18925">
      <c r="A18925">
        <f>TEST_DATA!A18925</f>
        <v/>
      </c>
      <c r="B18925">
        <f>TEST_DATA!B18925</f>
        <v/>
      </c>
      <c r="C18925">
        <f>TEST_DATA!C18925</f>
        <v/>
      </c>
      <c r="D18925">
        <f>TEST_DATA!D18925</f>
        <v/>
      </c>
      <c r="E18925">
        <f>TEST_DATA!E18925</f>
        <v/>
      </c>
    </row>
    <row r="18926">
      <c r="A18926">
        <f>TEST_DATA!A18926</f>
        <v/>
      </c>
      <c r="B18926">
        <f>TEST_DATA!B18926</f>
        <v/>
      </c>
      <c r="C18926">
        <f>TEST_DATA!C18926</f>
        <v/>
      </c>
      <c r="D18926">
        <f>TEST_DATA!D18926</f>
        <v/>
      </c>
      <c r="E18926">
        <f>TEST_DATA!E18926</f>
        <v/>
      </c>
    </row>
    <row r="18927">
      <c r="A18927">
        <f>TEST_DATA!A18927</f>
        <v/>
      </c>
      <c r="B18927">
        <f>TEST_DATA!B18927</f>
        <v/>
      </c>
      <c r="C18927">
        <f>TEST_DATA!C18927</f>
        <v/>
      </c>
      <c r="D18927">
        <f>TEST_DATA!D18927</f>
        <v/>
      </c>
      <c r="E18927">
        <f>TEST_DATA!E18927</f>
        <v/>
      </c>
    </row>
    <row r="18928">
      <c r="A18928">
        <f>TEST_DATA!A18928</f>
        <v/>
      </c>
      <c r="B18928">
        <f>TEST_DATA!B18928</f>
        <v/>
      </c>
      <c r="C18928">
        <f>TEST_DATA!C18928</f>
        <v/>
      </c>
      <c r="D18928">
        <f>TEST_DATA!D18928</f>
        <v/>
      </c>
      <c r="E18928">
        <f>TEST_DATA!E18928</f>
        <v/>
      </c>
    </row>
    <row r="18929">
      <c r="A18929">
        <f>TEST_DATA!A18929</f>
        <v/>
      </c>
      <c r="B18929">
        <f>TEST_DATA!B18929</f>
        <v/>
      </c>
      <c r="C18929">
        <f>TEST_DATA!C18929</f>
        <v/>
      </c>
      <c r="D18929">
        <f>TEST_DATA!D18929</f>
        <v/>
      </c>
      <c r="E18929">
        <f>TEST_DATA!E18929</f>
        <v/>
      </c>
    </row>
    <row r="18930">
      <c r="A18930">
        <f>TEST_DATA!A18930</f>
        <v/>
      </c>
      <c r="B18930">
        <f>TEST_DATA!B18930</f>
        <v/>
      </c>
      <c r="C18930">
        <f>TEST_DATA!C18930</f>
        <v/>
      </c>
      <c r="D18930">
        <f>TEST_DATA!D18930</f>
        <v/>
      </c>
      <c r="E18930">
        <f>TEST_DATA!E18930</f>
        <v/>
      </c>
    </row>
    <row r="18931">
      <c r="A18931">
        <f>TEST_DATA!A18931</f>
        <v/>
      </c>
      <c r="B18931">
        <f>TEST_DATA!B18931</f>
        <v/>
      </c>
      <c r="C18931">
        <f>TEST_DATA!C18931</f>
        <v/>
      </c>
      <c r="D18931">
        <f>TEST_DATA!D18931</f>
        <v/>
      </c>
      <c r="E18931">
        <f>TEST_DATA!E18931</f>
        <v/>
      </c>
    </row>
    <row r="18932">
      <c r="A18932">
        <f>TEST_DATA!A18932</f>
        <v/>
      </c>
      <c r="B18932">
        <f>TEST_DATA!B18932</f>
        <v/>
      </c>
      <c r="C18932">
        <f>TEST_DATA!C18932</f>
        <v/>
      </c>
      <c r="D18932">
        <f>TEST_DATA!D18932</f>
        <v/>
      </c>
      <c r="E18932">
        <f>TEST_DATA!E18932</f>
        <v/>
      </c>
    </row>
    <row r="18933">
      <c r="A18933">
        <f>TEST_DATA!A18933</f>
        <v/>
      </c>
      <c r="B18933">
        <f>TEST_DATA!B18933</f>
        <v/>
      </c>
      <c r="C18933">
        <f>TEST_DATA!C18933</f>
        <v/>
      </c>
      <c r="D18933">
        <f>TEST_DATA!D18933</f>
        <v/>
      </c>
      <c r="E18933">
        <f>TEST_DATA!E18933</f>
        <v/>
      </c>
    </row>
    <row r="18934">
      <c r="A18934">
        <f>TEST_DATA!A18934</f>
        <v/>
      </c>
      <c r="B18934">
        <f>TEST_DATA!B18934</f>
        <v/>
      </c>
      <c r="C18934">
        <f>TEST_DATA!C18934</f>
        <v/>
      </c>
      <c r="D18934">
        <f>TEST_DATA!D18934</f>
        <v/>
      </c>
      <c r="E18934">
        <f>TEST_DATA!E18934</f>
        <v/>
      </c>
    </row>
    <row r="18935">
      <c r="A18935">
        <f>TEST_DATA!A18935</f>
        <v/>
      </c>
      <c r="B18935">
        <f>TEST_DATA!B18935</f>
        <v/>
      </c>
      <c r="C18935">
        <f>TEST_DATA!C18935</f>
        <v/>
      </c>
      <c r="D18935">
        <f>TEST_DATA!D18935</f>
        <v/>
      </c>
      <c r="E18935">
        <f>TEST_DATA!E18935</f>
        <v/>
      </c>
    </row>
    <row r="18936">
      <c r="A18936">
        <f>TEST_DATA!A18936</f>
        <v/>
      </c>
      <c r="B18936">
        <f>TEST_DATA!B18936</f>
        <v/>
      </c>
      <c r="C18936">
        <f>TEST_DATA!C18936</f>
        <v/>
      </c>
      <c r="D18936">
        <f>TEST_DATA!D18936</f>
        <v/>
      </c>
      <c r="E18936">
        <f>TEST_DATA!E18936</f>
        <v/>
      </c>
    </row>
    <row r="18937">
      <c r="A18937">
        <f>TEST_DATA!A18937</f>
        <v/>
      </c>
      <c r="B18937">
        <f>TEST_DATA!B18937</f>
        <v/>
      </c>
      <c r="C18937">
        <f>TEST_DATA!C18937</f>
        <v/>
      </c>
      <c r="D18937">
        <f>TEST_DATA!D18937</f>
        <v/>
      </c>
      <c r="E18937">
        <f>TEST_DATA!E18937</f>
        <v/>
      </c>
    </row>
    <row r="18938">
      <c r="A18938">
        <f>TEST_DATA!A18938</f>
        <v/>
      </c>
      <c r="B18938">
        <f>TEST_DATA!B18938</f>
        <v/>
      </c>
      <c r="C18938">
        <f>TEST_DATA!C18938</f>
        <v/>
      </c>
      <c r="D18938">
        <f>TEST_DATA!D18938</f>
        <v/>
      </c>
      <c r="E18938">
        <f>TEST_DATA!E18938</f>
        <v/>
      </c>
    </row>
    <row r="18939">
      <c r="A18939">
        <f>TEST_DATA!A18939</f>
        <v/>
      </c>
      <c r="B18939">
        <f>TEST_DATA!B18939</f>
        <v/>
      </c>
      <c r="C18939">
        <f>TEST_DATA!C18939</f>
        <v/>
      </c>
      <c r="D18939">
        <f>TEST_DATA!D18939</f>
        <v/>
      </c>
      <c r="E18939">
        <f>TEST_DATA!E18939</f>
        <v/>
      </c>
    </row>
    <row r="18940">
      <c r="A18940">
        <f>TEST_DATA!A18940</f>
        <v/>
      </c>
      <c r="B18940">
        <f>TEST_DATA!B18940</f>
        <v/>
      </c>
      <c r="C18940">
        <f>TEST_DATA!C18940</f>
        <v/>
      </c>
      <c r="D18940">
        <f>TEST_DATA!D18940</f>
        <v/>
      </c>
      <c r="E18940">
        <f>TEST_DATA!E18940</f>
        <v/>
      </c>
    </row>
    <row r="18941">
      <c r="A18941">
        <f>TEST_DATA!A18941</f>
        <v/>
      </c>
      <c r="B18941">
        <f>TEST_DATA!B18941</f>
        <v/>
      </c>
      <c r="C18941">
        <f>TEST_DATA!C18941</f>
        <v/>
      </c>
      <c r="D18941">
        <f>TEST_DATA!D18941</f>
        <v/>
      </c>
      <c r="E18941">
        <f>TEST_DATA!E18941</f>
        <v/>
      </c>
    </row>
    <row r="18942">
      <c r="A18942">
        <f>TEST_DATA!A18942</f>
        <v/>
      </c>
      <c r="B18942">
        <f>TEST_DATA!B18942</f>
        <v/>
      </c>
      <c r="C18942">
        <f>TEST_DATA!C18942</f>
        <v/>
      </c>
      <c r="D18942">
        <f>TEST_DATA!D18942</f>
        <v/>
      </c>
      <c r="E18942">
        <f>TEST_DATA!E18942</f>
        <v/>
      </c>
    </row>
    <row r="18943">
      <c r="A18943">
        <f>TEST_DATA!A18943</f>
        <v/>
      </c>
      <c r="B18943">
        <f>TEST_DATA!B18943</f>
        <v/>
      </c>
      <c r="C18943">
        <f>TEST_DATA!C18943</f>
        <v/>
      </c>
      <c r="D18943">
        <f>TEST_DATA!D18943</f>
        <v/>
      </c>
      <c r="E18943">
        <f>TEST_DATA!E18943</f>
        <v/>
      </c>
    </row>
    <row r="18944">
      <c r="A18944">
        <f>TEST_DATA!A18944</f>
        <v/>
      </c>
      <c r="B18944">
        <f>TEST_DATA!B18944</f>
        <v/>
      </c>
      <c r="C18944">
        <f>TEST_DATA!C18944</f>
        <v/>
      </c>
      <c r="D18944">
        <f>TEST_DATA!D18944</f>
        <v/>
      </c>
      <c r="E18944">
        <f>TEST_DATA!E18944</f>
        <v/>
      </c>
    </row>
    <row r="18945">
      <c r="A18945">
        <f>TEST_DATA!A18945</f>
        <v/>
      </c>
      <c r="B18945">
        <f>TEST_DATA!B18945</f>
        <v/>
      </c>
      <c r="C18945">
        <f>TEST_DATA!C18945</f>
        <v/>
      </c>
      <c r="D18945">
        <f>TEST_DATA!D18945</f>
        <v/>
      </c>
      <c r="E18945">
        <f>TEST_DATA!E18945</f>
        <v/>
      </c>
    </row>
    <row r="18946">
      <c r="A18946">
        <f>TEST_DATA!A18946</f>
        <v/>
      </c>
      <c r="B18946">
        <f>TEST_DATA!B18946</f>
        <v/>
      </c>
      <c r="C18946">
        <f>TEST_DATA!C18946</f>
        <v/>
      </c>
      <c r="D18946">
        <f>TEST_DATA!D18946</f>
        <v/>
      </c>
      <c r="E18946">
        <f>TEST_DATA!E18946</f>
        <v/>
      </c>
    </row>
    <row r="18947">
      <c r="A18947">
        <f>TEST_DATA!A18947</f>
        <v/>
      </c>
      <c r="B18947">
        <f>TEST_DATA!B18947</f>
        <v/>
      </c>
      <c r="C18947">
        <f>TEST_DATA!C18947</f>
        <v/>
      </c>
      <c r="D18947">
        <f>TEST_DATA!D18947</f>
        <v/>
      </c>
      <c r="E18947">
        <f>TEST_DATA!E18947</f>
        <v/>
      </c>
    </row>
    <row r="18948">
      <c r="A18948">
        <f>TEST_DATA!A18948</f>
        <v/>
      </c>
      <c r="B18948">
        <f>TEST_DATA!B18948</f>
        <v/>
      </c>
      <c r="C18948">
        <f>TEST_DATA!C18948</f>
        <v/>
      </c>
      <c r="D18948">
        <f>TEST_DATA!D18948</f>
        <v/>
      </c>
      <c r="E18948">
        <f>TEST_DATA!E18948</f>
        <v/>
      </c>
    </row>
    <row r="18949">
      <c r="A18949">
        <f>TEST_DATA!A18949</f>
        <v/>
      </c>
      <c r="B18949">
        <f>TEST_DATA!B18949</f>
        <v/>
      </c>
      <c r="C18949">
        <f>TEST_DATA!C18949</f>
        <v/>
      </c>
      <c r="D18949">
        <f>TEST_DATA!D18949</f>
        <v/>
      </c>
      <c r="E18949">
        <f>TEST_DATA!E18949</f>
        <v/>
      </c>
    </row>
    <row r="18950">
      <c r="A18950">
        <f>TEST_DATA!A18950</f>
        <v/>
      </c>
      <c r="B18950">
        <f>TEST_DATA!B18950</f>
        <v/>
      </c>
      <c r="C18950">
        <f>TEST_DATA!C18950</f>
        <v/>
      </c>
      <c r="D18950">
        <f>TEST_DATA!D18950</f>
        <v/>
      </c>
      <c r="E18950">
        <f>TEST_DATA!E18950</f>
        <v/>
      </c>
    </row>
    <row r="18951">
      <c r="A18951">
        <f>TEST_DATA!A18951</f>
        <v/>
      </c>
      <c r="B18951">
        <f>TEST_DATA!B18951</f>
        <v/>
      </c>
      <c r="C18951">
        <f>TEST_DATA!C18951</f>
        <v/>
      </c>
      <c r="D18951">
        <f>TEST_DATA!D18951</f>
        <v/>
      </c>
      <c r="E18951">
        <f>TEST_DATA!E18951</f>
        <v/>
      </c>
    </row>
    <row r="18952">
      <c r="A18952">
        <f>TEST_DATA!A18952</f>
        <v/>
      </c>
      <c r="B18952">
        <f>TEST_DATA!B18952</f>
        <v/>
      </c>
      <c r="C18952">
        <f>TEST_DATA!C18952</f>
        <v/>
      </c>
      <c r="D18952">
        <f>TEST_DATA!D18952</f>
        <v/>
      </c>
      <c r="E18952">
        <f>TEST_DATA!E18952</f>
        <v/>
      </c>
    </row>
    <row r="18953">
      <c r="A18953">
        <f>TEST_DATA!A18953</f>
        <v/>
      </c>
      <c r="B18953">
        <f>TEST_DATA!B18953</f>
        <v/>
      </c>
      <c r="C18953">
        <f>TEST_DATA!C18953</f>
        <v/>
      </c>
      <c r="D18953">
        <f>TEST_DATA!D18953</f>
        <v/>
      </c>
      <c r="E18953">
        <f>TEST_DATA!E18953</f>
        <v/>
      </c>
    </row>
    <row r="18954">
      <c r="A18954">
        <f>TEST_DATA!A18954</f>
        <v/>
      </c>
      <c r="B18954">
        <f>TEST_DATA!B18954</f>
        <v/>
      </c>
      <c r="C18954">
        <f>TEST_DATA!C18954</f>
        <v/>
      </c>
      <c r="D18954">
        <f>TEST_DATA!D18954</f>
        <v/>
      </c>
      <c r="E18954">
        <f>TEST_DATA!E18954</f>
        <v/>
      </c>
    </row>
    <row r="18955">
      <c r="A18955">
        <f>TEST_DATA!A18955</f>
        <v/>
      </c>
      <c r="B18955">
        <f>TEST_DATA!B18955</f>
        <v/>
      </c>
      <c r="C18955">
        <f>TEST_DATA!C18955</f>
        <v/>
      </c>
      <c r="D18955">
        <f>TEST_DATA!D18955</f>
        <v/>
      </c>
      <c r="E18955">
        <f>TEST_DATA!E18955</f>
        <v/>
      </c>
    </row>
    <row r="18956">
      <c r="A18956">
        <f>TEST_DATA!A18956</f>
        <v/>
      </c>
      <c r="B18956">
        <f>TEST_DATA!B18956</f>
        <v/>
      </c>
      <c r="C18956">
        <f>TEST_DATA!C18956</f>
        <v/>
      </c>
      <c r="D18956">
        <f>TEST_DATA!D18956</f>
        <v/>
      </c>
      <c r="E18956">
        <f>TEST_DATA!E18956</f>
        <v/>
      </c>
    </row>
    <row r="18957">
      <c r="A18957">
        <f>TEST_DATA!A18957</f>
        <v/>
      </c>
      <c r="B18957">
        <f>TEST_DATA!B18957</f>
        <v/>
      </c>
      <c r="C18957">
        <f>TEST_DATA!C18957</f>
        <v/>
      </c>
      <c r="D18957">
        <f>TEST_DATA!D18957</f>
        <v/>
      </c>
      <c r="E18957">
        <f>TEST_DATA!E18957</f>
        <v/>
      </c>
    </row>
    <row r="18958">
      <c r="A18958">
        <f>TEST_DATA!A18958</f>
        <v/>
      </c>
      <c r="B18958">
        <f>TEST_DATA!B18958</f>
        <v/>
      </c>
      <c r="C18958">
        <f>TEST_DATA!C18958</f>
        <v/>
      </c>
      <c r="D18958">
        <f>TEST_DATA!D18958</f>
        <v/>
      </c>
      <c r="E18958">
        <f>TEST_DATA!E18958</f>
        <v/>
      </c>
    </row>
    <row r="18959">
      <c r="A18959">
        <f>TEST_DATA!A18959</f>
        <v/>
      </c>
      <c r="B18959">
        <f>TEST_DATA!B18959</f>
        <v/>
      </c>
      <c r="C18959">
        <f>TEST_DATA!C18959</f>
        <v/>
      </c>
      <c r="D18959">
        <f>TEST_DATA!D18959</f>
        <v/>
      </c>
      <c r="E18959">
        <f>TEST_DATA!E18959</f>
        <v/>
      </c>
    </row>
    <row r="18960">
      <c r="A18960">
        <f>TEST_DATA!A18960</f>
        <v/>
      </c>
      <c r="B18960">
        <f>TEST_DATA!B18960</f>
        <v/>
      </c>
      <c r="C18960">
        <f>TEST_DATA!C18960</f>
        <v/>
      </c>
      <c r="D18960">
        <f>TEST_DATA!D18960</f>
        <v/>
      </c>
      <c r="E18960">
        <f>TEST_DATA!E18960</f>
        <v/>
      </c>
    </row>
    <row r="18961">
      <c r="A18961">
        <f>TEST_DATA!A18961</f>
        <v/>
      </c>
      <c r="B18961">
        <f>TEST_DATA!B18961</f>
        <v/>
      </c>
      <c r="C18961">
        <f>TEST_DATA!C18961</f>
        <v/>
      </c>
      <c r="D18961">
        <f>TEST_DATA!D18961</f>
        <v/>
      </c>
      <c r="E18961">
        <f>TEST_DATA!E18961</f>
        <v/>
      </c>
    </row>
    <row r="18962">
      <c r="A18962">
        <f>TEST_DATA!A18962</f>
        <v/>
      </c>
      <c r="B18962">
        <f>TEST_DATA!B18962</f>
        <v/>
      </c>
      <c r="C18962">
        <f>TEST_DATA!C18962</f>
        <v/>
      </c>
      <c r="D18962">
        <f>TEST_DATA!D18962</f>
        <v/>
      </c>
      <c r="E18962">
        <f>TEST_DATA!E18962</f>
        <v/>
      </c>
    </row>
    <row r="18963">
      <c r="A18963">
        <f>TEST_DATA!A18963</f>
        <v/>
      </c>
      <c r="B18963">
        <f>TEST_DATA!B18963</f>
        <v/>
      </c>
      <c r="C18963">
        <f>TEST_DATA!C18963</f>
        <v/>
      </c>
      <c r="D18963">
        <f>TEST_DATA!D18963</f>
        <v/>
      </c>
      <c r="E18963">
        <f>TEST_DATA!E18963</f>
        <v/>
      </c>
    </row>
    <row r="18964">
      <c r="A18964">
        <f>TEST_DATA!A18964</f>
        <v/>
      </c>
      <c r="B18964">
        <f>TEST_DATA!B18964</f>
        <v/>
      </c>
      <c r="C18964">
        <f>TEST_DATA!C18964</f>
        <v/>
      </c>
      <c r="D18964">
        <f>TEST_DATA!D18964</f>
        <v/>
      </c>
      <c r="E18964">
        <f>TEST_DATA!E18964</f>
        <v/>
      </c>
    </row>
    <row r="18965">
      <c r="A18965">
        <f>TEST_DATA!A18965</f>
        <v/>
      </c>
      <c r="B18965">
        <f>TEST_DATA!B18965</f>
        <v/>
      </c>
      <c r="C18965">
        <f>TEST_DATA!C18965</f>
        <v/>
      </c>
      <c r="D18965">
        <f>TEST_DATA!D18965</f>
        <v/>
      </c>
      <c r="E18965">
        <f>TEST_DATA!E18965</f>
        <v/>
      </c>
    </row>
    <row r="18966">
      <c r="A18966">
        <f>TEST_DATA!A18966</f>
        <v/>
      </c>
      <c r="B18966">
        <f>TEST_DATA!B18966</f>
        <v/>
      </c>
      <c r="C18966">
        <f>TEST_DATA!C18966</f>
        <v/>
      </c>
      <c r="D18966">
        <f>TEST_DATA!D18966</f>
        <v/>
      </c>
      <c r="E18966">
        <f>TEST_DATA!E18966</f>
        <v/>
      </c>
    </row>
    <row r="18967">
      <c r="A18967">
        <f>TEST_DATA!A18967</f>
        <v/>
      </c>
      <c r="B18967">
        <f>TEST_DATA!B18967</f>
        <v/>
      </c>
      <c r="C18967">
        <f>TEST_DATA!C18967</f>
        <v/>
      </c>
      <c r="D18967">
        <f>TEST_DATA!D18967</f>
        <v/>
      </c>
      <c r="E18967">
        <f>TEST_DATA!E18967</f>
        <v/>
      </c>
    </row>
    <row r="18968">
      <c r="A18968">
        <f>TEST_DATA!A18968</f>
        <v/>
      </c>
      <c r="B18968">
        <f>TEST_DATA!B18968</f>
        <v/>
      </c>
      <c r="C18968">
        <f>TEST_DATA!C18968</f>
        <v/>
      </c>
      <c r="D18968">
        <f>TEST_DATA!D18968</f>
        <v/>
      </c>
      <c r="E18968">
        <f>TEST_DATA!E18968</f>
        <v/>
      </c>
    </row>
    <row r="18969">
      <c r="A18969">
        <f>TEST_DATA!A18969</f>
        <v/>
      </c>
      <c r="B18969">
        <f>TEST_DATA!B18969</f>
        <v/>
      </c>
      <c r="C18969">
        <f>TEST_DATA!C18969</f>
        <v/>
      </c>
      <c r="D18969">
        <f>TEST_DATA!D18969</f>
        <v/>
      </c>
      <c r="E18969">
        <f>TEST_DATA!E18969</f>
        <v/>
      </c>
    </row>
    <row r="18970">
      <c r="A18970">
        <f>TEST_DATA!A18970</f>
        <v/>
      </c>
      <c r="B18970">
        <f>TEST_DATA!B18970</f>
        <v/>
      </c>
      <c r="C18970">
        <f>TEST_DATA!C18970</f>
        <v/>
      </c>
      <c r="D18970">
        <f>TEST_DATA!D18970</f>
        <v/>
      </c>
      <c r="E18970">
        <f>TEST_DATA!E18970</f>
        <v/>
      </c>
    </row>
    <row r="18971">
      <c r="A18971">
        <f>TEST_DATA!A18971</f>
        <v/>
      </c>
      <c r="B18971">
        <f>TEST_DATA!B18971</f>
        <v/>
      </c>
      <c r="C18971">
        <f>TEST_DATA!C18971</f>
        <v/>
      </c>
      <c r="D18971">
        <f>TEST_DATA!D18971</f>
        <v/>
      </c>
      <c r="E18971">
        <f>TEST_DATA!E18971</f>
        <v/>
      </c>
    </row>
    <row r="18972">
      <c r="A18972">
        <f>TEST_DATA!A18972</f>
        <v/>
      </c>
      <c r="B18972">
        <f>TEST_DATA!B18972</f>
        <v/>
      </c>
      <c r="C18972">
        <f>TEST_DATA!C18972</f>
        <v/>
      </c>
      <c r="D18972">
        <f>TEST_DATA!D18972</f>
        <v/>
      </c>
      <c r="E18972">
        <f>TEST_DATA!E18972</f>
        <v/>
      </c>
    </row>
    <row r="18973">
      <c r="A18973">
        <f>TEST_DATA!A18973</f>
        <v/>
      </c>
      <c r="B18973">
        <f>TEST_DATA!B18973</f>
        <v/>
      </c>
      <c r="C18973">
        <f>TEST_DATA!C18973</f>
        <v/>
      </c>
      <c r="D18973">
        <f>TEST_DATA!D18973</f>
        <v/>
      </c>
      <c r="E18973">
        <f>TEST_DATA!E18973</f>
        <v/>
      </c>
    </row>
    <row r="18974">
      <c r="A18974">
        <f>TEST_DATA!A18974</f>
        <v/>
      </c>
      <c r="B18974">
        <f>TEST_DATA!B18974</f>
        <v/>
      </c>
      <c r="C18974">
        <f>TEST_DATA!C18974</f>
        <v/>
      </c>
      <c r="D18974">
        <f>TEST_DATA!D18974</f>
        <v/>
      </c>
      <c r="E18974">
        <f>TEST_DATA!E18974</f>
        <v/>
      </c>
    </row>
    <row r="18975">
      <c r="A18975">
        <f>TEST_DATA!A18975</f>
        <v/>
      </c>
      <c r="B18975">
        <f>TEST_DATA!B18975</f>
        <v/>
      </c>
      <c r="C18975">
        <f>TEST_DATA!C18975</f>
        <v/>
      </c>
      <c r="D18975">
        <f>TEST_DATA!D18975</f>
        <v/>
      </c>
      <c r="E18975">
        <f>TEST_DATA!E18975</f>
        <v/>
      </c>
    </row>
    <row r="18976">
      <c r="A18976">
        <f>TEST_DATA!A18976</f>
        <v/>
      </c>
      <c r="B18976">
        <f>TEST_DATA!B18976</f>
        <v/>
      </c>
      <c r="C18976">
        <f>TEST_DATA!C18976</f>
        <v/>
      </c>
      <c r="D18976">
        <f>TEST_DATA!D18976</f>
        <v/>
      </c>
      <c r="E18976">
        <f>TEST_DATA!E18976</f>
        <v/>
      </c>
    </row>
    <row r="18977">
      <c r="A18977">
        <f>TEST_DATA!A18977</f>
        <v/>
      </c>
      <c r="B18977">
        <f>TEST_DATA!B18977</f>
        <v/>
      </c>
      <c r="C18977">
        <f>TEST_DATA!C18977</f>
        <v/>
      </c>
      <c r="D18977">
        <f>TEST_DATA!D18977</f>
        <v/>
      </c>
      <c r="E18977">
        <f>TEST_DATA!E18977</f>
        <v/>
      </c>
    </row>
    <row r="18978">
      <c r="A18978">
        <f>TEST_DATA!A18978</f>
        <v/>
      </c>
      <c r="B18978">
        <f>TEST_DATA!B18978</f>
        <v/>
      </c>
      <c r="C18978">
        <f>TEST_DATA!C18978</f>
        <v/>
      </c>
      <c r="D18978">
        <f>TEST_DATA!D18978</f>
        <v/>
      </c>
      <c r="E18978">
        <f>TEST_DATA!E18978</f>
        <v/>
      </c>
    </row>
    <row r="18979">
      <c r="A18979">
        <f>TEST_DATA!A18979</f>
        <v/>
      </c>
      <c r="B18979">
        <f>TEST_DATA!B18979</f>
        <v/>
      </c>
      <c r="C18979">
        <f>TEST_DATA!C18979</f>
        <v/>
      </c>
      <c r="D18979">
        <f>TEST_DATA!D18979</f>
        <v/>
      </c>
      <c r="E18979">
        <f>TEST_DATA!E18979</f>
        <v/>
      </c>
    </row>
    <row r="18980">
      <c r="A18980">
        <f>TEST_DATA!A18980</f>
        <v/>
      </c>
      <c r="B18980">
        <f>TEST_DATA!B18980</f>
        <v/>
      </c>
      <c r="C18980">
        <f>TEST_DATA!C18980</f>
        <v/>
      </c>
      <c r="D18980">
        <f>TEST_DATA!D18980</f>
        <v/>
      </c>
      <c r="E18980">
        <f>TEST_DATA!E18980</f>
        <v/>
      </c>
    </row>
    <row r="18981">
      <c r="A18981">
        <f>TEST_DATA!A18981</f>
        <v/>
      </c>
      <c r="B18981">
        <f>TEST_DATA!B18981</f>
        <v/>
      </c>
      <c r="C18981">
        <f>TEST_DATA!C18981</f>
        <v/>
      </c>
      <c r="D18981">
        <f>TEST_DATA!D18981</f>
        <v/>
      </c>
      <c r="E18981">
        <f>TEST_DATA!E18981</f>
        <v/>
      </c>
    </row>
    <row r="18982">
      <c r="A18982">
        <f>TEST_DATA!A18982</f>
        <v/>
      </c>
      <c r="B18982">
        <f>TEST_DATA!B18982</f>
        <v/>
      </c>
      <c r="C18982">
        <f>TEST_DATA!C18982</f>
        <v/>
      </c>
      <c r="D18982">
        <f>TEST_DATA!D18982</f>
        <v/>
      </c>
      <c r="E18982">
        <f>TEST_DATA!E18982</f>
        <v/>
      </c>
    </row>
    <row r="18983">
      <c r="A18983">
        <f>TEST_DATA!A18983</f>
        <v/>
      </c>
      <c r="B18983">
        <f>TEST_DATA!B18983</f>
        <v/>
      </c>
      <c r="C18983">
        <f>TEST_DATA!C18983</f>
        <v/>
      </c>
      <c r="D18983">
        <f>TEST_DATA!D18983</f>
        <v/>
      </c>
      <c r="E18983">
        <f>TEST_DATA!E18983</f>
        <v/>
      </c>
    </row>
    <row r="18984">
      <c r="A18984">
        <f>TEST_DATA!A18984</f>
        <v/>
      </c>
      <c r="B18984">
        <f>TEST_DATA!B18984</f>
        <v/>
      </c>
      <c r="C18984">
        <f>TEST_DATA!C18984</f>
        <v/>
      </c>
      <c r="D18984">
        <f>TEST_DATA!D18984</f>
        <v/>
      </c>
      <c r="E18984">
        <f>TEST_DATA!E18984</f>
        <v/>
      </c>
    </row>
    <row r="18985">
      <c r="A18985">
        <f>TEST_DATA!A18985</f>
        <v/>
      </c>
      <c r="B18985">
        <f>TEST_DATA!B18985</f>
        <v/>
      </c>
      <c r="C18985">
        <f>TEST_DATA!C18985</f>
        <v/>
      </c>
      <c r="D18985">
        <f>TEST_DATA!D18985</f>
        <v/>
      </c>
      <c r="E18985">
        <f>TEST_DATA!E18985</f>
        <v/>
      </c>
    </row>
    <row r="18986">
      <c r="A18986">
        <f>TEST_DATA!A18986</f>
        <v/>
      </c>
      <c r="B18986">
        <f>TEST_DATA!B18986</f>
        <v/>
      </c>
      <c r="C18986">
        <f>TEST_DATA!C18986</f>
        <v/>
      </c>
      <c r="D18986">
        <f>TEST_DATA!D18986</f>
        <v/>
      </c>
      <c r="E18986">
        <f>TEST_DATA!E18986</f>
        <v/>
      </c>
    </row>
    <row r="18987">
      <c r="A18987">
        <f>TEST_DATA!A18987</f>
        <v/>
      </c>
      <c r="B18987">
        <f>TEST_DATA!B18987</f>
        <v/>
      </c>
      <c r="C18987">
        <f>TEST_DATA!C18987</f>
        <v/>
      </c>
      <c r="D18987">
        <f>TEST_DATA!D18987</f>
        <v/>
      </c>
      <c r="E18987">
        <f>TEST_DATA!E18987</f>
        <v/>
      </c>
    </row>
    <row r="18988">
      <c r="A18988">
        <f>TEST_DATA!A18988</f>
        <v/>
      </c>
      <c r="B18988">
        <f>TEST_DATA!B18988</f>
        <v/>
      </c>
      <c r="C18988">
        <f>TEST_DATA!C18988</f>
        <v/>
      </c>
      <c r="D18988">
        <f>TEST_DATA!D18988</f>
        <v/>
      </c>
      <c r="E18988">
        <f>TEST_DATA!E18988</f>
        <v/>
      </c>
    </row>
    <row r="18989">
      <c r="A18989">
        <f>TEST_DATA!A18989</f>
        <v/>
      </c>
      <c r="B18989">
        <f>TEST_DATA!B18989</f>
        <v/>
      </c>
      <c r="C18989">
        <f>TEST_DATA!C18989</f>
        <v/>
      </c>
      <c r="D18989">
        <f>TEST_DATA!D18989</f>
        <v/>
      </c>
      <c r="E18989">
        <f>TEST_DATA!E18989</f>
        <v/>
      </c>
    </row>
    <row r="18990">
      <c r="A18990">
        <f>TEST_DATA!A18990</f>
        <v/>
      </c>
      <c r="B18990">
        <f>TEST_DATA!B18990</f>
        <v/>
      </c>
      <c r="C18990">
        <f>TEST_DATA!C18990</f>
        <v/>
      </c>
      <c r="D18990">
        <f>TEST_DATA!D18990</f>
        <v/>
      </c>
      <c r="E18990">
        <f>TEST_DATA!E18990</f>
        <v/>
      </c>
    </row>
    <row r="18991">
      <c r="A18991">
        <f>TEST_DATA!A18991</f>
        <v/>
      </c>
      <c r="B18991">
        <f>TEST_DATA!B18991</f>
        <v/>
      </c>
      <c r="C18991">
        <f>TEST_DATA!C18991</f>
        <v/>
      </c>
      <c r="D18991">
        <f>TEST_DATA!D18991</f>
        <v/>
      </c>
      <c r="E18991">
        <f>TEST_DATA!E18991</f>
        <v/>
      </c>
    </row>
    <row r="18992">
      <c r="A18992">
        <f>TEST_DATA!A18992</f>
        <v/>
      </c>
      <c r="B18992">
        <f>TEST_DATA!B18992</f>
        <v/>
      </c>
      <c r="C18992">
        <f>TEST_DATA!C18992</f>
        <v/>
      </c>
      <c r="D18992">
        <f>TEST_DATA!D18992</f>
        <v/>
      </c>
      <c r="E18992">
        <f>TEST_DATA!E18992</f>
        <v/>
      </c>
    </row>
    <row r="18993">
      <c r="A18993">
        <f>TEST_DATA!A18993</f>
        <v/>
      </c>
      <c r="B18993">
        <f>TEST_DATA!B18993</f>
        <v/>
      </c>
      <c r="C18993">
        <f>TEST_DATA!C18993</f>
        <v/>
      </c>
      <c r="D18993">
        <f>TEST_DATA!D18993</f>
        <v/>
      </c>
      <c r="E18993">
        <f>TEST_DATA!E18993</f>
        <v/>
      </c>
    </row>
    <row r="18994">
      <c r="A18994">
        <f>TEST_DATA!A18994</f>
        <v/>
      </c>
      <c r="B18994">
        <f>TEST_DATA!B18994</f>
        <v/>
      </c>
      <c r="C18994">
        <f>TEST_DATA!C18994</f>
        <v/>
      </c>
      <c r="D18994">
        <f>TEST_DATA!D18994</f>
        <v/>
      </c>
      <c r="E18994">
        <f>TEST_DATA!E18994</f>
        <v/>
      </c>
    </row>
    <row r="18995">
      <c r="A18995">
        <f>TEST_DATA!A18995</f>
        <v/>
      </c>
      <c r="B18995">
        <f>TEST_DATA!B18995</f>
        <v/>
      </c>
      <c r="C18995">
        <f>TEST_DATA!C18995</f>
        <v/>
      </c>
      <c r="D18995">
        <f>TEST_DATA!D18995</f>
        <v/>
      </c>
      <c r="E18995">
        <f>TEST_DATA!E18995</f>
        <v/>
      </c>
    </row>
    <row r="18996">
      <c r="A18996">
        <f>TEST_DATA!A18996</f>
        <v/>
      </c>
      <c r="B18996">
        <f>TEST_DATA!B18996</f>
        <v/>
      </c>
      <c r="C18996">
        <f>TEST_DATA!C18996</f>
        <v/>
      </c>
      <c r="D18996">
        <f>TEST_DATA!D18996</f>
        <v/>
      </c>
      <c r="E18996">
        <f>TEST_DATA!E18996</f>
        <v/>
      </c>
    </row>
    <row r="18997">
      <c r="A18997">
        <f>TEST_DATA!A18997</f>
        <v/>
      </c>
      <c r="B18997">
        <f>TEST_DATA!B18997</f>
        <v/>
      </c>
      <c r="C18997">
        <f>TEST_DATA!C18997</f>
        <v/>
      </c>
      <c r="D18997">
        <f>TEST_DATA!D18997</f>
        <v/>
      </c>
      <c r="E18997">
        <f>TEST_DATA!E18997</f>
        <v/>
      </c>
    </row>
    <row r="18998">
      <c r="A18998">
        <f>TEST_DATA!A18998</f>
        <v/>
      </c>
      <c r="B18998">
        <f>TEST_DATA!B18998</f>
        <v/>
      </c>
      <c r="C18998">
        <f>TEST_DATA!C18998</f>
        <v/>
      </c>
      <c r="D18998">
        <f>TEST_DATA!D18998</f>
        <v/>
      </c>
      <c r="E18998">
        <f>TEST_DATA!E18998</f>
        <v/>
      </c>
    </row>
    <row r="18999">
      <c r="A18999">
        <f>TEST_DATA!A18999</f>
        <v/>
      </c>
      <c r="B18999">
        <f>TEST_DATA!B18999</f>
        <v/>
      </c>
      <c r="C18999">
        <f>TEST_DATA!C18999</f>
        <v/>
      </c>
      <c r="D18999">
        <f>TEST_DATA!D18999</f>
        <v/>
      </c>
      <c r="E18999">
        <f>TEST_DATA!E18999</f>
        <v/>
      </c>
    </row>
    <row r="19000">
      <c r="A19000">
        <f>TEST_DATA!A19000</f>
        <v/>
      </c>
      <c r="B19000">
        <f>TEST_DATA!B19000</f>
        <v/>
      </c>
      <c r="C19000">
        <f>TEST_DATA!C19000</f>
        <v/>
      </c>
      <c r="D19000">
        <f>TEST_DATA!D19000</f>
        <v/>
      </c>
      <c r="E19000">
        <f>TEST_DATA!E19000</f>
        <v/>
      </c>
    </row>
    <row r="19001">
      <c r="A19001">
        <f>TEST_DATA!A19001</f>
        <v/>
      </c>
      <c r="B19001">
        <f>TEST_DATA!B19001</f>
        <v/>
      </c>
      <c r="C19001">
        <f>TEST_DATA!C19001</f>
        <v/>
      </c>
      <c r="D19001">
        <f>TEST_DATA!D19001</f>
        <v/>
      </c>
      <c r="E19001">
        <f>TEST_DATA!E19001</f>
        <v/>
      </c>
    </row>
    <row r="19002">
      <c r="A19002">
        <f>TEST_DATA!A19002</f>
        <v/>
      </c>
      <c r="B19002">
        <f>TEST_DATA!B19002</f>
        <v/>
      </c>
      <c r="C19002">
        <f>TEST_DATA!C19002</f>
        <v/>
      </c>
      <c r="D19002">
        <f>TEST_DATA!D19002</f>
        <v/>
      </c>
      <c r="E19002">
        <f>TEST_DATA!E19002</f>
        <v/>
      </c>
    </row>
    <row r="19003">
      <c r="A19003">
        <f>TEST_DATA!A19003</f>
        <v/>
      </c>
      <c r="B19003">
        <f>TEST_DATA!B19003</f>
        <v/>
      </c>
      <c r="C19003">
        <f>TEST_DATA!C19003</f>
        <v/>
      </c>
      <c r="D19003">
        <f>TEST_DATA!D19003</f>
        <v/>
      </c>
      <c r="E19003">
        <f>TEST_DATA!E19003</f>
        <v/>
      </c>
    </row>
    <row r="19004">
      <c r="A19004">
        <f>TEST_DATA!A19004</f>
        <v/>
      </c>
      <c r="B19004">
        <f>TEST_DATA!B19004</f>
        <v/>
      </c>
      <c r="C19004">
        <f>TEST_DATA!C19004</f>
        <v/>
      </c>
      <c r="D19004">
        <f>TEST_DATA!D19004</f>
        <v/>
      </c>
      <c r="E19004">
        <f>TEST_DATA!E19004</f>
        <v/>
      </c>
    </row>
    <row r="19005">
      <c r="A19005">
        <f>TEST_DATA!A19005</f>
        <v/>
      </c>
      <c r="B19005">
        <f>TEST_DATA!B19005</f>
        <v/>
      </c>
      <c r="C19005">
        <f>TEST_DATA!C19005</f>
        <v/>
      </c>
      <c r="D19005">
        <f>TEST_DATA!D19005</f>
        <v/>
      </c>
      <c r="E19005">
        <f>TEST_DATA!E19005</f>
        <v/>
      </c>
    </row>
    <row r="19006">
      <c r="A19006">
        <f>TEST_DATA!A19006</f>
        <v/>
      </c>
      <c r="B19006">
        <f>TEST_DATA!B19006</f>
        <v/>
      </c>
      <c r="C19006">
        <f>TEST_DATA!C19006</f>
        <v/>
      </c>
      <c r="D19006">
        <f>TEST_DATA!D19006</f>
        <v/>
      </c>
      <c r="E19006">
        <f>TEST_DATA!E19006</f>
        <v/>
      </c>
    </row>
    <row r="19007">
      <c r="A19007">
        <f>TEST_DATA!A19007</f>
        <v/>
      </c>
      <c r="B19007">
        <f>TEST_DATA!B19007</f>
        <v/>
      </c>
      <c r="C19007">
        <f>TEST_DATA!C19007</f>
        <v/>
      </c>
      <c r="D19007">
        <f>TEST_DATA!D19007</f>
        <v/>
      </c>
      <c r="E19007">
        <f>TEST_DATA!E19007</f>
        <v/>
      </c>
    </row>
    <row r="19008">
      <c r="A19008">
        <f>TEST_DATA!A19008</f>
        <v/>
      </c>
      <c r="B19008">
        <f>TEST_DATA!B19008</f>
        <v/>
      </c>
      <c r="C19008">
        <f>TEST_DATA!C19008</f>
        <v/>
      </c>
      <c r="D19008">
        <f>TEST_DATA!D19008</f>
        <v/>
      </c>
      <c r="E19008">
        <f>TEST_DATA!E19008</f>
        <v/>
      </c>
    </row>
    <row r="19009">
      <c r="A19009">
        <f>TEST_DATA!A19009</f>
        <v/>
      </c>
      <c r="B19009">
        <f>TEST_DATA!B19009</f>
        <v/>
      </c>
      <c r="C19009">
        <f>TEST_DATA!C19009</f>
        <v/>
      </c>
      <c r="D19009">
        <f>TEST_DATA!D19009</f>
        <v/>
      </c>
      <c r="E19009">
        <f>TEST_DATA!E19009</f>
        <v/>
      </c>
    </row>
    <row r="19010">
      <c r="A19010">
        <f>TEST_DATA!A19010</f>
        <v/>
      </c>
      <c r="B19010">
        <f>TEST_DATA!B19010</f>
        <v/>
      </c>
      <c r="C19010">
        <f>TEST_DATA!C19010</f>
        <v/>
      </c>
      <c r="D19010">
        <f>TEST_DATA!D19010</f>
        <v/>
      </c>
      <c r="E19010">
        <f>TEST_DATA!E19010</f>
        <v/>
      </c>
    </row>
    <row r="19011">
      <c r="A19011">
        <f>TEST_DATA!A19011</f>
        <v/>
      </c>
      <c r="B19011">
        <f>TEST_DATA!B19011</f>
        <v/>
      </c>
      <c r="C19011">
        <f>TEST_DATA!C19011</f>
        <v/>
      </c>
      <c r="D19011">
        <f>TEST_DATA!D19011</f>
        <v/>
      </c>
      <c r="E19011">
        <f>TEST_DATA!E19011</f>
        <v/>
      </c>
    </row>
    <row r="19012">
      <c r="A19012">
        <f>TEST_DATA!A19012</f>
        <v/>
      </c>
      <c r="B19012">
        <f>TEST_DATA!B19012</f>
        <v/>
      </c>
      <c r="C19012">
        <f>TEST_DATA!C19012</f>
        <v/>
      </c>
      <c r="D19012">
        <f>TEST_DATA!D19012</f>
        <v/>
      </c>
      <c r="E19012">
        <f>TEST_DATA!E19012</f>
        <v/>
      </c>
    </row>
    <row r="19013">
      <c r="A19013">
        <f>TEST_DATA!A19013</f>
        <v/>
      </c>
      <c r="B19013">
        <f>TEST_DATA!B19013</f>
        <v/>
      </c>
      <c r="C19013">
        <f>TEST_DATA!C19013</f>
        <v/>
      </c>
      <c r="D19013">
        <f>TEST_DATA!D19013</f>
        <v/>
      </c>
      <c r="E19013">
        <f>TEST_DATA!E19013</f>
        <v/>
      </c>
    </row>
    <row r="19014">
      <c r="A19014">
        <f>TEST_DATA!A19014</f>
        <v/>
      </c>
      <c r="B19014">
        <f>TEST_DATA!B19014</f>
        <v/>
      </c>
      <c r="C19014">
        <f>TEST_DATA!C19014</f>
        <v/>
      </c>
      <c r="D19014">
        <f>TEST_DATA!D19014</f>
        <v/>
      </c>
      <c r="E19014">
        <f>TEST_DATA!E19014</f>
        <v/>
      </c>
    </row>
    <row r="19015">
      <c r="A19015">
        <f>TEST_DATA!A19015</f>
        <v/>
      </c>
      <c r="B19015">
        <f>TEST_DATA!B19015</f>
        <v/>
      </c>
      <c r="C19015">
        <f>TEST_DATA!C19015</f>
        <v/>
      </c>
      <c r="D19015">
        <f>TEST_DATA!D19015</f>
        <v/>
      </c>
      <c r="E19015">
        <f>TEST_DATA!E19015</f>
        <v/>
      </c>
    </row>
    <row r="19016">
      <c r="A19016">
        <f>TEST_DATA!A19016</f>
        <v/>
      </c>
      <c r="B19016">
        <f>TEST_DATA!B19016</f>
        <v/>
      </c>
      <c r="C19016">
        <f>TEST_DATA!C19016</f>
        <v/>
      </c>
      <c r="D19016">
        <f>TEST_DATA!D19016</f>
        <v/>
      </c>
      <c r="E19016">
        <f>TEST_DATA!E19016</f>
        <v/>
      </c>
    </row>
    <row r="19017">
      <c r="A19017">
        <f>TEST_DATA!A19017</f>
        <v/>
      </c>
      <c r="B19017">
        <f>TEST_DATA!B19017</f>
        <v/>
      </c>
      <c r="C19017">
        <f>TEST_DATA!C19017</f>
        <v/>
      </c>
      <c r="D19017">
        <f>TEST_DATA!D19017</f>
        <v/>
      </c>
      <c r="E19017">
        <f>TEST_DATA!E19017</f>
        <v/>
      </c>
    </row>
    <row r="19018">
      <c r="A19018">
        <f>TEST_DATA!A19018</f>
        <v/>
      </c>
      <c r="B19018">
        <f>TEST_DATA!B19018</f>
        <v/>
      </c>
      <c r="C19018">
        <f>TEST_DATA!C19018</f>
        <v/>
      </c>
      <c r="D19018">
        <f>TEST_DATA!D19018</f>
        <v/>
      </c>
      <c r="E19018">
        <f>TEST_DATA!E19018</f>
        <v/>
      </c>
    </row>
    <row r="19019">
      <c r="A19019">
        <f>TEST_DATA!A19019</f>
        <v/>
      </c>
      <c r="B19019">
        <f>TEST_DATA!B19019</f>
        <v/>
      </c>
      <c r="C19019">
        <f>TEST_DATA!C19019</f>
        <v/>
      </c>
      <c r="D19019">
        <f>TEST_DATA!D19019</f>
        <v/>
      </c>
      <c r="E19019">
        <f>TEST_DATA!E19019</f>
        <v/>
      </c>
    </row>
    <row r="19020">
      <c r="A19020">
        <f>TEST_DATA!A19020</f>
        <v/>
      </c>
      <c r="B19020">
        <f>TEST_DATA!B19020</f>
        <v/>
      </c>
      <c r="C19020">
        <f>TEST_DATA!C19020</f>
        <v/>
      </c>
      <c r="D19020">
        <f>TEST_DATA!D19020</f>
        <v/>
      </c>
      <c r="E19020">
        <f>TEST_DATA!E19020</f>
        <v/>
      </c>
    </row>
    <row r="19021">
      <c r="A19021">
        <f>TEST_DATA!A19021</f>
        <v/>
      </c>
      <c r="B19021">
        <f>TEST_DATA!B19021</f>
        <v/>
      </c>
      <c r="C19021">
        <f>TEST_DATA!C19021</f>
        <v/>
      </c>
      <c r="D19021">
        <f>TEST_DATA!D19021</f>
        <v/>
      </c>
      <c r="E19021">
        <f>TEST_DATA!E19021</f>
        <v/>
      </c>
    </row>
    <row r="19022">
      <c r="A19022">
        <f>TEST_DATA!A19022</f>
        <v/>
      </c>
      <c r="B19022">
        <f>TEST_DATA!B19022</f>
        <v/>
      </c>
      <c r="C19022">
        <f>TEST_DATA!C19022</f>
        <v/>
      </c>
      <c r="D19022">
        <f>TEST_DATA!D19022</f>
        <v/>
      </c>
      <c r="E19022">
        <f>TEST_DATA!E19022</f>
        <v/>
      </c>
    </row>
    <row r="19023">
      <c r="A19023">
        <f>TEST_DATA!A19023</f>
        <v/>
      </c>
      <c r="B19023">
        <f>TEST_DATA!B19023</f>
        <v/>
      </c>
      <c r="C19023">
        <f>TEST_DATA!C19023</f>
        <v/>
      </c>
      <c r="D19023">
        <f>TEST_DATA!D19023</f>
        <v/>
      </c>
      <c r="E19023">
        <f>TEST_DATA!E19023</f>
        <v/>
      </c>
    </row>
    <row r="19024">
      <c r="A19024">
        <f>TEST_DATA!A19024</f>
        <v/>
      </c>
      <c r="B19024">
        <f>TEST_DATA!B19024</f>
        <v/>
      </c>
      <c r="C19024">
        <f>TEST_DATA!C19024</f>
        <v/>
      </c>
      <c r="D19024">
        <f>TEST_DATA!D19024</f>
        <v/>
      </c>
      <c r="E19024">
        <f>TEST_DATA!E19024</f>
        <v/>
      </c>
    </row>
    <row r="19025">
      <c r="A19025">
        <f>TEST_DATA!A19025</f>
        <v/>
      </c>
      <c r="B19025">
        <f>TEST_DATA!B19025</f>
        <v/>
      </c>
      <c r="C19025">
        <f>TEST_DATA!C19025</f>
        <v/>
      </c>
      <c r="D19025">
        <f>TEST_DATA!D19025</f>
        <v/>
      </c>
      <c r="E19025">
        <f>TEST_DATA!E19025</f>
        <v/>
      </c>
    </row>
    <row r="19026">
      <c r="A19026">
        <f>TEST_DATA!A19026</f>
        <v/>
      </c>
      <c r="B19026">
        <f>TEST_DATA!B19026</f>
        <v/>
      </c>
      <c r="C19026">
        <f>TEST_DATA!C19026</f>
        <v/>
      </c>
      <c r="D19026">
        <f>TEST_DATA!D19026</f>
        <v/>
      </c>
      <c r="E19026">
        <f>TEST_DATA!E19026</f>
        <v/>
      </c>
    </row>
    <row r="19027">
      <c r="A19027">
        <f>TEST_DATA!A19027</f>
        <v/>
      </c>
      <c r="B19027">
        <f>TEST_DATA!B19027</f>
        <v/>
      </c>
      <c r="C19027">
        <f>TEST_DATA!C19027</f>
        <v/>
      </c>
      <c r="D19027">
        <f>TEST_DATA!D19027</f>
        <v/>
      </c>
      <c r="E19027">
        <f>TEST_DATA!E19027</f>
        <v/>
      </c>
    </row>
    <row r="19028">
      <c r="A19028">
        <f>TEST_DATA!A19028</f>
        <v/>
      </c>
      <c r="B19028">
        <f>TEST_DATA!B19028</f>
        <v/>
      </c>
      <c r="C19028">
        <f>TEST_DATA!C19028</f>
        <v/>
      </c>
      <c r="D19028">
        <f>TEST_DATA!D19028</f>
        <v/>
      </c>
      <c r="E19028">
        <f>TEST_DATA!E19028</f>
        <v/>
      </c>
    </row>
    <row r="19029">
      <c r="A19029">
        <f>TEST_DATA!A19029</f>
        <v/>
      </c>
      <c r="B19029">
        <f>TEST_DATA!B19029</f>
        <v/>
      </c>
      <c r="C19029">
        <f>TEST_DATA!C19029</f>
        <v/>
      </c>
      <c r="D19029">
        <f>TEST_DATA!D19029</f>
        <v/>
      </c>
      <c r="E19029">
        <f>TEST_DATA!E19029</f>
        <v/>
      </c>
    </row>
    <row r="19030">
      <c r="A19030">
        <f>TEST_DATA!A19030</f>
        <v/>
      </c>
      <c r="B19030">
        <f>TEST_DATA!B19030</f>
        <v/>
      </c>
      <c r="C19030">
        <f>TEST_DATA!C19030</f>
        <v/>
      </c>
      <c r="D19030">
        <f>TEST_DATA!D19030</f>
        <v/>
      </c>
      <c r="E19030">
        <f>TEST_DATA!E19030</f>
        <v/>
      </c>
    </row>
    <row r="19031">
      <c r="A19031">
        <f>TEST_DATA!A19031</f>
        <v/>
      </c>
      <c r="B19031">
        <f>TEST_DATA!B19031</f>
        <v/>
      </c>
      <c r="C19031">
        <f>TEST_DATA!C19031</f>
        <v/>
      </c>
      <c r="D19031">
        <f>TEST_DATA!D19031</f>
        <v/>
      </c>
      <c r="E19031">
        <f>TEST_DATA!E19031</f>
        <v/>
      </c>
    </row>
    <row r="19032">
      <c r="A19032">
        <f>TEST_DATA!A19032</f>
        <v/>
      </c>
      <c r="B19032">
        <f>TEST_DATA!B19032</f>
        <v/>
      </c>
      <c r="C19032">
        <f>TEST_DATA!C19032</f>
        <v/>
      </c>
      <c r="D19032">
        <f>TEST_DATA!D19032</f>
        <v/>
      </c>
      <c r="E19032">
        <f>TEST_DATA!E19032</f>
        <v/>
      </c>
    </row>
    <row r="19033">
      <c r="A19033">
        <f>TEST_DATA!A19033</f>
        <v/>
      </c>
      <c r="B19033">
        <f>TEST_DATA!B19033</f>
        <v/>
      </c>
      <c r="C19033">
        <f>TEST_DATA!C19033</f>
        <v/>
      </c>
      <c r="D19033">
        <f>TEST_DATA!D19033</f>
        <v/>
      </c>
      <c r="E19033">
        <f>TEST_DATA!E19033</f>
        <v/>
      </c>
    </row>
    <row r="19034">
      <c r="A19034">
        <f>TEST_DATA!A19034</f>
        <v/>
      </c>
      <c r="B19034">
        <f>TEST_DATA!B19034</f>
        <v/>
      </c>
      <c r="C19034">
        <f>TEST_DATA!C19034</f>
        <v/>
      </c>
      <c r="D19034">
        <f>TEST_DATA!D19034</f>
        <v/>
      </c>
      <c r="E19034">
        <f>TEST_DATA!E19034</f>
        <v/>
      </c>
    </row>
    <row r="19035">
      <c r="A19035">
        <f>TEST_DATA!A19035</f>
        <v/>
      </c>
      <c r="B19035">
        <f>TEST_DATA!B19035</f>
        <v/>
      </c>
      <c r="C19035">
        <f>TEST_DATA!C19035</f>
        <v/>
      </c>
      <c r="D19035">
        <f>TEST_DATA!D19035</f>
        <v/>
      </c>
      <c r="E19035">
        <f>TEST_DATA!E19035</f>
        <v/>
      </c>
    </row>
    <row r="19036">
      <c r="A19036">
        <f>TEST_DATA!A19036</f>
        <v/>
      </c>
      <c r="B19036">
        <f>TEST_DATA!B19036</f>
        <v/>
      </c>
      <c r="C19036">
        <f>TEST_DATA!C19036</f>
        <v/>
      </c>
      <c r="D19036">
        <f>TEST_DATA!D19036</f>
        <v/>
      </c>
      <c r="E19036">
        <f>TEST_DATA!E19036</f>
        <v/>
      </c>
    </row>
    <row r="19037">
      <c r="A19037">
        <f>TEST_DATA!A19037</f>
        <v/>
      </c>
      <c r="B19037">
        <f>TEST_DATA!B19037</f>
        <v/>
      </c>
      <c r="C19037">
        <f>TEST_DATA!C19037</f>
        <v/>
      </c>
      <c r="D19037">
        <f>TEST_DATA!D19037</f>
        <v/>
      </c>
      <c r="E19037">
        <f>TEST_DATA!E19037</f>
        <v/>
      </c>
    </row>
    <row r="19038">
      <c r="A19038">
        <f>TEST_DATA!A19038</f>
        <v/>
      </c>
      <c r="B19038">
        <f>TEST_DATA!B19038</f>
        <v/>
      </c>
      <c r="C19038">
        <f>TEST_DATA!C19038</f>
        <v/>
      </c>
      <c r="D19038">
        <f>TEST_DATA!D19038</f>
        <v/>
      </c>
      <c r="E19038">
        <f>TEST_DATA!E19038</f>
        <v/>
      </c>
    </row>
    <row r="19039">
      <c r="A19039">
        <f>TEST_DATA!A19039</f>
        <v/>
      </c>
      <c r="B19039">
        <f>TEST_DATA!B19039</f>
        <v/>
      </c>
      <c r="C19039">
        <f>TEST_DATA!C19039</f>
        <v/>
      </c>
      <c r="D19039">
        <f>TEST_DATA!D19039</f>
        <v/>
      </c>
      <c r="E19039">
        <f>TEST_DATA!E19039</f>
        <v/>
      </c>
    </row>
    <row r="19040">
      <c r="A19040">
        <f>TEST_DATA!A19040</f>
        <v/>
      </c>
      <c r="B19040">
        <f>TEST_DATA!B19040</f>
        <v/>
      </c>
      <c r="C19040">
        <f>TEST_DATA!C19040</f>
        <v/>
      </c>
      <c r="D19040">
        <f>TEST_DATA!D19040</f>
        <v/>
      </c>
      <c r="E19040">
        <f>TEST_DATA!E19040</f>
        <v/>
      </c>
    </row>
    <row r="19041">
      <c r="A19041">
        <f>TEST_DATA!A19041</f>
        <v/>
      </c>
      <c r="B19041">
        <f>TEST_DATA!B19041</f>
        <v/>
      </c>
      <c r="C19041">
        <f>TEST_DATA!C19041</f>
        <v/>
      </c>
      <c r="D19041">
        <f>TEST_DATA!D19041</f>
        <v/>
      </c>
      <c r="E19041">
        <f>TEST_DATA!E19041</f>
        <v/>
      </c>
    </row>
    <row r="19042">
      <c r="A19042">
        <f>TEST_DATA!A19042</f>
        <v/>
      </c>
      <c r="B19042">
        <f>TEST_DATA!B19042</f>
        <v/>
      </c>
      <c r="C19042">
        <f>TEST_DATA!C19042</f>
        <v/>
      </c>
      <c r="D19042">
        <f>TEST_DATA!D19042</f>
        <v/>
      </c>
      <c r="E19042">
        <f>TEST_DATA!E19042</f>
        <v/>
      </c>
    </row>
    <row r="19043">
      <c r="A19043">
        <f>TEST_DATA!A19043</f>
        <v/>
      </c>
      <c r="B19043">
        <f>TEST_DATA!B19043</f>
        <v/>
      </c>
      <c r="C19043">
        <f>TEST_DATA!C19043</f>
        <v/>
      </c>
      <c r="D19043">
        <f>TEST_DATA!D19043</f>
        <v/>
      </c>
      <c r="E19043">
        <f>TEST_DATA!E19043</f>
        <v/>
      </c>
    </row>
    <row r="19044">
      <c r="A19044">
        <f>TEST_DATA!A19044</f>
        <v/>
      </c>
      <c r="B19044">
        <f>TEST_DATA!B19044</f>
        <v/>
      </c>
      <c r="C19044">
        <f>TEST_DATA!C19044</f>
        <v/>
      </c>
      <c r="D19044">
        <f>TEST_DATA!D19044</f>
        <v/>
      </c>
      <c r="E19044">
        <f>TEST_DATA!E19044</f>
        <v/>
      </c>
    </row>
    <row r="19045">
      <c r="A19045">
        <f>TEST_DATA!A19045</f>
        <v/>
      </c>
      <c r="B19045">
        <f>TEST_DATA!B19045</f>
        <v/>
      </c>
      <c r="C19045">
        <f>TEST_DATA!C19045</f>
        <v/>
      </c>
      <c r="D19045">
        <f>TEST_DATA!D19045</f>
        <v/>
      </c>
      <c r="E19045">
        <f>TEST_DATA!E19045</f>
        <v/>
      </c>
    </row>
    <row r="19046">
      <c r="A19046">
        <f>TEST_DATA!A19046</f>
        <v/>
      </c>
      <c r="B19046">
        <f>TEST_DATA!B19046</f>
        <v/>
      </c>
      <c r="C19046">
        <f>TEST_DATA!C19046</f>
        <v/>
      </c>
      <c r="D19046">
        <f>TEST_DATA!D19046</f>
        <v/>
      </c>
      <c r="E19046">
        <f>TEST_DATA!E19046</f>
        <v/>
      </c>
    </row>
    <row r="19047">
      <c r="A19047">
        <f>TEST_DATA!A19047</f>
        <v/>
      </c>
      <c r="B19047">
        <f>TEST_DATA!B19047</f>
        <v/>
      </c>
      <c r="C19047">
        <f>TEST_DATA!C19047</f>
        <v/>
      </c>
      <c r="D19047">
        <f>TEST_DATA!D19047</f>
        <v/>
      </c>
      <c r="E19047">
        <f>TEST_DATA!E19047</f>
        <v/>
      </c>
    </row>
    <row r="19048">
      <c r="A19048">
        <f>TEST_DATA!A19048</f>
        <v/>
      </c>
      <c r="B19048">
        <f>TEST_DATA!B19048</f>
        <v/>
      </c>
      <c r="C19048">
        <f>TEST_DATA!C19048</f>
        <v/>
      </c>
      <c r="D19048">
        <f>TEST_DATA!D19048</f>
        <v/>
      </c>
      <c r="E19048">
        <f>TEST_DATA!E19048</f>
        <v/>
      </c>
    </row>
    <row r="19049">
      <c r="A19049">
        <f>TEST_DATA!A19049</f>
        <v/>
      </c>
      <c r="B19049">
        <f>TEST_DATA!B19049</f>
        <v/>
      </c>
      <c r="C19049">
        <f>TEST_DATA!C19049</f>
        <v/>
      </c>
      <c r="D19049">
        <f>TEST_DATA!D19049</f>
        <v/>
      </c>
      <c r="E19049">
        <f>TEST_DATA!E19049</f>
        <v/>
      </c>
    </row>
    <row r="19050">
      <c r="A19050">
        <f>TEST_DATA!A19050</f>
        <v/>
      </c>
      <c r="B19050">
        <f>TEST_DATA!B19050</f>
        <v/>
      </c>
      <c r="C19050">
        <f>TEST_DATA!C19050</f>
        <v/>
      </c>
      <c r="D19050">
        <f>TEST_DATA!D19050</f>
        <v/>
      </c>
      <c r="E19050">
        <f>TEST_DATA!E19050</f>
        <v/>
      </c>
    </row>
    <row r="19051">
      <c r="A19051">
        <f>TEST_DATA!A19051</f>
        <v/>
      </c>
      <c r="B19051">
        <f>TEST_DATA!B19051</f>
        <v/>
      </c>
      <c r="C19051">
        <f>TEST_DATA!C19051</f>
        <v/>
      </c>
      <c r="D19051">
        <f>TEST_DATA!D19051</f>
        <v/>
      </c>
      <c r="E19051">
        <f>TEST_DATA!E19051</f>
        <v/>
      </c>
    </row>
    <row r="19052">
      <c r="A19052">
        <f>TEST_DATA!A19052</f>
        <v/>
      </c>
      <c r="B19052">
        <f>TEST_DATA!B19052</f>
        <v/>
      </c>
      <c r="C19052">
        <f>TEST_DATA!C19052</f>
        <v/>
      </c>
      <c r="D19052">
        <f>TEST_DATA!D19052</f>
        <v/>
      </c>
      <c r="E19052">
        <f>TEST_DATA!E19052</f>
        <v/>
      </c>
    </row>
    <row r="19053">
      <c r="A19053">
        <f>TEST_DATA!A19053</f>
        <v/>
      </c>
      <c r="B19053">
        <f>TEST_DATA!B19053</f>
        <v/>
      </c>
      <c r="C19053">
        <f>TEST_DATA!C19053</f>
        <v/>
      </c>
      <c r="D19053">
        <f>TEST_DATA!D19053</f>
        <v/>
      </c>
      <c r="E19053">
        <f>TEST_DATA!E19053</f>
        <v/>
      </c>
    </row>
    <row r="19054">
      <c r="A19054">
        <f>TEST_DATA!A19054</f>
        <v/>
      </c>
      <c r="B19054">
        <f>TEST_DATA!B19054</f>
        <v/>
      </c>
      <c r="C19054">
        <f>TEST_DATA!C19054</f>
        <v/>
      </c>
      <c r="D19054">
        <f>TEST_DATA!D19054</f>
        <v/>
      </c>
      <c r="E19054">
        <f>TEST_DATA!E19054</f>
        <v/>
      </c>
    </row>
    <row r="19055">
      <c r="A19055">
        <f>TEST_DATA!A19055</f>
        <v/>
      </c>
      <c r="B19055">
        <f>TEST_DATA!B19055</f>
        <v/>
      </c>
      <c r="C19055">
        <f>TEST_DATA!C19055</f>
        <v/>
      </c>
      <c r="D19055">
        <f>TEST_DATA!D19055</f>
        <v/>
      </c>
      <c r="E19055">
        <f>TEST_DATA!E19055</f>
        <v/>
      </c>
    </row>
    <row r="19056">
      <c r="A19056">
        <f>TEST_DATA!A19056</f>
        <v/>
      </c>
      <c r="B19056">
        <f>TEST_DATA!B19056</f>
        <v/>
      </c>
      <c r="C19056">
        <f>TEST_DATA!C19056</f>
        <v/>
      </c>
      <c r="D19056">
        <f>TEST_DATA!D19056</f>
        <v/>
      </c>
      <c r="E19056">
        <f>TEST_DATA!E19056</f>
        <v/>
      </c>
    </row>
    <row r="19057">
      <c r="A19057">
        <f>TEST_DATA!A19057</f>
        <v/>
      </c>
      <c r="B19057">
        <f>TEST_DATA!B19057</f>
        <v/>
      </c>
      <c r="C19057">
        <f>TEST_DATA!C19057</f>
        <v/>
      </c>
      <c r="D19057">
        <f>TEST_DATA!D19057</f>
        <v/>
      </c>
      <c r="E19057">
        <f>TEST_DATA!E19057</f>
        <v/>
      </c>
    </row>
    <row r="19058">
      <c r="A19058">
        <f>TEST_DATA!A19058</f>
        <v/>
      </c>
      <c r="B19058">
        <f>TEST_DATA!B19058</f>
        <v/>
      </c>
      <c r="C19058">
        <f>TEST_DATA!C19058</f>
        <v/>
      </c>
      <c r="D19058">
        <f>TEST_DATA!D19058</f>
        <v/>
      </c>
      <c r="E19058">
        <f>TEST_DATA!E19058</f>
        <v/>
      </c>
    </row>
    <row r="19059">
      <c r="A19059">
        <f>TEST_DATA!A19059</f>
        <v/>
      </c>
      <c r="B19059">
        <f>TEST_DATA!B19059</f>
        <v/>
      </c>
      <c r="C19059">
        <f>TEST_DATA!C19059</f>
        <v/>
      </c>
      <c r="D19059">
        <f>TEST_DATA!D19059</f>
        <v/>
      </c>
      <c r="E19059">
        <f>TEST_DATA!E19059</f>
        <v/>
      </c>
    </row>
    <row r="19060">
      <c r="A19060">
        <f>TEST_DATA!A19060</f>
        <v/>
      </c>
      <c r="B19060">
        <f>TEST_DATA!B19060</f>
        <v/>
      </c>
      <c r="C19060">
        <f>TEST_DATA!C19060</f>
        <v/>
      </c>
      <c r="D19060">
        <f>TEST_DATA!D19060</f>
        <v/>
      </c>
      <c r="E19060">
        <f>TEST_DATA!E19060</f>
        <v/>
      </c>
    </row>
    <row r="19061">
      <c r="A19061">
        <f>TEST_DATA!A19061</f>
        <v/>
      </c>
      <c r="B19061">
        <f>TEST_DATA!B19061</f>
        <v/>
      </c>
      <c r="C19061">
        <f>TEST_DATA!C19061</f>
        <v/>
      </c>
      <c r="D19061">
        <f>TEST_DATA!D19061</f>
        <v/>
      </c>
      <c r="E19061">
        <f>TEST_DATA!E19061</f>
        <v/>
      </c>
    </row>
    <row r="19062">
      <c r="A19062">
        <f>TEST_DATA!A19062</f>
        <v/>
      </c>
      <c r="B19062">
        <f>TEST_DATA!B19062</f>
        <v/>
      </c>
      <c r="C19062">
        <f>TEST_DATA!C19062</f>
        <v/>
      </c>
      <c r="D19062">
        <f>TEST_DATA!D19062</f>
        <v/>
      </c>
      <c r="E19062">
        <f>TEST_DATA!E19062</f>
        <v/>
      </c>
    </row>
    <row r="19063">
      <c r="A19063">
        <f>TEST_DATA!A19063</f>
        <v/>
      </c>
      <c r="B19063">
        <f>TEST_DATA!B19063</f>
        <v/>
      </c>
      <c r="C19063">
        <f>TEST_DATA!C19063</f>
        <v/>
      </c>
      <c r="D19063">
        <f>TEST_DATA!D19063</f>
        <v/>
      </c>
      <c r="E19063">
        <f>TEST_DATA!E19063</f>
        <v/>
      </c>
    </row>
    <row r="19064">
      <c r="A19064">
        <f>TEST_DATA!A19064</f>
        <v/>
      </c>
      <c r="B19064">
        <f>TEST_DATA!B19064</f>
        <v/>
      </c>
      <c r="C19064">
        <f>TEST_DATA!C19064</f>
        <v/>
      </c>
      <c r="D19064">
        <f>TEST_DATA!D19064</f>
        <v/>
      </c>
      <c r="E19064">
        <f>TEST_DATA!E19064</f>
        <v/>
      </c>
    </row>
    <row r="19065">
      <c r="A19065">
        <f>TEST_DATA!A19065</f>
        <v/>
      </c>
      <c r="B19065">
        <f>TEST_DATA!B19065</f>
        <v/>
      </c>
      <c r="C19065">
        <f>TEST_DATA!C19065</f>
        <v/>
      </c>
      <c r="D19065">
        <f>TEST_DATA!D19065</f>
        <v/>
      </c>
      <c r="E19065">
        <f>TEST_DATA!E19065</f>
        <v/>
      </c>
    </row>
    <row r="19066">
      <c r="A19066">
        <f>TEST_DATA!A19066</f>
        <v/>
      </c>
      <c r="B19066">
        <f>TEST_DATA!B19066</f>
        <v/>
      </c>
      <c r="C19066">
        <f>TEST_DATA!C19066</f>
        <v/>
      </c>
      <c r="D19066">
        <f>TEST_DATA!D19066</f>
        <v/>
      </c>
      <c r="E19066">
        <f>TEST_DATA!E19066</f>
        <v/>
      </c>
    </row>
    <row r="19067">
      <c r="A19067">
        <f>TEST_DATA!A19067</f>
        <v/>
      </c>
      <c r="B19067">
        <f>TEST_DATA!B19067</f>
        <v/>
      </c>
      <c r="C19067">
        <f>TEST_DATA!C19067</f>
        <v/>
      </c>
      <c r="D19067">
        <f>TEST_DATA!D19067</f>
        <v/>
      </c>
      <c r="E19067">
        <f>TEST_DATA!E19067</f>
        <v/>
      </c>
    </row>
    <row r="19068">
      <c r="A19068">
        <f>TEST_DATA!A19068</f>
        <v/>
      </c>
      <c r="B19068">
        <f>TEST_DATA!B19068</f>
        <v/>
      </c>
      <c r="C19068">
        <f>TEST_DATA!C19068</f>
        <v/>
      </c>
      <c r="D19068">
        <f>TEST_DATA!D19068</f>
        <v/>
      </c>
      <c r="E19068">
        <f>TEST_DATA!E19068</f>
        <v/>
      </c>
    </row>
    <row r="19069">
      <c r="A19069">
        <f>TEST_DATA!A19069</f>
        <v/>
      </c>
      <c r="B19069">
        <f>TEST_DATA!B19069</f>
        <v/>
      </c>
      <c r="C19069">
        <f>TEST_DATA!C19069</f>
        <v/>
      </c>
      <c r="D19069">
        <f>TEST_DATA!D19069</f>
        <v/>
      </c>
      <c r="E19069">
        <f>TEST_DATA!E19069</f>
        <v/>
      </c>
    </row>
    <row r="19070">
      <c r="A19070">
        <f>TEST_DATA!A19070</f>
        <v/>
      </c>
      <c r="B19070">
        <f>TEST_DATA!B19070</f>
        <v/>
      </c>
      <c r="C19070">
        <f>TEST_DATA!C19070</f>
        <v/>
      </c>
      <c r="D19070">
        <f>TEST_DATA!D19070</f>
        <v/>
      </c>
      <c r="E19070">
        <f>TEST_DATA!E19070</f>
        <v/>
      </c>
    </row>
    <row r="19071">
      <c r="A19071">
        <f>TEST_DATA!A19071</f>
        <v/>
      </c>
      <c r="B19071">
        <f>TEST_DATA!B19071</f>
        <v/>
      </c>
      <c r="C19071">
        <f>TEST_DATA!C19071</f>
        <v/>
      </c>
      <c r="D19071">
        <f>TEST_DATA!D19071</f>
        <v/>
      </c>
      <c r="E19071">
        <f>TEST_DATA!E19071</f>
        <v/>
      </c>
    </row>
    <row r="19072">
      <c r="A19072">
        <f>TEST_DATA!A19072</f>
        <v/>
      </c>
      <c r="B19072">
        <f>TEST_DATA!B19072</f>
        <v/>
      </c>
      <c r="C19072">
        <f>TEST_DATA!C19072</f>
        <v/>
      </c>
      <c r="D19072">
        <f>TEST_DATA!D19072</f>
        <v/>
      </c>
      <c r="E19072">
        <f>TEST_DATA!E19072</f>
        <v/>
      </c>
    </row>
    <row r="19073">
      <c r="A19073">
        <f>TEST_DATA!A19073</f>
        <v/>
      </c>
      <c r="B19073">
        <f>TEST_DATA!B19073</f>
        <v/>
      </c>
      <c r="C19073">
        <f>TEST_DATA!C19073</f>
        <v/>
      </c>
      <c r="D19073">
        <f>TEST_DATA!D19073</f>
        <v/>
      </c>
      <c r="E19073">
        <f>TEST_DATA!E19073</f>
        <v/>
      </c>
    </row>
    <row r="19074">
      <c r="A19074">
        <f>TEST_DATA!A19074</f>
        <v/>
      </c>
      <c r="B19074">
        <f>TEST_DATA!B19074</f>
        <v/>
      </c>
      <c r="C19074">
        <f>TEST_DATA!C19074</f>
        <v/>
      </c>
      <c r="D19074">
        <f>TEST_DATA!D19074</f>
        <v/>
      </c>
      <c r="E19074">
        <f>TEST_DATA!E19074</f>
        <v/>
      </c>
    </row>
    <row r="19075">
      <c r="A19075">
        <f>TEST_DATA!A19075</f>
        <v/>
      </c>
      <c r="B19075">
        <f>TEST_DATA!B19075</f>
        <v/>
      </c>
      <c r="C19075">
        <f>TEST_DATA!C19075</f>
        <v/>
      </c>
      <c r="D19075">
        <f>TEST_DATA!D19075</f>
        <v/>
      </c>
      <c r="E19075">
        <f>TEST_DATA!E19075</f>
        <v/>
      </c>
    </row>
    <row r="19076">
      <c r="A19076">
        <f>TEST_DATA!A19076</f>
        <v/>
      </c>
      <c r="B19076">
        <f>TEST_DATA!B19076</f>
        <v/>
      </c>
      <c r="C19076">
        <f>TEST_DATA!C19076</f>
        <v/>
      </c>
      <c r="D19076">
        <f>TEST_DATA!D19076</f>
        <v/>
      </c>
      <c r="E19076">
        <f>TEST_DATA!E19076</f>
        <v/>
      </c>
    </row>
    <row r="19077">
      <c r="A19077">
        <f>TEST_DATA!A19077</f>
        <v/>
      </c>
      <c r="B19077">
        <f>TEST_DATA!B19077</f>
        <v/>
      </c>
      <c r="C19077">
        <f>TEST_DATA!C19077</f>
        <v/>
      </c>
      <c r="D19077">
        <f>TEST_DATA!D19077</f>
        <v/>
      </c>
      <c r="E19077">
        <f>TEST_DATA!E19077</f>
        <v/>
      </c>
    </row>
    <row r="19078">
      <c r="A19078">
        <f>TEST_DATA!A19078</f>
        <v/>
      </c>
      <c r="B19078">
        <f>TEST_DATA!B19078</f>
        <v/>
      </c>
      <c r="C19078">
        <f>TEST_DATA!C19078</f>
        <v/>
      </c>
      <c r="D19078">
        <f>TEST_DATA!D19078</f>
        <v/>
      </c>
      <c r="E19078">
        <f>TEST_DATA!E19078</f>
        <v/>
      </c>
    </row>
    <row r="19079">
      <c r="A19079">
        <f>TEST_DATA!A19079</f>
        <v/>
      </c>
      <c r="B19079">
        <f>TEST_DATA!B19079</f>
        <v/>
      </c>
      <c r="C19079">
        <f>TEST_DATA!C19079</f>
        <v/>
      </c>
      <c r="D19079">
        <f>TEST_DATA!D19079</f>
        <v/>
      </c>
      <c r="E19079">
        <f>TEST_DATA!E19079</f>
        <v/>
      </c>
    </row>
    <row r="19080">
      <c r="A19080">
        <f>TEST_DATA!A19080</f>
        <v/>
      </c>
      <c r="B19080">
        <f>TEST_DATA!B19080</f>
        <v/>
      </c>
      <c r="C19080">
        <f>TEST_DATA!C19080</f>
        <v/>
      </c>
      <c r="D19080">
        <f>TEST_DATA!D19080</f>
        <v/>
      </c>
      <c r="E19080">
        <f>TEST_DATA!E19080</f>
        <v/>
      </c>
    </row>
    <row r="19081">
      <c r="A19081">
        <f>TEST_DATA!A19081</f>
        <v/>
      </c>
      <c r="B19081">
        <f>TEST_DATA!B19081</f>
        <v/>
      </c>
      <c r="C19081">
        <f>TEST_DATA!C19081</f>
        <v/>
      </c>
      <c r="D19081">
        <f>TEST_DATA!D19081</f>
        <v/>
      </c>
      <c r="E19081">
        <f>TEST_DATA!E19081</f>
        <v/>
      </c>
    </row>
    <row r="19082">
      <c r="A19082">
        <f>TEST_DATA!A19082</f>
        <v/>
      </c>
      <c r="B19082">
        <f>TEST_DATA!B19082</f>
        <v/>
      </c>
      <c r="C19082">
        <f>TEST_DATA!C19082</f>
        <v/>
      </c>
      <c r="D19082">
        <f>TEST_DATA!D19082</f>
        <v/>
      </c>
      <c r="E19082">
        <f>TEST_DATA!E19082</f>
        <v/>
      </c>
    </row>
    <row r="19083">
      <c r="A19083">
        <f>TEST_DATA!A19083</f>
        <v/>
      </c>
      <c r="B19083">
        <f>TEST_DATA!B19083</f>
        <v/>
      </c>
      <c r="C19083">
        <f>TEST_DATA!C19083</f>
        <v/>
      </c>
      <c r="D19083">
        <f>TEST_DATA!D19083</f>
        <v/>
      </c>
      <c r="E19083">
        <f>TEST_DATA!E19083</f>
        <v/>
      </c>
    </row>
    <row r="19084">
      <c r="A19084">
        <f>TEST_DATA!A19084</f>
        <v/>
      </c>
      <c r="B19084">
        <f>TEST_DATA!B19084</f>
        <v/>
      </c>
      <c r="C19084">
        <f>TEST_DATA!C19084</f>
        <v/>
      </c>
      <c r="D19084">
        <f>TEST_DATA!D19084</f>
        <v/>
      </c>
      <c r="E19084">
        <f>TEST_DATA!E19084</f>
        <v/>
      </c>
    </row>
    <row r="19085">
      <c r="A19085">
        <f>TEST_DATA!A19085</f>
        <v/>
      </c>
      <c r="B19085">
        <f>TEST_DATA!B19085</f>
        <v/>
      </c>
      <c r="C19085">
        <f>TEST_DATA!C19085</f>
        <v/>
      </c>
      <c r="D19085">
        <f>TEST_DATA!D19085</f>
        <v/>
      </c>
      <c r="E19085">
        <f>TEST_DATA!E19085</f>
        <v/>
      </c>
    </row>
    <row r="19086">
      <c r="A19086">
        <f>TEST_DATA!A19086</f>
        <v/>
      </c>
      <c r="B19086">
        <f>TEST_DATA!B19086</f>
        <v/>
      </c>
      <c r="C19086">
        <f>TEST_DATA!C19086</f>
        <v/>
      </c>
      <c r="D19086">
        <f>TEST_DATA!D19086</f>
        <v/>
      </c>
      <c r="E19086">
        <f>TEST_DATA!E19086</f>
        <v/>
      </c>
    </row>
    <row r="19087">
      <c r="A19087">
        <f>TEST_DATA!A19087</f>
        <v/>
      </c>
      <c r="B19087">
        <f>TEST_DATA!B19087</f>
        <v/>
      </c>
      <c r="C19087">
        <f>TEST_DATA!C19087</f>
        <v/>
      </c>
      <c r="D19087">
        <f>TEST_DATA!D19087</f>
        <v/>
      </c>
      <c r="E19087">
        <f>TEST_DATA!E19087</f>
        <v/>
      </c>
    </row>
    <row r="19088">
      <c r="A19088">
        <f>TEST_DATA!A19088</f>
        <v/>
      </c>
      <c r="B19088">
        <f>TEST_DATA!B19088</f>
        <v/>
      </c>
      <c r="C19088">
        <f>TEST_DATA!C19088</f>
        <v/>
      </c>
      <c r="D19088">
        <f>TEST_DATA!D19088</f>
        <v/>
      </c>
      <c r="E19088">
        <f>TEST_DATA!E19088</f>
        <v/>
      </c>
    </row>
    <row r="19089">
      <c r="A19089">
        <f>TEST_DATA!A19089</f>
        <v/>
      </c>
      <c r="B19089">
        <f>TEST_DATA!B19089</f>
        <v/>
      </c>
      <c r="C19089">
        <f>TEST_DATA!C19089</f>
        <v/>
      </c>
      <c r="D19089">
        <f>TEST_DATA!D19089</f>
        <v/>
      </c>
      <c r="E19089">
        <f>TEST_DATA!E19089</f>
        <v/>
      </c>
    </row>
    <row r="19090">
      <c r="A19090">
        <f>TEST_DATA!A19090</f>
        <v/>
      </c>
      <c r="B19090">
        <f>TEST_DATA!B19090</f>
        <v/>
      </c>
      <c r="C19090">
        <f>TEST_DATA!C19090</f>
        <v/>
      </c>
      <c r="D19090">
        <f>TEST_DATA!D19090</f>
        <v/>
      </c>
      <c r="E19090">
        <f>TEST_DATA!E19090</f>
        <v/>
      </c>
    </row>
    <row r="19091">
      <c r="A19091">
        <f>TEST_DATA!A19091</f>
        <v/>
      </c>
      <c r="B19091">
        <f>TEST_DATA!B19091</f>
        <v/>
      </c>
      <c r="C19091">
        <f>TEST_DATA!C19091</f>
        <v/>
      </c>
      <c r="D19091">
        <f>TEST_DATA!D19091</f>
        <v/>
      </c>
      <c r="E19091">
        <f>TEST_DATA!E19091</f>
        <v/>
      </c>
    </row>
    <row r="19092">
      <c r="A19092">
        <f>TEST_DATA!A19092</f>
        <v/>
      </c>
      <c r="B19092">
        <f>TEST_DATA!B19092</f>
        <v/>
      </c>
      <c r="C19092">
        <f>TEST_DATA!C19092</f>
        <v/>
      </c>
      <c r="D19092">
        <f>TEST_DATA!D19092</f>
        <v/>
      </c>
      <c r="E19092">
        <f>TEST_DATA!E19092</f>
        <v/>
      </c>
    </row>
    <row r="19093">
      <c r="A19093">
        <f>TEST_DATA!A19093</f>
        <v/>
      </c>
      <c r="B19093">
        <f>TEST_DATA!B19093</f>
        <v/>
      </c>
      <c r="C19093">
        <f>TEST_DATA!C19093</f>
        <v/>
      </c>
      <c r="D19093">
        <f>TEST_DATA!D19093</f>
        <v/>
      </c>
      <c r="E19093">
        <f>TEST_DATA!E19093</f>
        <v/>
      </c>
    </row>
    <row r="19094">
      <c r="A19094">
        <f>TEST_DATA!A19094</f>
        <v/>
      </c>
      <c r="B19094">
        <f>TEST_DATA!B19094</f>
        <v/>
      </c>
      <c r="C19094">
        <f>TEST_DATA!C19094</f>
        <v/>
      </c>
      <c r="D19094">
        <f>TEST_DATA!D19094</f>
        <v/>
      </c>
      <c r="E19094">
        <f>TEST_DATA!E19094</f>
        <v/>
      </c>
    </row>
    <row r="19095">
      <c r="A19095">
        <f>TEST_DATA!A19095</f>
        <v/>
      </c>
      <c r="B19095">
        <f>TEST_DATA!B19095</f>
        <v/>
      </c>
      <c r="C19095">
        <f>TEST_DATA!C19095</f>
        <v/>
      </c>
      <c r="D19095">
        <f>TEST_DATA!D19095</f>
        <v/>
      </c>
      <c r="E19095">
        <f>TEST_DATA!E19095</f>
        <v/>
      </c>
    </row>
    <row r="19096">
      <c r="A19096">
        <f>TEST_DATA!A19096</f>
        <v/>
      </c>
      <c r="B19096">
        <f>TEST_DATA!B19096</f>
        <v/>
      </c>
      <c r="C19096">
        <f>TEST_DATA!C19096</f>
        <v/>
      </c>
      <c r="D19096">
        <f>TEST_DATA!D19096</f>
        <v/>
      </c>
      <c r="E19096">
        <f>TEST_DATA!E19096</f>
        <v/>
      </c>
    </row>
    <row r="19097">
      <c r="A19097">
        <f>TEST_DATA!A19097</f>
        <v/>
      </c>
      <c r="B19097">
        <f>TEST_DATA!B19097</f>
        <v/>
      </c>
      <c r="C19097">
        <f>TEST_DATA!C19097</f>
        <v/>
      </c>
      <c r="D19097">
        <f>TEST_DATA!D19097</f>
        <v/>
      </c>
      <c r="E19097">
        <f>TEST_DATA!E19097</f>
        <v/>
      </c>
    </row>
    <row r="19098">
      <c r="A19098">
        <f>TEST_DATA!A19098</f>
        <v/>
      </c>
      <c r="B19098">
        <f>TEST_DATA!B19098</f>
        <v/>
      </c>
      <c r="C19098">
        <f>TEST_DATA!C19098</f>
        <v/>
      </c>
      <c r="D19098">
        <f>TEST_DATA!D19098</f>
        <v/>
      </c>
      <c r="E19098">
        <f>TEST_DATA!E19098</f>
        <v/>
      </c>
    </row>
    <row r="19099">
      <c r="A19099">
        <f>TEST_DATA!A19099</f>
        <v/>
      </c>
      <c r="B19099">
        <f>TEST_DATA!B19099</f>
        <v/>
      </c>
      <c r="C19099">
        <f>TEST_DATA!C19099</f>
        <v/>
      </c>
      <c r="D19099">
        <f>TEST_DATA!D19099</f>
        <v/>
      </c>
      <c r="E19099">
        <f>TEST_DATA!E19099</f>
        <v/>
      </c>
    </row>
    <row r="19100">
      <c r="A19100">
        <f>TEST_DATA!A19100</f>
        <v/>
      </c>
      <c r="B19100">
        <f>TEST_DATA!B19100</f>
        <v/>
      </c>
      <c r="C19100">
        <f>TEST_DATA!C19100</f>
        <v/>
      </c>
      <c r="D19100">
        <f>TEST_DATA!D19100</f>
        <v/>
      </c>
      <c r="E19100">
        <f>TEST_DATA!E19100</f>
        <v/>
      </c>
    </row>
    <row r="19101">
      <c r="A19101">
        <f>TEST_DATA!A19101</f>
        <v/>
      </c>
      <c r="B19101">
        <f>TEST_DATA!B19101</f>
        <v/>
      </c>
      <c r="C19101">
        <f>TEST_DATA!C19101</f>
        <v/>
      </c>
      <c r="D19101">
        <f>TEST_DATA!D19101</f>
        <v/>
      </c>
      <c r="E19101">
        <f>TEST_DATA!E19101</f>
        <v/>
      </c>
    </row>
    <row r="19102">
      <c r="A19102">
        <f>TEST_DATA!A19102</f>
        <v/>
      </c>
      <c r="B19102">
        <f>TEST_DATA!B19102</f>
        <v/>
      </c>
      <c r="C19102">
        <f>TEST_DATA!C19102</f>
        <v/>
      </c>
      <c r="D19102">
        <f>TEST_DATA!D19102</f>
        <v/>
      </c>
      <c r="E19102">
        <f>TEST_DATA!E19102</f>
        <v/>
      </c>
    </row>
    <row r="19103">
      <c r="A19103">
        <f>TEST_DATA!A19103</f>
        <v/>
      </c>
      <c r="B19103">
        <f>TEST_DATA!B19103</f>
        <v/>
      </c>
      <c r="C19103">
        <f>TEST_DATA!C19103</f>
        <v/>
      </c>
      <c r="D19103">
        <f>TEST_DATA!D19103</f>
        <v/>
      </c>
      <c r="E19103">
        <f>TEST_DATA!E19103</f>
        <v/>
      </c>
    </row>
    <row r="19104">
      <c r="A19104">
        <f>TEST_DATA!A19104</f>
        <v/>
      </c>
      <c r="B19104">
        <f>TEST_DATA!B19104</f>
        <v/>
      </c>
      <c r="C19104">
        <f>TEST_DATA!C19104</f>
        <v/>
      </c>
      <c r="D19104">
        <f>TEST_DATA!D19104</f>
        <v/>
      </c>
      <c r="E19104">
        <f>TEST_DATA!E19104</f>
        <v/>
      </c>
    </row>
    <row r="19105">
      <c r="A19105">
        <f>TEST_DATA!A19105</f>
        <v/>
      </c>
      <c r="B19105">
        <f>TEST_DATA!B19105</f>
        <v/>
      </c>
      <c r="C19105">
        <f>TEST_DATA!C19105</f>
        <v/>
      </c>
      <c r="D19105">
        <f>TEST_DATA!D19105</f>
        <v/>
      </c>
      <c r="E19105">
        <f>TEST_DATA!E19105</f>
        <v/>
      </c>
    </row>
    <row r="19106">
      <c r="A19106">
        <f>TEST_DATA!A19106</f>
        <v/>
      </c>
      <c r="B19106">
        <f>TEST_DATA!B19106</f>
        <v/>
      </c>
      <c r="C19106">
        <f>TEST_DATA!C19106</f>
        <v/>
      </c>
      <c r="D19106">
        <f>TEST_DATA!D19106</f>
        <v/>
      </c>
      <c r="E19106">
        <f>TEST_DATA!E19106</f>
        <v/>
      </c>
    </row>
    <row r="19107">
      <c r="A19107">
        <f>TEST_DATA!A19107</f>
        <v/>
      </c>
      <c r="B19107">
        <f>TEST_DATA!B19107</f>
        <v/>
      </c>
      <c r="C19107">
        <f>TEST_DATA!C19107</f>
        <v/>
      </c>
      <c r="D19107">
        <f>TEST_DATA!D19107</f>
        <v/>
      </c>
      <c r="E19107">
        <f>TEST_DATA!E19107</f>
        <v/>
      </c>
    </row>
    <row r="19108">
      <c r="A19108">
        <f>TEST_DATA!A19108</f>
        <v/>
      </c>
      <c r="B19108">
        <f>TEST_DATA!B19108</f>
        <v/>
      </c>
      <c r="C19108">
        <f>TEST_DATA!C19108</f>
        <v/>
      </c>
      <c r="D19108">
        <f>TEST_DATA!D19108</f>
        <v/>
      </c>
      <c r="E19108">
        <f>TEST_DATA!E19108</f>
        <v/>
      </c>
    </row>
    <row r="19109">
      <c r="A19109">
        <f>TEST_DATA!A19109</f>
        <v/>
      </c>
      <c r="B19109">
        <f>TEST_DATA!B19109</f>
        <v/>
      </c>
      <c r="C19109">
        <f>TEST_DATA!C19109</f>
        <v/>
      </c>
      <c r="D19109">
        <f>TEST_DATA!D19109</f>
        <v/>
      </c>
      <c r="E19109">
        <f>TEST_DATA!E19109</f>
        <v/>
      </c>
    </row>
    <row r="19110">
      <c r="A19110">
        <f>TEST_DATA!A19110</f>
        <v/>
      </c>
      <c r="B19110">
        <f>TEST_DATA!B19110</f>
        <v/>
      </c>
      <c r="C19110">
        <f>TEST_DATA!C19110</f>
        <v/>
      </c>
      <c r="D19110">
        <f>TEST_DATA!D19110</f>
        <v/>
      </c>
      <c r="E19110">
        <f>TEST_DATA!E19110</f>
        <v/>
      </c>
    </row>
    <row r="19111">
      <c r="A19111">
        <f>TEST_DATA!A19111</f>
        <v/>
      </c>
      <c r="B19111">
        <f>TEST_DATA!B19111</f>
        <v/>
      </c>
      <c r="C19111">
        <f>TEST_DATA!C19111</f>
        <v/>
      </c>
      <c r="D19111">
        <f>TEST_DATA!D19111</f>
        <v/>
      </c>
      <c r="E19111">
        <f>TEST_DATA!E19111</f>
        <v/>
      </c>
    </row>
    <row r="19112">
      <c r="A19112">
        <f>TEST_DATA!A19112</f>
        <v/>
      </c>
      <c r="B19112">
        <f>TEST_DATA!B19112</f>
        <v/>
      </c>
      <c r="C19112">
        <f>TEST_DATA!C19112</f>
        <v/>
      </c>
      <c r="D19112">
        <f>TEST_DATA!D19112</f>
        <v/>
      </c>
      <c r="E19112">
        <f>TEST_DATA!E19112</f>
        <v/>
      </c>
    </row>
    <row r="19113">
      <c r="A19113">
        <f>TEST_DATA!A19113</f>
        <v/>
      </c>
      <c r="B19113">
        <f>TEST_DATA!B19113</f>
        <v/>
      </c>
      <c r="C19113">
        <f>TEST_DATA!C19113</f>
        <v/>
      </c>
      <c r="D19113">
        <f>TEST_DATA!D19113</f>
        <v/>
      </c>
      <c r="E19113">
        <f>TEST_DATA!E19113</f>
        <v/>
      </c>
    </row>
    <row r="19114">
      <c r="A19114">
        <f>TEST_DATA!A19114</f>
        <v/>
      </c>
      <c r="B19114">
        <f>TEST_DATA!B19114</f>
        <v/>
      </c>
      <c r="C19114">
        <f>TEST_DATA!C19114</f>
        <v/>
      </c>
      <c r="D19114">
        <f>TEST_DATA!D19114</f>
        <v/>
      </c>
      <c r="E19114">
        <f>TEST_DATA!E19114</f>
        <v/>
      </c>
    </row>
    <row r="19115">
      <c r="A19115">
        <f>TEST_DATA!A19115</f>
        <v/>
      </c>
      <c r="B19115">
        <f>TEST_DATA!B19115</f>
        <v/>
      </c>
      <c r="C19115">
        <f>TEST_DATA!C19115</f>
        <v/>
      </c>
      <c r="D19115">
        <f>TEST_DATA!D19115</f>
        <v/>
      </c>
      <c r="E19115">
        <f>TEST_DATA!E19115</f>
        <v/>
      </c>
    </row>
    <row r="19116">
      <c r="A19116">
        <f>TEST_DATA!A19116</f>
        <v/>
      </c>
      <c r="B19116">
        <f>TEST_DATA!B19116</f>
        <v/>
      </c>
      <c r="C19116">
        <f>TEST_DATA!C19116</f>
        <v/>
      </c>
      <c r="D19116">
        <f>TEST_DATA!D19116</f>
        <v/>
      </c>
      <c r="E19116">
        <f>TEST_DATA!E19116</f>
        <v/>
      </c>
    </row>
    <row r="19117">
      <c r="A19117">
        <f>TEST_DATA!A19117</f>
        <v/>
      </c>
      <c r="B19117">
        <f>TEST_DATA!B19117</f>
        <v/>
      </c>
      <c r="C19117">
        <f>TEST_DATA!C19117</f>
        <v/>
      </c>
      <c r="D19117">
        <f>TEST_DATA!D19117</f>
        <v/>
      </c>
      <c r="E19117">
        <f>TEST_DATA!E19117</f>
        <v/>
      </c>
    </row>
    <row r="19118">
      <c r="A19118">
        <f>TEST_DATA!A19118</f>
        <v/>
      </c>
      <c r="B19118">
        <f>TEST_DATA!B19118</f>
        <v/>
      </c>
      <c r="C19118">
        <f>TEST_DATA!C19118</f>
        <v/>
      </c>
      <c r="D19118">
        <f>TEST_DATA!D19118</f>
        <v/>
      </c>
      <c r="E19118">
        <f>TEST_DATA!E19118</f>
        <v/>
      </c>
    </row>
    <row r="19119">
      <c r="A19119">
        <f>TEST_DATA!A19119</f>
        <v/>
      </c>
      <c r="B19119">
        <f>TEST_DATA!B19119</f>
        <v/>
      </c>
      <c r="C19119">
        <f>TEST_DATA!C19119</f>
        <v/>
      </c>
      <c r="D19119">
        <f>TEST_DATA!D19119</f>
        <v/>
      </c>
      <c r="E19119">
        <f>TEST_DATA!E19119</f>
        <v/>
      </c>
    </row>
    <row r="19120">
      <c r="A19120">
        <f>TEST_DATA!A19120</f>
        <v/>
      </c>
      <c r="B19120">
        <f>TEST_DATA!B19120</f>
        <v/>
      </c>
      <c r="C19120">
        <f>TEST_DATA!C19120</f>
        <v/>
      </c>
      <c r="D19120">
        <f>TEST_DATA!D19120</f>
        <v/>
      </c>
      <c r="E19120">
        <f>TEST_DATA!E19120</f>
        <v/>
      </c>
    </row>
    <row r="19121">
      <c r="A19121">
        <f>TEST_DATA!A19121</f>
        <v/>
      </c>
      <c r="B19121">
        <f>TEST_DATA!B19121</f>
        <v/>
      </c>
      <c r="C19121">
        <f>TEST_DATA!C19121</f>
        <v/>
      </c>
      <c r="D19121">
        <f>TEST_DATA!D19121</f>
        <v/>
      </c>
      <c r="E19121">
        <f>TEST_DATA!E19121</f>
        <v/>
      </c>
    </row>
    <row r="19122">
      <c r="A19122">
        <f>TEST_DATA!A19122</f>
        <v/>
      </c>
      <c r="B19122">
        <f>TEST_DATA!B19122</f>
        <v/>
      </c>
      <c r="C19122">
        <f>TEST_DATA!C19122</f>
        <v/>
      </c>
      <c r="D19122">
        <f>TEST_DATA!D19122</f>
        <v/>
      </c>
      <c r="E19122">
        <f>TEST_DATA!E19122</f>
        <v/>
      </c>
    </row>
    <row r="19123">
      <c r="A19123">
        <f>TEST_DATA!A19123</f>
        <v/>
      </c>
      <c r="B19123">
        <f>TEST_DATA!B19123</f>
        <v/>
      </c>
      <c r="C19123">
        <f>TEST_DATA!C19123</f>
        <v/>
      </c>
      <c r="D19123">
        <f>TEST_DATA!D19123</f>
        <v/>
      </c>
      <c r="E19123">
        <f>TEST_DATA!E19123</f>
        <v/>
      </c>
    </row>
    <row r="19124">
      <c r="A19124">
        <f>TEST_DATA!A19124</f>
        <v/>
      </c>
      <c r="B19124">
        <f>TEST_DATA!B19124</f>
        <v/>
      </c>
      <c r="C19124">
        <f>TEST_DATA!C19124</f>
        <v/>
      </c>
      <c r="D19124">
        <f>TEST_DATA!D19124</f>
        <v/>
      </c>
      <c r="E19124">
        <f>TEST_DATA!E19124</f>
        <v/>
      </c>
    </row>
    <row r="19125">
      <c r="A19125">
        <f>TEST_DATA!A19125</f>
        <v/>
      </c>
      <c r="B19125">
        <f>TEST_DATA!B19125</f>
        <v/>
      </c>
      <c r="C19125">
        <f>TEST_DATA!C19125</f>
        <v/>
      </c>
      <c r="D19125">
        <f>TEST_DATA!D19125</f>
        <v/>
      </c>
      <c r="E19125">
        <f>TEST_DATA!E19125</f>
        <v/>
      </c>
    </row>
    <row r="19126">
      <c r="A19126">
        <f>TEST_DATA!A19126</f>
        <v/>
      </c>
      <c r="B19126">
        <f>TEST_DATA!B19126</f>
        <v/>
      </c>
      <c r="C19126">
        <f>TEST_DATA!C19126</f>
        <v/>
      </c>
      <c r="D19126">
        <f>TEST_DATA!D19126</f>
        <v/>
      </c>
      <c r="E19126">
        <f>TEST_DATA!E19126</f>
        <v/>
      </c>
    </row>
    <row r="19127">
      <c r="A19127">
        <f>TEST_DATA!A19127</f>
        <v/>
      </c>
      <c r="B19127">
        <f>TEST_DATA!B19127</f>
        <v/>
      </c>
      <c r="C19127">
        <f>TEST_DATA!C19127</f>
        <v/>
      </c>
      <c r="D19127">
        <f>TEST_DATA!D19127</f>
        <v/>
      </c>
      <c r="E19127">
        <f>TEST_DATA!E19127</f>
        <v/>
      </c>
    </row>
    <row r="19128">
      <c r="A19128">
        <f>TEST_DATA!A19128</f>
        <v/>
      </c>
      <c r="B19128">
        <f>TEST_DATA!B19128</f>
        <v/>
      </c>
      <c r="C19128">
        <f>TEST_DATA!C19128</f>
        <v/>
      </c>
      <c r="D19128">
        <f>TEST_DATA!D19128</f>
        <v/>
      </c>
      <c r="E19128">
        <f>TEST_DATA!E19128</f>
        <v/>
      </c>
    </row>
    <row r="19129">
      <c r="A19129">
        <f>TEST_DATA!A19129</f>
        <v/>
      </c>
      <c r="B19129">
        <f>TEST_DATA!B19129</f>
        <v/>
      </c>
      <c r="C19129">
        <f>TEST_DATA!C19129</f>
        <v/>
      </c>
      <c r="D19129">
        <f>TEST_DATA!D19129</f>
        <v/>
      </c>
      <c r="E19129">
        <f>TEST_DATA!E19129</f>
        <v/>
      </c>
    </row>
    <row r="19130">
      <c r="A19130">
        <f>TEST_DATA!A19130</f>
        <v/>
      </c>
      <c r="B19130">
        <f>TEST_DATA!B19130</f>
        <v/>
      </c>
      <c r="C19130">
        <f>TEST_DATA!C19130</f>
        <v/>
      </c>
      <c r="D19130">
        <f>TEST_DATA!D19130</f>
        <v/>
      </c>
      <c r="E19130">
        <f>TEST_DATA!E19130</f>
        <v/>
      </c>
    </row>
    <row r="19131">
      <c r="A19131">
        <f>TEST_DATA!A19131</f>
        <v/>
      </c>
      <c r="B19131">
        <f>TEST_DATA!B19131</f>
        <v/>
      </c>
      <c r="C19131">
        <f>TEST_DATA!C19131</f>
        <v/>
      </c>
      <c r="D19131">
        <f>TEST_DATA!D19131</f>
        <v/>
      </c>
      <c r="E19131">
        <f>TEST_DATA!E19131</f>
        <v/>
      </c>
    </row>
    <row r="19132">
      <c r="A19132">
        <f>TEST_DATA!A19132</f>
        <v/>
      </c>
      <c r="B19132">
        <f>TEST_DATA!B19132</f>
        <v/>
      </c>
      <c r="C19132">
        <f>TEST_DATA!C19132</f>
        <v/>
      </c>
      <c r="D19132">
        <f>TEST_DATA!D19132</f>
        <v/>
      </c>
      <c r="E19132">
        <f>TEST_DATA!E19132</f>
        <v/>
      </c>
    </row>
    <row r="19133">
      <c r="A19133">
        <f>TEST_DATA!A19133</f>
        <v/>
      </c>
      <c r="B19133">
        <f>TEST_DATA!B19133</f>
        <v/>
      </c>
      <c r="C19133">
        <f>TEST_DATA!C19133</f>
        <v/>
      </c>
      <c r="D19133">
        <f>TEST_DATA!D19133</f>
        <v/>
      </c>
      <c r="E19133">
        <f>TEST_DATA!E19133</f>
        <v/>
      </c>
    </row>
    <row r="19134">
      <c r="A19134">
        <f>TEST_DATA!A19134</f>
        <v/>
      </c>
      <c r="B19134">
        <f>TEST_DATA!B19134</f>
        <v/>
      </c>
      <c r="C19134">
        <f>TEST_DATA!C19134</f>
        <v/>
      </c>
      <c r="D19134">
        <f>TEST_DATA!D19134</f>
        <v/>
      </c>
      <c r="E19134">
        <f>TEST_DATA!E19134</f>
        <v/>
      </c>
    </row>
    <row r="19135">
      <c r="A19135">
        <f>TEST_DATA!A19135</f>
        <v/>
      </c>
      <c r="B19135">
        <f>TEST_DATA!B19135</f>
        <v/>
      </c>
      <c r="C19135">
        <f>TEST_DATA!C19135</f>
        <v/>
      </c>
      <c r="D19135">
        <f>TEST_DATA!D19135</f>
        <v/>
      </c>
      <c r="E19135">
        <f>TEST_DATA!E19135</f>
        <v/>
      </c>
    </row>
    <row r="19136">
      <c r="A19136">
        <f>TEST_DATA!A19136</f>
        <v/>
      </c>
      <c r="B19136">
        <f>TEST_DATA!B19136</f>
        <v/>
      </c>
      <c r="C19136">
        <f>TEST_DATA!C19136</f>
        <v/>
      </c>
      <c r="D19136">
        <f>TEST_DATA!D19136</f>
        <v/>
      </c>
      <c r="E19136">
        <f>TEST_DATA!E19136</f>
        <v/>
      </c>
    </row>
    <row r="19137">
      <c r="A19137">
        <f>TEST_DATA!A19137</f>
        <v/>
      </c>
      <c r="B19137">
        <f>TEST_DATA!B19137</f>
        <v/>
      </c>
      <c r="C19137">
        <f>TEST_DATA!C19137</f>
        <v/>
      </c>
      <c r="D19137">
        <f>TEST_DATA!D19137</f>
        <v/>
      </c>
      <c r="E19137">
        <f>TEST_DATA!E19137</f>
        <v/>
      </c>
    </row>
    <row r="19138">
      <c r="A19138">
        <f>TEST_DATA!A19138</f>
        <v/>
      </c>
      <c r="B19138">
        <f>TEST_DATA!B19138</f>
        <v/>
      </c>
      <c r="C19138">
        <f>TEST_DATA!C19138</f>
        <v/>
      </c>
      <c r="D19138">
        <f>TEST_DATA!D19138</f>
        <v/>
      </c>
      <c r="E19138">
        <f>TEST_DATA!E19138</f>
        <v/>
      </c>
    </row>
    <row r="19139">
      <c r="A19139">
        <f>TEST_DATA!A19139</f>
        <v/>
      </c>
      <c r="B19139">
        <f>TEST_DATA!B19139</f>
        <v/>
      </c>
      <c r="C19139">
        <f>TEST_DATA!C19139</f>
        <v/>
      </c>
      <c r="D19139">
        <f>TEST_DATA!D19139</f>
        <v/>
      </c>
      <c r="E19139">
        <f>TEST_DATA!E19139</f>
        <v/>
      </c>
    </row>
    <row r="19140">
      <c r="A19140">
        <f>TEST_DATA!A19140</f>
        <v/>
      </c>
      <c r="B19140">
        <f>TEST_DATA!B19140</f>
        <v/>
      </c>
      <c r="C19140">
        <f>TEST_DATA!C19140</f>
        <v/>
      </c>
      <c r="D19140">
        <f>TEST_DATA!D19140</f>
        <v/>
      </c>
      <c r="E19140">
        <f>TEST_DATA!E19140</f>
        <v/>
      </c>
    </row>
    <row r="19141">
      <c r="A19141">
        <f>TEST_DATA!A19141</f>
        <v/>
      </c>
      <c r="B19141">
        <f>TEST_DATA!B19141</f>
        <v/>
      </c>
      <c r="C19141">
        <f>TEST_DATA!C19141</f>
        <v/>
      </c>
      <c r="D19141">
        <f>TEST_DATA!D19141</f>
        <v/>
      </c>
      <c r="E19141">
        <f>TEST_DATA!E19141</f>
        <v/>
      </c>
    </row>
    <row r="19142">
      <c r="A19142">
        <f>TEST_DATA!A19142</f>
        <v/>
      </c>
      <c r="B19142">
        <f>TEST_DATA!B19142</f>
        <v/>
      </c>
      <c r="C19142">
        <f>TEST_DATA!C19142</f>
        <v/>
      </c>
      <c r="D19142">
        <f>TEST_DATA!D19142</f>
        <v/>
      </c>
      <c r="E19142">
        <f>TEST_DATA!E19142</f>
        <v/>
      </c>
    </row>
    <row r="19143">
      <c r="A19143">
        <f>TEST_DATA!A19143</f>
        <v/>
      </c>
      <c r="B19143">
        <f>TEST_DATA!B19143</f>
        <v/>
      </c>
      <c r="C19143">
        <f>TEST_DATA!C19143</f>
        <v/>
      </c>
      <c r="D19143">
        <f>TEST_DATA!D19143</f>
        <v/>
      </c>
      <c r="E19143">
        <f>TEST_DATA!E19143</f>
        <v/>
      </c>
    </row>
    <row r="19144">
      <c r="A19144">
        <f>TEST_DATA!A19144</f>
        <v/>
      </c>
      <c r="B19144">
        <f>TEST_DATA!B19144</f>
        <v/>
      </c>
      <c r="C19144">
        <f>TEST_DATA!C19144</f>
        <v/>
      </c>
      <c r="D19144">
        <f>TEST_DATA!D19144</f>
        <v/>
      </c>
      <c r="E19144">
        <f>TEST_DATA!E19144</f>
        <v/>
      </c>
    </row>
    <row r="19145">
      <c r="A19145">
        <f>TEST_DATA!A19145</f>
        <v/>
      </c>
      <c r="B19145">
        <f>TEST_DATA!B19145</f>
        <v/>
      </c>
      <c r="C19145">
        <f>TEST_DATA!C19145</f>
        <v/>
      </c>
      <c r="D19145">
        <f>TEST_DATA!D19145</f>
        <v/>
      </c>
      <c r="E19145">
        <f>TEST_DATA!E19145</f>
        <v/>
      </c>
    </row>
    <row r="19146">
      <c r="A19146">
        <f>TEST_DATA!A19146</f>
        <v/>
      </c>
      <c r="B19146">
        <f>TEST_DATA!B19146</f>
        <v/>
      </c>
      <c r="C19146">
        <f>TEST_DATA!C19146</f>
        <v/>
      </c>
      <c r="D19146">
        <f>TEST_DATA!D19146</f>
        <v/>
      </c>
      <c r="E19146">
        <f>TEST_DATA!E19146</f>
        <v/>
      </c>
    </row>
    <row r="19147">
      <c r="A19147">
        <f>TEST_DATA!A19147</f>
        <v/>
      </c>
      <c r="B19147">
        <f>TEST_DATA!B19147</f>
        <v/>
      </c>
      <c r="C19147">
        <f>TEST_DATA!C19147</f>
        <v/>
      </c>
      <c r="D19147">
        <f>TEST_DATA!D19147</f>
        <v/>
      </c>
      <c r="E19147">
        <f>TEST_DATA!E19147</f>
        <v/>
      </c>
    </row>
    <row r="19148">
      <c r="A19148">
        <f>TEST_DATA!A19148</f>
        <v/>
      </c>
      <c r="B19148">
        <f>TEST_DATA!B19148</f>
        <v/>
      </c>
      <c r="C19148">
        <f>TEST_DATA!C19148</f>
        <v/>
      </c>
      <c r="D19148">
        <f>TEST_DATA!D19148</f>
        <v/>
      </c>
      <c r="E19148">
        <f>TEST_DATA!E19148</f>
        <v/>
      </c>
    </row>
    <row r="19149">
      <c r="A19149">
        <f>TEST_DATA!A19149</f>
        <v/>
      </c>
      <c r="B19149">
        <f>TEST_DATA!B19149</f>
        <v/>
      </c>
      <c r="C19149">
        <f>TEST_DATA!C19149</f>
        <v/>
      </c>
      <c r="D19149">
        <f>TEST_DATA!D19149</f>
        <v/>
      </c>
      <c r="E19149">
        <f>TEST_DATA!E19149</f>
        <v/>
      </c>
    </row>
    <row r="19150">
      <c r="A19150">
        <f>TEST_DATA!A19150</f>
        <v/>
      </c>
      <c r="B19150">
        <f>TEST_DATA!B19150</f>
        <v/>
      </c>
      <c r="C19150">
        <f>TEST_DATA!C19150</f>
        <v/>
      </c>
      <c r="D19150">
        <f>TEST_DATA!D19150</f>
        <v/>
      </c>
      <c r="E19150">
        <f>TEST_DATA!E19150</f>
        <v/>
      </c>
    </row>
    <row r="19151">
      <c r="A19151">
        <f>TEST_DATA!A19151</f>
        <v/>
      </c>
      <c r="B19151">
        <f>TEST_DATA!B19151</f>
        <v/>
      </c>
      <c r="C19151">
        <f>TEST_DATA!C19151</f>
        <v/>
      </c>
      <c r="D19151">
        <f>TEST_DATA!D19151</f>
        <v/>
      </c>
      <c r="E19151">
        <f>TEST_DATA!E19151</f>
        <v/>
      </c>
    </row>
    <row r="19152">
      <c r="A19152">
        <f>TEST_DATA!A19152</f>
        <v/>
      </c>
      <c r="B19152">
        <f>TEST_DATA!B19152</f>
        <v/>
      </c>
      <c r="C19152">
        <f>TEST_DATA!C19152</f>
        <v/>
      </c>
      <c r="D19152">
        <f>TEST_DATA!D19152</f>
        <v/>
      </c>
      <c r="E19152">
        <f>TEST_DATA!E19152</f>
        <v/>
      </c>
    </row>
    <row r="19153">
      <c r="A19153">
        <f>TEST_DATA!A19153</f>
        <v/>
      </c>
      <c r="B19153">
        <f>TEST_DATA!B19153</f>
        <v/>
      </c>
      <c r="C19153">
        <f>TEST_DATA!C19153</f>
        <v/>
      </c>
      <c r="D19153">
        <f>TEST_DATA!D19153</f>
        <v/>
      </c>
      <c r="E19153">
        <f>TEST_DATA!E19153</f>
        <v/>
      </c>
    </row>
    <row r="19154">
      <c r="A19154">
        <f>TEST_DATA!A19154</f>
        <v/>
      </c>
      <c r="B19154">
        <f>TEST_DATA!B19154</f>
        <v/>
      </c>
      <c r="C19154">
        <f>TEST_DATA!C19154</f>
        <v/>
      </c>
      <c r="D19154">
        <f>TEST_DATA!D19154</f>
        <v/>
      </c>
      <c r="E19154">
        <f>TEST_DATA!E19154</f>
        <v/>
      </c>
    </row>
    <row r="19155">
      <c r="A19155">
        <f>TEST_DATA!A19155</f>
        <v/>
      </c>
      <c r="B19155">
        <f>TEST_DATA!B19155</f>
        <v/>
      </c>
      <c r="C19155">
        <f>TEST_DATA!C19155</f>
        <v/>
      </c>
      <c r="D19155">
        <f>TEST_DATA!D19155</f>
        <v/>
      </c>
      <c r="E19155">
        <f>TEST_DATA!E19155</f>
        <v/>
      </c>
    </row>
    <row r="19156">
      <c r="A19156">
        <f>TEST_DATA!A19156</f>
        <v/>
      </c>
      <c r="B19156">
        <f>TEST_DATA!B19156</f>
        <v/>
      </c>
      <c r="C19156">
        <f>TEST_DATA!C19156</f>
        <v/>
      </c>
      <c r="D19156">
        <f>TEST_DATA!D19156</f>
        <v/>
      </c>
      <c r="E19156">
        <f>TEST_DATA!E19156</f>
        <v/>
      </c>
    </row>
    <row r="19157">
      <c r="A19157">
        <f>TEST_DATA!A19157</f>
        <v/>
      </c>
      <c r="B19157">
        <f>TEST_DATA!B19157</f>
        <v/>
      </c>
      <c r="C19157">
        <f>TEST_DATA!C19157</f>
        <v/>
      </c>
      <c r="D19157">
        <f>TEST_DATA!D19157</f>
        <v/>
      </c>
      <c r="E19157">
        <f>TEST_DATA!E19157</f>
        <v/>
      </c>
    </row>
    <row r="19158">
      <c r="A19158">
        <f>TEST_DATA!A19158</f>
        <v/>
      </c>
      <c r="B19158">
        <f>TEST_DATA!B19158</f>
        <v/>
      </c>
      <c r="C19158">
        <f>TEST_DATA!C19158</f>
        <v/>
      </c>
      <c r="D19158">
        <f>TEST_DATA!D19158</f>
        <v/>
      </c>
      <c r="E19158">
        <f>TEST_DATA!E19158</f>
        <v/>
      </c>
    </row>
    <row r="19159">
      <c r="A19159">
        <f>TEST_DATA!A19159</f>
        <v/>
      </c>
      <c r="B19159">
        <f>TEST_DATA!B19159</f>
        <v/>
      </c>
      <c r="C19159">
        <f>TEST_DATA!C19159</f>
        <v/>
      </c>
      <c r="D19159">
        <f>TEST_DATA!D19159</f>
        <v/>
      </c>
      <c r="E19159">
        <f>TEST_DATA!E19159</f>
        <v/>
      </c>
    </row>
    <row r="19160">
      <c r="A19160">
        <f>TEST_DATA!A19160</f>
        <v/>
      </c>
      <c r="B19160">
        <f>TEST_DATA!B19160</f>
        <v/>
      </c>
      <c r="C19160">
        <f>TEST_DATA!C19160</f>
        <v/>
      </c>
      <c r="D19160">
        <f>TEST_DATA!D19160</f>
        <v/>
      </c>
      <c r="E19160">
        <f>TEST_DATA!E19160</f>
        <v/>
      </c>
    </row>
    <row r="19161">
      <c r="A19161">
        <f>TEST_DATA!A19161</f>
        <v/>
      </c>
      <c r="B19161">
        <f>TEST_DATA!B19161</f>
        <v/>
      </c>
      <c r="C19161">
        <f>TEST_DATA!C19161</f>
        <v/>
      </c>
      <c r="D19161">
        <f>TEST_DATA!D19161</f>
        <v/>
      </c>
      <c r="E19161">
        <f>TEST_DATA!E19161</f>
        <v/>
      </c>
    </row>
    <row r="19162">
      <c r="A19162">
        <f>TEST_DATA!A19162</f>
        <v/>
      </c>
      <c r="B19162">
        <f>TEST_DATA!B19162</f>
        <v/>
      </c>
      <c r="C19162">
        <f>TEST_DATA!C19162</f>
        <v/>
      </c>
      <c r="D19162">
        <f>TEST_DATA!D19162</f>
        <v/>
      </c>
      <c r="E19162">
        <f>TEST_DATA!E19162</f>
        <v/>
      </c>
    </row>
    <row r="19163">
      <c r="A19163">
        <f>TEST_DATA!A19163</f>
        <v/>
      </c>
      <c r="B19163">
        <f>TEST_DATA!B19163</f>
        <v/>
      </c>
      <c r="C19163">
        <f>TEST_DATA!C19163</f>
        <v/>
      </c>
      <c r="D19163">
        <f>TEST_DATA!D19163</f>
        <v/>
      </c>
      <c r="E19163">
        <f>TEST_DATA!E19163</f>
        <v/>
      </c>
    </row>
    <row r="19164">
      <c r="A19164">
        <f>TEST_DATA!A19164</f>
        <v/>
      </c>
      <c r="B19164">
        <f>TEST_DATA!B19164</f>
        <v/>
      </c>
      <c r="C19164">
        <f>TEST_DATA!C19164</f>
        <v/>
      </c>
      <c r="D19164">
        <f>TEST_DATA!D19164</f>
        <v/>
      </c>
      <c r="E19164">
        <f>TEST_DATA!E19164</f>
        <v/>
      </c>
    </row>
    <row r="19165">
      <c r="A19165">
        <f>TEST_DATA!A19165</f>
        <v/>
      </c>
      <c r="B19165">
        <f>TEST_DATA!B19165</f>
        <v/>
      </c>
      <c r="C19165">
        <f>TEST_DATA!C19165</f>
        <v/>
      </c>
      <c r="D19165">
        <f>TEST_DATA!D19165</f>
        <v/>
      </c>
      <c r="E19165">
        <f>TEST_DATA!E19165</f>
        <v/>
      </c>
    </row>
    <row r="19166">
      <c r="A19166">
        <f>TEST_DATA!A19166</f>
        <v/>
      </c>
      <c r="B19166">
        <f>TEST_DATA!B19166</f>
        <v/>
      </c>
      <c r="C19166">
        <f>TEST_DATA!C19166</f>
        <v/>
      </c>
      <c r="D19166">
        <f>TEST_DATA!D19166</f>
        <v/>
      </c>
      <c r="E19166">
        <f>TEST_DATA!E19166</f>
        <v/>
      </c>
    </row>
    <row r="19167">
      <c r="A19167">
        <f>TEST_DATA!A19167</f>
        <v/>
      </c>
      <c r="B19167">
        <f>TEST_DATA!B19167</f>
        <v/>
      </c>
      <c r="C19167">
        <f>TEST_DATA!C19167</f>
        <v/>
      </c>
      <c r="D19167">
        <f>TEST_DATA!D19167</f>
        <v/>
      </c>
      <c r="E19167">
        <f>TEST_DATA!E19167</f>
        <v/>
      </c>
    </row>
    <row r="19168">
      <c r="A19168">
        <f>TEST_DATA!A19168</f>
        <v/>
      </c>
      <c r="B19168">
        <f>TEST_DATA!B19168</f>
        <v/>
      </c>
      <c r="C19168">
        <f>TEST_DATA!C19168</f>
        <v/>
      </c>
      <c r="D19168">
        <f>TEST_DATA!D19168</f>
        <v/>
      </c>
      <c r="E19168">
        <f>TEST_DATA!E19168</f>
        <v/>
      </c>
    </row>
    <row r="19169">
      <c r="A19169">
        <f>TEST_DATA!A19169</f>
        <v/>
      </c>
      <c r="B19169">
        <f>TEST_DATA!B19169</f>
        <v/>
      </c>
      <c r="C19169">
        <f>TEST_DATA!C19169</f>
        <v/>
      </c>
      <c r="D19169">
        <f>TEST_DATA!D19169</f>
        <v/>
      </c>
      <c r="E19169">
        <f>TEST_DATA!E19169</f>
        <v/>
      </c>
    </row>
    <row r="19170">
      <c r="A19170">
        <f>TEST_DATA!A19170</f>
        <v/>
      </c>
      <c r="B19170">
        <f>TEST_DATA!B19170</f>
        <v/>
      </c>
      <c r="C19170">
        <f>TEST_DATA!C19170</f>
        <v/>
      </c>
      <c r="D19170">
        <f>TEST_DATA!D19170</f>
        <v/>
      </c>
      <c r="E19170">
        <f>TEST_DATA!E19170</f>
        <v/>
      </c>
    </row>
    <row r="19171">
      <c r="A19171">
        <f>TEST_DATA!A19171</f>
        <v/>
      </c>
      <c r="B19171">
        <f>TEST_DATA!B19171</f>
        <v/>
      </c>
      <c r="C19171">
        <f>TEST_DATA!C19171</f>
        <v/>
      </c>
      <c r="D19171">
        <f>TEST_DATA!D19171</f>
        <v/>
      </c>
      <c r="E19171">
        <f>TEST_DATA!E19171</f>
        <v/>
      </c>
    </row>
    <row r="19172">
      <c r="A19172">
        <f>TEST_DATA!A19172</f>
        <v/>
      </c>
      <c r="B19172">
        <f>TEST_DATA!B19172</f>
        <v/>
      </c>
      <c r="C19172">
        <f>TEST_DATA!C19172</f>
        <v/>
      </c>
      <c r="D19172">
        <f>TEST_DATA!D19172</f>
        <v/>
      </c>
      <c r="E19172">
        <f>TEST_DATA!E19172</f>
        <v/>
      </c>
    </row>
    <row r="19173">
      <c r="A19173">
        <f>TEST_DATA!A19173</f>
        <v/>
      </c>
      <c r="B19173">
        <f>TEST_DATA!B19173</f>
        <v/>
      </c>
      <c r="C19173">
        <f>TEST_DATA!C19173</f>
        <v/>
      </c>
      <c r="D19173">
        <f>TEST_DATA!D19173</f>
        <v/>
      </c>
      <c r="E19173">
        <f>TEST_DATA!E19173</f>
        <v/>
      </c>
    </row>
    <row r="19174">
      <c r="A19174">
        <f>TEST_DATA!A19174</f>
        <v/>
      </c>
      <c r="B19174">
        <f>TEST_DATA!B19174</f>
        <v/>
      </c>
      <c r="C19174">
        <f>TEST_DATA!C19174</f>
        <v/>
      </c>
      <c r="D19174">
        <f>TEST_DATA!D19174</f>
        <v/>
      </c>
      <c r="E19174">
        <f>TEST_DATA!E19174</f>
        <v/>
      </c>
    </row>
    <row r="19175">
      <c r="A19175">
        <f>TEST_DATA!A19175</f>
        <v/>
      </c>
      <c r="B19175">
        <f>TEST_DATA!B19175</f>
        <v/>
      </c>
      <c r="C19175">
        <f>TEST_DATA!C19175</f>
        <v/>
      </c>
      <c r="D19175">
        <f>TEST_DATA!D19175</f>
        <v/>
      </c>
      <c r="E19175">
        <f>TEST_DATA!E19175</f>
        <v/>
      </c>
    </row>
    <row r="19176">
      <c r="A19176">
        <f>TEST_DATA!A19176</f>
        <v/>
      </c>
      <c r="B19176">
        <f>TEST_DATA!B19176</f>
        <v/>
      </c>
      <c r="C19176">
        <f>TEST_DATA!C19176</f>
        <v/>
      </c>
      <c r="D19176">
        <f>TEST_DATA!D19176</f>
        <v/>
      </c>
      <c r="E19176">
        <f>TEST_DATA!E19176</f>
        <v/>
      </c>
    </row>
    <row r="19177">
      <c r="A19177">
        <f>TEST_DATA!A19177</f>
        <v/>
      </c>
      <c r="B19177">
        <f>TEST_DATA!B19177</f>
        <v/>
      </c>
      <c r="C19177">
        <f>TEST_DATA!C19177</f>
        <v/>
      </c>
      <c r="D19177">
        <f>TEST_DATA!D19177</f>
        <v/>
      </c>
      <c r="E19177">
        <f>TEST_DATA!E19177</f>
        <v/>
      </c>
    </row>
    <row r="19178">
      <c r="A19178">
        <f>TEST_DATA!A19178</f>
        <v/>
      </c>
      <c r="B19178">
        <f>TEST_DATA!B19178</f>
        <v/>
      </c>
      <c r="C19178">
        <f>TEST_DATA!C19178</f>
        <v/>
      </c>
      <c r="D19178">
        <f>TEST_DATA!D19178</f>
        <v/>
      </c>
      <c r="E19178">
        <f>TEST_DATA!E19178</f>
        <v/>
      </c>
    </row>
    <row r="19179">
      <c r="A19179">
        <f>TEST_DATA!A19179</f>
        <v/>
      </c>
      <c r="B19179">
        <f>TEST_DATA!B19179</f>
        <v/>
      </c>
      <c r="C19179">
        <f>TEST_DATA!C19179</f>
        <v/>
      </c>
      <c r="D19179">
        <f>TEST_DATA!D19179</f>
        <v/>
      </c>
      <c r="E19179">
        <f>TEST_DATA!E19179</f>
        <v/>
      </c>
    </row>
    <row r="19180">
      <c r="A19180">
        <f>TEST_DATA!A19180</f>
        <v/>
      </c>
      <c r="B19180">
        <f>TEST_DATA!B19180</f>
        <v/>
      </c>
      <c r="C19180">
        <f>TEST_DATA!C19180</f>
        <v/>
      </c>
      <c r="D19180">
        <f>TEST_DATA!D19180</f>
        <v/>
      </c>
      <c r="E19180">
        <f>TEST_DATA!E19180</f>
        <v/>
      </c>
    </row>
    <row r="19181">
      <c r="A19181">
        <f>TEST_DATA!A19181</f>
        <v/>
      </c>
      <c r="B19181">
        <f>TEST_DATA!B19181</f>
        <v/>
      </c>
      <c r="C19181">
        <f>TEST_DATA!C19181</f>
        <v/>
      </c>
      <c r="D19181">
        <f>TEST_DATA!D19181</f>
        <v/>
      </c>
      <c r="E19181">
        <f>TEST_DATA!E19181</f>
        <v/>
      </c>
    </row>
    <row r="19182">
      <c r="A19182">
        <f>TEST_DATA!A19182</f>
        <v/>
      </c>
      <c r="B19182">
        <f>TEST_DATA!B19182</f>
        <v/>
      </c>
      <c r="C19182">
        <f>TEST_DATA!C19182</f>
        <v/>
      </c>
      <c r="D19182">
        <f>TEST_DATA!D19182</f>
        <v/>
      </c>
      <c r="E19182">
        <f>TEST_DATA!E19182</f>
        <v/>
      </c>
    </row>
    <row r="19183">
      <c r="A19183">
        <f>TEST_DATA!A19183</f>
        <v/>
      </c>
      <c r="B19183">
        <f>TEST_DATA!B19183</f>
        <v/>
      </c>
      <c r="C19183">
        <f>TEST_DATA!C19183</f>
        <v/>
      </c>
      <c r="D19183">
        <f>TEST_DATA!D19183</f>
        <v/>
      </c>
      <c r="E19183">
        <f>TEST_DATA!E19183</f>
        <v/>
      </c>
    </row>
    <row r="19184">
      <c r="A19184">
        <f>TEST_DATA!A19184</f>
        <v/>
      </c>
      <c r="B19184">
        <f>TEST_DATA!B19184</f>
        <v/>
      </c>
      <c r="C19184">
        <f>TEST_DATA!C19184</f>
        <v/>
      </c>
      <c r="D19184">
        <f>TEST_DATA!D19184</f>
        <v/>
      </c>
      <c r="E19184">
        <f>TEST_DATA!E19184</f>
        <v/>
      </c>
    </row>
    <row r="19185">
      <c r="A19185">
        <f>TEST_DATA!A19185</f>
        <v/>
      </c>
      <c r="B19185">
        <f>TEST_DATA!B19185</f>
        <v/>
      </c>
      <c r="C19185">
        <f>TEST_DATA!C19185</f>
        <v/>
      </c>
      <c r="D19185">
        <f>TEST_DATA!D19185</f>
        <v/>
      </c>
      <c r="E19185">
        <f>TEST_DATA!E19185</f>
        <v/>
      </c>
    </row>
    <row r="19186">
      <c r="A19186">
        <f>TEST_DATA!A19186</f>
        <v/>
      </c>
      <c r="B19186">
        <f>TEST_DATA!B19186</f>
        <v/>
      </c>
      <c r="C19186">
        <f>TEST_DATA!C19186</f>
        <v/>
      </c>
      <c r="D19186">
        <f>TEST_DATA!D19186</f>
        <v/>
      </c>
      <c r="E19186">
        <f>TEST_DATA!E19186</f>
        <v/>
      </c>
    </row>
    <row r="19187">
      <c r="A19187">
        <f>TEST_DATA!A19187</f>
        <v/>
      </c>
      <c r="B19187">
        <f>TEST_DATA!B19187</f>
        <v/>
      </c>
      <c r="C19187">
        <f>TEST_DATA!C19187</f>
        <v/>
      </c>
      <c r="D19187">
        <f>TEST_DATA!D19187</f>
        <v/>
      </c>
      <c r="E19187">
        <f>TEST_DATA!E19187</f>
        <v/>
      </c>
    </row>
    <row r="19188">
      <c r="A19188">
        <f>TEST_DATA!A19188</f>
        <v/>
      </c>
      <c r="B19188">
        <f>TEST_DATA!B19188</f>
        <v/>
      </c>
      <c r="C19188">
        <f>TEST_DATA!C19188</f>
        <v/>
      </c>
      <c r="D19188">
        <f>TEST_DATA!D19188</f>
        <v/>
      </c>
      <c r="E19188">
        <f>TEST_DATA!E19188</f>
        <v/>
      </c>
    </row>
    <row r="19189">
      <c r="A19189">
        <f>TEST_DATA!A19189</f>
        <v/>
      </c>
      <c r="B19189">
        <f>TEST_DATA!B19189</f>
        <v/>
      </c>
      <c r="C19189">
        <f>TEST_DATA!C19189</f>
        <v/>
      </c>
      <c r="D19189">
        <f>TEST_DATA!D19189</f>
        <v/>
      </c>
      <c r="E19189">
        <f>TEST_DATA!E19189</f>
        <v/>
      </c>
    </row>
    <row r="19190">
      <c r="A19190">
        <f>TEST_DATA!A19190</f>
        <v/>
      </c>
      <c r="B19190">
        <f>TEST_DATA!B19190</f>
        <v/>
      </c>
      <c r="C19190">
        <f>TEST_DATA!C19190</f>
        <v/>
      </c>
      <c r="D19190">
        <f>TEST_DATA!D19190</f>
        <v/>
      </c>
      <c r="E19190">
        <f>TEST_DATA!E19190</f>
        <v/>
      </c>
    </row>
    <row r="19191">
      <c r="A19191">
        <f>TEST_DATA!A19191</f>
        <v/>
      </c>
      <c r="B19191">
        <f>TEST_DATA!B19191</f>
        <v/>
      </c>
      <c r="C19191">
        <f>TEST_DATA!C19191</f>
        <v/>
      </c>
      <c r="D19191">
        <f>TEST_DATA!D19191</f>
        <v/>
      </c>
      <c r="E19191">
        <f>TEST_DATA!E19191</f>
        <v/>
      </c>
    </row>
    <row r="19192">
      <c r="A19192">
        <f>TEST_DATA!A19192</f>
        <v/>
      </c>
      <c r="B19192">
        <f>TEST_DATA!B19192</f>
        <v/>
      </c>
      <c r="C19192">
        <f>TEST_DATA!C19192</f>
        <v/>
      </c>
      <c r="D19192">
        <f>TEST_DATA!D19192</f>
        <v/>
      </c>
      <c r="E19192">
        <f>TEST_DATA!E19192</f>
        <v/>
      </c>
    </row>
    <row r="19193">
      <c r="A19193">
        <f>TEST_DATA!A19193</f>
        <v/>
      </c>
      <c r="B19193">
        <f>TEST_DATA!B19193</f>
        <v/>
      </c>
      <c r="C19193">
        <f>TEST_DATA!C19193</f>
        <v/>
      </c>
      <c r="D19193">
        <f>TEST_DATA!D19193</f>
        <v/>
      </c>
      <c r="E19193">
        <f>TEST_DATA!E19193</f>
        <v/>
      </c>
    </row>
    <row r="19194">
      <c r="A19194">
        <f>TEST_DATA!A19194</f>
        <v/>
      </c>
      <c r="B19194">
        <f>TEST_DATA!B19194</f>
        <v/>
      </c>
      <c r="C19194">
        <f>TEST_DATA!C19194</f>
        <v/>
      </c>
      <c r="D19194">
        <f>TEST_DATA!D19194</f>
        <v/>
      </c>
      <c r="E19194">
        <f>TEST_DATA!E19194</f>
        <v/>
      </c>
    </row>
    <row r="19195">
      <c r="A19195">
        <f>TEST_DATA!A19195</f>
        <v/>
      </c>
      <c r="B19195">
        <f>TEST_DATA!B19195</f>
        <v/>
      </c>
      <c r="C19195">
        <f>TEST_DATA!C19195</f>
        <v/>
      </c>
      <c r="D19195">
        <f>TEST_DATA!D19195</f>
        <v/>
      </c>
      <c r="E19195">
        <f>TEST_DATA!E19195</f>
        <v/>
      </c>
    </row>
    <row r="19196">
      <c r="A19196">
        <f>TEST_DATA!A19196</f>
        <v/>
      </c>
      <c r="B19196">
        <f>TEST_DATA!B19196</f>
        <v/>
      </c>
      <c r="C19196">
        <f>TEST_DATA!C19196</f>
        <v/>
      </c>
      <c r="D19196">
        <f>TEST_DATA!D19196</f>
        <v/>
      </c>
      <c r="E19196">
        <f>TEST_DATA!E19196</f>
        <v/>
      </c>
    </row>
    <row r="19197">
      <c r="A19197">
        <f>TEST_DATA!A19197</f>
        <v/>
      </c>
      <c r="B19197">
        <f>TEST_DATA!B19197</f>
        <v/>
      </c>
      <c r="C19197">
        <f>TEST_DATA!C19197</f>
        <v/>
      </c>
      <c r="D19197">
        <f>TEST_DATA!D19197</f>
        <v/>
      </c>
      <c r="E19197">
        <f>TEST_DATA!E19197</f>
        <v/>
      </c>
    </row>
    <row r="19198">
      <c r="A19198">
        <f>TEST_DATA!A19198</f>
        <v/>
      </c>
      <c r="B19198">
        <f>TEST_DATA!B19198</f>
        <v/>
      </c>
      <c r="C19198">
        <f>TEST_DATA!C19198</f>
        <v/>
      </c>
      <c r="D19198">
        <f>TEST_DATA!D19198</f>
        <v/>
      </c>
      <c r="E19198">
        <f>TEST_DATA!E19198</f>
        <v/>
      </c>
    </row>
    <row r="19199">
      <c r="A19199">
        <f>TEST_DATA!A19199</f>
        <v/>
      </c>
      <c r="B19199">
        <f>TEST_DATA!B19199</f>
        <v/>
      </c>
      <c r="C19199">
        <f>TEST_DATA!C19199</f>
        <v/>
      </c>
      <c r="D19199">
        <f>TEST_DATA!D19199</f>
        <v/>
      </c>
      <c r="E19199">
        <f>TEST_DATA!E19199</f>
        <v/>
      </c>
    </row>
    <row r="19200">
      <c r="A19200">
        <f>TEST_DATA!A19200</f>
        <v/>
      </c>
      <c r="B19200">
        <f>TEST_DATA!B19200</f>
        <v/>
      </c>
      <c r="C19200">
        <f>TEST_DATA!C19200</f>
        <v/>
      </c>
      <c r="D19200">
        <f>TEST_DATA!D19200</f>
        <v/>
      </c>
      <c r="E19200">
        <f>TEST_DATA!E19200</f>
        <v/>
      </c>
    </row>
    <row r="19201">
      <c r="A19201">
        <f>TEST_DATA!A19201</f>
        <v/>
      </c>
      <c r="B19201">
        <f>TEST_DATA!B19201</f>
        <v/>
      </c>
      <c r="C19201">
        <f>TEST_DATA!C19201</f>
        <v/>
      </c>
      <c r="D19201">
        <f>TEST_DATA!D19201</f>
        <v/>
      </c>
      <c r="E19201">
        <f>TEST_DATA!E19201</f>
        <v/>
      </c>
    </row>
    <row r="19202">
      <c r="A19202">
        <f>TEST_DATA!A19202</f>
        <v/>
      </c>
      <c r="B19202">
        <f>TEST_DATA!B19202</f>
        <v/>
      </c>
      <c r="C19202">
        <f>TEST_DATA!C19202</f>
        <v/>
      </c>
      <c r="D19202">
        <f>TEST_DATA!D19202</f>
        <v/>
      </c>
      <c r="E19202">
        <f>TEST_DATA!E19202</f>
        <v/>
      </c>
    </row>
    <row r="19203">
      <c r="A19203">
        <f>TEST_DATA!A19203</f>
        <v/>
      </c>
      <c r="B19203">
        <f>TEST_DATA!B19203</f>
        <v/>
      </c>
      <c r="C19203">
        <f>TEST_DATA!C19203</f>
        <v/>
      </c>
      <c r="D19203">
        <f>TEST_DATA!D19203</f>
        <v/>
      </c>
      <c r="E19203">
        <f>TEST_DATA!E19203</f>
        <v/>
      </c>
    </row>
    <row r="19204">
      <c r="A19204">
        <f>TEST_DATA!A19204</f>
        <v/>
      </c>
      <c r="B19204">
        <f>TEST_DATA!B19204</f>
        <v/>
      </c>
      <c r="C19204">
        <f>TEST_DATA!C19204</f>
        <v/>
      </c>
      <c r="D19204">
        <f>TEST_DATA!D19204</f>
        <v/>
      </c>
      <c r="E19204">
        <f>TEST_DATA!E19204</f>
        <v/>
      </c>
    </row>
    <row r="19205">
      <c r="A19205">
        <f>TEST_DATA!A19205</f>
        <v/>
      </c>
      <c r="B19205">
        <f>TEST_DATA!B19205</f>
        <v/>
      </c>
      <c r="C19205">
        <f>TEST_DATA!C19205</f>
        <v/>
      </c>
      <c r="D19205">
        <f>TEST_DATA!D19205</f>
        <v/>
      </c>
      <c r="E19205">
        <f>TEST_DATA!E19205</f>
        <v/>
      </c>
    </row>
    <row r="19206">
      <c r="A19206">
        <f>TEST_DATA!A19206</f>
        <v/>
      </c>
      <c r="B19206">
        <f>TEST_DATA!B19206</f>
        <v/>
      </c>
      <c r="C19206">
        <f>TEST_DATA!C19206</f>
        <v/>
      </c>
      <c r="D19206">
        <f>TEST_DATA!D19206</f>
        <v/>
      </c>
      <c r="E19206">
        <f>TEST_DATA!E19206</f>
        <v/>
      </c>
    </row>
    <row r="19207">
      <c r="A19207">
        <f>TEST_DATA!A19207</f>
        <v/>
      </c>
      <c r="B19207">
        <f>TEST_DATA!B19207</f>
        <v/>
      </c>
      <c r="C19207">
        <f>TEST_DATA!C19207</f>
        <v/>
      </c>
      <c r="D19207">
        <f>TEST_DATA!D19207</f>
        <v/>
      </c>
      <c r="E19207">
        <f>TEST_DATA!E19207</f>
        <v/>
      </c>
    </row>
    <row r="19208">
      <c r="A19208">
        <f>TEST_DATA!A19208</f>
        <v/>
      </c>
      <c r="B19208">
        <f>TEST_DATA!B19208</f>
        <v/>
      </c>
      <c r="C19208">
        <f>TEST_DATA!C19208</f>
        <v/>
      </c>
      <c r="D19208">
        <f>TEST_DATA!D19208</f>
        <v/>
      </c>
      <c r="E19208">
        <f>TEST_DATA!E19208</f>
        <v/>
      </c>
    </row>
    <row r="19209">
      <c r="A19209">
        <f>TEST_DATA!A19209</f>
        <v/>
      </c>
      <c r="B19209">
        <f>TEST_DATA!B19209</f>
        <v/>
      </c>
      <c r="C19209">
        <f>TEST_DATA!C19209</f>
        <v/>
      </c>
      <c r="D19209">
        <f>TEST_DATA!D19209</f>
        <v/>
      </c>
      <c r="E19209">
        <f>TEST_DATA!E19209</f>
        <v/>
      </c>
    </row>
    <row r="19210">
      <c r="A19210">
        <f>TEST_DATA!A19210</f>
        <v/>
      </c>
      <c r="B19210">
        <f>TEST_DATA!B19210</f>
        <v/>
      </c>
      <c r="C19210">
        <f>TEST_DATA!C19210</f>
        <v/>
      </c>
      <c r="D19210">
        <f>TEST_DATA!D19210</f>
        <v/>
      </c>
      <c r="E19210">
        <f>TEST_DATA!E19210</f>
        <v/>
      </c>
    </row>
    <row r="19211">
      <c r="A19211">
        <f>TEST_DATA!A19211</f>
        <v/>
      </c>
      <c r="B19211">
        <f>TEST_DATA!B19211</f>
        <v/>
      </c>
      <c r="C19211">
        <f>TEST_DATA!C19211</f>
        <v/>
      </c>
      <c r="D19211">
        <f>TEST_DATA!D19211</f>
        <v/>
      </c>
      <c r="E19211">
        <f>TEST_DATA!E19211</f>
        <v/>
      </c>
    </row>
    <row r="19212">
      <c r="A19212">
        <f>TEST_DATA!A19212</f>
        <v/>
      </c>
      <c r="B19212">
        <f>TEST_DATA!B19212</f>
        <v/>
      </c>
      <c r="C19212">
        <f>TEST_DATA!C19212</f>
        <v/>
      </c>
      <c r="D19212">
        <f>TEST_DATA!D19212</f>
        <v/>
      </c>
      <c r="E19212">
        <f>TEST_DATA!E19212</f>
        <v/>
      </c>
    </row>
    <row r="19213">
      <c r="A19213">
        <f>TEST_DATA!A19213</f>
        <v/>
      </c>
      <c r="B19213">
        <f>TEST_DATA!B19213</f>
        <v/>
      </c>
      <c r="C19213">
        <f>TEST_DATA!C19213</f>
        <v/>
      </c>
      <c r="D19213">
        <f>TEST_DATA!D19213</f>
        <v/>
      </c>
      <c r="E19213">
        <f>TEST_DATA!E19213</f>
        <v/>
      </c>
    </row>
    <row r="19214">
      <c r="A19214">
        <f>TEST_DATA!A19214</f>
        <v/>
      </c>
      <c r="B19214">
        <f>TEST_DATA!B19214</f>
        <v/>
      </c>
      <c r="C19214">
        <f>TEST_DATA!C19214</f>
        <v/>
      </c>
      <c r="D19214">
        <f>TEST_DATA!D19214</f>
        <v/>
      </c>
      <c r="E19214">
        <f>TEST_DATA!E19214</f>
        <v/>
      </c>
    </row>
    <row r="19215">
      <c r="A19215">
        <f>TEST_DATA!A19215</f>
        <v/>
      </c>
      <c r="B19215">
        <f>TEST_DATA!B19215</f>
        <v/>
      </c>
      <c r="C19215">
        <f>TEST_DATA!C19215</f>
        <v/>
      </c>
      <c r="D19215">
        <f>TEST_DATA!D19215</f>
        <v/>
      </c>
      <c r="E19215">
        <f>TEST_DATA!E19215</f>
        <v/>
      </c>
    </row>
    <row r="19216">
      <c r="A19216">
        <f>TEST_DATA!A19216</f>
        <v/>
      </c>
      <c r="B19216">
        <f>TEST_DATA!B19216</f>
        <v/>
      </c>
      <c r="C19216">
        <f>TEST_DATA!C19216</f>
        <v/>
      </c>
      <c r="D19216">
        <f>TEST_DATA!D19216</f>
        <v/>
      </c>
      <c r="E19216">
        <f>TEST_DATA!E19216</f>
        <v/>
      </c>
    </row>
    <row r="19217">
      <c r="A19217">
        <f>TEST_DATA!A19217</f>
        <v/>
      </c>
      <c r="B19217">
        <f>TEST_DATA!B19217</f>
        <v/>
      </c>
      <c r="C19217">
        <f>TEST_DATA!C19217</f>
        <v/>
      </c>
      <c r="D19217">
        <f>TEST_DATA!D19217</f>
        <v/>
      </c>
      <c r="E19217">
        <f>TEST_DATA!E19217</f>
        <v/>
      </c>
    </row>
    <row r="19218">
      <c r="A19218">
        <f>TEST_DATA!A19218</f>
        <v/>
      </c>
      <c r="B19218">
        <f>TEST_DATA!B19218</f>
        <v/>
      </c>
      <c r="C19218">
        <f>TEST_DATA!C19218</f>
        <v/>
      </c>
      <c r="D19218">
        <f>TEST_DATA!D19218</f>
        <v/>
      </c>
      <c r="E19218">
        <f>TEST_DATA!E19218</f>
        <v/>
      </c>
    </row>
    <row r="19219">
      <c r="A19219">
        <f>TEST_DATA!A19219</f>
        <v/>
      </c>
      <c r="B19219">
        <f>TEST_DATA!B19219</f>
        <v/>
      </c>
      <c r="C19219">
        <f>TEST_DATA!C19219</f>
        <v/>
      </c>
      <c r="D19219">
        <f>TEST_DATA!D19219</f>
        <v/>
      </c>
      <c r="E19219">
        <f>TEST_DATA!E19219</f>
        <v/>
      </c>
    </row>
    <row r="19220">
      <c r="A19220">
        <f>TEST_DATA!A19220</f>
        <v/>
      </c>
      <c r="B19220">
        <f>TEST_DATA!B19220</f>
        <v/>
      </c>
      <c r="C19220">
        <f>TEST_DATA!C19220</f>
        <v/>
      </c>
      <c r="D19220">
        <f>TEST_DATA!D19220</f>
        <v/>
      </c>
      <c r="E19220">
        <f>TEST_DATA!E19220</f>
        <v/>
      </c>
    </row>
    <row r="19221">
      <c r="A19221">
        <f>TEST_DATA!A19221</f>
        <v/>
      </c>
      <c r="B19221">
        <f>TEST_DATA!B19221</f>
        <v/>
      </c>
      <c r="C19221">
        <f>TEST_DATA!C19221</f>
        <v/>
      </c>
      <c r="D19221">
        <f>TEST_DATA!D19221</f>
        <v/>
      </c>
      <c r="E19221">
        <f>TEST_DATA!E19221</f>
        <v/>
      </c>
    </row>
    <row r="19222">
      <c r="A19222">
        <f>TEST_DATA!A19222</f>
        <v/>
      </c>
      <c r="B19222">
        <f>TEST_DATA!B19222</f>
        <v/>
      </c>
      <c r="C19222">
        <f>TEST_DATA!C19222</f>
        <v/>
      </c>
      <c r="D19222">
        <f>TEST_DATA!D19222</f>
        <v/>
      </c>
      <c r="E19222">
        <f>TEST_DATA!E19222</f>
        <v/>
      </c>
    </row>
    <row r="19223">
      <c r="A19223">
        <f>TEST_DATA!A19223</f>
        <v/>
      </c>
      <c r="B19223">
        <f>TEST_DATA!B19223</f>
        <v/>
      </c>
      <c r="C19223">
        <f>TEST_DATA!C19223</f>
        <v/>
      </c>
      <c r="D19223">
        <f>TEST_DATA!D19223</f>
        <v/>
      </c>
      <c r="E19223">
        <f>TEST_DATA!E19223</f>
        <v/>
      </c>
    </row>
    <row r="19224">
      <c r="A19224">
        <f>TEST_DATA!A19224</f>
        <v/>
      </c>
      <c r="B19224">
        <f>TEST_DATA!B19224</f>
        <v/>
      </c>
      <c r="C19224">
        <f>TEST_DATA!C19224</f>
        <v/>
      </c>
      <c r="D19224">
        <f>TEST_DATA!D19224</f>
        <v/>
      </c>
      <c r="E19224">
        <f>TEST_DATA!E19224</f>
        <v/>
      </c>
    </row>
    <row r="19225">
      <c r="A19225">
        <f>TEST_DATA!A19225</f>
        <v/>
      </c>
      <c r="B19225">
        <f>TEST_DATA!B19225</f>
        <v/>
      </c>
      <c r="C19225">
        <f>TEST_DATA!C19225</f>
        <v/>
      </c>
      <c r="D19225">
        <f>TEST_DATA!D19225</f>
        <v/>
      </c>
      <c r="E19225">
        <f>TEST_DATA!E19225</f>
        <v/>
      </c>
    </row>
    <row r="19226">
      <c r="A19226">
        <f>TEST_DATA!A19226</f>
        <v/>
      </c>
      <c r="B19226">
        <f>TEST_DATA!B19226</f>
        <v/>
      </c>
      <c r="C19226">
        <f>TEST_DATA!C19226</f>
        <v/>
      </c>
      <c r="D19226">
        <f>TEST_DATA!D19226</f>
        <v/>
      </c>
      <c r="E19226">
        <f>TEST_DATA!E19226</f>
        <v/>
      </c>
    </row>
    <row r="19227">
      <c r="A19227">
        <f>TEST_DATA!A19227</f>
        <v/>
      </c>
      <c r="B19227">
        <f>TEST_DATA!B19227</f>
        <v/>
      </c>
      <c r="C19227">
        <f>TEST_DATA!C19227</f>
        <v/>
      </c>
      <c r="D19227">
        <f>TEST_DATA!D19227</f>
        <v/>
      </c>
      <c r="E19227">
        <f>TEST_DATA!E19227</f>
        <v/>
      </c>
    </row>
    <row r="19228">
      <c r="A19228">
        <f>TEST_DATA!A19228</f>
        <v/>
      </c>
      <c r="B19228">
        <f>TEST_DATA!B19228</f>
        <v/>
      </c>
      <c r="C19228">
        <f>TEST_DATA!C19228</f>
        <v/>
      </c>
      <c r="D19228">
        <f>TEST_DATA!D19228</f>
        <v/>
      </c>
      <c r="E19228">
        <f>TEST_DATA!E19228</f>
        <v/>
      </c>
    </row>
    <row r="19229">
      <c r="A19229">
        <f>TEST_DATA!A19229</f>
        <v/>
      </c>
      <c r="B19229">
        <f>TEST_DATA!B19229</f>
        <v/>
      </c>
      <c r="C19229">
        <f>TEST_DATA!C19229</f>
        <v/>
      </c>
      <c r="D19229">
        <f>TEST_DATA!D19229</f>
        <v/>
      </c>
      <c r="E19229">
        <f>TEST_DATA!E19229</f>
        <v/>
      </c>
    </row>
    <row r="19230">
      <c r="A19230">
        <f>TEST_DATA!A19230</f>
        <v/>
      </c>
      <c r="B19230">
        <f>TEST_DATA!B19230</f>
        <v/>
      </c>
      <c r="C19230">
        <f>TEST_DATA!C19230</f>
        <v/>
      </c>
      <c r="D19230">
        <f>TEST_DATA!D19230</f>
        <v/>
      </c>
      <c r="E19230">
        <f>TEST_DATA!E19230</f>
        <v/>
      </c>
    </row>
    <row r="19231">
      <c r="A19231">
        <f>TEST_DATA!A19231</f>
        <v/>
      </c>
      <c r="B19231">
        <f>TEST_DATA!B19231</f>
        <v/>
      </c>
      <c r="C19231">
        <f>TEST_DATA!C19231</f>
        <v/>
      </c>
      <c r="D19231">
        <f>TEST_DATA!D19231</f>
        <v/>
      </c>
      <c r="E19231">
        <f>TEST_DATA!E19231</f>
        <v/>
      </c>
    </row>
    <row r="19232">
      <c r="A19232">
        <f>TEST_DATA!A19232</f>
        <v/>
      </c>
      <c r="B19232">
        <f>TEST_DATA!B19232</f>
        <v/>
      </c>
      <c r="C19232">
        <f>TEST_DATA!C19232</f>
        <v/>
      </c>
      <c r="D19232">
        <f>TEST_DATA!D19232</f>
        <v/>
      </c>
      <c r="E19232">
        <f>TEST_DATA!E19232</f>
        <v/>
      </c>
    </row>
    <row r="19233">
      <c r="A19233">
        <f>TEST_DATA!A19233</f>
        <v/>
      </c>
      <c r="B19233">
        <f>TEST_DATA!B19233</f>
        <v/>
      </c>
      <c r="C19233">
        <f>TEST_DATA!C19233</f>
        <v/>
      </c>
      <c r="D19233">
        <f>TEST_DATA!D19233</f>
        <v/>
      </c>
      <c r="E19233">
        <f>TEST_DATA!E19233</f>
        <v/>
      </c>
    </row>
    <row r="19234">
      <c r="A19234">
        <f>TEST_DATA!A19234</f>
        <v/>
      </c>
      <c r="B19234">
        <f>TEST_DATA!B19234</f>
        <v/>
      </c>
      <c r="C19234">
        <f>TEST_DATA!C19234</f>
        <v/>
      </c>
      <c r="D19234">
        <f>TEST_DATA!D19234</f>
        <v/>
      </c>
      <c r="E19234">
        <f>TEST_DATA!E19234</f>
        <v/>
      </c>
    </row>
    <row r="19235">
      <c r="A19235">
        <f>TEST_DATA!A19235</f>
        <v/>
      </c>
      <c r="B19235">
        <f>TEST_DATA!B19235</f>
        <v/>
      </c>
      <c r="C19235">
        <f>TEST_DATA!C19235</f>
        <v/>
      </c>
      <c r="D19235">
        <f>TEST_DATA!D19235</f>
        <v/>
      </c>
      <c r="E19235">
        <f>TEST_DATA!E19235</f>
        <v/>
      </c>
    </row>
    <row r="19236">
      <c r="A19236">
        <f>TEST_DATA!A19236</f>
        <v/>
      </c>
      <c r="B19236">
        <f>TEST_DATA!B19236</f>
        <v/>
      </c>
      <c r="C19236">
        <f>TEST_DATA!C19236</f>
        <v/>
      </c>
      <c r="D19236">
        <f>TEST_DATA!D19236</f>
        <v/>
      </c>
      <c r="E19236">
        <f>TEST_DATA!E19236</f>
        <v/>
      </c>
    </row>
    <row r="19237">
      <c r="A19237">
        <f>TEST_DATA!A19237</f>
        <v/>
      </c>
      <c r="B19237">
        <f>TEST_DATA!B19237</f>
        <v/>
      </c>
      <c r="C19237">
        <f>TEST_DATA!C19237</f>
        <v/>
      </c>
      <c r="D19237">
        <f>TEST_DATA!D19237</f>
        <v/>
      </c>
      <c r="E19237">
        <f>TEST_DATA!E19237</f>
        <v/>
      </c>
    </row>
    <row r="19238">
      <c r="A19238">
        <f>TEST_DATA!A19238</f>
        <v/>
      </c>
      <c r="B19238">
        <f>TEST_DATA!B19238</f>
        <v/>
      </c>
      <c r="C19238">
        <f>TEST_DATA!C19238</f>
        <v/>
      </c>
      <c r="D19238">
        <f>TEST_DATA!D19238</f>
        <v/>
      </c>
      <c r="E19238">
        <f>TEST_DATA!E19238</f>
        <v/>
      </c>
    </row>
    <row r="19239">
      <c r="A19239">
        <f>TEST_DATA!A19239</f>
        <v/>
      </c>
      <c r="B19239">
        <f>TEST_DATA!B19239</f>
        <v/>
      </c>
      <c r="C19239">
        <f>TEST_DATA!C19239</f>
        <v/>
      </c>
      <c r="D19239">
        <f>TEST_DATA!D19239</f>
        <v/>
      </c>
      <c r="E19239">
        <f>TEST_DATA!E19239</f>
        <v/>
      </c>
    </row>
    <row r="19240">
      <c r="A19240">
        <f>TEST_DATA!A19240</f>
        <v/>
      </c>
      <c r="B19240">
        <f>TEST_DATA!B19240</f>
        <v/>
      </c>
      <c r="C19240">
        <f>TEST_DATA!C19240</f>
        <v/>
      </c>
      <c r="D19240">
        <f>TEST_DATA!D19240</f>
        <v/>
      </c>
      <c r="E19240">
        <f>TEST_DATA!E19240</f>
        <v/>
      </c>
    </row>
    <row r="19241">
      <c r="A19241">
        <f>TEST_DATA!A19241</f>
        <v/>
      </c>
      <c r="B19241">
        <f>TEST_DATA!B19241</f>
        <v/>
      </c>
      <c r="C19241">
        <f>TEST_DATA!C19241</f>
        <v/>
      </c>
      <c r="D19241">
        <f>TEST_DATA!D19241</f>
        <v/>
      </c>
      <c r="E19241">
        <f>TEST_DATA!E19241</f>
        <v/>
      </c>
    </row>
    <row r="19242">
      <c r="A19242">
        <f>TEST_DATA!A19242</f>
        <v/>
      </c>
      <c r="B19242">
        <f>TEST_DATA!B19242</f>
        <v/>
      </c>
      <c r="C19242">
        <f>TEST_DATA!C19242</f>
        <v/>
      </c>
      <c r="D19242">
        <f>TEST_DATA!D19242</f>
        <v/>
      </c>
      <c r="E19242">
        <f>TEST_DATA!E19242</f>
        <v/>
      </c>
    </row>
    <row r="19243">
      <c r="A19243">
        <f>TEST_DATA!A19243</f>
        <v/>
      </c>
      <c r="B19243">
        <f>TEST_DATA!B19243</f>
        <v/>
      </c>
      <c r="C19243">
        <f>TEST_DATA!C19243</f>
        <v/>
      </c>
      <c r="D19243">
        <f>TEST_DATA!D19243</f>
        <v/>
      </c>
      <c r="E19243">
        <f>TEST_DATA!E19243</f>
        <v/>
      </c>
    </row>
    <row r="19244">
      <c r="A19244">
        <f>TEST_DATA!A19244</f>
        <v/>
      </c>
      <c r="B19244">
        <f>TEST_DATA!B19244</f>
        <v/>
      </c>
      <c r="C19244">
        <f>TEST_DATA!C19244</f>
        <v/>
      </c>
      <c r="D19244">
        <f>TEST_DATA!D19244</f>
        <v/>
      </c>
      <c r="E19244">
        <f>TEST_DATA!E19244</f>
        <v/>
      </c>
    </row>
    <row r="19245">
      <c r="A19245">
        <f>TEST_DATA!A19245</f>
        <v/>
      </c>
      <c r="B19245">
        <f>TEST_DATA!B19245</f>
        <v/>
      </c>
      <c r="C19245">
        <f>TEST_DATA!C19245</f>
        <v/>
      </c>
      <c r="D19245">
        <f>TEST_DATA!D19245</f>
        <v/>
      </c>
      <c r="E19245">
        <f>TEST_DATA!E19245</f>
        <v/>
      </c>
    </row>
    <row r="19246">
      <c r="A19246">
        <f>TEST_DATA!A19246</f>
        <v/>
      </c>
      <c r="B19246">
        <f>TEST_DATA!B19246</f>
        <v/>
      </c>
      <c r="C19246">
        <f>TEST_DATA!C19246</f>
        <v/>
      </c>
      <c r="D19246">
        <f>TEST_DATA!D19246</f>
        <v/>
      </c>
      <c r="E19246">
        <f>TEST_DATA!E19246</f>
        <v/>
      </c>
    </row>
    <row r="19247">
      <c r="A19247">
        <f>TEST_DATA!A19247</f>
        <v/>
      </c>
      <c r="B19247">
        <f>TEST_DATA!B19247</f>
        <v/>
      </c>
      <c r="C19247">
        <f>TEST_DATA!C19247</f>
        <v/>
      </c>
      <c r="D19247">
        <f>TEST_DATA!D19247</f>
        <v/>
      </c>
      <c r="E19247">
        <f>TEST_DATA!E19247</f>
        <v/>
      </c>
    </row>
    <row r="19248">
      <c r="A19248">
        <f>TEST_DATA!A19248</f>
        <v/>
      </c>
      <c r="B19248">
        <f>TEST_DATA!B19248</f>
        <v/>
      </c>
      <c r="C19248">
        <f>TEST_DATA!C19248</f>
        <v/>
      </c>
      <c r="D19248">
        <f>TEST_DATA!D19248</f>
        <v/>
      </c>
      <c r="E19248">
        <f>TEST_DATA!E19248</f>
        <v/>
      </c>
    </row>
    <row r="19249">
      <c r="A19249">
        <f>TEST_DATA!A19249</f>
        <v/>
      </c>
      <c r="B19249">
        <f>TEST_DATA!B19249</f>
        <v/>
      </c>
      <c r="C19249">
        <f>TEST_DATA!C19249</f>
        <v/>
      </c>
      <c r="D19249">
        <f>TEST_DATA!D19249</f>
        <v/>
      </c>
      <c r="E19249">
        <f>TEST_DATA!E19249</f>
        <v/>
      </c>
    </row>
    <row r="19250">
      <c r="A19250">
        <f>TEST_DATA!A19250</f>
        <v/>
      </c>
      <c r="B19250">
        <f>TEST_DATA!B19250</f>
        <v/>
      </c>
      <c r="C19250">
        <f>TEST_DATA!C19250</f>
        <v/>
      </c>
      <c r="D19250">
        <f>TEST_DATA!D19250</f>
        <v/>
      </c>
      <c r="E19250">
        <f>TEST_DATA!E19250</f>
        <v/>
      </c>
    </row>
    <row r="19251">
      <c r="A19251">
        <f>TEST_DATA!A19251</f>
        <v/>
      </c>
      <c r="B19251">
        <f>TEST_DATA!B19251</f>
        <v/>
      </c>
      <c r="C19251">
        <f>TEST_DATA!C19251</f>
        <v/>
      </c>
      <c r="D19251">
        <f>TEST_DATA!D19251</f>
        <v/>
      </c>
      <c r="E19251">
        <f>TEST_DATA!E19251</f>
        <v/>
      </c>
    </row>
    <row r="19252">
      <c r="A19252">
        <f>TEST_DATA!A19252</f>
        <v/>
      </c>
      <c r="B19252">
        <f>TEST_DATA!B19252</f>
        <v/>
      </c>
      <c r="C19252">
        <f>TEST_DATA!C19252</f>
        <v/>
      </c>
      <c r="D19252">
        <f>TEST_DATA!D19252</f>
        <v/>
      </c>
      <c r="E19252">
        <f>TEST_DATA!E19252</f>
        <v/>
      </c>
    </row>
    <row r="19253">
      <c r="A19253">
        <f>TEST_DATA!A19253</f>
        <v/>
      </c>
      <c r="B19253">
        <f>TEST_DATA!B19253</f>
        <v/>
      </c>
      <c r="C19253">
        <f>TEST_DATA!C19253</f>
        <v/>
      </c>
      <c r="D19253">
        <f>TEST_DATA!D19253</f>
        <v/>
      </c>
      <c r="E19253">
        <f>TEST_DATA!E19253</f>
        <v/>
      </c>
    </row>
    <row r="19254">
      <c r="A19254">
        <f>TEST_DATA!A19254</f>
        <v/>
      </c>
      <c r="B19254">
        <f>TEST_DATA!B19254</f>
        <v/>
      </c>
      <c r="C19254">
        <f>TEST_DATA!C19254</f>
        <v/>
      </c>
      <c r="D19254">
        <f>TEST_DATA!D19254</f>
        <v/>
      </c>
      <c r="E19254">
        <f>TEST_DATA!E19254</f>
        <v/>
      </c>
    </row>
    <row r="19255">
      <c r="A19255">
        <f>TEST_DATA!A19255</f>
        <v/>
      </c>
      <c r="B19255">
        <f>TEST_DATA!B19255</f>
        <v/>
      </c>
      <c r="C19255">
        <f>TEST_DATA!C19255</f>
        <v/>
      </c>
      <c r="D19255">
        <f>TEST_DATA!D19255</f>
        <v/>
      </c>
      <c r="E19255">
        <f>TEST_DATA!E19255</f>
        <v/>
      </c>
    </row>
    <row r="19256">
      <c r="A19256">
        <f>TEST_DATA!A19256</f>
        <v/>
      </c>
      <c r="B19256">
        <f>TEST_DATA!B19256</f>
        <v/>
      </c>
      <c r="C19256">
        <f>TEST_DATA!C19256</f>
        <v/>
      </c>
      <c r="D19256">
        <f>TEST_DATA!D19256</f>
        <v/>
      </c>
      <c r="E19256">
        <f>TEST_DATA!E19256</f>
        <v/>
      </c>
    </row>
    <row r="19257">
      <c r="A19257">
        <f>TEST_DATA!A19257</f>
        <v/>
      </c>
      <c r="B19257">
        <f>TEST_DATA!B19257</f>
        <v/>
      </c>
      <c r="C19257">
        <f>TEST_DATA!C19257</f>
        <v/>
      </c>
      <c r="D19257">
        <f>TEST_DATA!D19257</f>
        <v/>
      </c>
      <c r="E19257">
        <f>TEST_DATA!E19257</f>
        <v/>
      </c>
    </row>
    <row r="19258">
      <c r="A19258">
        <f>TEST_DATA!A19258</f>
        <v/>
      </c>
      <c r="B19258">
        <f>TEST_DATA!B19258</f>
        <v/>
      </c>
      <c r="C19258">
        <f>TEST_DATA!C19258</f>
        <v/>
      </c>
      <c r="D19258">
        <f>TEST_DATA!D19258</f>
        <v/>
      </c>
      <c r="E19258">
        <f>TEST_DATA!E19258</f>
        <v/>
      </c>
    </row>
    <row r="19259">
      <c r="A19259">
        <f>TEST_DATA!A19259</f>
        <v/>
      </c>
      <c r="B19259">
        <f>TEST_DATA!B19259</f>
        <v/>
      </c>
      <c r="C19259">
        <f>TEST_DATA!C19259</f>
        <v/>
      </c>
      <c r="D19259">
        <f>TEST_DATA!D19259</f>
        <v/>
      </c>
      <c r="E19259">
        <f>TEST_DATA!E19259</f>
        <v/>
      </c>
    </row>
    <row r="19260">
      <c r="A19260">
        <f>TEST_DATA!A19260</f>
        <v/>
      </c>
      <c r="B19260">
        <f>TEST_DATA!B19260</f>
        <v/>
      </c>
      <c r="C19260">
        <f>TEST_DATA!C19260</f>
        <v/>
      </c>
      <c r="D19260">
        <f>TEST_DATA!D19260</f>
        <v/>
      </c>
      <c r="E19260">
        <f>TEST_DATA!E19260</f>
        <v/>
      </c>
    </row>
    <row r="19261">
      <c r="A19261">
        <f>TEST_DATA!A19261</f>
        <v/>
      </c>
      <c r="B19261">
        <f>TEST_DATA!B19261</f>
        <v/>
      </c>
      <c r="C19261">
        <f>TEST_DATA!C19261</f>
        <v/>
      </c>
      <c r="D19261">
        <f>TEST_DATA!D19261</f>
        <v/>
      </c>
      <c r="E19261">
        <f>TEST_DATA!E19261</f>
        <v/>
      </c>
    </row>
    <row r="19262">
      <c r="A19262">
        <f>TEST_DATA!A19262</f>
        <v/>
      </c>
      <c r="B19262">
        <f>TEST_DATA!B19262</f>
        <v/>
      </c>
      <c r="C19262">
        <f>TEST_DATA!C19262</f>
        <v/>
      </c>
      <c r="D19262">
        <f>TEST_DATA!D19262</f>
        <v/>
      </c>
      <c r="E19262">
        <f>TEST_DATA!E19262</f>
        <v/>
      </c>
    </row>
    <row r="19263">
      <c r="A19263">
        <f>TEST_DATA!A19263</f>
        <v/>
      </c>
      <c r="B19263">
        <f>TEST_DATA!B19263</f>
        <v/>
      </c>
      <c r="C19263">
        <f>TEST_DATA!C19263</f>
        <v/>
      </c>
      <c r="D19263">
        <f>TEST_DATA!D19263</f>
        <v/>
      </c>
      <c r="E19263">
        <f>TEST_DATA!E19263</f>
        <v/>
      </c>
    </row>
    <row r="19264">
      <c r="A19264">
        <f>TEST_DATA!A19264</f>
        <v/>
      </c>
      <c r="B19264">
        <f>TEST_DATA!B19264</f>
        <v/>
      </c>
      <c r="C19264">
        <f>TEST_DATA!C19264</f>
        <v/>
      </c>
      <c r="D19264">
        <f>TEST_DATA!D19264</f>
        <v/>
      </c>
      <c r="E19264">
        <f>TEST_DATA!E19264</f>
        <v/>
      </c>
    </row>
    <row r="19265">
      <c r="A19265">
        <f>TEST_DATA!A19265</f>
        <v/>
      </c>
      <c r="B19265">
        <f>TEST_DATA!B19265</f>
        <v/>
      </c>
      <c r="C19265">
        <f>TEST_DATA!C19265</f>
        <v/>
      </c>
      <c r="D19265">
        <f>TEST_DATA!D19265</f>
        <v/>
      </c>
      <c r="E19265">
        <f>TEST_DATA!E19265</f>
        <v/>
      </c>
    </row>
    <row r="19266">
      <c r="A19266">
        <f>TEST_DATA!A19266</f>
        <v/>
      </c>
      <c r="B19266">
        <f>TEST_DATA!B19266</f>
        <v/>
      </c>
      <c r="C19266">
        <f>TEST_DATA!C19266</f>
        <v/>
      </c>
      <c r="D19266">
        <f>TEST_DATA!D19266</f>
        <v/>
      </c>
      <c r="E19266">
        <f>TEST_DATA!E19266</f>
        <v/>
      </c>
    </row>
    <row r="19267">
      <c r="A19267">
        <f>TEST_DATA!A19267</f>
        <v/>
      </c>
      <c r="B19267">
        <f>TEST_DATA!B19267</f>
        <v/>
      </c>
      <c r="C19267">
        <f>TEST_DATA!C19267</f>
        <v/>
      </c>
      <c r="D19267">
        <f>TEST_DATA!D19267</f>
        <v/>
      </c>
      <c r="E19267">
        <f>TEST_DATA!E19267</f>
        <v/>
      </c>
    </row>
    <row r="19268">
      <c r="A19268">
        <f>TEST_DATA!A19268</f>
        <v/>
      </c>
      <c r="B19268">
        <f>TEST_DATA!B19268</f>
        <v/>
      </c>
      <c r="C19268">
        <f>TEST_DATA!C19268</f>
        <v/>
      </c>
      <c r="D19268">
        <f>TEST_DATA!D19268</f>
        <v/>
      </c>
      <c r="E19268">
        <f>TEST_DATA!E19268</f>
        <v/>
      </c>
    </row>
    <row r="19269">
      <c r="A19269">
        <f>TEST_DATA!A19269</f>
        <v/>
      </c>
      <c r="B19269">
        <f>TEST_DATA!B19269</f>
        <v/>
      </c>
      <c r="C19269">
        <f>TEST_DATA!C19269</f>
        <v/>
      </c>
      <c r="D19269">
        <f>TEST_DATA!D19269</f>
        <v/>
      </c>
      <c r="E19269">
        <f>TEST_DATA!E19269</f>
        <v/>
      </c>
    </row>
    <row r="19270">
      <c r="A19270">
        <f>TEST_DATA!A19270</f>
        <v/>
      </c>
      <c r="B19270">
        <f>TEST_DATA!B19270</f>
        <v/>
      </c>
      <c r="C19270">
        <f>TEST_DATA!C19270</f>
        <v/>
      </c>
      <c r="D19270">
        <f>TEST_DATA!D19270</f>
        <v/>
      </c>
      <c r="E19270">
        <f>TEST_DATA!E19270</f>
        <v/>
      </c>
    </row>
    <row r="19271">
      <c r="A19271">
        <f>TEST_DATA!A19271</f>
        <v/>
      </c>
      <c r="B19271">
        <f>TEST_DATA!B19271</f>
        <v/>
      </c>
      <c r="C19271">
        <f>TEST_DATA!C19271</f>
        <v/>
      </c>
      <c r="D19271">
        <f>TEST_DATA!D19271</f>
        <v/>
      </c>
      <c r="E19271">
        <f>TEST_DATA!E19271</f>
        <v/>
      </c>
    </row>
    <row r="19272">
      <c r="A19272">
        <f>TEST_DATA!A19272</f>
        <v/>
      </c>
      <c r="B19272">
        <f>TEST_DATA!B19272</f>
        <v/>
      </c>
      <c r="C19272">
        <f>TEST_DATA!C19272</f>
        <v/>
      </c>
      <c r="D19272">
        <f>TEST_DATA!D19272</f>
        <v/>
      </c>
      <c r="E19272">
        <f>TEST_DATA!E19272</f>
        <v/>
      </c>
    </row>
    <row r="19273">
      <c r="A19273">
        <f>TEST_DATA!A19273</f>
        <v/>
      </c>
      <c r="B19273">
        <f>TEST_DATA!B19273</f>
        <v/>
      </c>
      <c r="C19273">
        <f>TEST_DATA!C19273</f>
        <v/>
      </c>
      <c r="D19273">
        <f>TEST_DATA!D19273</f>
        <v/>
      </c>
      <c r="E19273">
        <f>TEST_DATA!E19273</f>
        <v/>
      </c>
    </row>
    <row r="19274">
      <c r="A19274">
        <f>TEST_DATA!A19274</f>
        <v/>
      </c>
      <c r="B19274">
        <f>TEST_DATA!B19274</f>
        <v/>
      </c>
      <c r="C19274">
        <f>TEST_DATA!C19274</f>
        <v/>
      </c>
      <c r="D19274">
        <f>TEST_DATA!D19274</f>
        <v/>
      </c>
      <c r="E19274">
        <f>TEST_DATA!E19274</f>
        <v/>
      </c>
    </row>
    <row r="19275">
      <c r="A19275">
        <f>TEST_DATA!A19275</f>
        <v/>
      </c>
      <c r="B19275">
        <f>TEST_DATA!B19275</f>
        <v/>
      </c>
      <c r="C19275">
        <f>TEST_DATA!C19275</f>
        <v/>
      </c>
      <c r="D19275">
        <f>TEST_DATA!D19275</f>
        <v/>
      </c>
      <c r="E19275">
        <f>TEST_DATA!E19275</f>
        <v/>
      </c>
    </row>
    <row r="19276">
      <c r="A19276">
        <f>TEST_DATA!A19276</f>
        <v/>
      </c>
      <c r="B19276">
        <f>TEST_DATA!B19276</f>
        <v/>
      </c>
      <c r="C19276">
        <f>TEST_DATA!C19276</f>
        <v/>
      </c>
      <c r="D19276">
        <f>TEST_DATA!D19276</f>
        <v/>
      </c>
      <c r="E19276">
        <f>TEST_DATA!E19276</f>
        <v/>
      </c>
    </row>
    <row r="19277">
      <c r="A19277">
        <f>TEST_DATA!A19277</f>
        <v/>
      </c>
      <c r="B19277">
        <f>TEST_DATA!B19277</f>
        <v/>
      </c>
      <c r="C19277">
        <f>TEST_DATA!C19277</f>
        <v/>
      </c>
      <c r="D19277">
        <f>TEST_DATA!D19277</f>
        <v/>
      </c>
      <c r="E19277">
        <f>TEST_DATA!E19277</f>
        <v/>
      </c>
    </row>
    <row r="19278">
      <c r="A19278">
        <f>TEST_DATA!A19278</f>
        <v/>
      </c>
      <c r="B19278">
        <f>TEST_DATA!B19278</f>
        <v/>
      </c>
      <c r="C19278">
        <f>TEST_DATA!C19278</f>
        <v/>
      </c>
      <c r="D19278">
        <f>TEST_DATA!D19278</f>
        <v/>
      </c>
      <c r="E19278">
        <f>TEST_DATA!E19278</f>
        <v/>
      </c>
    </row>
    <row r="19279">
      <c r="A19279">
        <f>TEST_DATA!A19279</f>
        <v/>
      </c>
      <c r="B19279">
        <f>TEST_DATA!B19279</f>
        <v/>
      </c>
      <c r="C19279">
        <f>TEST_DATA!C19279</f>
        <v/>
      </c>
      <c r="D19279">
        <f>TEST_DATA!D19279</f>
        <v/>
      </c>
      <c r="E19279">
        <f>TEST_DATA!E19279</f>
        <v/>
      </c>
    </row>
    <row r="19280">
      <c r="A19280">
        <f>TEST_DATA!A19280</f>
        <v/>
      </c>
      <c r="B19280">
        <f>TEST_DATA!B19280</f>
        <v/>
      </c>
      <c r="C19280">
        <f>TEST_DATA!C19280</f>
        <v/>
      </c>
      <c r="D19280">
        <f>TEST_DATA!D19280</f>
        <v/>
      </c>
      <c r="E19280">
        <f>TEST_DATA!E19280</f>
        <v/>
      </c>
    </row>
    <row r="19281">
      <c r="A19281">
        <f>TEST_DATA!A19281</f>
        <v/>
      </c>
      <c r="B19281">
        <f>TEST_DATA!B19281</f>
        <v/>
      </c>
      <c r="C19281">
        <f>TEST_DATA!C19281</f>
        <v/>
      </c>
      <c r="D19281">
        <f>TEST_DATA!D19281</f>
        <v/>
      </c>
      <c r="E19281">
        <f>TEST_DATA!E19281</f>
        <v/>
      </c>
    </row>
    <row r="19282">
      <c r="A19282">
        <f>TEST_DATA!A19282</f>
        <v/>
      </c>
      <c r="B19282">
        <f>TEST_DATA!B19282</f>
        <v/>
      </c>
      <c r="C19282">
        <f>TEST_DATA!C19282</f>
        <v/>
      </c>
      <c r="D19282">
        <f>TEST_DATA!D19282</f>
        <v/>
      </c>
      <c r="E19282">
        <f>TEST_DATA!E19282</f>
        <v/>
      </c>
    </row>
    <row r="19283">
      <c r="A19283">
        <f>TEST_DATA!A19283</f>
        <v/>
      </c>
      <c r="B19283">
        <f>TEST_DATA!B19283</f>
        <v/>
      </c>
      <c r="C19283">
        <f>TEST_DATA!C19283</f>
        <v/>
      </c>
      <c r="D19283">
        <f>TEST_DATA!D19283</f>
        <v/>
      </c>
      <c r="E19283">
        <f>TEST_DATA!E19283</f>
        <v/>
      </c>
    </row>
    <row r="19284">
      <c r="A19284">
        <f>TEST_DATA!A19284</f>
        <v/>
      </c>
      <c r="B19284">
        <f>TEST_DATA!B19284</f>
        <v/>
      </c>
      <c r="C19284">
        <f>TEST_DATA!C19284</f>
        <v/>
      </c>
      <c r="D19284">
        <f>TEST_DATA!D19284</f>
        <v/>
      </c>
      <c r="E19284">
        <f>TEST_DATA!E19284</f>
        <v/>
      </c>
    </row>
    <row r="19285">
      <c r="A19285">
        <f>TEST_DATA!A19285</f>
        <v/>
      </c>
      <c r="B19285">
        <f>TEST_DATA!B19285</f>
        <v/>
      </c>
      <c r="C19285">
        <f>TEST_DATA!C19285</f>
        <v/>
      </c>
      <c r="D19285">
        <f>TEST_DATA!D19285</f>
        <v/>
      </c>
      <c r="E19285">
        <f>TEST_DATA!E19285</f>
        <v/>
      </c>
    </row>
    <row r="19286">
      <c r="A19286">
        <f>TEST_DATA!A19286</f>
        <v/>
      </c>
      <c r="B19286">
        <f>TEST_DATA!B19286</f>
        <v/>
      </c>
      <c r="C19286">
        <f>TEST_DATA!C19286</f>
        <v/>
      </c>
      <c r="D19286">
        <f>TEST_DATA!D19286</f>
        <v/>
      </c>
      <c r="E19286">
        <f>TEST_DATA!E19286</f>
        <v/>
      </c>
    </row>
    <row r="19287">
      <c r="A19287">
        <f>TEST_DATA!A19287</f>
        <v/>
      </c>
      <c r="B19287">
        <f>TEST_DATA!B19287</f>
        <v/>
      </c>
      <c r="C19287">
        <f>TEST_DATA!C19287</f>
        <v/>
      </c>
      <c r="D19287">
        <f>TEST_DATA!D19287</f>
        <v/>
      </c>
      <c r="E19287">
        <f>TEST_DATA!E19287</f>
        <v/>
      </c>
    </row>
    <row r="19288">
      <c r="A19288">
        <f>TEST_DATA!A19288</f>
        <v/>
      </c>
      <c r="B19288">
        <f>TEST_DATA!B19288</f>
        <v/>
      </c>
      <c r="C19288">
        <f>TEST_DATA!C19288</f>
        <v/>
      </c>
      <c r="D19288">
        <f>TEST_DATA!D19288</f>
        <v/>
      </c>
      <c r="E19288">
        <f>TEST_DATA!E19288</f>
        <v/>
      </c>
    </row>
    <row r="19289">
      <c r="A19289">
        <f>TEST_DATA!A19289</f>
        <v/>
      </c>
      <c r="B19289">
        <f>TEST_DATA!B19289</f>
        <v/>
      </c>
      <c r="C19289">
        <f>TEST_DATA!C19289</f>
        <v/>
      </c>
      <c r="D19289">
        <f>TEST_DATA!D19289</f>
        <v/>
      </c>
      <c r="E19289">
        <f>TEST_DATA!E19289</f>
        <v/>
      </c>
    </row>
    <row r="19290">
      <c r="A19290">
        <f>TEST_DATA!A19290</f>
        <v/>
      </c>
      <c r="B19290">
        <f>TEST_DATA!B19290</f>
        <v/>
      </c>
      <c r="C19290">
        <f>TEST_DATA!C19290</f>
        <v/>
      </c>
      <c r="D19290">
        <f>TEST_DATA!D19290</f>
        <v/>
      </c>
      <c r="E19290">
        <f>TEST_DATA!E19290</f>
        <v/>
      </c>
    </row>
    <row r="19291">
      <c r="A19291">
        <f>TEST_DATA!A19291</f>
        <v/>
      </c>
      <c r="B19291">
        <f>TEST_DATA!B19291</f>
        <v/>
      </c>
      <c r="C19291">
        <f>TEST_DATA!C19291</f>
        <v/>
      </c>
      <c r="D19291">
        <f>TEST_DATA!D19291</f>
        <v/>
      </c>
      <c r="E19291">
        <f>TEST_DATA!E19291</f>
        <v/>
      </c>
    </row>
    <row r="19292">
      <c r="A19292">
        <f>TEST_DATA!A19292</f>
        <v/>
      </c>
      <c r="B19292">
        <f>TEST_DATA!B19292</f>
        <v/>
      </c>
      <c r="C19292">
        <f>TEST_DATA!C19292</f>
        <v/>
      </c>
      <c r="D19292">
        <f>TEST_DATA!D19292</f>
        <v/>
      </c>
      <c r="E19292">
        <f>TEST_DATA!E19292</f>
        <v/>
      </c>
    </row>
    <row r="19293">
      <c r="A19293">
        <f>TEST_DATA!A19293</f>
        <v/>
      </c>
      <c r="B19293">
        <f>TEST_DATA!B19293</f>
        <v/>
      </c>
      <c r="C19293">
        <f>TEST_DATA!C19293</f>
        <v/>
      </c>
      <c r="D19293">
        <f>TEST_DATA!D19293</f>
        <v/>
      </c>
      <c r="E19293">
        <f>TEST_DATA!E19293</f>
        <v/>
      </c>
    </row>
    <row r="19294">
      <c r="A19294">
        <f>TEST_DATA!A19294</f>
        <v/>
      </c>
      <c r="B19294">
        <f>TEST_DATA!B19294</f>
        <v/>
      </c>
      <c r="C19294">
        <f>TEST_DATA!C19294</f>
        <v/>
      </c>
      <c r="D19294">
        <f>TEST_DATA!D19294</f>
        <v/>
      </c>
      <c r="E19294">
        <f>TEST_DATA!E19294</f>
        <v/>
      </c>
    </row>
    <row r="19295">
      <c r="A19295">
        <f>TEST_DATA!A19295</f>
        <v/>
      </c>
      <c r="B19295">
        <f>TEST_DATA!B19295</f>
        <v/>
      </c>
      <c r="C19295">
        <f>TEST_DATA!C19295</f>
        <v/>
      </c>
      <c r="D19295">
        <f>TEST_DATA!D19295</f>
        <v/>
      </c>
      <c r="E19295">
        <f>TEST_DATA!E19295</f>
        <v/>
      </c>
    </row>
    <row r="19296">
      <c r="A19296">
        <f>TEST_DATA!A19296</f>
        <v/>
      </c>
      <c r="B19296">
        <f>TEST_DATA!B19296</f>
        <v/>
      </c>
      <c r="C19296">
        <f>TEST_DATA!C19296</f>
        <v/>
      </c>
      <c r="D19296">
        <f>TEST_DATA!D19296</f>
        <v/>
      </c>
      <c r="E19296">
        <f>TEST_DATA!E19296</f>
        <v/>
      </c>
    </row>
    <row r="19297">
      <c r="A19297">
        <f>TEST_DATA!A19297</f>
        <v/>
      </c>
      <c r="B19297">
        <f>TEST_DATA!B19297</f>
        <v/>
      </c>
      <c r="C19297">
        <f>TEST_DATA!C19297</f>
        <v/>
      </c>
      <c r="D19297">
        <f>TEST_DATA!D19297</f>
        <v/>
      </c>
      <c r="E19297">
        <f>TEST_DATA!E19297</f>
        <v/>
      </c>
    </row>
    <row r="19298">
      <c r="A19298">
        <f>TEST_DATA!A19298</f>
        <v/>
      </c>
      <c r="B19298">
        <f>TEST_DATA!B19298</f>
        <v/>
      </c>
      <c r="C19298">
        <f>TEST_DATA!C19298</f>
        <v/>
      </c>
      <c r="D19298">
        <f>TEST_DATA!D19298</f>
        <v/>
      </c>
      <c r="E19298">
        <f>TEST_DATA!E19298</f>
        <v/>
      </c>
    </row>
    <row r="19299">
      <c r="A19299">
        <f>TEST_DATA!A19299</f>
        <v/>
      </c>
      <c r="B19299">
        <f>TEST_DATA!B19299</f>
        <v/>
      </c>
      <c r="C19299">
        <f>TEST_DATA!C19299</f>
        <v/>
      </c>
      <c r="D19299">
        <f>TEST_DATA!D19299</f>
        <v/>
      </c>
      <c r="E19299">
        <f>TEST_DATA!E19299</f>
        <v/>
      </c>
    </row>
    <row r="19300">
      <c r="A19300">
        <f>TEST_DATA!A19300</f>
        <v/>
      </c>
      <c r="B19300">
        <f>TEST_DATA!B19300</f>
        <v/>
      </c>
      <c r="C19300">
        <f>TEST_DATA!C19300</f>
        <v/>
      </c>
      <c r="D19300">
        <f>TEST_DATA!D19300</f>
        <v/>
      </c>
      <c r="E19300">
        <f>TEST_DATA!E19300</f>
        <v/>
      </c>
    </row>
    <row r="19301">
      <c r="A19301">
        <f>TEST_DATA!A19301</f>
        <v/>
      </c>
      <c r="B19301">
        <f>TEST_DATA!B19301</f>
        <v/>
      </c>
      <c r="C19301">
        <f>TEST_DATA!C19301</f>
        <v/>
      </c>
      <c r="D19301">
        <f>TEST_DATA!D19301</f>
        <v/>
      </c>
      <c r="E19301">
        <f>TEST_DATA!E19301</f>
        <v/>
      </c>
    </row>
    <row r="19302">
      <c r="A19302">
        <f>TEST_DATA!A19302</f>
        <v/>
      </c>
      <c r="B19302">
        <f>TEST_DATA!B19302</f>
        <v/>
      </c>
      <c r="C19302">
        <f>TEST_DATA!C19302</f>
        <v/>
      </c>
      <c r="D19302">
        <f>TEST_DATA!D19302</f>
        <v/>
      </c>
      <c r="E19302">
        <f>TEST_DATA!E19302</f>
        <v/>
      </c>
    </row>
    <row r="19303">
      <c r="A19303">
        <f>TEST_DATA!A19303</f>
        <v/>
      </c>
      <c r="B19303">
        <f>TEST_DATA!B19303</f>
        <v/>
      </c>
      <c r="C19303">
        <f>TEST_DATA!C19303</f>
        <v/>
      </c>
      <c r="D19303">
        <f>TEST_DATA!D19303</f>
        <v/>
      </c>
      <c r="E19303">
        <f>TEST_DATA!E19303</f>
        <v/>
      </c>
    </row>
    <row r="19304">
      <c r="A19304">
        <f>TEST_DATA!A19304</f>
        <v/>
      </c>
      <c r="B19304">
        <f>TEST_DATA!B19304</f>
        <v/>
      </c>
      <c r="C19304">
        <f>TEST_DATA!C19304</f>
        <v/>
      </c>
      <c r="D19304">
        <f>TEST_DATA!D19304</f>
        <v/>
      </c>
      <c r="E19304">
        <f>TEST_DATA!E19304</f>
        <v/>
      </c>
    </row>
    <row r="19305">
      <c r="A19305">
        <f>TEST_DATA!A19305</f>
        <v/>
      </c>
      <c r="B19305">
        <f>TEST_DATA!B19305</f>
        <v/>
      </c>
      <c r="C19305">
        <f>TEST_DATA!C19305</f>
        <v/>
      </c>
      <c r="D19305">
        <f>TEST_DATA!D19305</f>
        <v/>
      </c>
      <c r="E19305">
        <f>TEST_DATA!E19305</f>
        <v/>
      </c>
    </row>
    <row r="19306">
      <c r="A19306">
        <f>TEST_DATA!A19306</f>
        <v/>
      </c>
      <c r="B19306">
        <f>TEST_DATA!B19306</f>
        <v/>
      </c>
      <c r="C19306">
        <f>TEST_DATA!C19306</f>
        <v/>
      </c>
      <c r="D19306">
        <f>TEST_DATA!D19306</f>
        <v/>
      </c>
      <c r="E19306">
        <f>TEST_DATA!E19306</f>
        <v/>
      </c>
    </row>
    <row r="19307">
      <c r="A19307">
        <f>TEST_DATA!A19307</f>
        <v/>
      </c>
      <c r="B19307">
        <f>TEST_DATA!B19307</f>
        <v/>
      </c>
      <c r="C19307">
        <f>TEST_DATA!C19307</f>
        <v/>
      </c>
      <c r="D19307">
        <f>TEST_DATA!D19307</f>
        <v/>
      </c>
      <c r="E19307">
        <f>TEST_DATA!E19307</f>
        <v/>
      </c>
    </row>
    <row r="19308">
      <c r="A19308">
        <f>TEST_DATA!A19308</f>
        <v/>
      </c>
      <c r="B19308">
        <f>TEST_DATA!B19308</f>
        <v/>
      </c>
      <c r="C19308">
        <f>TEST_DATA!C19308</f>
        <v/>
      </c>
      <c r="D19308">
        <f>TEST_DATA!D19308</f>
        <v/>
      </c>
      <c r="E19308">
        <f>TEST_DATA!E19308</f>
        <v/>
      </c>
    </row>
    <row r="19309">
      <c r="A19309">
        <f>TEST_DATA!A19309</f>
        <v/>
      </c>
      <c r="B19309">
        <f>TEST_DATA!B19309</f>
        <v/>
      </c>
      <c r="C19309">
        <f>TEST_DATA!C19309</f>
        <v/>
      </c>
      <c r="D19309">
        <f>TEST_DATA!D19309</f>
        <v/>
      </c>
      <c r="E19309">
        <f>TEST_DATA!E19309</f>
        <v/>
      </c>
    </row>
    <row r="19310">
      <c r="A19310">
        <f>TEST_DATA!A19310</f>
        <v/>
      </c>
      <c r="B19310">
        <f>TEST_DATA!B19310</f>
        <v/>
      </c>
      <c r="C19310">
        <f>TEST_DATA!C19310</f>
        <v/>
      </c>
      <c r="D19310">
        <f>TEST_DATA!D19310</f>
        <v/>
      </c>
      <c r="E19310">
        <f>TEST_DATA!E19310</f>
        <v/>
      </c>
    </row>
    <row r="19311">
      <c r="A19311">
        <f>TEST_DATA!A19311</f>
        <v/>
      </c>
      <c r="B19311">
        <f>TEST_DATA!B19311</f>
        <v/>
      </c>
      <c r="C19311">
        <f>TEST_DATA!C19311</f>
        <v/>
      </c>
      <c r="D19311">
        <f>TEST_DATA!D19311</f>
        <v/>
      </c>
      <c r="E19311">
        <f>TEST_DATA!E19311</f>
        <v/>
      </c>
    </row>
    <row r="19312">
      <c r="A19312">
        <f>TEST_DATA!A19312</f>
        <v/>
      </c>
      <c r="B19312">
        <f>TEST_DATA!B19312</f>
        <v/>
      </c>
      <c r="C19312">
        <f>TEST_DATA!C19312</f>
        <v/>
      </c>
      <c r="D19312">
        <f>TEST_DATA!D19312</f>
        <v/>
      </c>
      <c r="E19312">
        <f>TEST_DATA!E19312</f>
        <v/>
      </c>
    </row>
    <row r="19313">
      <c r="A19313">
        <f>TEST_DATA!A19313</f>
        <v/>
      </c>
      <c r="B19313">
        <f>TEST_DATA!B19313</f>
        <v/>
      </c>
      <c r="C19313">
        <f>TEST_DATA!C19313</f>
        <v/>
      </c>
      <c r="D19313">
        <f>TEST_DATA!D19313</f>
        <v/>
      </c>
      <c r="E19313">
        <f>TEST_DATA!E19313</f>
        <v/>
      </c>
    </row>
    <row r="19314">
      <c r="A19314">
        <f>TEST_DATA!A19314</f>
        <v/>
      </c>
      <c r="B19314">
        <f>TEST_DATA!B19314</f>
        <v/>
      </c>
      <c r="C19314">
        <f>TEST_DATA!C19314</f>
        <v/>
      </c>
      <c r="D19314">
        <f>TEST_DATA!D19314</f>
        <v/>
      </c>
      <c r="E19314">
        <f>TEST_DATA!E19314</f>
        <v/>
      </c>
    </row>
    <row r="19315">
      <c r="A19315">
        <f>TEST_DATA!A19315</f>
        <v/>
      </c>
      <c r="B19315">
        <f>TEST_DATA!B19315</f>
        <v/>
      </c>
      <c r="C19315">
        <f>TEST_DATA!C19315</f>
        <v/>
      </c>
      <c r="D19315">
        <f>TEST_DATA!D19315</f>
        <v/>
      </c>
      <c r="E19315">
        <f>TEST_DATA!E19315</f>
        <v/>
      </c>
    </row>
    <row r="19316">
      <c r="A19316">
        <f>TEST_DATA!A19316</f>
        <v/>
      </c>
      <c r="B19316">
        <f>TEST_DATA!B19316</f>
        <v/>
      </c>
      <c r="C19316">
        <f>TEST_DATA!C19316</f>
        <v/>
      </c>
      <c r="D19316">
        <f>TEST_DATA!D19316</f>
        <v/>
      </c>
      <c r="E19316">
        <f>TEST_DATA!E19316</f>
        <v/>
      </c>
    </row>
    <row r="19317">
      <c r="A19317">
        <f>TEST_DATA!A19317</f>
        <v/>
      </c>
      <c r="B19317">
        <f>TEST_DATA!B19317</f>
        <v/>
      </c>
      <c r="C19317">
        <f>TEST_DATA!C19317</f>
        <v/>
      </c>
      <c r="D19317">
        <f>TEST_DATA!D19317</f>
        <v/>
      </c>
      <c r="E19317">
        <f>TEST_DATA!E19317</f>
        <v/>
      </c>
    </row>
    <row r="19318">
      <c r="A19318">
        <f>TEST_DATA!A19318</f>
        <v/>
      </c>
      <c r="B19318">
        <f>TEST_DATA!B19318</f>
        <v/>
      </c>
      <c r="C19318">
        <f>TEST_DATA!C19318</f>
        <v/>
      </c>
      <c r="D19318">
        <f>TEST_DATA!D19318</f>
        <v/>
      </c>
      <c r="E19318">
        <f>TEST_DATA!E19318</f>
        <v/>
      </c>
    </row>
    <row r="19319">
      <c r="A19319">
        <f>TEST_DATA!A19319</f>
        <v/>
      </c>
      <c r="B19319">
        <f>TEST_DATA!B19319</f>
        <v/>
      </c>
      <c r="C19319">
        <f>TEST_DATA!C19319</f>
        <v/>
      </c>
      <c r="D19319">
        <f>TEST_DATA!D19319</f>
        <v/>
      </c>
      <c r="E19319">
        <f>TEST_DATA!E19319</f>
        <v/>
      </c>
    </row>
    <row r="19320">
      <c r="A19320">
        <f>TEST_DATA!A19320</f>
        <v/>
      </c>
      <c r="B19320">
        <f>TEST_DATA!B19320</f>
        <v/>
      </c>
      <c r="C19320">
        <f>TEST_DATA!C19320</f>
        <v/>
      </c>
      <c r="D19320">
        <f>TEST_DATA!D19320</f>
        <v/>
      </c>
      <c r="E19320">
        <f>TEST_DATA!E19320</f>
        <v/>
      </c>
    </row>
    <row r="19321">
      <c r="A19321">
        <f>TEST_DATA!A19321</f>
        <v/>
      </c>
      <c r="B19321">
        <f>TEST_DATA!B19321</f>
        <v/>
      </c>
      <c r="C19321">
        <f>TEST_DATA!C19321</f>
        <v/>
      </c>
      <c r="D19321">
        <f>TEST_DATA!D19321</f>
        <v/>
      </c>
      <c r="E19321">
        <f>TEST_DATA!E19321</f>
        <v/>
      </c>
    </row>
    <row r="19322">
      <c r="A19322">
        <f>TEST_DATA!A19322</f>
        <v/>
      </c>
      <c r="B19322">
        <f>TEST_DATA!B19322</f>
        <v/>
      </c>
      <c r="C19322">
        <f>TEST_DATA!C19322</f>
        <v/>
      </c>
      <c r="D19322">
        <f>TEST_DATA!D19322</f>
        <v/>
      </c>
      <c r="E19322">
        <f>TEST_DATA!E19322</f>
        <v/>
      </c>
    </row>
    <row r="19323">
      <c r="A19323">
        <f>TEST_DATA!A19323</f>
        <v/>
      </c>
      <c r="B19323">
        <f>TEST_DATA!B19323</f>
        <v/>
      </c>
      <c r="C19323">
        <f>TEST_DATA!C19323</f>
        <v/>
      </c>
      <c r="D19323">
        <f>TEST_DATA!D19323</f>
        <v/>
      </c>
      <c r="E19323">
        <f>TEST_DATA!E19323</f>
        <v/>
      </c>
    </row>
    <row r="19324">
      <c r="A19324">
        <f>TEST_DATA!A19324</f>
        <v/>
      </c>
      <c r="B19324">
        <f>TEST_DATA!B19324</f>
        <v/>
      </c>
      <c r="C19324">
        <f>TEST_DATA!C19324</f>
        <v/>
      </c>
      <c r="D19324">
        <f>TEST_DATA!D19324</f>
        <v/>
      </c>
      <c r="E19324">
        <f>TEST_DATA!E19324</f>
        <v/>
      </c>
    </row>
    <row r="19325">
      <c r="A19325">
        <f>TEST_DATA!A19325</f>
        <v/>
      </c>
      <c r="B19325">
        <f>TEST_DATA!B19325</f>
        <v/>
      </c>
      <c r="C19325">
        <f>TEST_DATA!C19325</f>
        <v/>
      </c>
      <c r="D19325">
        <f>TEST_DATA!D19325</f>
        <v/>
      </c>
      <c r="E19325">
        <f>TEST_DATA!E19325</f>
        <v/>
      </c>
    </row>
    <row r="19326">
      <c r="A19326">
        <f>TEST_DATA!A19326</f>
        <v/>
      </c>
      <c r="B19326">
        <f>TEST_DATA!B19326</f>
        <v/>
      </c>
      <c r="C19326">
        <f>TEST_DATA!C19326</f>
        <v/>
      </c>
      <c r="D19326">
        <f>TEST_DATA!D19326</f>
        <v/>
      </c>
      <c r="E19326">
        <f>TEST_DATA!E19326</f>
        <v/>
      </c>
    </row>
    <row r="19327">
      <c r="A19327">
        <f>TEST_DATA!A19327</f>
        <v/>
      </c>
      <c r="B19327">
        <f>TEST_DATA!B19327</f>
        <v/>
      </c>
      <c r="C19327">
        <f>TEST_DATA!C19327</f>
        <v/>
      </c>
      <c r="D19327">
        <f>TEST_DATA!D19327</f>
        <v/>
      </c>
      <c r="E19327">
        <f>TEST_DATA!E19327</f>
        <v/>
      </c>
    </row>
    <row r="19328">
      <c r="A19328">
        <f>TEST_DATA!A19328</f>
        <v/>
      </c>
      <c r="B19328">
        <f>TEST_DATA!B19328</f>
        <v/>
      </c>
      <c r="C19328">
        <f>TEST_DATA!C19328</f>
        <v/>
      </c>
      <c r="D19328">
        <f>TEST_DATA!D19328</f>
        <v/>
      </c>
      <c r="E19328">
        <f>TEST_DATA!E19328</f>
        <v/>
      </c>
    </row>
    <row r="19329">
      <c r="A19329">
        <f>TEST_DATA!A19329</f>
        <v/>
      </c>
      <c r="B19329">
        <f>TEST_DATA!B19329</f>
        <v/>
      </c>
      <c r="C19329">
        <f>TEST_DATA!C19329</f>
        <v/>
      </c>
      <c r="D19329">
        <f>TEST_DATA!D19329</f>
        <v/>
      </c>
      <c r="E19329">
        <f>TEST_DATA!E19329</f>
        <v/>
      </c>
    </row>
    <row r="19330">
      <c r="A19330">
        <f>TEST_DATA!A19330</f>
        <v/>
      </c>
      <c r="B19330">
        <f>TEST_DATA!B19330</f>
        <v/>
      </c>
      <c r="C19330">
        <f>TEST_DATA!C19330</f>
        <v/>
      </c>
      <c r="D19330">
        <f>TEST_DATA!D19330</f>
        <v/>
      </c>
      <c r="E19330">
        <f>TEST_DATA!E19330</f>
        <v/>
      </c>
    </row>
    <row r="19331">
      <c r="A19331">
        <f>TEST_DATA!A19331</f>
        <v/>
      </c>
      <c r="B19331">
        <f>TEST_DATA!B19331</f>
        <v/>
      </c>
      <c r="C19331">
        <f>TEST_DATA!C19331</f>
        <v/>
      </c>
      <c r="D19331">
        <f>TEST_DATA!D19331</f>
        <v/>
      </c>
      <c r="E19331">
        <f>TEST_DATA!E19331</f>
        <v/>
      </c>
    </row>
    <row r="19332">
      <c r="A19332">
        <f>TEST_DATA!A19332</f>
        <v/>
      </c>
      <c r="B19332">
        <f>TEST_DATA!B19332</f>
        <v/>
      </c>
      <c r="C19332">
        <f>TEST_DATA!C19332</f>
        <v/>
      </c>
      <c r="D19332">
        <f>TEST_DATA!D19332</f>
        <v/>
      </c>
      <c r="E19332">
        <f>TEST_DATA!E19332</f>
        <v/>
      </c>
    </row>
    <row r="19333">
      <c r="A19333">
        <f>TEST_DATA!A19333</f>
        <v/>
      </c>
      <c r="B19333">
        <f>TEST_DATA!B19333</f>
        <v/>
      </c>
      <c r="C19333">
        <f>TEST_DATA!C19333</f>
        <v/>
      </c>
      <c r="D19333">
        <f>TEST_DATA!D19333</f>
        <v/>
      </c>
      <c r="E19333">
        <f>TEST_DATA!E19333</f>
        <v/>
      </c>
    </row>
    <row r="19334">
      <c r="A19334">
        <f>TEST_DATA!A19334</f>
        <v/>
      </c>
      <c r="B19334">
        <f>TEST_DATA!B19334</f>
        <v/>
      </c>
      <c r="C19334">
        <f>TEST_DATA!C19334</f>
        <v/>
      </c>
      <c r="D19334">
        <f>TEST_DATA!D19334</f>
        <v/>
      </c>
      <c r="E19334">
        <f>TEST_DATA!E19334</f>
        <v/>
      </c>
    </row>
    <row r="19335">
      <c r="A19335">
        <f>TEST_DATA!A19335</f>
        <v/>
      </c>
      <c r="B19335">
        <f>TEST_DATA!B19335</f>
        <v/>
      </c>
      <c r="C19335">
        <f>TEST_DATA!C19335</f>
        <v/>
      </c>
      <c r="D19335">
        <f>TEST_DATA!D19335</f>
        <v/>
      </c>
      <c r="E19335">
        <f>TEST_DATA!E19335</f>
        <v/>
      </c>
    </row>
    <row r="19336">
      <c r="A19336">
        <f>TEST_DATA!A19336</f>
        <v/>
      </c>
      <c r="B19336">
        <f>TEST_DATA!B19336</f>
        <v/>
      </c>
      <c r="C19336">
        <f>TEST_DATA!C19336</f>
        <v/>
      </c>
      <c r="D19336">
        <f>TEST_DATA!D19336</f>
        <v/>
      </c>
      <c r="E19336">
        <f>TEST_DATA!E19336</f>
        <v/>
      </c>
    </row>
    <row r="19337">
      <c r="A19337">
        <f>TEST_DATA!A19337</f>
        <v/>
      </c>
      <c r="B19337">
        <f>TEST_DATA!B19337</f>
        <v/>
      </c>
      <c r="C19337">
        <f>TEST_DATA!C19337</f>
        <v/>
      </c>
      <c r="D19337">
        <f>TEST_DATA!D19337</f>
        <v/>
      </c>
      <c r="E19337">
        <f>TEST_DATA!E19337</f>
        <v/>
      </c>
    </row>
    <row r="19338">
      <c r="A19338">
        <f>TEST_DATA!A19338</f>
        <v/>
      </c>
      <c r="B19338">
        <f>TEST_DATA!B19338</f>
        <v/>
      </c>
      <c r="C19338">
        <f>TEST_DATA!C19338</f>
        <v/>
      </c>
      <c r="D19338">
        <f>TEST_DATA!D19338</f>
        <v/>
      </c>
      <c r="E19338">
        <f>TEST_DATA!E19338</f>
        <v/>
      </c>
    </row>
    <row r="19339">
      <c r="A19339">
        <f>TEST_DATA!A19339</f>
        <v/>
      </c>
      <c r="B19339">
        <f>TEST_DATA!B19339</f>
        <v/>
      </c>
      <c r="C19339">
        <f>TEST_DATA!C19339</f>
        <v/>
      </c>
      <c r="D19339">
        <f>TEST_DATA!D19339</f>
        <v/>
      </c>
      <c r="E19339">
        <f>TEST_DATA!E19339</f>
        <v/>
      </c>
    </row>
    <row r="19340">
      <c r="A19340">
        <f>TEST_DATA!A19340</f>
        <v/>
      </c>
      <c r="B19340">
        <f>TEST_DATA!B19340</f>
        <v/>
      </c>
      <c r="C19340">
        <f>TEST_DATA!C19340</f>
        <v/>
      </c>
      <c r="D19340">
        <f>TEST_DATA!D19340</f>
        <v/>
      </c>
      <c r="E19340">
        <f>TEST_DATA!E19340</f>
        <v/>
      </c>
    </row>
    <row r="19341">
      <c r="A19341">
        <f>TEST_DATA!A19341</f>
        <v/>
      </c>
      <c r="B19341">
        <f>TEST_DATA!B19341</f>
        <v/>
      </c>
      <c r="C19341">
        <f>TEST_DATA!C19341</f>
        <v/>
      </c>
      <c r="D19341">
        <f>TEST_DATA!D19341</f>
        <v/>
      </c>
      <c r="E19341">
        <f>TEST_DATA!E19341</f>
        <v/>
      </c>
    </row>
    <row r="19342">
      <c r="A19342">
        <f>TEST_DATA!A19342</f>
        <v/>
      </c>
      <c r="B19342">
        <f>TEST_DATA!B19342</f>
        <v/>
      </c>
      <c r="C19342">
        <f>TEST_DATA!C19342</f>
        <v/>
      </c>
      <c r="D19342">
        <f>TEST_DATA!D19342</f>
        <v/>
      </c>
      <c r="E19342">
        <f>TEST_DATA!E19342</f>
        <v/>
      </c>
    </row>
    <row r="19343">
      <c r="A19343">
        <f>TEST_DATA!A19343</f>
        <v/>
      </c>
      <c r="B19343">
        <f>TEST_DATA!B19343</f>
        <v/>
      </c>
      <c r="C19343">
        <f>TEST_DATA!C19343</f>
        <v/>
      </c>
      <c r="D19343">
        <f>TEST_DATA!D19343</f>
        <v/>
      </c>
      <c r="E19343">
        <f>TEST_DATA!E19343</f>
        <v/>
      </c>
    </row>
    <row r="19344">
      <c r="A19344">
        <f>TEST_DATA!A19344</f>
        <v/>
      </c>
      <c r="B19344">
        <f>TEST_DATA!B19344</f>
        <v/>
      </c>
      <c r="C19344">
        <f>TEST_DATA!C19344</f>
        <v/>
      </c>
      <c r="D19344">
        <f>TEST_DATA!D19344</f>
        <v/>
      </c>
      <c r="E19344">
        <f>TEST_DATA!E19344</f>
        <v/>
      </c>
    </row>
    <row r="19345">
      <c r="A19345">
        <f>TEST_DATA!A19345</f>
        <v/>
      </c>
      <c r="B19345">
        <f>TEST_DATA!B19345</f>
        <v/>
      </c>
      <c r="C19345">
        <f>TEST_DATA!C19345</f>
        <v/>
      </c>
      <c r="D19345">
        <f>TEST_DATA!D19345</f>
        <v/>
      </c>
      <c r="E19345">
        <f>TEST_DATA!E19345</f>
        <v/>
      </c>
    </row>
    <row r="19346">
      <c r="A19346">
        <f>TEST_DATA!A19346</f>
        <v/>
      </c>
      <c r="B19346">
        <f>TEST_DATA!B19346</f>
        <v/>
      </c>
      <c r="C19346">
        <f>TEST_DATA!C19346</f>
        <v/>
      </c>
      <c r="D19346">
        <f>TEST_DATA!D19346</f>
        <v/>
      </c>
      <c r="E19346">
        <f>TEST_DATA!E19346</f>
        <v/>
      </c>
    </row>
    <row r="19347">
      <c r="A19347">
        <f>TEST_DATA!A19347</f>
        <v/>
      </c>
      <c r="B19347">
        <f>TEST_DATA!B19347</f>
        <v/>
      </c>
      <c r="C19347">
        <f>TEST_DATA!C19347</f>
        <v/>
      </c>
      <c r="D19347">
        <f>TEST_DATA!D19347</f>
        <v/>
      </c>
      <c r="E19347">
        <f>TEST_DATA!E19347</f>
        <v/>
      </c>
    </row>
    <row r="19348">
      <c r="A19348">
        <f>TEST_DATA!A19348</f>
        <v/>
      </c>
      <c r="B19348">
        <f>TEST_DATA!B19348</f>
        <v/>
      </c>
      <c r="C19348">
        <f>TEST_DATA!C19348</f>
        <v/>
      </c>
      <c r="D19348">
        <f>TEST_DATA!D19348</f>
        <v/>
      </c>
      <c r="E19348">
        <f>TEST_DATA!E19348</f>
        <v/>
      </c>
    </row>
    <row r="19349">
      <c r="A19349">
        <f>TEST_DATA!A19349</f>
        <v/>
      </c>
      <c r="B19349">
        <f>TEST_DATA!B19349</f>
        <v/>
      </c>
      <c r="C19349">
        <f>TEST_DATA!C19349</f>
        <v/>
      </c>
      <c r="D19349">
        <f>TEST_DATA!D19349</f>
        <v/>
      </c>
      <c r="E19349">
        <f>TEST_DATA!E19349</f>
        <v/>
      </c>
    </row>
    <row r="19350">
      <c r="A19350">
        <f>TEST_DATA!A19350</f>
        <v/>
      </c>
      <c r="B19350">
        <f>TEST_DATA!B19350</f>
        <v/>
      </c>
      <c r="C19350">
        <f>TEST_DATA!C19350</f>
        <v/>
      </c>
      <c r="D19350">
        <f>TEST_DATA!D19350</f>
        <v/>
      </c>
      <c r="E19350">
        <f>TEST_DATA!E19350</f>
        <v/>
      </c>
    </row>
    <row r="19351">
      <c r="A19351">
        <f>TEST_DATA!A19351</f>
        <v/>
      </c>
      <c r="B19351">
        <f>TEST_DATA!B19351</f>
        <v/>
      </c>
      <c r="C19351">
        <f>TEST_DATA!C19351</f>
        <v/>
      </c>
      <c r="D19351">
        <f>TEST_DATA!D19351</f>
        <v/>
      </c>
      <c r="E19351">
        <f>TEST_DATA!E19351</f>
        <v/>
      </c>
    </row>
    <row r="19352">
      <c r="A19352">
        <f>TEST_DATA!A19352</f>
        <v/>
      </c>
      <c r="B19352">
        <f>TEST_DATA!B19352</f>
        <v/>
      </c>
      <c r="C19352">
        <f>TEST_DATA!C19352</f>
        <v/>
      </c>
      <c r="D19352">
        <f>TEST_DATA!D19352</f>
        <v/>
      </c>
      <c r="E19352">
        <f>TEST_DATA!E19352</f>
        <v/>
      </c>
    </row>
    <row r="19353">
      <c r="A19353">
        <f>TEST_DATA!A19353</f>
        <v/>
      </c>
      <c r="B19353">
        <f>TEST_DATA!B19353</f>
        <v/>
      </c>
      <c r="C19353">
        <f>TEST_DATA!C19353</f>
        <v/>
      </c>
      <c r="D19353">
        <f>TEST_DATA!D19353</f>
        <v/>
      </c>
      <c r="E19353">
        <f>TEST_DATA!E19353</f>
        <v/>
      </c>
    </row>
    <row r="19354">
      <c r="A19354">
        <f>TEST_DATA!A19354</f>
        <v/>
      </c>
      <c r="B19354">
        <f>TEST_DATA!B19354</f>
        <v/>
      </c>
      <c r="C19354">
        <f>TEST_DATA!C19354</f>
        <v/>
      </c>
      <c r="D19354">
        <f>TEST_DATA!D19354</f>
        <v/>
      </c>
      <c r="E19354">
        <f>TEST_DATA!E19354</f>
        <v/>
      </c>
    </row>
    <row r="19355">
      <c r="A19355">
        <f>TEST_DATA!A19355</f>
        <v/>
      </c>
      <c r="B19355">
        <f>TEST_DATA!B19355</f>
        <v/>
      </c>
      <c r="C19355">
        <f>TEST_DATA!C19355</f>
        <v/>
      </c>
      <c r="D19355">
        <f>TEST_DATA!D19355</f>
        <v/>
      </c>
      <c r="E19355">
        <f>TEST_DATA!E19355</f>
        <v/>
      </c>
    </row>
    <row r="19356">
      <c r="A19356">
        <f>TEST_DATA!A19356</f>
        <v/>
      </c>
      <c r="B19356">
        <f>TEST_DATA!B19356</f>
        <v/>
      </c>
      <c r="C19356">
        <f>TEST_DATA!C19356</f>
        <v/>
      </c>
      <c r="D19356">
        <f>TEST_DATA!D19356</f>
        <v/>
      </c>
      <c r="E19356">
        <f>TEST_DATA!E19356</f>
        <v/>
      </c>
    </row>
    <row r="19357">
      <c r="A19357">
        <f>TEST_DATA!A19357</f>
        <v/>
      </c>
      <c r="B19357">
        <f>TEST_DATA!B19357</f>
        <v/>
      </c>
      <c r="C19357">
        <f>TEST_DATA!C19357</f>
        <v/>
      </c>
      <c r="D19357">
        <f>TEST_DATA!D19357</f>
        <v/>
      </c>
      <c r="E19357">
        <f>TEST_DATA!E19357</f>
        <v/>
      </c>
    </row>
    <row r="19358">
      <c r="A19358">
        <f>TEST_DATA!A19358</f>
        <v/>
      </c>
      <c r="B19358">
        <f>TEST_DATA!B19358</f>
        <v/>
      </c>
      <c r="C19358">
        <f>TEST_DATA!C19358</f>
        <v/>
      </c>
      <c r="D19358">
        <f>TEST_DATA!D19358</f>
        <v/>
      </c>
      <c r="E19358">
        <f>TEST_DATA!E19358</f>
        <v/>
      </c>
    </row>
    <row r="19359">
      <c r="A19359">
        <f>TEST_DATA!A19359</f>
        <v/>
      </c>
      <c r="B19359">
        <f>TEST_DATA!B19359</f>
        <v/>
      </c>
      <c r="C19359">
        <f>TEST_DATA!C19359</f>
        <v/>
      </c>
      <c r="D19359">
        <f>TEST_DATA!D19359</f>
        <v/>
      </c>
      <c r="E19359">
        <f>TEST_DATA!E19359</f>
        <v/>
      </c>
    </row>
    <row r="19360">
      <c r="A19360">
        <f>TEST_DATA!A19360</f>
        <v/>
      </c>
      <c r="B19360">
        <f>TEST_DATA!B19360</f>
        <v/>
      </c>
      <c r="C19360">
        <f>TEST_DATA!C19360</f>
        <v/>
      </c>
      <c r="D19360">
        <f>TEST_DATA!D19360</f>
        <v/>
      </c>
      <c r="E19360">
        <f>TEST_DATA!E19360</f>
        <v/>
      </c>
    </row>
    <row r="19361">
      <c r="A19361">
        <f>TEST_DATA!A19361</f>
        <v/>
      </c>
      <c r="B19361">
        <f>TEST_DATA!B19361</f>
        <v/>
      </c>
      <c r="C19361">
        <f>TEST_DATA!C19361</f>
        <v/>
      </c>
      <c r="D19361">
        <f>TEST_DATA!D19361</f>
        <v/>
      </c>
      <c r="E19361">
        <f>TEST_DATA!E19361</f>
        <v/>
      </c>
    </row>
    <row r="19362">
      <c r="A19362">
        <f>TEST_DATA!A19362</f>
        <v/>
      </c>
      <c r="B19362">
        <f>TEST_DATA!B19362</f>
        <v/>
      </c>
      <c r="C19362">
        <f>TEST_DATA!C19362</f>
        <v/>
      </c>
      <c r="D19362">
        <f>TEST_DATA!D19362</f>
        <v/>
      </c>
      <c r="E19362">
        <f>TEST_DATA!E19362</f>
        <v/>
      </c>
    </row>
    <row r="19363">
      <c r="A19363">
        <f>TEST_DATA!A19363</f>
        <v/>
      </c>
      <c r="B19363">
        <f>TEST_DATA!B19363</f>
        <v/>
      </c>
      <c r="C19363">
        <f>TEST_DATA!C19363</f>
        <v/>
      </c>
      <c r="D19363">
        <f>TEST_DATA!D19363</f>
        <v/>
      </c>
      <c r="E19363">
        <f>TEST_DATA!E19363</f>
        <v/>
      </c>
    </row>
    <row r="19364">
      <c r="A19364">
        <f>TEST_DATA!A19364</f>
        <v/>
      </c>
      <c r="B19364">
        <f>TEST_DATA!B19364</f>
        <v/>
      </c>
      <c r="C19364">
        <f>TEST_DATA!C19364</f>
        <v/>
      </c>
      <c r="D19364">
        <f>TEST_DATA!D19364</f>
        <v/>
      </c>
      <c r="E19364">
        <f>TEST_DATA!E19364</f>
        <v/>
      </c>
    </row>
    <row r="19365">
      <c r="A19365">
        <f>TEST_DATA!A19365</f>
        <v/>
      </c>
      <c r="B19365">
        <f>TEST_DATA!B19365</f>
        <v/>
      </c>
      <c r="C19365">
        <f>TEST_DATA!C19365</f>
        <v/>
      </c>
      <c r="D19365">
        <f>TEST_DATA!D19365</f>
        <v/>
      </c>
      <c r="E19365">
        <f>TEST_DATA!E19365</f>
        <v/>
      </c>
    </row>
    <row r="19366">
      <c r="A19366">
        <f>TEST_DATA!A19366</f>
        <v/>
      </c>
      <c r="B19366">
        <f>TEST_DATA!B19366</f>
        <v/>
      </c>
      <c r="C19366">
        <f>TEST_DATA!C19366</f>
        <v/>
      </c>
      <c r="D19366">
        <f>TEST_DATA!D19366</f>
        <v/>
      </c>
      <c r="E19366">
        <f>TEST_DATA!E19366</f>
        <v/>
      </c>
    </row>
    <row r="19367">
      <c r="A19367">
        <f>TEST_DATA!A19367</f>
        <v/>
      </c>
      <c r="B19367">
        <f>TEST_DATA!B19367</f>
        <v/>
      </c>
      <c r="C19367">
        <f>TEST_DATA!C19367</f>
        <v/>
      </c>
      <c r="D19367">
        <f>TEST_DATA!D19367</f>
        <v/>
      </c>
      <c r="E19367">
        <f>TEST_DATA!E19367</f>
        <v/>
      </c>
    </row>
    <row r="19368">
      <c r="A19368">
        <f>TEST_DATA!A19368</f>
        <v/>
      </c>
      <c r="B19368">
        <f>TEST_DATA!B19368</f>
        <v/>
      </c>
      <c r="C19368">
        <f>TEST_DATA!C19368</f>
        <v/>
      </c>
      <c r="D19368">
        <f>TEST_DATA!D19368</f>
        <v/>
      </c>
      <c r="E19368">
        <f>TEST_DATA!E19368</f>
        <v/>
      </c>
    </row>
    <row r="19369">
      <c r="A19369">
        <f>TEST_DATA!A19369</f>
        <v/>
      </c>
      <c r="B19369">
        <f>TEST_DATA!B19369</f>
        <v/>
      </c>
      <c r="C19369">
        <f>TEST_DATA!C19369</f>
        <v/>
      </c>
      <c r="D19369">
        <f>TEST_DATA!D19369</f>
        <v/>
      </c>
      <c r="E19369">
        <f>TEST_DATA!E19369</f>
        <v/>
      </c>
    </row>
    <row r="19370">
      <c r="A19370">
        <f>TEST_DATA!A19370</f>
        <v/>
      </c>
      <c r="B19370">
        <f>TEST_DATA!B19370</f>
        <v/>
      </c>
      <c r="C19370">
        <f>TEST_DATA!C19370</f>
        <v/>
      </c>
      <c r="D19370">
        <f>TEST_DATA!D19370</f>
        <v/>
      </c>
      <c r="E19370">
        <f>TEST_DATA!E19370</f>
        <v/>
      </c>
    </row>
    <row r="19371">
      <c r="A19371">
        <f>TEST_DATA!A19371</f>
        <v/>
      </c>
      <c r="B19371">
        <f>TEST_DATA!B19371</f>
        <v/>
      </c>
      <c r="C19371">
        <f>TEST_DATA!C19371</f>
        <v/>
      </c>
      <c r="D19371">
        <f>TEST_DATA!D19371</f>
        <v/>
      </c>
      <c r="E19371">
        <f>TEST_DATA!E19371</f>
        <v/>
      </c>
    </row>
    <row r="19372">
      <c r="A19372">
        <f>TEST_DATA!A19372</f>
        <v/>
      </c>
      <c r="B19372">
        <f>TEST_DATA!B19372</f>
        <v/>
      </c>
      <c r="C19372">
        <f>TEST_DATA!C19372</f>
        <v/>
      </c>
      <c r="D19372">
        <f>TEST_DATA!D19372</f>
        <v/>
      </c>
      <c r="E19372">
        <f>TEST_DATA!E19372</f>
        <v/>
      </c>
    </row>
    <row r="19373">
      <c r="A19373">
        <f>TEST_DATA!A19373</f>
        <v/>
      </c>
      <c r="B19373">
        <f>TEST_DATA!B19373</f>
        <v/>
      </c>
      <c r="C19373">
        <f>TEST_DATA!C19373</f>
        <v/>
      </c>
      <c r="D19373">
        <f>TEST_DATA!D19373</f>
        <v/>
      </c>
      <c r="E19373">
        <f>TEST_DATA!E19373</f>
        <v/>
      </c>
    </row>
    <row r="19374">
      <c r="A19374">
        <f>TEST_DATA!A19374</f>
        <v/>
      </c>
      <c r="B19374">
        <f>TEST_DATA!B19374</f>
        <v/>
      </c>
      <c r="C19374">
        <f>TEST_DATA!C19374</f>
        <v/>
      </c>
      <c r="D19374">
        <f>TEST_DATA!D19374</f>
        <v/>
      </c>
      <c r="E19374">
        <f>TEST_DATA!E19374</f>
        <v/>
      </c>
    </row>
    <row r="19375">
      <c r="A19375">
        <f>TEST_DATA!A19375</f>
        <v/>
      </c>
      <c r="B19375">
        <f>TEST_DATA!B19375</f>
        <v/>
      </c>
      <c r="C19375">
        <f>TEST_DATA!C19375</f>
        <v/>
      </c>
      <c r="D19375">
        <f>TEST_DATA!D19375</f>
        <v/>
      </c>
      <c r="E19375">
        <f>TEST_DATA!E19375</f>
        <v/>
      </c>
    </row>
    <row r="19376">
      <c r="A19376">
        <f>TEST_DATA!A19376</f>
        <v/>
      </c>
      <c r="B19376">
        <f>TEST_DATA!B19376</f>
        <v/>
      </c>
      <c r="C19376">
        <f>TEST_DATA!C19376</f>
        <v/>
      </c>
      <c r="D19376">
        <f>TEST_DATA!D19376</f>
        <v/>
      </c>
      <c r="E19376">
        <f>TEST_DATA!E19376</f>
        <v/>
      </c>
    </row>
    <row r="19377">
      <c r="A19377">
        <f>TEST_DATA!A19377</f>
        <v/>
      </c>
      <c r="B19377">
        <f>TEST_DATA!B19377</f>
        <v/>
      </c>
      <c r="C19377">
        <f>TEST_DATA!C19377</f>
        <v/>
      </c>
      <c r="D19377">
        <f>TEST_DATA!D19377</f>
        <v/>
      </c>
      <c r="E19377">
        <f>TEST_DATA!E19377</f>
        <v/>
      </c>
    </row>
    <row r="19378">
      <c r="A19378">
        <f>TEST_DATA!A19378</f>
        <v/>
      </c>
      <c r="B19378">
        <f>TEST_DATA!B19378</f>
        <v/>
      </c>
      <c r="C19378">
        <f>TEST_DATA!C19378</f>
        <v/>
      </c>
      <c r="D19378">
        <f>TEST_DATA!D19378</f>
        <v/>
      </c>
      <c r="E19378">
        <f>TEST_DATA!E19378</f>
        <v/>
      </c>
    </row>
    <row r="19379">
      <c r="A19379">
        <f>TEST_DATA!A19379</f>
        <v/>
      </c>
      <c r="B19379">
        <f>TEST_DATA!B19379</f>
        <v/>
      </c>
      <c r="C19379">
        <f>TEST_DATA!C19379</f>
        <v/>
      </c>
      <c r="D19379">
        <f>TEST_DATA!D19379</f>
        <v/>
      </c>
      <c r="E19379">
        <f>TEST_DATA!E19379</f>
        <v/>
      </c>
    </row>
    <row r="19380">
      <c r="A19380">
        <f>TEST_DATA!A19380</f>
        <v/>
      </c>
      <c r="B19380">
        <f>TEST_DATA!B19380</f>
        <v/>
      </c>
      <c r="C19380">
        <f>TEST_DATA!C19380</f>
        <v/>
      </c>
      <c r="D19380">
        <f>TEST_DATA!D19380</f>
        <v/>
      </c>
      <c r="E19380">
        <f>TEST_DATA!E19380</f>
        <v/>
      </c>
    </row>
    <row r="19381">
      <c r="A19381">
        <f>TEST_DATA!A19381</f>
        <v/>
      </c>
      <c r="B19381">
        <f>TEST_DATA!B19381</f>
        <v/>
      </c>
      <c r="C19381">
        <f>TEST_DATA!C19381</f>
        <v/>
      </c>
      <c r="D19381">
        <f>TEST_DATA!D19381</f>
        <v/>
      </c>
      <c r="E19381">
        <f>TEST_DATA!E19381</f>
        <v/>
      </c>
    </row>
    <row r="19382">
      <c r="A19382">
        <f>TEST_DATA!A19382</f>
        <v/>
      </c>
      <c r="B19382">
        <f>TEST_DATA!B19382</f>
        <v/>
      </c>
      <c r="C19382">
        <f>TEST_DATA!C19382</f>
        <v/>
      </c>
      <c r="D19382">
        <f>TEST_DATA!D19382</f>
        <v/>
      </c>
      <c r="E19382">
        <f>TEST_DATA!E19382</f>
        <v/>
      </c>
    </row>
    <row r="19383">
      <c r="A19383">
        <f>TEST_DATA!A19383</f>
        <v/>
      </c>
      <c r="B19383">
        <f>TEST_DATA!B19383</f>
        <v/>
      </c>
      <c r="C19383">
        <f>TEST_DATA!C19383</f>
        <v/>
      </c>
      <c r="D19383">
        <f>TEST_DATA!D19383</f>
        <v/>
      </c>
      <c r="E19383">
        <f>TEST_DATA!E19383</f>
        <v/>
      </c>
    </row>
    <row r="19384">
      <c r="A19384">
        <f>TEST_DATA!A19384</f>
        <v/>
      </c>
      <c r="B19384">
        <f>TEST_DATA!B19384</f>
        <v/>
      </c>
      <c r="C19384">
        <f>TEST_DATA!C19384</f>
        <v/>
      </c>
      <c r="D19384">
        <f>TEST_DATA!D19384</f>
        <v/>
      </c>
      <c r="E19384">
        <f>TEST_DATA!E19384</f>
        <v/>
      </c>
    </row>
    <row r="19385">
      <c r="A19385">
        <f>TEST_DATA!A19385</f>
        <v/>
      </c>
      <c r="B19385">
        <f>TEST_DATA!B19385</f>
        <v/>
      </c>
      <c r="C19385">
        <f>TEST_DATA!C19385</f>
        <v/>
      </c>
      <c r="D19385">
        <f>TEST_DATA!D19385</f>
        <v/>
      </c>
      <c r="E19385">
        <f>TEST_DATA!E19385</f>
        <v/>
      </c>
    </row>
    <row r="19386">
      <c r="A19386">
        <f>TEST_DATA!A19386</f>
        <v/>
      </c>
      <c r="B19386">
        <f>TEST_DATA!B19386</f>
        <v/>
      </c>
      <c r="C19386">
        <f>TEST_DATA!C19386</f>
        <v/>
      </c>
      <c r="D19386">
        <f>TEST_DATA!D19386</f>
        <v/>
      </c>
      <c r="E19386">
        <f>TEST_DATA!E19386</f>
        <v/>
      </c>
    </row>
    <row r="19387">
      <c r="A19387">
        <f>TEST_DATA!A19387</f>
        <v/>
      </c>
      <c r="B19387">
        <f>TEST_DATA!B19387</f>
        <v/>
      </c>
      <c r="C19387">
        <f>TEST_DATA!C19387</f>
        <v/>
      </c>
      <c r="D19387">
        <f>TEST_DATA!D19387</f>
        <v/>
      </c>
      <c r="E19387">
        <f>TEST_DATA!E19387</f>
        <v/>
      </c>
    </row>
    <row r="19388">
      <c r="A19388">
        <f>TEST_DATA!A19388</f>
        <v/>
      </c>
      <c r="B19388">
        <f>TEST_DATA!B19388</f>
        <v/>
      </c>
      <c r="C19388">
        <f>TEST_DATA!C19388</f>
        <v/>
      </c>
      <c r="D19388">
        <f>TEST_DATA!D19388</f>
        <v/>
      </c>
      <c r="E19388">
        <f>TEST_DATA!E19388</f>
        <v/>
      </c>
    </row>
    <row r="19389">
      <c r="A19389">
        <f>TEST_DATA!A19389</f>
        <v/>
      </c>
      <c r="B19389">
        <f>TEST_DATA!B19389</f>
        <v/>
      </c>
      <c r="C19389">
        <f>TEST_DATA!C19389</f>
        <v/>
      </c>
      <c r="D19389">
        <f>TEST_DATA!D19389</f>
        <v/>
      </c>
      <c r="E19389">
        <f>TEST_DATA!E19389</f>
        <v/>
      </c>
    </row>
    <row r="19390">
      <c r="A19390">
        <f>TEST_DATA!A19390</f>
        <v/>
      </c>
      <c r="B19390">
        <f>TEST_DATA!B19390</f>
        <v/>
      </c>
      <c r="C19390">
        <f>TEST_DATA!C19390</f>
        <v/>
      </c>
      <c r="D19390">
        <f>TEST_DATA!D19390</f>
        <v/>
      </c>
      <c r="E19390">
        <f>TEST_DATA!E19390</f>
        <v/>
      </c>
    </row>
    <row r="19391">
      <c r="A19391">
        <f>TEST_DATA!A19391</f>
        <v/>
      </c>
      <c r="B19391">
        <f>TEST_DATA!B19391</f>
        <v/>
      </c>
      <c r="C19391">
        <f>TEST_DATA!C19391</f>
        <v/>
      </c>
      <c r="D19391">
        <f>TEST_DATA!D19391</f>
        <v/>
      </c>
      <c r="E19391">
        <f>TEST_DATA!E19391</f>
        <v/>
      </c>
    </row>
    <row r="19392">
      <c r="A19392">
        <f>TEST_DATA!A19392</f>
        <v/>
      </c>
      <c r="B19392">
        <f>TEST_DATA!B19392</f>
        <v/>
      </c>
      <c r="C19392">
        <f>TEST_DATA!C19392</f>
        <v/>
      </c>
      <c r="D19392">
        <f>TEST_DATA!D19392</f>
        <v/>
      </c>
      <c r="E19392">
        <f>TEST_DATA!E19392</f>
        <v/>
      </c>
    </row>
    <row r="19393">
      <c r="A19393">
        <f>TEST_DATA!A19393</f>
        <v/>
      </c>
      <c r="B19393">
        <f>TEST_DATA!B19393</f>
        <v/>
      </c>
      <c r="C19393">
        <f>TEST_DATA!C19393</f>
        <v/>
      </c>
      <c r="D19393">
        <f>TEST_DATA!D19393</f>
        <v/>
      </c>
      <c r="E19393">
        <f>TEST_DATA!E19393</f>
        <v/>
      </c>
    </row>
    <row r="19394">
      <c r="A19394">
        <f>TEST_DATA!A19394</f>
        <v/>
      </c>
      <c r="B19394">
        <f>TEST_DATA!B19394</f>
        <v/>
      </c>
      <c r="C19394">
        <f>TEST_DATA!C19394</f>
        <v/>
      </c>
      <c r="D19394">
        <f>TEST_DATA!D19394</f>
        <v/>
      </c>
      <c r="E19394">
        <f>TEST_DATA!E19394</f>
        <v/>
      </c>
    </row>
    <row r="19395">
      <c r="A19395">
        <f>TEST_DATA!A19395</f>
        <v/>
      </c>
      <c r="B19395">
        <f>TEST_DATA!B19395</f>
        <v/>
      </c>
      <c r="C19395">
        <f>TEST_DATA!C19395</f>
        <v/>
      </c>
      <c r="D19395">
        <f>TEST_DATA!D19395</f>
        <v/>
      </c>
      <c r="E19395">
        <f>TEST_DATA!E19395</f>
        <v/>
      </c>
    </row>
    <row r="19396">
      <c r="A19396">
        <f>TEST_DATA!A19396</f>
        <v/>
      </c>
      <c r="B19396">
        <f>TEST_DATA!B19396</f>
        <v/>
      </c>
      <c r="C19396">
        <f>TEST_DATA!C19396</f>
        <v/>
      </c>
      <c r="D19396">
        <f>TEST_DATA!D19396</f>
        <v/>
      </c>
      <c r="E19396">
        <f>TEST_DATA!E19396</f>
        <v/>
      </c>
    </row>
    <row r="19397">
      <c r="A19397">
        <f>TEST_DATA!A19397</f>
        <v/>
      </c>
      <c r="B19397">
        <f>TEST_DATA!B19397</f>
        <v/>
      </c>
      <c r="C19397">
        <f>TEST_DATA!C19397</f>
        <v/>
      </c>
      <c r="D19397">
        <f>TEST_DATA!D19397</f>
        <v/>
      </c>
      <c r="E19397">
        <f>TEST_DATA!E19397</f>
        <v/>
      </c>
    </row>
    <row r="19398">
      <c r="A19398">
        <f>TEST_DATA!A19398</f>
        <v/>
      </c>
      <c r="B19398">
        <f>TEST_DATA!B19398</f>
        <v/>
      </c>
      <c r="C19398">
        <f>TEST_DATA!C19398</f>
        <v/>
      </c>
      <c r="D19398">
        <f>TEST_DATA!D19398</f>
        <v/>
      </c>
      <c r="E19398">
        <f>TEST_DATA!E19398</f>
        <v/>
      </c>
    </row>
    <row r="19399">
      <c r="A19399">
        <f>TEST_DATA!A19399</f>
        <v/>
      </c>
      <c r="B19399">
        <f>TEST_DATA!B19399</f>
        <v/>
      </c>
      <c r="C19399">
        <f>TEST_DATA!C19399</f>
        <v/>
      </c>
      <c r="D19399">
        <f>TEST_DATA!D19399</f>
        <v/>
      </c>
      <c r="E19399">
        <f>TEST_DATA!E19399</f>
        <v/>
      </c>
    </row>
    <row r="19400">
      <c r="A19400">
        <f>TEST_DATA!A19400</f>
        <v/>
      </c>
      <c r="B19400">
        <f>TEST_DATA!B19400</f>
        <v/>
      </c>
      <c r="C19400">
        <f>TEST_DATA!C19400</f>
        <v/>
      </c>
      <c r="D19400">
        <f>TEST_DATA!D19400</f>
        <v/>
      </c>
      <c r="E19400">
        <f>TEST_DATA!E19400</f>
        <v/>
      </c>
    </row>
    <row r="19401">
      <c r="A19401">
        <f>TEST_DATA!A19401</f>
        <v/>
      </c>
      <c r="B19401">
        <f>TEST_DATA!B19401</f>
        <v/>
      </c>
      <c r="C19401">
        <f>TEST_DATA!C19401</f>
        <v/>
      </c>
      <c r="D19401">
        <f>TEST_DATA!D19401</f>
        <v/>
      </c>
      <c r="E19401">
        <f>TEST_DATA!E19401</f>
        <v/>
      </c>
    </row>
    <row r="19402">
      <c r="A19402">
        <f>TEST_DATA!A19402</f>
        <v/>
      </c>
      <c r="B19402">
        <f>TEST_DATA!B19402</f>
        <v/>
      </c>
      <c r="C19402">
        <f>TEST_DATA!C19402</f>
        <v/>
      </c>
      <c r="D19402">
        <f>TEST_DATA!D19402</f>
        <v/>
      </c>
      <c r="E19402">
        <f>TEST_DATA!E19402</f>
        <v/>
      </c>
    </row>
    <row r="19403">
      <c r="A19403">
        <f>TEST_DATA!A19403</f>
        <v/>
      </c>
      <c r="B19403">
        <f>TEST_DATA!B19403</f>
        <v/>
      </c>
      <c r="C19403">
        <f>TEST_DATA!C19403</f>
        <v/>
      </c>
      <c r="D19403">
        <f>TEST_DATA!D19403</f>
        <v/>
      </c>
      <c r="E19403">
        <f>TEST_DATA!E19403</f>
        <v/>
      </c>
    </row>
    <row r="19404">
      <c r="A19404">
        <f>TEST_DATA!A19404</f>
        <v/>
      </c>
      <c r="B19404">
        <f>TEST_DATA!B19404</f>
        <v/>
      </c>
      <c r="C19404">
        <f>TEST_DATA!C19404</f>
        <v/>
      </c>
      <c r="D19404">
        <f>TEST_DATA!D19404</f>
        <v/>
      </c>
      <c r="E19404">
        <f>TEST_DATA!E19404</f>
        <v/>
      </c>
    </row>
    <row r="19405">
      <c r="A19405">
        <f>TEST_DATA!A19405</f>
        <v/>
      </c>
      <c r="B19405">
        <f>TEST_DATA!B19405</f>
        <v/>
      </c>
      <c r="C19405">
        <f>TEST_DATA!C19405</f>
        <v/>
      </c>
      <c r="D19405">
        <f>TEST_DATA!D19405</f>
        <v/>
      </c>
      <c r="E19405">
        <f>TEST_DATA!E19405</f>
        <v/>
      </c>
    </row>
    <row r="19406">
      <c r="A19406">
        <f>TEST_DATA!A19406</f>
        <v/>
      </c>
      <c r="B19406">
        <f>TEST_DATA!B19406</f>
        <v/>
      </c>
      <c r="C19406">
        <f>TEST_DATA!C19406</f>
        <v/>
      </c>
      <c r="D19406">
        <f>TEST_DATA!D19406</f>
        <v/>
      </c>
      <c r="E19406">
        <f>TEST_DATA!E19406</f>
        <v/>
      </c>
    </row>
    <row r="19407">
      <c r="A19407">
        <f>TEST_DATA!A19407</f>
        <v/>
      </c>
      <c r="B19407">
        <f>TEST_DATA!B19407</f>
        <v/>
      </c>
      <c r="C19407">
        <f>TEST_DATA!C19407</f>
        <v/>
      </c>
      <c r="D19407">
        <f>TEST_DATA!D19407</f>
        <v/>
      </c>
      <c r="E19407">
        <f>TEST_DATA!E19407</f>
        <v/>
      </c>
    </row>
    <row r="19408">
      <c r="A19408">
        <f>TEST_DATA!A19408</f>
        <v/>
      </c>
      <c r="B19408">
        <f>TEST_DATA!B19408</f>
        <v/>
      </c>
      <c r="C19408">
        <f>TEST_DATA!C19408</f>
        <v/>
      </c>
      <c r="D19408">
        <f>TEST_DATA!D19408</f>
        <v/>
      </c>
      <c r="E19408">
        <f>TEST_DATA!E19408</f>
        <v/>
      </c>
    </row>
    <row r="19409">
      <c r="A19409">
        <f>TEST_DATA!A19409</f>
        <v/>
      </c>
      <c r="B19409">
        <f>TEST_DATA!B19409</f>
        <v/>
      </c>
      <c r="C19409">
        <f>TEST_DATA!C19409</f>
        <v/>
      </c>
      <c r="D19409">
        <f>TEST_DATA!D19409</f>
        <v/>
      </c>
      <c r="E19409">
        <f>TEST_DATA!E19409</f>
        <v/>
      </c>
    </row>
    <row r="19410">
      <c r="A19410">
        <f>TEST_DATA!A19410</f>
        <v/>
      </c>
      <c r="B19410">
        <f>TEST_DATA!B19410</f>
        <v/>
      </c>
      <c r="C19410">
        <f>TEST_DATA!C19410</f>
        <v/>
      </c>
      <c r="D19410">
        <f>TEST_DATA!D19410</f>
        <v/>
      </c>
      <c r="E19410">
        <f>TEST_DATA!E19410</f>
        <v/>
      </c>
    </row>
    <row r="19411">
      <c r="A19411">
        <f>TEST_DATA!A19411</f>
        <v/>
      </c>
      <c r="B19411">
        <f>TEST_DATA!B19411</f>
        <v/>
      </c>
      <c r="C19411">
        <f>TEST_DATA!C19411</f>
        <v/>
      </c>
      <c r="D19411">
        <f>TEST_DATA!D19411</f>
        <v/>
      </c>
      <c r="E19411">
        <f>TEST_DATA!E19411</f>
        <v/>
      </c>
    </row>
    <row r="19412">
      <c r="A19412">
        <f>TEST_DATA!A19412</f>
        <v/>
      </c>
      <c r="B19412">
        <f>TEST_DATA!B19412</f>
        <v/>
      </c>
      <c r="C19412">
        <f>TEST_DATA!C19412</f>
        <v/>
      </c>
      <c r="D19412">
        <f>TEST_DATA!D19412</f>
        <v/>
      </c>
      <c r="E19412">
        <f>TEST_DATA!E19412</f>
        <v/>
      </c>
    </row>
    <row r="19413">
      <c r="A19413">
        <f>TEST_DATA!A19413</f>
        <v/>
      </c>
      <c r="B19413">
        <f>TEST_DATA!B19413</f>
        <v/>
      </c>
      <c r="C19413">
        <f>TEST_DATA!C19413</f>
        <v/>
      </c>
      <c r="D19413">
        <f>TEST_DATA!D19413</f>
        <v/>
      </c>
      <c r="E19413">
        <f>TEST_DATA!E19413</f>
        <v/>
      </c>
    </row>
    <row r="19414">
      <c r="A19414">
        <f>TEST_DATA!A19414</f>
        <v/>
      </c>
      <c r="B19414">
        <f>TEST_DATA!B19414</f>
        <v/>
      </c>
      <c r="C19414">
        <f>TEST_DATA!C19414</f>
        <v/>
      </c>
      <c r="D19414">
        <f>TEST_DATA!D19414</f>
        <v/>
      </c>
      <c r="E19414">
        <f>TEST_DATA!E19414</f>
        <v/>
      </c>
    </row>
    <row r="19415">
      <c r="A19415">
        <f>TEST_DATA!A19415</f>
        <v/>
      </c>
      <c r="B19415">
        <f>TEST_DATA!B19415</f>
        <v/>
      </c>
      <c r="C19415">
        <f>TEST_DATA!C19415</f>
        <v/>
      </c>
      <c r="D19415">
        <f>TEST_DATA!D19415</f>
        <v/>
      </c>
      <c r="E19415">
        <f>TEST_DATA!E19415</f>
        <v/>
      </c>
    </row>
    <row r="19416">
      <c r="A19416">
        <f>TEST_DATA!A19416</f>
        <v/>
      </c>
      <c r="B19416">
        <f>TEST_DATA!B19416</f>
        <v/>
      </c>
      <c r="C19416">
        <f>TEST_DATA!C19416</f>
        <v/>
      </c>
      <c r="D19416">
        <f>TEST_DATA!D19416</f>
        <v/>
      </c>
      <c r="E19416">
        <f>TEST_DATA!E19416</f>
        <v/>
      </c>
    </row>
    <row r="19417">
      <c r="A19417">
        <f>TEST_DATA!A19417</f>
        <v/>
      </c>
      <c r="B19417">
        <f>TEST_DATA!B19417</f>
        <v/>
      </c>
      <c r="C19417">
        <f>TEST_DATA!C19417</f>
        <v/>
      </c>
      <c r="D19417">
        <f>TEST_DATA!D19417</f>
        <v/>
      </c>
      <c r="E19417">
        <f>TEST_DATA!E19417</f>
        <v/>
      </c>
    </row>
    <row r="19418">
      <c r="A19418">
        <f>TEST_DATA!A19418</f>
        <v/>
      </c>
      <c r="B19418">
        <f>TEST_DATA!B19418</f>
        <v/>
      </c>
      <c r="C19418">
        <f>TEST_DATA!C19418</f>
        <v/>
      </c>
      <c r="D19418">
        <f>TEST_DATA!D19418</f>
        <v/>
      </c>
      <c r="E19418">
        <f>TEST_DATA!E19418</f>
        <v/>
      </c>
    </row>
    <row r="19419">
      <c r="A19419">
        <f>TEST_DATA!A19419</f>
        <v/>
      </c>
      <c r="B19419">
        <f>TEST_DATA!B19419</f>
        <v/>
      </c>
      <c r="C19419">
        <f>TEST_DATA!C19419</f>
        <v/>
      </c>
      <c r="D19419">
        <f>TEST_DATA!D19419</f>
        <v/>
      </c>
      <c r="E19419">
        <f>TEST_DATA!E19419</f>
        <v/>
      </c>
    </row>
    <row r="19420">
      <c r="A19420">
        <f>TEST_DATA!A19420</f>
        <v/>
      </c>
      <c r="B19420">
        <f>TEST_DATA!B19420</f>
        <v/>
      </c>
      <c r="C19420">
        <f>TEST_DATA!C19420</f>
        <v/>
      </c>
      <c r="D19420">
        <f>TEST_DATA!D19420</f>
        <v/>
      </c>
      <c r="E19420">
        <f>TEST_DATA!E19420</f>
        <v/>
      </c>
    </row>
    <row r="19421">
      <c r="A19421">
        <f>TEST_DATA!A19421</f>
        <v/>
      </c>
      <c r="B19421">
        <f>TEST_DATA!B19421</f>
        <v/>
      </c>
      <c r="C19421">
        <f>TEST_DATA!C19421</f>
        <v/>
      </c>
      <c r="D19421">
        <f>TEST_DATA!D19421</f>
        <v/>
      </c>
      <c r="E19421">
        <f>TEST_DATA!E19421</f>
        <v/>
      </c>
    </row>
    <row r="19422">
      <c r="A19422">
        <f>TEST_DATA!A19422</f>
        <v/>
      </c>
      <c r="B19422">
        <f>TEST_DATA!B19422</f>
        <v/>
      </c>
      <c r="C19422">
        <f>TEST_DATA!C19422</f>
        <v/>
      </c>
      <c r="D19422">
        <f>TEST_DATA!D19422</f>
        <v/>
      </c>
      <c r="E19422">
        <f>TEST_DATA!E19422</f>
        <v/>
      </c>
    </row>
    <row r="19423">
      <c r="A19423">
        <f>TEST_DATA!A19423</f>
        <v/>
      </c>
      <c r="B19423">
        <f>TEST_DATA!B19423</f>
        <v/>
      </c>
      <c r="C19423">
        <f>TEST_DATA!C19423</f>
        <v/>
      </c>
      <c r="D19423">
        <f>TEST_DATA!D19423</f>
        <v/>
      </c>
      <c r="E19423">
        <f>TEST_DATA!E19423</f>
        <v/>
      </c>
    </row>
    <row r="19424">
      <c r="A19424">
        <f>TEST_DATA!A19424</f>
        <v/>
      </c>
      <c r="B19424">
        <f>TEST_DATA!B19424</f>
        <v/>
      </c>
      <c r="C19424">
        <f>TEST_DATA!C19424</f>
        <v/>
      </c>
      <c r="D19424">
        <f>TEST_DATA!D19424</f>
        <v/>
      </c>
      <c r="E19424">
        <f>TEST_DATA!E19424</f>
        <v/>
      </c>
    </row>
    <row r="19425">
      <c r="A19425">
        <f>TEST_DATA!A19425</f>
        <v/>
      </c>
      <c r="B19425">
        <f>TEST_DATA!B19425</f>
        <v/>
      </c>
      <c r="C19425">
        <f>TEST_DATA!C19425</f>
        <v/>
      </c>
      <c r="D19425">
        <f>TEST_DATA!D19425</f>
        <v/>
      </c>
      <c r="E19425">
        <f>TEST_DATA!E19425</f>
        <v/>
      </c>
    </row>
    <row r="19426">
      <c r="A19426">
        <f>TEST_DATA!A19426</f>
        <v/>
      </c>
      <c r="B19426">
        <f>TEST_DATA!B19426</f>
        <v/>
      </c>
      <c r="C19426">
        <f>TEST_DATA!C19426</f>
        <v/>
      </c>
      <c r="D19426">
        <f>TEST_DATA!D19426</f>
        <v/>
      </c>
      <c r="E19426">
        <f>TEST_DATA!E19426</f>
        <v/>
      </c>
    </row>
    <row r="19427">
      <c r="A19427">
        <f>TEST_DATA!A19427</f>
        <v/>
      </c>
      <c r="B19427">
        <f>TEST_DATA!B19427</f>
        <v/>
      </c>
      <c r="C19427">
        <f>TEST_DATA!C19427</f>
        <v/>
      </c>
      <c r="D19427">
        <f>TEST_DATA!D19427</f>
        <v/>
      </c>
      <c r="E19427">
        <f>TEST_DATA!E19427</f>
        <v/>
      </c>
    </row>
    <row r="19428">
      <c r="A19428">
        <f>TEST_DATA!A19428</f>
        <v/>
      </c>
      <c r="B19428">
        <f>TEST_DATA!B19428</f>
        <v/>
      </c>
      <c r="C19428">
        <f>TEST_DATA!C19428</f>
        <v/>
      </c>
      <c r="D19428">
        <f>TEST_DATA!D19428</f>
        <v/>
      </c>
      <c r="E19428">
        <f>TEST_DATA!E19428</f>
        <v/>
      </c>
    </row>
    <row r="19429">
      <c r="A19429">
        <f>TEST_DATA!A19429</f>
        <v/>
      </c>
      <c r="B19429">
        <f>TEST_DATA!B19429</f>
        <v/>
      </c>
      <c r="C19429">
        <f>TEST_DATA!C19429</f>
        <v/>
      </c>
      <c r="D19429">
        <f>TEST_DATA!D19429</f>
        <v/>
      </c>
      <c r="E19429">
        <f>TEST_DATA!E19429</f>
        <v/>
      </c>
    </row>
    <row r="19430">
      <c r="A19430">
        <f>TEST_DATA!A19430</f>
        <v/>
      </c>
      <c r="B19430">
        <f>TEST_DATA!B19430</f>
        <v/>
      </c>
      <c r="C19430">
        <f>TEST_DATA!C19430</f>
        <v/>
      </c>
      <c r="D19430">
        <f>TEST_DATA!D19430</f>
        <v/>
      </c>
      <c r="E19430">
        <f>TEST_DATA!E19430</f>
        <v/>
      </c>
    </row>
    <row r="19431">
      <c r="A19431">
        <f>TEST_DATA!A19431</f>
        <v/>
      </c>
      <c r="B19431">
        <f>TEST_DATA!B19431</f>
        <v/>
      </c>
      <c r="C19431">
        <f>TEST_DATA!C19431</f>
        <v/>
      </c>
      <c r="D19431">
        <f>TEST_DATA!D19431</f>
        <v/>
      </c>
      <c r="E19431">
        <f>TEST_DATA!E19431</f>
        <v/>
      </c>
    </row>
    <row r="19432">
      <c r="A19432">
        <f>TEST_DATA!A19432</f>
        <v/>
      </c>
      <c r="B19432">
        <f>TEST_DATA!B19432</f>
        <v/>
      </c>
      <c r="C19432">
        <f>TEST_DATA!C19432</f>
        <v/>
      </c>
      <c r="D19432">
        <f>TEST_DATA!D19432</f>
        <v/>
      </c>
      <c r="E19432">
        <f>TEST_DATA!E19432</f>
        <v/>
      </c>
    </row>
    <row r="19433">
      <c r="A19433">
        <f>TEST_DATA!A19433</f>
        <v/>
      </c>
      <c r="B19433">
        <f>TEST_DATA!B19433</f>
        <v/>
      </c>
      <c r="C19433">
        <f>TEST_DATA!C19433</f>
        <v/>
      </c>
      <c r="D19433">
        <f>TEST_DATA!D19433</f>
        <v/>
      </c>
      <c r="E19433">
        <f>TEST_DATA!E19433</f>
        <v/>
      </c>
    </row>
    <row r="19434">
      <c r="A19434">
        <f>TEST_DATA!A19434</f>
        <v/>
      </c>
      <c r="B19434">
        <f>TEST_DATA!B19434</f>
        <v/>
      </c>
      <c r="C19434">
        <f>TEST_DATA!C19434</f>
        <v/>
      </c>
      <c r="D19434">
        <f>TEST_DATA!D19434</f>
        <v/>
      </c>
      <c r="E19434">
        <f>TEST_DATA!E19434</f>
        <v/>
      </c>
    </row>
    <row r="19435">
      <c r="A19435">
        <f>TEST_DATA!A19435</f>
        <v/>
      </c>
      <c r="B19435">
        <f>TEST_DATA!B19435</f>
        <v/>
      </c>
      <c r="C19435">
        <f>TEST_DATA!C19435</f>
        <v/>
      </c>
      <c r="D19435">
        <f>TEST_DATA!D19435</f>
        <v/>
      </c>
      <c r="E19435">
        <f>TEST_DATA!E19435</f>
        <v/>
      </c>
    </row>
    <row r="19436">
      <c r="A19436">
        <f>TEST_DATA!A19436</f>
        <v/>
      </c>
      <c r="B19436">
        <f>TEST_DATA!B19436</f>
        <v/>
      </c>
      <c r="C19436">
        <f>TEST_DATA!C19436</f>
        <v/>
      </c>
      <c r="D19436">
        <f>TEST_DATA!D19436</f>
        <v/>
      </c>
      <c r="E19436">
        <f>TEST_DATA!E19436</f>
        <v/>
      </c>
    </row>
    <row r="19437">
      <c r="A19437">
        <f>TEST_DATA!A19437</f>
        <v/>
      </c>
      <c r="B19437">
        <f>TEST_DATA!B19437</f>
        <v/>
      </c>
      <c r="C19437">
        <f>TEST_DATA!C19437</f>
        <v/>
      </c>
      <c r="D19437">
        <f>TEST_DATA!D19437</f>
        <v/>
      </c>
      <c r="E19437">
        <f>TEST_DATA!E19437</f>
        <v/>
      </c>
    </row>
    <row r="19438">
      <c r="A19438">
        <f>TEST_DATA!A19438</f>
        <v/>
      </c>
      <c r="B19438">
        <f>TEST_DATA!B19438</f>
        <v/>
      </c>
      <c r="C19438">
        <f>TEST_DATA!C19438</f>
        <v/>
      </c>
      <c r="D19438">
        <f>TEST_DATA!D19438</f>
        <v/>
      </c>
      <c r="E19438">
        <f>TEST_DATA!E19438</f>
        <v/>
      </c>
    </row>
    <row r="19439">
      <c r="A19439">
        <f>TEST_DATA!A19439</f>
        <v/>
      </c>
      <c r="B19439">
        <f>TEST_DATA!B19439</f>
        <v/>
      </c>
      <c r="C19439">
        <f>TEST_DATA!C19439</f>
        <v/>
      </c>
      <c r="D19439">
        <f>TEST_DATA!D19439</f>
        <v/>
      </c>
      <c r="E19439">
        <f>TEST_DATA!E19439</f>
        <v/>
      </c>
    </row>
    <row r="19440">
      <c r="A19440">
        <f>TEST_DATA!A19440</f>
        <v/>
      </c>
      <c r="B19440">
        <f>TEST_DATA!B19440</f>
        <v/>
      </c>
      <c r="C19440">
        <f>TEST_DATA!C19440</f>
        <v/>
      </c>
      <c r="D19440">
        <f>TEST_DATA!D19440</f>
        <v/>
      </c>
      <c r="E19440">
        <f>TEST_DATA!E19440</f>
        <v/>
      </c>
    </row>
    <row r="19441">
      <c r="A19441">
        <f>TEST_DATA!A19441</f>
        <v/>
      </c>
      <c r="B19441">
        <f>TEST_DATA!B19441</f>
        <v/>
      </c>
      <c r="C19441">
        <f>TEST_DATA!C19441</f>
        <v/>
      </c>
      <c r="D19441">
        <f>TEST_DATA!D19441</f>
        <v/>
      </c>
      <c r="E19441">
        <f>TEST_DATA!E19441</f>
        <v/>
      </c>
    </row>
    <row r="19442">
      <c r="A19442">
        <f>TEST_DATA!A19442</f>
        <v/>
      </c>
      <c r="B19442">
        <f>TEST_DATA!B19442</f>
        <v/>
      </c>
      <c r="C19442">
        <f>TEST_DATA!C19442</f>
        <v/>
      </c>
      <c r="D19442">
        <f>TEST_DATA!D19442</f>
        <v/>
      </c>
      <c r="E19442">
        <f>TEST_DATA!E19442</f>
        <v/>
      </c>
    </row>
    <row r="19443">
      <c r="A19443">
        <f>TEST_DATA!A19443</f>
        <v/>
      </c>
      <c r="B19443">
        <f>TEST_DATA!B19443</f>
        <v/>
      </c>
      <c r="C19443">
        <f>TEST_DATA!C19443</f>
        <v/>
      </c>
      <c r="D19443">
        <f>TEST_DATA!D19443</f>
        <v/>
      </c>
      <c r="E19443">
        <f>TEST_DATA!E19443</f>
        <v/>
      </c>
    </row>
    <row r="19444">
      <c r="A19444">
        <f>TEST_DATA!A19444</f>
        <v/>
      </c>
      <c r="B19444">
        <f>TEST_DATA!B19444</f>
        <v/>
      </c>
      <c r="C19444">
        <f>TEST_DATA!C19444</f>
        <v/>
      </c>
      <c r="D19444">
        <f>TEST_DATA!D19444</f>
        <v/>
      </c>
      <c r="E19444">
        <f>TEST_DATA!E19444</f>
        <v/>
      </c>
    </row>
    <row r="19445">
      <c r="A19445">
        <f>TEST_DATA!A19445</f>
        <v/>
      </c>
      <c r="B19445">
        <f>TEST_DATA!B19445</f>
        <v/>
      </c>
      <c r="C19445">
        <f>TEST_DATA!C19445</f>
        <v/>
      </c>
      <c r="D19445">
        <f>TEST_DATA!D19445</f>
        <v/>
      </c>
      <c r="E19445">
        <f>TEST_DATA!E19445</f>
        <v/>
      </c>
    </row>
    <row r="19446">
      <c r="A19446">
        <f>TEST_DATA!A19446</f>
        <v/>
      </c>
      <c r="B19446">
        <f>TEST_DATA!B19446</f>
        <v/>
      </c>
      <c r="C19446">
        <f>TEST_DATA!C19446</f>
        <v/>
      </c>
      <c r="D19446">
        <f>TEST_DATA!D19446</f>
        <v/>
      </c>
      <c r="E19446">
        <f>TEST_DATA!E19446</f>
        <v/>
      </c>
    </row>
    <row r="19447">
      <c r="A19447">
        <f>TEST_DATA!A19447</f>
        <v/>
      </c>
      <c r="B19447">
        <f>TEST_DATA!B19447</f>
        <v/>
      </c>
      <c r="C19447">
        <f>TEST_DATA!C19447</f>
        <v/>
      </c>
      <c r="D19447">
        <f>TEST_DATA!D19447</f>
        <v/>
      </c>
      <c r="E19447">
        <f>TEST_DATA!E19447</f>
        <v/>
      </c>
    </row>
    <row r="19448">
      <c r="A19448">
        <f>TEST_DATA!A19448</f>
        <v/>
      </c>
      <c r="B19448">
        <f>TEST_DATA!B19448</f>
        <v/>
      </c>
      <c r="C19448">
        <f>TEST_DATA!C19448</f>
        <v/>
      </c>
      <c r="D19448">
        <f>TEST_DATA!D19448</f>
        <v/>
      </c>
      <c r="E19448">
        <f>TEST_DATA!E19448</f>
        <v/>
      </c>
    </row>
    <row r="19449">
      <c r="A19449">
        <f>TEST_DATA!A19449</f>
        <v/>
      </c>
      <c r="B19449">
        <f>TEST_DATA!B19449</f>
        <v/>
      </c>
      <c r="C19449">
        <f>TEST_DATA!C19449</f>
        <v/>
      </c>
      <c r="D19449">
        <f>TEST_DATA!D19449</f>
        <v/>
      </c>
      <c r="E19449">
        <f>TEST_DATA!E19449</f>
        <v/>
      </c>
    </row>
    <row r="19450">
      <c r="A19450">
        <f>TEST_DATA!A19450</f>
        <v/>
      </c>
      <c r="B19450">
        <f>TEST_DATA!B19450</f>
        <v/>
      </c>
      <c r="C19450">
        <f>TEST_DATA!C19450</f>
        <v/>
      </c>
      <c r="D19450">
        <f>TEST_DATA!D19450</f>
        <v/>
      </c>
      <c r="E19450">
        <f>TEST_DATA!E19450</f>
        <v/>
      </c>
    </row>
    <row r="19451">
      <c r="A19451">
        <f>TEST_DATA!A19451</f>
        <v/>
      </c>
      <c r="B19451">
        <f>TEST_DATA!B19451</f>
        <v/>
      </c>
      <c r="C19451">
        <f>TEST_DATA!C19451</f>
        <v/>
      </c>
      <c r="D19451">
        <f>TEST_DATA!D19451</f>
        <v/>
      </c>
      <c r="E19451">
        <f>TEST_DATA!E19451</f>
        <v/>
      </c>
    </row>
    <row r="19452">
      <c r="A19452">
        <f>TEST_DATA!A19452</f>
        <v/>
      </c>
      <c r="B19452">
        <f>TEST_DATA!B19452</f>
        <v/>
      </c>
      <c r="C19452">
        <f>TEST_DATA!C19452</f>
        <v/>
      </c>
      <c r="D19452">
        <f>TEST_DATA!D19452</f>
        <v/>
      </c>
      <c r="E19452">
        <f>TEST_DATA!E19452</f>
        <v/>
      </c>
    </row>
    <row r="19453">
      <c r="A19453">
        <f>TEST_DATA!A19453</f>
        <v/>
      </c>
      <c r="B19453">
        <f>TEST_DATA!B19453</f>
        <v/>
      </c>
      <c r="C19453">
        <f>TEST_DATA!C19453</f>
        <v/>
      </c>
      <c r="D19453">
        <f>TEST_DATA!D19453</f>
        <v/>
      </c>
      <c r="E19453">
        <f>TEST_DATA!E19453</f>
        <v/>
      </c>
    </row>
    <row r="19454">
      <c r="A19454">
        <f>TEST_DATA!A19454</f>
        <v/>
      </c>
      <c r="B19454">
        <f>TEST_DATA!B19454</f>
        <v/>
      </c>
      <c r="C19454">
        <f>TEST_DATA!C19454</f>
        <v/>
      </c>
      <c r="D19454">
        <f>TEST_DATA!D19454</f>
        <v/>
      </c>
      <c r="E19454">
        <f>TEST_DATA!E19454</f>
        <v/>
      </c>
    </row>
    <row r="19455">
      <c r="A19455">
        <f>TEST_DATA!A19455</f>
        <v/>
      </c>
      <c r="B19455">
        <f>TEST_DATA!B19455</f>
        <v/>
      </c>
      <c r="C19455">
        <f>TEST_DATA!C19455</f>
        <v/>
      </c>
      <c r="D19455">
        <f>TEST_DATA!D19455</f>
        <v/>
      </c>
      <c r="E19455">
        <f>TEST_DATA!E19455</f>
        <v/>
      </c>
    </row>
    <row r="19456">
      <c r="A19456">
        <f>TEST_DATA!A19456</f>
        <v/>
      </c>
      <c r="B19456">
        <f>TEST_DATA!B19456</f>
        <v/>
      </c>
      <c r="C19456">
        <f>TEST_DATA!C19456</f>
        <v/>
      </c>
      <c r="D19456">
        <f>TEST_DATA!D19456</f>
        <v/>
      </c>
      <c r="E19456">
        <f>TEST_DATA!E19456</f>
        <v/>
      </c>
    </row>
    <row r="19457">
      <c r="A19457">
        <f>TEST_DATA!A19457</f>
        <v/>
      </c>
      <c r="B19457">
        <f>TEST_DATA!B19457</f>
        <v/>
      </c>
      <c r="C19457">
        <f>TEST_DATA!C19457</f>
        <v/>
      </c>
      <c r="D19457">
        <f>TEST_DATA!D19457</f>
        <v/>
      </c>
      <c r="E19457">
        <f>TEST_DATA!E19457</f>
        <v/>
      </c>
    </row>
    <row r="19458">
      <c r="A19458">
        <f>TEST_DATA!A19458</f>
        <v/>
      </c>
      <c r="B19458">
        <f>TEST_DATA!B19458</f>
        <v/>
      </c>
      <c r="C19458">
        <f>TEST_DATA!C19458</f>
        <v/>
      </c>
      <c r="D19458">
        <f>TEST_DATA!D19458</f>
        <v/>
      </c>
      <c r="E19458">
        <f>TEST_DATA!E19458</f>
        <v/>
      </c>
    </row>
    <row r="19459">
      <c r="A19459">
        <f>TEST_DATA!A19459</f>
        <v/>
      </c>
      <c r="B19459">
        <f>TEST_DATA!B19459</f>
        <v/>
      </c>
      <c r="C19459">
        <f>TEST_DATA!C19459</f>
        <v/>
      </c>
      <c r="D19459">
        <f>TEST_DATA!D19459</f>
        <v/>
      </c>
      <c r="E19459">
        <f>TEST_DATA!E19459</f>
        <v/>
      </c>
    </row>
    <row r="19460">
      <c r="A19460">
        <f>TEST_DATA!A19460</f>
        <v/>
      </c>
      <c r="B19460">
        <f>TEST_DATA!B19460</f>
        <v/>
      </c>
      <c r="C19460">
        <f>TEST_DATA!C19460</f>
        <v/>
      </c>
      <c r="D19460">
        <f>TEST_DATA!D19460</f>
        <v/>
      </c>
      <c r="E19460">
        <f>TEST_DATA!E19460</f>
        <v/>
      </c>
    </row>
    <row r="19461">
      <c r="A19461">
        <f>TEST_DATA!A19461</f>
        <v/>
      </c>
      <c r="B19461">
        <f>TEST_DATA!B19461</f>
        <v/>
      </c>
      <c r="C19461">
        <f>TEST_DATA!C19461</f>
        <v/>
      </c>
      <c r="D19461">
        <f>TEST_DATA!D19461</f>
        <v/>
      </c>
      <c r="E19461">
        <f>TEST_DATA!E19461</f>
        <v/>
      </c>
    </row>
    <row r="19462">
      <c r="A19462">
        <f>TEST_DATA!A19462</f>
        <v/>
      </c>
      <c r="B19462">
        <f>TEST_DATA!B19462</f>
        <v/>
      </c>
      <c r="C19462">
        <f>TEST_DATA!C19462</f>
        <v/>
      </c>
      <c r="D19462">
        <f>TEST_DATA!D19462</f>
        <v/>
      </c>
      <c r="E19462">
        <f>TEST_DATA!E19462</f>
        <v/>
      </c>
    </row>
    <row r="19463">
      <c r="A19463">
        <f>TEST_DATA!A19463</f>
        <v/>
      </c>
      <c r="B19463">
        <f>TEST_DATA!B19463</f>
        <v/>
      </c>
      <c r="C19463">
        <f>TEST_DATA!C19463</f>
        <v/>
      </c>
      <c r="D19463">
        <f>TEST_DATA!D19463</f>
        <v/>
      </c>
      <c r="E19463">
        <f>TEST_DATA!E19463</f>
        <v/>
      </c>
    </row>
    <row r="19464">
      <c r="A19464">
        <f>TEST_DATA!A19464</f>
        <v/>
      </c>
      <c r="B19464">
        <f>TEST_DATA!B19464</f>
        <v/>
      </c>
      <c r="C19464">
        <f>TEST_DATA!C19464</f>
        <v/>
      </c>
      <c r="D19464">
        <f>TEST_DATA!D19464</f>
        <v/>
      </c>
      <c r="E19464">
        <f>TEST_DATA!E19464</f>
        <v/>
      </c>
    </row>
    <row r="19465">
      <c r="A19465">
        <f>TEST_DATA!A19465</f>
        <v/>
      </c>
      <c r="B19465">
        <f>TEST_DATA!B19465</f>
        <v/>
      </c>
      <c r="C19465">
        <f>TEST_DATA!C19465</f>
        <v/>
      </c>
      <c r="D19465">
        <f>TEST_DATA!D19465</f>
        <v/>
      </c>
      <c r="E19465">
        <f>TEST_DATA!E19465</f>
        <v/>
      </c>
    </row>
    <row r="19466">
      <c r="A19466">
        <f>TEST_DATA!A19466</f>
        <v/>
      </c>
      <c r="B19466">
        <f>TEST_DATA!B19466</f>
        <v/>
      </c>
      <c r="C19466">
        <f>TEST_DATA!C19466</f>
        <v/>
      </c>
      <c r="D19466">
        <f>TEST_DATA!D19466</f>
        <v/>
      </c>
      <c r="E19466">
        <f>TEST_DATA!E19466</f>
        <v/>
      </c>
    </row>
    <row r="19467">
      <c r="A19467">
        <f>TEST_DATA!A19467</f>
        <v/>
      </c>
      <c r="B19467">
        <f>TEST_DATA!B19467</f>
        <v/>
      </c>
      <c r="C19467">
        <f>TEST_DATA!C19467</f>
        <v/>
      </c>
      <c r="D19467">
        <f>TEST_DATA!D19467</f>
        <v/>
      </c>
      <c r="E19467">
        <f>TEST_DATA!E19467</f>
        <v/>
      </c>
    </row>
    <row r="19468">
      <c r="A19468">
        <f>TEST_DATA!A19468</f>
        <v/>
      </c>
      <c r="B19468">
        <f>TEST_DATA!B19468</f>
        <v/>
      </c>
      <c r="C19468">
        <f>TEST_DATA!C19468</f>
        <v/>
      </c>
      <c r="D19468">
        <f>TEST_DATA!D19468</f>
        <v/>
      </c>
      <c r="E19468">
        <f>TEST_DATA!E19468</f>
        <v/>
      </c>
    </row>
    <row r="19469">
      <c r="A19469">
        <f>TEST_DATA!A19469</f>
        <v/>
      </c>
      <c r="B19469">
        <f>TEST_DATA!B19469</f>
        <v/>
      </c>
      <c r="C19469">
        <f>TEST_DATA!C19469</f>
        <v/>
      </c>
      <c r="D19469">
        <f>TEST_DATA!D19469</f>
        <v/>
      </c>
      <c r="E19469">
        <f>TEST_DATA!E19469</f>
        <v/>
      </c>
    </row>
    <row r="19470">
      <c r="A19470">
        <f>TEST_DATA!A19470</f>
        <v/>
      </c>
      <c r="B19470">
        <f>TEST_DATA!B19470</f>
        <v/>
      </c>
      <c r="C19470">
        <f>TEST_DATA!C19470</f>
        <v/>
      </c>
      <c r="D19470">
        <f>TEST_DATA!D19470</f>
        <v/>
      </c>
      <c r="E19470">
        <f>TEST_DATA!E19470</f>
        <v/>
      </c>
    </row>
    <row r="19471">
      <c r="A19471">
        <f>TEST_DATA!A19471</f>
        <v/>
      </c>
      <c r="B19471">
        <f>TEST_DATA!B19471</f>
        <v/>
      </c>
      <c r="C19471">
        <f>TEST_DATA!C19471</f>
        <v/>
      </c>
      <c r="D19471">
        <f>TEST_DATA!D19471</f>
        <v/>
      </c>
      <c r="E19471">
        <f>TEST_DATA!E19471</f>
        <v/>
      </c>
    </row>
    <row r="19472">
      <c r="A19472">
        <f>TEST_DATA!A19472</f>
        <v/>
      </c>
      <c r="B19472">
        <f>TEST_DATA!B19472</f>
        <v/>
      </c>
      <c r="C19472">
        <f>TEST_DATA!C19472</f>
        <v/>
      </c>
      <c r="D19472">
        <f>TEST_DATA!D19472</f>
        <v/>
      </c>
      <c r="E19472">
        <f>TEST_DATA!E19472</f>
        <v/>
      </c>
    </row>
    <row r="19473">
      <c r="A19473">
        <f>TEST_DATA!A19473</f>
        <v/>
      </c>
      <c r="B19473">
        <f>TEST_DATA!B19473</f>
        <v/>
      </c>
      <c r="C19473">
        <f>TEST_DATA!C19473</f>
        <v/>
      </c>
      <c r="D19473">
        <f>TEST_DATA!D19473</f>
        <v/>
      </c>
      <c r="E19473">
        <f>TEST_DATA!E19473</f>
        <v/>
      </c>
    </row>
    <row r="19474">
      <c r="A19474">
        <f>TEST_DATA!A19474</f>
        <v/>
      </c>
      <c r="B19474">
        <f>TEST_DATA!B19474</f>
        <v/>
      </c>
      <c r="C19474">
        <f>TEST_DATA!C19474</f>
        <v/>
      </c>
      <c r="D19474">
        <f>TEST_DATA!D19474</f>
        <v/>
      </c>
      <c r="E19474">
        <f>TEST_DATA!E19474</f>
        <v/>
      </c>
    </row>
    <row r="19475">
      <c r="A19475">
        <f>TEST_DATA!A19475</f>
        <v/>
      </c>
      <c r="B19475">
        <f>TEST_DATA!B19475</f>
        <v/>
      </c>
      <c r="C19475">
        <f>TEST_DATA!C19475</f>
        <v/>
      </c>
      <c r="D19475">
        <f>TEST_DATA!D19475</f>
        <v/>
      </c>
      <c r="E19475">
        <f>TEST_DATA!E19475</f>
        <v/>
      </c>
    </row>
    <row r="19476">
      <c r="A19476">
        <f>TEST_DATA!A19476</f>
        <v/>
      </c>
      <c r="B19476">
        <f>TEST_DATA!B19476</f>
        <v/>
      </c>
      <c r="C19476">
        <f>TEST_DATA!C19476</f>
        <v/>
      </c>
      <c r="D19476">
        <f>TEST_DATA!D19476</f>
        <v/>
      </c>
      <c r="E19476">
        <f>TEST_DATA!E19476</f>
        <v/>
      </c>
    </row>
    <row r="19477">
      <c r="A19477">
        <f>TEST_DATA!A19477</f>
        <v/>
      </c>
      <c r="B19477">
        <f>TEST_DATA!B19477</f>
        <v/>
      </c>
      <c r="C19477">
        <f>TEST_DATA!C19477</f>
        <v/>
      </c>
      <c r="D19477">
        <f>TEST_DATA!D19477</f>
        <v/>
      </c>
      <c r="E19477">
        <f>TEST_DATA!E19477</f>
        <v/>
      </c>
    </row>
    <row r="19478">
      <c r="A19478">
        <f>TEST_DATA!A19478</f>
        <v/>
      </c>
      <c r="B19478">
        <f>TEST_DATA!B19478</f>
        <v/>
      </c>
      <c r="C19478">
        <f>TEST_DATA!C19478</f>
        <v/>
      </c>
      <c r="D19478">
        <f>TEST_DATA!D19478</f>
        <v/>
      </c>
      <c r="E19478">
        <f>TEST_DATA!E19478</f>
        <v/>
      </c>
    </row>
    <row r="19479">
      <c r="A19479">
        <f>TEST_DATA!A19479</f>
        <v/>
      </c>
      <c r="B19479">
        <f>TEST_DATA!B19479</f>
        <v/>
      </c>
      <c r="C19479">
        <f>TEST_DATA!C19479</f>
        <v/>
      </c>
      <c r="D19479">
        <f>TEST_DATA!D19479</f>
        <v/>
      </c>
      <c r="E19479">
        <f>TEST_DATA!E19479</f>
        <v/>
      </c>
    </row>
    <row r="19480">
      <c r="A19480">
        <f>TEST_DATA!A19480</f>
        <v/>
      </c>
      <c r="B19480">
        <f>TEST_DATA!B19480</f>
        <v/>
      </c>
      <c r="C19480">
        <f>TEST_DATA!C19480</f>
        <v/>
      </c>
      <c r="D19480">
        <f>TEST_DATA!D19480</f>
        <v/>
      </c>
      <c r="E19480">
        <f>TEST_DATA!E19480</f>
        <v/>
      </c>
    </row>
    <row r="19481">
      <c r="A19481">
        <f>TEST_DATA!A19481</f>
        <v/>
      </c>
      <c r="B19481">
        <f>TEST_DATA!B19481</f>
        <v/>
      </c>
      <c r="C19481">
        <f>TEST_DATA!C19481</f>
        <v/>
      </c>
      <c r="D19481">
        <f>TEST_DATA!D19481</f>
        <v/>
      </c>
      <c r="E19481">
        <f>TEST_DATA!E19481</f>
        <v/>
      </c>
    </row>
    <row r="19482">
      <c r="A19482">
        <f>TEST_DATA!A19482</f>
        <v/>
      </c>
      <c r="B19482">
        <f>TEST_DATA!B19482</f>
        <v/>
      </c>
      <c r="C19482">
        <f>TEST_DATA!C19482</f>
        <v/>
      </c>
      <c r="D19482">
        <f>TEST_DATA!D19482</f>
        <v/>
      </c>
      <c r="E19482">
        <f>TEST_DATA!E19482</f>
        <v/>
      </c>
    </row>
    <row r="19483">
      <c r="A19483">
        <f>TEST_DATA!A19483</f>
        <v/>
      </c>
      <c r="B19483">
        <f>TEST_DATA!B19483</f>
        <v/>
      </c>
      <c r="C19483">
        <f>TEST_DATA!C19483</f>
        <v/>
      </c>
      <c r="D19483">
        <f>TEST_DATA!D19483</f>
        <v/>
      </c>
      <c r="E19483">
        <f>TEST_DATA!E19483</f>
        <v/>
      </c>
    </row>
    <row r="19484">
      <c r="A19484">
        <f>TEST_DATA!A19484</f>
        <v/>
      </c>
      <c r="B19484">
        <f>TEST_DATA!B19484</f>
        <v/>
      </c>
      <c r="C19484">
        <f>TEST_DATA!C19484</f>
        <v/>
      </c>
      <c r="D19484">
        <f>TEST_DATA!D19484</f>
        <v/>
      </c>
      <c r="E19484">
        <f>TEST_DATA!E19484</f>
        <v/>
      </c>
    </row>
    <row r="19485">
      <c r="A19485">
        <f>TEST_DATA!A19485</f>
        <v/>
      </c>
      <c r="B19485">
        <f>TEST_DATA!B19485</f>
        <v/>
      </c>
      <c r="C19485">
        <f>TEST_DATA!C19485</f>
        <v/>
      </c>
      <c r="D19485">
        <f>TEST_DATA!D19485</f>
        <v/>
      </c>
      <c r="E19485">
        <f>TEST_DATA!E19485</f>
        <v/>
      </c>
    </row>
    <row r="19486">
      <c r="A19486">
        <f>TEST_DATA!A19486</f>
        <v/>
      </c>
      <c r="B19486">
        <f>TEST_DATA!B19486</f>
        <v/>
      </c>
      <c r="C19486">
        <f>TEST_DATA!C19486</f>
        <v/>
      </c>
      <c r="D19486">
        <f>TEST_DATA!D19486</f>
        <v/>
      </c>
      <c r="E19486">
        <f>TEST_DATA!E19486</f>
        <v/>
      </c>
    </row>
    <row r="19487">
      <c r="A19487">
        <f>TEST_DATA!A19487</f>
        <v/>
      </c>
      <c r="B19487">
        <f>TEST_DATA!B19487</f>
        <v/>
      </c>
      <c r="C19487">
        <f>TEST_DATA!C19487</f>
        <v/>
      </c>
      <c r="D19487">
        <f>TEST_DATA!D19487</f>
        <v/>
      </c>
      <c r="E19487">
        <f>TEST_DATA!E19487</f>
        <v/>
      </c>
    </row>
    <row r="19488">
      <c r="A19488">
        <f>TEST_DATA!A19488</f>
        <v/>
      </c>
      <c r="B19488">
        <f>TEST_DATA!B19488</f>
        <v/>
      </c>
      <c r="C19488">
        <f>TEST_DATA!C19488</f>
        <v/>
      </c>
      <c r="D19488">
        <f>TEST_DATA!D19488</f>
        <v/>
      </c>
      <c r="E19488">
        <f>TEST_DATA!E19488</f>
        <v/>
      </c>
    </row>
    <row r="19489">
      <c r="A19489">
        <f>TEST_DATA!A19489</f>
        <v/>
      </c>
      <c r="B19489">
        <f>TEST_DATA!B19489</f>
        <v/>
      </c>
      <c r="C19489">
        <f>TEST_DATA!C19489</f>
        <v/>
      </c>
      <c r="D19489">
        <f>TEST_DATA!D19489</f>
        <v/>
      </c>
      <c r="E19489">
        <f>TEST_DATA!E19489</f>
        <v/>
      </c>
    </row>
    <row r="19490">
      <c r="A19490">
        <f>TEST_DATA!A19490</f>
        <v/>
      </c>
      <c r="B19490">
        <f>TEST_DATA!B19490</f>
        <v/>
      </c>
      <c r="C19490">
        <f>TEST_DATA!C19490</f>
        <v/>
      </c>
      <c r="D19490">
        <f>TEST_DATA!D19490</f>
        <v/>
      </c>
      <c r="E19490">
        <f>TEST_DATA!E19490</f>
        <v/>
      </c>
    </row>
    <row r="19491">
      <c r="A19491">
        <f>TEST_DATA!A19491</f>
        <v/>
      </c>
      <c r="B19491">
        <f>TEST_DATA!B19491</f>
        <v/>
      </c>
      <c r="C19491">
        <f>TEST_DATA!C19491</f>
        <v/>
      </c>
      <c r="D19491">
        <f>TEST_DATA!D19491</f>
        <v/>
      </c>
      <c r="E19491">
        <f>TEST_DATA!E19491</f>
        <v/>
      </c>
    </row>
    <row r="19492">
      <c r="A19492">
        <f>TEST_DATA!A19492</f>
        <v/>
      </c>
      <c r="B19492">
        <f>TEST_DATA!B19492</f>
        <v/>
      </c>
      <c r="C19492">
        <f>TEST_DATA!C19492</f>
        <v/>
      </c>
      <c r="D19492">
        <f>TEST_DATA!D19492</f>
        <v/>
      </c>
      <c r="E19492">
        <f>TEST_DATA!E19492</f>
        <v/>
      </c>
    </row>
    <row r="19493">
      <c r="A19493">
        <f>TEST_DATA!A19493</f>
        <v/>
      </c>
      <c r="B19493">
        <f>TEST_DATA!B19493</f>
        <v/>
      </c>
      <c r="C19493">
        <f>TEST_DATA!C19493</f>
        <v/>
      </c>
      <c r="D19493">
        <f>TEST_DATA!D19493</f>
        <v/>
      </c>
      <c r="E19493">
        <f>TEST_DATA!E19493</f>
        <v/>
      </c>
    </row>
    <row r="19494">
      <c r="A19494">
        <f>TEST_DATA!A19494</f>
        <v/>
      </c>
      <c r="B19494">
        <f>TEST_DATA!B19494</f>
        <v/>
      </c>
      <c r="C19494">
        <f>TEST_DATA!C19494</f>
        <v/>
      </c>
      <c r="D19494">
        <f>TEST_DATA!D19494</f>
        <v/>
      </c>
      <c r="E19494">
        <f>TEST_DATA!E19494</f>
        <v/>
      </c>
    </row>
    <row r="19495">
      <c r="A19495">
        <f>TEST_DATA!A19495</f>
        <v/>
      </c>
      <c r="B19495">
        <f>TEST_DATA!B19495</f>
        <v/>
      </c>
      <c r="C19495">
        <f>TEST_DATA!C19495</f>
        <v/>
      </c>
      <c r="D19495">
        <f>TEST_DATA!D19495</f>
        <v/>
      </c>
      <c r="E19495">
        <f>TEST_DATA!E19495</f>
        <v/>
      </c>
    </row>
    <row r="19496">
      <c r="A19496">
        <f>TEST_DATA!A19496</f>
        <v/>
      </c>
      <c r="B19496">
        <f>TEST_DATA!B19496</f>
        <v/>
      </c>
      <c r="C19496">
        <f>TEST_DATA!C19496</f>
        <v/>
      </c>
      <c r="D19496">
        <f>TEST_DATA!D19496</f>
        <v/>
      </c>
      <c r="E19496">
        <f>TEST_DATA!E19496</f>
        <v/>
      </c>
    </row>
    <row r="19497">
      <c r="A19497">
        <f>TEST_DATA!A19497</f>
        <v/>
      </c>
      <c r="B19497">
        <f>TEST_DATA!B19497</f>
        <v/>
      </c>
      <c r="C19497">
        <f>TEST_DATA!C19497</f>
        <v/>
      </c>
      <c r="D19497">
        <f>TEST_DATA!D19497</f>
        <v/>
      </c>
      <c r="E19497">
        <f>TEST_DATA!E19497</f>
        <v/>
      </c>
    </row>
    <row r="19498">
      <c r="A19498">
        <f>TEST_DATA!A19498</f>
        <v/>
      </c>
      <c r="B19498">
        <f>TEST_DATA!B19498</f>
        <v/>
      </c>
      <c r="C19498">
        <f>TEST_DATA!C19498</f>
        <v/>
      </c>
      <c r="D19498">
        <f>TEST_DATA!D19498</f>
        <v/>
      </c>
      <c r="E19498">
        <f>TEST_DATA!E19498</f>
        <v/>
      </c>
    </row>
    <row r="19499">
      <c r="A19499">
        <f>TEST_DATA!A19499</f>
        <v/>
      </c>
      <c r="B19499">
        <f>TEST_DATA!B19499</f>
        <v/>
      </c>
      <c r="C19499">
        <f>TEST_DATA!C19499</f>
        <v/>
      </c>
      <c r="D19499">
        <f>TEST_DATA!D19499</f>
        <v/>
      </c>
      <c r="E19499">
        <f>TEST_DATA!E19499</f>
        <v/>
      </c>
    </row>
    <row r="19500">
      <c r="A19500">
        <f>TEST_DATA!A19500</f>
        <v/>
      </c>
      <c r="B19500">
        <f>TEST_DATA!B19500</f>
        <v/>
      </c>
      <c r="C19500">
        <f>TEST_DATA!C19500</f>
        <v/>
      </c>
      <c r="D19500">
        <f>TEST_DATA!D19500</f>
        <v/>
      </c>
      <c r="E19500">
        <f>TEST_DATA!E19500</f>
        <v/>
      </c>
    </row>
    <row r="19501">
      <c r="A19501">
        <f>TEST_DATA!A19501</f>
        <v/>
      </c>
      <c r="B19501">
        <f>TEST_DATA!B19501</f>
        <v/>
      </c>
      <c r="C19501">
        <f>TEST_DATA!C19501</f>
        <v/>
      </c>
      <c r="D19501">
        <f>TEST_DATA!D19501</f>
        <v/>
      </c>
      <c r="E19501">
        <f>TEST_DATA!E19501</f>
        <v/>
      </c>
    </row>
    <row r="19502">
      <c r="A19502">
        <f>TEST_DATA!A19502</f>
        <v/>
      </c>
      <c r="B19502">
        <f>TEST_DATA!B19502</f>
        <v/>
      </c>
      <c r="C19502">
        <f>TEST_DATA!C19502</f>
        <v/>
      </c>
      <c r="D19502">
        <f>TEST_DATA!D19502</f>
        <v/>
      </c>
      <c r="E19502">
        <f>TEST_DATA!E19502</f>
        <v/>
      </c>
    </row>
    <row r="19503">
      <c r="A19503">
        <f>TEST_DATA!A19503</f>
        <v/>
      </c>
      <c r="B19503">
        <f>TEST_DATA!B19503</f>
        <v/>
      </c>
      <c r="C19503">
        <f>TEST_DATA!C19503</f>
        <v/>
      </c>
      <c r="D19503">
        <f>TEST_DATA!D19503</f>
        <v/>
      </c>
      <c r="E19503">
        <f>TEST_DATA!E19503</f>
        <v/>
      </c>
    </row>
    <row r="19504">
      <c r="A19504">
        <f>TEST_DATA!A19504</f>
        <v/>
      </c>
      <c r="B19504">
        <f>TEST_DATA!B19504</f>
        <v/>
      </c>
      <c r="C19504">
        <f>TEST_DATA!C19504</f>
        <v/>
      </c>
      <c r="D19504">
        <f>TEST_DATA!D19504</f>
        <v/>
      </c>
      <c r="E19504">
        <f>TEST_DATA!E19504</f>
        <v/>
      </c>
    </row>
    <row r="19505">
      <c r="A19505">
        <f>TEST_DATA!A19505</f>
        <v/>
      </c>
      <c r="B19505">
        <f>TEST_DATA!B19505</f>
        <v/>
      </c>
      <c r="C19505">
        <f>TEST_DATA!C19505</f>
        <v/>
      </c>
      <c r="D19505">
        <f>TEST_DATA!D19505</f>
        <v/>
      </c>
      <c r="E19505">
        <f>TEST_DATA!E19505</f>
        <v/>
      </c>
    </row>
    <row r="19506">
      <c r="A19506">
        <f>TEST_DATA!A19506</f>
        <v/>
      </c>
      <c r="B19506">
        <f>TEST_DATA!B19506</f>
        <v/>
      </c>
      <c r="C19506">
        <f>TEST_DATA!C19506</f>
        <v/>
      </c>
      <c r="D19506">
        <f>TEST_DATA!D19506</f>
        <v/>
      </c>
      <c r="E19506">
        <f>TEST_DATA!E19506</f>
        <v/>
      </c>
    </row>
    <row r="19507">
      <c r="A19507">
        <f>TEST_DATA!A19507</f>
        <v/>
      </c>
      <c r="B19507">
        <f>TEST_DATA!B19507</f>
        <v/>
      </c>
      <c r="C19507">
        <f>TEST_DATA!C19507</f>
        <v/>
      </c>
      <c r="D19507">
        <f>TEST_DATA!D19507</f>
        <v/>
      </c>
      <c r="E19507">
        <f>TEST_DATA!E19507</f>
        <v/>
      </c>
    </row>
    <row r="19508">
      <c r="A19508">
        <f>TEST_DATA!A19508</f>
        <v/>
      </c>
      <c r="B19508">
        <f>TEST_DATA!B19508</f>
        <v/>
      </c>
      <c r="C19508">
        <f>TEST_DATA!C19508</f>
        <v/>
      </c>
      <c r="D19508">
        <f>TEST_DATA!D19508</f>
        <v/>
      </c>
      <c r="E19508">
        <f>TEST_DATA!E19508</f>
        <v/>
      </c>
    </row>
    <row r="19509">
      <c r="A19509">
        <f>TEST_DATA!A19509</f>
        <v/>
      </c>
      <c r="B19509">
        <f>TEST_DATA!B19509</f>
        <v/>
      </c>
      <c r="C19509">
        <f>TEST_DATA!C19509</f>
        <v/>
      </c>
      <c r="D19509">
        <f>TEST_DATA!D19509</f>
        <v/>
      </c>
      <c r="E19509">
        <f>TEST_DATA!E19509</f>
        <v/>
      </c>
    </row>
    <row r="19510">
      <c r="A19510">
        <f>TEST_DATA!A19510</f>
        <v/>
      </c>
      <c r="B19510">
        <f>TEST_DATA!B19510</f>
        <v/>
      </c>
      <c r="C19510">
        <f>TEST_DATA!C19510</f>
        <v/>
      </c>
      <c r="D19510">
        <f>TEST_DATA!D19510</f>
        <v/>
      </c>
      <c r="E19510">
        <f>TEST_DATA!E19510</f>
        <v/>
      </c>
    </row>
    <row r="19511">
      <c r="A19511">
        <f>TEST_DATA!A19511</f>
        <v/>
      </c>
      <c r="B19511">
        <f>TEST_DATA!B19511</f>
        <v/>
      </c>
      <c r="C19511">
        <f>TEST_DATA!C19511</f>
        <v/>
      </c>
      <c r="D19511">
        <f>TEST_DATA!D19511</f>
        <v/>
      </c>
      <c r="E19511">
        <f>TEST_DATA!E19511</f>
        <v/>
      </c>
    </row>
    <row r="19512">
      <c r="A19512">
        <f>TEST_DATA!A19512</f>
        <v/>
      </c>
      <c r="B19512">
        <f>TEST_DATA!B19512</f>
        <v/>
      </c>
      <c r="C19512">
        <f>TEST_DATA!C19512</f>
        <v/>
      </c>
      <c r="D19512">
        <f>TEST_DATA!D19512</f>
        <v/>
      </c>
      <c r="E19512">
        <f>TEST_DATA!E19512</f>
        <v/>
      </c>
    </row>
    <row r="19513">
      <c r="A19513">
        <f>TEST_DATA!A19513</f>
        <v/>
      </c>
      <c r="B19513">
        <f>TEST_DATA!B19513</f>
        <v/>
      </c>
      <c r="C19513">
        <f>TEST_DATA!C19513</f>
        <v/>
      </c>
      <c r="D19513">
        <f>TEST_DATA!D19513</f>
        <v/>
      </c>
      <c r="E19513">
        <f>TEST_DATA!E19513</f>
        <v/>
      </c>
    </row>
    <row r="19514">
      <c r="A19514">
        <f>TEST_DATA!A19514</f>
        <v/>
      </c>
      <c r="B19514">
        <f>TEST_DATA!B19514</f>
        <v/>
      </c>
      <c r="C19514">
        <f>TEST_DATA!C19514</f>
        <v/>
      </c>
      <c r="D19514">
        <f>TEST_DATA!D19514</f>
        <v/>
      </c>
      <c r="E19514">
        <f>TEST_DATA!E19514</f>
        <v/>
      </c>
    </row>
    <row r="19515">
      <c r="A19515">
        <f>TEST_DATA!A19515</f>
        <v/>
      </c>
      <c r="B19515">
        <f>TEST_DATA!B19515</f>
        <v/>
      </c>
      <c r="C19515">
        <f>TEST_DATA!C19515</f>
        <v/>
      </c>
      <c r="D19515">
        <f>TEST_DATA!D19515</f>
        <v/>
      </c>
      <c r="E19515">
        <f>TEST_DATA!E19515</f>
        <v/>
      </c>
    </row>
    <row r="19516">
      <c r="A19516">
        <f>TEST_DATA!A19516</f>
        <v/>
      </c>
      <c r="B19516">
        <f>TEST_DATA!B19516</f>
        <v/>
      </c>
      <c r="C19516">
        <f>TEST_DATA!C19516</f>
        <v/>
      </c>
      <c r="D19516">
        <f>TEST_DATA!D19516</f>
        <v/>
      </c>
      <c r="E19516">
        <f>TEST_DATA!E19516</f>
        <v/>
      </c>
    </row>
    <row r="19517">
      <c r="A19517">
        <f>TEST_DATA!A19517</f>
        <v/>
      </c>
      <c r="B19517">
        <f>TEST_DATA!B19517</f>
        <v/>
      </c>
      <c r="C19517">
        <f>TEST_DATA!C19517</f>
        <v/>
      </c>
      <c r="D19517">
        <f>TEST_DATA!D19517</f>
        <v/>
      </c>
      <c r="E19517">
        <f>TEST_DATA!E19517</f>
        <v/>
      </c>
    </row>
    <row r="19518">
      <c r="A19518">
        <f>TEST_DATA!A19518</f>
        <v/>
      </c>
      <c r="B19518">
        <f>TEST_DATA!B19518</f>
        <v/>
      </c>
      <c r="C19518">
        <f>TEST_DATA!C19518</f>
        <v/>
      </c>
      <c r="D19518">
        <f>TEST_DATA!D19518</f>
        <v/>
      </c>
      <c r="E19518">
        <f>TEST_DATA!E19518</f>
        <v/>
      </c>
    </row>
    <row r="19519">
      <c r="A19519">
        <f>TEST_DATA!A19519</f>
        <v/>
      </c>
      <c r="B19519">
        <f>TEST_DATA!B19519</f>
        <v/>
      </c>
      <c r="C19519">
        <f>TEST_DATA!C19519</f>
        <v/>
      </c>
      <c r="D19519">
        <f>TEST_DATA!D19519</f>
        <v/>
      </c>
      <c r="E19519">
        <f>TEST_DATA!E19519</f>
        <v/>
      </c>
    </row>
    <row r="19520">
      <c r="A19520">
        <f>TEST_DATA!A19520</f>
        <v/>
      </c>
      <c r="B19520">
        <f>TEST_DATA!B19520</f>
        <v/>
      </c>
      <c r="C19520">
        <f>TEST_DATA!C19520</f>
        <v/>
      </c>
      <c r="D19520">
        <f>TEST_DATA!D19520</f>
        <v/>
      </c>
      <c r="E19520">
        <f>TEST_DATA!E19520</f>
        <v/>
      </c>
    </row>
    <row r="19521">
      <c r="A19521">
        <f>TEST_DATA!A19521</f>
        <v/>
      </c>
      <c r="B19521">
        <f>TEST_DATA!B19521</f>
        <v/>
      </c>
      <c r="C19521">
        <f>TEST_DATA!C19521</f>
        <v/>
      </c>
      <c r="D19521">
        <f>TEST_DATA!D19521</f>
        <v/>
      </c>
      <c r="E19521">
        <f>TEST_DATA!E19521</f>
        <v/>
      </c>
    </row>
    <row r="19522">
      <c r="A19522">
        <f>TEST_DATA!A19522</f>
        <v/>
      </c>
      <c r="B19522">
        <f>TEST_DATA!B19522</f>
        <v/>
      </c>
      <c r="C19522">
        <f>TEST_DATA!C19522</f>
        <v/>
      </c>
      <c r="D19522">
        <f>TEST_DATA!D19522</f>
        <v/>
      </c>
      <c r="E19522">
        <f>TEST_DATA!E19522</f>
        <v/>
      </c>
    </row>
    <row r="19523">
      <c r="A19523">
        <f>TEST_DATA!A19523</f>
        <v/>
      </c>
      <c r="B19523">
        <f>TEST_DATA!B19523</f>
        <v/>
      </c>
      <c r="C19523">
        <f>TEST_DATA!C19523</f>
        <v/>
      </c>
      <c r="D19523">
        <f>TEST_DATA!D19523</f>
        <v/>
      </c>
      <c r="E19523">
        <f>TEST_DATA!E19523</f>
        <v/>
      </c>
    </row>
    <row r="19524">
      <c r="A19524">
        <f>TEST_DATA!A19524</f>
        <v/>
      </c>
      <c r="B19524">
        <f>TEST_DATA!B19524</f>
        <v/>
      </c>
      <c r="C19524">
        <f>TEST_DATA!C19524</f>
        <v/>
      </c>
      <c r="D19524">
        <f>TEST_DATA!D19524</f>
        <v/>
      </c>
      <c r="E19524">
        <f>TEST_DATA!E19524</f>
        <v/>
      </c>
    </row>
    <row r="19525">
      <c r="A19525">
        <f>TEST_DATA!A19525</f>
        <v/>
      </c>
      <c r="B19525">
        <f>TEST_DATA!B19525</f>
        <v/>
      </c>
      <c r="C19525">
        <f>TEST_DATA!C19525</f>
        <v/>
      </c>
      <c r="D19525">
        <f>TEST_DATA!D19525</f>
        <v/>
      </c>
      <c r="E19525">
        <f>TEST_DATA!E19525</f>
        <v/>
      </c>
    </row>
    <row r="19526">
      <c r="A19526">
        <f>TEST_DATA!A19526</f>
        <v/>
      </c>
      <c r="B19526">
        <f>TEST_DATA!B19526</f>
        <v/>
      </c>
      <c r="C19526">
        <f>TEST_DATA!C19526</f>
        <v/>
      </c>
      <c r="D19526">
        <f>TEST_DATA!D19526</f>
        <v/>
      </c>
      <c r="E19526">
        <f>TEST_DATA!E19526</f>
        <v/>
      </c>
    </row>
    <row r="19527">
      <c r="A19527">
        <f>TEST_DATA!A19527</f>
        <v/>
      </c>
      <c r="B19527">
        <f>TEST_DATA!B19527</f>
        <v/>
      </c>
      <c r="C19527">
        <f>TEST_DATA!C19527</f>
        <v/>
      </c>
      <c r="D19527">
        <f>TEST_DATA!D19527</f>
        <v/>
      </c>
      <c r="E19527">
        <f>TEST_DATA!E19527</f>
        <v/>
      </c>
    </row>
    <row r="19528">
      <c r="A19528">
        <f>TEST_DATA!A19528</f>
        <v/>
      </c>
      <c r="B19528">
        <f>TEST_DATA!B19528</f>
        <v/>
      </c>
      <c r="C19528">
        <f>TEST_DATA!C19528</f>
        <v/>
      </c>
      <c r="D19528">
        <f>TEST_DATA!D19528</f>
        <v/>
      </c>
      <c r="E19528">
        <f>TEST_DATA!E19528</f>
        <v/>
      </c>
    </row>
    <row r="19529">
      <c r="A19529">
        <f>TEST_DATA!A19529</f>
        <v/>
      </c>
      <c r="B19529">
        <f>TEST_DATA!B19529</f>
        <v/>
      </c>
      <c r="C19529">
        <f>TEST_DATA!C19529</f>
        <v/>
      </c>
      <c r="D19529">
        <f>TEST_DATA!D19529</f>
        <v/>
      </c>
      <c r="E19529">
        <f>TEST_DATA!E19529</f>
        <v/>
      </c>
    </row>
    <row r="19530">
      <c r="A19530">
        <f>TEST_DATA!A19530</f>
        <v/>
      </c>
      <c r="B19530">
        <f>TEST_DATA!B19530</f>
        <v/>
      </c>
      <c r="C19530">
        <f>TEST_DATA!C19530</f>
        <v/>
      </c>
      <c r="D19530">
        <f>TEST_DATA!D19530</f>
        <v/>
      </c>
      <c r="E19530">
        <f>TEST_DATA!E19530</f>
        <v/>
      </c>
    </row>
    <row r="19531">
      <c r="A19531">
        <f>TEST_DATA!A19531</f>
        <v/>
      </c>
      <c r="B19531">
        <f>TEST_DATA!B19531</f>
        <v/>
      </c>
      <c r="C19531">
        <f>TEST_DATA!C19531</f>
        <v/>
      </c>
      <c r="D19531">
        <f>TEST_DATA!D19531</f>
        <v/>
      </c>
      <c r="E19531">
        <f>TEST_DATA!E19531</f>
        <v/>
      </c>
    </row>
    <row r="19532">
      <c r="A19532">
        <f>TEST_DATA!A19532</f>
        <v/>
      </c>
      <c r="B19532">
        <f>TEST_DATA!B19532</f>
        <v/>
      </c>
      <c r="C19532">
        <f>TEST_DATA!C19532</f>
        <v/>
      </c>
      <c r="D19532">
        <f>TEST_DATA!D19532</f>
        <v/>
      </c>
      <c r="E19532">
        <f>TEST_DATA!E19532</f>
        <v/>
      </c>
    </row>
    <row r="19533">
      <c r="A19533">
        <f>TEST_DATA!A19533</f>
        <v/>
      </c>
      <c r="B19533">
        <f>TEST_DATA!B19533</f>
        <v/>
      </c>
      <c r="C19533">
        <f>TEST_DATA!C19533</f>
        <v/>
      </c>
      <c r="D19533">
        <f>TEST_DATA!D19533</f>
        <v/>
      </c>
      <c r="E19533">
        <f>TEST_DATA!E19533</f>
        <v/>
      </c>
    </row>
    <row r="19534">
      <c r="A19534">
        <f>TEST_DATA!A19534</f>
        <v/>
      </c>
      <c r="B19534">
        <f>TEST_DATA!B19534</f>
        <v/>
      </c>
      <c r="C19534">
        <f>TEST_DATA!C19534</f>
        <v/>
      </c>
      <c r="D19534">
        <f>TEST_DATA!D19534</f>
        <v/>
      </c>
      <c r="E19534">
        <f>TEST_DATA!E19534</f>
        <v/>
      </c>
    </row>
    <row r="19535">
      <c r="A19535">
        <f>TEST_DATA!A19535</f>
        <v/>
      </c>
      <c r="B19535">
        <f>TEST_DATA!B19535</f>
        <v/>
      </c>
      <c r="C19535">
        <f>TEST_DATA!C19535</f>
        <v/>
      </c>
      <c r="D19535">
        <f>TEST_DATA!D19535</f>
        <v/>
      </c>
      <c r="E19535">
        <f>TEST_DATA!E19535</f>
        <v/>
      </c>
    </row>
    <row r="19536">
      <c r="A19536">
        <f>TEST_DATA!A19536</f>
        <v/>
      </c>
      <c r="B19536">
        <f>TEST_DATA!B19536</f>
        <v/>
      </c>
      <c r="C19536">
        <f>TEST_DATA!C19536</f>
        <v/>
      </c>
      <c r="D19536">
        <f>TEST_DATA!D19536</f>
        <v/>
      </c>
      <c r="E19536">
        <f>TEST_DATA!E19536</f>
        <v/>
      </c>
    </row>
    <row r="19537">
      <c r="A19537">
        <f>TEST_DATA!A19537</f>
        <v/>
      </c>
      <c r="B19537">
        <f>TEST_DATA!B19537</f>
        <v/>
      </c>
      <c r="C19537">
        <f>TEST_DATA!C19537</f>
        <v/>
      </c>
      <c r="D19537">
        <f>TEST_DATA!D19537</f>
        <v/>
      </c>
      <c r="E19537">
        <f>TEST_DATA!E19537</f>
        <v/>
      </c>
    </row>
    <row r="19538">
      <c r="A19538">
        <f>TEST_DATA!A19538</f>
        <v/>
      </c>
      <c r="B19538">
        <f>TEST_DATA!B19538</f>
        <v/>
      </c>
      <c r="C19538">
        <f>TEST_DATA!C19538</f>
        <v/>
      </c>
      <c r="D19538">
        <f>TEST_DATA!D19538</f>
        <v/>
      </c>
      <c r="E19538">
        <f>TEST_DATA!E19538</f>
        <v/>
      </c>
    </row>
    <row r="19539">
      <c r="A19539">
        <f>TEST_DATA!A19539</f>
        <v/>
      </c>
      <c r="B19539">
        <f>TEST_DATA!B19539</f>
        <v/>
      </c>
      <c r="C19539">
        <f>TEST_DATA!C19539</f>
        <v/>
      </c>
      <c r="D19539">
        <f>TEST_DATA!D19539</f>
        <v/>
      </c>
      <c r="E19539">
        <f>TEST_DATA!E19539</f>
        <v/>
      </c>
    </row>
    <row r="19540">
      <c r="A19540">
        <f>TEST_DATA!A19540</f>
        <v/>
      </c>
      <c r="B19540">
        <f>TEST_DATA!B19540</f>
        <v/>
      </c>
      <c r="C19540">
        <f>TEST_DATA!C19540</f>
        <v/>
      </c>
      <c r="D19540">
        <f>TEST_DATA!D19540</f>
        <v/>
      </c>
      <c r="E19540">
        <f>TEST_DATA!E19540</f>
        <v/>
      </c>
    </row>
    <row r="19541">
      <c r="A19541">
        <f>TEST_DATA!A19541</f>
        <v/>
      </c>
      <c r="B19541">
        <f>TEST_DATA!B19541</f>
        <v/>
      </c>
      <c r="C19541">
        <f>TEST_DATA!C19541</f>
        <v/>
      </c>
      <c r="D19541">
        <f>TEST_DATA!D19541</f>
        <v/>
      </c>
      <c r="E19541">
        <f>TEST_DATA!E19541</f>
        <v/>
      </c>
    </row>
    <row r="19542">
      <c r="A19542">
        <f>TEST_DATA!A19542</f>
        <v/>
      </c>
      <c r="B19542">
        <f>TEST_DATA!B19542</f>
        <v/>
      </c>
      <c r="C19542">
        <f>TEST_DATA!C19542</f>
        <v/>
      </c>
      <c r="D19542">
        <f>TEST_DATA!D19542</f>
        <v/>
      </c>
      <c r="E19542">
        <f>TEST_DATA!E19542</f>
        <v/>
      </c>
    </row>
    <row r="19543">
      <c r="A19543">
        <f>TEST_DATA!A19543</f>
        <v/>
      </c>
      <c r="B19543">
        <f>TEST_DATA!B19543</f>
        <v/>
      </c>
      <c r="C19543">
        <f>TEST_DATA!C19543</f>
        <v/>
      </c>
      <c r="D19543">
        <f>TEST_DATA!D19543</f>
        <v/>
      </c>
      <c r="E19543">
        <f>TEST_DATA!E19543</f>
        <v/>
      </c>
    </row>
    <row r="19544">
      <c r="A19544">
        <f>TEST_DATA!A19544</f>
        <v/>
      </c>
      <c r="B19544">
        <f>TEST_DATA!B19544</f>
        <v/>
      </c>
      <c r="C19544">
        <f>TEST_DATA!C19544</f>
        <v/>
      </c>
      <c r="D19544">
        <f>TEST_DATA!D19544</f>
        <v/>
      </c>
      <c r="E19544">
        <f>TEST_DATA!E19544</f>
        <v/>
      </c>
    </row>
    <row r="19545">
      <c r="A19545">
        <f>TEST_DATA!A19545</f>
        <v/>
      </c>
      <c r="B19545">
        <f>TEST_DATA!B19545</f>
        <v/>
      </c>
      <c r="C19545">
        <f>TEST_DATA!C19545</f>
        <v/>
      </c>
      <c r="D19545">
        <f>TEST_DATA!D19545</f>
        <v/>
      </c>
      <c r="E19545">
        <f>TEST_DATA!E19545</f>
        <v/>
      </c>
    </row>
    <row r="19546">
      <c r="A19546">
        <f>TEST_DATA!A19546</f>
        <v/>
      </c>
      <c r="B19546">
        <f>TEST_DATA!B19546</f>
        <v/>
      </c>
      <c r="C19546">
        <f>TEST_DATA!C19546</f>
        <v/>
      </c>
      <c r="D19546">
        <f>TEST_DATA!D19546</f>
        <v/>
      </c>
      <c r="E19546">
        <f>TEST_DATA!E19546</f>
        <v/>
      </c>
    </row>
    <row r="19547">
      <c r="A19547">
        <f>TEST_DATA!A19547</f>
        <v/>
      </c>
      <c r="B19547">
        <f>TEST_DATA!B19547</f>
        <v/>
      </c>
      <c r="C19547">
        <f>TEST_DATA!C19547</f>
        <v/>
      </c>
      <c r="D19547">
        <f>TEST_DATA!D19547</f>
        <v/>
      </c>
      <c r="E19547">
        <f>TEST_DATA!E19547</f>
        <v/>
      </c>
    </row>
    <row r="19548">
      <c r="A19548">
        <f>TEST_DATA!A19548</f>
        <v/>
      </c>
      <c r="B19548">
        <f>TEST_DATA!B19548</f>
        <v/>
      </c>
      <c r="C19548">
        <f>TEST_DATA!C19548</f>
        <v/>
      </c>
      <c r="D19548">
        <f>TEST_DATA!D19548</f>
        <v/>
      </c>
      <c r="E19548">
        <f>TEST_DATA!E19548</f>
        <v/>
      </c>
    </row>
    <row r="19549">
      <c r="A19549">
        <f>TEST_DATA!A19549</f>
        <v/>
      </c>
      <c r="B19549">
        <f>TEST_DATA!B19549</f>
        <v/>
      </c>
      <c r="C19549">
        <f>TEST_DATA!C19549</f>
        <v/>
      </c>
      <c r="D19549">
        <f>TEST_DATA!D19549</f>
        <v/>
      </c>
      <c r="E19549">
        <f>TEST_DATA!E19549</f>
        <v/>
      </c>
    </row>
    <row r="19550">
      <c r="A19550">
        <f>TEST_DATA!A19550</f>
        <v/>
      </c>
      <c r="B19550">
        <f>TEST_DATA!B19550</f>
        <v/>
      </c>
      <c r="C19550">
        <f>TEST_DATA!C19550</f>
        <v/>
      </c>
      <c r="D19550">
        <f>TEST_DATA!D19550</f>
        <v/>
      </c>
      <c r="E19550">
        <f>TEST_DATA!E19550</f>
        <v/>
      </c>
    </row>
    <row r="19551">
      <c r="A19551">
        <f>TEST_DATA!A19551</f>
        <v/>
      </c>
      <c r="B19551">
        <f>TEST_DATA!B19551</f>
        <v/>
      </c>
      <c r="C19551">
        <f>TEST_DATA!C19551</f>
        <v/>
      </c>
      <c r="D19551">
        <f>TEST_DATA!D19551</f>
        <v/>
      </c>
      <c r="E19551">
        <f>TEST_DATA!E19551</f>
        <v/>
      </c>
    </row>
    <row r="19552">
      <c r="A19552">
        <f>TEST_DATA!A19552</f>
        <v/>
      </c>
      <c r="B19552">
        <f>TEST_DATA!B19552</f>
        <v/>
      </c>
      <c r="C19552">
        <f>TEST_DATA!C19552</f>
        <v/>
      </c>
      <c r="D19552">
        <f>TEST_DATA!D19552</f>
        <v/>
      </c>
      <c r="E19552">
        <f>TEST_DATA!E19552</f>
        <v/>
      </c>
    </row>
    <row r="19553">
      <c r="A19553">
        <f>TEST_DATA!A19553</f>
        <v/>
      </c>
      <c r="B19553">
        <f>TEST_DATA!B19553</f>
        <v/>
      </c>
      <c r="C19553">
        <f>TEST_DATA!C19553</f>
        <v/>
      </c>
      <c r="D19553">
        <f>TEST_DATA!D19553</f>
        <v/>
      </c>
      <c r="E19553">
        <f>TEST_DATA!E19553</f>
        <v/>
      </c>
    </row>
    <row r="19554">
      <c r="A19554">
        <f>TEST_DATA!A19554</f>
        <v/>
      </c>
      <c r="B19554">
        <f>TEST_DATA!B19554</f>
        <v/>
      </c>
      <c r="C19554">
        <f>TEST_DATA!C19554</f>
        <v/>
      </c>
      <c r="D19554">
        <f>TEST_DATA!D19554</f>
        <v/>
      </c>
      <c r="E19554">
        <f>TEST_DATA!E19554</f>
        <v/>
      </c>
    </row>
    <row r="19555">
      <c r="A19555">
        <f>TEST_DATA!A19555</f>
        <v/>
      </c>
      <c r="B19555">
        <f>TEST_DATA!B19555</f>
        <v/>
      </c>
      <c r="C19555">
        <f>TEST_DATA!C19555</f>
        <v/>
      </c>
      <c r="D19555">
        <f>TEST_DATA!D19555</f>
        <v/>
      </c>
      <c r="E19555">
        <f>TEST_DATA!E19555</f>
        <v/>
      </c>
    </row>
    <row r="19556">
      <c r="A19556">
        <f>TEST_DATA!A19556</f>
        <v/>
      </c>
      <c r="B19556">
        <f>TEST_DATA!B19556</f>
        <v/>
      </c>
      <c r="C19556">
        <f>TEST_DATA!C19556</f>
        <v/>
      </c>
      <c r="D19556">
        <f>TEST_DATA!D19556</f>
        <v/>
      </c>
      <c r="E19556">
        <f>TEST_DATA!E19556</f>
        <v/>
      </c>
    </row>
    <row r="19557">
      <c r="A19557">
        <f>TEST_DATA!A19557</f>
        <v/>
      </c>
      <c r="B19557">
        <f>TEST_DATA!B19557</f>
        <v/>
      </c>
      <c r="C19557">
        <f>TEST_DATA!C19557</f>
        <v/>
      </c>
      <c r="D19557">
        <f>TEST_DATA!D19557</f>
        <v/>
      </c>
      <c r="E19557">
        <f>TEST_DATA!E19557</f>
        <v/>
      </c>
    </row>
    <row r="19558">
      <c r="A19558">
        <f>TEST_DATA!A19558</f>
        <v/>
      </c>
      <c r="B19558">
        <f>TEST_DATA!B19558</f>
        <v/>
      </c>
      <c r="C19558">
        <f>TEST_DATA!C19558</f>
        <v/>
      </c>
      <c r="D19558">
        <f>TEST_DATA!D19558</f>
        <v/>
      </c>
      <c r="E19558">
        <f>TEST_DATA!E19558</f>
        <v/>
      </c>
    </row>
    <row r="19559">
      <c r="A19559">
        <f>TEST_DATA!A19559</f>
        <v/>
      </c>
      <c r="B19559">
        <f>TEST_DATA!B19559</f>
        <v/>
      </c>
      <c r="C19559">
        <f>TEST_DATA!C19559</f>
        <v/>
      </c>
      <c r="D19559">
        <f>TEST_DATA!D19559</f>
        <v/>
      </c>
      <c r="E19559">
        <f>TEST_DATA!E19559</f>
        <v/>
      </c>
    </row>
    <row r="19560">
      <c r="A19560">
        <f>TEST_DATA!A19560</f>
        <v/>
      </c>
      <c r="B19560">
        <f>TEST_DATA!B19560</f>
        <v/>
      </c>
      <c r="C19560">
        <f>TEST_DATA!C19560</f>
        <v/>
      </c>
      <c r="D19560">
        <f>TEST_DATA!D19560</f>
        <v/>
      </c>
      <c r="E19560">
        <f>TEST_DATA!E19560</f>
        <v/>
      </c>
    </row>
    <row r="19561">
      <c r="A19561">
        <f>TEST_DATA!A19561</f>
        <v/>
      </c>
      <c r="B19561">
        <f>TEST_DATA!B19561</f>
        <v/>
      </c>
      <c r="C19561">
        <f>TEST_DATA!C19561</f>
        <v/>
      </c>
      <c r="D19561">
        <f>TEST_DATA!D19561</f>
        <v/>
      </c>
      <c r="E19561">
        <f>TEST_DATA!E19561</f>
        <v/>
      </c>
    </row>
    <row r="19562">
      <c r="A19562">
        <f>TEST_DATA!A19562</f>
        <v/>
      </c>
      <c r="B19562">
        <f>TEST_DATA!B19562</f>
        <v/>
      </c>
      <c r="C19562">
        <f>TEST_DATA!C19562</f>
        <v/>
      </c>
      <c r="D19562">
        <f>TEST_DATA!D19562</f>
        <v/>
      </c>
      <c r="E19562">
        <f>TEST_DATA!E19562</f>
        <v/>
      </c>
    </row>
    <row r="19563">
      <c r="A19563">
        <f>TEST_DATA!A19563</f>
        <v/>
      </c>
      <c r="B19563">
        <f>TEST_DATA!B19563</f>
        <v/>
      </c>
      <c r="C19563">
        <f>TEST_DATA!C19563</f>
        <v/>
      </c>
      <c r="D19563">
        <f>TEST_DATA!D19563</f>
        <v/>
      </c>
      <c r="E19563">
        <f>TEST_DATA!E19563</f>
        <v/>
      </c>
    </row>
    <row r="19564">
      <c r="A19564">
        <f>TEST_DATA!A19564</f>
        <v/>
      </c>
      <c r="B19564">
        <f>TEST_DATA!B19564</f>
        <v/>
      </c>
      <c r="C19564">
        <f>TEST_DATA!C19564</f>
        <v/>
      </c>
      <c r="D19564">
        <f>TEST_DATA!D19564</f>
        <v/>
      </c>
      <c r="E19564">
        <f>TEST_DATA!E19564</f>
        <v/>
      </c>
    </row>
    <row r="19565">
      <c r="A19565">
        <f>TEST_DATA!A19565</f>
        <v/>
      </c>
      <c r="B19565">
        <f>TEST_DATA!B19565</f>
        <v/>
      </c>
      <c r="C19565">
        <f>TEST_DATA!C19565</f>
        <v/>
      </c>
      <c r="D19565">
        <f>TEST_DATA!D19565</f>
        <v/>
      </c>
      <c r="E19565">
        <f>TEST_DATA!E19565</f>
        <v/>
      </c>
    </row>
    <row r="19566">
      <c r="A19566">
        <f>TEST_DATA!A19566</f>
        <v/>
      </c>
      <c r="B19566">
        <f>TEST_DATA!B19566</f>
        <v/>
      </c>
      <c r="C19566">
        <f>TEST_DATA!C19566</f>
        <v/>
      </c>
      <c r="D19566">
        <f>TEST_DATA!D19566</f>
        <v/>
      </c>
      <c r="E19566">
        <f>TEST_DATA!E19566</f>
        <v/>
      </c>
    </row>
    <row r="19567">
      <c r="A19567">
        <f>TEST_DATA!A19567</f>
        <v/>
      </c>
      <c r="B19567">
        <f>TEST_DATA!B19567</f>
        <v/>
      </c>
      <c r="C19567">
        <f>TEST_DATA!C19567</f>
        <v/>
      </c>
      <c r="D19567">
        <f>TEST_DATA!D19567</f>
        <v/>
      </c>
      <c r="E19567">
        <f>TEST_DATA!E19567</f>
        <v/>
      </c>
    </row>
    <row r="19568">
      <c r="A19568">
        <f>TEST_DATA!A19568</f>
        <v/>
      </c>
      <c r="B19568">
        <f>TEST_DATA!B19568</f>
        <v/>
      </c>
      <c r="C19568">
        <f>TEST_DATA!C19568</f>
        <v/>
      </c>
      <c r="D19568">
        <f>TEST_DATA!D19568</f>
        <v/>
      </c>
      <c r="E19568">
        <f>TEST_DATA!E19568</f>
        <v/>
      </c>
    </row>
    <row r="19569">
      <c r="A19569">
        <f>TEST_DATA!A19569</f>
        <v/>
      </c>
      <c r="B19569">
        <f>TEST_DATA!B19569</f>
        <v/>
      </c>
      <c r="C19569">
        <f>TEST_DATA!C19569</f>
        <v/>
      </c>
      <c r="D19569">
        <f>TEST_DATA!D19569</f>
        <v/>
      </c>
      <c r="E19569">
        <f>TEST_DATA!E19569</f>
        <v/>
      </c>
    </row>
    <row r="19570">
      <c r="A19570">
        <f>TEST_DATA!A19570</f>
        <v/>
      </c>
      <c r="B19570">
        <f>TEST_DATA!B19570</f>
        <v/>
      </c>
      <c r="C19570">
        <f>TEST_DATA!C19570</f>
        <v/>
      </c>
      <c r="D19570">
        <f>TEST_DATA!D19570</f>
        <v/>
      </c>
      <c r="E19570">
        <f>TEST_DATA!E19570</f>
        <v/>
      </c>
    </row>
    <row r="19571">
      <c r="A19571">
        <f>TEST_DATA!A19571</f>
        <v/>
      </c>
      <c r="B19571">
        <f>TEST_DATA!B19571</f>
        <v/>
      </c>
      <c r="C19571">
        <f>TEST_DATA!C19571</f>
        <v/>
      </c>
      <c r="D19571">
        <f>TEST_DATA!D19571</f>
        <v/>
      </c>
      <c r="E19571">
        <f>TEST_DATA!E19571</f>
        <v/>
      </c>
    </row>
    <row r="19572">
      <c r="A19572">
        <f>TEST_DATA!A19572</f>
        <v/>
      </c>
      <c r="B19572">
        <f>TEST_DATA!B19572</f>
        <v/>
      </c>
      <c r="C19572">
        <f>TEST_DATA!C19572</f>
        <v/>
      </c>
      <c r="D19572">
        <f>TEST_DATA!D19572</f>
        <v/>
      </c>
      <c r="E19572">
        <f>TEST_DATA!E19572</f>
        <v/>
      </c>
    </row>
    <row r="19573">
      <c r="A19573">
        <f>TEST_DATA!A19573</f>
        <v/>
      </c>
      <c r="B19573">
        <f>TEST_DATA!B19573</f>
        <v/>
      </c>
      <c r="C19573">
        <f>TEST_DATA!C19573</f>
        <v/>
      </c>
      <c r="D19573">
        <f>TEST_DATA!D19573</f>
        <v/>
      </c>
      <c r="E19573">
        <f>TEST_DATA!E19573</f>
        <v/>
      </c>
    </row>
    <row r="19574">
      <c r="A19574">
        <f>TEST_DATA!A19574</f>
        <v/>
      </c>
      <c r="B19574">
        <f>TEST_DATA!B19574</f>
        <v/>
      </c>
      <c r="C19574">
        <f>TEST_DATA!C19574</f>
        <v/>
      </c>
      <c r="D19574">
        <f>TEST_DATA!D19574</f>
        <v/>
      </c>
      <c r="E19574">
        <f>TEST_DATA!E19574</f>
        <v/>
      </c>
    </row>
    <row r="19575">
      <c r="A19575">
        <f>TEST_DATA!A19575</f>
        <v/>
      </c>
      <c r="B19575">
        <f>TEST_DATA!B19575</f>
        <v/>
      </c>
      <c r="C19575">
        <f>TEST_DATA!C19575</f>
        <v/>
      </c>
      <c r="D19575">
        <f>TEST_DATA!D19575</f>
        <v/>
      </c>
      <c r="E19575">
        <f>TEST_DATA!E19575</f>
        <v/>
      </c>
    </row>
    <row r="19576">
      <c r="A19576">
        <f>TEST_DATA!A19576</f>
        <v/>
      </c>
      <c r="B19576">
        <f>TEST_DATA!B19576</f>
        <v/>
      </c>
      <c r="C19576">
        <f>TEST_DATA!C19576</f>
        <v/>
      </c>
      <c r="D19576">
        <f>TEST_DATA!D19576</f>
        <v/>
      </c>
      <c r="E19576">
        <f>TEST_DATA!E19576</f>
        <v/>
      </c>
    </row>
    <row r="19577">
      <c r="A19577">
        <f>TEST_DATA!A19577</f>
        <v/>
      </c>
      <c r="B19577">
        <f>TEST_DATA!B19577</f>
        <v/>
      </c>
      <c r="C19577">
        <f>TEST_DATA!C19577</f>
        <v/>
      </c>
      <c r="D19577">
        <f>TEST_DATA!D19577</f>
        <v/>
      </c>
      <c r="E19577">
        <f>TEST_DATA!E19577</f>
        <v/>
      </c>
    </row>
    <row r="19578">
      <c r="A19578">
        <f>TEST_DATA!A19578</f>
        <v/>
      </c>
      <c r="B19578">
        <f>TEST_DATA!B19578</f>
        <v/>
      </c>
      <c r="C19578">
        <f>TEST_DATA!C19578</f>
        <v/>
      </c>
      <c r="D19578">
        <f>TEST_DATA!D19578</f>
        <v/>
      </c>
      <c r="E19578">
        <f>TEST_DATA!E19578</f>
        <v/>
      </c>
    </row>
    <row r="19579">
      <c r="A19579">
        <f>TEST_DATA!A19579</f>
        <v/>
      </c>
      <c r="B19579">
        <f>TEST_DATA!B19579</f>
        <v/>
      </c>
      <c r="C19579">
        <f>TEST_DATA!C19579</f>
        <v/>
      </c>
      <c r="D19579">
        <f>TEST_DATA!D19579</f>
        <v/>
      </c>
      <c r="E19579">
        <f>TEST_DATA!E19579</f>
        <v/>
      </c>
    </row>
    <row r="19580">
      <c r="A19580">
        <f>TEST_DATA!A19580</f>
        <v/>
      </c>
      <c r="B19580">
        <f>TEST_DATA!B19580</f>
        <v/>
      </c>
      <c r="C19580">
        <f>TEST_DATA!C19580</f>
        <v/>
      </c>
      <c r="D19580">
        <f>TEST_DATA!D19580</f>
        <v/>
      </c>
      <c r="E19580">
        <f>TEST_DATA!E19580</f>
        <v/>
      </c>
    </row>
    <row r="19581">
      <c r="A19581">
        <f>TEST_DATA!A19581</f>
        <v/>
      </c>
      <c r="B19581">
        <f>TEST_DATA!B19581</f>
        <v/>
      </c>
      <c r="C19581">
        <f>TEST_DATA!C19581</f>
        <v/>
      </c>
      <c r="D19581">
        <f>TEST_DATA!D19581</f>
        <v/>
      </c>
      <c r="E19581">
        <f>TEST_DATA!E19581</f>
        <v/>
      </c>
    </row>
    <row r="19582">
      <c r="A19582">
        <f>TEST_DATA!A19582</f>
        <v/>
      </c>
      <c r="B19582">
        <f>TEST_DATA!B19582</f>
        <v/>
      </c>
      <c r="C19582">
        <f>TEST_DATA!C19582</f>
        <v/>
      </c>
      <c r="D19582">
        <f>TEST_DATA!D19582</f>
        <v/>
      </c>
      <c r="E19582">
        <f>TEST_DATA!E19582</f>
        <v/>
      </c>
    </row>
    <row r="19583">
      <c r="A19583">
        <f>TEST_DATA!A19583</f>
        <v/>
      </c>
      <c r="B19583">
        <f>TEST_DATA!B19583</f>
        <v/>
      </c>
      <c r="C19583">
        <f>TEST_DATA!C19583</f>
        <v/>
      </c>
      <c r="D19583">
        <f>TEST_DATA!D19583</f>
        <v/>
      </c>
      <c r="E19583">
        <f>TEST_DATA!E19583</f>
        <v/>
      </c>
    </row>
    <row r="19584">
      <c r="A19584">
        <f>TEST_DATA!A19584</f>
        <v/>
      </c>
      <c r="B19584">
        <f>TEST_DATA!B19584</f>
        <v/>
      </c>
      <c r="C19584">
        <f>TEST_DATA!C19584</f>
        <v/>
      </c>
      <c r="D19584">
        <f>TEST_DATA!D19584</f>
        <v/>
      </c>
      <c r="E19584">
        <f>TEST_DATA!E19584</f>
        <v/>
      </c>
    </row>
    <row r="19585">
      <c r="A19585">
        <f>TEST_DATA!A19585</f>
        <v/>
      </c>
      <c r="B19585">
        <f>TEST_DATA!B19585</f>
        <v/>
      </c>
      <c r="C19585">
        <f>TEST_DATA!C19585</f>
        <v/>
      </c>
      <c r="D19585">
        <f>TEST_DATA!D19585</f>
        <v/>
      </c>
      <c r="E19585">
        <f>TEST_DATA!E19585</f>
        <v/>
      </c>
    </row>
    <row r="19586">
      <c r="A19586">
        <f>TEST_DATA!A19586</f>
        <v/>
      </c>
      <c r="B19586">
        <f>TEST_DATA!B19586</f>
        <v/>
      </c>
      <c r="C19586">
        <f>TEST_DATA!C19586</f>
        <v/>
      </c>
      <c r="D19586">
        <f>TEST_DATA!D19586</f>
        <v/>
      </c>
      <c r="E19586">
        <f>TEST_DATA!E19586</f>
        <v/>
      </c>
    </row>
    <row r="19587">
      <c r="A19587">
        <f>TEST_DATA!A19587</f>
        <v/>
      </c>
      <c r="B19587">
        <f>TEST_DATA!B19587</f>
        <v/>
      </c>
      <c r="C19587">
        <f>TEST_DATA!C19587</f>
        <v/>
      </c>
      <c r="D19587">
        <f>TEST_DATA!D19587</f>
        <v/>
      </c>
      <c r="E19587">
        <f>TEST_DATA!E19587</f>
        <v/>
      </c>
    </row>
    <row r="19588">
      <c r="A19588">
        <f>TEST_DATA!A19588</f>
        <v/>
      </c>
      <c r="B19588">
        <f>TEST_DATA!B19588</f>
        <v/>
      </c>
      <c r="C19588">
        <f>TEST_DATA!C19588</f>
        <v/>
      </c>
      <c r="D19588">
        <f>TEST_DATA!D19588</f>
        <v/>
      </c>
      <c r="E19588">
        <f>TEST_DATA!E19588</f>
        <v/>
      </c>
    </row>
    <row r="19589">
      <c r="A19589">
        <f>TEST_DATA!A19589</f>
        <v/>
      </c>
      <c r="B19589">
        <f>TEST_DATA!B19589</f>
        <v/>
      </c>
      <c r="C19589">
        <f>TEST_DATA!C19589</f>
        <v/>
      </c>
      <c r="D19589">
        <f>TEST_DATA!D19589</f>
        <v/>
      </c>
      <c r="E19589">
        <f>TEST_DATA!E19589</f>
        <v/>
      </c>
    </row>
    <row r="19590">
      <c r="A19590">
        <f>TEST_DATA!A19590</f>
        <v/>
      </c>
      <c r="B19590">
        <f>TEST_DATA!B19590</f>
        <v/>
      </c>
      <c r="C19590">
        <f>TEST_DATA!C19590</f>
        <v/>
      </c>
      <c r="D19590">
        <f>TEST_DATA!D19590</f>
        <v/>
      </c>
      <c r="E19590">
        <f>TEST_DATA!E19590</f>
        <v/>
      </c>
    </row>
    <row r="19591">
      <c r="A19591">
        <f>TEST_DATA!A19591</f>
        <v/>
      </c>
      <c r="B19591">
        <f>TEST_DATA!B19591</f>
        <v/>
      </c>
      <c r="C19591">
        <f>TEST_DATA!C19591</f>
        <v/>
      </c>
      <c r="D19591">
        <f>TEST_DATA!D19591</f>
        <v/>
      </c>
      <c r="E19591">
        <f>TEST_DATA!E19591</f>
        <v/>
      </c>
    </row>
    <row r="19592">
      <c r="A19592">
        <f>TEST_DATA!A19592</f>
        <v/>
      </c>
      <c r="B19592">
        <f>TEST_DATA!B19592</f>
        <v/>
      </c>
      <c r="C19592">
        <f>TEST_DATA!C19592</f>
        <v/>
      </c>
      <c r="D19592">
        <f>TEST_DATA!D19592</f>
        <v/>
      </c>
      <c r="E19592">
        <f>TEST_DATA!E19592</f>
        <v/>
      </c>
    </row>
    <row r="19593">
      <c r="A19593">
        <f>TEST_DATA!A19593</f>
        <v/>
      </c>
      <c r="B19593">
        <f>TEST_DATA!B19593</f>
        <v/>
      </c>
      <c r="C19593">
        <f>TEST_DATA!C19593</f>
        <v/>
      </c>
      <c r="D19593">
        <f>TEST_DATA!D19593</f>
        <v/>
      </c>
      <c r="E19593">
        <f>TEST_DATA!E19593</f>
        <v/>
      </c>
    </row>
    <row r="19594">
      <c r="A19594">
        <f>TEST_DATA!A19594</f>
        <v/>
      </c>
      <c r="B19594">
        <f>TEST_DATA!B19594</f>
        <v/>
      </c>
      <c r="C19594">
        <f>TEST_DATA!C19594</f>
        <v/>
      </c>
      <c r="D19594">
        <f>TEST_DATA!D19594</f>
        <v/>
      </c>
      <c r="E19594">
        <f>TEST_DATA!E19594</f>
        <v/>
      </c>
    </row>
    <row r="19595">
      <c r="A19595">
        <f>TEST_DATA!A19595</f>
        <v/>
      </c>
      <c r="B19595">
        <f>TEST_DATA!B19595</f>
        <v/>
      </c>
      <c r="C19595">
        <f>TEST_DATA!C19595</f>
        <v/>
      </c>
      <c r="D19595">
        <f>TEST_DATA!D19595</f>
        <v/>
      </c>
      <c r="E19595">
        <f>TEST_DATA!E19595</f>
        <v/>
      </c>
    </row>
    <row r="19596">
      <c r="A19596">
        <f>TEST_DATA!A19596</f>
        <v/>
      </c>
      <c r="B19596">
        <f>TEST_DATA!B19596</f>
        <v/>
      </c>
      <c r="C19596">
        <f>TEST_DATA!C19596</f>
        <v/>
      </c>
      <c r="D19596">
        <f>TEST_DATA!D19596</f>
        <v/>
      </c>
      <c r="E19596">
        <f>TEST_DATA!E19596</f>
        <v/>
      </c>
    </row>
    <row r="19597">
      <c r="A19597">
        <f>TEST_DATA!A19597</f>
        <v/>
      </c>
      <c r="B19597">
        <f>TEST_DATA!B19597</f>
        <v/>
      </c>
      <c r="C19597">
        <f>TEST_DATA!C19597</f>
        <v/>
      </c>
      <c r="D19597">
        <f>TEST_DATA!D19597</f>
        <v/>
      </c>
      <c r="E19597">
        <f>TEST_DATA!E19597</f>
        <v/>
      </c>
    </row>
    <row r="19598">
      <c r="A19598">
        <f>TEST_DATA!A19598</f>
        <v/>
      </c>
      <c r="B19598">
        <f>TEST_DATA!B19598</f>
        <v/>
      </c>
      <c r="C19598">
        <f>TEST_DATA!C19598</f>
        <v/>
      </c>
      <c r="D19598">
        <f>TEST_DATA!D19598</f>
        <v/>
      </c>
      <c r="E19598">
        <f>TEST_DATA!E19598</f>
        <v/>
      </c>
    </row>
    <row r="19599">
      <c r="A19599">
        <f>TEST_DATA!A19599</f>
        <v/>
      </c>
      <c r="B19599">
        <f>TEST_DATA!B19599</f>
        <v/>
      </c>
      <c r="C19599">
        <f>TEST_DATA!C19599</f>
        <v/>
      </c>
      <c r="D19599">
        <f>TEST_DATA!D19599</f>
        <v/>
      </c>
      <c r="E19599">
        <f>TEST_DATA!E19599</f>
        <v/>
      </c>
    </row>
    <row r="19600">
      <c r="A19600">
        <f>TEST_DATA!A19600</f>
        <v/>
      </c>
      <c r="B19600">
        <f>TEST_DATA!B19600</f>
        <v/>
      </c>
      <c r="C19600">
        <f>TEST_DATA!C19600</f>
        <v/>
      </c>
      <c r="D19600">
        <f>TEST_DATA!D19600</f>
        <v/>
      </c>
      <c r="E19600">
        <f>TEST_DATA!E19600</f>
        <v/>
      </c>
    </row>
    <row r="19601">
      <c r="A19601">
        <f>TEST_DATA!A19601</f>
        <v/>
      </c>
      <c r="B19601">
        <f>TEST_DATA!B19601</f>
        <v/>
      </c>
      <c r="C19601">
        <f>TEST_DATA!C19601</f>
        <v/>
      </c>
      <c r="D19601">
        <f>TEST_DATA!D19601</f>
        <v/>
      </c>
      <c r="E19601">
        <f>TEST_DATA!E19601</f>
        <v/>
      </c>
    </row>
    <row r="19602">
      <c r="A19602">
        <f>TEST_DATA!A19602</f>
        <v/>
      </c>
      <c r="B19602">
        <f>TEST_DATA!B19602</f>
        <v/>
      </c>
      <c r="C19602">
        <f>TEST_DATA!C19602</f>
        <v/>
      </c>
      <c r="D19602">
        <f>TEST_DATA!D19602</f>
        <v/>
      </c>
      <c r="E19602">
        <f>TEST_DATA!E19602</f>
        <v/>
      </c>
    </row>
    <row r="19603">
      <c r="A19603">
        <f>TEST_DATA!A19603</f>
        <v/>
      </c>
      <c r="B19603">
        <f>TEST_DATA!B19603</f>
        <v/>
      </c>
      <c r="C19603">
        <f>TEST_DATA!C19603</f>
        <v/>
      </c>
      <c r="D19603">
        <f>TEST_DATA!D19603</f>
        <v/>
      </c>
      <c r="E19603">
        <f>TEST_DATA!E19603</f>
        <v/>
      </c>
    </row>
    <row r="19604">
      <c r="A19604">
        <f>TEST_DATA!A19604</f>
        <v/>
      </c>
      <c r="B19604">
        <f>TEST_DATA!B19604</f>
        <v/>
      </c>
      <c r="C19604">
        <f>TEST_DATA!C19604</f>
        <v/>
      </c>
      <c r="D19604">
        <f>TEST_DATA!D19604</f>
        <v/>
      </c>
      <c r="E19604">
        <f>TEST_DATA!E19604</f>
        <v/>
      </c>
    </row>
    <row r="19605">
      <c r="A19605">
        <f>TEST_DATA!A19605</f>
        <v/>
      </c>
      <c r="B19605">
        <f>TEST_DATA!B19605</f>
        <v/>
      </c>
      <c r="C19605">
        <f>TEST_DATA!C19605</f>
        <v/>
      </c>
      <c r="D19605">
        <f>TEST_DATA!D19605</f>
        <v/>
      </c>
      <c r="E19605">
        <f>TEST_DATA!E19605</f>
        <v/>
      </c>
    </row>
    <row r="19606">
      <c r="A19606">
        <f>TEST_DATA!A19606</f>
        <v/>
      </c>
      <c r="B19606">
        <f>TEST_DATA!B19606</f>
        <v/>
      </c>
      <c r="C19606">
        <f>TEST_DATA!C19606</f>
        <v/>
      </c>
      <c r="D19606">
        <f>TEST_DATA!D19606</f>
        <v/>
      </c>
      <c r="E19606">
        <f>TEST_DATA!E19606</f>
        <v/>
      </c>
    </row>
    <row r="19607">
      <c r="A19607">
        <f>TEST_DATA!A19607</f>
        <v/>
      </c>
      <c r="B19607">
        <f>TEST_DATA!B19607</f>
        <v/>
      </c>
      <c r="C19607">
        <f>TEST_DATA!C19607</f>
        <v/>
      </c>
      <c r="D19607">
        <f>TEST_DATA!D19607</f>
        <v/>
      </c>
      <c r="E19607">
        <f>TEST_DATA!E19607</f>
        <v/>
      </c>
    </row>
    <row r="19608">
      <c r="A19608">
        <f>TEST_DATA!A19608</f>
        <v/>
      </c>
      <c r="B19608">
        <f>TEST_DATA!B19608</f>
        <v/>
      </c>
      <c r="C19608">
        <f>TEST_DATA!C19608</f>
        <v/>
      </c>
      <c r="D19608">
        <f>TEST_DATA!D19608</f>
        <v/>
      </c>
      <c r="E19608">
        <f>TEST_DATA!E19608</f>
        <v/>
      </c>
    </row>
    <row r="19609">
      <c r="A19609">
        <f>TEST_DATA!A19609</f>
        <v/>
      </c>
      <c r="B19609">
        <f>TEST_DATA!B19609</f>
        <v/>
      </c>
      <c r="C19609">
        <f>TEST_DATA!C19609</f>
        <v/>
      </c>
      <c r="D19609">
        <f>TEST_DATA!D19609</f>
        <v/>
      </c>
      <c r="E19609">
        <f>TEST_DATA!E19609</f>
        <v/>
      </c>
    </row>
    <row r="19610">
      <c r="A19610">
        <f>TEST_DATA!A19610</f>
        <v/>
      </c>
      <c r="B19610">
        <f>TEST_DATA!B19610</f>
        <v/>
      </c>
      <c r="C19610">
        <f>TEST_DATA!C19610</f>
        <v/>
      </c>
      <c r="D19610">
        <f>TEST_DATA!D19610</f>
        <v/>
      </c>
      <c r="E19610">
        <f>TEST_DATA!E19610</f>
        <v/>
      </c>
    </row>
    <row r="19611">
      <c r="A19611">
        <f>TEST_DATA!A19611</f>
        <v/>
      </c>
      <c r="B19611">
        <f>TEST_DATA!B19611</f>
        <v/>
      </c>
      <c r="C19611">
        <f>TEST_DATA!C19611</f>
        <v/>
      </c>
      <c r="D19611">
        <f>TEST_DATA!D19611</f>
        <v/>
      </c>
      <c r="E19611">
        <f>TEST_DATA!E19611</f>
        <v/>
      </c>
    </row>
    <row r="19612">
      <c r="A19612">
        <f>TEST_DATA!A19612</f>
        <v/>
      </c>
      <c r="B19612">
        <f>TEST_DATA!B19612</f>
        <v/>
      </c>
      <c r="C19612">
        <f>TEST_DATA!C19612</f>
        <v/>
      </c>
      <c r="D19612">
        <f>TEST_DATA!D19612</f>
        <v/>
      </c>
      <c r="E19612">
        <f>TEST_DATA!E19612</f>
        <v/>
      </c>
    </row>
    <row r="19613">
      <c r="A19613">
        <f>TEST_DATA!A19613</f>
        <v/>
      </c>
      <c r="B19613">
        <f>TEST_DATA!B19613</f>
        <v/>
      </c>
      <c r="C19613">
        <f>TEST_DATA!C19613</f>
        <v/>
      </c>
      <c r="D19613">
        <f>TEST_DATA!D19613</f>
        <v/>
      </c>
      <c r="E19613">
        <f>TEST_DATA!E19613</f>
        <v/>
      </c>
    </row>
    <row r="19614">
      <c r="A19614">
        <f>TEST_DATA!A19614</f>
        <v/>
      </c>
      <c r="B19614">
        <f>TEST_DATA!B19614</f>
        <v/>
      </c>
      <c r="C19614">
        <f>TEST_DATA!C19614</f>
        <v/>
      </c>
      <c r="D19614">
        <f>TEST_DATA!D19614</f>
        <v/>
      </c>
      <c r="E19614">
        <f>TEST_DATA!E19614</f>
        <v/>
      </c>
    </row>
    <row r="19615">
      <c r="A19615">
        <f>TEST_DATA!A19615</f>
        <v/>
      </c>
      <c r="B19615">
        <f>TEST_DATA!B19615</f>
        <v/>
      </c>
      <c r="C19615">
        <f>TEST_DATA!C19615</f>
        <v/>
      </c>
      <c r="D19615">
        <f>TEST_DATA!D19615</f>
        <v/>
      </c>
      <c r="E19615">
        <f>TEST_DATA!E19615</f>
        <v/>
      </c>
    </row>
    <row r="19616">
      <c r="A19616">
        <f>TEST_DATA!A19616</f>
        <v/>
      </c>
      <c r="B19616">
        <f>TEST_DATA!B19616</f>
        <v/>
      </c>
      <c r="C19616">
        <f>TEST_DATA!C19616</f>
        <v/>
      </c>
      <c r="D19616">
        <f>TEST_DATA!D19616</f>
        <v/>
      </c>
      <c r="E19616">
        <f>TEST_DATA!E19616</f>
        <v/>
      </c>
    </row>
    <row r="19617">
      <c r="A19617">
        <f>TEST_DATA!A19617</f>
        <v/>
      </c>
      <c r="B19617">
        <f>TEST_DATA!B19617</f>
        <v/>
      </c>
      <c r="C19617">
        <f>TEST_DATA!C19617</f>
        <v/>
      </c>
      <c r="D19617">
        <f>TEST_DATA!D19617</f>
        <v/>
      </c>
      <c r="E19617">
        <f>TEST_DATA!E19617</f>
        <v/>
      </c>
    </row>
    <row r="19618">
      <c r="A19618">
        <f>TEST_DATA!A19618</f>
        <v/>
      </c>
      <c r="B19618">
        <f>TEST_DATA!B19618</f>
        <v/>
      </c>
      <c r="C19618">
        <f>TEST_DATA!C19618</f>
        <v/>
      </c>
      <c r="D19618">
        <f>TEST_DATA!D19618</f>
        <v/>
      </c>
      <c r="E19618">
        <f>TEST_DATA!E19618</f>
        <v/>
      </c>
    </row>
    <row r="19619">
      <c r="A19619">
        <f>TEST_DATA!A19619</f>
        <v/>
      </c>
      <c r="B19619">
        <f>TEST_DATA!B19619</f>
        <v/>
      </c>
      <c r="C19619">
        <f>TEST_DATA!C19619</f>
        <v/>
      </c>
      <c r="D19619">
        <f>TEST_DATA!D19619</f>
        <v/>
      </c>
      <c r="E19619">
        <f>TEST_DATA!E19619</f>
        <v/>
      </c>
    </row>
    <row r="19620">
      <c r="A19620">
        <f>TEST_DATA!A19620</f>
        <v/>
      </c>
      <c r="B19620">
        <f>TEST_DATA!B19620</f>
        <v/>
      </c>
      <c r="C19620">
        <f>TEST_DATA!C19620</f>
        <v/>
      </c>
      <c r="D19620">
        <f>TEST_DATA!D19620</f>
        <v/>
      </c>
      <c r="E19620">
        <f>TEST_DATA!E19620</f>
        <v/>
      </c>
    </row>
    <row r="19621">
      <c r="A19621">
        <f>TEST_DATA!A19621</f>
        <v/>
      </c>
      <c r="B19621">
        <f>TEST_DATA!B19621</f>
        <v/>
      </c>
      <c r="C19621">
        <f>TEST_DATA!C19621</f>
        <v/>
      </c>
      <c r="D19621">
        <f>TEST_DATA!D19621</f>
        <v/>
      </c>
      <c r="E19621">
        <f>TEST_DATA!E19621</f>
        <v/>
      </c>
    </row>
    <row r="19622">
      <c r="A19622">
        <f>TEST_DATA!A19622</f>
        <v/>
      </c>
      <c r="B19622">
        <f>TEST_DATA!B19622</f>
        <v/>
      </c>
      <c r="C19622">
        <f>TEST_DATA!C19622</f>
        <v/>
      </c>
      <c r="D19622">
        <f>TEST_DATA!D19622</f>
        <v/>
      </c>
      <c r="E19622">
        <f>TEST_DATA!E19622</f>
        <v/>
      </c>
    </row>
    <row r="19623">
      <c r="A19623">
        <f>TEST_DATA!A19623</f>
        <v/>
      </c>
      <c r="B19623">
        <f>TEST_DATA!B19623</f>
        <v/>
      </c>
      <c r="C19623">
        <f>TEST_DATA!C19623</f>
        <v/>
      </c>
      <c r="D19623">
        <f>TEST_DATA!D19623</f>
        <v/>
      </c>
      <c r="E19623">
        <f>TEST_DATA!E19623</f>
        <v/>
      </c>
    </row>
    <row r="19624">
      <c r="A19624">
        <f>TEST_DATA!A19624</f>
        <v/>
      </c>
      <c r="B19624">
        <f>TEST_DATA!B19624</f>
        <v/>
      </c>
      <c r="C19624">
        <f>TEST_DATA!C19624</f>
        <v/>
      </c>
      <c r="D19624">
        <f>TEST_DATA!D19624</f>
        <v/>
      </c>
      <c r="E19624">
        <f>TEST_DATA!E19624</f>
        <v/>
      </c>
    </row>
    <row r="19625">
      <c r="A19625">
        <f>TEST_DATA!A19625</f>
        <v/>
      </c>
      <c r="B19625">
        <f>TEST_DATA!B19625</f>
        <v/>
      </c>
      <c r="C19625">
        <f>TEST_DATA!C19625</f>
        <v/>
      </c>
      <c r="D19625">
        <f>TEST_DATA!D19625</f>
        <v/>
      </c>
      <c r="E19625">
        <f>TEST_DATA!E19625</f>
        <v/>
      </c>
    </row>
    <row r="19626">
      <c r="A19626">
        <f>TEST_DATA!A19626</f>
        <v/>
      </c>
      <c r="B19626">
        <f>TEST_DATA!B19626</f>
        <v/>
      </c>
      <c r="C19626">
        <f>TEST_DATA!C19626</f>
        <v/>
      </c>
      <c r="D19626">
        <f>TEST_DATA!D19626</f>
        <v/>
      </c>
      <c r="E19626">
        <f>TEST_DATA!E19626</f>
        <v/>
      </c>
    </row>
    <row r="19627">
      <c r="A19627">
        <f>TEST_DATA!A19627</f>
        <v/>
      </c>
      <c r="B19627">
        <f>TEST_DATA!B19627</f>
        <v/>
      </c>
      <c r="C19627">
        <f>TEST_DATA!C19627</f>
        <v/>
      </c>
      <c r="D19627">
        <f>TEST_DATA!D19627</f>
        <v/>
      </c>
      <c r="E19627">
        <f>TEST_DATA!E19627</f>
        <v/>
      </c>
    </row>
    <row r="19628">
      <c r="A19628">
        <f>TEST_DATA!A19628</f>
        <v/>
      </c>
      <c r="B19628">
        <f>TEST_DATA!B19628</f>
        <v/>
      </c>
      <c r="C19628">
        <f>TEST_DATA!C19628</f>
        <v/>
      </c>
      <c r="D19628">
        <f>TEST_DATA!D19628</f>
        <v/>
      </c>
      <c r="E19628">
        <f>TEST_DATA!E19628</f>
        <v/>
      </c>
    </row>
    <row r="19629">
      <c r="A19629">
        <f>TEST_DATA!A19629</f>
        <v/>
      </c>
      <c r="B19629">
        <f>TEST_DATA!B19629</f>
        <v/>
      </c>
      <c r="C19629">
        <f>TEST_DATA!C19629</f>
        <v/>
      </c>
      <c r="D19629">
        <f>TEST_DATA!D19629</f>
        <v/>
      </c>
      <c r="E19629">
        <f>TEST_DATA!E19629</f>
        <v/>
      </c>
    </row>
    <row r="19630">
      <c r="A19630">
        <f>TEST_DATA!A19630</f>
        <v/>
      </c>
      <c r="B19630">
        <f>TEST_DATA!B19630</f>
        <v/>
      </c>
      <c r="C19630">
        <f>TEST_DATA!C19630</f>
        <v/>
      </c>
      <c r="D19630">
        <f>TEST_DATA!D19630</f>
        <v/>
      </c>
      <c r="E19630">
        <f>TEST_DATA!E19630</f>
        <v/>
      </c>
    </row>
    <row r="19631">
      <c r="A19631">
        <f>TEST_DATA!A19631</f>
        <v/>
      </c>
      <c r="B19631">
        <f>TEST_DATA!B19631</f>
        <v/>
      </c>
      <c r="C19631">
        <f>TEST_DATA!C19631</f>
        <v/>
      </c>
      <c r="D19631">
        <f>TEST_DATA!D19631</f>
        <v/>
      </c>
      <c r="E19631">
        <f>TEST_DATA!E19631</f>
        <v/>
      </c>
    </row>
    <row r="19632">
      <c r="A19632">
        <f>TEST_DATA!A19632</f>
        <v/>
      </c>
      <c r="B19632">
        <f>TEST_DATA!B19632</f>
        <v/>
      </c>
      <c r="C19632">
        <f>TEST_DATA!C19632</f>
        <v/>
      </c>
      <c r="D19632">
        <f>TEST_DATA!D19632</f>
        <v/>
      </c>
      <c r="E19632">
        <f>TEST_DATA!E19632</f>
        <v/>
      </c>
    </row>
    <row r="19633">
      <c r="A19633">
        <f>TEST_DATA!A19633</f>
        <v/>
      </c>
      <c r="B19633">
        <f>TEST_DATA!B19633</f>
        <v/>
      </c>
      <c r="C19633">
        <f>TEST_DATA!C19633</f>
        <v/>
      </c>
      <c r="D19633">
        <f>TEST_DATA!D19633</f>
        <v/>
      </c>
      <c r="E19633">
        <f>TEST_DATA!E19633</f>
        <v/>
      </c>
    </row>
    <row r="19634">
      <c r="A19634">
        <f>TEST_DATA!A19634</f>
        <v/>
      </c>
      <c r="B19634">
        <f>TEST_DATA!B19634</f>
        <v/>
      </c>
      <c r="C19634">
        <f>TEST_DATA!C19634</f>
        <v/>
      </c>
      <c r="D19634">
        <f>TEST_DATA!D19634</f>
        <v/>
      </c>
      <c r="E19634">
        <f>TEST_DATA!E19634</f>
        <v/>
      </c>
    </row>
    <row r="19635">
      <c r="A19635">
        <f>TEST_DATA!A19635</f>
        <v/>
      </c>
      <c r="B19635">
        <f>TEST_DATA!B19635</f>
        <v/>
      </c>
      <c r="C19635">
        <f>TEST_DATA!C19635</f>
        <v/>
      </c>
      <c r="D19635">
        <f>TEST_DATA!D19635</f>
        <v/>
      </c>
      <c r="E19635">
        <f>TEST_DATA!E19635</f>
        <v/>
      </c>
    </row>
    <row r="19636">
      <c r="A19636">
        <f>TEST_DATA!A19636</f>
        <v/>
      </c>
      <c r="B19636">
        <f>TEST_DATA!B19636</f>
        <v/>
      </c>
      <c r="C19636">
        <f>TEST_DATA!C19636</f>
        <v/>
      </c>
      <c r="D19636">
        <f>TEST_DATA!D19636</f>
        <v/>
      </c>
      <c r="E19636">
        <f>TEST_DATA!E19636</f>
        <v/>
      </c>
    </row>
    <row r="19637">
      <c r="A19637">
        <f>TEST_DATA!A19637</f>
        <v/>
      </c>
      <c r="B19637">
        <f>TEST_DATA!B19637</f>
        <v/>
      </c>
      <c r="C19637">
        <f>TEST_DATA!C19637</f>
        <v/>
      </c>
      <c r="D19637">
        <f>TEST_DATA!D19637</f>
        <v/>
      </c>
      <c r="E19637">
        <f>TEST_DATA!E19637</f>
        <v/>
      </c>
    </row>
    <row r="19638">
      <c r="A19638">
        <f>TEST_DATA!A19638</f>
        <v/>
      </c>
      <c r="B19638">
        <f>TEST_DATA!B19638</f>
        <v/>
      </c>
      <c r="C19638">
        <f>TEST_DATA!C19638</f>
        <v/>
      </c>
      <c r="D19638">
        <f>TEST_DATA!D19638</f>
        <v/>
      </c>
      <c r="E19638">
        <f>TEST_DATA!E19638</f>
        <v/>
      </c>
    </row>
    <row r="19639">
      <c r="A19639">
        <f>TEST_DATA!A19639</f>
        <v/>
      </c>
      <c r="B19639">
        <f>TEST_DATA!B19639</f>
        <v/>
      </c>
      <c r="C19639">
        <f>TEST_DATA!C19639</f>
        <v/>
      </c>
      <c r="D19639">
        <f>TEST_DATA!D19639</f>
        <v/>
      </c>
      <c r="E19639">
        <f>TEST_DATA!E19639</f>
        <v/>
      </c>
    </row>
    <row r="19640">
      <c r="A19640">
        <f>TEST_DATA!A19640</f>
        <v/>
      </c>
      <c r="B19640">
        <f>TEST_DATA!B19640</f>
        <v/>
      </c>
      <c r="C19640">
        <f>TEST_DATA!C19640</f>
        <v/>
      </c>
      <c r="D19640">
        <f>TEST_DATA!D19640</f>
        <v/>
      </c>
      <c r="E19640">
        <f>TEST_DATA!E19640</f>
        <v/>
      </c>
    </row>
    <row r="19641">
      <c r="A19641">
        <f>TEST_DATA!A19641</f>
        <v/>
      </c>
      <c r="B19641">
        <f>TEST_DATA!B19641</f>
        <v/>
      </c>
      <c r="C19641">
        <f>TEST_DATA!C19641</f>
        <v/>
      </c>
      <c r="D19641">
        <f>TEST_DATA!D19641</f>
        <v/>
      </c>
      <c r="E19641">
        <f>TEST_DATA!E19641</f>
        <v/>
      </c>
    </row>
    <row r="19642">
      <c r="A19642">
        <f>TEST_DATA!A19642</f>
        <v/>
      </c>
      <c r="B19642">
        <f>TEST_DATA!B19642</f>
        <v/>
      </c>
      <c r="C19642">
        <f>TEST_DATA!C19642</f>
        <v/>
      </c>
      <c r="D19642">
        <f>TEST_DATA!D19642</f>
        <v/>
      </c>
      <c r="E19642">
        <f>TEST_DATA!E19642</f>
        <v/>
      </c>
    </row>
    <row r="19643">
      <c r="A19643">
        <f>TEST_DATA!A19643</f>
        <v/>
      </c>
      <c r="B19643">
        <f>TEST_DATA!B19643</f>
        <v/>
      </c>
      <c r="C19643">
        <f>TEST_DATA!C19643</f>
        <v/>
      </c>
      <c r="D19643">
        <f>TEST_DATA!D19643</f>
        <v/>
      </c>
      <c r="E19643">
        <f>TEST_DATA!E19643</f>
        <v/>
      </c>
    </row>
    <row r="19644">
      <c r="A19644">
        <f>TEST_DATA!A19644</f>
        <v/>
      </c>
      <c r="B19644">
        <f>TEST_DATA!B19644</f>
        <v/>
      </c>
      <c r="C19644">
        <f>TEST_DATA!C19644</f>
        <v/>
      </c>
      <c r="D19644">
        <f>TEST_DATA!D19644</f>
        <v/>
      </c>
      <c r="E19644">
        <f>TEST_DATA!E19644</f>
        <v/>
      </c>
    </row>
    <row r="19645">
      <c r="A19645">
        <f>TEST_DATA!A19645</f>
        <v/>
      </c>
      <c r="B19645">
        <f>TEST_DATA!B19645</f>
        <v/>
      </c>
      <c r="C19645">
        <f>TEST_DATA!C19645</f>
        <v/>
      </c>
      <c r="D19645">
        <f>TEST_DATA!D19645</f>
        <v/>
      </c>
      <c r="E19645">
        <f>TEST_DATA!E19645</f>
        <v/>
      </c>
    </row>
    <row r="19646">
      <c r="A19646">
        <f>TEST_DATA!A19646</f>
        <v/>
      </c>
      <c r="B19646">
        <f>TEST_DATA!B19646</f>
        <v/>
      </c>
      <c r="C19646">
        <f>TEST_DATA!C19646</f>
        <v/>
      </c>
      <c r="D19646">
        <f>TEST_DATA!D19646</f>
        <v/>
      </c>
      <c r="E19646">
        <f>TEST_DATA!E19646</f>
        <v/>
      </c>
    </row>
    <row r="19647">
      <c r="A19647">
        <f>TEST_DATA!A19647</f>
        <v/>
      </c>
      <c r="B19647">
        <f>TEST_DATA!B19647</f>
        <v/>
      </c>
      <c r="C19647">
        <f>TEST_DATA!C19647</f>
        <v/>
      </c>
      <c r="D19647">
        <f>TEST_DATA!D19647</f>
        <v/>
      </c>
      <c r="E19647">
        <f>TEST_DATA!E19647</f>
        <v/>
      </c>
    </row>
    <row r="19648">
      <c r="A19648">
        <f>TEST_DATA!A19648</f>
        <v/>
      </c>
      <c r="B19648">
        <f>TEST_DATA!B19648</f>
        <v/>
      </c>
      <c r="C19648">
        <f>TEST_DATA!C19648</f>
        <v/>
      </c>
      <c r="D19648">
        <f>TEST_DATA!D19648</f>
        <v/>
      </c>
      <c r="E19648">
        <f>TEST_DATA!E19648</f>
        <v/>
      </c>
    </row>
    <row r="19649">
      <c r="A19649">
        <f>TEST_DATA!A19649</f>
        <v/>
      </c>
      <c r="B19649">
        <f>TEST_DATA!B19649</f>
        <v/>
      </c>
      <c r="C19649">
        <f>TEST_DATA!C19649</f>
        <v/>
      </c>
      <c r="D19649">
        <f>TEST_DATA!D19649</f>
        <v/>
      </c>
      <c r="E19649">
        <f>TEST_DATA!E19649</f>
        <v/>
      </c>
    </row>
    <row r="19650">
      <c r="A19650">
        <f>TEST_DATA!A19650</f>
        <v/>
      </c>
      <c r="B19650">
        <f>TEST_DATA!B19650</f>
        <v/>
      </c>
      <c r="C19650">
        <f>TEST_DATA!C19650</f>
        <v/>
      </c>
      <c r="D19650">
        <f>TEST_DATA!D19650</f>
        <v/>
      </c>
      <c r="E19650">
        <f>TEST_DATA!E19650</f>
        <v/>
      </c>
    </row>
    <row r="19651">
      <c r="A19651">
        <f>TEST_DATA!A19651</f>
        <v/>
      </c>
      <c r="B19651">
        <f>TEST_DATA!B19651</f>
        <v/>
      </c>
      <c r="C19651">
        <f>TEST_DATA!C19651</f>
        <v/>
      </c>
      <c r="D19651">
        <f>TEST_DATA!D19651</f>
        <v/>
      </c>
      <c r="E19651">
        <f>TEST_DATA!E19651</f>
        <v/>
      </c>
    </row>
    <row r="19652">
      <c r="A19652">
        <f>TEST_DATA!A19652</f>
        <v/>
      </c>
      <c r="B19652">
        <f>TEST_DATA!B19652</f>
        <v/>
      </c>
      <c r="C19652">
        <f>TEST_DATA!C19652</f>
        <v/>
      </c>
      <c r="D19652">
        <f>TEST_DATA!D19652</f>
        <v/>
      </c>
      <c r="E19652">
        <f>TEST_DATA!E19652</f>
        <v/>
      </c>
    </row>
    <row r="19653">
      <c r="A19653">
        <f>TEST_DATA!A19653</f>
        <v/>
      </c>
      <c r="B19653">
        <f>TEST_DATA!B19653</f>
        <v/>
      </c>
      <c r="C19653">
        <f>TEST_DATA!C19653</f>
        <v/>
      </c>
      <c r="D19653">
        <f>TEST_DATA!D19653</f>
        <v/>
      </c>
      <c r="E19653">
        <f>TEST_DATA!E19653</f>
        <v/>
      </c>
    </row>
    <row r="19654">
      <c r="A19654">
        <f>TEST_DATA!A19654</f>
        <v/>
      </c>
      <c r="B19654">
        <f>TEST_DATA!B19654</f>
        <v/>
      </c>
      <c r="C19654">
        <f>TEST_DATA!C19654</f>
        <v/>
      </c>
      <c r="D19654">
        <f>TEST_DATA!D19654</f>
        <v/>
      </c>
      <c r="E19654">
        <f>TEST_DATA!E19654</f>
        <v/>
      </c>
    </row>
    <row r="19655">
      <c r="A19655">
        <f>TEST_DATA!A19655</f>
        <v/>
      </c>
      <c r="B19655">
        <f>TEST_DATA!B19655</f>
        <v/>
      </c>
      <c r="C19655">
        <f>TEST_DATA!C19655</f>
        <v/>
      </c>
      <c r="D19655">
        <f>TEST_DATA!D19655</f>
        <v/>
      </c>
      <c r="E19655">
        <f>TEST_DATA!E19655</f>
        <v/>
      </c>
    </row>
    <row r="19656">
      <c r="A19656">
        <f>TEST_DATA!A19656</f>
        <v/>
      </c>
      <c r="B19656">
        <f>TEST_DATA!B19656</f>
        <v/>
      </c>
      <c r="C19656">
        <f>TEST_DATA!C19656</f>
        <v/>
      </c>
      <c r="D19656">
        <f>TEST_DATA!D19656</f>
        <v/>
      </c>
      <c r="E19656">
        <f>TEST_DATA!E19656</f>
        <v/>
      </c>
    </row>
    <row r="19657">
      <c r="A19657">
        <f>TEST_DATA!A19657</f>
        <v/>
      </c>
      <c r="B19657">
        <f>TEST_DATA!B19657</f>
        <v/>
      </c>
      <c r="C19657">
        <f>TEST_DATA!C19657</f>
        <v/>
      </c>
      <c r="D19657">
        <f>TEST_DATA!D19657</f>
        <v/>
      </c>
      <c r="E19657">
        <f>TEST_DATA!E19657</f>
        <v/>
      </c>
    </row>
    <row r="19658">
      <c r="A19658">
        <f>TEST_DATA!A19658</f>
        <v/>
      </c>
      <c r="B19658">
        <f>TEST_DATA!B19658</f>
        <v/>
      </c>
      <c r="C19658">
        <f>TEST_DATA!C19658</f>
        <v/>
      </c>
      <c r="D19658">
        <f>TEST_DATA!D19658</f>
        <v/>
      </c>
      <c r="E19658">
        <f>TEST_DATA!E19658</f>
        <v/>
      </c>
    </row>
    <row r="19659">
      <c r="A19659">
        <f>TEST_DATA!A19659</f>
        <v/>
      </c>
      <c r="B19659">
        <f>TEST_DATA!B19659</f>
        <v/>
      </c>
      <c r="C19659">
        <f>TEST_DATA!C19659</f>
        <v/>
      </c>
      <c r="D19659">
        <f>TEST_DATA!D19659</f>
        <v/>
      </c>
      <c r="E19659">
        <f>TEST_DATA!E19659</f>
        <v/>
      </c>
    </row>
    <row r="19660">
      <c r="A19660">
        <f>TEST_DATA!A19660</f>
        <v/>
      </c>
      <c r="B19660">
        <f>TEST_DATA!B19660</f>
        <v/>
      </c>
      <c r="C19660">
        <f>TEST_DATA!C19660</f>
        <v/>
      </c>
      <c r="D19660">
        <f>TEST_DATA!D19660</f>
        <v/>
      </c>
      <c r="E19660">
        <f>TEST_DATA!E19660</f>
        <v/>
      </c>
    </row>
    <row r="19661">
      <c r="A19661">
        <f>TEST_DATA!A19661</f>
        <v/>
      </c>
      <c r="B19661">
        <f>TEST_DATA!B19661</f>
        <v/>
      </c>
      <c r="C19661">
        <f>TEST_DATA!C19661</f>
        <v/>
      </c>
      <c r="D19661">
        <f>TEST_DATA!D19661</f>
        <v/>
      </c>
      <c r="E19661">
        <f>TEST_DATA!E19661</f>
        <v/>
      </c>
    </row>
    <row r="19662">
      <c r="A19662">
        <f>TEST_DATA!A19662</f>
        <v/>
      </c>
      <c r="B19662">
        <f>TEST_DATA!B19662</f>
        <v/>
      </c>
      <c r="C19662">
        <f>TEST_DATA!C19662</f>
        <v/>
      </c>
      <c r="D19662">
        <f>TEST_DATA!D19662</f>
        <v/>
      </c>
      <c r="E19662">
        <f>TEST_DATA!E19662</f>
        <v/>
      </c>
    </row>
    <row r="19663">
      <c r="A19663">
        <f>TEST_DATA!A19663</f>
        <v/>
      </c>
      <c r="B19663">
        <f>TEST_DATA!B19663</f>
        <v/>
      </c>
      <c r="C19663">
        <f>TEST_DATA!C19663</f>
        <v/>
      </c>
      <c r="D19663">
        <f>TEST_DATA!D19663</f>
        <v/>
      </c>
      <c r="E19663">
        <f>TEST_DATA!E19663</f>
        <v/>
      </c>
    </row>
    <row r="19664">
      <c r="A19664">
        <f>TEST_DATA!A19664</f>
        <v/>
      </c>
      <c r="B19664">
        <f>TEST_DATA!B19664</f>
        <v/>
      </c>
      <c r="C19664">
        <f>TEST_DATA!C19664</f>
        <v/>
      </c>
      <c r="D19664">
        <f>TEST_DATA!D19664</f>
        <v/>
      </c>
      <c r="E19664">
        <f>TEST_DATA!E19664</f>
        <v/>
      </c>
    </row>
    <row r="19665">
      <c r="A19665">
        <f>TEST_DATA!A19665</f>
        <v/>
      </c>
      <c r="B19665">
        <f>TEST_DATA!B19665</f>
        <v/>
      </c>
      <c r="C19665">
        <f>TEST_DATA!C19665</f>
        <v/>
      </c>
      <c r="D19665">
        <f>TEST_DATA!D19665</f>
        <v/>
      </c>
      <c r="E19665">
        <f>TEST_DATA!E19665</f>
        <v/>
      </c>
    </row>
    <row r="19666">
      <c r="A19666">
        <f>TEST_DATA!A19666</f>
        <v/>
      </c>
      <c r="B19666">
        <f>TEST_DATA!B19666</f>
        <v/>
      </c>
      <c r="C19666">
        <f>TEST_DATA!C19666</f>
        <v/>
      </c>
      <c r="D19666">
        <f>TEST_DATA!D19666</f>
        <v/>
      </c>
      <c r="E19666">
        <f>TEST_DATA!E19666</f>
        <v/>
      </c>
    </row>
    <row r="19667">
      <c r="A19667">
        <f>TEST_DATA!A19667</f>
        <v/>
      </c>
      <c r="B19667">
        <f>TEST_DATA!B19667</f>
        <v/>
      </c>
      <c r="C19667">
        <f>TEST_DATA!C19667</f>
        <v/>
      </c>
      <c r="D19667">
        <f>TEST_DATA!D19667</f>
        <v/>
      </c>
      <c r="E19667">
        <f>TEST_DATA!E19667</f>
        <v/>
      </c>
    </row>
    <row r="19668">
      <c r="A19668">
        <f>TEST_DATA!A19668</f>
        <v/>
      </c>
      <c r="B19668">
        <f>TEST_DATA!B19668</f>
        <v/>
      </c>
      <c r="C19668">
        <f>TEST_DATA!C19668</f>
        <v/>
      </c>
      <c r="D19668">
        <f>TEST_DATA!D19668</f>
        <v/>
      </c>
      <c r="E19668">
        <f>TEST_DATA!E19668</f>
        <v/>
      </c>
    </row>
    <row r="19669">
      <c r="A19669">
        <f>TEST_DATA!A19669</f>
        <v/>
      </c>
      <c r="B19669">
        <f>TEST_DATA!B19669</f>
        <v/>
      </c>
      <c r="C19669">
        <f>TEST_DATA!C19669</f>
        <v/>
      </c>
      <c r="D19669">
        <f>TEST_DATA!D19669</f>
        <v/>
      </c>
      <c r="E19669">
        <f>TEST_DATA!E19669</f>
        <v/>
      </c>
    </row>
    <row r="19670">
      <c r="A19670">
        <f>TEST_DATA!A19670</f>
        <v/>
      </c>
      <c r="B19670">
        <f>TEST_DATA!B19670</f>
        <v/>
      </c>
      <c r="C19670">
        <f>TEST_DATA!C19670</f>
        <v/>
      </c>
      <c r="D19670">
        <f>TEST_DATA!D19670</f>
        <v/>
      </c>
      <c r="E19670">
        <f>TEST_DATA!E19670</f>
        <v/>
      </c>
    </row>
    <row r="19671">
      <c r="A19671">
        <f>TEST_DATA!A19671</f>
        <v/>
      </c>
      <c r="B19671">
        <f>TEST_DATA!B19671</f>
        <v/>
      </c>
      <c r="C19671">
        <f>TEST_DATA!C19671</f>
        <v/>
      </c>
      <c r="D19671">
        <f>TEST_DATA!D19671</f>
        <v/>
      </c>
      <c r="E19671">
        <f>TEST_DATA!E19671</f>
        <v/>
      </c>
    </row>
    <row r="19672">
      <c r="A19672">
        <f>TEST_DATA!A19672</f>
        <v/>
      </c>
      <c r="B19672">
        <f>TEST_DATA!B19672</f>
        <v/>
      </c>
      <c r="C19672">
        <f>TEST_DATA!C19672</f>
        <v/>
      </c>
      <c r="D19672">
        <f>TEST_DATA!D19672</f>
        <v/>
      </c>
      <c r="E19672">
        <f>TEST_DATA!E19672</f>
        <v/>
      </c>
    </row>
    <row r="19673">
      <c r="A19673">
        <f>TEST_DATA!A19673</f>
        <v/>
      </c>
      <c r="B19673">
        <f>TEST_DATA!B19673</f>
        <v/>
      </c>
      <c r="C19673">
        <f>TEST_DATA!C19673</f>
        <v/>
      </c>
      <c r="D19673">
        <f>TEST_DATA!D19673</f>
        <v/>
      </c>
      <c r="E19673">
        <f>TEST_DATA!E19673</f>
        <v/>
      </c>
    </row>
    <row r="19674">
      <c r="A19674">
        <f>TEST_DATA!A19674</f>
        <v/>
      </c>
      <c r="B19674">
        <f>TEST_DATA!B19674</f>
        <v/>
      </c>
      <c r="C19674">
        <f>TEST_DATA!C19674</f>
        <v/>
      </c>
      <c r="D19674">
        <f>TEST_DATA!D19674</f>
        <v/>
      </c>
      <c r="E19674">
        <f>TEST_DATA!E19674</f>
        <v/>
      </c>
    </row>
    <row r="19675">
      <c r="A19675">
        <f>TEST_DATA!A19675</f>
        <v/>
      </c>
      <c r="B19675">
        <f>TEST_DATA!B19675</f>
        <v/>
      </c>
      <c r="C19675">
        <f>TEST_DATA!C19675</f>
        <v/>
      </c>
      <c r="D19675">
        <f>TEST_DATA!D19675</f>
        <v/>
      </c>
      <c r="E19675">
        <f>TEST_DATA!E19675</f>
        <v/>
      </c>
    </row>
    <row r="19676">
      <c r="A19676">
        <f>TEST_DATA!A19676</f>
        <v/>
      </c>
      <c r="B19676">
        <f>TEST_DATA!B19676</f>
        <v/>
      </c>
      <c r="C19676">
        <f>TEST_DATA!C19676</f>
        <v/>
      </c>
      <c r="D19676">
        <f>TEST_DATA!D19676</f>
        <v/>
      </c>
      <c r="E19676">
        <f>TEST_DATA!E19676</f>
        <v/>
      </c>
    </row>
    <row r="19677">
      <c r="A19677">
        <f>TEST_DATA!A19677</f>
        <v/>
      </c>
      <c r="B19677">
        <f>TEST_DATA!B19677</f>
        <v/>
      </c>
      <c r="C19677">
        <f>TEST_DATA!C19677</f>
        <v/>
      </c>
      <c r="D19677">
        <f>TEST_DATA!D19677</f>
        <v/>
      </c>
      <c r="E19677">
        <f>TEST_DATA!E19677</f>
        <v/>
      </c>
    </row>
    <row r="19678">
      <c r="A19678">
        <f>TEST_DATA!A19678</f>
        <v/>
      </c>
      <c r="B19678">
        <f>TEST_DATA!B19678</f>
        <v/>
      </c>
      <c r="C19678">
        <f>TEST_DATA!C19678</f>
        <v/>
      </c>
      <c r="D19678">
        <f>TEST_DATA!D19678</f>
        <v/>
      </c>
      <c r="E19678">
        <f>TEST_DATA!E19678</f>
        <v/>
      </c>
    </row>
    <row r="19679">
      <c r="A19679">
        <f>TEST_DATA!A19679</f>
        <v/>
      </c>
      <c r="B19679">
        <f>TEST_DATA!B19679</f>
        <v/>
      </c>
      <c r="C19679">
        <f>TEST_DATA!C19679</f>
        <v/>
      </c>
      <c r="D19679">
        <f>TEST_DATA!D19679</f>
        <v/>
      </c>
      <c r="E19679">
        <f>TEST_DATA!E19679</f>
        <v/>
      </c>
    </row>
    <row r="19680">
      <c r="A19680">
        <f>TEST_DATA!A19680</f>
        <v/>
      </c>
      <c r="B19680">
        <f>TEST_DATA!B19680</f>
        <v/>
      </c>
      <c r="C19680">
        <f>TEST_DATA!C19680</f>
        <v/>
      </c>
      <c r="D19680">
        <f>TEST_DATA!D19680</f>
        <v/>
      </c>
      <c r="E19680">
        <f>TEST_DATA!E19680</f>
        <v/>
      </c>
    </row>
    <row r="19681">
      <c r="A19681">
        <f>TEST_DATA!A19681</f>
        <v/>
      </c>
      <c r="B19681">
        <f>TEST_DATA!B19681</f>
        <v/>
      </c>
      <c r="C19681">
        <f>TEST_DATA!C19681</f>
        <v/>
      </c>
      <c r="D19681">
        <f>TEST_DATA!D19681</f>
        <v/>
      </c>
      <c r="E19681">
        <f>TEST_DATA!E19681</f>
        <v/>
      </c>
    </row>
    <row r="19682">
      <c r="A19682">
        <f>TEST_DATA!A19682</f>
        <v/>
      </c>
      <c r="B19682">
        <f>TEST_DATA!B19682</f>
        <v/>
      </c>
      <c r="C19682">
        <f>TEST_DATA!C19682</f>
        <v/>
      </c>
      <c r="D19682">
        <f>TEST_DATA!D19682</f>
        <v/>
      </c>
      <c r="E19682">
        <f>TEST_DATA!E19682</f>
        <v/>
      </c>
    </row>
    <row r="19683">
      <c r="A19683">
        <f>TEST_DATA!A19683</f>
        <v/>
      </c>
      <c r="B19683">
        <f>TEST_DATA!B19683</f>
        <v/>
      </c>
      <c r="C19683">
        <f>TEST_DATA!C19683</f>
        <v/>
      </c>
      <c r="D19683">
        <f>TEST_DATA!D19683</f>
        <v/>
      </c>
      <c r="E19683">
        <f>TEST_DATA!E19683</f>
        <v/>
      </c>
    </row>
    <row r="19684">
      <c r="A19684">
        <f>TEST_DATA!A19684</f>
        <v/>
      </c>
      <c r="B19684">
        <f>TEST_DATA!B19684</f>
        <v/>
      </c>
      <c r="C19684">
        <f>TEST_DATA!C19684</f>
        <v/>
      </c>
      <c r="D19684">
        <f>TEST_DATA!D19684</f>
        <v/>
      </c>
      <c r="E19684">
        <f>TEST_DATA!E19684</f>
        <v/>
      </c>
    </row>
    <row r="19685">
      <c r="A19685">
        <f>TEST_DATA!A19685</f>
        <v/>
      </c>
      <c r="B19685">
        <f>TEST_DATA!B19685</f>
        <v/>
      </c>
      <c r="C19685">
        <f>TEST_DATA!C19685</f>
        <v/>
      </c>
      <c r="D19685">
        <f>TEST_DATA!D19685</f>
        <v/>
      </c>
      <c r="E19685">
        <f>TEST_DATA!E19685</f>
        <v/>
      </c>
    </row>
    <row r="19686">
      <c r="A19686">
        <f>TEST_DATA!A19686</f>
        <v/>
      </c>
      <c r="B19686">
        <f>TEST_DATA!B19686</f>
        <v/>
      </c>
      <c r="C19686">
        <f>TEST_DATA!C19686</f>
        <v/>
      </c>
      <c r="D19686">
        <f>TEST_DATA!D19686</f>
        <v/>
      </c>
      <c r="E19686">
        <f>TEST_DATA!E19686</f>
        <v/>
      </c>
    </row>
    <row r="19687">
      <c r="A19687">
        <f>TEST_DATA!A19687</f>
        <v/>
      </c>
      <c r="B19687">
        <f>TEST_DATA!B19687</f>
        <v/>
      </c>
      <c r="C19687">
        <f>TEST_DATA!C19687</f>
        <v/>
      </c>
      <c r="D19687">
        <f>TEST_DATA!D19687</f>
        <v/>
      </c>
      <c r="E19687">
        <f>TEST_DATA!E19687</f>
        <v/>
      </c>
    </row>
    <row r="19688">
      <c r="A19688">
        <f>TEST_DATA!A19688</f>
        <v/>
      </c>
      <c r="B19688">
        <f>TEST_DATA!B19688</f>
        <v/>
      </c>
      <c r="C19688">
        <f>TEST_DATA!C19688</f>
        <v/>
      </c>
      <c r="D19688">
        <f>TEST_DATA!D19688</f>
        <v/>
      </c>
      <c r="E19688">
        <f>TEST_DATA!E19688</f>
        <v/>
      </c>
    </row>
    <row r="19689">
      <c r="A19689">
        <f>TEST_DATA!A19689</f>
        <v/>
      </c>
      <c r="B19689">
        <f>TEST_DATA!B19689</f>
        <v/>
      </c>
      <c r="C19689">
        <f>TEST_DATA!C19689</f>
        <v/>
      </c>
      <c r="D19689">
        <f>TEST_DATA!D19689</f>
        <v/>
      </c>
      <c r="E19689">
        <f>TEST_DATA!E19689</f>
        <v/>
      </c>
    </row>
    <row r="19690">
      <c r="A19690">
        <f>TEST_DATA!A19690</f>
        <v/>
      </c>
      <c r="B19690">
        <f>TEST_DATA!B19690</f>
        <v/>
      </c>
      <c r="C19690">
        <f>TEST_DATA!C19690</f>
        <v/>
      </c>
      <c r="D19690">
        <f>TEST_DATA!D19690</f>
        <v/>
      </c>
      <c r="E19690">
        <f>TEST_DATA!E19690</f>
        <v/>
      </c>
    </row>
    <row r="19691">
      <c r="A19691">
        <f>TEST_DATA!A19691</f>
        <v/>
      </c>
      <c r="B19691">
        <f>TEST_DATA!B19691</f>
        <v/>
      </c>
      <c r="C19691">
        <f>TEST_DATA!C19691</f>
        <v/>
      </c>
      <c r="D19691">
        <f>TEST_DATA!D19691</f>
        <v/>
      </c>
      <c r="E19691">
        <f>TEST_DATA!E19691</f>
        <v/>
      </c>
    </row>
    <row r="19692">
      <c r="A19692">
        <f>TEST_DATA!A19692</f>
        <v/>
      </c>
      <c r="B19692">
        <f>TEST_DATA!B19692</f>
        <v/>
      </c>
      <c r="C19692">
        <f>TEST_DATA!C19692</f>
        <v/>
      </c>
      <c r="D19692">
        <f>TEST_DATA!D19692</f>
        <v/>
      </c>
      <c r="E19692">
        <f>TEST_DATA!E19692</f>
        <v/>
      </c>
    </row>
    <row r="19693">
      <c r="A19693">
        <f>TEST_DATA!A19693</f>
        <v/>
      </c>
      <c r="B19693">
        <f>TEST_DATA!B19693</f>
        <v/>
      </c>
      <c r="C19693">
        <f>TEST_DATA!C19693</f>
        <v/>
      </c>
      <c r="D19693">
        <f>TEST_DATA!D19693</f>
        <v/>
      </c>
      <c r="E19693">
        <f>TEST_DATA!E19693</f>
        <v/>
      </c>
    </row>
    <row r="19694">
      <c r="A19694">
        <f>TEST_DATA!A19694</f>
        <v/>
      </c>
      <c r="B19694">
        <f>TEST_DATA!B19694</f>
        <v/>
      </c>
      <c r="C19694">
        <f>TEST_DATA!C19694</f>
        <v/>
      </c>
      <c r="D19694">
        <f>TEST_DATA!D19694</f>
        <v/>
      </c>
      <c r="E19694">
        <f>TEST_DATA!E19694</f>
        <v/>
      </c>
    </row>
    <row r="19695">
      <c r="A19695">
        <f>TEST_DATA!A19695</f>
        <v/>
      </c>
      <c r="B19695">
        <f>TEST_DATA!B19695</f>
        <v/>
      </c>
      <c r="C19695">
        <f>TEST_DATA!C19695</f>
        <v/>
      </c>
      <c r="D19695">
        <f>TEST_DATA!D19695</f>
        <v/>
      </c>
      <c r="E19695">
        <f>TEST_DATA!E19695</f>
        <v/>
      </c>
    </row>
    <row r="19696">
      <c r="A19696">
        <f>TEST_DATA!A19696</f>
        <v/>
      </c>
      <c r="B19696">
        <f>TEST_DATA!B19696</f>
        <v/>
      </c>
      <c r="C19696">
        <f>TEST_DATA!C19696</f>
        <v/>
      </c>
      <c r="D19696">
        <f>TEST_DATA!D19696</f>
        <v/>
      </c>
      <c r="E19696">
        <f>TEST_DATA!E19696</f>
        <v/>
      </c>
    </row>
    <row r="19697">
      <c r="A19697">
        <f>TEST_DATA!A19697</f>
        <v/>
      </c>
      <c r="B19697">
        <f>TEST_DATA!B19697</f>
        <v/>
      </c>
      <c r="C19697">
        <f>TEST_DATA!C19697</f>
        <v/>
      </c>
      <c r="D19697">
        <f>TEST_DATA!D19697</f>
        <v/>
      </c>
      <c r="E19697">
        <f>TEST_DATA!E19697</f>
        <v/>
      </c>
    </row>
    <row r="19698">
      <c r="A19698">
        <f>TEST_DATA!A19698</f>
        <v/>
      </c>
      <c r="B19698">
        <f>TEST_DATA!B19698</f>
        <v/>
      </c>
      <c r="C19698">
        <f>TEST_DATA!C19698</f>
        <v/>
      </c>
      <c r="D19698">
        <f>TEST_DATA!D19698</f>
        <v/>
      </c>
      <c r="E19698">
        <f>TEST_DATA!E19698</f>
        <v/>
      </c>
    </row>
    <row r="19699">
      <c r="A19699">
        <f>TEST_DATA!A19699</f>
        <v/>
      </c>
      <c r="B19699">
        <f>TEST_DATA!B19699</f>
        <v/>
      </c>
      <c r="C19699">
        <f>TEST_DATA!C19699</f>
        <v/>
      </c>
      <c r="D19699">
        <f>TEST_DATA!D19699</f>
        <v/>
      </c>
      <c r="E19699">
        <f>TEST_DATA!E19699</f>
        <v/>
      </c>
    </row>
    <row r="19700">
      <c r="A19700">
        <f>TEST_DATA!A19700</f>
        <v/>
      </c>
      <c r="B19700">
        <f>TEST_DATA!B19700</f>
        <v/>
      </c>
      <c r="C19700">
        <f>TEST_DATA!C19700</f>
        <v/>
      </c>
      <c r="D19700">
        <f>TEST_DATA!D19700</f>
        <v/>
      </c>
      <c r="E19700">
        <f>TEST_DATA!E19700</f>
        <v/>
      </c>
    </row>
    <row r="19701">
      <c r="A19701">
        <f>TEST_DATA!A19701</f>
        <v/>
      </c>
      <c r="B19701">
        <f>TEST_DATA!B19701</f>
        <v/>
      </c>
      <c r="C19701">
        <f>TEST_DATA!C19701</f>
        <v/>
      </c>
      <c r="D19701">
        <f>TEST_DATA!D19701</f>
        <v/>
      </c>
      <c r="E19701">
        <f>TEST_DATA!E19701</f>
        <v/>
      </c>
    </row>
    <row r="19702">
      <c r="A19702">
        <f>TEST_DATA!A19702</f>
        <v/>
      </c>
      <c r="B19702">
        <f>TEST_DATA!B19702</f>
        <v/>
      </c>
      <c r="C19702">
        <f>TEST_DATA!C19702</f>
        <v/>
      </c>
      <c r="D19702">
        <f>TEST_DATA!D19702</f>
        <v/>
      </c>
      <c r="E19702">
        <f>TEST_DATA!E19702</f>
        <v/>
      </c>
    </row>
    <row r="19703">
      <c r="A19703">
        <f>TEST_DATA!A19703</f>
        <v/>
      </c>
      <c r="B19703">
        <f>TEST_DATA!B19703</f>
        <v/>
      </c>
      <c r="C19703">
        <f>TEST_DATA!C19703</f>
        <v/>
      </c>
      <c r="D19703">
        <f>TEST_DATA!D19703</f>
        <v/>
      </c>
      <c r="E19703">
        <f>TEST_DATA!E19703</f>
        <v/>
      </c>
    </row>
    <row r="19704">
      <c r="A19704">
        <f>TEST_DATA!A19704</f>
        <v/>
      </c>
      <c r="B19704">
        <f>TEST_DATA!B19704</f>
        <v/>
      </c>
      <c r="C19704">
        <f>TEST_DATA!C19704</f>
        <v/>
      </c>
      <c r="D19704">
        <f>TEST_DATA!D19704</f>
        <v/>
      </c>
      <c r="E19704">
        <f>TEST_DATA!E19704</f>
        <v/>
      </c>
    </row>
    <row r="19705">
      <c r="A19705">
        <f>TEST_DATA!A19705</f>
        <v/>
      </c>
      <c r="B19705">
        <f>TEST_DATA!B19705</f>
        <v/>
      </c>
      <c r="C19705">
        <f>TEST_DATA!C19705</f>
        <v/>
      </c>
      <c r="D19705">
        <f>TEST_DATA!D19705</f>
        <v/>
      </c>
      <c r="E19705">
        <f>TEST_DATA!E19705</f>
        <v/>
      </c>
    </row>
    <row r="19706">
      <c r="A19706">
        <f>TEST_DATA!A19706</f>
        <v/>
      </c>
      <c r="B19706">
        <f>TEST_DATA!B19706</f>
        <v/>
      </c>
      <c r="C19706">
        <f>TEST_DATA!C19706</f>
        <v/>
      </c>
      <c r="D19706">
        <f>TEST_DATA!D19706</f>
        <v/>
      </c>
      <c r="E19706">
        <f>TEST_DATA!E19706</f>
        <v/>
      </c>
    </row>
    <row r="19707">
      <c r="A19707">
        <f>TEST_DATA!A19707</f>
        <v/>
      </c>
      <c r="B19707">
        <f>TEST_DATA!B19707</f>
        <v/>
      </c>
      <c r="C19707">
        <f>TEST_DATA!C19707</f>
        <v/>
      </c>
      <c r="D19707">
        <f>TEST_DATA!D19707</f>
        <v/>
      </c>
      <c r="E19707">
        <f>TEST_DATA!E19707</f>
        <v/>
      </c>
    </row>
    <row r="19708">
      <c r="A19708">
        <f>TEST_DATA!A19708</f>
        <v/>
      </c>
      <c r="B19708">
        <f>TEST_DATA!B19708</f>
        <v/>
      </c>
      <c r="C19708">
        <f>TEST_DATA!C19708</f>
        <v/>
      </c>
      <c r="D19708">
        <f>TEST_DATA!D19708</f>
        <v/>
      </c>
      <c r="E19708">
        <f>TEST_DATA!E19708</f>
        <v/>
      </c>
    </row>
    <row r="19709">
      <c r="A19709">
        <f>TEST_DATA!A19709</f>
        <v/>
      </c>
      <c r="B19709">
        <f>TEST_DATA!B19709</f>
        <v/>
      </c>
      <c r="C19709">
        <f>TEST_DATA!C19709</f>
        <v/>
      </c>
      <c r="D19709">
        <f>TEST_DATA!D19709</f>
        <v/>
      </c>
      <c r="E19709">
        <f>TEST_DATA!E19709</f>
        <v/>
      </c>
    </row>
    <row r="19710">
      <c r="A19710">
        <f>TEST_DATA!A19710</f>
        <v/>
      </c>
      <c r="B19710">
        <f>TEST_DATA!B19710</f>
        <v/>
      </c>
      <c r="C19710">
        <f>TEST_DATA!C19710</f>
        <v/>
      </c>
      <c r="D19710">
        <f>TEST_DATA!D19710</f>
        <v/>
      </c>
      <c r="E19710">
        <f>TEST_DATA!E19710</f>
        <v/>
      </c>
    </row>
    <row r="19711">
      <c r="A19711">
        <f>TEST_DATA!A19711</f>
        <v/>
      </c>
      <c r="B19711">
        <f>TEST_DATA!B19711</f>
        <v/>
      </c>
      <c r="C19711">
        <f>TEST_DATA!C19711</f>
        <v/>
      </c>
      <c r="D19711">
        <f>TEST_DATA!D19711</f>
        <v/>
      </c>
      <c r="E19711">
        <f>TEST_DATA!E19711</f>
        <v/>
      </c>
    </row>
    <row r="19712">
      <c r="A19712">
        <f>TEST_DATA!A19712</f>
        <v/>
      </c>
      <c r="B19712">
        <f>TEST_DATA!B19712</f>
        <v/>
      </c>
      <c r="C19712">
        <f>TEST_DATA!C19712</f>
        <v/>
      </c>
      <c r="D19712">
        <f>TEST_DATA!D19712</f>
        <v/>
      </c>
      <c r="E19712">
        <f>TEST_DATA!E19712</f>
        <v/>
      </c>
    </row>
    <row r="19713">
      <c r="A19713">
        <f>TEST_DATA!A19713</f>
        <v/>
      </c>
      <c r="B19713">
        <f>TEST_DATA!B19713</f>
        <v/>
      </c>
      <c r="C19713">
        <f>TEST_DATA!C19713</f>
        <v/>
      </c>
      <c r="D19713">
        <f>TEST_DATA!D19713</f>
        <v/>
      </c>
      <c r="E19713">
        <f>TEST_DATA!E19713</f>
        <v/>
      </c>
    </row>
    <row r="19714">
      <c r="A19714">
        <f>TEST_DATA!A19714</f>
        <v/>
      </c>
      <c r="B19714">
        <f>TEST_DATA!B19714</f>
        <v/>
      </c>
      <c r="C19714">
        <f>TEST_DATA!C19714</f>
        <v/>
      </c>
      <c r="D19714">
        <f>TEST_DATA!D19714</f>
        <v/>
      </c>
      <c r="E19714">
        <f>TEST_DATA!E19714</f>
        <v/>
      </c>
    </row>
    <row r="19715">
      <c r="A19715">
        <f>TEST_DATA!A19715</f>
        <v/>
      </c>
      <c r="B19715">
        <f>TEST_DATA!B19715</f>
        <v/>
      </c>
      <c r="C19715">
        <f>TEST_DATA!C19715</f>
        <v/>
      </c>
      <c r="D19715">
        <f>TEST_DATA!D19715</f>
        <v/>
      </c>
      <c r="E19715">
        <f>TEST_DATA!E19715</f>
        <v/>
      </c>
    </row>
    <row r="19716">
      <c r="A19716">
        <f>TEST_DATA!A19716</f>
        <v/>
      </c>
      <c r="B19716">
        <f>TEST_DATA!B19716</f>
        <v/>
      </c>
      <c r="C19716">
        <f>TEST_DATA!C19716</f>
        <v/>
      </c>
      <c r="D19716">
        <f>TEST_DATA!D19716</f>
        <v/>
      </c>
      <c r="E19716">
        <f>TEST_DATA!E19716</f>
        <v/>
      </c>
    </row>
    <row r="19717">
      <c r="A19717">
        <f>TEST_DATA!A19717</f>
        <v/>
      </c>
      <c r="B19717">
        <f>TEST_DATA!B19717</f>
        <v/>
      </c>
      <c r="C19717">
        <f>TEST_DATA!C19717</f>
        <v/>
      </c>
      <c r="D19717">
        <f>TEST_DATA!D19717</f>
        <v/>
      </c>
      <c r="E19717">
        <f>TEST_DATA!E19717</f>
        <v/>
      </c>
    </row>
    <row r="19718">
      <c r="A19718">
        <f>TEST_DATA!A19718</f>
        <v/>
      </c>
      <c r="B19718">
        <f>TEST_DATA!B19718</f>
        <v/>
      </c>
      <c r="C19718">
        <f>TEST_DATA!C19718</f>
        <v/>
      </c>
      <c r="D19718">
        <f>TEST_DATA!D19718</f>
        <v/>
      </c>
      <c r="E19718">
        <f>TEST_DATA!E19718</f>
        <v/>
      </c>
    </row>
    <row r="19719">
      <c r="A19719">
        <f>TEST_DATA!A19719</f>
        <v/>
      </c>
      <c r="B19719">
        <f>TEST_DATA!B19719</f>
        <v/>
      </c>
      <c r="C19719">
        <f>TEST_DATA!C19719</f>
        <v/>
      </c>
      <c r="D19719">
        <f>TEST_DATA!D19719</f>
        <v/>
      </c>
      <c r="E19719">
        <f>TEST_DATA!E19719</f>
        <v/>
      </c>
    </row>
    <row r="19720">
      <c r="A19720">
        <f>TEST_DATA!A19720</f>
        <v/>
      </c>
      <c r="B19720">
        <f>TEST_DATA!B19720</f>
        <v/>
      </c>
      <c r="C19720">
        <f>TEST_DATA!C19720</f>
        <v/>
      </c>
      <c r="D19720">
        <f>TEST_DATA!D19720</f>
        <v/>
      </c>
      <c r="E19720">
        <f>TEST_DATA!E19720</f>
        <v/>
      </c>
    </row>
    <row r="19721">
      <c r="A19721">
        <f>TEST_DATA!A19721</f>
        <v/>
      </c>
      <c r="B19721">
        <f>TEST_DATA!B19721</f>
        <v/>
      </c>
      <c r="C19721">
        <f>TEST_DATA!C19721</f>
        <v/>
      </c>
      <c r="D19721">
        <f>TEST_DATA!D19721</f>
        <v/>
      </c>
      <c r="E19721">
        <f>TEST_DATA!E19721</f>
        <v/>
      </c>
    </row>
    <row r="19722">
      <c r="A19722">
        <f>TEST_DATA!A19722</f>
        <v/>
      </c>
      <c r="B19722">
        <f>TEST_DATA!B19722</f>
        <v/>
      </c>
      <c r="C19722">
        <f>TEST_DATA!C19722</f>
        <v/>
      </c>
      <c r="D19722">
        <f>TEST_DATA!D19722</f>
        <v/>
      </c>
      <c r="E19722">
        <f>TEST_DATA!E19722</f>
        <v/>
      </c>
    </row>
    <row r="19723">
      <c r="A19723">
        <f>TEST_DATA!A19723</f>
        <v/>
      </c>
      <c r="B19723">
        <f>TEST_DATA!B19723</f>
        <v/>
      </c>
      <c r="C19723">
        <f>TEST_DATA!C19723</f>
        <v/>
      </c>
      <c r="D19723">
        <f>TEST_DATA!D19723</f>
        <v/>
      </c>
      <c r="E19723">
        <f>TEST_DATA!E19723</f>
        <v/>
      </c>
    </row>
    <row r="19724">
      <c r="A19724">
        <f>TEST_DATA!A19724</f>
        <v/>
      </c>
      <c r="B19724">
        <f>TEST_DATA!B19724</f>
        <v/>
      </c>
      <c r="C19724">
        <f>TEST_DATA!C19724</f>
        <v/>
      </c>
      <c r="D19724">
        <f>TEST_DATA!D19724</f>
        <v/>
      </c>
      <c r="E19724">
        <f>TEST_DATA!E19724</f>
        <v/>
      </c>
    </row>
    <row r="19725">
      <c r="A19725">
        <f>TEST_DATA!A19725</f>
        <v/>
      </c>
      <c r="B19725">
        <f>TEST_DATA!B19725</f>
        <v/>
      </c>
      <c r="C19725">
        <f>TEST_DATA!C19725</f>
        <v/>
      </c>
      <c r="D19725">
        <f>TEST_DATA!D19725</f>
        <v/>
      </c>
      <c r="E19725">
        <f>TEST_DATA!E19725</f>
        <v/>
      </c>
    </row>
    <row r="19726">
      <c r="A19726">
        <f>TEST_DATA!A19726</f>
        <v/>
      </c>
      <c r="B19726">
        <f>TEST_DATA!B19726</f>
        <v/>
      </c>
      <c r="C19726">
        <f>TEST_DATA!C19726</f>
        <v/>
      </c>
      <c r="D19726">
        <f>TEST_DATA!D19726</f>
        <v/>
      </c>
      <c r="E19726">
        <f>TEST_DATA!E19726</f>
        <v/>
      </c>
    </row>
    <row r="19727">
      <c r="A19727">
        <f>TEST_DATA!A19727</f>
        <v/>
      </c>
      <c r="B19727">
        <f>TEST_DATA!B19727</f>
        <v/>
      </c>
      <c r="C19727">
        <f>TEST_DATA!C19727</f>
        <v/>
      </c>
      <c r="D19727">
        <f>TEST_DATA!D19727</f>
        <v/>
      </c>
      <c r="E19727">
        <f>TEST_DATA!E19727</f>
        <v/>
      </c>
    </row>
    <row r="19728">
      <c r="A19728">
        <f>TEST_DATA!A19728</f>
        <v/>
      </c>
      <c r="B19728">
        <f>TEST_DATA!B19728</f>
        <v/>
      </c>
      <c r="C19728">
        <f>TEST_DATA!C19728</f>
        <v/>
      </c>
      <c r="D19728">
        <f>TEST_DATA!D19728</f>
        <v/>
      </c>
      <c r="E19728">
        <f>TEST_DATA!E19728</f>
        <v/>
      </c>
    </row>
    <row r="19729">
      <c r="A19729">
        <f>TEST_DATA!A19729</f>
        <v/>
      </c>
      <c r="B19729">
        <f>TEST_DATA!B19729</f>
        <v/>
      </c>
      <c r="C19729">
        <f>TEST_DATA!C19729</f>
        <v/>
      </c>
      <c r="D19729">
        <f>TEST_DATA!D19729</f>
        <v/>
      </c>
      <c r="E19729">
        <f>TEST_DATA!E19729</f>
        <v/>
      </c>
    </row>
    <row r="19730">
      <c r="A19730">
        <f>TEST_DATA!A19730</f>
        <v/>
      </c>
      <c r="B19730">
        <f>TEST_DATA!B19730</f>
        <v/>
      </c>
      <c r="C19730">
        <f>TEST_DATA!C19730</f>
        <v/>
      </c>
      <c r="D19730">
        <f>TEST_DATA!D19730</f>
        <v/>
      </c>
      <c r="E19730">
        <f>TEST_DATA!E19730</f>
        <v/>
      </c>
    </row>
    <row r="19731">
      <c r="A19731">
        <f>TEST_DATA!A19731</f>
        <v/>
      </c>
      <c r="B19731">
        <f>TEST_DATA!B19731</f>
        <v/>
      </c>
      <c r="C19731">
        <f>TEST_DATA!C19731</f>
        <v/>
      </c>
      <c r="D19731">
        <f>TEST_DATA!D19731</f>
        <v/>
      </c>
      <c r="E19731">
        <f>TEST_DATA!E19731</f>
        <v/>
      </c>
    </row>
    <row r="19732">
      <c r="A19732">
        <f>TEST_DATA!A19732</f>
        <v/>
      </c>
      <c r="B19732">
        <f>TEST_DATA!B19732</f>
        <v/>
      </c>
      <c r="C19732">
        <f>TEST_DATA!C19732</f>
        <v/>
      </c>
      <c r="D19732">
        <f>TEST_DATA!D19732</f>
        <v/>
      </c>
      <c r="E19732">
        <f>TEST_DATA!E19732</f>
        <v/>
      </c>
    </row>
    <row r="19733">
      <c r="A19733">
        <f>TEST_DATA!A19733</f>
        <v/>
      </c>
      <c r="B19733">
        <f>TEST_DATA!B19733</f>
        <v/>
      </c>
      <c r="C19733">
        <f>TEST_DATA!C19733</f>
        <v/>
      </c>
      <c r="D19733">
        <f>TEST_DATA!D19733</f>
        <v/>
      </c>
      <c r="E19733">
        <f>TEST_DATA!E19733</f>
        <v/>
      </c>
    </row>
    <row r="19734">
      <c r="A19734">
        <f>TEST_DATA!A19734</f>
        <v/>
      </c>
      <c r="B19734">
        <f>TEST_DATA!B19734</f>
        <v/>
      </c>
      <c r="C19734">
        <f>TEST_DATA!C19734</f>
        <v/>
      </c>
      <c r="D19734">
        <f>TEST_DATA!D19734</f>
        <v/>
      </c>
      <c r="E19734">
        <f>TEST_DATA!E19734</f>
        <v/>
      </c>
    </row>
    <row r="19735">
      <c r="A19735">
        <f>TEST_DATA!A19735</f>
        <v/>
      </c>
      <c r="B19735">
        <f>TEST_DATA!B19735</f>
        <v/>
      </c>
      <c r="C19735">
        <f>TEST_DATA!C19735</f>
        <v/>
      </c>
      <c r="D19735">
        <f>TEST_DATA!D19735</f>
        <v/>
      </c>
      <c r="E19735">
        <f>TEST_DATA!E19735</f>
        <v/>
      </c>
    </row>
    <row r="19736">
      <c r="A19736">
        <f>TEST_DATA!A19736</f>
        <v/>
      </c>
      <c r="B19736">
        <f>TEST_DATA!B19736</f>
        <v/>
      </c>
      <c r="C19736">
        <f>TEST_DATA!C19736</f>
        <v/>
      </c>
      <c r="D19736">
        <f>TEST_DATA!D19736</f>
        <v/>
      </c>
      <c r="E19736">
        <f>TEST_DATA!E19736</f>
        <v/>
      </c>
    </row>
    <row r="19737">
      <c r="A19737">
        <f>TEST_DATA!A19737</f>
        <v/>
      </c>
      <c r="B19737">
        <f>TEST_DATA!B19737</f>
        <v/>
      </c>
      <c r="C19737">
        <f>TEST_DATA!C19737</f>
        <v/>
      </c>
      <c r="D19737">
        <f>TEST_DATA!D19737</f>
        <v/>
      </c>
      <c r="E19737">
        <f>TEST_DATA!E19737</f>
        <v/>
      </c>
    </row>
    <row r="19738">
      <c r="A19738">
        <f>TEST_DATA!A19738</f>
        <v/>
      </c>
      <c r="B19738">
        <f>TEST_DATA!B19738</f>
        <v/>
      </c>
      <c r="C19738">
        <f>TEST_DATA!C19738</f>
        <v/>
      </c>
      <c r="D19738">
        <f>TEST_DATA!D19738</f>
        <v/>
      </c>
      <c r="E19738">
        <f>TEST_DATA!E19738</f>
        <v/>
      </c>
    </row>
    <row r="19739">
      <c r="A19739">
        <f>TEST_DATA!A19739</f>
        <v/>
      </c>
      <c r="B19739">
        <f>TEST_DATA!B19739</f>
        <v/>
      </c>
      <c r="C19739">
        <f>TEST_DATA!C19739</f>
        <v/>
      </c>
      <c r="D19739">
        <f>TEST_DATA!D19739</f>
        <v/>
      </c>
      <c r="E19739">
        <f>TEST_DATA!E19739</f>
        <v/>
      </c>
    </row>
    <row r="19740">
      <c r="A19740">
        <f>TEST_DATA!A19740</f>
        <v/>
      </c>
      <c r="B19740">
        <f>TEST_DATA!B19740</f>
        <v/>
      </c>
      <c r="C19740">
        <f>TEST_DATA!C19740</f>
        <v/>
      </c>
      <c r="D19740">
        <f>TEST_DATA!D19740</f>
        <v/>
      </c>
      <c r="E19740">
        <f>TEST_DATA!E19740</f>
        <v/>
      </c>
    </row>
    <row r="19741">
      <c r="A19741">
        <f>TEST_DATA!A19741</f>
        <v/>
      </c>
      <c r="B19741">
        <f>TEST_DATA!B19741</f>
        <v/>
      </c>
      <c r="C19741">
        <f>TEST_DATA!C19741</f>
        <v/>
      </c>
      <c r="D19741">
        <f>TEST_DATA!D19741</f>
        <v/>
      </c>
      <c r="E19741">
        <f>TEST_DATA!E19741</f>
        <v/>
      </c>
    </row>
    <row r="19742">
      <c r="A19742">
        <f>TEST_DATA!A19742</f>
        <v/>
      </c>
      <c r="B19742">
        <f>TEST_DATA!B19742</f>
        <v/>
      </c>
      <c r="C19742">
        <f>TEST_DATA!C19742</f>
        <v/>
      </c>
      <c r="D19742">
        <f>TEST_DATA!D19742</f>
        <v/>
      </c>
      <c r="E19742">
        <f>TEST_DATA!E19742</f>
        <v/>
      </c>
    </row>
    <row r="19743">
      <c r="A19743">
        <f>TEST_DATA!A19743</f>
        <v/>
      </c>
      <c r="B19743">
        <f>TEST_DATA!B19743</f>
        <v/>
      </c>
      <c r="C19743">
        <f>TEST_DATA!C19743</f>
        <v/>
      </c>
      <c r="D19743">
        <f>TEST_DATA!D19743</f>
        <v/>
      </c>
      <c r="E19743">
        <f>TEST_DATA!E19743</f>
        <v/>
      </c>
    </row>
    <row r="19744">
      <c r="A19744">
        <f>TEST_DATA!A19744</f>
        <v/>
      </c>
      <c r="B19744">
        <f>TEST_DATA!B19744</f>
        <v/>
      </c>
      <c r="C19744">
        <f>TEST_DATA!C19744</f>
        <v/>
      </c>
      <c r="D19744">
        <f>TEST_DATA!D19744</f>
        <v/>
      </c>
      <c r="E19744">
        <f>TEST_DATA!E19744</f>
        <v/>
      </c>
    </row>
    <row r="19745">
      <c r="A19745">
        <f>TEST_DATA!A19745</f>
        <v/>
      </c>
      <c r="B19745">
        <f>TEST_DATA!B19745</f>
        <v/>
      </c>
      <c r="C19745">
        <f>TEST_DATA!C19745</f>
        <v/>
      </c>
      <c r="D19745">
        <f>TEST_DATA!D19745</f>
        <v/>
      </c>
      <c r="E19745">
        <f>TEST_DATA!E19745</f>
        <v/>
      </c>
    </row>
    <row r="19746">
      <c r="A19746">
        <f>TEST_DATA!A19746</f>
        <v/>
      </c>
      <c r="B19746">
        <f>TEST_DATA!B19746</f>
        <v/>
      </c>
      <c r="C19746">
        <f>TEST_DATA!C19746</f>
        <v/>
      </c>
      <c r="D19746">
        <f>TEST_DATA!D19746</f>
        <v/>
      </c>
      <c r="E19746">
        <f>TEST_DATA!E19746</f>
        <v/>
      </c>
    </row>
    <row r="19747">
      <c r="A19747">
        <f>TEST_DATA!A19747</f>
        <v/>
      </c>
      <c r="B19747">
        <f>TEST_DATA!B19747</f>
        <v/>
      </c>
      <c r="C19747">
        <f>TEST_DATA!C19747</f>
        <v/>
      </c>
      <c r="D19747">
        <f>TEST_DATA!D19747</f>
        <v/>
      </c>
      <c r="E19747">
        <f>TEST_DATA!E19747</f>
        <v/>
      </c>
    </row>
    <row r="19748">
      <c r="A19748">
        <f>TEST_DATA!A19748</f>
        <v/>
      </c>
      <c r="B19748">
        <f>TEST_DATA!B19748</f>
        <v/>
      </c>
      <c r="C19748">
        <f>TEST_DATA!C19748</f>
        <v/>
      </c>
      <c r="D19748">
        <f>TEST_DATA!D19748</f>
        <v/>
      </c>
      <c r="E19748">
        <f>TEST_DATA!E19748</f>
        <v/>
      </c>
    </row>
    <row r="19749">
      <c r="A19749">
        <f>TEST_DATA!A19749</f>
        <v/>
      </c>
      <c r="B19749">
        <f>TEST_DATA!B19749</f>
        <v/>
      </c>
      <c r="C19749">
        <f>TEST_DATA!C19749</f>
        <v/>
      </c>
      <c r="D19749">
        <f>TEST_DATA!D19749</f>
        <v/>
      </c>
      <c r="E19749">
        <f>TEST_DATA!E19749</f>
        <v/>
      </c>
    </row>
    <row r="19750">
      <c r="A19750">
        <f>TEST_DATA!A19750</f>
        <v/>
      </c>
      <c r="B19750">
        <f>TEST_DATA!B19750</f>
        <v/>
      </c>
      <c r="C19750">
        <f>TEST_DATA!C19750</f>
        <v/>
      </c>
      <c r="D19750">
        <f>TEST_DATA!D19750</f>
        <v/>
      </c>
      <c r="E19750">
        <f>TEST_DATA!E19750</f>
        <v/>
      </c>
    </row>
    <row r="19751">
      <c r="A19751">
        <f>TEST_DATA!A19751</f>
        <v/>
      </c>
      <c r="B19751">
        <f>TEST_DATA!B19751</f>
        <v/>
      </c>
      <c r="C19751">
        <f>TEST_DATA!C19751</f>
        <v/>
      </c>
      <c r="D19751">
        <f>TEST_DATA!D19751</f>
        <v/>
      </c>
      <c r="E19751">
        <f>TEST_DATA!E19751</f>
        <v/>
      </c>
    </row>
    <row r="19752">
      <c r="A19752">
        <f>TEST_DATA!A19752</f>
        <v/>
      </c>
      <c r="B19752">
        <f>TEST_DATA!B19752</f>
        <v/>
      </c>
      <c r="C19752">
        <f>TEST_DATA!C19752</f>
        <v/>
      </c>
      <c r="D19752">
        <f>TEST_DATA!D19752</f>
        <v/>
      </c>
      <c r="E19752">
        <f>TEST_DATA!E19752</f>
        <v/>
      </c>
    </row>
    <row r="19753">
      <c r="A19753">
        <f>TEST_DATA!A19753</f>
        <v/>
      </c>
      <c r="B19753">
        <f>TEST_DATA!B19753</f>
        <v/>
      </c>
      <c r="C19753">
        <f>TEST_DATA!C19753</f>
        <v/>
      </c>
      <c r="D19753">
        <f>TEST_DATA!D19753</f>
        <v/>
      </c>
      <c r="E19753">
        <f>TEST_DATA!E19753</f>
        <v/>
      </c>
    </row>
    <row r="19754">
      <c r="A19754">
        <f>TEST_DATA!A19754</f>
        <v/>
      </c>
      <c r="B19754">
        <f>TEST_DATA!B19754</f>
        <v/>
      </c>
      <c r="C19754">
        <f>TEST_DATA!C19754</f>
        <v/>
      </c>
      <c r="D19754">
        <f>TEST_DATA!D19754</f>
        <v/>
      </c>
      <c r="E19754">
        <f>TEST_DATA!E19754</f>
        <v/>
      </c>
    </row>
    <row r="19755">
      <c r="A19755">
        <f>TEST_DATA!A19755</f>
        <v/>
      </c>
      <c r="B19755">
        <f>TEST_DATA!B19755</f>
        <v/>
      </c>
      <c r="C19755">
        <f>TEST_DATA!C19755</f>
        <v/>
      </c>
      <c r="D19755">
        <f>TEST_DATA!D19755</f>
        <v/>
      </c>
      <c r="E19755">
        <f>TEST_DATA!E19755</f>
        <v/>
      </c>
    </row>
    <row r="19756">
      <c r="A19756">
        <f>TEST_DATA!A19756</f>
        <v/>
      </c>
      <c r="B19756">
        <f>TEST_DATA!B19756</f>
        <v/>
      </c>
      <c r="C19756">
        <f>TEST_DATA!C19756</f>
        <v/>
      </c>
      <c r="D19756">
        <f>TEST_DATA!D19756</f>
        <v/>
      </c>
      <c r="E19756">
        <f>TEST_DATA!E19756</f>
        <v/>
      </c>
    </row>
    <row r="19757">
      <c r="A19757">
        <f>TEST_DATA!A19757</f>
        <v/>
      </c>
      <c r="B19757">
        <f>TEST_DATA!B19757</f>
        <v/>
      </c>
      <c r="C19757">
        <f>TEST_DATA!C19757</f>
        <v/>
      </c>
      <c r="D19757">
        <f>TEST_DATA!D19757</f>
        <v/>
      </c>
      <c r="E19757">
        <f>TEST_DATA!E19757</f>
        <v/>
      </c>
    </row>
    <row r="19758">
      <c r="A19758">
        <f>TEST_DATA!A19758</f>
        <v/>
      </c>
      <c r="B19758">
        <f>TEST_DATA!B19758</f>
        <v/>
      </c>
      <c r="C19758">
        <f>TEST_DATA!C19758</f>
        <v/>
      </c>
      <c r="D19758">
        <f>TEST_DATA!D19758</f>
        <v/>
      </c>
      <c r="E19758">
        <f>TEST_DATA!E19758</f>
        <v/>
      </c>
    </row>
    <row r="19759">
      <c r="A19759">
        <f>TEST_DATA!A19759</f>
        <v/>
      </c>
      <c r="B19759">
        <f>TEST_DATA!B19759</f>
        <v/>
      </c>
      <c r="C19759">
        <f>TEST_DATA!C19759</f>
        <v/>
      </c>
      <c r="D19759">
        <f>TEST_DATA!D19759</f>
        <v/>
      </c>
      <c r="E19759">
        <f>TEST_DATA!E19759</f>
        <v/>
      </c>
    </row>
    <row r="19760">
      <c r="A19760">
        <f>TEST_DATA!A19760</f>
        <v/>
      </c>
      <c r="B19760">
        <f>TEST_DATA!B19760</f>
        <v/>
      </c>
      <c r="C19760">
        <f>TEST_DATA!C19760</f>
        <v/>
      </c>
      <c r="D19760">
        <f>TEST_DATA!D19760</f>
        <v/>
      </c>
      <c r="E19760">
        <f>TEST_DATA!E19760</f>
        <v/>
      </c>
    </row>
    <row r="19761">
      <c r="A19761">
        <f>TEST_DATA!A19761</f>
        <v/>
      </c>
      <c r="B19761">
        <f>TEST_DATA!B19761</f>
        <v/>
      </c>
      <c r="C19761">
        <f>TEST_DATA!C19761</f>
        <v/>
      </c>
      <c r="D19761">
        <f>TEST_DATA!D19761</f>
        <v/>
      </c>
      <c r="E19761">
        <f>TEST_DATA!E19761</f>
        <v/>
      </c>
    </row>
    <row r="19762">
      <c r="A19762">
        <f>TEST_DATA!A19762</f>
        <v/>
      </c>
      <c r="B19762">
        <f>TEST_DATA!B19762</f>
        <v/>
      </c>
      <c r="C19762">
        <f>TEST_DATA!C19762</f>
        <v/>
      </c>
      <c r="D19762">
        <f>TEST_DATA!D19762</f>
        <v/>
      </c>
      <c r="E19762">
        <f>TEST_DATA!E19762</f>
        <v/>
      </c>
    </row>
    <row r="19763">
      <c r="A19763">
        <f>TEST_DATA!A19763</f>
        <v/>
      </c>
      <c r="B19763">
        <f>TEST_DATA!B19763</f>
        <v/>
      </c>
      <c r="C19763">
        <f>TEST_DATA!C19763</f>
        <v/>
      </c>
      <c r="D19763">
        <f>TEST_DATA!D19763</f>
        <v/>
      </c>
      <c r="E19763">
        <f>TEST_DATA!E19763</f>
        <v/>
      </c>
    </row>
    <row r="19764">
      <c r="A19764">
        <f>TEST_DATA!A19764</f>
        <v/>
      </c>
      <c r="B19764">
        <f>TEST_DATA!B19764</f>
        <v/>
      </c>
      <c r="C19764">
        <f>TEST_DATA!C19764</f>
        <v/>
      </c>
      <c r="D19764">
        <f>TEST_DATA!D19764</f>
        <v/>
      </c>
      <c r="E19764">
        <f>TEST_DATA!E19764</f>
        <v/>
      </c>
    </row>
    <row r="19765">
      <c r="A19765">
        <f>TEST_DATA!A19765</f>
        <v/>
      </c>
      <c r="B19765">
        <f>TEST_DATA!B19765</f>
        <v/>
      </c>
      <c r="C19765">
        <f>TEST_DATA!C19765</f>
        <v/>
      </c>
      <c r="D19765">
        <f>TEST_DATA!D19765</f>
        <v/>
      </c>
      <c r="E19765">
        <f>TEST_DATA!E19765</f>
        <v/>
      </c>
    </row>
    <row r="19766">
      <c r="A19766">
        <f>TEST_DATA!A19766</f>
        <v/>
      </c>
      <c r="B19766">
        <f>TEST_DATA!B19766</f>
        <v/>
      </c>
      <c r="C19766">
        <f>TEST_DATA!C19766</f>
        <v/>
      </c>
      <c r="D19766">
        <f>TEST_DATA!D19766</f>
        <v/>
      </c>
      <c r="E19766">
        <f>TEST_DATA!E19766</f>
        <v/>
      </c>
    </row>
    <row r="19767">
      <c r="A19767">
        <f>TEST_DATA!A19767</f>
        <v/>
      </c>
      <c r="B19767">
        <f>TEST_DATA!B19767</f>
        <v/>
      </c>
      <c r="C19767">
        <f>TEST_DATA!C19767</f>
        <v/>
      </c>
      <c r="D19767">
        <f>TEST_DATA!D19767</f>
        <v/>
      </c>
      <c r="E19767">
        <f>TEST_DATA!E19767</f>
        <v/>
      </c>
    </row>
    <row r="19768">
      <c r="A19768">
        <f>TEST_DATA!A19768</f>
        <v/>
      </c>
      <c r="B19768">
        <f>TEST_DATA!B19768</f>
        <v/>
      </c>
      <c r="C19768">
        <f>TEST_DATA!C19768</f>
        <v/>
      </c>
      <c r="D19768">
        <f>TEST_DATA!D19768</f>
        <v/>
      </c>
      <c r="E19768">
        <f>TEST_DATA!E19768</f>
        <v/>
      </c>
    </row>
    <row r="19769">
      <c r="A19769">
        <f>TEST_DATA!A19769</f>
        <v/>
      </c>
      <c r="B19769">
        <f>TEST_DATA!B19769</f>
        <v/>
      </c>
      <c r="C19769">
        <f>TEST_DATA!C19769</f>
        <v/>
      </c>
      <c r="D19769">
        <f>TEST_DATA!D19769</f>
        <v/>
      </c>
      <c r="E19769">
        <f>TEST_DATA!E19769</f>
        <v/>
      </c>
    </row>
    <row r="19770">
      <c r="A19770">
        <f>TEST_DATA!A19770</f>
        <v/>
      </c>
      <c r="B19770">
        <f>TEST_DATA!B19770</f>
        <v/>
      </c>
      <c r="C19770">
        <f>TEST_DATA!C19770</f>
        <v/>
      </c>
      <c r="D19770">
        <f>TEST_DATA!D19770</f>
        <v/>
      </c>
      <c r="E19770">
        <f>TEST_DATA!E19770</f>
        <v/>
      </c>
    </row>
    <row r="19771">
      <c r="A19771">
        <f>TEST_DATA!A19771</f>
        <v/>
      </c>
      <c r="B19771">
        <f>TEST_DATA!B19771</f>
        <v/>
      </c>
      <c r="C19771">
        <f>TEST_DATA!C19771</f>
        <v/>
      </c>
      <c r="D19771">
        <f>TEST_DATA!D19771</f>
        <v/>
      </c>
      <c r="E19771">
        <f>TEST_DATA!E19771</f>
        <v/>
      </c>
    </row>
    <row r="19772">
      <c r="A19772">
        <f>TEST_DATA!A19772</f>
        <v/>
      </c>
      <c r="B19772">
        <f>TEST_DATA!B19772</f>
        <v/>
      </c>
      <c r="C19772">
        <f>TEST_DATA!C19772</f>
        <v/>
      </c>
      <c r="D19772">
        <f>TEST_DATA!D19772</f>
        <v/>
      </c>
      <c r="E19772">
        <f>TEST_DATA!E19772</f>
        <v/>
      </c>
    </row>
    <row r="19773">
      <c r="A19773">
        <f>TEST_DATA!A19773</f>
        <v/>
      </c>
      <c r="B19773">
        <f>TEST_DATA!B19773</f>
        <v/>
      </c>
      <c r="C19773">
        <f>TEST_DATA!C19773</f>
        <v/>
      </c>
      <c r="D19773">
        <f>TEST_DATA!D19773</f>
        <v/>
      </c>
      <c r="E19773">
        <f>TEST_DATA!E19773</f>
        <v/>
      </c>
    </row>
    <row r="19774">
      <c r="A19774">
        <f>TEST_DATA!A19774</f>
        <v/>
      </c>
      <c r="B19774">
        <f>TEST_DATA!B19774</f>
        <v/>
      </c>
      <c r="C19774">
        <f>TEST_DATA!C19774</f>
        <v/>
      </c>
      <c r="D19774">
        <f>TEST_DATA!D19774</f>
        <v/>
      </c>
      <c r="E19774">
        <f>TEST_DATA!E19774</f>
        <v/>
      </c>
    </row>
    <row r="19775">
      <c r="A19775">
        <f>TEST_DATA!A19775</f>
        <v/>
      </c>
      <c r="B19775">
        <f>TEST_DATA!B19775</f>
        <v/>
      </c>
      <c r="C19775">
        <f>TEST_DATA!C19775</f>
        <v/>
      </c>
      <c r="D19775">
        <f>TEST_DATA!D19775</f>
        <v/>
      </c>
      <c r="E19775">
        <f>TEST_DATA!E19775</f>
        <v/>
      </c>
    </row>
    <row r="19776">
      <c r="A19776">
        <f>TEST_DATA!A19776</f>
        <v/>
      </c>
      <c r="B19776">
        <f>TEST_DATA!B19776</f>
        <v/>
      </c>
      <c r="C19776">
        <f>TEST_DATA!C19776</f>
        <v/>
      </c>
      <c r="D19776">
        <f>TEST_DATA!D19776</f>
        <v/>
      </c>
      <c r="E19776">
        <f>TEST_DATA!E19776</f>
        <v/>
      </c>
    </row>
    <row r="19777">
      <c r="A19777">
        <f>TEST_DATA!A19777</f>
        <v/>
      </c>
      <c r="B19777">
        <f>TEST_DATA!B19777</f>
        <v/>
      </c>
      <c r="C19777">
        <f>TEST_DATA!C19777</f>
        <v/>
      </c>
      <c r="D19777">
        <f>TEST_DATA!D19777</f>
        <v/>
      </c>
      <c r="E19777">
        <f>TEST_DATA!E19777</f>
        <v/>
      </c>
    </row>
    <row r="19778">
      <c r="A19778">
        <f>TEST_DATA!A19778</f>
        <v/>
      </c>
      <c r="B19778">
        <f>TEST_DATA!B19778</f>
        <v/>
      </c>
      <c r="C19778">
        <f>TEST_DATA!C19778</f>
        <v/>
      </c>
      <c r="D19778">
        <f>TEST_DATA!D19778</f>
        <v/>
      </c>
      <c r="E19778">
        <f>TEST_DATA!E19778</f>
        <v/>
      </c>
    </row>
    <row r="19779">
      <c r="A19779">
        <f>TEST_DATA!A19779</f>
        <v/>
      </c>
      <c r="B19779">
        <f>TEST_DATA!B19779</f>
        <v/>
      </c>
      <c r="C19779">
        <f>TEST_DATA!C19779</f>
        <v/>
      </c>
      <c r="D19779">
        <f>TEST_DATA!D19779</f>
        <v/>
      </c>
      <c r="E19779">
        <f>TEST_DATA!E19779</f>
        <v/>
      </c>
    </row>
    <row r="19780">
      <c r="A19780">
        <f>TEST_DATA!A19780</f>
        <v/>
      </c>
      <c r="B19780">
        <f>TEST_DATA!B19780</f>
        <v/>
      </c>
      <c r="C19780">
        <f>TEST_DATA!C19780</f>
        <v/>
      </c>
      <c r="D19780">
        <f>TEST_DATA!D19780</f>
        <v/>
      </c>
      <c r="E19780">
        <f>TEST_DATA!E19780</f>
        <v/>
      </c>
    </row>
    <row r="19781">
      <c r="A19781">
        <f>TEST_DATA!A19781</f>
        <v/>
      </c>
      <c r="B19781">
        <f>TEST_DATA!B19781</f>
        <v/>
      </c>
      <c r="C19781">
        <f>TEST_DATA!C19781</f>
        <v/>
      </c>
      <c r="D19781">
        <f>TEST_DATA!D19781</f>
        <v/>
      </c>
      <c r="E19781">
        <f>TEST_DATA!E19781</f>
        <v/>
      </c>
    </row>
    <row r="19782">
      <c r="A19782">
        <f>TEST_DATA!A19782</f>
        <v/>
      </c>
      <c r="B19782">
        <f>TEST_DATA!B19782</f>
        <v/>
      </c>
      <c r="C19782">
        <f>TEST_DATA!C19782</f>
        <v/>
      </c>
      <c r="D19782">
        <f>TEST_DATA!D19782</f>
        <v/>
      </c>
      <c r="E19782">
        <f>TEST_DATA!E19782</f>
        <v/>
      </c>
    </row>
    <row r="19783">
      <c r="A19783">
        <f>TEST_DATA!A19783</f>
        <v/>
      </c>
      <c r="B19783">
        <f>TEST_DATA!B19783</f>
        <v/>
      </c>
      <c r="C19783">
        <f>TEST_DATA!C19783</f>
        <v/>
      </c>
      <c r="D19783">
        <f>TEST_DATA!D19783</f>
        <v/>
      </c>
      <c r="E19783">
        <f>TEST_DATA!E19783</f>
        <v/>
      </c>
    </row>
    <row r="19784">
      <c r="A19784">
        <f>TEST_DATA!A19784</f>
        <v/>
      </c>
      <c r="B19784">
        <f>TEST_DATA!B19784</f>
        <v/>
      </c>
      <c r="C19784">
        <f>TEST_DATA!C19784</f>
        <v/>
      </c>
      <c r="D19784">
        <f>TEST_DATA!D19784</f>
        <v/>
      </c>
      <c r="E19784">
        <f>TEST_DATA!E19784</f>
        <v/>
      </c>
    </row>
    <row r="19785">
      <c r="A19785">
        <f>TEST_DATA!A19785</f>
        <v/>
      </c>
      <c r="B19785">
        <f>TEST_DATA!B19785</f>
        <v/>
      </c>
      <c r="C19785">
        <f>TEST_DATA!C19785</f>
        <v/>
      </c>
      <c r="D19785">
        <f>TEST_DATA!D19785</f>
        <v/>
      </c>
      <c r="E19785">
        <f>TEST_DATA!E19785</f>
        <v/>
      </c>
    </row>
    <row r="19786">
      <c r="A19786">
        <f>TEST_DATA!A19786</f>
        <v/>
      </c>
      <c r="B19786">
        <f>TEST_DATA!B19786</f>
        <v/>
      </c>
      <c r="C19786">
        <f>TEST_DATA!C19786</f>
        <v/>
      </c>
      <c r="D19786">
        <f>TEST_DATA!D19786</f>
        <v/>
      </c>
      <c r="E19786">
        <f>TEST_DATA!E19786</f>
        <v/>
      </c>
    </row>
    <row r="19787">
      <c r="A19787">
        <f>TEST_DATA!A19787</f>
        <v/>
      </c>
      <c r="B19787">
        <f>TEST_DATA!B19787</f>
        <v/>
      </c>
      <c r="C19787">
        <f>TEST_DATA!C19787</f>
        <v/>
      </c>
      <c r="D19787">
        <f>TEST_DATA!D19787</f>
        <v/>
      </c>
      <c r="E19787">
        <f>TEST_DATA!E19787</f>
        <v/>
      </c>
    </row>
    <row r="19788">
      <c r="A19788">
        <f>TEST_DATA!A19788</f>
        <v/>
      </c>
      <c r="B19788">
        <f>TEST_DATA!B19788</f>
        <v/>
      </c>
      <c r="C19788">
        <f>TEST_DATA!C19788</f>
        <v/>
      </c>
      <c r="D19788">
        <f>TEST_DATA!D19788</f>
        <v/>
      </c>
      <c r="E19788">
        <f>TEST_DATA!E19788</f>
        <v/>
      </c>
    </row>
    <row r="19789">
      <c r="A19789">
        <f>TEST_DATA!A19789</f>
        <v/>
      </c>
      <c r="B19789">
        <f>TEST_DATA!B19789</f>
        <v/>
      </c>
      <c r="C19789">
        <f>TEST_DATA!C19789</f>
        <v/>
      </c>
      <c r="D19789">
        <f>TEST_DATA!D19789</f>
        <v/>
      </c>
      <c r="E19789">
        <f>TEST_DATA!E19789</f>
        <v/>
      </c>
    </row>
    <row r="19790">
      <c r="A19790">
        <f>TEST_DATA!A19790</f>
        <v/>
      </c>
      <c r="B19790">
        <f>TEST_DATA!B19790</f>
        <v/>
      </c>
      <c r="C19790">
        <f>TEST_DATA!C19790</f>
        <v/>
      </c>
      <c r="D19790">
        <f>TEST_DATA!D19790</f>
        <v/>
      </c>
      <c r="E19790">
        <f>TEST_DATA!E19790</f>
        <v/>
      </c>
    </row>
    <row r="19791">
      <c r="A19791">
        <f>TEST_DATA!A19791</f>
        <v/>
      </c>
      <c r="B19791">
        <f>TEST_DATA!B19791</f>
        <v/>
      </c>
      <c r="C19791">
        <f>TEST_DATA!C19791</f>
        <v/>
      </c>
      <c r="D19791">
        <f>TEST_DATA!D19791</f>
        <v/>
      </c>
      <c r="E19791">
        <f>TEST_DATA!E19791</f>
        <v/>
      </c>
    </row>
    <row r="19792">
      <c r="A19792">
        <f>TEST_DATA!A19792</f>
        <v/>
      </c>
      <c r="B19792">
        <f>TEST_DATA!B19792</f>
        <v/>
      </c>
      <c r="C19792">
        <f>TEST_DATA!C19792</f>
        <v/>
      </c>
      <c r="D19792">
        <f>TEST_DATA!D19792</f>
        <v/>
      </c>
      <c r="E19792">
        <f>TEST_DATA!E19792</f>
        <v/>
      </c>
    </row>
    <row r="19793">
      <c r="A19793">
        <f>TEST_DATA!A19793</f>
        <v/>
      </c>
      <c r="B19793">
        <f>TEST_DATA!B19793</f>
        <v/>
      </c>
      <c r="C19793">
        <f>TEST_DATA!C19793</f>
        <v/>
      </c>
      <c r="D19793">
        <f>TEST_DATA!D19793</f>
        <v/>
      </c>
      <c r="E19793">
        <f>TEST_DATA!E19793</f>
        <v/>
      </c>
    </row>
    <row r="19794">
      <c r="A19794">
        <f>TEST_DATA!A19794</f>
        <v/>
      </c>
      <c r="B19794">
        <f>TEST_DATA!B19794</f>
        <v/>
      </c>
      <c r="C19794">
        <f>TEST_DATA!C19794</f>
        <v/>
      </c>
      <c r="D19794">
        <f>TEST_DATA!D19794</f>
        <v/>
      </c>
      <c r="E19794">
        <f>TEST_DATA!E19794</f>
        <v/>
      </c>
    </row>
    <row r="19795">
      <c r="A19795">
        <f>TEST_DATA!A19795</f>
        <v/>
      </c>
      <c r="B19795">
        <f>TEST_DATA!B19795</f>
        <v/>
      </c>
      <c r="C19795">
        <f>TEST_DATA!C19795</f>
        <v/>
      </c>
      <c r="D19795">
        <f>TEST_DATA!D19795</f>
        <v/>
      </c>
      <c r="E19795">
        <f>TEST_DATA!E19795</f>
        <v/>
      </c>
    </row>
    <row r="19796">
      <c r="A19796">
        <f>TEST_DATA!A19796</f>
        <v/>
      </c>
      <c r="B19796">
        <f>TEST_DATA!B19796</f>
        <v/>
      </c>
      <c r="C19796">
        <f>TEST_DATA!C19796</f>
        <v/>
      </c>
      <c r="D19796">
        <f>TEST_DATA!D19796</f>
        <v/>
      </c>
      <c r="E19796">
        <f>TEST_DATA!E19796</f>
        <v/>
      </c>
    </row>
    <row r="19797">
      <c r="A19797">
        <f>TEST_DATA!A19797</f>
        <v/>
      </c>
      <c r="B19797">
        <f>TEST_DATA!B19797</f>
        <v/>
      </c>
      <c r="C19797">
        <f>TEST_DATA!C19797</f>
        <v/>
      </c>
      <c r="D19797">
        <f>TEST_DATA!D19797</f>
        <v/>
      </c>
      <c r="E19797">
        <f>TEST_DATA!E19797</f>
        <v/>
      </c>
    </row>
    <row r="19798">
      <c r="A19798">
        <f>TEST_DATA!A19798</f>
        <v/>
      </c>
      <c r="B19798">
        <f>TEST_DATA!B19798</f>
        <v/>
      </c>
      <c r="C19798">
        <f>TEST_DATA!C19798</f>
        <v/>
      </c>
      <c r="D19798">
        <f>TEST_DATA!D19798</f>
        <v/>
      </c>
      <c r="E19798">
        <f>TEST_DATA!E19798</f>
        <v/>
      </c>
    </row>
    <row r="19799">
      <c r="A19799">
        <f>TEST_DATA!A19799</f>
        <v/>
      </c>
      <c r="B19799">
        <f>TEST_DATA!B19799</f>
        <v/>
      </c>
      <c r="C19799">
        <f>TEST_DATA!C19799</f>
        <v/>
      </c>
      <c r="D19799">
        <f>TEST_DATA!D19799</f>
        <v/>
      </c>
      <c r="E19799">
        <f>TEST_DATA!E19799</f>
        <v/>
      </c>
    </row>
    <row r="19800">
      <c r="A19800">
        <f>TEST_DATA!A19800</f>
        <v/>
      </c>
      <c r="B19800">
        <f>TEST_DATA!B19800</f>
        <v/>
      </c>
      <c r="C19800">
        <f>TEST_DATA!C19800</f>
        <v/>
      </c>
      <c r="D19800">
        <f>TEST_DATA!D19800</f>
        <v/>
      </c>
      <c r="E19800">
        <f>TEST_DATA!E19800</f>
        <v/>
      </c>
    </row>
    <row r="19801">
      <c r="A19801">
        <f>TEST_DATA!A19801</f>
        <v/>
      </c>
      <c r="B19801">
        <f>TEST_DATA!B19801</f>
        <v/>
      </c>
      <c r="C19801">
        <f>TEST_DATA!C19801</f>
        <v/>
      </c>
      <c r="D19801">
        <f>TEST_DATA!D19801</f>
        <v/>
      </c>
      <c r="E19801">
        <f>TEST_DATA!E19801</f>
        <v/>
      </c>
    </row>
    <row r="19802">
      <c r="A19802">
        <f>TEST_DATA!A19802</f>
        <v/>
      </c>
      <c r="B19802">
        <f>TEST_DATA!B19802</f>
        <v/>
      </c>
      <c r="C19802">
        <f>TEST_DATA!C19802</f>
        <v/>
      </c>
      <c r="D19802">
        <f>TEST_DATA!D19802</f>
        <v/>
      </c>
      <c r="E19802">
        <f>TEST_DATA!E19802</f>
        <v/>
      </c>
    </row>
    <row r="19803">
      <c r="A19803">
        <f>TEST_DATA!A19803</f>
        <v/>
      </c>
      <c r="B19803">
        <f>TEST_DATA!B19803</f>
        <v/>
      </c>
      <c r="C19803">
        <f>TEST_DATA!C19803</f>
        <v/>
      </c>
      <c r="D19803">
        <f>TEST_DATA!D19803</f>
        <v/>
      </c>
      <c r="E19803">
        <f>TEST_DATA!E19803</f>
        <v/>
      </c>
    </row>
    <row r="19804">
      <c r="A19804">
        <f>TEST_DATA!A19804</f>
        <v/>
      </c>
      <c r="B19804">
        <f>TEST_DATA!B19804</f>
        <v/>
      </c>
      <c r="C19804">
        <f>TEST_DATA!C19804</f>
        <v/>
      </c>
      <c r="D19804">
        <f>TEST_DATA!D19804</f>
        <v/>
      </c>
      <c r="E19804">
        <f>TEST_DATA!E19804</f>
        <v/>
      </c>
    </row>
    <row r="19805">
      <c r="A19805">
        <f>TEST_DATA!A19805</f>
        <v/>
      </c>
      <c r="B19805">
        <f>TEST_DATA!B19805</f>
        <v/>
      </c>
      <c r="C19805">
        <f>TEST_DATA!C19805</f>
        <v/>
      </c>
      <c r="D19805">
        <f>TEST_DATA!D19805</f>
        <v/>
      </c>
      <c r="E19805">
        <f>TEST_DATA!E19805</f>
        <v/>
      </c>
    </row>
    <row r="19806">
      <c r="A19806">
        <f>TEST_DATA!A19806</f>
        <v/>
      </c>
      <c r="B19806">
        <f>TEST_DATA!B19806</f>
        <v/>
      </c>
      <c r="C19806">
        <f>TEST_DATA!C19806</f>
        <v/>
      </c>
      <c r="D19806">
        <f>TEST_DATA!D19806</f>
        <v/>
      </c>
      <c r="E19806">
        <f>TEST_DATA!E19806</f>
        <v/>
      </c>
    </row>
    <row r="19807">
      <c r="A19807">
        <f>TEST_DATA!A19807</f>
        <v/>
      </c>
      <c r="B19807">
        <f>TEST_DATA!B19807</f>
        <v/>
      </c>
      <c r="C19807">
        <f>TEST_DATA!C19807</f>
        <v/>
      </c>
      <c r="D19807">
        <f>TEST_DATA!D19807</f>
        <v/>
      </c>
      <c r="E19807">
        <f>TEST_DATA!E19807</f>
        <v/>
      </c>
    </row>
    <row r="19808">
      <c r="A19808">
        <f>TEST_DATA!A19808</f>
        <v/>
      </c>
      <c r="B19808">
        <f>TEST_DATA!B19808</f>
        <v/>
      </c>
      <c r="C19808">
        <f>TEST_DATA!C19808</f>
        <v/>
      </c>
      <c r="D19808">
        <f>TEST_DATA!D19808</f>
        <v/>
      </c>
      <c r="E19808">
        <f>TEST_DATA!E19808</f>
        <v/>
      </c>
    </row>
    <row r="19809">
      <c r="A19809">
        <f>TEST_DATA!A19809</f>
        <v/>
      </c>
      <c r="B19809">
        <f>TEST_DATA!B19809</f>
        <v/>
      </c>
      <c r="C19809">
        <f>TEST_DATA!C19809</f>
        <v/>
      </c>
      <c r="D19809">
        <f>TEST_DATA!D19809</f>
        <v/>
      </c>
      <c r="E19809">
        <f>TEST_DATA!E19809</f>
        <v/>
      </c>
    </row>
    <row r="19810">
      <c r="A19810">
        <f>TEST_DATA!A19810</f>
        <v/>
      </c>
      <c r="B19810">
        <f>TEST_DATA!B19810</f>
        <v/>
      </c>
      <c r="C19810">
        <f>TEST_DATA!C19810</f>
        <v/>
      </c>
      <c r="D19810">
        <f>TEST_DATA!D19810</f>
        <v/>
      </c>
      <c r="E19810">
        <f>TEST_DATA!E19810</f>
        <v/>
      </c>
    </row>
    <row r="19811">
      <c r="A19811">
        <f>TEST_DATA!A19811</f>
        <v/>
      </c>
      <c r="B19811">
        <f>TEST_DATA!B19811</f>
        <v/>
      </c>
      <c r="C19811">
        <f>TEST_DATA!C19811</f>
        <v/>
      </c>
      <c r="D19811">
        <f>TEST_DATA!D19811</f>
        <v/>
      </c>
      <c r="E19811">
        <f>TEST_DATA!E19811</f>
        <v/>
      </c>
    </row>
    <row r="19812">
      <c r="A19812">
        <f>TEST_DATA!A19812</f>
        <v/>
      </c>
      <c r="B19812">
        <f>TEST_DATA!B19812</f>
        <v/>
      </c>
      <c r="C19812">
        <f>TEST_DATA!C19812</f>
        <v/>
      </c>
      <c r="D19812">
        <f>TEST_DATA!D19812</f>
        <v/>
      </c>
      <c r="E19812">
        <f>TEST_DATA!E19812</f>
        <v/>
      </c>
    </row>
    <row r="19813">
      <c r="A19813">
        <f>TEST_DATA!A19813</f>
        <v/>
      </c>
      <c r="B19813">
        <f>TEST_DATA!B19813</f>
        <v/>
      </c>
      <c r="C19813">
        <f>TEST_DATA!C19813</f>
        <v/>
      </c>
      <c r="D19813">
        <f>TEST_DATA!D19813</f>
        <v/>
      </c>
      <c r="E19813">
        <f>TEST_DATA!E19813</f>
        <v/>
      </c>
    </row>
    <row r="19814">
      <c r="A19814">
        <f>TEST_DATA!A19814</f>
        <v/>
      </c>
      <c r="B19814">
        <f>TEST_DATA!B19814</f>
        <v/>
      </c>
      <c r="C19814">
        <f>TEST_DATA!C19814</f>
        <v/>
      </c>
      <c r="D19814">
        <f>TEST_DATA!D19814</f>
        <v/>
      </c>
      <c r="E19814">
        <f>TEST_DATA!E19814</f>
        <v/>
      </c>
    </row>
    <row r="19815">
      <c r="A19815">
        <f>TEST_DATA!A19815</f>
        <v/>
      </c>
      <c r="B19815">
        <f>TEST_DATA!B19815</f>
        <v/>
      </c>
      <c r="C19815">
        <f>TEST_DATA!C19815</f>
        <v/>
      </c>
      <c r="D19815">
        <f>TEST_DATA!D19815</f>
        <v/>
      </c>
      <c r="E19815">
        <f>TEST_DATA!E19815</f>
        <v/>
      </c>
    </row>
    <row r="19816">
      <c r="A19816">
        <f>TEST_DATA!A19816</f>
        <v/>
      </c>
      <c r="B19816">
        <f>TEST_DATA!B19816</f>
        <v/>
      </c>
      <c r="C19816">
        <f>TEST_DATA!C19816</f>
        <v/>
      </c>
      <c r="D19816">
        <f>TEST_DATA!D19816</f>
        <v/>
      </c>
      <c r="E19816">
        <f>TEST_DATA!E19816</f>
        <v/>
      </c>
    </row>
    <row r="19817">
      <c r="A19817">
        <f>TEST_DATA!A19817</f>
        <v/>
      </c>
      <c r="B19817">
        <f>TEST_DATA!B19817</f>
        <v/>
      </c>
      <c r="C19817">
        <f>TEST_DATA!C19817</f>
        <v/>
      </c>
      <c r="D19817">
        <f>TEST_DATA!D19817</f>
        <v/>
      </c>
      <c r="E19817">
        <f>TEST_DATA!E19817</f>
        <v/>
      </c>
    </row>
    <row r="19818">
      <c r="A19818">
        <f>TEST_DATA!A19818</f>
        <v/>
      </c>
      <c r="B19818">
        <f>TEST_DATA!B19818</f>
        <v/>
      </c>
      <c r="C19818">
        <f>TEST_DATA!C19818</f>
        <v/>
      </c>
      <c r="D19818">
        <f>TEST_DATA!D19818</f>
        <v/>
      </c>
      <c r="E19818">
        <f>TEST_DATA!E19818</f>
        <v/>
      </c>
    </row>
    <row r="19819">
      <c r="A19819">
        <f>TEST_DATA!A19819</f>
        <v/>
      </c>
      <c r="B19819">
        <f>TEST_DATA!B19819</f>
        <v/>
      </c>
      <c r="C19819">
        <f>TEST_DATA!C19819</f>
        <v/>
      </c>
      <c r="D19819">
        <f>TEST_DATA!D19819</f>
        <v/>
      </c>
      <c r="E19819">
        <f>TEST_DATA!E19819</f>
        <v/>
      </c>
    </row>
    <row r="19820">
      <c r="A19820">
        <f>TEST_DATA!A19820</f>
        <v/>
      </c>
      <c r="B19820">
        <f>TEST_DATA!B19820</f>
        <v/>
      </c>
      <c r="C19820">
        <f>TEST_DATA!C19820</f>
        <v/>
      </c>
      <c r="D19820">
        <f>TEST_DATA!D19820</f>
        <v/>
      </c>
      <c r="E19820">
        <f>TEST_DATA!E19820</f>
        <v/>
      </c>
    </row>
    <row r="19821">
      <c r="A19821">
        <f>TEST_DATA!A19821</f>
        <v/>
      </c>
      <c r="B19821">
        <f>TEST_DATA!B19821</f>
        <v/>
      </c>
      <c r="C19821">
        <f>TEST_DATA!C19821</f>
        <v/>
      </c>
      <c r="D19821">
        <f>TEST_DATA!D19821</f>
        <v/>
      </c>
      <c r="E19821">
        <f>TEST_DATA!E19821</f>
        <v/>
      </c>
    </row>
    <row r="19822">
      <c r="A19822">
        <f>TEST_DATA!A19822</f>
        <v/>
      </c>
      <c r="B19822">
        <f>TEST_DATA!B19822</f>
        <v/>
      </c>
      <c r="C19822">
        <f>TEST_DATA!C19822</f>
        <v/>
      </c>
      <c r="D19822">
        <f>TEST_DATA!D19822</f>
        <v/>
      </c>
      <c r="E19822">
        <f>TEST_DATA!E19822</f>
        <v/>
      </c>
    </row>
    <row r="19823">
      <c r="A19823">
        <f>TEST_DATA!A19823</f>
        <v/>
      </c>
      <c r="B19823">
        <f>TEST_DATA!B19823</f>
        <v/>
      </c>
      <c r="C19823">
        <f>TEST_DATA!C19823</f>
        <v/>
      </c>
      <c r="D19823">
        <f>TEST_DATA!D19823</f>
        <v/>
      </c>
      <c r="E19823">
        <f>TEST_DATA!E19823</f>
        <v/>
      </c>
    </row>
    <row r="19824">
      <c r="A19824">
        <f>TEST_DATA!A19824</f>
        <v/>
      </c>
      <c r="B19824">
        <f>TEST_DATA!B19824</f>
        <v/>
      </c>
      <c r="C19824">
        <f>TEST_DATA!C19824</f>
        <v/>
      </c>
      <c r="D19824">
        <f>TEST_DATA!D19824</f>
        <v/>
      </c>
      <c r="E19824">
        <f>TEST_DATA!E19824</f>
        <v/>
      </c>
    </row>
    <row r="19825">
      <c r="A19825">
        <f>TEST_DATA!A19825</f>
        <v/>
      </c>
      <c r="B19825">
        <f>TEST_DATA!B19825</f>
        <v/>
      </c>
      <c r="C19825">
        <f>TEST_DATA!C19825</f>
        <v/>
      </c>
      <c r="D19825">
        <f>TEST_DATA!D19825</f>
        <v/>
      </c>
      <c r="E19825">
        <f>TEST_DATA!E19825</f>
        <v/>
      </c>
    </row>
    <row r="19826">
      <c r="A19826">
        <f>TEST_DATA!A19826</f>
        <v/>
      </c>
      <c r="B19826">
        <f>TEST_DATA!B19826</f>
        <v/>
      </c>
      <c r="C19826">
        <f>TEST_DATA!C19826</f>
        <v/>
      </c>
      <c r="D19826">
        <f>TEST_DATA!D19826</f>
        <v/>
      </c>
      <c r="E19826">
        <f>TEST_DATA!E19826</f>
        <v/>
      </c>
    </row>
    <row r="19827">
      <c r="A19827">
        <f>TEST_DATA!A19827</f>
        <v/>
      </c>
      <c r="B19827">
        <f>TEST_DATA!B19827</f>
        <v/>
      </c>
      <c r="C19827">
        <f>TEST_DATA!C19827</f>
        <v/>
      </c>
      <c r="D19827">
        <f>TEST_DATA!D19827</f>
        <v/>
      </c>
      <c r="E19827">
        <f>TEST_DATA!E19827</f>
        <v/>
      </c>
    </row>
    <row r="19828">
      <c r="A19828">
        <f>TEST_DATA!A19828</f>
        <v/>
      </c>
      <c r="B19828">
        <f>TEST_DATA!B19828</f>
        <v/>
      </c>
      <c r="C19828">
        <f>TEST_DATA!C19828</f>
        <v/>
      </c>
      <c r="D19828">
        <f>TEST_DATA!D19828</f>
        <v/>
      </c>
      <c r="E19828">
        <f>TEST_DATA!E19828</f>
        <v/>
      </c>
    </row>
    <row r="19829">
      <c r="A19829">
        <f>TEST_DATA!A19829</f>
        <v/>
      </c>
      <c r="B19829">
        <f>TEST_DATA!B19829</f>
        <v/>
      </c>
      <c r="C19829">
        <f>TEST_DATA!C19829</f>
        <v/>
      </c>
      <c r="D19829">
        <f>TEST_DATA!D19829</f>
        <v/>
      </c>
      <c r="E19829">
        <f>TEST_DATA!E19829</f>
        <v/>
      </c>
    </row>
    <row r="19830">
      <c r="A19830">
        <f>TEST_DATA!A19830</f>
        <v/>
      </c>
      <c r="B19830">
        <f>TEST_DATA!B19830</f>
        <v/>
      </c>
      <c r="C19830">
        <f>TEST_DATA!C19830</f>
        <v/>
      </c>
      <c r="D19830">
        <f>TEST_DATA!D19830</f>
        <v/>
      </c>
      <c r="E19830">
        <f>TEST_DATA!E19830</f>
        <v/>
      </c>
    </row>
    <row r="19831">
      <c r="A19831">
        <f>TEST_DATA!A19831</f>
        <v/>
      </c>
      <c r="B19831">
        <f>TEST_DATA!B19831</f>
        <v/>
      </c>
      <c r="C19831">
        <f>TEST_DATA!C19831</f>
        <v/>
      </c>
      <c r="D19831">
        <f>TEST_DATA!D19831</f>
        <v/>
      </c>
      <c r="E19831">
        <f>TEST_DATA!E19831</f>
        <v/>
      </c>
    </row>
    <row r="19832">
      <c r="A19832">
        <f>TEST_DATA!A19832</f>
        <v/>
      </c>
      <c r="B19832">
        <f>TEST_DATA!B19832</f>
        <v/>
      </c>
      <c r="C19832">
        <f>TEST_DATA!C19832</f>
        <v/>
      </c>
      <c r="D19832">
        <f>TEST_DATA!D19832</f>
        <v/>
      </c>
      <c r="E19832">
        <f>TEST_DATA!E19832</f>
        <v/>
      </c>
    </row>
    <row r="19833">
      <c r="A19833">
        <f>TEST_DATA!A19833</f>
        <v/>
      </c>
      <c r="B19833">
        <f>TEST_DATA!B19833</f>
        <v/>
      </c>
      <c r="C19833">
        <f>TEST_DATA!C19833</f>
        <v/>
      </c>
      <c r="D19833">
        <f>TEST_DATA!D19833</f>
        <v/>
      </c>
      <c r="E19833">
        <f>TEST_DATA!E19833</f>
        <v/>
      </c>
    </row>
    <row r="19834">
      <c r="A19834">
        <f>TEST_DATA!A19834</f>
        <v/>
      </c>
      <c r="B19834">
        <f>TEST_DATA!B19834</f>
        <v/>
      </c>
      <c r="C19834">
        <f>TEST_DATA!C19834</f>
        <v/>
      </c>
      <c r="D19834">
        <f>TEST_DATA!D19834</f>
        <v/>
      </c>
      <c r="E19834">
        <f>TEST_DATA!E19834</f>
        <v/>
      </c>
    </row>
    <row r="19835">
      <c r="A19835">
        <f>TEST_DATA!A19835</f>
        <v/>
      </c>
      <c r="B19835">
        <f>TEST_DATA!B19835</f>
        <v/>
      </c>
      <c r="C19835">
        <f>TEST_DATA!C19835</f>
        <v/>
      </c>
      <c r="D19835">
        <f>TEST_DATA!D19835</f>
        <v/>
      </c>
      <c r="E19835">
        <f>TEST_DATA!E19835</f>
        <v/>
      </c>
    </row>
    <row r="19836">
      <c r="A19836">
        <f>TEST_DATA!A19836</f>
        <v/>
      </c>
      <c r="B19836">
        <f>TEST_DATA!B19836</f>
        <v/>
      </c>
      <c r="C19836">
        <f>TEST_DATA!C19836</f>
        <v/>
      </c>
      <c r="D19836">
        <f>TEST_DATA!D19836</f>
        <v/>
      </c>
      <c r="E19836">
        <f>TEST_DATA!E19836</f>
        <v/>
      </c>
    </row>
    <row r="19837">
      <c r="A19837">
        <f>TEST_DATA!A19837</f>
        <v/>
      </c>
      <c r="B19837">
        <f>TEST_DATA!B19837</f>
        <v/>
      </c>
      <c r="C19837">
        <f>TEST_DATA!C19837</f>
        <v/>
      </c>
      <c r="D19837">
        <f>TEST_DATA!D19837</f>
        <v/>
      </c>
      <c r="E19837">
        <f>TEST_DATA!E19837</f>
        <v/>
      </c>
    </row>
    <row r="19838">
      <c r="A19838">
        <f>TEST_DATA!A19838</f>
        <v/>
      </c>
      <c r="B19838">
        <f>TEST_DATA!B19838</f>
        <v/>
      </c>
      <c r="C19838">
        <f>TEST_DATA!C19838</f>
        <v/>
      </c>
      <c r="D19838">
        <f>TEST_DATA!D19838</f>
        <v/>
      </c>
      <c r="E19838">
        <f>TEST_DATA!E19838</f>
        <v/>
      </c>
    </row>
    <row r="19839">
      <c r="A19839">
        <f>TEST_DATA!A19839</f>
        <v/>
      </c>
      <c r="B19839">
        <f>TEST_DATA!B19839</f>
        <v/>
      </c>
      <c r="C19839">
        <f>TEST_DATA!C19839</f>
        <v/>
      </c>
      <c r="D19839">
        <f>TEST_DATA!D19839</f>
        <v/>
      </c>
      <c r="E19839">
        <f>TEST_DATA!E19839</f>
        <v/>
      </c>
    </row>
    <row r="19840">
      <c r="A19840">
        <f>TEST_DATA!A19840</f>
        <v/>
      </c>
      <c r="B19840">
        <f>TEST_DATA!B19840</f>
        <v/>
      </c>
      <c r="C19840">
        <f>TEST_DATA!C19840</f>
        <v/>
      </c>
      <c r="D19840">
        <f>TEST_DATA!D19840</f>
        <v/>
      </c>
      <c r="E19840">
        <f>TEST_DATA!E19840</f>
        <v/>
      </c>
    </row>
    <row r="19841">
      <c r="A19841">
        <f>TEST_DATA!A19841</f>
        <v/>
      </c>
      <c r="B19841">
        <f>TEST_DATA!B19841</f>
        <v/>
      </c>
      <c r="C19841">
        <f>TEST_DATA!C19841</f>
        <v/>
      </c>
      <c r="D19841">
        <f>TEST_DATA!D19841</f>
        <v/>
      </c>
      <c r="E19841">
        <f>TEST_DATA!E19841</f>
        <v/>
      </c>
    </row>
    <row r="19842">
      <c r="A19842">
        <f>TEST_DATA!A19842</f>
        <v/>
      </c>
      <c r="B19842">
        <f>TEST_DATA!B19842</f>
        <v/>
      </c>
      <c r="C19842">
        <f>TEST_DATA!C19842</f>
        <v/>
      </c>
      <c r="D19842">
        <f>TEST_DATA!D19842</f>
        <v/>
      </c>
      <c r="E19842">
        <f>TEST_DATA!E19842</f>
        <v/>
      </c>
    </row>
    <row r="19843">
      <c r="A19843">
        <f>TEST_DATA!A19843</f>
        <v/>
      </c>
      <c r="B19843">
        <f>TEST_DATA!B19843</f>
        <v/>
      </c>
      <c r="C19843">
        <f>TEST_DATA!C19843</f>
        <v/>
      </c>
      <c r="D19843">
        <f>TEST_DATA!D19843</f>
        <v/>
      </c>
      <c r="E19843">
        <f>TEST_DATA!E19843</f>
        <v/>
      </c>
    </row>
    <row r="19844">
      <c r="A19844">
        <f>TEST_DATA!A19844</f>
        <v/>
      </c>
      <c r="B19844">
        <f>TEST_DATA!B19844</f>
        <v/>
      </c>
      <c r="C19844">
        <f>TEST_DATA!C19844</f>
        <v/>
      </c>
      <c r="D19844">
        <f>TEST_DATA!D19844</f>
        <v/>
      </c>
      <c r="E19844">
        <f>TEST_DATA!E19844</f>
        <v/>
      </c>
    </row>
    <row r="19845">
      <c r="A19845">
        <f>TEST_DATA!A19845</f>
        <v/>
      </c>
      <c r="B19845">
        <f>TEST_DATA!B19845</f>
        <v/>
      </c>
      <c r="C19845">
        <f>TEST_DATA!C19845</f>
        <v/>
      </c>
      <c r="D19845">
        <f>TEST_DATA!D19845</f>
        <v/>
      </c>
      <c r="E19845">
        <f>TEST_DATA!E19845</f>
        <v/>
      </c>
    </row>
    <row r="19846">
      <c r="A19846">
        <f>TEST_DATA!A19846</f>
        <v/>
      </c>
      <c r="B19846">
        <f>TEST_DATA!B19846</f>
        <v/>
      </c>
      <c r="C19846">
        <f>TEST_DATA!C19846</f>
        <v/>
      </c>
      <c r="D19846">
        <f>TEST_DATA!D19846</f>
        <v/>
      </c>
      <c r="E19846">
        <f>TEST_DATA!E19846</f>
        <v/>
      </c>
    </row>
    <row r="19847">
      <c r="A19847">
        <f>TEST_DATA!A19847</f>
        <v/>
      </c>
      <c r="B19847">
        <f>TEST_DATA!B19847</f>
        <v/>
      </c>
      <c r="C19847">
        <f>TEST_DATA!C19847</f>
        <v/>
      </c>
      <c r="D19847">
        <f>TEST_DATA!D19847</f>
        <v/>
      </c>
      <c r="E19847">
        <f>TEST_DATA!E19847</f>
        <v/>
      </c>
    </row>
    <row r="19848">
      <c r="A19848">
        <f>TEST_DATA!A19848</f>
        <v/>
      </c>
      <c r="B19848">
        <f>TEST_DATA!B19848</f>
        <v/>
      </c>
      <c r="C19848">
        <f>TEST_DATA!C19848</f>
        <v/>
      </c>
      <c r="D19848">
        <f>TEST_DATA!D19848</f>
        <v/>
      </c>
      <c r="E19848">
        <f>TEST_DATA!E19848</f>
        <v/>
      </c>
    </row>
    <row r="19849">
      <c r="A19849">
        <f>TEST_DATA!A19849</f>
        <v/>
      </c>
      <c r="B19849">
        <f>TEST_DATA!B19849</f>
        <v/>
      </c>
      <c r="C19849">
        <f>TEST_DATA!C19849</f>
        <v/>
      </c>
      <c r="D19849">
        <f>TEST_DATA!D19849</f>
        <v/>
      </c>
      <c r="E19849">
        <f>TEST_DATA!E19849</f>
        <v/>
      </c>
    </row>
    <row r="19850">
      <c r="A19850">
        <f>TEST_DATA!A19850</f>
        <v/>
      </c>
      <c r="B19850">
        <f>TEST_DATA!B19850</f>
        <v/>
      </c>
      <c r="C19850">
        <f>TEST_DATA!C19850</f>
        <v/>
      </c>
      <c r="D19850">
        <f>TEST_DATA!D19850</f>
        <v/>
      </c>
      <c r="E19850">
        <f>TEST_DATA!E19850</f>
        <v/>
      </c>
    </row>
    <row r="19851">
      <c r="A19851">
        <f>TEST_DATA!A19851</f>
        <v/>
      </c>
      <c r="B19851">
        <f>TEST_DATA!B19851</f>
        <v/>
      </c>
      <c r="C19851">
        <f>TEST_DATA!C19851</f>
        <v/>
      </c>
      <c r="D19851">
        <f>TEST_DATA!D19851</f>
        <v/>
      </c>
      <c r="E19851">
        <f>TEST_DATA!E19851</f>
        <v/>
      </c>
    </row>
    <row r="19852">
      <c r="A19852">
        <f>TEST_DATA!A19852</f>
        <v/>
      </c>
      <c r="B19852">
        <f>TEST_DATA!B19852</f>
        <v/>
      </c>
      <c r="C19852">
        <f>TEST_DATA!C19852</f>
        <v/>
      </c>
      <c r="D19852">
        <f>TEST_DATA!D19852</f>
        <v/>
      </c>
      <c r="E19852">
        <f>TEST_DATA!E19852</f>
        <v/>
      </c>
    </row>
    <row r="19853">
      <c r="A19853">
        <f>TEST_DATA!A19853</f>
        <v/>
      </c>
      <c r="B19853">
        <f>TEST_DATA!B19853</f>
        <v/>
      </c>
      <c r="C19853">
        <f>TEST_DATA!C19853</f>
        <v/>
      </c>
      <c r="D19853">
        <f>TEST_DATA!D19853</f>
        <v/>
      </c>
      <c r="E19853">
        <f>TEST_DATA!E19853</f>
        <v/>
      </c>
    </row>
    <row r="19854">
      <c r="A19854">
        <f>TEST_DATA!A19854</f>
        <v/>
      </c>
      <c r="B19854">
        <f>TEST_DATA!B19854</f>
        <v/>
      </c>
      <c r="C19854">
        <f>TEST_DATA!C19854</f>
        <v/>
      </c>
      <c r="D19854">
        <f>TEST_DATA!D19854</f>
        <v/>
      </c>
      <c r="E19854">
        <f>TEST_DATA!E19854</f>
        <v/>
      </c>
    </row>
    <row r="19855">
      <c r="A19855">
        <f>TEST_DATA!A19855</f>
        <v/>
      </c>
      <c r="B19855">
        <f>TEST_DATA!B19855</f>
        <v/>
      </c>
      <c r="C19855">
        <f>TEST_DATA!C19855</f>
        <v/>
      </c>
      <c r="D19855">
        <f>TEST_DATA!D19855</f>
        <v/>
      </c>
      <c r="E19855">
        <f>TEST_DATA!E19855</f>
        <v/>
      </c>
    </row>
    <row r="19856">
      <c r="A19856">
        <f>TEST_DATA!A19856</f>
        <v/>
      </c>
      <c r="B19856">
        <f>TEST_DATA!B19856</f>
        <v/>
      </c>
      <c r="C19856">
        <f>TEST_DATA!C19856</f>
        <v/>
      </c>
      <c r="D19856">
        <f>TEST_DATA!D19856</f>
        <v/>
      </c>
      <c r="E19856">
        <f>TEST_DATA!E19856</f>
        <v/>
      </c>
    </row>
    <row r="19857">
      <c r="A19857">
        <f>TEST_DATA!A19857</f>
        <v/>
      </c>
      <c r="B19857">
        <f>TEST_DATA!B19857</f>
        <v/>
      </c>
      <c r="C19857">
        <f>TEST_DATA!C19857</f>
        <v/>
      </c>
      <c r="D19857">
        <f>TEST_DATA!D19857</f>
        <v/>
      </c>
      <c r="E19857">
        <f>TEST_DATA!E19857</f>
        <v/>
      </c>
    </row>
    <row r="19858">
      <c r="A19858">
        <f>TEST_DATA!A19858</f>
        <v/>
      </c>
      <c r="B19858">
        <f>TEST_DATA!B19858</f>
        <v/>
      </c>
      <c r="C19858">
        <f>TEST_DATA!C19858</f>
        <v/>
      </c>
      <c r="D19858">
        <f>TEST_DATA!D19858</f>
        <v/>
      </c>
      <c r="E19858">
        <f>TEST_DATA!E19858</f>
        <v/>
      </c>
    </row>
    <row r="19859">
      <c r="A19859">
        <f>TEST_DATA!A19859</f>
        <v/>
      </c>
      <c r="B19859">
        <f>TEST_DATA!B19859</f>
        <v/>
      </c>
      <c r="C19859">
        <f>TEST_DATA!C19859</f>
        <v/>
      </c>
      <c r="D19859">
        <f>TEST_DATA!D19859</f>
        <v/>
      </c>
      <c r="E19859">
        <f>TEST_DATA!E19859</f>
        <v/>
      </c>
    </row>
    <row r="19860">
      <c r="A19860">
        <f>TEST_DATA!A19860</f>
        <v/>
      </c>
      <c r="B19860">
        <f>TEST_DATA!B19860</f>
        <v/>
      </c>
      <c r="C19860">
        <f>TEST_DATA!C19860</f>
        <v/>
      </c>
      <c r="D19860">
        <f>TEST_DATA!D19860</f>
        <v/>
      </c>
      <c r="E19860">
        <f>TEST_DATA!E19860</f>
        <v/>
      </c>
    </row>
    <row r="19861">
      <c r="A19861">
        <f>TEST_DATA!A19861</f>
        <v/>
      </c>
      <c r="B19861">
        <f>TEST_DATA!B19861</f>
        <v/>
      </c>
      <c r="C19861">
        <f>TEST_DATA!C19861</f>
        <v/>
      </c>
      <c r="D19861">
        <f>TEST_DATA!D19861</f>
        <v/>
      </c>
      <c r="E19861">
        <f>TEST_DATA!E19861</f>
        <v/>
      </c>
    </row>
    <row r="19862">
      <c r="A19862">
        <f>TEST_DATA!A19862</f>
        <v/>
      </c>
      <c r="B19862">
        <f>TEST_DATA!B19862</f>
        <v/>
      </c>
      <c r="C19862">
        <f>TEST_DATA!C19862</f>
        <v/>
      </c>
      <c r="D19862">
        <f>TEST_DATA!D19862</f>
        <v/>
      </c>
      <c r="E19862">
        <f>TEST_DATA!E19862</f>
        <v/>
      </c>
    </row>
    <row r="19863">
      <c r="A19863">
        <f>TEST_DATA!A19863</f>
        <v/>
      </c>
      <c r="B19863">
        <f>TEST_DATA!B19863</f>
        <v/>
      </c>
      <c r="C19863">
        <f>TEST_DATA!C19863</f>
        <v/>
      </c>
      <c r="D19863">
        <f>TEST_DATA!D19863</f>
        <v/>
      </c>
      <c r="E19863">
        <f>TEST_DATA!E19863</f>
        <v/>
      </c>
    </row>
    <row r="19864">
      <c r="A19864">
        <f>TEST_DATA!A19864</f>
        <v/>
      </c>
      <c r="B19864">
        <f>TEST_DATA!B19864</f>
        <v/>
      </c>
      <c r="C19864">
        <f>TEST_DATA!C19864</f>
        <v/>
      </c>
      <c r="D19864">
        <f>TEST_DATA!D19864</f>
        <v/>
      </c>
      <c r="E19864">
        <f>TEST_DATA!E19864</f>
        <v/>
      </c>
    </row>
    <row r="19865">
      <c r="A19865">
        <f>TEST_DATA!A19865</f>
        <v/>
      </c>
      <c r="B19865">
        <f>TEST_DATA!B19865</f>
        <v/>
      </c>
      <c r="C19865">
        <f>TEST_DATA!C19865</f>
        <v/>
      </c>
      <c r="D19865">
        <f>TEST_DATA!D19865</f>
        <v/>
      </c>
      <c r="E19865">
        <f>TEST_DATA!E19865</f>
        <v/>
      </c>
    </row>
    <row r="19866">
      <c r="A19866">
        <f>TEST_DATA!A19866</f>
        <v/>
      </c>
      <c r="B19866">
        <f>TEST_DATA!B19866</f>
        <v/>
      </c>
      <c r="C19866">
        <f>TEST_DATA!C19866</f>
        <v/>
      </c>
      <c r="D19866">
        <f>TEST_DATA!D19866</f>
        <v/>
      </c>
      <c r="E19866">
        <f>TEST_DATA!E19866</f>
        <v/>
      </c>
    </row>
    <row r="19867">
      <c r="A19867">
        <f>TEST_DATA!A19867</f>
        <v/>
      </c>
      <c r="B19867">
        <f>TEST_DATA!B19867</f>
        <v/>
      </c>
      <c r="C19867">
        <f>TEST_DATA!C19867</f>
        <v/>
      </c>
      <c r="D19867">
        <f>TEST_DATA!D19867</f>
        <v/>
      </c>
      <c r="E19867">
        <f>TEST_DATA!E19867</f>
        <v/>
      </c>
    </row>
    <row r="19868">
      <c r="A19868">
        <f>TEST_DATA!A19868</f>
        <v/>
      </c>
      <c r="B19868">
        <f>TEST_DATA!B19868</f>
        <v/>
      </c>
      <c r="C19868">
        <f>TEST_DATA!C19868</f>
        <v/>
      </c>
      <c r="D19868">
        <f>TEST_DATA!D19868</f>
        <v/>
      </c>
      <c r="E19868">
        <f>TEST_DATA!E19868</f>
        <v/>
      </c>
    </row>
    <row r="19869">
      <c r="A19869">
        <f>TEST_DATA!A19869</f>
        <v/>
      </c>
      <c r="B19869">
        <f>TEST_DATA!B19869</f>
        <v/>
      </c>
      <c r="C19869">
        <f>TEST_DATA!C19869</f>
        <v/>
      </c>
      <c r="D19869">
        <f>TEST_DATA!D19869</f>
        <v/>
      </c>
      <c r="E19869">
        <f>TEST_DATA!E19869</f>
        <v/>
      </c>
    </row>
    <row r="19870">
      <c r="A19870">
        <f>TEST_DATA!A19870</f>
        <v/>
      </c>
      <c r="B19870">
        <f>TEST_DATA!B19870</f>
        <v/>
      </c>
      <c r="C19870">
        <f>TEST_DATA!C19870</f>
        <v/>
      </c>
      <c r="D19870">
        <f>TEST_DATA!D19870</f>
        <v/>
      </c>
      <c r="E19870">
        <f>TEST_DATA!E19870</f>
        <v/>
      </c>
    </row>
    <row r="19871">
      <c r="A19871">
        <f>TEST_DATA!A19871</f>
        <v/>
      </c>
      <c r="B19871">
        <f>TEST_DATA!B19871</f>
        <v/>
      </c>
      <c r="C19871">
        <f>TEST_DATA!C19871</f>
        <v/>
      </c>
      <c r="D19871">
        <f>TEST_DATA!D19871</f>
        <v/>
      </c>
      <c r="E19871">
        <f>TEST_DATA!E19871</f>
        <v/>
      </c>
    </row>
    <row r="19872">
      <c r="A19872">
        <f>TEST_DATA!A19872</f>
        <v/>
      </c>
      <c r="B19872">
        <f>TEST_DATA!B19872</f>
        <v/>
      </c>
      <c r="C19872">
        <f>TEST_DATA!C19872</f>
        <v/>
      </c>
      <c r="D19872">
        <f>TEST_DATA!D19872</f>
        <v/>
      </c>
      <c r="E19872">
        <f>TEST_DATA!E19872</f>
        <v/>
      </c>
    </row>
    <row r="19873">
      <c r="A19873">
        <f>TEST_DATA!A19873</f>
        <v/>
      </c>
      <c r="B19873">
        <f>TEST_DATA!B19873</f>
        <v/>
      </c>
      <c r="C19873">
        <f>TEST_DATA!C19873</f>
        <v/>
      </c>
      <c r="D19873">
        <f>TEST_DATA!D19873</f>
        <v/>
      </c>
      <c r="E19873">
        <f>TEST_DATA!E19873</f>
        <v/>
      </c>
    </row>
    <row r="19874">
      <c r="A19874">
        <f>TEST_DATA!A19874</f>
        <v/>
      </c>
      <c r="B19874">
        <f>TEST_DATA!B19874</f>
        <v/>
      </c>
      <c r="C19874">
        <f>TEST_DATA!C19874</f>
        <v/>
      </c>
      <c r="D19874">
        <f>TEST_DATA!D19874</f>
        <v/>
      </c>
      <c r="E19874">
        <f>TEST_DATA!E19874</f>
        <v/>
      </c>
    </row>
    <row r="19875">
      <c r="A19875">
        <f>TEST_DATA!A19875</f>
        <v/>
      </c>
      <c r="B19875">
        <f>TEST_DATA!B19875</f>
        <v/>
      </c>
      <c r="C19875">
        <f>TEST_DATA!C19875</f>
        <v/>
      </c>
      <c r="D19875">
        <f>TEST_DATA!D19875</f>
        <v/>
      </c>
      <c r="E19875">
        <f>TEST_DATA!E19875</f>
        <v/>
      </c>
    </row>
    <row r="19876">
      <c r="A19876">
        <f>TEST_DATA!A19876</f>
        <v/>
      </c>
      <c r="B19876">
        <f>TEST_DATA!B19876</f>
        <v/>
      </c>
      <c r="C19876">
        <f>TEST_DATA!C19876</f>
        <v/>
      </c>
      <c r="D19876">
        <f>TEST_DATA!D19876</f>
        <v/>
      </c>
      <c r="E19876">
        <f>TEST_DATA!E19876</f>
        <v/>
      </c>
    </row>
    <row r="19877">
      <c r="A19877">
        <f>TEST_DATA!A19877</f>
        <v/>
      </c>
      <c r="B19877">
        <f>TEST_DATA!B19877</f>
        <v/>
      </c>
      <c r="C19877">
        <f>TEST_DATA!C19877</f>
        <v/>
      </c>
      <c r="D19877">
        <f>TEST_DATA!D19877</f>
        <v/>
      </c>
      <c r="E19877">
        <f>TEST_DATA!E19877</f>
        <v/>
      </c>
    </row>
    <row r="19878">
      <c r="A19878">
        <f>TEST_DATA!A19878</f>
        <v/>
      </c>
      <c r="B19878">
        <f>TEST_DATA!B19878</f>
        <v/>
      </c>
      <c r="C19878">
        <f>TEST_DATA!C19878</f>
        <v/>
      </c>
      <c r="D19878">
        <f>TEST_DATA!D19878</f>
        <v/>
      </c>
      <c r="E19878">
        <f>TEST_DATA!E19878</f>
        <v/>
      </c>
    </row>
    <row r="19879">
      <c r="A19879">
        <f>TEST_DATA!A19879</f>
        <v/>
      </c>
      <c r="B19879">
        <f>TEST_DATA!B19879</f>
        <v/>
      </c>
      <c r="C19879">
        <f>TEST_DATA!C19879</f>
        <v/>
      </c>
      <c r="D19879">
        <f>TEST_DATA!D19879</f>
        <v/>
      </c>
      <c r="E19879">
        <f>TEST_DATA!E19879</f>
        <v/>
      </c>
    </row>
    <row r="19880">
      <c r="A19880">
        <f>TEST_DATA!A19880</f>
        <v/>
      </c>
      <c r="B19880">
        <f>TEST_DATA!B19880</f>
        <v/>
      </c>
      <c r="C19880">
        <f>TEST_DATA!C19880</f>
        <v/>
      </c>
      <c r="D19880">
        <f>TEST_DATA!D19880</f>
        <v/>
      </c>
      <c r="E19880">
        <f>TEST_DATA!E19880</f>
        <v/>
      </c>
    </row>
    <row r="19881">
      <c r="A19881">
        <f>TEST_DATA!A19881</f>
        <v/>
      </c>
      <c r="B19881">
        <f>TEST_DATA!B19881</f>
        <v/>
      </c>
      <c r="C19881">
        <f>TEST_DATA!C19881</f>
        <v/>
      </c>
      <c r="D19881">
        <f>TEST_DATA!D19881</f>
        <v/>
      </c>
      <c r="E19881">
        <f>TEST_DATA!E19881</f>
        <v/>
      </c>
    </row>
    <row r="19882">
      <c r="A19882">
        <f>TEST_DATA!A19882</f>
        <v/>
      </c>
      <c r="B19882">
        <f>TEST_DATA!B19882</f>
        <v/>
      </c>
      <c r="C19882">
        <f>TEST_DATA!C19882</f>
        <v/>
      </c>
      <c r="D19882">
        <f>TEST_DATA!D19882</f>
        <v/>
      </c>
      <c r="E19882">
        <f>TEST_DATA!E19882</f>
        <v/>
      </c>
    </row>
    <row r="19883">
      <c r="A19883">
        <f>TEST_DATA!A19883</f>
        <v/>
      </c>
      <c r="B19883">
        <f>TEST_DATA!B19883</f>
        <v/>
      </c>
      <c r="C19883">
        <f>TEST_DATA!C19883</f>
        <v/>
      </c>
      <c r="D19883">
        <f>TEST_DATA!D19883</f>
        <v/>
      </c>
      <c r="E19883">
        <f>TEST_DATA!E19883</f>
        <v/>
      </c>
    </row>
    <row r="19884">
      <c r="A19884">
        <f>TEST_DATA!A19884</f>
        <v/>
      </c>
      <c r="B19884">
        <f>TEST_DATA!B19884</f>
        <v/>
      </c>
      <c r="C19884">
        <f>TEST_DATA!C19884</f>
        <v/>
      </c>
      <c r="D19884">
        <f>TEST_DATA!D19884</f>
        <v/>
      </c>
      <c r="E19884">
        <f>TEST_DATA!E19884</f>
        <v/>
      </c>
    </row>
    <row r="19885">
      <c r="A19885">
        <f>TEST_DATA!A19885</f>
        <v/>
      </c>
      <c r="B19885">
        <f>TEST_DATA!B19885</f>
        <v/>
      </c>
      <c r="C19885">
        <f>TEST_DATA!C19885</f>
        <v/>
      </c>
      <c r="D19885">
        <f>TEST_DATA!D19885</f>
        <v/>
      </c>
      <c r="E19885">
        <f>TEST_DATA!E19885</f>
        <v/>
      </c>
    </row>
    <row r="19886">
      <c r="A19886">
        <f>TEST_DATA!A19886</f>
        <v/>
      </c>
      <c r="B19886">
        <f>TEST_DATA!B19886</f>
        <v/>
      </c>
      <c r="C19886">
        <f>TEST_DATA!C19886</f>
        <v/>
      </c>
      <c r="D19886">
        <f>TEST_DATA!D19886</f>
        <v/>
      </c>
      <c r="E19886">
        <f>TEST_DATA!E19886</f>
        <v/>
      </c>
    </row>
    <row r="19887">
      <c r="A19887">
        <f>TEST_DATA!A19887</f>
        <v/>
      </c>
      <c r="B19887">
        <f>TEST_DATA!B19887</f>
        <v/>
      </c>
      <c r="C19887">
        <f>TEST_DATA!C19887</f>
        <v/>
      </c>
      <c r="D19887">
        <f>TEST_DATA!D19887</f>
        <v/>
      </c>
      <c r="E19887">
        <f>TEST_DATA!E19887</f>
        <v/>
      </c>
    </row>
    <row r="19888">
      <c r="A19888">
        <f>TEST_DATA!A19888</f>
        <v/>
      </c>
      <c r="B19888">
        <f>TEST_DATA!B19888</f>
        <v/>
      </c>
      <c r="C19888">
        <f>TEST_DATA!C19888</f>
        <v/>
      </c>
      <c r="D19888">
        <f>TEST_DATA!D19888</f>
        <v/>
      </c>
      <c r="E19888">
        <f>TEST_DATA!E19888</f>
        <v/>
      </c>
    </row>
    <row r="19889">
      <c r="A19889">
        <f>TEST_DATA!A19889</f>
        <v/>
      </c>
      <c r="B19889">
        <f>TEST_DATA!B19889</f>
        <v/>
      </c>
      <c r="C19889">
        <f>TEST_DATA!C19889</f>
        <v/>
      </c>
      <c r="D19889">
        <f>TEST_DATA!D19889</f>
        <v/>
      </c>
      <c r="E19889">
        <f>TEST_DATA!E19889</f>
        <v/>
      </c>
    </row>
    <row r="19890">
      <c r="A19890">
        <f>TEST_DATA!A19890</f>
        <v/>
      </c>
      <c r="B19890">
        <f>TEST_DATA!B19890</f>
        <v/>
      </c>
      <c r="C19890">
        <f>TEST_DATA!C19890</f>
        <v/>
      </c>
      <c r="D19890">
        <f>TEST_DATA!D19890</f>
        <v/>
      </c>
      <c r="E19890">
        <f>TEST_DATA!E19890</f>
        <v/>
      </c>
    </row>
    <row r="19891">
      <c r="A19891">
        <f>TEST_DATA!A19891</f>
        <v/>
      </c>
      <c r="B19891">
        <f>TEST_DATA!B19891</f>
        <v/>
      </c>
      <c r="C19891">
        <f>TEST_DATA!C19891</f>
        <v/>
      </c>
      <c r="D19891">
        <f>TEST_DATA!D19891</f>
        <v/>
      </c>
      <c r="E19891">
        <f>TEST_DATA!E19891</f>
        <v/>
      </c>
    </row>
    <row r="19892">
      <c r="A19892">
        <f>TEST_DATA!A19892</f>
        <v/>
      </c>
      <c r="B19892">
        <f>TEST_DATA!B19892</f>
        <v/>
      </c>
      <c r="C19892">
        <f>TEST_DATA!C19892</f>
        <v/>
      </c>
      <c r="D19892">
        <f>TEST_DATA!D19892</f>
        <v/>
      </c>
      <c r="E19892">
        <f>TEST_DATA!E19892</f>
        <v/>
      </c>
    </row>
    <row r="19893">
      <c r="A19893">
        <f>TEST_DATA!A19893</f>
        <v/>
      </c>
      <c r="B19893">
        <f>TEST_DATA!B19893</f>
        <v/>
      </c>
      <c r="C19893">
        <f>TEST_DATA!C19893</f>
        <v/>
      </c>
      <c r="D19893">
        <f>TEST_DATA!D19893</f>
        <v/>
      </c>
      <c r="E19893">
        <f>TEST_DATA!E19893</f>
        <v/>
      </c>
    </row>
    <row r="19894">
      <c r="A19894">
        <f>TEST_DATA!A19894</f>
        <v/>
      </c>
      <c r="B19894">
        <f>TEST_DATA!B19894</f>
        <v/>
      </c>
      <c r="C19894">
        <f>TEST_DATA!C19894</f>
        <v/>
      </c>
      <c r="D19894">
        <f>TEST_DATA!D19894</f>
        <v/>
      </c>
      <c r="E19894">
        <f>TEST_DATA!E19894</f>
        <v/>
      </c>
    </row>
    <row r="19895">
      <c r="A19895">
        <f>TEST_DATA!A19895</f>
        <v/>
      </c>
      <c r="B19895">
        <f>TEST_DATA!B19895</f>
        <v/>
      </c>
      <c r="C19895">
        <f>TEST_DATA!C19895</f>
        <v/>
      </c>
      <c r="D19895">
        <f>TEST_DATA!D19895</f>
        <v/>
      </c>
      <c r="E19895">
        <f>TEST_DATA!E19895</f>
        <v/>
      </c>
    </row>
    <row r="19896">
      <c r="A19896">
        <f>TEST_DATA!A19896</f>
        <v/>
      </c>
      <c r="B19896">
        <f>TEST_DATA!B19896</f>
        <v/>
      </c>
      <c r="C19896">
        <f>TEST_DATA!C19896</f>
        <v/>
      </c>
      <c r="D19896">
        <f>TEST_DATA!D19896</f>
        <v/>
      </c>
      <c r="E19896">
        <f>TEST_DATA!E19896</f>
        <v/>
      </c>
    </row>
    <row r="19897">
      <c r="A19897">
        <f>TEST_DATA!A19897</f>
        <v/>
      </c>
      <c r="B19897">
        <f>TEST_DATA!B19897</f>
        <v/>
      </c>
      <c r="C19897">
        <f>TEST_DATA!C19897</f>
        <v/>
      </c>
      <c r="D19897">
        <f>TEST_DATA!D19897</f>
        <v/>
      </c>
      <c r="E19897">
        <f>TEST_DATA!E19897</f>
        <v/>
      </c>
    </row>
    <row r="19898">
      <c r="A19898">
        <f>TEST_DATA!A19898</f>
        <v/>
      </c>
      <c r="B19898">
        <f>TEST_DATA!B19898</f>
        <v/>
      </c>
      <c r="C19898">
        <f>TEST_DATA!C19898</f>
        <v/>
      </c>
      <c r="D19898">
        <f>TEST_DATA!D19898</f>
        <v/>
      </c>
      <c r="E19898">
        <f>TEST_DATA!E19898</f>
        <v/>
      </c>
    </row>
    <row r="19899">
      <c r="A19899">
        <f>TEST_DATA!A19899</f>
        <v/>
      </c>
      <c r="B19899">
        <f>TEST_DATA!B19899</f>
        <v/>
      </c>
      <c r="C19899">
        <f>TEST_DATA!C19899</f>
        <v/>
      </c>
      <c r="D19899">
        <f>TEST_DATA!D19899</f>
        <v/>
      </c>
      <c r="E19899">
        <f>TEST_DATA!E19899</f>
        <v/>
      </c>
    </row>
    <row r="19900">
      <c r="A19900">
        <f>TEST_DATA!A19900</f>
        <v/>
      </c>
      <c r="B19900">
        <f>TEST_DATA!B19900</f>
        <v/>
      </c>
      <c r="C19900">
        <f>TEST_DATA!C19900</f>
        <v/>
      </c>
      <c r="D19900">
        <f>TEST_DATA!D19900</f>
        <v/>
      </c>
      <c r="E19900">
        <f>TEST_DATA!E19900</f>
        <v/>
      </c>
    </row>
    <row r="19901">
      <c r="A19901">
        <f>TEST_DATA!A19901</f>
        <v/>
      </c>
      <c r="B19901">
        <f>TEST_DATA!B19901</f>
        <v/>
      </c>
      <c r="C19901">
        <f>TEST_DATA!C19901</f>
        <v/>
      </c>
      <c r="D19901">
        <f>TEST_DATA!D19901</f>
        <v/>
      </c>
      <c r="E19901">
        <f>TEST_DATA!E19901</f>
        <v/>
      </c>
    </row>
    <row r="19902">
      <c r="A19902">
        <f>TEST_DATA!A19902</f>
        <v/>
      </c>
      <c r="B19902">
        <f>TEST_DATA!B19902</f>
        <v/>
      </c>
      <c r="C19902">
        <f>TEST_DATA!C19902</f>
        <v/>
      </c>
      <c r="D19902">
        <f>TEST_DATA!D19902</f>
        <v/>
      </c>
      <c r="E19902">
        <f>TEST_DATA!E19902</f>
        <v/>
      </c>
    </row>
    <row r="19903">
      <c r="A19903">
        <f>TEST_DATA!A19903</f>
        <v/>
      </c>
      <c r="B19903">
        <f>TEST_DATA!B19903</f>
        <v/>
      </c>
      <c r="C19903">
        <f>TEST_DATA!C19903</f>
        <v/>
      </c>
      <c r="D19903">
        <f>TEST_DATA!D19903</f>
        <v/>
      </c>
      <c r="E19903">
        <f>TEST_DATA!E19903</f>
        <v/>
      </c>
    </row>
    <row r="19904">
      <c r="A19904">
        <f>TEST_DATA!A19904</f>
        <v/>
      </c>
      <c r="B19904">
        <f>TEST_DATA!B19904</f>
        <v/>
      </c>
      <c r="C19904">
        <f>TEST_DATA!C19904</f>
        <v/>
      </c>
      <c r="D19904">
        <f>TEST_DATA!D19904</f>
        <v/>
      </c>
      <c r="E19904">
        <f>TEST_DATA!E19904</f>
        <v/>
      </c>
    </row>
    <row r="19905">
      <c r="A19905">
        <f>TEST_DATA!A19905</f>
        <v/>
      </c>
      <c r="B19905">
        <f>TEST_DATA!B19905</f>
        <v/>
      </c>
      <c r="C19905">
        <f>TEST_DATA!C19905</f>
        <v/>
      </c>
      <c r="D19905">
        <f>TEST_DATA!D19905</f>
        <v/>
      </c>
      <c r="E19905">
        <f>TEST_DATA!E19905</f>
        <v/>
      </c>
    </row>
    <row r="19906">
      <c r="A19906">
        <f>TEST_DATA!A19906</f>
        <v/>
      </c>
      <c r="B19906">
        <f>TEST_DATA!B19906</f>
        <v/>
      </c>
      <c r="C19906">
        <f>TEST_DATA!C19906</f>
        <v/>
      </c>
      <c r="D19906">
        <f>TEST_DATA!D19906</f>
        <v/>
      </c>
      <c r="E19906">
        <f>TEST_DATA!E19906</f>
        <v/>
      </c>
    </row>
    <row r="19907">
      <c r="A19907">
        <f>TEST_DATA!A19907</f>
        <v/>
      </c>
      <c r="B19907">
        <f>TEST_DATA!B19907</f>
        <v/>
      </c>
      <c r="C19907">
        <f>TEST_DATA!C19907</f>
        <v/>
      </c>
      <c r="D19907">
        <f>TEST_DATA!D19907</f>
        <v/>
      </c>
      <c r="E19907">
        <f>TEST_DATA!E19907</f>
        <v/>
      </c>
    </row>
    <row r="19908">
      <c r="A19908">
        <f>TEST_DATA!A19908</f>
        <v/>
      </c>
      <c r="B19908">
        <f>TEST_DATA!B19908</f>
        <v/>
      </c>
      <c r="C19908">
        <f>TEST_DATA!C19908</f>
        <v/>
      </c>
      <c r="D19908">
        <f>TEST_DATA!D19908</f>
        <v/>
      </c>
      <c r="E19908">
        <f>TEST_DATA!E19908</f>
        <v/>
      </c>
    </row>
    <row r="19909">
      <c r="A19909">
        <f>TEST_DATA!A19909</f>
        <v/>
      </c>
      <c r="B19909">
        <f>TEST_DATA!B19909</f>
        <v/>
      </c>
      <c r="C19909">
        <f>TEST_DATA!C19909</f>
        <v/>
      </c>
      <c r="D19909">
        <f>TEST_DATA!D19909</f>
        <v/>
      </c>
      <c r="E19909">
        <f>TEST_DATA!E19909</f>
        <v/>
      </c>
    </row>
    <row r="19910">
      <c r="A19910">
        <f>TEST_DATA!A19910</f>
        <v/>
      </c>
      <c r="B19910">
        <f>TEST_DATA!B19910</f>
        <v/>
      </c>
      <c r="C19910">
        <f>TEST_DATA!C19910</f>
        <v/>
      </c>
      <c r="D19910">
        <f>TEST_DATA!D19910</f>
        <v/>
      </c>
      <c r="E19910">
        <f>TEST_DATA!E19910</f>
        <v/>
      </c>
    </row>
    <row r="19911">
      <c r="A19911">
        <f>TEST_DATA!A19911</f>
        <v/>
      </c>
      <c r="B19911">
        <f>TEST_DATA!B19911</f>
        <v/>
      </c>
      <c r="C19911">
        <f>TEST_DATA!C19911</f>
        <v/>
      </c>
      <c r="D19911">
        <f>TEST_DATA!D19911</f>
        <v/>
      </c>
      <c r="E19911">
        <f>TEST_DATA!E19911</f>
        <v/>
      </c>
    </row>
    <row r="19912">
      <c r="A19912">
        <f>TEST_DATA!A19912</f>
        <v/>
      </c>
      <c r="B19912">
        <f>TEST_DATA!B19912</f>
        <v/>
      </c>
      <c r="C19912">
        <f>TEST_DATA!C19912</f>
        <v/>
      </c>
      <c r="D19912">
        <f>TEST_DATA!D19912</f>
        <v/>
      </c>
      <c r="E19912">
        <f>TEST_DATA!E19912</f>
        <v/>
      </c>
    </row>
    <row r="19913">
      <c r="A19913">
        <f>TEST_DATA!A19913</f>
        <v/>
      </c>
      <c r="B19913">
        <f>TEST_DATA!B19913</f>
        <v/>
      </c>
      <c r="C19913">
        <f>TEST_DATA!C19913</f>
        <v/>
      </c>
      <c r="D19913">
        <f>TEST_DATA!D19913</f>
        <v/>
      </c>
      <c r="E19913">
        <f>TEST_DATA!E19913</f>
        <v/>
      </c>
    </row>
    <row r="19914">
      <c r="A19914">
        <f>TEST_DATA!A19914</f>
        <v/>
      </c>
      <c r="B19914">
        <f>TEST_DATA!B19914</f>
        <v/>
      </c>
      <c r="C19914">
        <f>TEST_DATA!C19914</f>
        <v/>
      </c>
      <c r="D19914">
        <f>TEST_DATA!D19914</f>
        <v/>
      </c>
      <c r="E19914">
        <f>TEST_DATA!E19914</f>
        <v/>
      </c>
    </row>
    <row r="19915">
      <c r="A19915">
        <f>TEST_DATA!A19915</f>
        <v/>
      </c>
      <c r="B19915">
        <f>TEST_DATA!B19915</f>
        <v/>
      </c>
      <c r="C19915">
        <f>TEST_DATA!C19915</f>
        <v/>
      </c>
      <c r="D19915">
        <f>TEST_DATA!D19915</f>
        <v/>
      </c>
      <c r="E19915">
        <f>TEST_DATA!E19915</f>
        <v/>
      </c>
    </row>
    <row r="19916">
      <c r="A19916">
        <f>TEST_DATA!A19916</f>
        <v/>
      </c>
      <c r="B19916">
        <f>TEST_DATA!B19916</f>
        <v/>
      </c>
      <c r="C19916">
        <f>TEST_DATA!C19916</f>
        <v/>
      </c>
      <c r="D19916">
        <f>TEST_DATA!D19916</f>
        <v/>
      </c>
      <c r="E19916">
        <f>TEST_DATA!E19916</f>
        <v/>
      </c>
    </row>
    <row r="19917">
      <c r="A19917">
        <f>TEST_DATA!A19917</f>
        <v/>
      </c>
      <c r="B19917">
        <f>TEST_DATA!B19917</f>
        <v/>
      </c>
      <c r="C19917">
        <f>TEST_DATA!C19917</f>
        <v/>
      </c>
      <c r="D19917">
        <f>TEST_DATA!D19917</f>
        <v/>
      </c>
      <c r="E19917">
        <f>TEST_DATA!E19917</f>
        <v/>
      </c>
    </row>
    <row r="19918">
      <c r="A19918">
        <f>TEST_DATA!A19918</f>
        <v/>
      </c>
      <c r="B19918">
        <f>TEST_DATA!B19918</f>
        <v/>
      </c>
      <c r="C19918">
        <f>TEST_DATA!C19918</f>
        <v/>
      </c>
      <c r="D19918">
        <f>TEST_DATA!D19918</f>
        <v/>
      </c>
      <c r="E19918">
        <f>TEST_DATA!E19918</f>
        <v/>
      </c>
    </row>
    <row r="19919">
      <c r="A19919">
        <f>TEST_DATA!A19919</f>
        <v/>
      </c>
      <c r="B19919">
        <f>TEST_DATA!B19919</f>
        <v/>
      </c>
      <c r="C19919">
        <f>TEST_DATA!C19919</f>
        <v/>
      </c>
      <c r="D19919">
        <f>TEST_DATA!D19919</f>
        <v/>
      </c>
      <c r="E19919">
        <f>TEST_DATA!E19919</f>
        <v/>
      </c>
    </row>
    <row r="19920">
      <c r="A19920">
        <f>TEST_DATA!A19920</f>
        <v/>
      </c>
      <c r="B19920">
        <f>TEST_DATA!B19920</f>
        <v/>
      </c>
      <c r="C19920">
        <f>TEST_DATA!C19920</f>
        <v/>
      </c>
      <c r="D19920">
        <f>TEST_DATA!D19920</f>
        <v/>
      </c>
      <c r="E19920">
        <f>TEST_DATA!E19920</f>
        <v/>
      </c>
    </row>
    <row r="19921">
      <c r="A19921">
        <f>TEST_DATA!A19921</f>
        <v/>
      </c>
      <c r="B19921">
        <f>TEST_DATA!B19921</f>
        <v/>
      </c>
      <c r="C19921">
        <f>TEST_DATA!C19921</f>
        <v/>
      </c>
      <c r="D19921">
        <f>TEST_DATA!D19921</f>
        <v/>
      </c>
      <c r="E19921">
        <f>TEST_DATA!E19921</f>
        <v/>
      </c>
    </row>
    <row r="19922">
      <c r="A19922">
        <f>TEST_DATA!A19922</f>
        <v/>
      </c>
      <c r="B19922">
        <f>TEST_DATA!B19922</f>
        <v/>
      </c>
      <c r="C19922">
        <f>TEST_DATA!C19922</f>
        <v/>
      </c>
      <c r="D19922">
        <f>TEST_DATA!D19922</f>
        <v/>
      </c>
      <c r="E19922">
        <f>TEST_DATA!E19922</f>
        <v/>
      </c>
    </row>
    <row r="19923">
      <c r="A19923">
        <f>TEST_DATA!A19923</f>
        <v/>
      </c>
      <c r="B19923">
        <f>TEST_DATA!B19923</f>
        <v/>
      </c>
      <c r="C19923">
        <f>TEST_DATA!C19923</f>
        <v/>
      </c>
      <c r="D19923">
        <f>TEST_DATA!D19923</f>
        <v/>
      </c>
      <c r="E19923">
        <f>TEST_DATA!E19923</f>
        <v/>
      </c>
    </row>
    <row r="19924">
      <c r="A19924">
        <f>TEST_DATA!A19924</f>
        <v/>
      </c>
      <c r="B19924">
        <f>TEST_DATA!B19924</f>
        <v/>
      </c>
      <c r="C19924">
        <f>TEST_DATA!C19924</f>
        <v/>
      </c>
      <c r="D19924">
        <f>TEST_DATA!D19924</f>
        <v/>
      </c>
      <c r="E19924">
        <f>TEST_DATA!E19924</f>
        <v/>
      </c>
    </row>
    <row r="19925">
      <c r="A19925">
        <f>TEST_DATA!A19925</f>
        <v/>
      </c>
      <c r="B19925">
        <f>TEST_DATA!B19925</f>
        <v/>
      </c>
      <c r="C19925">
        <f>TEST_DATA!C19925</f>
        <v/>
      </c>
      <c r="D19925">
        <f>TEST_DATA!D19925</f>
        <v/>
      </c>
      <c r="E19925">
        <f>TEST_DATA!E19925</f>
        <v/>
      </c>
    </row>
    <row r="19926">
      <c r="A19926">
        <f>TEST_DATA!A19926</f>
        <v/>
      </c>
      <c r="B19926">
        <f>TEST_DATA!B19926</f>
        <v/>
      </c>
      <c r="C19926">
        <f>TEST_DATA!C19926</f>
        <v/>
      </c>
      <c r="D19926">
        <f>TEST_DATA!D19926</f>
        <v/>
      </c>
      <c r="E19926">
        <f>TEST_DATA!E19926</f>
        <v/>
      </c>
    </row>
    <row r="19927">
      <c r="A19927">
        <f>TEST_DATA!A19927</f>
        <v/>
      </c>
      <c r="B19927">
        <f>TEST_DATA!B19927</f>
        <v/>
      </c>
      <c r="C19927">
        <f>TEST_DATA!C19927</f>
        <v/>
      </c>
      <c r="D19927">
        <f>TEST_DATA!D19927</f>
        <v/>
      </c>
      <c r="E19927">
        <f>TEST_DATA!E19927</f>
        <v/>
      </c>
    </row>
    <row r="19928">
      <c r="A19928">
        <f>TEST_DATA!A19928</f>
        <v/>
      </c>
      <c r="B19928">
        <f>TEST_DATA!B19928</f>
        <v/>
      </c>
      <c r="C19928">
        <f>TEST_DATA!C19928</f>
        <v/>
      </c>
      <c r="D19928">
        <f>TEST_DATA!D19928</f>
        <v/>
      </c>
      <c r="E19928">
        <f>TEST_DATA!E19928</f>
        <v/>
      </c>
    </row>
    <row r="19929">
      <c r="A19929">
        <f>TEST_DATA!A19929</f>
        <v/>
      </c>
      <c r="B19929">
        <f>TEST_DATA!B19929</f>
        <v/>
      </c>
      <c r="C19929">
        <f>TEST_DATA!C19929</f>
        <v/>
      </c>
      <c r="D19929">
        <f>TEST_DATA!D19929</f>
        <v/>
      </c>
      <c r="E19929">
        <f>TEST_DATA!E19929</f>
        <v/>
      </c>
    </row>
    <row r="19930">
      <c r="A19930">
        <f>TEST_DATA!A19930</f>
        <v/>
      </c>
      <c r="B19930">
        <f>TEST_DATA!B19930</f>
        <v/>
      </c>
      <c r="C19930">
        <f>TEST_DATA!C19930</f>
        <v/>
      </c>
      <c r="D19930">
        <f>TEST_DATA!D19930</f>
        <v/>
      </c>
      <c r="E19930">
        <f>TEST_DATA!E19930</f>
        <v/>
      </c>
    </row>
    <row r="19931">
      <c r="A19931">
        <f>TEST_DATA!A19931</f>
        <v/>
      </c>
      <c r="B19931">
        <f>TEST_DATA!B19931</f>
        <v/>
      </c>
      <c r="C19931">
        <f>TEST_DATA!C19931</f>
        <v/>
      </c>
      <c r="D19931">
        <f>TEST_DATA!D19931</f>
        <v/>
      </c>
      <c r="E19931">
        <f>TEST_DATA!E19931</f>
        <v/>
      </c>
    </row>
    <row r="19932">
      <c r="A19932">
        <f>TEST_DATA!A19932</f>
        <v/>
      </c>
      <c r="B19932">
        <f>TEST_DATA!B19932</f>
        <v/>
      </c>
      <c r="C19932">
        <f>TEST_DATA!C19932</f>
        <v/>
      </c>
      <c r="D19932">
        <f>TEST_DATA!D19932</f>
        <v/>
      </c>
      <c r="E19932">
        <f>TEST_DATA!E19932</f>
        <v/>
      </c>
    </row>
    <row r="19933">
      <c r="A19933">
        <f>TEST_DATA!A19933</f>
        <v/>
      </c>
      <c r="B19933">
        <f>TEST_DATA!B19933</f>
        <v/>
      </c>
      <c r="C19933">
        <f>TEST_DATA!C19933</f>
        <v/>
      </c>
      <c r="D19933">
        <f>TEST_DATA!D19933</f>
        <v/>
      </c>
      <c r="E19933">
        <f>TEST_DATA!E19933</f>
        <v/>
      </c>
    </row>
    <row r="19934">
      <c r="A19934">
        <f>TEST_DATA!A19934</f>
        <v/>
      </c>
      <c r="B19934">
        <f>TEST_DATA!B19934</f>
        <v/>
      </c>
      <c r="C19934">
        <f>TEST_DATA!C19934</f>
        <v/>
      </c>
      <c r="D19934">
        <f>TEST_DATA!D19934</f>
        <v/>
      </c>
      <c r="E19934">
        <f>TEST_DATA!E19934</f>
        <v/>
      </c>
    </row>
    <row r="19935">
      <c r="A19935">
        <f>TEST_DATA!A19935</f>
        <v/>
      </c>
      <c r="B19935">
        <f>TEST_DATA!B19935</f>
        <v/>
      </c>
      <c r="C19935">
        <f>TEST_DATA!C19935</f>
        <v/>
      </c>
      <c r="D19935">
        <f>TEST_DATA!D19935</f>
        <v/>
      </c>
      <c r="E19935">
        <f>TEST_DATA!E19935</f>
        <v/>
      </c>
    </row>
    <row r="19936">
      <c r="A19936">
        <f>TEST_DATA!A19936</f>
        <v/>
      </c>
      <c r="B19936">
        <f>TEST_DATA!B19936</f>
        <v/>
      </c>
      <c r="C19936">
        <f>TEST_DATA!C19936</f>
        <v/>
      </c>
      <c r="D19936">
        <f>TEST_DATA!D19936</f>
        <v/>
      </c>
      <c r="E19936">
        <f>TEST_DATA!E19936</f>
        <v/>
      </c>
    </row>
    <row r="19937">
      <c r="A19937">
        <f>TEST_DATA!A19937</f>
        <v/>
      </c>
      <c r="B19937">
        <f>TEST_DATA!B19937</f>
        <v/>
      </c>
      <c r="C19937">
        <f>TEST_DATA!C19937</f>
        <v/>
      </c>
      <c r="D19937">
        <f>TEST_DATA!D19937</f>
        <v/>
      </c>
      <c r="E19937">
        <f>TEST_DATA!E19937</f>
        <v/>
      </c>
    </row>
    <row r="19938">
      <c r="A19938">
        <f>TEST_DATA!A19938</f>
        <v/>
      </c>
      <c r="B19938">
        <f>TEST_DATA!B19938</f>
        <v/>
      </c>
      <c r="C19938">
        <f>TEST_DATA!C19938</f>
        <v/>
      </c>
      <c r="D19938">
        <f>TEST_DATA!D19938</f>
        <v/>
      </c>
      <c r="E19938">
        <f>TEST_DATA!E19938</f>
        <v/>
      </c>
    </row>
    <row r="19939">
      <c r="A19939">
        <f>TEST_DATA!A19939</f>
        <v/>
      </c>
      <c r="B19939">
        <f>TEST_DATA!B19939</f>
        <v/>
      </c>
      <c r="C19939">
        <f>TEST_DATA!C19939</f>
        <v/>
      </c>
      <c r="D19939">
        <f>TEST_DATA!D19939</f>
        <v/>
      </c>
      <c r="E19939">
        <f>TEST_DATA!E19939</f>
        <v/>
      </c>
    </row>
    <row r="19940">
      <c r="A19940">
        <f>TEST_DATA!A19940</f>
        <v/>
      </c>
      <c r="B19940">
        <f>TEST_DATA!B19940</f>
        <v/>
      </c>
      <c r="C19940">
        <f>TEST_DATA!C19940</f>
        <v/>
      </c>
      <c r="D19940">
        <f>TEST_DATA!D19940</f>
        <v/>
      </c>
      <c r="E19940">
        <f>TEST_DATA!E19940</f>
        <v/>
      </c>
    </row>
    <row r="19941">
      <c r="A19941">
        <f>TEST_DATA!A19941</f>
        <v/>
      </c>
      <c r="B19941">
        <f>TEST_DATA!B19941</f>
        <v/>
      </c>
      <c r="C19941">
        <f>TEST_DATA!C19941</f>
        <v/>
      </c>
      <c r="D19941">
        <f>TEST_DATA!D19941</f>
        <v/>
      </c>
      <c r="E19941">
        <f>TEST_DATA!E19941</f>
        <v/>
      </c>
    </row>
    <row r="19942">
      <c r="A19942">
        <f>TEST_DATA!A19942</f>
        <v/>
      </c>
      <c r="B19942">
        <f>TEST_DATA!B19942</f>
        <v/>
      </c>
      <c r="C19942">
        <f>TEST_DATA!C19942</f>
        <v/>
      </c>
      <c r="D19942">
        <f>TEST_DATA!D19942</f>
        <v/>
      </c>
      <c r="E19942">
        <f>TEST_DATA!E19942</f>
        <v/>
      </c>
    </row>
    <row r="19943">
      <c r="A19943">
        <f>TEST_DATA!A19943</f>
        <v/>
      </c>
      <c r="B19943">
        <f>TEST_DATA!B19943</f>
        <v/>
      </c>
      <c r="C19943">
        <f>TEST_DATA!C19943</f>
        <v/>
      </c>
      <c r="D19943">
        <f>TEST_DATA!D19943</f>
        <v/>
      </c>
      <c r="E19943">
        <f>TEST_DATA!E19943</f>
        <v/>
      </c>
    </row>
    <row r="19944">
      <c r="A19944">
        <f>TEST_DATA!A19944</f>
        <v/>
      </c>
      <c r="B19944">
        <f>TEST_DATA!B19944</f>
        <v/>
      </c>
      <c r="C19944">
        <f>TEST_DATA!C19944</f>
        <v/>
      </c>
      <c r="D19944">
        <f>TEST_DATA!D19944</f>
        <v/>
      </c>
      <c r="E19944">
        <f>TEST_DATA!E19944</f>
        <v/>
      </c>
    </row>
    <row r="19945">
      <c r="A19945">
        <f>TEST_DATA!A19945</f>
        <v/>
      </c>
      <c r="B19945">
        <f>TEST_DATA!B19945</f>
        <v/>
      </c>
      <c r="C19945">
        <f>TEST_DATA!C19945</f>
        <v/>
      </c>
      <c r="D19945">
        <f>TEST_DATA!D19945</f>
        <v/>
      </c>
      <c r="E19945">
        <f>TEST_DATA!E19945</f>
        <v/>
      </c>
    </row>
    <row r="19946">
      <c r="A19946">
        <f>TEST_DATA!A19946</f>
        <v/>
      </c>
      <c r="B19946">
        <f>TEST_DATA!B19946</f>
        <v/>
      </c>
      <c r="C19946">
        <f>TEST_DATA!C19946</f>
        <v/>
      </c>
      <c r="D19946">
        <f>TEST_DATA!D19946</f>
        <v/>
      </c>
      <c r="E19946">
        <f>TEST_DATA!E19946</f>
        <v/>
      </c>
    </row>
    <row r="19947">
      <c r="A19947">
        <f>TEST_DATA!A19947</f>
        <v/>
      </c>
      <c r="B19947">
        <f>TEST_DATA!B19947</f>
        <v/>
      </c>
      <c r="C19947">
        <f>TEST_DATA!C19947</f>
        <v/>
      </c>
      <c r="D19947">
        <f>TEST_DATA!D19947</f>
        <v/>
      </c>
      <c r="E19947">
        <f>TEST_DATA!E19947</f>
        <v/>
      </c>
    </row>
    <row r="19948">
      <c r="A19948">
        <f>TEST_DATA!A19948</f>
        <v/>
      </c>
      <c r="B19948">
        <f>TEST_DATA!B19948</f>
        <v/>
      </c>
      <c r="C19948">
        <f>TEST_DATA!C19948</f>
        <v/>
      </c>
      <c r="D19948">
        <f>TEST_DATA!D19948</f>
        <v/>
      </c>
      <c r="E19948">
        <f>TEST_DATA!E19948</f>
        <v/>
      </c>
    </row>
    <row r="19949">
      <c r="A19949">
        <f>TEST_DATA!A19949</f>
        <v/>
      </c>
      <c r="B19949">
        <f>TEST_DATA!B19949</f>
        <v/>
      </c>
      <c r="C19949">
        <f>TEST_DATA!C19949</f>
        <v/>
      </c>
      <c r="D19949">
        <f>TEST_DATA!D19949</f>
        <v/>
      </c>
      <c r="E19949">
        <f>TEST_DATA!E19949</f>
        <v/>
      </c>
    </row>
    <row r="19950">
      <c r="A19950">
        <f>TEST_DATA!A19950</f>
        <v/>
      </c>
      <c r="B19950">
        <f>TEST_DATA!B19950</f>
        <v/>
      </c>
      <c r="C19950">
        <f>TEST_DATA!C19950</f>
        <v/>
      </c>
      <c r="D19950">
        <f>TEST_DATA!D19950</f>
        <v/>
      </c>
      <c r="E19950">
        <f>TEST_DATA!E19950</f>
        <v/>
      </c>
    </row>
    <row r="19951">
      <c r="A19951">
        <f>TEST_DATA!A19951</f>
        <v/>
      </c>
      <c r="B19951">
        <f>TEST_DATA!B19951</f>
        <v/>
      </c>
      <c r="C19951">
        <f>TEST_DATA!C19951</f>
        <v/>
      </c>
      <c r="D19951">
        <f>TEST_DATA!D19951</f>
        <v/>
      </c>
      <c r="E19951">
        <f>TEST_DATA!E19951</f>
        <v/>
      </c>
    </row>
    <row r="19952">
      <c r="A19952">
        <f>TEST_DATA!A19952</f>
        <v/>
      </c>
      <c r="B19952">
        <f>TEST_DATA!B19952</f>
        <v/>
      </c>
      <c r="C19952">
        <f>TEST_DATA!C19952</f>
        <v/>
      </c>
      <c r="D19952">
        <f>TEST_DATA!D19952</f>
        <v/>
      </c>
      <c r="E19952">
        <f>TEST_DATA!E19952</f>
        <v/>
      </c>
    </row>
    <row r="19953">
      <c r="A19953">
        <f>TEST_DATA!A19953</f>
        <v/>
      </c>
      <c r="B19953">
        <f>TEST_DATA!B19953</f>
        <v/>
      </c>
      <c r="C19953">
        <f>TEST_DATA!C19953</f>
        <v/>
      </c>
      <c r="D19953">
        <f>TEST_DATA!D19953</f>
        <v/>
      </c>
      <c r="E19953">
        <f>TEST_DATA!E19953</f>
        <v/>
      </c>
    </row>
    <row r="19954">
      <c r="A19954">
        <f>TEST_DATA!A19954</f>
        <v/>
      </c>
      <c r="B19954">
        <f>TEST_DATA!B19954</f>
        <v/>
      </c>
      <c r="C19954">
        <f>TEST_DATA!C19954</f>
        <v/>
      </c>
      <c r="D19954">
        <f>TEST_DATA!D19954</f>
        <v/>
      </c>
      <c r="E19954">
        <f>TEST_DATA!E19954</f>
        <v/>
      </c>
    </row>
    <row r="19955">
      <c r="A19955">
        <f>TEST_DATA!A19955</f>
        <v/>
      </c>
      <c r="B19955">
        <f>TEST_DATA!B19955</f>
        <v/>
      </c>
      <c r="C19955">
        <f>TEST_DATA!C19955</f>
        <v/>
      </c>
      <c r="D19955">
        <f>TEST_DATA!D19955</f>
        <v/>
      </c>
      <c r="E19955">
        <f>TEST_DATA!E19955</f>
        <v/>
      </c>
    </row>
    <row r="19956">
      <c r="A19956">
        <f>TEST_DATA!A19956</f>
        <v/>
      </c>
      <c r="B19956">
        <f>TEST_DATA!B19956</f>
        <v/>
      </c>
      <c r="C19956">
        <f>TEST_DATA!C19956</f>
        <v/>
      </c>
      <c r="D19956">
        <f>TEST_DATA!D19956</f>
        <v/>
      </c>
      <c r="E19956">
        <f>TEST_DATA!E19956</f>
        <v/>
      </c>
    </row>
    <row r="19957">
      <c r="A19957">
        <f>TEST_DATA!A19957</f>
        <v/>
      </c>
      <c r="B19957">
        <f>TEST_DATA!B19957</f>
        <v/>
      </c>
      <c r="C19957">
        <f>TEST_DATA!C19957</f>
        <v/>
      </c>
      <c r="D19957">
        <f>TEST_DATA!D19957</f>
        <v/>
      </c>
      <c r="E19957">
        <f>TEST_DATA!E19957</f>
        <v/>
      </c>
    </row>
    <row r="19958">
      <c r="A19958">
        <f>TEST_DATA!A19958</f>
        <v/>
      </c>
      <c r="B19958">
        <f>TEST_DATA!B19958</f>
        <v/>
      </c>
      <c r="C19958">
        <f>TEST_DATA!C19958</f>
        <v/>
      </c>
      <c r="D19958">
        <f>TEST_DATA!D19958</f>
        <v/>
      </c>
      <c r="E19958">
        <f>TEST_DATA!E19958</f>
        <v/>
      </c>
    </row>
    <row r="19959">
      <c r="A19959">
        <f>TEST_DATA!A19959</f>
        <v/>
      </c>
      <c r="B19959">
        <f>TEST_DATA!B19959</f>
        <v/>
      </c>
      <c r="C19959">
        <f>TEST_DATA!C19959</f>
        <v/>
      </c>
      <c r="D19959">
        <f>TEST_DATA!D19959</f>
        <v/>
      </c>
      <c r="E19959">
        <f>TEST_DATA!E19959</f>
        <v/>
      </c>
    </row>
    <row r="19960">
      <c r="A19960">
        <f>TEST_DATA!A19960</f>
        <v/>
      </c>
      <c r="B19960">
        <f>TEST_DATA!B19960</f>
        <v/>
      </c>
      <c r="C19960">
        <f>TEST_DATA!C19960</f>
        <v/>
      </c>
      <c r="D19960">
        <f>TEST_DATA!D19960</f>
        <v/>
      </c>
      <c r="E19960">
        <f>TEST_DATA!E19960</f>
        <v/>
      </c>
    </row>
    <row r="19961">
      <c r="A19961">
        <f>TEST_DATA!A19961</f>
        <v/>
      </c>
      <c r="B19961">
        <f>TEST_DATA!B19961</f>
        <v/>
      </c>
      <c r="C19961">
        <f>TEST_DATA!C19961</f>
        <v/>
      </c>
      <c r="D19961">
        <f>TEST_DATA!D19961</f>
        <v/>
      </c>
      <c r="E19961">
        <f>TEST_DATA!E19961</f>
        <v/>
      </c>
    </row>
    <row r="19962">
      <c r="A19962">
        <f>TEST_DATA!A19962</f>
        <v/>
      </c>
      <c r="B19962">
        <f>TEST_DATA!B19962</f>
        <v/>
      </c>
      <c r="C19962">
        <f>TEST_DATA!C19962</f>
        <v/>
      </c>
      <c r="D19962">
        <f>TEST_DATA!D19962</f>
        <v/>
      </c>
      <c r="E19962">
        <f>TEST_DATA!E19962</f>
        <v/>
      </c>
    </row>
    <row r="19963">
      <c r="A19963">
        <f>TEST_DATA!A19963</f>
        <v/>
      </c>
      <c r="B19963">
        <f>TEST_DATA!B19963</f>
        <v/>
      </c>
      <c r="C19963">
        <f>TEST_DATA!C19963</f>
        <v/>
      </c>
      <c r="D19963">
        <f>TEST_DATA!D19963</f>
        <v/>
      </c>
      <c r="E19963">
        <f>TEST_DATA!E19963</f>
        <v/>
      </c>
    </row>
    <row r="19964">
      <c r="A19964">
        <f>TEST_DATA!A19964</f>
        <v/>
      </c>
      <c r="B19964">
        <f>TEST_DATA!B19964</f>
        <v/>
      </c>
      <c r="C19964">
        <f>TEST_DATA!C19964</f>
        <v/>
      </c>
      <c r="D19964">
        <f>TEST_DATA!D19964</f>
        <v/>
      </c>
      <c r="E19964">
        <f>TEST_DATA!E19964</f>
        <v/>
      </c>
    </row>
    <row r="19965">
      <c r="A19965">
        <f>TEST_DATA!A19965</f>
        <v/>
      </c>
      <c r="B19965">
        <f>TEST_DATA!B19965</f>
        <v/>
      </c>
      <c r="C19965">
        <f>TEST_DATA!C19965</f>
        <v/>
      </c>
      <c r="D19965">
        <f>TEST_DATA!D19965</f>
        <v/>
      </c>
      <c r="E19965">
        <f>TEST_DATA!E19965</f>
        <v/>
      </c>
    </row>
    <row r="19966">
      <c r="A19966">
        <f>TEST_DATA!A19966</f>
        <v/>
      </c>
      <c r="B19966">
        <f>TEST_DATA!B19966</f>
        <v/>
      </c>
      <c r="C19966">
        <f>TEST_DATA!C19966</f>
        <v/>
      </c>
      <c r="D19966">
        <f>TEST_DATA!D19966</f>
        <v/>
      </c>
      <c r="E19966">
        <f>TEST_DATA!E19966</f>
        <v/>
      </c>
    </row>
    <row r="19967">
      <c r="A19967">
        <f>TEST_DATA!A19967</f>
        <v/>
      </c>
      <c r="B19967">
        <f>TEST_DATA!B19967</f>
        <v/>
      </c>
      <c r="C19967">
        <f>TEST_DATA!C19967</f>
        <v/>
      </c>
      <c r="D19967">
        <f>TEST_DATA!D19967</f>
        <v/>
      </c>
      <c r="E19967">
        <f>TEST_DATA!E19967</f>
        <v/>
      </c>
    </row>
    <row r="19968">
      <c r="A19968">
        <f>TEST_DATA!A19968</f>
        <v/>
      </c>
      <c r="B19968">
        <f>TEST_DATA!B19968</f>
        <v/>
      </c>
      <c r="C19968">
        <f>TEST_DATA!C19968</f>
        <v/>
      </c>
      <c r="D19968">
        <f>TEST_DATA!D19968</f>
        <v/>
      </c>
      <c r="E19968">
        <f>TEST_DATA!E19968</f>
        <v/>
      </c>
    </row>
    <row r="19969">
      <c r="A19969">
        <f>TEST_DATA!A19969</f>
        <v/>
      </c>
      <c r="B19969">
        <f>TEST_DATA!B19969</f>
        <v/>
      </c>
      <c r="C19969">
        <f>TEST_DATA!C19969</f>
        <v/>
      </c>
      <c r="D19969">
        <f>TEST_DATA!D19969</f>
        <v/>
      </c>
      <c r="E19969">
        <f>TEST_DATA!E19969</f>
        <v/>
      </c>
    </row>
    <row r="19970">
      <c r="A19970">
        <f>TEST_DATA!A19970</f>
        <v/>
      </c>
      <c r="B19970">
        <f>TEST_DATA!B19970</f>
        <v/>
      </c>
      <c r="C19970">
        <f>TEST_DATA!C19970</f>
        <v/>
      </c>
      <c r="D19970">
        <f>TEST_DATA!D19970</f>
        <v/>
      </c>
      <c r="E19970">
        <f>TEST_DATA!E19970</f>
        <v/>
      </c>
    </row>
    <row r="19971">
      <c r="A19971">
        <f>TEST_DATA!A19971</f>
        <v/>
      </c>
      <c r="B19971">
        <f>TEST_DATA!B19971</f>
        <v/>
      </c>
      <c r="C19971">
        <f>TEST_DATA!C19971</f>
        <v/>
      </c>
      <c r="D19971">
        <f>TEST_DATA!D19971</f>
        <v/>
      </c>
      <c r="E19971">
        <f>TEST_DATA!E19971</f>
        <v/>
      </c>
    </row>
    <row r="19972">
      <c r="A19972">
        <f>TEST_DATA!A19972</f>
        <v/>
      </c>
      <c r="B19972">
        <f>TEST_DATA!B19972</f>
        <v/>
      </c>
      <c r="C19972">
        <f>TEST_DATA!C19972</f>
        <v/>
      </c>
      <c r="D19972">
        <f>TEST_DATA!D19972</f>
        <v/>
      </c>
      <c r="E19972">
        <f>TEST_DATA!E19972</f>
        <v/>
      </c>
    </row>
    <row r="19973">
      <c r="A19973">
        <f>TEST_DATA!A19973</f>
        <v/>
      </c>
      <c r="B19973">
        <f>TEST_DATA!B19973</f>
        <v/>
      </c>
      <c r="C19973">
        <f>TEST_DATA!C19973</f>
        <v/>
      </c>
      <c r="D19973">
        <f>TEST_DATA!D19973</f>
        <v/>
      </c>
      <c r="E19973">
        <f>TEST_DATA!E19973</f>
        <v/>
      </c>
    </row>
    <row r="19974">
      <c r="A19974">
        <f>TEST_DATA!A19974</f>
        <v/>
      </c>
      <c r="B19974">
        <f>TEST_DATA!B19974</f>
        <v/>
      </c>
      <c r="C19974">
        <f>TEST_DATA!C19974</f>
        <v/>
      </c>
      <c r="D19974">
        <f>TEST_DATA!D19974</f>
        <v/>
      </c>
      <c r="E19974">
        <f>TEST_DATA!E19974</f>
        <v/>
      </c>
    </row>
    <row r="19975">
      <c r="A19975">
        <f>TEST_DATA!A19975</f>
        <v/>
      </c>
      <c r="B19975">
        <f>TEST_DATA!B19975</f>
        <v/>
      </c>
      <c r="C19975">
        <f>TEST_DATA!C19975</f>
        <v/>
      </c>
      <c r="D19975">
        <f>TEST_DATA!D19975</f>
        <v/>
      </c>
      <c r="E19975">
        <f>TEST_DATA!E19975</f>
        <v/>
      </c>
    </row>
    <row r="19976">
      <c r="A19976">
        <f>TEST_DATA!A19976</f>
        <v/>
      </c>
      <c r="B19976">
        <f>TEST_DATA!B19976</f>
        <v/>
      </c>
      <c r="C19976">
        <f>TEST_DATA!C19976</f>
        <v/>
      </c>
      <c r="D19976">
        <f>TEST_DATA!D19976</f>
        <v/>
      </c>
      <c r="E19976">
        <f>TEST_DATA!E19976</f>
        <v/>
      </c>
    </row>
    <row r="19977">
      <c r="A19977">
        <f>TEST_DATA!A19977</f>
        <v/>
      </c>
      <c r="B19977">
        <f>TEST_DATA!B19977</f>
        <v/>
      </c>
      <c r="C19977">
        <f>TEST_DATA!C19977</f>
        <v/>
      </c>
      <c r="D19977">
        <f>TEST_DATA!D19977</f>
        <v/>
      </c>
      <c r="E19977">
        <f>TEST_DATA!E19977</f>
        <v/>
      </c>
    </row>
    <row r="19978">
      <c r="A19978">
        <f>TEST_DATA!A19978</f>
        <v/>
      </c>
      <c r="B19978">
        <f>TEST_DATA!B19978</f>
        <v/>
      </c>
      <c r="C19978">
        <f>TEST_DATA!C19978</f>
        <v/>
      </c>
      <c r="D19978">
        <f>TEST_DATA!D19978</f>
        <v/>
      </c>
      <c r="E19978">
        <f>TEST_DATA!E19978</f>
        <v/>
      </c>
    </row>
    <row r="19979">
      <c r="A19979">
        <f>TEST_DATA!A19979</f>
        <v/>
      </c>
      <c r="B19979">
        <f>TEST_DATA!B19979</f>
        <v/>
      </c>
      <c r="C19979">
        <f>TEST_DATA!C19979</f>
        <v/>
      </c>
      <c r="D19979">
        <f>TEST_DATA!D19979</f>
        <v/>
      </c>
      <c r="E19979">
        <f>TEST_DATA!E19979</f>
        <v/>
      </c>
    </row>
    <row r="19980">
      <c r="A19980">
        <f>TEST_DATA!A19980</f>
        <v/>
      </c>
      <c r="B19980">
        <f>TEST_DATA!B19980</f>
        <v/>
      </c>
      <c r="C19980">
        <f>TEST_DATA!C19980</f>
        <v/>
      </c>
      <c r="D19980">
        <f>TEST_DATA!D19980</f>
        <v/>
      </c>
      <c r="E19980">
        <f>TEST_DATA!E19980</f>
        <v/>
      </c>
    </row>
    <row r="19981">
      <c r="A19981">
        <f>TEST_DATA!A19981</f>
        <v/>
      </c>
      <c r="B19981">
        <f>TEST_DATA!B19981</f>
        <v/>
      </c>
      <c r="C19981">
        <f>TEST_DATA!C19981</f>
        <v/>
      </c>
      <c r="D19981">
        <f>TEST_DATA!D19981</f>
        <v/>
      </c>
      <c r="E19981">
        <f>TEST_DATA!E19981</f>
        <v/>
      </c>
    </row>
    <row r="19982">
      <c r="A19982">
        <f>TEST_DATA!A19982</f>
        <v/>
      </c>
      <c r="B19982">
        <f>TEST_DATA!B19982</f>
        <v/>
      </c>
      <c r="C19982">
        <f>TEST_DATA!C19982</f>
        <v/>
      </c>
      <c r="D19982">
        <f>TEST_DATA!D19982</f>
        <v/>
      </c>
      <c r="E19982">
        <f>TEST_DATA!E19982</f>
        <v/>
      </c>
    </row>
    <row r="19983">
      <c r="A19983">
        <f>TEST_DATA!A19983</f>
        <v/>
      </c>
      <c r="B19983">
        <f>TEST_DATA!B19983</f>
        <v/>
      </c>
      <c r="C19983">
        <f>TEST_DATA!C19983</f>
        <v/>
      </c>
      <c r="D19983">
        <f>TEST_DATA!D19983</f>
        <v/>
      </c>
      <c r="E19983">
        <f>TEST_DATA!E19983</f>
        <v/>
      </c>
    </row>
    <row r="19984">
      <c r="A19984">
        <f>TEST_DATA!A19984</f>
        <v/>
      </c>
      <c r="B19984">
        <f>TEST_DATA!B19984</f>
        <v/>
      </c>
      <c r="C19984">
        <f>TEST_DATA!C19984</f>
        <v/>
      </c>
      <c r="D19984">
        <f>TEST_DATA!D19984</f>
        <v/>
      </c>
      <c r="E19984">
        <f>TEST_DATA!E19984</f>
        <v/>
      </c>
    </row>
    <row r="19985">
      <c r="A19985">
        <f>TEST_DATA!A19985</f>
        <v/>
      </c>
      <c r="B19985">
        <f>TEST_DATA!B19985</f>
        <v/>
      </c>
      <c r="C19985">
        <f>TEST_DATA!C19985</f>
        <v/>
      </c>
      <c r="D19985">
        <f>TEST_DATA!D19985</f>
        <v/>
      </c>
      <c r="E19985">
        <f>TEST_DATA!E19985</f>
        <v/>
      </c>
    </row>
    <row r="19986">
      <c r="A19986">
        <f>TEST_DATA!A19986</f>
        <v/>
      </c>
      <c r="B19986">
        <f>TEST_DATA!B19986</f>
        <v/>
      </c>
      <c r="C19986">
        <f>TEST_DATA!C19986</f>
        <v/>
      </c>
      <c r="D19986">
        <f>TEST_DATA!D19986</f>
        <v/>
      </c>
      <c r="E19986">
        <f>TEST_DATA!E19986</f>
        <v/>
      </c>
    </row>
    <row r="19987">
      <c r="A19987">
        <f>TEST_DATA!A19987</f>
        <v/>
      </c>
      <c r="B19987">
        <f>TEST_DATA!B19987</f>
        <v/>
      </c>
      <c r="C19987">
        <f>TEST_DATA!C19987</f>
        <v/>
      </c>
      <c r="D19987">
        <f>TEST_DATA!D19987</f>
        <v/>
      </c>
      <c r="E19987">
        <f>TEST_DATA!E19987</f>
        <v/>
      </c>
    </row>
    <row r="19988">
      <c r="A19988">
        <f>TEST_DATA!A19988</f>
        <v/>
      </c>
      <c r="B19988">
        <f>TEST_DATA!B19988</f>
        <v/>
      </c>
      <c r="C19988">
        <f>TEST_DATA!C19988</f>
        <v/>
      </c>
      <c r="D19988">
        <f>TEST_DATA!D19988</f>
        <v/>
      </c>
      <c r="E19988">
        <f>TEST_DATA!E19988</f>
        <v/>
      </c>
    </row>
    <row r="19989">
      <c r="A19989">
        <f>TEST_DATA!A19989</f>
        <v/>
      </c>
      <c r="B19989">
        <f>TEST_DATA!B19989</f>
        <v/>
      </c>
      <c r="C19989">
        <f>TEST_DATA!C19989</f>
        <v/>
      </c>
      <c r="D19989">
        <f>TEST_DATA!D19989</f>
        <v/>
      </c>
      <c r="E19989">
        <f>TEST_DATA!E19989</f>
        <v/>
      </c>
    </row>
    <row r="19990">
      <c r="A19990">
        <f>TEST_DATA!A19990</f>
        <v/>
      </c>
      <c r="B19990">
        <f>TEST_DATA!B19990</f>
        <v/>
      </c>
      <c r="C19990">
        <f>TEST_DATA!C19990</f>
        <v/>
      </c>
      <c r="D19990">
        <f>TEST_DATA!D19990</f>
        <v/>
      </c>
      <c r="E19990">
        <f>TEST_DATA!E19990</f>
        <v/>
      </c>
    </row>
    <row r="19991">
      <c r="A19991">
        <f>TEST_DATA!A19991</f>
        <v/>
      </c>
      <c r="B19991">
        <f>TEST_DATA!B19991</f>
        <v/>
      </c>
      <c r="C19991">
        <f>TEST_DATA!C19991</f>
        <v/>
      </c>
      <c r="D19991">
        <f>TEST_DATA!D19991</f>
        <v/>
      </c>
      <c r="E19991">
        <f>TEST_DATA!E19991</f>
        <v/>
      </c>
    </row>
    <row r="19992">
      <c r="A19992">
        <f>TEST_DATA!A19992</f>
        <v/>
      </c>
      <c r="B19992">
        <f>TEST_DATA!B19992</f>
        <v/>
      </c>
      <c r="C19992">
        <f>TEST_DATA!C19992</f>
        <v/>
      </c>
      <c r="D19992">
        <f>TEST_DATA!D19992</f>
        <v/>
      </c>
      <c r="E19992">
        <f>TEST_DATA!E19992</f>
        <v/>
      </c>
    </row>
    <row r="19993">
      <c r="A19993">
        <f>TEST_DATA!A19993</f>
        <v/>
      </c>
      <c r="B19993">
        <f>TEST_DATA!B19993</f>
        <v/>
      </c>
      <c r="C19993">
        <f>TEST_DATA!C19993</f>
        <v/>
      </c>
      <c r="D19993">
        <f>TEST_DATA!D19993</f>
        <v/>
      </c>
      <c r="E19993">
        <f>TEST_DATA!E19993</f>
        <v/>
      </c>
    </row>
    <row r="19994">
      <c r="A19994">
        <f>TEST_DATA!A19994</f>
        <v/>
      </c>
      <c r="B19994">
        <f>TEST_DATA!B19994</f>
        <v/>
      </c>
      <c r="C19994">
        <f>TEST_DATA!C19994</f>
        <v/>
      </c>
      <c r="D19994">
        <f>TEST_DATA!D19994</f>
        <v/>
      </c>
      <c r="E19994">
        <f>TEST_DATA!E19994</f>
        <v/>
      </c>
    </row>
    <row r="19995">
      <c r="A19995">
        <f>TEST_DATA!A19995</f>
        <v/>
      </c>
      <c r="B19995">
        <f>TEST_DATA!B19995</f>
        <v/>
      </c>
      <c r="C19995">
        <f>TEST_DATA!C19995</f>
        <v/>
      </c>
      <c r="D19995">
        <f>TEST_DATA!D19995</f>
        <v/>
      </c>
      <c r="E19995">
        <f>TEST_DATA!E19995</f>
        <v/>
      </c>
    </row>
    <row r="19996">
      <c r="A19996">
        <f>TEST_DATA!A19996</f>
        <v/>
      </c>
      <c r="B19996">
        <f>TEST_DATA!B19996</f>
        <v/>
      </c>
      <c r="C19996">
        <f>TEST_DATA!C19996</f>
        <v/>
      </c>
      <c r="D19996">
        <f>TEST_DATA!D19996</f>
        <v/>
      </c>
      <c r="E19996">
        <f>TEST_DATA!E19996</f>
        <v/>
      </c>
    </row>
    <row r="19997">
      <c r="A19997">
        <f>TEST_DATA!A19997</f>
        <v/>
      </c>
      <c r="B19997">
        <f>TEST_DATA!B19997</f>
        <v/>
      </c>
      <c r="C19997">
        <f>TEST_DATA!C19997</f>
        <v/>
      </c>
      <c r="D19997">
        <f>TEST_DATA!D19997</f>
        <v/>
      </c>
      <c r="E19997">
        <f>TEST_DATA!E19997</f>
        <v/>
      </c>
    </row>
    <row r="19998">
      <c r="A19998">
        <f>TEST_DATA!A19998</f>
        <v/>
      </c>
      <c r="B19998">
        <f>TEST_DATA!B19998</f>
        <v/>
      </c>
      <c r="C19998">
        <f>TEST_DATA!C19998</f>
        <v/>
      </c>
      <c r="D19998">
        <f>TEST_DATA!D19998</f>
        <v/>
      </c>
      <c r="E19998">
        <f>TEST_DATA!E19998</f>
        <v/>
      </c>
    </row>
    <row r="19999">
      <c r="A19999">
        <f>TEST_DATA!A19999</f>
        <v/>
      </c>
      <c r="B19999">
        <f>TEST_DATA!B19999</f>
        <v/>
      </c>
      <c r="C19999">
        <f>TEST_DATA!C19999</f>
        <v/>
      </c>
      <c r="D19999">
        <f>TEST_DATA!D19999</f>
        <v/>
      </c>
      <c r="E19999">
        <f>TEST_DATA!E19999</f>
        <v/>
      </c>
    </row>
    <row r="20000">
      <c r="A20000">
        <f>TEST_DATA!A20000</f>
        <v/>
      </c>
      <c r="B20000">
        <f>TEST_DATA!B20000</f>
        <v/>
      </c>
      <c r="C20000">
        <f>TEST_DATA!C20000</f>
        <v/>
      </c>
      <c r="D20000">
        <f>TEST_DATA!D20000</f>
        <v/>
      </c>
      <c r="E20000">
        <f>TEST_DATA!E20000</f>
        <v/>
      </c>
    </row>
    <row r="20001">
      <c r="A20001">
        <f>TEST_DATA!A20001</f>
        <v/>
      </c>
      <c r="B20001">
        <f>TEST_DATA!B20001</f>
        <v/>
      </c>
      <c r="C20001">
        <f>TEST_DATA!C20001</f>
        <v/>
      </c>
      <c r="D20001">
        <f>TEST_DATA!D20001</f>
        <v/>
      </c>
      <c r="E20001">
        <f>TEST_DATA!E20001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</t>
        </is>
      </c>
      <c r="B1" s="1" t="inlineStr">
        <is>
          <t>Tax Period</t>
        </is>
      </c>
      <c r="C1" s="1" t="inlineStr">
        <is>
          <t>Filing Date</t>
        </is>
      </c>
      <c r="D1" s="1" t="inlineStr">
        <is>
          <t>Return Type</t>
        </is>
      </c>
      <c r="E1" s="1" t="inlineStr">
        <is>
          <t>Delay Days</t>
        </is>
      </c>
    </row>
    <row r="2">
      <c r="A2" t="inlineStr">
        <is>
          <t>27BBBBB00002Z5</t>
        </is>
      </c>
      <c r="B2" t="inlineStr">
        <is>
          <t>Dec-2018</t>
        </is>
      </c>
      <c r="C2" s="2" t="n">
        <v>43934</v>
      </c>
      <c r="D2" t="inlineStr">
        <is>
          <t>NON-NIL</t>
        </is>
      </c>
      <c r="E2" t="n">
        <v>105</v>
      </c>
    </row>
    <row r="3">
      <c r="A3" t="inlineStr">
        <is>
          <t>27BBBBB00003Z5</t>
        </is>
      </c>
      <c r="B3" t="inlineStr">
        <is>
          <t>Nov-2018</t>
        </is>
      </c>
      <c r="C3" s="2" t="n">
        <v>44289</v>
      </c>
      <c r="D3" t="inlineStr">
        <is>
          <t>NIL</t>
        </is>
      </c>
      <c r="E3" t="n">
        <v>1462</v>
      </c>
    </row>
    <row r="4">
      <c r="A4" t="inlineStr">
        <is>
          <t>27BBBBB00004Z5</t>
        </is>
      </c>
      <c r="B4" t="inlineStr">
        <is>
          <t>May-2020</t>
        </is>
      </c>
      <c r="C4" s="2" t="n">
        <v>44772</v>
      </c>
      <c r="D4" t="inlineStr">
        <is>
          <t>NIL</t>
        </is>
      </c>
      <c r="E4" t="n">
        <v>276</v>
      </c>
    </row>
    <row r="5">
      <c r="A5" t="inlineStr">
        <is>
          <t>27BBBBB00005Z5</t>
        </is>
      </c>
      <c r="B5" t="inlineStr">
        <is>
          <t>Mar-2023</t>
        </is>
      </c>
      <c r="C5" s="2" t="n">
        <v>45504</v>
      </c>
      <c r="D5" t="inlineStr">
        <is>
          <t>NON-NIL</t>
        </is>
      </c>
      <c r="E5" t="n">
        <v>2589</v>
      </c>
    </row>
    <row r="6">
      <c r="A6" t="inlineStr">
        <is>
          <t>27BBBBB00006Z5</t>
        </is>
      </c>
      <c r="B6" t="inlineStr">
        <is>
          <t>Apr-2018</t>
        </is>
      </c>
      <c r="C6" s="2" t="n">
        <v>43488</v>
      </c>
      <c r="D6" t="inlineStr">
        <is>
          <t>NIL</t>
        </is>
      </c>
      <c r="E6" t="n">
        <v>247</v>
      </c>
    </row>
    <row r="7">
      <c r="A7" t="inlineStr">
        <is>
          <t>27BBBBB00007Z5</t>
        </is>
      </c>
      <c r="B7" t="inlineStr">
        <is>
          <t>Nov-2017</t>
        </is>
      </c>
      <c r="C7" s="2" t="n">
        <v>44418</v>
      </c>
      <c r="D7" t="inlineStr">
        <is>
          <t>NON-NIL</t>
        </is>
      </c>
      <c r="E7" t="n">
        <v>1066</v>
      </c>
    </row>
    <row r="8">
      <c r="A8" t="inlineStr">
        <is>
          <t>27BBBBB00008Z5</t>
        </is>
      </c>
      <c r="B8" t="inlineStr">
        <is>
          <t>Mar-2021</t>
        </is>
      </c>
      <c r="C8" s="2" t="n">
        <v>45550</v>
      </c>
      <c r="D8" t="inlineStr">
        <is>
          <t>NON-NIL</t>
        </is>
      </c>
      <c r="E8" t="n">
        <v>696</v>
      </c>
    </row>
    <row r="9">
      <c r="A9" t="inlineStr">
        <is>
          <t>27BBBBB00009Z5</t>
        </is>
      </c>
      <c r="B9" t="inlineStr">
        <is>
          <t>Mar-2018</t>
        </is>
      </c>
      <c r="C9" s="2" t="n">
        <v>43545</v>
      </c>
      <c r="D9" t="inlineStr">
        <is>
          <t>NIL</t>
        </is>
      </c>
      <c r="E9" t="n">
        <v>1808</v>
      </c>
    </row>
    <row r="10">
      <c r="A10" t="inlineStr">
        <is>
          <t>27BBBBB00010Z5</t>
        </is>
      </c>
      <c r="B10" t="inlineStr">
        <is>
          <t>Apr-2020</t>
        </is>
      </c>
      <c r="C10" s="2" t="n">
        <v>44250</v>
      </c>
      <c r="D10" t="inlineStr">
        <is>
          <t>NON-NIL</t>
        </is>
      </c>
      <c r="E10" t="n">
        <v>1596</v>
      </c>
    </row>
    <row r="11">
      <c r="A11" t="inlineStr">
        <is>
          <t>27BBBBB00011Z5</t>
        </is>
      </c>
      <c r="B11" t="inlineStr">
        <is>
          <t>Aug-2018</t>
        </is>
      </c>
      <c r="C11" s="2" t="n">
        <v>43023</v>
      </c>
      <c r="D11" t="inlineStr">
        <is>
          <t>NON-NIL</t>
        </is>
      </c>
      <c r="E11" t="n">
        <v>1267</v>
      </c>
    </row>
    <row r="12">
      <c r="A12" t="inlineStr">
        <is>
          <t>27BBBBB00012Z5</t>
        </is>
      </c>
      <c r="B12" t="inlineStr">
        <is>
          <t>Dec-2018</t>
        </is>
      </c>
      <c r="C12" s="2" t="n">
        <v>44464</v>
      </c>
      <c r="D12" t="inlineStr">
        <is>
          <t>NON-NIL</t>
        </is>
      </c>
      <c r="E12" t="n">
        <v>1878</v>
      </c>
    </row>
    <row r="13">
      <c r="A13" t="inlineStr">
        <is>
          <t>27BBBBB00013Z5</t>
        </is>
      </c>
      <c r="B13" t="inlineStr">
        <is>
          <t>Oct-2017</t>
        </is>
      </c>
      <c r="C13" s="2" t="n">
        <v>43161</v>
      </c>
      <c r="D13" t="inlineStr">
        <is>
          <t>NIL</t>
        </is>
      </c>
      <c r="E13" t="n">
        <v>1667</v>
      </c>
    </row>
    <row r="14">
      <c r="A14" t="inlineStr">
        <is>
          <t>27BBBBB00014Z5</t>
        </is>
      </c>
      <c r="B14" t="inlineStr">
        <is>
          <t>Sep-2017</t>
        </is>
      </c>
      <c r="C14" s="2" t="n">
        <v>43994</v>
      </c>
      <c r="D14" t="inlineStr">
        <is>
          <t>NIL</t>
        </is>
      </c>
      <c r="E14" t="n">
        <v>2006</v>
      </c>
    </row>
    <row r="15">
      <c r="A15" t="inlineStr">
        <is>
          <t>27BBBBB00015Z5</t>
        </is>
      </c>
      <c r="B15" t="inlineStr">
        <is>
          <t>Jul-2020</t>
        </is>
      </c>
      <c r="C15" s="2" t="n">
        <v>44733</v>
      </c>
      <c r="D15" t="inlineStr">
        <is>
          <t>NIL</t>
        </is>
      </c>
      <c r="E15" t="n">
        <v>1211</v>
      </c>
    </row>
    <row r="16">
      <c r="A16" t="inlineStr">
        <is>
          <t>27BBBBB00016Z5</t>
        </is>
      </c>
      <c r="B16" t="inlineStr">
        <is>
          <t>Mar-2023</t>
        </is>
      </c>
      <c r="C16" s="2" t="n">
        <v>45290</v>
      </c>
      <c r="D16" t="inlineStr">
        <is>
          <t>NON-NIL</t>
        </is>
      </c>
      <c r="E16" t="n">
        <v>1180</v>
      </c>
    </row>
    <row r="17">
      <c r="A17" t="inlineStr">
        <is>
          <t>27BBBBB00017Z5</t>
        </is>
      </c>
      <c r="B17" t="inlineStr">
        <is>
          <t>Mar-2020</t>
        </is>
      </c>
      <c r="C17" s="2" t="n">
        <v>44686</v>
      </c>
      <c r="D17" t="inlineStr">
        <is>
          <t>NON-NIL</t>
        </is>
      </c>
      <c r="E17" t="n">
        <v>2121</v>
      </c>
    </row>
    <row r="18">
      <c r="A18" t="inlineStr">
        <is>
          <t>27BBBBB00018Z5</t>
        </is>
      </c>
      <c r="B18" t="inlineStr">
        <is>
          <t>Jan-2021</t>
        </is>
      </c>
      <c r="C18" s="2" t="n">
        <v>44660</v>
      </c>
      <c r="D18" t="inlineStr">
        <is>
          <t>NON-NIL</t>
        </is>
      </c>
      <c r="E18" t="n">
        <v>2868</v>
      </c>
    </row>
    <row r="19">
      <c r="A19" t="inlineStr">
        <is>
          <t>27BBBBB00019Z5</t>
        </is>
      </c>
      <c r="B19" t="inlineStr">
        <is>
          <t>Nov-2017</t>
        </is>
      </c>
      <c r="C19" s="2" t="n">
        <v>43864</v>
      </c>
      <c r="D19" t="inlineStr">
        <is>
          <t>NIL</t>
        </is>
      </c>
      <c r="E19" t="n">
        <v>2832</v>
      </c>
    </row>
    <row r="20">
      <c r="A20" t="inlineStr">
        <is>
          <t>27BBBBB00020Z5</t>
        </is>
      </c>
      <c r="B20" t="inlineStr">
        <is>
          <t>Feb-2018</t>
        </is>
      </c>
      <c r="C20" s="2" t="n">
        <v>44232</v>
      </c>
      <c r="D20" t="inlineStr">
        <is>
          <t>NIL</t>
        </is>
      </c>
      <c r="E20" t="n">
        <v>2623</v>
      </c>
    </row>
    <row r="21">
      <c r="A21" t="inlineStr">
        <is>
          <t>27BBBBB00021Z5</t>
        </is>
      </c>
      <c r="B21" t="inlineStr">
        <is>
          <t>Nov-2018</t>
        </is>
      </c>
      <c r="C21" s="2" t="n">
        <v>44561</v>
      </c>
      <c r="D21" t="inlineStr">
        <is>
          <t>NIL</t>
        </is>
      </c>
      <c r="E21" t="n">
        <v>1301</v>
      </c>
    </row>
    <row r="22">
      <c r="A22" t="inlineStr">
        <is>
          <t>27BBBBB00022Z5</t>
        </is>
      </c>
      <c r="B22" t="inlineStr">
        <is>
          <t>Aug-2018</t>
        </is>
      </c>
      <c r="C22" s="2" t="n">
        <v>43931</v>
      </c>
      <c r="D22" t="inlineStr">
        <is>
          <t>NON-NIL</t>
        </is>
      </c>
      <c r="E22" t="n">
        <v>1166</v>
      </c>
    </row>
    <row r="23">
      <c r="A23" t="inlineStr">
        <is>
          <t>27BBBBB00023Z5</t>
        </is>
      </c>
      <c r="B23" t="inlineStr">
        <is>
          <t>Oct-2017</t>
        </is>
      </c>
      <c r="C23" s="2" t="n">
        <v>43354</v>
      </c>
      <c r="D23" t="inlineStr">
        <is>
          <t>NON-NIL</t>
        </is>
      </c>
      <c r="E23" t="n">
        <v>1135</v>
      </c>
    </row>
    <row r="24">
      <c r="A24" t="inlineStr">
        <is>
          <t>27BBBBB00024Z5</t>
        </is>
      </c>
      <c r="B24" t="inlineStr">
        <is>
          <t>May-2020</t>
        </is>
      </c>
      <c r="C24" s="2" t="n">
        <v>44551</v>
      </c>
      <c r="D24" t="inlineStr">
        <is>
          <t>NON-NIL</t>
        </is>
      </c>
      <c r="E24" t="n">
        <v>2711</v>
      </c>
    </row>
    <row r="25">
      <c r="A25" t="inlineStr">
        <is>
          <t>27BBBBB00025Z5</t>
        </is>
      </c>
      <c r="B25" t="inlineStr">
        <is>
          <t>Sep-2018</t>
        </is>
      </c>
      <c r="C25" s="2" t="n">
        <v>44140</v>
      </c>
      <c r="D25" t="inlineStr">
        <is>
          <t>NON-NIL</t>
        </is>
      </c>
      <c r="E25" t="n">
        <v>2608</v>
      </c>
    </row>
    <row r="26">
      <c r="A26" t="inlineStr">
        <is>
          <t>27BBBBB00026Z5</t>
        </is>
      </c>
      <c r="B26" t="inlineStr">
        <is>
          <t>Dec-2022</t>
        </is>
      </c>
      <c r="C26" s="2" t="n">
        <v>43588</v>
      </c>
      <c r="D26" t="inlineStr">
        <is>
          <t>NON-NIL</t>
        </is>
      </c>
      <c r="E26" t="n">
        <v>2462</v>
      </c>
    </row>
    <row r="27">
      <c r="A27" t="inlineStr">
        <is>
          <t>27BBBBB00027Z5</t>
        </is>
      </c>
      <c r="B27" t="inlineStr">
        <is>
          <t>Dec-2022</t>
        </is>
      </c>
      <c r="C27" s="2" t="n">
        <v>43715</v>
      </c>
      <c r="D27" t="inlineStr">
        <is>
          <t>NON-NIL</t>
        </is>
      </c>
      <c r="E27" t="n">
        <v>1810</v>
      </c>
    </row>
    <row r="28">
      <c r="A28" t="inlineStr">
        <is>
          <t>27BBBBB00028Z5</t>
        </is>
      </c>
      <c r="B28" t="inlineStr">
        <is>
          <t>May-2020</t>
        </is>
      </c>
      <c r="C28" s="2" t="n">
        <v>43944</v>
      </c>
      <c r="D28" t="inlineStr">
        <is>
          <t>NON-NIL</t>
        </is>
      </c>
      <c r="E28" t="n">
        <v>2584</v>
      </c>
    </row>
    <row r="29">
      <c r="A29" t="inlineStr">
        <is>
          <t>27BBBBB00029Z5</t>
        </is>
      </c>
      <c r="B29" t="inlineStr">
        <is>
          <t>May-2020</t>
        </is>
      </c>
      <c r="C29" s="2" t="n">
        <v>44595</v>
      </c>
      <c r="D29" t="inlineStr">
        <is>
          <t>NON-NIL</t>
        </is>
      </c>
      <c r="E29" t="n">
        <v>862</v>
      </c>
    </row>
    <row r="30">
      <c r="A30" t="inlineStr">
        <is>
          <t>27BBBBB00030Z5</t>
        </is>
      </c>
      <c r="B30" t="inlineStr">
        <is>
          <t>Jul-2017</t>
        </is>
      </c>
      <c r="C30" s="2" t="n">
        <v>42957</v>
      </c>
      <c r="D30" t="inlineStr">
        <is>
          <t>NIL</t>
        </is>
      </c>
      <c r="E30" t="n">
        <v>1986</v>
      </c>
    </row>
    <row r="31">
      <c r="A31" t="inlineStr">
        <is>
          <t>27BBBBB00031Z5</t>
        </is>
      </c>
      <c r="B31" t="inlineStr">
        <is>
          <t>Jan-2018</t>
        </is>
      </c>
      <c r="C31" s="2" t="n">
        <v>43129</v>
      </c>
      <c r="D31" t="inlineStr">
        <is>
          <t>NON-NIL</t>
        </is>
      </c>
      <c r="E31" t="n">
        <v>427</v>
      </c>
    </row>
    <row r="32">
      <c r="A32" t="inlineStr">
        <is>
          <t>27BBBBB00032Z5</t>
        </is>
      </c>
      <c r="B32" t="inlineStr">
        <is>
          <t>Nov-2017</t>
        </is>
      </c>
      <c r="C32" s="2" t="n">
        <v>43881</v>
      </c>
      <c r="D32" t="inlineStr">
        <is>
          <t>NIL</t>
        </is>
      </c>
      <c r="E32" t="n">
        <v>1439</v>
      </c>
    </row>
    <row r="33">
      <c r="A33" t="inlineStr">
        <is>
          <t>27BBBBB00033Z5</t>
        </is>
      </c>
      <c r="B33" t="inlineStr">
        <is>
          <t>Mar-2020</t>
        </is>
      </c>
      <c r="C33" s="2" t="n">
        <v>44190</v>
      </c>
      <c r="D33" t="inlineStr">
        <is>
          <t>NIL</t>
        </is>
      </c>
      <c r="E33" t="n">
        <v>2614</v>
      </c>
    </row>
    <row r="34">
      <c r="A34" t="inlineStr">
        <is>
          <t>27BBBBB00034Z5</t>
        </is>
      </c>
      <c r="B34" t="inlineStr">
        <is>
          <t>Dec-2017</t>
        </is>
      </c>
      <c r="C34" s="2" t="n">
        <v>44093</v>
      </c>
      <c r="D34" t="inlineStr">
        <is>
          <t>NON-NIL</t>
        </is>
      </c>
      <c r="E34" t="n">
        <v>1564</v>
      </c>
    </row>
    <row r="35">
      <c r="A35" t="inlineStr">
        <is>
          <t>27BBBBB00035Z5</t>
        </is>
      </c>
      <c r="B35" t="inlineStr">
        <is>
          <t>Sep-2018</t>
        </is>
      </c>
      <c r="C35" s="2" t="n">
        <v>44331</v>
      </c>
      <c r="D35" t="inlineStr">
        <is>
          <t>NIL</t>
        </is>
      </c>
      <c r="E35" t="n">
        <v>1058</v>
      </c>
    </row>
    <row r="36">
      <c r="A36" t="inlineStr">
        <is>
          <t>27BBBBB00036Z5</t>
        </is>
      </c>
      <c r="B36" t="inlineStr">
        <is>
          <t>Aug-2017</t>
        </is>
      </c>
      <c r="C36" s="2" t="n">
        <v>43668</v>
      </c>
      <c r="D36" t="inlineStr">
        <is>
          <t>NON-NIL</t>
        </is>
      </c>
      <c r="E36" t="n">
        <v>1400</v>
      </c>
    </row>
    <row r="37">
      <c r="A37" t="inlineStr">
        <is>
          <t>27BBBBB00037Z5</t>
        </is>
      </c>
      <c r="B37" t="inlineStr">
        <is>
          <t>Dec-2022</t>
        </is>
      </c>
      <c r="C37" s="2" t="n">
        <v>44131</v>
      </c>
      <c r="D37" t="inlineStr">
        <is>
          <t>NON-NIL</t>
        </is>
      </c>
      <c r="E37" t="n">
        <v>428</v>
      </c>
    </row>
    <row r="38">
      <c r="A38" t="inlineStr">
        <is>
          <t>27BBBBB00038Z5</t>
        </is>
      </c>
      <c r="B38" t="inlineStr">
        <is>
          <t>Oct-2018</t>
        </is>
      </c>
      <c r="C38" s="2" t="n">
        <v>43877</v>
      </c>
      <c r="D38" t="inlineStr">
        <is>
          <t>NON-NIL</t>
        </is>
      </c>
      <c r="E38" t="n">
        <v>2599</v>
      </c>
    </row>
    <row r="39">
      <c r="A39" t="inlineStr">
        <is>
          <t>27BBBBB00039Z5</t>
        </is>
      </c>
      <c r="B39" t="inlineStr">
        <is>
          <t>Dec-2018</t>
        </is>
      </c>
      <c r="C39" s="2" t="n">
        <v>43644</v>
      </c>
      <c r="D39" t="inlineStr">
        <is>
          <t>NON-NIL</t>
        </is>
      </c>
      <c r="E39" t="n">
        <v>1313</v>
      </c>
    </row>
    <row r="40">
      <c r="A40" t="inlineStr">
        <is>
          <t>27BBBBB00040Z5</t>
        </is>
      </c>
      <c r="B40" t="inlineStr">
        <is>
          <t>Nov-2017</t>
        </is>
      </c>
      <c r="C40" s="2" t="n">
        <v>44248</v>
      </c>
      <c r="D40" t="inlineStr">
        <is>
          <t>NON-NIL</t>
        </is>
      </c>
      <c r="E40" t="n">
        <v>1261</v>
      </c>
    </row>
    <row r="41">
      <c r="A41" t="inlineStr">
        <is>
          <t>27BBBBB00041Z5</t>
        </is>
      </c>
      <c r="B41" t="inlineStr">
        <is>
          <t>Nov-2017</t>
        </is>
      </c>
      <c r="C41" s="2" t="n">
        <v>44472</v>
      </c>
      <c r="D41" t="inlineStr">
        <is>
          <t>NON-NIL</t>
        </is>
      </c>
      <c r="E41" t="n">
        <v>884</v>
      </c>
    </row>
    <row r="42">
      <c r="A42" t="inlineStr">
        <is>
          <t>27BBBBB00042Z5</t>
        </is>
      </c>
      <c r="B42" t="inlineStr">
        <is>
          <t>Sep-2018</t>
        </is>
      </c>
      <c r="C42" s="2" t="n">
        <v>43547</v>
      </c>
      <c r="D42" t="inlineStr">
        <is>
          <t>NIL</t>
        </is>
      </c>
      <c r="E42" t="n">
        <v>2069</v>
      </c>
    </row>
    <row r="43">
      <c r="A43" t="inlineStr">
        <is>
          <t>27BBBBB00043Z5</t>
        </is>
      </c>
      <c r="B43" t="inlineStr">
        <is>
          <t>Jan-2021</t>
        </is>
      </c>
      <c r="C43" s="2" t="n">
        <v>44019</v>
      </c>
      <c r="D43" t="inlineStr">
        <is>
          <t>NIL</t>
        </is>
      </c>
      <c r="E43" t="n">
        <v>96</v>
      </c>
    </row>
    <row r="44">
      <c r="A44" t="inlineStr">
        <is>
          <t>27BBBBB00044Z5</t>
        </is>
      </c>
      <c r="B44" t="inlineStr">
        <is>
          <t>Dec-2017</t>
        </is>
      </c>
      <c r="C44" s="2" t="n">
        <v>43177</v>
      </c>
      <c r="D44" t="inlineStr">
        <is>
          <t>NIL</t>
        </is>
      </c>
      <c r="E44" t="n">
        <v>1127</v>
      </c>
    </row>
    <row r="45">
      <c r="A45" t="inlineStr">
        <is>
          <t>27BBBBB00045Z5</t>
        </is>
      </c>
      <c r="B45" t="inlineStr">
        <is>
          <t>Sep-2017</t>
        </is>
      </c>
      <c r="C45" s="2" t="n">
        <v>42924</v>
      </c>
      <c r="D45" t="inlineStr">
        <is>
          <t>NON-NIL</t>
        </is>
      </c>
      <c r="E45" t="n">
        <v>1198</v>
      </c>
    </row>
    <row r="46">
      <c r="A46" t="inlineStr">
        <is>
          <t>27BBBBB00046Z5</t>
        </is>
      </c>
      <c r="B46" t="inlineStr">
        <is>
          <t>Mar-2020</t>
        </is>
      </c>
      <c r="C46" s="2" t="n">
        <v>44662</v>
      </c>
      <c r="D46" t="inlineStr">
        <is>
          <t>NIL</t>
        </is>
      </c>
      <c r="E46" t="n">
        <v>1874</v>
      </c>
    </row>
    <row r="47">
      <c r="A47" t="inlineStr">
        <is>
          <t>27BBBBB00047Z5</t>
        </is>
      </c>
      <c r="B47" t="inlineStr">
        <is>
          <t>Dec-2017</t>
        </is>
      </c>
      <c r="C47" s="2" t="n">
        <v>43687</v>
      </c>
      <c r="D47" t="inlineStr">
        <is>
          <t>NON-NIL</t>
        </is>
      </c>
      <c r="E47" t="n">
        <v>640</v>
      </c>
    </row>
    <row r="48">
      <c r="A48" t="inlineStr">
        <is>
          <t>27BBBBB00048Z5</t>
        </is>
      </c>
      <c r="B48" t="inlineStr">
        <is>
          <t>Jul-2020</t>
        </is>
      </c>
      <c r="C48" s="2" t="n">
        <v>43957</v>
      </c>
      <c r="D48" t="inlineStr">
        <is>
          <t>NIL</t>
        </is>
      </c>
      <c r="E48" t="n">
        <v>2966</v>
      </c>
    </row>
    <row r="49">
      <c r="A49" t="inlineStr">
        <is>
          <t>27BBBBB00049Z5</t>
        </is>
      </c>
      <c r="B49" t="inlineStr">
        <is>
          <t>Mar-2018</t>
        </is>
      </c>
      <c r="C49" s="2" t="n">
        <v>43968</v>
      </c>
      <c r="D49" t="inlineStr">
        <is>
          <t>NON-NIL</t>
        </is>
      </c>
      <c r="E49" t="n">
        <v>1717</v>
      </c>
    </row>
    <row r="50">
      <c r="A50" t="inlineStr">
        <is>
          <t>27BBBBB00050Z5</t>
        </is>
      </c>
      <c r="B50" t="inlineStr">
        <is>
          <t>Aug-2017</t>
        </is>
      </c>
      <c r="C50" s="2" t="n">
        <v>44192</v>
      </c>
      <c r="D50" t="inlineStr">
        <is>
          <t>NON-NIL</t>
        </is>
      </c>
      <c r="E50" t="n">
        <v>1848</v>
      </c>
    </row>
    <row r="51">
      <c r="A51" t="inlineStr">
        <is>
          <t>27BBBBB00051Z5</t>
        </is>
      </c>
      <c r="B51" t="inlineStr">
        <is>
          <t>Feb-2018</t>
        </is>
      </c>
      <c r="C51" s="2" t="n">
        <v>43816</v>
      </c>
      <c r="D51" t="inlineStr">
        <is>
          <t>NIL</t>
        </is>
      </c>
      <c r="E51" t="n">
        <v>1531</v>
      </c>
    </row>
    <row r="52">
      <c r="A52" t="inlineStr">
        <is>
          <t>27BBBBB00052Z5</t>
        </is>
      </c>
      <c r="B52" t="inlineStr">
        <is>
          <t>Aug-2017</t>
        </is>
      </c>
      <c r="C52" s="2" t="n">
        <v>43029</v>
      </c>
      <c r="D52" t="inlineStr">
        <is>
          <t>NIL</t>
        </is>
      </c>
      <c r="E52" t="n">
        <v>658</v>
      </c>
    </row>
    <row r="53">
      <c r="A53" t="inlineStr">
        <is>
          <t>27BBBBB00053Z5</t>
        </is>
      </c>
      <c r="B53" t="inlineStr">
        <is>
          <t>Oct-2017</t>
        </is>
      </c>
      <c r="C53" s="2" t="n">
        <v>44421</v>
      </c>
      <c r="D53" t="inlineStr">
        <is>
          <t>NON-NIL</t>
        </is>
      </c>
      <c r="E53" t="n">
        <v>1596</v>
      </c>
    </row>
    <row r="54">
      <c r="A54" t="inlineStr">
        <is>
          <t>27BBBBB00054Z5</t>
        </is>
      </c>
      <c r="B54" t="inlineStr">
        <is>
          <t>Jan-2021</t>
        </is>
      </c>
      <c r="C54" s="2" t="n">
        <v>44265</v>
      </c>
      <c r="D54" t="inlineStr">
        <is>
          <t>NIL</t>
        </is>
      </c>
      <c r="E54" t="n">
        <v>242</v>
      </c>
    </row>
    <row r="55">
      <c r="A55" t="inlineStr">
        <is>
          <t>27BBBBB00055Z5</t>
        </is>
      </c>
      <c r="B55" t="inlineStr">
        <is>
          <t>Jun-2018</t>
        </is>
      </c>
      <c r="C55" s="2" t="n">
        <v>44417</v>
      </c>
      <c r="D55" t="inlineStr">
        <is>
          <t>NIL</t>
        </is>
      </c>
      <c r="E55" t="n">
        <v>1730</v>
      </c>
    </row>
    <row r="56">
      <c r="A56" t="inlineStr">
        <is>
          <t>27BBBBB00056Z5</t>
        </is>
      </c>
      <c r="B56" t="inlineStr">
        <is>
          <t>Jan-2021</t>
        </is>
      </c>
      <c r="C56" s="2" t="n">
        <v>44888</v>
      </c>
      <c r="D56" t="inlineStr">
        <is>
          <t>NIL</t>
        </is>
      </c>
      <c r="E56" t="n">
        <v>1625</v>
      </c>
    </row>
    <row r="57">
      <c r="A57" t="inlineStr">
        <is>
          <t>27BBBBB00057Z5</t>
        </is>
      </c>
      <c r="B57" t="inlineStr">
        <is>
          <t>Mar-2020</t>
        </is>
      </c>
      <c r="C57" s="2" t="n">
        <v>44626</v>
      </c>
      <c r="D57" t="inlineStr">
        <is>
          <t>NIL</t>
        </is>
      </c>
      <c r="E57" t="n">
        <v>2756</v>
      </c>
    </row>
    <row r="58">
      <c r="A58" t="inlineStr">
        <is>
          <t>27BBBBB00058Z5</t>
        </is>
      </c>
      <c r="B58" t="inlineStr">
        <is>
          <t>Jan-2021</t>
        </is>
      </c>
      <c r="C58" s="2" t="n">
        <v>44841</v>
      </c>
      <c r="D58" t="inlineStr">
        <is>
          <t>NON-NIL</t>
        </is>
      </c>
      <c r="E58" t="n">
        <v>1116</v>
      </c>
    </row>
    <row r="59">
      <c r="A59" t="inlineStr">
        <is>
          <t>27BBBBB00059Z5</t>
        </is>
      </c>
      <c r="B59" t="inlineStr">
        <is>
          <t>Jun-2020</t>
        </is>
      </c>
      <c r="C59" s="2" t="n">
        <v>44550</v>
      </c>
      <c r="D59" t="inlineStr">
        <is>
          <t>NIL</t>
        </is>
      </c>
      <c r="E59" t="n">
        <v>890</v>
      </c>
    </row>
    <row r="60">
      <c r="A60" t="inlineStr">
        <is>
          <t>27BBBBB00060Z5</t>
        </is>
      </c>
      <c r="B60" t="inlineStr">
        <is>
          <t>Jul-2018</t>
        </is>
      </c>
      <c r="C60" s="2" t="n">
        <v>43429</v>
      </c>
      <c r="D60" t="inlineStr">
        <is>
          <t>NON-NIL</t>
        </is>
      </c>
      <c r="E60" t="n">
        <v>295</v>
      </c>
    </row>
    <row r="61">
      <c r="A61" t="inlineStr">
        <is>
          <t>27BBBBB00061Z5</t>
        </is>
      </c>
      <c r="B61" t="inlineStr">
        <is>
          <t>Oct-2017</t>
        </is>
      </c>
      <c r="C61" s="2" t="n">
        <v>44438</v>
      </c>
      <c r="D61" t="inlineStr">
        <is>
          <t>NIL</t>
        </is>
      </c>
      <c r="E61" t="n">
        <v>136</v>
      </c>
    </row>
    <row r="62">
      <c r="A62" t="inlineStr">
        <is>
          <t>27BBBBB00062Z5</t>
        </is>
      </c>
      <c r="B62" t="inlineStr">
        <is>
          <t>Dec-2022</t>
        </is>
      </c>
      <c r="C62" s="2" t="n">
        <v>44164</v>
      </c>
      <c r="D62" t="inlineStr">
        <is>
          <t>NIL</t>
        </is>
      </c>
      <c r="E62" t="n">
        <v>2202</v>
      </c>
    </row>
    <row r="63">
      <c r="A63" t="inlineStr">
        <is>
          <t>27BBBBB00063Z5</t>
        </is>
      </c>
      <c r="B63" t="inlineStr">
        <is>
          <t>Mar-2020</t>
        </is>
      </c>
      <c r="C63" s="2" t="n">
        <v>44599</v>
      </c>
      <c r="D63" t="inlineStr">
        <is>
          <t>NON-NIL</t>
        </is>
      </c>
      <c r="E63" t="n">
        <v>1654</v>
      </c>
    </row>
    <row r="64">
      <c r="A64" t="inlineStr">
        <is>
          <t>27BBBBB00064Z5</t>
        </is>
      </c>
      <c r="B64" t="inlineStr">
        <is>
          <t>Jan-2021</t>
        </is>
      </c>
      <c r="C64" s="2" t="n">
        <v>43605</v>
      </c>
      <c r="D64" t="inlineStr">
        <is>
          <t>NON-NIL</t>
        </is>
      </c>
      <c r="E64" t="n">
        <v>239</v>
      </c>
    </row>
    <row r="65">
      <c r="A65" t="inlineStr">
        <is>
          <t>27BBBBB00065Z5</t>
        </is>
      </c>
      <c r="B65" t="inlineStr">
        <is>
          <t>Dec-2022</t>
        </is>
      </c>
      <c r="C65" s="2" t="n">
        <v>45153</v>
      </c>
      <c r="D65" t="inlineStr">
        <is>
          <t>NIL</t>
        </is>
      </c>
      <c r="E65" t="n">
        <v>1003</v>
      </c>
    </row>
    <row r="66">
      <c r="A66" t="inlineStr">
        <is>
          <t>27BBBBB00066Z5</t>
        </is>
      </c>
      <c r="B66" t="inlineStr">
        <is>
          <t>Dec-2017</t>
        </is>
      </c>
      <c r="C66" s="2" t="n">
        <v>43114</v>
      </c>
      <c r="D66" t="inlineStr">
        <is>
          <t>NON-NIL</t>
        </is>
      </c>
      <c r="E66" t="n">
        <v>490</v>
      </c>
    </row>
    <row r="67">
      <c r="A67" t="inlineStr">
        <is>
          <t>27BBBBB00067Z5</t>
        </is>
      </c>
      <c r="B67" t="inlineStr">
        <is>
          <t>Jul-2020</t>
        </is>
      </c>
      <c r="C67" s="2" t="n">
        <v>44785</v>
      </c>
      <c r="D67" t="inlineStr">
        <is>
          <t>NON-NIL</t>
        </is>
      </c>
      <c r="E67" t="n">
        <v>510</v>
      </c>
    </row>
    <row r="68">
      <c r="A68" t="inlineStr">
        <is>
          <t>27BBBBB00068Z5</t>
        </is>
      </c>
      <c r="B68" t="inlineStr">
        <is>
          <t>Apr-2020</t>
        </is>
      </c>
      <c r="C68" s="2" t="n">
        <v>44601</v>
      </c>
      <c r="D68" t="inlineStr">
        <is>
          <t>NON-NIL</t>
        </is>
      </c>
      <c r="E68" t="n">
        <v>2417</v>
      </c>
    </row>
    <row r="69">
      <c r="A69" t="inlineStr">
        <is>
          <t>27BBBBB00069Z5</t>
        </is>
      </c>
      <c r="B69" t="inlineStr">
        <is>
          <t>Dec-2022</t>
        </is>
      </c>
      <c r="C69" s="2" t="n">
        <v>44198</v>
      </c>
      <c r="D69" t="inlineStr">
        <is>
          <t>NON-NIL</t>
        </is>
      </c>
      <c r="E69" t="n">
        <v>112</v>
      </c>
    </row>
    <row r="70">
      <c r="A70" t="inlineStr">
        <is>
          <t>27BBBBB00070Z5</t>
        </is>
      </c>
      <c r="B70" t="inlineStr">
        <is>
          <t>May-2018</t>
        </is>
      </c>
      <c r="C70" s="2" t="n">
        <v>43988</v>
      </c>
      <c r="D70" t="inlineStr">
        <is>
          <t>NON-NIL</t>
        </is>
      </c>
      <c r="E70" t="n">
        <v>1448</v>
      </c>
    </row>
    <row r="71">
      <c r="A71" t="inlineStr">
        <is>
          <t>27BBBBB00071Z5</t>
        </is>
      </c>
      <c r="B71" t="inlineStr">
        <is>
          <t>Feb-2018</t>
        </is>
      </c>
      <c r="C71" s="2" t="n">
        <v>43082</v>
      </c>
      <c r="D71" t="inlineStr">
        <is>
          <t>NON-NIL</t>
        </is>
      </c>
      <c r="E71" t="n">
        <v>2780</v>
      </c>
    </row>
    <row r="72">
      <c r="A72" t="inlineStr">
        <is>
          <t>27BBBBB00072Z5</t>
        </is>
      </c>
      <c r="B72" t="inlineStr">
        <is>
          <t>Dec-2022</t>
        </is>
      </c>
      <c r="C72" s="2" t="n">
        <v>44333</v>
      </c>
      <c r="D72" t="inlineStr">
        <is>
          <t>NON-NIL</t>
        </is>
      </c>
      <c r="E72" t="n">
        <v>729</v>
      </c>
    </row>
    <row r="73">
      <c r="A73" t="inlineStr">
        <is>
          <t>27BBBBB00073Z5</t>
        </is>
      </c>
      <c r="B73" t="inlineStr">
        <is>
          <t>Dec-2017</t>
        </is>
      </c>
      <c r="C73" s="2" t="n">
        <v>42984</v>
      </c>
      <c r="D73" t="inlineStr">
        <is>
          <t>NON-NIL</t>
        </is>
      </c>
      <c r="E73" t="n">
        <v>191</v>
      </c>
    </row>
    <row r="74">
      <c r="A74" t="inlineStr">
        <is>
          <t>27BBBBB00074Z5</t>
        </is>
      </c>
      <c r="B74" t="inlineStr">
        <is>
          <t>Apr-2018</t>
        </is>
      </c>
      <c r="C74" s="2" t="n">
        <v>43361</v>
      </c>
      <c r="D74" t="inlineStr">
        <is>
          <t>NIL</t>
        </is>
      </c>
      <c r="E74" t="n">
        <v>2805</v>
      </c>
    </row>
    <row r="75">
      <c r="A75" t="inlineStr">
        <is>
          <t>27BBBBB00075Z5</t>
        </is>
      </c>
      <c r="B75" t="inlineStr">
        <is>
          <t>Aug-2017</t>
        </is>
      </c>
      <c r="C75" s="2" t="n">
        <v>43849</v>
      </c>
      <c r="D75" t="inlineStr">
        <is>
          <t>NON-NIL</t>
        </is>
      </c>
      <c r="E75" t="n">
        <v>689</v>
      </c>
    </row>
    <row r="76">
      <c r="A76" t="inlineStr">
        <is>
          <t>27BBBBB00076Z5</t>
        </is>
      </c>
      <c r="B76" t="inlineStr">
        <is>
          <t>Dec-2017</t>
        </is>
      </c>
      <c r="C76" s="2" t="n">
        <v>43210</v>
      </c>
      <c r="D76" t="inlineStr">
        <is>
          <t>NON-NIL</t>
        </is>
      </c>
      <c r="E76" t="n">
        <v>1039</v>
      </c>
    </row>
    <row r="77">
      <c r="A77" t="inlineStr">
        <is>
          <t>27BBBBB00077Z5</t>
        </is>
      </c>
      <c r="B77" t="inlineStr">
        <is>
          <t>Apr-2020</t>
        </is>
      </c>
      <c r="C77" s="2" t="n">
        <v>44511</v>
      </c>
      <c r="D77" t="inlineStr">
        <is>
          <t>NIL</t>
        </is>
      </c>
      <c r="E77" t="n">
        <v>1639</v>
      </c>
    </row>
    <row r="78">
      <c r="A78" t="inlineStr">
        <is>
          <t>27BBBBB00078Z5</t>
        </is>
      </c>
      <c r="B78" t="inlineStr">
        <is>
          <t>Oct-2018</t>
        </is>
      </c>
      <c r="C78" s="2" t="n">
        <v>43517</v>
      </c>
      <c r="D78" t="inlineStr">
        <is>
          <t>NIL</t>
        </is>
      </c>
      <c r="E78" t="n">
        <v>2214</v>
      </c>
    </row>
    <row r="79">
      <c r="A79" t="inlineStr">
        <is>
          <t>27BBBBB00079Z5</t>
        </is>
      </c>
      <c r="B79" t="inlineStr">
        <is>
          <t>Jan-2021</t>
        </is>
      </c>
      <c r="C79" s="2" t="n">
        <v>45094</v>
      </c>
      <c r="D79" t="inlineStr">
        <is>
          <t>NIL</t>
        </is>
      </c>
      <c r="E79" t="n">
        <v>336</v>
      </c>
    </row>
    <row r="80">
      <c r="A80" t="inlineStr">
        <is>
          <t>27BBBBB00080Z5</t>
        </is>
      </c>
      <c r="B80" t="inlineStr">
        <is>
          <t>Oct-2018</t>
        </is>
      </c>
      <c r="C80" s="2" t="n">
        <v>44501</v>
      </c>
      <c r="D80" t="inlineStr">
        <is>
          <t>NON-NIL</t>
        </is>
      </c>
      <c r="E80" t="n">
        <v>2830</v>
      </c>
    </row>
    <row r="81">
      <c r="A81" t="inlineStr">
        <is>
          <t>27BBBBB00081Z5</t>
        </is>
      </c>
      <c r="B81" t="inlineStr">
        <is>
          <t>May-2020</t>
        </is>
      </c>
      <c r="C81" s="2" t="n">
        <v>44795</v>
      </c>
      <c r="D81" t="inlineStr">
        <is>
          <t>NON-NIL</t>
        </is>
      </c>
      <c r="E81" t="n">
        <v>874</v>
      </c>
    </row>
    <row r="82">
      <c r="A82" t="inlineStr">
        <is>
          <t>27BBBBB00082Z5</t>
        </is>
      </c>
      <c r="B82" t="inlineStr">
        <is>
          <t>Nov-2018</t>
        </is>
      </c>
      <c r="C82" s="2" t="n">
        <v>44479</v>
      </c>
      <c r="D82" t="inlineStr">
        <is>
          <t>NIL</t>
        </is>
      </c>
      <c r="E82" t="n">
        <v>483</v>
      </c>
    </row>
    <row r="83">
      <c r="A83" t="inlineStr">
        <is>
          <t>27BBBBB00083Z5</t>
        </is>
      </c>
      <c r="B83" t="inlineStr">
        <is>
          <t>Oct-2017</t>
        </is>
      </c>
      <c r="C83" s="2" t="n">
        <v>43047</v>
      </c>
      <c r="D83" t="inlineStr">
        <is>
          <t>NIL</t>
        </is>
      </c>
      <c r="E83" t="n">
        <v>135</v>
      </c>
    </row>
    <row r="84">
      <c r="A84" t="inlineStr">
        <is>
          <t>27BBBBB00084Z5</t>
        </is>
      </c>
      <c r="B84" t="inlineStr">
        <is>
          <t>May-2020</t>
        </is>
      </c>
      <c r="C84" s="2" t="n">
        <v>44547</v>
      </c>
      <c r="D84" t="inlineStr">
        <is>
          <t>NIL</t>
        </is>
      </c>
      <c r="E84" t="n">
        <v>2814</v>
      </c>
    </row>
    <row r="85">
      <c r="A85" t="inlineStr">
        <is>
          <t>27BBBBB00085Z5</t>
        </is>
      </c>
      <c r="B85" t="inlineStr">
        <is>
          <t>Mar-2020</t>
        </is>
      </c>
      <c r="C85" s="2" t="n">
        <v>44139</v>
      </c>
      <c r="D85" t="inlineStr">
        <is>
          <t>NIL</t>
        </is>
      </c>
      <c r="E85" t="n">
        <v>2169</v>
      </c>
    </row>
    <row r="86">
      <c r="A86" t="inlineStr">
        <is>
          <t>27BBBBB00086Z5</t>
        </is>
      </c>
      <c r="B86" t="inlineStr">
        <is>
          <t>Feb-2018</t>
        </is>
      </c>
      <c r="C86" s="2" t="n">
        <v>43662</v>
      </c>
      <c r="D86" t="inlineStr">
        <is>
          <t>NIL</t>
        </is>
      </c>
      <c r="E86" t="n">
        <v>605</v>
      </c>
    </row>
    <row r="87">
      <c r="A87" t="inlineStr">
        <is>
          <t>27BBBBB00087Z5</t>
        </is>
      </c>
      <c r="B87" t="inlineStr">
        <is>
          <t>Jan-2018</t>
        </is>
      </c>
      <c r="C87" s="2" t="n">
        <v>43870</v>
      </c>
      <c r="D87" t="inlineStr">
        <is>
          <t>NON-NIL</t>
        </is>
      </c>
      <c r="E87" t="n">
        <v>1373</v>
      </c>
    </row>
    <row r="88">
      <c r="A88" t="inlineStr">
        <is>
          <t>27BBBBB00088Z5</t>
        </is>
      </c>
      <c r="B88" t="inlineStr">
        <is>
          <t>Aug-2017</t>
        </is>
      </c>
      <c r="C88" s="2" t="n">
        <v>43469</v>
      </c>
      <c r="D88" t="inlineStr">
        <is>
          <t>NON-NIL</t>
        </is>
      </c>
      <c r="E88" t="n">
        <v>2147</v>
      </c>
    </row>
    <row r="89">
      <c r="A89" t="inlineStr">
        <is>
          <t>27BBBBB00089Z5</t>
        </is>
      </c>
      <c r="B89" t="inlineStr">
        <is>
          <t>Dec-2022</t>
        </is>
      </c>
      <c r="C89" s="2" t="n">
        <v>43588</v>
      </c>
      <c r="D89" t="inlineStr">
        <is>
          <t>NON-NIL</t>
        </is>
      </c>
      <c r="E89" t="n">
        <v>2674</v>
      </c>
    </row>
    <row r="90">
      <c r="A90" t="inlineStr">
        <is>
          <t>27BBBBB00090Z5</t>
        </is>
      </c>
      <c r="B90" t="inlineStr">
        <is>
          <t>Feb-2018</t>
        </is>
      </c>
      <c r="C90" s="2" t="n">
        <v>44205</v>
      </c>
      <c r="D90" t="inlineStr">
        <is>
          <t>NIL</t>
        </is>
      </c>
      <c r="E90" t="n">
        <v>1081</v>
      </c>
    </row>
    <row r="91">
      <c r="A91" t="inlineStr">
        <is>
          <t>27BBBBB00091Z5</t>
        </is>
      </c>
      <c r="B91" t="inlineStr">
        <is>
          <t>Mar-2018</t>
        </is>
      </c>
      <c r="C91" s="2" t="n">
        <v>44043</v>
      </c>
      <c r="D91" t="inlineStr">
        <is>
          <t>NON-NIL</t>
        </is>
      </c>
      <c r="E91" t="n">
        <v>2248</v>
      </c>
    </row>
    <row r="92">
      <c r="A92" t="inlineStr">
        <is>
          <t>27BBBBB00092Z5</t>
        </is>
      </c>
      <c r="B92" t="inlineStr">
        <is>
          <t>Mar-2018</t>
        </is>
      </c>
      <c r="C92" s="2" t="n">
        <v>43756</v>
      </c>
      <c r="D92" t="inlineStr">
        <is>
          <t>NIL</t>
        </is>
      </c>
      <c r="E92" t="n">
        <v>1141</v>
      </c>
    </row>
    <row r="93">
      <c r="A93" t="inlineStr">
        <is>
          <t>27BBBBB00093Z5</t>
        </is>
      </c>
      <c r="B93" t="inlineStr">
        <is>
          <t>Dec-2024</t>
        </is>
      </c>
      <c r="C93" s="2" t="n">
        <v>43915</v>
      </c>
      <c r="D93" t="inlineStr">
        <is>
          <t>NIL</t>
        </is>
      </c>
      <c r="E93" t="n">
        <v>1712</v>
      </c>
    </row>
    <row r="94">
      <c r="A94" t="inlineStr">
        <is>
          <t>27BBBBB00094Z5</t>
        </is>
      </c>
      <c r="B94" t="inlineStr">
        <is>
          <t>Oct-2017</t>
        </is>
      </c>
      <c r="C94" s="2" t="n">
        <v>43728</v>
      </c>
      <c r="D94" t="inlineStr">
        <is>
          <t>NON-NIL</t>
        </is>
      </c>
      <c r="E94" t="n">
        <v>1330</v>
      </c>
    </row>
    <row r="95">
      <c r="A95" t="inlineStr">
        <is>
          <t>27BBBBB00095Z5</t>
        </is>
      </c>
      <c r="B95" t="inlineStr">
        <is>
          <t>May-2020</t>
        </is>
      </c>
      <c r="C95" s="2" t="n">
        <v>44467</v>
      </c>
      <c r="D95" t="inlineStr">
        <is>
          <t>NIL</t>
        </is>
      </c>
      <c r="E95" t="n">
        <v>1913</v>
      </c>
    </row>
    <row r="96">
      <c r="A96" t="inlineStr">
        <is>
          <t>27BBBBB00096Z5</t>
        </is>
      </c>
      <c r="B96" t="inlineStr">
        <is>
          <t>Mar-2020</t>
        </is>
      </c>
      <c r="C96" s="2" t="n">
        <v>44338</v>
      </c>
      <c r="D96" t="inlineStr">
        <is>
          <t>NIL</t>
        </is>
      </c>
      <c r="E96" t="n">
        <v>2697</v>
      </c>
    </row>
    <row r="97">
      <c r="A97" t="inlineStr">
        <is>
          <t>27BBBBB00097Z5</t>
        </is>
      </c>
      <c r="B97" t="inlineStr">
        <is>
          <t>Mar-2020</t>
        </is>
      </c>
      <c r="C97" s="2" t="n">
        <v>44791</v>
      </c>
      <c r="D97" t="inlineStr">
        <is>
          <t>NIL</t>
        </is>
      </c>
      <c r="E97" t="n">
        <v>541</v>
      </c>
    </row>
    <row r="98">
      <c r="A98" t="inlineStr">
        <is>
          <t>27BBBBB00098Z5</t>
        </is>
      </c>
      <c r="B98" t="inlineStr">
        <is>
          <t>Oct-2017</t>
        </is>
      </c>
      <c r="C98" s="2" t="n">
        <v>43526</v>
      </c>
      <c r="D98" t="inlineStr">
        <is>
          <t>NON-NIL</t>
        </is>
      </c>
      <c r="E98" t="n">
        <v>317</v>
      </c>
    </row>
    <row r="99">
      <c r="A99" t="inlineStr">
        <is>
          <t>27BBBBB00099Z5</t>
        </is>
      </c>
      <c r="B99" t="inlineStr">
        <is>
          <t>Jan-2021</t>
        </is>
      </c>
      <c r="C99" s="2" t="n">
        <v>45045</v>
      </c>
      <c r="D99" t="inlineStr">
        <is>
          <t>NIL</t>
        </is>
      </c>
      <c r="E99" t="n">
        <v>1277</v>
      </c>
    </row>
    <row r="100">
      <c r="A100" t="inlineStr">
        <is>
          <t>27BBBBB00100Z5</t>
        </is>
      </c>
      <c r="B100" t="inlineStr">
        <is>
          <t>Oct-2018</t>
        </is>
      </c>
      <c r="C100" s="2" t="n">
        <v>44287</v>
      </c>
      <c r="D100" t="inlineStr">
        <is>
          <t>NON-NIL</t>
        </is>
      </c>
      <c r="E100" t="n">
        <v>298</v>
      </c>
    </row>
    <row r="101">
      <c r="A101" t="inlineStr">
        <is>
          <t>27BBBBB00101Z5</t>
        </is>
      </c>
      <c r="B101" t="inlineStr">
        <is>
          <t>Aug-2017</t>
        </is>
      </c>
      <c r="C101" s="2" t="n">
        <v>43221</v>
      </c>
      <c r="D101" t="inlineStr">
        <is>
          <t>NON-NIL</t>
        </is>
      </c>
      <c r="E101" t="n">
        <v>2711</v>
      </c>
    </row>
    <row r="102">
      <c r="A102" t="inlineStr">
        <is>
          <t>27BBBBB00102Z5</t>
        </is>
      </c>
      <c r="B102" t="inlineStr">
        <is>
          <t>Mar-2021</t>
        </is>
      </c>
      <c r="C102" s="2" t="n">
        <v>44968</v>
      </c>
      <c r="D102" t="inlineStr">
        <is>
          <t>NON-NIL</t>
        </is>
      </c>
      <c r="E102" t="n">
        <v>1203</v>
      </c>
    </row>
    <row r="103">
      <c r="A103" t="inlineStr">
        <is>
          <t>27BBBBB00103Z5</t>
        </is>
      </c>
      <c r="B103" t="inlineStr">
        <is>
          <t>Sep-2017</t>
        </is>
      </c>
      <c r="C103" s="2" t="n">
        <v>44119</v>
      </c>
      <c r="D103" t="inlineStr">
        <is>
          <t>NIL</t>
        </is>
      </c>
      <c r="E103" t="n">
        <v>1086</v>
      </c>
    </row>
    <row r="104">
      <c r="A104" t="inlineStr">
        <is>
          <t>27BBBBB00104Z5</t>
        </is>
      </c>
      <c r="B104" t="inlineStr">
        <is>
          <t>Jan-2018</t>
        </is>
      </c>
      <c r="C104" s="2" t="n">
        <v>43919</v>
      </c>
      <c r="D104" t="inlineStr">
        <is>
          <t>NON-NIL</t>
        </is>
      </c>
      <c r="E104" t="n">
        <v>135</v>
      </c>
    </row>
    <row r="105">
      <c r="A105" t="inlineStr">
        <is>
          <t>27BBBBB00105Z5</t>
        </is>
      </c>
      <c r="B105" t="inlineStr">
        <is>
          <t>Dec-2017</t>
        </is>
      </c>
      <c r="C105" s="2" t="n">
        <v>44182</v>
      </c>
      <c r="D105" t="inlineStr">
        <is>
          <t>NON-NIL</t>
        </is>
      </c>
      <c r="E105" t="n">
        <v>1877</v>
      </c>
    </row>
    <row r="106">
      <c r="A106" t="inlineStr">
        <is>
          <t>27BBBBB00106Z5</t>
        </is>
      </c>
      <c r="B106" t="inlineStr">
        <is>
          <t>Aug-2017</t>
        </is>
      </c>
      <c r="C106" s="2" t="n">
        <v>43593</v>
      </c>
      <c r="D106" t="inlineStr">
        <is>
          <t>NIL</t>
        </is>
      </c>
      <c r="E106" t="n">
        <v>842</v>
      </c>
    </row>
    <row r="107">
      <c r="A107" t="inlineStr">
        <is>
          <t>27BBBBB00107Z5</t>
        </is>
      </c>
      <c r="B107" t="inlineStr">
        <is>
          <t>May-2018</t>
        </is>
      </c>
      <c r="C107" s="2" t="n">
        <v>43763</v>
      </c>
      <c r="D107" t="inlineStr">
        <is>
          <t>NIL</t>
        </is>
      </c>
      <c r="E107" t="n">
        <v>973</v>
      </c>
    </row>
    <row r="108">
      <c r="A108" t="inlineStr">
        <is>
          <t>27BBBBB00108Z5</t>
        </is>
      </c>
      <c r="B108" t="inlineStr">
        <is>
          <t>Sep-2018</t>
        </is>
      </c>
      <c r="C108" s="2" t="n">
        <v>43299</v>
      </c>
      <c r="D108" t="inlineStr">
        <is>
          <t>NON-NIL</t>
        </is>
      </c>
      <c r="E108" t="n">
        <v>1626</v>
      </c>
    </row>
    <row r="109">
      <c r="A109" t="inlineStr">
        <is>
          <t>27BBBBB00109Z5</t>
        </is>
      </c>
      <c r="B109" t="inlineStr">
        <is>
          <t>Jun-2020</t>
        </is>
      </c>
      <c r="C109" s="2" t="n">
        <v>44380</v>
      </c>
      <c r="D109" t="inlineStr">
        <is>
          <t>NON-NIL</t>
        </is>
      </c>
      <c r="E109" t="n">
        <v>1627</v>
      </c>
    </row>
    <row r="110">
      <c r="A110" t="inlineStr">
        <is>
          <t>27BBBBB00110Z5</t>
        </is>
      </c>
      <c r="B110" t="inlineStr">
        <is>
          <t>Jul-2017</t>
        </is>
      </c>
      <c r="C110" s="2" t="n">
        <v>43519</v>
      </c>
      <c r="D110" t="inlineStr">
        <is>
          <t>NON-NIL</t>
        </is>
      </c>
      <c r="E110" t="n">
        <v>353</v>
      </c>
    </row>
    <row r="111">
      <c r="A111" t="inlineStr">
        <is>
          <t>27BBBBB00111Z5</t>
        </is>
      </c>
      <c r="B111" t="inlineStr">
        <is>
          <t>Sep-2017</t>
        </is>
      </c>
      <c r="C111" s="2" t="n">
        <v>44115</v>
      </c>
      <c r="D111" t="inlineStr">
        <is>
          <t>NIL</t>
        </is>
      </c>
      <c r="E111" t="n">
        <v>1657</v>
      </c>
    </row>
    <row r="112">
      <c r="A112" t="inlineStr">
        <is>
          <t>27BBBBB00112Z5</t>
        </is>
      </c>
      <c r="B112" t="inlineStr">
        <is>
          <t>May-2018</t>
        </is>
      </c>
      <c r="C112" s="2" t="n">
        <v>44458</v>
      </c>
      <c r="D112" t="inlineStr">
        <is>
          <t>NON-NIL</t>
        </is>
      </c>
      <c r="E112" t="n">
        <v>2998</v>
      </c>
    </row>
    <row r="113">
      <c r="A113" t="inlineStr">
        <is>
          <t>27BBBBB00113Z5</t>
        </is>
      </c>
      <c r="B113" t="inlineStr">
        <is>
          <t>Feb-2018</t>
        </is>
      </c>
      <c r="C113" s="2" t="n">
        <v>43277</v>
      </c>
      <c r="D113" t="inlineStr">
        <is>
          <t>NIL</t>
        </is>
      </c>
      <c r="E113" t="n">
        <v>2757</v>
      </c>
    </row>
    <row r="114">
      <c r="A114" t="inlineStr">
        <is>
          <t>27BBBBB00114Z5</t>
        </is>
      </c>
      <c r="B114" t="inlineStr">
        <is>
          <t>Jul-2018</t>
        </is>
      </c>
      <c r="C114" s="2" t="n">
        <v>43910</v>
      </c>
      <c r="D114" t="inlineStr">
        <is>
          <t>NIL</t>
        </is>
      </c>
      <c r="E114" t="n">
        <v>472</v>
      </c>
    </row>
    <row r="115">
      <c r="A115" t="inlineStr">
        <is>
          <t>27BBBBB00115Z5</t>
        </is>
      </c>
      <c r="B115" t="inlineStr">
        <is>
          <t>Sep-2017</t>
        </is>
      </c>
      <c r="C115" s="2" t="n">
        <v>43923</v>
      </c>
      <c r="D115" t="inlineStr">
        <is>
          <t>NON-NIL</t>
        </is>
      </c>
      <c r="E115" t="n">
        <v>467</v>
      </c>
    </row>
    <row r="116">
      <c r="A116" t="inlineStr">
        <is>
          <t>27BBBBB00116Z5</t>
        </is>
      </c>
      <c r="B116" t="inlineStr">
        <is>
          <t>Dec-2017</t>
        </is>
      </c>
      <c r="C116" s="2" t="n">
        <v>43628</v>
      </c>
      <c r="D116" t="inlineStr">
        <is>
          <t>NIL</t>
        </is>
      </c>
      <c r="E116" t="n">
        <v>2791</v>
      </c>
    </row>
    <row r="117">
      <c r="A117" t="inlineStr">
        <is>
          <t>27BBBBB00117Z5</t>
        </is>
      </c>
      <c r="B117" t="inlineStr">
        <is>
          <t>Sep-2018</t>
        </is>
      </c>
      <c r="C117" s="2" t="n">
        <v>43282</v>
      </c>
      <c r="D117" t="inlineStr">
        <is>
          <t>NIL</t>
        </is>
      </c>
      <c r="E117" t="n">
        <v>1660</v>
      </c>
    </row>
    <row r="118">
      <c r="A118" t="inlineStr">
        <is>
          <t>27BBBBB00118Z5</t>
        </is>
      </c>
      <c r="B118" t="inlineStr">
        <is>
          <t>Apr-2020</t>
        </is>
      </c>
      <c r="C118" s="2" t="n">
        <v>44427</v>
      </c>
      <c r="D118" t="inlineStr">
        <is>
          <t>NIL</t>
        </is>
      </c>
      <c r="E118" t="n">
        <v>597</v>
      </c>
    </row>
    <row r="119">
      <c r="A119" t="inlineStr">
        <is>
          <t>27BBBBB00119Z5</t>
        </is>
      </c>
      <c r="B119" t="inlineStr">
        <is>
          <t>Nov-2017</t>
        </is>
      </c>
      <c r="C119" s="2" t="n">
        <v>44159</v>
      </c>
      <c r="D119" t="inlineStr">
        <is>
          <t>NIL</t>
        </is>
      </c>
      <c r="E119" t="n">
        <v>1426</v>
      </c>
    </row>
    <row r="120">
      <c r="A120" t="inlineStr">
        <is>
          <t>27BBBBB00120Z5</t>
        </is>
      </c>
      <c r="B120" t="inlineStr">
        <is>
          <t>Feb-2018</t>
        </is>
      </c>
      <c r="C120" s="2" t="n">
        <v>44035</v>
      </c>
      <c r="D120" t="inlineStr">
        <is>
          <t>NON-NIL</t>
        </is>
      </c>
      <c r="E120" t="n">
        <v>289</v>
      </c>
    </row>
    <row r="121">
      <c r="A121" t="inlineStr">
        <is>
          <t>27BBBBB00121Z5</t>
        </is>
      </c>
      <c r="B121" t="inlineStr">
        <is>
          <t>Dec-2018</t>
        </is>
      </c>
      <c r="C121" s="2" t="n">
        <v>43824</v>
      </c>
      <c r="D121" t="inlineStr">
        <is>
          <t>NON-NIL</t>
        </is>
      </c>
      <c r="E121" t="n">
        <v>1959</v>
      </c>
    </row>
    <row r="122">
      <c r="A122" t="inlineStr">
        <is>
          <t>27BBBBB00122Z5</t>
        </is>
      </c>
      <c r="B122" t="inlineStr">
        <is>
          <t>Jul-2018</t>
        </is>
      </c>
      <c r="C122" s="2" t="n">
        <v>43094</v>
      </c>
      <c r="D122" t="inlineStr">
        <is>
          <t>NON-NIL</t>
        </is>
      </c>
      <c r="E122" t="n">
        <v>1659</v>
      </c>
    </row>
    <row r="123">
      <c r="A123" t="inlineStr">
        <is>
          <t>27BBBBB00123Z5</t>
        </is>
      </c>
      <c r="B123" t="inlineStr">
        <is>
          <t>Jun-2018</t>
        </is>
      </c>
      <c r="C123" s="2" t="n">
        <v>44308</v>
      </c>
      <c r="D123" t="inlineStr">
        <is>
          <t>NON-NIL</t>
        </is>
      </c>
      <c r="E123" t="n">
        <v>662</v>
      </c>
    </row>
    <row r="124">
      <c r="A124" t="inlineStr">
        <is>
          <t>27BBBBB00124Z5</t>
        </is>
      </c>
      <c r="B124" t="inlineStr">
        <is>
          <t>Dec-2017</t>
        </is>
      </c>
      <c r="C124" s="2" t="n">
        <v>44288</v>
      </c>
      <c r="D124" t="inlineStr">
        <is>
          <t>NON-NIL</t>
        </is>
      </c>
      <c r="E124" t="n">
        <v>1491</v>
      </c>
    </row>
    <row r="125">
      <c r="A125" t="inlineStr">
        <is>
          <t>27BBBBB00125Z5</t>
        </is>
      </c>
      <c r="B125" t="inlineStr">
        <is>
          <t>Mar-2023</t>
        </is>
      </c>
      <c r="C125" s="2" t="n">
        <v>45599</v>
      </c>
      <c r="D125" t="inlineStr">
        <is>
          <t>NIL</t>
        </is>
      </c>
      <c r="E125" t="n">
        <v>1785</v>
      </c>
    </row>
    <row r="126">
      <c r="A126" t="inlineStr">
        <is>
          <t>27BBBBB00126Z5</t>
        </is>
      </c>
      <c r="B126" t="inlineStr">
        <is>
          <t>Aug-2018</t>
        </is>
      </c>
      <c r="C126" s="2" t="n">
        <v>42945</v>
      </c>
      <c r="D126" t="inlineStr">
        <is>
          <t>NON-NIL</t>
        </is>
      </c>
      <c r="E126" t="n">
        <v>2397</v>
      </c>
    </row>
    <row r="127">
      <c r="A127" t="inlineStr">
        <is>
          <t>27BBBBB00127Z5</t>
        </is>
      </c>
      <c r="B127" t="inlineStr">
        <is>
          <t>Dec-2018</t>
        </is>
      </c>
      <c r="C127" s="2" t="n">
        <v>43359</v>
      </c>
      <c r="D127" t="inlineStr">
        <is>
          <t>NIL</t>
        </is>
      </c>
      <c r="E127" t="n">
        <v>2715</v>
      </c>
    </row>
    <row r="128">
      <c r="A128" t="inlineStr">
        <is>
          <t>27BBBBB00128Z5</t>
        </is>
      </c>
      <c r="B128" t="inlineStr">
        <is>
          <t>Apr-2018</t>
        </is>
      </c>
      <c r="C128" s="2" t="n">
        <v>43014</v>
      </c>
      <c r="D128" t="inlineStr">
        <is>
          <t>NIL</t>
        </is>
      </c>
      <c r="E128" t="n">
        <v>796</v>
      </c>
    </row>
    <row r="129">
      <c r="A129" t="inlineStr">
        <is>
          <t>27BBBBB00129Z5</t>
        </is>
      </c>
      <c r="B129" t="inlineStr">
        <is>
          <t>Oct-2018</t>
        </is>
      </c>
      <c r="C129" s="2" t="n">
        <v>43964</v>
      </c>
      <c r="D129" t="inlineStr">
        <is>
          <t>NIL</t>
        </is>
      </c>
      <c r="E129" t="n">
        <v>1607</v>
      </c>
    </row>
    <row r="130">
      <c r="A130" t="inlineStr">
        <is>
          <t>27BBBBB00130Z5</t>
        </is>
      </c>
      <c r="B130" t="inlineStr">
        <is>
          <t>Dec-2024</t>
        </is>
      </c>
      <c r="C130" s="2" t="n">
        <v>43926</v>
      </c>
      <c r="D130" t="inlineStr">
        <is>
          <t>NON-NIL</t>
        </is>
      </c>
      <c r="E130" t="n">
        <v>2598</v>
      </c>
    </row>
    <row r="131">
      <c r="A131" t="inlineStr">
        <is>
          <t>27BBBBB00131Z5</t>
        </is>
      </c>
      <c r="B131" t="inlineStr">
        <is>
          <t>Mar-2020</t>
        </is>
      </c>
      <c r="C131" s="2" t="n">
        <v>44204</v>
      </c>
      <c r="D131" t="inlineStr">
        <is>
          <t>NON-NIL</t>
        </is>
      </c>
      <c r="E131" t="n">
        <v>1698</v>
      </c>
    </row>
    <row r="132">
      <c r="A132" t="inlineStr">
        <is>
          <t>27BBBBB00132Z5</t>
        </is>
      </c>
      <c r="B132" t="inlineStr">
        <is>
          <t>Nov-2018</t>
        </is>
      </c>
      <c r="C132" s="2" t="n">
        <v>43748</v>
      </c>
      <c r="D132" t="inlineStr">
        <is>
          <t>NON-NIL</t>
        </is>
      </c>
      <c r="E132" t="n">
        <v>2639</v>
      </c>
    </row>
    <row r="133">
      <c r="A133" t="inlineStr">
        <is>
          <t>27BBBBB00133Z5</t>
        </is>
      </c>
      <c r="B133" t="inlineStr">
        <is>
          <t>Nov-2018</t>
        </is>
      </c>
      <c r="C133" s="2" t="n">
        <v>42965</v>
      </c>
      <c r="D133" t="inlineStr">
        <is>
          <t>NIL</t>
        </is>
      </c>
      <c r="E133" t="n">
        <v>1971</v>
      </c>
    </row>
    <row r="134">
      <c r="A134" t="inlineStr">
        <is>
          <t>27BBBBB00134Z5</t>
        </is>
      </c>
      <c r="B134" t="inlineStr">
        <is>
          <t>Mar-2020</t>
        </is>
      </c>
      <c r="C134" s="2" t="n">
        <v>44587</v>
      </c>
      <c r="D134" t="inlineStr">
        <is>
          <t>NON-NIL</t>
        </is>
      </c>
      <c r="E134" t="n">
        <v>1375</v>
      </c>
    </row>
    <row r="135">
      <c r="A135" t="inlineStr">
        <is>
          <t>27BBBBB00135Z5</t>
        </is>
      </c>
      <c r="B135" t="inlineStr">
        <is>
          <t>Feb-2018</t>
        </is>
      </c>
      <c r="C135" s="2" t="n">
        <v>43021</v>
      </c>
      <c r="D135" t="inlineStr">
        <is>
          <t>NIL</t>
        </is>
      </c>
      <c r="E135" t="n">
        <v>202</v>
      </c>
    </row>
    <row r="136">
      <c r="A136" t="inlineStr">
        <is>
          <t>27BBBBB00136Z5</t>
        </is>
      </c>
      <c r="B136" t="inlineStr">
        <is>
          <t>Dec-2017</t>
        </is>
      </c>
      <c r="C136" s="2" t="n">
        <v>43210</v>
      </c>
      <c r="D136" t="inlineStr">
        <is>
          <t>NON-NIL</t>
        </is>
      </c>
      <c r="E136" t="n">
        <v>1493</v>
      </c>
    </row>
    <row r="137">
      <c r="A137" t="inlineStr">
        <is>
          <t>27BBBBB00137Z5</t>
        </is>
      </c>
      <c r="B137" t="inlineStr">
        <is>
          <t>Jul-2017</t>
        </is>
      </c>
      <c r="C137" s="2" t="n">
        <v>44178</v>
      </c>
      <c r="D137" t="inlineStr">
        <is>
          <t>NIL</t>
        </is>
      </c>
      <c r="E137" t="n">
        <v>2834</v>
      </c>
    </row>
    <row r="138">
      <c r="A138" t="inlineStr">
        <is>
          <t>27BBBBB00138Z5</t>
        </is>
      </c>
      <c r="B138" t="inlineStr">
        <is>
          <t>Aug-2018</t>
        </is>
      </c>
      <c r="C138" s="2" t="n">
        <v>44266</v>
      </c>
      <c r="D138" t="inlineStr">
        <is>
          <t>NIL</t>
        </is>
      </c>
      <c r="E138" t="n">
        <v>1150</v>
      </c>
    </row>
    <row r="139">
      <c r="A139" t="inlineStr">
        <is>
          <t>27BBBBB00139Z5</t>
        </is>
      </c>
      <c r="B139" t="inlineStr">
        <is>
          <t>Oct-2018</t>
        </is>
      </c>
      <c r="C139" s="2" t="n">
        <v>42928</v>
      </c>
      <c r="D139" t="inlineStr">
        <is>
          <t>NIL</t>
        </is>
      </c>
      <c r="E139" t="n">
        <v>2295</v>
      </c>
    </row>
    <row r="140">
      <c r="A140" t="inlineStr">
        <is>
          <t>27BBBBB00140Z5</t>
        </is>
      </c>
      <c r="B140" t="inlineStr">
        <is>
          <t>Aug-2017</t>
        </is>
      </c>
      <c r="C140" s="2" t="n">
        <v>43397</v>
      </c>
      <c r="D140" t="inlineStr">
        <is>
          <t>NIL</t>
        </is>
      </c>
      <c r="E140" t="n">
        <v>1853</v>
      </c>
    </row>
    <row r="141">
      <c r="A141" t="inlineStr">
        <is>
          <t>27BBBBB00141Z5</t>
        </is>
      </c>
      <c r="B141" t="inlineStr">
        <is>
          <t>Dec-2022</t>
        </is>
      </c>
      <c r="C141" s="2" t="n">
        <v>43822</v>
      </c>
      <c r="D141" t="inlineStr">
        <is>
          <t>NON-NIL</t>
        </is>
      </c>
      <c r="E141" t="n">
        <v>581</v>
      </c>
    </row>
    <row r="142">
      <c r="A142" t="inlineStr">
        <is>
          <t>27BBBBB00142Z5</t>
        </is>
      </c>
      <c r="B142" t="inlineStr">
        <is>
          <t>Jun-2020</t>
        </is>
      </c>
      <c r="C142" s="2" t="n">
        <v>44059</v>
      </c>
      <c r="D142" t="inlineStr">
        <is>
          <t>NIL</t>
        </is>
      </c>
      <c r="E142" t="n">
        <v>1934</v>
      </c>
    </row>
    <row r="143">
      <c r="A143" t="inlineStr">
        <is>
          <t>27BBBBB00143Z5</t>
        </is>
      </c>
      <c r="B143" t="inlineStr">
        <is>
          <t>Apr-2018</t>
        </is>
      </c>
      <c r="C143" s="2" t="n">
        <v>43837</v>
      </c>
      <c r="D143" t="inlineStr">
        <is>
          <t>NIL</t>
        </is>
      </c>
      <c r="E143" t="n">
        <v>2043</v>
      </c>
    </row>
    <row r="144">
      <c r="A144" t="inlineStr">
        <is>
          <t>27BBBBB00144Z5</t>
        </is>
      </c>
      <c r="B144" t="inlineStr">
        <is>
          <t>Mar-2023</t>
        </is>
      </c>
      <c r="C144" s="2" t="n">
        <v>45795</v>
      </c>
      <c r="D144" t="inlineStr">
        <is>
          <t>NIL</t>
        </is>
      </c>
      <c r="E144" t="n">
        <v>2370</v>
      </c>
    </row>
    <row r="145">
      <c r="A145" t="inlineStr">
        <is>
          <t>27BBBBB00145Z5</t>
        </is>
      </c>
      <c r="B145" t="inlineStr">
        <is>
          <t>Dec-2017</t>
        </is>
      </c>
      <c r="C145" s="2" t="n">
        <v>44209</v>
      </c>
      <c r="D145" t="inlineStr">
        <is>
          <t>NIL</t>
        </is>
      </c>
      <c r="E145" t="n">
        <v>2806</v>
      </c>
    </row>
    <row r="146">
      <c r="A146" t="inlineStr">
        <is>
          <t>27BBBBB00146Z5</t>
        </is>
      </c>
      <c r="B146" t="inlineStr">
        <is>
          <t>Aug-2018</t>
        </is>
      </c>
      <c r="C146" s="2" t="n">
        <v>44399</v>
      </c>
      <c r="D146" t="inlineStr">
        <is>
          <t>NON-NIL</t>
        </is>
      </c>
      <c r="E146" t="n">
        <v>2337</v>
      </c>
    </row>
    <row r="147">
      <c r="A147" t="inlineStr">
        <is>
          <t>27BBBBB00147Z5</t>
        </is>
      </c>
      <c r="B147" t="inlineStr">
        <is>
          <t>May-2018</t>
        </is>
      </c>
      <c r="C147" s="2" t="n">
        <v>43449</v>
      </c>
      <c r="D147" t="inlineStr">
        <is>
          <t>NIL</t>
        </is>
      </c>
      <c r="E147" t="n">
        <v>2042</v>
      </c>
    </row>
    <row r="148">
      <c r="A148" t="inlineStr">
        <is>
          <t>27BBBBB00148Z5</t>
        </is>
      </c>
      <c r="B148" t="inlineStr">
        <is>
          <t>Mar-2023</t>
        </is>
      </c>
      <c r="C148" s="2" t="n">
        <v>45172</v>
      </c>
      <c r="D148" t="inlineStr">
        <is>
          <t>NIL</t>
        </is>
      </c>
      <c r="E148" t="n">
        <v>2501</v>
      </c>
    </row>
    <row r="149">
      <c r="A149" t="inlineStr">
        <is>
          <t>27BBBBB00149Z5</t>
        </is>
      </c>
      <c r="B149" t="inlineStr">
        <is>
          <t>Feb-2018</t>
        </is>
      </c>
      <c r="C149" s="2" t="n">
        <v>44409</v>
      </c>
      <c r="D149" t="inlineStr">
        <is>
          <t>NIL</t>
        </is>
      </c>
      <c r="E149" t="n">
        <v>1618</v>
      </c>
    </row>
    <row r="150">
      <c r="A150" t="inlineStr">
        <is>
          <t>27BBBBB00150Z5</t>
        </is>
      </c>
      <c r="B150" t="inlineStr">
        <is>
          <t>Jan-2021</t>
        </is>
      </c>
      <c r="C150" s="2" t="n">
        <v>45817</v>
      </c>
      <c r="D150" t="inlineStr">
        <is>
          <t>NIL</t>
        </is>
      </c>
      <c r="E150" t="n">
        <v>578</v>
      </c>
    </row>
    <row r="151">
      <c r="A151" t="inlineStr">
        <is>
          <t>27BBBBB00151Z5</t>
        </is>
      </c>
      <c r="B151" t="inlineStr">
        <is>
          <t>Mar-2021</t>
        </is>
      </c>
      <c r="C151" s="2" t="n">
        <v>44733</v>
      </c>
      <c r="D151" t="inlineStr">
        <is>
          <t>NIL</t>
        </is>
      </c>
      <c r="E151" t="n">
        <v>2781</v>
      </c>
    </row>
    <row r="152">
      <c r="A152" t="inlineStr">
        <is>
          <t>27BBBBB00152Z5</t>
        </is>
      </c>
      <c r="B152" t="inlineStr">
        <is>
          <t>Oct-2018</t>
        </is>
      </c>
      <c r="C152" s="2" t="n">
        <v>43273</v>
      </c>
      <c r="D152" t="inlineStr">
        <is>
          <t>NIL</t>
        </is>
      </c>
      <c r="E152" t="n">
        <v>2527</v>
      </c>
    </row>
    <row r="153">
      <c r="A153" t="inlineStr">
        <is>
          <t>27BBBBB00153Z5</t>
        </is>
      </c>
      <c r="B153" t="inlineStr">
        <is>
          <t>Mar-2023</t>
        </is>
      </c>
      <c r="C153" s="2" t="n">
        <v>44881</v>
      </c>
      <c r="D153" t="inlineStr">
        <is>
          <t>NIL</t>
        </is>
      </c>
      <c r="E153" t="n">
        <v>2583</v>
      </c>
    </row>
    <row r="154">
      <c r="A154" t="inlineStr">
        <is>
          <t>27BBBBB00154Z5</t>
        </is>
      </c>
      <c r="B154" t="inlineStr">
        <is>
          <t>Jun-2020</t>
        </is>
      </c>
      <c r="C154" s="2" t="n">
        <v>44683</v>
      </c>
      <c r="D154" t="inlineStr">
        <is>
          <t>NIL</t>
        </is>
      </c>
      <c r="E154" t="n">
        <v>2722</v>
      </c>
    </row>
    <row r="155">
      <c r="A155" t="inlineStr">
        <is>
          <t>27BBBBB00155Z5</t>
        </is>
      </c>
      <c r="B155" t="inlineStr">
        <is>
          <t>Nov-2018</t>
        </is>
      </c>
      <c r="C155" s="2" t="n">
        <v>42969</v>
      </c>
      <c r="D155" t="inlineStr">
        <is>
          <t>NIL</t>
        </is>
      </c>
      <c r="E155" t="n">
        <v>2456</v>
      </c>
    </row>
    <row r="156">
      <c r="A156" t="inlineStr">
        <is>
          <t>27BBBBB00156Z5</t>
        </is>
      </c>
      <c r="B156" t="inlineStr">
        <is>
          <t>Dec-2018</t>
        </is>
      </c>
      <c r="C156" s="2" t="n">
        <v>44066</v>
      </c>
      <c r="D156" t="inlineStr">
        <is>
          <t>NIL</t>
        </is>
      </c>
      <c r="E156" t="n">
        <v>1076</v>
      </c>
    </row>
    <row r="157">
      <c r="A157" t="inlineStr">
        <is>
          <t>27BBBBB00157Z5</t>
        </is>
      </c>
      <c r="B157" t="inlineStr">
        <is>
          <t>Jul-2017</t>
        </is>
      </c>
      <c r="C157" s="2" t="n">
        <v>44196</v>
      </c>
      <c r="D157" t="inlineStr">
        <is>
          <t>NIL</t>
        </is>
      </c>
      <c r="E157" t="n">
        <v>946</v>
      </c>
    </row>
    <row r="158">
      <c r="A158" t="inlineStr">
        <is>
          <t>27BBBBB00158Z5</t>
        </is>
      </c>
      <c r="B158" t="inlineStr">
        <is>
          <t>Jul-2018</t>
        </is>
      </c>
      <c r="C158" s="2" t="n">
        <v>44398</v>
      </c>
      <c r="D158" t="inlineStr">
        <is>
          <t>NIL</t>
        </is>
      </c>
      <c r="E158" t="n">
        <v>1792</v>
      </c>
    </row>
    <row r="159">
      <c r="A159" t="inlineStr">
        <is>
          <t>27BBBBB00159Z5</t>
        </is>
      </c>
      <c r="B159" t="inlineStr">
        <is>
          <t>Nov-2017</t>
        </is>
      </c>
      <c r="C159" s="2" t="n">
        <v>43467</v>
      </c>
      <c r="D159" t="inlineStr">
        <is>
          <t>NON-NIL</t>
        </is>
      </c>
      <c r="E159" t="n">
        <v>1348</v>
      </c>
    </row>
    <row r="160">
      <c r="A160" t="inlineStr">
        <is>
          <t>27BBBBB00160Z5</t>
        </is>
      </c>
      <c r="B160" t="inlineStr">
        <is>
          <t>Mar-2023</t>
        </is>
      </c>
      <c r="C160" s="2" t="n">
        <v>43986</v>
      </c>
      <c r="D160" t="inlineStr">
        <is>
          <t>NIL</t>
        </is>
      </c>
      <c r="E160" t="n">
        <v>1982</v>
      </c>
    </row>
    <row r="161">
      <c r="A161" t="inlineStr">
        <is>
          <t>27BBBBB00161Z5</t>
        </is>
      </c>
      <c r="B161" t="inlineStr">
        <is>
          <t>Jun-2018</t>
        </is>
      </c>
      <c r="C161" s="2" t="n">
        <v>44150</v>
      </c>
      <c r="D161" t="inlineStr">
        <is>
          <t>NON-NIL</t>
        </is>
      </c>
      <c r="E161" t="n">
        <v>557</v>
      </c>
    </row>
    <row r="162">
      <c r="A162" t="inlineStr">
        <is>
          <t>27BBBBB00162Z5</t>
        </is>
      </c>
      <c r="B162" t="inlineStr">
        <is>
          <t>Jul-2018</t>
        </is>
      </c>
      <c r="C162" s="2" t="n">
        <v>43917</v>
      </c>
      <c r="D162" t="inlineStr">
        <is>
          <t>NIL</t>
        </is>
      </c>
      <c r="E162" t="n">
        <v>548</v>
      </c>
    </row>
    <row r="163">
      <c r="A163" t="inlineStr">
        <is>
          <t>27BBBBB00163Z5</t>
        </is>
      </c>
      <c r="B163" t="inlineStr">
        <is>
          <t>Jul-2020</t>
        </is>
      </c>
      <c r="C163" s="2" t="n">
        <v>44822</v>
      </c>
      <c r="D163" t="inlineStr">
        <is>
          <t>NIL</t>
        </is>
      </c>
      <c r="E163" t="n">
        <v>759</v>
      </c>
    </row>
    <row r="164">
      <c r="A164" t="inlineStr">
        <is>
          <t>27BBBBB00164Z5</t>
        </is>
      </c>
      <c r="B164" t="inlineStr">
        <is>
          <t>Nov-2017</t>
        </is>
      </c>
      <c r="C164" s="2" t="n">
        <v>43125</v>
      </c>
      <c r="D164" t="inlineStr">
        <is>
          <t>NON-NIL</t>
        </is>
      </c>
      <c r="E164" t="n">
        <v>1426</v>
      </c>
    </row>
    <row r="165">
      <c r="A165" t="inlineStr">
        <is>
          <t>27BBBBB00165Z5</t>
        </is>
      </c>
      <c r="B165" t="inlineStr">
        <is>
          <t>Feb-2018</t>
        </is>
      </c>
      <c r="C165" s="2" t="n">
        <v>43216</v>
      </c>
      <c r="D165" t="inlineStr">
        <is>
          <t>NON-NIL</t>
        </is>
      </c>
      <c r="E165" t="n">
        <v>205</v>
      </c>
    </row>
    <row r="166">
      <c r="A166" t="inlineStr">
        <is>
          <t>27BBBBB00166Z5</t>
        </is>
      </c>
      <c r="B166" t="inlineStr">
        <is>
          <t>Mar-2021</t>
        </is>
      </c>
      <c r="C166" s="2" t="n">
        <v>43860</v>
      </c>
      <c r="D166" t="inlineStr">
        <is>
          <t>NON-NIL</t>
        </is>
      </c>
      <c r="E166" t="n">
        <v>2533</v>
      </c>
    </row>
    <row r="167">
      <c r="A167" t="inlineStr">
        <is>
          <t>27BBBBB00167Z5</t>
        </is>
      </c>
      <c r="B167" t="inlineStr">
        <is>
          <t>Dec-2024</t>
        </is>
      </c>
      <c r="C167" s="2" t="n">
        <v>45835</v>
      </c>
      <c r="D167" t="inlineStr">
        <is>
          <t>NIL</t>
        </is>
      </c>
      <c r="E167" t="n">
        <v>761</v>
      </c>
    </row>
    <row r="168">
      <c r="A168" t="inlineStr">
        <is>
          <t>27BBBBB00168Z5</t>
        </is>
      </c>
      <c r="B168" t="inlineStr">
        <is>
          <t>Mar-2020</t>
        </is>
      </c>
      <c r="C168" s="2" t="n">
        <v>44737</v>
      </c>
      <c r="D168" t="inlineStr">
        <is>
          <t>NON-NIL</t>
        </is>
      </c>
      <c r="E168" t="n">
        <v>1480</v>
      </c>
    </row>
    <row r="169">
      <c r="A169" t="inlineStr">
        <is>
          <t>27BBBBB00169Z5</t>
        </is>
      </c>
      <c r="B169" t="inlineStr">
        <is>
          <t>Oct-2017</t>
        </is>
      </c>
      <c r="C169" s="2" t="n">
        <v>43091</v>
      </c>
      <c r="D169" t="inlineStr">
        <is>
          <t>NON-NIL</t>
        </is>
      </c>
      <c r="E169" t="n">
        <v>1385</v>
      </c>
    </row>
    <row r="170">
      <c r="A170" t="inlineStr">
        <is>
          <t>27BBBBB00170Z5</t>
        </is>
      </c>
      <c r="B170" t="inlineStr">
        <is>
          <t>Mar-2023</t>
        </is>
      </c>
      <c r="C170" s="2" t="n">
        <v>43746</v>
      </c>
      <c r="D170" t="inlineStr">
        <is>
          <t>NON-NIL</t>
        </is>
      </c>
      <c r="E170" t="n">
        <v>17</v>
      </c>
    </row>
    <row r="171">
      <c r="A171" t="inlineStr">
        <is>
          <t>27BBBBB00171Z5</t>
        </is>
      </c>
      <c r="B171" t="inlineStr">
        <is>
          <t>Dec-2018</t>
        </is>
      </c>
      <c r="C171" s="2" t="n">
        <v>43734</v>
      </c>
      <c r="D171" t="inlineStr">
        <is>
          <t>NIL</t>
        </is>
      </c>
      <c r="E171" t="n">
        <v>1213</v>
      </c>
    </row>
    <row r="172">
      <c r="A172" t="inlineStr">
        <is>
          <t>27BBBBB00172Z5</t>
        </is>
      </c>
      <c r="B172" t="inlineStr">
        <is>
          <t>Mar-2023</t>
        </is>
      </c>
      <c r="C172" s="2" t="n">
        <v>44797</v>
      </c>
      <c r="D172" t="inlineStr">
        <is>
          <t>NIL</t>
        </is>
      </c>
      <c r="E172" t="n">
        <v>920</v>
      </c>
    </row>
    <row r="173">
      <c r="A173" t="inlineStr">
        <is>
          <t>27BBBBB00173Z5</t>
        </is>
      </c>
      <c r="B173" t="inlineStr">
        <is>
          <t>Jan-2018</t>
        </is>
      </c>
      <c r="C173" s="2" t="n">
        <v>44107</v>
      </c>
      <c r="D173" t="inlineStr">
        <is>
          <t>NON-NIL</t>
        </is>
      </c>
      <c r="E173" t="n">
        <v>1745</v>
      </c>
    </row>
    <row r="174">
      <c r="A174" t="inlineStr">
        <is>
          <t>27BBBBB00174Z5</t>
        </is>
      </c>
      <c r="B174" t="inlineStr">
        <is>
          <t>Mar-2023</t>
        </is>
      </c>
      <c r="C174" s="2" t="n">
        <v>43485</v>
      </c>
      <c r="D174" t="inlineStr">
        <is>
          <t>NON-NIL</t>
        </is>
      </c>
      <c r="E174" t="n">
        <v>1901</v>
      </c>
    </row>
    <row r="175">
      <c r="A175" t="inlineStr">
        <is>
          <t>27BBBBB00175Z5</t>
        </is>
      </c>
      <c r="B175" t="inlineStr">
        <is>
          <t>May-2018</t>
        </is>
      </c>
      <c r="C175" s="2" t="n">
        <v>43222</v>
      </c>
      <c r="D175" t="inlineStr">
        <is>
          <t>NON-NIL</t>
        </is>
      </c>
      <c r="E175" t="n">
        <v>1618</v>
      </c>
    </row>
    <row r="176">
      <c r="A176" t="inlineStr">
        <is>
          <t>27BBBBB00176Z5</t>
        </is>
      </c>
      <c r="B176" t="inlineStr">
        <is>
          <t>Jan-2021</t>
        </is>
      </c>
      <c r="C176" s="2" t="n">
        <v>44714</v>
      </c>
      <c r="D176" t="inlineStr">
        <is>
          <t>NON-NIL</t>
        </is>
      </c>
      <c r="E176" t="n">
        <v>269</v>
      </c>
    </row>
    <row r="177">
      <c r="A177" t="inlineStr">
        <is>
          <t>27BBBBB00177Z5</t>
        </is>
      </c>
      <c r="B177" t="inlineStr">
        <is>
          <t>Jun-2020</t>
        </is>
      </c>
      <c r="C177" s="2" t="n">
        <v>44022</v>
      </c>
      <c r="D177" t="inlineStr">
        <is>
          <t>NIL</t>
        </is>
      </c>
      <c r="E177" t="n">
        <v>869</v>
      </c>
    </row>
    <row r="178">
      <c r="A178" t="inlineStr">
        <is>
          <t>27BBBBB00178Z5</t>
        </is>
      </c>
      <c r="B178" t="inlineStr">
        <is>
          <t>Nov-2017</t>
        </is>
      </c>
      <c r="C178" s="2" t="n">
        <v>44265</v>
      </c>
      <c r="D178" t="inlineStr">
        <is>
          <t>NIL</t>
        </is>
      </c>
      <c r="E178" t="n">
        <v>1857</v>
      </c>
    </row>
    <row r="179">
      <c r="A179" t="inlineStr">
        <is>
          <t>27BBBBB00179Z5</t>
        </is>
      </c>
      <c r="B179" t="inlineStr">
        <is>
          <t>Nov-2017</t>
        </is>
      </c>
      <c r="C179" s="2" t="n">
        <v>43312</v>
      </c>
      <c r="D179" t="inlineStr">
        <is>
          <t>NIL</t>
        </is>
      </c>
      <c r="E179" t="n">
        <v>2387</v>
      </c>
    </row>
    <row r="180">
      <c r="A180" t="inlineStr">
        <is>
          <t>27BBBBB00180Z5</t>
        </is>
      </c>
      <c r="B180" t="inlineStr">
        <is>
          <t>Jul-2020</t>
        </is>
      </c>
      <c r="C180" s="2" t="n">
        <v>44009</v>
      </c>
      <c r="D180" t="inlineStr">
        <is>
          <t>NON-NIL</t>
        </is>
      </c>
      <c r="E180" t="n">
        <v>1636</v>
      </c>
    </row>
    <row r="181">
      <c r="A181" t="inlineStr">
        <is>
          <t>27BBBBB00181Z5</t>
        </is>
      </c>
      <c r="B181" t="inlineStr">
        <is>
          <t>May-2018</t>
        </is>
      </c>
      <c r="C181" s="2" t="n">
        <v>43664</v>
      </c>
      <c r="D181" t="inlineStr">
        <is>
          <t>NIL</t>
        </is>
      </c>
      <c r="E181" t="n">
        <v>1682</v>
      </c>
    </row>
    <row r="182">
      <c r="A182" t="inlineStr">
        <is>
          <t>27BBBBB00182Z5</t>
        </is>
      </c>
      <c r="B182" t="inlineStr">
        <is>
          <t>Jan-2018</t>
        </is>
      </c>
      <c r="C182" s="2" t="n">
        <v>43803</v>
      </c>
      <c r="D182" t="inlineStr">
        <is>
          <t>NON-NIL</t>
        </is>
      </c>
      <c r="E182" t="n">
        <v>259</v>
      </c>
    </row>
    <row r="183">
      <c r="A183" t="inlineStr">
        <is>
          <t>27BBBBB00183Z5</t>
        </is>
      </c>
      <c r="B183" t="inlineStr">
        <is>
          <t>Jul-2018</t>
        </is>
      </c>
      <c r="C183" s="2" t="n">
        <v>43855</v>
      </c>
      <c r="D183" t="inlineStr">
        <is>
          <t>NON-NIL</t>
        </is>
      </c>
      <c r="E183" t="n">
        <v>2657</v>
      </c>
    </row>
    <row r="184">
      <c r="A184" t="inlineStr">
        <is>
          <t>27BBBBB00184Z5</t>
        </is>
      </c>
      <c r="B184" t="inlineStr">
        <is>
          <t>Dec-2024</t>
        </is>
      </c>
      <c r="C184" s="2" t="n">
        <v>44943</v>
      </c>
      <c r="D184" t="inlineStr">
        <is>
          <t>NON-NIL</t>
        </is>
      </c>
      <c r="E184" t="n">
        <v>2539</v>
      </c>
    </row>
    <row r="185">
      <c r="A185" t="inlineStr">
        <is>
          <t>27BBBBB00185Z5</t>
        </is>
      </c>
      <c r="B185" t="inlineStr">
        <is>
          <t>Apr-2020</t>
        </is>
      </c>
      <c r="C185" s="2" t="n">
        <v>43985</v>
      </c>
      <c r="D185" t="inlineStr">
        <is>
          <t>NON-NIL</t>
        </is>
      </c>
      <c r="E185" t="n">
        <v>1689</v>
      </c>
    </row>
    <row r="186">
      <c r="A186" t="inlineStr">
        <is>
          <t>27BBBBB00186Z5</t>
        </is>
      </c>
      <c r="B186" t="inlineStr">
        <is>
          <t>Mar-2020</t>
        </is>
      </c>
      <c r="C186" s="2" t="n">
        <v>44737</v>
      </c>
      <c r="D186" t="inlineStr">
        <is>
          <t>NON-NIL</t>
        </is>
      </c>
      <c r="E186" t="n">
        <v>251</v>
      </c>
    </row>
    <row r="187">
      <c r="A187" t="inlineStr">
        <is>
          <t>27BBBBB00187Z5</t>
        </is>
      </c>
      <c r="B187" t="inlineStr">
        <is>
          <t>Jan-2021</t>
        </is>
      </c>
      <c r="C187" s="2" t="n">
        <v>44218</v>
      </c>
      <c r="D187" t="inlineStr">
        <is>
          <t>NIL</t>
        </is>
      </c>
      <c r="E187" t="n">
        <v>808</v>
      </c>
    </row>
    <row r="188">
      <c r="A188" t="inlineStr">
        <is>
          <t>27BBBBB00188Z5</t>
        </is>
      </c>
      <c r="B188" t="inlineStr">
        <is>
          <t>Jul-2018</t>
        </is>
      </c>
      <c r="C188" s="2" t="n">
        <v>43479</v>
      </c>
      <c r="D188" t="inlineStr">
        <is>
          <t>NON-NIL</t>
        </is>
      </c>
      <c r="E188" t="n">
        <v>2343</v>
      </c>
    </row>
    <row r="189">
      <c r="A189" t="inlineStr">
        <is>
          <t>27BBBBB00189Z5</t>
        </is>
      </c>
      <c r="B189" t="inlineStr">
        <is>
          <t>Jul-2020</t>
        </is>
      </c>
      <c r="C189" s="2" t="n">
        <v>44542</v>
      </c>
      <c r="D189" t="inlineStr">
        <is>
          <t>NIL</t>
        </is>
      </c>
      <c r="E189" t="n">
        <v>1185</v>
      </c>
    </row>
    <row r="190">
      <c r="A190" t="inlineStr">
        <is>
          <t>27BBBBB00190Z5</t>
        </is>
      </c>
      <c r="B190" t="inlineStr">
        <is>
          <t>Feb-2018</t>
        </is>
      </c>
      <c r="C190" s="2" t="n">
        <v>43839</v>
      </c>
      <c r="D190" t="inlineStr">
        <is>
          <t>NIL</t>
        </is>
      </c>
      <c r="E190" t="n">
        <v>1101</v>
      </c>
    </row>
    <row r="191">
      <c r="A191" t="inlineStr">
        <is>
          <t>27BBBBB00191Z5</t>
        </is>
      </c>
      <c r="B191" t="inlineStr">
        <is>
          <t>Jan-2018</t>
        </is>
      </c>
      <c r="C191" s="2" t="n">
        <v>44309</v>
      </c>
      <c r="D191" t="inlineStr">
        <is>
          <t>NON-NIL</t>
        </is>
      </c>
      <c r="E191" t="n">
        <v>635</v>
      </c>
    </row>
    <row r="192">
      <c r="A192" t="inlineStr">
        <is>
          <t>27BBBBB00192Z5</t>
        </is>
      </c>
      <c r="B192" t="inlineStr">
        <is>
          <t>Apr-2018</t>
        </is>
      </c>
      <c r="C192" s="2" t="n">
        <v>44160</v>
      </c>
      <c r="D192" t="inlineStr">
        <is>
          <t>NIL</t>
        </is>
      </c>
      <c r="E192" t="n">
        <v>1712</v>
      </c>
    </row>
    <row r="193">
      <c r="A193" t="inlineStr">
        <is>
          <t>27BBBBB00193Z5</t>
        </is>
      </c>
      <c r="B193" t="inlineStr">
        <is>
          <t>Nov-2017</t>
        </is>
      </c>
      <c r="C193" s="2" t="n">
        <v>43797</v>
      </c>
      <c r="D193" t="inlineStr">
        <is>
          <t>NIL</t>
        </is>
      </c>
      <c r="E193" t="n">
        <v>490</v>
      </c>
    </row>
    <row r="194">
      <c r="A194" t="inlineStr">
        <is>
          <t>27BBBBB00194Z5</t>
        </is>
      </c>
      <c r="B194" t="inlineStr">
        <is>
          <t>Oct-2018</t>
        </is>
      </c>
      <c r="C194" s="2" t="n">
        <v>43875</v>
      </c>
      <c r="D194" t="inlineStr">
        <is>
          <t>NON-NIL</t>
        </is>
      </c>
      <c r="E194" t="n">
        <v>1112</v>
      </c>
    </row>
    <row r="195">
      <c r="A195" t="inlineStr">
        <is>
          <t>27BBBBB00195Z5</t>
        </is>
      </c>
      <c r="B195" t="inlineStr">
        <is>
          <t>Jul-2020</t>
        </is>
      </c>
      <c r="C195" s="2" t="n">
        <v>44390</v>
      </c>
      <c r="D195" t="inlineStr">
        <is>
          <t>NIL</t>
        </is>
      </c>
      <c r="E195" t="n">
        <v>741</v>
      </c>
    </row>
    <row r="196">
      <c r="A196" t="inlineStr">
        <is>
          <t>27BBBBB00196Z5</t>
        </is>
      </c>
      <c r="B196" t="inlineStr">
        <is>
          <t>Nov-2017</t>
        </is>
      </c>
      <c r="C196" s="2" t="n">
        <v>43119</v>
      </c>
      <c r="D196" t="inlineStr">
        <is>
          <t>NIL</t>
        </is>
      </c>
      <c r="E196" t="n">
        <v>2784</v>
      </c>
    </row>
    <row r="197">
      <c r="A197" t="inlineStr">
        <is>
          <t>27BBBBB00197Z5</t>
        </is>
      </c>
      <c r="B197" t="inlineStr">
        <is>
          <t>Apr-2018</t>
        </is>
      </c>
      <c r="C197" s="2" t="n">
        <v>43185</v>
      </c>
      <c r="D197" t="inlineStr">
        <is>
          <t>NIL</t>
        </is>
      </c>
      <c r="E197" t="n">
        <v>2935</v>
      </c>
    </row>
    <row r="198">
      <c r="A198" t="inlineStr">
        <is>
          <t>27BBBBB00198Z5</t>
        </is>
      </c>
      <c r="B198" t="inlineStr">
        <is>
          <t>Dec-2022</t>
        </is>
      </c>
      <c r="C198" s="2" t="n">
        <v>45430</v>
      </c>
      <c r="D198" t="inlineStr">
        <is>
          <t>NIL</t>
        </is>
      </c>
      <c r="E198" t="n">
        <v>2102</v>
      </c>
    </row>
    <row r="199">
      <c r="A199" t="inlineStr">
        <is>
          <t>27BBBBB00199Z5</t>
        </is>
      </c>
      <c r="B199" t="inlineStr">
        <is>
          <t>Sep-2017</t>
        </is>
      </c>
      <c r="C199" s="2" t="n">
        <v>44285</v>
      </c>
      <c r="D199" t="inlineStr">
        <is>
          <t>NIL</t>
        </is>
      </c>
      <c r="E199" t="n">
        <v>952</v>
      </c>
    </row>
    <row r="200">
      <c r="A200" t="inlineStr">
        <is>
          <t>27BBBBB00200Z5</t>
        </is>
      </c>
      <c r="B200" t="inlineStr">
        <is>
          <t>Mar-2018</t>
        </is>
      </c>
      <c r="C200" s="2" t="n">
        <v>43825</v>
      </c>
      <c r="D200" t="inlineStr">
        <is>
          <t>NIL</t>
        </is>
      </c>
      <c r="E200" t="n">
        <v>425</v>
      </c>
    </row>
    <row r="201">
      <c r="A201" t="inlineStr">
        <is>
          <t>27BBBBB00201Z5</t>
        </is>
      </c>
      <c r="B201" t="inlineStr">
        <is>
          <t>Sep-2018</t>
        </is>
      </c>
      <c r="C201" s="2" t="n">
        <v>43586</v>
      </c>
      <c r="D201" t="inlineStr">
        <is>
          <t>NIL</t>
        </is>
      </c>
      <c r="E201" t="n">
        <v>128</v>
      </c>
    </row>
    <row r="202">
      <c r="A202" t="inlineStr">
        <is>
          <t>27BBBBB00202Z5</t>
        </is>
      </c>
      <c r="B202" t="inlineStr">
        <is>
          <t>Jun-2020</t>
        </is>
      </c>
      <c r="C202" s="2" t="n">
        <v>44192</v>
      </c>
      <c r="D202" t="inlineStr">
        <is>
          <t>NON-NIL</t>
        </is>
      </c>
      <c r="E202" t="n">
        <v>2213</v>
      </c>
    </row>
    <row r="203">
      <c r="A203" t="inlineStr">
        <is>
          <t>27BBBBB00203Z5</t>
        </is>
      </c>
      <c r="B203" t="inlineStr">
        <is>
          <t>Feb-2018</t>
        </is>
      </c>
      <c r="C203" s="2" t="n">
        <v>44409</v>
      </c>
      <c r="D203" t="inlineStr">
        <is>
          <t>NON-NIL</t>
        </is>
      </c>
      <c r="E203" t="n">
        <v>60</v>
      </c>
    </row>
    <row r="204">
      <c r="A204" t="inlineStr">
        <is>
          <t>27BBBBB00204Z5</t>
        </is>
      </c>
      <c r="B204" t="inlineStr">
        <is>
          <t>Nov-2018</t>
        </is>
      </c>
      <c r="C204" s="2" t="n">
        <v>44423</v>
      </c>
      <c r="D204" t="inlineStr">
        <is>
          <t>NIL</t>
        </is>
      </c>
      <c r="E204" t="n">
        <v>963</v>
      </c>
    </row>
    <row r="205">
      <c r="A205" t="inlineStr">
        <is>
          <t>27BBBBB00205Z5</t>
        </is>
      </c>
      <c r="B205" t="inlineStr">
        <is>
          <t>Dec-2017</t>
        </is>
      </c>
      <c r="C205" s="2" t="n">
        <v>43887</v>
      </c>
      <c r="D205" t="inlineStr">
        <is>
          <t>NIL</t>
        </is>
      </c>
      <c r="E205" t="n">
        <v>99</v>
      </c>
    </row>
    <row r="206">
      <c r="A206" t="inlineStr">
        <is>
          <t>27BBBBB00206Z5</t>
        </is>
      </c>
      <c r="B206" t="inlineStr">
        <is>
          <t>Apr-2018</t>
        </is>
      </c>
      <c r="C206" s="2" t="n">
        <v>43560</v>
      </c>
      <c r="D206" t="inlineStr">
        <is>
          <t>NIL</t>
        </is>
      </c>
      <c r="E206" t="n">
        <v>1321</v>
      </c>
    </row>
    <row r="207">
      <c r="A207" t="inlineStr">
        <is>
          <t>27BBBBB00207Z5</t>
        </is>
      </c>
      <c r="B207" t="inlineStr">
        <is>
          <t>Sep-2017</t>
        </is>
      </c>
      <c r="C207" s="2" t="n">
        <v>43362</v>
      </c>
      <c r="D207" t="inlineStr">
        <is>
          <t>NON-NIL</t>
        </is>
      </c>
      <c r="E207" t="n">
        <v>2663</v>
      </c>
    </row>
    <row r="208">
      <c r="A208" t="inlineStr">
        <is>
          <t>27BBBBB00208Z5</t>
        </is>
      </c>
      <c r="B208" t="inlineStr">
        <is>
          <t>Aug-2018</t>
        </is>
      </c>
      <c r="C208" s="2" t="n">
        <v>44415</v>
      </c>
      <c r="D208" t="inlineStr">
        <is>
          <t>NIL</t>
        </is>
      </c>
      <c r="E208" t="n">
        <v>2752</v>
      </c>
    </row>
    <row r="209">
      <c r="A209" t="inlineStr">
        <is>
          <t>27BBBBB00209Z5</t>
        </is>
      </c>
      <c r="B209" t="inlineStr">
        <is>
          <t>Jul-2020</t>
        </is>
      </c>
      <c r="C209" s="2" t="n">
        <v>44434</v>
      </c>
      <c r="D209" t="inlineStr">
        <is>
          <t>NIL</t>
        </is>
      </c>
      <c r="E209" t="n">
        <v>268</v>
      </c>
    </row>
    <row r="210">
      <c r="A210" t="inlineStr">
        <is>
          <t>27BBBBB00210Z5</t>
        </is>
      </c>
      <c r="B210" t="inlineStr">
        <is>
          <t>Jul-2020</t>
        </is>
      </c>
      <c r="C210" s="2" t="n">
        <v>44731</v>
      </c>
      <c r="D210" t="inlineStr">
        <is>
          <t>NIL</t>
        </is>
      </c>
      <c r="E210" t="n">
        <v>2479</v>
      </c>
    </row>
    <row r="211">
      <c r="A211" t="inlineStr">
        <is>
          <t>27BBBBB00211Z5</t>
        </is>
      </c>
      <c r="B211" t="inlineStr">
        <is>
          <t>Jun-2020</t>
        </is>
      </c>
      <c r="C211" s="2" t="n">
        <v>43963</v>
      </c>
      <c r="D211" t="inlineStr">
        <is>
          <t>NON-NIL</t>
        </is>
      </c>
      <c r="E211" t="n">
        <v>943</v>
      </c>
    </row>
    <row r="212">
      <c r="A212" t="inlineStr">
        <is>
          <t>27BBBBB00212Z5</t>
        </is>
      </c>
      <c r="B212" t="inlineStr">
        <is>
          <t>Dec-2022</t>
        </is>
      </c>
      <c r="C212" s="2" t="n">
        <v>44267</v>
      </c>
      <c r="D212" t="inlineStr">
        <is>
          <t>NON-NIL</t>
        </is>
      </c>
      <c r="E212" t="n">
        <v>1069</v>
      </c>
    </row>
    <row r="213">
      <c r="A213" t="inlineStr">
        <is>
          <t>27BBBBB00213Z5</t>
        </is>
      </c>
      <c r="B213" t="inlineStr">
        <is>
          <t>Sep-2018</t>
        </is>
      </c>
      <c r="C213" s="2" t="n">
        <v>44203</v>
      </c>
      <c r="D213" t="inlineStr">
        <is>
          <t>NIL</t>
        </is>
      </c>
      <c r="E213" t="n">
        <v>2873</v>
      </c>
    </row>
    <row r="214">
      <c r="A214" t="inlineStr">
        <is>
          <t>27BBBBB00214Z5</t>
        </is>
      </c>
      <c r="B214" t="inlineStr">
        <is>
          <t>Jun-2018</t>
        </is>
      </c>
      <c r="C214" s="2" t="n">
        <v>43450</v>
      </c>
      <c r="D214" t="inlineStr">
        <is>
          <t>NIL</t>
        </is>
      </c>
      <c r="E214" t="n">
        <v>995</v>
      </c>
    </row>
    <row r="215">
      <c r="A215" t="inlineStr">
        <is>
          <t>27BBBBB00215Z5</t>
        </is>
      </c>
      <c r="B215" t="inlineStr">
        <is>
          <t>May-2020</t>
        </is>
      </c>
      <c r="C215" s="2" t="n">
        <v>44867</v>
      </c>
      <c r="D215" t="inlineStr">
        <is>
          <t>NIL</t>
        </is>
      </c>
      <c r="E215" t="n">
        <v>1325</v>
      </c>
    </row>
    <row r="216">
      <c r="A216" t="inlineStr">
        <is>
          <t>27BBBBB00216Z5</t>
        </is>
      </c>
      <c r="B216" t="inlineStr">
        <is>
          <t>Apr-2018</t>
        </is>
      </c>
      <c r="C216" s="2" t="n">
        <v>43137</v>
      </c>
      <c r="D216" t="inlineStr">
        <is>
          <t>NON-NIL</t>
        </is>
      </c>
      <c r="E216" t="n">
        <v>1680</v>
      </c>
    </row>
    <row r="217">
      <c r="A217" t="inlineStr">
        <is>
          <t>27BBBBB00217Z5</t>
        </is>
      </c>
      <c r="B217" t="inlineStr">
        <is>
          <t>Dec-2018</t>
        </is>
      </c>
      <c r="C217" s="2" t="n">
        <v>44087</v>
      </c>
      <c r="D217" t="inlineStr">
        <is>
          <t>NIL</t>
        </is>
      </c>
      <c r="E217" t="n">
        <v>2823</v>
      </c>
    </row>
    <row r="218">
      <c r="A218" t="inlineStr">
        <is>
          <t>27BBBBB00218Z5</t>
        </is>
      </c>
      <c r="B218" t="inlineStr">
        <is>
          <t>Jun-2020</t>
        </is>
      </c>
      <c r="C218" s="2" t="n">
        <v>44132</v>
      </c>
      <c r="D218" t="inlineStr">
        <is>
          <t>NIL</t>
        </is>
      </c>
      <c r="E218" t="n">
        <v>1630</v>
      </c>
    </row>
    <row r="219">
      <c r="A219" t="inlineStr">
        <is>
          <t>27BBBBB00219Z5</t>
        </is>
      </c>
      <c r="B219" t="inlineStr">
        <is>
          <t>Dec-2018</t>
        </is>
      </c>
      <c r="C219" s="2" t="n">
        <v>43189</v>
      </c>
      <c r="D219" t="inlineStr">
        <is>
          <t>NON-NIL</t>
        </is>
      </c>
      <c r="E219" t="n">
        <v>1396</v>
      </c>
    </row>
    <row r="220">
      <c r="A220" t="inlineStr">
        <is>
          <t>27BBBBB00220Z5</t>
        </is>
      </c>
      <c r="B220" t="inlineStr">
        <is>
          <t>Mar-2021</t>
        </is>
      </c>
      <c r="C220" s="2" t="n">
        <v>45723</v>
      </c>
      <c r="D220" t="inlineStr">
        <is>
          <t>NIL</t>
        </is>
      </c>
      <c r="E220" t="n">
        <v>711</v>
      </c>
    </row>
    <row r="221">
      <c r="A221" t="inlineStr">
        <is>
          <t>27BBBBB00221Z5</t>
        </is>
      </c>
      <c r="B221" t="inlineStr">
        <is>
          <t>Nov-2018</t>
        </is>
      </c>
      <c r="C221" s="2" t="n">
        <v>43538</v>
      </c>
      <c r="D221" t="inlineStr">
        <is>
          <t>NON-NIL</t>
        </is>
      </c>
      <c r="E221" t="n">
        <v>1887</v>
      </c>
    </row>
    <row r="222">
      <c r="A222" t="inlineStr">
        <is>
          <t>27BBBBB00222Z5</t>
        </is>
      </c>
      <c r="B222" t="inlineStr">
        <is>
          <t>Oct-2017</t>
        </is>
      </c>
      <c r="C222" s="2" t="n">
        <v>44297</v>
      </c>
      <c r="D222" t="inlineStr">
        <is>
          <t>NON-NIL</t>
        </is>
      </c>
      <c r="E222" t="n">
        <v>2346</v>
      </c>
    </row>
    <row r="223">
      <c r="A223" t="inlineStr">
        <is>
          <t>27BBBBB00223Z5</t>
        </is>
      </c>
      <c r="B223" t="inlineStr">
        <is>
          <t>Jun-2020</t>
        </is>
      </c>
      <c r="C223" s="2" t="n">
        <v>44035</v>
      </c>
      <c r="D223" t="inlineStr">
        <is>
          <t>NIL</t>
        </is>
      </c>
      <c r="E223" t="n">
        <v>1749</v>
      </c>
    </row>
    <row r="224">
      <c r="A224" t="inlineStr">
        <is>
          <t>27BBBBB00224Z5</t>
        </is>
      </c>
      <c r="B224" t="inlineStr">
        <is>
          <t>Jan-2021</t>
        </is>
      </c>
      <c r="C224" s="2" t="n">
        <v>44186</v>
      </c>
      <c r="D224" t="inlineStr">
        <is>
          <t>NON-NIL</t>
        </is>
      </c>
      <c r="E224" t="n">
        <v>1201</v>
      </c>
    </row>
    <row r="225">
      <c r="A225" t="inlineStr">
        <is>
          <t>27BBBBB00225Z5</t>
        </is>
      </c>
      <c r="B225" t="inlineStr">
        <is>
          <t>Apr-2020</t>
        </is>
      </c>
      <c r="C225" s="2" t="n">
        <v>44231</v>
      </c>
      <c r="D225" t="inlineStr">
        <is>
          <t>NIL</t>
        </is>
      </c>
      <c r="E225" t="n">
        <v>1238</v>
      </c>
    </row>
    <row r="226">
      <c r="A226" t="inlineStr">
        <is>
          <t>27BBBBB00226Z5</t>
        </is>
      </c>
      <c r="B226" t="inlineStr">
        <is>
          <t>May-2018</t>
        </is>
      </c>
      <c r="C226" s="2" t="n">
        <v>43426</v>
      </c>
      <c r="D226" t="inlineStr">
        <is>
          <t>NON-NIL</t>
        </is>
      </c>
      <c r="E226" t="n">
        <v>1387</v>
      </c>
    </row>
    <row r="227">
      <c r="A227" t="inlineStr">
        <is>
          <t>27BBBBB00227Z5</t>
        </is>
      </c>
      <c r="B227" t="inlineStr">
        <is>
          <t>Oct-2017</t>
        </is>
      </c>
      <c r="C227" s="2" t="n">
        <v>43327</v>
      </c>
      <c r="D227" t="inlineStr">
        <is>
          <t>NIL</t>
        </is>
      </c>
      <c r="E227" t="n">
        <v>2118</v>
      </c>
    </row>
    <row r="228">
      <c r="A228" t="inlineStr">
        <is>
          <t>27BBBBB00228Z5</t>
        </is>
      </c>
      <c r="B228" t="inlineStr">
        <is>
          <t>Aug-2018</t>
        </is>
      </c>
      <c r="C228" s="2" t="n">
        <v>43144</v>
      </c>
      <c r="D228" t="inlineStr">
        <is>
          <t>NIL</t>
        </is>
      </c>
      <c r="E228" t="n">
        <v>1696</v>
      </c>
    </row>
    <row r="229">
      <c r="A229" t="inlineStr">
        <is>
          <t>27BBBBB00229Z5</t>
        </is>
      </c>
      <c r="B229" t="inlineStr">
        <is>
          <t>Sep-2018</t>
        </is>
      </c>
      <c r="C229" s="2" t="n">
        <v>44334</v>
      </c>
      <c r="D229" t="inlineStr">
        <is>
          <t>NON-NIL</t>
        </is>
      </c>
      <c r="E229" t="n">
        <v>1581</v>
      </c>
    </row>
    <row r="230">
      <c r="A230" t="inlineStr">
        <is>
          <t>27BBBBB00230Z5</t>
        </is>
      </c>
      <c r="B230" t="inlineStr">
        <is>
          <t>Sep-2017</t>
        </is>
      </c>
      <c r="C230" s="2" t="n">
        <v>43799</v>
      </c>
      <c r="D230" t="inlineStr">
        <is>
          <t>NIL</t>
        </is>
      </c>
      <c r="E230" t="n">
        <v>1758</v>
      </c>
    </row>
    <row r="231">
      <c r="A231" t="inlineStr">
        <is>
          <t>27BBBBB00231Z5</t>
        </is>
      </c>
      <c r="B231" t="inlineStr">
        <is>
          <t>Mar-2023</t>
        </is>
      </c>
      <c r="C231" s="2" t="n">
        <v>43510</v>
      </c>
      <c r="D231" t="inlineStr">
        <is>
          <t>NON-NIL</t>
        </is>
      </c>
      <c r="E231" t="n">
        <v>1116</v>
      </c>
    </row>
    <row r="232">
      <c r="A232" t="inlineStr">
        <is>
          <t>27BBBBB00232Z5</t>
        </is>
      </c>
      <c r="B232" t="inlineStr">
        <is>
          <t>Feb-2018</t>
        </is>
      </c>
      <c r="C232" s="2" t="n">
        <v>43380</v>
      </c>
      <c r="D232" t="inlineStr">
        <is>
          <t>NON-NIL</t>
        </is>
      </c>
      <c r="E232" t="n">
        <v>2793</v>
      </c>
    </row>
    <row r="233">
      <c r="A233" t="inlineStr">
        <is>
          <t>27BBBBB00233Z5</t>
        </is>
      </c>
      <c r="B233" t="inlineStr">
        <is>
          <t>Jul-2017</t>
        </is>
      </c>
      <c r="C233" s="2" t="n">
        <v>43908</v>
      </c>
      <c r="D233" t="inlineStr">
        <is>
          <t>NIL</t>
        </is>
      </c>
      <c r="E233" t="n">
        <v>1566</v>
      </c>
    </row>
    <row r="234">
      <c r="A234" t="inlineStr">
        <is>
          <t>27BBBBB00234Z5</t>
        </is>
      </c>
      <c r="B234" t="inlineStr">
        <is>
          <t>Oct-2018</t>
        </is>
      </c>
      <c r="C234" s="2" t="n">
        <v>43077</v>
      </c>
      <c r="D234" t="inlineStr">
        <is>
          <t>NIL</t>
        </is>
      </c>
      <c r="E234" t="n">
        <v>2040</v>
      </c>
    </row>
    <row r="235">
      <c r="A235" t="inlineStr">
        <is>
          <t>27BBBBB00235Z5</t>
        </is>
      </c>
      <c r="B235" t="inlineStr">
        <is>
          <t>Jul-2020</t>
        </is>
      </c>
      <c r="C235" s="2" t="n">
        <v>44362</v>
      </c>
      <c r="D235" t="inlineStr">
        <is>
          <t>NON-NIL</t>
        </is>
      </c>
      <c r="E235" t="n">
        <v>16</v>
      </c>
    </row>
    <row r="236">
      <c r="A236" t="inlineStr">
        <is>
          <t>27BBBBB00236Z5</t>
        </is>
      </c>
      <c r="B236" t="inlineStr">
        <is>
          <t>Aug-2018</t>
        </is>
      </c>
      <c r="C236" s="2" t="n">
        <v>44157</v>
      </c>
      <c r="D236" t="inlineStr">
        <is>
          <t>NON-NIL</t>
        </is>
      </c>
      <c r="E236" t="n">
        <v>980</v>
      </c>
    </row>
    <row r="237">
      <c r="A237" t="inlineStr">
        <is>
          <t>27BBBBB00237Z5</t>
        </is>
      </c>
      <c r="B237" t="inlineStr">
        <is>
          <t>Dec-2022</t>
        </is>
      </c>
      <c r="C237" s="2" t="n">
        <v>43785</v>
      </c>
      <c r="D237" t="inlineStr">
        <is>
          <t>NIL</t>
        </is>
      </c>
      <c r="E237" t="n">
        <v>442</v>
      </c>
    </row>
    <row r="238">
      <c r="A238" t="inlineStr">
        <is>
          <t>27BBBBB00238Z5</t>
        </is>
      </c>
      <c r="B238" t="inlineStr">
        <is>
          <t>Sep-2018</t>
        </is>
      </c>
      <c r="C238" s="2" t="n">
        <v>44533</v>
      </c>
      <c r="D238" t="inlineStr">
        <is>
          <t>NON-NIL</t>
        </is>
      </c>
      <c r="E238" t="n">
        <v>1</v>
      </c>
    </row>
    <row r="239">
      <c r="A239" t="inlineStr">
        <is>
          <t>27BBBBB00239Z5</t>
        </is>
      </c>
      <c r="B239" t="inlineStr">
        <is>
          <t>Jun-2020</t>
        </is>
      </c>
      <c r="C239" s="2" t="n">
        <v>44625</v>
      </c>
      <c r="D239" t="inlineStr">
        <is>
          <t>NON-NIL</t>
        </is>
      </c>
      <c r="E239" t="n">
        <v>575</v>
      </c>
    </row>
    <row r="240">
      <c r="A240" t="inlineStr">
        <is>
          <t>27BBBBB00240Z5</t>
        </is>
      </c>
      <c r="B240" t="inlineStr">
        <is>
          <t>Apr-2020</t>
        </is>
      </c>
      <c r="C240" s="2" t="n">
        <v>44703</v>
      </c>
      <c r="D240" t="inlineStr">
        <is>
          <t>NON-NIL</t>
        </is>
      </c>
      <c r="E240" t="n">
        <v>576</v>
      </c>
    </row>
    <row r="241">
      <c r="A241" t="inlineStr">
        <is>
          <t>27BBBBB00241Z5</t>
        </is>
      </c>
      <c r="B241" t="inlineStr">
        <is>
          <t>Dec-2024</t>
        </is>
      </c>
      <c r="C241" s="2" t="n">
        <v>43681</v>
      </c>
      <c r="D241" t="inlineStr">
        <is>
          <t>NON-NIL</t>
        </is>
      </c>
      <c r="E241" t="n">
        <v>364</v>
      </c>
    </row>
    <row r="242">
      <c r="A242" t="inlineStr">
        <is>
          <t>27BBBBB00242Z5</t>
        </is>
      </c>
      <c r="B242" t="inlineStr">
        <is>
          <t>Dec-2018</t>
        </is>
      </c>
      <c r="C242" s="2" t="n">
        <v>43797</v>
      </c>
      <c r="D242" t="inlineStr">
        <is>
          <t>NIL</t>
        </is>
      </c>
      <c r="E242" t="n">
        <v>2510</v>
      </c>
    </row>
    <row r="243">
      <c r="A243" t="inlineStr">
        <is>
          <t>27BBBBB00243Z5</t>
        </is>
      </c>
      <c r="B243" t="inlineStr">
        <is>
          <t>Jan-2018</t>
        </is>
      </c>
      <c r="C243" s="2" t="n">
        <v>43050</v>
      </c>
      <c r="D243" t="inlineStr">
        <is>
          <t>NIL</t>
        </is>
      </c>
      <c r="E243" t="n">
        <v>2641</v>
      </c>
    </row>
    <row r="244">
      <c r="A244" t="inlineStr">
        <is>
          <t>27BBBBB00244Z5</t>
        </is>
      </c>
      <c r="B244" t="inlineStr">
        <is>
          <t>Jul-2018</t>
        </is>
      </c>
      <c r="C244" s="2" t="n">
        <v>43825</v>
      </c>
      <c r="D244" t="inlineStr">
        <is>
          <t>NON-NIL</t>
        </is>
      </c>
      <c r="E244" t="n">
        <v>1284</v>
      </c>
    </row>
    <row r="245">
      <c r="A245" t="inlineStr">
        <is>
          <t>27BBBBB00245Z5</t>
        </is>
      </c>
      <c r="B245" t="inlineStr">
        <is>
          <t>Jan-2021</t>
        </is>
      </c>
      <c r="C245" s="2" t="n">
        <v>45752</v>
      </c>
      <c r="D245" t="inlineStr">
        <is>
          <t>NON-NIL</t>
        </is>
      </c>
      <c r="E245" t="n">
        <v>2827</v>
      </c>
    </row>
    <row r="246">
      <c r="A246" t="inlineStr">
        <is>
          <t>27BBBBB00246Z5</t>
        </is>
      </c>
      <c r="B246" t="inlineStr">
        <is>
          <t>Mar-2018</t>
        </is>
      </c>
      <c r="C246" s="2" t="n">
        <v>43923</v>
      </c>
      <c r="D246" t="inlineStr">
        <is>
          <t>NON-NIL</t>
        </is>
      </c>
      <c r="E246" t="n">
        <v>58</v>
      </c>
    </row>
    <row r="247">
      <c r="A247" t="inlineStr">
        <is>
          <t>27BBBBB00247Z5</t>
        </is>
      </c>
      <c r="B247" t="inlineStr">
        <is>
          <t>Mar-2021</t>
        </is>
      </c>
      <c r="C247" s="2" t="n">
        <v>43945</v>
      </c>
      <c r="D247" t="inlineStr">
        <is>
          <t>NIL</t>
        </is>
      </c>
      <c r="E247" t="n">
        <v>2614</v>
      </c>
    </row>
    <row r="248">
      <c r="A248" t="inlineStr">
        <is>
          <t>27BBBBB00248Z5</t>
        </is>
      </c>
      <c r="B248" t="inlineStr">
        <is>
          <t>Jun-2018</t>
        </is>
      </c>
      <c r="C248" s="2" t="n">
        <v>43622</v>
      </c>
      <c r="D248" t="inlineStr">
        <is>
          <t>NIL</t>
        </is>
      </c>
      <c r="E248" t="n">
        <v>494</v>
      </c>
    </row>
    <row r="249">
      <c r="A249" t="inlineStr">
        <is>
          <t>27BBBBB00249Z5</t>
        </is>
      </c>
      <c r="B249" t="inlineStr">
        <is>
          <t>Sep-2018</t>
        </is>
      </c>
      <c r="C249" s="2" t="n">
        <v>43602</v>
      </c>
      <c r="D249" t="inlineStr">
        <is>
          <t>NON-NIL</t>
        </is>
      </c>
      <c r="E249" t="n">
        <v>4</v>
      </c>
    </row>
    <row r="250">
      <c r="A250" t="inlineStr">
        <is>
          <t>27BBBBB00250Z5</t>
        </is>
      </c>
      <c r="B250" t="inlineStr">
        <is>
          <t>Mar-2018</t>
        </is>
      </c>
      <c r="C250" s="2" t="n">
        <v>43717</v>
      </c>
      <c r="D250" t="inlineStr">
        <is>
          <t>NIL</t>
        </is>
      </c>
      <c r="E250" t="n">
        <v>1779</v>
      </c>
    </row>
    <row r="251">
      <c r="A251" t="inlineStr">
        <is>
          <t>27BBBBB00251Z5</t>
        </is>
      </c>
      <c r="B251" t="inlineStr">
        <is>
          <t>Oct-2017</t>
        </is>
      </c>
      <c r="C251" s="2" t="n">
        <v>43521</v>
      </c>
      <c r="D251" t="inlineStr">
        <is>
          <t>NIL</t>
        </is>
      </c>
      <c r="E251" t="n">
        <v>2217</v>
      </c>
    </row>
    <row r="252">
      <c r="A252" t="inlineStr">
        <is>
          <t>27BBBBB00252Z5</t>
        </is>
      </c>
      <c r="B252" t="inlineStr">
        <is>
          <t>Dec-2024</t>
        </is>
      </c>
      <c r="C252" s="2" t="n">
        <v>44579</v>
      </c>
      <c r="D252" t="inlineStr">
        <is>
          <t>NIL</t>
        </is>
      </c>
      <c r="E252" t="n">
        <v>928</v>
      </c>
    </row>
    <row r="253">
      <c r="A253" t="inlineStr">
        <is>
          <t>27BBBBB00253Z5</t>
        </is>
      </c>
      <c r="B253" t="inlineStr">
        <is>
          <t>Apr-2020</t>
        </is>
      </c>
      <c r="C253" s="2" t="n">
        <v>44785</v>
      </c>
      <c r="D253" t="inlineStr">
        <is>
          <t>NIL</t>
        </is>
      </c>
      <c r="E253" t="n">
        <v>1550</v>
      </c>
    </row>
    <row r="254">
      <c r="A254" t="inlineStr">
        <is>
          <t>27BBBBB00254Z5</t>
        </is>
      </c>
      <c r="B254" t="inlineStr">
        <is>
          <t>Oct-2018</t>
        </is>
      </c>
      <c r="C254" s="2" t="n">
        <v>43605</v>
      </c>
      <c r="D254" t="inlineStr">
        <is>
          <t>NON-NIL</t>
        </is>
      </c>
      <c r="E254" t="n">
        <v>1415</v>
      </c>
    </row>
    <row r="255">
      <c r="A255" t="inlineStr">
        <is>
          <t>27BBBBB00255Z5</t>
        </is>
      </c>
      <c r="B255" t="inlineStr">
        <is>
          <t>Sep-2018</t>
        </is>
      </c>
      <c r="C255" s="2" t="n">
        <v>43773</v>
      </c>
      <c r="D255" t="inlineStr">
        <is>
          <t>NIL</t>
        </is>
      </c>
      <c r="E255" t="n">
        <v>2383</v>
      </c>
    </row>
    <row r="256">
      <c r="A256" t="inlineStr">
        <is>
          <t>27BBBBB00256Z5</t>
        </is>
      </c>
      <c r="B256" t="inlineStr">
        <is>
          <t>Apr-2018</t>
        </is>
      </c>
      <c r="C256" s="2" t="n">
        <v>43099</v>
      </c>
      <c r="D256" t="inlineStr">
        <is>
          <t>NON-NIL</t>
        </is>
      </c>
      <c r="E256" t="n">
        <v>530</v>
      </c>
    </row>
    <row r="257">
      <c r="A257" t="inlineStr">
        <is>
          <t>27BBBBB00257Z5</t>
        </is>
      </c>
      <c r="B257" t="inlineStr">
        <is>
          <t>Jun-2018</t>
        </is>
      </c>
      <c r="C257" s="2" t="n">
        <v>44268</v>
      </c>
      <c r="D257" t="inlineStr">
        <is>
          <t>NIL</t>
        </is>
      </c>
      <c r="E257" t="n">
        <v>2525</v>
      </c>
    </row>
    <row r="258">
      <c r="A258" t="inlineStr">
        <is>
          <t>27BBBBB00258Z5</t>
        </is>
      </c>
      <c r="B258" t="inlineStr">
        <is>
          <t>Jun-2018</t>
        </is>
      </c>
      <c r="C258" s="2" t="n">
        <v>43720</v>
      </c>
      <c r="D258" t="inlineStr">
        <is>
          <t>NIL</t>
        </is>
      </c>
      <c r="E258" t="n">
        <v>1673</v>
      </c>
    </row>
    <row r="259">
      <c r="A259" t="inlineStr">
        <is>
          <t>27BBBBB00259Z5</t>
        </is>
      </c>
      <c r="B259" t="inlineStr">
        <is>
          <t>Jun-2020</t>
        </is>
      </c>
      <c r="C259" s="2" t="n">
        <v>43946</v>
      </c>
      <c r="D259" t="inlineStr">
        <is>
          <t>NIL</t>
        </is>
      </c>
      <c r="E259" t="n">
        <v>2086</v>
      </c>
    </row>
    <row r="260">
      <c r="A260" t="inlineStr">
        <is>
          <t>27BBBBB00260Z5</t>
        </is>
      </c>
      <c r="B260" t="inlineStr">
        <is>
          <t>May-2018</t>
        </is>
      </c>
      <c r="C260" s="2" t="n">
        <v>44240</v>
      </c>
      <c r="D260" t="inlineStr">
        <is>
          <t>NON-NIL</t>
        </is>
      </c>
      <c r="E260" t="n">
        <v>657</v>
      </c>
    </row>
    <row r="261">
      <c r="A261" t="inlineStr">
        <is>
          <t>27BBBBB00261Z5</t>
        </is>
      </c>
      <c r="B261" t="inlineStr">
        <is>
          <t>Nov-2018</t>
        </is>
      </c>
      <c r="C261" s="2" t="n">
        <v>44464</v>
      </c>
      <c r="D261" t="inlineStr">
        <is>
          <t>NIL</t>
        </is>
      </c>
      <c r="E261" t="n">
        <v>777</v>
      </c>
    </row>
    <row r="262">
      <c r="A262" t="inlineStr">
        <is>
          <t>27BBBBB00262Z5</t>
        </is>
      </c>
      <c r="B262" t="inlineStr">
        <is>
          <t>Oct-2017</t>
        </is>
      </c>
      <c r="C262" s="2" t="n">
        <v>43347</v>
      </c>
      <c r="D262" t="inlineStr">
        <is>
          <t>NIL</t>
        </is>
      </c>
      <c r="E262" t="n">
        <v>2530</v>
      </c>
    </row>
    <row r="263">
      <c r="A263" t="inlineStr">
        <is>
          <t>27BBBBB00263Z5</t>
        </is>
      </c>
      <c r="B263" t="inlineStr">
        <is>
          <t>Apr-2020</t>
        </is>
      </c>
      <c r="C263" s="2" t="n">
        <v>44706</v>
      </c>
      <c r="D263" t="inlineStr">
        <is>
          <t>NON-NIL</t>
        </is>
      </c>
      <c r="E263" t="n">
        <v>2096</v>
      </c>
    </row>
    <row r="264">
      <c r="A264" t="inlineStr">
        <is>
          <t>27BBBBB00264Z5</t>
        </is>
      </c>
      <c r="B264" t="inlineStr">
        <is>
          <t>Jan-2018</t>
        </is>
      </c>
      <c r="C264" s="2" t="n">
        <v>43549</v>
      </c>
      <c r="D264" t="inlineStr">
        <is>
          <t>NIL</t>
        </is>
      </c>
      <c r="E264" t="n">
        <v>1470</v>
      </c>
    </row>
    <row r="265">
      <c r="A265" t="inlineStr">
        <is>
          <t>27BBBBB00265Z5</t>
        </is>
      </c>
      <c r="B265" t="inlineStr">
        <is>
          <t>Dec-2018</t>
        </is>
      </c>
      <c r="C265" s="2" t="n">
        <v>44349</v>
      </c>
      <c r="D265" t="inlineStr">
        <is>
          <t>NON-NIL</t>
        </is>
      </c>
      <c r="E265" t="n">
        <v>2529</v>
      </c>
    </row>
    <row r="266">
      <c r="A266" t="inlineStr">
        <is>
          <t>27BBBBB00266Z5</t>
        </is>
      </c>
      <c r="B266" t="inlineStr">
        <is>
          <t>Mar-2020</t>
        </is>
      </c>
      <c r="C266" s="2" t="n">
        <v>44052</v>
      </c>
      <c r="D266" t="inlineStr">
        <is>
          <t>NON-NIL</t>
        </is>
      </c>
      <c r="E266" t="n">
        <v>1909</v>
      </c>
    </row>
    <row r="267">
      <c r="A267" t="inlineStr">
        <is>
          <t>27BBBBB00267Z5</t>
        </is>
      </c>
      <c r="B267" t="inlineStr">
        <is>
          <t>Aug-2018</t>
        </is>
      </c>
      <c r="C267" s="2" t="n">
        <v>43423</v>
      </c>
      <c r="D267" t="inlineStr">
        <is>
          <t>NON-NIL</t>
        </is>
      </c>
      <c r="E267" t="n">
        <v>2096</v>
      </c>
    </row>
    <row r="268">
      <c r="A268" t="inlineStr">
        <is>
          <t>27BBBBB00268Z5</t>
        </is>
      </c>
      <c r="B268" t="inlineStr">
        <is>
          <t>Jul-2018</t>
        </is>
      </c>
      <c r="C268" s="2" t="n">
        <v>44357</v>
      </c>
      <c r="D268" t="inlineStr">
        <is>
          <t>NIL</t>
        </is>
      </c>
      <c r="E268" t="n">
        <v>580</v>
      </c>
    </row>
    <row r="269">
      <c r="A269" t="inlineStr">
        <is>
          <t>27BBBBB00269Z5</t>
        </is>
      </c>
      <c r="B269" t="inlineStr">
        <is>
          <t>May-2018</t>
        </is>
      </c>
      <c r="C269" s="2" t="n">
        <v>44376</v>
      </c>
      <c r="D269" t="inlineStr">
        <is>
          <t>NON-NIL</t>
        </is>
      </c>
      <c r="E269" t="n">
        <v>928</v>
      </c>
    </row>
    <row r="270">
      <c r="A270" t="inlineStr">
        <is>
          <t>27BBBBB00270Z5</t>
        </is>
      </c>
      <c r="B270" t="inlineStr">
        <is>
          <t>Oct-2018</t>
        </is>
      </c>
      <c r="C270" s="2" t="n">
        <v>44334</v>
      </c>
      <c r="D270" t="inlineStr">
        <is>
          <t>NON-NIL</t>
        </is>
      </c>
      <c r="E270" t="n">
        <v>803</v>
      </c>
    </row>
    <row r="271">
      <c r="A271" t="inlineStr">
        <is>
          <t>27BBBBB00271Z5</t>
        </is>
      </c>
      <c r="B271" t="inlineStr">
        <is>
          <t>Aug-2018</t>
        </is>
      </c>
      <c r="C271" s="2" t="n">
        <v>43746</v>
      </c>
      <c r="D271" t="inlineStr">
        <is>
          <t>NIL</t>
        </is>
      </c>
      <c r="E271" t="n">
        <v>2058</v>
      </c>
    </row>
    <row r="272">
      <c r="A272" t="inlineStr">
        <is>
          <t>27BBBBB00272Z5</t>
        </is>
      </c>
      <c r="B272" t="inlineStr">
        <is>
          <t>Oct-2018</t>
        </is>
      </c>
      <c r="C272" s="2" t="n">
        <v>43115</v>
      </c>
      <c r="D272" t="inlineStr">
        <is>
          <t>NIL</t>
        </is>
      </c>
      <c r="E272" t="n">
        <v>1890</v>
      </c>
    </row>
    <row r="273">
      <c r="A273" t="inlineStr">
        <is>
          <t>27BBBBB00273Z5</t>
        </is>
      </c>
      <c r="B273" t="inlineStr">
        <is>
          <t>Dec-2022</t>
        </is>
      </c>
      <c r="C273" s="2" t="n">
        <v>43940</v>
      </c>
      <c r="D273" t="inlineStr">
        <is>
          <t>NON-NIL</t>
        </is>
      </c>
      <c r="E273" t="n">
        <v>1519</v>
      </c>
    </row>
    <row r="274">
      <c r="A274" t="inlineStr">
        <is>
          <t>27BBBBB00274Z5</t>
        </is>
      </c>
      <c r="B274" t="inlineStr">
        <is>
          <t>Dec-2024</t>
        </is>
      </c>
      <c r="C274" s="2" t="n">
        <v>44335</v>
      </c>
      <c r="D274" t="inlineStr">
        <is>
          <t>NON-NIL</t>
        </is>
      </c>
      <c r="E274" t="n">
        <v>2445</v>
      </c>
    </row>
    <row r="275">
      <c r="A275" t="inlineStr">
        <is>
          <t>27BBBBB00275Z5</t>
        </is>
      </c>
      <c r="B275" t="inlineStr">
        <is>
          <t>Mar-2021</t>
        </is>
      </c>
      <c r="C275" s="2" t="n">
        <v>44829</v>
      </c>
      <c r="D275" t="inlineStr">
        <is>
          <t>NON-NIL</t>
        </is>
      </c>
      <c r="E275" t="n">
        <v>799</v>
      </c>
    </row>
    <row r="276">
      <c r="A276" t="inlineStr">
        <is>
          <t>27BBBBB00276Z5</t>
        </is>
      </c>
      <c r="B276" t="inlineStr">
        <is>
          <t>Apr-2020</t>
        </is>
      </c>
      <c r="C276" s="2" t="n">
        <v>44382</v>
      </c>
      <c r="D276" t="inlineStr">
        <is>
          <t>NON-NIL</t>
        </is>
      </c>
      <c r="E276" t="n">
        <v>195</v>
      </c>
    </row>
    <row r="277">
      <c r="A277" t="inlineStr">
        <is>
          <t>27BBBBB00277Z5</t>
        </is>
      </c>
      <c r="B277" t="inlineStr">
        <is>
          <t>Aug-2018</t>
        </is>
      </c>
      <c r="C277" s="2" t="n">
        <v>44279</v>
      </c>
      <c r="D277" t="inlineStr">
        <is>
          <t>NON-NIL</t>
        </is>
      </c>
      <c r="E277" t="n">
        <v>2058</v>
      </c>
    </row>
    <row r="278">
      <c r="A278" t="inlineStr">
        <is>
          <t>27BBBBB00278Z5</t>
        </is>
      </c>
      <c r="B278" t="inlineStr">
        <is>
          <t>Mar-2021</t>
        </is>
      </c>
      <c r="C278" s="2" t="n">
        <v>43992</v>
      </c>
      <c r="D278" t="inlineStr">
        <is>
          <t>NON-NIL</t>
        </is>
      </c>
      <c r="E278" t="n">
        <v>2204</v>
      </c>
    </row>
    <row r="279">
      <c r="A279" t="inlineStr">
        <is>
          <t>27BBBBB00279Z5</t>
        </is>
      </c>
      <c r="B279" t="inlineStr">
        <is>
          <t>Aug-2018</t>
        </is>
      </c>
      <c r="C279" s="2" t="n">
        <v>43399</v>
      </c>
      <c r="D279" t="inlineStr">
        <is>
          <t>NIL</t>
        </is>
      </c>
      <c r="E279" t="n">
        <v>2485</v>
      </c>
    </row>
    <row r="280">
      <c r="A280" t="inlineStr">
        <is>
          <t>27BBBBB00280Z5</t>
        </is>
      </c>
      <c r="B280" t="inlineStr">
        <is>
          <t>Mar-2020</t>
        </is>
      </c>
      <c r="C280" s="2" t="n">
        <v>44776</v>
      </c>
      <c r="D280" t="inlineStr">
        <is>
          <t>NIL</t>
        </is>
      </c>
      <c r="E280" t="n">
        <v>2132</v>
      </c>
    </row>
    <row r="281">
      <c r="A281" t="inlineStr">
        <is>
          <t>27BBBBB00281Z5</t>
        </is>
      </c>
      <c r="B281" t="inlineStr">
        <is>
          <t>May-2018</t>
        </is>
      </c>
      <c r="C281" s="2" t="n">
        <v>43583</v>
      </c>
      <c r="D281" t="inlineStr">
        <is>
          <t>NON-NIL</t>
        </is>
      </c>
      <c r="E281" t="n">
        <v>497</v>
      </c>
    </row>
    <row r="282">
      <c r="A282" t="inlineStr">
        <is>
          <t>27BBBBB00282Z5</t>
        </is>
      </c>
      <c r="B282" t="inlineStr">
        <is>
          <t>Sep-2018</t>
        </is>
      </c>
      <c r="C282" s="2" t="n">
        <v>44105</v>
      </c>
      <c r="D282" t="inlineStr">
        <is>
          <t>NIL</t>
        </is>
      </c>
      <c r="E282" t="n">
        <v>2870</v>
      </c>
    </row>
    <row r="283">
      <c r="A283" t="inlineStr">
        <is>
          <t>27BBBBB00283Z5</t>
        </is>
      </c>
      <c r="B283" t="inlineStr">
        <is>
          <t>Mar-2023</t>
        </is>
      </c>
      <c r="C283" s="2" t="n">
        <v>44691</v>
      </c>
      <c r="D283" t="inlineStr">
        <is>
          <t>NIL</t>
        </is>
      </c>
      <c r="E283" t="n">
        <v>348</v>
      </c>
    </row>
    <row r="284">
      <c r="A284" t="inlineStr">
        <is>
          <t>27BBBBB00284Z5</t>
        </is>
      </c>
      <c r="B284" t="inlineStr">
        <is>
          <t>Apr-2018</t>
        </is>
      </c>
      <c r="C284" s="2" t="n">
        <v>44076</v>
      </c>
      <c r="D284" t="inlineStr">
        <is>
          <t>NIL</t>
        </is>
      </c>
      <c r="E284" t="n">
        <v>1078</v>
      </c>
    </row>
    <row r="285">
      <c r="A285" t="inlineStr">
        <is>
          <t>27BBBBB00285Z5</t>
        </is>
      </c>
      <c r="B285" t="inlineStr">
        <is>
          <t>Dec-2017</t>
        </is>
      </c>
      <c r="C285" s="2" t="n">
        <v>43062</v>
      </c>
      <c r="D285" t="inlineStr">
        <is>
          <t>NON-NIL</t>
        </is>
      </c>
      <c r="E285" t="n">
        <v>1033</v>
      </c>
    </row>
    <row r="286">
      <c r="A286" t="inlineStr">
        <is>
          <t>27BBBBB00286Z5</t>
        </is>
      </c>
      <c r="B286" t="inlineStr">
        <is>
          <t>Apr-2018</t>
        </is>
      </c>
      <c r="C286" s="2" t="n">
        <v>44396</v>
      </c>
      <c r="D286" t="inlineStr">
        <is>
          <t>NIL</t>
        </is>
      </c>
      <c r="E286" t="n">
        <v>2374</v>
      </c>
    </row>
    <row r="287">
      <c r="A287" t="inlineStr">
        <is>
          <t>27BBBBB00287Z5</t>
        </is>
      </c>
      <c r="B287" t="inlineStr">
        <is>
          <t>Jul-2018</t>
        </is>
      </c>
      <c r="C287" s="2" t="n">
        <v>43864</v>
      </c>
      <c r="D287" t="inlineStr">
        <is>
          <t>NON-NIL</t>
        </is>
      </c>
      <c r="E287" t="n">
        <v>602</v>
      </c>
    </row>
    <row r="288">
      <c r="A288" t="inlineStr">
        <is>
          <t>27BBBBB00288Z5</t>
        </is>
      </c>
      <c r="B288" t="inlineStr">
        <is>
          <t>Apr-2018</t>
        </is>
      </c>
      <c r="C288" s="2" t="n">
        <v>43209</v>
      </c>
      <c r="D288" t="inlineStr">
        <is>
          <t>NON-NIL</t>
        </is>
      </c>
      <c r="E288" t="n">
        <v>2025</v>
      </c>
    </row>
    <row r="289">
      <c r="A289" t="inlineStr">
        <is>
          <t>27BBBBB00289Z5</t>
        </is>
      </c>
      <c r="B289" t="inlineStr">
        <is>
          <t>Mar-2018</t>
        </is>
      </c>
      <c r="C289" s="2" t="n">
        <v>42984</v>
      </c>
      <c r="D289" t="inlineStr">
        <is>
          <t>NON-NIL</t>
        </is>
      </c>
      <c r="E289" t="n">
        <v>92</v>
      </c>
    </row>
    <row r="290">
      <c r="A290" t="inlineStr">
        <is>
          <t>27BBBBB00290Z5</t>
        </is>
      </c>
      <c r="B290" t="inlineStr">
        <is>
          <t>Mar-2021</t>
        </is>
      </c>
      <c r="C290" s="2" t="n">
        <v>44981</v>
      </c>
      <c r="D290" t="inlineStr">
        <is>
          <t>NIL</t>
        </is>
      </c>
      <c r="E290" t="n">
        <v>2743</v>
      </c>
    </row>
    <row r="291">
      <c r="A291" t="inlineStr">
        <is>
          <t>27BBBBB00291Z5</t>
        </is>
      </c>
      <c r="B291" t="inlineStr">
        <is>
          <t>Jul-2020</t>
        </is>
      </c>
      <c r="C291" s="2" t="n">
        <v>44824</v>
      </c>
      <c r="D291" t="inlineStr">
        <is>
          <t>NON-NIL</t>
        </is>
      </c>
      <c r="E291" t="n">
        <v>80</v>
      </c>
    </row>
    <row r="292">
      <c r="A292" t="inlineStr">
        <is>
          <t>27BBBBB00292Z5</t>
        </is>
      </c>
      <c r="B292" t="inlineStr">
        <is>
          <t>Jan-2018</t>
        </is>
      </c>
      <c r="C292" s="2" t="n">
        <v>43671</v>
      </c>
      <c r="D292" t="inlineStr">
        <is>
          <t>NON-NIL</t>
        </is>
      </c>
      <c r="E292" t="n">
        <v>1891</v>
      </c>
    </row>
    <row r="293">
      <c r="A293" t="inlineStr">
        <is>
          <t>27BBBBB00293Z5</t>
        </is>
      </c>
      <c r="B293" t="inlineStr">
        <is>
          <t>Aug-2018</t>
        </is>
      </c>
      <c r="C293" s="2" t="n">
        <v>43695</v>
      </c>
      <c r="D293" t="inlineStr">
        <is>
          <t>NIL</t>
        </is>
      </c>
      <c r="E293" t="n">
        <v>204</v>
      </c>
    </row>
    <row r="294">
      <c r="A294" t="inlineStr">
        <is>
          <t>27BBBBB00294Z5</t>
        </is>
      </c>
      <c r="B294" t="inlineStr">
        <is>
          <t>Sep-2018</t>
        </is>
      </c>
      <c r="C294" s="2" t="n">
        <v>44533</v>
      </c>
      <c r="D294" t="inlineStr">
        <is>
          <t>NON-NIL</t>
        </is>
      </c>
      <c r="E294" t="n">
        <v>2336</v>
      </c>
    </row>
    <row r="295">
      <c r="A295" t="inlineStr">
        <is>
          <t>27BBBBB00295Z5</t>
        </is>
      </c>
      <c r="B295" t="inlineStr">
        <is>
          <t>Dec-2022</t>
        </is>
      </c>
      <c r="C295" s="2" t="n">
        <v>45466</v>
      </c>
      <c r="D295" t="inlineStr">
        <is>
          <t>NON-NIL</t>
        </is>
      </c>
      <c r="E295" t="n">
        <v>315</v>
      </c>
    </row>
    <row r="296">
      <c r="A296" t="inlineStr">
        <is>
          <t>27BBBBB00296Z5</t>
        </is>
      </c>
      <c r="B296" t="inlineStr">
        <is>
          <t>Jun-2020</t>
        </is>
      </c>
      <c r="C296" s="2" t="n">
        <v>43831</v>
      </c>
      <c r="D296" t="inlineStr">
        <is>
          <t>NIL</t>
        </is>
      </c>
      <c r="E296" t="n">
        <v>1618</v>
      </c>
    </row>
    <row r="297">
      <c r="A297" t="inlineStr">
        <is>
          <t>27BBBBB00297Z5</t>
        </is>
      </c>
      <c r="B297" t="inlineStr">
        <is>
          <t>Jul-2020</t>
        </is>
      </c>
      <c r="C297" s="2" t="n">
        <v>44555</v>
      </c>
      <c r="D297" t="inlineStr">
        <is>
          <t>NIL</t>
        </is>
      </c>
      <c r="E297" t="n">
        <v>2545</v>
      </c>
    </row>
    <row r="298">
      <c r="A298" t="inlineStr">
        <is>
          <t>27BBBBB00298Z5</t>
        </is>
      </c>
      <c r="B298" t="inlineStr">
        <is>
          <t>Dec-2024</t>
        </is>
      </c>
      <c r="C298" s="2" t="n">
        <v>44624</v>
      </c>
      <c r="D298" t="inlineStr">
        <is>
          <t>NIL</t>
        </is>
      </c>
      <c r="E298" t="n">
        <v>1997</v>
      </c>
    </row>
    <row r="299">
      <c r="A299" t="inlineStr">
        <is>
          <t>27BBBBB00299Z5</t>
        </is>
      </c>
      <c r="B299" t="inlineStr">
        <is>
          <t>Dec-2017</t>
        </is>
      </c>
      <c r="C299" s="2" t="n">
        <v>44555</v>
      </c>
      <c r="D299" t="inlineStr">
        <is>
          <t>NIL</t>
        </is>
      </c>
      <c r="E299" t="n">
        <v>1148</v>
      </c>
    </row>
    <row r="300">
      <c r="A300" t="inlineStr">
        <is>
          <t>27BBBBB00300Z5</t>
        </is>
      </c>
      <c r="B300" t="inlineStr">
        <is>
          <t>Dec-2022</t>
        </is>
      </c>
      <c r="C300" s="2" t="n">
        <v>45137</v>
      </c>
      <c r="D300" t="inlineStr">
        <is>
          <t>NIL</t>
        </is>
      </c>
      <c r="E300" t="n">
        <v>1485</v>
      </c>
    </row>
    <row r="301">
      <c r="A301" t="inlineStr">
        <is>
          <t>27BBBBB00301Z5</t>
        </is>
      </c>
      <c r="B301" t="inlineStr">
        <is>
          <t>Jan-2021</t>
        </is>
      </c>
      <c r="C301" s="2" t="n">
        <v>43637</v>
      </c>
      <c r="D301" t="inlineStr">
        <is>
          <t>NON-NIL</t>
        </is>
      </c>
      <c r="E301" t="n">
        <v>484</v>
      </c>
    </row>
    <row r="302">
      <c r="A302" t="inlineStr">
        <is>
          <t>27BBBBB00302Z5</t>
        </is>
      </c>
      <c r="B302" t="inlineStr">
        <is>
          <t>Jul-2020</t>
        </is>
      </c>
      <c r="C302" s="2" t="n">
        <v>43959</v>
      </c>
      <c r="D302" t="inlineStr">
        <is>
          <t>NON-NIL</t>
        </is>
      </c>
      <c r="E302" t="n">
        <v>204</v>
      </c>
    </row>
    <row r="303">
      <c r="A303" t="inlineStr">
        <is>
          <t>27BBBBB00303Z5</t>
        </is>
      </c>
      <c r="B303" t="inlineStr">
        <is>
          <t>Nov-2018</t>
        </is>
      </c>
      <c r="C303" s="2" t="n">
        <v>43230</v>
      </c>
      <c r="D303" t="inlineStr">
        <is>
          <t>NIL</t>
        </is>
      </c>
      <c r="E303" t="n">
        <v>569</v>
      </c>
    </row>
    <row r="304">
      <c r="A304" t="inlineStr">
        <is>
          <t>27BBBBB00304Z5</t>
        </is>
      </c>
      <c r="B304" t="inlineStr">
        <is>
          <t>Aug-2017</t>
        </is>
      </c>
      <c r="C304" s="2" t="n">
        <v>44120</v>
      </c>
      <c r="D304" t="inlineStr">
        <is>
          <t>NIL</t>
        </is>
      </c>
      <c r="E304" t="n">
        <v>1301</v>
      </c>
    </row>
    <row r="305">
      <c r="A305" t="inlineStr">
        <is>
          <t>27BBBBB00305Z5</t>
        </is>
      </c>
      <c r="B305" t="inlineStr">
        <is>
          <t>Sep-2017</t>
        </is>
      </c>
      <c r="C305" s="2" t="n">
        <v>44467</v>
      </c>
      <c r="D305" t="inlineStr">
        <is>
          <t>NIL</t>
        </is>
      </c>
      <c r="E305" t="n">
        <v>2532</v>
      </c>
    </row>
    <row r="306">
      <c r="A306" t="inlineStr">
        <is>
          <t>27BBBBB00306Z5</t>
        </is>
      </c>
      <c r="B306" t="inlineStr">
        <is>
          <t>Jul-2017</t>
        </is>
      </c>
      <c r="C306" s="2" t="n">
        <v>42925</v>
      </c>
      <c r="D306" t="inlineStr">
        <is>
          <t>NIL</t>
        </is>
      </c>
      <c r="E306" t="n">
        <v>2396</v>
      </c>
    </row>
    <row r="307">
      <c r="A307" t="inlineStr">
        <is>
          <t>27BBBBB00307Z5</t>
        </is>
      </c>
      <c r="B307" t="inlineStr">
        <is>
          <t>Jul-2020</t>
        </is>
      </c>
      <c r="C307" s="2" t="n">
        <v>44559</v>
      </c>
      <c r="D307" t="inlineStr">
        <is>
          <t>NIL</t>
        </is>
      </c>
      <c r="E307" t="n">
        <v>262</v>
      </c>
    </row>
    <row r="308">
      <c r="A308" t="inlineStr">
        <is>
          <t>27BBBBB00308Z5</t>
        </is>
      </c>
      <c r="B308" t="inlineStr">
        <is>
          <t>Dec-2022</t>
        </is>
      </c>
      <c r="C308" s="2" t="n">
        <v>43849</v>
      </c>
      <c r="D308" t="inlineStr">
        <is>
          <t>NON-NIL</t>
        </is>
      </c>
      <c r="E308" t="n">
        <v>1807</v>
      </c>
    </row>
    <row r="309">
      <c r="A309" t="inlineStr">
        <is>
          <t>27BBBBB00309Z5</t>
        </is>
      </c>
      <c r="B309" t="inlineStr">
        <is>
          <t>Mar-2018</t>
        </is>
      </c>
      <c r="C309" s="2" t="n">
        <v>44298</v>
      </c>
      <c r="D309" t="inlineStr">
        <is>
          <t>NON-NIL</t>
        </is>
      </c>
      <c r="E309" t="n">
        <v>722</v>
      </c>
    </row>
    <row r="310">
      <c r="A310" t="inlineStr">
        <is>
          <t>27BBBBB00310Z5</t>
        </is>
      </c>
      <c r="B310" t="inlineStr">
        <is>
          <t>Apr-2020</t>
        </is>
      </c>
      <c r="C310" s="2" t="n">
        <v>43943</v>
      </c>
      <c r="D310" t="inlineStr">
        <is>
          <t>NON-NIL</t>
        </is>
      </c>
      <c r="E310" t="n">
        <v>1516</v>
      </c>
    </row>
    <row r="311">
      <c r="A311" t="inlineStr">
        <is>
          <t>27BBBBB00311Z5</t>
        </is>
      </c>
      <c r="B311" t="inlineStr">
        <is>
          <t>May-2018</t>
        </is>
      </c>
      <c r="C311" s="2" t="n">
        <v>43176</v>
      </c>
      <c r="D311" t="inlineStr">
        <is>
          <t>NIL</t>
        </is>
      </c>
      <c r="E311" t="n">
        <v>1972</v>
      </c>
    </row>
    <row r="312">
      <c r="A312" t="inlineStr">
        <is>
          <t>27BBBBB00312Z5</t>
        </is>
      </c>
      <c r="B312" t="inlineStr">
        <is>
          <t>Nov-2018</t>
        </is>
      </c>
      <c r="C312" s="2" t="n">
        <v>43301</v>
      </c>
      <c r="D312" t="inlineStr">
        <is>
          <t>NIL</t>
        </is>
      </c>
      <c r="E312" t="n">
        <v>1034</v>
      </c>
    </row>
    <row r="313">
      <c r="A313" t="inlineStr">
        <is>
          <t>27BBBBB00313Z5</t>
        </is>
      </c>
      <c r="B313" t="inlineStr">
        <is>
          <t>Apr-2020</t>
        </is>
      </c>
      <c r="C313" s="2" t="n">
        <v>44843</v>
      </c>
      <c r="D313" t="inlineStr">
        <is>
          <t>NON-NIL</t>
        </is>
      </c>
      <c r="E313" t="n">
        <v>1966</v>
      </c>
    </row>
    <row r="314">
      <c r="A314" t="inlineStr">
        <is>
          <t>27BBBBB00314Z5</t>
        </is>
      </c>
      <c r="B314" t="inlineStr">
        <is>
          <t>Jul-2020</t>
        </is>
      </c>
      <c r="C314" s="2" t="n">
        <v>44430</v>
      </c>
      <c r="D314" t="inlineStr">
        <is>
          <t>NON-NIL</t>
        </is>
      </c>
      <c r="E314" t="n">
        <v>1543</v>
      </c>
    </row>
    <row r="315">
      <c r="A315" t="inlineStr">
        <is>
          <t>27BBBBB00315Z5</t>
        </is>
      </c>
      <c r="B315" t="inlineStr">
        <is>
          <t>Dec-2018</t>
        </is>
      </c>
      <c r="C315" s="2" t="n">
        <v>43496</v>
      </c>
      <c r="D315" t="inlineStr">
        <is>
          <t>NON-NIL</t>
        </is>
      </c>
      <c r="E315" t="n">
        <v>558</v>
      </c>
    </row>
    <row r="316">
      <c r="A316" t="inlineStr">
        <is>
          <t>27BBBBB00316Z5</t>
        </is>
      </c>
      <c r="B316" t="inlineStr">
        <is>
          <t>Mar-2023</t>
        </is>
      </c>
      <c r="C316" s="2" t="n">
        <v>45031</v>
      </c>
      <c r="D316" t="inlineStr">
        <is>
          <t>NIL</t>
        </is>
      </c>
      <c r="E316" t="n">
        <v>801</v>
      </c>
    </row>
    <row r="317">
      <c r="A317" t="inlineStr">
        <is>
          <t>27BBBBB00317Z5</t>
        </is>
      </c>
      <c r="B317" t="inlineStr">
        <is>
          <t>Jan-2018</t>
        </is>
      </c>
      <c r="C317" s="2" t="n">
        <v>43420</v>
      </c>
      <c r="D317" t="inlineStr">
        <is>
          <t>NON-NIL</t>
        </is>
      </c>
      <c r="E317" t="n">
        <v>2991</v>
      </c>
    </row>
    <row r="318">
      <c r="A318" t="inlineStr">
        <is>
          <t>27BBBBB00318Z5</t>
        </is>
      </c>
      <c r="B318" t="inlineStr">
        <is>
          <t>Dec-2024</t>
        </is>
      </c>
      <c r="C318" s="2" t="n">
        <v>45163</v>
      </c>
      <c r="D318" t="inlineStr">
        <is>
          <t>NON-NIL</t>
        </is>
      </c>
      <c r="E318" t="n">
        <v>271</v>
      </c>
    </row>
    <row r="319">
      <c r="A319" t="inlineStr">
        <is>
          <t>27BBBBB00319Z5</t>
        </is>
      </c>
      <c r="B319" t="inlineStr">
        <is>
          <t>Mar-2020</t>
        </is>
      </c>
      <c r="C319" s="2" t="n">
        <v>43917</v>
      </c>
      <c r="D319" t="inlineStr">
        <is>
          <t>NIL</t>
        </is>
      </c>
      <c r="E319" t="n">
        <v>2920</v>
      </c>
    </row>
    <row r="320">
      <c r="A320" t="inlineStr">
        <is>
          <t>27BBBBB00320Z5</t>
        </is>
      </c>
      <c r="B320" t="inlineStr">
        <is>
          <t>Apr-2018</t>
        </is>
      </c>
      <c r="C320" s="2" t="n">
        <v>44066</v>
      </c>
      <c r="D320" t="inlineStr">
        <is>
          <t>NIL</t>
        </is>
      </c>
      <c r="E320" t="n">
        <v>217</v>
      </c>
    </row>
    <row r="321">
      <c r="A321" t="inlineStr">
        <is>
          <t>27BBBBB00321Z5</t>
        </is>
      </c>
      <c r="B321" t="inlineStr">
        <is>
          <t>Dec-2018</t>
        </is>
      </c>
      <c r="C321" s="2" t="n">
        <v>43199</v>
      </c>
      <c r="D321" t="inlineStr">
        <is>
          <t>NON-NIL</t>
        </is>
      </c>
      <c r="E321" t="n">
        <v>365</v>
      </c>
    </row>
    <row r="322">
      <c r="A322" t="inlineStr">
        <is>
          <t>27BBBBB00322Z5</t>
        </is>
      </c>
      <c r="B322" t="inlineStr">
        <is>
          <t>Jan-2018</t>
        </is>
      </c>
      <c r="C322" s="2" t="n">
        <v>43001</v>
      </c>
      <c r="D322" t="inlineStr">
        <is>
          <t>NIL</t>
        </is>
      </c>
      <c r="E322" t="n">
        <v>1729</v>
      </c>
    </row>
    <row r="323">
      <c r="A323" t="inlineStr">
        <is>
          <t>27BBBBB00323Z5</t>
        </is>
      </c>
      <c r="B323" t="inlineStr">
        <is>
          <t>Dec-2022</t>
        </is>
      </c>
      <c r="C323" s="2" t="n">
        <v>43666</v>
      </c>
      <c r="D323" t="inlineStr">
        <is>
          <t>NON-NIL</t>
        </is>
      </c>
      <c r="E323" t="n">
        <v>2710</v>
      </c>
    </row>
    <row r="324">
      <c r="A324" t="inlineStr">
        <is>
          <t>27BBBBB00324Z5</t>
        </is>
      </c>
      <c r="B324" t="inlineStr">
        <is>
          <t>Mar-2021</t>
        </is>
      </c>
      <c r="C324" s="2" t="n">
        <v>44509</v>
      </c>
      <c r="D324" t="inlineStr">
        <is>
          <t>NON-NIL</t>
        </is>
      </c>
      <c r="E324" t="n">
        <v>2382</v>
      </c>
    </row>
    <row r="325">
      <c r="A325" t="inlineStr">
        <is>
          <t>27BBBBB00325Z5</t>
        </is>
      </c>
      <c r="B325" t="inlineStr">
        <is>
          <t>Aug-2017</t>
        </is>
      </c>
      <c r="C325" s="2" t="n">
        <v>43329</v>
      </c>
      <c r="D325" t="inlineStr">
        <is>
          <t>NON-NIL</t>
        </is>
      </c>
      <c r="E325" t="n">
        <v>2616</v>
      </c>
    </row>
    <row r="326">
      <c r="A326" t="inlineStr">
        <is>
          <t>27BBBBB00326Z5</t>
        </is>
      </c>
      <c r="B326" t="inlineStr">
        <is>
          <t>Jan-2021</t>
        </is>
      </c>
      <c r="C326" s="2" t="n">
        <v>45784</v>
      </c>
      <c r="D326" t="inlineStr">
        <is>
          <t>NIL</t>
        </is>
      </c>
      <c r="E326" t="n">
        <v>1190</v>
      </c>
    </row>
    <row r="327">
      <c r="A327" t="inlineStr">
        <is>
          <t>27BBBBB00327Z5</t>
        </is>
      </c>
      <c r="B327" t="inlineStr">
        <is>
          <t>Oct-2017</t>
        </is>
      </c>
      <c r="C327" s="2" t="n">
        <v>43910</v>
      </c>
      <c r="D327" t="inlineStr">
        <is>
          <t>NON-NIL</t>
        </is>
      </c>
      <c r="E327" t="n">
        <v>2561</v>
      </c>
    </row>
    <row r="328">
      <c r="A328" t="inlineStr">
        <is>
          <t>27BBBBB00328Z5</t>
        </is>
      </c>
      <c r="B328" t="inlineStr">
        <is>
          <t>Jan-2018</t>
        </is>
      </c>
      <c r="C328" s="2" t="n">
        <v>43334</v>
      </c>
      <c r="D328" t="inlineStr">
        <is>
          <t>NON-NIL</t>
        </is>
      </c>
      <c r="E328" t="n">
        <v>2942</v>
      </c>
    </row>
    <row r="329">
      <c r="A329" t="inlineStr">
        <is>
          <t>27BBBBB00329Z5</t>
        </is>
      </c>
      <c r="B329" t="inlineStr">
        <is>
          <t>Jun-2020</t>
        </is>
      </c>
      <c r="C329" s="2" t="n">
        <v>44309</v>
      </c>
      <c r="D329" t="inlineStr">
        <is>
          <t>NIL</t>
        </is>
      </c>
      <c r="E329" t="n">
        <v>2881</v>
      </c>
    </row>
    <row r="330">
      <c r="A330" t="inlineStr">
        <is>
          <t>27BBBBB00330Z5</t>
        </is>
      </c>
      <c r="B330" t="inlineStr">
        <is>
          <t>Mar-2023</t>
        </is>
      </c>
      <c r="C330" s="2" t="n">
        <v>45325</v>
      </c>
      <c r="D330" t="inlineStr">
        <is>
          <t>NIL</t>
        </is>
      </c>
      <c r="E330" t="n">
        <v>2240</v>
      </c>
    </row>
    <row r="331">
      <c r="A331" t="inlineStr">
        <is>
          <t>27BBBBB00331Z5</t>
        </is>
      </c>
      <c r="B331" t="inlineStr">
        <is>
          <t>Jan-2021</t>
        </is>
      </c>
      <c r="C331" s="2" t="n">
        <v>44088</v>
      </c>
      <c r="D331" t="inlineStr">
        <is>
          <t>NIL</t>
        </is>
      </c>
      <c r="E331" t="n">
        <v>2562</v>
      </c>
    </row>
    <row r="332">
      <c r="A332" t="inlineStr">
        <is>
          <t>27BBBBB00332Z5</t>
        </is>
      </c>
      <c r="B332" t="inlineStr">
        <is>
          <t>Dec-2024</t>
        </is>
      </c>
      <c r="C332" s="2" t="n">
        <v>45642</v>
      </c>
      <c r="D332" t="inlineStr">
        <is>
          <t>NIL</t>
        </is>
      </c>
      <c r="E332" t="n">
        <v>376</v>
      </c>
    </row>
    <row r="333">
      <c r="A333" t="inlineStr">
        <is>
          <t>27BBBBB00333Z5</t>
        </is>
      </c>
      <c r="B333" t="inlineStr">
        <is>
          <t>Dec-2022</t>
        </is>
      </c>
      <c r="C333" s="2" t="n">
        <v>45034</v>
      </c>
      <c r="D333" t="inlineStr">
        <is>
          <t>NIL</t>
        </is>
      </c>
      <c r="E333" t="n">
        <v>1776</v>
      </c>
    </row>
    <row r="334">
      <c r="A334" t="inlineStr">
        <is>
          <t>27BBBBB00334Z5</t>
        </is>
      </c>
      <c r="B334" t="inlineStr">
        <is>
          <t>Jun-2020</t>
        </is>
      </c>
      <c r="C334" s="2" t="n">
        <v>44216</v>
      </c>
      <c r="D334" t="inlineStr">
        <is>
          <t>NIL</t>
        </is>
      </c>
      <c r="E334" t="n">
        <v>900</v>
      </c>
    </row>
    <row r="335">
      <c r="A335" t="inlineStr">
        <is>
          <t>27BBBBB00335Z5</t>
        </is>
      </c>
      <c r="B335" t="inlineStr">
        <is>
          <t>Sep-2017</t>
        </is>
      </c>
      <c r="C335" s="2" t="n">
        <v>43998</v>
      </c>
      <c r="D335" t="inlineStr">
        <is>
          <t>NON-NIL</t>
        </is>
      </c>
      <c r="E335" t="n">
        <v>1889</v>
      </c>
    </row>
    <row r="336">
      <c r="A336" t="inlineStr">
        <is>
          <t>27BBBBB00336Z5</t>
        </is>
      </c>
      <c r="B336" t="inlineStr">
        <is>
          <t>May-2020</t>
        </is>
      </c>
      <c r="C336" s="2" t="n">
        <v>44898</v>
      </c>
      <c r="D336" t="inlineStr">
        <is>
          <t>NIL</t>
        </is>
      </c>
      <c r="E336" t="n">
        <v>2765</v>
      </c>
    </row>
    <row r="337">
      <c r="A337" t="inlineStr">
        <is>
          <t>27BBBBB00337Z5</t>
        </is>
      </c>
      <c r="B337" t="inlineStr">
        <is>
          <t>Sep-2017</t>
        </is>
      </c>
      <c r="C337" s="2" t="n">
        <v>44271</v>
      </c>
      <c r="D337" t="inlineStr">
        <is>
          <t>NIL</t>
        </is>
      </c>
      <c r="E337" t="n">
        <v>2228</v>
      </c>
    </row>
    <row r="338">
      <c r="A338" t="inlineStr">
        <is>
          <t>27BBBBB00338Z5</t>
        </is>
      </c>
      <c r="B338" t="inlineStr">
        <is>
          <t>Dec-2022</t>
        </is>
      </c>
      <c r="C338" s="2" t="n">
        <v>43714</v>
      </c>
      <c r="D338" t="inlineStr">
        <is>
          <t>NIL</t>
        </is>
      </c>
      <c r="E338" t="n">
        <v>964</v>
      </c>
    </row>
    <row r="339">
      <c r="A339" t="inlineStr">
        <is>
          <t>27BBBBB00339Z5</t>
        </is>
      </c>
      <c r="B339" t="inlineStr">
        <is>
          <t>Dec-2018</t>
        </is>
      </c>
      <c r="C339" s="2" t="n">
        <v>44057</v>
      </c>
      <c r="D339" t="inlineStr">
        <is>
          <t>NIL</t>
        </is>
      </c>
      <c r="E339" t="n">
        <v>1634</v>
      </c>
    </row>
    <row r="340">
      <c r="A340" t="inlineStr">
        <is>
          <t>27BBBBB00340Z5</t>
        </is>
      </c>
      <c r="B340" t="inlineStr">
        <is>
          <t>Mar-2020</t>
        </is>
      </c>
      <c r="C340" s="2" t="n">
        <v>44813</v>
      </c>
      <c r="D340" t="inlineStr">
        <is>
          <t>NIL</t>
        </is>
      </c>
      <c r="E340" t="n">
        <v>2767</v>
      </c>
    </row>
    <row r="341">
      <c r="A341" t="inlineStr">
        <is>
          <t>27BBBBB00341Z5</t>
        </is>
      </c>
      <c r="B341" t="inlineStr">
        <is>
          <t>Nov-2017</t>
        </is>
      </c>
      <c r="C341" s="2" t="n">
        <v>44550</v>
      </c>
      <c r="D341" t="inlineStr">
        <is>
          <t>NON-NIL</t>
        </is>
      </c>
      <c r="E341" t="n">
        <v>1842</v>
      </c>
    </row>
    <row r="342">
      <c r="A342" t="inlineStr">
        <is>
          <t>27BBBBB00342Z5</t>
        </is>
      </c>
      <c r="B342" t="inlineStr">
        <is>
          <t>Apr-2020</t>
        </is>
      </c>
      <c r="C342" s="2" t="n">
        <v>44479</v>
      </c>
      <c r="D342" t="inlineStr">
        <is>
          <t>NIL</t>
        </is>
      </c>
      <c r="E342" t="n">
        <v>1465</v>
      </c>
    </row>
    <row r="343">
      <c r="A343" t="inlineStr">
        <is>
          <t>27BBBBB00343Z5</t>
        </is>
      </c>
      <c r="B343" t="inlineStr">
        <is>
          <t>Aug-2018</t>
        </is>
      </c>
      <c r="C343" s="2" t="n">
        <v>43551</v>
      </c>
      <c r="D343" t="inlineStr">
        <is>
          <t>NON-NIL</t>
        </is>
      </c>
      <c r="E343" t="n">
        <v>2700</v>
      </c>
    </row>
    <row r="344">
      <c r="A344" t="inlineStr">
        <is>
          <t>27BBBBB00344Z5</t>
        </is>
      </c>
      <c r="B344" t="inlineStr">
        <is>
          <t>Sep-2017</t>
        </is>
      </c>
      <c r="C344" s="2" t="n">
        <v>43059</v>
      </c>
      <c r="D344" t="inlineStr">
        <is>
          <t>NIL</t>
        </is>
      </c>
      <c r="E344" t="n">
        <v>1428</v>
      </c>
    </row>
    <row r="345">
      <c r="A345" t="inlineStr">
        <is>
          <t>27BBBBB00345Z5</t>
        </is>
      </c>
      <c r="B345" t="inlineStr">
        <is>
          <t>Apr-2018</t>
        </is>
      </c>
      <c r="C345" s="2" t="n">
        <v>44515</v>
      </c>
      <c r="D345" t="inlineStr">
        <is>
          <t>NON-NIL</t>
        </is>
      </c>
      <c r="E345" t="n">
        <v>2842</v>
      </c>
    </row>
    <row r="346">
      <c r="A346" t="inlineStr">
        <is>
          <t>27BBBBB00346Z5</t>
        </is>
      </c>
      <c r="B346" t="inlineStr">
        <is>
          <t>Dec-2017</t>
        </is>
      </c>
      <c r="C346" s="2" t="n">
        <v>43988</v>
      </c>
      <c r="D346" t="inlineStr">
        <is>
          <t>NON-NIL</t>
        </is>
      </c>
      <c r="E346" t="n">
        <v>1019</v>
      </c>
    </row>
    <row r="347">
      <c r="A347" t="inlineStr">
        <is>
          <t>27BBBBB00347Z5</t>
        </is>
      </c>
      <c r="B347" t="inlineStr">
        <is>
          <t>Mar-2020</t>
        </is>
      </c>
      <c r="C347" s="2" t="n">
        <v>44634</v>
      </c>
      <c r="D347" t="inlineStr">
        <is>
          <t>NIL</t>
        </is>
      </c>
      <c r="E347" t="n">
        <v>1254</v>
      </c>
    </row>
    <row r="348">
      <c r="A348" t="inlineStr">
        <is>
          <t>27BBBBB00348Z5</t>
        </is>
      </c>
      <c r="B348" t="inlineStr">
        <is>
          <t>Dec-2022</t>
        </is>
      </c>
      <c r="C348" s="2" t="n">
        <v>43534</v>
      </c>
      <c r="D348" t="inlineStr">
        <is>
          <t>NIL</t>
        </is>
      </c>
      <c r="E348" t="n">
        <v>948</v>
      </c>
    </row>
    <row r="349">
      <c r="A349" t="inlineStr">
        <is>
          <t>27BBBBB00349Z5</t>
        </is>
      </c>
      <c r="B349" t="inlineStr">
        <is>
          <t>Nov-2018</t>
        </is>
      </c>
      <c r="C349" s="2" t="n">
        <v>44355</v>
      </c>
      <c r="D349" t="inlineStr">
        <is>
          <t>NON-NIL</t>
        </is>
      </c>
      <c r="E349" t="n">
        <v>2551</v>
      </c>
    </row>
    <row r="350">
      <c r="A350" t="inlineStr">
        <is>
          <t>27BBBBB00350Z5</t>
        </is>
      </c>
      <c r="B350" t="inlineStr">
        <is>
          <t>Nov-2017</t>
        </is>
      </c>
      <c r="C350" s="2" t="n">
        <v>43034</v>
      </c>
      <c r="D350" t="inlineStr">
        <is>
          <t>NIL</t>
        </is>
      </c>
      <c r="E350" t="n">
        <v>288</v>
      </c>
    </row>
    <row r="351">
      <c r="A351" t="inlineStr">
        <is>
          <t>27BBBBB00351Z5</t>
        </is>
      </c>
      <c r="B351" t="inlineStr">
        <is>
          <t>Oct-2018</t>
        </is>
      </c>
      <c r="C351" s="2" t="n">
        <v>44214</v>
      </c>
      <c r="D351" t="inlineStr">
        <is>
          <t>NON-NIL</t>
        </is>
      </c>
      <c r="E351" t="n">
        <v>2551</v>
      </c>
    </row>
    <row r="352">
      <c r="A352" t="inlineStr">
        <is>
          <t>27BBBBB00352Z5</t>
        </is>
      </c>
      <c r="B352" t="inlineStr">
        <is>
          <t>Sep-2017</t>
        </is>
      </c>
      <c r="C352" s="2" t="n">
        <v>43452</v>
      </c>
      <c r="D352" t="inlineStr">
        <is>
          <t>NON-NIL</t>
        </is>
      </c>
      <c r="E352" t="n">
        <v>41</v>
      </c>
    </row>
    <row r="353">
      <c r="A353" t="inlineStr">
        <is>
          <t>27BBBBB00353Z5</t>
        </is>
      </c>
      <c r="B353" t="inlineStr">
        <is>
          <t>Apr-2020</t>
        </is>
      </c>
      <c r="C353" s="2" t="n">
        <v>43921</v>
      </c>
      <c r="D353" t="inlineStr">
        <is>
          <t>NIL</t>
        </is>
      </c>
      <c r="E353" t="n">
        <v>2682</v>
      </c>
    </row>
    <row r="354">
      <c r="A354" t="inlineStr">
        <is>
          <t>27BBBBB00354Z5</t>
        </is>
      </c>
      <c r="B354" t="inlineStr">
        <is>
          <t>Jan-2018</t>
        </is>
      </c>
      <c r="C354" s="2" t="n">
        <v>44191</v>
      </c>
      <c r="D354" t="inlineStr">
        <is>
          <t>NON-NIL</t>
        </is>
      </c>
      <c r="E354" t="n">
        <v>1963</v>
      </c>
    </row>
    <row r="355">
      <c r="A355" t="inlineStr">
        <is>
          <t>27BBBBB00355Z5</t>
        </is>
      </c>
      <c r="B355" t="inlineStr">
        <is>
          <t>Nov-2017</t>
        </is>
      </c>
      <c r="C355" s="2" t="n">
        <v>43984</v>
      </c>
      <c r="D355" t="inlineStr">
        <is>
          <t>NON-NIL</t>
        </is>
      </c>
      <c r="E355" t="n">
        <v>2521</v>
      </c>
    </row>
    <row r="356">
      <c r="A356" t="inlineStr">
        <is>
          <t>27BBBBB00356Z5</t>
        </is>
      </c>
      <c r="B356" t="inlineStr">
        <is>
          <t>Feb-2018</t>
        </is>
      </c>
      <c r="C356" s="2" t="n">
        <v>44176</v>
      </c>
      <c r="D356" t="inlineStr">
        <is>
          <t>NON-NIL</t>
        </is>
      </c>
      <c r="E356" t="n">
        <v>964</v>
      </c>
    </row>
    <row r="357">
      <c r="A357" t="inlineStr">
        <is>
          <t>27BBBBB00357Z5</t>
        </is>
      </c>
      <c r="B357" t="inlineStr">
        <is>
          <t>Mar-2020</t>
        </is>
      </c>
      <c r="C357" s="2" t="n">
        <v>44014</v>
      </c>
      <c r="D357" t="inlineStr">
        <is>
          <t>NIL</t>
        </is>
      </c>
      <c r="E357" t="n">
        <v>1568</v>
      </c>
    </row>
    <row r="358">
      <c r="A358" t="inlineStr">
        <is>
          <t>27BBBBB00358Z5</t>
        </is>
      </c>
      <c r="B358" t="inlineStr">
        <is>
          <t>Dec-2024</t>
        </is>
      </c>
      <c r="C358" s="2" t="n">
        <v>45435</v>
      </c>
      <c r="D358" t="inlineStr">
        <is>
          <t>NIL</t>
        </is>
      </c>
      <c r="E358" t="n">
        <v>901</v>
      </c>
    </row>
    <row r="359">
      <c r="A359" t="inlineStr">
        <is>
          <t>27BBBBB00359Z5</t>
        </is>
      </c>
      <c r="B359" t="inlineStr">
        <is>
          <t>Jan-2018</t>
        </is>
      </c>
      <c r="C359" s="2" t="n">
        <v>43981</v>
      </c>
      <c r="D359" t="inlineStr">
        <is>
          <t>NIL</t>
        </is>
      </c>
      <c r="E359" t="n">
        <v>1821</v>
      </c>
    </row>
    <row r="360">
      <c r="A360" t="inlineStr">
        <is>
          <t>27BBBBB00360Z5</t>
        </is>
      </c>
      <c r="B360" t="inlineStr">
        <is>
          <t>Jul-2018</t>
        </is>
      </c>
      <c r="C360" s="2" t="n">
        <v>43572</v>
      </c>
      <c r="D360" t="inlineStr">
        <is>
          <t>NIL</t>
        </is>
      </c>
      <c r="E360" t="n">
        <v>1210</v>
      </c>
    </row>
    <row r="361">
      <c r="A361" t="inlineStr">
        <is>
          <t>27BBBBB00361Z5</t>
        </is>
      </c>
      <c r="B361" t="inlineStr">
        <is>
          <t>Dec-2018</t>
        </is>
      </c>
      <c r="C361" s="2" t="n">
        <v>44288</v>
      </c>
      <c r="D361" t="inlineStr">
        <is>
          <t>NIL</t>
        </is>
      </c>
      <c r="E361" t="n">
        <v>729</v>
      </c>
    </row>
    <row r="362">
      <c r="A362" t="inlineStr">
        <is>
          <t>27BBBBB00362Z5</t>
        </is>
      </c>
      <c r="B362" t="inlineStr">
        <is>
          <t>Jul-2020</t>
        </is>
      </c>
      <c r="C362" s="2" t="n">
        <v>44445</v>
      </c>
      <c r="D362" t="inlineStr">
        <is>
          <t>NON-NIL</t>
        </is>
      </c>
      <c r="E362" t="n">
        <v>1602</v>
      </c>
    </row>
    <row r="363">
      <c r="A363" t="inlineStr">
        <is>
          <t>27BBBBB00363Z5</t>
        </is>
      </c>
      <c r="B363" t="inlineStr">
        <is>
          <t>Nov-2018</t>
        </is>
      </c>
      <c r="C363" s="2" t="n">
        <v>44178</v>
      </c>
      <c r="D363" t="inlineStr">
        <is>
          <t>NIL</t>
        </is>
      </c>
      <c r="E363" t="n">
        <v>964</v>
      </c>
    </row>
    <row r="364">
      <c r="A364" t="inlineStr">
        <is>
          <t>27BBBBB00364Z5</t>
        </is>
      </c>
      <c r="B364" t="inlineStr">
        <is>
          <t>Dec-2018</t>
        </is>
      </c>
      <c r="C364" s="2" t="n">
        <v>43658</v>
      </c>
      <c r="D364" t="inlineStr">
        <is>
          <t>NON-NIL</t>
        </is>
      </c>
      <c r="E364" t="n">
        <v>2967</v>
      </c>
    </row>
    <row r="365">
      <c r="A365" t="inlineStr">
        <is>
          <t>27BBBBB00365Z5</t>
        </is>
      </c>
      <c r="B365" t="inlineStr">
        <is>
          <t>May-2018</t>
        </is>
      </c>
      <c r="C365" s="2" t="n">
        <v>44430</v>
      </c>
      <c r="D365" t="inlineStr">
        <is>
          <t>NIL</t>
        </is>
      </c>
      <c r="E365" t="n">
        <v>111</v>
      </c>
    </row>
    <row r="366">
      <c r="A366" t="inlineStr">
        <is>
          <t>27BBBBB00366Z5</t>
        </is>
      </c>
      <c r="B366" t="inlineStr">
        <is>
          <t>Sep-2017</t>
        </is>
      </c>
      <c r="C366" s="2" t="n">
        <v>42920</v>
      </c>
      <c r="D366" t="inlineStr">
        <is>
          <t>NIL</t>
        </is>
      </c>
      <c r="E366" t="n">
        <v>2598</v>
      </c>
    </row>
    <row r="367">
      <c r="A367" t="inlineStr">
        <is>
          <t>27BBBBB00367Z5</t>
        </is>
      </c>
      <c r="B367" t="inlineStr">
        <is>
          <t>Jul-2020</t>
        </is>
      </c>
      <c r="C367" s="2" t="n">
        <v>44576</v>
      </c>
      <c r="D367" t="inlineStr">
        <is>
          <t>NON-NIL</t>
        </is>
      </c>
      <c r="E367" t="n">
        <v>1240</v>
      </c>
    </row>
    <row r="368">
      <c r="A368" t="inlineStr">
        <is>
          <t>27BBBBB00368Z5</t>
        </is>
      </c>
      <c r="B368" t="inlineStr">
        <is>
          <t>Mar-2021</t>
        </is>
      </c>
      <c r="C368" s="2" t="n">
        <v>44728</v>
      </c>
      <c r="D368" t="inlineStr">
        <is>
          <t>NON-NIL</t>
        </is>
      </c>
      <c r="E368" t="n">
        <v>2012</v>
      </c>
    </row>
    <row r="369">
      <c r="A369" t="inlineStr">
        <is>
          <t>27BBBBB00369Z5</t>
        </is>
      </c>
      <c r="B369" t="inlineStr">
        <is>
          <t>Apr-2020</t>
        </is>
      </c>
      <c r="C369" s="2" t="n">
        <v>44120</v>
      </c>
      <c r="D369" t="inlineStr">
        <is>
          <t>NIL</t>
        </is>
      </c>
      <c r="E369" t="n">
        <v>1829</v>
      </c>
    </row>
    <row r="370">
      <c r="A370" t="inlineStr">
        <is>
          <t>27BBBBB00370Z5</t>
        </is>
      </c>
      <c r="B370" t="inlineStr">
        <is>
          <t>Mar-2018</t>
        </is>
      </c>
      <c r="C370" s="2" t="n">
        <v>43033</v>
      </c>
      <c r="D370" t="inlineStr">
        <is>
          <t>NON-NIL</t>
        </is>
      </c>
      <c r="E370" t="n">
        <v>429</v>
      </c>
    </row>
    <row r="371">
      <c r="A371" t="inlineStr">
        <is>
          <t>27BBBBB00371Z5</t>
        </is>
      </c>
      <c r="B371" t="inlineStr">
        <is>
          <t>Dec-2022</t>
        </is>
      </c>
      <c r="C371" s="2" t="n">
        <v>45716</v>
      </c>
      <c r="D371" t="inlineStr">
        <is>
          <t>NON-NIL</t>
        </is>
      </c>
      <c r="E371" t="n">
        <v>57</v>
      </c>
    </row>
    <row r="372">
      <c r="A372" t="inlineStr">
        <is>
          <t>27BBBBB00372Z5</t>
        </is>
      </c>
      <c r="B372" t="inlineStr">
        <is>
          <t>Jan-2018</t>
        </is>
      </c>
      <c r="C372" s="2" t="n">
        <v>44306</v>
      </c>
      <c r="D372" t="inlineStr">
        <is>
          <t>NIL</t>
        </is>
      </c>
      <c r="E372" t="n">
        <v>696</v>
      </c>
    </row>
    <row r="373">
      <c r="A373" t="inlineStr">
        <is>
          <t>27BBBBB00373Z5</t>
        </is>
      </c>
      <c r="B373" t="inlineStr">
        <is>
          <t>Oct-2017</t>
        </is>
      </c>
      <c r="C373" s="2" t="n">
        <v>44396</v>
      </c>
      <c r="D373" t="inlineStr">
        <is>
          <t>NON-NIL</t>
        </is>
      </c>
      <c r="E373" t="n">
        <v>1868</v>
      </c>
    </row>
    <row r="374">
      <c r="A374" t="inlineStr">
        <is>
          <t>27BBBBB00374Z5</t>
        </is>
      </c>
      <c r="B374" t="inlineStr">
        <is>
          <t>May-2018</t>
        </is>
      </c>
      <c r="C374" s="2" t="n">
        <v>44177</v>
      </c>
      <c r="D374" t="inlineStr">
        <is>
          <t>NIL</t>
        </is>
      </c>
      <c r="E374" t="n">
        <v>548</v>
      </c>
    </row>
    <row r="375">
      <c r="A375" t="inlineStr">
        <is>
          <t>27BBBBB00375Z5</t>
        </is>
      </c>
      <c r="B375" t="inlineStr">
        <is>
          <t>Jun-2018</t>
        </is>
      </c>
      <c r="C375" s="2" t="n">
        <v>44509</v>
      </c>
      <c r="D375" t="inlineStr">
        <is>
          <t>NON-NIL</t>
        </is>
      </c>
      <c r="E375" t="n">
        <v>2568</v>
      </c>
    </row>
    <row r="376">
      <c r="A376" t="inlineStr">
        <is>
          <t>27BBBBB00376Z5</t>
        </is>
      </c>
      <c r="B376" t="inlineStr">
        <is>
          <t>Apr-2020</t>
        </is>
      </c>
      <c r="C376" s="2" t="n">
        <v>44915</v>
      </c>
      <c r="D376" t="inlineStr">
        <is>
          <t>NIL</t>
        </is>
      </c>
      <c r="E376" t="n">
        <v>2351</v>
      </c>
    </row>
    <row r="377">
      <c r="A377" t="inlineStr">
        <is>
          <t>27BBBBB00377Z5</t>
        </is>
      </c>
      <c r="B377" t="inlineStr">
        <is>
          <t>Sep-2017</t>
        </is>
      </c>
      <c r="C377" s="2" t="n">
        <v>42970</v>
      </c>
      <c r="D377" t="inlineStr">
        <is>
          <t>NIL</t>
        </is>
      </c>
      <c r="E377" t="n">
        <v>720</v>
      </c>
    </row>
    <row r="378">
      <c r="A378" t="inlineStr">
        <is>
          <t>27BBBBB00378Z5</t>
        </is>
      </c>
      <c r="B378" t="inlineStr">
        <is>
          <t>Jul-2017</t>
        </is>
      </c>
      <c r="C378" s="2" t="n">
        <v>44332</v>
      </c>
      <c r="D378" t="inlineStr">
        <is>
          <t>NON-NIL</t>
        </is>
      </c>
      <c r="E378" t="n">
        <v>433</v>
      </c>
    </row>
    <row r="379">
      <c r="A379" t="inlineStr">
        <is>
          <t>27BBBBB00379Z5</t>
        </is>
      </c>
      <c r="B379" t="inlineStr">
        <is>
          <t>Jan-2021</t>
        </is>
      </c>
      <c r="C379" s="2" t="n">
        <v>43679</v>
      </c>
      <c r="D379" t="inlineStr">
        <is>
          <t>NIL</t>
        </is>
      </c>
      <c r="E379" t="n">
        <v>2621</v>
      </c>
    </row>
    <row r="380">
      <c r="A380" t="inlineStr">
        <is>
          <t>27BBBBB00380Z5</t>
        </is>
      </c>
      <c r="B380" t="inlineStr">
        <is>
          <t>Oct-2018</t>
        </is>
      </c>
      <c r="C380" s="2" t="n">
        <v>43185</v>
      </c>
      <c r="D380" t="inlineStr">
        <is>
          <t>NIL</t>
        </is>
      </c>
      <c r="E380" t="n">
        <v>224</v>
      </c>
    </row>
    <row r="381">
      <c r="A381" t="inlineStr">
        <is>
          <t>27BBBBB00381Z5</t>
        </is>
      </c>
      <c r="B381" t="inlineStr">
        <is>
          <t>Nov-2017</t>
        </is>
      </c>
      <c r="C381" s="2" t="n">
        <v>44457</v>
      </c>
      <c r="D381" t="inlineStr">
        <is>
          <t>NON-NIL</t>
        </is>
      </c>
      <c r="E381" t="n">
        <v>705</v>
      </c>
    </row>
    <row r="382">
      <c r="A382" t="inlineStr">
        <is>
          <t>27BBBBB00382Z5</t>
        </is>
      </c>
      <c r="B382" t="inlineStr">
        <is>
          <t>Apr-2020</t>
        </is>
      </c>
      <c r="C382" s="2" t="n">
        <v>44530</v>
      </c>
      <c r="D382" t="inlineStr">
        <is>
          <t>NON-NIL</t>
        </is>
      </c>
      <c r="E382" t="n">
        <v>1338</v>
      </c>
    </row>
    <row r="383">
      <c r="A383" t="inlineStr">
        <is>
          <t>27BBBBB00383Z5</t>
        </is>
      </c>
      <c r="B383" t="inlineStr">
        <is>
          <t>Jun-2018</t>
        </is>
      </c>
      <c r="C383" s="2" t="n">
        <v>43151</v>
      </c>
      <c r="D383" t="inlineStr">
        <is>
          <t>NIL</t>
        </is>
      </c>
      <c r="E383" t="n">
        <v>1766</v>
      </c>
    </row>
    <row r="384">
      <c r="A384" t="inlineStr">
        <is>
          <t>27BBBBB00384Z5</t>
        </is>
      </c>
      <c r="B384" t="inlineStr">
        <is>
          <t>Jan-2018</t>
        </is>
      </c>
      <c r="C384" s="2" t="n">
        <v>43865</v>
      </c>
      <c r="D384" t="inlineStr">
        <is>
          <t>NIL</t>
        </is>
      </c>
      <c r="E384" t="n">
        <v>2636</v>
      </c>
    </row>
    <row r="385">
      <c r="A385" t="inlineStr">
        <is>
          <t>27BBBBB00385Z5</t>
        </is>
      </c>
      <c r="B385" t="inlineStr">
        <is>
          <t>Aug-2017</t>
        </is>
      </c>
      <c r="C385" s="2" t="n">
        <v>43928</v>
      </c>
      <c r="D385" t="inlineStr">
        <is>
          <t>NON-NIL</t>
        </is>
      </c>
      <c r="E385" t="n">
        <v>2683</v>
      </c>
    </row>
    <row r="386">
      <c r="A386" t="inlineStr">
        <is>
          <t>27BBBBB00386Z5</t>
        </is>
      </c>
      <c r="B386" t="inlineStr">
        <is>
          <t>Jan-2021</t>
        </is>
      </c>
      <c r="C386" s="2" t="n">
        <v>44332</v>
      </c>
      <c r="D386" t="inlineStr">
        <is>
          <t>NIL</t>
        </is>
      </c>
      <c r="E386" t="n">
        <v>2875</v>
      </c>
    </row>
    <row r="387">
      <c r="A387" t="inlineStr">
        <is>
          <t>27BBBBB00387Z5</t>
        </is>
      </c>
      <c r="B387" t="inlineStr">
        <is>
          <t>Jul-2017</t>
        </is>
      </c>
      <c r="C387" s="2" t="n">
        <v>44548</v>
      </c>
      <c r="D387" t="inlineStr">
        <is>
          <t>NIL</t>
        </is>
      </c>
      <c r="E387" t="n">
        <v>648</v>
      </c>
    </row>
    <row r="388">
      <c r="A388" t="inlineStr">
        <is>
          <t>27BBBBB00388Z5</t>
        </is>
      </c>
      <c r="B388" t="inlineStr">
        <is>
          <t>Jun-2018</t>
        </is>
      </c>
      <c r="C388" s="2" t="n">
        <v>43128</v>
      </c>
      <c r="D388" t="inlineStr">
        <is>
          <t>NON-NIL</t>
        </is>
      </c>
      <c r="E388" t="n">
        <v>1585</v>
      </c>
    </row>
    <row r="389">
      <c r="A389" t="inlineStr">
        <is>
          <t>27BBBBB00389Z5</t>
        </is>
      </c>
      <c r="B389" t="inlineStr">
        <is>
          <t>Aug-2018</t>
        </is>
      </c>
      <c r="C389" s="2" t="n">
        <v>43811</v>
      </c>
      <c r="D389" t="inlineStr">
        <is>
          <t>NIL</t>
        </is>
      </c>
      <c r="E389" t="n">
        <v>483</v>
      </c>
    </row>
    <row r="390">
      <c r="A390" t="inlineStr">
        <is>
          <t>27BBBBB00390Z5</t>
        </is>
      </c>
      <c r="B390" t="inlineStr">
        <is>
          <t>Dec-2017</t>
        </is>
      </c>
      <c r="C390" s="2" t="n">
        <v>43918</v>
      </c>
      <c r="D390" t="inlineStr">
        <is>
          <t>NON-NIL</t>
        </is>
      </c>
      <c r="E390" t="n">
        <v>1711</v>
      </c>
    </row>
    <row r="391">
      <c r="A391" t="inlineStr">
        <is>
          <t>27BBBBB00391Z5</t>
        </is>
      </c>
      <c r="B391" t="inlineStr">
        <is>
          <t>Dec-2017</t>
        </is>
      </c>
      <c r="C391" s="2" t="n">
        <v>43119</v>
      </c>
      <c r="D391" t="inlineStr">
        <is>
          <t>NIL</t>
        </is>
      </c>
      <c r="E391" t="n">
        <v>876</v>
      </c>
    </row>
    <row r="392">
      <c r="A392" t="inlineStr">
        <is>
          <t>27BBBBB00392Z5</t>
        </is>
      </c>
      <c r="B392" t="inlineStr">
        <is>
          <t>Apr-2018</t>
        </is>
      </c>
      <c r="C392" s="2" t="n">
        <v>43663</v>
      </c>
      <c r="D392" t="inlineStr">
        <is>
          <t>NON-NIL</t>
        </is>
      </c>
      <c r="E392" t="n">
        <v>2300</v>
      </c>
    </row>
    <row r="393">
      <c r="A393" t="inlineStr">
        <is>
          <t>27BBBBB00393Z5</t>
        </is>
      </c>
      <c r="B393" t="inlineStr">
        <is>
          <t>Dec-2017</t>
        </is>
      </c>
      <c r="C393" s="2" t="n">
        <v>44225</v>
      </c>
      <c r="D393" t="inlineStr">
        <is>
          <t>NON-NIL</t>
        </is>
      </c>
      <c r="E393" t="n">
        <v>1629</v>
      </c>
    </row>
    <row r="394">
      <c r="A394" t="inlineStr">
        <is>
          <t>27BBBBB00394Z5</t>
        </is>
      </c>
      <c r="B394" t="inlineStr">
        <is>
          <t>Jun-2018</t>
        </is>
      </c>
      <c r="C394" s="2" t="n">
        <v>43731</v>
      </c>
      <c r="D394" t="inlineStr">
        <is>
          <t>NIL</t>
        </is>
      </c>
      <c r="E394" t="n">
        <v>261</v>
      </c>
    </row>
    <row r="395">
      <c r="A395" t="inlineStr">
        <is>
          <t>27BBBBB00395Z5</t>
        </is>
      </c>
      <c r="B395" t="inlineStr">
        <is>
          <t>Mar-2020</t>
        </is>
      </c>
      <c r="C395" s="2" t="n">
        <v>44181</v>
      </c>
      <c r="D395" t="inlineStr">
        <is>
          <t>NON-NIL</t>
        </is>
      </c>
      <c r="E395" t="n">
        <v>2450</v>
      </c>
    </row>
    <row r="396">
      <c r="A396" t="inlineStr">
        <is>
          <t>27BBBBB00396Z5</t>
        </is>
      </c>
      <c r="B396" t="inlineStr">
        <is>
          <t>Aug-2017</t>
        </is>
      </c>
      <c r="C396" s="2" t="n">
        <v>44111</v>
      </c>
      <c r="D396" t="inlineStr">
        <is>
          <t>NON-NIL</t>
        </is>
      </c>
      <c r="E396" t="n">
        <v>1216</v>
      </c>
    </row>
    <row r="397">
      <c r="A397" t="inlineStr">
        <is>
          <t>27BBBBB00397Z5</t>
        </is>
      </c>
      <c r="B397" t="inlineStr">
        <is>
          <t>Sep-2017</t>
        </is>
      </c>
      <c r="C397" s="2" t="n">
        <v>44454</v>
      </c>
      <c r="D397" t="inlineStr">
        <is>
          <t>NON-NIL</t>
        </is>
      </c>
      <c r="E397" t="n">
        <v>2041</v>
      </c>
    </row>
    <row r="398">
      <c r="A398" t="inlineStr">
        <is>
          <t>27BBBBB00398Z5</t>
        </is>
      </c>
      <c r="B398" t="inlineStr">
        <is>
          <t>Jun-2018</t>
        </is>
      </c>
      <c r="C398" s="2" t="n">
        <v>43343</v>
      </c>
      <c r="D398" t="inlineStr">
        <is>
          <t>NON-NIL</t>
        </is>
      </c>
      <c r="E398" t="n">
        <v>1751</v>
      </c>
    </row>
    <row r="399">
      <c r="A399" t="inlineStr">
        <is>
          <t>27BBBBB00399Z5</t>
        </is>
      </c>
      <c r="B399" t="inlineStr">
        <is>
          <t>Dec-2024</t>
        </is>
      </c>
      <c r="C399" s="2" t="n">
        <v>44268</v>
      </c>
      <c r="D399" t="inlineStr">
        <is>
          <t>NON-NIL</t>
        </is>
      </c>
      <c r="E399" t="n">
        <v>2275</v>
      </c>
    </row>
    <row r="400">
      <c r="A400" t="inlineStr">
        <is>
          <t>27BBBBB00400Z5</t>
        </is>
      </c>
      <c r="B400" t="inlineStr">
        <is>
          <t>Jul-2020</t>
        </is>
      </c>
      <c r="C400" s="2" t="n">
        <v>44190</v>
      </c>
      <c r="D400" t="inlineStr">
        <is>
          <t>NON-NIL</t>
        </is>
      </c>
      <c r="E400" t="n">
        <v>1709</v>
      </c>
    </row>
    <row r="401">
      <c r="A401" t="inlineStr">
        <is>
          <t>27BBBBB00401Z5</t>
        </is>
      </c>
      <c r="B401" t="inlineStr">
        <is>
          <t>Apr-2018</t>
        </is>
      </c>
      <c r="C401" s="2" t="n">
        <v>44493</v>
      </c>
      <c r="D401" t="inlineStr">
        <is>
          <t>NON-NIL</t>
        </is>
      </c>
      <c r="E401" t="n">
        <v>2225</v>
      </c>
    </row>
    <row r="402">
      <c r="A402" t="inlineStr">
        <is>
          <t>27BBBBB00402Z5</t>
        </is>
      </c>
      <c r="B402" t="inlineStr">
        <is>
          <t>Aug-2018</t>
        </is>
      </c>
      <c r="C402" s="2" t="n">
        <v>43555</v>
      </c>
      <c r="D402" t="inlineStr">
        <is>
          <t>NON-NIL</t>
        </is>
      </c>
      <c r="E402" t="n">
        <v>1789</v>
      </c>
    </row>
    <row r="403">
      <c r="A403" t="inlineStr">
        <is>
          <t>27BBBBB00403Z5</t>
        </is>
      </c>
      <c r="B403" t="inlineStr">
        <is>
          <t>Aug-2018</t>
        </is>
      </c>
      <c r="C403" s="2" t="n">
        <v>44112</v>
      </c>
      <c r="D403" t="inlineStr">
        <is>
          <t>NON-NIL</t>
        </is>
      </c>
      <c r="E403" t="n">
        <v>2719</v>
      </c>
    </row>
    <row r="404">
      <c r="A404" t="inlineStr">
        <is>
          <t>27BBBBB00404Z5</t>
        </is>
      </c>
      <c r="B404" t="inlineStr">
        <is>
          <t>May-2018</t>
        </is>
      </c>
      <c r="C404" s="2" t="n">
        <v>44303</v>
      </c>
      <c r="D404" t="inlineStr">
        <is>
          <t>NON-NIL</t>
        </is>
      </c>
      <c r="E404" t="n">
        <v>1991</v>
      </c>
    </row>
    <row r="405">
      <c r="A405" t="inlineStr">
        <is>
          <t>27BBBBB00405Z5</t>
        </is>
      </c>
      <c r="B405" t="inlineStr">
        <is>
          <t>Jan-2021</t>
        </is>
      </c>
      <c r="C405" s="2" t="n">
        <v>43484</v>
      </c>
      <c r="D405" t="inlineStr">
        <is>
          <t>NON-NIL</t>
        </is>
      </c>
      <c r="E405" t="n">
        <v>481</v>
      </c>
    </row>
    <row r="406">
      <c r="A406" t="inlineStr">
        <is>
          <t>27BBBBB00406Z5</t>
        </is>
      </c>
      <c r="B406" t="inlineStr">
        <is>
          <t>Dec-2018</t>
        </is>
      </c>
      <c r="C406" s="2" t="n">
        <v>43750</v>
      </c>
      <c r="D406" t="inlineStr">
        <is>
          <t>NON-NIL</t>
        </is>
      </c>
      <c r="E406" t="n">
        <v>214</v>
      </c>
    </row>
    <row r="407">
      <c r="A407" t="inlineStr">
        <is>
          <t>27BBBBB00407Z5</t>
        </is>
      </c>
      <c r="B407" t="inlineStr">
        <is>
          <t>Jul-2018</t>
        </is>
      </c>
      <c r="C407" s="2" t="n">
        <v>43867</v>
      </c>
      <c r="D407" t="inlineStr">
        <is>
          <t>NON-NIL</t>
        </is>
      </c>
      <c r="E407" t="n">
        <v>1147</v>
      </c>
    </row>
    <row r="408">
      <c r="A408" t="inlineStr">
        <is>
          <t>27BBBBB00408Z5</t>
        </is>
      </c>
      <c r="B408" t="inlineStr">
        <is>
          <t>Dec-2024</t>
        </is>
      </c>
      <c r="C408" s="2" t="n">
        <v>44846</v>
      </c>
      <c r="D408" t="inlineStr">
        <is>
          <t>NIL</t>
        </is>
      </c>
      <c r="E408" t="n">
        <v>407</v>
      </c>
    </row>
    <row r="409">
      <c r="A409" t="inlineStr">
        <is>
          <t>27BBBBB00409Z5</t>
        </is>
      </c>
      <c r="B409" t="inlineStr">
        <is>
          <t>Jun-2018</t>
        </is>
      </c>
      <c r="C409" s="2" t="n">
        <v>44116</v>
      </c>
      <c r="D409" t="inlineStr">
        <is>
          <t>NIL</t>
        </is>
      </c>
      <c r="E409" t="n">
        <v>1282</v>
      </c>
    </row>
    <row r="410">
      <c r="A410" t="inlineStr">
        <is>
          <t>27BBBBB00410Z5</t>
        </is>
      </c>
      <c r="B410" t="inlineStr">
        <is>
          <t>Apr-2020</t>
        </is>
      </c>
      <c r="C410" s="2" t="n">
        <v>44112</v>
      </c>
      <c r="D410" t="inlineStr">
        <is>
          <t>NON-NIL</t>
        </is>
      </c>
      <c r="E410" t="n">
        <v>1690</v>
      </c>
    </row>
    <row r="411">
      <c r="A411" t="inlineStr">
        <is>
          <t>27BBBBB00411Z5</t>
        </is>
      </c>
      <c r="B411" t="inlineStr">
        <is>
          <t>Nov-2018</t>
        </is>
      </c>
      <c r="C411" s="2" t="n">
        <v>43851</v>
      </c>
      <c r="D411" t="inlineStr">
        <is>
          <t>NIL</t>
        </is>
      </c>
      <c r="E411" t="n">
        <v>1271</v>
      </c>
    </row>
    <row r="412">
      <c r="A412" t="inlineStr">
        <is>
          <t>27BBBBB00412Z5</t>
        </is>
      </c>
      <c r="B412" t="inlineStr">
        <is>
          <t>Dec-2024</t>
        </is>
      </c>
      <c r="C412" s="2" t="n">
        <v>44144</v>
      </c>
      <c r="D412" t="inlineStr">
        <is>
          <t>NON-NIL</t>
        </is>
      </c>
      <c r="E412" t="n">
        <v>1074</v>
      </c>
    </row>
    <row r="413">
      <c r="A413" t="inlineStr">
        <is>
          <t>27BBBBB00413Z5</t>
        </is>
      </c>
      <c r="B413" t="inlineStr">
        <is>
          <t>Jul-2018</t>
        </is>
      </c>
      <c r="C413" s="2" t="n">
        <v>44167</v>
      </c>
      <c r="D413" t="inlineStr">
        <is>
          <t>NON-NIL</t>
        </is>
      </c>
      <c r="E413" t="n">
        <v>2528</v>
      </c>
    </row>
    <row r="414">
      <c r="A414" t="inlineStr">
        <is>
          <t>27BBBBB00414Z5</t>
        </is>
      </c>
      <c r="B414" t="inlineStr">
        <is>
          <t>Jun-2018</t>
        </is>
      </c>
      <c r="C414" s="2" t="n">
        <v>43011</v>
      </c>
      <c r="D414" t="inlineStr">
        <is>
          <t>NIL</t>
        </is>
      </c>
      <c r="E414" t="n">
        <v>1226</v>
      </c>
    </row>
    <row r="415">
      <c r="A415" t="inlineStr">
        <is>
          <t>27BBBBB00415Z5</t>
        </is>
      </c>
      <c r="B415" t="inlineStr">
        <is>
          <t>Jul-2020</t>
        </is>
      </c>
      <c r="C415" s="2" t="n">
        <v>44644</v>
      </c>
      <c r="D415" t="inlineStr">
        <is>
          <t>NON-NIL</t>
        </is>
      </c>
      <c r="E415" t="n">
        <v>27</v>
      </c>
    </row>
    <row r="416">
      <c r="A416" t="inlineStr">
        <is>
          <t>27BBBBB00416Z5</t>
        </is>
      </c>
      <c r="B416" t="inlineStr">
        <is>
          <t>Jul-2020</t>
        </is>
      </c>
      <c r="C416" s="2" t="n">
        <v>44629</v>
      </c>
      <c r="D416" t="inlineStr">
        <is>
          <t>NIL</t>
        </is>
      </c>
      <c r="E416" t="n">
        <v>2077</v>
      </c>
    </row>
    <row r="417">
      <c r="A417" t="inlineStr">
        <is>
          <t>27BBBBB00417Z5</t>
        </is>
      </c>
      <c r="B417" t="inlineStr">
        <is>
          <t>Jul-2020</t>
        </is>
      </c>
      <c r="C417" s="2" t="n">
        <v>44206</v>
      </c>
      <c r="D417" t="inlineStr">
        <is>
          <t>NON-NIL</t>
        </is>
      </c>
      <c r="E417" t="n">
        <v>129</v>
      </c>
    </row>
    <row r="418">
      <c r="A418" t="inlineStr">
        <is>
          <t>27BBBBB00418Z5</t>
        </is>
      </c>
      <c r="B418" t="inlineStr">
        <is>
          <t>Jul-2020</t>
        </is>
      </c>
      <c r="C418" s="2" t="n">
        <v>44436</v>
      </c>
      <c r="D418" t="inlineStr">
        <is>
          <t>NIL</t>
        </is>
      </c>
      <c r="E418" t="n">
        <v>1710</v>
      </c>
    </row>
    <row r="419">
      <c r="A419" t="inlineStr">
        <is>
          <t>27BBBBB00419Z5</t>
        </is>
      </c>
      <c r="B419" t="inlineStr">
        <is>
          <t>Nov-2017</t>
        </is>
      </c>
      <c r="C419" s="2" t="n">
        <v>44479</v>
      </c>
      <c r="D419" t="inlineStr">
        <is>
          <t>NON-NIL</t>
        </is>
      </c>
      <c r="E419" t="n">
        <v>1352</v>
      </c>
    </row>
    <row r="420">
      <c r="A420" t="inlineStr">
        <is>
          <t>27BBBBB00420Z5</t>
        </is>
      </c>
      <c r="B420" t="inlineStr">
        <is>
          <t>Jul-2017</t>
        </is>
      </c>
      <c r="C420" s="2" t="n">
        <v>44552</v>
      </c>
      <c r="D420" t="inlineStr">
        <is>
          <t>NIL</t>
        </is>
      </c>
      <c r="E420" t="n">
        <v>113</v>
      </c>
    </row>
    <row r="421">
      <c r="A421" t="inlineStr">
        <is>
          <t>27BBBBB00421Z5</t>
        </is>
      </c>
      <c r="B421" t="inlineStr">
        <is>
          <t>May-2020</t>
        </is>
      </c>
      <c r="C421" s="2" t="n">
        <v>44154</v>
      </c>
      <c r="D421" t="inlineStr">
        <is>
          <t>NIL</t>
        </is>
      </c>
      <c r="E421" t="n">
        <v>1370</v>
      </c>
    </row>
    <row r="422">
      <c r="A422" t="inlineStr">
        <is>
          <t>27BBBBB00422Z5</t>
        </is>
      </c>
      <c r="B422" t="inlineStr">
        <is>
          <t>Dec-2017</t>
        </is>
      </c>
      <c r="C422" s="2" t="n">
        <v>43142</v>
      </c>
      <c r="D422" t="inlineStr">
        <is>
          <t>NIL</t>
        </is>
      </c>
      <c r="E422" t="n">
        <v>918</v>
      </c>
    </row>
    <row r="423">
      <c r="A423" t="inlineStr">
        <is>
          <t>27BBBBB00423Z5</t>
        </is>
      </c>
      <c r="B423" t="inlineStr">
        <is>
          <t>Dec-2018</t>
        </is>
      </c>
      <c r="C423" s="2" t="n">
        <v>42942</v>
      </c>
      <c r="D423" t="inlineStr">
        <is>
          <t>NIL</t>
        </is>
      </c>
      <c r="E423" t="n">
        <v>2379</v>
      </c>
    </row>
    <row r="424">
      <c r="A424" t="inlineStr">
        <is>
          <t>27BBBBB00424Z5</t>
        </is>
      </c>
      <c r="B424" t="inlineStr">
        <is>
          <t>Mar-2023</t>
        </is>
      </c>
      <c r="C424" s="2" t="n">
        <v>44619</v>
      </c>
      <c r="D424" t="inlineStr">
        <is>
          <t>NON-NIL</t>
        </is>
      </c>
      <c r="E424" t="n">
        <v>2866</v>
      </c>
    </row>
    <row r="425">
      <c r="A425" t="inlineStr">
        <is>
          <t>27BBBBB00425Z5</t>
        </is>
      </c>
      <c r="B425" t="inlineStr">
        <is>
          <t>Mar-2023</t>
        </is>
      </c>
      <c r="C425" s="2" t="n">
        <v>45031</v>
      </c>
      <c r="D425" t="inlineStr">
        <is>
          <t>NIL</t>
        </is>
      </c>
      <c r="E425" t="n">
        <v>2017</v>
      </c>
    </row>
    <row r="426">
      <c r="A426" t="inlineStr">
        <is>
          <t>27BBBBB00426Z5</t>
        </is>
      </c>
      <c r="B426" t="inlineStr">
        <is>
          <t>Jul-2018</t>
        </is>
      </c>
      <c r="C426" s="2" t="n">
        <v>43415</v>
      </c>
      <c r="D426" t="inlineStr">
        <is>
          <t>NON-NIL</t>
        </is>
      </c>
      <c r="E426" t="n">
        <v>2944</v>
      </c>
    </row>
    <row r="427">
      <c r="A427" t="inlineStr">
        <is>
          <t>27BBBBB00427Z5</t>
        </is>
      </c>
      <c r="B427" t="inlineStr">
        <is>
          <t>Oct-2017</t>
        </is>
      </c>
      <c r="C427" s="2" t="n">
        <v>43518</v>
      </c>
      <c r="D427" t="inlineStr">
        <is>
          <t>NON-NIL</t>
        </is>
      </c>
      <c r="E427" t="n">
        <v>1079</v>
      </c>
    </row>
    <row r="428">
      <c r="A428" t="inlineStr">
        <is>
          <t>27BBBBB00428Z5</t>
        </is>
      </c>
      <c r="B428" t="inlineStr">
        <is>
          <t>Mar-2020</t>
        </is>
      </c>
      <c r="C428" s="2" t="n">
        <v>44796</v>
      </c>
      <c r="D428" t="inlineStr">
        <is>
          <t>NIL</t>
        </is>
      </c>
      <c r="E428" t="n">
        <v>1290</v>
      </c>
    </row>
    <row r="429">
      <c r="A429" t="inlineStr">
        <is>
          <t>27BBBBB00429Z5</t>
        </is>
      </c>
      <c r="B429" t="inlineStr">
        <is>
          <t>Jun-2020</t>
        </is>
      </c>
      <c r="C429" s="2" t="n">
        <v>44030</v>
      </c>
      <c r="D429" t="inlineStr">
        <is>
          <t>NIL</t>
        </is>
      </c>
      <c r="E429" t="n">
        <v>2756</v>
      </c>
    </row>
    <row r="430">
      <c r="A430" t="inlineStr">
        <is>
          <t>27BBBBB00430Z5</t>
        </is>
      </c>
      <c r="B430" t="inlineStr">
        <is>
          <t>Apr-2020</t>
        </is>
      </c>
      <c r="C430" s="2" t="n">
        <v>44504</v>
      </c>
      <c r="D430" t="inlineStr">
        <is>
          <t>NON-NIL</t>
        </is>
      </c>
      <c r="E430" t="n">
        <v>1514</v>
      </c>
    </row>
    <row r="431">
      <c r="A431" t="inlineStr">
        <is>
          <t>27BBBBB00431Z5</t>
        </is>
      </c>
      <c r="B431" t="inlineStr">
        <is>
          <t>Mar-2021</t>
        </is>
      </c>
      <c r="C431" s="2" t="n">
        <v>45761</v>
      </c>
      <c r="D431" t="inlineStr">
        <is>
          <t>NIL</t>
        </is>
      </c>
      <c r="E431" t="n">
        <v>2990</v>
      </c>
    </row>
    <row r="432">
      <c r="A432" t="inlineStr">
        <is>
          <t>27BBBBB00432Z5</t>
        </is>
      </c>
      <c r="B432" t="inlineStr">
        <is>
          <t>Dec-2018</t>
        </is>
      </c>
      <c r="C432" s="2" t="n">
        <v>43558</v>
      </c>
      <c r="D432" t="inlineStr">
        <is>
          <t>NIL</t>
        </is>
      </c>
      <c r="E432" t="n">
        <v>2588</v>
      </c>
    </row>
    <row r="433">
      <c r="A433" t="inlineStr">
        <is>
          <t>27BBBBB00433Z5</t>
        </is>
      </c>
      <c r="B433" t="inlineStr">
        <is>
          <t>Dec-2024</t>
        </is>
      </c>
      <c r="C433" s="2" t="n">
        <v>44395</v>
      </c>
      <c r="D433" t="inlineStr">
        <is>
          <t>NON-NIL</t>
        </is>
      </c>
      <c r="E433" t="n">
        <v>2048</v>
      </c>
    </row>
    <row r="434">
      <c r="A434" t="inlineStr">
        <is>
          <t>27BBBBB00434Z5</t>
        </is>
      </c>
      <c r="B434" t="inlineStr">
        <is>
          <t>Dec-2024</t>
        </is>
      </c>
      <c r="C434" s="2" t="n">
        <v>44667</v>
      </c>
      <c r="D434" t="inlineStr">
        <is>
          <t>NIL</t>
        </is>
      </c>
      <c r="E434" t="n">
        <v>1774</v>
      </c>
    </row>
    <row r="435">
      <c r="A435" t="inlineStr">
        <is>
          <t>27BBBBB00435Z5</t>
        </is>
      </c>
      <c r="B435" t="inlineStr">
        <is>
          <t>Mar-2020</t>
        </is>
      </c>
      <c r="C435" s="2" t="n">
        <v>44542</v>
      </c>
      <c r="D435" t="inlineStr">
        <is>
          <t>NIL</t>
        </is>
      </c>
      <c r="E435" t="n">
        <v>1426</v>
      </c>
    </row>
    <row r="436">
      <c r="A436" t="inlineStr">
        <is>
          <t>27BBBBB00436Z5</t>
        </is>
      </c>
      <c r="B436" t="inlineStr">
        <is>
          <t>Mar-2021</t>
        </is>
      </c>
      <c r="C436" s="2" t="n">
        <v>44857</v>
      </c>
      <c r="D436" t="inlineStr">
        <is>
          <t>NIL</t>
        </is>
      </c>
      <c r="E436" t="n">
        <v>546</v>
      </c>
    </row>
    <row r="437">
      <c r="A437" t="inlineStr">
        <is>
          <t>27BBBBB00437Z5</t>
        </is>
      </c>
      <c r="B437" t="inlineStr">
        <is>
          <t>Dec-2018</t>
        </is>
      </c>
      <c r="C437" s="2" t="n">
        <v>44382</v>
      </c>
      <c r="D437" t="inlineStr">
        <is>
          <t>NON-NIL</t>
        </is>
      </c>
      <c r="E437" t="n">
        <v>2671</v>
      </c>
    </row>
    <row r="438">
      <c r="A438" t="inlineStr">
        <is>
          <t>27BBBBB00438Z5</t>
        </is>
      </c>
      <c r="B438" t="inlineStr">
        <is>
          <t>Jun-2020</t>
        </is>
      </c>
      <c r="C438" s="2" t="n">
        <v>44489</v>
      </c>
      <c r="D438" t="inlineStr">
        <is>
          <t>NIL</t>
        </is>
      </c>
      <c r="E438" t="n">
        <v>531</v>
      </c>
    </row>
    <row r="439">
      <c r="A439" t="inlineStr">
        <is>
          <t>27BBBBB00439Z5</t>
        </is>
      </c>
      <c r="B439" t="inlineStr">
        <is>
          <t>Jul-2017</t>
        </is>
      </c>
      <c r="C439" s="2" t="n">
        <v>44087</v>
      </c>
      <c r="D439" t="inlineStr">
        <is>
          <t>NIL</t>
        </is>
      </c>
      <c r="E439" t="n">
        <v>269</v>
      </c>
    </row>
    <row r="440">
      <c r="A440" t="inlineStr">
        <is>
          <t>27BBBBB00440Z5</t>
        </is>
      </c>
      <c r="B440" t="inlineStr">
        <is>
          <t>Dec-2018</t>
        </is>
      </c>
      <c r="C440" s="2" t="n">
        <v>43100</v>
      </c>
      <c r="D440" t="inlineStr">
        <is>
          <t>NON-NIL</t>
        </is>
      </c>
      <c r="E440" t="n">
        <v>2733</v>
      </c>
    </row>
    <row r="441">
      <c r="A441" t="inlineStr">
        <is>
          <t>27BBBBB00441Z5</t>
        </is>
      </c>
      <c r="B441" t="inlineStr">
        <is>
          <t>Apr-2018</t>
        </is>
      </c>
      <c r="C441" s="2" t="n">
        <v>44461</v>
      </c>
      <c r="D441" t="inlineStr">
        <is>
          <t>NON-NIL</t>
        </is>
      </c>
      <c r="E441" t="n">
        <v>1021</v>
      </c>
    </row>
    <row r="442">
      <c r="A442" t="inlineStr">
        <is>
          <t>27BBBBB00442Z5</t>
        </is>
      </c>
      <c r="B442" t="inlineStr">
        <is>
          <t>Mar-2021</t>
        </is>
      </c>
      <c r="C442" s="2" t="n">
        <v>43725</v>
      </c>
      <c r="D442" t="inlineStr">
        <is>
          <t>NIL</t>
        </is>
      </c>
      <c r="E442" t="n">
        <v>325</v>
      </c>
    </row>
    <row r="443">
      <c r="A443" t="inlineStr">
        <is>
          <t>27BBBBB00443Z5</t>
        </is>
      </c>
      <c r="B443" t="inlineStr">
        <is>
          <t>Apr-2018</t>
        </is>
      </c>
      <c r="C443" s="2" t="n">
        <v>44160</v>
      </c>
      <c r="D443" t="inlineStr">
        <is>
          <t>NON-NIL</t>
        </is>
      </c>
      <c r="E443" t="n">
        <v>978</v>
      </c>
    </row>
    <row r="444">
      <c r="A444" t="inlineStr">
        <is>
          <t>27BBBBB00444Z5</t>
        </is>
      </c>
      <c r="B444" t="inlineStr">
        <is>
          <t>Jan-2018</t>
        </is>
      </c>
      <c r="C444" s="2" t="n">
        <v>43784</v>
      </c>
      <c r="D444" t="inlineStr">
        <is>
          <t>NIL</t>
        </is>
      </c>
      <c r="E444" t="n">
        <v>2312</v>
      </c>
    </row>
    <row r="445">
      <c r="A445" t="inlineStr">
        <is>
          <t>27BBBBB00445Z5</t>
        </is>
      </c>
      <c r="B445" t="inlineStr">
        <is>
          <t>Dec-2018</t>
        </is>
      </c>
      <c r="C445" s="2" t="n">
        <v>44166</v>
      </c>
      <c r="D445" t="inlineStr">
        <is>
          <t>NIL</t>
        </is>
      </c>
      <c r="E445" t="n">
        <v>220</v>
      </c>
    </row>
    <row r="446">
      <c r="A446" t="inlineStr">
        <is>
          <t>27BBBBB00446Z5</t>
        </is>
      </c>
      <c r="B446" t="inlineStr">
        <is>
          <t>May-2018</t>
        </is>
      </c>
      <c r="C446" s="2" t="n">
        <v>44288</v>
      </c>
      <c r="D446" t="inlineStr">
        <is>
          <t>NIL</t>
        </is>
      </c>
      <c r="E446" t="n">
        <v>1154</v>
      </c>
    </row>
    <row r="447">
      <c r="A447" t="inlineStr">
        <is>
          <t>27BBBBB00447Z5</t>
        </is>
      </c>
      <c r="B447" t="inlineStr">
        <is>
          <t>Jun-2020</t>
        </is>
      </c>
      <c r="C447" s="2" t="n">
        <v>44490</v>
      </c>
      <c r="D447" t="inlineStr">
        <is>
          <t>NON-NIL</t>
        </is>
      </c>
      <c r="E447" t="n">
        <v>2601</v>
      </c>
    </row>
    <row r="448">
      <c r="A448" t="inlineStr">
        <is>
          <t>27BBBBB00448Z5</t>
        </is>
      </c>
      <c r="B448" t="inlineStr">
        <is>
          <t>Dec-2024</t>
        </is>
      </c>
      <c r="C448" s="2" t="n">
        <v>43883</v>
      </c>
      <c r="D448" t="inlineStr">
        <is>
          <t>NON-NIL</t>
        </is>
      </c>
      <c r="E448" t="n">
        <v>2657</v>
      </c>
    </row>
    <row r="449">
      <c r="A449" t="inlineStr">
        <is>
          <t>27BBBBB00449Z5</t>
        </is>
      </c>
      <c r="B449" t="inlineStr">
        <is>
          <t>Mar-2018</t>
        </is>
      </c>
      <c r="C449" s="2" t="n">
        <v>43043</v>
      </c>
      <c r="D449" t="inlineStr">
        <is>
          <t>NIL</t>
        </is>
      </c>
      <c r="E449" t="n">
        <v>2887</v>
      </c>
    </row>
    <row r="450">
      <c r="A450" t="inlineStr">
        <is>
          <t>27BBBBB00450Z5</t>
        </is>
      </c>
      <c r="B450" t="inlineStr">
        <is>
          <t>Jun-2018</t>
        </is>
      </c>
      <c r="C450" s="2" t="n">
        <v>44180</v>
      </c>
      <c r="D450" t="inlineStr">
        <is>
          <t>NON-NIL</t>
        </is>
      </c>
      <c r="E450" t="n">
        <v>1503</v>
      </c>
    </row>
    <row r="451">
      <c r="A451" t="inlineStr">
        <is>
          <t>27BBBBB00451Z5</t>
        </is>
      </c>
      <c r="B451" t="inlineStr">
        <is>
          <t>Mar-2021</t>
        </is>
      </c>
      <c r="C451" s="2" t="n">
        <v>45595</v>
      </c>
      <c r="D451" t="inlineStr">
        <is>
          <t>NIL</t>
        </is>
      </c>
      <c r="E451" t="n">
        <v>1072</v>
      </c>
    </row>
    <row r="452">
      <c r="A452" t="inlineStr">
        <is>
          <t>27BBBBB00452Z5</t>
        </is>
      </c>
      <c r="B452" t="inlineStr">
        <is>
          <t>Jun-2020</t>
        </is>
      </c>
      <c r="C452" s="2" t="n">
        <v>44426</v>
      </c>
      <c r="D452" t="inlineStr">
        <is>
          <t>NON-NIL</t>
        </is>
      </c>
      <c r="E452" t="n">
        <v>2459</v>
      </c>
    </row>
    <row r="453">
      <c r="A453" t="inlineStr">
        <is>
          <t>27BBBBB00453Z5</t>
        </is>
      </c>
      <c r="B453" t="inlineStr">
        <is>
          <t>Jan-2021</t>
        </is>
      </c>
      <c r="C453" s="2" t="n">
        <v>44582</v>
      </c>
      <c r="D453" t="inlineStr">
        <is>
          <t>NIL</t>
        </is>
      </c>
      <c r="E453" t="n">
        <v>364</v>
      </c>
    </row>
    <row r="454">
      <c r="A454" t="inlineStr">
        <is>
          <t>27BBBBB00454Z5</t>
        </is>
      </c>
      <c r="B454" t="inlineStr">
        <is>
          <t>Jul-2017</t>
        </is>
      </c>
      <c r="C454" s="2" t="n">
        <v>44383</v>
      </c>
      <c r="D454" t="inlineStr">
        <is>
          <t>NON-NIL</t>
        </is>
      </c>
      <c r="E454" t="n">
        <v>667</v>
      </c>
    </row>
    <row r="455">
      <c r="A455" t="inlineStr">
        <is>
          <t>27BBBBB00455Z5</t>
        </is>
      </c>
      <c r="B455" t="inlineStr">
        <is>
          <t>Jul-2017</t>
        </is>
      </c>
      <c r="C455" s="2" t="n">
        <v>44301</v>
      </c>
      <c r="D455" t="inlineStr">
        <is>
          <t>NON-NIL</t>
        </is>
      </c>
      <c r="E455" t="n">
        <v>367</v>
      </c>
    </row>
    <row r="456">
      <c r="A456" t="inlineStr">
        <is>
          <t>27BBBBB00456Z5</t>
        </is>
      </c>
      <c r="B456" t="inlineStr">
        <is>
          <t>Nov-2018</t>
        </is>
      </c>
      <c r="C456" s="2" t="n">
        <v>43299</v>
      </c>
      <c r="D456" t="inlineStr">
        <is>
          <t>NON-NIL</t>
        </is>
      </c>
      <c r="E456" t="n">
        <v>1312</v>
      </c>
    </row>
    <row r="457">
      <c r="A457" t="inlineStr">
        <is>
          <t>27BBBBB00457Z5</t>
        </is>
      </c>
      <c r="B457" t="inlineStr">
        <is>
          <t>Mar-2018</t>
        </is>
      </c>
      <c r="C457" s="2" t="n">
        <v>44084</v>
      </c>
      <c r="D457" t="inlineStr">
        <is>
          <t>NIL</t>
        </is>
      </c>
      <c r="E457" t="n">
        <v>1905</v>
      </c>
    </row>
    <row r="458">
      <c r="A458" t="inlineStr">
        <is>
          <t>27BBBBB00458Z5</t>
        </is>
      </c>
      <c r="B458" t="inlineStr">
        <is>
          <t>Dec-2018</t>
        </is>
      </c>
      <c r="C458" s="2" t="n">
        <v>43824</v>
      </c>
      <c r="D458" t="inlineStr">
        <is>
          <t>NIL</t>
        </is>
      </c>
      <c r="E458" t="n">
        <v>1328</v>
      </c>
    </row>
    <row r="459">
      <c r="A459" t="inlineStr">
        <is>
          <t>27BBBBB00459Z5</t>
        </is>
      </c>
      <c r="B459" t="inlineStr">
        <is>
          <t>May-2018</t>
        </is>
      </c>
      <c r="C459" s="2" t="n">
        <v>42988</v>
      </c>
      <c r="D459" t="inlineStr">
        <is>
          <t>NON-NIL</t>
        </is>
      </c>
      <c r="E459" t="n">
        <v>1273</v>
      </c>
    </row>
    <row r="460">
      <c r="A460" t="inlineStr">
        <is>
          <t>27BBBBB00460Z5</t>
        </is>
      </c>
      <c r="B460" t="inlineStr">
        <is>
          <t>Oct-2017</t>
        </is>
      </c>
      <c r="C460" s="2" t="n">
        <v>43602</v>
      </c>
      <c r="D460" t="inlineStr">
        <is>
          <t>NIL</t>
        </is>
      </c>
      <c r="E460" t="n">
        <v>2483</v>
      </c>
    </row>
    <row r="461">
      <c r="A461" t="inlineStr">
        <is>
          <t>27BBBBB00461Z5</t>
        </is>
      </c>
      <c r="B461" t="inlineStr">
        <is>
          <t>Aug-2017</t>
        </is>
      </c>
      <c r="C461" s="2" t="n">
        <v>44092</v>
      </c>
      <c r="D461" t="inlineStr">
        <is>
          <t>NIL</t>
        </is>
      </c>
      <c r="E461" t="n">
        <v>1875</v>
      </c>
    </row>
    <row r="462">
      <c r="A462" t="inlineStr">
        <is>
          <t>27BBBBB00462Z5</t>
        </is>
      </c>
      <c r="B462" t="inlineStr">
        <is>
          <t>Jun-2018</t>
        </is>
      </c>
      <c r="C462" s="2" t="n">
        <v>43833</v>
      </c>
      <c r="D462" t="inlineStr">
        <is>
          <t>NON-NIL</t>
        </is>
      </c>
      <c r="E462" t="n">
        <v>9</v>
      </c>
    </row>
    <row r="463">
      <c r="A463" t="inlineStr">
        <is>
          <t>27BBBBB00463Z5</t>
        </is>
      </c>
      <c r="B463" t="inlineStr">
        <is>
          <t>Mar-2023</t>
        </is>
      </c>
      <c r="C463" s="2" t="n">
        <v>45279</v>
      </c>
      <c r="D463" t="inlineStr">
        <is>
          <t>NON-NIL</t>
        </is>
      </c>
      <c r="E463" t="n">
        <v>2692</v>
      </c>
    </row>
    <row r="464">
      <c r="A464" t="inlineStr">
        <is>
          <t>27BBBBB00464Z5</t>
        </is>
      </c>
      <c r="B464" t="inlineStr">
        <is>
          <t>Jul-2017</t>
        </is>
      </c>
      <c r="C464" s="2" t="n">
        <v>44313</v>
      </c>
      <c r="D464" t="inlineStr">
        <is>
          <t>NON-NIL</t>
        </is>
      </c>
      <c r="E464" t="n">
        <v>379</v>
      </c>
    </row>
    <row r="465">
      <c r="A465" t="inlineStr">
        <is>
          <t>27BBBBB00465Z5</t>
        </is>
      </c>
      <c r="B465" t="inlineStr">
        <is>
          <t>Jun-2020</t>
        </is>
      </c>
      <c r="C465" s="2" t="n">
        <v>44698</v>
      </c>
      <c r="D465" t="inlineStr">
        <is>
          <t>NON-NIL</t>
        </is>
      </c>
      <c r="E465" t="n">
        <v>461</v>
      </c>
    </row>
    <row r="466">
      <c r="A466" t="inlineStr">
        <is>
          <t>27BBBBB00466Z5</t>
        </is>
      </c>
      <c r="B466" t="inlineStr">
        <is>
          <t>Jan-2018</t>
        </is>
      </c>
      <c r="C466" s="2" t="n">
        <v>44474</v>
      </c>
      <c r="D466" t="inlineStr">
        <is>
          <t>NON-NIL</t>
        </is>
      </c>
      <c r="E466" t="n">
        <v>411</v>
      </c>
    </row>
    <row r="467">
      <c r="A467" t="inlineStr">
        <is>
          <t>27BBBBB00467Z5</t>
        </is>
      </c>
      <c r="B467" t="inlineStr">
        <is>
          <t>Dec-2017</t>
        </is>
      </c>
      <c r="C467" s="2" t="n">
        <v>44026</v>
      </c>
      <c r="D467" t="inlineStr">
        <is>
          <t>NON-NIL</t>
        </is>
      </c>
      <c r="E467" t="n">
        <v>2279</v>
      </c>
    </row>
    <row r="468">
      <c r="A468" t="inlineStr">
        <is>
          <t>27BBBBB00468Z5</t>
        </is>
      </c>
      <c r="B468" t="inlineStr">
        <is>
          <t>Jan-2018</t>
        </is>
      </c>
      <c r="C468" s="2" t="n">
        <v>43694</v>
      </c>
      <c r="D468" t="inlineStr">
        <is>
          <t>NON-NIL</t>
        </is>
      </c>
      <c r="E468" t="n">
        <v>1474</v>
      </c>
    </row>
    <row r="469">
      <c r="A469" t="inlineStr">
        <is>
          <t>27BBBBB00469Z5</t>
        </is>
      </c>
      <c r="B469" t="inlineStr">
        <is>
          <t>Mar-2020</t>
        </is>
      </c>
      <c r="C469" s="2" t="n">
        <v>44577</v>
      </c>
      <c r="D469" t="inlineStr">
        <is>
          <t>NIL</t>
        </is>
      </c>
      <c r="E469" t="n">
        <v>1984</v>
      </c>
    </row>
    <row r="470">
      <c r="A470" t="inlineStr">
        <is>
          <t>27BBBBB00470Z5</t>
        </is>
      </c>
      <c r="B470" t="inlineStr">
        <is>
          <t>Sep-2018</t>
        </is>
      </c>
      <c r="C470" s="2" t="n">
        <v>44426</v>
      </c>
      <c r="D470" t="inlineStr">
        <is>
          <t>NIL</t>
        </is>
      </c>
      <c r="E470" t="n">
        <v>2839</v>
      </c>
    </row>
    <row r="471">
      <c r="A471" t="inlineStr">
        <is>
          <t>27BBBBB00471Z5</t>
        </is>
      </c>
      <c r="B471" t="inlineStr">
        <is>
          <t>Aug-2018</t>
        </is>
      </c>
      <c r="C471" s="2" t="n">
        <v>44111</v>
      </c>
      <c r="D471" t="inlineStr">
        <is>
          <t>NIL</t>
        </is>
      </c>
      <c r="E471" t="n">
        <v>558</v>
      </c>
    </row>
    <row r="472">
      <c r="A472" t="inlineStr">
        <is>
          <t>27BBBBB00472Z5</t>
        </is>
      </c>
      <c r="B472" t="inlineStr">
        <is>
          <t>Aug-2018</t>
        </is>
      </c>
      <c r="C472" s="2" t="n">
        <v>44143</v>
      </c>
      <c r="D472" t="inlineStr">
        <is>
          <t>NIL</t>
        </is>
      </c>
      <c r="E472" t="n">
        <v>1534</v>
      </c>
    </row>
    <row r="473">
      <c r="A473" t="inlineStr">
        <is>
          <t>27BBBBB00473Z5</t>
        </is>
      </c>
      <c r="B473" t="inlineStr">
        <is>
          <t>Jul-2018</t>
        </is>
      </c>
      <c r="C473" s="2" t="n">
        <v>44070</v>
      </c>
      <c r="D473" t="inlineStr">
        <is>
          <t>NON-NIL</t>
        </is>
      </c>
      <c r="E473" t="n">
        <v>2449</v>
      </c>
    </row>
    <row r="474">
      <c r="A474" t="inlineStr">
        <is>
          <t>27BBBBB00474Z5</t>
        </is>
      </c>
      <c r="B474" t="inlineStr">
        <is>
          <t>Jul-2017</t>
        </is>
      </c>
      <c r="C474" s="2" t="n">
        <v>43807</v>
      </c>
      <c r="D474" t="inlineStr">
        <is>
          <t>NIL</t>
        </is>
      </c>
      <c r="E474" t="n">
        <v>2145</v>
      </c>
    </row>
    <row r="475">
      <c r="A475" t="inlineStr">
        <is>
          <t>27BBBBB00475Z5</t>
        </is>
      </c>
      <c r="B475" t="inlineStr">
        <is>
          <t>May-2020</t>
        </is>
      </c>
      <c r="C475" s="2" t="n">
        <v>44195</v>
      </c>
      <c r="D475" t="inlineStr">
        <is>
          <t>NON-NIL</t>
        </is>
      </c>
      <c r="E475" t="n">
        <v>1739</v>
      </c>
    </row>
    <row r="476">
      <c r="A476" t="inlineStr">
        <is>
          <t>27BBBBB00476Z5</t>
        </is>
      </c>
      <c r="B476" t="inlineStr">
        <is>
          <t>Oct-2017</t>
        </is>
      </c>
      <c r="C476" s="2" t="n">
        <v>42956</v>
      </c>
      <c r="D476" t="inlineStr">
        <is>
          <t>NIL</t>
        </is>
      </c>
      <c r="E476" t="n">
        <v>695</v>
      </c>
    </row>
    <row r="477">
      <c r="A477" t="inlineStr">
        <is>
          <t>27BBBBB00477Z5</t>
        </is>
      </c>
      <c r="B477" t="inlineStr">
        <is>
          <t>Jul-2020</t>
        </is>
      </c>
      <c r="C477" s="2" t="n">
        <v>44292</v>
      </c>
      <c r="D477" t="inlineStr">
        <is>
          <t>NON-NIL</t>
        </is>
      </c>
      <c r="E477" t="n">
        <v>315</v>
      </c>
    </row>
    <row r="478">
      <c r="A478" t="inlineStr">
        <is>
          <t>27BBBBB00478Z5</t>
        </is>
      </c>
      <c r="B478" t="inlineStr">
        <is>
          <t>Jun-2020</t>
        </is>
      </c>
      <c r="C478" s="2" t="n">
        <v>44112</v>
      </c>
      <c r="D478" t="inlineStr">
        <is>
          <t>NIL</t>
        </is>
      </c>
      <c r="E478" t="n">
        <v>2555</v>
      </c>
    </row>
    <row r="479">
      <c r="A479" t="inlineStr">
        <is>
          <t>27BBBBB00479Z5</t>
        </is>
      </c>
      <c r="B479" t="inlineStr">
        <is>
          <t>Mar-2021</t>
        </is>
      </c>
      <c r="C479" s="2" t="n">
        <v>44526</v>
      </c>
      <c r="D479" t="inlineStr">
        <is>
          <t>NON-NIL</t>
        </is>
      </c>
      <c r="E479" t="n">
        <v>2401</v>
      </c>
    </row>
    <row r="480">
      <c r="A480" t="inlineStr">
        <is>
          <t>27BBBBB00480Z5</t>
        </is>
      </c>
      <c r="B480" t="inlineStr">
        <is>
          <t>Jul-2020</t>
        </is>
      </c>
      <c r="C480" s="2" t="n">
        <v>44616</v>
      </c>
      <c r="D480" t="inlineStr">
        <is>
          <t>NIL</t>
        </is>
      </c>
      <c r="E480" t="n">
        <v>1369</v>
      </c>
    </row>
    <row r="481">
      <c r="A481" t="inlineStr">
        <is>
          <t>27BBBBB00481Z5</t>
        </is>
      </c>
      <c r="B481" t="inlineStr">
        <is>
          <t>Mar-2021</t>
        </is>
      </c>
      <c r="C481" s="2" t="n">
        <v>45388</v>
      </c>
      <c r="D481" t="inlineStr">
        <is>
          <t>NIL</t>
        </is>
      </c>
      <c r="E481" t="n">
        <v>2883</v>
      </c>
    </row>
    <row r="482">
      <c r="A482" t="inlineStr">
        <is>
          <t>27BBBBB00482Z5</t>
        </is>
      </c>
      <c r="B482" t="inlineStr">
        <is>
          <t>Mar-2018</t>
        </is>
      </c>
      <c r="C482" s="2" t="n">
        <v>44147</v>
      </c>
      <c r="D482" t="inlineStr">
        <is>
          <t>NON-NIL</t>
        </is>
      </c>
      <c r="E482" t="n">
        <v>797</v>
      </c>
    </row>
    <row r="483">
      <c r="A483" t="inlineStr">
        <is>
          <t>27BBBBB00483Z5</t>
        </is>
      </c>
      <c r="B483" t="inlineStr">
        <is>
          <t>Dec-2018</t>
        </is>
      </c>
      <c r="C483" s="2" t="n">
        <v>43625</v>
      </c>
      <c r="D483" t="inlineStr">
        <is>
          <t>NON-NIL</t>
        </is>
      </c>
      <c r="E483" t="n">
        <v>820</v>
      </c>
    </row>
    <row r="484">
      <c r="A484" t="inlineStr">
        <is>
          <t>27BBBBB00484Z5</t>
        </is>
      </c>
      <c r="B484" t="inlineStr">
        <is>
          <t>Jan-2018</t>
        </is>
      </c>
      <c r="C484" s="2" t="n">
        <v>43893</v>
      </c>
      <c r="D484" t="inlineStr">
        <is>
          <t>NON-NIL</t>
        </is>
      </c>
      <c r="E484" t="n">
        <v>2322</v>
      </c>
    </row>
    <row r="485">
      <c r="A485" t="inlineStr">
        <is>
          <t>27BBBBB00485Z5</t>
        </is>
      </c>
      <c r="B485" t="inlineStr">
        <is>
          <t>Dec-2024</t>
        </is>
      </c>
      <c r="C485" s="2" t="n">
        <v>45562</v>
      </c>
      <c r="D485" t="inlineStr">
        <is>
          <t>NON-NIL</t>
        </is>
      </c>
      <c r="E485" t="n">
        <v>2425</v>
      </c>
    </row>
    <row r="486">
      <c r="A486" t="inlineStr">
        <is>
          <t>27BBBBB00486Z5</t>
        </is>
      </c>
      <c r="B486" t="inlineStr">
        <is>
          <t>Jul-2020</t>
        </is>
      </c>
      <c r="C486" s="2" t="n">
        <v>44005</v>
      </c>
      <c r="D486" t="inlineStr">
        <is>
          <t>NIL</t>
        </is>
      </c>
      <c r="E486" t="n">
        <v>2999</v>
      </c>
    </row>
    <row r="487">
      <c r="A487" t="inlineStr">
        <is>
          <t>27BBBBB00487Z5</t>
        </is>
      </c>
      <c r="B487" t="inlineStr">
        <is>
          <t>Dec-2018</t>
        </is>
      </c>
      <c r="C487" s="2" t="n">
        <v>44423</v>
      </c>
      <c r="D487" t="inlineStr">
        <is>
          <t>NON-NIL</t>
        </is>
      </c>
      <c r="E487" t="n">
        <v>2894</v>
      </c>
    </row>
    <row r="488">
      <c r="A488" t="inlineStr">
        <is>
          <t>27BBBBB00488Z5</t>
        </is>
      </c>
      <c r="B488" t="inlineStr">
        <is>
          <t>Nov-2018</t>
        </is>
      </c>
      <c r="C488" s="2" t="n">
        <v>43936</v>
      </c>
      <c r="D488" t="inlineStr">
        <is>
          <t>NIL</t>
        </is>
      </c>
      <c r="E488" t="n">
        <v>462</v>
      </c>
    </row>
    <row r="489">
      <c r="A489" t="inlineStr">
        <is>
          <t>27BBBBB00489Z5</t>
        </is>
      </c>
      <c r="B489" t="inlineStr">
        <is>
          <t>Dec-2018</t>
        </is>
      </c>
      <c r="C489" s="2" t="n">
        <v>43973</v>
      </c>
      <c r="D489" t="inlineStr">
        <is>
          <t>NIL</t>
        </is>
      </c>
      <c r="E489" t="n">
        <v>2579</v>
      </c>
    </row>
    <row r="490">
      <c r="A490" t="inlineStr">
        <is>
          <t>27BBBBB00490Z5</t>
        </is>
      </c>
      <c r="B490" t="inlineStr">
        <is>
          <t>Dec-2022</t>
        </is>
      </c>
      <c r="C490" s="2" t="n">
        <v>43824</v>
      </c>
      <c r="D490" t="inlineStr">
        <is>
          <t>NIL</t>
        </is>
      </c>
      <c r="E490" t="n">
        <v>2952</v>
      </c>
    </row>
    <row r="491">
      <c r="A491" t="inlineStr">
        <is>
          <t>27BBBBB00491Z5</t>
        </is>
      </c>
      <c r="B491" t="inlineStr">
        <is>
          <t>Feb-2018</t>
        </is>
      </c>
      <c r="C491" s="2" t="n">
        <v>43395</v>
      </c>
      <c r="D491" t="inlineStr">
        <is>
          <t>NON-NIL</t>
        </is>
      </c>
      <c r="E491" t="n">
        <v>2498</v>
      </c>
    </row>
    <row r="492">
      <c r="A492" t="inlineStr">
        <is>
          <t>27BBBBB00492Z5</t>
        </is>
      </c>
      <c r="B492" t="inlineStr">
        <is>
          <t>May-2018</t>
        </is>
      </c>
      <c r="C492" s="2" t="n">
        <v>44286</v>
      </c>
      <c r="D492" t="inlineStr">
        <is>
          <t>NIL</t>
        </is>
      </c>
      <c r="E492" t="n">
        <v>853</v>
      </c>
    </row>
    <row r="493">
      <c r="A493" t="inlineStr">
        <is>
          <t>27BBBBB00493Z5</t>
        </is>
      </c>
      <c r="B493" t="inlineStr">
        <is>
          <t>Jan-2018</t>
        </is>
      </c>
      <c r="C493" s="2" t="n">
        <v>43109</v>
      </c>
      <c r="D493" t="inlineStr">
        <is>
          <t>NON-NIL</t>
        </is>
      </c>
      <c r="E493" t="n">
        <v>963</v>
      </c>
    </row>
    <row r="494">
      <c r="A494" t="inlineStr">
        <is>
          <t>27BBBBB00494Z5</t>
        </is>
      </c>
      <c r="B494" t="inlineStr">
        <is>
          <t>Dec-2017</t>
        </is>
      </c>
      <c r="C494" s="2" t="n">
        <v>43481</v>
      </c>
      <c r="D494" t="inlineStr">
        <is>
          <t>NIL</t>
        </is>
      </c>
      <c r="E494" t="n">
        <v>2578</v>
      </c>
    </row>
    <row r="495">
      <c r="A495" t="inlineStr">
        <is>
          <t>27BBBBB00495Z5</t>
        </is>
      </c>
      <c r="B495" t="inlineStr">
        <is>
          <t>Sep-2018</t>
        </is>
      </c>
      <c r="C495" s="2" t="n">
        <v>42942</v>
      </c>
      <c r="D495" t="inlineStr">
        <is>
          <t>NON-NIL</t>
        </is>
      </c>
      <c r="E495" t="n">
        <v>402</v>
      </c>
    </row>
    <row r="496">
      <c r="A496" t="inlineStr">
        <is>
          <t>27BBBBB00496Z5</t>
        </is>
      </c>
      <c r="B496" t="inlineStr">
        <is>
          <t>Nov-2017</t>
        </is>
      </c>
      <c r="C496" s="2" t="n">
        <v>43919</v>
      </c>
      <c r="D496" t="inlineStr">
        <is>
          <t>NON-NIL</t>
        </is>
      </c>
      <c r="E496" t="n">
        <v>2464</v>
      </c>
    </row>
    <row r="497">
      <c r="A497" t="inlineStr">
        <is>
          <t>27BBBBB00497Z5</t>
        </is>
      </c>
      <c r="B497" t="inlineStr">
        <is>
          <t>Aug-2018</t>
        </is>
      </c>
      <c r="C497" s="2" t="n">
        <v>43408</v>
      </c>
      <c r="D497" t="inlineStr">
        <is>
          <t>NIL</t>
        </is>
      </c>
      <c r="E497" t="n">
        <v>2088</v>
      </c>
    </row>
    <row r="498">
      <c r="A498" t="inlineStr">
        <is>
          <t>27BBBBB00498Z5</t>
        </is>
      </c>
      <c r="B498" t="inlineStr">
        <is>
          <t>Oct-2018</t>
        </is>
      </c>
      <c r="C498" s="2" t="n">
        <v>44472</v>
      </c>
      <c r="D498" t="inlineStr">
        <is>
          <t>NIL</t>
        </is>
      </c>
      <c r="E498" t="n">
        <v>2099</v>
      </c>
    </row>
    <row r="499">
      <c r="A499" t="inlineStr">
        <is>
          <t>27BBBBB00499Z5</t>
        </is>
      </c>
      <c r="B499" t="inlineStr">
        <is>
          <t>Jan-2021</t>
        </is>
      </c>
      <c r="C499" s="2" t="n">
        <v>43746</v>
      </c>
      <c r="D499" t="inlineStr">
        <is>
          <t>NIL</t>
        </is>
      </c>
      <c r="E499" t="n">
        <v>2765</v>
      </c>
    </row>
    <row r="500">
      <c r="A500" t="inlineStr">
        <is>
          <t>27BBBBB00500Z5</t>
        </is>
      </c>
      <c r="B500" t="inlineStr">
        <is>
          <t>Dec-2017</t>
        </is>
      </c>
      <c r="C500" s="2" t="n">
        <v>43270</v>
      </c>
      <c r="D500" t="inlineStr">
        <is>
          <t>NIL</t>
        </is>
      </c>
      <c r="E500" t="n">
        <v>2078</v>
      </c>
    </row>
    <row r="501">
      <c r="A501" t="inlineStr">
        <is>
          <t>27BBBBB00501Z5</t>
        </is>
      </c>
      <c r="B501" t="inlineStr">
        <is>
          <t>Nov-2017</t>
        </is>
      </c>
      <c r="C501" s="2" t="n">
        <v>43287</v>
      </c>
      <c r="D501" t="inlineStr">
        <is>
          <t>NIL</t>
        </is>
      </c>
      <c r="E501" t="n">
        <v>1250</v>
      </c>
    </row>
    <row r="502">
      <c r="A502" t="inlineStr">
        <is>
          <t>27BBBBB00502Z5</t>
        </is>
      </c>
      <c r="B502" t="inlineStr">
        <is>
          <t>Apr-2018</t>
        </is>
      </c>
      <c r="C502" s="2" t="n">
        <v>43980</v>
      </c>
      <c r="D502" t="inlineStr">
        <is>
          <t>NON-NIL</t>
        </is>
      </c>
      <c r="E502" t="n">
        <v>2698</v>
      </c>
    </row>
    <row r="503">
      <c r="A503" t="inlineStr">
        <is>
          <t>27BBBBB00503Z5</t>
        </is>
      </c>
      <c r="B503" t="inlineStr">
        <is>
          <t>Mar-2023</t>
        </is>
      </c>
      <c r="C503" s="2" t="n">
        <v>44445</v>
      </c>
      <c r="D503" t="inlineStr">
        <is>
          <t>NON-NIL</t>
        </is>
      </c>
      <c r="E503" t="n">
        <v>459</v>
      </c>
    </row>
    <row r="504">
      <c r="A504" t="inlineStr">
        <is>
          <t>27BBBBB00504Z5</t>
        </is>
      </c>
      <c r="B504" t="inlineStr">
        <is>
          <t>Apr-2020</t>
        </is>
      </c>
      <c r="C504" s="2" t="n">
        <v>44836</v>
      </c>
      <c r="D504" t="inlineStr">
        <is>
          <t>NIL</t>
        </is>
      </c>
      <c r="E504" t="n">
        <v>1701</v>
      </c>
    </row>
    <row r="505">
      <c r="A505" t="inlineStr">
        <is>
          <t>27BBBBB00505Z5</t>
        </is>
      </c>
      <c r="B505" t="inlineStr">
        <is>
          <t>Mar-2018</t>
        </is>
      </c>
      <c r="C505" s="2" t="n">
        <v>44117</v>
      </c>
      <c r="D505" t="inlineStr">
        <is>
          <t>NON-NIL</t>
        </is>
      </c>
      <c r="E505" t="n">
        <v>1948</v>
      </c>
    </row>
    <row r="506">
      <c r="A506" t="inlineStr">
        <is>
          <t>27BBBBB00506Z5</t>
        </is>
      </c>
      <c r="B506" t="inlineStr">
        <is>
          <t>Oct-2017</t>
        </is>
      </c>
      <c r="C506" s="2" t="n">
        <v>44561</v>
      </c>
      <c r="D506" t="inlineStr">
        <is>
          <t>NIL</t>
        </is>
      </c>
      <c r="E506" t="n">
        <v>1191</v>
      </c>
    </row>
    <row r="507">
      <c r="A507" t="inlineStr">
        <is>
          <t>27BBBBB00507Z5</t>
        </is>
      </c>
      <c r="B507" t="inlineStr">
        <is>
          <t>Nov-2017</t>
        </is>
      </c>
      <c r="C507" s="2" t="n">
        <v>44286</v>
      </c>
      <c r="D507" t="inlineStr">
        <is>
          <t>NON-NIL</t>
        </is>
      </c>
      <c r="E507" t="n">
        <v>2548</v>
      </c>
    </row>
    <row r="508">
      <c r="A508" t="inlineStr">
        <is>
          <t>27BBBBB00508Z5</t>
        </is>
      </c>
      <c r="B508" t="inlineStr">
        <is>
          <t>Mar-2020</t>
        </is>
      </c>
      <c r="C508" s="2" t="n">
        <v>43865</v>
      </c>
      <c r="D508" t="inlineStr">
        <is>
          <t>NIL</t>
        </is>
      </c>
      <c r="E508" t="n">
        <v>2880</v>
      </c>
    </row>
    <row r="509">
      <c r="A509" t="inlineStr">
        <is>
          <t>27BBBBB00509Z5</t>
        </is>
      </c>
      <c r="B509" t="inlineStr">
        <is>
          <t>Dec-2022</t>
        </is>
      </c>
      <c r="C509" s="2" t="n">
        <v>44229</v>
      </c>
      <c r="D509" t="inlineStr">
        <is>
          <t>NON-NIL</t>
        </is>
      </c>
      <c r="E509" t="n">
        <v>672</v>
      </c>
    </row>
    <row r="510">
      <c r="A510" t="inlineStr">
        <is>
          <t>27BBBBB00510Z5</t>
        </is>
      </c>
      <c r="B510" t="inlineStr">
        <is>
          <t>Nov-2017</t>
        </is>
      </c>
      <c r="C510" s="2" t="n">
        <v>43480</v>
      </c>
      <c r="D510" t="inlineStr">
        <is>
          <t>NIL</t>
        </is>
      </c>
      <c r="E510" t="n">
        <v>2042</v>
      </c>
    </row>
    <row r="511">
      <c r="A511" t="inlineStr">
        <is>
          <t>27BBBBB00511Z5</t>
        </is>
      </c>
      <c r="B511" t="inlineStr">
        <is>
          <t>Aug-2017</t>
        </is>
      </c>
      <c r="C511" s="2" t="n">
        <v>44363</v>
      </c>
      <c r="D511" t="inlineStr">
        <is>
          <t>NIL</t>
        </is>
      </c>
      <c r="E511" t="n">
        <v>2208</v>
      </c>
    </row>
    <row r="512">
      <c r="A512" t="inlineStr">
        <is>
          <t>27BBBBB00512Z5</t>
        </is>
      </c>
      <c r="B512" t="inlineStr">
        <is>
          <t>Dec-2022</t>
        </is>
      </c>
      <c r="C512" s="2" t="n">
        <v>44380</v>
      </c>
      <c r="D512" t="inlineStr">
        <is>
          <t>NIL</t>
        </is>
      </c>
      <c r="E512" t="n">
        <v>977</v>
      </c>
    </row>
    <row r="513">
      <c r="A513" t="inlineStr">
        <is>
          <t>27BBBBB00513Z5</t>
        </is>
      </c>
      <c r="B513" t="inlineStr">
        <is>
          <t>Oct-2018</t>
        </is>
      </c>
      <c r="C513" s="2" t="n">
        <v>43925</v>
      </c>
      <c r="D513" t="inlineStr">
        <is>
          <t>NON-NIL</t>
        </is>
      </c>
      <c r="E513" t="n">
        <v>858</v>
      </c>
    </row>
    <row r="514">
      <c r="A514" t="inlineStr">
        <is>
          <t>27BBBBB00514Z5</t>
        </is>
      </c>
      <c r="B514" t="inlineStr">
        <is>
          <t>Mar-2018</t>
        </is>
      </c>
      <c r="C514" s="2" t="n">
        <v>42988</v>
      </c>
      <c r="D514" t="inlineStr">
        <is>
          <t>NIL</t>
        </is>
      </c>
      <c r="E514" t="n">
        <v>242</v>
      </c>
    </row>
    <row r="515">
      <c r="A515" t="inlineStr">
        <is>
          <t>27BBBBB00515Z5</t>
        </is>
      </c>
      <c r="B515" t="inlineStr">
        <is>
          <t>Mar-2023</t>
        </is>
      </c>
      <c r="C515" s="2" t="n">
        <v>44864</v>
      </c>
      <c r="D515" t="inlineStr">
        <is>
          <t>NON-NIL</t>
        </is>
      </c>
      <c r="E515" t="n">
        <v>2350</v>
      </c>
    </row>
    <row r="516">
      <c r="A516" t="inlineStr">
        <is>
          <t>27BBBBB00516Z5</t>
        </is>
      </c>
      <c r="B516" t="inlineStr">
        <is>
          <t>Dec-2017</t>
        </is>
      </c>
      <c r="C516" s="2" t="n">
        <v>43597</v>
      </c>
      <c r="D516" t="inlineStr">
        <is>
          <t>NIL</t>
        </is>
      </c>
      <c r="E516" t="n">
        <v>2039</v>
      </c>
    </row>
    <row r="517">
      <c r="A517" t="inlineStr">
        <is>
          <t>27BBBBB00517Z5</t>
        </is>
      </c>
      <c r="B517" t="inlineStr">
        <is>
          <t>Feb-2018</t>
        </is>
      </c>
      <c r="C517" s="2" t="n">
        <v>43373</v>
      </c>
      <c r="D517" t="inlineStr">
        <is>
          <t>NIL</t>
        </is>
      </c>
      <c r="E517" t="n">
        <v>1423</v>
      </c>
    </row>
    <row r="518">
      <c r="A518" t="inlineStr">
        <is>
          <t>27BBBBB00518Z5</t>
        </is>
      </c>
      <c r="B518" t="inlineStr">
        <is>
          <t>Nov-2018</t>
        </is>
      </c>
      <c r="C518" s="2" t="n">
        <v>43152</v>
      </c>
      <c r="D518" t="inlineStr">
        <is>
          <t>NIL</t>
        </is>
      </c>
      <c r="E518" t="n">
        <v>1673</v>
      </c>
    </row>
    <row r="519">
      <c r="A519" t="inlineStr">
        <is>
          <t>27BBBBB00519Z5</t>
        </is>
      </c>
      <c r="B519" t="inlineStr">
        <is>
          <t>Nov-2018</t>
        </is>
      </c>
      <c r="C519" s="2" t="n">
        <v>43251</v>
      </c>
      <c r="D519" t="inlineStr">
        <is>
          <t>NIL</t>
        </is>
      </c>
      <c r="E519" t="n">
        <v>192</v>
      </c>
    </row>
    <row r="520">
      <c r="A520" t="inlineStr">
        <is>
          <t>27BBBBB00520Z5</t>
        </is>
      </c>
      <c r="B520" t="inlineStr">
        <is>
          <t>Sep-2017</t>
        </is>
      </c>
      <c r="C520" s="2" t="n">
        <v>44203</v>
      </c>
      <c r="D520" t="inlineStr">
        <is>
          <t>NON-NIL</t>
        </is>
      </c>
      <c r="E520" t="n">
        <v>638</v>
      </c>
    </row>
    <row r="521">
      <c r="A521" t="inlineStr">
        <is>
          <t>27BBBBB00521Z5</t>
        </is>
      </c>
      <c r="B521" t="inlineStr">
        <is>
          <t>Apr-2020</t>
        </is>
      </c>
      <c r="C521" s="2" t="n">
        <v>44827</v>
      </c>
      <c r="D521" t="inlineStr">
        <is>
          <t>NON-NIL</t>
        </is>
      </c>
      <c r="E521" t="n">
        <v>2265</v>
      </c>
    </row>
    <row r="522">
      <c r="A522" t="inlineStr">
        <is>
          <t>27BBBBB00522Z5</t>
        </is>
      </c>
      <c r="B522" t="inlineStr">
        <is>
          <t>Jun-2018</t>
        </is>
      </c>
      <c r="C522" s="2" t="n">
        <v>43506</v>
      </c>
      <c r="D522" t="inlineStr">
        <is>
          <t>NON-NIL</t>
        </is>
      </c>
      <c r="E522" t="n">
        <v>719</v>
      </c>
    </row>
    <row r="523">
      <c r="A523" t="inlineStr">
        <is>
          <t>27BBBBB00523Z5</t>
        </is>
      </c>
      <c r="B523" t="inlineStr">
        <is>
          <t>Sep-2017</t>
        </is>
      </c>
      <c r="C523" s="2" t="n">
        <v>43106</v>
      </c>
      <c r="D523" t="inlineStr">
        <is>
          <t>NON-NIL</t>
        </is>
      </c>
      <c r="E523" t="n">
        <v>1850</v>
      </c>
    </row>
    <row r="524">
      <c r="A524" t="inlineStr">
        <is>
          <t>27BBBBB00524Z5</t>
        </is>
      </c>
      <c r="B524" t="inlineStr">
        <is>
          <t>Jul-2017</t>
        </is>
      </c>
      <c r="C524" s="2" t="n">
        <v>44215</v>
      </c>
      <c r="D524" t="inlineStr">
        <is>
          <t>NIL</t>
        </is>
      </c>
      <c r="E524" t="n">
        <v>1708</v>
      </c>
    </row>
    <row r="525">
      <c r="A525" t="inlineStr">
        <is>
          <t>27BBBBB00525Z5</t>
        </is>
      </c>
      <c r="B525" t="inlineStr">
        <is>
          <t>Dec-2017</t>
        </is>
      </c>
      <c r="C525" s="2" t="n">
        <v>43006</v>
      </c>
      <c r="D525" t="inlineStr">
        <is>
          <t>NIL</t>
        </is>
      </c>
      <c r="E525" t="n">
        <v>433</v>
      </c>
    </row>
    <row r="526">
      <c r="A526" t="inlineStr">
        <is>
          <t>27BBBBB00526Z5</t>
        </is>
      </c>
      <c r="B526" t="inlineStr">
        <is>
          <t>Mar-2023</t>
        </is>
      </c>
      <c r="C526" s="2" t="n">
        <v>44009</v>
      </c>
      <c r="D526" t="inlineStr">
        <is>
          <t>NON-NIL</t>
        </is>
      </c>
      <c r="E526" t="n">
        <v>40</v>
      </c>
    </row>
    <row r="527">
      <c r="A527" t="inlineStr">
        <is>
          <t>27BBBBB00527Z5</t>
        </is>
      </c>
      <c r="B527" t="inlineStr">
        <is>
          <t>Sep-2018</t>
        </is>
      </c>
      <c r="C527" s="2" t="n">
        <v>44504</v>
      </c>
      <c r="D527" t="inlineStr">
        <is>
          <t>NON-NIL</t>
        </is>
      </c>
      <c r="E527" t="n">
        <v>1772</v>
      </c>
    </row>
    <row r="528">
      <c r="A528" t="inlineStr">
        <is>
          <t>27BBBBB00528Z5</t>
        </is>
      </c>
      <c r="B528" t="inlineStr">
        <is>
          <t>Apr-2018</t>
        </is>
      </c>
      <c r="C528" s="2" t="n">
        <v>44389</v>
      </c>
      <c r="D528" t="inlineStr">
        <is>
          <t>NON-NIL</t>
        </is>
      </c>
      <c r="E528" t="n">
        <v>2735</v>
      </c>
    </row>
    <row r="529">
      <c r="A529" t="inlineStr">
        <is>
          <t>27BBBBB00529Z5</t>
        </is>
      </c>
      <c r="B529" t="inlineStr">
        <is>
          <t>Mar-2023</t>
        </is>
      </c>
      <c r="C529" s="2" t="n">
        <v>44338</v>
      </c>
      <c r="D529" t="inlineStr">
        <is>
          <t>NON-NIL</t>
        </is>
      </c>
      <c r="E529" t="n">
        <v>624</v>
      </c>
    </row>
    <row r="530">
      <c r="A530" t="inlineStr">
        <is>
          <t>27BBBBB00530Z5</t>
        </is>
      </c>
      <c r="B530" t="inlineStr">
        <is>
          <t>Mar-2023</t>
        </is>
      </c>
      <c r="C530" s="2" t="n">
        <v>45821</v>
      </c>
      <c r="D530" t="inlineStr">
        <is>
          <t>NIL</t>
        </is>
      </c>
      <c r="E530" t="n">
        <v>476</v>
      </c>
    </row>
    <row r="531">
      <c r="A531" t="inlineStr">
        <is>
          <t>27BBBBB00531Z5</t>
        </is>
      </c>
      <c r="B531" t="inlineStr">
        <is>
          <t>Mar-2021</t>
        </is>
      </c>
      <c r="C531" s="2" t="n">
        <v>44470</v>
      </c>
      <c r="D531" t="inlineStr">
        <is>
          <t>NON-NIL</t>
        </is>
      </c>
      <c r="E531" t="n">
        <v>179</v>
      </c>
    </row>
    <row r="532">
      <c r="A532" t="inlineStr">
        <is>
          <t>27BBBBB00532Z5</t>
        </is>
      </c>
      <c r="B532" t="inlineStr">
        <is>
          <t>May-2020</t>
        </is>
      </c>
      <c r="C532" s="2" t="n">
        <v>44036</v>
      </c>
      <c r="D532" t="inlineStr">
        <is>
          <t>NIL</t>
        </is>
      </c>
      <c r="E532" t="n">
        <v>982</v>
      </c>
    </row>
    <row r="533">
      <c r="A533" t="inlineStr">
        <is>
          <t>27BBBBB00533Z5</t>
        </is>
      </c>
      <c r="B533" t="inlineStr">
        <is>
          <t>Mar-2018</t>
        </is>
      </c>
      <c r="C533" s="2" t="n">
        <v>43441</v>
      </c>
      <c r="D533" t="inlineStr">
        <is>
          <t>NON-NIL</t>
        </is>
      </c>
      <c r="E533" t="n">
        <v>2219</v>
      </c>
    </row>
    <row r="534">
      <c r="A534" t="inlineStr">
        <is>
          <t>27BBBBB00534Z5</t>
        </is>
      </c>
      <c r="B534" t="inlineStr">
        <is>
          <t>Jul-2020</t>
        </is>
      </c>
      <c r="C534" s="2" t="n">
        <v>44499</v>
      </c>
      <c r="D534" t="inlineStr">
        <is>
          <t>NIL</t>
        </is>
      </c>
      <c r="E534" t="n">
        <v>2416</v>
      </c>
    </row>
    <row r="535">
      <c r="A535" t="inlineStr">
        <is>
          <t>27BBBBB00535Z5</t>
        </is>
      </c>
      <c r="B535" t="inlineStr">
        <is>
          <t>Nov-2017</t>
        </is>
      </c>
      <c r="C535" s="2" t="n">
        <v>44070</v>
      </c>
      <c r="D535" t="inlineStr">
        <is>
          <t>NIL</t>
        </is>
      </c>
      <c r="E535" t="n">
        <v>2157</v>
      </c>
    </row>
    <row r="536">
      <c r="A536" t="inlineStr">
        <is>
          <t>27BBBBB00536Z5</t>
        </is>
      </c>
      <c r="B536" t="inlineStr">
        <is>
          <t>Apr-2018</t>
        </is>
      </c>
      <c r="C536" s="2" t="n">
        <v>43958</v>
      </c>
      <c r="D536" t="inlineStr">
        <is>
          <t>NON-NIL</t>
        </is>
      </c>
      <c r="E536" t="n">
        <v>1458</v>
      </c>
    </row>
    <row r="537">
      <c r="A537" t="inlineStr">
        <is>
          <t>27BBBBB00537Z5</t>
        </is>
      </c>
      <c r="B537" t="inlineStr">
        <is>
          <t>Mar-2018</t>
        </is>
      </c>
      <c r="C537" s="2" t="n">
        <v>44286</v>
      </c>
      <c r="D537" t="inlineStr">
        <is>
          <t>NON-NIL</t>
        </is>
      </c>
      <c r="E537" t="n">
        <v>2432</v>
      </c>
    </row>
    <row r="538">
      <c r="A538" t="inlineStr">
        <is>
          <t>27BBBBB00538Z5</t>
        </is>
      </c>
      <c r="B538" t="inlineStr">
        <is>
          <t>Sep-2018</t>
        </is>
      </c>
      <c r="C538" s="2" t="n">
        <v>43205</v>
      </c>
      <c r="D538" t="inlineStr">
        <is>
          <t>NON-NIL</t>
        </is>
      </c>
      <c r="E538" t="n">
        <v>1207</v>
      </c>
    </row>
    <row r="539">
      <c r="A539" t="inlineStr">
        <is>
          <t>27BBBBB00539Z5</t>
        </is>
      </c>
      <c r="B539" t="inlineStr">
        <is>
          <t>Sep-2018</t>
        </is>
      </c>
      <c r="C539" s="2" t="n">
        <v>43217</v>
      </c>
      <c r="D539" t="inlineStr">
        <is>
          <t>NIL</t>
        </is>
      </c>
      <c r="E539" t="n">
        <v>1183</v>
      </c>
    </row>
    <row r="540">
      <c r="A540" t="inlineStr">
        <is>
          <t>27BBBBB00540Z5</t>
        </is>
      </c>
      <c r="B540" t="inlineStr">
        <is>
          <t>Oct-2018</t>
        </is>
      </c>
      <c r="C540" s="2" t="n">
        <v>43430</v>
      </c>
      <c r="D540" t="inlineStr">
        <is>
          <t>NON-NIL</t>
        </is>
      </c>
      <c r="E540" t="n">
        <v>514</v>
      </c>
    </row>
    <row r="541">
      <c r="A541" t="inlineStr">
        <is>
          <t>27BBBBB00541Z5</t>
        </is>
      </c>
      <c r="B541" t="inlineStr">
        <is>
          <t>Jun-2020</t>
        </is>
      </c>
      <c r="C541" s="2" t="n">
        <v>44051</v>
      </c>
      <c r="D541" t="inlineStr">
        <is>
          <t>NON-NIL</t>
        </is>
      </c>
      <c r="E541" t="n">
        <v>1477</v>
      </c>
    </row>
    <row r="542">
      <c r="A542" t="inlineStr">
        <is>
          <t>27BBBBB00542Z5</t>
        </is>
      </c>
      <c r="B542" t="inlineStr">
        <is>
          <t>Aug-2018</t>
        </is>
      </c>
      <c r="C542" s="2" t="n">
        <v>43389</v>
      </c>
      <c r="D542" t="inlineStr">
        <is>
          <t>NON-NIL</t>
        </is>
      </c>
      <c r="E542" t="n">
        <v>2403</v>
      </c>
    </row>
    <row r="543">
      <c r="A543" t="inlineStr">
        <is>
          <t>27BBBBB00543Z5</t>
        </is>
      </c>
      <c r="B543" t="inlineStr">
        <is>
          <t>Jul-2017</t>
        </is>
      </c>
      <c r="C543" s="2" t="n">
        <v>43455</v>
      </c>
      <c r="D543" t="inlineStr">
        <is>
          <t>NON-NIL</t>
        </is>
      </c>
      <c r="E543" t="n">
        <v>1333</v>
      </c>
    </row>
    <row r="544">
      <c r="A544" t="inlineStr">
        <is>
          <t>27BBBBB00544Z5</t>
        </is>
      </c>
      <c r="B544" t="inlineStr">
        <is>
          <t>Oct-2017</t>
        </is>
      </c>
      <c r="C544" s="2" t="n">
        <v>43497</v>
      </c>
      <c r="D544" t="inlineStr">
        <is>
          <t>NON-NIL</t>
        </is>
      </c>
      <c r="E544" t="n">
        <v>1059</v>
      </c>
    </row>
    <row r="545">
      <c r="A545" t="inlineStr">
        <is>
          <t>27BBBBB00545Z5</t>
        </is>
      </c>
      <c r="B545" t="inlineStr">
        <is>
          <t>Apr-2018</t>
        </is>
      </c>
      <c r="C545" s="2" t="n">
        <v>43778</v>
      </c>
      <c r="D545" t="inlineStr">
        <is>
          <t>NON-NIL</t>
        </is>
      </c>
      <c r="E545" t="n">
        <v>1986</v>
      </c>
    </row>
    <row r="546">
      <c r="A546" t="inlineStr">
        <is>
          <t>27BBBBB00546Z5</t>
        </is>
      </c>
      <c r="B546" t="inlineStr">
        <is>
          <t>Apr-2018</t>
        </is>
      </c>
      <c r="C546" s="2" t="n">
        <v>43975</v>
      </c>
      <c r="D546" t="inlineStr">
        <is>
          <t>NIL</t>
        </is>
      </c>
      <c r="E546" t="n">
        <v>1197</v>
      </c>
    </row>
    <row r="547">
      <c r="A547" t="inlineStr">
        <is>
          <t>27BBBBB00547Z5</t>
        </is>
      </c>
      <c r="B547" t="inlineStr">
        <is>
          <t>Jan-2021</t>
        </is>
      </c>
      <c r="C547" s="2" t="n">
        <v>44769</v>
      </c>
      <c r="D547" t="inlineStr">
        <is>
          <t>NIL</t>
        </is>
      </c>
      <c r="E547" t="n">
        <v>1298</v>
      </c>
    </row>
    <row r="548">
      <c r="A548" t="inlineStr">
        <is>
          <t>27BBBBB00548Z5</t>
        </is>
      </c>
      <c r="B548" t="inlineStr">
        <is>
          <t>Nov-2017</t>
        </is>
      </c>
      <c r="C548" s="2" t="n">
        <v>44357</v>
      </c>
      <c r="D548" t="inlineStr">
        <is>
          <t>NON-NIL</t>
        </is>
      </c>
      <c r="E548" t="n">
        <v>1220</v>
      </c>
    </row>
    <row r="549">
      <c r="A549" t="inlineStr">
        <is>
          <t>27BBBBB00549Z5</t>
        </is>
      </c>
      <c r="B549" t="inlineStr">
        <is>
          <t>Jul-2018</t>
        </is>
      </c>
      <c r="C549" s="2" t="n">
        <v>43568</v>
      </c>
      <c r="D549" t="inlineStr">
        <is>
          <t>NIL</t>
        </is>
      </c>
      <c r="E549" t="n">
        <v>2294</v>
      </c>
    </row>
    <row r="550">
      <c r="A550" t="inlineStr">
        <is>
          <t>27BBBBB00550Z5</t>
        </is>
      </c>
      <c r="B550" t="inlineStr">
        <is>
          <t>Apr-2020</t>
        </is>
      </c>
      <c r="C550" s="2" t="n">
        <v>44300</v>
      </c>
      <c r="D550" t="inlineStr">
        <is>
          <t>NIL</t>
        </is>
      </c>
      <c r="E550" t="n">
        <v>1024</v>
      </c>
    </row>
    <row r="551">
      <c r="A551" t="inlineStr">
        <is>
          <t>27BBBBB00551Z5</t>
        </is>
      </c>
      <c r="B551" t="inlineStr">
        <is>
          <t>Feb-2018</t>
        </is>
      </c>
      <c r="C551" s="2" t="n">
        <v>43085</v>
      </c>
      <c r="D551" t="inlineStr">
        <is>
          <t>NON-NIL</t>
        </is>
      </c>
      <c r="E551" t="n">
        <v>2285</v>
      </c>
    </row>
    <row r="552">
      <c r="A552" t="inlineStr">
        <is>
          <t>27BBBBB00552Z5</t>
        </is>
      </c>
      <c r="B552" t="inlineStr">
        <is>
          <t>Apr-2018</t>
        </is>
      </c>
      <c r="C552" s="2" t="n">
        <v>43234</v>
      </c>
      <c r="D552" t="inlineStr">
        <is>
          <t>NIL</t>
        </is>
      </c>
      <c r="E552" t="n">
        <v>973</v>
      </c>
    </row>
    <row r="553">
      <c r="A553" t="inlineStr">
        <is>
          <t>27BBBBB00553Z5</t>
        </is>
      </c>
      <c r="B553" t="inlineStr">
        <is>
          <t>Apr-2020</t>
        </is>
      </c>
      <c r="C553" s="2" t="n">
        <v>44031</v>
      </c>
      <c r="D553" t="inlineStr">
        <is>
          <t>NIL</t>
        </is>
      </c>
      <c r="E553" t="n">
        <v>1789</v>
      </c>
    </row>
    <row r="554">
      <c r="A554" t="inlineStr">
        <is>
          <t>27BBBBB00554Z5</t>
        </is>
      </c>
      <c r="B554" t="inlineStr">
        <is>
          <t>Jul-2020</t>
        </is>
      </c>
      <c r="C554" s="2" t="n">
        <v>44853</v>
      </c>
      <c r="D554" t="inlineStr">
        <is>
          <t>NON-NIL</t>
        </is>
      </c>
      <c r="E554" t="n">
        <v>1067</v>
      </c>
    </row>
    <row r="555">
      <c r="A555" t="inlineStr">
        <is>
          <t>27BBBBB00555Z5</t>
        </is>
      </c>
      <c r="B555" t="inlineStr">
        <is>
          <t>Nov-2018</t>
        </is>
      </c>
      <c r="C555" s="2" t="n">
        <v>43365</v>
      </c>
      <c r="D555" t="inlineStr">
        <is>
          <t>NIL</t>
        </is>
      </c>
      <c r="E555" t="n">
        <v>1997</v>
      </c>
    </row>
    <row r="556">
      <c r="A556" t="inlineStr">
        <is>
          <t>27BBBBB00556Z5</t>
        </is>
      </c>
      <c r="B556" t="inlineStr">
        <is>
          <t>Oct-2018</t>
        </is>
      </c>
      <c r="C556" s="2" t="n">
        <v>43907</v>
      </c>
      <c r="D556" t="inlineStr">
        <is>
          <t>NIL</t>
        </is>
      </c>
      <c r="E556" t="n">
        <v>1807</v>
      </c>
    </row>
    <row r="557">
      <c r="A557" t="inlineStr">
        <is>
          <t>27BBBBB00557Z5</t>
        </is>
      </c>
      <c r="B557" t="inlineStr">
        <is>
          <t>Jan-2021</t>
        </is>
      </c>
      <c r="C557" s="2" t="n">
        <v>43965</v>
      </c>
      <c r="D557" t="inlineStr">
        <is>
          <t>NON-NIL</t>
        </is>
      </c>
      <c r="E557" t="n">
        <v>1029</v>
      </c>
    </row>
    <row r="558">
      <c r="A558" t="inlineStr">
        <is>
          <t>27BBBBB00558Z5</t>
        </is>
      </c>
      <c r="B558" t="inlineStr">
        <is>
          <t>Mar-2023</t>
        </is>
      </c>
      <c r="C558" s="2" t="n">
        <v>44086</v>
      </c>
      <c r="D558" t="inlineStr">
        <is>
          <t>NIL</t>
        </is>
      </c>
      <c r="E558" t="n">
        <v>1054</v>
      </c>
    </row>
    <row r="559">
      <c r="A559" t="inlineStr">
        <is>
          <t>27BBBBB00559Z5</t>
        </is>
      </c>
      <c r="B559" t="inlineStr">
        <is>
          <t>Oct-2017</t>
        </is>
      </c>
      <c r="C559" s="2" t="n">
        <v>43253</v>
      </c>
      <c r="D559" t="inlineStr">
        <is>
          <t>NON-NIL</t>
        </is>
      </c>
      <c r="E559" t="n">
        <v>6</v>
      </c>
    </row>
    <row r="560">
      <c r="A560" t="inlineStr">
        <is>
          <t>27BBBBB00560Z5</t>
        </is>
      </c>
      <c r="B560" t="inlineStr">
        <is>
          <t>Jul-2020</t>
        </is>
      </c>
      <c r="C560" s="2" t="n">
        <v>44247</v>
      </c>
      <c r="D560" t="inlineStr">
        <is>
          <t>NIL</t>
        </is>
      </c>
      <c r="E560" t="n">
        <v>1126</v>
      </c>
    </row>
    <row r="561">
      <c r="A561" t="inlineStr">
        <is>
          <t>27BBBBB00561Z5</t>
        </is>
      </c>
      <c r="B561" t="inlineStr">
        <is>
          <t>Mar-2021</t>
        </is>
      </c>
      <c r="C561" s="2" t="n">
        <v>43867</v>
      </c>
      <c r="D561" t="inlineStr">
        <is>
          <t>NIL</t>
        </is>
      </c>
      <c r="E561" t="n">
        <v>1179</v>
      </c>
    </row>
    <row r="562">
      <c r="A562" t="inlineStr">
        <is>
          <t>27BBBBB00562Z5</t>
        </is>
      </c>
      <c r="B562" t="inlineStr">
        <is>
          <t>Oct-2018</t>
        </is>
      </c>
      <c r="C562" s="2" t="n">
        <v>43198</v>
      </c>
      <c r="D562" t="inlineStr">
        <is>
          <t>NIL</t>
        </is>
      </c>
      <c r="E562" t="n">
        <v>940</v>
      </c>
    </row>
    <row r="563">
      <c r="A563" t="inlineStr">
        <is>
          <t>27BBBBB00563Z5</t>
        </is>
      </c>
      <c r="B563" t="inlineStr">
        <is>
          <t>Dec-2024</t>
        </is>
      </c>
      <c r="C563" s="2" t="n">
        <v>45330</v>
      </c>
      <c r="D563" t="inlineStr">
        <is>
          <t>NIL</t>
        </is>
      </c>
      <c r="E563" t="n">
        <v>178</v>
      </c>
    </row>
    <row r="564">
      <c r="A564" t="inlineStr">
        <is>
          <t>27BBBBB00564Z5</t>
        </is>
      </c>
      <c r="B564" t="inlineStr">
        <is>
          <t>Sep-2018</t>
        </is>
      </c>
      <c r="C564" s="2" t="n">
        <v>43526</v>
      </c>
      <c r="D564" t="inlineStr">
        <is>
          <t>NIL</t>
        </is>
      </c>
      <c r="E564" t="n">
        <v>2454</v>
      </c>
    </row>
    <row r="565">
      <c r="A565" t="inlineStr">
        <is>
          <t>27BBBBB00565Z5</t>
        </is>
      </c>
      <c r="B565" t="inlineStr">
        <is>
          <t>Oct-2018</t>
        </is>
      </c>
      <c r="C565" s="2" t="n">
        <v>43624</v>
      </c>
      <c r="D565" t="inlineStr">
        <is>
          <t>NIL</t>
        </is>
      </c>
      <c r="E565" t="n">
        <v>1955</v>
      </c>
    </row>
    <row r="566">
      <c r="A566" t="inlineStr">
        <is>
          <t>27BBBBB00566Z5</t>
        </is>
      </c>
      <c r="B566" t="inlineStr">
        <is>
          <t>Aug-2017</t>
        </is>
      </c>
      <c r="C566" s="2" t="n">
        <v>44298</v>
      </c>
      <c r="D566" t="inlineStr">
        <is>
          <t>NIL</t>
        </is>
      </c>
      <c r="E566" t="n">
        <v>1759</v>
      </c>
    </row>
    <row r="567">
      <c r="A567" t="inlineStr">
        <is>
          <t>27BBBBB00567Z5</t>
        </is>
      </c>
      <c r="B567" t="inlineStr">
        <is>
          <t>Feb-2018</t>
        </is>
      </c>
      <c r="C567" s="2" t="n">
        <v>43247</v>
      </c>
      <c r="D567" t="inlineStr">
        <is>
          <t>NIL</t>
        </is>
      </c>
      <c r="E567" t="n">
        <v>2440</v>
      </c>
    </row>
    <row r="568">
      <c r="A568" t="inlineStr">
        <is>
          <t>27BBBBB00568Z5</t>
        </is>
      </c>
      <c r="B568" t="inlineStr">
        <is>
          <t>Apr-2020</t>
        </is>
      </c>
      <c r="C568" s="2" t="n">
        <v>44833</v>
      </c>
      <c r="D568" t="inlineStr">
        <is>
          <t>NON-NIL</t>
        </is>
      </c>
      <c r="E568" t="n">
        <v>859</v>
      </c>
    </row>
    <row r="569">
      <c r="A569" t="inlineStr">
        <is>
          <t>27BBBBB00569Z5</t>
        </is>
      </c>
      <c r="B569" t="inlineStr">
        <is>
          <t>Feb-2018</t>
        </is>
      </c>
      <c r="C569" s="2" t="n">
        <v>43680</v>
      </c>
      <c r="D569" t="inlineStr">
        <is>
          <t>NIL</t>
        </is>
      </c>
      <c r="E569" t="n">
        <v>397</v>
      </c>
    </row>
    <row r="570">
      <c r="A570" t="inlineStr">
        <is>
          <t>27BBBBB00570Z5</t>
        </is>
      </c>
      <c r="B570" t="inlineStr">
        <is>
          <t>Jul-2017</t>
        </is>
      </c>
      <c r="C570" s="2" t="n">
        <v>44004</v>
      </c>
      <c r="D570" t="inlineStr">
        <is>
          <t>NON-NIL</t>
        </is>
      </c>
      <c r="E570" t="n">
        <v>2168</v>
      </c>
    </row>
    <row r="571">
      <c r="A571" t="inlineStr">
        <is>
          <t>27BBBBB00571Z5</t>
        </is>
      </c>
      <c r="B571" t="inlineStr">
        <is>
          <t>Jan-2018</t>
        </is>
      </c>
      <c r="C571" s="2" t="n">
        <v>44228</v>
      </c>
      <c r="D571" t="inlineStr">
        <is>
          <t>NON-NIL</t>
        </is>
      </c>
      <c r="E571" t="n">
        <v>1497</v>
      </c>
    </row>
    <row r="572">
      <c r="A572" t="inlineStr">
        <is>
          <t>27BBBBB00572Z5</t>
        </is>
      </c>
      <c r="B572" t="inlineStr">
        <is>
          <t>Jun-2018</t>
        </is>
      </c>
      <c r="C572" s="2" t="n">
        <v>44314</v>
      </c>
      <c r="D572" t="inlineStr">
        <is>
          <t>NIL</t>
        </is>
      </c>
      <c r="E572" t="n">
        <v>1700</v>
      </c>
    </row>
    <row r="573">
      <c r="A573" t="inlineStr">
        <is>
          <t>27BBBBB00573Z5</t>
        </is>
      </c>
      <c r="B573" t="inlineStr">
        <is>
          <t>Feb-2018</t>
        </is>
      </c>
      <c r="C573" s="2" t="n">
        <v>43242</v>
      </c>
      <c r="D573" t="inlineStr">
        <is>
          <t>NIL</t>
        </is>
      </c>
      <c r="E573" t="n">
        <v>2160</v>
      </c>
    </row>
    <row r="574">
      <c r="A574" t="inlineStr">
        <is>
          <t>27BBBBB00574Z5</t>
        </is>
      </c>
      <c r="B574" t="inlineStr">
        <is>
          <t>Apr-2020</t>
        </is>
      </c>
      <c r="C574" s="2" t="n">
        <v>44406</v>
      </c>
      <c r="D574" t="inlineStr">
        <is>
          <t>NON-NIL</t>
        </is>
      </c>
      <c r="E574" t="n">
        <v>409</v>
      </c>
    </row>
    <row r="575">
      <c r="A575" t="inlineStr">
        <is>
          <t>27BBBBB00575Z5</t>
        </is>
      </c>
      <c r="B575" t="inlineStr">
        <is>
          <t>Jan-2021</t>
        </is>
      </c>
      <c r="C575" s="2" t="n">
        <v>43715</v>
      </c>
      <c r="D575" t="inlineStr">
        <is>
          <t>NON-NIL</t>
        </is>
      </c>
      <c r="E575" t="n">
        <v>2078</v>
      </c>
    </row>
    <row r="576">
      <c r="A576" t="inlineStr">
        <is>
          <t>27BBBBB00576Z5</t>
        </is>
      </c>
      <c r="B576" t="inlineStr">
        <is>
          <t>Mar-2020</t>
        </is>
      </c>
      <c r="C576" s="2" t="n">
        <v>44887</v>
      </c>
      <c r="D576" t="inlineStr">
        <is>
          <t>NIL</t>
        </is>
      </c>
      <c r="E576" t="n">
        <v>2161</v>
      </c>
    </row>
    <row r="577">
      <c r="A577" t="inlineStr">
        <is>
          <t>27BBBBB00577Z5</t>
        </is>
      </c>
      <c r="B577" t="inlineStr">
        <is>
          <t>Oct-2017</t>
        </is>
      </c>
      <c r="C577" s="2" t="n">
        <v>43121</v>
      </c>
      <c r="D577" t="inlineStr">
        <is>
          <t>NON-NIL</t>
        </is>
      </c>
      <c r="E577" t="n">
        <v>742</v>
      </c>
    </row>
    <row r="578">
      <c r="A578" t="inlineStr">
        <is>
          <t>27BBBBB00578Z5</t>
        </is>
      </c>
      <c r="B578" t="inlineStr">
        <is>
          <t>Dec-2018</t>
        </is>
      </c>
      <c r="C578" s="2" t="n">
        <v>43162</v>
      </c>
      <c r="D578" t="inlineStr">
        <is>
          <t>NON-NIL</t>
        </is>
      </c>
      <c r="E578" t="n">
        <v>2911</v>
      </c>
    </row>
    <row r="579">
      <c r="A579" t="inlineStr">
        <is>
          <t>27BBBBB00579Z5</t>
        </is>
      </c>
      <c r="B579" t="inlineStr">
        <is>
          <t>Dec-2018</t>
        </is>
      </c>
      <c r="C579" s="2" t="n">
        <v>43398</v>
      </c>
      <c r="D579" t="inlineStr">
        <is>
          <t>NON-NIL</t>
        </is>
      </c>
      <c r="E579" t="n">
        <v>552</v>
      </c>
    </row>
    <row r="580">
      <c r="A580" t="inlineStr">
        <is>
          <t>27BBBBB00580Z5</t>
        </is>
      </c>
      <c r="B580" t="inlineStr">
        <is>
          <t>Mar-2021</t>
        </is>
      </c>
      <c r="C580" s="2" t="n">
        <v>43474</v>
      </c>
      <c r="D580" t="inlineStr">
        <is>
          <t>NON-NIL</t>
        </is>
      </c>
      <c r="E580" t="n">
        <v>1045</v>
      </c>
    </row>
    <row r="581">
      <c r="A581" t="inlineStr">
        <is>
          <t>27BBBBB00581Z5</t>
        </is>
      </c>
      <c r="B581" t="inlineStr">
        <is>
          <t>Jan-2018</t>
        </is>
      </c>
      <c r="C581" s="2" t="n">
        <v>43327</v>
      </c>
      <c r="D581" t="inlineStr">
        <is>
          <t>NON-NIL</t>
        </is>
      </c>
      <c r="E581" t="n">
        <v>1390</v>
      </c>
    </row>
    <row r="582">
      <c r="A582" t="inlineStr">
        <is>
          <t>27BBBBB00582Z5</t>
        </is>
      </c>
      <c r="B582" t="inlineStr">
        <is>
          <t>Jan-2018</t>
        </is>
      </c>
      <c r="C582" s="2" t="n">
        <v>43549</v>
      </c>
      <c r="D582" t="inlineStr">
        <is>
          <t>NIL</t>
        </is>
      </c>
      <c r="E582" t="n">
        <v>768</v>
      </c>
    </row>
    <row r="583">
      <c r="A583" t="inlineStr">
        <is>
          <t>27BBBBB00583Z5</t>
        </is>
      </c>
      <c r="B583" t="inlineStr">
        <is>
          <t>Apr-2018</t>
        </is>
      </c>
      <c r="C583" s="2" t="n">
        <v>44071</v>
      </c>
      <c r="D583" t="inlineStr">
        <is>
          <t>NON-NIL</t>
        </is>
      </c>
      <c r="E583" t="n">
        <v>2917</v>
      </c>
    </row>
    <row r="584">
      <c r="A584" t="inlineStr">
        <is>
          <t>27BBBBB00584Z5</t>
        </is>
      </c>
      <c r="B584" t="inlineStr">
        <is>
          <t>Oct-2017</t>
        </is>
      </c>
      <c r="C584" s="2" t="n">
        <v>44491</v>
      </c>
      <c r="D584" t="inlineStr">
        <is>
          <t>NON-NIL</t>
        </is>
      </c>
      <c r="E584" t="n">
        <v>522</v>
      </c>
    </row>
    <row r="585">
      <c r="A585" t="inlineStr">
        <is>
          <t>27BBBBB00585Z5</t>
        </is>
      </c>
      <c r="B585" t="inlineStr">
        <is>
          <t>May-2020</t>
        </is>
      </c>
      <c r="C585" s="2" t="n">
        <v>43856</v>
      </c>
      <c r="D585" t="inlineStr">
        <is>
          <t>NON-NIL</t>
        </is>
      </c>
      <c r="E585" t="n">
        <v>206</v>
      </c>
    </row>
    <row r="586">
      <c r="A586" t="inlineStr">
        <is>
          <t>27BBBBB00586Z5</t>
        </is>
      </c>
      <c r="B586" t="inlineStr">
        <is>
          <t>Mar-2023</t>
        </is>
      </c>
      <c r="C586" s="2" t="n">
        <v>45780</v>
      </c>
      <c r="D586" t="inlineStr">
        <is>
          <t>NIL</t>
        </is>
      </c>
      <c r="E586" t="n">
        <v>758</v>
      </c>
    </row>
    <row r="587">
      <c r="A587" t="inlineStr">
        <is>
          <t>27BBBBB00587Z5</t>
        </is>
      </c>
      <c r="B587" t="inlineStr">
        <is>
          <t>Apr-2018</t>
        </is>
      </c>
      <c r="C587" s="2" t="n">
        <v>43220</v>
      </c>
      <c r="D587" t="inlineStr">
        <is>
          <t>NON-NIL</t>
        </is>
      </c>
      <c r="E587" t="n">
        <v>802</v>
      </c>
    </row>
    <row r="588">
      <c r="A588" t="inlineStr">
        <is>
          <t>27BBBBB00588Z5</t>
        </is>
      </c>
      <c r="B588" t="inlineStr">
        <is>
          <t>Mar-2023</t>
        </is>
      </c>
      <c r="C588" s="2" t="n">
        <v>43596</v>
      </c>
      <c r="D588" t="inlineStr">
        <is>
          <t>NIL</t>
        </is>
      </c>
      <c r="E588" t="n">
        <v>2510</v>
      </c>
    </row>
    <row r="589">
      <c r="A589" t="inlineStr">
        <is>
          <t>27BBBBB00589Z5</t>
        </is>
      </c>
      <c r="B589" t="inlineStr">
        <is>
          <t>May-2020</t>
        </is>
      </c>
      <c r="C589" s="2" t="n">
        <v>43996</v>
      </c>
      <c r="D589" t="inlineStr">
        <is>
          <t>NON-NIL</t>
        </is>
      </c>
      <c r="E589" t="n">
        <v>921</v>
      </c>
    </row>
    <row r="590">
      <c r="A590" t="inlineStr">
        <is>
          <t>27BBBBB00590Z5</t>
        </is>
      </c>
      <c r="B590" t="inlineStr">
        <is>
          <t>Oct-2017</t>
        </is>
      </c>
      <c r="C590" s="2" t="n">
        <v>43687</v>
      </c>
      <c r="D590" t="inlineStr">
        <is>
          <t>NIL</t>
        </is>
      </c>
      <c r="E590" t="n">
        <v>907</v>
      </c>
    </row>
    <row r="591">
      <c r="A591" t="inlineStr">
        <is>
          <t>27BBBBB00591Z5</t>
        </is>
      </c>
      <c r="B591" t="inlineStr">
        <is>
          <t>Nov-2017</t>
        </is>
      </c>
      <c r="C591" s="2" t="n">
        <v>43517</v>
      </c>
      <c r="D591" t="inlineStr">
        <is>
          <t>NIL</t>
        </is>
      </c>
      <c r="E591" t="n">
        <v>15</v>
      </c>
    </row>
    <row r="592">
      <c r="A592" t="inlineStr">
        <is>
          <t>27BBBBB00592Z5</t>
        </is>
      </c>
      <c r="B592" t="inlineStr">
        <is>
          <t>Jun-2020</t>
        </is>
      </c>
      <c r="C592" s="2" t="n">
        <v>44887</v>
      </c>
      <c r="D592" t="inlineStr">
        <is>
          <t>NON-NIL</t>
        </is>
      </c>
      <c r="E592" t="n">
        <v>699</v>
      </c>
    </row>
    <row r="593">
      <c r="A593" t="inlineStr">
        <is>
          <t>27BBBBB00593Z5</t>
        </is>
      </c>
      <c r="B593" t="inlineStr">
        <is>
          <t>Apr-2018</t>
        </is>
      </c>
      <c r="C593" s="2" t="n">
        <v>43438</v>
      </c>
      <c r="D593" t="inlineStr">
        <is>
          <t>NON-NIL</t>
        </is>
      </c>
      <c r="E593" t="n">
        <v>2059</v>
      </c>
    </row>
    <row r="594">
      <c r="A594" t="inlineStr">
        <is>
          <t>27BBBBB00594Z5</t>
        </is>
      </c>
      <c r="B594" t="inlineStr">
        <is>
          <t>Feb-2018</t>
        </is>
      </c>
      <c r="C594" s="2" t="n">
        <v>44090</v>
      </c>
      <c r="D594" t="inlineStr">
        <is>
          <t>NIL</t>
        </is>
      </c>
      <c r="E594" t="n">
        <v>1990</v>
      </c>
    </row>
    <row r="595">
      <c r="A595" t="inlineStr">
        <is>
          <t>27BBBBB00595Z5</t>
        </is>
      </c>
      <c r="B595" t="inlineStr">
        <is>
          <t>Oct-2017</t>
        </is>
      </c>
      <c r="C595" s="2" t="n">
        <v>43194</v>
      </c>
      <c r="D595" t="inlineStr">
        <is>
          <t>NIL</t>
        </is>
      </c>
      <c r="E595" t="n">
        <v>684</v>
      </c>
    </row>
    <row r="596">
      <c r="A596" t="inlineStr">
        <is>
          <t>27BBBBB00596Z5</t>
        </is>
      </c>
      <c r="B596" t="inlineStr">
        <is>
          <t>Jun-2018</t>
        </is>
      </c>
      <c r="C596" s="2" t="n">
        <v>43932</v>
      </c>
      <c r="D596" t="inlineStr">
        <is>
          <t>NON-NIL</t>
        </is>
      </c>
      <c r="E596" t="n">
        <v>2458</v>
      </c>
    </row>
    <row r="597">
      <c r="A597" t="inlineStr">
        <is>
          <t>27BBBBB00597Z5</t>
        </is>
      </c>
      <c r="B597" t="inlineStr">
        <is>
          <t>Sep-2017</t>
        </is>
      </c>
      <c r="C597" s="2" t="n">
        <v>43019</v>
      </c>
      <c r="D597" t="inlineStr">
        <is>
          <t>NIL</t>
        </is>
      </c>
      <c r="E597" t="n">
        <v>1242</v>
      </c>
    </row>
    <row r="598">
      <c r="A598" t="inlineStr">
        <is>
          <t>27BBBBB00598Z5</t>
        </is>
      </c>
      <c r="B598" t="inlineStr">
        <is>
          <t>Dec-2024</t>
        </is>
      </c>
      <c r="C598" s="2" t="n">
        <v>43922</v>
      </c>
      <c r="D598" t="inlineStr">
        <is>
          <t>NIL</t>
        </is>
      </c>
      <c r="E598" t="n">
        <v>1928</v>
      </c>
    </row>
    <row r="599">
      <c r="A599" t="inlineStr">
        <is>
          <t>27BBBBB00599Z5</t>
        </is>
      </c>
      <c r="B599" t="inlineStr">
        <is>
          <t>Mar-2021</t>
        </is>
      </c>
      <c r="C599" s="2" t="n">
        <v>44132</v>
      </c>
      <c r="D599" t="inlineStr">
        <is>
          <t>NON-NIL</t>
        </is>
      </c>
      <c r="E599" t="n">
        <v>1191</v>
      </c>
    </row>
    <row r="600">
      <c r="A600" t="inlineStr">
        <is>
          <t>27BBBBB00600Z5</t>
        </is>
      </c>
      <c r="B600" t="inlineStr">
        <is>
          <t>May-2020</t>
        </is>
      </c>
      <c r="C600" s="2" t="n">
        <v>44568</v>
      </c>
      <c r="D600" t="inlineStr">
        <is>
          <t>NIL</t>
        </is>
      </c>
      <c r="E600" t="n">
        <v>152</v>
      </c>
    </row>
    <row r="601">
      <c r="A601" t="inlineStr">
        <is>
          <t>27BBBBB00601Z5</t>
        </is>
      </c>
      <c r="B601" t="inlineStr">
        <is>
          <t>Sep-2018</t>
        </is>
      </c>
      <c r="C601" s="2" t="n">
        <v>43703</v>
      </c>
      <c r="D601" t="inlineStr">
        <is>
          <t>NIL</t>
        </is>
      </c>
      <c r="E601" t="n">
        <v>1456</v>
      </c>
    </row>
    <row r="602">
      <c r="A602" t="inlineStr">
        <is>
          <t>27BBBBB00602Z5</t>
        </is>
      </c>
      <c r="B602" t="inlineStr">
        <is>
          <t>Nov-2017</t>
        </is>
      </c>
      <c r="C602" s="2" t="n">
        <v>44023</v>
      </c>
      <c r="D602" t="inlineStr">
        <is>
          <t>NIL</t>
        </is>
      </c>
      <c r="E602" t="n">
        <v>349</v>
      </c>
    </row>
    <row r="603">
      <c r="A603" t="inlineStr">
        <is>
          <t>27BBBBB00603Z5</t>
        </is>
      </c>
      <c r="B603" t="inlineStr">
        <is>
          <t>Sep-2017</t>
        </is>
      </c>
      <c r="C603" s="2" t="n">
        <v>44502</v>
      </c>
      <c r="D603" t="inlineStr">
        <is>
          <t>NON-NIL</t>
        </is>
      </c>
      <c r="E603" t="n">
        <v>2019</v>
      </c>
    </row>
    <row r="604">
      <c r="A604" t="inlineStr">
        <is>
          <t>27BBBBB00604Z5</t>
        </is>
      </c>
      <c r="B604" t="inlineStr">
        <is>
          <t>Nov-2018</t>
        </is>
      </c>
      <c r="C604" s="2" t="n">
        <v>44097</v>
      </c>
      <c r="D604" t="inlineStr">
        <is>
          <t>NON-NIL</t>
        </is>
      </c>
      <c r="E604" t="n">
        <v>437</v>
      </c>
    </row>
    <row r="605">
      <c r="A605" t="inlineStr">
        <is>
          <t>27BBBBB00605Z5</t>
        </is>
      </c>
      <c r="B605" t="inlineStr">
        <is>
          <t>Aug-2018</t>
        </is>
      </c>
      <c r="C605" s="2" t="n">
        <v>43747</v>
      </c>
      <c r="D605" t="inlineStr">
        <is>
          <t>NON-NIL</t>
        </is>
      </c>
      <c r="E605" t="n">
        <v>230</v>
      </c>
    </row>
    <row r="606">
      <c r="A606" t="inlineStr">
        <is>
          <t>27BBBBB00606Z5</t>
        </is>
      </c>
      <c r="B606" t="inlineStr">
        <is>
          <t>Oct-2017</t>
        </is>
      </c>
      <c r="C606" s="2" t="n">
        <v>44012</v>
      </c>
      <c r="D606" t="inlineStr">
        <is>
          <t>NIL</t>
        </is>
      </c>
      <c r="E606" t="n">
        <v>215</v>
      </c>
    </row>
    <row r="607">
      <c r="A607" t="inlineStr">
        <is>
          <t>27BBBBB00607Z5</t>
        </is>
      </c>
      <c r="B607" t="inlineStr">
        <is>
          <t>Jun-2018</t>
        </is>
      </c>
      <c r="C607" s="2" t="n">
        <v>43482</v>
      </c>
      <c r="D607" t="inlineStr">
        <is>
          <t>NON-NIL</t>
        </is>
      </c>
      <c r="E607" t="n">
        <v>85</v>
      </c>
    </row>
    <row r="608">
      <c r="A608" t="inlineStr">
        <is>
          <t>27BBBBB00608Z5</t>
        </is>
      </c>
      <c r="B608" t="inlineStr">
        <is>
          <t>Mar-2021</t>
        </is>
      </c>
      <c r="C608" s="2" t="n">
        <v>44055</v>
      </c>
      <c r="D608" t="inlineStr">
        <is>
          <t>NON-NIL</t>
        </is>
      </c>
      <c r="E608" t="n">
        <v>1792</v>
      </c>
    </row>
    <row r="609">
      <c r="A609" t="inlineStr">
        <is>
          <t>27BBBBB00609Z5</t>
        </is>
      </c>
      <c r="B609" t="inlineStr">
        <is>
          <t>Jul-2018</t>
        </is>
      </c>
      <c r="C609" s="2" t="n">
        <v>43038</v>
      </c>
      <c r="D609" t="inlineStr">
        <is>
          <t>NIL</t>
        </is>
      </c>
      <c r="E609" t="n">
        <v>2725</v>
      </c>
    </row>
    <row r="610">
      <c r="A610" t="inlineStr">
        <is>
          <t>27BBBBB00610Z5</t>
        </is>
      </c>
      <c r="B610" t="inlineStr">
        <is>
          <t>Dec-2024</t>
        </is>
      </c>
      <c r="C610" s="2" t="n">
        <v>43983</v>
      </c>
      <c r="D610" t="inlineStr">
        <is>
          <t>NIL</t>
        </is>
      </c>
      <c r="E610" t="n">
        <v>398</v>
      </c>
    </row>
    <row r="611">
      <c r="A611" t="inlineStr">
        <is>
          <t>27BBBBB00611Z5</t>
        </is>
      </c>
      <c r="B611" t="inlineStr">
        <is>
          <t>Jul-2018</t>
        </is>
      </c>
      <c r="C611" s="2" t="n">
        <v>43198</v>
      </c>
      <c r="D611" t="inlineStr">
        <is>
          <t>NON-NIL</t>
        </is>
      </c>
      <c r="E611" t="n">
        <v>1930</v>
      </c>
    </row>
    <row r="612">
      <c r="A612" t="inlineStr">
        <is>
          <t>27BBBBB00612Z5</t>
        </is>
      </c>
      <c r="B612" t="inlineStr">
        <is>
          <t>Jun-2018</t>
        </is>
      </c>
      <c r="C612" s="2" t="n">
        <v>43105</v>
      </c>
      <c r="D612" t="inlineStr">
        <is>
          <t>NIL</t>
        </is>
      </c>
      <c r="E612" t="n">
        <v>137</v>
      </c>
    </row>
    <row r="613">
      <c r="A613" t="inlineStr">
        <is>
          <t>27BBBBB00613Z5</t>
        </is>
      </c>
      <c r="B613" t="inlineStr">
        <is>
          <t>Jul-2017</t>
        </is>
      </c>
      <c r="C613" s="2" t="n">
        <v>43358</v>
      </c>
      <c r="D613" t="inlineStr">
        <is>
          <t>NON-NIL</t>
        </is>
      </c>
      <c r="E613" t="n">
        <v>1683</v>
      </c>
    </row>
    <row r="614">
      <c r="A614" t="inlineStr">
        <is>
          <t>27BBBBB00614Z5</t>
        </is>
      </c>
      <c r="B614" t="inlineStr">
        <is>
          <t>Mar-2021</t>
        </is>
      </c>
      <c r="C614" s="2" t="n">
        <v>45667</v>
      </c>
      <c r="D614" t="inlineStr">
        <is>
          <t>NON-NIL</t>
        </is>
      </c>
      <c r="E614" t="n">
        <v>1931</v>
      </c>
    </row>
    <row r="615">
      <c r="A615" t="inlineStr">
        <is>
          <t>27BBBBB00615Z5</t>
        </is>
      </c>
      <c r="B615" t="inlineStr">
        <is>
          <t>Dec-2024</t>
        </is>
      </c>
      <c r="C615" s="2" t="n">
        <v>44744</v>
      </c>
      <c r="D615" t="inlineStr">
        <is>
          <t>NIL</t>
        </is>
      </c>
      <c r="E615" t="n">
        <v>2398</v>
      </c>
    </row>
    <row r="616">
      <c r="A616" t="inlineStr">
        <is>
          <t>27BBBBB00616Z5</t>
        </is>
      </c>
      <c r="B616" t="inlineStr">
        <is>
          <t>Mar-2021</t>
        </is>
      </c>
      <c r="C616" s="2" t="n">
        <v>45410</v>
      </c>
      <c r="D616" t="inlineStr">
        <is>
          <t>NIL</t>
        </is>
      </c>
      <c r="E616" t="n">
        <v>2247</v>
      </c>
    </row>
    <row r="617">
      <c r="A617" t="inlineStr">
        <is>
          <t>27BBBBB00617Z5</t>
        </is>
      </c>
      <c r="B617" t="inlineStr">
        <is>
          <t>Mar-2018</t>
        </is>
      </c>
      <c r="C617" s="2" t="n">
        <v>44551</v>
      </c>
      <c r="D617" t="inlineStr">
        <is>
          <t>NON-NIL</t>
        </is>
      </c>
      <c r="E617" t="n">
        <v>2616</v>
      </c>
    </row>
    <row r="618">
      <c r="A618" t="inlineStr">
        <is>
          <t>27BBBBB00618Z5</t>
        </is>
      </c>
      <c r="B618" t="inlineStr">
        <is>
          <t>Mar-2023</t>
        </is>
      </c>
      <c r="C618" s="2" t="n">
        <v>43839</v>
      </c>
      <c r="D618" t="inlineStr">
        <is>
          <t>NON-NIL</t>
        </is>
      </c>
      <c r="E618" t="n">
        <v>1499</v>
      </c>
    </row>
    <row r="619">
      <c r="A619" t="inlineStr">
        <is>
          <t>27BBBBB00619Z5</t>
        </is>
      </c>
      <c r="B619" t="inlineStr">
        <is>
          <t>Nov-2018</t>
        </is>
      </c>
      <c r="C619" s="2" t="n">
        <v>43069</v>
      </c>
      <c r="D619" t="inlineStr">
        <is>
          <t>NON-NIL</t>
        </is>
      </c>
      <c r="E619" t="n">
        <v>929</v>
      </c>
    </row>
    <row r="620">
      <c r="A620" t="inlineStr">
        <is>
          <t>27BBBBB00620Z5</t>
        </is>
      </c>
      <c r="B620" t="inlineStr">
        <is>
          <t>Dec-2024</t>
        </is>
      </c>
      <c r="C620" s="2" t="n">
        <v>43660</v>
      </c>
      <c r="D620" t="inlineStr">
        <is>
          <t>NIL</t>
        </is>
      </c>
      <c r="E620" t="n">
        <v>438</v>
      </c>
    </row>
    <row r="621">
      <c r="A621" t="inlineStr">
        <is>
          <t>27BBBBB00621Z5</t>
        </is>
      </c>
      <c r="B621" t="inlineStr">
        <is>
          <t>Dec-2017</t>
        </is>
      </c>
      <c r="C621" s="2" t="n">
        <v>44129</v>
      </c>
      <c r="D621" t="inlineStr">
        <is>
          <t>NIL</t>
        </is>
      </c>
      <c r="E621" t="n">
        <v>2195</v>
      </c>
    </row>
    <row r="622">
      <c r="A622" t="inlineStr">
        <is>
          <t>27BBBBB00622Z5</t>
        </is>
      </c>
      <c r="B622" t="inlineStr">
        <is>
          <t>Dec-2017</t>
        </is>
      </c>
      <c r="C622" s="2" t="n">
        <v>43310</v>
      </c>
      <c r="D622" t="inlineStr">
        <is>
          <t>NON-NIL</t>
        </is>
      </c>
      <c r="E622" t="n">
        <v>793</v>
      </c>
    </row>
    <row r="623">
      <c r="A623" t="inlineStr">
        <is>
          <t>27BBBBB00623Z5</t>
        </is>
      </c>
      <c r="B623" t="inlineStr">
        <is>
          <t>Dec-2024</t>
        </is>
      </c>
      <c r="C623" s="2" t="n">
        <v>45409</v>
      </c>
      <c r="D623" t="inlineStr">
        <is>
          <t>NIL</t>
        </is>
      </c>
      <c r="E623" t="n">
        <v>1352</v>
      </c>
    </row>
    <row r="624">
      <c r="A624" t="inlineStr">
        <is>
          <t>27BBBBB00624Z5</t>
        </is>
      </c>
      <c r="B624" t="inlineStr">
        <is>
          <t>Mar-2023</t>
        </is>
      </c>
      <c r="C624" s="2" t="n">
        <v>43929</v>
      </c>
      <c r="D624" t="inlineStr">
        <is>
          <t>NIL</t>
        </is>
      </c>
      <c r="E624" t="n">
        <v>570</v>
      </c>
    </row>
    <row r="625">
      <c r="A625" t="inlineStr">
        <is>
          <t>27BBBBB00625Z5</t>
        </is>
      </c>
      <c r="B625" t="inlineStr">
        <is>
          <t>Apr-2020</t>
        </is>
      </c>
      <c r="C625" s="2" t="n">
        <v>44898</v>
      </c>
      <c r="D625" t="inlineStr">
        <is>
          <t>NIL</t>
        </is>
      </c>
      <c r="E625" t="n">
        <v>842</v>
      </c>
    </row>
    <row r="626">
      <c r="A626" t="inlineStr">
        <is>
          <t>27BBBBB00626Z5</t>
        </is>
      </c>
      <c r="B626" t="inlineStr">
        <is>
          <t>Mar-2021</t>
        </is>
      </c>
      <c r="C626" s="2" t="n">
        <v>43820</v>
      </c>
      <c r="D626" t="inlineStr">
        <is>
          <t>NIL</t>
        </is>
      </c>
      <c r="E626" t="n">
        <v>631</v>
      </c>
    </row>
    <row r="627">
      <c r="A627" t="inlineStr">
        <is>
          <t>27BBBBB00627Z5</t>
        </is>
      </c>
      <c r="B627" t="inlineStr">
        <is>
          <t>Jul-2018</t>
        </is>
      </c>
      <c r="C627" s="2" t="n">
        <v>43230</v>
      </c>
      <c r="D627" t="inlineStr">
        <is>
          <t>NIL</t>
        </is>
      </c>
      <c r="E627" t="n">
        <v>1804</v>
      </c>
    </row>
    <row r="628">
      <c r="A628" t="inlineStr">
        <is>
          <t>27BBBBB00628Z5</t>
        </is>
      </c>
      <c r="B628" t="inlineStr">
        <is>
          <t>Jul-2017</t>
        </is>
      </c>
      <c r="C628" s="2" t="n">
        <v>43660</v>
      </c>
      <c r="D628" t="inlineStr">
        <is>
          <t>NIL</t>
        </is>
      </c>
      <c r="E628" t="n">
        <v>1571</v>
      </c>
    </row>
    <row r="629">
      <c r="A629" t="inlineStr">
        <is>
          <t>27BBBBB00629Z5</t>
        </is>
      </c>
      <c r="B629" t="inlineStr">
        <is>
          <t>Dec-2022</t>
        </is>
      </c>
      <c r="C629" s="2" t="n">
        <v>45327</v>
      </c>
      <c r="D629" t="inlineStr">
        <is>
          <t>NON-NIL</t>
        </is>
      </c>
      <c r="E629" t="n">
        <v>2281</v>
      </c>
    </row>
    <row r="630">
      <c r="A630" t="inlineStr">
        <is>
          <t>27BBBBB00630Z5</t>
        </is>
      </c>
      <c r="B630" t="inlineStr">
        <is>
          <t>Jan-2021</t>
        </is>
      </c>
      <c r="C630" s="2" t="n">
        <v>44180</v>
      </c>
      <c r="D630" t="inlineStr">
        <is>
          <t>NON-NIL</t>
        </is>
      </c>
      <c r="E630" t="n">
        <v>655</v>
      </c>
    </row>
    <row r="631">
      <c r="A631" t="inlineStr">
        <is>
          <t>27BBBBB00631Z5</t>
        </is>
      </c>
      <c r="B631" t="inlineStr">
        <is>
          <t>Dec-2024</t>
        </is>
      </c>
      <c r="C631" s="2" t="n">
        <v>44090</v>
      </c>
      <c r="D631" t="inlineStr">
        <is>
          <t>NIL</t>
        </is>
      </c>
      <c r="E631" t="n">
        <v>1335</v>
      </c>
    </row>
    <row r="632">
      <c r="A632" t="inlineStr">
        <is>
          <t>27BBBBB00632Z5</t>
        </is>
      </c>
      <c r="B632" t="inlineStr">
        <is>
          <t>Apr-2018</t>
        </is>
      </c>
      <c r="C632" s="2" t="n">
        <v>44558</v>
      </c>
      <c r="D632" t="inlineStr">
        <is>
          <t>NON-NIL</t>
        </is>
      </c>
      <c r="E632" t="n">
        <v>1378</v>
      </c>
    </row>
    <row r="633">
      <c r="A633" t="inlineStr">
        <is>
          <t>27BBBBB00633Z5</t>
        </is>
      </c>
      <c r="B633" t="inlineStr">
        <is>
          <t>Mar-2023</t>
        </is>
      </c>
      <c r="C633" s="2" t="n">
        <v>44607</v>
      </c>
      <c r="D633" t="inlineStr">
        <is>
          <t>NON-NIL</t>
        </is>
      </c>
      <c r="E633" t="n">
        <v>1540</v>
      </c>
    </row>
    <row r="634">
      <c r="A634" t="inlineStr">
        <is>
          <t>27BBBBB00634Z5</t>
        </is>
      </c>
      <c r="B634" t="inlineStr">
        <is>
          <t>Feb-2018</t>
        </is>
      </c>
      <c r="C634" s="2" t="n">
        <v>43074</v>
      </c>
      <c r="D634" t="inlineStr">
        <is>
          <t>NON-NIL</t>
        </is>
      </c>
      <c r="E634" t="n">
        <v>2465</v>
      </c>
    </row>
    <row r="635">
      <c r="A635" t="inlineStr">
        <is>
          <t>27BBBBB00635Z5</t>
        </is>
      </c>
      <c r="B635" t="inlineStr">
        <is>
          <t>Sep-2017</t>
        </is>
      </c>
      <c r="C635" s="2" t="n">
        <v>43525</v>
      </c>
      <c r="D635" t="inlineStr">
        <is>
          <t>NON-NIL</t>
        </is>
      </c>
      <c r="E635" t="n">
        <v>1449</v>
      </c>
    </row>
    <row r="636">
      <c r="A636" t="inlineStr">
        <is>
          <t>27BBBBB00636Z5</t>
        </is>
      </c>
      <c r="B636" t="inlineStr">
        <is>
          <t>Apr-2020</t>
        </is>
      </c>
      <c r="C636" s="2" t="n">
        <v>43940</v>
      </c>
      <c r="D636" t="inlineStr">
        <is>
          <t>NIL</t>
        </is>
      </c>
      <c r="E636" t="n">
        <v>1576</v>
      </c>
    </row>
    <row r="637">
      <c r="A637" t="inlineStr">
        <is>
          <t>27BBBBB00637Z5</t>
        </is>
      </c>
      <c r="B637" t="inlineStr">
        <is>
          <t>May-2018</t>
        </is>
      </c>
      <c r="C637" s="2" t="n">
        <v>43378</v>
      </c>
      <c r="D637" t="inlineStr">
        <is>
          <t>NON-NIL</t>
        </is>
      </c>
      <c r="E637" t="n">
        <v>1155</v>
      </c>
    </row>
    <row r="638">
      <c r="A638" t="inlineStr">
        <is>
          <t>27BBBBB00638Z5</t>
        </is>
      </c>
      <c r="B638" t="inlineStr">
        <is>
          <t>Dec-2017</t>
        </is>
      </c>
      <c r="C638" s="2" t="n">
        <v>43334</v>
      </c>
      <c r="D638" t="inlineStr">
        <is>
          <t>NON-NIL</t>
        </is>
      </c>
      <c r="E638" t="n">
        <v>652</v>
      </c>
    </row>
    <row r="639">
      <c r="A639" t="inlineStr">
        <is>
          <t>27BBBBB00639Z5</t>
        </is>
      </c>
      <c r="B639" t="inlineStr">
        <is>
          <t>Mar-2018</t>
        </is>
      </c>
      <c r="C639" s="2" t="n">
        <v>43811</v>
      </c>
      <c r="D639" t="inlineStr">
        <is>
          <t>NON-NIL</t>
        </is>
      </c>
      <c r="E639" t="n">
        <v>1850</v>
      </c>
    </row>
    <row r="640">
      <c r="A640" t="inlineStr">
        <is>
          <t>27BBBBB00640Z5</t>
        </is>
      </c>
      <c r="B640" t="inlineStr">
        <is>
          <t>Dec-2024</t>
        </is>
      </c>
      <c r="C640" s="2" t="n">
        <v>45038</v>
      </c>
      <c r="D640" t="inlineStr">
        <is>
          <t>NIL</t>
        </is>
      </c>
      <c r="E640" t="n">
        <v>685</v>
      </c>
    </row>
    <row r="641">
      <c r="A641" t="inlineStr">
        <is>
          <t>27BBBBB00641Z5</t>
        </is>
      </c>
      <c r="B641" t="inlineStr">
        <is>
          <t>Aug-2018</t>
        </is>
      </c>
      <c r="C641" s="2" t="n">
        <v>44346</v>
      </c>
      <c r="D641" t="inlineStr">
        <is>
          <t>NON-NIL</t>
        </is>
      </c>
      <c r="E641" t="n">
        <v>1596</v>
      </c>
    </row>
    <row r="642">
      <c r="A642" t="inlineStr">
        <is>
          <t>27BBBBB00642Z5</t>
        </is>
      </c>
      <c r="B642" t="inlineStr">
        <is>
          <t>Sep-2017</t>
        </is>
      </c>
      <c r="C642" s="2" t="n">
        <v>43926</v>
      </c>
      <c r="D642" t="inlineStr">
        <is>
          <t>NON-NIL</t>
        </is>
      </c>
      <c r="E642" t="n">
        <v>2637</v>
      </c>
    </row>
    <row r="643">
      <c r="A643" t="inlineStr">
        <is>
          <t>27BBBBB00643Z5</t>
        </is>
      </c>
      <c r="B643" t="inlineStr">
        <is>
          <t>Sep-2018</t>
        </is>
      </c>
      <c r="C643" s="2" t="n">
        <v>44121</v>
      </c>
      <c r="D643" t="inlineStr">
        <is>
          <t>NIL</t>
        </is>
      </c>
      <c r="E643" t="n">
        <v>1136</v>
      </c>
    </row>
    <row r="644">
      <c r="A644" t="inlineStr">
        <is>
          <t>27BBBBB00644Z5</t>
        </is>
      </c>
      <c r="B644" t="inlineStr">
        <is>
          <t>Dec-2022</t>
        </is>
      </c>
      <c r="C644" s="2" t="n">
        <v>44922</v>
      </c>
      <c r="D644" t="inlineStr">
        <is>
          <t>NON-NIL</t>
        </is>
      </c>
      <c r="E644" t="n">
        <v>680</v>
      </c>
    </row>
    <row r="645">
      <c r="A645" t="inlineStr">
        <is>
          <t>27BBBBB00645Z5</t>
        </is>
      </c>
      <c r="B645" t="inlineStr">
        <is>
          <t>Mar-2021</t>
        </is>
      </c>
      <c r="C645" s="2" t="n">
        <v>44050</v>
      </c>
      <c r="D645" t="inlineStr">
        <is>
          <t>NON-NIL</t>
        </is>
      </c>
      <c r="E645" t="n">
        <v>2965</v>
      </c>
    </row>
    <row r="646">
      <c r="A646" t="inlineStr">
        <is>
          <t>27BBBBB00646Z5</t>
        </is>
      </c>
      <c r="B646" t="inlineStr">
        <is>
          <t>Mar-2021</t>
        </is>
      </c>
      <c r="C646" s="2" t="n">
        <v>44165</v>
      </c>
      <c r="D646" t="inlineStr">
        <is>
          <t>NIL</t>
        </is>
      </c>
      <c r="E646" t="n">
        <v>1474</v>
      </c>
    </row>
    <row r="647">
      <c r="A647" t="inlineStr">
        <is>
          <t>27BBBBB00647Z5</t>
        </is>
      </c>
      <c r="B647" t="inlineStr">
        <is>
          <t>Apr-2020</t>
        </is>
      </c>
      <c r="C647" s="2" t="n">
        <v>44705</v>
      </c>
      <c r="D647" t="inlineStr">
        <is>
          <t>NON-NIL</t>
        </is>
      </c>
      <c r="E647" t="n">
        <v>603</v>
      </c>
    </row>
    <row r="648">
      <c r="A648" t="inlineStr">
        <is>
          <t>27BBBBB00648Z5</t>
        </is>
      </c>
      <c r="B648" t="inlineStr">
        <is>
          <t>Jun-2018</t>
        </is>
      </c>
      <c r="C648" s="2" t="n">
        <v>43508</v>
      </c>
      <c r="D648" t="inlineStr">
        <is>
          <t>NON-NIL</t>
        </is>
      </c>
      <c r="E648" t="n">
        <v>2180</v>
      </c>
    </row>
    <row r="649">
      <c r="A649" t="inlineStr">
        <is>
          <t>27BBBBB00649Z5</t>
        </is>
      </c>
      <c r="B649" t="inlineStr">
        <is>
          <t>Aug-2017</t>
        </is>
      </c>
      <c r="C649" s="2" t="n">
        <v>43685</v>
      </c>
      <c r="D649" t="inlineStr">
        <is>
          <t>NON-NIL</t>
        </is>
      </c>
      <c r="E649" t="n">
        <v>939</v>
      </c>
    </row>
    <row r="650">
      <c r="A650" t="inlineStr">
        <is>
          <t>27BBBBB00650Z5</t>
        </is>
      </c>
      <c r="B650" t="inlineStr">
        <is>
          <t>Oct-2018</t>
        </is>
      </c>
      <c r="C650" s="2" t="n">
        <v>43087</v>
      </c>
      <c r="D650" t="inlineStr">
        <is>
          <t>NON-NIL</t>
        </is>
      </c>
      <c r="E650" t="n">
        <v>163</v>
      </c>
    </row>
    <row r="651">
      <c r="A651" t="inlineStr">
        <is>
          <t>27BBBBB00651Z5</t>
        </is>
      </c>
      <c r="B651" t="inlineStr">
        <is>
          <t>Jul-2020</t>
        </is>
      </c>
      <c r="C651" s="2" t="n">
        <v>44218</v>
      </c>
      <c r="D651" t="inlineStr">
        <is>
          <t>NON-NIL</t>
        </is>
      </c>
      <c r="E651" t="n">
        <v>2095</v>
      </c>
    </row>
    <row r="652">
      <c r="A652" t="inlineStr">
        <is>
          <t>27BBBBB00652Z5</t>
        </is>
      </c>
      <c r="B652" t="inlineStr">
        <is>
          <t>Apr-2020</t>
        </is>
      </c>
      <c r="C652" s="2" t="n">
        <v>44825</v>
      </c>
      <c r="D652" t="inlineStr">
        <is>
          <t>NIL</t>
        </is>
      </c>
      <c r="E652" t="n">
        <v>283</v>
      </c>
    </row>
    <row r="653">
      <c r="A653" t="inlineStr">
        <is>
          <t>27BBBBB00653Z5</t>
        </is>
      </c>
      <c r="B653" t="inlineStr">
        <is>
          <t>Oct-2017</t>
        </is>
      </c>
      <c r="C653" s="2" t="n">
        <v>43793</v>
      </c>
      <c r="D653" t="inlineStr">
        <is>
          <t>NIL</t>
        </is>
      </c>
      <c r="E653" t="n">
        <v>503</v>
      </c>
    </row>
    <row r="654">
      <c r="A654" t="inlineStr">
        <is>
          <t>27BBBBB00654Z5</t>
        </is>
      </c>
      <c r="B654" t="inlineStr">
        <is>
          <t>Jun-2018</t>
        </is>
      </c>
      <c r="C654" s="2" t="n">
        <v>43695</v>
      </c>
      <c r="D654" t="inlineStr">
        <is>
          <t>NON-NIL</t>
        </is>
      </c>
      <c r="E654" t="n">
        <v>960</v>
      </c>
    </row>
    <row r="655">
      <c r="A655" t="inlineStr">
        <is>
          <t>27BBBBB00655Z5</t>
        </is>
      </c>
      <c r="B655" t="inlineStr">
        <is>
          <t>Mar-2020</t>
        </is>
      </c>
      <c r="C655" s="2" t="n">
        <v>44589</v>
      </c>
      <c r="D655" t="inlineStr">
        <is>
          <t>NIL</t>
        </is>
      </c>
      <c r="E655" t="n">
        <v>376</v>
      </c>
    </row>
    <row r="656">
      <c r="A656" t="inlineStr">
        <is>
          <t>27BBBBB00656Z5</t>
        </is>
      </c>
      <c r="B656" t="inlineStr">
        <is>
          <t>Oct-2017</t>
        </is>
      </c>
      <c r="C656" s="2" t="n">
        <v>44498</v>
      </c>
      <c r="D656" t="inlineStr">
        <is>
          <t>NON-NIL</t>
        </is>
      </c>
      <c r="E656" t="n">
        <v>1146</v>
      </c>
    </row>
    <row r="657">
      <c r="A657" t="inlineStr">
        <is>
          <t>27BBBBB00657Z5</t>
        </is>
      </c>
      <c r="B657" t="inlineStr">
        <is>
          <t>Dec-2022</t>
        </is>
      </c>
      <c r="C657" s="2" t="n">
        <v>44217</v>
      </c>
      <c r="D657" t="inlineStr">
        <is>
          <t>NON-NIL</t>
        </is>
      </c>
      <c r="E657" t="n">
        <v>19</v>
      </c>
    </row>
    <row r="658">
      <c r="A658" t="inlineStr">
        <is>
          <t>27BBBBB00658Z5</t>
        </is>
      </c>
      <c r="B658" t="inlineStr">
        <is>
          <t>Sep-2017</t>
        </is>
      </c>
      <c r="C658" s="2" t="n">
        <v>43628</v>
      </c>
      <c r="D658" t="inlineStr">
        <is>
          <t>NIL</t>
        </is>
      </c>
      <c r="E658" t="n">
        <v>2771</v>
      </c>
    </row>
    <row r="659">
      <c r="A659" t="inlineStr">
        <is>
          <t>27BBBBB00659Z5</t>
        </is>
      </c>
      <c r="B659" t="inlineStr">
        <is>
          <t>Jan-2021</t>
        </is>
      </c>
      <c r="C659" s="2" t="n">
        <v>44535</v>
      </c>
      <c r="D659" t="inlineStr">
        <is>
          <t>NIL</t>
        </is>
      </c>
      <c r="E659" t="n">
        <v>2618</v>
      </c>
    </row>
    <row r="660">
      <c r="A660" t="inlineStr">
        <is>
          <t>27BBBBB00660Z5</t>
        </is>
      </c>
      <c r="B660" t="inlineStr">
        <is>
          <t>Sep-2018</t>
        </is>
      </c>
      <c r="C660" s="2" t="n">
        <v>44168</v>
      </c>
      <c r="D660" t="inlineStr">
        <is>
          <t>NIL</t>
        </is>
      </c>
      <c r="E660" t="n">
        <v>2882</v>
      </c>
    </row>
    <row r="661">
      <c r="A661" t="inlineStr">
        <is>
          <t>27BBBBB00661Z5</t>
        </is>
      </c>
      <c r="B661" t="inlineStr">
        <is>
          <t>Nov-2018</t>
        </is>
      </c>
      <c r="C661" s="2" t="n">
        <v>43768</v>
      </c>
      <c r="D661" t="inlineStr">
        <is>
          <t>NIL</t>
        </is>
      </c>
      <c r="E661" t="n">
        <v>2175</v>
      </c>
    </row>
    <row r="662">
      <c r="A662" t="inlineStr">
        <is>
          <t>27BBBBB00662Z5</t>
        </is>
      </c>
      <c r="B662" t="inlineStr">
        <is>
          <t>Dec-2022</t>
        </is>
      </c>
      <c r="C662" s="2" t="n">
        <v>45562</v>
      </c>
      <c r="D662" t="inlineStr">
        <is>
          <t>NIL</t>
        </is>
      </c>
      <c r="E662" t="n">
        <v>1386</v>
      </c>
    </row>
    <row r="663">
      <c r="A663" t="inlineStr">
        <is>
          <t>27BBBBB00663Z5</t>
        </is>
      </c>
      <c r="B663" t="inlineStr">
        <is>
          <t>Nov-2018</t>
        </is>
      </c>
      <c r="C663" s="2" t="n">
        <v>44388</v>
      </c>
      <c r="D663" t="inlineStr">
        <is>
          <t>NON-NIL</t>
        </is>
      </c>
      <c r="E663" t="n">
        <v>1442</v>
      </c>
    </row>
    <row r="664">
      <c r="A664" t="inlineStr">
        <is>
          <t>27BBBBB00664Z5</t>
        </is>
      </c>
      <c r="B664" t="inlineStr">
        <is>
          <t>Nov-2018</t>
        </is>
      </c>
      <c r="C664" s="2" t="n">
        <v>44237</v>
      </c>
      <c r="D664" t="inlineStr">
        <is>
          <t>NIL</t>
        </is>
      </c>
      <c r="E664" t="n">
        <v>1749</v>
      </c>
    </row>
    <row r="665">
      <c r="A665" t="inlineStr">
        <is>
          <t>27BBBBB00665Z5</t>
        </is>
      </c>
      <c r="B665" t="inlineStr">
        <is>
          <t>Mar-2018</t>
        </is>
      </c>
      <c r="C665" s="2" t="n">
        <v>43573</v>
      </c>
      <c r="D665" t="inlineStr">
        <is>
          <t>NON-NIL</t>
        </is>
      </c>
      <c r="E665" t="n">
        <v>2595</v>
      </c>
    </row>
    <row r="666">
      <c r="A666" t="inlineStr">
        <is>
          <t>27BBBBB00666Z5</t>
        </is>
      </c>
      <c r="B666" t="inlineStr">
        <is>
          <t>Dec-2018</t>
        </is>
      </c>
      <c r="C666" s="2" t="n">
        <v>43835</v>
      </c>
      <c r="D666" t="inlineStr">
        <is>
          <t>NON-NIL</t>
        </is>
      </c>
      <c r="E666" t="n">
        <v>2510</v>
      </c>
    </row>
    <row r="667">
      <c r="A667" t="inlineStr">
        <is>
          <t>27BBBBB00667Z5</t>
        </is>
      </c>
      <c r="B667" t="inlineStr">
        <is>
          <t>Sep-2018</t>
        </is>
      </c>
      <c r="C667" s="2" t="n">
        <v>44093</v>
      </c>
      <c r="D667" t="inlineStr">
        <is>
          <t>NON-NIL</t>
        </is>
      </c>
      <c r="E667" t="n">
        <v>1064</v>
      </c>
    </row>
    <row r="668">
      <c r="A668" t="inlineStr">
        <is>
          <t>27BBBBB00668Z5</t>
        </is>
      </c>
      <c r="B668" t="inlineStr">
        <is>
          <t>Nov-2017</t>
        </is>
      </c>
      <c r="C668" s="2" t="n">
        <v>43632</v>
      </c>
      <c r="D668" t="inlineStr">
        <is>
          <t>NON-NIL</t>
        </is>
      </c>
      <c r="E668" t="n">
        <v>663</v>
      </c>
    </row>
    <row r="669">
      <c r="A669" t="inlineStr">
        <is>
          <t>27BBBBB00669Z5</t>
        </is>
      </c>
      <c r="B669" t="inlineStr">
        <is>
          <t>May-2020</t>
        </is>
      </c>
      <c r="C669" s="2" t="n">
        <v>43949</v>
      </c>
      <c r="D669" t="inlineStr">
        <is>
          <t>NON-NIL</t>
        </is>
      </c>
      <c r="E669" t="n">
        <v>872</v>
      </c>
    </row>
    <row r="670">
      <c r="A670" t="inlineStr">
        <is>
          <t>27BBBBB00670Z5</t>
        </is>
      </c>
      <c r="B670" t="inlineStr">
        <is>
          <t>Jul-2018</t>
        </is>
      </c>
      <c r="C670" s="2" t="n">
        <v>44002</v>
      </c>
      <c r="D670" t="inlineStr">
        <is>
          <t>NIL</t>
        </is>
      </c>
      <c r="E670" t="n">
        <v>1955</v>
      </c>
    </row>
    <row r="671">
      <c r="A671" t="inlineStr">
        <is>
          <t>27BBBBB00671Z5</t>
        </is>
      </c>
      <c r="B671" t="inlineStr">
        <is>
          <t>May-2018</t>
        </is>
      </c>
      <c r="C671" s="2" t="n">
        <v>43743</v>
      </c>
      <c r="D671" t="inlineStr">
        <is>
          <t>NON-NIL</t>
        </is>
      </c>
      <c r="E671" t="n">
        <v>2396</v>
      </c>
    </row>
    <row r="672">
      <c r="A672" t="inlineStr">
        <is>
          <t>27BBBBB00672Z5</t>
        </is>
      </c>
      <c r="B672" t="inlineStr">
        <is>
          <t>Oct-2018</t>
        </is>
      </c>
      <c r="C672" s="2" t="n">
        <v>44293</v>
      </c>
      <c r="D672" t="inlineStr">
        <is>
          <t>NON-NIL</t>
        </is>
      </c>
      <c r="E672" t="n">
        <v>252</v>
      </c>
    </row>
    <row r="673">
      <c r="A673" t="inlineStr">
        <is>
          <t>27BBBBB00673Z5</t>
        </is>
      </c>
      <c r="B673" t="inlineStr">
        <is>
          <t>Dec-2022</t>
        </is>
      </c>
      <c r="C673" s="2" t="n">
        <v>45321</v>
      </c>
      <c r="D673" t="inlineStr">
        <is>
          <t>NON-NIL</t>
        </is>
      </c>
      <c r="E673" t="n">
        <v>1971</v>
      </c>
    </row>
    <row r="674">
      <c r="A674" t="inlineStr">
        <is>
          <t>27BBBBB00674Z5</t>
        </is>
      </c>
      <c r="B674" t="inlineStr">
        <is>
          <t>Dec-2017</t>
        </is>
      </c>
      <c r="C674" s="2" t="n">
        <v>44479</v>
      </c>
      <c r="D674" t="inlineStr">
        <is>
          <t>NON-NIL</t>
        </is>
      </c>
      <c r="E674" t="n">
        <v>952</v>
      </c>
    </row>
    <row r="675">
      <c r="A675" t="inlineStr">
        <is>
          <t>27BBBBB00675Z5</t>
        </is>
      </c>
      <c r="B675" t="inlineStr">
        <is>
          <t>Aug-2017</t>
        </is>
      </c>
      <c r="C675" s="2" t="n">
        <v>44472</v>
      </c>
      <c r="D675" t="inlineStr">
        <is>
          <t>NIL</t>
        </is>
      </c>
      <c r="E675" t="n">
        <v>1366</v>
      </c>
    </row>
    <row r="676">
      <c r="A676" t="inlineStr">
        <is>
          <t>27BBBBB00676Z5</t>
        </is>
      </c>
      <c r="B676" t="inlineStr">
        <is>
          <t>Nov-2018</t>
        </is>
      </c>
      <c r="C676" s="2" t="n">
        <v>42928</v>
      </c>
      <c r="D676" t="inlineStr">
        <is>
          <t>NON-NIL</t>
        </is>
      </c>
      <c r="E676" t="n">
        <v>1798</v>
      </c>
    </row>
    <row r="677">
      <c r="A677" t="inlineStr">
        <is>
          <t>27BBBBB00677Z5</t>
        </is>
      </c>
      <c r="B677" t="inlineStr">
        <is>
          <t>Nov-2018</t>
        </is>
      </c>
      <c r="C677" s="2" t="n">
        <v>44298</v>
      </c>
      <c r="D677" t="inlineStr">
        <is>
          <t>NON-NIL</t>
        </is>
      </c>
      <c r="E677" t="n">
        <v>1528</v>
      </c>
    </row>
    <row r="678">
      <c r="A678" t="inlineStr">
        <is>
          <t>27BBBBB00678Z5</t>
        </is>
      </c>
      <c r="B678" t="inlineStr">
        <is>
          <t>Oct-2017</t>
        </is>
      </c>
      <c r="C678" s="2" t="n">
        <v>43137</v>
      </c>
      <c r="D678" t="inlineStr">
        <is>
          <t>NIL</t>
        </is>
      </c>
      <c r="E678" t="n">
        <v>2782</v>
      </c>
    </row>
    <row r="679">
      <c r="A679" t="inlineStr">
        <is>
          <t>27BBBBB00679Z5</t>
        </is>
      </c>
      <c r="B679" t="inlineStr">
        <is>
          <t>Dec-2024</t>
        </is>
      </c>
      <c r="C679" s="2" t="n">
        <v>44116</v>
      </c>
      <c r="D679" t="inlineStr">
        <is>
          <t>NON-NIL</t>
        </is>
      </c>
      <c r="E679" t="n">
        <v>1690</v>
      </c>
    </row>
    <row r="680">
      <c r="A680" t="inlineStr">
        <is>
          <t>27BBBBB00680Z5</t>
        </is>
      </c>
      <c r="B680" t="inlineStr">
        <is>
          <t>Oct-2018</t>
        </is>
      </c>
      <c r="C680" s="2" t="n">
        <v>43062</v>
      </c>
      <c r="D680" t="inlineStr">
        <is>
          <t>NIL</t>
        </is>
      </c>
      <c r="E680" t="n">
        <v>1901</v>
      </c>
    </row>
    <row r="681">
      <c r="A681" t="inlineStr">
        <is>
          <t>27BBBBB00681Z5</t>
        </is>
      </c>
      <c r="B681" t="inlineStr">
        <is>
          <t>May-2018</t>
        </is>
      </c>
      <c r="C681" s="2" t="n">
        <v>43267</v>
      </c>
      <c r="D681" t="inlineStr">
        <is>
          <t>NIL</t>
        </is>
      </c>
      <c r="E681" t="n">
        <v>1798</v>
      </c>
    </row>
    <row r="682">
      <c r="A682" t="inlineStr">
        <is>
          <t>27BBBBB00682Z5</t>
        </is>
      </c>
      <c r="B682" t="inlineStr">
        <is>
          <t>Oct-2017</t>
        </is>
      </c>
      <c r="C682" s="2" t="n">
        <v>42958</v>
      </c>
      <c r="D682" t="inlineStr">
        <is>
          <t>NIL</t>
        </is>
      </c>
      <c r="E682" t="n">
        <v>2964</v>
      </c>
    </row>
    <row r="683">
      <c r="A683" t="inlineStr">
        <is>
          <t>27BBBBB00683Z5</t>
        </is>
      </c>
      <c r="B683" t="inlineStr">
        <is>
          <t>Nov-2017</t>
        </is>
      </c>
      <c r="C683" s="2" t="n">
        <v>44408</v>
      </c>
      <c r="D683" t="inlineStr">
        <is>
          <t>NON-NIL</t>
        </is>
      </c>
      <c r="E683" t="n">
        <v>2508</v>
      </c>
    </row>
    <row r="684">
      <c r="A684" t="inlineStr">
        <is>
          <t>27BBBBB00684Z5</t>
        </is>
      </c>
      <c r="B684" t="inlineStr">
        <is>
          <t>May-2020</t>
        </is>
      </c>
      <c r="C684" s="2" t="n">
        <v>44620</v>
      </c>
      <c r="D684" t="inlineStr">
        <is>
          <t>NIL</t>
        </is>
      </c>
      <c r="E684" t="n">
        <v>1303</v>
      </c>
    </row>
    <row r="685">
      <c r="A685" t="inlineStr">
        <is>
          <t>27BBBBB00685Z5</t>
        </is>
      </c>
      <c r="B685" t="inlineStr">
        <is>
          <t>Sep-2017</t>
        </is>
      </c>
      <c r="C685" s="2" t="n">
        <v>44558</v>
      </c>
      <c r="D685" t="inlineStr">
        <is>
          <t>NON-NIL</t>
        </is>
      </c>
      <c r="E685" t="n">
        <v>1437</v>
      </c>
    </row>
    <row r="686">
      <c r="A686" t="inlineStr">
        <is>
          <t>27BBBBB00686Z5</t>
        </is>
      </c>
      <c r="B686" t="inlineStr">
        <is>
          <t>Sep-2018</t>
        </is>
      </c>
      <c r="C686" s="2" t="n">
        <v>43030</v>
      </c>
      <c r="D686" t="inlineStr">
        <is>
          <t>NON-NIL</t>
        </is>
      </c>
      <c r="E686" t="n">
        <v>835</v>
      </c>
    </row>
    <row r="687">
      <c r="A687" t="inlineStr">
        <is>
          <t>27BBBBB00687Z5</t>
        </is>
      </c>
      <c r="B687" t="inlineStr">
        <is>
          <t>Mar-2023</t>
        </is>
      </c>
      <c r="C687" s="2" t="n">
        <v>44207</v>
      </c>
      <c r="D687" t="inlineStr">
        <is>
          <t>NIL</t>
        </is>
      </c>
      <c r="E687" t="n">
        <v>2304</v>
      </c>
    </row>
    <row r="688">
      <c r="A688" t="inlineStr">
        <is>
          <t>27BBBBB00688Z5</t>
        </is>
      </c>
      <c r="B688" t="inlineStr">
        <is>
          <t>Jul-2020</t>
        </is>
      </c>
      <c r="C688" s="2" t="n">
        <v>44334</v>
      </c>
      <c r="D688" t="inlineStr">
        <is>
          <t>NON-NIL</t>
        </is>
      </c>
      <c r="E688" t="n">
        <v>312</v>
      </c>
    </row>
    <row r="689">
      <c r="A689" t="inlineStr">
        <is>
          <t>27BBBBB00689Z5</t>
        </is>
      </c>
      <c r="B689" t="inlineStr">
        <is>
          <t>Feb-2018</t>
        </is>
      </c>
      <c r="C689" s="2" t="n">
        <v>44317</v>
      </c>
      <c r="D689" t="inlineStr">
        <is>
          <t>NIL</t>
        </is>
      </c>
      <c r="E689" t="n">
        <v>266</v>
      </c>
    </row>
    <row r="690">
      <c r="A690" t="inlineStr">
        <is>
          <t>27BBBBB00690Z5</t>
        </is>
      </c>
      <c r="B690" t="inlineStr">
        <is>
          <t>Apr-2018</t>
        </is>
      </c>
      <c r="C690" s="2" t="n">
        <v>43555</v>
      </c>
      <c r="D690" t="inlineStr">
        <is>
          <t>NON-NIL</t>
        </is>
      </c>
      <c r="E690" t="n">
        <v>1120</v>
      </c>
    </row>
    <row r="691">
      <c r="A691" t="inlineStr">
        <is>
          <t>27BBBBB00691Z5</t>
        </is>
      </c>
      <c r="B691" t="inlineStr">
        <is>
          <t>Dec-2022</t>
        </is>
      </c>
      <c r="C691" s="2" t="n">
        <v>43909</v>
      </c>
      <c r="D691" t="inlineStr">
        <is>
          <t>NON-NIL</t>
        </is>
      </c>
      <c r="E691" t="n">
        <v>645</v>
      </c>
    </row>
    <row r="692">
      <c r="A692" t="inlineStr">
        <is>
          <t>27BBBBB00692Z5</t>
        </is>
      </c>
      <c r="B692" t="inlineStr">
        <is>
          <t>Jul-2020</t>
        </is>
      </c>
      <c r="C692" s="2" t="n">
        <v>44422</v>
      </c>
      <c r="D692" t="inlineStr">
        <is>
          <t>NIL</t>
        </is>
      </c>
      <c r="E692" t="n">
        <v>2694</v>
      </c>
    </row>
    <row r="693">
      <c r="A693" t="inlineStr">
        <is>
          <t>27BBBBB00693Z5</t>
        </is>
      </c>
      <c r="B693" t="inlineStr">
        <is>
          <t>Aug-2017</t>
        </is>
      </c>
      <c r="C693" s="2" t="n">
        <v>43349</v>
      </c>
      <c r="D693" t="inlineStr">
        <is>
          <t>NON-NIL</t>
        </is>
      </c>
      <c r="E693" t="n">
        <v>2019</v>
      </c>
    </row>
    <row r="694">
      <c r="A694" t="inlineStr">
        <is>
          <t>27BBBBB00694Z5</t>
        </is>
      </c>
      <c r="B694" t="inlineStr">
        <is>
          <t>May-2018</t>
        </is>
      </c>
      <c r="C694" s="2" t="n">
        <v>44003</v>
      </c>
      <c r="D694" t="inlineStr">
        <is>
          <t>NIL</t>
        </is>
      </c>
      <c r="E694" t="n">
        <v>1587</v>
      </c>
    </row>
    <row r="695">
      <c r="A695" t="inlineStr">
        <is>
          <t>27BBBBB00695Z5</t>
        </is>
      </c>
      <c r="B695" t="inlineStr">
        <is>
          <t>Mar-2020</t>
        </is>
      </c>
      <c r="C695" s="2" t="n">
        <v>44285</v>
      </c>
      <c r="D695" t="inlineStr">
        <is>
          <t>NIL</t>
        </is>
      </c>
      <c r="E695" t="n">
        <v>2904</v>
      </c>
    </row>
    <row r="696">
      <c r="A696" t="inlineStr">
        <is>
          <t>27BBBBB00696Z5</t>
        </is>
      </c>
      <c r="B696" t="inlineStr">
        <is>
          <t>Jan-2021</t>
        </is>
      </c>
      <c r="C696" s="2" t="n">
        <v>45613</v>
      </c>
      <c r="D696" t="inlineStr">
        <is>
          <t>NON-NIL</t>
        </is>
      </c>
      <c r="E696" t="n">
        <v>163</v>
      </c>
    </row>
    <row r="697">
      <c r="A697" t="inlineStr">
        <is>
          <t>27BBBBB00697Z5</t>
        </is>
      </c>
      <c r="B697" t="inlineStr">
        <is>
          <t>Sep-2017</t>
        </is>
      </c>
      <c r="C697" s="2" t="n">
        <v>43104</v>
      </c>
      <c r="D697" t="inlineStr">
        <is>
          <t>NON-NIL</t>
        </is>
      </c>
      <c r="E697" t="n">
        <v>317</v>
      </c>
    </row>
    <row r="698">
      <c r="A698" t="inlineStr">
        <is>
          <t>27BBBBB00698Z5</t>
        </is>
      </c>
      <c r="B698" t="inlineStr">
        <is>
          <t>Mar-2023</t>
        </is>
      </c>
      <c r="C698" s="2" t="n">
        <v>44242</v>
      </c>
      <c r="D698" t="inlineStr">
        <is>
          <t>NIL</t>
        </is>
      </c>
      <c r="E698" t="n">
        <v>1017</v>
      </c>
    </row>
    <row r="699">
      <c r="A699" t="inlineStr">
        <is>
          <t>27BBBBB00699Z5</t>
        </is>
      </c>
      <c r="B699" t="inlineStr">
        <is>
          <t>Jul-2020</t>
        </is>
      </c>
      <c r="C699" s="2" t="n">
        <v>44823</v>
      </c>
      <c r="D699" t="inlineStr">
        <is>
          <t>NIL</t>
        </is>
      </c>
      <c r="E699" t="n">
        <v>2535</v>
      </c>
    </row>
    <row r="700">
      <c r="A700" t="inlineStr">
        <is>
          <t>27BBBBB00700Z5</t>
        </is>
      </c>
      <c r="B700" t="inlineStr">
        <is>
          <t>Sep-2018</t>
        </is>
      </c>
      <c r="C700" s="2" t="n">
        <v>43124</v>
      </c>
      <c r="D700" t="inlineStr">
        <is>
          <t>NON-NIL</t>
        </is>
      </c>
      <c r="E700" t="n">
        <v>1687</v>
      </c>
    </row>
    <row r="701">
      <c r="A701" t="inlineStr">
        <is>
          <t>27BBBBB00701Z5</t>
        </is>
      </c>
      <c r="B701" t="inlineStr">
        <is>
          <t>Mar-2023</t>
        </is>
      </c>
      <c r="C701" s="2" t="n">
        <v>45345</v>
      </c>
      <c r="D701" t="inlineStr">
        <is>
          <t>NIL</t>
        </is>
      </c>
      <c r="E701" t="n">
        <v>2260</v>
      </c>
    </row>
    <row r="702">
      <c r="A702" t="inlineStr">
        <is>
          <t>27BBBBB00702Z5</t>
        </is>
      </c>
      <c r="B702" t="inlineStr">
        <is>
          <t>Sep-2018</t>
        </is>
      </c>
      <c r="C702" s="2" t="n">
        <v>43892</v>
      </c>
      <c r="D702" t="inlineStr">
        <is>
          <t>NIL</t>
        </is>
      </c>
      <c r="E702" t="n">
        <v>1948</v>
      </c>
    </row>
    <row r="703">
      <c r="A703" t="inlineStr">
        <is>
          <t>27BBBBB00703Z5</t>
        </is>
      </c>
      <c r="B703" t="inlineStr">
        <is>
          <t>Jan-2018</t>
        </is>
      </c>
      <c r="C703" s="2" t="n">
        <v>44221</v>
      </c>
      <c r="D703" t="inlineStr">
        <is>
          <t>NIL</t>
        </is>
      </c>
      <c r="E703" t="n">
        <v>1704</v>
      </c>
    </row>
    <row r="704">
      <c r="A704" t="inlineStr">
        <is>
          <t>27BBBBB00704Z5</t>
        </is>
      </c>
      <c r="B704" t="inlineStr">
        <is>
          <t>Dec-2022</t>
        </is>
      </c>
      <c r="C704" s="2" t="n">
        <v>45805</v>
      </c>
      <c r="D704" t="inlineStr">
        <is>
          <t>NIL</t>
        </is>
      </c>
      <c r="E704" t="n">
        <v>1832</v>
      </c>
    </row>
    <row r="705">
      <c r="A705" t="inlineStr">
        <is>
          <t>27BBBBB00705Z5</t>
        </is>
      </c>
      <c r="B705" t="inlineStr">
        <is>
          <t>Jun-2018</t>
        </is>
      </c>
      <c r="C705" s="2" t="n">
        <v>44165</v>
      </c>
      <c r="D705" t="inlineStr">
        <is>
          <t>NIL</t>
        </is>
      </c>
      <c r="E705" t="n">
        <v>2008</v>
      </c>
    </row>
    <row r="706">
      <c r="A706" t="inlineStr">
        <is>
          <t>27BBBBB00706Z5</t>
        </is>
      </c>
      <c r="B706" t="inlineStr">
        <is>
          <t>Apr-2018</t>
        </is>
      </c>
      <c r="C706" s="2" t="n">
        <v>43764</v>
      </c>
      <c r="D706" t="inlineStr">
        <is>
          <t>NIL</t>
        </is>
      </c>
      <c r="E706" t="n">
        <v>345</v>
      </c>
    </row>
    <row r="707">
      <c r="A707" t="inlineStr">
        <is>
          <t>27BBBBB00707Z5</t>
        </is>
      </c>
      <c r="B707" t="inlineStr">
        <is>
          <t>Aug-2017</t>
        </is>
      </c>
      <c r="C707" s="2" t="n">
        <v>42950</v>
      </c>
      <c r="D707" t="inlineStr">
        <is>
          <t>NON-NIL</t>
        </is>
      </c>
      <c r="E707" t="n">
        <v>2610</v>
      </c>
    </row>
    <row r="708">
      <c r="A708" t="inlineStr">
        <is>
          <t>27BBBBB00708Z5</t>
        </is>
      </c>
      <c r="B708" t="inlineStr">
        <is>
          <t>Apr-2020</t>
        </is>
      </c>
      <c r="C708" s="2" t="n">
        <v>44737</v>
      </c>
      <c r="D708" t="inlineStr">
        <is>
          <t>NON-NIL</t>
        </is>
      </c>
      <c r="E708" t="n">
        <v>1196</v>
      </c>
    </row>
    <row r="709">
      <c r="A709" t="inlineStr">
        <is>
          <t>27BBBBB00709Z5</t>
        </is>
      </c>
      <c r="B709" t="inlineStr">
        <is>
          <t>Aug-2017</t>
        </is>
      </c>
      <c r="C709" s="2" t="n">
        <v>42920</v>
      </c>
      <c r="D709" t="inlineStr">
        <is>
          <t>NON-NIL</t>
        </is>
      </c>
      <c r="E709" t="n">
        <v>225</v>
      </c>
    </row>
    <row r="710">
      <c r="A710" t="inlineStr">
        <is>
          <t>27BBBBB00710Z5</t>
        </is>
      </c>
      <c r="B710" t="inlineStr">
        <is>
          <t>Sep-2017</t>
        </is>
      </c>
      <c r="C710" s="2" t="n">
        <v>43968</v>
      </c>
      <c r="D710" t="inlineStr">
        <is>
          <t>NIL</t>
        </is>
      </c>
      <c r="E710" t="n">
        <v>541</v>
      </c>
    </row>
    <row r="711">
      <c r="A711" t="inlineStr">
        <is>
          <t>27BBBBB00711Z5</t>
        </is>
      </c>
      <c r="B711" t="inlineStr">
        <is>
          <t>Jun-2018</t>
        </is>
      </c>
      <c r="C711" s="2" t="n">
        <v>44206</v>
      </c>
      <c r="D711" t="inlineStr">
        <is>
          <t>NON-NIL</t>
        </is>
      </c>
      <c r="E711" t="n">
        <v>1561</v>
      </c>
    </row>
    <row r="712">
      <c r="A712" t="inlineStr">
        <is>
          <t>27BBBBB00712Z5</t>
        </is>
      </c>
      <c r="B712" t="inlineStr">
        <is>
          <t>Jan-2021</t>
        </is>
      </c>
      <c r="C712" s="2" t="n">
        <v>43758</v>
      </c>
      <c r="D712" t="inlineStr">
        <is>
          <t>NIL</t>
        </is>
      </c>
      <c r="E712" t="n">
        <v>1547</v>
      </c>
    </row>
    <row r="713">
      <c r="A713" t="inlineStr">
        <is>
          <t>27BBBBB00713Z5</t>
        </is>
      </c>
      <c r="B713" t="inlineStr">
        <is>
          <t>Oct-2017</t>
        </is>
      </c>
      <c r="C713" s="2" t="n">
        <v>42923</v>
      </c>
      <c r="D713" t="inlineStr">
        <is>
          <t>NON-NIL</t>
        </is>
      </c>
      <c r="E713" t="n">
        <v>998</v>
      </c>
    </row>
    <row r="714">
      <c r="A714" t="inlineStr">
        <is>
          <t>27BBBBB00714Z5</t>
        </is>
      </c>
      <c r="B714" t="inlineStr">
        <is>
          <t>Dec-2022</t>
        </is>
      </c>
      <c r="C714" s="2" t="n">
        <v>45324</v>
      </c>
      <c r="D714" t="inlineStr">
        <is>
          <t>NIL</t>
        </is>
      </c>
      <c r="E714" t="n">
        <v>26</v>
      </c>
    </row>
    <row r="715">
      <c r="A715" t="inlineStr">
        <is>
          <t>27BBBBB00715Z5</t>
        </is>
      </c>
      <c r="B715" t="inlineStr">
        <is>
          <t>Oct-2018</t>
        </is>
      </c>
      <c r="C715" s="2" t="n">
        <v>43044</v>
      </c>
      <c r="D715" t="inlineStr">
        <is>
          <t>NIL</t>
        </is>
      </c>
      <c r="E715" t="n">
        <v>410</v>
      </c>
    </row>
    <row r="716">
      <c r="A716" t="inlineStr">
        <is>
          <t>27BBBBB00716Z5</t>
        </is>
      </c>
      <c r="B716" t="inlineStr">
        <is>
          <t>Jul-2017</t>
        </is>
      </c>
      <c r="C716" s="2" t="n">
        <v>43223</v>
      </c>
      <c r="D716" t="inlineStr">
        <is>
          <t>NIL</t>
        </is>
      </c>
      <c r="E716" t="n">
        <v>542</v>
      </c>
    </row>
    <row r="717">
      <c r="A717" t="inlineStr">
        <is>
          <t>27BBBBB00717Z5</t>
        </is>
      </c>
      <c r="B717" t="inlineStr">
        <is>
          <t>Jan-2021</t>
        </is>
      </c>
      <c r="C717" s="2" t="n">
        <v>43944</v>
      </c>
      <c r="D717" t="inlineStr">
        <is>
          <t>NIL</t>
        </is>
      </c>
      <c r="E717" t="n">
        <v>2876</v>
      </c>
    </row>
    <row r="718">
      <c r="A718" t="inlineStr">
        <is>
          <t>27BBBBB00718Z5</t>
        </is>
      </c>
      <c r="B718" t="inlineStr">
        <is>
          <t>Jul-2018</t>
        </is>
      </c>
      <c r="C718" s="2" t="n">
        <v>44063</v>
      </c>
      <c r="D718" t="inlineStr">
        <is>
          <t>NIL</t>
        </is>
      </c>
      <c r="E718" t="n">
        <v>2515</v>
      </c>
    </row>
    <row r="719">
      <c r="A719" t="inlineStr">
        <is>
          <t>27BBBBB00719Z5</t>
        </is>
      </c>
      <c r="B719" t="inlineStr">
        <is>
          <t>Aug-2017</t>
        </is>
      </c>
      <c r="C719" s="2" t="n">
        <v>43569</v>
      </c>
      <c r="D719" t="inlineStr">
        <is>
          <t>NIL</t>
        </is>
      </c>
      <c r="E719" t="n">
        <v>146</v>
      </c>
    </row>
    <row r="720">
      <c r="A720" t="inlineStr">
        <is>
          <t>27BBBBB00720Z5</t>
        </is>
      </c>
      <c r="B720" t="inlineStr">
        <is>
          <t>Oct-2017</t>
        </is>
      </c>
      <c r="C720" s="2" t="n">
        <v>43073</v>
      </c>
      <c r="D720" t="inlineStr">
        <is>
          <t>NIL</t>
        </is>
      </c>
      <c r="E720" t="n">
        <v>1551</v>
      </c>
    </row>
    <row r="721">
      <c r="A721" t="inlineStr">
        <is>
          <t>27BBBBB00721Z5</t>
        </is>
      </c>
      <c r="B721" t="inlineStr">
        <is>
          <t>Mar-2020</t>
        </is>
      </c>
      <c r="C721" s="2" t="n">
        <v>44232</v>
      </c>
      <c r="D721" t="inlineStr">
        <is>
          <t>NON-NIL</t>
        </is>
      </c>
      <c r="E721" t="n">
        <v>2974</v>
      </c>
    </row>
    <row r="722">
      <c r="A722" t="inlineStr">
        <is>
          <t>27BBBBB00722Z5</t>
        </is>
      </c>
      <c r="B722" t="inlineStr">
        <is>
          <t>Mar-2020</t>
        </is>
      </c>
      <c r="C722" s="2" t="n">
        <v>44060</v>
      </c>
      <c r="D722" t="inlineStr">
        <is>
          <t>NIL</t>
        </is>
      </c>
      <c r="E722" t="n">
        <v>1564</v>
      </c>
    </row>
    <row r="723">
      <c r="A723" t="inlineStr">
        <is>
          <t>27BBBBB00723Z5</t>
        </is>
      </c>
      <c r="B723" t="inlineStr">
        <is>
          <t>Sep-2018</t>
        </is>
      </c>
      <c r="C723" s="2" t="n">
        <v>43810</v>
      </c>
      <c r="D723" t="inlineStr">
        <is>
          <t>NON-NIL</t>
        </is>
      </c>
      <c r="E723" t="n">
        <v>265</v>
      </c>
    </row>
    <row r="724">
      <c r="A724" t="inlineStr">
        <is>
          <t>27BBBBB00724Z5</t>
        </is>
      </c>
      <c r="B724" t="inlineStr">
        <is>
          <t>Aug-2017</t>
        </is>
      </c>
      <c r="C724" s="2" t="n">
        <v>43142</v>
      </c>
      <c r="D724" t="inlineStr">
        <is>
          <t>NON-NIL</t>
        </is>
      </c>
      <c r="E724" t="n">
        <v>2514</v>
      </c>
    </row>
    <row r="725">
      <c r="A725" t="inlineStr">
        <is>
          <t>27BBBBB00725Z5</t>
        </is>
      </c>
      <c r="B725" t="inlineStr">
        <is>
          <t>Apr-2018</t>
        </is>
      </c>
      <c r="C725" s="2" t="n">
        <v>43079</v>
      </c>
      <c r="D725" t="inlineStr">
        <is>
          <t>NIL</t>
        </is>
      </c>
      <c r="E725" t="n">
        <v>1743</v>
      </c>
    </row>
    <row r="726">
      <c r="A726" t="inlineStr">
        <is>
          <t>27BBBBB00726Z5</t>
        </is>
      </c>
      <c r="B726" t="inlineStr">
        <is>
          <t>Feb-2018</t>
        </is>
      </c>
      <c r="C726" s="2" t="n">
        <v>43284</v>
      </c>
      <c r="D726" t="inlineStr">
        <is>
          <t>NIL</t>
        </is>
      </c>
      <c r="E726" t="n">
        <v>621</v>
      </c>
    </row>
    <row r="727">
      <c r="A727" t="inlineStr">
        <is>
          <t>27BBBBB00727Z5</t>
        </is>
      </c>
      <c r="B727" t="inlineStr">
        <is>
          <t>Jun-2018</t>
        </is>
      </c>
      <c r="C727" s="2" t="n">
        <v>43146</v>
      </c>
      <c r="D727" t="inlineStr">
        <is>
          <t>NON-NIL</t>
        </is>
      </c>
      <c r="E727" t="n">
        <v>1053</v>
      </c>
    </row>
    <row r="728">
      <c r="A728" t="inlineStr">
        <is>
          <t>27BBBBB00728Z5</t>
        </is>
      </c>
      <c r="B728" t="inlineStr">
        <is>
          <t>Mar-2021</t>
        </is>
      </c>
      <c r="C728" s="2" t="n">
        <v>44019</v>
      </c>
      <c r="D728" t="inlineStr">
        <is>
          <t>NON-NIL</t>
        </is>
      </c>
      <c r="E728" t="n">
        <v>2076</v>
      </c>
    </row>
    <row r="729">
      <c r="A729" t="inlineStr">
        <is>
          <t>27BBBBB00729Z5</t>
        </is>
      </c>
      <c r="B729" t="inlineStr">
        <is>
          <t>May-2020</t>
        </is>
      </c>
      <c r="C729" s="2" t="n">
        <v>44621</v>
      </c>
      <c r="D729" t="inlineStr">
        <is>
          <t>NIL</t>
        </is>
      </c>
      <c r="E729" t="n">
        <v>1772</v>
      </c>
    </row>
    <row r="730">
      <c r="A730" t="inlineStr">
        <is>
          <t>27BBBBB00730Z5</t>
        </is>
      </c>
      <c r="B730" t="inlineStr">
        <is>
          <t>Sep-2018</t>
        </is>
      </c>
      <c r="C730" s="2" t="n">
        <v>43215</v>
      </c>
      <c r="D730" t="inlineStr">
        <is>
          <t>NIL</t>
        </is>
      </c>
      <c r="E730" t="n">
        <v>257</v>
      </c>
    </row>
    <row r="731">
      <c r="A731" t="inlineStr">
        <is>
          <t>27BBBBB00731Z5</t>
        </is>
      </c>
      <c r="B731" t="inlineStr">
        <is>
          <t>Dec-2024</t>
        </is>
      </c>
      <c r="C731" s="2" t="n">
        <v>45451</v>
      </c>
      <c r="D731" t="inlineStr">
        <is>
          <t>NIL</t>
        </is>
      </c>
      <c r="E731" t="n">
        <v>638</v>
      </c>
    </row>
    <row r="732">
      <c r="A732" t="inlineStr">
        <is>
          <t>27BBBBB00732Z5</t>
        </is>
      </c>
      <c r="B732" t="inlineStr">
        <is>
          <t>Mar-2023</t>
        </is>
      </c>
      <c r="C732" s="2" t="n">
        <v>44804</v>
      </c>
      <c r="D732" t="inlineStr">
        <is>
          <t>NON-NIL</t>
        </is>
      </c>
      <c r="E732" t="n">
        <v>1234</v>
      </c>
    </row>
    <row r="733">
      <c r="A733" t="inlineStr">
        <is>
          <t>27BBBBB00733Z5</t>
        </is>
      </c>
      <c r="B733" t="inlineStr">
        <is>
          <t>Dec-2022</t>
        </is>
      </c>
      <c r="C733" s="2" t="n">
        <v>45065</v>
      </c>
      <c r="D733" t="inlineStr">
        <is>
          <t>NON-NIL</t>
        </is>
      </c>
      <c r="E733" t="n">
        <v>1338</v>
      </c>
    </row>
    <row r="734">
      <c r="A734" t="inlineStr">
        <is>
          <t>27BBBBB00734Z5</t>
        </is>
      </c>
      <c r="B734" t="inlineStr">
        <is>
          <t>Aug-2017</t>
        </is>
      </c>
      <c r="C734" s="2" t="n">
        <v>43238</v>
      </c>
      <c r="D734" t="inlineStr">
        <is>
          <t>NON-NIL</t>
        </is>
      </c>
      <c r="E734" t="n">
        <v>641</v>
      </c>
    </row>
    <row r="735">
      <c r="A735" t="inlineStr">
        <is>
          <t>27BBBBB00735Z5</t>
        </is>
      </c>
      <c r="B735" t="inlineStr">
        <is>
          <t>Jul-2020</t>
        </is>
      </c>
      <c r="C735" s="2" t="n">
        <v>44002</v>
      </c>
      <c r="D735" t="inlineStr">
        <is>
          <t>NIL</t>
        </is>
      </c>
      <c r="E735" t="n">
        <v>1333</v>
      </c>
    </row>
    <row r="736">
      <c r="A736" t="inlineStr">
        <is>
          <t>27BBBBB00736Z5</t>
        </is>
      </c>
      <c r="B736" t="inlineStr">
        <is>
          <t>Mar-2023</t>
        </is>
      </c>
      <c r="C736" s="2" t="n">
        <v>44544</v>
      </c>
      <c r="D736" t="inlineStr">
        <is>
          <t>NIL</t>
        </is>
      </c>
      <c r="E736" t="n">
        <v>1357</v>
      </c>
    </row>
    <row r="737">
      <c r="A737" t="inlineStr">
        <is>
          <t>27BBBBB00737Z5</t>
        </is>
      </c>
      <c r="B737" t="inlineStr">
        <is>
          <t>Jul-2020</t>
        </is>
      </c>
      <c r="C737" s="2" t="n">
        <v>44786</v>
      </c>
      <c r="D737" t="inlineStr">
        <is>
          <t>NON-NIL</t>
        </is>
      </c>
      <c r="E737" t="n">
        <v>2530</v>
      </c>
    </row>
    <row r="738">
      <c r="A738" t="inlineStr">
        <is>
          <t>27BBBBB00738Z5</t>
        </is>
      </c>
      <c r="B738" t="inlineStr">
        <is>
          <t>Mar-2023</t>
        </is>
      </c>
      <c r="C738" s="2" t="n">
        <v>44812</v>
      </c>
      <c r="D738" t="inlineStr">
        <is>
          <t>NIL</t>
        </is>
      </c>
      <c r="E738" t="n">
        <v>698</v>
      </c>
    </row>
    <row r="739">
      <c r="A739" t="inlineStr">
        <is>
          <t>27BBBBB00739Z5</t>
        </is>
      </c>
      <c r="B739" t="inlineStr">
        <is>
          <t>Apr-2018</t>
        </is>
      </c>
      <c r="C739" s="2" t="n">
        <v>43207</v>
      </c>
      <c r="D739" t="inlineStr">
        <is>
          <t>NON-NIL</t>
        </is>
      </c>
      <c r="E739" t="n">
        <v>2665</v>
      </c>
    </row>
    <row r="740">
      <c r="A740" t="inlineStr">
        <is>
          <t>27BBBBB00740Z5</t>
        </is>
      </c>
      <c r="B740" t="inlineStr">
        <is>
          <t>Mar-2021</t>
        </is>
      </c>
      <c r="C740" s="2" t="n">
        <v>44032</v>
      </c>
      <c r="D740" t="inlineStr">
        <is>
          <t>NON-NIL</t>
        </is>
      </c>
      <c r="E740" t="n">
        <v>881</v>
      </c>
    </row>
    <row r="741">
      <c r="A741" t="inlineStr">
        <is>
          <t>27BBBBB00741Z5</t>
        </is>
      </c>
      <c r="B741" t="inlineStr">
        <is>
          <t>Feb-2018</t>
        </is>
      </c>
      <c r="C741" s="2" t="n">
        <v>43684</v>
      </c>
      <c r="D741" t="inlineStr">
        <is>
          <t>NIL</t>
        </is>
      </c>
      <c r="E741" t="n">
        <v>930</v>
      </c>
    </row>
    <row r="742">
      <c r="A742" t="inlineStr">
        <is>
          <t>27BBBBB00742Z5</t>
        </is>
      </c>
      <c r="B742" t="inlineStr">
        <is>
          <t>Oct-2017</t>
        </is>
      </c>
      <c r="C742" s="2" t="n">
        <v>44267</v>
      </c>
      <c r="D742" t="inlineStr">
        <is>
          <t>NON-NIL</t>
        </is>
      </c>
      <c r="E742" t="n">
        <v>2577</v>
      </c>
    </row>
    <row r="743">
      <c r="A743" t="inlineStr">
        <is>
          <t>27BBBBB00743Z5</t>
        </is>
      </c>
      <c r="B743" t="inlineStr">
        <is>
          <t>May-2018</t>
        </is>
      </c>
      <c r="C743" s="2" t="n">
        <v>43505</v>
      </c>
      <c r="D743" t="inlineStr">
        <is>
          <t>NON-NIL</t>
        </is>
      </c>
      <c r="E743" t="n">
        <v>2038</v>
      </c>
    </row>
    <row r="744">
      <c r="A744" t="inlineStr">
        <is>
          <t>27BBBBB00744Z5</t>
        </is>
      </c>
      <c r="B744" t="inlineStr">
        <is>
          <t>Oct-2017</t>
        </is>
      </c>
      <c r="C744" s="2" t="n">
        <v>44322</v>
      </c>
      <c r="D744" t="inlineStr">
        <is>
          <t>NIL</t>
        </is>
      </c>
      <c r="E744" t="n">
        <v>629</v>
      </c>
    </row>
    <row r="745">
      <c r="A745" t="inlineStr">
        <is>
          <t>27BBBBB00745Z5</t>
        </is>
      </c>
      <c r="B745" t="inlineStr">
        <is>
          <t>Jul-2017</t>
        </is>
      </c>
      <c r="C745" s="2" t="n">
        <v>43233</v>
      </c>
      <c r="D745" t="inlineStr">
        <is>
          <t>NIL</t>
        </is>
      </c>
      <c r="E745" t="n">
        <v>1640</v>
      </c>
    </row>
    <row r="746">
      <c r="A746" t="inlineStr">
        <is>
          <t>27BBBBB00746Z5</t>
        </is>
      </c>
      <c r="B746" t="inlineStr">
        <is>
          <t>Sep-2017</t>
        </is>
      </c>
      <c r="C746" s="2" t="n">
        <v>44330</v>
      </c>
      <c r="D746" t="inlineStr">
        <is>
          <t>NIL</t>
        </is>
      </c>
      <c r="E746" t="n">
        <v>2521</v>
      </c>
    </row>
    <row r="747">
      <c r="A747" t="inlineStr">
        <is>
          <t>27BBBBB00747Z5</t>
        </is>
      </c>
      <c r="B747" t="inlineStr">
        <is>
          <t>Dec-2022</t>
        </is>
      </c>
      <c r="C747" s="2" t="n">
        <v>43999</v>
      </c>
      <c r="D747" t="inlineStr">
        <is>
          <t>NIL</t>
        </is>
      </c>
      <c r="E747" t="n">
        <v>962</v>
      </c>
    </row>
    <row r="748">
      <c r="A748" t="inlineStr">
        <is>
          <t>27BBBBB00748Z5</t>
        </is>
      </c>
      <c r="B748" t="inlineStr">
        <is>
          <t>Oct-2017</t>
        </is>
      </c>
      <c r="C748" s="2" t="n">
        <v>44510</v>
      </c>
      <c r="D748" t="inlineStr">
        <is>
          <t>NON-NIL</t>
        </is>
      </c>
      <c r="E748" t="n">
        <v>1841</v>
      </c>
    </row>
    <row r="749">
      <c r="A749" t="inlineStr">
        <is>
          <t>27BBBBB00749Z5</t>
        </is>
      </c>
      <c r="B749" t="inlineStr">
        <is>
          <t>Aug-2018</t>
        </is>
      </c>
      <c r="C749" s="2" t="n">
        <v>44416</v>
      </c>
      <c r="D749" t="inlineStr">
        <is>
          <t>NON-NIL</t>
        </is>
      </c>
      <c r="E749" t="n">
        <v>1147</v>
      </c>
    </row>
    <row r="750">
      <c r="A750" t="inlineStr">
        <is>
          <t>27BBBBB00750Z5</t>
        </is>
      </c>
      <c r="B750" t="inlineStr">
        <is>
          <t>Apr-2018</t>
        </is>
      </c>
      <c r="C750" s="2" t="n">
        <v>43977</v>
      </c>
      <c r="D750" t="inlineStr">
        <is>
          <t>NIL</t>
        </is>
      </c>
      <c r="E750" t="n">
        <v>728</v>
      </c>
    </row>
    <row r="751">
      <c r="A751" t="inlineStr">
        <is>
          <t>27BBBBB00751Z5</t>
        </is>
      </c>
      <c r="B751" t="inlineStr">
        <is>
          <t>Nov-2018</t>
        </is>
      </c>
      <c r="C751" s="2" t="n">
        <v>44443</v>
      </c>
      <c r="D751" t="inlineStr">
        <is>
          <t>NON-NIL</t>
        </is>
      </c>
      <c r="E751" t="n">
        <v>2271</v>
      </c>
    </row>
    <row r="752">
      <c r="A752" t="inlineStr">
        <is>
          <t>27BBBBB00752Z5</t>
        </is>
      </c>
      <c r="B752" t="inlineStr">
        <is>
          <t>Jul-2017</t>
        </is>
      </c>
      <c r="C752" s="2" t="n">
        <v>43938</v>
      </c>
      <c r="D752" t="inlineStr">
        <is>
          <t>NIL</t>
        </is>
      </c>
      <c r="E752" t="n">
        <v>2518</v>
      </c>
    </row>
    <row r="753">
      <c r="A753" t="inlineStr">
        <is>
          <t>27BBBBB00753Z5</t>
        </is>
      </c>
      <c r="B753" t="inlineStr">
        <is>
          <t>Aug-2017</t>
        </is>
      </c>
      <c r="C753" s="2" t="n">
        <v>43006</v>
      </c>
      <c r="D753" t="inlineStr">
        <is>
          <t>NON-NIL</t>
        </is>
      </c>
      <c r="E753" t="n">
        <v>2507</v>
      </c>
    </row>
    <row r="754">
      <c r="A754" t="inlineStr">
        <is>
          <t>27BBBBB00754Z5</t>
        </is>
      </c>
      <c r="B754" t="inlineStr">
        <is>
          <t>Aug-2018</t>
        </is>
      </c>
      <c r="C754" s="2" t="n">
        <v>43388</v>
      </c>
      <c r="D754" t="inlineStr">
        <is>
          <t>NIL</t>
        </is>
      </c>
      <c r="E754" t="n">
        <v>2858</v>
      </c>
    </row>
    <row r="755">
      <c r="A755" t="inlineStr">
        <is>
          <t>27BBBBB00755Z5</t>
        </is>
      </c>
      <c r="B755" t="inlineStr">
        <is>
          <t>Mar-2020</t>
        </is>
      </c>
      <c r="C755" s="2" t="n">
        <v>44622</v>
      </c>
      <c r="D755" t="inlineStr">
        <is>
          <t>NON-NIL</t>
        </is>
      </c>
      <c r="E755" t="n">
        <v>1603</v>
      </c>
    </row>
    <row r="756">
      <c r="A756" t="inlineStr">
        <is>
          <t>27BBBBB00756Z5</t>
        </is>
      </c>
      <c r="B756" t="inlineStr">
        <is>
          <t>Dec-2024</t>
        </is>
      </c>
      <c r="C756" s="2" t="n">
        <v>45305</v>
      </c>
      <c r="D756" t="inlineStr">
        <is>
          <t>NON-NIL</t>
        </is>
      </c>
      <c r="E756" t="n">
        <v>715</v>
      </c>
    </row>
    <row r="757">
      <c r="A757" t="inlineStr">
        <is>
          <t>27BBBBB00757Z5</t>
        </is>
      </c>
      <c r="B757" t="inlineStr">
        <is>
          <t>Mar-2020</t>
        </is>
      </c>
      <c r="C757" s="2" t="n">
        <v>44605</v>
      </c>
      <c r="D757" t="inlineStr">
        <is>
          <t>NIL</t>
        </is>
      </c>
      <c r="E757" t="n">
        <v>2591</v>
      </c>
    </row>
    <row r="758">
      <c r="A758" t="inlineStr">
        <is>
          <t>27BBBBB00758Z5</t>
        </is>
      </c>
      <c r="B758" t="inlineStr">
        <is>
          <t>Dec-2017</t>
        </is>
      </c>
      <c r="C758" s="2" t="n">
        <v>44539</v>
      </c>
      <c r="D758" t="inlineStr">
        <is>
          <t>NON-NIL</t>
        </is>
      </c>
      <c r="E758" t="n">
        <v>2665</v>
      </c>
    </row>
    <row r="759">
      <c r="A759" t="inlineStr">
        <is>
          <t>27BBBBB00759Z5</t>
        </is>
      </c>
      <c r="B759" t="inlineStr">
        <is>
          <t>Apr-2018</t>
        </is>
      </c>
      <c r="C759" s="2" t="n">
        <v>44166</v>
      </c>
      <c r="D759" t="inlineStr">
        <is>
          <t>NIL</t>
        </is>
      </c>
      <c r="E759" t="n">
        <v>2610</v>
      </c>
    </row>
    <row r="760">
      <c r="A760" t="inlineStr">
        <is>
          <t>27BBBBB00760Z5</t>
        </is>
      </c>
      <c r="B760" t="inlineStr">
        <is>
          <t>Aug-2017</t>
        </is>
      </c>
      <c r="C760" s="2" t="n">
        <v>43443</v>
      </c>
      <c r="D760" t="inlineStr">
        <is>
          <t>NON-NIL</t>
        </is>
      </c>
      <c r="E760" t="n">
        <v>503</v>
      </c>
    </row>
    <row r="761">
      <c r="A761" t="inlineStr">
        <is>
          <t>27BBBBB00761Z5</t>
        </is>
      </c>
      <c r="B761" t="inlineStr">
        <is>
          <t>Aug-2018</t>
        </is>
      </c>
      <c r="C761" s="2" t="n">
        <v>43526</v>
      </c>
      <c r="D761" t="inlineStr">
        <is>
          <t>NON-NIL</t>
        </is>
      </c>
      <c r="E761" t="n">
        <v>1052</v>
      </c>
    </row>
    <row r="762">
      <c r="A762" t="inlineStr">
        <is>
          <t>27BBBBB00762Z5</t>
        </is>
      </c>
      <c r="B762" t="inlineStr">
        <is>
          <t>Mar-2023</t>
        </is>
      </c>
      <c r="C762" s="2" t="n">
        <v>44779</v>
      </c>
      <c r="D762" t="inlineStr">
        <is>
          <t>NON-NIL</t>
        </is>
      </c>
      <c r="E762" t="n">
        <v>1247</v>
      </c>
    </row>
    <row r="763">
      <c r="A763" t="inlineStr">
        <is>
          <t>27BBBBB00763Z5</t>
        </is>
      </c>
      <c r="B763" t="inlineStr">
        <is>
          <t>Aug-2018</t>
        </is>
      </c>
      <c r="C763" s="2" t="n">
        <v>43621</v>
      </c>
      <c r="D763" t="inlineStr">
        <is>
          <t>NON-NIL</t>
        </is>
      </c>
      <c r="E763" t="n">
        <v>1891</v>
      </c>
    </row>
    <row r="764">
      <c r="A764" t="inlineStr">
        <is>
          <t>27BBBBB00764Z5</t>
        </is>
      </c>
      <c r="B764" t="inlineStr">
        <is>
          <t>Jul-2020</t>
        </is>
      </c>
      <c r="C764" s="2" t="n">
        <v>44072</v>
      </c>
      <c r="D764" t="inlineStr">
        <is>
          <t>NIL</t>
        </is>
      </c>
      <c r="E764" t="n">
        <v>2817</v>
      </c>
    </row>
    <row r="765">
      <c r="A765" t="inlineStr">
        <is>
          <t>27BBBBB00765Z5</t>
        </is>
      </c>
      <c r="B765" t="inlineStr">
        <is>
          <t>Mar-2023</t>
        </is>
      </c>
      <c r="C765" s="2" t="n">
        <v>45310</v>
      </c>
      <c r="D765" t="inlineStr">
        <is>
          <t>NIL</t>
        </is>
      </c>
      <c r="E765" t="n">
        <v>1411</v>
      </c>
    </row>
    <row r="766">
      <c r="A766" t="inlineStr">
        <is>
          <t>27BBBBB00766Z5</t>
        </is>
      </c>
      <c r="B766" t="inlineStr">
        <is>
          <t>Jan-2018</t>
        </is>
      </c>
      <c r="C766" s="2" t="n">
        <v>43438</v>
      </c>
      <c r="D766" t="inlineStr">
        <is>
          <t>NIL</t>
        </is>
      </c>
      <c r="E766" t="n">
        <v>1907</v>
      </c>
    </row>
    <row r="767">
      <c r="A767" t="inlineStr">
        <is>
          <t>27BBBBB00767Z5</t>
        </is>
      </c>
      <c r="B767" t="inlineStr">
        <is>
          <t>Nov-2018</t>
        </is>
      </c>
      <c r="C767" s="2" t="n">
        <v>44445</v>
      </c>
      <c r="D767" t="inlineStr">
        <is>
          <t>NIL</t>
        </is>
      </c>
      <c r="E767" t="n">
        <v>2603</v>
      </c>
    </row>
    <row r="768">
      <c r="A768" t="inlineStr">
        <is>
          <t>27BBBBB00768Z5</t>
        </is>
      </c>
      <c r="B768" t="inlineStr">
        <is>
          <t>Mar-2023</t>
        </is>
      </c>
      <c r="C768" s="2" t="n">
        <v>44180</v>
      </c>
      <c r="D768" t="inlineStr">
        <is>
          <t>NON-NIL</t>
        </is>
      </c>
      <c r="E768" t="n">
        <v>880</v>
      </c>
    </row>
    <row r="769">
      <c r="A769" t="inlineStr">
        <is>
          <t>27BBBBB00769Z5</t>
        </is>
      </c>
      <c r="B769" t="inlineStr">
        <is>
          <t>Nov-2017</t>
        </is>
      </c>
      <c r="C769" s="2" t="n">
        <v>44520</v>
      </c>
      <c r="D769" t="inlineStr">
        <is>
          <t>NIL</t>
        </is>
      </c>
      <c r="E769" t="n">
        <v>1918</v>
      </c>
    </row>
    <row r="770">
      <c r="A770" t="inlineStr">
        <is>
          <t>27BBBBB00770Z5</t>
        </is>
      </c>
      <c r="B770" t="inlineStr">
        <is>
          <t>Mar-2021</t>
        </is>
      </c>
      <c r="C770" s="2" t="n">
        <v>45012</v>
      </c>
      <c r="D770" t="inlineStr">
        <is>
          <t>NON-NIL</t>
        </is>
      </c>
      <c r="E770" t="n">
        <v>1312</v>
      </c>
    </row>
    <row r="771">
      <c r="A771" t="inlineStr">
        <is>
          <t>27BBBBB00771Z5</t>
        </is>
      </c>
      <c r="B771" t="inlineStr">
        <is>
          <t>Mar-2018</t>
        </is>
      </c>
      <c r="C771" s="2" t="n">
        <v>44465</v>
      </c>
      <c r="D771" t="inlineStr">
        <is>
          <t>NON-NIL</t>
        </is>
      </c>
      <c r="E771" t="n">
        <v>524</v>
      </c>
    </row>
    <row r="772">
      <c r="A772" t="inlineStr">
        <is>
          <t>27BBBBB00772Z5</t>
        </is>
      </c>
      <c r="B772" t="inlineStr">
        <is>
          <t>Oct-2018</t>
        </is>
      </c>
      <c r="C772" s="2" t="n">
        <v>43541</v>
      </c>
      <c r="D772" t="inlineStr">
        <is>
          <t>NON-NIL</t>
        </is>
      </c>
      <c r="E772" t="n">
        <v>1754</v>
      </c>
    </row>
    <row r="773">
      <c r="A773" t="inlineStr">
        <is>
          <t>27BBBBB00773Z5</t>
        </is>
      </c>
      <c r="B773" t="inlineStr">
        <is>
          <t>Jul-2020</t>
        </is>
      </c>
      <c r="C773" s="2" t="n">
        <v>44456</v>
      </c>
      <c r="D773" t="inlineStr">
        <is>
          <t>NON-NIL</t>
        </is>
      </c>
      <c r="E773" t="n">
        <v>2572</v>
      </c>
    </row>
    <row r="774">
      <c r="A774" t="inlineStr">
        <is>
          <t>27BBBBB00774Z5</t>
        </is>
      </c>
      <c r="B774" t="inlineStr">
        <is>
          <t>Mar-2018</t>
        </is>
      </c>
      <c r="C774" s="2" t="n">
        <v>44243</v>
      </c>
      <c r="D774" t="inlineStr">
        <is>
          <t>NIL</t>
        </is>
      </c>
      <c r="E774" t="n">
        <v>774</v>
      </c>
    </row>
    <row r="775">
      <c r="A775" t="inlineStr">
        <is>
          <t>27BBBBB00775Z5</t>
        </is>
      </c>
      <c r="B775" t="inlineStr">
        <is>
          <t>Jan-2021</t>
        </is>
      </c>
      <c r="C775" s="2" t="n">
        <v>43589</v>
      </c>
      <c r="D775" t="inlineStr">
        <is>
          <t>NIL</t>
        </is>
      </c>
      <c r="E775" t="n">
        <v>636</v>
      </c>
    </row>
    <row r="776">
      <c r="A776" t="inlineStr">
        <is>
          <t>27BBBBB00776Z5</t>
        </is>
      </c>
      <c r="B776" t="inlineStr">
        <is>
          <t>May-2020</t>
        </is>
      </c>
      <c r="C776" s="2" t="n">
        <v>44036</v>
      </c>
      <c r="D776" t="inlineStr">
        <is>
          <t>NON-NIL</t>
        </is>
      </c>
      <c r="E776" t="n">
        <v>957</v>
      </c>
    </row>
    <row r="777">
      <c r="A777" t="inlineStr">
        <is>
          <t>27BBBBB00777Z5</t>
        </is>
      </c>
      <c r="B777" t="inlineStr">
        <is>
          <t>Jul-2018</t>
        </is>
      </c>
      <c r="C777" s="2" t="n">
        <v>43768</v>
      </c>
      <c r="D777" t="inlineStr">
        <is>
          <t>NON-NIL</t>
        </is>
      </c>
      <c r="E777" t="n">
        <v>2307</v>
      </c>
    </row>
    <row r="778">
      <c r="A778" t="inlineStr">
        <is>
          <t>27BBBBB00778Z5</t>
        </is>
      </c>
      <c r="B778" t="inlineStr">
        <is>
          <t>Apr-2018</t>
        </is>
      </c>
      <c r="C778" s="2" t="n">
        <v>43652</v>
      </c>
      <c r="D778" t="inlineStr">
        <is>
          <t>NIL</t>
        </is>
      </c>
      <c r="E778" t="n">
        <v>2269</v>
      </c>
    </row>
    <row r="779">
      <c r="A779" t="inlineStr">
        <is>
          <t>27BBBBB00779Z5</t>
        </is>
      </c>
      <c r="B779" t="inlineStr">
        <is>
          <t>Dec-2018</t>
        </is>
      </c>
      <c r="C779" s="2" t="n">
        <v>43269</v>
      </c>
      <c r="D779" t="inlineStr">
        <is>
          <t>NIL</t>
        </is>
      </c>
      <c r="E779" t="n">
        <v>558</v>
      </c>
    </row>
    <row r="780">
      <c r="A780" t="inlineStr">
        <is>
          <t>27BBBBB00780Z5</t>
        </is>
      </c>
      <c r="B780" t="inlineStr">
        <is>
          <t>Feb-2018</t>
        </is>
      </c>
      <c r="C780" s="2" t="n">
        <v>43542</v>
      </c>
      <c r="D780" t="inlineStr">
        <is>
          <t>NON-NIL</t>
        </is>
      </c>
      <c r="E780" t="n">
        <v>2962</v>
      </c>
    </row>
    <row r="781">
      <c r="A781" t="inlineStr">
        <is>
          <t>27BBBBB00781Z5</t>
        </is>
      </c>
      <c r="B781" t="inlineStr">
        <is>
          <t>Feb-2018</t>
        </is>
      </c>
      <c r="C781" s="2" t="n">
        <v>43364</v>
      </c>
      <c r="D781" t="inlineStr">
        <is>
          <t>NON-NIL</t>
        </is>
      </c>
      <c r="E781" t="n">
        <v>1587</v>
      </c>
    </row>
    <row r="782">
      <c r="A782" t="inlineStr">
        <is>
          <t>27BBBBB00782Z5</t>
        </is>
      </c>
      <c r="B782" t="inlineStr">
        <is>
          <t>Aug-2018</t>
        </is>
      </c>
      <c r="C782" s="2" t="n">
        <v>43971</v>
      </c>
      <c r="D782" t="inlineStr">
        <is>
          <t>NIL</t>
        </is>
      </c>
      <c r="E782" t="n">
        <v>542</v>
      </c>
    </row>
    <row r="783">
      <c r="A783" t="inlineStr">
        <is>
          <t>27BBBBB00783Z5</t>
        </is>
      </c>
      <c r="B783" t="inlineStr">
        <is>
          <t>Mar-2021</t>
        </is>
      </c>
      <c r="C783" s="2" t="n">
        <v>45611</v>
      </c>
      <c r="D783" t="inlineStr">
        <is>
          <t>NON-NIL</t>
        </is>
      </c>
      <c r="E783" t="n">
        <v>1494</v>
      </c>
    </row>
    <row r="784">
      <c r="A784" t="inlineStr">
        <is>
          <t>27BBBBB00784Z5</t>
        </is>
      </c>
      <c r="B784" t="inlineStr">
        <is>
          <t>Mar-2021</t>
        </is>
      </c>
      <c r="C784" s="2" t="n">
        <v>45449</v>
      </c>
      <c r="D784" t="inlineStr">
        <is>
          <t>NON-NIL</t>
        </is>
      </c>
      <c r="E784" t="n">
        <v>1242</v>
      </c>
    </row>
    <row r="785">
      <c r="A785" t="inlineStr">
        <is>
          <t>27BBBBB00785Z5</t>
        </is>
      </c>
      <c r="B785" t="inlineStr">
        <is>
          <t>Apr-2020</t>
        </is>
      </c>
      <c r="C785" s="2" t="n">
        <v>44135</v>
      </c>
      <c r="D785" t="inlineStr">
        <is>
          <t>NIL</t>
        </is>
      </c>
      <c r="E785" t="n">
        <v>905</v>
      </c>
    </row>
    <row r="786">
      <c r="A786" t="inlineStr">
        <is>
          <t>27BBBBB00786Z5</t>
        </is>
      </c>
      <c r="B786" t="inlineStr">
        <is>
          <t>Mar-2023</t>
        </is>
      </c>
      <c r="C786" s="2" t="n">
        <v>45707</v>
      </c>
      <c r="D786" t="inlineStr">
        <is>
          <t>NIL</t>
        </is>
      </c>
      <c r="E786" t="n">
        <v>463</v>
      </c>
    </row>
    <row r="787">
      <c r="A787" t="inlineStr">
        <is>
          <t>27BBBBB00787Z5</t>
        </is>
      </c>
      <c r="B787" t="inlineStr">
        <is>
          <t>Jan-2018</t>
        </is>
      </c>
      <c r="C787" s="2" t="n">
        <v>43393</v>
      </c>
      <c r="D787" t="inlineStr">
        <is>
          <t>NON-NIL</t>
        </is>
      </c>
      <c r="E787" t="n">
        <v>2616</v>
      </c>
    </row>
    <row r="788">
      <c r="A788" t="inlineStr">
        <is>
          <t>27BBBBB00788Z5</t>
        </is>
      </c>
      <c r="B788" t="inlineStr">
        <is>
          <t>Jul-2018</t>
        </is>
      </c>
      <c r="C788" s="2" t="n">
        <v>43066</v>
      </c>
      <c r="D788" t="inlineStr">
        <is>
          <t>NIL</t>
        </is>
      </c>
      <c r="E788" t="n">
        <v>1496</v>
      </c>
    </row>
    <row r="789">
      <c r="A789" t="inlineStr">
        <is>
          <t>27BBBBB00789Z5</t>
        </is>
      </c>
      <c r="B789" t="inlineStr">
        <is>
          <t>Jun-2020</t>
        </is>
      </c>
      <c r="C789" s="2" t="n">
        <v>44766</v>
      </c>
      <c r="D789" t="inlineStr">
        <is>
          <t>NON-NIL</t>
        </is>
      </c>
      <c r="E789" t="n">
        <v>32</v>
      </c>
    </row>
    <row r="790">
      <c r="A790" t="inlineStr">
        <is>
          <t>27BBBBB00790Z5</t>
        </is>
      </c>
      <c r="B790" t="inlineStr">
        <is>
          <t>Oct-2017</t>
        </is>
      </c>
      <c r="C790" s="2" t="n">
        <v>43553</v>
      </c>
      <c r="D790" t="inlineStr">
        <is>
          <t>NIL</t>
        </is>
      </c>
      <c r="E790" t="n">
        <v>471</v>
      </c>
    </row>
    <row r="791">
      <c r="A791" t="inlineStr">
        <is>
          <t>27BBBBB00791Z5</t>
        </is>
      </c>
      <c r="B791" t="inlineStr">
        <is>
          <t>Sep-2017</t>
        </is>
      </c>
      <c r="C791" s="2" t="n">
        <v>43646</v>
      </c>
      <c r="D791" t="inlineStr">
        <is>
          <t>NIL</t>
        </is>
      </c>
      <c r="E791" t="n">
        <v>2607</v>
      </c>
    </row>
    <row r="792">
      <c r="A792" t="inlineStr">
        <is>
          <t>27BBBBB00792Z5</t>
        </is>
      </c>
      <c r="B792" t="inlineStr">
        <is>
          <t>Jul-2018</t>
        </is>
      </c>
      <c r="C792" s="2" t="n">
        <v>43231</v>
      </c>
      <c r="D792" t="inlineStr">
        <is>
          <t>NIL</t>
        </is>
      </c>
      <c r="E792" t="n">
        <v>283</v>
      </c>
    </row>
    <row r="793">
      <c r="A793" t="inlineStr">
        <is>
          <t>27BBBBB00793Z5</t>
        </is>
      </c>
      <c r="B793" t="inlineStr">
        <is>
          <t>Jun-2018</t>
        </is>
      </c>
      <c r="C793" s="2" t="n">
        <v>43415</v>
      </c>
      <c r="D793" t="inlineStr">
        <is>
          <t>NON-NIL</t>
        </is>
      </c>
      <c r="E793" t="n">
        <v>657</v>
      </c>
    </row>
    <row r="794">
      <c r="A794" t="inlineStr">
        <is>
          <t>27BBBBB00794Z5</t>
        </is>
      </c>
      <c r="B794" t="inlineStr">
        <is>
          <t>Dec-2018</t>
        </is>
      </c>
      <c r="C794" s="2" t="n">
        <v>43067</v>
      </c>
      <c r="D794" t="inlineStr">
        <is>
          <t>NIL</t>
        </is>
      </c>
      <c r="E794" t="n">
        <v>1467</v>
      </c>
    </row>
    <row r="795">
      <c r="A795" t="inlineStr">
        <is>
          <t>27BBBBB00795Z5</t>
        </is>
      </c>
      <c r="B795" t="inlineStr">
        <is>
          <t>Dec-2018</t>
        </is>
      </c>
      <c r="C795" s="2" t="n">
        <v>43864</v>
      </c>
      <c r="D795" t="inlineStr">
        <is>
          <t>NON-NIL</t>
        </is>
      </c>
      <c r="E795" t="n">
        <v>1383</v>
      </c>
    </row>
    <row r="796">
      <c r="A796" t="inlineStr">
        <is>
          <t>27BBBBB00796Z5</t>
        </is>
      </c>
      <c r="B796" t="inlineStr">
        <is>
          <t>Aug-2017</t>
        </is>
      </c>
      <c r="C796" s="2" t="n">
        <v>44098</v>
      </c>
      <c r="D796" t="inlineStr">
        <is>
          <t>NIL</t>
        </is>
      </c>
      <c r="E796" t="n">
        <v>1541</v>
      </c>
    </row>
    <row r="797">
      <c r="A797" t="inlineStr">
        <is>
          <t>27BBBBB00797Z5</t>
        </is>
      </c>
      <c r="B797" t="inlineStr">
        <is>
          <t>Jan-2018</t>
        </is>
      </c>
      <c r="C797" s="2" t="n">
        <v>44146</v>
      </c>
      <c r="D797" t="inlineStr">
        <is>
          <t>NON-NIL</t>
        </is>
      </c>
      <c r="E797" t="n">
        <v>2611</v>
      </c>
    </row>
    <row r="798">
      <c r="A798" t="inlineStr">
        <is>
          <t>27BBBBB00798Z5</t>
        </is>
      </c>
      <c r="B798" t="inlineStr">
        <is>
          <t>Jun-2018</t>
        </is>
      </c>
      <c r="C798" s="2" t="n">
        <v>42963</v>
      </c>
      <c r="D798" t="inlineStr">
        <is>
          <t>NON-NIL</t>
        </is>
      </c>
      <c r="E798" t="n">
        <v>1798</v>
      </c>
    </row>
    <row r="799">
      <c r="A799" t="inlineStr">
        <is>
          <t>27BBBBB00799Z5</t>
        </is>
      </c>
      <c r="B799" t="inlineStr">
        <is>
          <t>Mar-2023</t>
        </is>
      </c>
      <c r="C799" s="2" t="n">
        <v>44027</v>
      </c>
      <c r="D799" t="inlineStr">
        <is>
          <t>NIL</t>
        </is>
      </c>
      <c r="E799" t="n">
        <v>1518</v>
      </c>
    </row>
    <row r="800">
      <c r="A800" t="inlineStr">
        <is>
          <t>27BBBBB00800Z5</t>
        </is>
      </c>
      <c r="B800" t="inlineStr">
        <is>
          <t>Sep-2017</t>
        </is>
      </c>
      <c r="C800" s="2" t="n">
        <v>42995</v>
      </c>
      <c r="D800" t="inlineStr">
        <is>
          <t>NIL</t>
        </is>
      </c>
      <c r="E800" t="n">
        <v>254</v>
      </c>
    </row>
    <row r="801">
      <c r="A801" t="inlineStr">
        <is>
          <t>27BBBBB00801Z5</t>
        </is>
      </c>
      <c r="B801" t="inlineStr">
        <is>
          <t>Jul-2017</t>
        </is>
      </c>
      <c r="C801" s="2" t="n">
        <v>44236</v>
      </c>
      <c r="D801" t="inlineStr">
        <is>
          <t>NON-NIL</t>
        </is>
      </c>
      <c r="E801" t="n">
        <v>1207</v>
      </c>
    </row>
    <row r="802">
      <c r="A802" t="inlineStr">
        <is>
          <t>27BBBBB00802Z5</t>
        </is>
      </c>
      <c r="B802" t="inlineStr">
        <is>
          <t>Feb-2018</t>
        </is>
      </c>
      <c r="C802" s="2" t="n">
        <v>42947</v>
      </c>
      <c r="D802" t="inlineStr">
        <is>
          <t>NIL</t>
        </is>
      </c>
      <c r="E802" t="n">
        <v>569</v>
      </c>
    </row>
    <row r="803">
      <c r="A803" t="inlineStr">
        <is>
          <t>27BBBBB00803Z5</t>
        </is>
      </c>
      <c r="B803" t="inlineStr">
        <is>
          <t>Sep-2018</t>
        </is>
      </c>
      <c r="C803" s="2" t="n">
        <v>43916</v>
      </c>
      <c r="D803" t="inlineStr">
        <is>
          <t>NIL</t>
        </is>
      </c>
      <c r="E803" t="n">
        <v>566</v>
      </c>
    </row>
    <row r="804">
      <c r="A804" t="inlineStr">
        <is>
          <t>27BBBBB00804Z5</t>
        </is>
      </c>
      <c r="B804" t="inlineStr">
        <is>
          <t>Mar-2021</t>
        </is>
      </c>
      <c r="C804" s="2" t="n">
        <v>43523</v>
      </c>
      <c r="D804" t="inlineStr">
        <is>
          <t>NON-NIL</t>
        </is>
      </c>
      <c r="E804" t="n">
        <v>1375</v>
      </c>
    </row>
    <row r="805">
      <c r="A805" t="inlineStr">
        <is>
          <t>27BBBBB00805Z5</t>
        </is>
      </c>
      <c r="B805" t="inlineStr">
        <is>
          <t>Jul-2018</t>
        </is>
      </c>
      <c r="C805" s="2" t="n">
        <v>44075</v>
      </c>
      <c r="D805" t="inlineStr">
        <is>
          <t>NON-NIL</t>
        </is>
      </c>
      <c r="E805" t="n">
        <v>598</v>
      </c>
    </row>
    <row r="806">
      <c r="A806" t="inlineStr">
        <is>
          <t>27BBBBB00806Z5</t>
        </is>
      </c>
      <c r="B806" t="inlineStr">
        <is>
          <t>Sep-2018</t>
        </is>
      </c>
      <c r="C806" s="2" t="n">
        <v>44234</v>
      </c>
      <c r="D806" t="inlineStr">
        <is>
          <t>NON-NIL</t>
        </is>
      </c>
      <c r="E806" t="n">
        <v>2574</v>
      </c>
    </row>
    <row r="807">
      <c r="A807" t="inlineStr">
        <is>
          <t>27BBBBB00807Z5</t>
        </is>
      </c>
      <c r="B807" t="inlineStr">
        <is>
          <t>Jan-2018</t>
        </is>
      </c>
      <c r="C807" s="2" t="n">
        <v>44050</v>
      </c>
      <c r="D807" t="inlineStr">
        <is>
          <t>NIL</t>
        </is>
      </c>
      <c r="E807" t="n">
        <v>2592</v>
      </c>
    </row>
    <row r="808">
      <c r="A808" t="inlineStr">
        <is>
          <t>27BBBBB00808Z5</t>
        </is>
      </c>
      <c r="B808" t="inlineStr">
        <is>
          <t>Nov-2018</t>
        </is>
      </c>
      <c r="C808" s="2" t="n">
        <v>43271</v>
      </c>
      <c r="D808" t="inlineStr">
        <is>
          <t>NON-NIL</t>
        </is>
      </c>
      <c r="E808" t="n">
        <v>809</v>
      </c>
    </row>
    <row r="809">
      <c r="A809" t="inlineStr">
        <is>
          <t>27BBBBB00809Z5</t>
        </is>
      </c>
      <c r="B809" t="inlineStr">
        <is>
          <t>Dec-2017</t>
        </is>
      </c>
      <c r="C809" s="2" t="n">
        <v>43723</v>
      </c>
      <c r="D809" t="inlineStr">
        <is>
          <t>NON-NIL</t>
        </is>
      </c>
      <c r="E809" t="n">
        <v>1708</v>
      </c>
    </row>
    <row r="810">
      <c r="A810" t="inlineStr">
        <is>
          <t>27BBBBB00810Z5</t>
        </is>
      </c>
      <c r="B810" t="inlineStr">
        <is>
          <t>Jan-2021</t>
        </is>
      </c>
      <c r="C810" s="2" t="n">
        <v>44393</v>
      </c>
      <c r="D810" t="inlineStr">
        <is>
          <t>NIL</t>
        </is>
      </c>
      <c r="E810" t="n">
        <v>359</v>
      </c>
    </row>
    <row r="811">
      <c r="A811" t="inlineStr">
        <is>
          <t>27BBBBB00811Z5</t>
        </is>
      </c>
      <c r="B811" t="inlineStr">
        <is>
          <t>Apr-2018</t>
        </is>
      </c>
      <c r="C811" s="2" t="n">
        <v>43421</v>
      </c>
      <c r="D811" t="inlineStr">
        <is>
          <t>NIL</t>
        </is>
      </c>
      <c r="E811" t="n">
        <v>251</v>
      </c>
    </row>
    <row r="812">
      <c r="A812" t="inlineStr">
        <is>
          <t>27BBBBB00812Z5</t>
        </is>
      </c>
      <c r="B812" t="inlineStr">
        <is>
          <t>Sep-2018</t>
        </is>
      </c>
      <c r="C812" s="2" t="n">
        <v>43612</v>
      </c>
      <c r="D812" t="inlineStr">
        <is>
          <t>NIL</t>
        </is>
      </c>
      <c r="E812" t="n">
        <v>2444</v>
      </c>
    </row>
    <row r="813">
      <c r="A813" t="inlineStr">
        <is>
          <t>27BBBBB00813Z5</t>
        </is>
      </c>
      <c r="B813" t="inlineStr">
        <is>
          <t>Nov-2018</t>
        </is>
      </c>
      <c r="C813" s="2" t="n">
        <v>43891</v>
      </c>
      <c r="D813" t="inlineStr">
        <is>
          <t>NIL</t>
        </is>
      </c>
      <c r="E813" t="n">
        <v>1131</v>
      </c>
    </row>
    <row r="814">
      <c r="A814" t="inlineStr">
        <is>
          <t>27BBBBB00814Z5</t>
        </is>
      </c>
      <c r="B814" t="inlineStr">
        <is>
          <t>Oct-2017</t>
        </is>
      </c>
      <c r="C814" s="2" t="n">
        <v>43462</v>
      </c>
      <c r="D814" t="inlineStr">
        <is>
          <t>NIL</t>
        </is>
      </c>
      <c r="E814" t="n">
        <v>1768</v>
      </c>
    </row>
    <row r="815">
      <c r="A815" t="inlineStr">
        <is>
          <t>27BBBBB00815Z5</t>
        </is>
      </c>
      <c r="B815" t="inlineStr">
        <is>
          <t>Jan-2021</t>
        </is>
      </c>
      <c r="C815" s="2" t="n">
        <v>44661</v>
      </c>
      <c r="D815" t="inlineStr">
        <is>
          <t>NIL</t>
        </is>
      </c>
      <c r="E815" t="n">
        <v>2424</v>
      </c>
    </row>
    <row r="816">
      <c r="A816" t="inlineStr">
        <is>
          <t>27BBBBB00816Z5</t>
        </is>
      </c>
      <c r="B816" t="inlineStr">
        <is>
          <t>Feb-2018</t>
        </is>
      </c>
      <c r="C816" s="2" t="n">
        <v>42979</v>
      </c>
      <c r="D816" t="inlineStr">
        <is>
          <t>NON-NIL</t>
        </is>
      </c>
      <c r="E816" t="n">
        <v>2745</v>
      </c>
    </row>
    <row r="817">
      <c r="A817" t="inlineStr">
        <is>
          <t>27BBBBB00817Z5</t>
        </is>
      </c>
      <c r="B817" t="inlineStr">
        <is>
          <t>Dec-2022</t>
        </is>
      </c>
      <c r="C817" s="2" t="n">
        <v>44519</v>
      </c>
      <c r="D817" t="inlineStr">
        <is>
          <t>NON-NIL</t>
        </is>
      </c>
      <c r="E817" t="n">
        <v>458</v>
      </c>
    </row>
    <row r="818">
      <c r="A818" t="inlineStr">
        <is>
          <t>27BBBBB00818Z5</t>
        </is>
      </c>
      <c r="B818" t="inlineStr">
        <is>
          <t>Apr-2018</t>
        </is>
      </c>
      <c r="C818" s="2" t="n">
        <v>43324</v>
      </c>
      <c r="D818" t="inlineStr">
        <is>
          <t>NIL</t>
        </is>
      </c>
      <c r="E818" t="n">
        <v>2981</v>
      </c>
    </row>
    <row r="819">
      <c r="A819" t="inlineStr">
        <is>
          <t>27BBBBB00819Z5</t>
        </is>
      </c>
      <c r="B819" t="inlineStr">
        <is>
          <t>Nov-2018</t>
        </is>
      </c>
      <c r="C819" s="2" t="n">
        <v>44444</v>
      </c>
      <c r="D819" t="inlineStr">
        <is>
          <t>NIL</t>
        </is>
      </c>
      <c r="E819" t="n">
        <v>1691</v>
      </c>
    </row>
    <row r="820">
      <c r="A820" t="inlineStr">
        <is>
          <t>27BBBBB00820Z5</t>
        </is>
      </c>
      <c r="B820" t="inlineStr">
        <is>
          <t>Oct-2018</t>
        </is>
      </c>
      <c r="C820" s="2" t="n">
        <v>43532</v>
      </c>
      <c r="D820" t="inlineStr">
        <is>
          <t>NIL</t>
        </is>
      </c>
      <c r="E820" t="n">
        <v>2828</v>
      </c>
    </row>
    <row r="821">
      <c r="A821" t="inlineStr">
        <is>
          <t>27BBBBB00821Z5</t>
        </is>
      </c>
      <c r="B821" t="inlineStr">
        <is>
          <t>Dec-2018</t>
        </is>
      </c>
      <c r="C821" s="2" t="n">
        <v>44404</v>
      </c>
      <c r="D821" t="inlineStr">
        <is>
          <t>NON-NIL</t>
        </is>
      </c>
      <c r="E821" t="n">
        <v>1272</v>
      </c>
    </row>
    <row r="822">
      <c r="A822" t="inlineStr">
        <is>
          <t>27BBBBB00822Z5</t>
        </is>
      </c>
      <c r="B822" t="inlineStr">
        <is>
          <t>Dec-2024</t>
        </is>
      </c>
      <c r="C822" s="2" t="n">
        <v>43675</v>
      </c>
      <c r="D822" t="inlineStr">
        <is>
          <t>NON-NIL</t>
        </is>
      </c>
      <c r="E822" t="n">
        <v>2180</v>
      </c>
    </row>
    <row r="823">
      <c r="A823" t="inlineStr">
        <is>
          <t>27BBBBB00823Z5</t>
        </is>
      </c>
      <c r="B823" t="inlineStr">
        <is>
          <t>Apr-2018</t>
        </is>
      </c>
      <c r="C823" s="2" t="n">
        <v>44261</v>
      </c>
      <c r="D823" t="inlineStr">
        <is>
          <t>NON-NIL</t>
        </is>
      </c>
      <c r="E823" t="n">
        <v>1063</v>
      </c>
    </row>
    <row r="824">
      <c r="A824" t="inlineStr">
        <is>
          <t>27BBBBB00824Z5</t>
        </is>
      </c>
      <c r="B824" t="inlineStr">
        <is>
          <t>Feb-2018</t>
        </is>
      </c>
      <c r="C824" s="2" t="n">
        <v>44059</v>
      </c>
      <c r="D824" t="inlineStr">
        <is>
          <t>NON-NIL</t>
        </is>
      </c>
      <c r="E824" t="n">
        <v>2001</v>
      </c>
    </row>
    <row r="825">
      <c r="A825" t="inlineStr">
        <is>
          <t>27BBBBB00825Z5</t>
        </is>
      </c>
      <c r="B825" t="inlineStr">
        <is>
          <t>May-2018</t>
        </is>
      </c>
      <c r="C825" s="2" t="n">
        <v>43190</v>
      </c>
      <c r="D825" t="inlineStr">
        <is>
          <t>NON-NIL</t>
        </is>
      </c>
      <c r="E825" t="n">
        <v>663</v>
      </c>
    </row>
    <row r="826">
      <c r="A826" t="inlineStr">
        <is>
          <t>27BBBBB00826Z5</t>
        </is>
      </c>
      <c r="B826" t="inlineStr">
        <is>
          <t>May-2020</t>
        </is>
      </c>
      <c r="C826" s="2" t="n">
        <v>44456</v>
      </c>
      <c r="D826" t="inlineStr">
        <is>
          <t>NON-NIL</t>
        </is>
      </c>
      <c r="E826" t="n">
        <v>2486</v>
      </c>
    </row>
    <row r="827">
      <c r="A827" t="inlineStr">
        <is>
          <t>27BBBBB00827Z5</t>
        </is>
      </c>
      <c r="B827" t="inlineStr">
        <is>
          <t>Sep-2018</t>
        </is>
      </c>
      <c r="C827" s="2" t="n">
        <v>44071</v>
      </c>
      <c r="D827" t="inlineStr">
        <is>
          <t>NIL</t>
        </is>
      </c>
      <c r="E827" t="n">
        <v>766</v>
      </c>
    </row>
    <row r="828">
      <c r="A828" t="inlineStr">
        <is>
          <t>27BBBBB00828Z5</t>
        </is>
      </c>
      <c r="B828" t="inlineStr">
        <is>
          <t>Dec-2022</t>
        </is>
      </c>
      <c r="C828" s="2" t="n">
        <v>44644</v>
      </c>
      <c r="D828" t="inlineStr">
        <is>
          <t>NON-NIL</t>
        </is>
      </c>
      <c r="E828" t="n">
        <v>1412</v>
      </c>
    </row>
    <row r="829">
      <c r="A829" t="inlineStr">
        <is>
          <t>27BBBBB00829Z5</t>
        </is>
      </c>
      <c r="B829" t="inlineStr">
        <is>
          <t>Jul-2020</t>
        </is>
      </c>
      <c r="C829" s="2" t="n">
        <v>44435</v>
      </c>
      <c r="D829" t="inlineStr">
        <is>
          <t>NIL</t>
        </is>
      </c>
      <c r="E829" t="n">
        <v>2982</v>
      </c>
    </row>
    <row r="830">
      <c r="A830" t="inlineStr">
        <is>
          <t>27BBBBB00830Z5</t>
        </is>
      </c>
      <c r="B830" t="inlineStr">
        <is>
          <t>May-2020</t>
        </is>
      </c>
      <c r="C830" s="2" t="n">
        <v>44403</v>
      </c>
      <c r="D830" t="inlineStr">
        <is>
          <t>NIL</t>
        </is>
      </c>
      <c r="E830" t="n">
        <v>500</v>
      </c>
    </row>
    <row r="831">
      <c r="A831" t="inlineStr">
        <is>
          <t>27BBBBB00831Z5</t>
        </is>
      </c>
      <c r="B831" t="inlineStr">
        <is>
          <t>Jul-2017</t>
        </is>
      </c>
      <c r="C831" s="2" t="n">
        <v>42936</v>
      </c>
      <c r="D831" t="inlineStr">
        <is>
          <t>NIL</t>
        </is>
      </c>
      <c r="E831" t="n">
        <v>1229</v>
      </c>
    </row>
    <row r="832">
      <c r="A832" t="inlineStr">
        <is>
          <t>27BBBBB00832Z5</t>
        </is>
      </c>
      <c r="B832" t="inlineStr">
        <is>
          <t>May-2020</t>
        </is>
      </c>
      <c r="C832" s="2" t="n">
        <v>44649</v>
      </c>
      <c r="D832" t="inlineStr">
        <is>
          <t>NIL</t>
        </is>
      </c>
      <c r="E832" t="n">
        <v>448</v>
      </c>
    </row>
    <row r="833">
      <c r="A833" t="inlineStr">
        <is>
          <t>27BBBBB00833Z5</t>
        </is>
      </c>
      <c r="B833" t="inlineStr">
        <is>
          <t>Mar-2021</t>
        </is>
      </c>
      <c r="C833" s="2" t="n">
        <v>45404</v>
      </c>
      <c r="D833" t="inlineStr">
        <is>
          <t>NON-NIL</t>
        </is>
      </c>
      <c r="E833" t="n">
        <v>2157</v>
      </c>
    </row>
    <row r="834">
      <c r="A834" t="inlineStr">
        <is>
          <t>27BBBBB00834Z5</t>
        </is>
      </c>
      <c r="B834" t="inlineStr">
        <is>
          <t>May-2018</t>
        </is>
      </c>
      <c r="C834" s="2" t="n">
        <v>44555</v>
      </c>
      <c r="D834" t="inlineStr">
        <is>
          <t>NON-NIL</t>
        </is>
      </c>
      <c r="E834" t="n">
        <v>1522</v>
      </c>
    </row>
    <row r="835">
      <c r="A835" t="inlineStr">
        <is>
          <t>27BBBBB00835Z5</t>
        </is>
      </c>
      <c r="B835" t="inlineStr">
        <is>
          <t>Jan-2018</t>
        </is>
      </c>
      <c r="C835" s="2" t="n">
        <v>44075</v>
      </c>
      <c r="D835" t="inlineStr">
        <is>
          <t>NIL</t>
        </is>
      </c>
      <c r="E835" t="n">
        <v>2954</v>
      </c>
    </row>
    <row r="836">
      <c r="A836" t="inlineStr">
        <is>
          <t>27BBBBB00836Z5</t>
        </is>
      </c>
      <c r="B836" t="inlineStr">
        <is>
          <t>Jun-2018</t>
        </is>
      </c>
      <c r="C836" s="2" t="n">
        <v>43818</v>
      </c>
      <c r="D836" t="inlineStr">
        <is>
          <t>NON-NIL</t>
        </is>
      </c>
      <c r="E836" t="n">
        <v>1574</v>
      </c>
    </row>
    <row r="837">
      <c r="A837" t="inlineStr">
        <is>
          <t>27BBBBB00837Z5</t>
        </is>
      </c>
      <c r="B837" t="inlineStr">
        <is>
          <t>Nov-2017</t>
        </is>
      </c>
      <c r="C837" s="2" t="n">
        <v>44440</v>
      </c>
      <c r="D837" t="inlineStr">
        <is>
          <t>NON-NIL</t>
        </is>
      </c>
      <c r="E837" t="n">
        <v>2435</v>
      </c>
    </row>
    <row r="838">
      <c r="A838" t="inlineStr">
        <is>
          <t>27BBBBB00838Z5</t>
        </is>
      </c>
      <c r="B838" t="inlineStr">
        <is>
          <t>Dec-2017</t>
        </is>
      </c>
      <c r="C838" s="2" t="n">
        <v>44524</v>
      </c>
      <c r="D838" t="inlineStr">
        <is>
          <t>NIL</t>
        </is>
      </c>
      <c r="E838" t="n">
        <v>970</v>
      </c>
    </row>
    <row r="839">
      <c r="A839" t="inlineStr">
        <is>
          <t>27BBBBB00839Z5</t>
        </is>
      </c>
      <c r="B839" t="inlineStr">
        <is>
          <t>Mar-2020</t>
        </is>
      </c>
      <c r="C839" s="2" t="n">
        <v>44524</v>
      </c>
      <c r="D839" t="inlineStr">
        <is>
          <t>NIL</t>
        </is>
      </c>
      <c r="E839" t="n">
        <v>2994</v>
      </c>
    </row>
    <row r="840">
      <c r="A840" t="inlineStr">
        <is>
          <t>27BBBBB00840Z5</t>
        </is>
      </c>
      <c r="B840" t="inlineStr">
        <is>
          <t>Mar-2023</t>
        </is>
      </c>
      <c r="C840" s="2" t="n">
        <v>43500</v>
      </c>
      <c r="D840" t="inlineStr">
        <is>
          <t>NIL</t>
        </is>
      </c>
      <c r="E840" t="n">
        <v>2751</v>
      </c>
    </row>
    <row r="841">
      <c r="A841" t="inlineStr">
        <is>
          <t>27BBBBB00841Z5</t>
        </is>
      </c>
      <c r="B841" t="inlineStr">
        <is>
          <t>May-2020</t>
        </is>
      </c>
      <c r="C841" s="2" t="n">
        <v>44092</v>
      </c>
      <c r="D841" t="inlineStr">
        <is>
          <t>NON-NIL</t>
        </is>
      </c>
      <c r="E841" t="n">
        <v>1438</v>
      </c>
    </row>
    <row r="842">
      <c r="A842" t="inlineStr">
        <is>
          <t>27BBBBB00842Z5</t>
        </is>
      </c>
      <c r="B842" t="inlineStr">
        <is>
          <t>Jan-2018</t>
        </is>
      </c>
      <c r="C842" s="2" t="n">
        <v>44135</v>
      </c>
      <c r="D842" t="inlineStr">
        <is>
          <t>NON-NIL</t>
        </is>
      </c>
      <c r="E842" t="n">
        <v>2698</v>
      </c>
    </row>
    <row r="843">
      <c r="A843" t="inlineStr">
        <is>
          <t>27BBBBB00843Z5</t>
        </is>
      </c>
      <c r="B843" t="inlineStr">
        <is>
          <t>Dec-2017</t>
        </is>
      </c>
      <c r="C843" s="2" t="n">
        <v>44226</v>
      </c>
      <c r="D843" t="inlineStr">
        <is>
          <t>NON-NIL</t>
        </is>
      </c>
      <c r="E843" t="n">
        <v>1639</v>
      </c>
    </row>
    <row r="844">
      <c r="A844" t="inlineStr">
        <is>
          <t>27BBBBB00844Z5</t>
        </is>
      </c>
      <c r="B844" t="inlineStr">
        <is>
          <t>Jul-2020</t>
        </is>
      </c>
      <c r="C844" s="2" t="n">
        <v>44253</v>
      </c>
      <c r="D844" t="inlineStr">
        <is>
          <t>NON-NIL</t>
        </is>
      </c>
      <c r="E844" t="n">
        <v>1996</v>
      </c>
    </row>
    <row r="845">
      <c r="A845" t="inlineStr">
        <is>
          <t>27BBBBB00845Z5</t>
        </is>
      </c>
      <c r="B845" t="inlineStr">
        <is>
          <t>Jun-2020</t>
        </is>
      </c>
      <c r="C845" s="2" t="n">
        <v>44277</v>
      </c>
      <c r="D845" t="inlineStr">
        <is>
          <t>NIL</t>
        </is>
      </c>
      <c r="E845" t="n">
        <v>719</v>
      </c>
    </row>
    <row r="846">
      <c r="A846" t="inlineStr">
        <is>
          <t>27BBBBB00846Z5</t>
        </is>
      </c>
      <c r="B846" t="inlineStr">
        <is>
          <t>Mar-2023</t>
        </is>
      </c>
      <c r="C846" s="2" t="n">
        <v>44935</v>
      </c>
      <c r="D846" t="inlineStr">
        <is>
          <t>NIL</t>
        </is>
      </c>
      <c r="E846" t="n">
        <v>1275</v>
      </c>
    </row>
    <row r="847">
      <c r="A847" t="inlineStr">
        <is>
          <t>27BBBBB00847Z5</t>
        </is>
      </c>
      <c r="B847" t="inlineStr">
        <is>
          <t>Jun-2018</t>
        </is>
      </c>
      <c r="C847" s="2" t="n">
        <v>44004</v>
      </c>
      <c r="D847" t="inlineStr">
        <is>
          <t>NON-NIL</t>
        </is>
      </c>
      <c r="E847" t="n">
        <v>130</v>
      </c>
    </row>
    <row r="848">
      <c r="A848" t="inlineStr">
        <is>
          <t>27BBBBB00848Z5</t>
        </is>
      </c>
      <c r="B848" t="inlineStr">
        <is>
          <t>Oct-2017</t>
        </is>
      </c>
      <c r="C848" s="2" t="n">
        <v>43369</v>
      </c>
      <c r="D848" t="inlineStr">
        <is>
          <t>NIL</t>
        </is>
      </c>
      <c r="E848" t="n">
        <v>479</v>
      </c>
    </row>
    <row r="849">
      <c r="A849" t="inlineStr">
        <is>
          <t>27BBBBB00849Z5</t>
        </is>
      </c>
      <c r="B849" t="inlineStr">
        <is>
          <t>Sep-2017</t>
        </is>
      </c>
      <c r="C849" s="2" t="n">
        <v>43828</v>
      </c>
      <c r="D849" t="inlineStr">
        <is>
          <t>NON-NIL</t>
        </is>
      </c>
      <c r="E849" t="n">
        <v>499</v>
      </c>
    </row>
    <row r="850">
      <c r="A850" t="inlineStr">
        <is>
          <t>27BBBBB00850Z5</t>
        </is>
      </c>
      <c r="B850" t="inlineStr">
        <is>
          <t>Oct-2018</t>
        </is>
      </c>
      <c r="C850" s="2" t="n">
        <v>43403</v>
      </c>
      <c r="D850" t="inlineStr">
        <is>
          <t>NIL</t>
        </is>
      </c>
      <c r="E850" t="n">
        <v>1494</v>
      </c>
    </row>
    <row r="851">
      <c r="A851" t="inlineStr">
        <is>
          <t>27BBBBB00851Z5</t>
        </is>
      </c>
      <c r="B851" t="inlineStr">
        <is>
          <t>Dec-2018</t>
        </is>
      </c>
      <c r="C851" s="2" t="n">
        <v>43318</v>
      </c>
      <c r="D851" t="inlineStr">
        <is>
          <t>NON-NIL</t>
        </is>
      </c>
      <c r="E851" t="n">
        <v>581</v>
      </c>
    </row>
    <row r="852">
      <c r="A852" t="inlineStr">
        <is>
          <t>27BBBBB00852Z5</t>
        </is>
      </c>
      <c r="B852" t="inlineStr">
        <is>
          <t>Apr-2018</t>
        </is>
      </c>
      <c r="C852" s="2" t="n">
        <v>44070</v>
      </c>
      <c r="D852" t="inlineStr">
        <is>
          <t>NIL</t>
        </is>
      </c>
      <c r="E852" t="n">
        <v>509</v>
      </c>
    </row>
    <row r="853">
      <c r="A853" t="inlineStr">
        <is>
          <t>27BBBBB00853Z5</t>
        </is>
      </c>
      <c r="B853" t="inlineStr">
        <is>
          <t>May-2018</t>
        </is>
      </c>
      <c r="C853" s="2" t="n">
        <v>43094</v>
      </c>
      <c r="D853" t="inlineStr">
        <is>
          <t>NON-NIL</t>
        </is>
      </c>
      <c r="E853" t="n">
        <v>1756</v>
      </c>
    </row>
    <row r="854">
      <c r="A854" t="inlineStr">
        <is>
          <t>27BBBBB00854Z5</t>
        </is>
      </c>
      <c r="B854" t="inlineStr">
        <is>
          <t>Mar-2020</t>
        </is>
      </c>
      <c r="C854" s="2" t="n">
        <v>44463</v>
      </c>
      <c r="D854" t="inlineStr">
        <is>
          <t>NON-NIL</t>
        </is>
      </c>
      <c r="E854" t="n">
        <v>902</v>
      </c>
    </row>
    <row r="855">
      <c r="A855" t="inlineStr">
        <is>
          <t>27BBBBB00855Z5</t>
        </is>
      </c>
      <c r="B855" t="inlineStr">
        <is>
          <t>Dec-2018</t>
        </is>
      </c>
      <c r="C855" s="2" t="n">
        <v>43931</v>
      </c>
      <c r="D855" t="inlineStr">
        <is>
          <t>NON-NIL</t>
        </is>
      </c>
      <c r="E855" t="n">
        <v>286</v>
      </c>
    </row>
    <row r="856">
      <c r="A856" t="inlineStr">
        <is>
          <t>27BBBBB00856Z5</t>
        </is>
      </c>
      <c r="B856" t="inlineStr">
        <is>
          <t>Sep-2018</t>
        </is>
      </c>
      <c r="C856" s="2" t="n">
        <v>43057</v>
      </c>
      <c r="D856" t="inlineStr">
        <is>
          <t>NIL</t>
        </is>
      </c>
      <c r="E856" t="n">
        <v>1325</v>
      </c>
    </row>
    <row r="857">
      <c r="A857" t="inlineStr">
        <is>
          <t>27BBBBB00857Z5</t>
        </is>
      </c>
      <c r="B857" t="inlineStr">
        <is>
          <t>Jun-2020</t>
        </is>
      </c>
      <c r="C857" s="2" t="n">
        <v>44272</v>
      </c>
      <c r="D857" t="inlineStr">
        <is>
          <t>NON-NIL</t>
        </is>
      </c>
      <c r="E857" t="n">
        <v>2852</v>
      </c>
    </row>
    <row r="858">
      <c r="A858" t="inlineStr">
        <is>
          <t>27BBBBB00858Z5</t>
        </is>
      </c>
      <c r="B858" t="inlineStr">
        <is>
          <t>Jun-2020</t>
        </is>
      </c>
      <c r="C858" s="2" t="n">
        <v>44882</v>
      </c>
      <c r="D858" t="inlineStr">
        <is>
          <t>NIL</t>
        </is>
      </c>
      <c r="E858" t="n">
        <v>231</v>
      </c>
    </row>
    <row r="859">
      <c r="A859" t="inlineStr">
        <is>
          <t>27BBBBB00859Z5</t>
        </is>
      </c>
      <c r="B859" t="inlineStr">
        <is>
          <t>Jun-2018</t>
        </is>
      </c>
      <c r="C859" s="2" t="n">
        <v>44521</v>
      </c>
      <c r="D859" t="inlineStr">
        <is>
          <t>NON-NIL</t>
        </is>
      </c>
      <c r="E859" t="n">
        <v>2205</v>
      </c>
    </row>
    <row r="860">
      <c r="A860" t="inlineStr">
        <is>
          <t>27BBBBB00860Z5</t>
        </is>
      </c>
      <c r="B860" t="inlineStr">
        <is>
          <t>Mar-2021</t>
        </is>
      </c>
      <c r="C860" s="2" t="n">
        <v>44179</v>
      </c>
      <c r="D860" t="inlineStr">
        <is>
          <t>NON-NIL</t>
        </is>
      </c>
      <c r="E860" t="n">
        <v>1774</v>
      </c>
    </row>
    <row r="861">
      <c r="A861" t="inlineStr">
        <is>
          <t>27BBBBB00861Z5</t>
        </is>
      </c>
      <c r="B861" t="inlineStr">
        <is>
          <t>Dec-2017</t>
        </is>
      </c>
      <c r="C861" s="2" t="n">
        <v>44394</v>
      </c>
      <c r="D861" t="inlineStr">
        <is>
          <t>NON-NIL</t>
        </is>
      </c>
      <c r="E861" t="n">
        <v>872</v>
      </c>
    </row>
    <row r="862">
      <c r="A862" t="inlineStr">
        <is>
          <t>27BBBBB00862Z5</t>
        </is>
      </c>
      <c r="B862" t="inlineStr">
        <is>
          <t>Apr-2020</t>
        </is>
      </c>
      <c r="C862" s="2" t="n">
        <v>44700</v>
      </c>
      <c r="D862" t="inlineStr">
        <is>
          <t>NON-NIL</t>
        </is>
      </c>
      <c r="E862" t="n">
        <v>815</v>
      </c>
    </row>
    <row r="863">
      <c r="A863" t="inlineStr">
        <is>
          <t>27BBBBB00863Z5</t>
        </is>
      </c>
      <c r="B863" t="inlineStr">
        <is>
          <t>Jun-2020</t>
        </is>
      </c>
      <c r="C863" s="2" t="n">
        <v>44244</v>
      </c>
      <c r="D863" t="inlineStr">
        <is>
          <t>NIL</t>
        </is>
      </c>
      <c r="E863" t="n">
        <v>1763</v>
      </c>
    </row>
    <row r="864">
      <c r="A864" t="inlineStr">
        <is>
          <t>27BBBBB00864Z5</t>
        </is>
      </c>
      <c r="B864" t="inlineStr">
        <is>
          <t>Sep-2017</t>
        </is>
      </c>
      <c r="C864" s="2" t="n">
        <v>44488</v>
      </c>
      <c r="D864" t="inlineStr">
        <is>
          <t>NIL</t>
        </is>
      </c>
      <c r="E864" t="n">
        <v>0</v>
      </c>
    </row>
    <row r="865">
      <c r="A865" t="inlineStr">
        <is>
          <t>27BBBBB00865Z5</t>
        </is>
      </c>
      <c r="B865" t="inlineStr">
        <is>
          <t>May-2020</t>
        </is>
      </c>
      <c r="C865" s="2" t="n">
        <v>44120</v>
      </c>
      <c r="D865" t="inlineStr">
        <is>
          <t>NON-NIL</t>
        </is>
      </c>
      <c r="E865" t="n">
        <v>2707</v>
      </c>
    </row>
    <row r="866">
      <c r="A866" t="inlineStr">
        <is>
          <t>27BBBBB00866Z5</t>
        </is>
      </c>
      <c r="B866" t="inlineStr">
        <is>
          <t>Dec-2018</t>
        </is>
      </c>
      <c r="C866" s="2" t="n">
        <v>44271</v>
      </c>
      <c r="D866" t="inlineStr">
        <is>
          <t>NON-NIL</t>
        </is>
      </c>
      <c r="E866" t="n">
        <v>2287</v>
      </c>
    </row>
    <row r="867">
      <c r="A867" t="inlineStr">
        <is>
          <t>27BBBBB00867Z5</t>
        </is>
      </c>
      <c r="B867" t="inlineStr">
        <is>
          <t>Apr-2018</t>
        </is>
      </c>
      <c r="C867" s="2" t="n">
        <v>43230</v>
      </c>
      <c r="D867" t="inlineStr">
        <is>
          <t>NON-NIL</t>
        </is>
      </c>
      <c r="E867" t="n">
        <v>1971</v>
      </c>
    </row>
    <row r="868">
      <c r="A868" t="inlineStr">
        <is>
          <t>27BBBBB00868Z5</t>
        </is>
      </c>
      <c r="B868" t="inlineStr">
        <is>
          <t>May-2018</t>
        </is>
      </c>
      <c r="C868" s="2" t="n">
        <v>43127</v>
      </c>
      <c r="D868" t="inlineStr">
        <is>
          <t>NON-NIL</t>
        </is>
      </c>
      <c r="E868" t="n">
        <v>910</v>
      </c>
    </row>
    <row r="869">
      <c r="A869" t="inlineStr">
        <is>
          <t>27BBBBB00869Z5</t>
        </is>
      </c>
      <c r="B869" t="inlineStr">
        <is>
          <t>Jul-2018</t>
        </is>
      </c>
      <c r="C869" s="2" t="n">
        <v>44263</v>
      </c>
      <c r="D869" t="inlineStr">
        <is>
          <t>NON-NIL</t>
        </is>
      </c>
      <c r="E869" t="n">
        <v>560</v>
      </c>
    </row>
    <row r="870">
      <c r="A870" t="inlineStr">
        <is>
          <t>27BBBBB00870Z5</t>
        </is>
      </c>
      <c r="B870" t="inlineStr">
        <is>
          <t>Aug-2017</t>
        </is>
      </c>
      <c r="C870" s="2" t="n">
        <v>44336</v>
      </c>
      <c r="D870" t="inlineStr">
        <is>
          <t>NON-NIL</t>
        </is>
      </c>
      <c r="E870" t="n">
        <v>1448</v>
      </c>
    </row>
    <row r="871">
      <c r="A871" t="inlineStr">
        <is>
          <t>27BBBBB00871Z5</t>
        </is>
      </c>
      <c r="B871" t="inlineStr">
        <is>
          <t>Aug-2017</t>
        </is>
      </c>
      <c r="C871" s="2" t="n">
        <v>43703</v>
      </c>
      <c r="D871" t="inlineStr">
        <is>
          <t>NON-NIL</t>
        </is>
      </c>
      <c r="E871" t="n">
        <v>2522</v>
      </c>
    </row>
    <row r="872">
      <c r="A872" t="inlineStr">
        <is>
          <t>27BBBBB00872Z5</t>
        </is>
      </c>
      <c r="B872" t="inlineStr">
        <is>
          <t>Mar-2020</t>
        </is>
      </c>
      <c r="C872" s="2" t="n">
        <v>44043</v>
      </c>
      <c r="D872" t="inlineStr">
        <is>
          <t>NIL</t>
        </is>
      </c>
      <c r="E872" t="n">
        <v>2238</v>
      </c>
    </row>
    <row r="873">
      <c r="A873" t="inlineStr">
        <is>
          <t>27BBBBB00873Z5</t>
        </is>
      </c>
      <c r="B873" t="inlineStr">
        <is>
          <t>May-2018</t>
        </is>
      </c>
      <c r="C873" s="2" t="n">
        <v>44428</v>
      </c>
      <c r="D873" t="inlineStr">
        <is>
          <t>NON-NIL</t>
        </is>
      </c>
      <c r="E873" t="n">
        <v>2121</v>
      </c>
    </row>
    <row r="874">
      <c r="A874" t="inlineStr">
        <is>
          <t>27BBBBB00874Z5</t>
        </is>
      </c>
      <c r="B874" t="inlineStr">
        <is>
          <t>May-2018</t>
        </is>
      </c>
      <c r="C874" s="2" t="n">
        <v>44074</v>
      </c>
      <c r="D874" t="inlineStr">
        <is>
          <t>NON-NIL</t>
        </is>
      </c>
      <c r="E874" t="n">
        <v>1193</v>
      </c>
    </row>
    <row r="875">
      <c r="A875" t="inlineStr">
        <is>
          <t>27BBBBB00875Z5</t>
        </is>
      </c>
      <c r="B875" t="inlineStr">
        <is>
          <t>Sep-2017</t>
        </is>
      </c>
      <c r="C875" s="2" t="n">
        <v>43777</v>
      </c>
      <c r="D875" t="inlineStr">
        <is>
          <t>NON-NIL</t>
        </is>
      </c>
      <c r="E875" t="n">
        <v>2342</v>
      </c>
    </row>
    <row r="876">
      <c r="A876" t="inlineStr">
        <is>
          <t>27BBBBB00876Z5</t>
        </is>
      </c>
      <c r="B876" t="inlineStr">
        <is>
          <t>Feb-2018</t>
        </is>
      </c>
      <c r="C876" s="2" t="n">
        <v>43337</v>
      </c>
      <c r="D876" t="inlineStr">
        <is>
          <t>NIL</t>
        </is>
      </c>
      <c r="E876" t="n">
        <v>343</v>
      </c>
    </row>
    <row r="877">
      <c r="A877" t="inlineStr">
        <is>
          <t>27BBBBB00877Z5</t>
        </is>
      </c>
      <c r="B877" t="inlineStr">
        <is>
          <t>Sep-2017</t>
        </is>
      </c>
      <c r="C877" s="2" t="n">
        <v>43572</v>
      </c>
      <c r="D877" t="inlineStr">
        <is>
          <t>NON-NIL</t>
        </is>
      </c>
      <c r="E877" t="n">
        <v>2610</v>
      </c>
    </row>
    <row r="878">
      <c r="A878" t="inlineStr">
        <is>
          <t>27BBBBB00878Z5</t>
        </is>
      </c>
      <c r="B878" t="inlineStr">
        <is>
          <t>Jul-2020</t>
        </is>
      </c>
      <c r="C878" s="2" t="n">
        <v>44481</v>
      </c>
      <c r="D878" t="inlineStr">
        <is>
          <t>NON-NIL</t>
        </is>
      </c>
      <c r="E878" t="n">
        <v>116</v>
      </c>
    </row>
    <row r="879">
      <c r="A879" t="inlineStr">
        <is>
          <t>27BBBBB00879Z5</t>
        </is>
      </c>
      <c r="B879" t="inlineStr">
        <is>
          <t>Dec-2017</t>
        </is>
      </c>
      <c r="C879" s="2" t="n">
        <v>43709</v>
      </c>
      <c r="D879" t="inlineStr">
        <is>
          <t>NIL</t>
        </is>
      </c>
      <c r="E879" t="n">
        <v>407</v>
      </c>
    </row>
    <row r="880">
      <c r="A880" t="inlineStr">
        <is>
          <t>27BBBBB00880Z5</t>
        </is>
      </c>
      <c r="B880" t="inlineStr">
        <is>
          <t>Nov-2018</t>
        </is>
      </c>
      <c r="C880" s="2" t="n">
        <v>43001</v>
      </c>
      <c r="D880" t="inlineStr">
        <is>
          <t>NON-NIL</t>
        </is>
      </c>
      <c r="E880" t="n">
        <v>2935</v>
      </c>
    </row>
    <row r="881">
      <c r="A881" t="inlineStr">
        <is>
          <t>27BBBBB00881Z5</t>
        </is>
      </c>
      <c r="B881" t="inlineStr">
        <is>
          <t>Jul-2020</t>
        </is>
      </c>
      <c r="C881" s="2" t="n">
        <v>43851</v>
      </c>
      <c r="D881" t="inlineStr">
        <is>
          <t>NIL</t>
        </is>
      </c>
      <c r="E881" t="n">
        <v>1674</v>
      </c>
    </row>
    <row r="882">
      <c r="A882" t="inlineStr">
        <is>
          <t>27BBBBB00882Z5</t>
        </is>
      </c>
      <c r="B882" t="inlineStr">
        <is>
          <t>Feb-2018</t>
        </is>
      </c>
      <c r="C882" s="2" t="n">
        <v>43264</v>
      </c>
      <c r="D882" t="inlineStr">
        <is>
          <t>NIL</t>
        </is>
      </c>
      <c r="E882" t="n">
        <v>2804</v>
      </c>
    </row>
    <row r="883">
      <c r="A883" t="inlineStr">
        <is>
          <t>27BBBBB00883Z5</t>
        </is>
      </c>
      <c r="B883" t="inlineStr">
        <is>
          <t>Jun-2018</t>
        </is>
      </c>
      <c r="C883" s="2" t="n">
        <v>44431</v>
      </c>
      <c r="D883" t="inlineStr">
        <is>
          <t>NIL</t>
        </is>
      </c>
      <c r="E883" t="n">
        <v>2252</v>
      </c>
    </row>
    <row r="884">
      <c r="A884" t="inlineStr">
        <is>
          <t>27BBBBB00884Z5</t>
        </is>
      </c>
      <c r="B884" t="inlineStr">
        <is>
          <t>May-2018</t>
        </is>
      </c>
      <c r="C884" s="2" t="n">
        <v>43268</v>
      </c>
      <c r="D884" t="inlineStr">
        <is>
          <t>NIL</t>
        </is>
      </c>
      <c r="E884" t="n">
        <v>2435</v>
      </c>
    </row>
    <row r="885">
      <c r="A885" t="inlineStr">
        <is>
          <t>27BBBBB00885Z5</t>
        </is>
      </c>
      <c r="B885" t="inlineStr">
        <is>
          <t>Jun-2020</t>
        </is>
      </c>
      <c r="C885" s="2" t="n">
        <v>44013</v>
      </c>
      <c r="D885" t="inlineStr">
        <is>
          <t>NON-NIL</t>
        </is>
      </c>
      <c r="E885" t="n">
        <v>1450</v>
      </c>
    </row>
    <row r="886">
      <c r="A886" t="inlineStr">
        <is>
          <t>27BBBBB00886Z5</t>
        </is>
      </c>
      <c r="B886" t="inlineStr">
        <is>
          <t>Jul-2018</t>
        </is>
      </c>
      <c r="C886" s="2" t="n">
        <v>43108</v>
      </c>
      <c r="D886" t="inlineStr">
        <is>
          <t>NIL</t>
        </is>
      </c>
      <c r="E886" t="n">
        <v>2847</v>
      </c>
    </row>
    <row r="887">
      <c r="A887" t="inlineStr">
        <is>
          <t>27BBBBB00887Z5</t>
        </is>
      </c>
      <c r="B887" t="inlineStr">
        <is>
          <t>Aug-2017</t>
        </is>
      </c>
      <c r="C887" s="2" t="n">
        <v>43818</v>
      </c>
      <c r="D887" t="inlineStr">
        <is>
          <t>NIL</t>
        </is>
      </c>
      <c r="E887" t="n">
        <v>2540</v>
      </c>
    </row>
    <row r="888">
      <c r="A888" t="inlineStr">
        <is>
          <t>27BBBBB00888Z5</t>
        </is>
      </c>
      <c r="B888" t="inlineStr">
        <is>
          <t>Nov-2018</t>
        </is>
      </c>
      <c r="C888" s="2" t="n">
        <v>43813</v>
      </c>
      <c r="D888" t="inlineStr">
        <is>
          <t>NIL</t>
        </is>
      </c>
      <c r="E888" t="n">
        <v>2654</v>
      </c>
    </row>
    <row r="889">
      <c r="A889" t="inlineStr">
        <is>
          <t>27BBBBB00889Z5</t>
        </is>
      </c>
      <c r="B889" t="inlineStr">
        <is>
          <t>Jun-2020</t>
        </is>
      </c>
      <c r="C889" s="2" t="n">
        <v>44426</v>
      </c>
      <c r="D889" t="inlineStr">
        <is>
          <t>NON-NIL</t>
        </is>
      </c>
      <c r="E889" t="n">
        <v>2791</v>
      </c>
    </row>
    <row r="890">
      <c r="A890" t="inlineStr">
        <is>
          <t>27BBBBB00890Z5</t>
        </is>
      </c>
      <c r="B890" t="inlineStr">
        <is>
          <t>May-2018</t>
        </is>
      </c>
      <c r="C890" s="2" t="n">
        <v>43471</v>
      </c>
      <c r="D890" t="inlineStr">
        <is>
          <t>NON-NIL</t>
        </is>
      </c>
      <c r="E890" t="n">
        <v>814</v>
      </c>
    </row>
    <row r="891">
      <c r="A891" t="inlineStr">
        <is>
          <t>27BBBBB00891Z5</t>
        </is>
      </c>
      <c r="B891" t="inlineStr">
        <is>
          <t>Jul-2017</t>
        </is>
      </c>
      <c r="C891" s="2" t="n">
        <v>42925</v>
      </c>
      <c r="D891" t="inlineStr">
        <is>
          <t>NON-NIL</t>
        </is>
      </c>
      <c r="E891" t="n">
        <v>2644</v>
      </c>
    </row>
    <row r="892">
      <c r="A892" t="inlineStr">
        <is>
          <t>27BBBBB00892Z5</t>
        </is>
      </c>
      <c r="B892" t="inlineStr">
        <is>
          <t>Apr-2018</t>
        </is>
      </c>
      <c r="C892" s="2" t="n">
        <v>44519</v>
      </c>
      <c r="D892" t="inlineStr">
        <is>
          <t>NON-NIL</t>
        </is>
      </c>
      <c r="E892" t="n">
        <v>2766</v>
      </c>
    </row>
    <row r="893">
      <c r="A893" t="inlineStr">
        <is>
          <t>27BBBBB00893Z5</t>
        </is>
      </c>
      <c r="B893" t="inlineStr">
        <is>
          <t>Mar-2021</t>
        </is>
      </c>
      <c r="C893" s="2" t="n">
        <v>45312</v>
      </c>
      <c r="D893" t="inlineStr">
        <is>
          <t>NON-NIL</t>
        </is>
      </c>
      <c r="E893" t="n">
        <v>1920</v>
      </c>
    </row>
    <row r="894">
      <c r="A894" t="inlineStr">
        <is>
          <t>27BBBBB00894Z5</t>
        </is>
      </c>
      <c r="B894" t="inlineStr">
        <is>
          <t>Apr-2018</t>
        </is>
      </c>
      <c r="C894" s="2" t="n">
        <v>43165</v>
      </c>
      <c r="D894" t="inlineStr">
        <is>
          <t>NON-NIL</t>
        </is>
      </c>
      <c r="E894" t="n">
        <v>1720</v>
      </c>
    </row>
    <row r="895">
      <c r="A895" t="inlineStr">
        <is>
          <t>27BBBBB00895Z5</t>
        </is>
      </c>
      <c r="B895" t="inlineStr">
        <is>
          <t>Mar-2023</t>
        </is>
      </c>
      <c r="C895" s="2" t="n">
        <v>44884</v>
      </c>
      <c r="D895" t="inlineStr">
        <is>
          <t>NIL</t>
        </is>
      </c>
      <c r="E895" t="n">
        <v>2053</v>
      </c>
    </row>
    <row r="896">
      <c r="A896" t="inlineStr">
        <is>
          <t>27BBBBB00896Z5</t>
        </is>
      </c>
      <c r="B896" t="inlineStr">
        <is>
          <t>Jan-2018</t>
        </is>
      </c>
      <c r="C896" s="2" t="n">
        <v>43115</v>
      </c>
      <c r="D896" t="inlineStr">
        <is>
          <t>NON-NIL</t>
        </is>
      </c>
      <c r="E896" t="n">
        <v>1001</v>
      </c>
    </row>
    <row r="897">
      <c r="A897" t="inlineStr">
        <is>
          <t>27BBBBB00897Z5</t>
        </is>
      </c>
      <c r="B897" t="inlineStr">
        <is>
          <t>Jan-2018</t>
        </is>
      </c>
      <c r="C897" s="2" t="n">
        <v>44468</v>
      </c>
      <c r="D897" t="inlineStr">
        <is>
          <t>NIL</t>
        </is>
      </c>
      <c r="E897" t="n">
        <v>1502</v>
      </c>
    </row>
    <row r="898">
      <c r="A898" t="inlineStr">
        <is>
          <t>27BBBBB00898Z5</t>
        </is>
      </c>
      <c r="B898" t="inlineStr">
        <is>
          <t>Feb-2018</t>
        </is>
      </c>
      <c r="C898" s="2" t="n">
        <v>44525</v>
      </c>
      <c r="D898" t="inlineStr">
        <is>
          <t>NIL</t>
        </is>
      </c>
      <c r="E898" t="n">
        <v>2890</v>
      </c>
    </row>
    <row r="899">
      <c r="A899" t="inlineStr">
        <is>
          <t>27BBBBB00899Z5</t>
        </is>
      </c>
      <c r="B899" t="inlineStr">
        <is>
          <t>Aug-2018</t>
        </is>
      </c>
      <c r="C899" s="2" t="n">
        <v>43320</v>
      </c>
      <c r="D899" t="inlineStr">
        <is>
          <t>NIL</t>
        </is>
      </c>
      <c r="E899" t="n">
        <v>1361</v>
      </c>
    </row>
    <row r="900">
      <c r="A900" t="inlineStr">
        <is>
          <t>27BBBBB00900Z5</t>
        </is>
      </c>
      <c r="B900" t="inlineStr">
        <is>
          <t>Sep-2018</t>
        </is>
      </c>
      <c r="C900" s="2" t="n">
        <v>44421</v>
      </c>
      <c r="D900" t="inlineStr">
        <is>
          <t>NON-NIL</t>
        </is>
      </c>
      <c r="E900" t="n">
        <v>1897</v>
      </c>
    </row>
    <row r="901">
      <c r="A901" t="inlineStr">
        <is>
          <t>27BBBBB00901Z5</t>
        </is>
      </c>
      <c r="B901" t="inlineStr">
        <is>
          <t>Jul-2020</t>
        </is>
      </c>
      <c r="C901" s="2" t="n">
        <v>44866</v>
      </c>
      <c r="D901" t="inlineStr">
        <is>
          <t>NON-NIL</t>
        </is>
      </c>
      <c r="E901" t="n">
        <v>1654</v>
      </c>
    </row>
    <row r="902">
      <c r="A902" t="inlineStr">
        <is>
          <t>27BBBBB00902Z5</t>
        </is>
      </c>
      <c r="B902" t="inlineStr">
        <is>
          <t>Dec-2024</t>
        </is>
      </c>
      <c r="C902" s="2" t="n">
        <v>43694</v>
      </c>
      <c r="D902" t="inlineStr">
        <is>
          <t>NON-NIL</t>
        </is>
      </c>
      <c r="E902" t="n">
        <v>239</v>
      </c>
    </row>
    <row r="903">
      <c r="A903" t="inlineStr">
        <is>
          <t>27BBBBB00903Z5</t>
        </is>
      </c>
      <c r="B903" t="inlineStr">
        <is>
          <t>Dec-2017</t>
        </is>
      </c>
      <c r="C903" s="2" t="n">
        <v>43606</v>
      </c>
      <c r="D903" t="inlineStr">
        <is>
          <t>NIL</t>
        </is>
      </c>
      <c r="E903" t="n">
        <v>1869</v>
      </c>
    </row>
    <row r="904">
      <c r="A904" t="inlineStr">
        <is>
          <t>27BBBBB00904Z5</t>
        </is>
      </c>
      <c r="B904" t="inlineStr">
        <is>
          <t>Jan-2021</t>
        </is>
      </c>
      <c r="C904" s="2" t="n">
        <v>45029</v>
      </c>
      <c r="D904" t="inlineStr">
        <is>
          <t>NON-NIL</t>
        </is>
      </c>
      <c r="E904" t="n">
        <v>1747</v>
      </c>
    </row>
    <row r="905">
      <c r="A905" t="inlineStr">
        <is>
          <t>27BBBBB00905Z5</t>
        </is>
      </c>
      <c r="B905" t="inlineStr">
        <is>
          <t>Aug-2017</t>
        </is>
      </c>
      <c r="C905" s="2" t="n">
        <v>43708</v>
      </c>
      <c r="D905" t="inlineStr">
        <is>
          <t>NON-NIL</t>
        </is>
      </c>
      <c r="E905" t="n">
        <v>78</v>
      </c>
    </row>
    <row r="906">
      <c r="A906" t="inlineStr">
        <is>
          <t>27BBBBB00906Z5</t>
        </is>
      </c>
      <c r="B906" t="inlineStr">
        <is>
          <t>Nov-2018</t>
        </is>
      </c>
      <c r="C906" s="2" t="n">
        <v>43656</v>
      </c>
      <c r="D906" t="inlineStr">
        <is>
          <t>NIL</t>
        </is>
      </c>
      <c r="E906" t="n">
        <v>1747</v>
      </c>
    </row>
    <row r="907">
      <c r="A907" t="inlineStr">
        <is>
          <t>27BBBBB00907Z5</t>
        </is>
      </c>
      <c r="B907" t="inlineStr">
        <is>
          <t>Sep-2017</t>
        </is>
      </c>
      <c r="C907" s="2" t="n">
        <v>43013</v>
      </c>
      <c r="D907" t="inlineStr">
        <is>
          <t>NON-NIL</t>
        </is>
      </c>
      <c r="E907" t="n">
        <v>2100</v>
      </c>
    </row>
    <row r="908">
      <c r="A908" t="inlineStr">
        <is>
          <t>27BBBBB00908Z5</t>
        </is>
      </c>
      <c r="B908" t="inlineStr">
        <is>
          <t>Apr-2020</t>
        </is>
      </c>
      <c r="C908" s="2" t="n">
        <v>44670</v>
      </c>
      <c r="D908" t="inlineStr">
        <is>
          <t>NON-NIL</t>
        </is>
      </c>
      <c r="E908" t="n">
        <v>1417</v>
      </c>
    </row>
    <row r="909">
      <c r="A909" t="inlineStr">
        <is>
          <t>27BBBBB00909Z5</t>
        </is>
      </c>
      <c r="B909" t="inlineStr">
        <is>
          <t>Dec-2024</t>
        </is>
      </c>
      <c r="C909" s="2" t="n">
        <v>44322</v>
      </c>
      <c r="D909" t="inlineStr">
        <is>
          <t>NIL</t>
        </is>
      </c>
      <c r="E909" t="n">
        <v>1578</v>
      </c>
    </row>
    <row r="910">
      <c r="A910" t="inlineStr">
        <is>
          <t>27BBBBB00910Z5</t>
        </is>
      </c>
      <c r="B910" t="inlineStr">
        <is>
          <t>Mar-2021</t>
        </is>
      </c>
      <c r="C910" s="2" t="n">
        <v>44509</v>
      </c>
      <c r="D910" t="inlineStr">
        <is>
          <t>NON-NIL</t>
        </is>
      </c>
      <c r="E910" t="n">
        <v>1110</v>
      </c>
    </row>
    <row r="911">
      <c r="A911" t="inlineStr">
        <is>
          <t>27BBBBB00911Z5</t>
        </is>
      </c>
      <c r="B911" t="inlineStr">
        <is>
          <t>Dec-2024</t>
        </is>
      </c>
      <c r="C911" s="2" t="n">
        <v>43905</v>
      </c>
      <c r="D911" t="inlineStr">
        <is>
          <t>NON-NIL</t>
        </is>
      </c>
      <c r="E911" t="n">
        <v>262</v>
      </c>
    </row>
    <row r="912">
      <c r="A912" t="inlineStr">
        <is>
          <t>27BBBBB00912Z5</t>
        </is>
      </c>
      <c r="B912" t="inlineStr">
        <is>
          <t>Dec-2017</t>
        </is>
      </c>
      <c r="C912" s="2" t="n">
        <v>44294</v>
      </c>
      <c r="D912" t="inlineStr">
        <is>
          <t>NON-NIL</t>
        </is>
      </c>
      <c r="E912" t="n">
        <v>57</v>
      </c>
    </row>
    <row r="913">
      <c r="A913" t="inlineStr">
        <is>
          <t>27BBBBB00913Z5</t>
        </is>
      </c>
      <c r="B913" t="inlineStr">
        <is>
          <t>Jun-2020</t>
        </is>
      </c>
      <c r="C913" s="2" t="n">
        <v>44363</v>
      </c>
      <c r="D913" t="inlineStr">
        <is>
          <t>NIL</t>
        </is>
      </c>
      <c r="E913" t="n">
        <v>2329</v>
      </c>
    </row>
    <row r="914">
      <c r="A914" t="inlineStr">
        <is>
          <t>27BBBBB00914Z5</t>
        </is>
      </c>
      <c r="B914" t="inlineStr">
        <is>
          <t>Aug-2018</t>
        </is>
      </c>
      <c r="C914" s="2" t="n">
        <v>43982</v>
      </c>
      <c r="D914" t="inlineStr">
        <is>
          <t>NON-NIL</t>
        </is>
      </c>
      <c r="E914" t="n">
        <v>2108</v>
      </c>
    </row>
    <row r="915">
      <c r="A915" t="inlineStr">
        <is>
          <t>27BBBBB00915Z5</t>
        </is>
      </c>
      <c r="B915" t="inlineStr">
        <is>
          <t>Dec-2024</t>
        </is>
      </c>
      <c r="C915" s="2" t="n">
        <v>44327</v>
      </c>
      <c r="D915" t="inlineStr">
        <is>
          <t>NON-NIL</t>
        </is>
      </c>
      <c r="E915" t="n">
        <v>2388</v>
      </c>
    </row>
    <row r="916">
      <c r="A916" t="inlineStr">
        <is>
          <t>27BBBBB00916Z5</t>
        </is>
      </c>
      <c r="B916" t="inlineStr">
        <is>
          <t>Dec-2022</t>
        </is>
      </c>
      <c r="C916" s="2" t="n">
        <v>45054</v>
      </c>
      <c r="D916" t="inlineStr">
        <is>
          <t>NIL</t>
        </is>
      </c>
      <c r="E916" t="n">
        <v>29</v>
      </c>
    </row>
    <row r="917">
      <c r="A917" t="inlineStr">
        <is>
          <t>27BBBBB00917Z5</t>
        </is>
      </c>
      <c r="B917" t="inlineStr">
        <is>
          <t>Jul-2017</t>
        </is>
      </c>
      <c r="C917" s="2" t="n">
        <v>43054</v>
      </c>
      <c r="D917" t="inlineStr">
        <is>
          <t>NIL</t>
        </is>
      </c>
      <c r="E917" t="n">
        <v>31</v>
      </c>
    </row>
    <row r="918">
      <c r="A918" t="inlineStr">
        <is>
          <t>27BBBBB00918Z5</t>
        </is>
      </c>
      <c r="B918" t="inlineStr">
        <is>
          <t>Nov-2018</t>
        </is>
      </c>
      <c r="C918" s="2" t="n">
        <v>43916</v>
      </c>
      <c r="D918" t="inlineStr">
        <is>
          <t>NIL</t>
        </is>
      </c>
      <c r="E918" t="n">
        <v>1587</v>
      </c>
    </row>
    <row r="919">
      <c r="A919" t="inlineStr">
        <is>
          <t>27BBBBB00919Z5</t>
        </is>
      </c>
      <c r="B919" t="inlineStr">
        <is>
          <t>May-2020</t>
        </is>
      </c>
      <c r="C919" s="2" t="n">
        <v>44274</v>
      </c>
      <c r="D919" t="inlineStr">
        <is>
          <t>NIL</t>
        </is>
      </c>
      <c r="E919" t="n">
        <v>2426</v>
      </c>
    </row>
    <row r="920">
      <c r="A920" t="inlineStr">
        <is>
          <t>27BBBBB00920Z5</t>
        </is>
      </c>
      <c r="B920" t="inlineStr">
        <is>
          <t>Jan-2018</t>
        </is>
      </c>
      <c r="C920" s="2" t="n">
        <v>44372</v>
      </c>
      <c r="D920" t="inlineStr">
        <is>
          <t>NIL</t>
        </is>
      </c>
      <c r="E920" t="n">
        <v>1952</v>
      </c>
    </row>
    <row r="921">
      <c r="A921" t="inlineStr">
        <is>
          <t>27BBBBB00921Z5</t>
        </is>
      </c>
      <c r="B921" t="inlineStr">
        <is>
          <t>Sep-2017</t>
        </is>
      </c>
      <c r="C921" s="2" t="n">
        <v>44076</v>
      </c>
      <c r="D921" t="inlineStr">
        <is>
          <t>NIL</t>
        </is>
      </c>
      <c r="E921" t="n">
        <v>2072</v>
      </c>
    </row>
    <row r="922">
      <c r="A922" t="inlineStr">
        <is>
          <t>27BBBBB00922Z5</t>
        </is>
      </c>
      <c r="B922" t="inlineStr">
        <is>
          <t>Mar-2020</t>
        </is>
      </c>
      <c r="C922" s="2" t="n">
        <v>44282</v>
      </c>
      <c r="D922" t="inlineStr">
        <is>
          <t>NIL</t>
        </is>
      </c>
      <c r="E922" t="n">
        <v>2500</v>
      </c>
    </row>
    <row r="923">
      <c r="A923" t="inlineStr">
        <is>
          <t>27BBBBB00923Z5</t>
        </is>
      </c>
      <c r="B923" t="inlineStr">
        <is>
          <t>Dec-2018</t>
        </is>
      </c>
      <c r="C923" s="2" t="n">
        <v>43895</v>
      </c>
      <c r="D923" t="inlineStr">
        <is>
          <t>NIL</t>
        </is>
      </c>
      <c r="E923" t="n">
        <v>394</v>
      </c>
    </row>
    <row r="924">
      <c r="A924" t="inlineStr">
        <is>
          <t>27BBBBB00924Z5</t>
        </is>
      </c>
      <c r="B924" t="inlineStr">
        <is>
          <t>Aug-2018</t>
        </is>
      </c>
      <c r="C924" s="2" t="n">
        <v>43597</v>
      </c>
      <c r="D924" t="inlineStr">
        <is>
          <t>NIL</t>
        </is>
      </c>
      <c r="E924" t="n">
        <v>398</v>
      </c>
    </row>
    <row r="925">
      <c r="A925" t="inlineStr">
        <is>
          <t>27BBBBB00925Z5</t>
        </is>
      </c>
      <c r="B925" t="inlineStr">
        <is>
          <t>Dec-2024</t>
        </is>
      </c>
      <c r="C925" s="2" t="n">
        <v>45615</v>
      </c>
      <c r="D925" t="inlineStr">
        <is>
          <t>NIL</t>
        </is>
      </c>
      <c r="E925" t="n">
        <v>1906</v>
      </c>
    </row>
    <row r="926">
      <c r="A926" t="inlineStr">
        <is>
          <t>27BBBBB00926Z5</t>
        </is>
      </c>
      <c r="B926" t="inlineStr">
        <is>
          <t>Jan-2021</t>
        </is>
      </c>
      <c r="C926" s="2" t="n">
        <v>44948</v>
      </c>
      <c r="D926" t="inlineStr">
        <is>
          <t>NON-NIL</t>
        </is>
      </c>
      <c r="E926" t="n">
        <v>1724</v>
      </c>
    </row>
    <row r="927">
      <c r="A927" t="inlineStr">
        <is>
          <t>27BBBBB00927Z5</t>
        </is>
      </c>
      <c r="B927" t="inlineStr">
        <is>
          <t>Jan-2021</t>
        </is>
      </c>
      <c r="C927" s="2" t="n">
        <v>43498</v>
      </c>
      <c r="D927" t="inlineStr">
        <is>
          <t>NIL</t>
        </is>
      </c>
      <c r="E927" t="n">
        <v>2094</v>
      </c>
    </row>
    <row r="928">
      <c r="A928" t="inlineStr">
        <is>
          <t>27BBBBB00928Z5</t>
        </is>
      </c>
      <c r="B928" t="inlineStr">
        <is>
          <t>Aug-2017</t>
        </is>
      </c>
      <c r="C928" s="2" t="n">
        <v>43981</v>
      </c>
      <c r="D928" t="inlineStr">
        <is>
          <t>NON-NIL</t>
        </is>
      </c>
      <c r="E928" t="n">
        <v>2919</v>
      </c>
    </row>
    <row r="929">
      <c r="A929" t="inlineStr">
        <is>
          <t>27BBBBB00929Z5</t>
        </is>
      </c>
      <c r="B929" t="inlineStr">
        <is>
          <t>Sep-2018</t>
        </is>
      </c>
      <c r="C929" s="2" t="n">
        <v>44317</v>
      </c>
      <c r="D929" t="inlineStr">
        <is>
          <t>NON-NIL</t>
        </is>
      </c>
      <c r="E929" t="n">
        <v>512</v>
      </c>
    </row>
    <row r="930">
      <c r="A930" t="inlineStr">
        <is>
          <t>27BBBBB00930Z5</t>
        </is>
      </c>
      <c r="B930" t="inlineStr">
        <is>
          <t>Nov-2017</t>
        </is>
      </c>
      <c r="C930" s="2" t="n">
        <v>43759</v>
      </c>
      <c r="D930" t="inlineStr">
        <is>
          <t>NIL</t>
        </is>
      </c>
      <c r="E930" t="n">
        <v>1254</v>
      </c>
    </row>
    <row r="931">
      <c r="A931" t="inlineStr">
        <is>
          <t>27BBBBB00931Z5</t>
        </is>
      </c>
      <c r="B931" t="inlineStr">
        <is>
          <t>Apr-2020</t>
        </is>
      </c>
      <c r="C931" s="2" t="n">
        <v>44008</v>
      </c>
      <c r="D931" t="inlineStr">
        <is>
          <t>NON-NIL</t>
        </is>
      </c>
      <c r="E931" t="n">
        <v>527</v>
      </c>
    </row>
    <row r="932">
      <c r="A932" t="inlineStr">
        <is>
          <t>27BBBBB00932Z5</t>
        </is>
      </c>
      <c r="B932" t="inlineStr">
        <is>
          <t>Jun-2020</t>
        </is>
      </c>
      <c r="C932" s="2" t="n">
        <v>44892</v>
      </c>
      <c r="D932" t="inlineStr">
        <is>
          <t>NIL</t>
        </is>
      </c>
      <c r="E932" t="n">
        <v>688</v>
      </c>
    </row>
    <row r="933">
      <c r="A933" t="inlineStr">
        <is>
          <t>27BBBBB00933Z5</t>
        </is>
      </c>
      <c r="B933" t="inlineStr">
        <is>
          <t>Nov-2018</t>
        </is>
      </c>
      <c r="C933" s="2" t="n">
        <v>43136</v>
      </c>
      <c r="D933" t="inlineStr">
        <is>
          <t>NON-NIL</t>
        </is>
      </c>
      <c r="E933" t="n">
        <v>1787</v>
      </c>
    </row>
    <row r="934">
      <c r="A934" t="inlineStr">
        <is>
          <t>27BBBBB00934Z5</t>
        </is>
      </c>
      <c r="B934" t="inlineStr">
        <is>
          <t>May-2018</t>
        </is>
      </c>
      <c r="C934" s="2" t="n">
        <v>44542</v>
      </c>
      <c r="D934" t="inlineStr">
        <is>
          <t>NIL</t>
        </is>
      </c>
      <c r="E934" t="n">
        <v>1996</v>
      </c>
    </row>
    <row r="935">
      <c r="A935" t="inlineStr">
        <is>
          <t>27BBBBB00935Z5</t>
        </is>
      </c>
      <c r="B935" t="inlineStr">
        <is>
          <t>Oct-2018</t>
        </is>
      </c>
      <c r="C935" s="2" t="n">
        <v>43328</v>
      </c>
      <c r="D935" t="inlineStr">
        <is>
          <t>NIL</t>
        </is>
      </c>
      <c r="E935" t="n">
        <v>844</v>
      </c>
    </row>
    <row r="936">
      <c r="A936" t="inlineStr">
        <is>
          <t>27BBBBB00936Z5</t>
        </is>
      </c>
      <c r="B936" t="inlineStr">
        <is>
          <t>Sep-2017</t>
        </is>
      </c>
      <c r="C936" s="2" t="n">
        <v>44175</v>
      </c>
      <c r="D936" t="inlineStr">
        <is>
          <t>NON-NIL</t>
        </is>
      </c>
      <c r="E936" t="n">
        <v>1186</v>
      </c>
    </row>
    <row r="937">
      <c r="A937" t="inlineStr">
        <is>
          <t>27BBBBB00937Z5</t>
        </is>
      </c>
      <c r="B937" t="inlineStr">
        <is>
          <t>Mar-2020</t>
        </is>
      </c>
      <c r="C937" s="2" t="n">
        <v>44334</v>
      </c>
      <c r="D937" t="inlineStr">
        <is>
          <t>NIL</t>
        </is>
      </c>
      <c r="E937" t="n">
        <v>980</v>
      </c>
    </row>
    <row r="938">
      <c r="A938" t="inlineStr">
        <is>
          <t>27BBBBB00938Z5</t>
        </is>
      </c>
      <c r="B938" t="inlineStr">
        <is>
          <t>May-2018</t>
        </is>
      </c>
      <c r="C938" s="2" t="n">
        <v>43198</v>
      </c>
      <c r="D938" t="inlineStr">
        <is>
          <t>NON-NIL</t>
        </is>
      </c>
      <c r="E938" t="n">
        <v>2770</v>
      </c>
    </row>
    <row r="939">
      <c r="A939" t="inlineStr">
        <is>
          <t>27BBBBB00939Z5</t>
        </is>
      </c>
      <c r="B939" t="inlineStr">
        <is>
          <t>Aug-2018</t>
        </is>
      </c>
      <c r="C939" s="2" t="n">
        <v>44555</v>
      </c>
      <c r="D939" t="inlineStr">
        <is>
          <t>NIL</t>
        </is>
      </c>
      <c r="E939" t="n">
        <v>1411</v>
      </c>
    </row>
    <row r="940">
      <c r="A940" t="inlineStr">
        <is>
          <t>27BBBBB00940Z5</t>
        </is>
      </c>
      <c r="B940" t="inlineStr">
        <is>
          <t>May-2018</t>
        </is>
      </c>
      <c r="C940" s="2" t="n">
        <v>44180</v>
      </c>
      <c r="D940" t="inlineStr">
        <is>
          <t>NIL</t>
        </is>
      </c>
      <c r="E940" t="n">
        <v>2014</v>
      </c>
    </row>
    <row r="941">
      <c r="A941" t="inlineStr">
        <is>
          <t>27BBBBB00941Z5</t>
        </is>
      </c>
      <c r="B941" t="inlineStr">
        <is>
          <t>Aug-2018</t>
        </is>
      </c>
      <c r="C941" s="2" t="n">
        <v>44267</v>
      </c>
      <c r="D941" t="inlineStr">
        <is>
          <t>NON-NIL</t>
        </is>
      </c>
      <c r="E941" t="n">
        <v>256</v>
      </c>
    </row>
    <row r="942">
      <c r="A942" t="inlineStr">
        <is>
          <t>27BBBBB00942Z5</t>
        </is>
      </c>
      <c r="B942" t="inlineStr">
        <is>
          <t>Sep-2017</t>
        </is>
      </c>
      <c r="C942" s="2" t="n">
        <v>43979</v>
      </c>
      <c r="D942" t="inlineStr">
        <is>
          <t>NIL</t>
        </is>
      </c>
      <c r="E942" t="n">
        <v>1312</v>
      </c>
    </row>
    <row r="943">
      <c r="A943" t="inlineStr">
        <is>
          <t>27BBBBB00943Z5</t>
        </is>
      </c>
      <c r="B943" t="inlineStr">
        <is>
          <t>Aug-2018</t>
        </is>
      </c>
      <c r="C943" s="2" t="n">
        <v>44460</v>
      </c>
      <c r="D943" t="inlineStr">
        <is>
          <t>NON-NIL</t>
        </is>
      </c>
      <c r="E943" t="n">
        <v>2564</v>
      </c>
    </row>
    <row r="944">
      <c r="A944" t="inlineStr">
        <is>
          <t>27BBBBB00944Z5</t>
        </is>
      </c>
      <c r="B944" t="inlineStr">
        <is>
          <t>Mar-2021</t>
        </is>
      </c>
      <c r="C944" s="2" t="n">
        <v>44848</v>
      </c>
      <c r="D944" t="inlineStr">
        <is>
          <t>NIL</t>
        </is>
      </c>
      <c r="E944" t="n">
        <v>1570</v>
      </c>
    </row>
    <row r="945">
      <c r="A945" t="inlineStr">
        <is>
          <t>27BBBBB00945Z5</t>
        </is>
      </c>
      <c r="B945" t="inlineStr">
        <is>
          <t>Jan-2018</t>
        </is>
      </c>
      <c r="C945" s="2" t="n">
        <v>44137</v>
      </c>
      <c r="D945" t="inlineStr">
        <is>
          <t>NIL</t>
        </is>
      </c>
      <c r="E945" t="n">
        <v>1866</v>
      </c>
    </row>
    <row r="946">
      <c r="A946" t="inlineStr">
        <is>
          <t>27BBBBB00946Z5</t>
        </is>
      </c>
      <c r="B946" t="inlineStr">
        <is>
          <t>Dec-2017</t>
        </is>
      </c>
      <c r="C946" s="2" t="n">
        <v>43877</v>
      </c>
      <c r="D946" t="inlineStr">
        <is>
          <t>NIL</t>
        </is>
      </c>
      <c r="E946" t="n">
        <v>1350</v>
      </c>
    </row>
    <row r="947">
      <c r="A947" t="inlineStr">
        <is>
          <t>27BBBBB00947Z5</t>
        </is>
      </c>
      <c r="B947" t="inlineStr">
        <is>
          <t>Mar-2018</t>
        </is>
      </c>
      <c r="C947" s="2" t="n">
        <v>44012</v>
      </c>
      <c r="D947" t="inlineStr">
        <is>
          <t>NIL</t>
        </is>
      </c>
      <c r="E947" t="n">
        <v>1693</v>
      </c>
    </row>
    <row r="948">
      <c r="A948" t="inlineStr">
        <is>
          <t>27BBBBB00948Z5</t>
        </is>
      </c>
      <c r="B948" t="inlineStr">
        <is>
          <t>Dec-2017</t>
        </is>
      </c>
      <c r="C948" s="2" t="n">
        <v>44012</v>
      </c>
      <c r="D948" t="inlineStr">
        <is>
          <t>NIL</t>
        </is>
      </c>
      <c r="E948" t="n">
        <v>799</v>
      </c>
    </row>
    <row r="949">
      <c r="A949" t="inlineStr">
        <is>
          <t>27BBBBB00949Z5</t>
        </is>
      </c>
      <c r="B949" t="inlineStr">
        <is>
          <t>Apr-2018</t>
        </is>
      </c>
      <c r="C949" s="2" t="n">
        <v>43165</v>
      </c>
      <c r="D949" t="inlineStr">
        <is>
          <t>NIL</t>
        </is>
      </c>
      <c r="E949" t="n">
        <v>1367</v>
      </c>
    </row>
    <row r="950">
      <c r="A950" t="inlineStr">
        <is>
          <t>27BBBBB00950Z5</t>
        </is>
      </c>
      <c r="B950" t="inlineStr">
        <is>
          <t>Jul-2017</t>
        </is>
      </c>
      <c r="C950" s="2" t="n">
        <v>43301</v>
      </c>
      <c r="D950" t="inlineStr">
        <is>
          <t>NIL</t>
        </is>
      </c>
      <c r="E950" t="n">
        <v>1160</v>
      </c>
    </row>
    <row r="951">
      <c r="A951" t="inlineStr">
        <is>
          <t>27BBBBB00951Z5</t>
        </is>
      </c>
      <c r="B951" t="inlineStr">
        <is>
          <t>Jul-2018</t>
        </is>
      </c>
      <c r="C951" s="2" t="n">
        <v>42942</v>
      </c>
      <c r="D951" t="inlineStr">
        <is>
          <t>NON-NIL</t>
        </is>
      </c>
      <c r="E951" t="n">
        <v>1274</v>
      </c>
    </row>
    <row r="952">
      <c r="A952" t="inlineStr">
        <is>
          <t>27BBBBB00952Z5</t>
        </is>
      </c>
      <c r="B952" t="inlineStr">
        <is>
          <t>Mar-2020</t>
        </is>
      </c>
      <c r="C952" s="2" t="n">
        <v>44682</v>
      </c>
      <c r="D952" t="inlineStr">
        <is>
          <t>NON-NIL</t>
        </is>
      </c>
      <c r="E952" t="n">
        <v>1334</v>
      </c>
    </row>
    <row r="953">
      <c r="A953" t="inlineStr">
        <is>
          <t>27BBBBB00953Z5</t>
        </is>
      </c>
      <c r="B953" t="inlineStr">
        <is>
          <t>Sep-2018</t>
        </is>
      </c>
      <c r="C953" s="2" t="n">
        <v>43534</v>
      </c>
      <c r="D953" t="inlineStr">
        <is>
          <t>NON-NIL</t>
        </is>
      </c>
      <c r="E953" t="n">
        <v>1752</v>
      </c>
    </row>
    <row r="954">
      <c r="A954" t="inlineStr">
        <is>
          <t>27BBBBB00954Z5</t>
        </is>
      </c>
      <c r="B954" t="inlineStr">
        <is>
          <t>Jul-2020</t>
        </is>
      </c>
      <c r="C954" s="2" t="n">
        <v>44476</v>
      </c>
      <c r="D954" t="inlineStr">
        <is>
          <t>NON-NIL</t>
        </is>
      </c>
      <c r="E954" t="n">
        <v>2903</v>
      </c>
    </row>
    <row r="955">
      <c r="A955" t="inlineStr">
        <is>
          <t>27BBBBB00955Z5</t>
        </is>
      </c>
      <c r="B955" t="inlineStr">
        <is>
          <t>Mar-2018</t>
        </is>
      </c>
      <c r="C955" s="2" t="n">
        <v>44020</v>
      </c>
      <c r="D955" t="inlineStr">
        <is>
          <t>NIL</t>
        </is>
      </c>
      <c r="E955" t="n">
        <v>470</v>
      </c>
    </row>
    <row r="956">
      <c r="A956" t="inlineStr">
        <is>
          <t>27BBBBB00956Z5</t>
        </is>
      </c>
      <c r="B956" t="inlineStr">
        <is>
          <t>Nov-2018</t>
        </is>
      </c>
      <c r="C956" s="2" t="n">
        <v>43917</v>
      </c>
      <c r="D956" t="inlineStr">
        <is>
          <t>NIL</t>
        </is>
      </c>
      <c r="E956" t="n">
        <v>2518</v>
      </c>
    </row>
    <row r="957">
      <c r="A957" t="inlineStr">
        <is>
          <t>27BBBBB00957Z5</t>
        </is>
      </c>
      <c r="B957" t="inlineStr">
        <is>
          <t>Dec-2018</t>
        </is>
      </c>
      <c r="C957" s="2" t="n">
        <v>44267</v>
      </c>
      <c r="D957" t="inlineStr">
        <is>
          <t>NIL</t>
        </is>
      </c>
      <c r="E957" t="n">
        <v>433</v>
      </c>
    </row>
    <row r="958">
      <c r="A958" t="inlineStr">
        <is>
          <t>27BBBBB00958Z5</t>
        </is>
      </c>
      <c r="B958" t="inlineStr">
        <is>
          <t>Mar-2021</t>
        </is>
      </c>
      <c r="C958" s="2" t="n">
        <v>43986</v>
      </c>
      <c r="D958" t="inlineStr">
        <is>
          <t>NON-NIL</t>
        </is>
      </c>
      <c r="E958" t="n">
        <v>1335</v>
      </c>
    </row>
    <row r="959">
      <c r="A959" t="inlineStr">
        <is>
          <t>27BBBBB00959Z5</t>
        </is>
      </c>
      <c r="B959" t="inlineStr">
        <is>
          <t>Nov-2018</t>
        </is>
      </c>
      <c r="C959" s="2" t="n">
        <v>44029</v>
      </c>
      <c r="D959" t="inlineStr">
        <is>
          <t>NON-NIL</t>
        </is>
      </c>
      <c r="E959" t="n">
        <v>1929</v>
      </c>
    </row>
    <row r="960">
      <c r="A960" t="inlineStr">
        <is>
          <t>27BBBBB00960Z5</t>
        </is>
      </c>
      <c r="B960" t="inlineStr">
        <is>
          <t>Mar-2018</t>
        </is>
      </c>
      <c r="C960" s="2" t="n">
        <v>42998</v>
      </c>
      <c r="D960" t="inlineStr">
        <is>
          <t>NON-NIL</t>
        </is>
      </c>
      <c r="E960" t="n">
        <v>237</v>
      </c>
    </row>
    <row r="961">
      <c r="A961" t="inlineStr">
        <is>
          <t>27BBBBB00961Z5</t>
        </is>
      </c>
      <c r="B961" t="inlineStr">
        <is>
          <t>Jan-2018</t>
        </is>
      </c>
      <c r="C961" s="2" t="n">
        <v>44492</v>
      </c>
      <c r="D961" t="inlineStr">
        <is>
          <t>NIL</t>
        </is>
      </c>
      <c r="E961" t="n">
        <v>1394</v>
      </c>
    </row>
    <row r="962">
      <c r="A962" t="inlineStr">
        <is>
          <t>27BBBBB00962Z5</t>
        </is>
      </c>
      <c r="B962" t="inlineStr">
        <is>
          <t>Sep-2017</t>
        </is>
      </c>
      <c r="C962" s="2" t="n">
        <v>43342</v>
      </c>
      <c r="D962" t="inlineStr">
        <is>
          <t>NON-NIL</t>
        </is>
      </c>
      <c r="E962" t="n">
        <v>2725</v>
      </c>
    </row>
    <row r="963">
      <c r="A963" t="inlineStr">
        <is>
          <t>27BBBBB00963Z5</t>
        </is>
      </c>
      <c r="B963" t="inlineStr">
        <is>
          <t>Jul-2018</t>
        </is>
      </c>
      <c r="C963" s="2" t="n">
        <v>43681</v>
      </c>
      <c r="D963" t="inlineStr">
        <is>
          <t>NIL</t>
        </is>
      </c>
      <c r="E963" t="n">
        <v>2234</v>
      </c>
    </row>
    <row r="964">
      <c r="A964" t="inlineStr">
        <is>
          <t>27BBBBB00964Z5</t>
        </is>
      </c>
      <c r="B964" t="inlineStr">
        <is>
          <t>Jul-2020</t>
        </is>
      </c>
      <c r="C964" s="2" t="n">
        <v>44682</v>
      </c>
      <c r="D964" t="inlineStr">
        <is>
          <t>NON-NIL</t>
        </is>
      </c>
      <c r="E964" t="n">
        <v>2839</v>
      </c>
    </row>
    <row r="965">
      <c r="A965" t="inlineStr">
        <is>
          <t>27BBBBB00965Z5</t>
        </is>
      </c>
      <c r="B965" t="inlineStr">
        <is>
          <t>Aug-2018</t>
        </is>
      </c>
      <c r="C965" s="2" t="n">
        <v>44186</v>
      </c>
      <c r="D965" t="inlineStr">
        <is>
          <t>NON-NIL</t>
        </is>
      </c>
      <c r="E965" t="n">
        <v>2825</v>
      </c>
    </row>
    <row r="966">
      <c r="A966" t="inlineStr">
        <is>
          <t>27BBBBB00966Z5</t>
        </is>
      </c>
      <c r="B966" t="inlineStr">
        <is>
          <t>Jan-2021</t>
        </is>
      </c>
      <c r="C966" s="2" t="n">
        <v>44363</v>
      </c>
      <c r="D966" t="inlineStr">
        <is>
          <t>NON-NIL</t>
        </is>
      </c>
      <c r="E966" t="n">
        <v>1091</v>
      </c>
    </row>
    <row r="967">
      <c r="A967" t="inlineStr">
        <is>
          <t>27BBBBB00967Z5</t>
        </is>
      </c>
      <c r="B967" t="inlineStr">
        <is>
          <t>Apr-2018</t>
        </is>
      </c>
      <c r="C967" s="2" t="n">
        <v>43898</v>
      </c>
      <c r="D967" t="inlineStr">
        <is>
          <t>NON-NIL</t>
        </is>
      </c>
      <c r="E967" t="n">
        <v>320</v>
      </c>
    </row>
    <row r="968">
      <c r="A968" t="inlineStr">
        <is>
          <t>27BBBBB00968Z5</t>
        </is>
      </c>
      <c r="B968" t="inlineStr">
        <is>
          <t>Feb-2018</t>
        </is>
      </c>
      <c r="C968" s="2" t="n">
        <v>43547</v>
      </c>
      <c r="D968" t="inlineStr">
        <is>
          <t>NIL</t>
        </is>
      </c>
      <c r="E968" t="n">
        <v>677</v>
      </c>
    </row>
    <row r="969">
      <c r="A969" t="inlineStr">
        <is>
          <t>27BBBBB00969Z5</t>
        </is>
      </c>
      <c r="B969" t="inlineStr">
        <is>
          <t>May-2018</t>
        </is>
      </c>
      <c r="C969" s="2" t="n">
        <v>44441</v>
      </c>
      <c r="D969" t="inlineStr">
        <is>
          <t>NIL</t>
        </is>
      </c>
      <c r="E969" t="n">
        <v>2626</v>
      </c>
    </row>
    <row r="970">
      <c r="A970" t="inlineStr">
        <is>
          <t>27BBBBB00970Z5</t>
        </is>
      </c>
      <c r="B970" t="inlineStr">
        <is>
          <t>Dec-2022</t>
        </is>
      </c>
      <c r="C970" s="2" t="n">
        <v>45590</v>
      </c>
      <c r="D970" t="inlineStr">
        <is>
          <t>NIL</t>
        </is>
      </c>
      <c r="E970" t="n">
        <v>1079</v>
      </c>
    </row>
    <row r="971">
      <c r="A971" t="inlineStr">
        <is>
          <t>27BBBBB00971Z5</t>
        </is>
      </c>
      <c r="B971" t="inlineStr">
        <is>
          <t>Dec-2024</t>
        </is>
      </c>
      <c r="C971" s="2" t="n">
        <v>43823</v>
      </c>
      <c r="D971" t="inlineStr">
        <is>
          <t>NIL</t>
        </is>
      </c>
      <c r="E971" t="n">
        <v>1736</v>
      </c>
    </row>
    <row r="972">
      <c r="A972" t="inlineStr">
        <is>
          <t>27BBBBB00972Z5</t>
        </is>
      </c>
      <c r="B972" t="inlineStr">
        <is>
          <t>Jun-2018</t>
        </is>
      </c>
      <c r="C972" s="2" t="n">
        <v>44507</v>
      </c>
      <c r="D972" t="inlineStr">
        <is>
          <t>NON-NIL</t>
        </is>
      </c>
      <c r="E972" t="n">
        <v>554</v>
      </c>
    </row>
    <row r="973">
      <c r="A973" t="inlineStr">
        <is>
          <t>27BBBBB00973Z5</t>
        </is>
      </c>
      <c r="B973" t="inlineStr">
        <is>
          <t>Apr-2020</t>
        </is>
      </c>
      <c r="C973" s="2" t="n">
        <v>44743</v>
      </c>
      <c r="D973" t="inlineStr">
        <is>
          <t>NON-NIL</t>
        </is>
      </c>
      <c r="E973" t="n">
        <v>1566</v>
      </c>
    </row>
    <row r="974">
      <c r="A974" t="inlineStr">
        <is>
          <t>27BBBBB00974Z5</t>
        </is>
      </c>
      <c r="B974" t="inlineStr">
        <is>
          <t>Jun-2018</t>
        </is>
      </c>
      <c r="C974" s="2" t="n">
        <v>43780</v>
      </c>
      <c r="D974" t="inlineStr">
        <is>
          <t>NIL</t>
        </is>
      </c>
      <c r="E974" t="n">
        <v>2920</v>
      </c>
    </row>
    <row r="975">
      <c r="A975" t="inlineStr">
        <is>
          <t>27BBBBB00975Z5</t>
        </is>
      </c>
      <c r="B975" t="inlineStr">
        <is>
          <t>Mar-2021</t>
        </is>
      </c>
      <c r="C975" s="2" t="n">
        <v>43640</v>
      </c>
      <c r="D975" t="inlineStr">
        <is>
          <t>NON-NIL</t>
        </is>
      </c>
      <c r="E975" t="n">
        <v>2043</v>
      </c>
    </row>
    <row r="976">
      <c r="A976" t="inlineStr">
        <is>
          <t>27BBBBB00976Z5</t>
        </is>
      </c>
      <c r="B976" t="inlineStr">
        <is>
          <t>May-2020</t>
        </is>
      </c>
      <c r="C976" s="2" t="n">
        <v>43931</v>
      </c>
      <c r="D976" t="inlineStr">
        <is>
          <t>NIL</t>
        </is>
      </c>
      <c r="E976" t="n">
        <v>2485</v>
      </c>
    </row>
    <row r="977">
      <c r="A977" t="inlineStr">
        <is>
          <t>27BBBBB00977Z5</t>
        </is>
      </c>
      <c r="B977" t="inlineStr">
        <is>
          <t>Feb-2018</t>
        </is>
      </c>
      <c r="C977" s="2" t="n">
        <v>43355</v>
      </c>
      <c r="D977" t="inlineStr">
        <is>
          <t>NON-NIL</t>
        </is>
      </c>
      <c r="E977" t="n">
        <v>1804</v>
      </c>
    </row>
    <row r="978">
      <c r="A978" t="inlineStr">
        <is>
          <t>27BBBBB00978Z5</t>
        </is>
      </c>
      <c r="B978" t="inlineStr">
        <is>
          <t>Dec-2024</t>
        </is>
      </c>
      <c r="C978" s="2" t="n">
        <v>45460</v>
      </c>
      <c r="D978" t="inlineStr">
        <is>
          <t>NON-NIL</t>
        </is>
      </c>
      <c r="E978" t="n">
        <v>1048</v>
      </c>
    </row>
    <row r="979">
      <c r="A979" t="inlineStr">
        <is>
          <t>27BBBBB00979Z5</t>
        </is>
      </c>
      <c r="B979" t="inlineStr">
        <is>
          <t>Apr-2018</t>
        </is>
      </c>
      <c r="C979" s="2" t="n">
        <v>43111</v>
      </c>
      <c r="D979" t="inlineStr">
        <is>
          <t>NIL</t>
        </is>
      </c>
      <c r="E979" t="n">
        <v>2800</v>
      </c>
    </row>
    <row r="980">
      <c r="A980" t="inlineStr">
        <is>
          <t>27BBBBB00980Z5</t>
        </is>
      </c>
      <c r="B980" t="inlineStr">
        <is>
          <t>Dec-2018</t>
        </is>
      </c>
      <c r="C980" s="2" t="n">
        <v>43432</v>
      </c>
      <c r="D980" t="inlineStr">
        <is>
          <t>NIL</t>
        </is>
      </c>
      <c r="E980" t="n">
        <v>2397</v>
      </c>
    </row>
    <row r="981">
      <c r="A981" t="inlineStr">
        <is>
          <t>27BBBBB00981Z5</t>
        </is>
      </c>
      <c r="B981" t="inlineStr">
        <is>
          <t>Oct-2018</t>
        </is>
      </c>
      <c r="C981" s="2" t="n">
        <v>43166</v>
      </c>
      <c r="D981" t="inlineStr">
        <is>
          <t>NIL</t>
        </is>
      </c>
      <c r="E981" t="n">
        <v>2128</v>
      </c>
    </row>
    <row r="982">
      <c r="A982" t="inlineStr">
        <is>
          <t>27BBBBB00982Z5</t>
        </is>
      </c>
      <c r="B982" t="inlineStr">
        <is>
          <t>Dec-2017</t>
        </is>
      </c>
      <c r="C982" s="2" t="n">
        <v>44360</v>
      </c>
      <c r="D982" t="inlineStr">
        <is>
          <t>NIL</t>
        </is>
      </c>
      <c r="E982" t="n">
        <v>50</v>
      </c>
    </row>
    <row r="983">
      <c r="A983" t="inlineStr">
        <is>
          <t>27BBBBB00983Z5</t>
        </is>
      </c>
      <c r="B983" t="inlineStr">
        <is>
          <t>Jan-2018</t>
        </is>
      </c>
      <c r="C983" s="2" t="n">
        <v>44291</v>
      </c>
      <c r="D983" t="inlineStr">
        <is>
          <t>NON-NIL</t>
        </is>
      </c>
      <c r="E983" t="n">
        <v>144</v>
      </c>
    </row>
    <row r="984">
      <c r="A984" t="inlineStr">
        <is>
          <t>27BBBBB00984Z5</t>
        </is>
      </c>
      <c r="B984" t="inlineStr">
        <is>
          <t>Apr-2020</t>
        </is>
      </c>
      <c r="C984" s="2" t="n">
        <v>44333</v>
      </c>
      <c r="D984" t="inlineStr">
        <is>
          <t>NON-NIL</t>
        </is>
      </c>
      <c r="E984" t="n">
        <v>2093</v>
      </c>
    </row>
    <row r="985">
      <c r="A985" t="inlineStr">
        <is>
          <t>27BBBBB00985Z5</t>
        </is>
      </c>
      <c r="B985" t="inlineStr">
        <is>
          <t>Dec-2017</t>
        </is>
      </c>
      <c r="C985" s="2" t="n">
        <v>43894</v>
      </c>
      <c r="D985" t="inlineStr">
        <is>
          <t>NIL</t>
        </is>
      </c>
      <c r="E985" t="n">
        <v>1989</v>
      </c>
    </row>
    <row r="986">
      <c r="A986" t="inlineStr">
        <is>
          <t>27BBBBB00986Z5</t>
        </is>
      </c>
      <c r="B986" t="inlineStr">
        <is>
          <t>Jan-2018</t>
        </is>
      </c>
      <c r="C986" s="2" t="n">
        <v>44324</v>
      </c>
      <c r="D986" t="inlineStr">
        <is>
          <t>NIL</t>
        </is>
      </c>
      <c r="E986" t="n">
        <v>217</v>
      </c>
    </row>
    <row r="987">
      <c r="A987" t="inlineStr">
        <is>
          <t>27BBBBB00987Z5</t>
        </is>
      </c>
      <c r="B987" t="inlineStr">
        <is>
          <t>Jan-2018</t>
        </is>
      </c>
      <c r="C987" s="2" t="n">
        <v>43080</v>
      </c>
      <c r="D987" t="inlineStr">
        <is>
          <t>NIL</t>
        </is>
      </c>
      <c r="E987" t="n">
        <v>1790</v>
      </c>
    </row>
    <row r="988">
      <c r="A988" t="inlineStr">
        <is>
          <t>27BBBBB00988Z5</t>
        </is>
      </c>
      <c r="B988" t="inlineStr">
        <is>
          <t>Jul-2018</t>
        </is>
      </c>
      <c r="C988" s="2" t="n">
        <v>43725</v>
      </c>
      <c r="D988" t="inlineStr">
        <is>
          <t>NON-NIL</t>
        </is>
      </c>
      <c r="E988" t="n">
        <v>1784</v>
      </c>
    </row>
    <row r="989">
      <c r="A989" t="inlineStr">
        <is>
          <t>27BBBBB00989Z5</t>
        </is>
      </c>
      <c r="B989" t="inlineStr">
        <is>
          <t>Jul-2020</t>
        </is>
      </c>
      <c r="C989" s="2" t="n">
        <v>44567</v>
      </c>
      <c r="D989" t="inlineStr">
        <is>
          <t>NIL</t>
        </is>
      </c>
      <c r="E989" t="n">
        <v>2054</v>
      </c>
    </row>
    <row r="990">
      <c r="A990" t="inlineStr">
        <is>
          <t>27BBBBB00990Z5</t>
        </is>
      </c>
      <c r="B990" t="inlineStr">
        <is>
          <t>Mar-2018</t>
        </is>
      </c>
      <c r="C990" s="2" t="n">
        <v>43889</v>
      </c>
      <c r="D990" t="inlineStr">
        <is>
          <t>NON-NIL</t>
        </is>
      </c>
      <c r="E990" t="n">
        <v>2933</v>
      </c>
    </row>
    <row r="991">
      <c r="A991" t="inlineStr">
        <is>
          <t>27BBBBB00991Z5</t>
        </is>
      </c>
      <c r="B991" t="inlineStr">
        <is>
          <t>May-2020</t>
        </is>
      </c>
      <c r="C991" s="2" t="n">
        <v>44787</v>
      </c>
      <c r="D991" t="inlineStr">
        <is>
          <t>NON-NIL</t>
        </is>
      </c>
      <c r="E991" t="n">
        <v>1432</v>
      </c>
    </row>
    <row r="992">
      <c r="A992" t="inlineStr">
        <is>
          <t>27BBBBB00992Z5</t>
        </is>
      </c>
      <c r="B992" t="inlineStr">
        <is>
          <t>Dec-2024</t>
        </is>
      </c>
      <c r="C992" s="2" t="n">
        <v>45516</v>
      </c>
      <c r="D992" t="inlineStr">
        <is>
          <t>NON-NIL</t>
        </is>
      </c>
      <c r="E992" t="n">
        <v>2536</v>
      </c>
    </row>
    <row r="993">
      <c r="A993" t="inlineStr">
        <is>
          <t>27BBBBB00993Z5</t>
        </is>
      </c>
      <c r="B993" t="inlineStr">
        <is>
          <t>Jan-2021</t>
        </is>
      </c>
      <c r="C993" s="2" t="n">
        <v>44922</v>
      </c>
      <c r="D993" t="inlineStr">
        <is>
          <t>NON-NIL</t>
        </is>
      </c>
      <c r="E993" t="n">
        <v>2869</v>
      </c>
    </row>
    <row r="994">
      <c r="A994" t="inlineStr">
        <is>
          <t>27BBBBB00994Z5</t>
        </is>
      </c>
      <c r="B994" t="inlineStr">
        <is>
          <t>Mar-2020</t>
        </is>
      </c>
      <c r="C994" s="2" t="n">
        <v>44808</v>
      </c>
      <c r="D994" t="inlineStr">
        <is>
          <t>NIL</t>
        </is>
      </c>
      <c r="E994" t="n">
        <v>405</v>
      </c>
    </row>
    <row r="995">
      <c r="A995" t="inlineStr">
        <is>
          <t>27BBBBB00995Z5</t>
        </is>
      </c>
      <c r="B995" t="inlineStr">
        <is>
          <t>Apr-2018</t>
        </is>
      </c>
      <c r="C995" s="2" t="n">
        <v>44143</v>
      </c>
      <c r="D995" t="inlineStr">
        <is>
          <t>NIL</t>
        </is>
      </c>
      <c r="E995" t="n">
        <v>1876</v>
      </c>
    </row>
    <row r="996">
      <c r="A996" t="inlineStr">
        <is>
          <t>27BBBBB00996Z5</t>
        </is>
      </c>
      <c r="B996" t="inlineStr">
        <is>
          <t>Apr-2020</t>
        </is>
      </c>
      <c r="C996" s="2" t="n">
        <v>44432</v>
      </c>
      <c r="D996" t="inlineStr">
        <is>
          <t>NON-NIL</t>
        </is>
      </c>
      <c r="E996" t="n">
        <v>274</v>
      </c>
    </row>
    <row r="997">
      <c r="A997" t="inlineStr">
        <is>
          <t>27BBBBB00997Z5</t>
        </is>
      </c>
      <c r="B997" t="inlineStr">
        <is>
          <t>May-2020</t>
        </is>
      </c>
      <c r="C997" s="2" t="n">
        <v>43941</v>
      </c>
      <c r="D997" t="inlineStr">
        <is>
          <t>NON-NIL</t>
        </is>
      </c>
      <c r="E997" t="n">
        <v>2412</v>
      </c>
    </row>
    <row r="998">
      <c r="A998" t="inlineStr">
        <is>
          <t>27BBBBB00998Z5</t>
        </is>
      </c>
      <c r="B998" t="inlineStr">
        <is>
          <t>Jul-2020</t>
        </is>
      </c>
      <c r="C998" s="2" t="n">
        <v>44193</v>
      </c>
      <c r="D998" t="inlineStr">
        <is>
          <t>NIL</t>
        </is>
      </c>
      <c r="E998" t="n">
        <v>2615</v>
      </c>
    </row>
    <row r="999">
      <c r="A999" t="inlineStr">
        <is>
          <t>27BBBBB00999Z5</t>
        </is>
      </c>
      <c r="B999" t="inlineStr">
        <is>
          <t>Jul-2020</t>
        </is>
      </c>
      <c r="C999" s="2" t="n">
        <v>44556</v>
      </c>
      <c r="D999" t="inlineStr">
        <is>
          <t>NIL</t>
        </is>
      </c>
      <c r="E999" t="n">
        <v>84</v>
      </c>
    </row>
    <row r="1000">
      <c r="A1000" t="inlineStr">
        <is>
          <t>27BBBBB01000Z5</t>
        </is>
      </c>
      <c r="B1000" t="inlineStr">
        <is>
          <t>Dec-2018</t>
        </is>
      </c>
      <c r="C1000" s="2" t="n">
        <v>44246</v>
      </c>
      <c r="D1000" t="inlineStr">
        <is>
          <t>NIL</t>
        </is>
      </c>
      <c r="E1000" t="n">
        <v>544</v>
      </c>
    </row>
    <row r="1001">
      <c r="A1001" t="inlineStr">
        <is>
          <t>27BBBBB01001Z5</t>
        </is>
      </c>
      <c r="B1001" t="inlineStr">
        <is>
          <t>Mar-2021</t>
        </is>
      </c>
      <c r="C1001" s="2" t="n">
        <v>45486</v>
      </c>
      <c r="D1001" t="inlineStr">
        <is>
          <t>NON-NIL</t>
        </is>
      </c>
      <c r="E1001" t="n">
        <v>1607</v>
      </c>
    </row>
    <row r="1002">
      <c r="A1002" t="inlineStr">
        <is>
          <t>27BBBBB01002Z5</t>
        </is>
      </c>
      <c r="B1002" t="inlineStr">
        <is>
          <t>Nov-2018</t>
        </is>
      </c>
      <c r="C1002" s="2" t="n">
        <v>43788</v>
      </c>
      <c r="D1002" t="inlineStr">
        <is>
          <t>NON-NIL</t>
        </is>
      </c>
      <c r="E1002" t="n">
        <v>598</v>
      </c>
    </row>
    <row r="1003">
      <c r="A1003" t="inlineStr">
        <is>
          <t>27BBBBB01003Z5</t>
        </is>
      </c>
      <c r="B1003" t="inlineStr">
        <is>
          <t>Jul-2017</t>
        </is>
      </c>
      <c r="C1003" s="2" t="n">
        <v>42959</v>
      </c>
      <c r="D1003" t="inlineStr">
        <is>
          <t>NIL</t>
        </is>
      </c>
      <c r="E1003" t="n">
        <v>767</v>
      </c>
    </row>
    <row r="1004">
      <c r="A1004" t="inlineStr">
        <is>
          <t>27BBBBB01004Z5</t>
        </is>
      </c>
      <c r="B1004" t="inlineStr">
        <is>
          <t>Jul-2018</t>
        </is>
      </c>
      <c r="C1004" s="2" t="n">
        <v>43594</v>
      </c>
      <c r="D1004" t="inlineStr">
        <is>
          <t>NIL</t>
        </is>
      </c>
      <c r="E1004" t="n">
        <v>2627</v>
      </c>
    </row>
    <row r="1005">
      <c r="A1005" t="inlineStr">
        <is>
          <t>27BBBBB01005Z5</t>
        </is>
      </c>
      <c r="B1005" t="inlineStr">
        <is>
          <t>Feb-2018</t>
        </is>
      </c>
      <c r="C1005" s="2" t="n">
        <v>43018</v>
      </c>
      <c r="D1005" t="inlineStr">
        <is>
          <t>NON-NIL</t>
        </is>
      </c>
      <c r="E1005" t="n">
        <v>572</v>
      </c>
    </row>
    <row r="1006">
      <c r="A1006" t="inlineStr">
        <is>
          <t>27BBBBB01006Z5</t>
        </is>
      </c>
      <c r="B1006" t="inlineStr">
        <is>
          <t>Mar-2018</t>
        </is>
      </c>
      <c r="C1006" s="2" t="n">
        <v>43109</v>
      </c>
      <c r="D1006" t="inlineStr">
        <is>
          <t>NIL</t>
        </is>
      </c>
      <c r="E1006" t="n">
        <v>1116</v>
      </c>
    </row>
    <row r="1007">
      <c r="A1007" t="inlineStr">
        <is>
          <t>27BBBBB01007Z5</t>
        </is>
      </c>
      <c r="B1007" t="inlineStr">
        <is>
          <t>Mar-2021</t>
        </is>
      </c>
      <c r="C1007" s="2" t="n">
        <v>44155</v>
      </c>
      <c r="D1007" t="inlineStr">
        <is>
          <t>NIL</t>
        </is>
      </c>
      <c r="E1007" t="n">
        <v>1814</v>
      </c>
    </row>
    <row r="1008">
      <c r="A1008" t="inlineStr">
        <is>
          <t>27BBBBB01008Z5</t>
        </is>
      </c>
      <c r="B1008" t="inlineStr">
        <is>
          <t>Aug-2018</t>
        </is>
      </c>
      <c r="C1008" s="2" t="n">
        <v>43682</v>
      </c>
      <c r="D1008" t="inlineStr">
        <is>
          <t>NIL</t>
        </is>
      </c>
      <c r="E1008" t="n">
        <v>913</v>
      </c>
    </row>
    <row r="1009">
      <c r="A1009" t="inlineStr">
        <is>
          <t>27BBBBB01009Z5</t>
        </is>
      </c>
      <c r="B1009" t="inlineStr">
        <is>
          <t>Jan-2018</t>
        </is>
      </c>
      <c r="C1009" s="2" t="n">
        <v>43607</v>
      </c>
      <c r="D1009" t="inlineStr">
        <is>
          <t>NIL</t>
        </is>
      </c>
      <c r="E1009" t="n">
        <v>2305</v>
      </c>
    </row>
    <row r="1010">
      <c r="A1010" t="inlineStr">
        <is>
          <t>27BBBBB01010Z5</t>
        </is>
      </c>
      <c r="B1010" t="inlineStr">
        <is>
          <t>Apr-2018</t>
        </is>
      </c>
      <c r="C1010" s="2" t="n">
        <v>44146</v>
      </c>
      <c r="D1010" t="inlineStr">
        <is>
          <t>NON-NIL</t>
        </is>
      </c>
      <c r="E1010" t="n">
        <v>1951</v>
      </c>
    </row>
    <row r="1011">
      <c r="A1011" t="inlineStr">
        <is>
          <t>27BBBBB01011Z5</t>
        </is>
      </c>
      <c r="B1011" t="inlineStr">
        <is>
          <t>Aug-2018</t>
        </is>
      </c>
      <c r="C1011" s="2" t="n">
        <v>43025</v>
      </c>
      <c r="D1011" t="inlineStr">
        <is>
          <t>NIL</t>
        </is>
      </c>
      <c r="E1011" t="n">
        <v>2916</v>
      </c>
    </row>
    <row r="1012">
      <c r="A1012" t="inlineStr">
        <is>
          <t>27BBBBB01012Z5</t>
        </is>
      </c>
      <c r="B1012" t="inlineStr">
        <is>
          <t>May-2020</t>
        </is>
      </c>
      <c r="C1012" s="2" t="n">
        <v>44686</v>
      </c>
      <c r="D1012" t="inlineStr">
        <is>
          <t>NIL</t>
        </is>
      </c>
      <c r="E1012" t="n">
        <v>124</v>
      </c>
    </row>
    <row r="1013">
      <c r="A1013" t="inlineStr">
        <is>
          <t>27BBBBB01013Z5</t>
        </is>
      </c>
      <c r="B1013" t="inlineStr">
        <is>
          <t>Dec-2018</t>
        </is>
      </c>
      <c r="C1013" s="2" t="n">
        <v>43470</v>
      </c>
      <c r="D1013" t="inlineStr">
        <is>
          <t>NIL</t>
        </is>
      </c>
      <c r="E1013" t="n">
        <v>2942</v>
      </c>
    </row>
    <row r="1014">
      <c r="A1014" t="inlineStr">
        <is>
          <t>27BBBBB01014Z5</t>
        </is>
      </c>
      <c r="B1014" t="inlineStr">
        <is>
          <t>Mar-2020</t>
        </is>
      </c>
      <c r="C1014" s="2" t="n">
        <v>44809</v>
      </c>
      <c r="D1014" t="inlineStr">
        <is>
          <t>NIL</t>
        </is>
      </c>
      <c r="E1014" t="n">
        <v>1232</v>
      </c>
    </row>
    <row r="1015">
      <c r="A1015" t="inlineStr">
        <is>
          <t>27BBBBB01015Z5</t>
        </is>
      </c>
      <c r="B1015" t="inlineStr">
        <is>
          <t>Mar-2021</t>
        </is>
      </c>
      <c r="C1015" s="2" t="n">
        <v>44765</v>
      </c>
      <c r="D1015" t="inlineStr">
        <is>
          <t>NIL</t>
        </is>
      </c>
      <c r="E1015" t="n">
        <v>2136</v>
      </c>
    </row>
    <row r="1016">
      <c r="A1016" t="inlineStr">
        <is>
          <t>27BBBBB01016Z5</t>
        </is>
      </c>
      <c r="B1016" t="inlineStr">
        <is>
          <t>Aug-2018</t>
        </is>
      </c>
      <c r="C1016" s="2" t="n">
        <v>44028</v>
      </c>
      <c r="D1016" t="inlineStr">
        <is>
          <t>NON-NIL</t>
        </is>
      </c>
      <c r="E1016" t="n">
        <v>1631</v>
      </c>
    </row>
    <row r="1017">
      <c r="A1017" t="inlineStr">
        <is>
          <t>27BBBBB01017Z5</t>
        </is>
      </c>
      <c r="B1017" t="inlineStr">
        <is>
          <t>Sep-2017</t>
        </is>
      </c>
      <c r="C1017" s="2" t="n">
        <v>43210</v>
      </c>
      <c r="D1017" t="inlineStr">
        <is>
          <t>NON-NIL</t>
        </is>
      </c>
      <c r="E1017" t="n">
        <v>1684</v>
      </c>
    </row>
    <row r="1018">
      <c r="A1018" t="inlineStr">
        <is>
          <t>27BBBBB01018Z5</t>
        </is>
      </c>
      <c r="B1018" t="inlineStr">
        <is>
          <t>Oct-2018</t>
        </is>
      </c>
      <c r="C1018" s="2" t="n">
        <v>43688</v>
      </c>
      <c r="D1018" t="inlineStr">
        <is>
          <t>NIL</t>
        </is>
      </c>
      <c r="E1018" t="n">
        <v>465</v>
      </c>
    </row>
    <row r="1019">
      <c r="A1019" t="inlineStr">
        <is>
          <t>27BBBBB01019Z5</t>
        </is>
      </c>
      <c r="B1019" t="inlineStr">
        <is>
          <t>May-2020</t>
        </is>
      </c>
      <c r="C1019" s="2" t="n">
        <v>44232</v>
      </c>
      <c r="D1019" t="inlineStr">
        <is>
          <t>NON-NIL</t>
        </is>
      </c>
      <c r="E1019" t="n">
        <v>1228</v>
      </c>
    </row>
    <row r="1020">
      <c r="A1020" t="inlineStr">
        <is>
          <t>27BBBBB01020Z5</t>
        </is>
      </c>
      <c r="B1020" t="inlineStr">
        <is>
          <t>May-2020</t>
        </is>
      </c>
      <c r="C1020" s="2" t="n">
        <v>44488</v>
      </c>
      <c r="D1020" t="inlineStr">
        <is>
          <t>NON-NIL</t>
        </is>
      </c>
      <c r="E1020" t="n">
        <v>279</v>
      </c>
    </row>
    <row r="1021">
      <c r="A1021" t="inlineStr">
        <is>
          <t>27BBBBB01021Z5</t>
        </is>
      </c>
      <c r="B1021" t="inlineStr">
        <is>
          <t>Mar-2018</t>
        </is>
      </c>
      <c r="C1021" s="2" t="n">
        <v>44394</v>
      </c>
      <c r="D1021" t="inlineStr">
        <is>
          <t>NIL</t>
        </is>
      </c>
      <c r="E1021" t="n">
        <v>493</v>
      </c>
    </row>
    <row r="1022">
      <c r="A1022" t="inlineStr">
        <is>
          <t>27BBBBB01022Z5</t>
        </is>
      </c>
      <c r="B1022" t="inlineStr">
        <is>
          <t>Jun-2018</t>
        </is>
      </c>
      <c r="C1022" s="2" t="n">
        <v>44434</v>
      </c>
      <c r="D1022" t="inlineStr">
        <is>
          <t>NIL</t>
        </is>
      </c>
      <c r="E1022" t="n">
        <v>2724</v>
      </c>
    </row>
    <row r="1023">
      <c r="A1023" t="inlineStr">
        <is>
          <t>27BBBBB01023Z5</t>
        </is>
      </c>
      <c r="B1023" t="inlineStr">
        <is>
          <t>Nov-2018</t>
        </is>
      </c>
      <c r="C1023" s="2" t="n">
        <v>44200</v>
      </c>
      <c r="D1023" t="inlineStr">
        <is>
          <t>NIL</t>
        </is>
      </c>
      <c r="E1023" t="n">
        <v>2801</v>
      </c>
    </row>
    <row r="1024">
      <c r="A1024" t="inlineStr">
        <is>
          <t>27BBBBB01024Z5</t>
        </is>
      </c>
      <c r="B1024" t="inlineStr">
        <is>
          <t>Apr-2018</t>
        </is>
      </c>
      <c r="C1024" s="2" t="n">
        <v>44060</v>
      </c>
      <c r="D1024" t="inlineStr">
        <is>
          <t>NON-NIL</t>
        </is>
      </c>
      <c r="E1024" t="n">
        <v>1003</v>
      </c>
    </row>
    <row r="1025">
      <c r="A1025" t="inlineStr">
        <is>
          <t>27BBBBB01025Z5</t>
        </is>
      </c>
      <c r="B1025" t="inlineStr">
        <is>
          <t>Sep-2017</t>
        </is>
      </c>
      <c r="C1025" s="2" t="n">
        <v>43282</v>
      </c>
      <c r="D1025" t="inlineStr">
        <is>
          <t>NIL</t>
        </is>
      </c>
      <c r="E1025" t="n">
        <v>130</v>
      </c>
    </row>
    <row r="1026">
      <c r="A1026" t="inlineStr">
        <is>
          <t>27BBBBB01026Z5</t>
        </is>
      </c>
      <c r="B1026" t="inlineStr">
        <is>
          <t>Nov-2018</t>
        </is>
      </c>
      <c r="C1026" s="2" t="n">
        <v>44485</v>
      </c>
      <c r="D1026" t="inlineStr">
        <is>
          <t>NON-NIL</t>
        </is>
      </c>
      <c r="E1026" t="n">
        <v>2363</v>
      </c>
    </row>
    <row r="1027">
      <c r="A1027" t="inlineStr">
        <is>
          <t>27BBBBB01027Z5</t>
        </is>
      </c>
      <c r="B1027" t="inlineStr">
        <is>
          <t>Aug-2017</t>
        </is>
      </c>
      <c r="C1027" s="2" t="n">
        <v>43555</v>
      </c>
      <c r="D1027" t="inlineStr">
        <is>
          <t>NIL</t>
        </is>
      </c>
      <c r="E1027" t="n">
        <v>120</v>
      </c>
    </row>
    <row r="1028">
      <c r="A1028" t="inlineStr">
        <is>
          <t>27BBBBB01028Z5</t>
        </is>
      </c>
      <c r="B1028" t="inlineStr">
        <is>
          <t>Dec-2024</t>
        </is>
      </c>
      <c r="C1028" s="2" t="n">
        <v>44184</v>
      </c>
      <c r="D1028" t="inlineStr">
        <is>
          <t>NON-NIL</t>
        </is>
      </c>
      <c r="E1028" t="n">
        <v>425</v>
      </c>
    </row>
    <row r="1029">
      <c r="A1029" t="inlineStr">
        <is>
          <t>27BBBBB01029Z5</t>
        </is>
      </c>
      <c r="B1029" t="inlineStr">
        <is>
          <t>Jun-2020</t>
        </is>
      </c>
      <c r="C1029" s="2" t="n">
        <v>44754</v>
      </c>
      <c r="D1029" t="inlineStr">
        <is>
          <t>NIL</t>
        </is>
      </c>
      <c r="E1029" t="n">
        <v>880</v>
      </c>
    </row>
    <row r="1030">
      <c r="A1030" t="inlineStr">
        <is>
          <t>27BBBBB01030Z5</t>
        </is>
      </c>
      <c r="B1030" t="inlineStr">
        <is>
          <t>Jul-2018</t>
        </is>
      </c>
      <c r="C1030" s="2" t="n">
        <v>44384</v>
      </c>
      <c r="D1030" t="inlineStr">
        <is>
          <t>NON-NIL</t>
        </is>
      </c>
      <c r="E1030" t="n">
        <v>750</v>
      </c>
    </row>
    <row r="1031">
      <c r="A1031" t="inlineStr">
        <is>
          <t>27BBBBB01031Z5</t>
        </is>
      </c>
      <c r="B1031" t="inlineStr">
        <is>
          <t>Feb-2018</t>
        </is>
      </c>
      <c r="C1031" s="2" t="n">
        <v>44551</v>
      </c>
      <c r="D1031" t="inlineStr">
        <is>
          <t>NON-NIL</t>
        </is>
      </c>
      <c r="E1031" t="n">
        <v>2960</v>
      </c>
    </row>
    <row r="1032">
      <c r="A1032" t="inlineStr">
        <is>
          <t>27BBBBB01032Z5</t>
        </is>
      </c>
      <c r="B1032" t="inlineStr">
        <is>
          <t>Feb-2018</t>
        </is>
      </c>
      <c r="C1032" s="2" t="n">
        <v>43362</v>
      </c>
      <c r="D1032" t="inlineStr">
        <is>
          <t>NIL</t>
        </is>
      </c>
      <c r="E1032" t="n">
        <v>837</v>
      </c>
    </row>
    <row r="1033">
      <c r="A1033" t="inlineStr">
        <is>
          <t>27BBBBB01033Z5</t>
        </is>
      </c>
      <c r="B1033" t="inlineStr">
        <is>
          <t>Apr-2018</t>
        </is>
      </c>
      <c r="C1033" s="2" t="n">
        <v>44214</v>
      </c>
      <c r="D1033" t="inlineStr">
        <is>
          <t>NIL</t>
        </is>
      </c>
      <c r="E1033" t="n">
        <v>1275</v>
      </c>
    </row>
    <row r="1034">
      <c r="A1034" t="inlineStr">
        <is>
          <t>27BBBBB01034Z5</t>
        </is>
      </c>
      <c r="B1034" t="inlineStr">
        <is>
          <t>Sep-2017</t>
        </is>
      </c>
      <c r="C1034" s="2" t="n">
        <v>43515</v>
      </c>
      <c r="D1034" t="inlineStr">
        <is>
          <t>NON-NIL</t>
        </is>
      </c>
      <c r="E1034" t="n">
        <v>507</v>
      </c>
    </row>
    <row r="1035">
      <c r="A1035" t="inlineStr">
        <is>
          <t>27BBBBB01035Z5</t>
        </is>
      </c>
      <c r="B1035" t="inlineStr">
        <is>
          <t>Dec-2022</t>
        </is>
      </c>
      <c r="C1035" s="2" t="n">
        <v>45565</v>
      </c>
      <c r="D1035" t="inlineStr">
        <is>
          <t>NON-NIL</t>
        </is>
      </c>
      <c r="E1035" t="n">
        <v>1611</v>
      </c>
    </row>
    <row r="1036">
      <c r="A1036" t="inlineStr">
        <is>
          <t>27BBBBB01036Z5</t>
        </is>
      </c>
      <c r="B1036" t="inlineStr">
        <is>
          <t>Dec-2017</t>
        </is>
      </c>
      <c r="C1036" s="2" t="n">
        <v>43070</v>
      </c>
      <c r="D1036" t="inlineStr">
        <is>
          <t>NON-NIL</t>
        </is>
      </c>
      <c r="E1036" t="n">
        <v>1921</v>
      </c>
    </row>
    <row r="1037">
      <c r="A1037" t="inlineStr">
        <is>
          <t>27BBBBB01037Z5</t>
        </is>
      </c>
      <c r="B1037" t="inlineStr">
        <is>
          <t>Apr-2020</t>
        </is>
      </c>
      <c r="C1037" s="2" t="n">
        <v>44433</v>
      </c>
      <c r="D1037" t="inlineStr">
        <is>
          <t>NIL</t>
        </is>
      </c>
      <c r="E1037" t="n">
        <v>2628</v>
      </c>
    </row>
    <row r="1038">
      <c r="A1038" t="inlineStr">
        <is>
          <t>27BBBBB01038Z5</t>
        </is>
      </c>
      <c r="B1038" t="inlineStr">
        <is>
          <t>Apr-2020</t>
        </is>
      </c>
      <c r="C1038" s="2" t="n">
        <v>44194</v>
      </c>
      <c r="D1038" t="inlineStr">
        <is>
          <t>NIL</t>
        </is>
      </c>
      <c r="E1038" t="n">
        <v>143</v>
      </c>
    </row>
    <row r="1039">
      <c r="A1039" t="inlineStr">
        <is>
          <t>27BBBBB01039Z5</t>
        </is>
      </c>
      <c r="B1039" t="inlineStr">
        <is>
          <t>Mar-2023</t>
        </is>
      </c>
      <c r="C1039" s="2" t="n">
        <v>43890</v>
      </c>
      <c r="D1039" t="inlineStr">
        <is>
          <t>NON-NIL</t>
        </is>
      </c>
      <c r="E1039" t="n">
        <v>556</v>
      </c>
    </row>
    <row r="1040">
      <c r="A1040" t="inlineStr">
        <is>
          <t>27BBBBB01040Z5</t>
        </is>
      </c>
      <c r="B1040" t="inlineStr">
        <is>
          <t>Oct-2018</t>
        </is>
      </c>
      <c r="C1040" s="2" t="n">
        <v>43464</v>
      </c>
      <c r="D1040" t="inlineStr">
        <is>
          <t>NIL</t>
        </is>
      </c>
      <c r="E1040" t="n">
        <v>331</v>
      </c>
    </row>
    <row r="1041">
      <c r="A1041" t="inlineStr">
        <is>
          <t>27BBBBB01041Z5</t>
        </is>
      </c>
      <c r="B1041" t="inlineStr">
        <is>
          <t>Jul-2020</t>
        </is>
      </c>
      <c r="C1041" s="2" t="n">
        <v>44528</v>
      </c>
      <c r="D1041" t="inlineStr">
        <is>
          <t>NIL</t>
        </is>
      </c>
      <c r="E1041" t="n">
        <v>1966</v>
      </c>
    </row>
    <row r="1042">
      <c r="A1042" t="inlineStr">
        <is>
          <t>27BBBBB01042Z5</t>
        </is>
      </c>
      <c r="B1042" t="inlineStr">
        <is>
          <t>Mar-2021</t>
        </is>
      </c>
      <c r="C1042" s="2" t="n">
        <v>44846</v>
      </c>
      <c r="D1042" t="inlineStr">
        <is>
          <t>NIL</t>
        </is>
      </c>
      <c r="E1042" t="n">
        <v>2998</v>
      </c>
    </row>
    <row r="1043">
      <c r="A1043" t="inlineStr">
        <is>
          <t>27BBBBB01043Z5</t>
        </is>
      </c>
      <c r="B1043" t="inlineStr">
        <is>
          <t>Oct-2018</t>
        </is>
      </c>
      <c r="C1043" s="2" t="n">
        <v>44317</v>
      </c>
      <c r="D1043" t="inlineStr">
        <is>
          <t>NON-NIL</t>
        </is>
      </c>
      <c r="E1043" t="n">
        <v>966</v>
      </c>
    </row>
    <row r="1044">
      <c r="A1044" t="inlineStr">
        <is>
          <t>27BBBBB01044Z5</t>
        </is>
      </c>
      <c r="B1044" t="inlineStr">
        <is>
          <t>Sep-2017</t>
        </is>
      </c>
      <c r="C1044" s="2" t="n">
        <v>43377</v>
      </c>
      <c r="D1044" t="inlineStr">
        <is>
          <t>NIL</t>
        </is>
      </c>
      <c r="E1044" t="n">
        <v>1121</v>
      </c>
    </row>
    <row r="1045">
      <c r="A1045" t="inlineStr">
        <is>
          <t>27BBBBB01045Z5</t>
        </is>
      </c>
      <c r="B1045" t="inlineStr">
        <is>
          <t>Jun-2020</t>
        </is>
      </c>
      <c r="C1045" s="2" t="n">
        <v>43954</v>
      </c>
      <c r="D1045" t="inlineStr">
        <is>
          <t>NON-NIL</t>
        </is>
      </c>
      <c r="E1045" t="n">
        <v>2403</v>
      </c>
    </row>
    <row r="1046">
      <c r="A1046" t="inlineStr">
        <is>
          <t>27BBBBB01046Z5</t>
        </is>
      </c>
      <c r="B1046" t="inlineStr">
        <is>
          <t>Jul-2018</t>
        </is>
      </c>
      <c r="C1046" s="2" t="n">
        <v>43081</v>
      </c>
      <c r="D1046" t="inlineStr">
        <is>
          <t>NON-NIL</t>
        </is>
      </c>
      <c r="E1046" t="n">
        <v>2863</v>
      </c>
    </row>
    <row r="1047">
      <c r="A1047" t="inlineStr">
        <is>
          <t>27BBBBB01047Z5</t>
        </is>
      </c>
      <c r="B1047" t="inlineStr">
        <is>
          <t>May-2020</t>
        </is>
      </c>
      <c r="C1047" s="2" t="n">
        <v>44484</v>
      </c>
      <c r="D1047" t="inlineStr">
        <is>
          <t>NIL</t>
        </is>
      </c>
      <c r="E1047" t="n">
        <v>2499</v>
      </c>
    </row>
    <row r="1048">
      <c r="A1048" t="inlineStr">
        <is>
          <t>27BBBBB01048Z5</t>
        </is>
      </c>
      <c r="B1048" t="inlineStr">
        <is>
          <t>Jul-2018</t>
        </is>
      </c>
      <c r="C1048" s="2" t="n">
        <v>43720</v>
      </c>
      <c r="D1048" t="inlineStr">
        <is>
          <t>NIL</t>
        </is>
      </c>
      <c r="E1048" t="n">
        <v>1971</v>
      </c>
    </row>
    <row r="1049">
      <c r="A1049" t="inlineStr">
        <is>
          <t>27BBBBB01049Z5</t>
        </is>
      </c>
      <c r="B1049" t="inlineStr">
        <is>
          <t>Sep-2017</t>
        </is>
      </c>
      <c r="C1049" s="2" t="n">
        <v>43482</v>
      </c>
      <c r="D1049" t="inlineStr">
        <is>
          <t>NON-NIL</t>
        </is>
      </c>
      <c r="E1049" t="n">
        <v>1983</v>
      </c>
    </row>
    <row r="1050">
      <c r="A1050" t="inlineStr">
        <is>
          <t>27BBBBB01050Z5</t>
        </is>
      </c>
      <c r="B1050" t="inlineStr">
        <is>
          <t>Aug-2017</t>
        </is>
      </c>
      <c r="C1050" s="2" t="n">
        <v>43785</v>
      </c>
      <c r="D1050" t="inlineStr">
        <is>
          <t>NON-NIL</t>
        </is>
      </c>
      <c r="E1050" t="n">
        <v>2826</v>
      </c>
    </row>
    <row r="1051">
      <c r="A1051" t="inlineStr">
        <is>
          <t>27BBBBB01051Z5</t>
        </is>
      </c>
      <c r="B1051" t="inlineStr">
        <is>
          <t>Dec-2018</t>
        </is>
      </c>
      <c r="C1051" s="2" t="n">
        <v>44328</v>
      </c>
      <c r="D1051" t="inlineStr">
        <is>
          <t>NON-NIL</t>
        </is>
      </c>
      <c r="E1051" t="n">
        <v>2078</v>
      </c>
    </row>
    <row r="1052">
      <c r="A1052" t="inlineStr">
        <is>
          <t>27BBBBB01052Z5</t>
        </is>
      </c>
      <c r="B1052" t="inlineStr">
        <is>
          <t>Aug-2018</t>
        </is>
      </c>
      <c r="C1052" s="2" t="n">
        <v>43250</v>
      </c>
      <c r="D1052" t="inlineStr">
        <is>
          <t>NIL</t>
        </is>
      </c>
      <c r="E1052" t="n">
        <v>1809</v>
      </c>
    </row>
    <row r="1053">
      <c r="A1053" t="inlineStr">
        <is>
          <t>27BBBBB01053Z5</t>
        </is>
      </c>
      <c r="B1053" t="inlineStr">
        <is>
          <t>Nov-2018</t>
        </is>
      </c>
      <c r="C1053" s="2" t="n">
        <v>43678</v>
      </c>
      <c r="D1053" t="inlineStr">
        <is>
          <t>NON-NIL</t>
        </is>
      </c>
      <c r="E1053" t="n">
        <v>1894</v>
      </c>
    </row>
    <row r="1054">
      <c r="A1054" t="inlineStr">
        <is>
          <t>27BBBBB01054Z5</t>
        </is>
      </c>
      <c r="B1054" t="inlineStr">
        <is>
          <t>Oct-2017</t>
        </is>
      </c>
      <c r="C1054" s="2" t="n">
        <v>44301</v>
      </c>
      <c r="D1054" t="inlineStr">
        <is>
          <t>NON-NIL</t>
        </is>
      </c>
      <c r="E1054" t="n">
        <v>503</v>
      </c>
    </row>
    <row r="1055">
      <c r="A1055" t="inlineStr">
        <is>
          <t>27BBBBB01055Z5</t>
        </is>
      </c>
      <c r="B1055" t="inlineStr">
        <is>
          <t>Dec-2017</t>
        </is>
      </c>
      <c r="C1055" s="2" t="n">
        <v>43051</v>
      </c>
      <c r="D1055" t="inlineStr">
        <is>
          <t>NIL</t>
        </is>
      </c>
      <c r="E1055" t="n">
        <v>2843</v>
      </c>
    </row>
    <row r="1056">
      <c r="A1056" t="inlineStr">
        <is>
          <t>27BBBBB01056Z5</t>
        </is>
      </c>
      <c r="B1056" t="inlineStr">
        <is>
          <t>May-2020</t>
        </is>
      </c>
      <c r="C1056" s="2" t="n">
        <v>44007</v>
      </c>
      <c r="D1056" t="inlineStr">
        <is>
          <t>NON-NIL</t>
        </is>
      </c>
      <c r="E1056" t="n">
        <v>1555</v>
      </c>
    </row>
    <row r="1057">
      <c r="A1057" t="inlineStr">
        <is>
          <t>27BBBBB01057Z5</t>
        </is>
      </c>
      <c r="B1057" t="inlineStr">
        <is>
          <t>Jan-2021</t>
        </is>
      </c>
      <c r="C1057" s="2" t="n">
        <v>45425</v>
      </c>
      <c r="D1057" t="inlineStr">
        <is>
          <t>NIL</t>
        </is>
      </c>
      <c r="E1057" t="n">
        <v>2727</v>
      </c>
    </row>
    <row r="1058">
      <c r="A1058" t="inlineStr">
        <is>
          <t>27BBBBB01058Z5</t>
        </is>
      </c>
      <c r="B1058" t="inlineStr">
        <is>
          <t>Dec-2024</t>
        </is>
      </c>
      <c r="C1058" s="2" t="n">
        <v>45470</v>
      </c>
      <c r="D1058" t="inlineStr">
        <is>
          <t>NIL</t>
        </is>
      </c>
      <c r="E1058" t="n">
        <v>5</v>
      </c>
    </row>
    <row r="1059">
      <c r="A1059" t="inlineStr">
        <is>
          <t>27BBBBB01059Z5</t>
        </is>
      </c>
      <c r="B1059" t="inlineStr">
        <is>
          <t>Nov-2017</t>
        </is>
      </c>
      <c r="C1059" s="2" t="n">
        <v>43267</v>
      </c>
      <c r="D1059" t="inlineStr">
        <is>
          <t>NON-NIL</t>
        </is>
      </c>
      <c r="E1059" t="n">
        <v>2365</v>
      </c>
    </row>
    <row r="1060">
      <c r="A1060" t="inlineStr">
        <is>
          <t>27BBBBB01060Z5</t>
        </is>
      </c>
      <c r="B1060" t="inlineStr">
        <is>
          <t>Dec-2024</t>
        </is>
      </c>
      <c r="C1060" s="2" t="n">
        <v>45202</v>
      </c>
      <c r="D1060" t="inlineStr">
        <is>
          <t>NIL</t>
        </is>
      </c>
      <c r="E1060" t="n">
        <v>1133</v>
      </c>
    </row>
    <row r="1061">
      <c r="A1061" t="inlineStr">
        <is>
          <t>27BBBBB01061Z5</t>
        </is>
      </c>
      <c r="B1061" t="inlineStr">
        <is>
          <t>Apr-2018</t>
        </is>
      </c>
      <c r="C1061" s="2" t="n">
        <v>43606</v>
      </c>
      <c r="D1061" t="inlineStr">
        <is>
          <t>NIL</t>
        </is>
      </c>
      <c r="E1061" t="n">
        <v>1812</v>
      </c>
    </row>
    <row r="1062">
      <c r="A1062" t="inlineStr">
        <is>
          <t>27BBBBB01062Z5</t>
        </is>
      </c>
      <c r="B1062" t="inlineStr">
        <is>
          <t>Nov-2018</t>
        </is>
      </c>
      <c r="C1062" s="2" t="n">
        <v>43511</v>
      </c>
      <c r="D1062" t="inlineStr">
        <is>
          <t>NIL</t>
        </is>
      </c>
      <c r="E1062" t="n">
        <v>0</v>
      </c>
    </row>
    <row r="1063">
      <c r="A1063" t="inlineStr">
        <is>
          <t>27BBBBB01063Z5</t>
        </is>
      </c>
      <c r="B1063" t="inlineStr">
        <is>
          <t>Jul-2020</t>
        </is>
      </c>
      <c r="C1063" s="2" t="n">
        <v>43852</v>
      </c>
      <c r="D1063" t="inlineStr">
        <is>
          <t>NIL</t>
        </is>
      </c>
      <c r="E1063" t="n">
        <v>2483</v>
      </c>
    </row>
    <row r="1064">
      <c r="A1064" t="inlineStr">
        <is>
          <t>27BBBBB01064Z5</t>
        </is>
      </c>
      <c r="B1064" t="inlineStr">
        <is>
          <t>Dec-2018</t>
        </is>
      </c>
      <c r="C1064" s="2" t="n">
        <v>43934</v>
      </c>
      <c r="D1064" t="inlineStr">
        <is>
          <t>NIL</t>
        </is>
      </c>
      <c r="E1064" t="n">
        <v>1720</v>
      </c>
    </row>
    <row r="1065">
      <c r="A1065" t="inlineStr">
        <is>
          <t>27BBBBB01065Z5</t>
        </is>
      </c>
      <c r="B1065" t="inlineStr">
        <is>
          <t>Dec-2022</t>
        </is>
      </c>
      <c r="C1065" s="2" t="n">
        <v>44640</v>
      </c>
      <c r="D1065" t="inlineStr">
        <is>
          <t>NON-NIL</t>
        </is>
      </c>
      <c r="E1065" t="n">
        <v>1394</v>
      </c>
    </row>
    <row r="1066">
      <c r="A1066" t="inlineStr">
        <is>
          <t>27BBBBB01066Z5</t>
        </is>
      </c>
      <c r="B1066" t="inlineStr">
        <is>
          <t>Mar-2023</t>
        </is>
      </c>
      <c r="C1066" s="2" t="n">
        <v>45776</v>
      </c>
      <c r="D1066" t="inlineStr">
        <is>
          <t>NON-NIL</t>
        </is>
      </c>
      <c r="E1066" t="n">
        <v>2444</v>
      </c>
    </row>
    <row r="1067">
      <c r="A1067" t="inlineStr">
        <is>
          <t>27BBBBB01067Z5</t>
        </is>
      </c>
      <c r="B1067" t="inlineStr">
        <is>
          <t>Sep-2017</t>
        </is>
      </c>
      <c r="C1067" s="2" t="n">
        <v>44265</v>
      </c>
      <c r="D1067" t="inlineStr">
        <is>
          <t>NON-NIL</t>
        </is>
      </c>
      <c r="E1067" t="n">
        <v>2223</v>
      </c>
    </row>
    <row r="1068">
      <c r="A1068" t="inlineStr">
        <is>
          <t>27BBBBB01068Z5</t>
        </is>
      </c>
      <c r="B1068" t="inlineStr">
        <is>
          <t>May-2020</t>
        </is>
      </c>
      <c r="C1068" s="2" t="n">
        <v>44453</v>
      </c>
      <c r="D1068" t="inlineStr">
        <is>
          <t>NON-NIL</t>
        </is>
      </c>
      <c r="E1068" t="n">
        <v>2854</v>
      </c>
    </row>
    <row r="1069">
      <c r="A1069" t="inlineStr">
        <is>
          <t>27BBBBB01069Z5</t>
        </is>
      </c>
      <c r="B1069" t="inlineStr">
        <is>
          <t>Mar-2018</t>
        </is>
      </c>
      <c r="C1069" s="2" t="n">
        <v>44150</v>
      </c>
      <c r="D1069" t="inlineStr">
        <is>
          <t>NIL</t>
        </is>
      </c>
      <c r="E1069" t="n">
        <v>2862</v>
      </c>
    </row>
    <row r="1070">
      <c r="A1070" t="inlineStr">
        <is>
          <t>27BBBBB01070Z5</t>
        </is>
      </c>
      <c r="B1070" t="inlineStr">
        <is>
          <t>Dec-2017</t>
        </is>
      </c>
      <c r="C1070" s="2" t="n">
        <v>42932</v>
      </c>
      <c r="D1070" t="inlineStr">
        <is>
          <t>NIL</t>
        </is>
      </c>
      <c r="E1070" t="n">
        <v>2956</v>
      </c>
    </row>
    <row r="1071">
      <c r="A1071" t="inlineStr">
        <is>
          <t>27BBBBB01071Z5</t>
        </is>
      </c>
      <c r="B1071" t="inlineStr">
        <is>
          <t>Mar-2020</t>
        </is>
      </c>
      <c r="C1071" s="2" t="n">
        <v>44120</v>
      </c>
      <c r="D1071" t="inlineStr">
        <is>
          <t>NIL</t>
        </is>
      </c>
      <c r="E1071" t="n">
        <v>1548</v>
      </c>
    </row>
    <row r="1072">
      <c r="A1072" t="inlineStr">
        <is>
          <t>27BBBBB01072Z5</t>
        </is>
      </c>
      <c r="B1072" t="inlineStr">
        <is>
          <t>Dec-2018</t>
        </is>
      </c>
      <c r="C1072" s="2" t="n">
        <v>43741</v>
      </c>
      <c r="D1072" t="inlineStr">
        <is>
          <t>NON-NIL</t>
        </is>
      </c>
      <c r="E1072" t="n">
        <v>104</v>
      </c>
    </row>
    <row r="1073">
      <c r="A1073" t="inlineStr">
        <is>
          <t>27BBBBB01073Z5</t>
        </is>
      </c>
      <c r="B1073" t="inlineStr">
        <is>
          <t>May-2020</t>
        </is>
      </c>
      <c r="C1073" s="2" t="n">
        <v>44254</v>
      </c>
      <c r="D1073" t="inlineStr">
        <is>
          <t>NON-NIL</t>
        </is>
      </c>
      <c r="E1073" t="n">
        <v>1503</v>
      </c>
    </row>
    <row r="1074">
      <c r="A1074" t="inlineStr">
        <is>
          <t>27BBBBB01074Z5</t>
        </is>
      </c>
      <c r="B1074" t="inlineStr">
        <is>
          <t>Jun-2018</t>
        </is>
      </c>
      <c r="C1074" s="2" t="n">
        <v>44428</v>
      </c>
      <c r="D1074" t="inlineStr">
        <is>
          <t>NON-NIL</t>
        </is>
      </c>
      <c r="E1074" t="n">
        <v>2176</v>
      </c>
    </row>
    <row r="1075">
      <c r="A1075" t="inlineStr">
        <is>
          <t>27BBBBB01075Z5</t>
        </is>
      </c>
      <c r="B1075" t="inlineStr">
        <is>
          <t>Jun-2018</t>
        </is>
      </c>
      <c r="C1075" s="2" t="n">
        <v>44526</v>
      </c>
      <c r="D1075" t="inlineStr">
        <is>
          <t>NON-NIL</t>
        </is>
      </c>
      <c r="E1075" t="n">
        <v>1342</v>
      </c>
    </row>
    <row r="1076">
      <c r="A1076" t="inlineStr">
        <is>
          <t>27BBBBB01076Z5</t>
        </is>
      </c>
      <c r="B1076" t="inlineStr">
        <is>
          <t>Oct-2018</t>
        </is>
      </c>
      <c r="C1076" s="2" t="n">
        <v>44361</v>
      </c>
      <c r="D1076" t="inlineStr">
        <is>
          <t>NON-NIL</t>
        </is>
      </c>
      <c r="E1076" t="n">
        <v>1328</v>
      </c>
    </row>
    <row r="1077">
      <c r="A1077" t="inlineStr">
        <is>
          <t>27BBBBB01077Z5</t>
        </is>
      </c>
      <c r="B1077" t="inlineStr">
        <is>
          <t>Jan-2018</t>
        </is>
      </c>
      <c r="C1077" s="2" t="n">
        <v>42925</v>
      </c>
      <c r="D1077" t="inlineStr">
        <is>
          <t>NIL</t>
        </is>
      </c>
      <c r="E1077" t="n">
        <v>1067</v>
      </c>
    </row>
    <row r="1078">
      <c r="A1078" t="inlineStr">
        <is>
          <t>27BBBBB01078Z5</t>
        </is>
      </c>
      <c r="B1078" t="inlineStr">
        <is>
          <t>Jan-2021</t>
        </is>
      </c>
      <c r="C1078" s="2" t="n">
        <v>45180</v>
      </c>
      <c r="D1078" t="inlineStr">
        <is>
          <t>NON-NIL</t>
        </is>
      </c>
      <c r="E1078" t="n">
        <v>840</v>
      </c>
    </row>
    <row r="1079">
      <c r="A1079" t="inlineStr">
        <is>
          <t>27BBBBB01079Z5</t>
        </is>
      </c>
      <c r="B1079" t="inlineStr">
        <is>
          <t>Jul-2017</t>
        </is>
      </c>
      <c r="C1079" s="2" t="n">
        <v>43951</v>
      </c>
      <c r="D1079" t="inlineStr">
        <is>
          <t>NIL</t>
        </is>
      </c>
      <c r="E1079" t="n">
        <v>911</v>
      </c>
    </row>
    <row r="1080">
      <c r="A1080" t="inlineStr">
        <is>
          <t>27BBBBB01080Z5</t>
        </is>
      </c>
      <c r="B1080" t="inlineStr">
        <is>
          <t>Nov-2017</t>
        </is>
      </c>
      <c r="C1080" s="2" t="n">
        <v>43224</v>
      </c>
      <c r="D1080" t="inlineStr">
        <is>
          <t>NIL</t>
        </is>
      </c>
      <c r="E1080" t="n">
        <v>1417</v>
      </c>
    </row>
    <row r="1081">
      <c r="A1081" t="inlineStr">
        <is>
          <t>27BBBBB01081Z5</t>
        </is>
      </c>
      <c r="B1081" t="inlineStr">
        <is>
          <t>Sep-2018</t>
        </is>
      </c>
      <c r="C1081" s="2" t="n">
        <v>43676</v>
      </c>
      <c r="D1081" t="inlineStr">
        <is>
          <t>NIL</t>
        </is>
      </c>
      <c r="E1081" t="n">
        <v>1059</v>
      </c>
    </row>
    <row r="1082">
      <c r="A1082" t="inlineStr">
        <is>
          <t>27BBBBB01082Z5</t>
        </is>
      </c>
      <c r="B1082" t="inlineStr">
        <is>
          <t>Sep-2017</t>
        </is>
      </c>
      <c r="C1082" s="2" t="n">
        <v>43199</v>
      </c>
      <c r="D1082" t="inlineStr">
        <is>
          <t>NIL</t>
        </is>
      </c>
      <c r="E1082" t="n">
        <v>1726</v>
      </c>
    </row>
    <row r="1083">
      <c r="A1083" t="inlineStr">
        <is>
          <t>27BBBBB01083Z5</t>
        </is>
      </c>
      <c r="B1083" t="inlineStr">
        <is>
          <t>Jul-2018</t>
        </is>
      </c>
      <c r="C1083" s="2" t="n">
        <v>43543</v>
      </c>
      <c r="D1083" t="inlineStr">
        <is>
          <t>NIL</t>
        </is>
      </c>
      <c r="E1083" t="n">
        <v>2835</v>
      </c>
    </row>
    <row r="1084">
      <c r="A1084" t="inlineStr">
        <is>
          <t>27BBBBB01084Z5</t>
        </is>
      </c>
      <c r="B1084" t="inlineStr">
        <is>
          <t>Dec-2022</t>
        </is>
      </c>
      <c r="C1084" s="2" t="n">
        <v>44995</v>
      </c>
      <c r="D1084" t="inlineStr">
        <is>
          <t>NIL</t>
        </is>
      </c>
      <c r="E1084" t="n">
        <v>2342</v>
      </c>
    </row>
    <row r="1085">
      <c r="A1085" t="inlineStr">
        <is>
          <t>27BBBBB01085Z5</t>
        </is>
      </c>
      <c r="B1085" t="inlineStr">
        <is>
          <t>Mar-2018</t>
        </is>
      </c>
      <c r="C1085" s="2" t="n">
        <v>43562</v>
      </c>
      <c r="D1085" t="inlineStr">
        <is>
          <t>NON-NIL</t>
        </is>
      </c>
      <c r="E1085" t="n">
        <v>2649</v>
      </c>
    </row>
    <row r="1086">
      <c r="A1086" t="inlineStr">
        <is>
          <t>27BBBBB01086Z5</t>
        </is>
      </c>
      <c r="B1086" t="inlineStr">
        <is>
          <t>May-2020</t>
        </is>
      </c>
      <c r="C1086" s="2" t="n">
        <v>44739</v>
      </c>
      <c r="D1086" t="inlineStr">
        <is>
          <t>NIL</t>
        </is>
      </c>
      <c r="E1086" t="n">
        <v>401</v>
      </c>
    </row>
    <row r="1087">
      <c r="A1087" t="inlineStr">
        <is>
          <t>27BBBBB01087Z5</t>
        </is>
      </c>
      <c r="B1087" t="inlineStr">
        <is>
          <t>Apr-2018</t>
        </is>
      </c>
      <c r="C1087" s="2" t="n">
        <v>44494</v>
      </c>
      <c r="D1087" t="inlineStr">
        <is>
          <t>NIL</t>
        </is>
      </c>
      <c r="E1087" t="n">
        <v>2701</v>
      </c>
    </row>
    <row r="1088">
      <c r="A1088" t="inlineStr">
        <is>
          <t>27BBBBB01088Z5</t>
        </is>
      </c>
      <c r="B1088" t="inlineStr">
        <is>
          <t>Aug-2018</t>
        </is>
      </c>
      <c r="C1088" s="2" t="n">
        <v>43781</v>
      </c>
      <c r="D1088" t="inlineStr">
        <is>
          <t>NIL</t>
        </is>
      </c>
      <c r="E1088" t="n">
        <v>595</v>
      </c>
    </row>
    <row r="1089">
      <c r="A1089" t="inlineStr">
        <is>
          <t>27BBBBB01089Z5</t>
        </is>
      </c>
      <c r="B1089" t="inlineStr">
        <is>
          <t>Dec-2022</t>
        </is>
      </c>
      <c r="C1089" s="2" t="n">
        <v>44503</v>
      </c>
      <c r="D1089" t="inlineStr">
        <is>
          <t>NON-NIL</t>
        </is>
      </c>
      <c r="E1089" t="n">
        <v>1795</v>
      </c>
    </row>
    <row r="1090">
      <c r="A1090" t="inlineStr">
        <is>
          <t>27BBBBB01090Z5</t>
        </is>
      </c>
      <c r="B1090" t="inlineStr">
        <is>
          <t>Aug-2018</t>
        </is>
      </c>
      <c r="C1090" s="2" t="n">
        <v>42921</v>
      </c>
      <c r="D1090" t="inlineStr">
        <is>
          <t>NIL</t>
        </is>
      </c>
      <c r="E1090" t="n">
        <v>2275</v>
      </c>
    </row>
    <row r="1091">
      <c r="A1091" t="inlineStr">
        <is>
          <t>27BBBBB01091Z5</t>
        </is>
      </c>
      <c r="B1091" t="inlineStr">
        <is>
          <t>Nov-2017</t>
        </is>
      </c>
      <c r="C1091" s="2" t="n">
        <v>44310</v>
      </c>
      <c r="D1091" t="inlineStr">
        <is>
          <t>NIL</t>
        </is>
      </c>
      <c r="E1091" t="n">
        <v>1971</v>
      </c>
    </row>
    <row r="1092">
      <c r="A1092" t="inlineStr">
        <is>
          <t>27BBBBB01092Z5</t>
        </is>
      </c>
      <c r="B1092" t="inlineStr">
        <is>
          <t>Sep-2017</t>
        </is>
      </c>
      <c r="C1092" s="2" t="n">
        <v>43041</v>
      </c>
      <c r="D1092" t="inlineStr">
        <is>
          <t>NIL</t>
        </is>
      </c>
      <c r="E1092" t="n">
        <v>591</v>
      </c>
    </row>
    <row r="1093">
      <c r="A1093" t="inlineStr">
        <is>
          <t>27BBBBB01093Z5</t>
        </is>
      </c>
      <c r="B1093" t="inlineStr">
        <is>
          <t>Mar-2018</t>
        </is>
      </c>
      <c r="C1093" s="2" t="n">
        <v>43564</v>
      </c>
      <c r="D1093" t="inlineStr">
        <is>
          <t>NON-NIL</t>
        </is>
      </c>
      <c r="E1093" t="n">
        <v>1117</v>
      </c>
    </row>
    <row r="1094">
      <c r="A1094" t="inlineStr">
        <is>
          <t>27BBBBB01094Z5</t>
        </is>
      </c>
      <c r="B1094" t="inlineStr">
        <is>
          <t>Oct-2017</t>
        </is>
      </c>
      <c r="C1094" s="2" t="n">
        <v>44205</v>
      </c>
      <c r="D1094" t="inlineStr">
        <is>
          <t>NON-NIL</t>
        </is>
      </c>
      <c r="E1094" t="n">
        <v>2683</v>
      </c>
    </row>
    <row r="1095">
      <c r="A1095" t="inlineStr">
        <is>
          <t>27BBBBB01095Z5</t>
        </is>
      </c>
      <c r="B1095" t="inlineStr">
        <is>
          <t>Mar-2020</t>
        </is>
      </c>
      <c r="C1095" s="2" t="n">
        <v>44321</v>
      </c>
      <c r="D1095" t="inlineStr">
        <is>
          <t>NON-NIL</t>
        </is>
      </c>
      <c r="E1095" t="n">
        <v>2509</v>
      </c>
    </row>
    <row r="1096">
      <c r="A1096" t="inlineStr">
        <is>
          <t>27BBBBB01096Z5</t>
        </is>
      </c>
      <c r="B1096" t="inlineStr">
        <is>
          <t>Oct-2018</t>
        </is>
      </c>
      <c r="C1096" s="2" t="n">
        <v>44152</v>
      </c>
      <c r="D1096" t="inlineStr">
        <is>
          <t>NIL</t>
        </is>
      </c>
      <c r="E1096" t="n">
        <v>2695</v>
      </c>
    </row>
    <row r="1097">
      <c r="A1097" t="inlineStr">
        <is>
          <t>27BBBBB01097Z5</t>
        </is>
      </c>
      <c r="B1097" t="inlineStr">
        <is>
          <t>Dec-2024</t>
        </is>
      </c>
      <c r="C1097" s="2" t="n">
        <v>44382</v>
      </c>
      <c r="D1097" t="inlineStr">
        <is>
          <t>NIL</t>
        </is>
      </c>
      <c r="E1097" t="n">
        <v>1006</v>
      </c>
    </row>
    <row r="1098">
      <c r="A1098" t="inlineStr">
        <is>
          <t>27BBBBB01098Z5</t>
        </is>
      </c>
      <c r="B1098" t="inlineStr">
        <is>
          <t>Nov-2018</t>
        </is>
      </c>
      <c r="C1098" s="2" t="n">
        <v>43317</v>
      </c>
      <c r="D1098" t="inlineStr">
        <is>
          <t>NIL</t>
        </is>
      </c>
      <c r="E1098" t="n">
        <v>2158</v>
      </c>
    </row>
    <row r="1099">
      <c r="A1099" t="inlineStr">
        <is>
          <t>27BBBBB01099Z5</t>
        </is>
      </c>
      <c r="B1099" t="inlineStr">
        <is>
          <t>Sep-2018</t>
        </is>
      </c>
      <c r="C1099" s="2" t="n">
        <v>43796</v>
      </c>
      <c r="D1099" t="inlineStr">
        <is>
          <t>NIL</t>
        </is>
      </c>
      <c r="E1099" t="n">
        <v>2259</v>
      </c>
    </row>
    <row r="1100">
      <c r="A1100" t="inlineStr">
        <is>
          <t>27BBBBB01100Z5</t>
        </is>
      </c>
      <c r="B1100" t="inlineStr">
        <is>
          <t>Jan-2021</t>
        </is>
      </c>
      <c r="C1100" s="2" t="n">
        <v>45098</v>
      </c>
      <c r="D1100" t="inlineStr">
        <is>
          <t>NIL</t>
        </is>
      </c>
      <c r="E1100" t="n">
        <v>1415</v>
      </c>
    </row>
    <row r="1101">
      <c r="A1101" t="inlineStr">
        <is>
          <t>27BBBBB01101Z5</t>
        </is>
      </c>
      <c r="B1101" t="inlineStr">
        <is>
          <t>Nov-2018</t>
        </is>
      </c>
      <c r="C1101" s="2" t="n">
        <v>43168</v>
      </c>
      <c r="D1101" t="inlineStr">
        <is>
          <t>NON-NIL</t>
        </is>
      </c>
      <c r="E1101" t="n">
        <v>861</v>
      </c>
    </row>
    <row r="1102">
      <c r="A1102" t="inlineStr">
        <is>
          <t>27BBBBB01102Z5</t>
        </is>
      </c>
      <c r="B1102" t="inlineStr">
        <is>
          <t>Dec-2018</t>
        </is>
      </c>
      <c r="C1102" s="2" t="n">
        <v>44391</v>
      </c>
      <c r="D1102" t="inlineStr">
        <is>
          <t>NON-NIL</t>
        </is>
      </c>
      <c r="E1102" t="n">
        <v>2205</v>
      </c>
    </row>
    <row r="1103">
      <c r="A1103" t="inlineStr">
        <is>
          <t>27BBBBB01103Z5</t>
        </is>
      </c>
      <c r="B1103" t="inlineStr">
        <is>
          <t>Oct-2017</t>
        </is>
      </c>
      <c r="C1103" s="2" t="n">
        <v>43692</v>
      </c>
      <c r="D1103" t="inlineStr">
        <is>
          <t>NON-NIL</t>
        </is>
      </c>
      <c r="E1103" t="n">
        <v>739</v>
      </c>
    </row>
    <row r="1104">
      <c r="A1104" t="inlineStr">
        <is>
          <t>27BBBBB01104Z5</t>
        </is>
      </c>
      <c r="B1104" t="inlineStr">
        <is>
          <t>Jan-2021</t>
        </is>
      </c>
      <c r="C1104" s="2" t="n">
        <v>44047</v>
      </c>
      <c r="D1104" t="inlineStr">
        <is>
          <t>NIL</t>
        </is>
      </c>
      <c r="E1104" t="n">
        <v>1362</v>
      </c>
    </row>
    <row r="1105">
      <c r="A1105" t="inlineStr">
        <is>
          <t>27BBBBB01105Z5</t>
        </is>
      </c>
      <c r="B1105" t="inlineStr">
        <is>
          <t>Aug-2017</t>
        </is>
      </c>
      <c r="C1105" s="2" t="n">
        <v>43922</v>
      </c>
      <c r="D1105" t="inlineStr">
        <is>
          <t>NIL</t>
        </is>
      </c>
      <c r="E1105" t="n">
        <v>1965</v>
      </c>
    </row>
    <row r="1106">
      <c r="A1106" t="inlineStr">
        <is>
          <t>27BBBBB01106Z5</t>
        </is>
      </c>
      <c r="B1106" t="inlineStr">
        <is>
          <t>Dec-2018</t>
        </is>
      </c>
      <c r="C1106" s="2" t="n">
        <v>43921</v>
      </c>
      <c r="D1106" t="inlineStr">
        <is>
          <t>NIL</t>
        </is>
      </c>
      <c r="E1106" t="n">
        <v>2587</v>
      </c>
    </row>
    <row r="1107">
      <c r="A1107" t="inlineStr">
        <is>
          <t>27BBBBB01107Z5</t>
        </is>
      </c>
      <c r="B1107" t="inlineStr">
        <is>
          <t>Jun-2018</t>
        </is>
      </c>
      <c r="C1107" s="2" t="n">
        <v>43189</v>
      </c>
      <c r="D1107" t="inlineStr">
        <is>
          <t>NIL</t>
        </is>
      </c>
      <c r="E1107" t="n">
        <v>2374</v>
      </c>
    </row>
    <row r="1108">
      <c r="A1108" t="inlineStr">
        <is>
          <t>27BBBBB01108Z5</t>
        </is>
      </c>
      <c r="B1108" t="inlineStr">
        <is>
          <t>Apr-2020</t>
        </is>
      </c>
      <c r="C1108" s="2" t="n">
        <v>44901</v>
      </c>
      <c r="D1108" t="inlineStr">
        <is>
          <t>NIL</t>
        </is>
      </c>
      <c r="E1108" t="n">
        <v>1543</v>
      </c>
    </row>
    <row r="1109">
      <c r="A1109" t="inlineStr">
        <is>
          <t>27BBBBB01109Z5</t>
        </is>
      </c>
      <c r="B1109" t="inlineStr">
        <is>
          <t>Nov-2018</t>
        </is>
      </c>
      <c r="C1109" s="2" t="n">
        <v>43440</v>
      </c>
      <c r="D1109" t="inlineStr">
        <is>
          <t>NON-NIL</t>
        </is>
      </c>
      <c r="E1109" t="n">
        <v>124</v>
      </c>
    </row>
    <row r="1110">
      <c r="A1110" t="inlineStr">
        <is>
          <t>27BBBBB01110Z5</t>
        </is>
      </c>
      <c r="B1110" t="inlineStr">
        <is>
          <t>Jun-2020</t>
        </is>
      </c>
      <c r="C1110" s="2" t="n">
        <v>44234</v>
      </c>
      <c r="D1110" t="inlineStr">
        <is>
          <t>NIL</t>
        </is>
      </c>
      <c r="E1110" t="n">
        <v>1185</v>
      </c>
    </row>
    <row r="1111">
      <c r="A1111" t="inlineStr">
        <is>
          <t>27BBBBB01111Z5</t>
        </is>
      </c>
      <c r="B1111" t="inlineStr">
        <is>
          <t>Dec-2017</t>
        </is>
      </c>
      <c r="C1111" s="2" t="n">
        <v>44134</v>
      </c>
      <c r="D1111" t="inlineStr">
        <is>
          <t>NON-NIL</t>
        </is>
      </c>
      <c r="E1111" t="n">
        <v>235</v>
      </c>
    </row>
    <row r="1112">
      <c r="A1112" t="inlineStr">
        <is>
          <t>27BBBBB01112Z5</t>
        </is>
      </c>
      <c r="B1112" t="inlineStr">
        <is>
          <t>Dec-2018</t>
        </is>
      </c>
      <c r="C1112" s="2" t="n">
        <v>43725</v>
      </c>
      <c r="D1112" t="inlineStr">
        <is>
          <t>NON-NIL</t>
        </is>
      </c>
      <c r="E1112" t="n">
        <v>630</v>
      </c>
    </row>
    <row r="1113">
      <c r="A1113" t="inlineStr">
        <is>
          <t>27BBBBB01113Z5</t>
        </is>
      </c>
      <c r="B1113" t="inlineStr">
        <is>
          <t>Jan-2021</t>
        </is>
      </c>
      <c r="C1113" s="2" t="n">
        <v>44097</v>
      </c>
      <c r="D1113" t="inlineStr">
        <is>
          <t>NON-NIL</t>
        </is>
      </c>
      <c r="E1113" t="n">
        <v>2714</v>
      </c>
    </row>
    <row r="1114">
      <c r="A1114" t="inlineStr">
        <is>
          <t>27BBBBB01114Z5</t>
        </is>
      </c>
      <c r="B1114" t="inlineStr">
        <is>
          <t>May-2020</t>
        </is>
      </c>
      <c r="C1114" s="2" t="n">
        <v>44719</v>
      </c>
      <c r="D1114" t="inlineStr">
        <is>
          <t>NIL</t>
        </is>
      </c>
      <c r="E1114" t="n">
        <v>2189</v>
      </c>
    </row>
    <row r="1115">
      <c r="A1115" t="inlineStr">
        <is>
          <t>27BBBBB01115Z5</t>
        </is>
      </c>
      <c r="B1115" t="inlineStr">
        <is>
          <t>Sep-2017</t>
        </is>
      </c>
      <c r="C1115" s="2" t="n">
        <v>43032</v>
      </c>
      <c r="D1115" t="inlineStr">
        <is>
          <t>NON-NIL</t>
        </is>
      </c>
      <c r="E1115" t="n">
        <v>1655</v>
      </c>
    </row>
    <row r="1116">
      <c r="A1116" t="inlineStr">
        <is>
          <t>27BBBBB01116Z5</t>
        </is>
      </c>
      <c r="B1116" t="inlineStr">
        <is>
          <t>Sep-2018</t>
        </is>
      </c>
      <c r="C1116" s="2" t="n">
        <v>43852</v>
      </c>
      <c r="D1116" t="inlineStr">
        <is>
          <t>NON-NIL</t>
        </is>
      </c>
      <c r="E1116" t="n">
        <v>2204</v>
      </c>
    </row>
    <row r="1117">
      <c r="A1117" t="inlineStr">
        <is>
          <t>27BBBBB01117Z5</t>
        </is>
      </c>
      <c r="B1117" t="inlineStr">
        <is>
          <t>Dec-2024</t>
        </is>
      </c>
      <c r="C1117" s="2" t="n">
        <v>45158</v>
      </c>
      <c r="D1117" t="inlineStr">
        <is>
          <t>NON-NIL</t>
        </is>
      </c>
      <c r="E1117" t="n">
        <v>2747</v>
      </c>
    </row>
    <row r="1118">
      <c r="A1118" t="inlineStr">
        <is>
          <t>27BBBBB01118Z5</t>
        </is>
      </c>
      <c r="B1118" t="inlineStr">
        <is>
          <t>Jul-2020</t>
        </is>
      </c>
      <c r="C1118" s="2" t="n">
        <v>44299</v>
      </c>
      <c r="D1118" t="inlineStr">
        <is>
          <t>NON-NIL</t>
        </is>
      </c>
      <c r="E1118" t="n">
        <v>308</v>
      </c>
    </row>
    <row r="1119">
      <c r="A1119" t="inlineStr">
        <is>
          <t>27BBBBB01119Z5</t>
        </is>
      </c>
      <c r="B1119" t="inlineStr">
        <is>
          <t>Dec-2018</t>
        </is>
      </c>
      <c r="C1119" s="2" t="n">
        <v>43055</v>
      </c>
      <c r="D1119" t="inlineStr">
        <is>
          <t>NIL</t>
        </is>
      </c>
      <c r="E1119" t="n">
        <v>1469</v>
      </c>
    </row>
    <row r="1120">
      <c r="A1120" t="inlineStr">
        <is>
          <t>27BBBBB01120Z5</t>
        </is>
      </c>
      <c r="B1120" t="inlineStr">
        <is>
          <t>May-2020</t>
        </is>
      </c>
      <c r="C1120" s="2" t="n">
        <v>44727</v>
      </c>
      <c r="D1120" t="inlineStr">
        <is>
          <t>NON-NIL</t>
        </is>
      </c>
      <c r="E1120" t="n">
        <v>1762</v>
      </c>
    </row>
    <row r="1121">
      <c r="A1121" t="inlineStr">
        <is>
          <t>27BBBBB01121Z5</t>
        </is>
      </c>
      <c r="B1121" t="inlineStr">
        <is>
          <t>Nov-2018</t>
        </is>
      </c>
      <c r="C1121" s="2" t="n">
        <v>44529</v>
      </c>
      <c r="D1121" t="inlineStr">
        <is>
          <t>NIL</t>
        </is>
      </c>
      <c r="E1121" t="n">
        <v>889</v>
      </c>
    </row>
    <row r="1122">
      <c r="A1122" t="inlineStr">
        <is>
          <t>27BBBBB01122Z5</t>
        </is>
      </c>
      <c r="B1122" t="inlineStr">
        <is>
          <t>Aug-2017</t>
        </is>
      </c>
      <c r="C1122" s="2" t="n">
        <v>43657</v>
      </c>
      <c r="D1122" t="inlineStr">
        <is>
          <t>NIL</t>
        </is>
      </c>
      <c r="E1122" t="n">
        <v>2835</v>
      </c>
    </row>
    <row r="1123">
      <c r="A1123" t="inlineStr">
        <is>
          <t>27BBBBB01123Z5</t>
        </is>
      </c>
      <c r="B1123" t="inlineStr">
        <is>
          <t>Oct-2018</t>
        </is>
      </c>
      <c r="C1123" s="2" t="n">
        <v>43491</v>
      </c>
      <c r="D1123" t="inlineStr">
        <is>
          <t>NIL</t>
        </is>
      </c>
      <c r="E1123" t="n">
        <v>2738</v>
      </c>
    </row>
    <row r="1124">
      <c r="A1124" t="inlineStr">
        <is>
          <t>27BBBBB01124Z5</t>
        </is>
      </c>
      <c r="B1124" t="inlineStr">
        <is>
          <t>Aug-2018</t>
        </is>
      </c>
      <c r="C1124" s="2" t="n">
        <v>43240</v>
      </c>
      <c r="D1124" t="inlineStr">
        <is>
          <t>NON-NIL</t>
        </is>
      </c>
      <c r="E1124" t="n">
        <v>574</v>
      </c>
    </row>
    <row r="1125">
      <c r="A1125" t="inlineStr">
        <is>
          <t>27BBBBB01125Z5</t>
        </is>
      </c>
      <c r="B1125" t="inlineStr">
        <is>
          <t>Jul-2018</t>
        </is>
      </c>
      <c r="C1125" s="2" t="n">
        <v>43157</v>
      </c>
      <c r="D1125" t="inlineStr">
        <is>
          <t>NIL</t>
        </is>
      </c>
      <c r="E1125" t="n">
        <v>2904</v>
      </c>
    </row>
    <row r="1126">
      <c r="A1126" t="inlineStr">
        <is>
          <t>27BBBBB01126Z5</t>
        </is>
      </c>
      <c r="B1126" t="inlineStr">
        <is>
          <t>Feb-2018</t>
        </is>
      </c>
      <c r="C1126" s="2" t="n">
        <v>43411</v>
      </c>
      <c r="D1126" t="inlineStr">
        <is>
          <t>NIL</t>
        </is>
      </c>
      <c r="E1126" t="n">
        <v>1145</v>
      </c>
    </row>
    <row r="1127">
      <c r="A1127" t="inlineStr">
        <is>
          <t>27BBBBB01127Z5</t>
        </is>
      </c>
      <c r="B1127" t="inlineStr">
        <is>
          <t>Dec-2018</t>
        </is>
      </c>
      <c r="C1127" s="2" t="n">
        <v>44336</v>
      </c>
      <c r="D1127" t="inlineStr">
        <is>
          <t>NON-NIL</t>
        </is>
      </c>
      <c r="E1127" t="n">
        <v>2040</v>
      </c>
    </row>
    <row r="1128">
      <c r="A1128" t="inlineStr">
        <is>
          <t>27BBBBB01128Z5</t>
        </is>
      </c>
      <c r="B1128" t="inlineStr">
        <is>
          <t>Jan-2018</t>
        </is>
      </c>
      <c r="C1128" s="2" t="n">
        <v>43714</v>
      </c>
      <c r="D1128" t="inlineStr">
        <is>
          <t>NON-NIL</t>
        </is>
      </c>
      <c r="E1128" t="n">
        <v>445</v>
      </c>
    </row>
    <row r="1129">
      <c r="A1129" t="inlineStr">
        <is>
          <t>27BBBBB01129Z5</t>
        </is>
      </c>
      <c r="B1129" t="inlineStr">
        <is>
          <t>Nov-2018</t>
        </is>
      </c>
      <c r="C1129" s="2" t="n">
        <v>44015</v>
      </c>
      <c r="D1129" t="inlineStr">
        <is>
          <t>NON-NIL</t>
        </is>
      </c>
      <c r="E1129" t="n">
        <v>2480</v>
      </c>
    </row>
    <row r="1130">
      <c r="A1130" t="inlineStr">
        <is>
          <t>27BBBBB01130Z5</t>
        </is>
      </c>
      <c r="B1130" t="inlineStr">
        <is>
          <t>Oct-2017</t>
        </is>
      </c>
      <c r="C1130" s="2" t="n">
        <v>44174</v>
      </c>
      <c r="D1130" t="inlineStr">
        <is>
          <t>NON-NIL</t>
        </is>
      </c>
      <c r="E1130" t="n">
        <v>1611</v>
      </c>
    </row>
    <row r="1131">
      <c r="A1131" t="inlineStr">
        <is>
          <t>27BBBBB01131Z5</t>
        </is>
      </c>
      <c r="B1131" t="inlineStr">
        <is>
          <t>Sep-2017</t>
        </is>
      </c>
      <c r="C1131" s="2" t="n">
        <v>43350</v>
      </c>
      <c r="D1131" t="inlineStr">
        <is>
          <t>NIL</t>
        </is>
      </c>
      <c r="E1131" t="n">
        <v>2376</v>
      </c>
    </row>
    <row r="1132">
      <c r="A1132" t="inlineStr">
        <is>
          <t>27BBBBB01132Z5</t>
        </is>
      </c>
      <c r="B1132" t="inlineStr">
        <is>
          <t>Apr-2018</t>
        </is>
      </c>
      <c r="C1132" s="2" t="n">
        <v>42960</v>
      </c>
      <c r="D1132" t="inlineStr">
        <is>
          <t>NON-NIL</t>
        </is>
      </c>
      <c r="E1132" t="n">
        <v>975</v>
      </c>
    </row>
    <row r="1133">
      <c r="A1133" t="inlineStr">
        <is>
          <t>27BBBBB01133Z5</t>
        </is>
      </c>
      <c r="B1133" t="inlineStr">
        <is>
          <t>Jun-2018</t>
        </is>
      </c>
      <c r="C1133" s="2" t="n">
        <v>43884</v>
      </c>
      <c r="D1133" t="inlineStr">
        <is>
          <t>NIL</t>
        </is>
      </c>
      <c r="E1133" t="n">
        <v>1083</v>
      </c>
    </row>
    <row r="1134">
      <c r="A1134" t="inlineStr">
        <is>
          <t>27BBBBB01134Z5</t>
        </is>
      </c>
      <c r="B1134" t="inlineStr">
        <is>
          <t>Sep-2018</t>
        </is>
      </c>
      <c r="C1134" s="2" t="n">
        <v>43742</v>
      </c>
      <c r="D1134" t="inlineStr">
        <is>
          <t>NIL</t>
        </is>
      </c>
      <c r="E1134" t="n">
        <v>2455</v>
      </c>
    </row>
    <row r="1135">
      <c r="A1135" t="inlineStr">
        <is>
          <t>27BBBBB01135Z5</t>
        </is>
      </c>
      <c r="B1135" t="inlineStr">
        <is>
          <t>Dec-2018</t>
        </is>
      </c>
      <c r="C1135" s="2" t="n">
        <v>43630</v>
      </c>
      <c r="D1135" t="inlineStr">
        <is>
          <t>NON-NIL</t>
        </is>
      </c>
      <c r="E1135" t="n">
        <v>603</v>
      </c>
    </row>
    <row r="1136">
      <c r="A1136" t="inlineStr">
        <is>
          <t>27BBBBB01136Z5</t>
        </is>
      </c>
      <c r="B1136" t="inlineStr">
        <is>
          <t>Dec-2022</t>
        </is>
      </c>
      <c r="C1136" s="2" t="n">
        <v>45091</v>
      </c>
      <c r="D1136" t="inlineStr">
        <is>
          <t>NON-NIL</t>
        </is>
      </c>
      <c r="E1136" t="n">
        <v>141</v>
      </c>
    </row>
    <row r="1137">
      <c r="A1137" t="inlineStr">
        <is>
          <t>27BBBBB01137Z5</t>
        </is>
      </c>
      <c r="B1137" t="inlineStr">
        <is>
          <t>Jul-2017</t>
        </is>
      </c>
      <c r="C1137" s="2" t="n">
        <v>43869</v>
      </c>
      <c r="D1137" t="inlineStr">
        <is>
          <t>NIL</t>
        </is>
      </c>
      <c r="E1137" t="n">
        <v>2264</v>
      </c>
    </row>
    <row r="1138">
      <c r="A1138" t="inlineStr">
        <is>
          <t>27BBBBB01138Z5</t>
        </is>
      </c>
      <c r="B1138" t="inlineStr">
        <is>
          <t>Jun-2020</t>
        </is>
      </c>
      <c r="C1138" s="2" t="n">
        <v>44443</v>
      </c>
      <c r="D1138" t="inlineStr">
        <is>
          <t>NIL</t>
        </is>
      </c>
      <c r="E1138" t="n">
        <v>2081</v>
      </c>
    </row>
    <row r="1139">
      <c r="A1139" t="inlineStr">
        <is>
          <t>27BBBBB01139Z5</t>
        </is>
      </c>
      <c r="B1139" t="inlineStr">
        <is>
          <t>May-2020</t>
        </is>
      </c>
      <c r="C1139" s="2" t="n">
        <v>44557</v>
      </c>
      <c r="D1139" t="inlineStr">
        <is>
          <t>NIL</t>
        </is>
      </c>
      <c r="E1139" t="n">
        <v>110</v>
      </c>
    </row>
    <row r="1140">
      <c r="A1140" t="inlineStr">
        <is>
          <t>27BBBBB01140Z5</t>
        </is>
      </c>
      <c r="B1140" t="inlineStr">
        <is>
          <t>Mar-2020</t>
        </is>
      </c>
      <c r="C1140" s="2" t="n">
        <v>44877</v>
      </c>
      <c r="D1140" t="inlineStr">
        <is>
          <t>NON-NIL</t>
        </is>
      </c>
      <c r="E1140" t="n">
        <v>1776</v>
      </c>
    </row>
    <row r="1141">
      <c r="A1141" t="inlineStr">
        <is>
          <t>27BBBBB01141Z5</t>
        </is>
      </c>
      <c r="B1141" t="inlineStr">
        <is>
          <t>Jun-2020</t>
        </is>
      </c>
      <c r="C1141" s="2" t="n">
        <v>44160</v>
      </c>
      <c r="D1141" t="inlineStr">
        <is>
          <t>NON-NIL</t>
        </is>
      </c>
      <c r="E1141" t="n">
        <v>2641</v>
      </c>
    </row>
    <row r="1142">
      <c r="A1142" t="inlineStr">
        <is>
          <t>27BBBBB01142Z5</t>
        </is>
      </c>
      <c r="B1142" t="inlineStr">
        <is>
          <t>Dec-2022</t>
        </is>
      </c>
      <c r="C1142" s="2" t="n">
        <v>44748</v>
      </c>
      <c r="D1142" t="inlineStr">
        <is>
          <t>NIL</t>
        </is>
      </c>
      <c r="E1142" t="n">
        <v>1338</v>
      </c>
    </row>
    <row r="1143">
      <c r="A1143" t="inlineStr">
        <is>
          <t>27BBBBB01143Z5</t>
        </is>
      </c>
      <c r="B1143" t="inlineStr">
        <is>
          <t>Sep-2017</t>
        </is>
      </c>
      <c r="C1143" s="2" t="n">
        <v>43464</v>
      </c>
      <c r="D1143" t="inlineStr">
        <is>
          <t>NIL</t>
        </is>
      </c>
      <c r="E1143" t="n">
        <v>1271</v>
      </c>
    </row>
    <row r="1144">
      <c r="A1144" t="inlineStr">
        <is>
          <t>27BBBBB01144Z5</t>
        </is>
      </c>
      <c r="B1144" t="inlineStr">
        <is>
          <t>Nov-2018</t>
        </is>
      </c>
      <c r="C1144" s="2" t="n">
        <v>44464</v>
      </c>
      <c r="D1144" t="inlineStr">
        <is>
          <t>NON-NIL</t>
        </is>
      </c>
      <c r="E1144" t="n">
        <v>915</v>
      </c>
    </row>
    <row r="1145">
      <c r="A1145" t="inlineStr">
        <is>
          <t>27BBBBB01145Z5</t>
        </is>
      </c>
      <c r="B1145" t="inlineStr">
        <is>
          <t>Jun-2018</t>
        </is>
      </c>
      <c r="C1145" s="2" t="n">
        <v>44393</v>
      </c>
      <c r="D1145" t="inlineStr">
        <is>
          <t>NON-NIL</t>
        </is>
      </c>
      <c r="E1145" t="n">
        <v>1534</v>
      </c>
    </row>
    <row r="1146">
      <c r="A1146" t="inlineStr">
        <is>
          <t>27BBBBB01146Z5</t>
        </is>
      </c>
      <c r="B1146" t="inlineStr">
        <is>
          <t>Mar-2018</t>
        </is>
      </c>
      <c r="C1146" s="2" t="n">
        <v>43379</v>
      </c>
      <c r="D1146" t="inlineStr">
        <is>
          <t>NON-NIL</t>
        </is>
      </c>
      <c r="E1146" t="n">
        <v>1317</v>
      </c>
    </row>
    <row r="1147">
      <c r="A1147" t="inlineStr">
        <is>
          <t>27BBBBB01147Z5</t>
        </is>
      </c>
      <c r="B1147" t="inlineStr">
        <is>
          <t>Feb-2018</t>
        </is>
      </c>
      <c r="C1147" s="2" t="n">
        <v>43698</v>
      </c>
      <c r="D1147" t="inlineStr">
        <is>
          <t>NON-NIL</t>
        </is>
      </c>
      <c r="E1147" t="n">
        <v>2533</v>
      </c>
    </row>
    <row r="1148">
      <c r="A1148" t="inlineStr">
        <is>
          <t>27BBBBB01148Z5</t>
        </is>
      </c>
      <c r="B1148" t="inlineStr">
        <is>
          <t>Mar-2020</t>
        </is>
      </c>
      <c r="C1148" s="2" t="n">
        <v>44633</v>
      </c>
      <c r="D1148" t="inlineStr">
        <is>
          <t>NIL</t>
        </is>
      </c>
      <c r="E1148" t="n">
        <v>2931</v>
      </c>
    </row>
    <row r="1149">
      <c r="A1149" t="inlineStr">
        <is>
          <t>27BBBBB01149Z5</t>
        </is>
      </c>
      <c r="B1149" t="inlineStr">
        <is>
          <t>Aug-2017</t>
        </is>
      </c>
      <c r="C1149" s="2" t="n">
        <v>43915</v>
      </c>
      <c r="D1149" t="inlineStr">
        <is>
          <t>NON-NIL</t>
        </is>
      </c>
      <c r="E1149" t="n">
        <v>2955</v>
      </c>
    </row>
    <row r="1150">
      <c r="A1150" t="inlineStr">
        <is>
          <t>27BBBBB01150Z5</t>
        </is>
      </c>
      <c r="B1150" t="inlineStr">
        <is>
          <t>Mar-2020</t>
        </is>
      </c>
      <c r="C1150" s="2" t="n">
        <v>44741</v>
      </c>
      <c r="D1150" t="inlineStr">
        <is>
          <t>NON-NIL</t>
        </is>
      </c>
      <c r="E1150" t="n">
        <v>583</v>
      </c>
    </row>
    <row r="1151">
      <c r="A1151" t="inlineStr">
        <is>
          <t>27BBBBB01151Z5</t>
        </is>
      </c>
      <c r="B1151" t="inlineStr">
        <is>
          <t>Nov-2017</t>
        </is>
      </c>
      <c r="C1151" s="2" t="n">
        <v>43246</v>
      </c>
      <c r="D1151" t="inlineStr">
        <is>
          <t>NIL</t>
        </is>
      </c>
      <c r="E1151" t="n">
        <v>2857</v>
      </c>
    </row>
    <row r="1152">
      <c r="A1152" t="inlineStr">
        <is>
          <t>27BBBBB01152Z5</t>
        </is>
      </c>
      <c r="B1152" t="inlineStr">
        <is>
          <t>Aug-2018</t>
        </is>
      </c>
      <c r="C1152" s="2" t="n">
        <v>43546</v>
      </c>
      <c r="D1152" t="inlineStr">
        <is>
          <t>NON-NIL</t>
        </is>
      </c>
      <c r="E1152" t="n">
        <v>2991</v>
      </c>
    </row>
    <row r="1153">
      <c r="A1153" t="inlineStr">
        <is>
          <t>27BBBBB01153Z5</t>
        </is>
      </c>
      <c r="B1153" t="inlineStr">
        <is>
          <t>Jun-2020</t>
        </is>
      </c>
      <c r="C1153" s="2" t="n">
        <v>44004</v>
      </c>
      <c r="D1153" t="inlineStr">
        <is>
          <t>NON-NIL</t>
        </is>
      </c>
      <c r="E1153" t="n">
        <v>991</v>
      </c>
    </row>
    <row r="1154">
      <c r="A1154" t="inlineStr">
        <is>
          <t>27BBBBB01154Z5</t>
        </is>
      </c>
      <c r="B1154" t="inlineStr">
        <is>
          <t>Feb-2018</t>
        </is>
      </c>
      <c r="C1154" s="2" t="n">
        <v>42986</v>
      </c>
      <c r="D1154" t="inlineStr">
        <is>
          <t>NIL</t>
        </is>
      </c>
      <c r="E1154" t="n">
        <v>605</v>
      </c>
    </row>
    <row r="1155">
      <c r="A1155" t="inlineStr">
        <is>
          <t>27BBBBB01155Z5</t>
        </is>
      </c>
      <c r="B1155" t="inlineStr">
        <is>
          <t>Oct-2018</t>
        </is>
      </c>
      <c r="C1155" s="2" t="n">
        <v>42939</v>
      </c>
      <c r="D1155" t="inlineStr">
        <is>
          <t>NIL</t>
        </is>
      </c>
      <c r="E1155" t="n">
        <v>1885</v>
      </c>
    </row>
    <row r="1156">
      <c r="A1156" t="inlineStr">
        <is>
          <t>27BBBBB01156Z5</t>
        </is>
      </c>
      <c r="B1156" t="inlineStr">
        <is>
          <t>Mar-2021</t>
        </is>
      </c>
      <c r="C1156" s="2" t="n">
        <v>44954</v>
      </c>
      <c r="D1156" t="inlineStr">
        <is>
          <t>NIL</t>
        </is>
      </c>
      <c r="E1156" t="n">
        <v>1950</v>
      </c>
    </row>
    <row r="1157">
      <c r="A1157" t="inlineStr">
        <is>
          <t>27BBBBB01157Z5</t>
        </is>
      </c>
      <c r="B1157" t="inlineStr">
        <is>
          <t>Mar-2023</t>
        </is>
      </c>
      <c r="C1157" s="2" t="n">
        <v>45184</v>
      </c>
      <c r="D1157" t="inlineStr">
        <is>
          <t>NON-NIL</t>
        </is>
      </c>
      <c r="E1157" t="n">
        <v>2838</v>
      </c>
    </row>
    <row r="1158">
      <c r="A1158" t="inlineStr">
        <is>
          <t>27BBBBB01158Z5</t>
        </is>
      </c>
      <c r="B1158" t="inlineStr">
        <is>
          <t>Aug-2018</t>
        </is>
      </c>
      <c r="C1158" s="2" t="n">
        <v>44337</v>
      </c>
      <c r="D1158" t="inlineStr">
        <is>
          <t>NIL</t>
        </is>
      </c>
      <c r="E1158" t="n">
        <v>2201</v>
      </c>
    </row>
    <row r="1159">
      <c r="A1159" t="inlineStr">
        <is>
          <t>27BBBBB01159Z5</t>
        </is>
      </c>
      <c r="B1159" t="inlineStr">
        <is>
          <t>Jul-2020</t>
        </is>
      </c>
      <c r="C1159" s="2" t="n">
        <v>43910</v>
      </c>
      <c r="D1159" t="inlineStr">
        <is>
          <t>NON-NIL</t>
        </is>
      </c>
      <c r="E1159" t="n">
        <v>443</v>
      </c>
    </row>
    <row r="1160">
      <c r="A1160" t="inlineStr">
        <is>
          <t>27BBBBB01160Z5</t>
        </is>
      </c>
      <c r="B1160" t="inlineStr">
        <is>
          <t>Mar-2018</t>
        </is>
      </c>
      <c r="C1160" s="2" t="n">
        <v>43650</v>
      </c>
      <c r="D1160" t="inlineStr">
        <is>
          <t>NIL</t>
        </is>
      </c>
      <c r="E1160" t="n">
        <v>2269</v>
      </c>
    </row>
    <row r="1161">
      <c r="A1161" t="inlineStr">
        <is>
          <t>27BBBBB01161Z5</t>
        </is>
      </c>
      <c r="B1161" t="inlineStr">
        <is>
          <t>Jul-2018</t>
        </is>
      </c>
      <c r="C1161" s="2" t="n">
        <v>44246</v>
      </c>
      <c r="D1161" t="inlineStr">
        <is>
          <t>NIL</t>
        </is>
      </c>
      <c r="E1161" t="n">
        <v>479</v>
      </c>
    </row>
    <row r="1162">
      <c r="A1162" t="inlineStr">
        <is>
          <t>27BBBBB01162Z5</t>
        </is>
      </c>
      <c r="B1162" t="inlineStr">
        <is>
          <t>Aug-2018</t>
        </is>
      </c>
      <c r="C1162" s="2" t="n">
        <v>43973</v>
      </c>
      <c r="D1162" t="inlineStr">
        <is>
          <t>NIL</t>
        </is>
      </c>
      <c r="E1162" t="n">
        <v>634</v>
      </c>
    </row>
    <row r="1163">
      <c r="A1163" t="inlineStr">
        <is>
          <t>27BBBBB01163Z5</t>
        </is>
      </c>
      <c r="B1163" t="inlineStr">
        <is>
          <t>Mar-2021</t>
        </is>
      </c>
      <c r="C1163" s="2" t="n">
        <v>43619</v>
      </c>
      <c r="D1163" t="inlineStr">
        <is>
          <t>NON-NIL</t>
        </is>
      </c>
      <c r="E1163" t="n">
        <v>1400</v>
      </c>
    </row>
    <row r="1164">
      <c r="A1164" t="inlineStr">
        <is>
          <t>27BBBBB01164Z5</t>
        </is>
      </c>
      <c r="B1164" t="inlineStr">
        <is>
          <t>Dec-2024</t>
        </is>
      </c>
      <c r="C1164" s="2" t="n">
        <v>43492</v>
      </c>
      <c r="D1164" t="inlineStr">
        <is>
          <t>NIL</t>
        </is>
      </c>
      <c r="E1164" t="n">
        <v>103</v>
      </c>
    </row>
    <row r="1165">
      <c r="A1165" t="inlineStr">
        <is>
          <t>27BBBBB01165Z5</t>
        </is>
      </c>
      <c r="B1165" t="inlineStr">
        <is>
          <t>Jul-2018</t>
        </is>
      </c>
      <c r="C1165" s="2" t="n">
        <v>44170</v>
      </c>
      <c r="D1165" t="inlineStr">
        <is>
          <t>NIL</t>
        </is>
      </c>
      <c r="E1165" t="n">
        <v>1425</v>
      </c>
    </row>
    <row r="1166">
      <c r="A1166" t="inlineStr">
        <is>
          <t>27BBBBB01166Z5</t>
        </is>
      </c>
      <c r="B1166" t="inlineStr">
        <is>
          <t>Jun-2018</t>
        </is>
      </c>
      <c r="C1166" s="2" t="n">
        <v>44001</v>
      </c>
      <c r="D1166" t="inlineStr">
        <is>
          <t>NON-NIL</t>
        </is>
      </c>
      <c r="E1166" t="n">
        <v>2328</v>
      </c>
    </row>
    <row r="1167">
      <c r="A1167" t="inlineStr">
        <is>
          <t>27BBBBB01167Z5</t>
        </is>
      </c>
      <c r="B1167" t="inlineStr">
        <is>
          <t>Feb-2018</t>
        </is>
      </c>
      <c r="C1167" s="2" t="n">
        <v>44115</v>
      </c>
      <c r="D1167" t="inlineStr">
        <is>
          <t>NIL</t>
        </is>
      </c>
      <c r="E1167" t="n">
        <v>588</v>
      </c>
    </row>
    <row r="1168">
      <c r="A1168" t="inlineStr">
        <is>
          <t>27BBBBB01168Z5</t>
        </is>
      </c>
      <c r="B1168" t="inlineStr">
        <is>
          <t>Dec-2024</t>
        </is>
      </c>
      <c r="C1168" s="2" t="n">
        <v>44524</v>
      </c>
      <c r="D1168" t="inlineStr">
        <is>
          <t>NON-NIL</t>
        </is>
      </c>
      <c r="E1168" t="n">
        <v>1305</v>
      </c>
    </row>
    <row r="1169">
      <c r="A1169" t="inlineStr">
        <is>
          <t>27BBBBB01169Z5</t>
        </is>
      </c>
      <c r="B1169" t="inlineStr">
        <is>
          <t>Jun-2018</t>
        </is>
      </c>
      <c r="C1169" s="2" t="n">
        <v>43810</v>
      </c>
      <c r="D1169" t="inlineStr">
        <is>
          <t>NON-NIL</t>
        </is>
      </c>
      <c r="E1169" t="n">
        <v>748</v>
      </c>
    </row>
    <row r="1170">
      <c r="A1170" t="inlineStr">
        <is>
          <t>27BBBBB01170Z5</t>
        </is>
      </c>
      <c r="B1170" t="inlineStr">
        <is>
          <t>Jan-2018</t>
        </is>
      </c>
      <c r="C1170" s="2" t="n">
        <v>43288</v>
      </c>
      <c r="D1170" t="inlineStr">
        <is>
          <t>NIL</t>
        </is>
      </c>
      <c r="E1170" t="n">
        <v>392</v>
      </c>
    </row>
    <row r="1171">
      <c r="A1171" t="inlineStr">
        <is>
          <t>27BBBBB01171Z5</t>
        </is>
      </c>
      <c r="B1171" t="inlineStr">
        <is>
          <t>Apr-2018</t>
        </is>
      </c>
      <c r="C1171" s="2" t="n">
        <v>44438</v>
      </c>
      <c r="D1171" t="inlineStr">
        <is>
          <t>NON-NIL</t>
        </is>
      </c>
      <c r="E1171" t="n">
        <v>1145</v>
      </c>
    </row>
    <row r="1172">
      <c r="A1172" t="inlineStr">
        <is>
          <t>27BBBBB01172Z5</t>
        </is>
      </c>
      <c r="B1172" t="inlineStr">
        <is>
          <t>Mar-2021</t>
        </is>
      </c>
      <c r="C1172" s="2" t="n">
        <v>43809</v>
      </c>
      <c r="D1172" t="inlineStr">
        <is>
          <t>NIL</t>
        </is>
      </c>
      <c r="E1172" t="n">
        <v>2547</v>
      </c>
    </row>
    <row r="1173">
      <c r="A1173" t="inlineStr">
        <is>
          <t>27BBBBB01173Z5</t>
        </is>
      </c>
      <c r="B1173" t="inlineStr">
        <is>
          <t>Dec-2022</t>
        </is>
      </c>
      <c r="C1173" s="2" t="n">
        <v>45808</v>
      </c>
      <c r="D1173" t="inlineStr">
        <is>
          <t>NON-NIL</t>
        </is>
      </c>
      <c r="E1173" t="n">
        <v>2686</v>
      </c>
    </row>
    <row r="1174">
      <c r="A1174" t="inlineStr">
        <is>
          <t>27BBBBB01174Z5</t>
        </is>
      </c>
      <c r="B1174" t="inlineStr">
        <is>
          <t>Sep-2017</t>
        </is>
      </c>
      <c r="C1174" s="2" t="n">
        <v>43832</v>
      </c>
      <c r="D1174" t="inlineStr">
        <is>
          <t>NON-NIL</t>
        </is>
      </c>
      <c r="E1174" t="n">
        <v>2310</v>
      </c>
    </row>
    <row r="1175">
      <c r="A1175" t="inlineStr">
        <is>
          <t>27BBBBB01175Z5</t>
        </is>
      </c>
      <c r="B1175" t="inlineStr">
        <is>
          <t>Apr-2020</t>
        </is>
      </c>
      <c r="C1175" s="2" t="n">
        <v>44238</v>
      </c>
      <c r="D1175" t="inlineStr">
        <is>
          <t>NIL</t>
        </is>
      </c>
      <c r="E1175" t="n">
        <v>212</v>
      </c>
    </row>
    <row r="1176">
      <c r="A1176" t="inlineStr">
        <is>
          <t>27BBBBB01176Z5</t>
        </is>
      </c>
      <c r="B1176" t="inlineStr">
        <is>
          <t>Feb-2018</t>
        </is>
      </c>
      <c r="C1176" s="2" t="n">
        <v>44046</v>
      </c>
      <c r="D1176" t="inlineStr">
        <is>
          <t>NIL</t>
        </is>
      </c>
      <c r="E1176" t="n">
        <v>1297</v>
      </c>
    </row>
    <row r="1177">
      <c r="A1177" t="inlineStr">
        <is>
          <t>27BBBBB01177Z5</t>
        </is>
      </c>
      <c r="B1177" t="inlineStr">
        <is>
          <t>Aug-2018</t>
        </is>
      </c>
      <c r="C1177" s="2" t="n">
        <v>44112</v>
      </c>
      <c r="D1177" t="inlineStr">
        <is>
          <t>NON-NIL</t>
        </is>
      </c>
      <c r="E1177" t="n">
        <v>2405</v>
      </c>
    </row>
    <row r="1178">
      <c r="A1178" t="inlineStr">
        <is>
          <t>27BBBBB01178Z5</t>
        </is>
      </c>
      <c r="B1178" t="inlineStr">
        <is>
          <t>Aug-2017</t>
        </is>
      </c>
      <c r="C1178" s="2" t="n">
        <v>43903</v>
      </c>
      <c r="D1178" t="inlineStr">
        <is>
          <t>NIL</t>
        </is>
      </c>
      <c r="E1178" t="n">
        <v>1430</v>
      </c>
    </row>
    <row r="1179">
      <c r="A1179" t="inlineStr">
        <is>
          <t>27BBBBB01179Z5</t>
        </is>
      </c>
      <c r="B1179" t="inlineStr">
        <is>
          <t>Jan-2021</t>
        </is>
      </c>
      <c r="C1179" s="2" t="n">
        <v>45249</v>
      </c>
      <c r="D1179" t="inlineStr">
        <is>
          <t>NON-NIL</t>
        </is>
      </c>
      <c r="E1179" t="n">
        <v>2901</v>
      </c>
    </row>
    <row r="1180">
      <c r="A1180" t="inlineStr">
        <is>
          <t>27BBBBB01180Z5</t>
        </is>
      </c>
      <c r="B1180" t="inlineStr">
        <is>
          <t>Sep-2017</t>
        </is>
      </c>
      <c r="C1180" s="2" t="n">
        <v>42943</v>
      </c>
      <c r="D1180" t="inlineStr">
        <is>
          <t>NON-NIL</t>
        </is>
      </c>
      <c r="E1180" t="n">
        <v>854</v>
      </c>
    </row>
    <row r="1181">
      <c r="A1181" t="inlineStr">
        <is>
          <t>27BBBBB01181Z5</t>
        </is>
      </c>
      <c r="B1181" t="inlineStr">
        <is>
          <t>Aug-2018</t>
        </is>
      </c>
      <c r="C1181" s="2" t="n">
        <v>43146</v>
      </c>
      <c r="D1181" t="inlineStr">
        <is>
          <t>NIL</t>
        </is>
      </c>
      <c r="E1181" t="n">
        <v>574</v>
      </c>
    </row>
    <row r="1182">
      <c r="A1182" t="inlineStr">
        <is>
          <t>27BBBBB01182Z5</t>
        </is>
      </c>
      <c r="B1182" t="inlineStr">
        <is>
          <t>Nov-2018</t>
        </is>
      </c>
      <c r="C1182" s="2" t="n">
        <v>43909</v>
      </c>
      <c r="D1182" t="inlineStr">
        <is>
          <t>NON-NIL</t>
        </is>
      </c>
      <c r="E1182" t="n">
        <v>168</v>
      </c>
    </row>
    <row r="1183">
      <c r="A1183" t="inlineStr">
        <is>
          <t>27BBBBB01183Z5</t>
        </is>
      </c>
      <c r="B1183" t="inlineStr">
        <is>
          <t>Jul-2020</t>
        </is>
      </c>
      <c r="C1183" s="2" t="n">
        <v>44860</v>
      </c>
      <c r="D1183" t="inlineStr">
        <is>
          <t>NIL</t>
        </is>
      </c>
      <c r="E1183" t="n">
        <v>261</v>
      </c>
    </row>
    <row r="1184">
      <c r="A1184" t="inlineStr">
        <is>
          <t>27BBBBB01184Z5</t>
        </is>
      </c>
      <c r="B1184" t="inlineStr">
        <is>
          <t>Sep-2018</t>
        </is>
      </c>
      <c r="C1184" s="2" t="n">
        <v>43307</v>
      </c>
      <c r="D1184" t="inlineStr">
        <is>
          <t>NIL</t>
        </is>
      </c>
      <c r="E1184" t="n">
        <v>2813</v>
      </c>
    </row>
    <row r="1185">
      <c r="A1185" t="inlineStr">
        <is>
          <t>27BBBBB01185Z5</t>
        </is>
      </c>
      <c r="B1185" t="inlineStr">
        <is>
          <t>Jul-2018</t>
        </is>
      </c>
      <c r="C1185" s="2" t="n">
        <v>44100</v>
      </c>
      <c r="D1185" t="inlineStr">
        <is>
          <t>NIL</t>
        </is>
      </c>
      <c r="E1185" t="n">
        <v>2172</v>
      </c>
    </row>
    <row r="1186">
      <c r="A1186" t="inlineStr">
        <is>
          <t>27BBBBB01186Z5</t>
        </is>
      </c>
      <c r="B1186" t="inlineStr">
        <is>
          <t>Nov-2017</t>
        </is>
      </c>
      <c r="C1186" s="2" t="n">
        <v>43058</v>
      </c>
      <c r="D1186" t="inlineStr">
        <is>
          <t>NON-NIL</t>
        </is>
      </c>
      <c r="E1186" t="n">
        <v>1286</v>
      </c>
    </row>
    <row r="1187">
      <c r="A1187" t="inlineStr">
        <is>
          <t>27BBBBB01187Z5</t>
        </is>
      </c>
      <c r="B1187" t="inlineStr">
        <is>
          <t>Nov-2017</t>
        </is>
      </c>
      <c r="C1187" s="2" t="n">
        <v>44033</v>
      </c>
      <c r="D1187" t="inlineStr">
        <is>
          <t>NON-NIL</t>
        </is>
      </c>
      <c r="E1187" t="n">
        <v>2127</v>
      </c>
    </row>
    <row r="1188">
      <c r="A1188" t="inlineStr">
        <is>
          <t>27BBBBB01188Z5</t>
        </is>
      </c>
      <c r="B1188" t="inlineStr">
        <is>
          <t>Mar-2020</t>
        </is>
      </c>
      <c r="C1188" s="2" t="n">
        <v>44643</v>
      </c>
      <c r="D1188" t="inlineStr">
        <is>
          <t>NIL</t>
        </is>
      </c>
      <c r="E1188" t="n">
        <v>2069</v>
      </c>
    </row>
    <row r="1189">
      <c r="A1189" t="inlineStr">
        <is>
          <t>27BBBBB01189Z5</t>
        </is>
      </c>
      <c r="B1189" t="inlineStr">
        <is>
          <t>Mar-2020</t>
        </is>
      </c>
      <c r="C1189" s="2" t="n">
        <v>44311</v>
      </c>
      <c r="D1189" t="inlineStr">
        <is>
          <t>NIL</t>
        </is>
      </c>
      <c r="E1189" t="n">
        <v>2628</v>
      </c>
    </row>
    <row r="1190">
      <c r="A1190" t="inlineStr">
        <is>
          <t>27BBBBB01190Z5</t>
        </is>
      </c>
      <c r="B1190" t="inlineStr">
        <is>
          <t>Dec-2017</t>
        </is>
      </c>
      <c r="C1190" s="2" t="n">
        <v>44048</v>
      </c>
      <c r="D1190" t="inlineStr">
        <is>
          <t>NON-NIL</t>
        </is>
      </c>
      <c r="E1190" t="n">
        <v>231</v>
      </c>
    </row>
    <row r="1191">
      <c r="A1191" t="inlineStr">
        <is>
          <t>27BBBBB01191Z5</t>
        </is>
      </c>
      <c r="B1191" t="inlineStr">
        <is>
          <t>Jun-2018</t>
        </is>
      </c>
      <c r="C1191" s="2" t="n">
        <v>43212</v>
      </c>
      <c r="D1191" t="inlineStr">
        <is>
          <t>NIL</t>
        </is>
      </c>
      <c r="E1191" t="n">
        <v>2058</v>
      </c>
    </row>
    <row r="1192">
      <c r="A1192" t="inlineStr">
        <is>
          <t>27BBBBB01192Z5</t>
        </is>
      </c>
      <c r="B1192" t="inlineStr">
        <is>
          <t>Jun-2018</t>
        </is>
      </c>
      <c r="C1192" s="2" t="n">
        <v>43013</v>
      </c>
      <c r="D1192" t="inlineStr">
        <is>
          <t>NON-NIL</t>
        </is>
      </c>
      <c r="E1192" t="n">
        <v>1570</v>
      </c>
    </row>
    <row r="1193">
      <c r="A1193" t="inlineStr">
        <is>
          <t>27BBBBB01193Z5</t>
        </is>
      </c>
      <c r="B1193" t="inlineStr">
        <is>
          <t>Dec-2024</t>
        </is>
      </c>
      <c r="C1193" s="2" t="n">
        <v>43679</v>
      </c>
      <c r="D1193" t="inlineStr">
        <is>
          <t>NIL</t>
        </is>
      </c>
      <c r="E1193" t="n">
        <v>437</v>
      </c>
    </row>
    <row r="1194">
      <c r="A1194" t="inlineStr">
        <is>
          <t>27BBBBB01194Z5</t>
        </is>
      </c>
      <c r="B1194" t="inlineStr">
        <is>
          <t>Mar-2020</t>
        </is>
      </c>
      <c r="C1194" s="2" t="n">
        <v>44027</v>
      </c>
      <c r="D1194" t="inlineStr">
        <is>
          <t>NIL</t>
        </is>
      </c>
      <c r="E1194" t="n">
        <v>2673</v>
      </c>
    </row>
    <row r="1195">
      <c r="A1195" t="inlineStr">
        <is>
          <t>27BBBBB01195Z5</t>
        </is>
      </c>
      <c r="B1195" t="inlineStr">
        <is>
          <t>Aug-2018</t>
        </is>
      </c>
      <c r="C1195" s="2" t="n">
        <v>43026</v>
      </c>
      <c r="D1195" t="inlineStr">
        <is>
          <t>NON-NIL</t>
        </is>
      </c>
      <c r="E1195" t="n">
        <v>2874</v>
      </c>
    </row>
    <row r="1196">
      <c r="A1196" t="inlineStr">
        <is>
          <t>27BBBBB01196Z5</t>
        </is>
      </c>
      <c r="B1196" t="inlineStr">
        <is>
          <t>Jan-2021</t>
        </is>
      </c>
      <c r="C1196" s="2" t="n">
        <v>45703</v>
      </c>
      <c r="D1196" t="inlineStr">
        <is>
          <t>NON-NIL</t>
        </is>
      </c>
      <c r="E1196" t="n">
        <v>2163</v>
      </c>
    </row>
    <row r="1197">
      <c r="A1197" t="inlineStr">
        <is>
          <t>27BBBBB01197Z5</t>
        </is>
      </c>
      <c r="B1197" t="inlineStr">
        <is>
          <t>Mar-2020</t>
        </is>
      </c>
      <c r="C1197" s="2" t="n">
        <v>44693</v>
      </c>
      <c r="D1197" t="inlineStr">
        <is>
          <t>NON-NIL</t>
        </is>
      </c>
      <c r="E1197" t="n">
        <v>1079</v>
      </c>
    </row>
    <row r="1198">
      <c r="A1198" t="inlineStr">
        <is>
          <t>27BBBBB01198Z5</t>
        </is>
      </c>
      <c r="B1198" t="inlineStr">
        <is>
          <t>Apr-2020</t>
        </is>
      </c>
      <c r="C1198" s="2" t="n">
        <v>43970</v>
      </c>
      <c r="D1198" t="inlineStr">
        <is>
          <t>NON-NIL</t>
        </is>
      </c>
      <c r="E1198" t="n">
        <v>1115</v>
      </c>
    </row>
    <row r="1199">
      <c r="A1199" t="inlineStr">
        <is>
          <t>27BBBBB01199Z5</t>
        </is>
      </c>
      <c r="B1199" t="inlineStr">
        <is>
          <t>Jul-2017</t>
        </is>
      </c>
      <c r="C1199" s="2" t="n">
        <v>44133</v>
      </c>
      <c r="D1199" t="inlineStr">
        <is>
          <t>NIL</t>
        </is>
      </c>
      <c r="E1199" t="n">
        <v>2226</v>
      </c>
    </row>
    <row r="1200">
      <c r="A1200" t="inlineStr">
        <is>
          <t>27BBBBB01200Z5</t>
        </is>
      </c>
      <c r="B1200" t="inlineStr">
        <is>
          <t>Mar-2023</t>
        </is>
      </c>
      <c r="C1200" s="2" t="n">
        <v>45218</v>
      </c>
      <c r="D1200" t="inlineStr">
        <is>
          <t>NON-NIL</t>
        </is>
      </c>
      <c r="E1200" t="n">
        <v>1260</v>
      </c>
    </row>
    <row r="1201">
      <c r="A1201" t="inlineStr">
        <is>
          <t>27BBBBB01201Z5</t>
        </is>
      </c>
      <c r="B1201" t="inlineStr">
        <is>
          <t>Sep-2018</t>
        </is>
      </c>
      <c r="C1201" s="2" t="n">
        <v>43059</v>
      </c>
      <c r="D1201" t="inlineStr">
        <is>
          <t>NIL</t>
        </is>
      </c>
      <c r="E1201" t="n">
        <v>2046</v>
      </c>
    </row>
    <row r="1202">
      <c r="A1202" t="inlineStr">
        <is>
          <t>27BBBBB01202Z5</t>
        </is>
      </c>
      <c r="B1202" t="inlineStr">
        <is>
          <t>May-2020</t>
        </is>
      </c>
      <c r="C1202" s="2" t="n">
        <v>43936</v>
      </c>
      <c r="D1202" t="inlineStr">
        <is>
          <t>NON-NIL</t>
        </is>
      </c>
      <c r="E1202" t="n">
        <v>1038</v>
      </c>
    </row>
    <row r="1203">
      <c r="A1203" t="inlineStr">
        <is>
          <t>27BBBBB01203Z5</t>
        </is>
      </c>
      <c r="B1203" t="inlineStr">
        <is>
          <t>Nov-2018</t>
        </is>
      </c>
      <c r="C1203" s="2" t="n">
        <v>43853</v>
      </c>
      <c r="D1203" t="inlineStr">
        <is>
          <t>NON-NIL</t>
        </is>
      </c>
      <c r="E1203" t="n">
        <v>2168</v>
      </c>
    </row>
    <row r="1204">
      <c r="A1204" t="inlineStr">
        <is>
          <t>27BBBBB01204Z5</t>
        </is>
      </c>
      <c r="B1204" t="inlineStr">
        <is>
          <t>Oct-2018</t>
        </is>
      </c>
      <c r="C1204" s="2" t="n">
        <v>42992</v>
      </c>
      <c r="D1204" t="inlineStr">
        <is>
          <t>NON-NIL</t>
        </is>
      </c>
      <c r="E1204" t="n">
        <v>1634</v>
      </c>
    </row>
    <row r="1205">
      <c r="A1205" t="inlineStr">
        <is>
          <t>27BBBBB01205Z5</t>
        </is>
      </c>
      <c r="B1205" t="inlineStr">
        <is>
          <t>Jul-2018</t>
        </is>
      </c>
      <c r="C1205" s="2" t="n">
        <v>43230</v>
      </c>
      <c r="D1205" t="inlineStr">
        <is>
          <t>NIL</t>
        </is>
      </c>
      <c r="E1205" t="n">
        <v>112</v>
      </c>
    </row>
    <row r="1206">
      <c r="A1206" t="inlineStr">
        <is>
          <t>27BBBBB01206Z5</t>
        </is>
      </c>
      <c r="B1206" t="inlineStr">
        <is>
          <t>Dec-2024</t>
        </is>
      </c>
      <c r="C1206" s="2" t="n">
        <v>43659</v>
      </c>
      <c r="D1206" t="inlineStr">
        <is>
          <t>NON-NIL</t>
        </is>
      </c>
      <c r="E1206" t="n">
        <v>1607</v>
      </c>
    </row>
    <row r="1207">
      <c r="A1207" t="inlineStr">
        <is>
          <t>27BBBBB01207Z5</t>
        </is>
      </c>
      <c r="B1207" t="inlineStr">
        <is>
          <t>Jul-2017</t>
        </is>
      </c>
      <c r="C1207" s="2" t="n">
        <v>44113</v>
      </c>
      <c r="D1207" t="inlineStr">
        <is>
          <t>NON-NIL</t>
        </is>
      </c>
      <c r="E1207" t="n">
        <v>1114</v>
      </c>
    </row>
    <row r="1208">
      <c r="A1208" t="inlineStr">
        <is>
          <t>27BBBBB01208Z5</t>
        </is>
      </c>
      <c r="B1208" t="inlineStr">
        <is>
          <t>May-2020</t>
        </is>
      </c>
      <c r="C1208" s="2" t="n">
        <v>44632</v>
      </c>
      <c r="D1208" t="inlineStr">
        <is>
          <t>NIL</t>
        </is>
      </c>
      <c r="E1208" t="n">
        <v>1477</v>
      </c>
    </row>
    <row r="1209">
      <c r="A1209" t="inlineStr">
        <is>
          <t>27BBBBB01209Z5</t>
        </is>
      </c>
      <c r="B1209" t="inlineStr">
        <is>
          <t>Jul-2017</t>
        </is>
      </c>
      <c r="C1209" s="2" t="n">
        <v>43116</v>
      </c>
      <c r="D1209" t="inlineStr">
        <is>
          <t>NIL</t>
        </is>
      </c>
      <c r="E1209" t="n">
        <v>2755</v>
      </c>
    </row>
    <row r="1210">
      <c r="A1210" t="inlineStr">
        <is>
          <t>27BBBBB01210Z5</t>
        </is>
      </c>
      <c r="B1210" t="inlineStr">
        <is>
          <t>Mar-2021</t>
        </is>
      </c>
      <c r="C1210" s="2" t="n">
        <v>44371</v>
      </c>
      <c r="D1210" t="inlineStr">
        <is>
          <t>NON-NIL</t>
        </is>
      </c>
      <c r="E1210" t="n">
        <v>215</v>
      </c>
    </row>
    <row r="1211">
      <c r="A1211" t="inlineStr">
        <is>
          <t>27BBBBB01211Z5</t>
        </is>
      </c>
      <c r="B1211" t="inlineStr">
        <is>
          <t>Aug-2018</t>
        </is>
      </c>
      <c r="C1211" s="2" t="n">
        <v>43725</v>
      </c>
      <c r="D1211" t="inlineStr">
        <is>
          <t>NON-NIL</t>
        </is>
      </c>
      <c r="E1211" t="n">
        <v>1540</v>
      </c>
    </row>
    <row r="1212">
      <c r="A1212" t="inlineStr">
        <is>
          <t>27BBBBB01212Z5</t>
        </is>
      </c>
      <c r="B1212" t="inlineStr">
        <is>
          <t>Aug-2018</t>
        </is>
      </c>
      <c r="C1212" s="2" t="n">
        <v>43030</v>
      </c>
      <c r="D1212" t="inlineStr">
        <is>
          <t>NON-NIL</t>
        </is>
      </c>
      <c r="E1212" t="n">
        <v>119</v>
      </c>
    </row>
    <row r="1213">
      <c r="A1213" t="inlineStr">
        <is>
          <t>27BBBBB01213Z5</t>
        </is>
      </c>
      <c r="B1213" t="inlineStr">
        <is>
          <t>Jun-2018</t>
        </is>
      </c>
      <c r="C1213" s="2" t="n">
        <v>44181</v>
      </c>
      <c r="D1213" t="inlineStr">
        <is>
          <t>NIL</t>
        </is>
      </c>
      <c r="E1213" t="n">
        <v>2094</v>
      </c>
    </row>
    <row r="1214">
      <c r="A1214" t="inlineStr">
        <is>
          <t>27BBBBB01214Z5</t>
        </is>
      </c>
      <c r="B1214" t="inlineStr">
        <is>
          <t>Dec-2024</t>
        </is>
      </c>
      <c r="C1214" s="2" t="n">
        <v>44943</v>
      </c>
      <c r="D1214" t="inlineStr">
        <is>
          <t>NON-NIL</t>
        </is>
      </c>
      <c r="E1214" t="n">
        <v>2851</v>
      </c>
    </row>
    <row r="1215">
      <c r="A1215" t="inlineStr">
        <is>
          <t>27BBBBB01215Z5</t>
        </is>
      </c>
      <c r="B1215" t="inlineStr">
        <is>
          <t>Sep-2018</t>
        </is>
      </c>
      <c r="C1215" s="2" t="n">
        <v>43793</v>
      </c>
      <c r="D1215" t="inlineStr">
        <is>
          <t>NON-NIL</t>
        </is>
      </c>
      <c r="E1215" t="n">
        <v>1985</v>
      </c>
    </row>
    <row r="1216">
      <c r="A1216" t="inlineStr">
        <is>
          <t>27BBBBB01216Z5</t>
        </is>
      </c>
      <c r="B1216" t="inlineStr">
        <is>
          <t>Dec-2018</t>
        </is>
      </c>
      <c r="C1216" s="2" t="n">
        <v>44093</v>
      </c>
      <c r="D1216" t="inlineStr">
        <is>
          <t>NIL</t>
        </is>
      </c>
      <c r="E1216" t="n">
        <v>1950</v>
      </c>
    </row>
    <row r="1217">
      <c r="A1217" t="inlineStr">
        <is>
          <t>27BBBBB01217Z5</t>
        </is>
      </c>
      <c r="B1217" t="inlineStr">
        <is>
          <t>Mar-2020</t>
        </is>
      </c>
      <c r="C1217" s="2" t="n">
        <v>44340</v>
      </c>
      <c r="D1217" t="inlineStr">
        <is>
          <t>NIL</t>
        </is>
      </c>
      <c r="E1217" t="n">
        <v>2465</v>
      </c>
    </row>
    <row r="1218">
      <c r="A1218" t="inlineStr">
        <is>
          <t>27BBBBB01218Z5</t>
        </is>
      </c>
      <c r="B1218" t="inlineStr">
        <is>
          <t>Apr-2018</t>
        </is>
      </c>
      <c r="C1218" s="2" t="n">
        <v>43915</v>
      </c>
      <c r="D1218" t="inlineStr">
        <is>
          <t>NON-NIL</t>
        </is>
      </c>
      <c r="E1218" t="n">
        <v>924</v>
      </c>
    </row>
    <row r="1219">
      <c r="A1219" t="inlineStr">
        <is>
          <t>27BBBBB01219Z5</t>
        </is>
      </c>
      <c r="B1219" t="inlineStr">
        <is>
          <t>Sep-2018</t>
        </is>
      </c>
      <c r="C1219" s="2" t="n">
        <v>43228</v>
      </c>
      <c r="D1219" t="inlineStr">
        <is>
          <t>NIL</t>
        </is>
      </c>
      <c r="E1219" t="n">
        <v>2887</v>
      </c>
    </row>
    <row r="1220">
      <c r="A1220" t="inlineStr">
        <is>
          <t>27BBBBB01220Z5</t>
        </is>
      </c>
      <c r="B1220" t="inlineStr">
        <is>
          <t>Jan-2018</t>
        </is>
      </c>
      <c r="C1220" s="2" t="n">
        <v>43583</v>
      </c>
      <c r="D1220" t="inlineStr">
        <is>
          <t>NIL</t>
        </is>
      </c>
      <c r="E1220" t="n">
        <v>338</v>
      </c>
    </row>
    <row r="1221">
      <c r="A1221" t="inlineStr">
        <is>
          <t>27BBBBB01221Z5</t>
        </is>
      </c>
      <c r="B1221" t="inlineStr">
        <is>
          <t>Jul-2020</t>
        </is>
      </c>
      <c r="C1221" s="2" t="n">
        <v>44624</v>
      </c>
      <c r="D1221" t="inlineStr">
        <is>
          <t>NIL</t>
        </is>
      </c>
      <c r="E1221" t="n">
        <v>2426</v>
      </c>
    </row>
    <row r="1222">
      <c r="A1222" t="inlineStr">
        <is>
          <t>27BBBBB01222Z5</t>
        </is>
      </c>
      <c r="B1222" t="inlineStr">
        <is>
          <t>Oct-2017</t>
        </is>
      </c>
      <c r="C1222" s="2" t="n">
        <v>42972</v>
      </c>
      <c r="D1222" t="inlineStr">
        <is>
          <t>NIL</t>
        </is>
      </c>
      <c r="E1222" t="n">
        <v>1866</v>
      </c>
    </row>
    <row r="1223">
      <c r="A1223" t="inlineStr">
        <is>
          <t>27BBBBB01223Z5</t>
        </is>
      </c>
      <c r="B1223" t="inlineStr">
        <is>
          <t>Aug-2018</t>
        </is>
      </c>
      <c r="C1223" s="2" t="n">
        <v>44517</v>
      </c>
      <c r="D1223" t="inlineStr">
        <is>
          <t>NON-NIL</t>
        </is>
      </c>
      <c r="E1223" t="n">
        <v>2036</v>
      </c>
    </row>
    <row r="1224">
      <c r="A1224" t="inlineStr">
        <is>
          <t>27BBBBB01224Z5</t>
        </is>
      </c>
      <c r="B1224" t="inlineStr">
        <is>
          <t>Sep-2017</t>
        </is>
      </c>
      <c r="C1224" s="2" t="n">
        <v>44482</v>
      </c>
      <c r="D1224" t="inlineStr">
        <is>
          <t>NON-NIL</t>
        </is>
      </c>
      <c r="E1224" t="n">
        <v>767</v>
      </c>
    </row>
    <row r="1225">
      <c r="A1225" t="inlineStr">
        <is>
          <t>27BBBBB01225Z5</t>
        </is>
      </c>
      <c r="B1225" t="inlineStr">
        <is>
          <t>Mar-2018</t>
        </is>
      </c>
      <c r="C1225" s="2" t="n">
        <v>44300</v>
      </c>
      <c r="D1225" t="inlineStr">
        <is>
          <t>NIL</t>
        </is>
      </c>
      <c r="E1225" t="n">
        <v>689</v>
      </c>
    </row>
    <row r="1226">
      <c r="A1226" t="inlineStr">
        <is>
          <t>27BBBBB01226Z5</t>
        </is>
      </c>
      <c r="B1226" t="inlineStr">
        <is>
          <t>Sep-2017</t>
        </is>
      </c>
      <c r="C1226" s="2" t="n">
        <v>43123</v>
      </c>
      <c r="D1226" t="inlineStr">
        <is>
          <t>NIL</t>
        </is>
      </c>
      <c r="E1226" t="n">
        <v>2590</v>
      </c>
    </row>
    <row r="1227">
      <c r="A1227" t="inlineStr">
        <is>
          <t>27BBBBB01227Z5</t>
        </is>
      </c>
      <c r="B1227" t="inlineStr">
        <is>
          <t>Mar-2020</t>
        </is>
      </c>
      <c r="C1227" s="2" t="n">
        <v>43931</v>
      </c>
      <c r="D1227" t="inlineStr">
        <is>
          <t>NIL</t>
        </is>
      </c>
      <c r="E1227" t="n">
        <v>1789</v>
      </c>
    </row>
    <row r="1228">
      <c r="A1228" t="inlineStr">
        <is>
          <t>27BBBBB01228Z5</t>
        </is>
      </c>
      <c r="B1228" t="inlineStr">
        <is>
          <t>May-2020</t>
        </is>
      </c>
      <c r="C1228" s="2" t="n">
        <v>44684</v>
      </c>
      <c r="D1228" t="inlineStr">
        <is>
          <t>NIL</t>
        </is>
      </c>
      <c r="E1228" t="n">
        <v>960</v>
      </c>
    </row>
    <row r="1229">
      <c r="A1229" t="inlineStr">
        <is>
          <t>27BBBBB01229Z5</t>
        </is>
      </c>
      <c r="B1229" t="inlineStr">
        <is>
          <t>Oct-2018</t>
        </is>
      </c>
      <c r="C1229" s="2" t="n">
        <v>43838</v>
      </c>
      <c r="D1229" t="inlineStr">
        <is>
          <t>NIL</t>
        </is>
      </c>
      <c r="E1229" t="n">
        <v>2590</v>
      </c>
    </row>
    <row r="1230">
      <c r="A1230" t="inlineStr">
        <is>
          <t>27BBBBB01230Z5</t>
        </is>
      </c>
      <c r="B1230" t="inlineStr">
        <is>
          <t>Dec-2018</t>
        </is>
      </c>
      <c r="C1230" s="2" t="n">
        <v>43140</v>
      </c>
      <c r="D1230" t="inlineStr">
        <is>
          <t>NIL</t>
        </is>
      </c>
      <c r="E1230" t="n">
        <v>1021</v>
      </c>
    </row>
    <row r="1231">
      <c r="A1231" t="inlineStr">
        <is>
          <t>27BBBBB01231Z5</t>
        </is>
      </c>
      <c r="B1231" t="inlineStr">
        <is>
          <t>Jul-2017</t>
        </is>
      </c>
      <c r="C1231" s="2" t="n">
        <v>44170</v>
      </c>
      <c r="D1231" t="inlineStr">
        <is>
          <t>NIL</t>
        </is>
      </c>
      <c r="E1231" t="n">
        <v>400</v>
      </c>
    </row>
    <row r="1232">
      <c r="A1232" t="inlineStr">
        <is>
          <t>27BBBBB01232Z5</t>
        </is>
      </c>
      <c r="B1232" t="inlineStr">
        <is>
          <t>Mar-2018</t>
        </is>
      </c>
      <c r="C1232" s="2" t="n">
        <v>43674</v>
      </c>
      <c r="D1232" t="inlineStr">
        <is>
          <t>NIL</t>
        </is>
      </c>
      <c r="E1232" t="n">
        <v>1023</v>
      </c>
    </row>
    <row r="1233">
      <c r="A1233" t="inlineStr">
        <is>
          <t>27BBBBB01233Z5</t>
        </is>
      </c>
      <c r="B1233" t="inlineStr">
        <is>
          <t>Oct-2018</t>
        </is>
      </c>
      <c r="C1233" s="2" t="n">
        <v>44010</v>
      </c>
      <c r="D1233" t="inlineStr">
        <is>
          <t>NIL</t>
        </is>
      </c>
      <c r="E1233" t="n">
        <v>849</v>
      </c>
    </row>
    <row r="1234">
      <c r="A1234" t="inlineStr">
        <is>
          <t>27BBBBB01234Z5</t>
        </is>
      </c>
      <c r="B1234" t="inlineStr">
        <is>
          <t>Apr-2018</t>
        </is>
      </c>
      <c r="C1234" s="2" t="n">
        <v>43707</v>
      </c>
      <c r="D1234" t="inlineStr">
        <is>
          <t>NIL</t>
        </is>
      </c>
      <c r="E1234" t="n">
        <v>803</v>
      </c>
    </row>
    <row r="1235">
      <c r="A1235" t="inlineStr">
        <is>
          <t>27BBBBB01235Z5</t>
        </is>
      </c>
      <c r="B1235" t="inlineStr">
        <is>
          <t>Jan-2021</t>
        </is>
      </c>
      <c r="C1235" s="2" t="n">
        <v>44206</v>
      </c>
      <c r="D1235" t="inlineStr">
        <is>
          <t>NON-NIL</t>
        </is>
      </c>
      <c r="E1235" t="n">
        <v>1082</v>
      </c>
    </row>
    <row r="1236">
      <c r="A1236" t="inlineStr">
        <is>
          <t>27BBBBB01236Z5</t>
        </is>
      </c>
      <c r="B1236" t="inlineStr">
        <is>
          <t>May-2020</t>
        </is>
      </c>
      <c r="C1236" s="2" t="n">
        <v>44145</v>
      </c>
      <c r="D1236" t="inlineStr">
        <is>
          <t>NON-NIL</t>
        </is>
      </c>
      <c r="E1236" t="n">
        <v>1707</v>
      </c>
    </row>
    <row r="1237">
      <c r="A1237" t="inlineStr">
        <is>
          <t>27BBBBB01237Z5</t>
        </is>
      </c>
      <c r="B1237" t="inlineStr">
        <is>
          <t>May-2018</t>
        </is>
      </c>
      <c r="C1237" s="2" t="n">
        <v>43743</v>
      </c>
      <c r="D1237" t="inlineStr">
        <is>
          <t>NON-NIL</t>
        </is>
      </c>
      <c r="E1237" t="n">
        <v>1695</v>
      </c>
    </row>
    <row r="1238">
      <c r="A1238" t="inlineStr">
        <is>
          <t>27BBBBB01238Z5</t>
        </is>
      </c>
      <c r="B1238" t="inlineStr">
        <is>
          <t>Mar-2021</t>
        </is>
      </c>
      <c r="C1238" s="2" t="n">
        <v>45642</v>
      </c>
      <c r="D1238" t="inlineStr">
        <is>
          <t>NIL</t>
        </is>
      </c>
      <c r="E1238" t="n">
        <v>2696</v>
      </c>
    </row>
    <row r="1239">
      <c r="A1239" t="inlineStr">
        <is>
          <t>27BBBBB01239Z5</t>
        </is>
      </c>
      <c r="B1239" t="inlineStr">
        <is>
          <t>May-2018</t>
        </is>
      </c>
      <c r="C1239" s="2" t="n">
        <v>44051</v>
      </c>
      <c r="D1239" t="inlineStr">
        <is>
          <t>NIL</t>
        </is>
      </c>
      <c r="E1239" t="n">
        <v>128</v>
      </c>
    </row>
    <row r="1240">
      <c r="A1240" t="inlineStr">
        <is>
          <t>27BBBBB01240Z5</t>
        </is>
      </c>
      <c r="B1240" t="inlineStr">
        <is>
          <t>Aug-2017</t>
        </is>
      </c>
      <c r="C1240" s="2" t="n">
        <v>44382</v>
      </c>
      <c r="D1240" t="inlineStr">
        <is>
          <t>NON-NIL</t>
        </is>
      </c>
      <c r="E1240" t="n">
        <v>2278</v>
      </c>
    </row>
    <row r="1241">
      <c r="A1241" t="inlineStr">
        <is>
          <t>27BBBBB01241Z5</t>
        </is>
      </c>
      <c r="B1241" t="inlineStr">
        <is>
          <t>Mar-2020</t>
        </is>
      </c>
      <c r="C1241" s="2" t="n">
        <v>44547</v>
      </c>
      <c r="D1241" t="inlineStr">
        <is>
          <t>NIL</t>
        </is>
      </c>
      <c r="E1241" t="n">
        <v>2230</v>
      </c>
    </row>
    <row r="1242">
      <c r="A1242" t="inlineStr">
        <is>
          <t>27BBBBB01242Z5</t>
        </is>
      </c>
      <c r="B1242" t="inlineStr">
        <is>
          <t>Oct-2017</t>
        </is>
      </c>
      <c r="C1242" s="2" t="n">
        <v>43587</v>
      </c>
      <c r="D1242" t="inlineStr">
        <is>
          <t>NON-NIL</t>
        </is>
      </c>
      <c r="E1242" t="n">
        <v>1525</v>
      </c>
    </row>
    <row r="1243">
      <c r="A1243" t="inlineStr">
        <is>
          <t>27BBBBB01243Z5</t>
        </is>
      </c>
      <c r="B1243" t="inlineStr">
        <is>
          <t>Dec-2024</t>
        </is>
      </c>
      <c r="C1243" s="2" t="n">
        <v>43683</v>
      </c>
      <c r="D1243" t="inlineStr">
        <is>
          <t>NIL</t>
        </is>
      </c>
      <c r="E1243" t="n">
        <v>1286</v>
      </c>
    </row>
    <row r="1244">
      <c r="A1244" t="inlineStr">
        <is>
          <t>27BBBBB01244Z5</t>
        </is>
      </c>
      <c r="B1244" t="inlineStr">
        <is>
          <t>Mar-2018</t>
        </is>
      </c>
      <c r="C1244" s="2" t="n">
        <v>43369</v>
      </c>
      <c r="D1244" t="inlineStr">
        <is>
          <t>NON-NIL</t>
        </is>
      </c>
      <c r="E1244" t="n">
        <v>1859</v>
      </c>
    </row>
    <row r="1245">
      <c r="A1245" t="inlineStr">
        <is>
          <t>27BBBBB01245Z5</t>
        </is>
      </c>
      <c r="B1245" t="inlineStr">
        <is>
          <t>Dec-2018</t>
        </is>
      </c>
      <c r="C1245" s="2" t="n">
        <v>43135</v>
      </c>
      <c r="D1245" t="inlineStr">
        <is>
          <t>NIL</t>
        </is>
      </c>
      <c r="E1245" t="n">
        <v>1969</v>
      </c>
    </row>
    <row r="1246">
      <c r="A1246" t="inlineStr">
        <is>
          <t>27BBBBB01246Z5</t>
        </is>
      </c>
      <c r="B1246" t="inlineStr">
        <is>
          <t>Sep-2018</t>
        </is>
      </c>
      <c r="C1246" s="2" t="n">
        <v>44188</v>
      </c>
      <c r="D1246" t="inlineStr">
        <is>
          <t>NON-NIL</t>
        </is>
      </c>
      <c r="E1246" t="n">
        <v>2536</v>
      </c>
    </row>
    <row r="1247">
      <c r="A1247" t="inlineStr">
        <is>
          <t>27BBBBB01247Z5</t>
        </is>
      </c>
      <c r="B1247" t="inlineStr">
        <is>
          <t>Jan-2021</t>
        </is>
      </c>
      <c r="C1247" s="2" t="n">
        <v>43902</v>
      </c>
      <c r="D1247" t="inlineStr">
        <is>
          <t>NON-NIL</t>
        </is>
      </c>
      <c r="E1247" t="n">
        <v>2172</v>
      </c>
    </row>
    <row r="1248">
      <c r="A1248" t="inlineStr">
        <is>
          <t>27BBBBB01248Z5</t>
        </is>
      </c>
      <c r="B1248" t="inlineStr">
        <is>
          <t>Nov-2018</t>
        </is>
      </c>
      <c r="C1248" s="2" t="n">
        <v>43151</v>
      </c>
      <c r="D1248" t="inlineStr">
        <is>
          <t>NON-NIL</t>
        </is>
      </c>
      <c r="E1248" t="n">
        <v>2743</v>
      </c>
    </row>
    <row r="1249">
      <c r="A1249" t="inlineStr">
        <is>
          <t>27BBBBB01249Z5</t>
        </is>
      </c>
      <c r="B1249" t="inlineStr">
        <is>
          <t>Mar-2021</t>
        </is>
      </c>
      <c r="C1249" s="2" t="n">
        <v>43933</v>
      </c>
      <c r="D1249" t="inlineStr">
        <is>
          <t>NON-NIL</t>
        </is>
      </c>
      <c r="E1249" t="n">
        <v>1110</v>
      </c>
    </row>
    <row r="1250">
      <c r="A1250" t="inlineStr">
        <is>
          <t>27BBBBB01250Z5</t>
        </is>
      </c>
      <c r="B1250" t="inlineStr">
        <is>
          <t>Aug-2018</t>
        </is>
      </c>
      <c r="C1250" s="2" t="n">
        <v>43749</v>
      </c>
      <c r="D1250" t="inlineStr">
        <is>
          <t>NIL</t>
        </is>
      </c>
      <c r="E1250" t="n">
        <v>2443</v>
      </c>
    </row>
    <row r="1251">
      <c r="A1251" t="inlineStr">
        <is>
          <t>27BBBBB01251Z5</t>
        </is>
      </c>
      <c r="B1251" t="inlineStr">
        <is>
          <t>Jun-2020</t>
        </is>
      </c>
      <c r="C1251" s="2" t="n">
        <v>44529</v>
      </c>
      <c r="D1251" t="inlineStr">
        <is>
          <t>NON-NIL</t>
        </is>
      </c>
      <c r="E1251" t="n">
        <v>452</v>
      </c>
    </row>
    <row r="1252">
      <c r="A1252" t="inlineStr">
        <is>
          <t>27BBBBB01252Z5</t>
        </is>
      </c>
      <c r="B1252" t="inlineStr">
        <is>
          <t>Sep-2018</t>
        </is>
      </c>
      <c r="C1252" s="2" t="n">
        <v>43107</v>
      </c>
      <c r="D1252" t="inlineStr">
        <is>
          <t>NIL</t>
        </is>
      </c>
      <c r="E1252" t="n">
        <v>15</v>
      </c>
    </row>
    <row r="1253">
      <c r="A1253" t="inlineStr">
        <is>
          <t>27BBBBB01253Z5</t>
        </is>
      </c>
      <c r="B1253" t="inlineStr">
        <is>
          <t>Dec-2024</t>
        </is>
      </c>
      <c r="C1253" s="2" t="n">
        <v>45131</v>
      </c>
      <c r="D1253" t="inlineStr">
        <is>
          <t>NON-NIL</t>
        </is>
      </c>
      <c r="E1253" t="n">
        <v>1699</v>
      </c>
    </row>
    <row r="1254">
      <c r="A1254" t="inlineStr">
        <is>
          <t>27BBBBB01254Z5</t>
        </is>
      </c>
      <c r="B1254" t="inlineStr">
        <is>
          <t>Mar-2023</t>
        </is>
      </c>
      <c r="C1254" s="2" t="n">
        <v>44045</v>
      </c>
      <c r="D1254" t="inlineStr">
        <is>
          <t>NON-NIL</t>
        </is>
      </c>
      <c r="E1254" t="n">
        <v>1601</v>
      </c>
    </row>
    <row r="1255">
      <c r="A1255" t="inlineStr">
        <is>
          <t>27BBBBB01255Z5</t>
        </is>
      </c>
      <c r="B1255" t="inlineStr">
        <is>
          <t>Aug-2018</t>
        </is>
      </c>
      <c r="C1255" s="2" t="n">
        <v>44015</v>
      </c>
      <c r="D1255" t="inlineStr">
        <is>
          <t>NON-NIL</t>
        </is>
      </c>
      <c r="E1255" t="n">
        <v>1189</v>
      </c>
    </row>
    <row r="1256">
      <c r="A1256" t="inlineStr">
        <is>
          <t>27BBBBB01256Z5</t>
        </is>
      </c>
      <c r="B1256" t="inlineStr">
        <is>
          <t>Dec-2024</t>
        </is>
      </c>
      <c r="C1256" s="2" t="n">
        <v>44750</v>
      </c>
      <c r="D1256" t="inlineStr">
        <is>
          <t>NON-NIL</t>
        </is>
      </c>
      <c r="E1256" t="n">
        <v>962</v>
      </c>
    </row>
    <row r="1257">
      <c r="A1257" t="inlineStr">
        <is>
          <t>27BBBBB01257Z5</t>
        </is>
      </c>
      <c r="B1257" t="inlineStr">
        <is>
          <t>Mar-2021</t>
        </is>
      </c>
      <c r="C1257" s="2" t="n">
        <v>45100</v>
      </c>
      <c r="D1257" t="inlineStr">
        <is>
          <t>NIL</t>
        </is>
      </c>
      <c r="E1257" t="n">
        <v>2038</v>
      </c>
    </row>
    <row r="1258">
      <c r="A1258" t="inlineStr">
        <is>
          <t>27BBBBB01258Z5</t>
        </is>
      </c>
      <c r="B1258" t="inlineStr">
        <is>
          <t>Dec-2022</t>
        </is>
      </c>
      <c r="C1258" s="2" t="n">
        <v>45498</v>
      </c>
      <c r="D1258" t="inlineStr">
        <is>
          <t>NON-NIL</t>
        </is>
      </c>
      <c r="E1258" t="n">
        <v>1775</v>
      </c>
    </row>
    <row r="1259">
      <c r="A1259" t="inlineStr">
        <is>
          <t>27BBBBB01259Z5</t>
        </is>
      </c>
      <c r="B1259" t="inlineStr">
        <is>
          <t>Jun-2018</t>
        </is>
      </c>
      <c r="C1259" s="2" t="n">
        <v>44154</v>
      </c>
      <c r="D1259" t="inlineStr">
        <is>
          <t>NON-NIL</t>
        </is>
      </c>
      <c r="E1259" t="n">
        <v>2532</v>
      </c>
    </row>
    <row r="1260">
      <c r="A1260" t="inlineStr">
        <is>
          <t>27BBBBB01260Z5</t>
        </is>
      </c>
      <c r="B1260" t="inlineStr">
        <is>
          <t>Apr-2020</t>
        </is>
      </c>
      <c r="C1260" s="2" t="n">
        <v>43924</v>
      </c>
      <c r="D1260" t="inlineStr">
        <is>
          <t>NIL</t>
        </is>
      </c>
      <c r="E1260" t="n">
        <v>2714</v>
      </c>
    </row>
    <row r="1261">
      <c r="A1261" t="inlineStr">
        <is>
          <t>27BBBBB01261Z5</t>
        </is>
      </c>
      <c r="B1261" t="inlineStr">
        <is>
          <t>Feb-2018</t>
        </is>
      </c>
      <c r="C1261" s="2" t="n">
        <v>43481</v>
      </c>
      <c r="D1261" t="inlineStr">
        <is>
          <t>NON-NIL</t>
        </is>
      </c>
      <c r="E1261" t="n">
        <v>543</v>
      </c>
    </row>
    <row r="1262">
      <c r="A1262" t="inlineStr">
        <is>
          <t>27BBBBB01262Z5</t>
        </is>
      </c>
      <c r="B1262" t="inlineStr">
        <is>
          <t>Feb-2018</t>
        </is>
      </c>
      <c r="C1262" s="2" t="n">
        <v>44559</v>
      </c>
      <c r="D1262" t="inlineStr">
        <is>
          <t>NIL</t>
        </is>
      </c>
      <c r="E1262" t="n">
        <v>1752</v>
      </c>
    </row>
    <row r="1263">
      <c r="A1263" t="inlineStr">
        <is>
          <t>27BBBBB01263Z5</t>
        </is>
      </c>
      <c r="B1263" t="inlineStr">
        <is>
          <t>Dec-2017</t>
        </is>
      </c>
      <c r="C1263" s="2" t="n">
        <v>43294</v>
      </c>
      <c r="D1263" t="inlineStr">
        <is>
          <t>NON-NIL</t>
        </is>
      </c>
      <c r="E1263" t="n">
        <v>1757</v>
      </c>
    </row>
    <row r="1264">
      <c r="A1264" t="inlineStr">
        <is>
          <t>27BBBBB01264Z5</t>
        </is>
      </c>
      <c r="B1264" t="inlineStr">
        <is>
          <t>Mar-2018</t>
        </is>
      </c>
      <c r="C1264" s="2" t="n">
        <v>43962</v>
      </c>
      <c r="D1264" t="inlineStr">
        <is>
          <t>NON-NIL</t>
        </is>
      </c>
      <c r="E1264" t="n">
        <v>2514</v>
      </c>
    </row>
    <row r="1265">
      <c r="A1265" t="inlineStr">
        <is>
          <t>27BBBBB01265Z5</t>
        </is>
      </c>
      <c r="B1265" t="inlineStr">
        <is>
          <t>May-2020</t>
        </is>
      </c>
      <c r="C1265" s="2" t="n">
        <v>44051</v>
      </c>
      <c r="D1265" t="inlineStr">
        <is>
          <t>NON-NIL</t>
        </is>
      </c>
      <c r="E1265" t="n">
        <v>396</v>
      </c>
    </row>
    <row r="1266">
      <c r="A1266" t="inlineStr">
        <is>
          <t>27BBBBB01266Z5</t>
        </is>
      </c>
      <c r="B1266" t="inlineStr">
        <is>
          <t>Apr-2018</t>
        </is>
      </c>
      <c r="C1266" s="2" t="n">
        <v>43705</v>
      </c>
      <c r="D1266" t="inlineStr">
        <is>
          <t>NIL</t>
        </is>
      </c>
      <c r="E1266" t="n">
        <v>2247</v>
      </c>
    </row>
    <row r="1267">
      <c r="A1267" t="inlineStr">
        <is>
          <t>27BBBBB01267Z5</t>
        </is>
      </c>
      <c r="B1267" t="inlineStr">
        <is>
          <t>Nov-2018</t>
        </is>
      </c>
      <c r="C1267" s="2" t="n">
        <v>43395</v>
      </c>
      <c r="D1267" t="inlineStr">
        <is>
          <t>NON-NIL</t>
        </is>
      </c>
      <c r="E1267" t="n">
        <v>892</v>
      </c>
    </row>
    <row r="1268">
      <c r="A1268" t="inlineStr">
        <is>
          <t>27BBBBB01268Z5</t>
        </is>
      </c>
      <c r="B1268" t="inlineStr">
        <is>
          <t>Jul-2020</t>
        </is>
      </c>
      <c r="C1268" s="2" t="n">
        <v>44517</v>
      </c>
      <c r="D1268" t="inlineStr">
        <is>
          <t>NIL</t>
        </is>
      </c>
      <c r="E1268" t="n">
        <v>2700</v>
      </c>
    </row>
    <row r="1269">
      <c r="A1269" t="inlineStr">
        <is>
          <t>27BBBBB01269Z5</t>
        </is>
      </c>
      <c r="B1269" t="inlineStr">
        <is>
          <t>Jun-2018</t>
        </is>
      </c>
      <c r="C1269" s="2" t="n">
        <v>44456</v>
      </c>
      <c r="D1269" t="inlineStr">
        <is>
          <t>NIL</t>
        </is>
      </c>
      <c r="E1269" t="n">
        <v>822</v>
      </c>
    </row>
    <row r="1270">
      <c r="A1270" t="inlineStr">
        <is>
          <t>27BBBBB01270Z5</t>
        </is>
      </c>
      <c r="B1270" t="inlineStr">
        <is>
          <t>Sep-2017</t>
        </is>
      </c>
      <c r="C1270" s="2" t="n">
        <v>44265</v>
      </c>
      <c r="D1270" t="inlineStr">
        <is>
          <t>NON-NIL</t>
        </is>
      </c>
      <c r="E1270" t="n">
        <v>336</v>
      </c>
    </row>
    <row r="1271">
      <c r="A1271" t="inlineStr">
        <is>
          <t>27BBBBB01271Z5</t>
        </is>
      </c>
      <c r="B1271" t="inlineStr">
        <is>
          <t>May-2020</t>
        </is>
      </c>
      <c r="C1271" s="2" t="n">
        <v>44239</v>
      </c>
      <c r="D1271" t="inlineStr">
        <is>
          <t>NIL</t>
        </is>
      </c>
      <c r="E1271" t="n">
        <v>2775</v>
      </c>
    </row>
    <row r="1272">
      <c r="A1272" t="inlineStr">
        <is>
          <t>27BBBBB01272Z5</t>
        </is>
      </c>
      <c r="B1272" t="inlineStr">
        <is>
          <t>Jan-2018</t>
        </is>
      </c>
      <c r="C1272" s="2" t="n">
        <v>43624</v>
      </c>
      <c r="D1272" t="inlineStr">
        <is>
          <t>NON-NIL</t>
        </is>
      </c>
      <c r="E1272" t="n">
        <v>465</v>
      </c>
    </row>
    <row r="1273">
      <c r="A1273" t="inlineStr">
        <is>
          <t>27BBBBB01273Z5</t>
        </is>
      </c>
      <c r="B1273" t="inlineStr">
        <is>
          <t>Mar-2023</t>
        </is>
      </c>
      <c r="C1273" s="2" t="n">
        <v>43913</v>
      </c>
      <c r="D1273" t="inlineStr">
        <is>
          <t>NON-NIL</t>
        </is>
      </c>
      <c r="E1273" t="n">
        <v>19</v>
      </c>
    </row>
    <row r="1274">
      <c r="A1274" t="inlineStr">
        <is>
          <t>27BBBBB01274Z5</t>
        </is>
      </c>
      <c r="B1274" t="inlineStr">
        <is>
          <t>Dec-2017</t>
        </is>
      </c>
      <c r="C1274" s="2" t="n">
        <v>43910</v>
      </c>
      <c r="D1274" t="inlineStr">
        <is>
          <t>NON-NIL</t>
        </is>
      </c>
      <c r="E1274" t="n">
        <v>1944</v>
      </c>
    </row>
    <row r="1275">
      <c r="A1275" t="inlineStr">
        <is>
          <t>27BBBBB01275Z5</t>
        </is>
      </c>
      <c r="B1275" t="inlineStr">
        <is>
          <t>Jan-2018</t>
        </is>
      </c>
      <c r="C1275" s="2" t="n">
        <v>43525</v>
      </c>
      <c r="D1275" t="inlineStr">
        <is>
          <t>NON-NIL</t>
        </is>
      </c>
      <c r="E1275" t="n">
        <v>1868</v>
      </c>
    </row>
    <row r="1276">
      <c r="A1276" t="inlineStr">
        <is>
          <t>27BBBBB01276Z5</t>
        </is>
      </c>
      <c r="B1276" t="inlineStr">
        <is>
          <t>Mar-2023</t>
        </is>
      </c>
      <c r="C1276" s="2" t="n">
        <v>45832</v>
      </c>
      <c r="D1276" t="inlineStr">
        <is>
          <t>NIL</t>
        </is>
      </c>
      <c r="E1276" t="n">
        <v>1825</v>
      </c>
    </row>
    <row r="1277">
      <c r="A1277" t="inlineStr">
        <is>
          <t>27BBBBB01277Z5</t>
        </is>
      </c>
      <c r="B1277" t="inlineStr">
        <is>
          <t>Dec-2017</t>
        </is>
      </c>
      <c r="C1277" s="2" t="n">
        <v>44449</v>
      </c>
      <c r="D1277" t="inlineStr">
        <is>
          <t>NIL</t>
        </is>
      </c>
      <c r="E1277" t="n">
        <v>928</v>
      </c>
    </row>
    <row r="1278">
      <c r="A1278" t="inlineStr">
        <is>
          <t>27BBBBB01278Z5</t>
        </is>
      </c>
      <c r="B1278" t="inlineStr">
        <is>
          <t>Mar-2021</t>
        </is>
      </c>
      <c r="C1278" s="2" t="n">
        <v>43917</v>
      </c>
      <c r="D1278" t="inlineStr">
        <is>
          <t>NON-NIL</t>
        </is>
      </c>
      <c r="E1278" t="n">
        <v>1557</v>
      </c>
    </row>
    <row r="1279">
      <c r="A1279" t="inlineStr">
        <is>
          <t>27BBBBB01279Z5</t>
        </is>
      </c>
      <c r="B1279" t="inlineStr">
        <is>
          <t>Sep-2017</t>
        </is>
      </c>
      <c r="C1279" s="2" t="n">
        <v>44166</v>
      </c>
      <c r="D1279" t="inlineStr">
        <is>
          <t>NON-NIL</t>
        </is>
      </c>
      <c r="E1279" t="n">
        <v>2283</v>
      </c>
    </row>
    <row r="1280">
      <c r="A1280" t="inlineStr">
        <is>
          <t>27BBBBB01280Z5</t>
        </is>
      </c>
      <c r="B1280" t="inlineStr">
        <is>
          <t>Dec-2017</t>
        </is>
      </c>
      <c r="C1280" s="2" t="n">
        <v>43265</v>
      </c>
      <c r="D1280" t="inlineStr">
        <is>
          <t>NON-NIL</t>
        </is>
      </c>
      <c r="E1280" t="n">
        <v>2139</v>
      </c>
    </row>
    <row r="1281">
      <c r="A1281" t="inlineStr">
        <is>
          <t>27BBBBB01281Z5</t>
        </is>
      </c>
      <c r="B1281" t="inlineStr">
        <is>
          <t>Dec-2018</t>
        </is>
      </c>
      <c r="C1281" s="2" t="n">
        <v>43615</v>
      </c>
      <c r="D1281" t="inlineStr">
        <is>
          <t>NON-NIL</t>
        </is>
      </c>
      <c r="E1281" t="n">
        <v>2709</v>
      </c>
    </row>
    <row r="1282">
      <c r="A1282" t="inlineStr">
        <is>
          <t>27BBBBB01282Z5</t>
        </is>
      </c>
      <c r="B1282" t="inlineStr">
        <is>
          <t>Jan-2018</t>
        </is>
      </c>
      <c r="C1282" s="2" t="n">
        <v>43163</v>
      </c>
      <c r="D1282" t="inlineStr">
        <is>
          <t>NIL</t>
        </is>
      </c>
      <c r="E1282" t="n">
        <v>2599</v>
      </c>
    </row>
    <row r="1283">
      <c r="A1283" t="inlineStr">
        <is>
          <t>27BBBBB01283Z5</t>
        </is>
      </c>
      <c r="B1283" t="inlineStr">
        <is>
          <t>Jul-2020</t>
        </is>
      </c>
      <c r="C1283" s="2" t="n">
        <v>44474</v>
      </c>
      <c r="D1283" t="inlineStr">
        <is>
          <t>NON-NIL</t>
        </is>
      </c>
      <c r="E1283" t="n">
        <v>1246</v>
      </c>
    </row>
    <row r="1284">
      <c r="A1284" t="inlineStr">
        <is>
          <t>27BBBBB01284Z5</t>
        </is>
      </c>
      <c r="B1284" t="inlineStr">
        <is>
          <t>Jul-2017</t>
        </is>
      </c>
      <c r="C1284" s="2" t="n">
        <v>43997</v>
      </c>
      <c r="D1284" t="inlineStr">
        <is>
          <t>NON-NIL</t>
        </is>
      </c>
      <c r="E1284" t="n">
        <v>1259</v>
      </c>
    </row>
    <row r="1285">
      <c r="A1285" t="inlineStr">
        <is>
          <t>27BBBBB01285Z5</t>
        </is>
      </c>
      <c r="B1285" t="inlineStr">
        <is>
          <t>Sep-2018</t>
        </is>
      </c>
      <c r="C1285" s="2" t="n">
        <v>43477</v>
      </c>
      <c r="D1285" t="inlineStr">
        <is>
          <t>NIL</t>
        </is>
      </c>
      <c r="E1285" t="n">
        <v>1849</v>
      </c>
    </row>
    <row r="1286">
      <c r="A1286" t="inlineStr">
        <is>
          <t>27BBBBB01286Z5</t>
        </is>
      </c>
      <c r="B1286" t="inlineStr">
        <is>
          <t>Jan-2018</t>
        </is>
      </c>
      <c r="C1286" s="2" t="n">
        <v>44166</v>
      </c>
      <c r="D1286" t="inlineStr">
        <is>
          <t>NON-NIL</t>
        </is>
      </c>
      <c r="E1286" t="n">
        <v>620</v>
      </c>
    </row>
    <row r="1287">
      <c r="A1287" t="inlineStr">
        <is>
          <t>27BBBBB01287Z5</t>
        </is>
      </c>
      <c r="B1287" t="inlineStr">
        <is>
          <t>Mar-2020</t>
        </is>
      </c>
      <c r="C1287" s="2" t="n">
        <v>44690</v>
      </c>
      <c r="D1287" t="inlineStr">
        <is>
          <t>NIL</t>
        </is>
      </c>
      <c r="E1287" t="n">
        <v>1995</v>
      </c>
    </row>
    <row r="1288">
      <c r="A1288" t="inlineStr">
        <is>
          <t>27BBBBB01288Z5</t>
        </is>
      </c>
      <c r="B1288" t="inlineStr">
        <is>
          <t>Jun-2018</t>
        </is>
      </c>
      <c r="C1288" s="2" t="n">
        <v>43751</v>
      </c>
      <c r="D1288" t="inlineStr">
        <is>
          <t>NON-NIL</t>
        </is>
      </c>
      <c r="E1288" t="n">
        <v>1799</v>
      </c>
    </row>
    <row r="1289">
      <c r="A1289" t="inlineStr">
        <is>
          <t>27BBBBB01289Z5</t>
        </is>
      </c>
      <c r="B1289" t="inlineStr">
        <is>
          <t>Oct-2018</t>
        </is>
      </c>
      <c r="C1289" s="2" t="n">
        <v>44124</v>
      </c>
      <c r="D1289" t="inlineStr">
        <is>
          <t>NIL</t>
        </is>
      </c>
      <c r="E1289" t="n">
        <v>1576</v>
      </c>
    </row>
    <row r="1290">
      <c r="A1290" t="inlineStr">
        <is>
          <t>27BBBBB01290Z5</t>
        </is>
      </c>
      <c r="B1290" t="inlineStr">
        <is>
          <t>Oct-2017</t>
        </is>
      </c>
      <c r="C1290" s="2" t="n">
        <v>43954</v>
      </c>
      <c r="D1290" t="inlineStr">
        <is>
          <t>NIL</t>
        </is>
      </c>
      <c r="E1290" t="n">
        <v>1184</v>
      </c>
    </row>
    <row r="1291">
      <c r="A1291" t="inlineStr">
        <is>
          <t>27BBBBB01291Z5</t>
        </is>
      </c>
      <c r="B1291" t="inlineStr">
        <is>
          <t>Mar-2018</t>
        </is>
      </c>
      <c r="C1291" s="2" t="n">
        <v>43222</v>
      </c>
      <c r="D1291" t="inlineStr">
        <is>
          <t>NON-NIL</t>
        </is>
      </c>
      <c r="E1291" t="n">
        <v>509</v>
      </c>
    </row>
    <row r="1292">
      <c r="A1292" t="inlineStr">
        <is>
          <t>27BBBBB01292Z5</t>
        </is>
      </c>
      <c r="B1292" t="inlineStr">
        <is>
          <t>Sep-2017</t>
        </is>
      </c>
      <c r="C1292" s="2" t="n">
        <v>43953</v>
      </c>
      <c r="D1292" t="inlineStr">
        <is>
          <t>NIL</t>
        </is>
      </c>
      <c r="E1292" t="n">
        <v>2446</v>
      </c>
    </row>
    <row r="1293">
      <c r="A1293" t="inlineStr">
        <is>
          <t>27BBBBB01293Z5</t>
        </is>
      </c>
      <c r="B1293" t="inlineStr">
        <is>
          <t>May-2018</t>
        </is>
      </c>
      <c r="C1293" s="2" t="n">
        <v>43450</v>
      </c>
      <c r="D1293" t="inlineStr">
        <is>
          <t>NON-NIL</t>
        </is>
      </c>
      <c r="E1293" t="n">
        <v>1282</v>
      </c>
    </row>
    <row r="1294">
      <c r="A1294" t="inlineStr">
        <is>
          <t>27BBBBB01294Z5</t>
        </is>
      </c>
      <c r="B1294" t="inlineStr">
        <is>
          <t>Sep-2017</t>
        </is>
      </c>
      <c r="C1294" s="2" t="n">
        <v>44115</v>
      </c>
      <c r="D1294" t="inlineStr">
        <is>
          <t>NIL</t>
        </is>
      </c>
      <c r="E1294" t="n">
        <v>1185</v>
      </c>
    </row>
    <row r="1295">
      <c r="A1295" t="inlineStr">
        <is>
          <t>27BBBBB01295Z5</t>
        </is>
      </c>
      <c r="B1295" t="inlineStr">
        <is>
          <t>Oct-2017</t>
        </is>
      </c>
      <c r="C1295" s="2" t="n">
        <v>43672</v>
      </c>
      <c r="D1295" t="inlineStr">
        <is>
          <t>NIL</t>
        </is>
      </c>
      <c r="E1295" t="n">
        <v>2104</v>
      </c>
    </row>
    <row r="1296">
      <c r="A1296" t="inlineStr">
        <is>
          <t>27BBBBB01296Z5</t>
        </is>
      </c>
      <c r="B1296" t="inlineStr">
        <is>
          <t>Aug-2018</t>
        </is>
      </c>
      <c r="C1296" s="2" t="n">
        <v>43402</v>
      </c>
      <c r="D1296" t="inlineStr">
        <is>
          <t>NON-NIL</t>
        </is>
      </c>
      <c r="E1296" t="n">
        <v>2241</v>
      </c>
    </row>
    <row r="1297">
      <c r="A1297" t="inlineStr">
        <is>
          <t>27BBBBB01297Z5</t>
        </is>
      </c>
      <c r="B1297" t="inlineStr">
        <is>
          <t>Mar-2018</t>
        </is>
      </c>
      <c r="C1297" s="2" t="n">
        <v>42929</v>
      </c>
      <c r="D1297" t="inlineStr">
        <is>
          <t>NIL</t>
        </is>
      </c>
      <c r="E1297" t="n">
        <v>1744</v>
      </c>
    </row>
    <row r="1298">
      <c r="A1298" t="inlineStr">
        <is>
          <t>27BBBBB01298Z5</t>
        </is>
      </c>
      <c r="B1298" t="inlineStr">
        <is>
          <t>Dec-2024</t>
        </is>
      </c>
      <c r="C1298" s="2" t="n">
        <v>43822</v>
      </c>
      <c r="D1298" t="inlineStr">
        <is>
          <t>NON-NIL</t>
        </is>
      </c>
      <c r="E1298" t="n">
        <v>196</v>
      </c>
    </row>
    <row r="1299">
      <c r="A1299" t="inlineStr">
        <is>
          <t>27BBBBB01299Z5</t>
        </is>
      </c>
      <c r="B1299" t="inlineStr">
        <is>
          <t>Mar-2023</t>
        </is>
      </c>
      <c r="C1299" s="2" t="n">
        <v>45025</v>
      </c>
      <c r="D1299" t="inlineStr">
        <is>
          <t>NON-NIL</t>
        </is>
      </c>
      <c r="E1299" t="n">
        <v>2485</v>
      </c>
    </row>
    <row r="1300">
      <c r="A1300" t="inlineStr">
        <is>
          <t>27BBBBB01300Z5</t>
        </is>
      </c>
      <c r="B1300" t="inlineStr">
        <is>
          <t>Oct-2017</t>
        </is>
      </c>
      <c r="C1300" s="2" t="n">
        <v>43540</v>
      </c>
      <c r="D1300" t="inlineStr">
        <is>
          <t>NON-NIL</t>
        </is>
      </c>
      <c r="E1300" t="n">
        <v>1332</v>
      </c>
    </row>
    <row r="1301">
      <c r="A1301" t="inlineStr">
        <is>
          <t>27BBBBB01301Z5</t>
        </is>
      </c>
      <c r="B1301" t="inlineStr">
        <is>
          <t>Jan-2018</t>
        </is>
      </c>
      <c r="C1301" s="2" t="n">
        <v>43419</v>
      </c>
      <c r="D1301" t="inlineStr">
        <is>
          <t>NON-NIL</t>
        </is>
      </c>
      <c r="E1301" t="n">
        <v>2822</v>
      </c>
    </row>
    <row r="1302">
      <c r="A1302" t="inlineStr">
        <is>
          <t>27BBBBB01302Z5</t>
        </is>
      </c>
      <c r="B1302" t="inlineStr">
        <is>
          <t>Jun-2018</t>
        </is>
      </c>
      <c r="C1302" s="2" t="n">
        <v>43284</v>
      </c>
      <c r="D1302" t="inlineStr">
        <is>
          <t>NIL</t>
        </is>
      </c>
      <c r="E1302" t="n">
        <v>394</v>
      </c>
    </row>
    <row r="1303">
      <c r="A1303" t="inlineStr">
        <is>
          <t>27BBBBB01303Z5</t>
        </is>
      </c>
      <c r="B1303" t="inlineStr">
        <is>
          <t>Mar-2023</t>
        </is>
      </c>
      <c r="C1303" s="2" t="n">
        <v>44938</v>
      </c>
      <c r="D1303" t="inlineStr">
        <is>
          <t>NON-NIL</t>
        </is>
      </c>
      <c r="E1303" t="n">
        <v>2510</v>
      </c>
    </row>
    <row r="1304">
      <c r="A1304" t="inlineStr">
        <is>
          <t>27BBBBB01304Z5</t>
        </is>
      </c>
      <c r="B1304" t="inlineStr">
        <is>
          <t>Oct-2017</t>
        </is>
      </c>
      <c r="C1304" s="2" t="n">
        <v>43482</v>
      </c>
      <c r="D1304" t="inlineStr">
        <is>
          <t>NON-NIL</t>
        </is>
      </c>
      <c r="E1304" t="n">
        <v>2757</v>
      </c>
    </row>
    <row r="1305">
      <c r="A1305" t="inlineStr">
        <is>
          <t>27BBBBB01305Z5</t>
        </is>
      </c>
      <c r="B1305" t="inlineStr">
        <is>
          <t>Oct-2017</t>
        </is>
      </c>
      <c r="C1305" s="2" t="n">
        <v>43694</v>
      </c>
      <c r="D1305" t="inlineStr">
        <is>
          <t>NON-NIL</t>
        </is>
      </c>
      <c r="E1305" t="n">
        <v>313</v>
      </c>
    </row>
    <row r="1306">
      <c r="A1306" t="inlineStr">
        <is>
          <t>27BBBBB01306Z5</t>
        </is>
      </c>
      <c r="B1306" t="inlineStr">
        <is>
          <t>Jun-2018</t>
        </is>
      </c>
      <c r="C1306" s="2" t="n">
        <v>43887</v>
      </c>
      <c r="D1306" t="inlineStr">
        <is>
          <t>NIL</t>
        </is>
      </c>
      <c r="E1306" t="n">
        <v>769</v>
      </c>
    </row>
    <row r="1307">
      <c r="A1307" t="inlineStr">
        <is>
          <t>27BBBBB01307Z5</t>
        </is>
      </c>
      <c r="B1307" t="inlineStr">
        <is>
          <t>Oct-2018</t>
        </is>
      </c>
      <c r="C1307" s="2" t="n">
        <v>43788</v>
      </c>
      <c r="D1307" t="inlineStr">
        <is>
          <t>NON-NIL</t>
        </is>
      </c>
      <c r="E1307" t="n">
        <v>29</v>
      </c>
    </row>
    <row r="1308">
      <c r="A1308" t="inlineStr">
        <is>
          <t>27BBBBB01308Z5</t>
        </is>
      </c>
      <c r="B1308" t="inlineStr">
        <is>
          <t>Jan-2021</t>
        </is>
      </c>
      <c r="C1308" s="2" t="n">
        <v>43829</v>
      </c>
      <c r="D1308" t="inlineStr">
        <is>
          <t>NIL</t>
        </is>
      </c>
      <c r="E1308" t="n">
        <v>1094</v>
      </c>
    </row>
    <row r="1309">
      <c r="A1309" t="inlineStr">
        <is>
          <t>27BBBBB01309Z5</t>
        </is>
      </c>
      <c r="B1309" t="inlineStr">
        <is>
          <t>Sep-2017</t>
        </is>
      </c>
      <c r="C1309" s="2" t="n">
        <v>44205</v>
      </c>
      <c r="D1309" t="inlineStr">
        <is>
          <t>NON-NIL</t>
        </is>
      </c>
      <c r="E1309" t="n">
        <v>2075</v>
      </c>
    </row>
    <row r="1310">
      <c r="A1310" t="inlineStr">
        <is>
          <t>27BBBBB01310Z5</t>
        </is>
      </c>
      <c r="B1310" t="inlineStr">
        <is>
          <t>Sep-2017</t>
        </is>
      </c>
      <c r="C1310" s="2" t="n">
        <v>42948</v>
      </c>
      <c r="D1310" t="inlineStr">
        <is>
          <t>NIL</t>
        </is>
      </c>
      <c r="E1310" t="n">
        <v>1994</v>
      </c>
    </row>
    <row r="1311">
      <c r="A1311" t="inlineStr">
        <is>
          <t>27BBBBB01311Z5</t>
        </is>
      </c>
      <c r="B1311" t="inlineStr">
        <is>
          <t>Oct-2017</t>
        </is>
      </c>
      <c r="C1311" s="2" t="n">
        <v>44092</v>
      </c>
      <c r="D1311" t="inlineStr">
        <is>
          <t>NON-NIL</t>
        </is>
      </c>
      <c r="E1311" t="n">
        <v>1973</v>
      </c>
    </row>
    <row r="1312">
      <c r="A1312" t="inlineStr">
        <is>
          <t>27BBBBB01312Z5</t>
        </is>
      </c>
      <c r="B1312" t="inlineStr">
        <is>
          <t>May-2020</t>
        </is>
      </c>
      <c r="C1312" s="2" t="n">
        <v>44040</v>
      </c>
      <c r="D1312" t="inlineStr">
        <is>
          <t>NON-NIL</t>
        </is>
      </c>
      <c r="E1312" t="n">
        <v>1412</v>
      </c>
    </row>
    <row r="1313">
      <c r="A1313" t="inlineStr">
        <is>
          <t>27BBBBB01313Z5</t>
        </is>
      </c>
      <c r="B1313" t="inlineStr">
        <is>
          <t>Oct-2017</t>
        </is>
      </c>
      <c r="C1313" s="2" t="n">
        <v>43555</v>
      </c>
      <c r="D1313" t="inlineStr">
        <is>
          <t>NON-NIL</t>
        </is>
      </c>
      <c r="E1313" t="n">
        <v>404</v>
      </c>
    </row>
    <row r="1314">
      <c r="A1314" t="inlineStr">
        <is>
          <t>27BBBBB01314Z5</t>
        </is>
      </c>
      <c r="B1314" t="inlineStr">
        <is>
          <t>Mar-2018</t>
        </is>
      </c>
      <c r="C1314" s="2" t="n">
        <v>44109</v>
      </c>
      <c r="D1314" t="inlineStr">
        <is>
          <t>NON-NIL</t>
        </is>
      </c>
      <c r="E1314" t="n">
        <v>1338</v>
      </c>
    </row>
    <row r="1315">
      <c r="A1315" t="inlineStr">
        <is>
          <t>27BBBBB01315Z5</t>
        </is>
      </c>
      <c r="B1315" t="inlineStr">
        <is>
          <t>Dec-2018</t>
        </is>
      </c>
      <c r="C1315" s="2" t="n">
        <v>44503</v>
      </c>
      <c r="D1315" t="inlineStr">
        <is>
          <t>NIL</t>
        </is>
      </c>
      <c r="E1315" t="n">
        <v>2222</v>
      </c>
    </row>
    <row r="1316">
      <c r="A1316" t="inlineStr">
        <is>
          <t>27BBBBB01316Z5</t>
        </is>
      </c>
      <c r="B1316" t="inlineStr">
        <is>
          <t>Oct-2018</t>
        </is>
      </c>
      <c r="C1316" s="2" t="n">
        <v>43352</v>
      </c>
      <c r="D1316" t="inlineStr">
        <is>
          <t>NON-NIL</t>
        </is>
      </c>
      <c r="E1316" t="n">
        <v>2248</v>
      </c>
    </row>
    <row r="1317">
      <c r="A1317" t="inlineStr">
        <is>
          <t>27BBBBB01317Z5</t>
        </is>
      </c>
      <c r="B1317" t="inlineStr">
        <is>
          <t>Aug-2017</t>
        </is>
      </c>
      <c r="C1317" s="2" t="n">
        <v>43873</v>
      </c>
      <c r="D1317" t="inlineStr">
        <is>
          <t>NIL</t>
        </is>
      </c>
      <c r="E1317" t="n">
        <v>2436</v>
      </c>
    </row>
    <row r="1318">
      <c r="A1318" t="inlineStr">
        <is>
          <t>27BBBBB01318Z5</t>
        </is>
      </c>
      <c r="B1318" t="inlineStr">
        <is>
          <t>Jul-2018</t>
        </is>
      </c>
      <c r="C1318" s="2" t="n">
        <v>43790</v>
      </c>
      <c r="D1318" t="inlineStr">
        <is>
          <t>NIL</t>
        </is>
      </c>
      <c r="E1318" t="n">
        <v>2119</v>
      </c>
    </row>
    <row r="1319">
      <c r="A1319" t="inlineStr">
        <is>
          <t>27BBBBB01319Z5</t>
        </is>
      </c>
      <c r="B1319" t="inlineStr">
        <is>
          <t>Aug-2017</t>
        </is>
      </c>
      <c r="C1319" s="2" t="n">
        <v>44012</v>
      </c>
      <c r="D1319" t="inlineStr">
        <is>
          <t>NON-NIL</t>
        </is>
      </c>
      <c r="E1319" t="n">
        <v>988</v>
      </c>
    </row>
    <row r="1320">
      <c r="A1320" t="inlineStr">
        <is>
          <t>27BBBBB01320Z5</t>
        </is>
      </c>
      <c r="B1320" t="inlineStr">
        <is>
          <t>Nov-2018</t>
        </is>
      </c>
      <c r="C1320" s="2" t="n">
        <v>43979</v>
      </c>
      <c r="D1320" t="inlineStr">
        <is>
          <t>NIL</t>
        </is>
      </c>
      <c r="E1320" t="n">
        <v>1567</v>
      </c>
    </row>
    <row r="1321">
      <c r="A1321" t="inlineStr">
        <is>
          <t>27BBBBB01321Z5</t>
        </is>
      </c>
      <c r="B1321" t="inlineStr">
        <is>
          <t>Mar-2023</t>
        </is>
      </c>
      <c r="C1321" s="2" t="n">
        <v>45681</v>
      </c>
      <c r="D1321" t="inlineStr">
        <is>
          <t>NON-NIL</t>
        </is>
      </c>
      <c r="E1321" t="n">
        <v>2168</v>
      </c>
    </row>
    <row r="1322">
      <c r="A1322" t="inlineStr">
        <is>
          <t>27BBBBB01322Z5</t>
        </is>
      </c>
      <c r="B1322" t="inlineStr">
        <is>
          <t>Nov-2017</t>
        </is>
      </c>
      <c r="C1322" s="2" t="n">
        <v>43876</v>
      </c>
      <c r="D1322" t="inlineStr">
        <is>
          <t>NIL</t>
        </is>
      </c>
      <c r="E1322" t="n">
        <v>800</v>
      </c>
    </row>
    <row r="1323">
      <c r="A1323" t="inlineStr">
        <is>
          <t>27BBBBB01323Z5</t>
        </is>
      </c>
      <c r="B1323" t="inlineStr">
        <is>
          <t>May-2020</t>
        </is>
      </c>
      <c r="C1323" s="2" t="n">
        <v>43878</v>
      </c>
      <c r="D1323" t="inlineStr">
        <is>
          <t>NIL</t>
        </is>
      </c>
      <c r="E1323" t="n">
        <v>1866</v>
      </c>
    </row>
    <row r="1324">
      <c r="A1324" t="inlineStr">
        <is>
          <t>27BBBBB01324Z5</t>
        </is>
      </c>
      <c r="B1324" t="inlineStr">
        <is>
          <t>Jul-2017</t>
        </is>
      </c>
      <c r="C1324" s="2" t="n">
        <v>44530</v>
      </c>
      <c r="D1324" t="inlineStr">
        <is>
          <t>NON-NIL</t>
        </is>
      </c>
      <c r="E1324" t="n">
        <v>2963</v>
      </c>
    </row>
    <row r="1325">
      <c r="A1325" t="inlineStr">
        <is>
          <t>27BBBBB01325Z5</t>
        </is>
      </c>
      <c r="B1325" t="inlineStr">
        <is>
          <t>Jul-2018</t>
        </is>
      </c>
      <c r="C1325" s="2" t="n">
        <v>43481</v>
      </c>
      <c r="D1325" t="inlineStr">
        <is>
          <t>NON-NIL</t>
        </is>
      </c>
      <c r="E1325" t="n">
        <v>1394</v>
      </c>
    </row>
    <row r="1326">
      <c r="A1326" t="inlineStr">
        <is>
          <t>27BBBBB01326Z5</t>
        </is>
      </c>
      <c r="B1326" t="inlineStr">
        <is>
          <t>Jul-2017</t>
        </is>
      </c>
      <c r="C1326" s="2" t="n">
        <v>43400</v>
      </c>
      <c r="D1326" t="inlineStr">
        <is>
          <t>NIL</t>
        </is>
      </c>
      <c r="E1326" t="n">
        <v>2715</v>
      </c>
    </row>
    <row r="1327">
      <c r="A1327" t="inlineStr">
        <is>
          <t>27BBBBB01327Z5</t>
        </is>
      </c>
      <c r="B1327" t="inlineStr">
        <is>
          <t>Jul-2017</t>
        </is>
      </c>
      <c r="C1327" s="2" t="n">
        <v>43690</v>
      </c>
      <c r="D1327" t="inlineStr">
        <is>
          <t>NIL</t>
        </is>
      </c>
      <c r="E1327" t="n">
        <v>1071</v>
      </c>
    </row>
    <row r="1328">
      <c r="A1328" t="inlineStr">
        <is>
          <t>27BBBBB01328Z5</t>
        </is>
      </c>
      <c r="B1328" t="inlineStr">
        <is>
          <t>Jun-2018</t>
        </is>
      </c>
      <c r="C1328" s="2" t="n">
        <v>44377</v>
      </c>
      <c r="D1328" t="inlineStr">
        <is>
          <t>NIL</t>
        </is>
      </c>
      <c r="E1328" t="n">
        <v>2761</v>
      </c>
    </row>
    <row r="1329">
      <c r="A1329" t="inlineStr">
        <is>
          <t>27BBBBB01329Z5</t>
        </is>
      </c>
      <c r="B1329" t="inlineStr">
        <is>
          <t>Apr-2020</t>
        </is>
      </c>
      <c r="C1329" s="2" t="n">
        <v>43928</v>
      </c>
      <c r="D1329" t="inlineStr">
        <is>
          <t>NIL</t>
        </is>
      </c>
      <c r="E1329" t="n">
        <v>2102</v>
      </c>
    </row>
    <row r="1330">
      <c r="A1330" t="inlineStr">
        <is>
          <t>27BBBBB01330Z5</t>
        </is>
      </c>
      <c r="B1330" t="inlineStr">
        <is>
          <t>Oct-2018</t>
        </is>
      </c>
      <c r="C1330" s="2" t="n">
        <v>43389</v>
      </c>
      <c r="D1330" t="inlineStr">
        <is>
          <t>NIL</t>
        </is>
      </c>
      <c r="E1330" t="n">
        <v>216</v>
      </c>
    </row>
    <row r="1331">
      <c r="A1331" t="inlineStr">
        <is>
          <t>27BBBBB01331Z5</t>
        </is>
      </c>
      <c r="B1331" t="inlineStr">
        <is>
          <t>Jul-2017</t>
        </is>
      </c>
      <c r="C1331" s="2" t="n">
        <v>43280</v>
      </c>
      <c r="D1331" t="inlineStr">
        <is>
          <t>NON-NIL</t>
        </is>
      </c>
      <c r="E1331" t="n">
        <v>2613</v>
      </c>
    </row>
    <row r="1332">
      <c r="A1332" t="inlineStr">
        <is>
          <t>27BBBBB01332Z5</t>
        </is>
      </c>
      <c r="B1332" t="inlineStr">
        <is>
          <t>Mar-2023</t>
        </is>
      </c>
      <c r="C1332" s="2" t="n">
        <v>45012</v>
      </c>
      <c r="D1332" t="inlineStr">
        <is>
          <t>NIL</t>
        </is>
      </c>
      <c r="E1332" t="n">
        <v>2926</v>
      </c>
    </row>
    <row r="1333">
      <c r="A1333" t="inlineStr">
        <is>
          <t>27BBBBB01333Z5</t>
        </is>
      </c>
      <c r="B1333" t="inlineStr">
        <is>
          <t>Nov-2017</t>
        </is>
      </c>
      <c r="C1333" s="2" t="n">
        <v>43852</v>
      </c>
      <c r="D1333" t="inlineStr">
        <is>
          <t>NIL</t>
        </is>
      </c>
      <c r="E1333" t="n">
        <v>681</v>
      </c>
    </row>
    <row r="1334">
      <c r="A1334" t="inlineStr">
        <is>
          <t>27BBBBB01334Z5</t>
        </is>
      </c>
      <c r="B1334" t="inlineStr">
        <is>
          <t>Jan-2018</t>
        </is>
      </c>
      <c r="C1334" s="2" t="n">
        <v>44518</v>
      </c>
      <c r="D1334" t="inlineStr">
        <is>
          <t>NON-NIL</t>
        </is>
      </c>
      <c r="E1334" t="n">
        <v>909</v>
      </c>
    </row>
    <row r="1335">
      <c r="A1335" t="inlineStr">
        <is>
          <t>27BBBBB01335Z5</t>
        </is>
      </c>
      <c r="B1335" t="inlineStr">
        <is>
          <t>Mar-2023</t>
        </is>
      </c>
      <c r="C1335" s="2" t="n">
        <v>45213</v>
      </c>
      <c r="D1335" t="inlineStr">
        <is>
          <t>NON-NIL</t>
        </is>
      </c>
      <c r="E1335" t="n">
        <v>242</v>
      </c>
    </row>
    <row r="1336">
      <c r="A1336" t="inlineStr">
        <is>
          <t>27BBBBB01336Z5</t>
        </is>
      </c>
      <c r="B1336" t="inlineStr">
        <is>
          <t>Mar-2018</t>
        </is>
      </c>
      <c r="C1336" s="2" t="n">
        <v>43342</v>
      </c>
      <c r="D1336" t="inlineStr">
        <is>
          <t>NIL</t>
        </is>
      </c>
      <c r="E1336" t="n">
        <v>2658</v>
      </c>
    </row>
    <row r="1337">
      <c r="A1337" t="inlineStr">
        <is>
          <t>27BBBBB01337Z5</t>
        </is>
      </c>
      <c r="B1337" t="inlineStr">
        <is>
          <t>Jul-2018</t>
        </is>
      </c>
      <c r="C1337" s="2" t="n">
        <v>43008</v>
      </c>
      <c r="D1337" t="inlineStr">
        <is>
          <t>NON-NIL</t>
        </is>
      </c>
      <c r="E1337" t="n">
        <v>2396</v>
      </c>
    </row>
    <row r="1338">
      <c r="A1338" t="inlineStr">
        <is>
          <t>27BBBBB01338Z5</t>
        </is>
      </c>
      <c r="B1338" t="inlineStr">
        <is>
          <t>Aug-2017</t>
        </is>
      </c>
      <c r="C1338" s="2" t="n">
        <v>43450</v>
      </c>
      <c r="D1338" t="inlineStr">
        <is>
          <t>NON-NIL</t>
        </is>
      </c>
      <c r="E1338" t="n">
        <v>957</v>
      </c>
    </row>
    <row r="1339">
      <c r="A1339" t="inlineStr">
        <is>
          <t>27BBBBB01339Z5</t>
        </is>
      </c>
      <c r="B1339" t="inlineStr">
        <is>
          <t>Jun-2018</t>
        </is>
      </c>
      <c r="C1339" s="2" t="n">
        <v>43348</v>
      </c>
      <c r="D1339" t="inlineStr">
        <is>
          <t>NON-NIL</t>
        </is>
      </c>
      <c r="E1339" t="n">
        <v>576</v>
      </c>
    </row>
    <row r="1340">
      <c r="A1340" t="inlineStr">
        <is>
          <t>27BBBBB01340Z5</t>
        </is>
      </c>
      <c r="B1340" t="inlineStr">
        <is>
          <t>Dec-2017</t>
        </is>
      </c>
      <c r="C1340" s="2" t="n">
        <v>43773</v>
      </c>
      <c r="D1340" t="inlineStr">
        <is>
          <t>NON-NIL</t>
        </is>
      </c>
      <c r="E1340" t="n">
        <v>1065</v>
      </c>
    </row>
    <row r="1341">
      <c r="A1341" t="inlineStr">
        <is>
          <t>27BBBBB01341Z5</t>
        </is>
      </c>
      <c r="B1341" t="inlineStr">
        <is>
          <t>Mar-2020</t>
        </is>
      </c>
      <c r="C1341" s="2" t="n">
        <v>44252</v>
      </c>
      <c r="D1341" t="inlineStr">
        <is>
          <t>NIL</t>
        </is>
      </c>
      <c r="E1341" t="n">
        <v>1408</v>
      </c>
    </row>
    <row r="1342">
      <c r="A1342" t="inlineStr">
        <is>
          <t>27BBBBB01342Z5</t>
        </is>
      </c>
      <c r="B1342" t="inlineStr">
        <is>
          <t>Dec-2024</t>
        </is>
      </c>
      <c r="C1342" s="2" t="n">
        <v>44322</v>
      </c>
      <c r="D1342" t="inlineStr">
        <is>
          <t>NON-NIL</t>
        </is>
      </c>
      <c r="E1342" t="n">
        <v>777</v>
      </c>
    </row>
    <row r="1343">
      <c r="A1343" t="inlineStr">
        <is>
          <t>27BBBBB01343Z5</t>
        </is>
      </c>
      <c r="B1343" t="inlineStr">
        <is>
          <t>Mar-2021</t>
        </is>
      </c>
      <c r="C1343" s="2" t="n">
        <v>44716</v>
      </c>
      <c r="D1343" t="inlineStr">
        <is>
          <t>NON-NIL</t>
        </is>
      </c>
      <c r="E1343" t="n">
        <v>395</v>
      </c>
    </row>
    <row r="1344">
      <c r="A1344" t="inlineStr">
        <is>
          <t>27BBBBB01344Z5</t>
        </is>
      </c>
      <c r="B1344" t="inlineStr">
        <is>
          <t>Jan-2018</t>
        </is>
      </c>
      <c r="C1344" s="2" t="n">
        <v>44303</v>
      </c>
      <c r="D1344" t="inlineStr">
        <is>
          <t>NON-NIL</t>
        </is>
      </c>
      <c r="E1344" t="n">
        <v>2517</v>
      </c>
    </row>
    <row r="1345">
      <c r="A1345" t="inlineStr">
        <is>
          <t>27BBBBB01345Z5</t>
        </is>
      </c>
      <c r="B1345" t="inlineStr">
        <is>
          <t>Mar-2020</t>
        </is>
      </c>
      <c r="C1345" s="2" t="n">
        <v>44720</v>
      </c>
      <c r="D1345" t="inlineStr">
        <is>
          <t>NON-NIL</t>
        </is>
      </c>
      <c r="E1345" t="n">
        <v>594</v>
      </c>
    </row>
    <row r="1346">
      <c r="A1346" t="inlineStr">
        <is>
          <t>27BBBBB01346Z5</t>
        </is>
      </c>
      <c r="B1346" t="inlineStr">
        <is>
          <t>Aug-2018</t>
        </is>
      </c>
      <c r="C1346" s="2" t="n">
        <v>43038</v>
      </c>
      <c r="D1346" t="inlineStr">
        <is>
          <t>NON-NIL</t>
        </is>
      </c>
      <c r="E1346" t="n">
        <v>253</v>
      </c>
    </row>
    <row r="1347">
      <c r="A1347" t="inlineStr">
        <is>
          <t>27BBBBB01347Z5</t>
        </is>
      </c>
      <c r="B1347" t="inlineStr">
        <is>
          <t>Jul-2020</t>
        </is>
      </c>
      <c r="C1347" s="2" t="n">
        <v>43883</v>
      </c>
      <c r="D1347" t="inlineStr">
        <is>
          <t>NON-NIL</t>
        </is>
      </c>
      <c r="E1347" t="n">
        <v>640</v>
      </c>
    </row>
    <row r="1348">
      <c r="A1348" t="inlineStr">
        <is>
          <t>27BBBBB01348Z5</t>
        </is>
      </c>
      <c r="B1348" t="inlineStr">
        <is>
          <t>Sep-2018</t>
        </is>
      </c>
      <c r="C1348" s="2" t="n">
        <v>43439</v>
      </c>
      <c r="D1348" t="inlineStr">
        <is>
          <t>NIL</t>
        </is>
      </c>
      <c r="E1348" t="n">
        <v>2869</v>
      </c>
    </row>
    <row r="1349">
      <c r="A1349" t="inlineStr">
        <is>
          <t>27BBBBB01349Z5</t>
        </is>
      </c>
      <c r="B1349" t="inlineStr">
        <is>
          <t>May-2018</t>
        </is>
      </c>
      <c r="C1349" s="2" t="n">
        <v>43100</v>
      </c>
      <c r="D1349" t="inlineStr">
        <is>
          <t>NON-NIL</t>
        </is>
      </c>
      <c r="E1349" t="n">
        <v>2681</v>
      </c>
    </row>
    <row r="1350">
      <c r="A1350" t="inlineStr">
        <is>
          <t>27BBBBB01350Z5</t>
        </is>
      </c>
      <c r="B1350" t="inlineStr">
        <is>
          <t>Jul-2020</t>
        </is>
      </c>
      <c r="C1350" s="2" t="n">
        <v>44327</v>
      </c>
      <c r="D1350" t="inlineStr">
        <is>
          <t>NIL</t>
        </is>
      </c>
      <c r="E1350" t="n">
        <v>1584</v>
      </c>
    </row>
    <row r="1351">
      <c r="A1351" t="inlineStr">
        <is>
          <t>27BBBBB01351Z5</t>
        </is>
      </c>
      <c r="B1351" t="inlineStr">
        <is>
          <t>Apr-2018</t>
        </is>
      </c>
      <c r="C1351" s="2" t="n">
        <v>43103</v>
      </c>
      <c r="D1351" t="inlineStr">
        <is>
          <t>NIL</t>
        </is>
      </c>
      <c r="E1351" t="n">
        <v>2490</v>
      </c>
    </row>
    <row r="1352">
      <c r="A1352" t="inlineStr">
        <is>
          <t>27BBBBB01352Z5</t>
        </is>
      </c>
      <c r="B1352" t="inlineStr">
        <is>
          <t>Apr-2020</t>
        </is>
      </c>
      <c r="C1352" s="2" t="n">
        <v>44013</v>
      </c>
      <c r="D1352" t="inlineStr">
        <is>
          <t>NIL</t>
        </is>
      </c>
      <c r="E1352" t="n">
        <v>1778</v>
      </c>
    </row>
    <row r="1353">
      <c r="A1353" t="inlineStr">
        <is>
          <t>27BBBBB01353Z5</t>
        </is>
      </c>
      <c r="B1353" t="inlineStr">
        <is>
          <t>Jun-2018</t>
        </is>
      </c>
      <c r="C1353" s="2" t="n">
        <v>43776</v>
      </c>
      <c r="D1353" t="inlineStr">
        <is>
          <t>NON-NIL</t>
        </is>
      </c>
      <c r="E1353" t="n">
        <v>2937</v>
      </c>
    </row>
    <row r="1354">
      <c r="A1354" t="inlineStr">
        <is>
          <t>27BBBBB01354Z5</t>
        </is>
      </c>
      <c r="B1354" t="inlineStr">
        <is>
          <t>Aug-2017</t>
        </is>
      </c>
      <c r="C1354" s="2" t="n">
        <v>44229</v>
      </c>
      <c r="D1354" t="inlineStr">
        <is>
          <t>NIL</t>
        </is>
      </c>
      <c r="E1354" t="n">
        <v>2859</v>
      </c>
    </row>
    <row r="1355">
      <c r="A1355" t="inlineStr">
        <is>
          <t>27BBBBB01355Z5</t>
        </is>
      </c>
      <c r="B1355" t="inlineStr">
        <is>
          <t>Jun-2018</t>
        </is>
      </c>
      <c r="C1355" s="2" t="n">
        <v>43507</v>
      </c>
      <c r="D1355" t="inlineStr">
        <is>
          <t>NIL</t>
        </is>
      </c>
      <c r="E1355" t="n">
        <v>1753</v>
      </c>
    </row>
    <row r="1356">
      <c r="A1356" t="inlineStr">
        <is>
          <t>27BBBBB01356Z5</t>
        </is>
      </c>
      <c r="B1356" t="inlineStr">
        <is>
          <t>Aug-2017</t>
        </is>
      </c>
      <c r="C1356" s="2" t="n">
        <v>43003</v>
      </c>
      <c r="D1356" t="inlineStr">
        <is>
          <t>NON-NIL</t>
        </is>
      </c>
      <c r="E1356" t="n">
        <v>520</v>
      </c>
    </row>
    <row r="1357">
      <c r="A1357" t="inlineStr">
        <is>
          <t>27BBBBB01357Z5</t>
        </is>
      </c>
      <c r="B1357" t="inlineStr">
        <is>
          <t>Dec-2018</t>
        </is>
      </c>
      <c r="C1357" s="2" t="n">
        <v>44458</v>
      </c>
      <c r="D1357" t="inlineStr">
        <is>
          <t>NIL</t>
        </is>
      </c>
      <c r="E1357" t="n">
        <v>685</v>
      </c>
    </row>
    <row r="1358">
      <c r="A1358" t="inlineStr">
        <is>
          <t>27BBBBB01358Z5</t>
        </is>
      </c>
      <c r="B1358" t="inlineStr">
        <is>
          <t>Jan-2018</t>
        </is>
      </c>
      <c r="C1358" s="2" t="n">
        <v>43983</v>
      </c>
      <c r="D1358" t="inlineStr">
        <is>
          <t>NON-NIL</t>
        </is>
      </c>
      <c r="E1358" t="n">
        <v>834</v>
      </c>
    </row>
    <row r="1359">
      <c r="A1359" t="inlineStr">
        <is>
          <t>27BBBBB01359Z5</t>
        </is>
      </c>
      <c r="B1359" t="inlineStr">
        <is>
          <t>Jun-2018</t>
        </is>
      </c>
      <c r="C1359" s="2" t="n">
        <v>43864</v>
      </c>
      <c r="D1359" t="inlineStr">
        <is>
          <t>NIL</t>
        </is>
      </c>
      <c r="E1359" t="n">
        <v>2202</v>
      </c>
    </row>
    <row r="1360">
      <c r="A1360" t="inlineStr">
        <is>
          <t>27BBBBB01360Z5</t>
        </is>
      </c>
      <c r="B1360" t="inlineStr">
        <is>
          <t>May-2020</t>
        </is>
      </c>
      <c r="C1360" s="2" t="n">
        <v>44484</v>
      </c>
      <c r="D1360" t="inlineStr">
        <is>
          <t>NON-NIL</t>
        </is>
      </c>
      <c r="E1360" t="n">
        <v>1504</v>
      </c>
    </row>
    <row r="1361">
      <c r="A1361" t="inlineStr">
        <is>
          <t>27BBBBB01361Z5</t>
        </is>
      </c>
      <c r="B1361" t="inlineStr">
        <is>
          <t>Dec-2018</t>
        </is>
      </c>
      <c r="C1361" s="2" t="n">
        <v>44074</v>
      </c>
      <c r="D1361" t="inlineStr">
        <is>
          <t>NIL</t>
        </is>
      </c>
      <c r="E1361" t="n">
        <v>637</v>
      </c>
    </row>
    <row r="1362">
      <c r="A1362" t="inlineStr">
        <is>
          <t>27BBBBB01362Z5</t>
        </is>
      </c>
      <c r="B1362" t="inlineStr">
        <is>
          <t>May-2018</t>
        </is>
      </c>
      <c r="C1362" s="2" t="n">
        <v>43047</v>
      </c>
      <c r="D1362" t="inlineStr">
        <is>
          <t>NON-NIL</t>
        </is>
      </c>
      <c r="E1362" t="n">
        <v>1141</v>
      </c>
    </row>
    <row r="1363">
      <c r="A1363" t="inlineStr">
        <is>
          <t>27BBBBB01363Z5</t>
        </is>
      </c>
      <c r="B1363" t="inlineStr">
        <is>
          <t>Dec-2024</t>
        </is>
      </c>
      <c r="C1363" s="2" t="n">
        <v>45457</v>
      </c>
      <c r="D1363" t="inlineStr">
        <is>
          <t>NON-NIL</t>
        </is>
      </c>
      <c r="E1363" t="n">
        <v>720</v>
      </c>
    </row>
    <row r="1364">
      <c r="A1364" t="inlineStr">
        <is>
          <t>27BBBBB01364Z5</t>
        </is>
      </c>
      <c r="B1364" t="inlineStr">
        <is>
          <t>Apr-2020</t>
        </is>
      </c>
      <c r="C1364" s="2" t="n">
        <v>44385</v>
      </c>
      <c r="D1364" t="inlineStr">
        <is>
          <t>NON-NIL</t>
        </is>
      </c>
      <c r="E1364" t="n">
        <v>1877</v>
      </c>
    </row>
    <row r="1365">
      <c r="A1365" t="inlineStr">
        <is>
          <t>27BBBBB01365Z5</t>
        </is>
      </c>
      <c r="B1365" t="inlineStr">
        <is>
          <t>Jun-2018</t>
        </is>
      </c>
      <c r="C1365" s="2" t="n">
        <v>43732</v>
      </c>
      <c r="D1365" t="inlineStr">
        <is>
          <t>NON-NIL</t>
        </is>
      </c>
      <c r="E1365" t="n">
        <v>1288</v>
      </c>
    </row>
    <row r="1366">
      <c r="A1366" t="inlineStr">
        <is>
          <t>27BBBBB01366Z5</t>
        </is>
      </c>
      <c r="B1366" t="inlineStr">
        <is>
          <t>Oct-2017</t>
        </is>
      </c>
      <c r="C1366" s="2" t="n">
        <v>43249</v>
      </c>
      <c r="D1366" t="inlineStr">
        <is>
          <t>NON-NIL</t>
        </is>
      </c>
      <c r="E1366" t="n">
        <v>1784</v>
      </c>
    </row>
    <row r="1367">
      <c r="A1367" t="inlineStr">
        <is>
          <t>27BBBBB01367Z5</t>
        </is>
      </c>
      <c r="B1367" t="inlineStr">
        <is>
          <t>Jan-2018</t>
        </is>
      </c>
      <c r="C1367" s="2" t="n">
        <v>44014</v>
      </c>
      <c r="D1367" t="inlineStr">
        <is>
          <t>NIL</t>
        </is>
      </c>
      <c r="E1367" t="n">
        <v>1753</v>
      </c>
    </row>
    <row r="1368">
      <c r="A1368" t="inlineStr">
        <is>
          <t>27BBBBB01368Z5</t>
        </is>
      </c>
      <c r="B1368" t="inlineStr">
        <is>
          <t>Oct-2018</t>
        </is>
      </c>
      <c r="C1368" s="2" t="n">
        <v>43752</v>
      </c>
      <c r="D1368" t="inlineStr">
        <is>
          <t>NON-NIL</t>
        </is>
      </c>
      <c r="E1368" t="n">
        <v>1421</v>
      </c>
    </row>
    <row r="1369">
      <c r="A1369" t="inlineStr">
        <is>
          <t>27BBBBB01369Z5</t>
        </is>
      </c>
      <c r="B1369" t="inlineStr">
        <is>
          <t>Mar-2021</t>
        </is>
      </c>
      <c r="C1369" s="2" t="n">
        <v>45325</v>
      </c>
      <c r="D1369" t="inlineStr">
        <is>
          <t>NIL</t>
        </is>
      </c>
      <c r="E1369" t="n">
        <v>860</v>
      </c>
    </row>
    <row r="1370">
      <c r="A1370" t="inlineStr">
        <is>
          <t>27BBBBB01370Z5</t>
        </is>
      </c>
      <c r="B1370" t="inlineStr">
        <is>
          <t>Sep-2017</t>
        </is>
      </c>
      <c r="C1370" s="2" t="n">
        <v>44422</v>
      </c>
      <c r="D1370" t="inlineStr">
        <is>
          <t>NIL</t>
        </is>
      </c>
      <c r="E1370" t="n">
        <v>320</v>
      </c>
    </row>
    <row r="1371">
      <c r="A1371" t="inlineStr">
        <is>
          <t>27BBBBB01371Z5</t>
        </is>
      </c>
      <c r="B1371" t="inlineStr">
        <is>
          <t>Dec-2017</t>
        </is>
      </c>
      <c r="C1371" s="2" t="n">
        <v>43178</v>
      </c>
      <c r="D1371" t="inlineStr">
        <is>
          <t>NIL</t>
        </is>
      </c>
      <c r="E1371" t="n">
        <v>1005</v>
      </c>
    </row>
    <row r="1372">
      <c r="A1372" t="inlineStr">
        <is>
          <t>27BBBBB01372Z5</t>
        </is>
      </c>
      <c r="B1372" t="inlineStr">
        <is>
          <t>Feb-2018</t>
        </is>
      </c>
      <c r="C1372" s="2" t="n">
        <v>44235</v>
      </c>
      <c r="D1372" t="inlineStr">
        <is>
          <t>NON-NIL</t>
        </is>
      </c>
      <c r="E1372" t="n">
        <v>1459</v>
      </c>
    </row>
    <row r="1373">
      <c r="A1373" t="inlineStr">
        <is>
          <t>27BBBBB01373Z5</t>
        </is>
      </c>
      <c r="B1373" t="inlineStr">
        <is>
          <t>Dec-2022</t>
        </is>
      </c>
      <c r="C1373" s="2" t="n">
        <v>44327</v>
      </c>
      <c r="D1373" t="inlineStr">
        <is>
          <t>NON-NIL</t>
        </is>
      </c>
      <c r="E1373" t="n">
        <v>731</v>
      </c>
    </row>
    <row r="1374">
      <c r="A1374" t="inlineStr">
        <is>
          <t>27BBBBB01374Z5</t>
        </is>
      </c>
      <c r="B1374" t="inlineStr">
        <is>
          <t>Sep-2017</t>
        </is>
      </c>
      <c r="C1374" s="2" t="n">
        <v>43534</v>
      </c>
      <c r="D1374" t="inlineStr">
        <is>
          <t>NON-NIL</t>
        </is>
      </c>
      <c r="E1374" t="n">
        <v>2094</v>
      </c>
    </row>
    <row r="1375">
      <c r="A1375" t="inlineStr">
        <is>
          <t>27BBBBB01375Z5</t>
        </is>
      </c>
      <c r="B1375" t="inlineStr">
        <is>
          <t>Jan-2018</t>
        </is>
      </c>
      <c r="C1375" s="2" t="n">
        <v>44540</v>
      </c>
      <c r="D1375" t="inlineStr">
        <is>
          <t>NON-NIL</t>
        </is>
      </c>
      <c r="E1375" t="n">
        <v>1181</v>
      </c>
    </row>
    <row r="1376">
      <c r="A1376" t="inlineStr">
        <is>
          <t>27BBBBB01376Z5</t>
        </is>
      </c>
      <c r="B1376" t="inlineStr">
        <is>
          <t>Jun-2020</t>
        </is>
      </c>
      <c r="C1376" s="2" t="n">
        <v>44510</v>
      </c>
      <c r="D1376" t="inlineStr">
        <is>
          <t>NON-NIL</t>
        </is>
      </c>
      <c r="E1376" t="n">
        <v>1181</v>
      </c>
    </row>
    <row r="1377">
      <c r="A1377" t="inlineStr">
        <is>
          <t>27BBBBB01377Z5</t>
        </is>
      </c>
      <c r="B1377" t="inlineStr">
        <is>
          <t>Mar-2020</t>
        </is>
      </c>
      <c r="C1377" s="2" t="n">
        <v>44868</v>
      </c>
      <c r="D1377" t="inlineStr">
        <is>
          <t>NIL</t>
        </is>
      </c>
      <c r="E1377" t="n">
        <v>2533</v>
      </c>
    </row>
    <row r="1378">
      <c r="A1378" t="inlineStr">
        <is>
          <t>27BBBBB01378Z5</t>
        </is>
      </c>
      <c r="B1378" t="inlineStr">
        <is>
          <t>Aug-2018</t>
        </is>
      </c>
      <c r="C1378" s="2" t="n">
        <v>43982</v>
      </c>
      <c r="D1378" t="inlineStr">
        <is>
          <t>NIL</t>
        </is>
      </c>
      <c r="E1378" t="n">
        <v>2301</v>
      </c>
    </row>
    <row r="1379">
      <c r="A1379" t="inlineStr">
        <is>
          <t>27BBBBB01379Z5</t>
        </is>
      </c>
      <c r="B1379" t="inlineStr">
        <is>
          <t>Jul-2020</t>
        </is>
      </c>
      <c r="C1379" s="2" t="n">
        <v>44091</v>
      </c>
      <c r="D1379" t="inlineStr">
        <is>
          <t>NON-NIL</t>
        </is>
      </c>
      <c r="E1379" t="n">
        <v>617</v>
      </c>
    </row>
    <row r="1380">
      <c r="A1380" t="inlineStr">
        <is>
          <t>27BBBBB01380Z5</t>
        </is>
      </c>
      <c r="B1380" t="inlineStr">
        <is>
          <t>Jun-2018</t>
        </is>
      </c>
      <c r="C1380" s="2" t="n">
        <v>43503</v>
      </c>
      <c r="D1380" t="inlineStr">
        <is>
          <t>NIL</t>
        </is>
      </c>
      <c r="E1380" t="n">
        <v>147</v>
      </c>
    </row>
    <row r="1381">
      <c r="A1381" t="inlineStr">
        <is>
          <t>27BBBBB01381Z5</t>
        </is>
      </c>
      <c r="B1381" t="inlineStr">
        <is>
          <t>Apr-2020</t>
        </is>
      </c>
      <c r="C1381" s="2" t="n">
        <v>44224</v>
      </c>
      <c r="D1381" t="inlineStr">
        <is>
          <t>NON-NIL</t>
        </is>
      </c>
      <c r="E1381" t="n">
        <v>2823</v>
      </c>
    </row>
    <row r="1382">
      <c r="A1382" t="inlineStr">
        <is>
          <t>27BBBBB01382Z5</t>
        </is>
      </c>
      <c r="B1382" t="inlineStr">
        <is>
          <t>Feb-2018</t>
        </is>
      </c>
      <c r="C1382" s="2" t="n">
        <v>44464</v>
      </c>
      <c r="D1382" t="inlineStr">
        <is>
          <t>NON-NIL</t>
        </is>
      </c>
      <c r="E1382" t="n">
        <v>708</v>
      </c>
    </row>
    <row r="1383">
      <c r="A1383" t="inlineStr">
        <is>
          <t>27BBBBB01383Z5</t>
        </is>
      </c>
      <c r="B1383" t="inlineStr">
        <is>
          <t>Sep-2017</t>
        </is>
      </c>
      <c r="C1383" s="2" t="n">
        <v>43637</v>
      </c>
      <c r="D1383" t="inlineStr">
        <is>
          <t>NIL</t>
        </is>
      </c>
      <c r="E1383" t="n">
        <v>2007</v>
      </c>
    </row>
    <row r="1384">
      <c r="A1384" t="inlineStr">
        <is>
          <t>27BBBBB01384Z5</t>
        </is>
      </c>
      <c r="B1384" t="inlineStr">
        <is>
          <t>Jan-2018</t>
        </is>
      </c>
      <c r="C1384" s="2" t="n">
        <v>44310</v>
      </c>
      <c r="D1384" t="inlineStr">
        <is>
          <t>NON-NIL</t>
        </is>
      </c>
      <c r="E1384" t="n">
        <v>1555</v>
      </c>
    </row>
    <row r="1385">
      <c r="A1385" t="inlineStr">
        <is>
          <t>27BBBBB01385Z5</t>
        </is>
      </c>
      <c r="B1385" t="inlineStr">
        <is>
          <t>Aug-2018</t>
        </is>
      </c>
      <c r="C1385" s="2" t="n">
        <v>42960</v>
      </c>
      <c r="D1385" t="inlineStr">
        <is>
          <t>NON-NIL</t>
        </is>
      </c>
      <c r="E1385" t="n">
        <v>2181</v>
      </c>
    </row>
    <row r="1386">
      <c r="A1386" t="inlineStr">
        <is>
          <t>27BBBBB01386Z5</t>
        </is>
      </c>
      <c r="B1386" t="inlineStr">
        <is>
          <t>Jan-2021</t>
        </is>
      </c>
      <c r="C1386" s="2" t="n">
        <v>45817</v>
      </c>
      <c r="D1386" t="inlineStr">
        <is>
          <t>NIL</t>
        </is>
      </c>
      <c r="E1386" t="n">
        <v>1047</v>
      </c>
    </row>
    <row r="1387">
      <c r="A1387" t="inlineStr">
        <is>
          <t>27BBBBB01387Z5</t>
        </is>
      </c>
      <c r="B1387" t="inlineStr">
        <is>
          <t>Oct-2018</t>
        </is>
      </c>
      <c r="C1387" s="2" t="n">
        <v>43125</v>
      </c>
      <c r="D1387" t="inlineStr">
        <is>
          <t>NON-NIL</t>
        </is>
      </c>
      <c r="E1387" t="n">
        <v>1948</v>
      </c>
    </row>
    <row r="1388">
      <c r="A1388" t="inlineStr">
        <is>
          <t>27BBBBB01388Z5</t>
        </is>
      </c>
      <c r="B1388" t="inlineStr">
        <is>
          <t>Mar-2021</t>
        </is>
      </c>
      <c r="C1388" s="2" t="n">
        <v>44780</v>
      </c>
      <c r="D1388" t="inlineStr">
        <is>
          <t>NON-NIL</t>
        </is>
      </c>
      <c r="E1388" t="n">
        <v>431</v>
      </c>
    </row>
    <row r="1389">
      <c r="A1389" t="inlineStr">
        <is>
          <t>27BBBBB01389Z5</t>
        </is>
      </c>
      <c r="B1389" t="inlineStr">
        <is>
          <t>Jul-2017</t>
        </is>
      </c>
      <c r="C1389" s="2" t="n">
        <v>44034</v>
      </c>
      <c r="D1389" t="inlineStr">
        <is>
          <t>NIL</t>
        </is>
      </c>
      <c r="E1389" t="n">
        <v>2721</v>
      </c>
    </row>
    <row r="1390">
      <c r="A1390" t="inlineStr">
        <is>
          <t>27BBBBB01390Z5</t>
        </is>
      </c>
      <c r="B1390" t="inlineStr">
        <is>
          <t>Sep-2017</t>
        </is>
      </c>
      <c r="C1390" s="2" t="n">
        <v>42996</v>
      </c>
      <c r="D1390" t="inlineStr">
        <is>
          <t>NIL</t>
        </is>
      </c>
      <c r="E1390" t="n">
        <v>82</v>
      </c>
    </row>
    <row r="1391">
      <c r="A1391" t="inlineStr">
        <is>
          <t>27BBBBB01391Z5</t>
        </is>
      </c>
      <c r="B1391" t="inlineStr">
        <is>
          <t>Dec-2017</t>
        </is>
      </c>
      <c r="C1391" s="2" t="n">
        <v>43284</v>
      </c>
      <c r="D1391" t="inlineStr">
        <is>
          <t>NIL</t>
        </is>
      </c>
      <c r="E1391" t="n">
        <v>2931</v>
      </c>
    </row>
    <row r="1392">
      <c r="A1392" t="inlineStr">
        <is>
          <t>27BBBBB01392Z5</t>
        </is>
      </c>
      <c r="B1392" t="inlineStr">
        <is>
          <t>Nov-2017</t>
        </is>
      </c>
      <c r="C1392" s="2" t="n">
        <v>43346</v>
      </c>
      <c r="D1392" t="inlineStr">
        <is>
          <t>NON-NIL</t>
        </is>
      </c>
      <c r="E1392" t="n">
        <v>1488</v>
      </c>
    </row>
    <row r="1393">
      <c r="A1393" t="inlineStr">
        <is>
          <t>27BBBBB01393Z5</t>
        </is>
      </c>
      <c r="B1393" t="inlineStr">
        <is>
          <t>Oct-2017</t>
        </is>
      </c>
      <c r="C1393" s="2" t="n">
        <v>43283</v>
      </c>
      <c r="D1393" t="inlineStr">
        <is>
          <t>NIL</t>
        </is>
      </c>
      <c r="E1393" t="n">
        <v>1710</v>
      </c>
    </row>
    <row r="1394">
      <c r="A1394" t="inlineStr">
        <is>
          <t>27BBBBB01394Z5</t>
        </is>
      </c>
      <c r="B1394" t="inlineStr">
        <is>
          <t>Apr-2020</t>
        </is>
      </c>
      <c r="C1394" s="2" t="n">
        <v>44879</v>
      </c>
      <c r="D1394" t="inlineStr">
        <is>
          <t>NIL</t>
        </is>
      </c>
      <c r="E1394" t="n">
        <v>558</v>
      </c>
    </row>
    <row r="1395">
      <c r="A1395" t="inlineStr">
        <is>
          <t>27BBBBB01395Z5</t>
        </is>
      </c>
      <c r="B1395" t="inlineStr">
        <is>
          <t>Jan-2018</t>
        </is>
      </c>
      <c r="C1395" s="2" t="n">
        <v>43230</v>
      </c>
      <c r="D1395" t="inlineStr">
        <is>
          <t>NON-NIL</t>
        </is>
      </c>
      <c r="E1395" t="n">
        <v>1062</v>
      </c>
    </row>
    <row r="1396">
      <c r="A1396" t="inlineStr">
        <is>
          <t>27BBBBB01396Z5</t>
        </is>
      </c>
      <c r="B1396" t="inlineStr">
        <is>
          <t>Oct-2017</t>
        </is>
      </c>
      <c r="C1396" s="2" t="n">
        <v>43453</v>
      </c>
      <c r="D1396" t="inlineStr">
        <is>
          <t>NIL</t>
        </is>
      </c>
      <c r="E1396" t="n">
        <v>672</v>
      </c>
    </row>
    <row r="1397">
      <c r="A1397" t="inlineStr">
        <is>
          <t>27BBBBB01397Z5</t>
        </is>
      </c>
      <c r="B1397" t="inlineStr">
        <is>
          <t>Aug-2018</t>
        </is>
      </c>
      <c r="C1397" s="2" t="n">
        <v>43389</v>
      </c>
      <c r="D1397" t="inlineStr">
        <is>
          <t>NIL</t>
        </is>
      </c>
      <c r="E1397" t="n">
        <v>1689</v>
      </c>
    </row>
    <row r="1398">
      <c r="A1398" t="inlineStr">
        <is>
          <t>27BBBBB01398Z5</t>
        </is>
      </c>
      <c r="B1398" t="inlineStr">
        <is>
          <t>Jan-2021</t>
        </is>
      </c>
      <c r="C1398" s="2" t="n">
        <v>43988</v>
      </c>
      <c r="D1398" t="inlineStr">
        <is>
          <t>NIL</t>
        </is>
      </c>
      <c r="E1398" t="n">
        <v>1208</v>
      </c>
    </row>
    <row r="1399">
      <c r="A1399" t="inlineStr">
        <is>
          <t>27BBBBB01399Z5</t>
        </is>
      </c>
      <c r="B1399" t="inlineStr">
        <is>
          <t>Mar-2018</t>
        </is>
      </c>
      <c r="C1399" s="2" t="n">
        <v>43571</v>
      </c>
      <c r="D1399" t="inlineStr">
        <is>
          <t>NIL</t>
        </is>
      </c>
      <c r="E1399" t="n">
        <v>1944</v>
      </c>
    </row>
    <row r="1400">
      <c r="A1400" t="inlineStr">
        <is>
          <t>27BBBBB01400Z5</t>
        </is>
      </c>
      <c r="B1400" t="inlineStr">
        <is>
          <t>Oct-2017</t>
        </is>
      </c>
      <c r="C1400" s="2" t="n">
        <v>43605</v>
      </c>
      <c r="D1400" t="inlineStr">
        <is>
          <t>NIL</t>
        </is>
      </c>
      <c r="E1400" t="n">
        <v>1092</v>
      </c>
    </row>
    <row r="1401">
      <c r="A1401" t="inlineStr">
        <is>
          <t>27BBBBB01401Z5</t>
        </is>
      </c>
      <c r="B1401" t="inlineStr">
        <is>
          <t>May-2018</t>
        </is>
      </c>
      <c r="C1401" s="2" t="n">
        <v>43172</v>
      </c>
      <c r="D1401" t="inlineStr">
        <is>
          <t>NON-NIL</t>
        </is>
      </c>
      <c r="E1401" t="n">
        <v>2000</v>
      </c>
    </row>
    <row r="1402">
      <c r="A1402" t="inlineStr">
        <is>
          <t>27BBBBB01402Z5</t>
        </is>
      </c>
      <c r="B1402" t="inlineStr">
        <is>
          <t>Dec-2018</t>
        </is>
      </c>
      <c r="C1402" s="2" t="n">
        <v>43819</v>
      </c>
      <c r="D1402" t="inlineStr">
        <is>
          <t>NON-NIL</t>
        </is>
      </c>
      <c r="E1402" t="n">
        <v>2254</v>
      </c>
    </row>
    <row r="1403">
      <c r="A1403" t="inlineStr">
        <is>
          <t>27BBBBB01403Z5</t>
        </is>
      </c>
      <c r="B1403" t="inlineStr">
        <is>
          <t>Nov-2018</t>
        </is>
      </c>
      <c r="C1403" s="2" t="n">
        <v>42983</v>
      </c>
      <c r="D1403" t="inlineStr">
        <is>
          <t>NIL</t>
        </is>
      </c>
      <c r="E1403" t="n">
        <v>2781</v>
      </c>
    </row>
    <row r="1404">
      <c r="A1404" t="inlineStr">
        <is>
          <t>27BBBBB01404Z5</t>
        </is>
      </c>
      <c r="B1404" t="inlineStr">
        <is>
          <t>Oct-2017</t>
        </is>
      </c>
      <c r="C1404" s="2" t="n">
        <v>44225</v>
      </c>
      <c r="D1404" t="inlineStr">
        <is>
          <t>NON-NIL</t>
        </is>
      </c>
      <c r="E1404" t="n">
        <v>2480</v>
      </c>
    </row>
    <row r="1405">
      <c r="A1405" t="inlineStr">
        <is>
          <t>27BBBBB01405Z5</t>
        </is>
      </c>
      <c r="B1405" t="inlineStr">
        <is>
          <t>Oct-2017</t>
        </is>
      </c>
      <c r="C1405" s="2" t="n">
        <v>43343</v>
      </c>
      <c r="D1405" t="inlineStr">
        <is>
          <t>NIL</t>
        </is>
      </c>
      <c r="E1405" t="n">
        <v>1731</v>
      </c>
    </row>
    <row r="1406">
      <c r="A1406" t="inlineStr">
        <is>
          <t>27BBBBB01406Z5</t>
        </is>
      </c>
      <c r="B1406" t="inlineStr">
        <is>
          <t>Dec-2018</t>
        </is>
      </c>
      <c r="C1406" s="2" t="n">
        <v>43528</v>
      </c>
      <c r="D1406" t="inlineStr">
        <is>
          <t>NIL</t>
        </is>
      </c>
      <c r="E1406" t="n">
        <v>801</v>
      </c>
    </row>
    <row r="1407">
      <c r="A1407" t="inlineStr">
        <is>
          <t>27BBBBB01407Z5</t>
        </is>
      </c>
      <c r="B1407" t="inlineStr">
        <is>
          <t>Dec-2017</t>
        </is>
      </c>
      <c r="C1407" s="2" t="n">
        <v>44363</v>
      </c>
      <c r="D1407" t="inlineStr">
        <is>
          <t>NON-NIL</t>
        </is>
      </c>
      <c r="E1407" t="n">
        <v>778</v>
      </c>
    </row>
    <row r="1408">
      <c r="A1408" t="inlineStr">
        <is>
          <t>27BBBBB01408Z5</t>
        </is>
      </c>
      <c r="B1408" t="inlineStr">
        <is>
          <t>May-2018</t>
        </is>
      </c>
      <c r="C1408" s="2" t="n">
        <v>43644</v>
      </c>
      <c r="D1408" t="inlineStr">
        <is>
          <t>NON-NIL</t>
        </is>
      </c>
      <c r="E1408" t="n">
        <v>1697</v>
      </c>
    </row>
    <row r="1409">
      <c r="A1409" t="inlineStr">
        <is>
          <t>27BBBBB01409Z5</t>
        </is>
      </c>
      <c r="B1409" t="inlineStr">
        <is>
          <t>Apr-2020</t>
        </is>
      </c>
      <c r="C1409" s="2" t="n">
        <v>43914</v>
      </c>
      <c r="D1409" t="inlineStr">
        <is>
          <t>NIL</t>
        </is>
      </c>
      <c r="E1409" t="n">
        <v>787</v>
      </c>
    </row>
    <row r="1410">
      <c r="A1410" t="inlineStr">
        <is>
          <t>27BBBBB01410Z5</t>
        </is>
      </c>
      <c r="B1410" t="inlineStr">
        <is>
          <t>Jul-2020</t>
        </is>
      </c>
      <c r="C1410" s="2" t="n">
        <v>44623</v>
      </c>
      <c r="D1410" t="inlineStr">
        <is>
          <t>NIL</t>
        </is>
      </c>
      <c r="E1410" t="n">
        <v>354</v>
      </c>
    </row>
    <row r="1411">
      <c r="A1411" t="inlineStr">
        <is>
          <t>27BBBBB01411Z5</t>
        </is>
      </c>
      <c r="B1411" t="inlineStr">
        <is>
          <t>Aug-2017</t>
        </is>
      </c>
      <c r="C1411" s="2" t="n">
        <v>43615</v>
      </c>
      <c r="D1411" t="inlineStr">
        <is>
          <t>NON-NIL</t>
        </is>
      </c>
      <c r="E1411" t="n">
        <v>339</v>
      </c>
    </row>
    <row r="1412">
      <c r="A1412" t="inlineStr">
        <is>
          <t>27BBBBB01412Z5</t>
        </is>
      </c>
      <c r="B1412" t="inlineStr">
        <is>
          <t>Mar-2020</t>
        </is>
      </c>
      <c r="C1412" s="2" t="n">
        <v>44762</v>
      </c>
      <c r="D1412" t="inlineStr">
        <is>
          <t>NIL</t>
        </is>
      </c>
      <c r="E1412" t="n">
        <v>720</v>
      </c>
    </row>
    <row r="1413">
      <c r="A1413" t="inlineStr">
        <is>
          <t>27BBBBB01413Z5</t>
        </is>
      </c>
      <c r="B1413" t="inlineStr">
        <is>
          <t>Jan-2018</t>
        </is>
      </c>
      <c r="C1413" s="2" t="n">
        <v>44357</v>
      </c>
      <c r="D1413" t="inlineStr">
        <is>
          <t>NIL</t>
        </is>
      </c>
      <c r="E1413" t="n">
        <v>1450</v>
      </c>
    </row>
    <row r="1414">
      <c r="A1414" t="inlineStr">
        <is>
          <t>27BBBBB01414Z5</t>
        </is>
      </c>
      <c r="B1414" t="inlineStr">
        <is>
          <t>Apr-2018</t>
        </is>
      </c>
      <c r="C1414" s="2" t="n">
        <v>43614</v>
      </c>
      <c r="D1414" t="inlineStr">
        <is>
          <t>NON-NIL</t>
        </is>
      </c>
      <c r="E1414" t="n">
        <v>563</v>
      </c>
    </row>
    <row r="1415">
      <c r="A1415" t="inlineStr">
        <is>
          <t>27BBBBB01415Z5</t>
        </is>
      </c>
      <c r="B1415" t="inlineStr">
        <is>
          <t>Sep-2018</t>
        </is>
      </c>
      <c r="C1415" s="2" t="n">
        <v>44062</v>
      </c>
      <c r="D1415" t="inlineStr">
        <is>
          <t>NON-NIL</t>
        </is>
      </c>
      <c r="E1415" t="n">
        <v>1790</v>
      </c>
    </row>
    <row r="1416">
      <c r="A1416" t="inlineStr">
        <is>
          <t>27BBBBB01416Z5</t>
        </is>
      </c>
      <c r="B1416" t="inlineStr">
        <is>
          <t>May-2020</t>
        </is>
      </c>
      <c r="C1416" s="2" t="n">
        <v>44162</v>
      </c>
      <c r="D1416" t="inlineStr">
        <is>
          <t>NON-NIL</t>
        </is>
      </c>
      <c r="E1416" t="n">
        <v>27</v>
      </c>
    </row>
    <row r="1417">
      <c r="A1417" t="inlineStr">
        <is>
          <t>27BBBBB01417Z5</t>
        </is>
      </c>
      <c r="B1417" t="inlineStr">
        <is>
          <t>Dec-2017</t>
        </is>
      </c>
      <c r="C1417" s="2" t="n">
        <v>43357</v>
      </c>
      <c r="D1417" t="inlineStr">
        <is>
          <t>NON-NIL</t>
        </is>
      </c>
      <c r="E1417" t="n">
        <v>1759</v>
      </c>
    </row>
    <row r="1418">
      <c r="A1418" t="inlineStr">
        <is>
          <t>27BBBBB01418Z5</t>
        </is>
      </c>
      <c r="B1418" t="inlineStr">
        <is>
          <t>Apr-2018</t>
        </is>
      </c>
      <c r="C1418" s="2" t="n">
        <v>42961</v>
      </c>
      <c r="D1418" t="inlineStr">
        <is>
          <t>NIL</t>
        </is>
      </c>
      <c r="E1418" t="n">
        <v>59</v>
      </c>
    </row>
    <row r="1419">
      <c r="A1419" t="inlineStr">
        <is>
          <t>27BBBBB01419Z5</t>
        </is>
      </c>
      <c r="B1419" t="inlineStr">
        <is>
          <t>Apr-2020</t>
        </is>
      </c>
      <c r="C1419" s="2" t="n">
        <v>44924</v>
      </c>
      <c r="D1419" t="inlineStr">
        <is>
          <t>NON-NIL</t>
        </is>
      </c>
      <c r="E1419" t="n">
        <v>2084</v>
      </c>
    </row>
    <row r="1420">
      <c r="A1420" t="inlineStr">
        <is>
          <t>27BBBBB01420Z5</t>
        </is>
      </c>
      <c r="B1420" t="inlineStr">
        <is>
          <t>Apr-2020</t>
        </is>
      </c>
      <c r="C1420" s="2" t="n">
        <v>43991</v>
      </c>
      <c r="D1420" t="inlineStr">
        <is>
          <t>NON-NIL</t>
        </is>
      </c>
      <c r="E1420" t="n">
        <v>50</v>
      </c>
    </row>
    <row r="1421">
      <c r="A1421" t="inlineStr">
        <is>
          <t>27BBBBB01421Z5</t>
        </is>
      </c>
      <c r="B1421" t="inlineStr">
        <is>
          <t>Oct-2018</t>
        </is>
      </c>
      <c r="C1421" s="2" t="n">
        <v>44342</v>
      </c>
      <c r="D1421" t="inlineStr">
        <is>
          <t>NON-NIL</t>
        </is>
      </c>
      <c r="E1421" t="n">
        <v>2029</v>
      </c>
    </row>
    <row r="1422">
      <c r="A1422" t="inlineStr">
        <is>
          <t>27BBBBB01422Z5</t>
        </is>
      </c>
      <c r="B1422" t="inlineStr">
        <is>
          <t>Mar-2020</t>
        </is>
      </c>
      <c r="C1422" s="2" t="n">
        <v>44633</v>
      </c>
      <c r="D1422" t="inlineStr">
        <is>
          <t>NIL</t>
        </is>
      </c>
      <c r="E1422" t="n">
        <v>2735</v>
      </c>
    </row>
    <row r="1423">
      <c r="A1423" t="inlineStr">
        <is>
          <t>27BBBBB01423Z5</t>
        </is>
      </c>
      <c r="B1423" t="inlineStr">
        <is>
          <t>Nov-2018</t>
        </is>
      </c>
      <c r="C1423" s="2" t="n">
        <v>43138</v>
      </c>
      <c r="D1423" t="inlineStr">
        <is>
          <t>NIL</t>
        </is>
      </c>
      <c r="E1423" t="n">
        <v>2570</v>
      </c>
    </row>
    <row r="1424">
      <c r="A1424" t="inlineStr">
        <is>
          <t>27BBBBB01424Z5</t>
        </is>
      </c>
      <c r="B1424" t="inlineStr">
        <is>
          <t>Mar-2020</t>
        </is>
      </c>
      <c r="C1424" s="2" t="n">
        <v>44425</v>
      </c>
      <c r="D1424" t="inlineStr">
        <is>
          <t>NON-NIL</t>
        </is>
      </c>
      <c r="E1424" t="n">
        <v>1117</v>
      </c>
    </row>
    <row r="1425">
      <c r="A1425" t="inlineStr">
        <is>
          <t>27BBBBB01425Z5</t>
        </is>
      </c>
      <c r="B1425" t="inlineStr">
        <is>
          <t>Jul-2018</t>
        </is>
      </c>
      <c r="C1425" s="2" t="n">
        <v>43158</v>
      </c>
      <c r="D1425" t="inlineStr">
        <is>
          <t>NIL</t>
        </is>
      </c>
      <c r="E1425" t="n">
        <v>960</v>
      </c>
    </row>
    <row r="1426">
      <c r="A1426" t="inlineStr">
        <is>
          <t>27BBBBB01426Z5</t>
        </is>
      </c>
      <c r="B1426" t="inlineStr">
        <is>
          <t>Jun-2020</t>
        </is>
      </c>
      <c r="C1426" s="2" t="n">
        <v>44001</v>
      </c>
      <c r="D1426" t="inlineStr">
        <is>
          <t>NIL</t>
        </is>
      </c>
      <c r="E1426" t="n">
        <v>147</v>
      </c>
    </row>
    <row r="1427">
      <c r="A1427" t="inlineStr">
        <is>
          <t>27BBBBB01427Z5</t>
        </is>
      </c>
      <c r="B1427" t="inlineStr">
        <is>
          <t>Nov-2017</t>
        </is>
      </c>
      <c r="C1427" s="2" t="n">
        <v>43509</v>
      </c>
      <c r="D1427" t="inlineStr">
        <is>
          <t>NIL</t>
        </is>
      </c>
      <c r="E1427" t="n">
        <v>1483</v>
      </c>
    </row>
    <row r="1428">
      <c r="A1428" t="inlineStr">
        <is>
          <t>27BBBBB01428Z5</t>
        </is>
      </c>
      <c r="B1428" t="inlineStr">
        <is>
          <t>May-2018</t>
        </is>
      </c>
      <c r="C1428" s="2" t="n">
        <v>43148</v>
      </c>
      <c r="D1428" t="inlineStr">
        <is>
          <t>NON-NIL</t>
        </is>
      </c>
      <c r="E1428" t="n">
        <v>1338</v>
      </c>
    </row>
    <row r="1429">
      <c r="A1429" t="inlineStr">
        <is>
          <t>27BBBBB01429Z5</t>
        </is>
      </c>
      <c r="B1429" t="inlineStr">
        <is>
          <t>Nov-2018</t>
        </is>
      </c>
      <c r="C1429" s="2" t="n">
        <v>44474</v>
      </c>
      <c r="D1429" t="inlineStr">
        <is>
          <t>NON-NIL</t>
        </is>
      </c>
      <c r="E1429" t="n">
        <v>891</v>
      </c>
    </row>
    <row r="1430">
      <c r="A1430" t="inlineStr">
        <is>
          <t>27BBBBB01430Z5</t>
        </is>
      </c>
      <c r="B1430" t="inlineStr">
        <is>
          <t>Sep-2018</t>
        </is>
      </c>
      <c r="C1430" s="2" t="n">
        <v>43348</v>
      </c>
      <c r="D1430" t="inlineStr">
        <is>
          <t>NON-NIL</t>
        </is>
      </c>
      <c r="E1430" t="n">
        <v>837</v>
      </c>
    </row>
    <row r="1431">
      <c r="A1431" t="inlineStr">
        <is>
          <t>27BBBBB01431Z5</t>
        </is>
      </c>
      <c r="B1431" t="inlineStr">
        <is>
          <t>Jan-2018</t>
        </is>
      </c>
      <c r="C1431" s="2" t="n">
        <v>43256</v>
      </c>
      <c r="D1431" t="inlineStr">
        <is>
          <t>NON-NIL</t>
        </is>
      </c>
      <c r="E1431" t="n">
        <v>140</v>
      </c>
    </row>
    <row r="1432">
      <c r="A1432" t="inlineStr">
        <is>
          <t>27BBBBB01432Z5</t>
        </is>
      </c>
      <c r="B1432" t="inlineStr">
        <is>
          <t>Nov-2017</t>
        </is>
      </c>
      <c r="C1432" s="2" t="n">
        <v>43950</v>
      </c>
      <c r="D1432" t="inlineStr">
        <is>
          <t>NON-NIL</t>
        </is>
      </c>
      <c r="E1432" t="n">
        <v>1672</v>
      </c>
    </row>
    <row r="1433">
      <c r="A1433" t="inlineStr">
        <is>
          <t>27BBBBB01433Z5</t>
        </is>
      </c>
      <c r="B1433" t="inlineStr">
        <is>
          <t>Aug-2018</t>
        </is>
      </c>
      <c r="C1433" s="2" t="n">
        <v>43944</v>
      </c>
      <c r="D1433" t="inlineStr">
        <is>
          <t>NON-NIL</t>
        </is>
      </c>
      <c r="E1433" t="n">
        <v>2183</v>
      </c>
    </row>
    <row r="1434">
      <c r="A1434" t="inlineStr">
        <is>
          <t>27BBBBB01434Z5</t>
        </is>
      </c>
      <c r="B1434" t="inlineStr">
        <is>
          <t>Jun-2018</t>
        </is>
      </c>
      <c r="C1434" s="2" t="n">
        <v>44021</v>
      </c>
      <c r="D1434" t="inlineStr">
        <is>
          <t>NON-NIL</t>
        </is>
      </c>
      <c r="E1434" t="n">
        <v>870</v>
      </c>
    </row>
    <row r="1435">
      <c r="A1435" t="inlineStr">
        <is>
          <t>27BBBBB01435Z5</t>
        </is>
      </c>
      <c r="B1435" t="inlineStr">
        <is>
          <t>Sep-2017</t>
        </is>
      </c>
      <c r="C1435" s="2" t="n">
        <v>43099</v>
      </c>
      <c r="D1435" t="inlineStr">
        <is>
          <t>NON-NIL</t>
        </is>
      </c>
      <c r="E1435" t="n">
        <v>661</v>
      </c>
    </row>
    <row r="1436">
      <c r="A1436" t="inlineStr">
        <is>
          <t>27BBBBB01436Z5</t>
        </is>
      </c>
      <c r="B1436" t="inlineStr">
        <is>
          <t>Sep-2017</t>
        </is>
      </c>
      <c r="C1436" s="2" t="n">
        <v>43038</v>
      </c>
      <c r="D1436" t="inlineStr">
        <is>
          <t>NON-NIL</t>
        </is>
      </c>
      <c r="E1436" t="n">
        <v>1452</v>
      </c>
    </row>
    <row r="1437">
      <c r="A1437" t="inlineStr">
        <is>
          <t>27BBBBB01437Z5</t>
        </is>
      </c>
      <c r="B1437" t="inlineStr">
        <is>
          <t>Dec-2024</t>
        </is>
      </c>
      <c r="C1437" s="2" t="n">
        <v>43811</v>
      </c>
      <c r="D1437" t="inlineStr">
        <is>
          <t>NON-NIL</t>
        </is>
      </c>
      <c r="E1437" t="n">
        <v>2870</v>
      </c>
    </row>
    <row r="1438">
      <c r="A1438" t="inlineStr">
        <is>
          <t>27BBBBB01438Z5</t>
        </is>
      </c>
      <c r="B1438" t="inlineStr">
        <is>
          <t>Apr-2020</t>
        </is>
      </c>
      <c r="C1438" s="2" t="n">
        <v>44349</v>
      </c>
      <c r="D1438" t="inlineStr">
        <is>
          <t>NON-NIL</t>
        </is>
      </c>
      <c r="E1438" t="n">
        <v>846</v>
      </c>
    </row>
    <row r="1439">
      <c r="A1439" t="inlineStr">
        <is>
          <t>27BBBBB01439Z5</t>
        </is>
      </c>
      <c r="B1439" t="inlineStr">
        <is>
          <t>Dec-2022</t>
        </is>
      </c>
      <c r="C1439" s="2" t="n">
        <v>45114</v>
      </c>
      <c r="D1439" t="inlineStr">
        <is>
          <t>NON-NIL</t>
        </is>
      </c>
      <c r="E1439" t="n">
        <v>2803</v>
      </c>
    </row>
    <row r="1440">
      <c r="A1440" t="inlineStr">
        <is>
          <t>27BBBBB01440Z5</t>
        </is>
      </c>
      <c r="B1440" t="inlineStr">
        <is>
          <t>Dec-2022</t>
        </is>
      </c>
      <c r="C1440" s="2" t="n">
        <v>44654</v>
      </c>
      <c r="D1440" t="inlineStr">
        <is>
          <t>NIL</t>
        </is>
      </c>
      <c r="E1440" t="n">
        <v>320</v>
      </c>
    </row>
    <row r="1441">
      <c r="A1441" t="inlineStr">
        <is>
          <t>27BBBBB01441Z5</t>
        </is>
      </c>
      <c r="B1441" t="inlineStr">
        <is>
          <t>Jul-2017</t>
        </is>
      </c>
      <c r="C1441" s="2" t="n">
        <v>43613</v>
      </c>
      <c r="D1441" t="inlineStr">
        <is>
          <t>NON-NIL</t>
        </is>
      </c>
      <c r="E1441" t="n">
        <v>1797</v>
      </c>
    </row>
    <row r="1442">
      <c r="A1442" t="inlineStr">
        <is>
          <t>27BBBBB01442Z5</t>
        </is>
      </c>
      <c r="B1442" t="inlineStr">
        <is>
          <t>Oct-2018</t>
        </is>
      </c>
      <c r="C1442" s="2" t="n">
        <v>43052</v>
      </c>
      <c r="D1442" t="inlineStr">
        <is>
          <t>NIL</t>
        </is>
      </c>
      <c r="E1442" t="n">
        <v>839</v>
      </c>
    </row>
    <row r="1443">
      <c r="A1443" t="inlineStr">
        <is>
          <t>27BBBBB01443Z5</t>
        </is>
      </c>
      <c r="B1443" t="inlineStr">
        <is>
          <t>Jun-2020</t>
        </is>
      </c>
      <c r="C1443" s="2" t="n">
        <v>43943</v>
      </c>
      <c r="D1443" t="inlineStr">
        <is>
          <t>NIL</t>
        </is>
      </c>
      <c r="E1443" t="n">
        <v>1888</v>
      </c>
    </row>
    <row r="1444">
      <c r="A1444" t="inlineStr">
        <is>
          <t>27BBBBB01444Z5</t>
        </is>
      </c>
      <c r="B1444" t="inlineStr">
        <is>
          <t>May-2018</t>
        </is>
      </c>
      <c r="C1444" s="2" t="n">
        <v>44091</v>
      </c>
      <c r="D1444" t="inlineStr">
        <is>
          <t>NON-NIL</t>
        </is>
      </c>
      <c r="E1444" t="n">
        <v>169</v>
      </c>
    </row>
    <row r="1445">
      <c r="A1445" t="inlineStr">
        <is>
          <t>27BBBBB01445Z5</t>
        </is>
      </c>
      <c r="B1445" t="inlineStr">
        <is>
          <t>Dec-2018</t>
        </is>
      </c>
      <c r="C1445" s="2" t="n">
        <v>44206</v>
      </c>
      <c r="D1445" t="inlineStr">
        <is>
          <t>NON-NIL</t>
        </is>
      </c>
      <c r="E1445" t="n">
        <v>2244</v>
      </c>
    </row>
    <row r="1446">
      <c r="A1446" t="inlineStr">
        <is>
          <t>27BBBBB01446Z5</t>
        </is>
      </c>
      <c r="B1446" t="inlineStr">
        <is>
          <t>Jul-2018</t>
        </is>
      </c>
      <c r="C1446" s="2" t="n">
        <v>44165</v>
      </c>
      <c r="D1446" t="inlineStr">
        <is>
          <t>NON-NIL</t>
        </is>
      </c>
      <c r="E1446" t="n">
        <v>2489</v>
      </c>
    </row>
    <row r="1447">
      <c r="A1447" t="inlineStr">
        <is>
          <t>27BBBBB01447Z5</t>
        </is>
      </c>
      <c r="B1447" t="inlineStr">
        <is>
          <t>Jan-2018</t>
        </is>
      </c>
      <c r="C1447" s="2" t="n">
        <v>43596</v>
      </c>
      <c r="D1447" t="inlineStr">
        <is>
          <t>NON-NIL</t>
        </is>
      </c>
      <c r="E1447" t="n">
        <v>834</v>
      </c>
    </row>
    <row r="1448">
      <c r="A1448" t="inlineStr">
        <is>
          <t>27BBBBB01448Z5</t>
        </is>
      </c>
      <c r="B1448" t="inlineStr">
        <is>
          <t>Mar-2018</t>
        </is>
      </c>
      <c r="C1448" s="2" t="n">
        <v>43246</v>
      </c>
      <c r="D1448" t="inlineStr">
        <is>
          <t>NIL</t>
        </is>
      </c>
      <c r="E1448" t="n">
        <v>408</v>
      </c>
    </row>
    <row r="1449">
      <c r="A1449" t="inlineStr">
        <is>
          <t>27BBBBB01449Z5</t>
        </is>
      </c>
      <c r="B1449" t="inlineStr">
        <is>
          <t>Mar-2018</t>
        </is>
      </c>
      <c r="C1449" s="2" t="n">
        <v>44078</v>
      </c>
      <c r="D1449" t="inlineStr">
        <is>
          <t>NON-NIL</t>
        </is>
      </c>
      <c r="E1449" t="n">
        <v>1365</v>
      </c>
    </row>
    <row r="1450">
      <c r="A1450" t="inlineStr">
        <is>
          <t>27BBBBB01450Z5</t>
        </is>
      </c>
      <c r="B1450" t="inlineStr">
        <is>
          <t>Dec-2017</t>
        </is>
      </c>
      <c r="C1450" s="2" t="n">
        <v>44436</v>
      </c>
      <c r="D1450" t="inlineStr">
        <is>
          <t>NIL</t>
        </is>
      </c>
      <c r="E1450" t="n">
        <v>691</v>
      </c>
    </row>
    <row r="1451">
      <c r="A1451" t="inlineStr">
        <is>
          <t>27BBBBB01451Z5</t>
        </is>
      </c>
      <c r="B1451" t="inlineStr">
        <is>
          <t>Jun-2018</t>
        </is>
      </c>
      <c r="C1451" s="2" t="n">
        <v>44365</v>
      </c>
      <c r="D1451" t="inlineStr">
        <is>
          <t>NON-NIL</t>
        </is>
      </c>
      <c r="E1451" t="n">
        <v>185</v>
      </c>
    </row>
    <row r="1452">
      <c r="A1452" t="inlineStr">
        <is>
          <t>27BBBBB01452Z5</t>
        </is>
      </c>
      <c r="B1452" t="inlineStr">
        <is>
          <t>Aug-2018</t>
        </is>
      </c>
      <c r="C1452" s="2" t="n">
        <v>43201</v>
      </c>
      <c r="D1452" t="inlineStr">
        <is>
          <t>NIL</t>
        </is>
      </c>
      <c r="E1452" t="n">
        <v>2558</v>
      </c>
    </row>
    <row r="1453">
      <c r="A1453" t="inlineStr">
        <is>
          <t>27BBBBB01453Z5</t>
        </is>
      </c>
      <c r="B1453" t="inlineStr">
        <is>
          <t>Nov-2018</t>
        </is>
      </c>
      <c r="C1453" s="2" t="n">
        <v>43137</v>
      </c>
      <c r="D1453" t="inlineStr">
        <is>
          <t>NIL</t>
        </is>
      </c>
      <c r="E1453" t="n">
        <v>2793</v>
      </c>
    </row>
    <row r="1454">
      <c r="A1454" t="inlineStr">
        <is>
          <t>27BBBBB01454Z5</t>
        </is>
      </c>
      <c r="B1454" t="inlineStr">
        <is>
          <t>Mar-2018</t>
        </is>
      </c>
      <c r="C1454" s="2" t="n">
        <v>43014</v>
      </c>
      <c r="D1454" t="inlineStr">
        <is>
          <t>NIL</t>
        </is>
      </c>
      <c r="E1454" t="n">
        <v>1298</v>
      </c>
    </row>
    <row r="1455">
      <c r="A1455" t="inlineStr">
        <is>
          <t>27BBBBB01455Z5</t>
        </is>
      </c>
      <c r="B1455" t="inlineStr">
        <is>
          <t>Oct-2017</t>
        </is>
      </c>
      <c r="C1455" s="2" t="n">
        <v>44551</v>
      </c>
      <c r="D1455" t="inlineStr">
        <is>
          <t>NON-NIL</t>
        </is>
      </c>
      <c r="E1455" t="n">
        <v>425</v>
      </c>
    </row>
    <row r="1456">
      <c r="A1456" t="inlineStr">
        <is>
          <t>27BBBBB01456Z5</t>
        </is>
      </c>
      <c r="B1456" t="inlineStr">
        <is>
          <t>Apr-2018</t>
        </is>
      </c>
      <c r="C1456" s="2" t="n">
        <v>42921</v>
      </c>
      <c r="D1456" t="inlineStr">
        <is>
          <t>NON-NIL</t>
        </is>
      </c>
      <c r="E1456" t="n">
        <v>244</v>
      </c>
    </row>
    <row r="1457">
      <c r="A1457" t="inlineStr">
        <is>
          <t>27BBBBB01457Z5</t>
        </is>
      </c>
      <c r="B1457" t="inlineStr">
        <is>
          <t>Dec-2018</t>
        </is>
      </c>
      <c r="C1457" s="2" t="n">
        <v>43631</v>
      </c>
      <c r="D1457" t="inlineStr">
        <is>
          <t>NIL</t>
        </is>
      </c>
      <c r="E1457" t="n">
        <v>2724</v>
      </c>
    </row>
    <row r="1458">
      <c r="A1458" t="inlineStr">
        <is>
          <t>27BBBBB01458Z5</t>
        </is>
      </c>
      <c r="B1458" t="inlineStr">
        <is>
          <t>Sep-2017</t>
        </is>
      </c>
      <c r="C1458" s="2" t="n">
        <v>44358</v>
      </c>
      <c r="D1458" t="inlineStr">
        <is>
          <t>NIL</t>
        </is>
      </c>
      <c r="E1458" t="n">
        <v>2762</v>
      </c>
    </row>
    <row r="1459">
      <c r="A1459" t="inlineStr">
        <is>
          <t>27BBBBB01459Z5</t>
        </is>
      </c>
      <c r="B1459" t="inlineStr">
        <is>
          <t>Mar-2018</t>
        </is>
      </c>
      <c r="C1459" s="2" t="n">
        <v>43898</v>
      </c>
      <c r="D1459" t="inlineStr">
        <is>
          <t>NON-NIL</t>
        </is>
      </c>
      <c r="E1459" t="n">
        <v>2929</v>
      </c>
    </row>
    <row r="1460">
      <c r="A1460" t="inlineStr">
        <is>
          <t>27BBBBB01460Z5</t>
        </is>
      </c>
      <c r="B1460" t="inlineStr">
        <is>
          <t>Dec-2017</t>
        </is>
      </c>
      <c r="C1460" s="2" t="n">
        <v>44148</v>
      </c>
      <c r="D1460" t="inlineStr">
        <is>
          <t>NON-NIL</t>
        </is>
      </c>
      <c r="E1460" t="n">
        <v>897</v>
      </c>
    </row>
    <row r="1461">
      <c r="A1461" t="inlineStr">
        <is>
          <t>27BBBBB01461Z5</t>
        </is>
      </c>
      <c r="B1461" t="inlineStr">
        <is>
          <t>Dec-2022</t>
        </is>
      </c>
      <c r="C1461" s="2" t="n">
        <v>45164</v>
      </c>
      <c r="D1461" t="inlineStr">
        <is>
          <t>NON-NIL</t>
        </is>
      </c>
      <c r="E1461" t="n">
        <v>295</v>
      </c>
    </row>
    <row r="1462">
      <c r="A1462" t="inlineStr">
        <is>
          <t>27BBBBB01462Z5</t>
        </is>
      </c>
      <c r="B1462" t="inlineStr">
        <is>
          <t>Dec-2017</t>
        </is>
      </c>
      <c r="C1462" s="2" t="n">
        <v>43268</v>
      </c>
      <c r="D1462" t="inlineStr">
        <is>
          <t>NON-NIL</t>
        </is>
      </c>
      <c r="E1462" t="n">
        <v>1241</v>
      </c>
    </row>
    <row r="1463">
      <c r="A1463" t="inlineStr">
        <is>
          <t>27BBBBB01463Z5</t>
        </is>
      </c>
      <c r="B1463" t="inlineStr">
        <is>
          <t>Sep-2018</t>
        </is>
      </c>
      <c r="C1463" s="2" t="n">
        <v>43194</v>
      </c>
      <c r="D1463" t="inlineStr">
        <is>
          <t>NON-NIL</t>
        </is>
      </c>
      <c r="E1463" t="n">
        <v>2834</v>
      </c>
    </row>
    <row r="1464">
      <c r="A1464" t="inlineStr">
        <is>
          <t>27BBBBB01464Z5</t>
        </is>
      </c>
      <c r="B1464" t="inlineStr">
        <is>
          <t>Mar-2018</t>
        </is>
      </c>
      <c r="C1464" s="2" t="n">
        <v>44328</v>
      </c>
      <c r="D1464" t="inlineStr">
        <is>
          <t>NIL</t>
        </is>
      </c>
      <c r="E1464" t="n">
        <v>2864</v>
      </c>
    </row>
    <row r="1465">
      <c r="A1465" t="inlineStr">
        <is>
          <t>27BBBBB01465Z5</t>
        </is>
      </c>
      <c r="B1465" t="inlineStr">
        <is>
          <t>Mar-2020</t>
        </is>
      </c>
      <c r="C1465" s="2" t="n">
        <v>44196</v>
      </c>
      <c r="D1465" t="inlineStr">
        <is>
          <t>NON-NIL</t>
        </is>
      </c>
      <c r="E1465" t="n">
        <v>1394</v>
      </c>
    </row>
    <row r="1466">
      <c r="A1466" t="inlineStr">
        <is>
          <t>27BBBBB01466Z5</t>
        </is>
      </c>
      <c r="B1466" t="inlineStr">
        <is>
          <t>Jan-2018</t>
        </is>
      </c>
      <c r="C1466" s="2" t="n">
        <v>44145</v>
      </c>
      <c r="D1466" t="inlineStr">
        <is>
          <t>NON-NIL</t>
        </is>
      </c>
      <c r="E1466" t="n">
        <v>53</v>
      </c>
    </row>
    <row r="1467">
      <c r="A1467" t="inlineStr">
        <is>
          <t>27BBBBB01467Z5</t>
        </is>
      </c>
      <c r="B1467" t="inlineStr">
        <is>
          <t>Dec-2024</t>
        </is>
      </c>
      <c r="C1467" s="2" t="n">
        <v>44650</v>
      </c>
      <c r="D1467" t="inlineStr">
        <is>
          <t>NIL</t>
        </is>
      </c>
      <c r="E1467" t="n">
        <v>1038</v>
      </c>
    </row>
    <row r="1468">
      <c r="A1468" t="inlineStr">
        <is>
          <t>27BBBBB01468Z5</t>
        </is>
      </c>
      <c r="B1468" t="inlineStr">
        <is>
          <t>Jul-2017</t>
        </is>
      </c>
      <c r="C1468" s="2" t="n">
        <v>44016</v>
      </c>
      <c r="D1468" t="inlineStr">
        <is>
          <t>NIL</t>
        </is>
      </c>
      <c r="E1468" t="n">
        <v>1857</v>
      </c>
    </row>
    <row r="1469">
      <c r="A1469" t="inlineStr">
        <is>
          <t>27BBBBB01469Z5</t>
        </is>
      </c>
      <c r="B1469" t="inlineStr">
        <is>
          <t>Apr-2018</t>
        </is>
      </c>
      <c r="C1469" s="2" t="n">
        <v>44366</v>
      </c>
      <c r="D1469" t="inlineStr">
        <is>
          <t>NON-NIL</t>
        </is>
      </c>
      <c r="E1469" t="n">
        <v>566</v>
      </c>
    </row>
    <row r="1470">
      <c r="A1470" t="inlineStr">
        <is>
          <t>27BBBBB01470Z5</t>
        </is>
      </c>
      <c r="B1470" t="inlineStr">
        <is>
          <t>Jun-2018</t>
        </is>
      </c>
      <c r="C1470" s="2" t="n">
        <v>44294</v>
      </c>
      <c r="D1470" t="inlineStr">
        <is>
          <t>NIL</t>
        </is>
      </c>
      <c r="E1470" t="n">
        <v>2339</v>
      </c>
    </row>
    <row r="1471">
      <c r="A1471" t="inlineStr">
        <is>
          <t>27BBBBB01471Z5</t>
        </is>
      </c>
      <c r="B1471" t="inlineStr">
        <is>
          <t>Jul-2020</t>
        </is>
      </c>
      <c r="C1471" s="2" t="n">
        <v>44650</v>
      </c>
      <c r="D1471" t="inlineStr">
        <is>
          <t>NON-NIL</t>
        </is>
      </c>
      <c r="E1471" t="n">
        <v>2563</v>
      </c>
    </row>
    <row r="1472">
      <c r="A1472" t="inlineStr">
        <is>
          <t>27BBBBB01472Z5</t>
        </is>
      </c>
      <c r="B1472" t="inlineStr">
        <is>
          <t>Dec-2017</t>
        </is>
      </c>
      <c r="C1472" s="2" t="n">
        <v>43843</v>
      </c>
      <c r="D1472" t="inlineStr">
        <is>
          <t>NON-NIL</t>
        </is>
      </c>
      <c r="E1472" t="n">
        <v>2060</v>
      </c>
    </row>
    <row r="1473">
      <c r="A1473" t="inlineStr">
        <is>
          <t>27BBBBB01473Z5</t>
        </is>
      </c>
      <c r="B1473" t="inlineStr">
        <is>
          <t>Dec-2024</t>
        </is>
      </c>
      <c r="C1473" s="2" t="n">
        <v>44190</v>
      </c>
      <c r="D1473" t="inlineStr">
        <is>
          <t>NIL</t>
        </is>
      </c>
      <c r="E1473" t="n">
        <v>2328</v>
      </c>
    </row>
    <row r="1474">
      <c r="A1474" t="inlineStr">
        <is>
          <t>27BBBBB01474Z5</t>
        </is>
      </c>
      <c r="B1474" t="inlineStr">
        <is>
          <t>Oct-2017</t>
        </is>
      </c>
      <c r="C1474" s="2" t="n">
        <v>44039</v>
      </c>
      <c r="D1474" t="inlineStr">
        <is>
          <t>NIL</t>
        </is>
      </c>
      <c r="E1474" t="n">
        <v>677</v>
      </c>
    </row>
    <row r="1475">
      <c r="A1475" t="inlineStr">
        <is>
          <t>27BBBBB01475Z5</t>
        </is>
      </c>
      <c r="B1475" t="inlineStr">
        <is>
          <t>Nov-2017</t>
        </is>
      </c>
      <c r="C1475" s="2" t="n">
        <v>43545</v>
      </c>
      <c r="D1475" t="inlineStr">
        <is>
          <t>NON-NIL</t>
        </is>
      </c>
      <c r="E1475" t="n">
        <v>1596</v>
      </c>
    </row>
    <row r="1476">
      <c r="A1476" t="inlineStr">
        <is>
          <t>27BBBBB01476Z5</t>
        </is>
      </c>
      <c r="B1476" t="inlineStr">
        <is>
          <t>Oct-2017</t>
        </is>
      </c>
      <c r="C1476" s="2" t="n">
        <v>43448</v>
      </c>
      <c r="D1476" t="inlineStr">
        <is>
          <t>NIL</t>
        </is>
      </c>
      <c r="E1476" t="n">
        <v>2199</v>
      </c>
    </row>
    <row r="1477">
      <c r="A1477" t="inlineStr">
        <is>
          <t>27BBBBB01477Z5</t>
        </is>
      </c>
      <c r="B1477" t="inlineStr">
        <is>
          <t>Aug-2017</t>
        </is>
      </c>
      <c r="C1477" s="2" t="n">
        <v>44156</v>
      </c>
      <c r="D1477" t="inlineStr">
        <is>
          <t>NON-NIL</t>
        </is>
      </c>
      <c r="E1477" t="n">
        <v>6</v>
      </c>
    </row>
    <row r="1478">
      <c r="A1478" t="inlineStr">
        <is>
          <t>27BBBBB01478Z5</t>
        </is>
      </c>
      <c r="B1478" t="inlineStr">
        <is>
          <t>Dec-2017</t>
        </is>
      </c>
      <c r="C1478" s="2" t="n">
        <v>42933</v>
      </c>
      <c r="D1478" t="inlineStr">
        <is>
          <t>NON-NIL</t>
        </is>
      </c>
      <c r="E1478" t="n">
        <v>2404</v>
      </c>
    </row>
    <row r="1479">
      <c r="A1479" t="inlineStr">
        <is>
          <t>27BBBBB01479Z5</t>
        </is>
      </c>
      <c r="B1479" t="inlineStr">
        <is>
          <t>Jul-2020</t>
        </is>
      </c>
      <c r="C1479" s="2" t="n">
        <v>43862</v>
      </c>
      <c r="D1479" t="inlineStr">
        <is>
          <t>NON-NIL</t>
        </is>
      </c>
      <c r="E1479" t="n">
        <v>2761</v>
      </c>
    </row>
    <row r="1480">
      <c r="A1480" t="inlineStr">
        <is>
          <t>27BBBBB01480Z5</t>
        </is>
      </c>
      <c r="B1480" t="inlineStr">
        <is>
          <t>Feb-2018</t>
        </is>
      </c>
      <c r="C1480" s="2" t="n">
        <v>43650</v>
      </c>
      <c r="D1480" t="inlineStr">
        <is>
          <t>NIL</t>
        </is>
      </c>
      <c r="E1480" t="n">
        <v>2811</v>
      </c>
    </row>
    <row r="1481">
      <c r="A1481" t="inlineStr">
        <is>
          <t>27BBBBB01481Z5</t>
        </is>
      </c>
      <c r="B1481" t="inlineStr">
        <is>
          <t>May-2018</t>
        </is>
      </c>
      <c r="C1481" s="2" t="n">
        <v>44192</v>
      </c>
      <c r="D1481" t="inlineStr">
        <is>
          <t>NIL</t>
        </is>
      </c>
      <c r="E1481" t="n">
        <v>306</v>
      </c>
    </row>
    <row r="1482">
      <c r="A1482" t="inlineStr">
        <is>
          <t>27BBBBB01482Z5</t>
        </is>
      </c>
      <c r="B1482" t="inlineStr">
        <is>
          <t>Oct-2018</t>
        </is>
      </c>
      <c r="C1482" s="2" t="n">
        <v>43616</v>
      </c>
      <c r="D1482" t="inlineStr">
        <is>
          <t>NIL</t>
        </is>
      </c>
      <c r="E1482" t="n">
        <v>965</v>
      </c>
    </row>
    <row r="1483">
      <c r="A1483" t="inlineStr">
        <is>
          <t>27BBBBB01483Z5</t>
        </is>
      </c>
      <c r="B1483" t="inlineStr">
        <is>
          <t>Oct-2017</t>
        </is>
      </c>
      <c r="C1483" s="2" t="n">
        <v>43817</v>
      </c>
      <c r="D1483" t="inlineStr">
        <is>
          <t>NIL</t>
        </is>
      </c>
      <c r="E1483" t="n">
        <v>554</v>
      </c>
    </row>
    <row r="1484">
      <c r="A1484" t="inlineStr">
        <is>
          <t>27BBBBB01484Z5</t>
        </is>
      </c>
      <c r="B1484" t="inlineStr">
        <is>
          <t>Jun-2020</t>
        </is>
      </c>
      <c r="C1484" s="2" t="n">
        <v>44548</v>
      </c>
      <c r="D1484" t="inlineStr">
        <is>
          <t>NIL</t>
        </is>
      </c>
      <c r="E1484" t="n">
        <v>979</v>
      </c>
    </row>
    <row r="1485">
      <c r="A1485" t="inlineStr">
        <is>
          <t>27BBBBB01485Z5</t>
        </is>
      </c>
      <c r="B1485" t="inlineStr">
        <is>
          <t>Oct-2018</t>
        </is>
      </c>
      <c r="C1485" s="2" t="n">
        <v>44142</v>
      </c>
      <c r="D1485" t="inlineStr">
        <is>
          <t>NON-NIL</t>
        </is>
      </c>
      <c r="E1485" t="n">
        <v>6</v>
      </c>
    </row>
    <row r="1486">
      <c r="A1486" t="inlineStr">
        <is>
          <t>27BBBBB01486Z5</t>
        </is>
      </c>
      <c r="B1486" t="inlineStr">
        <is>
          <t>Dec-2018</t>
        </is>
      </c>
      <c r="C1486" s="2" t="n">
        <v>43714</v>
      </c>
      <c r="D1486" t="inlineStr">
        <is>
          <t>NIL</t>
        </is>
      </c>
      <c r="E1486" t="n">
        <v>1263</v>
      </c>
    </row>
    <row r="1487">
      <c r="A1487" t="inlineStr">
        <is>
          <t>27BBBBB01487Z5</t>
        </is>
      </c>
      <c r="B1487" t="inlineStr">
        <is>
          <t>May-2020</t>
        </is>
      </c>
      <c r="C1487" s="2" t="n">
        <v>44313</v>
      </c>
      <c r="D1487" t="inlineStr">
        <is>
          <t>NON-NIL</t>
        </is>
      </c>
      <c r="E1487" t="n">
        <v>1960</v>
      </c>
    </row>
    <row r="1488">
      <c r="A1488" t="inlineStr">
        <is>
          <t>27BBBBB01488Z5</t>
        </is>
      </c>
      <c r="B1488" t="inlineStr">
        <is>
          <t>Jun-2018</t>
        </is>
      </c>
      <c r="C1488" s="2" t="n">
        <v>44044</v>
      </c>
      <c r="D1488" t="inlineStr">
        <is>
          <t>NON-NIL</t>
        </is>
      </c>
      <c r="E1488" t="n">
        <v>737</v>
      </c>
    </row>
    <row r="1489">
      <c r="A1489" t="inlineStr">
        <is>
          <t>27BBBBB01489Z5</t>
        </is>
      </c>
      <c r="B1489" t="inlineStr">
        <is>
          <t>Mar-2021</t>
        </is>
      </c>
      <c r="C1489" s="2" t="n">
        <v>44972</v>
      </c>
      <c r="D1489" t="inlineStr">
        <is>
          <t>NIL</t>
        </is>
      </c>
      <c r="E1489" t="n">
        <v>1913</v>
      </c>
    </row>
    <row r="1490">
      <c r="A1490" t="inlineStr">
        <is>
          <t>27BBBBB01490Z5</t>
        </is>
      </c>
      <c r="B1490" t="inlineStr">
        <is>
          <t>Sep-2017</t>
        </is>
      </c>
      <c r="C1490" s="2" t="n">
        <v>43925</v>
      </c>
      <c r="D1490" t="inlineStr">
        <is>
          <t>NIL</t>
        </is>
      </c>
      <c r="E1490" t="n">
        <v>145</v>
      </c>
    </row>
    <row r="1491">
      <c r="A1491" t="inlineStr">
        <is>
          <t>27BBBBB01491Z5</t>
        </is>
      </c>
      <c r="B1491" t="inlineStr">
        <is>
          <t>Jun-2020</t>
        </is>
      </c>
      <c r="C1491" s="2" t="n">
        <v>44066</v>
      </c>
      <c r="D1491" t="inlineStr">
        <is>
          <t>NON-NIL</t>
        </is>
      </c>
      <c r="E1491" t="n">
        <v>943</v>
      </c>
    </row>
    <row r="1492">
      <c r="A1492" t="inlineStr">
        <is>
          <t>27BBBBB01492Z5</t>
        </is>
      </c>
      <c r="B1492" t="inlineStr">
        <is>
          <t>Feb-2018</t>
        </is>
      </c>
      <c r="C1492" s="2" t="n">
        <v>43382</v>
      </c>
      <c r="D1492" t="inlineStr">
        <is>
          <t>NIL</t>
        </is>
      </c>
      <c r="E1492" t="n">
        <v>30</v>
      </c>
    </row>
    <row r="1493">
      <c r="A1493" t="inlineStr">
        <is>
          <t>27BBBBB01493Z5</t>
        </is>
      </c>
      <c r="B1493" t="inlineStr">
        <is>
          <t>Jan-2018</t>
        </is>
      </c>
      <c r="C1493" s="2" t="n">
        <v>43298</v>
      </c>
      <c r="D1493" t="inlineStr">
        <is>
          <t>NON-NIL</t>
        </is>
      </c>
      <c r="E1493" t="n">
        <v>1567</v>
      </c>
    </row>
    <row r="1494">
      <c r="A1494" t="inlineStr">
        <is>
          <t>27BBBBB01494Z5</t>
        </is>
      </c>
      <c r="B1494" t="inlineStr">
        <is>
          <t>Mar-2020</t>
        </is>
      </c>
      <c r="C1494" s="2" t="n">
        <v>44682</v>
      </c>
      <c r="D1494" t="inlineStr">
        <is>
          <t>NON-NIL</t>
        </is>
      </c>
      <c r="E1494" t="n">
        <v>1822</v>
      </c>
    </row>
    <row r="1495">
      <c r="A1495" t="inlineStr">
        <is>
          <t>27BBBBB01495Z5</t>
        </is>
      </c>
      <c r="B1495" t="inlineStr">
        <is>
          <t>Mar-2021</t>
        </is>
      </c>
      <c r="C1495" s="2" t="n">
        <v>44495</v>
      </c>
      <c r="D1495" t="inlineStr">
        <is>
          <t>NIL</t>
        </is>
      </c>
      <c r="E1495" t="n">
        <v>781</v>
      </c>
    </row>
    <row r="1496">
      <c r="A1496" t="inlineStr">
        <is>
          <t>27BBBBB01496Z5</t>
        </is>
      </c>
      <c r="B1496" t="inlineStr">
        <is>
          <t>Feb-2018</t>
        </is>
      </c>
      <c r="C1496" s="2" t="n">
        <v>43060</v>
      </c>
      <c r="D1496" t="inlineStr">
        <is>
          <t>NIL</t>
        </is>
      </c>
      <c r="E1496" t="n">
        <v>1461</v>
      </c>
    </row>
    <row r="1497">
      <c r="A1497" t="inlineStr">
        <is>
          <t>27BBBBB01497Z5</t>
        </is>
      </c>
      <c r="B1497" t="inlineStr">
        <is>
          <t>Sep-2017</t>
        </is>
      </c>
      <c r="C1497" s="2" t="n">
        <v>44135</v>
      </c>
      <c r="D1497" t="inlineStr">
        <is>
          <t>NON-NIL</t>
        </is>
      </c>
      <c r="E1497" t="n">
        <v>2060</v>
      </c>
    </row>
    <row r="1498">
      <c r="A1498" t="inlineStr">
        <is>
          <t>27BBBBB01498Z5</t>
        </is>
      </c>
      <c r="B1498" t="inlineStr">
        <is>
          <t>Feb-2018</t>
        </is>
      </c>
      <c r="C1498" s="2" t="n">
        <v>44166</v>
      </c>
      <c r="D1498" t="inlineStr">
        <is>
          <t>NON-NIL</t>
        </is>
      </c>
      <c r="E1498" t="n">
        <v>2209</v>
      </c>
    </row>
    <row r="1499">
      <c r="A1499" t="inlineStr">
        <is>
          <t>27BBBBB01499Z5</t>
        </is>
      </c>
      <c r="B1499" t="inlineStr">
        <is>
          <t>Mar-2021</t>
        </is>
      </c>
      <c r="C1499" s="2" t="n">
        <v>44699</v>
      </c>
      <c r="D1499" t="inlineStr">
        <is>
          <t>NIL</t>
        </is>
      </c>
      <c r="E1499" t="n">
        <v>577</v>
      </c>
    </row>
    <row r="1500">
      <c r="A1500" t="inlineStr">
        <is>
          <t>27BBBBB01500Z5</t>
        </is>
      </c>
      <c r="B1500" t="inlineStr">
        <is>
          <t>Aug-2018</t>
        </is>
      </c>
      <c r="C1500" s="2" t="n">
        <v>44260</v>
      </c>
      <c r="D1500" t="inlineStr">
        <is>
          <t>NON-NIL</t>
        </is>
      </c>
      <c r="E1500" t="n">
        <v>808</v>
      </c>
    </row>
    <row r="1501">
      <c r="A1501" t="inlineStr">
        <is>
          <t>27BBBBB01501Z5</t>
        </is>
      </c>
      <c r="B1501" t="inlineStr">
        <is>
          <t>Sep-2017</t>
        </is>
      </c>
      <c r="C1501" s="2" t="n">
        <v>43670</v>
      </c>
      <c r="D1501" t="inlineStr">
        <is>
          <t>NON-NIL</t>
        </is>
      </c>
      <c r="E1501" t="n">
        <v>869</v>
      </c>
    </row>
    <row r="1502">
      <c r="A1502" t="inlineStr">
        <is>
          <t>27BBBBB01502Z5</t>
        </is>
      </c>
      <c r="B1502" t="inlineStr">
        <is>
          <t>Jul-2017</t>
        </is>
      </c>
      <c r="C1502" s="2" t="n">
        <v>44131</v>
      </c>
      <c r="D1502" t="inlineStr">
        <is>
          <t>NIL</t>
        </is>
      </c>
      <c r="E1502" t="n">
        <v>845</v>
      </c>
    </row>
    <row r="1503">
      <c r="A1503" t="inlineStr">
        <is>
          <t>27BBBBB01503Z5</t>
        </is>
      </c>
      <c r="B1503" t="inlineStr">
        <is>
          <t>May-2020</t>
        </is>
      </c>
      <c r="C1503" s="2" t="n">
        <v>44468</v>
      </c>
      <c r="D1503" t="inlineStr">
        <is>
          <t>NIL</t>
        </is>
      </c>
      <c r="E1503" t="n">
        <v>1010</v>
      </c>
    </row>
    <row r="1504">
      <c r="A1504" t="inlineStr">
        <is>
          <t>27BBBBB01504Z5</t>
        </is>
      </c>
      <c r="B1504" t="inlineStr">
        <is>
          <t>Sep-2017</t>
        </is>
      </c>
      <c r="C1504" s="2" t="n">
        <v>43645</v>
      </c>
      <c r="D1504" t="inlineStr">
        <is>
          <t>NON-NIL</t>
        </is>
      </c>
      <c r="E1504" t="n">
        <v>2623</v>
      </c>
    </row>
    <row r="1505">
      <c r="A1505" t="inlineStr">
        <is>
          <t>27BBBBB01505Z5</t>
        </is>
      </c>
      <c r="B1505" t="inlineStr">
        <is>
          <t>May-2018</t>
        </is>
      </c>
      <c r="C1505" s="2" t="n">
        <v>43318</v>
      </c>
      <c r="D1505" t="inlineStr">
        <is>
          <t>NON-NIL</t>
        </is>
      </c>
      <c r="E1505" t="n">
        <v>1769</v>
      </c>
    </row>
    <row r="1506">
      <c r="A1506" t="inlineStr">
        <is>
          <t>27BBBBB01506Z5</t>
        </is>
      </c>
      <c r="B1506" t="inlineStr">
        <is>
          <t>Oct-2018</t>
        </is>
      </c>
      <c r="C1506" s="2" t="n">
        <v>43097</v>
      </c>
      <c r="D1506" t="inlineStr">
        <is>
          <t>NIL</t>
        </is>
      </c>
      <c r="E1506" t="n">
        <v>1642</v>
      </c>
    </row>
    <row r="1507">
      <c r="A1507" t="inlineStr">
        <is>
          <t>27BBBBB01507Z5</t>
        </is>
      </c>
      <c r="B1507" t="inlineStr">
        <is>
          <t>Apr-2018</t>
        </is>
      </c>
      <c r="C1507" s="2" t="n">
        <v>43774</v>
      </c>
      <c r="D1507" t="inlineStr">
        <is>
          <t>NIL</t>
        </is>
      </c>
      <c r="E1507" t="n">
        <v>1346</v>
      </c>
    </row>
    <row r="1508">
      <c r="A1508" t="inlineStr">
        <is>
          <t>27BBBBB01508Z5</t>
        </is>
      </c>
      <c r="B1508" t="inlineStr">
        <is>
          <t>Sep-2017</t>
        </is>
      </c>
      <c r="C1508" s="2" t="n">
        <v>44446</v>
      </c>
      <c r="D1508" t="inlineStr">
        <is>
          <t>NON-NIL</t>
        </is>
      </c>
      <c r="E1508" t="n">
        <v>1330</v>
      </c>
    </row>
    <row r="1509">
      <c r="A1509" t="inlineStr">
        <is>
          <t>27BBBBB01509Z5</t>
        </is>
      </c>
      <c r="B1509" t="inlineStr">
        <is>
          <t>Dec-2017</t>
        </is>
      </c>
      <c r="C1509" s="2" t="n">
        <v>43293</v>
      </c>
      <c r="D1509" t="inlineStr">
        <is>
          <t>NIL</t>
        </is>
      </c>
      <c r="E1509" t="n">
        <v>870</v>
      </c>
    </row>
    <row r="1510">
      <c r="A1510" t="inlineStr">
        <is>
          <t>27BBBBB01510Z5</t>
        </is>
      </c>
      <c r="B1510" t="inlineStr">
        <is>
          <t>Nov-2017</t>
        </is>
      </c>
      <c r="C1510" s="2" t="n">
        <v>43582</v>
      </c>
      <c r="D1510" t="inlineStr">
        <is>
          <t>NIL</t>
        </is>
      </c>
      <c r="E1510" t="n">
        <v>1264</v>
      </c>
    </row>
    <row r="1511">
      <c r="A1511" t="inlineStr">
        <is>
          <t>27BBBBB01511Z5</t>
        </is>
      </c>
      <c r="B1511" t="inlineStr">
        <is>
          <t>Nov-2018</t>
        </is>
      </c>
      <c r="C1511" s="2" t="n">
        <v>44268</v>
      </c>
      <c r="D1511" t="inlineStr">
        <is>
          <t>NON-NIL</t>
        </is>
      </c>
      <c r="E1511" t="n">
        <v>2970</v>
      </c>
    </row>
    <row r="1512">
      <c r="A1512" t="inlineStr">
        <is>
          <t>27BBBBB01512Z5</t>
        </is>
      </c>
      <c r="B1512" t="inlineStr">
        <is>
          <t>Dec-2017</t>
        </is>
      </c>
      <c r="C1512" s="2" t="n">
        <v>44384</v>
      </c>
      <c r="D1512" t="inlineStr">
        <is>
          <t>NON-NIL</t>
        </is>
      </c>
      <c r="E1512" t="n">
        <v>2508</v>
      </c>
    </row>
    <row r="1513">
      <c r="A1513" t="inlineStr">
        <is>
          <t>27BBBBB01513Z5</t>
        </is>
      </c>
      <c r="B1513" t="inlineStr">
        <is>
          <t>Mar-2020</t>
        </is>
      </c>
      <c r="C1513" s="2" t="n">
        <v>44264</v>
      </c>
      <c r="D1513" t="inlineStr">
        <is>
          <t>NON-NIL</t>
        </is>
      </c>
      <c r="E1513" t="n">
        <v>2441</v>
      </c>
    </row>
    <row r="1514">
      <c r="A1514" t="inlineStr">
        <is>
          <t>27BBBBB01514Z5</t>
        </is>
      </c>
      <c r="B1514" t="inlineStr">
        <is>
          <t>Dec-2024</t>
        </is>
      </c>
      <c r="C1514" s="2" t="n">
        <v>45130</v>
      </c>
      <c r="D1514" t="inlineStr">
        <is>
          <t>NON-NIL</t>
        </is>
      </c>
      <c r="E1514" t="n">
        <v>1794</v>
      </c>
    </row>
    <row r="1515">
      <c r="A1515" t="inlineStr">
        <is>
          <t>27BBBBB01515Z5</t>
        </is>
      </c>
      <c r="B1515" t="inlineStr">
        <is>
          <t>Sep-2018</t>
        </is>
      </c>
      <c r="C1515" s="2" t="n">
        <v>43562</v>
      </c>
      <c r="D1515" t="inlineStr">
        <is>
          <t>NIL</t>
        </is>
      </c>
      <c r="E1515" t="n">
        <v>2626</v>
      </c>
    </row>
    <row r="1516">
      <c r="A1516" t="inlineStr">
        <is>
          <t>27BBBBB01516Z5</t>
        </is>
      </c>
      <c r="B1516" t="inlineStr">
        <is>
          <t>Feb-2018</t>
        </is>
      </c>
      <c r="C1516" s="2" t="n">
        <v>43626</v>
      </c>
      <c r="D1516" t="inlineStr">
        <is>
          <t>NIL</t>
        </is>
      </c>
      <c r="E1516" t="n">
        <v>488</v>
      </c>
    </row>
    <row r="1517">
      <c r="A1517" t="inlineStr">
        <is>
          <t>27BBBBB01517Z5</t>
        </is>
      </c>
      <c r="B1517" t="inlineStr">
        <is>
          <t>Jun-2020</t>
        </is>
      </c>
      <c r="C1517" s="2" t="n">
        <v>44847</v>
      </c>
      <c r="D1517" t="inlineStr">
        <is>
          <t>NIL</t>
        </is>
      </c>
      <c r="E1517" t="n">
        <v>2799</v>
      </c>
    </row>
    <row r="1518">
      <c r="A1518" t="inlineStr">
        <is>
          <t>27BBBBB01518Z5</t>
        </is>
      </c>
      <c r="B1518" t="inlineStr">
        <is>
          <t>Jul-2018</t>
        </is>
      </c>
      <c r="C1518" s="2" t="n">
        <v>43519</v>
      </c>
      <c r="D1518" t="inlineStr">
        <is>
          <t>NIL</t>
        </is>
      </c>
      <c r="E1518" t="n">
        <v>1774</v>
      </c>
    </row>
    <row r="1519">
      <c r="A1519" t="inlineStr">
        <is>
          <t>27BBBBB01519Z5</t>
        </is>
      </c>
      <c r="B1519" t="inlineStr">
        <is>
          <t>Apr-2018</t>
        </is>
      </c>
      <c r="C1519" s="2" t="n">
        <v>43097</v>
      </c>
      <c r="D1519" t="inlineStr">
        <is>
          <t>NIL</t>
        </is>
      </c>
      <c r="E1519" t="n">
        <v>803</v>
      </c>
    </row>
    <row r="1520">
      <c r="A1520" t="inlineStr">
        <is>
          <t>27BBBBB01520Z5</t>
        </is>
      </c>
      <c r="B1520" t="inlineStr">
        <is>
          <t>Jul-2020</t>
        </is>
      </c>
      <c r="C1520" s="2" t="n">
        <v>43987</v>
      </c>
      <c r="D1520" t="inlineStr">
        <is>
          <t>NON-NIL</t>
        </is>
      </c>
      <c r="E1520" t="n">
        <v>1150</v>
      </c>
    </row>
    <row r="1521">
      <c r="A1521" t="inlineStr">
        <is>
          <t>27BBBBB01521Z5</t>
        </is>
      </c>
      <c r="B1521" t="inlineStr">
        <is>
          <t>Aug-2017</t>
        </is>
      </c>
      <c r="C1521" s="2" t="n">
        <v>43235</v>
      </c>
      <c r="D1521" t="inlineStr">
        <is>
          <t>NON-NIL</t>
        </is>
      </c>
      <c r="E1521" t="n">
        <v>1070</v>
      </c>
    </row>
    <row r="1522">
      <c r="A1522" t="inlineStr">
        <is>
          <t>27BBBBB01522Z5</t>
        </is>
      </c>
      <c r="B1522" t="inlineStr">
        <is>
          <t>Sep-2018</t>
        </is>
      </c>
      <c r="C1522" s="2" t="n">
        <v>43947</v>
      </c>
      <c r="D1522" t="inlineStr">
        <is>
          <t>NIL</t>
        </is>
      </c>
      <c r="E1522" t="n">
        <v>34</v>
      </c>
    </row>
    <row r="1523">
      <c r="A1523" t="inlineStr">
        <is>
          <t>27BBBBB01523Z5</t>
        </is>
      </c>
      <c r="B1523" t="inlineStr">
        <is>
          <t>Sep-2018</t>
        </is>
      </c>
      <c r="C1523" s="2" t="n">
        <v>43601</v>
      </c>
      <c r="D1523" t="inlineStr">
        <is>
          <t>NIL</t>
        </is>
      </c>
      <c r="E1523" t="n">
        <v>438</v>
      </c>
    </row>
    <row r="1524">
      <c r="A1524" t="inlineStr">
        <is>
          <t>27BBBBB01524Z5</t>
        </is>
      </c>
      <c r="B1524" t="inlineStr">
        <is>
          <t>Jul-2018</t>
        </is>
      </c>
      <c r="C1524" s="2" t="n">
        <v>43320</v>
      </c>
      <c r="D1524" t="inlineStr">
        <is>
          <t>NIL</t>
        </is>
      </c>
      <c r="E1524" t="n">
        <v>2037</v>
      </c>
    </row>
    <row r="1525">
      <c r="A1525" t="inlineStr">
        <is>
          <t>27BBBBB01525Z5</t>
        </is>
      </c>
      <c r="B1525" t="inlineStr">
        <is>
          <t>May-2020</t>
        </is>
      </c>
      <c r="C1525" s="2" t="n">
        <v>43873</v>
      </c>
      <c r="D1525" t="inlineStr">
        <is>
          <t>NIL</t>
        </is>
      </c>
      <c r="E1525" t="n">
        <v>2665</v>
      </c>
    </row>
    <row r="1526">
      <c r="A1526" t="inlineStr">
        <is>
          <t>27BBBBB01526Z5</t>
        </is>
      </c>
      <c r="B1526" t="inlineStr">
        <is>
          <t>Mar-2018</t>
        </is>
      </c>
      <c r="C1526" s="2" t="n">
        <v>44086</v>
      </c>
      <c r="D1526" t="inlineStr">
        <is>
          <t>NIL</t>
        </is>
      </c>
      <c r="E1526" t="n">
        <v>1035</v>
      </c>
    </row>
    <row r="1527">
      <c r="A1527" t="inlineStr">
        <is>
          <t>27BBBBB01527Z5</t>
        </is>
      </c>
      <c r="B1527" t="inlineStr">
        <is>
          <t>Oct-2017</t>
        </is>
      </c>
      <c r="C1527" s="2" t="n">
        <v>42950</v>
      </c>
      <c r="D1527" t="inlineStr">
        <is>
          <t>NON-NIL</t>
        </is>
      </c>
      <c r="E1527" t="n">
        <v>513</v>
      </c>
    </row>
    <row r="1528">
      <c r="A1528" t="inlineStr">
        <is>
          <t>27BBBBB01528Z5</t>
        </is>
      </c>
      <c r="B1528" t="inlineStr">
        <is>
          <t>Jul-2018</t>
        </is>
      </c>
      <c r="C1528" s="2" t="n">
        <v>44156</v>
      </c>
      <c r="D1528" t="inlineStr">
        <is>
          <t>NON-NIL</t>
        </is>
      </c>
      <c r="E1528" t="n">
        <v>823</v>
      </c>
    </row>
    <row r="1529">
      <c r="A1529" t="inlineStr">
        <is>
          <t>27BBBBB01529Z5</t>
        </is>
      </c>
      <c r="B1529" t="inlineStr">
        <is>
          <t>Mar-2023</t>
        </is>
      </c>
      <c r="C1529" s="2" t="n">
        <v>45159</v>
      </c>
      <c r="D1529" t="inlineStr">
        <is>
          <t>NON-NIL</t>
        </is>
      </c>
      <c r="E1529" t="n">
        <v>684</v>
      </c>
    </row>
    <row r="1530">
      <c r="A1530" t="inlineStr">
        <is>
          <t>27BBBBB01530Z5</t>
        </is>
      </c>
      <c r="B1530" t="inlineStr">
        <is>
          <t>Sep-2018</t>
        </is>
      </c>
      <c r="C1530" s="2" t="n">
        <v>43229</v>
      </c>
      <c r="D1530" t="inlineStr">
        <is>
          <t>NIL</t>
        </is>
      </c>
      <c r="E1530" t="n">
        <v>767</v>
      </c>
    </row>
    <row r="1531">
      <c r="A1531" t="inlineStr">
        <is>
          <t>27BBBBB01531Z5</t>
        </is>
      </c>
      <c r="B1531" t="inlineStr">
        <is>
          <t>Dec-2024</t>
        </is>
      </c>
      <c r="C1531" s="2" t="n">
        <v>45129</v>
      </c>
      <c r="D1531" t="inlineStr">
        <is>
          <t>NON-NIL</t>
        </is>
      </c>
      <c r="E1531" t="n">
        <v>2802</v>
      </c>
    </row>
    <row r="1532">
      <c r="A1532" t="inlineStr">
        <is>
          <t>27BBBBB01532Z5</t>
        </is>
      </c>
      <c r="B1532" t="inlineStr">
        <is>
          <t>May-2018</t>
        </is>
      </c>
      <c r="C1532" s="2" t="n">
        <v>43500</v>
      </c>
      <c r="D1532" t="inlineStr">
        <is>
          <t>NIL</t>
        </is>
      </c>
      <c r="E1532" t="n">
        <v>1587</v>
      </c>
    </row>
    <row r="1533">
      <c r="A1533" t="inlineStr">
        <is>
          <t>27BBBBB01533Z5</t>
        </is>
      </c>
      <c r="B1533" t="inlineStr">
        <is>
          <t>Oct-2018</t>
        </is>
      </c>
      <c r="C1533" s="2" t="n">
        <v>43773</v>
      </c>
      <c r="D1533" t="inlineStr">
        <is>
          <t>NON-NIL</t>
        </is>
      </c>
      <c r="E1533" t="n">
        <v>2503</v>
      </c>
    </row>
    <row r="1534">
      <c r="A1534" t="inlineStr">
        <is>
          <t>27BBBBB01534Z5</t>
        </is>
      </c>
      <c r="B1534" t="inlineStr">
        <is>
          <t>Aug-2018</t>
        </is>
      </c>
      <c r="C1534" s="2" t="n">
        <v>43897</v>
      </c>
      <c r="D1534" t="inlineStr">
        <is>
          <t>NON-NIL</t>
        </is>
      </c>
      <c r="E1534" t="n">
        <v>1596</v>
      </c>
    </row>
    <row r="1535">
      <c r="A1535" t="inlineStr">
        <is>
          <t>27BBBBB01535Z5</t>
        </is>
      </c>
      <c r="B1535" t="inlineStr">
        <is>
          <t>Oct-2018</t>
        </is>
      </c>
      <c r="C1535" s="2" t="n">
        <v>44206</v>
      </c>
      <c r="D1535" t="inlineStr">
        <is>
          <t>NIL</t>
        </is>
      </c>
      <c r="E1535" t="n">
        <v>1582</v>
      </c>
    </row>
    <row r="1536">
      <c r="A1536" t="inlineStr">
        <is>
          <t>27BBBBB01536Z5</t>
        </is>
      </c>
      <c r="B1536" t="inlineStr">
        <is>
          <t>Apr-2020</t>
        </is>
      </c>
      <c r="C1536" s="2" t="n">
        <v>44883</v>
      </c>
      <c r="D1536" t="inlineStr">
        <is>
          <t>NON-NIL</t>
        </is>
      </c>
      <c r="E1536" t="n">
        <v>2905</v>
      </c>
    </row>
    <row r="1537">
      <c r="A1537" t="inlineStr">
        <is>
          <t>27BBBBB01537Z5</t>
        </is>
      </c>
      <c r="B1537" t="inlineStr">
        <is>
          <t>Jan-2018</t>
        </is>
      </c>
      <c r="C1537" s="2" t="n">
        <v>42926</v>
      </c>
      <c r="D1537" t="inlineStr">
        <is>
          <t>NIL</t>
        </is>
      </c>
      <c r="E1537" t="n">
        <v>2830</v>
      </c>
    </row>
    <row r="1538">
      <c r="A1538" t="inlineStr">
        <is>
          <t>27BBBBB01538Z5</t>
        </is>
      </c>
      <c r="B1538" t="inlineStr">
        <is>
          <t>Feb-2018</t>
        </is>
      </c>
      <c r="C1538" s="2" t="n">
        <v>43339</v>
      </c>
      <c r="D1538" t="inlineStr">
        <is>
          <t>NIL</t>
        </is>
      </c>
      <c r="E1538" t="n">
        <v>543</v>
      </c>
    </row>
    <row r="1539">
      <c r="A1539" t="inlineStr">
        <is>
          <t>27BBBBB01539Z5</t>
        </is>
      </c>
      <c r="B1539" t="inlineStr">
        <is>
          <t>Oct-2018</t>
        </is>
      </c>
      <c r="C1539" s="2" t="n">
        <v>44176</v>
      </c>
      <c r="D1539" t="inlineStr">
        <is>
          <t>NIL</t>
        </is>
      </c>
      <c r="E1539" t="n">
        <v>387</v>
      </c>
    </row>
    <row r="1540">
      <c r="A1540" t="inlineStr">
        <is>
          <t>27BBBBB01540Z5</t>
        </is>
      </c>
      <c r="B1540" t="inlineStr">
        <is>
          <t>Mar-2023</t>
        </is>
      </c>
      <c r="C1540" s="2" t="n">
        <v>45318</v>
      </c>
      <c r="D1540" t="inlineStr">
        <is>
          <t>NIL</t>
        </is>
      </c>
      <c r="E1540" t="n">
        <v>700</v>
      </c>
    </row>
    <row r="1541">
      <c r="A1541" t="inlineStr">
        <is>
          <t>27BBBBB01541Z5</t>
        </is>
      </c>
      <c r="B1541" t="inlineStr">
        <is>
          <t>May-2020</t>
        </is>
      </c>
      <c r="C1541" s="2" t="n">
        <v>44685</v>
      </c>
      <c r="D1541" t="inlineStr">
        <is>
          <t>NON-NIL</t>
        </is>
      </c>
      <c r="E1541" t="n">
        <v>494</v>
      </c>
    </row>
    <row r="1542">
      <c r="A1542" t="inlineStr">
        <is>
          <t>27BBBBB01542Z5</t>
        </is>
      </c>
      <c r="B1542" t="inlineStr">
        <is>
          <t>Apr-2020</t>
        </is>
      </c>
      <c r="C1542" s="2" t="n">
        <v>44619</v>
      </c>
      <c r="D1542" t="inlineStr">
        <is>
          <t>NIL</t>
        </is>
      </c>
      <c r="E1542" t="n">
        <v>1214</v>
      </c>
    </row>
    <row r="1543">
      <c r="A1543" t="inlineStr">
        <is>
          <t>27BBBBB01543Z5</t>
        </is>
      </c>
      <c r="B1543" t="inlineStr">
        <is>
          <t>Dec-2024</t>
        </is>
      </c>
      <c r="C1543" s="2" t="n">
        <v>44625</v>
      </c>
      <c r="D1543" t="inlineStr">
        <is>
          <t>NIL</t>
        </is>
      </c>
      <c r="E1543" t="n">
        <v>2212</v>
      </c>
    </row>
    <row r="1544">
      <c r="A1544" t="inlineStr">
        <is>
          <t>27BBBBB01544Z5</t>
        </is>
      </c>
      <c r="B1544" t="inlineStr">
        <is>
          <t>Jun-2018</t>
        </is>
      </c>
      <c r="C1544" s="2" t="n">
        <v>43161</v>
      </c>
      <c r="D1544" t="inlineStr">
        <is>
          <t>NON-NIL</t>
        </is>
      </c>
      <c r="E1544" t="n">
        <v>1882</v>
      </c>
    </row>
    <row r="1545">
      <c r="A1545" t="inlineStr">
        <is>
          <t>27BBBBB01545Z5</t>
        </is>
      </c>
      <c r="B1545" t="inlineStr">
        <is>
          <t>Jun-2018</t>
        </is>
      </c>
      <c r="C1545" s="2" t="n">
        <v>43782</v>
      </c>
      <c r="D1545" t="inlineStr">
        <is>
          <t>NIL</t>
        </is>
      </c>
      <c r="E1545" t="n">
        <v>1703</v>
      </c>
    </row>
    <row r="1546">
      <c r="A1546" t="inlineStr">
        <is>
          <t>27BBBBB01546Z5</t>
        </is>
      </c>
      <c r="B1546" t="inlineStr">
        <is>
          <t>Jan-2021</t>
        </is>
      </c>
      <c r="C1546" s="2" t="n">
        <v>43636</v>
      </c>
      <c r="D1546" t="inlineStr">
        <is>
          <t>NIL</t>
        </is>
      </c>
      <c r="E1546" t="n">
        <v>2231</v>
      </c>
    </row>
    <row r="1547">
      <c r="A1547" t="inlineStr">
        <is>
          <t>27BBBBB01547Z5</t>
        </is>
      </c>
      <c r="B1547" t="inlineStr">
        <is>
          <t>Apr-2018</t>
        </is>
      </c>
      <c r="C1547" s="2" t="n">
        <v>44111</v>
      </c>
      <c r="D1547" t="inlineStr">
        <is>
          <t>NON-NIL</t>
        </is>
      </c>
      <c r="E1547" t="n">
        <v>2830</v>
      </c>
    </row>
    <row r="1548">
      <c r="A1548" t="inlineStr">
        <is>
          <t>27BBBBB01548Z5</t>
        </is>
      </c>
      <c r="B1548" t="inlineStr">
        <is>
          <t>Nov-2017</t>
        </is>
      </c>
      <c r="C1548" s="2" t="n">
        <v>43732</v>
      </c>
      <c r="D1548" t="inlineStr">
        <is>
          <t>NIL</t>
        </is>
      </c>
      <c r="E1548" t="n">
        <v>1715</v>
      </c>
    </row>
    <row r="1549">
      <c r="A1549" t="inlineStr">
        <is>
          <t>27BBBBB01549Z5</t>
        </is>
      </c>
      <c r="B1549" t="inlineStr">
        <is>
          <t>Nov-2018</t>
        </is>
      </c>
      <c r="C1549" s="2" t="n">
        <v>43293</v>
      </c>
      <c r="D1549" t="inlineStr">
        <is>
          <t>NIL</t>
        </is>
      </c>
      <c r="E1549" t="n">
        <v>2055</v>
      </c>
    </row>
    <row r="1550">
      <c r="A1550" t="inlineStr">
        <is>
          <t>27BBBBB01550Z5</t>
        </is>
      </c>
      <c r="B1550" t="inlineStr">
        <is>
          <t>Sep-2018</t>
        </is>
      </c>
      <c r="C1550" s="2" t="n">
        <v>44076</v>
      </c>
      <c r="D1550" t="inlineStr">
        <is>
          <t>NON-NIL</t>
        </is>
      </c>
      <c r="E1550" t="n">
        <v>2910</v>
      </c>
    </row>
    <row r="1551">
      <c r="A1551" t="inlineStr">
        <is>
          <t>27BBBBB01551Z5</t>
        </is>
      </c>
      <c r="B1551" t="inlineStr">
        <is>
          <t>Jul-2018</t>
        </is>
      </c>
      <c r="C1551" s="2" t="n">
        <v>43063</v>
      </c>
      <c r="D1551" t="inlineStr">
        <is>
          <t>NON-NIL</t>
        </is>
      </c>
      <c r="E1551" t="n">
        <v>346</v>
      </c>
    </row>
    <row r="1552">
      <c r="A1552" t="inlineStr">
        <is>
          <t>27BBBBB01552Z5</t>
        </is>
      </c>
      <c r="B1552" t="inlineStr">
        <is>
          <t>Mar-2021</t>
        </is>
      </c>
      <c r="C1552" s="2" t="n">
        <v>43510</v>
      </c>
      <c r="D1552" t="inlineStr">
        <is>
          <t>NON-NIL</t>
        </is>
      </c>
      <c r="E1552" t="n">
        <v>1566</v>
      </c>
    </row>
    <row r="1553">
      <c r="A1553" t="inlineStr">
        <is>
          <t>27BBBBB01553Z5</t>
        </is>
      </c>
      <c r="B1553" t="inlineStr">
        <is>
          <t>Sep-2017</t>
        </is>
      </c>
      <c r="C1553" s="2" t="n">
        <v>44294</v>
      </c>
      <c r="D1553" t="inlineStr">
        <is>
          <t>NON-NIL</t>
        </is>
      </c>
      <c r="E1553" t="n">
        <v>2519</v>
      </c>
    </row>
    <row r="1554">
      <c r="A1554" t="inlineStr">
        <is>
          <t>27BBBBB01554Z5</t>
        </is>
      </c>
      <c r="B1554" t="inlineStr">
        <is>
          <t>Dec-2017</t>
        </is>
      </c>
      <c r="C1554" s="2" t="n">
        <v>44188</v>
      </c>
      <c r="D1554" t="inlineStr">
        <is>
          <t>NIL</t>
        </is>
      </c>
      <c r="E1554" t="n">
        <v>647</v>
      </c>
    </row>
    <row r="1555">
      <c r="A1555" t="inlineStr">
        <is>
          <t>27BBBBB01555Z5</t>
        </is>
      </c>
      <c r="B1555" t="inlineStr">
        <is>
          <t>Jan-2021</t>
        </is>
      </c>
      <c r="C1555" s="2" t="n">
        <v>44847</v>
      </c>
      <c r="D1555" t="inlineStr">
        <is>
          <t>NON-NIL</t>
        </is>
      </c>
      <c r="E1555" t="n">
        <v>2161</v>
      </c>
    </row>
    <row r="1556">
      <c r="A1556" t="inlineStr">
        <is>
          <t>27BBBBB01556Z5</t>
        </is>
      </c>
      <c r="B1556" t="inlineStr">
        <is>
          <t>Apr-2020</t>
        </is>
      </c>
      <c r="C1556" s="2" t="n">
        <v>43925</v>
      </c>
      <c r="D1556" t="inlineStr">
        <is>
          <t>NON-NIL</t>
        </is>
      </c>
      <c r="E1556" t="n">
        <v>177</v>
      </c>
    </row>
    <row r="1557">
      <c r="A1557" t="inlineStr">
        <is>
          <t>27BBBBB01557Z5</t>
        </is>
      </c>
      <c r="B1557" t="inlineStr">
        <is>
          <t>Aug-2018</t>
        </is>
      </c>
      <c r="C1557" s="2" t="n">
        <v>44081</v>
      </c>
      <c r="D1557" t="inlineStr">
        <is>
          <t>NIL</t>
        </is>
      </c>
      <c r="E1557" t="n">
        <v>783</v>
      </c>
    </row>
    <row r="1558">
      <c r="A1558" t="inlineStr">
        <is>
          <t>27BBBBB01558Z5</t>
        </is>
      </c>
      <c r="B1558" t="inlineStr">
        <is>
          <t>Aug-2017</t>
        </is>
      </c>
      <c r="C1558" s="2" t="n">
        <v>44357</v>
      </c>
      <c r="D1558" t="inlineStr">
        <is>
          <t>NIL</t>
        </is>
      </c>
      <c r="E1558" t="n">
        <v>1169</v>
      </c>
    </row>
    <row r="1559">
      <c r="A1559" t="inlineStr">
        <is>
          <t>27BBBBB01559Z5</t>
        </is>
      </c>
      <c r="B1559" t="inlineStr">
        <is>
          <t>Jan-2021</t>
        </is>
      </c>
      <c r="C1559" s="2" t="n">
        <v>45442</v>
      </c>
      <c r="D1559" t="inlineStr">
        <is>
          <t>NIL</t>
        </is>
      </c>
      <c r="E1559" t="n">
        <v>320</v>
      </c>
    </row>
    <row r="1560">
      <c r="A1560" t="inlineStr">
        <is>
          <t>27BBBBB01560Z5</t>
        </is>
      </c>
      <c r="B1560" t="inlineStr">
        <is>
          <t>Dec-2017</t>
        </is>
      </c>
      <c r="C1560" s="2" t="n">
        <v>43017</v>
      </c>
      <c r="D1560" t="inlineStr">
        <is>
          <t>NIL</t>
        </is>
      </c>
      <c r="E1560" t="n">
        <v>1920</v>
      </c>
    </row>
    <row r="1561">
      <c r="A1561" t="inlineStr">
        <is>
          <t>27BBBBB01561Z5</t>
        </is>
      </c>
      <c r="B1561" t="inlineStr">
        <is>
          <t>Jan-2018</t>
        </is>
      </c>
      <c r="C1561" s="2" t="n">
        <v>42967</v>
      </c>
      <c r="D1561" t="inlineStr">
        <is>
          <t>NIL</t>
        </is>
      </c>
      <c r="E1561" t="n">
        <v>959</v>
      </c>
    </row>
    <row r="1562">
      <c r="A1562" t="inlineStr">
        <is>
          <t>27BBBBB01562Z5</t>
        </is>
      </c>
      <c r="B1562" t="inlineStr">
        <is>
          <t>Dec-2024</t>
        </is>
      </c>
      <c r="C1562" s="2" t="n">
        <v>45629</v>
      </c>
      <c r="D1562" t="inlineStr">
        <is>
          <t>NON-NIL</t>
        </is>
      </c>
      <c r="E1562" t="n">
        <v>2615</v>
      </c>
    </row>
    <row r="1563">
      <c r="A1563" t="inlineStr">
        <is>
          <t>27BBBBB01563Z5</t>
        </is>
      </c>
      <c r="B1563" t="inlineStr">
        <is>
          <t>Mar-2020</t>
        </is>
      </c>
      <c r="C1563" s="2" t="n">
        <v>44507</v>
      </c>
      <c r="D1563" t="inlineStr">
        <is>
          <t>NIL</t>
        </is>
      </c>
      <c r="E1563" t="n">
        <v>2843</v>
      </c>
    </row>
    <row r="1564">
      <c r="A1564" t="inlineStr">
        <is>
          <t>27BBBBB01564Z5</t>
        </is>
      </c>
      <c r="B1564" t="inlineStr">
        <is>
          <t>Jun-2020</t>
        </is>
      </c>
      <c r="C1564" s="2" t="n">
        <v>44116</v>
      </c>
      <c r="D1564" t="inlineStr">
        <is>
          <t>NIL</t>
        </is>
      </c>
      <c r="E1564" t="n">
        <v>144</v>
      </c>
    </row>
    <row r="1565">
      <c r="A1565" t="inlineStr">
        <is>
          <t>27BBBBB01565Z5</t>
        </is>
      </c>
      <c r="B1565" t="inlineStr">
        <is>
          <t>Sep-2018</t>
        </is>
      </c>
      <c r="C1565" s="2" t="n">
        <v>43229</v>
      </c>
      <c r="D1565" t="inlineStr">
        <is>
          <t>NIL</t>
        </is>
      </c>
      <c r="E1565" t="n">
        <v>806</v>
      </c>
    </row>
    <row r="1566">
      <c r="A1566" t="inlineStr">
        <is>
          <t>27BBBBB01566Z5</t>
        </is>
      </c>
      <c r="B1566" t="inlineStr">
        <is>
          <t>Aug-2017</t>
        </is>
      </c>
      <c r="C1566" s="2" t="n">
        <v>44533</v>
      </c>
      <c r="D1566" t="inlineStr">
        <is>
          <t>NIL</t>
        </is>
      </c>
      <c r="E1566" t="n">
        <v>993</v>
      </c>
    </row>
    <row r="1567">
      <c r="A1567" t="inlineStr">
        <is>
          <t>27BBBBB01567Z5</t>
        </is>
      </c>
      <c r="B1567" t="inlineStr">
        <is>
          <t>Jun-2018</t>
        </is>
      </c>
      <c r="C1567" s="2" t="n">
        <v>44424</v>
      </c>
      <c r="D1567" t="inlineStr">
        <is>
          <t>NIL</t>
        </is>
      </c>
      <c r="E1567" t="n">
        <v>911</v>
      </c>
    </row>
    <row r="1568">
      <c r="A1568" t="inlineStr">
        <is>
          <t>27BBBBB01568Z5</t>
        </is>
      </c>
      <c r="B1568" t="inlineStr">
        <is>
          <t>Feb-2018</t>
        </is>
      </c>
      <c r="C1568" s="2" t="n">
        <v>44097</v>
      </c>
      <c r="D1568" t="inlineStr">
        <is>
          <t>NON-NIL</t>
        </is>
      </c>
      <c r="E1568" t="n">
        <v>276</v>
      </c>
    </row>
    <row r="1569">
      <c r="A1569" t="inlineStr">
        <is>
          <t>27BBBBB01569Z5</t>
        </is>
      </c>
      <c r="B1569" t="inlineStr">
        <is>
          <t>Oct-2017</t>
        </is>
      </c>
      <c r="C1569" s="2" t="n">
        <v>44348</v>
      </c>
      <c r="D1569" t="inlineStr">
        <is>
          <t>NIL</t>
        </is>
      </c>
      <c r="E1569" t="n">
        <v>987</v>
      </c>
    </row>
    <row r="1570">
      <c r="A1570" t="inlineStr">
        <is>
          <t>27BBBBB01570Z5</t>
        </is>
      </c>
      <c r="B1570" t="inlineStr">
        <is>
          <t>May-2020</t>
        </is>
      </c>
      <c r="C1570" s="2" t="n">
        <v>44849</v>
      </c>
      <c r="D1570" t="inlineStr">
        <is>
          <t>NON-NIL</t>
        </is>
      </c>
      <c r="E1570" t="n">
        <v>997</v>
      </c>
    </row>
    <row r="1571">
      <c r="A1571" t="inlineStr">
        <is>
          <t>27BBBBB01571Z5</t>
        </is>
      </c>
      <c r="B1571" t="inlineStr">
        <is>
          <t>Dec-2018</t>
        </is>
      </c>
      <c r="C1571" s="2" t="n">
        <v>44271</v>
      </c>
      <c r="D1571" t="inlineStr">
        <is>
          <t>NON-NIL</t>
        </is>
      </c>
      <c r="E1571" t="n">
        <v>2464</v>
      </c>
    </row>
    <row r="1572">
      <c r="A1572" t="inlineStr">
        <is>
          <t>27BBBBB01572Z5</t>
        </is>
      </c>
      <c r="B1572" t="inlineStr">
        <is>
          <t>Dec-2017</t>
        </is>
      </c>
      <c r="C1572" s="2" t="n">
        <v>43816</v>
      </c>
      <c r="D1572" t="inlineStr">
        <is>
          <t>NON-NIL</t>
        </is>
      </c>
      <c r="E1572" t="n">
        <v>1597</v>
      </c>
    </row>
    <row r="1573">
      <c r="A1573" t="inlineStr">
        <is>
          <t>27BBBBB01573Z5</t>
        </is>
      </c>
      <c r="B1573" t="inlineStr">
        <is>
          <t>Sep-2018</t>
        </is>
      </c>
      <c r="C1573" s="2" t="n">
        <v>44009</v>
      </c>
      <c r="D1573" t="inlineStr">
        <is>
          <t>NIL</t>
        </is>
      </c>
      <c r="E1573" t="n">
        <v>1007</v>
      </c>
    </row>
    <row r="1574">
      <c r="A1574" t="inlineStr">
        <is>
          <t>27BBBBB01574Z5</t>
        </is>
      </c>
      <c r="B1574" t="inlineStr">
        <is>
          <t>Jul-2018</t>
        </is>
      </c>
      <c r="C1574" s="2" t="n">
        <v>42932</v>
      </c>
      <c r="D1574" t="inlineStr">
        <is>
          <t>NON-NIL</t>
        </is>
      </c>
      <c r="E1574" t="n">
        <v>746</v>
      </c>
    </row>
    <row r="1575">
      <c r="A1575" t="inlineStr">
        <is>
          <t>27BBBBB01575Z5</t>
        </is>
      </c>
      <c r="B1575" t="inlineStr">
        <is>
          <t>Nov-2017</t>
        </is>
      </c>
      <c r="C1575" s="2" t="n">
        <v>44131</v>
      </c>
      <c r="D1575" t="inlineStr">
        <is>
          <t>NON-NIL</t>
        </is>
      </c>
      <c r="E1575" t="n">
        <v>1671</v>
      </c>
    </row>
    <row r="1576">
      <c r="A1576" t="inlineStr">
        <is>
          <t>27BBBBB01576Z5</t>
        </is>
      </c>
      <c r="B1576" t="inlineStr">
        <is>
          <t>May-2018</t>
        </is>
      </c>
      <c r="C1576" s="2" t="n">
        <v>43130</v>
      </c>
      <c r="D1576" t="inlineStr">
        <is>
          <t>NON-NIL</t>
        </is>
      </c>
      <c r="E1576" t="n">
        <v>1047</v>
      </c>
    </row>
    <row r="1577">
      <c r="A1577" t="inlineStr">
        <is>
          <t>27BBBBB01577Z5</t>
        </is>
      </c>
      <c r="B1577" t="inlineStr">
        <is>
          <t>Jun-2020</t>
        </is>
      </c>
      <c r="C1577" s="2" t="n">
        <v>44363</v>
      </c>
      <c r="D1577" t="inlineStr">
        <is>
          <t>NON-NIL</t>
        </is>
      </c>
      <c r="E1577" t="n">
        <v>1387</v>
      </c>
    </row>
    <row r="1578">
      <c r="A1578" t="inlineStr">
        <is>
          <t>27BBBBB01578Z5</t>
        </is>
      </c>
      <c r="B1578" t="inlineStr">
        <is>
          <t>Sep-2018</t>
        </is>
      </c>
      <c r="C1578" s="2" t="n">
        <v>43471</v>
      </c>
      <c r="D1578" t="inlineStr">
        <is>
          <t>NIL</t>
        </is>
      </c>
      <c r="E1578" t="n">
        <v>96</v>
      </c>
    </row>
    <row r="1579">
      <c r="A1579" t="inlineStr">
        <is>
          <t>27BBBBB01579Z5</t>
        </is>
      </c>
      <c r="B1579" t="inlineStr">
        <is>
          <t>Jul-2018</t>
        </is>
      </c>
      <c r="C1579" s="2" t="n">
        <v>43234</v>
      </c>
      <c r="D1579" t="inlineStr">
        <is>
          <t>NIL</t>
        </is>
      </c>
      <c r="E1579" t="n">
        <v>1565</v>
      </c>
    </row>
    <row r="1580">
      <c r="A1580" t="inlineStr">
        <is>
          <t>27BBBBB01580Z5</t>
        </is>
      </c>
      <c r="B1580" t="inlineStr">
        <is>
          <t>Nov-2018</t>
        </is>
      </c>
      <c r="C1580" s="2" t="n">
        <v>43049</v>
      </c>
      <c r="D1580" t="inlineStr">
        <is>
          <t>NON-NIL</t>
        </is>
      </c>
      <c r="E1580" t="n">
        <v>2768</v>
      </c>
    </row>
    <row r="1581">
      <c r="A1581" t="inlineStr">
        <is>
          <t>27BBBBB01581Z5</t>
        </is>
      </c>
      <c r="B1581" t="inlineStr">
        <is>
          <t>Jun-2020</t>
        </is>
      </c>
      <c r="C1581" s="2" t="n">
        <v>44442</v>
      </c>
      <c r="D1581" t="inlineStr">
        <is>
          <t>NIL</t>
        </is>
      </c>
      <c r="E1581" t="n">
        <v>2406</v>
      </c>
    </row>
    <row r="1582">
      <c r="A1582" t="inlineStr">
        <is>
          <t>27BBBBB01582Z5</t>
        </is>
      </c>
      <c r="B1582" t="inlineStr">
        <is>
          <t>Nov-2018</t>
        </is>
      </c>
      <c r="C1582" s="2" t="n">
        <v>44356</v>
      </c>
      <c r="D1582" t="inlineStr">
        <is>
          <t>NON-NIL</t>
        </is>
      </c>
      <c r="E1582" t="n">
        <v>578</v>
      </c>
    </row>
    <row r="1583">
      <c r="A1583" t="inlineStr">
        <is>
          <t>27BBBBB01583Z5</t>
        </is>
      </c>
      <c r="B1583" t="inlineStr">
        <is>
          <t>Aug-2017</t>
        </is>
      </c>
      <c r="C1583" s="2" t="n">
        <v>43271</v>
      </c>
      <c r="D1583" t="inlineStr">
        <is>
          <t>NIL</t>
        </is>
      </c>
      <c r="E1583" t="n">
        <v>257</v>
      </c>
    </row>
    <row r="1584">
      <c r="A1584" t="inlineStr">
        <is>
          <t>27BBBBB01584Z5</t>
        </is>
      </c>
      <c r="B1584" t="inlineStr">
        <is>
          <t>Jan-2018</t>
        </is>
      </c>
      <c r="C1584" s="2" t="n">
        <v>42937</v>
      </c>
      <c r="D1584" t="inlineStr">
        <is>
          <t>NIL</t>
        </is>
      </c>
      <c r="E1584" t="n">
        <v>2120</v>
      </c>
    </row>
    <row r="1585">
      <c r="A1585" t="inlineStr">
        <is>
          <t>27BBBBB01585Z5</t>
        </is>
      </c>
      <c r="B1585" t="inlineStr">
        <is>
          <t>Mar-2018</t>
        </is>
      </c>
      <c r="C1585" s="2" t="n">
        <v>43403</v>
      </c>
      <c r="D1585" t="inlineStr">
        <is>
          <t>NIL</t>
        </is>
      </c>
      <c r="E1585" t="n">
        <v>2396</v>
      </c>
    </row>
    <row r="1586">
      <c r="A1586" t="inlineStr">
        <is>
          <t>27BBBBB01586Z5</t>
        </is>
      </c>
      <c r="B1586" t="inlineStr">
        <is>
          <t>Oct-2017</t>
        </is>
      </c>
      <c r="C1586" s="2" t="n">
        <v>43510</v>
      </c>
      <c r="D1586" t="inlineStr">
        <is>
          <t>NIL</t>
        </is>
      </c>
      <c r="E1586" t="n">
        <v>2372</v>
      </c>
    </row>
    <row r="1587">
      <c r="A1587" t="inlineStr">
        <is>
          <t>27BBBBB01587Z5</t>
        </is>
      </c>
      <c r="B1587" t="inlineStr">
        <is>
          <t>Jul-2020</t>
        </is>
      </c>
      <c r="C1587" s="2" t="n">
        <v>44068</v>
      </c>
      <c r="D1587" t="inlineStr">
        <is>
          <t>NIL</t>
        </is>
      </c>
      <c r="E1587" t="n">
        <v>2870</v>
      </c>
    </row>
    <row r="1588">
      <c r="A1588" t="inlineStr">
        <is>
          <t>27BBBBB01588Z5</t>
        </is>
      </c>
      <c r="B1588" t="inlineStr">
        <is>
          <t>May-2020</t>
        </is>
      </c>
      <c r="C1588" s="2" t="n">
        <v>44728</v>
      </c>
      <c r="D1588" t="inlineStr">
        <is>
          <t>NON-NIL</t>
        </is>
      </c>
      <c r="E1588" t="n">
        <v>1020</v>
      </c>
    </row>
    <row r="1589">
      <c r="A1589" t="inlineStr">
        <is>
          <t>27BBBBB01589Z5</t>
        </is>
      </c>
      <c r="B1589" t="inlineStr">
        <is>
          <t>Jan-2018</t>
        </is>
      </c>
      <c r="C1589" s="2" t="n">
        <v>42960</v>
      </c>
      <c r="D1589" t="inlineStr">
        <is>
          <t>NON-NIL</t>
        </is>
      </c>
      <c r="E1589" t="n">
        <v>5</v>
      </c>
    </row>
    <row r="1590">
      <c r="A1590" t="inlineStr">
        <is>
          <t>27BBBBB01590Z5</t>
        </is>
      </c>
      <c r="B1590" t="inlineStr">
        <is>
          <t>Sep-2018</t>
        </is>
      </c>
      <c r="C1590" s="2" t="n">
        <v>44459</v>
      </c>
      <c r="D1590" t="inlineStr">
        <is>
          <t>NON-NIL</t>
        </is>
      </c>
      <c r="E1590" t="n">
        <v>2340</v>
      </c>
    </row>
    <row r="1591">
      <c r="A1591" t="inlineStr">
        <is>
          <t>27BBBBB01591Z5</t>
        </is>
      </c>
      <c r="B1591" t="inlineStr">
        <is>
          <t>May-2018</t>
        </is>
      </c>
      <c r="C1591" s="2" t="n">
        <v>43025</v>
      </c>
      <c r="D1591" t="inlineStr">
        <is>
          <t>NON-NIL</t>
        </is>
      </c>
      <c r="E1591" t="n">
        <v>1158</v>
      </c>
    </row>
    <row r="1592">
      <c r="A1592" t="inlineStr">
        <is>
          <t>27BBBBB01592Z5</t>
        </is>
      </c>
      <c r="B1592" t="inlineStr">
        <is>
          <t>Feb-2018</t>
        </is>
      </c>
      <c r="C1592" s="2" t="n">
        <v>43266</v>
      </c>
      <c r="D1592" t="inlineStr">
        <is>
          <t>NON-NIL</t>
        </is>
      </c>
      <c r="E1592" t="n">
        <v>396</v>
      </c>
    </row>
    <row r="1593">
      <c r="A1593" t="inlineStr">
        <is>
          <t>27BBBBB01593Z5</t>
        </is>
      </c>
      <c r="B1593" t="inlineStr">
        <is>
          <t>Mar-2023</t>
        </is>
      </c>
      <c r="C1593" s="2" t="n">
        <v>44146</v>
      </c>
      <c r="D1593" t="inlineStr">
        <is>
          <t>NIL</t>
        </is>
      </c>
      <c r="E1593" t="n">
        <v>581</v>
      </c>
    </row>
    <row r="1594">
      <c r="A1594" t="inlineStr">
        <is>
          <t>27BBBBB01594Z5</t>
        </is>
      </c>
      <c r="B1594" t="inlineStr">
        <is>
          <t>Jul-2020</t>
        </is>
      </c>
      <c r="C1594" s="2" t="n">
        <v>44896</v>
      </c>
      <c r="D1594" t="inlineStr">
        <is>
          <t>NON-NIL</t>
        </is>
      </c>
      <c r="E1594" t="n">
        <v>2661</v>
      </c>
    </row>
    <row r="1595">
      <c r="A1595" t="inlineStr">
        <is>
          <t>27BBBBB01595Z5</t>
        </is>
      </c>
      <c r="B1595" t="inlineStr">
        <is>
          <t>Mar-2018</t>
        </is>
      </c>
      <c r="C1595" s="2" t="n">
        <v>44477</v>
      </c>
      <c r="D1595" t="inlineStr">
        <is>
          <t>NIL</t>
        </is>
      </c>
      <c r="E1595" t="n">
        <v>1676</v>
      </c>
    </row>
    <row r="1596">
      <c r="A1596" t="inlineStr">
        <is>
          <t>27BBBBB01596Z5</t>
        </is>
      </c>
      <c r="B1596" t="inlineStr">
        <is>
          <t>Sep-2017</t>
        </is>
      </c>
      <c r="C1596" s="2" t="n">
        <v>44297</v>
      </c>
      <c r="D1596" t="inlineStr">
        <is>
          <t>NON-NIL</t>
        </is>
      </c>
      <c r="E1596" t="n">
        <v>2424</v>
      </c>
    </row>
    <row r="1597">
      <c r="A1597" t="inlineStr">
        <is>
          <t>27BBBBB01597Z5</t>
        </is>
      </c>
      <c r="B1597" t="inlineStr">
        <is>
          <t>Jan-2018</t>
        </is>
      </c>
      <c r="C1597" s="2" t="n">
        <v>44317</v>
      </c>
      <c r="D1597" t="inlineStr">
        <is>
          <t>NON-NIL</t>
        </is>
      </c>
      <c r="E1597" t="n">
        <v>732</v>
      </c>
    </row>
    <row r="1598">
      <c r="A1598" t="inlineStr">
        <is>
          <t>27BBBBB01598Z5</t>
        </is>
      </c>
      <c r="B1598" t="inlineStr">
        <is>
          <t>Mar-2018</t>
        </is>
      </c>
      <c r="C1598" s="2" t="n">
        <v>43036</v>
      </c>
      <c r="D1598" t="inlineStr">
        <is>
          <t>NON-NIL</t>
        </is>
      </c>
      <c r="E1598" t="n">
        <v>469</v>
      </c>
    </row>
    <row r="1599">
      <c r="A1599" t="inlineStr">
        <is>
          <t>27BBBBB01599Z5</t>
        </is>
      </c>
      <c r="B1599" t="inlineStr">
        <is>
          <t>May-2020</t>
        </is>
      </c>
      <c r="C1599" s="2" t="n">
        <v>44707</v>
      </c>
      <c r="D1599" t="inlineStr">
        <is>
          <t>NIL</t>
        </is>
      </c>
      <c r="E1599" t="n">
        <v>543</v>
      </c>
    </row>
    <row r="1600">
      <c r="A1600" t="inlineStr">
        <is>
          <t>27BBBBB01600Z5</t>
        </is>
      </c>
      <c r="B1600" t="inlineStr">
        <is>
          <t>Feb-2018</t>
        </is>
      </c>
      <c r="C1600" s="2" t="n">
        <v>43953</v>
      </c>
      <c r="D1600" t="inlineStr">
        <is>
          <t>NIL</t>
        </is>
      </c>
      <c r="E1600" t="n">
        <v>802</v>
      </c>
    </row>
    <row r="1601">
      <c r="A1601" t="inlineStr">
        <is>
          <t>27BBBBB01601Z5</t>
        </is>
      </c>
      <c r="B1601" t="inlineStr">
        <is>
          <t>Oct-2018</t>
        </is>
      </c>
      <c r="C1601" s="2" t="n">
        <v>42945</v>
      </c>
      <c r="D1601" t="inlineStr">
        <is>
          <t>NON-NIL</t>
        </is>
      </c>
      <c r="E1601" t="n">
        <v>1977</v>
      </c>
    </row>
    <row r="1602">
      <c r="A1602" t="inlineStr">
        <is>
          <t>27BBBBB01602Z5</t>
        </is>
      </c>
      <c r="B1602" t="inlineStr">
        <is>
          <t>Jul-2020</t>
        </is>
      </c>
      <c r="C1602" s="2" t="n">
        <v>44433</v>
      </c>
      <c r="D1602" t="inlineStr">
        <is>
          <t>NIL</t>
        </is>
      </c>
      <c r="E1602" t="n">
        <v>154</v>
      </c>
    </row>
    <row r="1603">
      <c r="A1603" t="inlineStr">
        <is>
          <t>27BBBBB01603Z5</t>
        </is>
      </c>
      <c r="B1603" t="inlineStr">
        <is>
          <t>Feb-2018</t>
        </is>
      </c>
      <c r="C1603" s="2" t="n">
        <v>43891</v>
      </c>
      <c r="D1603" t="inlineStr">
        <is>
          <t>NON-NIL</t>
        </is>
      </c>
      <c r="E1603" t="n">
        <v>650</v>
      </c>
    </row>
    <row r="1604">
      <c r="A1604" t="inlineStr">
        <is>
          <t>27BBBBB01604Z5</t>
        </is>
      </c>
      <c r="B1604" t="inlineStr">
        <is>
          <t>Dec-2017</t>
        </is>
      </c>
      <c r="C1604" s="2" t="n">
        <v>43765</v>
      </c>
      <c r="D1604" t="inlineStr">
        <is>
          <t>NON-NIL</t>
        </is>
      </c>
      <c r="E1604" t="n">
        <v>2461</v>
      </c>
    </row>
    <row r="1605">
      <c r="A1605" t="inlineStr">
        <is>
          <t>27BBBBB01605Z5</t>
        </is>
      </c>
      <c r="B1605" t="inlineStr">
        <is>
          <t>Mar-2018</t>
        </is>
      </c>
      <c r="C1605" s="2" t="n">
        <v>43167</v>
      </c>
      <c r="D1605" t="inlineStr">
        <is>
          <t>NON-NIL</t>
        </is>
      </c>
      <c r="E1605" t="n">
        <v>526</v>
      </c>
    </row>
    <row r="1606">
      <c r="A1606" t="inlineStr">
        <is>
          <t>27BBBBB01606Z5</t>
        </is>
      </c>
      <c r="B1606" t="inlineStr">
        <is>
          <t>Jun-2018</t>
        </is>
      </c>
      <c r="C1606" s="2" t="n">
        <v>44547</v>
      </c>
      <c r="D1606" t="inlineStr">
        <is>
          <t>NIL</t>
        </is>
      </c>
      <c r="E1606" t="n">
        <v>2156</v>
      </c>
    </row>
    <row r="1607">
      <c r="A1607" t="inlineStr">
        <is>
          <t>27BBBBB01607Z5</t>
        </is>
      </c>
      <c r="B1607" t="inlineStr">
        <is>
          <t>Jun-2018</t>
        </is>
      </c>
      <c r="C1607" s="2" t="n">
        <v>43088</v>
      </c>
      <c r="D1607" t="inlineStr">
        <is>
          <t>NON-NIL</t>
        </is>
      </c>
      <c r="E1607" t="n">
        <v>959</v>
      </c>
    </row>
    <row r="1608">
      <c r="A1608" t="inlineStr">
        <is>
          <t>27BBBBB01608Z5</t>
        </is>
      </c>
      <c r="B1608" t="inlineStr">
        <is>
          <t>May-2018</t>
        </is>
      </c>
      <c r="C1608" s="2" t="n">
        <v>43926</v>
      </c>
      <c r="D1608" t="inlineStr">
        <is>
          <t>NIL</t>
        </is>
      </c>
      <c r="E1608" t="n">
        <v>485</v>
      </c>
    </row>
    <row r="1609">
      <c r="A1609" t="inlineStr">
        <is>
          <t>27BBBBB01609Z5</t>
        </is>
      </c>
      <c r="B1609" t="inlineStr">
        <is>
          <t>Aug-2018</t>
        </is>
      </c>
      <c r="C1609" s="2" t="n">
        <v>43496</v>
      </c>
      <c r="D1609" t="inlineStr">
        <is>
          <t>NON-NIL</t>
        </is>
      </c>
      <c r="E1609" t="n">
        <v>2926</v>
      </c>
    </row>
    <row r="1610">
      <c r="A1610" t="inlineStr">
        <is>
          <t>27BBBBB01610Z5</t>
        </is>
      </c>
      <c r="B1610" t="inlineStr">
        <is>
          <t>Aug-2018</t>
        </is>
      </c>
      <c r="C1610" s="2" t="n">
        <v>43757</v>
      </c>
      <c r="D1610" t="inlineStr">
        <is>
          <t>NON-NIL</t>
        </is>
      </c>
      <c r="E1610" t="n">
        <v>1961</v>
      </c>
    </row>
    <row r="1611">
      <c r="A1611" t="inlineStr">
        <is>
          <t>27BBBBB01611Z5</t>
        </is>
      </c>
      <c r="B1611" t="inlineStr">
        <is>
          <t>Oct-2017</t>
        </is>
      </c>
      <c r="C1611" s="2" t="n">
        <v>43306</v>
      </c>
      <c r="D1611" t="inlineStr">
        <is>
          <t>NIL</t>
        </is>
      </c>
      <c r="E1611" t="n">
        <v>2804</v>
      </c>
    </row>
    <row r="1612">
      <c r="A1612" t="inlineStr">
        <is>
          <t>27BBBBB01612Z5</t>
        </is>
      </c>
      <c r="B1612" t="inlineStr">
        <is>
          <t>Apr-2020</t>
        </is>
      </c>
      <c r="C1612" s="2" t="n">
        <v>43951</v>
      </c>
      <c r="D1612" t="inlineStr">
        <is>
          <t>NIL</t>
        </is>
      </c>
      <c r="E1612" t="n">
        <v>241</v>
      </c>
    </row>
    <row r="1613">
      <c r="A1613" t="inlineStr">
        <is>
          <t>27BBBBB01613Z5</t>
        </is>
      </c>
      <c r="B1613" t="inlineStr">
        <is>
          <t>Dec-2017</t>
        </is>
      </c>
      <c r="C1613" s="2" t="n">
        <v>44153</v>
      </c>
      <c r="D1613" t="inlineStr">
        <is>
          <t>NIL</t>
        </is>
      </c>
      <c r="E1613" t="n">
        <v>1386</v>
      </c>
    </row>
    <row r="1614">
      <c r="A1614" t="inlineStr">
        <is>
          <t>27BBBBB01614Z5</t>
        </is>
      </c>
      <c r="B1614" t="inlineStr">
        <is>
          <t>Nov-2018</t>
        </is>
      </c>
      <c r="C1614" s="2" t="n">
        <v>44498</v>
      </c>
      <c r="D1614" t="inlineStr">
        <is>
          <t>NON-NIL</t>
        </is>
      </c>
      <c r="E1614" t="n">
        <v>2806</v>
      </c>
    </row>
    <row r="1615">
      <c r="A1615" t="inlineStr">
        <is>
          <t>27BBBBB01615Z5</t>
        </is>
      </c>
      <c r="B1615" t="inlineStr">
        <is>
          <t>Oct-2017</t>
        </is>
      </c>
      <c r="C1615" s="2" t="n">
        <v>43118</v>
      </c>
      <c r="D1615" t="inlineStr">
        <is>
          <t>NON-NIL</t>
        </is>
      </c>
      <c r="E1615" t="n">
        <v>2153</v>
      </c>
    </row>
    <row r="1616">
      <c r="A1616" t="inlineStr">
        <is>
          <t>27BBBBB01616Z5</t>
        </is>
      </c>
      <c r="B1616" t="inlineStr">
        <is>
          <t>Sep-2017</t>
        </is>
      </c>
      <c r="C1616" s="2" t="n">
        <v>43164</v>
      </c>
      <c r="D1616" t="inlineStr">
        <is>
          <t>NIL</t>
        </is>
      </c>
      <c r="E1616" t="n">
        <v>384</v>
      </c>
    </row>
    <row r="1617">
      <c r="A1617" t="inlineStr">
        <is>
          <t>27BBBBB01617Z5</t>
        </is>
      </c>
      <c r="B1617" t="inlineStr">
        <is>
          <t>Apr-2018</t>
        </is>
      </c>
      <c r="C1617" s="2" t="n">
        <v>43703</v>
      </c>
      <c r="D1617" t="inlineStr">
        <is>
          <t>NIL</t>
        </is>
      </c>
      <c r="E1617" t="n">
        <v>539</v>
      </c>
    </row>
    <row r="1618">
      <c r="A1618" t="inlineStr">
        <is>
          <t>27BBBBB01618Z5</t>
        </is>
      </c>
      <c r="B1618" t="inlineStr">
        <is>
          <t>Jan-2018</t>
        </is>
      </c>
      <c r="C1618" s="2" t="n">
        <v>44485</v>
      </c>
      <c r="D1618" t="inlineStr">
        <is>
          <t>NON-NIL</t>
        </is>
      </c>
      <c r="E1618" t="n">
        <v>1023</v>
      </c>
    </row>
    <row r="1619">
      <c r="A1619" t="inlineStr">
        <is>
          <t>27BBBBB01619Z5</t>
        </is>
      </c>
      <c r="B1619" t="inlineStr">
        <is>
          <t>May-2018</t>
        </is>
      </c>
      <c r="C1619" s="2" t="n">
        <v>44215</v>
      </c>
      <c r="D1619" t="inlineStr">
        <is>
          <t>NON-NIL</t>
        </is>
      </c>
      <c r="E1619" t="n">
        <v>2086</v>
      </c>
    </row>
    <row r="1620">
      <c r="A1620" t="inlineStr">
        <is>
          <t>27BBBBB01620Z5</t>
        </is>
      </c>
      <c r="B1620" t="inlineStr">
        <is>
          <t>Dec-2017</t>
        </is>
      </c>
      <c r="C1620" s="2" t="n">
        <v>43961</v>
      </c>
      <c r="D1620" t="inlineStr">
        <is>
          <t>NIL</t>
        </is>
      </c>
      <c r="E1620" t="n">
        <v>398</v>
      </c>
    </row>
    <row r="1621">
      <c r="A1621" t="inlineStr">
        <is>
          <t>27BBBBB01621Z5</t>
        </is>
      </c>
      <c r="B1621" t="inlineStr">
        <is>
          <t>Dec-2022</t>
        </is>
      </c>
      <c r="C1621" s="2" t="n">
        <v>44574</v>
      </c>
      <c r="D1621" t="inlineStr">
        <is>
          <t>NIL</t>
        </is>
      </c>
      <c r="E1621" t="n">
        <v>2203</v>
      </c>
    </row>
    <row r="1622">
      <c r="A1622" t="inlineStr">
        <is>
          <t>27BBBBB01622Z5</t>
        </is>
      </c>
      <c r="B1622" t="inlineStr">
        <is>
          <t>Oct-2017</t>
        </is>
      </c>
      <c r="C1622" s="2" t="n">
        <v>43204</v>
      </c>
      <c r="D1622" t="inlineStr">
        <is>
          <t>NIL</t>
        </is>
      </c>
      <c r="E1622" t="n">
        <v>1378</v>
      </c>
    </row>
    <row r="1623">
      <c r="A1623" t="inlineStr">
        <is>
          <t>27BBBBB01623Z5</t>
        </is>
      </c>
      <c r="B1623" t="inlineStr">
        <is>
          <t>Aug-2018</t>
        </is>
      </c>
      <c r="C1623" s="2" t="n">
        <v>43383</v>
      </c>
      <c r="D1623" t="inlineStr">
        <is>
          <t>NIL</t>
        </is>
      </c>
      <c r="E1623" t="n">
        <v>1634</v>
      </c>
    </row>
    <row r="1624">
      <c r="A1624" t="inlineStr">
        <is>
          <t>27BBBBB01624Z5</t>
        </is>
      </c>
      <c r="B1624" t="inlineStr">
        <is>
          <t>Oct-2018</t>
        </is>
      </c>
      <c r="C1624" s="2" t="n">
        <v>43700</v>
      </c>
      <c r="D1624" t="inlineStr">
        <is>
          <t>NON-NIL</t>
        </is>
      </c>
      <c r="E1624" t="n">
        <v>200</v>
      </c>
    </row>
    <row r="1625">
      <c r="A1625" t="inlineStr">
        <is>
          <t>27BBBBB01625Z5</t>
        </is>
      </c>
      <c r="B1625" t="inlineStr">
        <is>
          <t>Nov-2017</t>
        </is>
      </c>
      <c r="C1625" s="2" t="n">
        <v>43844</v>
      </c>
      <c r="D1625" t="inlineStr">
        <is>
          <t>NIL</t>
        </is>
      </c>
      <c r="E1625" t="n">
        <v>1626</v>
      </c>
    </row>
    <row r="1626">
      <c r="A1626" t="inlineStr">
        <is>
          <t>27BBBBB01626Z5</t>
        </is>
      </c>
      <c r="B1626" t="inlineStr">
        <is>
          <t>Dec-2018</t>
        </is>
      </c>
      <c r="C1626" s="2" t="n">
        <v>44111</v>
      </c>
      <c r="D1626" t="inlineStr">
        <is>
          <t>NIL</t>
        </is>
      </c>
      <c r="E1626" t="n">
        <v>1897</v>
      </c>
    </row>
    <row r="1627">
      <c r="A1627" t="inlineStr">
        <is>
          <t>27BBBBB01627Z5</t>
        </is>
      </c>
      <c r="B1627" t="inlineStr">
        <is>
          <t>Nov-2018</t>
        </is>
      </c>
      <c r="C1627" s="2" t="n">
        <v>44213</v>
      </c>
      <c r="D1627" t="inlineStr">
        <is>
          <t>NON-NIL</t>
        </is>
      </c>
      <c r="E1627" t="n">
        <v>1919</v>
      </c>
    </row>
    <row r="1628">
      <c r="A1628" t="inlineStr">
        <is>
          <t>27BBBBB01628Z5</t>
        </is>
      </c>
      <c r="B1628" t="inlineStr">
        <is>
          <t>Nov-2018</t>
        </is>
      </c>
      <c r="C1628" s="2" t="n">
        <v>44496</v>
      </c>
      <c r="D1628" t="inlineStr">
        <is>
          <t>NON-NIL</t>
        </is>
      </c>
      <c r="E1628" t="n">
        <v>367</v>
      </c>
    </row>
    <row r="1629">
      <c r="A1629" t="inlineStr">
        <is>
          <t>27BBBBB01629Z5</t>
        </is>
      </c>
      <c r="B1629" t="inlineStr">
        <is>
          <t>Dec-2018</t>
        </is>
      </c>
      <c r="C1629" s="2" t="n">
        <v>43074</v>
      </c>
      <c r="D1629" t="inlineStr">
        <is>
          <t>NIL</t>
        </is>
      </c>
      <c r="E1629" t="n">
        <v>2178</v>
      </c>
    </row>
    <row r="1630">
      <c r="A1630" t="inlineStr">
        <is>
          <t>27BBBBB01630Z5</t>
        </is>
      </c>
      <c r="B1630" t="inlineStr">
        <is>
          <t>Feb-2018</t>
        </is>
      </c>
      <c r="C1630" s="2" t="n">
        <v>43546</v>
      </c>
      <c r="D1630" t="inlineStr">
        <is>
          <t>NON-NIL</t>
        </is>
      </c>
      <c r="E1630" t="n">
        <v>2742</v>
      </c>
    </row>
    <row r="1631">
      <c r="A1631" t="inlineStr">
        <is>
          <t>27BBBBB01631Z5</t>
        </is>
      </c>
      <c r="B1631" t="inlineStr">
        <is>
          <t>Sep-2018</t>
        </is>
      </c>
      <c r="C1631" s="2" t="n">
        <v>44447</v>
      </c>
      <c r="D1631" t="inlineStr">
        <is>
          <t>NIL</t>
        </is>
      </c>
      <c r="E1631" t="n">
        <v>1425</v>
      </c>
    </row>
    <row r="1632">
      <c r="A1632" t="inlineStr">
        <is>
          <t>27BBBBB01632Z5</t>
        </is>
      </c>
      <c r="B1632" t="inlineStr">
        <is>
          <t>Sep-2017</t>
        </is>
      </c>
      <c r="C1632" s="2" t="n">
        <v>42942</v>
      </c>
      <c r="D1632" t="inlineStr">
        <is>
          <t>NON-NIL</t>
        </is>
      </c>
      <c r="E1632" t="n">
        <v>1942</v>
      </c>
    </row>
    <row r="1633">
      <c r="A1633" t="inlineStr">
        <is>
          <t>27BBBBB01633Z5</t>
        </is>
      </c>
      <c r="B1633" t="inlineStr">
        <is>
          <t>Feb-2018</t>
        </is>
      </c>
      <c r="C1633" s="2" t="n">
        <v>42920</v>
      </c>
      <c r="D1633" t="inlineStr">
        <is>
          <t>NIL</t>
        </is>
      </c>
      <c r="E1633" t="n">
        <v>756</v>
      </c>
    </row>
    <row r="1634">
      <c r="A1634" t="inlineStr">
        <is>
          <t>27BBBBB01634Z5</t>
        </is>
      </c>
      <c r="B1634" t="inlineStr">
        <is>
          <t>Nov-2018</t>
        </is>
      </c>
      <c r="C1634" s="2" t="n">
        <v>43254</v>
      </c>
      <c r="D1634" t="inlineStr">
        <is>
          <t>NIL</t>
        </is>
      </c>
      <c r="E1634" t="n">
        <v>882</v>
      </c>
    </row>
    <row r="1635">
      <c r="A1635" t="inlineStr">
        <is>
          <t>27BBBBB01635Z5</t>
        </is>
      </c>
      <c r="B1635" t="inlineStr">
        <is>
          <t>Oct-2017</t>
        </is>
      </c>
      <c r="C1635" s="2" t="n">
        <v>44359</v>
      </c>
      <c r="D1635" t="inlineStr">
        <is>
          <t>NIL</t>
        </is>
      </c>
      <c r="E1635" t="n">
        <v>2855</v>
      </c>
    </row>
    <row r="1636">
      <c r="A1636" t="inlineStr">
        <is>
          <t>27BBBBB01636Z5</t>
        </is>
      </c>
      <c r="B1636" t="inlineStr">
        <is>
          <t>Apr-2018</t>
        </is>
      </c>
      <c r="C1636" s="2" t="n">
        <v>43963</v>
      </c>
      <c r="D1636" t="inlineStr">
        <is>
          <t>NIL</t>
        </is>
      </c>
      <c r="E1636" t="n">
        <v>1274</v>
      </c>
    </row>
    <row r="1637">
      <c r="A1637" t="inlineStr">
        <is>
          <t>27BBBBB01637Z5</t>
        </is>
      </c>
      <c r="B1637" t="inlineStr">
        <is>
          <t>May-2020</t>
        </is>
      </c>
      <c r="C1637" s="2" t="n">
        <v>44020</v>
      </c>
      <c r="D1637" t="inlineStr">
        <is>
          <t>NON-NIL</t>
        </is>
      </c>
      <c r="E1637" t="n">
        <v>958</v>
      </c>
    </row>
    <row r="1638">
      <c r="A1638" t="inlineStr">
        <is>
          <t>27BBBBB01638Z5</t>
        </is>
      </c>
      <c r="B1638" t="inlineStr">
        <is>
          <t>Jul-2017</t>
        </is>
      </c>
      <c r="C1638" s="2" t="n">
        <v>43478</v>
      </c>
      <c r="D1638" t="inlineStr">
        <is>
          <t>NON-NIL</t>
        </is>
      </c>
      <c r="E1638" t="n">
        <v>1266</v>
      </c>
    </row>
    <row r="1639">
      <c r="A1639" t="inlineStr">
        <is>
          <t>27BBBBB01639Z5</t>
        </is>
      </c>
      <c r="B1639" t="inlineStr">
        <is>
          <t>Jul-2018</t>
        </is>
      </c>
      <c r="C1639" s="2" t="n">
        <v>44078</v>
      </c>
      <c r="D1639" t="inlineStr">
        <is>
          <t>NON-NIL</t>
        </is>
      </c>
      <c r="E1639" t="n">
        <v>2181</v>
      </c>
    </row>
    <row r="1640">
      <c r="A1640" t="inlineStr">
        <is>
          <t>27BBBBB01640Z5</t>
        </is>
      </c>
      <c r="B1640" t="inlineStr">
        <is>
          <t>May-2020</t>
        </is>
      </c>
      <c r="C1640" s="2" t="n">
        <v>44438</v>
      </c>
      <c r="D1640" t="inlineStr">
        <is>
          <t>NIL</t>
        </is>
      </c>
      <c r="E1640" t="n">
        <v>1342</v>
      </c>
    </row>
    <row r="1641">
      <c r="A1641" t="inlineStr">
        <is>
          <t>27BBBBB01641Z5</t>
        </is>
      </c>
      <c r="B1641" t="inlineStr">
        <is>
          <t>Mar-2020</t>
        </is>
      </c>
      <c r="C1641" s="2" t="n">
        <v>44676</v>
      </c>
      <c r="D1641" t="inlineStr">
        <is>
          <t>NIL</t>
        </is>
      </c>
      <c r="E1641" t="n">
        <v>1230</v>
      </c>
    </row>
    <row r="1642">
      <c r="A1642" t="inlineStr">
        <is>
          <t>27BBBBB01642Z5</t>
        </is>
      </c>
      <c r="B1642" t="inlineStr">
        <is>
          <t>Mar-2020</t>
        </is>
      </c>
      <c r="C1642" s="2" t="n">
        <v>43863</v>
      </c>
      <c r="D1642" t="inlineStr">
        <is>
          <t>NIL</t>
        </is>
      </c>
      <c r="E1642" t="n">
        <v>374</v>
      </c>
    </row>
    <row r="1643">
      <c r="A1643" t="inlineStr">
        <is>
          <t>27BBBBB01643Z5</t>
        </is>
      </c>
      <c r="B1643" t="inlineStr">
        <is>
          <t>Mar-2020</t>
        </is>
      </c>
      <c r="C1643" s="2" t="n">
        <v>44755</v>
      </c>
      <c r="D1643" t="inlineStr">
        <is>
          <t>NON-NIL</t>
        </is>
      </c>
      <c r="E1643" t="n">
        <v>2154</v>
      </c>
    </row>
    <row r="1644">
      <c r="A1644" t="inlineStr">
        <is>
          <t>27BBBBB01644Z5</t>
        </is>
      </c>
      <c r="B1644" t="inlineStr">
        <is>
          <t>Jan-2021</t>
        </is>
      </c>
      <c r="C1644" s="2" t="n">
        <v>44392</v>
      </c>
      <c r="D1644" t="inlineStr">
        <is>
          <t>NIL</t>
        </is>
      </c>
      <c r="E1644" t="n">
        <v>1133</v>
      </c>
    </row>
    <row r="1645">
      <c r="A1645" t="inlineStr">
        <is>
          <t>27BBBBB01645Z5</t>
        </is>
      </c>
      <c r="B1645" t="inlineStr">
        <is>
          <t>Jun-2018</t>
        </is>
      </c>
      <c r="C1645" s="2" t="n">
        <v>42931</v>
      </c>
      <c r="D1645" t="inlineStr">
        <is>
          <t>NIL</t>
        </is>
      </c>
      <c r="E1645" t="n">
        <v>1058</v>
      </c>
    </row>
    <row r="1646">
      <c r="A1646" t="inlineStr">
        <is>
          <t>27BBBBB01646Z5</t>
        </is>
      </c>
      <c r="B1646" t="inlineStr">
        <is>
          <t>Oct-2017</t>
        </is>
      </c>
      <c r="C1646" s="2" t="n">
        <v>44183</v>
      </c>
      <c r="D1646" t="inlineStr">
        <is>
          <t>NON-NIL</t>
        </is>
      </c>
      <c r="E1646" t="n">
        <v>365</v>
      </c>
    </row>
    <row r="1647">
      <c r="A1647" t="inlineStr">
        <is>
          <t>27BBBBB01647Z5</t>
        </is>
      </c>
      <c r="B1647" t="inlineStr">
        <is>
          <t>Jun-2020</t>
        </is>
      </c>
      <c r="C1647" s="2" t="n">
        <v>44008</v>
      </c>
      <c r="D1647" t="inlineStr">
        <is>
          <t>NIL</t>
        </is>
      </c>
      <c r="E1647" t="n">
        <v>2578</v>
      </c>
    </row>
    <row r="1648">
      <c r="A1648" t="inlineStr">
        <is>
          <t>27BBBBB01648Z5</t>
        </is>
      </c>
      <c r="B1648" t="inlineStr">
        <is>
          <t>Aug-2017</t>
        </is>
      </c>
      <c r="C1648" s="2" t="n">
        <v>43356</v>
      </c>
      <c r="D1648" t="inlineStr">
        <is>
          <t>NIL</t>
        </is>
      </c>
      <c r="E1648" t="n">
        <v>1815</v>
      </c>
    </row>
    <row r="1649">
      <c r="A1649" t="inlineStr">
        <is>
          <t>27BBBBB01649Z5</t>
        </is>
      </c>
      <c r="B1649" t="inlineStr">
        <is>
          <t>Mar-2021</t>
        </is>
      </c>
      <c r="C1649" s="2" t="n">
        <v>45059</v>
      </c>
      <c r="D1649" t="inlineStr">
        <is>
          <t>NON-NIL</t>
        </is>
      </c>
      <c r="E1649" t="n">
        <v>288</v>
      </c>
    </row>
    <row r="1650">
      <c r="A1650" t="inlineStr">
        <is>
          <t>27BBBBB01650Z5</t>
        </is>
      </c>
      <c r="B1650" t="inlineStr">
        <is>
          <t>Oct-2018</t>
        </is>
      </c>
      <c r="C1650" s="2" t="n">
        <v>42925</v>
      </c>
      <c r="D1650" t="inlineStr">
        <is>
          <t>NON-NIL</t>
        </is>
      </c>
      <c r="E1650" t="n">
        <v>2878</v>
      </c>
    </row>
    <row r="1651">
      <c r="A1651" t="inlineStr">
        <is>
          <t>27BBBBB01651Z5</t>
        </is>
      </c>
      <c r="B1651" t="inlineStr">
        <is>
          <t>Oct-2017</t>
        </is>
      </c>
      <c r="C1651" s="2" t="n">
        <v>43711</v>
      </c>
      <c r="D1651" t="inlineStr">
        <is>
          <t>NON-NIL</t>
        </is>
      </c>
      <c r="E1651" t="n">
        <v>2278</v>
      </c>
    </row>
    <row r="1652">
      <c r="A1652" t="inlineStr">
        <is>
          <t>27BBBBB01652Z5</t>
        </is>
      </c>
      <c r="B1652" t="inlineStr">
        <is>
          <t>Jan-2021</t>
        </is>
      </c>
      <c r="C1652" s="2" t="n">
        <v>44562</v>
      </c>
      <c r="D1652" t="inlineStr">
        <is>
          <t>NON-NIL</t>
        </is>
      </c>
      <c r="E1652" t="n">
        <v>1273</v>
      </c>
    </row>
    <row r="1653">
      <c r="A1653" t="inlineStr">
        <is>
          <t>27BBBBB01653Z5</t>
        </is>
      </c>
      <c r="B1653" t="inlineStr">
        <is>
          <t>Dec-2022</t>
        </is>
      </c>
      <c r="C1653" s="2" t="n">
        <v>45671</v>
      </c>
      <c r="D1653" t="inlineStr">
        <is>
          <t>NIL</t>
        </is>
      </c>
      <c r="E1653" t="n">
        <v>2625</v>
      </c>
    </row>
    <row r="1654">
      <c r="A1654" t="inlineStr">
        <is>
          <t>27BBBBB01654Z5</t>
        </is>
      </c>
      <c r="B1654" t="inlineStr">
        <is>
          <t>Jul-2017</t>
        </is>
      </c>
      <c r="C1654" s="2" t="n">
        <v>44144</v>
      </c>
      <c r="D1654" t="inlineStr">
        <is>
          <t>NON-NIL</t>
        </is>
      </c>
      <c r="E1654" t="n">
        <v>518</v>
      </c>
    </row>
    <row r="1655">
      <c r="A1655" t="inlineStr">
        <is>
          <t>27BBBBB01655Z5</t>
        </is>
      </c>
      <c r="B1655" t="inlineStr">
        <is>
          <t>Nov-2018</t>
        </is>
      </c>
      <c r="C1655" s="2" t="n">
        <v>43550</v>
      </c>
      <c r="D1655" t="inlineStr">
        <is>
          <t>NIL</t>
        </is>
      </c>
      <c r="E1655" t="n">
        <v>2096</v>
      </c>
    </row>
    <row r="1656">
      <c r="A1656" t="inlineStr">
        <is>
          <t>27BBBBB01656Z5</t>
        </is>
      </c>
      <c r="B1656" t="inlineStr">
        <is>
          <t>Oct-2017</t>
        </is>
      </c>
      <c r="C1656" s="2" t="n">
        <v>44011</v>
      </c>
      <c r="D1656" t="inlineStr">
        <is>
          <t>NON-NIL</t>
        </is>
      </c>
      <c r="E1656" t="n">
        <v>2351</v>
      </c>
    </row>
    <row r="1657">
      <c r="A1657" t="inlineStr">
        <is>
          <t>27BBBBB01657Z5</t>
        </is>
      </c>
      <c r="B1657" t="inlineStr">
        <is>
          <t>Jul-2018</t>
        </is>
      </c>
      <c r="C1657" s="2" t="n">
        <v>44154</v>
      </c>
      <c r="D1657" t="inlineStr">
        <is>
          <t>NIL</t>
        </is>
      </c>
      <c r="E1657" t="n">
        <v>927</v>
      </c>
    </row>
    <row r="1658">
      <c r="A1658" t="inlineStr">
        <is>
          <t>27BBBBB01658Z5</t>
        </is>
      </c>
      <c r="B1658" t="inlineStr">
        <is>
          <t>Mar-2021</t>
        </is>
      </c>
      <c r="C1658" s="2" t="n">
        <v>44616</v>
      </c>
      <c r="D1658" t="inlineStr">
        <is>
          <t>NON-NIL</t>
        </is>
      </c>
      <c r="E1658" t="n">
        <v>1048</v>
      </c>
    </row>
    <row r="1659">
      <c r="A1659" t="inlineStr">
        <is>
          <t>27BBBBB01659Z5</t>
        </is>
      </c>
      <c r="B1659" t="inlineStr">
        <is>
          <t>Aug-2017</t>
        </is>
      </c>
      <c r="C1659" s="2" t="n">
        <v>43585</v>
      </c>
      <c r="D1659" t="inlineStr">
        <is>
          <t>NON-NIL</t>
        </is>
      </c>
      <c r="E1659" t="n">
        <v>1801</v>
      </c>
    </row>
    <row r="1660">
      <c r="A1660" t="inlineStr">
        <is>
          <t>27BBBBB01660Z5</t>
        </is>
      </c>
      <c r="B1660" t="inlineStr">
        <is>
          <t>Nov-2017</t>
        </is>
      </c>
      <c r="C1660" s="2" t="n">
        <v>43550</v>
      </c>
      <c r="D1660" t="inlineStr">
        <is>
          <t>NON-NIL</t>
        </is>
      </c>
      <c r="E1660" t="n">
        <v>1889</v>
      </c>
    </row>
    <row r="1661">
      <c r="A1661" t="inlineStr">
        <is>
          <t>27BBBBB01661Z5</t>
        </is>
      </c>
      <c r="B1661" t="inlineStr">
        <is>
          <t>Dec-2017</t>
        </is>
      </c>
      <c r="C1661" s="2" t="n">
        <v>43086</v>
      </c>
      <c r="D1661" t="inlineStr">
        <is>
          <t>NIL</t>
        </is>
      </c>
      <c r="E1661" t="n">
        <v>2337</v>
      </c>
    </row>
    <row r="1662">
      <c r="A1662" t="inlineStr">
        <is>
          <t>27BBBBB01662Z5</t>
        </is>
      </c>
      <c r="B1662" t="inlineStr">
        <is>
          <t>Aug-2018</t>
        </is>
      </c>
      <c r="C1662" s="2" t="n">
        <v>43318</v>
      </c>
      <c r="D1662" t="inlineStr">
        <is>
          <t>NON-NIL</t>
        </is>
      </c>
      <c r="E1662" t="n">
        <v>625</v>
      </c>
    </row>
    <row r="1663">
      <c r="A1663" t="inlineStr">
        <is>
          <t>27BBBBB01663Z5</t>
        </is>
      </c>
      <c r="B1663" t="inlineStr">
        <is>
          <t>Jul-2017</t>
        </is>
      </c>
      <c r="C1663" s="2" t="n">
        <v>44365</v>
      </c>
      <c r="D1663" t="inlineStr">
        <is>
          <t>NIL</t>
        </is>
      </c>
      <c r="E1663" t="n">
        <v>1671</v>
      </c>
    </row>
    <row r="1664">
      <c r="A1664" t="inlineStr">
        <is>
          <t>27BBBBB01664Z5</t>
        </is>
      </c>
      <c r="B1664" t="inlineStr">
        <is>
          <t>Jul-2017</t>
        </is>
      </c>
      <c r="C1664" s="2" t="n">
        <v>44270</v>
      </c>
      <c r="D1664" t="inlineStr">
        <is>
          <t>NON-NIL</t>
        </is>
      </c>
      <c r="E1664" t="n">
        <v>2392</v>
      </c>
    </row>
    <row r="1665">
      <c r="A1665" t="inlineStr">
        <is>
          <t>27BBBBB01665Z5</t>
        </is>
      </c>
      <c r="B1665" t="inlineStr">
        <is>
          <t>Jun-2020</t>
        </is>
      </c>
      <c r="C1665" s="2" t="n">
        <v>44434</v>
      </c>
      <c r="D1665" t="inlineStr">
        <is>
          <t>NIL</t>
        </is>
      </c>
      <c r="E1665" t="n">
        <v>1954</v>
      </c>
    </row>
    <row r="1666">
      <c r="A1666" t="inlineStr">
        <is>
          <t>27BBBBB01666Z5</t>
        </is>
      </c>
      <c r="B1666" t="inlineStr">
        <is>
          <t>Jan-2021</t>
        </is>
      </c>
      <c r="C1666" s="2" t="n">
        <v>44111</v>
      </c>
      <c r="D1666" t="inlineStr">
        <is>
          <t>NIL</t>
        </is>
      </c>
      <c r="E1666" t="n">
        <v>279</v>
      </c>
    </row>
    <row r="1667">
      <c r="A1667" t="inlineStr">
        <is>
          <t>27BBBBB01667Z5</t>
        </is>
      </c>
      <c r="B1667" t="inlineStr">
        <is>
          <t>Apr-2020</t>
        </is>
      </c>
      <c r="C1667" s="2" t="n">
        <v>43889</v>
      </c>
      <c r="D1667" t="inlineStr">
        <is>
          <t>NIL</t>
        </is>
      </c>
      <c r="E1667" t="n">
        <v>1797</v>
      </c>
    </row>
    <row r="1668">
      <c r="A1668" t="inlineStr">
        <is>
          <t>27BBBBB01668Z5</t>
        </is>
      </c>
      <c r="B1668" t="inlineStr">
        <is>
          <t>Aug-2017</t>
        </is>
      </c>
      <c r="C1668" s="2" t="n">
        <v>44348</v>
      </c>
      <c r="D1668" t="inlineStr">
        <is>
          <t>NON-NIL</t>
        </is>
      </c>
      <c r="E1668" t="n">
        <v>1734</v>
      </c>
    </row>
    <row r="1669">
      <c r="A1669" t="inlineStr">
        <is>
          <t>27BBBBB01669Z5</t>
        </is>
      </c>
      <c r="B1669" t="inlineStr">
        <is>
          <t>Mar-2023</t>
        </is>
      </c>
      <c r="C1669" s="2" t="n">
        <v>45624</v>
      </c>
      <c r="D1669" t="inlineStr">
        <is>
          <t>NON-NIL</t>
        </is>
      </c>
      <c r="E1669" t="n">
        <v>994</v>
      </c>
    </row>
    <row r="1670">
      <c r="A1670" t="inlineStr">
        <is>
          <t>27BBBBB01670Z5</t>
        </is>
      </c>
      <c r="B1670" t="inlineStr">
        <is>
          <t>Mar-2023</t>
        </is>
      </c>
      <c r="C1670" s="2" t="n">
        <v>45259</v>
      </c>
      <c r="D1670" t="inlineStr">
        <is>
          <t>NIL</t>
        </is>
      </c>
      <c r="E1670" t="n">
        <v>409</v>
      </c>
    </row>
    <row r="1671">
      <c r="A1671" t="inlineStr">
        <is>
          <t>27BBBBB01671Z5</t>
        </is>
      </c>
      <c r="B1671" t="inlineStr">
        <is>
          <t>Jul-2020</t>
        </is>
      </c>
      <c r="C1671" s="2" t="n">
        <v>44574</v>
      </c>
      <c r="D1671" t="inlineStr">
        <is>
          <t>NIL</t>
        </is>
      </c>
      <c r="E1671" t="n">
        <v>1416</v>
      </c>
    </row>
    <row r="1672">
      <c r="A1672" t="inlineStr">
        <is>
          <t>27BBBBB01672Z5</t>
        </is>
      </c>
      <c r="B1672" t="inlineStr">
        <is>
          <t>Nov-2018</t>
        </is>
      </c>
      <c r="C1672" s="2" t="n">
        <v>43429</v>
      </c>
      <c r="D1672" t="inlineStr">
        <is>
          <t>NIL</t>
        </is>
      </c>
      <c r="E1672" t="n">
        <v>1248</v>
      </c>
    </row>
    <row r="1673">
      <c r="A1673" t="inlineStr">
        <is>
          <t>27BBBBB01673Z5</t>
        </is>
      </c>
      <c r="B1673" t="inlineStr">
        <is>
          <t>Oct-2018</t>
        </is>
      </c>
      <c r="C1673" s="2" t="n">
        <v>42997</v>
      </c>
      <c r="D1673" t="inlineStr">
        <is>
          <t>NON-NIL</t>
        </is>
      </c>
      <c r="E1673" t="n">
        <v>2841</v>
      </c>
    </row>
    <row r="1674">
      <c r="A1674" t="inlineStr">
        <is>
          <t>27BBBBB01674Z5</t>
        </is>
      </c>
      <c r="B1674" t="inlineStr">
        <is>
          <t>Sep-2018</t>
        </is>
      </c>
      <c r="C1674" s="2" t="n">
        <v>43097</v>
      </c>
      <c r="D1674" t="inlineStr">
        <is>
          <t>NIL</t>
        </is>
      </c>
      <c r="E1674" t="n">
        <v>1706</v>
      </c>
    </row>
    <row r="1675">
      <c r="A1675" t="inlineStr">
        <is>
          <t>27BBBBB01675Z5</t>
        </is>
      </c>
      <c r="B1675" t="inlineStr">
        <is>
          <t>May-2018</t>
        </is>
      </c>
      <c r="C1675" s="2" t="n">
        <v>43712</v>
      </c>
      <c r="D1675" t="inlineStr">
        <is>
          <t>NON-NIL</t>
        </is>
      </c>
      <c r="E1675" t="n">
        <v>1573</v>
      </c>
    </row>
    <row r="1676">
      <c r="A1676" t="inlineStr">
        <is>
          <t>27BBBBB01676Z5</t>
        </is>
      </c>
      <c r="B1676" t="inlineStr">
        <is>
          <t>Dec-2024</t>
        </is>
      </c>
      <c r="C1676" s="2" t="n">
        <v>44605</v>
      </c>
      <c r="D1676" t="inlineStr">
        <is>
          <t>NIL</t>
        </is>
      </c>
      <c r="E1676" t="n">
        <v>2787</v>
      </c>
    </row>
    <row r="1677">
      <c r="A1677" t="inlineStr">
        <is>
          <t>27BBBBB01677Z5</t>
        </is>
      </c>
      <c r="B1677" t="inlineStr">
        <is>
          <t>Aug-2018</t>
        </is>
      </c>
      <c r="C1677" s="2" t="n">
        <v>43563</v>
      </c>
      <c r="D1677" t="inlineStr">
        <is>
          <t>NON-NIL</t>
        </is>
      </c>
      <c r="E1677" t="n">
        <v>1596</v>
      </c>
    </row>
    <row r="1678">
      <c r="A1678" t="inlineStr">
        <is>
          <t>27BBBBB01678Z5</t>
        </is>
      </c>
      <c r="B1678" t="inlineStr">
        <is>
          <t>Aug-2018</t>
        </is>
      </c>
      <c r="C1678" s="2" t="n">
        <v>43854</v>
      </c>
      <c r="D1678" t="inlineStr">
        <is>
          <t>NIL</t>
        </is>
      </c>
      <c r="E1678" t="n">
        <v>1372</v>
      </c>
    </row>
    <row r="1679">
      <c r="A1679" t="inlineStr">
        <is>
          <t>27BBBBB01679Z5</t>
        </is>
      </c>
      <c r="B1679" t="inlineStr">
        <is>
          <t>Sep-2018</t>
        </is>
      </c>
      <c r="C1679" s="2" t="n">
        <v>44500</v>
      </c>
      <c r="D1679" t="inlineStr">
        <is>
          <t>NIL</t>
        </is>
      </c>
      <c r="E1679" t="n">
        <v>340</v>
      </c>
    </row>
    <row r="1680">
      <c r="A1680" t="inlineStr">
        <is>
          <t>27BBBBB01680Z5</t>
        </is>
      </c>
      <c r="B1680" t="inlineStr">
        <is>
          <t>Mar-2023</t>
        </is>
      </c>
      <c r="C1680" s="2" t="n">
        <v>43952</v>
      </c>
      <c r="D1680" t="inlineStr">
        <is>
          <t>NIL</t>
        </is>
      </c>
      <c r="E1680" t="n">
        <v>159</v>
      </c>
    </row>
    <row r="1681">
      <c r="A1681" t="inlineStr">
        <is>
          <t>27BBBBB01681Z5</t>
        </is>
      </c>
      <c r="B1681" t="inlineStr">
        <is>
          <t>Oct-2018</t>
        </is>
      </c>
      <c r="C1681" s="2" t="n">
        <v>42953</v>
      </c>
      <c r="D1681" t="inlineStr">
        <is>
          <t>NIL</t>
        </is>
      </c>
      <c r="E1681" t="n">
        <v>2139</v>
      </c>
    </row>
    <row r="1682">
      <c r="A1682" t="inlineStr">
        <is>
          <t>27BBBBB01682Z5</t>
        </is>
      </c>
      <c r="B1682" t="inlineStr">
        <is>
          <t>Jul-2020</t>
        </is>
      </c>
      <c r="C1682" s="2" t="n">
        <v>43867</v>
      </c>
      <c r="D1682" t="inlineStr">
        <is>
          <t>NON-NIL</t>
        </is>
      </c>
      <c r="E1682" t="n">
        <v>2564</v>
      </c>
    </row>
    <row r="1683">
      <c r="A1683" t="inlineStr">
        <is>
          <t>27BBBBB01683Z5</t>
        </is>
      </c>
      <c r="B1683" t="inlineStr">
        <is>
          <t>Nov-2018</t>
        </is>
      </c>
      <c r="C1683" s="2" t="n">
        <v>44489</v>
      </c>
      <c r="D1683" t="inlineStr">
        <is>
          <t>NIL</t>
        </is>
      </c>
      <c r="E1683" t="n">
        <v>1504</v>
      </c>
    </row>
    <row r="1684">
      <c r="A1684" t="inlineStr">
        <is>
          <t>27BBBBB01684Z5</t>
        </is>
      </c>
      <c r="B1684" t="inlineStr">
        <is>
          <t>Mar-2020</t>
        </is>
      </c>
      <c r="C1684" s="2" t="n">
        <v>44696</v>
      </c>
      <c r="D1684" t="inlineStr">
        <is>
          <t>NON-NIL</t>
        </is>
      </c>
      <c r="E1684" t="n">
        <v>2585</v>
      </c>
    </row>
    <row r="1685">
      <c r="A1685" t="inlineStr">
        <is>
          <t>27BBBBB01685Z5</t>
        </is>
      </c>
      <c r="B1685" t="inlineStr">
        <is>
          <t>Mar-2020</t>
        </is>
      </c>
      <c r="C1685" s="2" t="n">
        <v>44211</v>
      </c>
      <c r="D1685" t="inlineStr">
        <is>
          <t>NON-NIL</t>
        </is>
      </c>
      <c r="E1685" t="n">
        <v>747</v>
      </c>
    </row>
    <row r="1686">
      <c r="A1686" t="inlineStr">
        <is>
          <t>27BBBBB01686Z5</t>
        </is>
      </c>
      <c r="B1686" t="inlineStr">
        <is>
          <t>Jun-2018</t>
        </is>
      </c>
      <c r="C1686" s="2" t="n">
        <v>44394</v>
      </c>
      <c r="D1686" t="inlineStr">
        <is>
          <t>NON-NIL</t>
        </is>
      </c>
      <c r="E1686" t="n">
        <v>562</v>
      </c>
    </row>
    <row r="1687">
      <c r="A1687" t="inlineStr">
        <is>
          <t>27BBBBB01687Z5</t>
        </is>
      </c>
      <c r="B1687" t="inlineStr">
        <is>
          <t>Jun-2018</t>
        </is>
      </c>
      <c r="C1687" s="2" t="n">
        <v>43859</v>
      </c>
      <c r="D1687" t="inlineStr">
        <is>
          <t>NON-NIL</t>
        </is>
      </c>
      <c r="E1687" t="n">
        <v>320</v>
      </c>
    </row>
    <row r="1688">
      <c r="A1688" t="inlineStr">
        <is>
          <t>27BBBBB01688Z5</t>
        </is>
      </c>
      <c r="B1688" t="inlineStr">
        <is>
          <t>Jun-2018</t>
        </is>
      </c>
      <c r="C1688" s="2" t="n">
        <v>42974</v>
      </c>
      <c r="D1688" t="inlineStr">
        <is>
          <t>NIL</t>
        </is>
      </c>
      <c r="E1688" t="n">
        <v>768</v>
      </c>
    </row>
    <row r="1689">
      <c r="A1689" t="inlineStr">
        <is>
          <t>27BBBBB01689Z5</t>
        </is>
      </c>
      <c r="B1689" t="inlineStr">
        <is>
          <t>Jun-2018</t>
        </is>
      </c>
      <c r="C1689" s="2" t="n">
        <v>44160</v>
      </c>
      <c r="D1689" t="inlineStr">
        <is>
          <t>NON-NIL</t>
        </is>
      </c>
      <c r="E1689" t="n">
        <v>2193</v>
      </c>
    </row>
    <row r="1690">
      <c r="A1690" t="inlineStr">
        <is>
          <t>27BBBBB01690Z5</t>
        </is>
      </c>
      <c r="B1690" t="inlineStr">
        <is>
          <t>Aug-2017</t>
        </is>
      </c>
      <c r="C1690" s="2" t="n">
        <v>43973</v>
      </c>
      <c r="D1690" t="inlineStr">
        <is>
          <t>NON-NIL</t>
        </is>
      </c>
      <c r="E1690" t="n">
        <v>268</v>
      </c>
    </row>
    <row r="1691">
      <c r="A1691" t="inlineStr">
        <is>
          <t>27BBBBB01691Z5</t>
        </is>
      </c>
      <c r="B1691" t="inlineStr">
        <is>
          <t>Nov-2018</t>
        </is>
      </c>
      <c r="C1691" s="2" t="n">
        <v>43799</v>
      </c>
      <c r="D1691" t="inlineStr">
        <is>
          <t>NIL</t>
        </is>
      </c>
      <c r="E1691" t="n">
        <v>41</v>
      </c>
    </row>
    <row r="1692">
      <c r="A1692" t="inlineStr">
        <is>
          <t>27BBBBB01692Z5</t>
        </is>
      </c>
      <c r="B1692" t="inlineStr">
        <is>
          <t>Mar-2023</t>
        </is>
      </c>
      <c r="C1692" s="2" t="n">
        <v>44501</v>
      </c>
      <c r="D1692" t="inlineStr">
        <is>
          <t>NIL</t>
        </is>
      </c>
      <c r="E1692" t="n">
        <v>1147</v>
      </c>
    </row>
    <row r="1693">
      <c r="A1693" t="inlineStr">
        <is>
          <t>27BBBBB01693Z5</t>
        </is>
      </c>
      <c r="B1693" t="inlineStr">
        <is>
          <t>Nov-2017</t>
        </is>
      </c>
      <c r="C1693" s="2" t="n">
        <v>43246</v>
      </c>
      <c r="D1693" t="inlineStr">
        <is>
          <t>NON-NIL</t>
        </is>
      </c>
      <c r="E1693" t="n">
        <v>2212</v>
      </c>
    </row>
    <row r="1694">
      <c r="A1694" t="inlineStr">
        <is>
          <t>27BBBBB01694Z5</t>
        </is>
      </c>
      <c r="B1694" t="inlineStr">
        <is>
          <t>Jun-2018</t>
        </is>
      </c>
      <c r="C1694" s="2" t="n">
        <v>43361</v>
      </c>
      <c r="D1694" t="inlineStr">
        <is>
          <t>NIL</t>
        </is>
      </c>
      <c r="E1694" t="n">
        <v>507</v>
      </c>
    </row>
    <row r="1695">
      <c r="A1695" t="inlineStr">
        <is>
          <t>27BBBBB01695Z5</t>
        </is>
      </c>
      <c r="B1695" t="inlineStr">
        <is>
          <t>Jul-2020</t>
        </is>
      </c>
      <c r="C1695" s="2" t="n">
        <v>43837</v>
      </c>
      <c r="D1695" t="inlineStr">
        <is>
          <t>NIL</t>
        </is>
      </c>
      <c r="E1695" t="n">
        <v>2916</v>
      </c>
    </row>
    <row r="1696">
      <c r="A1696" t="inlineStr">
        <is>
          <t>27BBBBB01696Z5</t>
        </is>
      </c>
      <c r="B1696" t="inlineStr">
        <is>
          <t>Feb-2018</t>
        </is>
      </c>
      <c r="C1696" s="2" t="n">
        <v>43365</v>
      </c>
      <c r="D1696" t="inlineStr">
        <is>
          <t>NIL</t>
        </is>
      </c>
      <c r="E1696" t="n">
        <v>39</v>
      </c>
    </row>
    <row r="1697">
      <c r="A1697" t="inlineStr">
        <is>
          <t>27BBBBB01697Z5</t>
        </is>
      </c>
      <c r="B1697" t="inlineStr">
        <is>
          <t>Mar-2020</t>
        </is>
      </c>
      <c r="C1697" s="2" t="n">
        <v>43859</v>
      </c>
      <c r="D1697" t="inlineStr">
        <is>
          <t>NON-NIL</t>
        </is>
      </c>
      <c r="E1697" t="n">
        <v>30</v>
      </c>
    </row>
    <row r="1698">
      <c r="A1698" t="inlineStr">
        <is>
          <t>27BBBBB01698Z5</t>
        </is>
      </c>
      <c r="B1698" t="inlineStr">
        <is>
          <t>Aug-2017</t>
        </is>
      </c>
      <c r="C1698" s="2" t="n">
        <v>43423</v>
      </c>
      <c r="D1698" t="inlineStr">
        <is>
          <t>NON-NIL</t>
        </is>
      </c>
      <c r="E1698" t="n">
        <v>1721</v>
      </c>
    </row>
    <row r="1699">
      <c r="A1699" t="inlineStr">
        <is>
          <t>27BBBBB01699Z5</t>
        </is>
      </c>
      <c r="B1699" t="inlineStr">
        <is>
          <t>Jun-2018</t>
        </is>
      </c>
      <c r="C1699" s="2" t="n">
        <v>44051</v>
      </c>
      <c r="D1699" t="inlineStr">
        <is>
          <t>NON-NIL</t>
        </is>
      </c>
      <c r="E1699" t="n">
        <v>2688</v>
      </c>
    </row>
    <row r="1700">
      <c r="A1700" t="inlineStr">
        <is>
          <t>27BBBBB01700Z5</t>
        </is>
      </c>
      <c r="B1700" t="inlineStr">
        <is>
          <t>Mar-2020</t>
        </is>
      </c>
      <c r="C1700" s="2" t="n">
        <v>43863</v>
      </c>
      <c r="D1700" t="inlineStr">
        <is>
          <t>NIL</t>
        </is>
      </c>
      <c r="E1700" t="n">
        <v>1245</v>
      </c>
    </row>
    <row r="1701">
      <c r="A1701" t="inlineStr">
        <is>
          <t>27BBBBB01701Z5</t>
        </is>
      </c>
      <c r="B1701" t="inlineStr">
        <is>
          <t>Aug-2017</t>
        </is>
      </c>
      <c r="C1701" s="2" t="n">
        <v>43611</v>
      </c>
      <c r="D1701" t="inlineStr">
        <is>
          <t>NON-NIL</t>
        </is>
      </c>
      <c r="E1701" t="n">
        <v>1363</v>
      </c>
    </row>
    <row r="1702">
      <c r="A1702" t="inlineStr">
        <is>
          <t>27BBBBB01702Z5</t>
        </is>
      </c>
      <c r="B1702" t="inlineStr">
        <is>
          <t>Jan-2021</t>
        </is>
      </c>
      <c r="C1702" s="2" t="n">
        <v>43467</v>
      </c>
      <c r="D1702" t="inlineStr">
        <is>
          <t>NIL</t>
        </is>
      </c>
      <c r="E1702" t="n">
        <v>1441</v>
      </c>
    </row>
    <row r="1703">
      <c r="A1703" t="inlineStr">
        <is>
          <t>27BBBBB01703Z5</t>
        </is>
      </c>
      <c r="B1703" t="inlineStr">
        <is>
          <t>Sep-2018</t>
        </is>
      </c>
      <c r="C1703" s="2" t="n">
        <v>44039</v>
      </c>
      <c r="D1703" t="inlineStr">
        <is>
          <t>NON-NIL</t>
        </is>
      </c>
      <c r="E1703" t="n">
        <v>152</v>
      </c>
    </row>
    <row r="1704">
      <c r="A1704" t="inlineStr">
        <is>
          <t>27BBBBB01704Z5</t>
        </is>
      </c>
      <c r="B1704" t="inlineStr">
        <is>
          <t>Jun-2020</t>
        </is>
      </c>
      <c r="C1704" s="2" t="n">
        <v>43926</v>
      </c>
      <c r="D1704" t="inlineStr">
        <is>
          <t>NON-NIL</t>
        </is>
      </c>
      <c r="E1704" t="n">
        <v>2500</v>
      </c>
    </row>
    <row r="1705">
      <c r="A1705" t="inlineStr">
        <is>
          <t>27BBBBB01705Z5</t>
        </is>
      </c>
      <c r="B1705" t="inlineStr">
        <is>
          <t>Aug-2017</t>
        </is>
      </c>
      <c r="C1705" s="2" t="n">
        <v>43209</v>
      </c>
      <c r="D1705" t="inlineStr">
        <is>
          <t>NON-NIL</t>
        </is>
      </c>
      <c r="E1705" t="n">
        <v>2465</v>
      </c>
    </row>
    <row r="1706">
      <c r="A1706" t="inlineStr">
        <is>
          <t>27BBBBB01706Z5</t>
        </is>
      </c>
      <c r="B1706" t="inlineStr">
        <is>
          <t>Mar-2020</t>
        </is>
      </c>
      <c r="C1706" s="2" t="n">
        <v>43845</v>
      </c>
      <c r="D1706" t="inlineStr">
        <is>
          <t>NON-NIL</t>
        </is>
      </c>
      <c r="E1706" t="n">
        <v>1601</v>
      </c>
    </row>
    <row r="1707">
      <c r="A1707" t="inlineStr">
        <is>
          <t>27BBBBB01707Z5</t>
        </is>
      </c>
      <c r="B1707" t="inlineStr">
        <is>
          <t>Jan-2018</t>
        </is>
      </c>
      <c r="C1707" s="2" t="n">
        <v>43725</v>
      </c>
      <c r="D1707" t="inlineStr">
        <is>
          <t>NIL</t>
        </is>
      </c>
      <c r="E1707" t="n">
        <v>2436</v>
      </c>
    </row>
    <row r="1708">
      <c r="A1708" t="inlineStr">
        <is>
          <t>27BBBBB01708Z5</t>
        </is>
      </c>
      <c r="B1708" t="inlineStr">
        <is>
          <t>Mar-2021</t>
        </is>
      </c>
      <c r="C1708" s="2" t="n">
        <v>45822</v>
      </c>
      <c r="D1708" t="inlineStr">
        <is>
          <t>NIL</t>
        </is>
      </c>
      <c r="E1708" t="n">
        <v>2114</v>
      </c>
    </row>
    <row r="1709">
      <c r="A1709" t="inlineStr">
        <is>
          <t>27BBBBB01709Z5</t>
        </is>
      </c>
      <c r="B1709" t="inlineStr">
        <is>
          <t>Mar-2021</t>
        </is>
      </c>
      <c r="C1709" s="2" t="n">
        <v>44256</v>
      </c>
      <c r="D1709" t="inlineStr">
        <is>
          <t>NON-NIL</t>
        </is>
      </c>
      <c r="E1709" t="n">
        <v>1092</v>
      </c>
    </row>
    <row r="1710">
      <c r="A1710" t="inlineStr">
        <is>
          <t>27BBBBB01710Z5</t>
        </is>
      </c>
      <c r="B1710" t="inlineStr">
        <is>
          <t>Nov-2018</t>
        </is>
      </c>
      <c r="C1710" s="2" t="n">
        <v>44461</v>
      </c>
      <c r="D1710" t="inlineStr">
        <is>
          <t>NIL</t>
        </is>
      </c>
      <c r="E1710" t="n">
        <v>1558</v>
      </c>
    </row>
    <row r="1711">
      <c r="A1711" t="inlineStr">
        <is>
          <t>27BBBBB01711Z5</t>
        </is>
      </c>
      <c r="B1711" t="inlineStr">
        <is>
          <t>Nov-2017</t>
        </is>
      </c>
      <c r="C1711" s="2" t="n">
        <v>43753</v>
      </c>
      <c r="D1711" t="inlineStr">
        <is>
          <t>NON-NIL</t>
        </is>
      </c>
      <c r="E1711" t="n">
        <v>325</v>
      </c>
    </row>
    <row r="1712">
      <c r="A1712" t="inlineStr">
        <is>
          <t>27BBBBB01712Z5</t>
        </is>
      </c>
      <c r="B1712" t="inlineStr">
        <is>
          <t>Aug-2018</t>
        </is>
      </c>
      <c r="C1712" s="2" t="n">
        <v>44351</v>
      </c>
      <c r="D1712" t="inlineStr">
        <is>
          <t>NIL</t>
        </is>
      </c>
      <c r="E1712" t="n">
        <v>1592</v>
      </c>
    </row>
    <row r="1713">
      <c r="A1713" t="inlineStr">
        <is>
          <t>27BBBBB01713Z5</t>
        </is>
      </c>
      <c r="B1713" t="inlineStr">
        <is>
          <t>Sep-2018</t>
        </is>
      </c>
      <c r="C1713" s="2" t="n">
        <v>44292</v>
      </c>
      <c r="D1713" t="inlineStr">
        <is>
          <t>NON-NIL</t>
        </is>
      </c>
      <c r="E1713" t="n">
        <v>272</v>
      </c>
    </row>
    <row r="1714">
      <c r="A1714" t="inlineStr">
        <is>
          <t>27BBBBB01714Z5</t>
        </is>
      </c>
      <c r="B1714" t="inlineStr">
        <is>
          <t>Sep-2018</t>
        </is>
      </c>
      <c r="C1714" s="2" t="n">
        <v>44369</v>
      </c>
      <c r="D1714" t="inlineStr">
        <is>
          <t>NON-NIL</t>
        </is>
      </c>
      <c r="E1714" t="n">
        <v>1303</v>
      </c>
    </row>
    <row r="1715">
      <c r="A1715" t="inlineStr">
        <is>
          <t>27BBBBB01715Z5</t>
        </is>
      </c>
      <c r="B1715" t="inlineStr">
        <is>
          <t>Dec-2017</t>
        </is>
      </c>
      <c r="C1715" s="2" t="n">
        <v>44141</v>
      </c>
      <c r="D1715" t="inlineStr">
        <is>
          <t>NON-NIL</t>
        </is>
      </c>
      <c r="E1715" t="n">
        <v>2932</v>
      </c>
    </row>
    <row r="1716">
      <c r="A1716" t="inlineStr">
        <is>
          <t>27BBBBB01716Z5</t>
        </is>
      </c>
      <c r="B1716" t="inlineStr">
        <is>
          <t>Jun-2020</t>
        </is>
      </c>
      <c r="C1716" s="2" t="n">
        <v>44443</v>
      </c>
      <c r="D1716" t="inlineStr">
        <is>
          <t>NIL</t>
        </is>
      </c>
      <c r="E1716" t="n">
        <v>2821</v>
      </c>
    </row>
    <row r="1717">
      <c r="A1717" t="inlineStr">
        <is>
          <t>27BBBBB01717Z5</t>
        </is>
      </c>
      <c r="B1717" t="inlineStr">
        <is>
          <t>Jul-2018</t>
        </is>
      </c>
      <c r="C1717" s="2" t="n">
        <v>44192</v>
      </c>
      <c r="D1717" t="inlineStr">
        <is>
          <t>NIL</t>
        </is>
      </c>
      <c r="E1717" t="n">
        <v>1464</v>
      </c>
    </row>
    <row r="1718">
      <c r="A1718" t="inlineStr">
        <is>
          <t>27BBBBB01718Z5</t>
        </is>
      </c>
      <c r="B1718" t="inlineStr">
        <is>
          <t>Dec-2024</t>
        </is>
      </c>
      <c r="C1718" s="2" t="n">
        <v>44580</v>
      </c>
      <c r="D1718" t="inlineStr">
        <is>
          <t>NON-NIL</t>
        </is>
      </c>
      <c r="E1718" t="n">
        <v>2211</v>
      </c>
    </row>
    <row r="1719">
      <c r="A1719" t="inlineStr">
        <is>
          <t>27BBBBB01719Z5</t>
        </is>
      </c>
      <c r="B1719" t="inlineStr">
        <is>
          <t>Dec-2018</t>
        </is>
      </c>
      <c r="C1719" s="2" t="n">
        <v>44409</v>
      </c>
      <c r="D1719" t="inlineStr">
        <is>
          <t>NIL</t>
        </is>
      </c>
      <c r="E1719" t="n">
        <v>2750</v>
      </c>
    </row>
    <row r="1720">
      <c r="A1720" t="inlineStr">
        <is>
          <t>27BBBBB01720Z5</t>
        </is>
      </c>
      <c r="B1720" t="inlineStr">
        <is>
          <t>May-2020</t>
        </is>
      </c>
      <c r="C1720" s="2" t="n">
        <v>44373</v>
      </c>
      <c r="D1720" t="inlineStr">
        <is>
          <t>NIL</t>
        </is>
      </c>
      <c r="E1720" t="n">
        <v>2826</v>
      </c>
    </row>
    <row r="1721">
      <c r="A1721" t="inlineStr">
        <is>
          <t>27BBBBB01721Z5</t>
        </is>
      </c>
      <c r="B1721" t="inlineStr">
        <is>
          <t>Nov-2017</t>
        </is>
      </c>
      <c r="C1721" s="2" t="n">
        <v>43445</v>
      </c>
      <c r="D1721" t="inlineStr">
        <is>
          <t>NON-NIL</t>
        </is>
      </c>
      <c r="E1721" t="n">
        <v>671</v>
      </c>
    </row>
    <row r="1722">
      <c r="A1722" t="inlineStr">
        <is>
          <t>27BBBBB01722Z5</t>
        </is>
      </c>
      <c r="B1722" t="inlineStr">
        <is>
          <t>Dec-2022</t>
        </is>
      </c>
      <c r="C1722" s="2" t="n">
        <v>45287</v>
      </c>
      <c r="D1722" t="inlineStr">
        <is>
          <t>NON-NIL</t>
        </is>
      </c>
      <c r="E1722" t="n">
        <v>145</v>
      </c>
    </row>
    <row r="1723">
      <c r="A1723" t="inlineStr">
        <is>
          <t>27BBBBB01723Z5</t>
        </is>
      </c>
      <c r="B1723" t="inlineStr">
        <is>
          <t>Jun-2018</t>
        </is>
      </c>
      <c r="C1723" s="2" t="n">
        <v>42995</v>
      </c>
      <c r="D1723" t="inlineStr">
        <is>
          <t>NON-NIL</t>
        </is>
      </c>
      <c r="E1723" t="n">
        <v>1383</v>
      </c>
    </row>
    <row r="1724">
      <c r="A1724" t="inlineStr">
        <is>
          <t>27BBBBB01724Z5</t>
        </is>
      </c>
      <c r="B1724" t="inlineStr">
        <is>
          <t>May-2018</t>
        </is>
      </c>
      <c r="C1724" s="2" t="n">
        <v>43000</v>
      </c>
      <c r="D1724" t="inlineStr">
        <is>
          <t>NON-NIL</t>
        </is>
      </c>
      <c r="E1724" t="n">
        <v>1761</v>
      </c>
    </row>
    <row r="1725">
      <c r="A1725" t="inlineStr">
        <is>
          <t>27BBBBB01725Z5</t>
        </is>
      </c>
      <c r="B1725" t="inlineStr">
        <is>
          <t>Dec-2017</t>
        </is>
      </c>
      <c r="C1725" s="2" t="n">
        <v>43460</v>
      </c>
      <c r="D1725" t="inlineStr">
        <is>
          <t>NON-NIL</t>
        </is>
      </c>
      <c r="E1725" t="n">
        <v>2188</v>
      </c>
    </row>
    <row r="1726">
      <c r="A1726" t="inlineStr">
        <is>
          <t>27BBBBB01726Z5</t>
        </is>
      </c>
      <c r="B1726" t="inlineStr">
        <is>
          <t>Sep-2017</t>
        </is>
      </c>
      <c r="C1726" s="2" t="n">
        <v>44030</v>
      </c>
      <c r="D1726" t="inlineStr">
        <is>
          <t>NON-NIL</t>
        </is>
      </c>
      <c r="E1726" t="n">
        <v>1810</v>
      </c>
    </row>
    <row r="1727">
      <c r="A1727" t="inlineStr">
        <is>
          <t>27BBBBB01727Z5</t>
        </is>
      </c>
      <c r="B1727" t="inlineStr">
        <is>
          <t>Nov-2018</t>
        </is>
      </c>
      <c r="C1727" s="2" t="n">
        <v>44128</v>
      </c>
      <c r="D1727" t="inlineStr">
        <is>
          <t>NON-NIL</t>
        </is>
      </c>
      <c r="E1727" t="n">
        <v>102</v>
      </c>
    </row>
    <row r="1728">
      <c r="A1728" t="inlineStr">
        <is>
          <t>27BBBBB01728Z5</t>
        </is>
      </c>
      <c r="B1728" t="inlineStr">
        <is>
          <t>Oct-2017</t>
        </is>
      </c>
      <c r="C1728" s="2" t="n">
        <v>43379</v>
      </c>
      <c r="D1728" t="inlineStr">
        <is>
          <t>NIL</t>
        </is>
      </c>
      <c r="E1728" t="n">
        <v>2363</v>
      </c>
    </row>
    <row r="1729">
      <c r="A1729" t="inlineStr">
        <is>
          <t>27BBBBB01729Z5</t>
        </is>
      </c>
      <c r="B1729" t="inlineStr">
        <is>
          <t>Jan-2018</t>
        </is>
      </c>
      <c r="C1729" s="2" t="n">
        <v>43993</v>
      </c>
      <c r="D1729" t="inlineStr">
        <is>
          <t>NON-NIL</t>
        </is>
      </c>
      <c r="E1729" t="n">
        <v>254</v>
      </c>
    </row>
    <row r="1730">
      <c r="A1730" t="inlineStr">
        <is>
          <t>27BBBBB01730Z5</t>
        </is>
      </c>
      <c r="B1730" t="inlineStr">
        <is>
          <t>Sep-2018</t>
        </is>
      </c>
      <c r="C1730" s="2" t="n">
        <v>43487</v>
      </c>
      <c r="D1730" t="inlineStr">
        <is>
          <t>NIL</t>
        </is>
      </c>
      <c r="E1730" t="n">
        <v>1223</v>
      </c>
    </row>
    <row r="1731">
      <c r="A1731" t="inlineStr">
        <is>
          <t>27BBBBB01731Z5</t>
        </is>
      </c>
      <c r="B1731" t="inlineStr">
        <is>
          <t>Dec-2017</t>
        </is>
      </c>
      <c r="C1731" s="2" t="n">
        <v>42961</v>
      </c>
      <c r="D1731" t="inlineStr">
        <is>
          <t>NIL</t>
        </is>
      </c>
      <c r="E1731" t="n">
        <v>986</v>
      </c>
    </row>
    <row r="1732">
      <c r="A1732" t="inlineStr">
        <is>
          <t>27BBBBB01732Z5</t>
        </is>
      </c>
      <c r="B1732" t="inlineStr">
        <is>
          <t>Mar-2018</t>
        </is>
      </c>
      <c r="C1732" s="2" t="n">
        <v>44193</v>
      </c>
      <c r="D1732" t="inlineStr">
        <is>
          <t>NON-NIL</t>
        </is>
      </c>
      <c r="E1732" t="n">
        <v>867</v>
      </c>
    </row>
    <row r="1733">
      <c r="A1733" t="inlineStr">
        <is>
          <t>27BBBBB01733Z5</t>
        </is>
      </c>
      <c r="B1733" t="inlineStr">
        <is>
          <t>Dec-2018</t>
        </is>
      </c>
      <c r="C1733" s="2" t="n">
        <v>44447</v>
      </c>
      <c r="D1733" t="inlineStr">
        <is>
          <t>NIL</t>
        </is>
      </c>
      <c r="E1733" t="n">
        <v>2235</v>
      </c>
    </row>
    <row r="1734">
      <c r="A1734" t="inlineStr">
        <is>
          <t>27BBBBB01734Z5</t>
        </is>
      </c>
      <c r="B1734" t="inlineStr">
        <is>
          <t>Jun-2020</t>
        </is>
      </c>
      <c r="C1734" s="2" t="n">
        <v>43984</v>
      </c>
      <c r="D1734" t="inlineStr">
        <is>
          <t>NON-NIL</t>
        </is>
      </c>
      <c r="E1734" t="n">
        <v>68</v>
      </c>
    </row>
    <row r="1735">
      <c r="A1735" t="inlineStr">
        <is>
          <t>27BBBBB01735Z5</t>
        </is>
      </c>
      <c r="B1735" t="inlineStr">
        <is>
          <t>Apr-2018</t>
        </is>
      </c>
      <c r="C1735" s="2" t="n">
        <v>43716</v>
      </c>
      <c r="D1735" t="inlineStr">
        <is>
          <t>NIL</t>
        </is>
      </c>
      <c r="E1735" t="n">
        <v>1277</v>
      </c>
    </row>
    <row r="1736">
      <c r="A1736" t="inlineStr">
        <is>
          <t>27BBBBB01736Z5</t>
        </is>
      </c>
      <c r="B1736" t="inlineStr">
        <is>
          <t>Oct-2018</t>
        </is>
      </c>
      <c r="C1736" s="2" t="n">
        <v>44008</v>
      </c>
      <c r="D1736" t="inlineStr">
        <is>
          <t>NON-NIL</t>
        </is>
      </c>
      <c r="E1736" t="n">
        <v>2815</v>
      </c>
    </row>
    <row r="1737">
      <c r="A1737" t="inlineStr">
        <is>
          <t>27BBBBB01737Z5</t>
        </is>
      </c>
      <c r="B1737" t="inlineStr">
        <is>
          <t>Jan-2021</t>
        </is>
      </c>
      <c r="C1737" s="2" t="n">
        <v>44268</v>
      </c>
      <c r="D1737" t="inlineStr">
        <is>
          <t>NON-NIL</t>
        </is>
      </c>
      <c r="E1737" t="n">
        <v>1802</v>
      </c>
    </row>
    <row r="1738">
      <c r="A1738" t="inlineStr">
        <is>
          <t>27BBBBB01738Z5</t>
        </is>
      </c>
      <c r="B1738" t="inlineStr">
        <is>
          <t>Mar-2021</t>
        </is>
      </c>
      <c r="C1738" s="2" t="n">
        <v>44223</v>
      </c>
      <c r="D1738" t="inlineStr">
        <is>
          <t>NIL</t>
        </is>
      </c>
      <c r="E1738" t="n">
        <v>1681</v>
      </c>
    </row>
    <row r="1739">
      <c r="A1739" t="inlineStr">
        <is>
          <t>27BBBBB01739Z5</t>
        </is>
      </c>
      <c r="B1739" t="inlineStr">
        <is>
          <t>Jun-2020</t>
        </is>
      </c>
      <c r="C1739" s="2" t="n">
        <v>44163</v>
      </c>
      <c r="D1739" t="inlineStr">
        <is>
          <t>NON-NIL</t>
        </is>
      </c>
      <c r="E1739" t="n">
        <v>930</v>
      </c>
    </row>
    <row r="1740">
      <c r="A1740" t="inlineStr">
        <is>
          <t>27BBBBB01740Z5</t>
        </is>
      </c>
      <c r="B1740" t="inlineStr">
        <is>
          <t>Feb-2018</t>
        </is>
      </c>
      <c r="C1740" s="2" t="n">
        <v>43014</v>
      </c>
      <c r="D1740" t="inlineStr">
        <is>
          <t>NIL</t>
        </is>
      </c>
      <c r="E1740" t="n">
        <v>990</v>
      </c>
    </row>
    <row r="1741">
      <c r="A1741" t="inlineStr">
        <is>
          <t>27BBBBB01741Z5</t>
        </is>
      </c>
      <c r="B1741" t="inlineStr">
        <is>
          <t>Apr-2018</t>
        </is>
      </c>
      <c r="C1741" s="2" t="n">
        <v>43569</v>
      </c>
      <c r="D1741" t="inlineStr">
        <is>
          <t>NON-NIL</t>
        </is>
      </c>
      <c r="E1741" t="n">
        <v>1269</v>
      </c>
    </row>
    <row r="1742">
      <c r="A1742" t="inlineStr">
        <is>
          <t>27BBBBB01742Z5</t>
        </is>
      </c>
      <c r="B1742" t="inlineStr">
        <is>
          <t>Jul-2018</t>
        </is>
      </c>
      <c r="C1742" s="2" t="n">
        <v>44259</v>
      </c>
      <c r="D1742" t="inlineStr">
        <is>
          <t>NON-NIL</t>
        </is>
      </c>
      <c r="E1742" t="n">
        <v>1019</v>
      </c>
    </row>
    <row r="1743">
      <c r="A1743" t="inlineStr">
        <is>
          <t>27BBBBB01743Z5</t>
        </is>
      </c>
      <c r="B1743" t="inlineStr">
        <is>
          <t>Mar-2021</t>
        </is>
      </c>
      <c r="C1743" s="2" t="n">
        <v>44197</v>
      </c>
      <c r="D1743" t="inlineStr">
        <is>
          <t>NIL</t>
        </is>
      </c>
      <c r="E1743" t="n">
        <v>172</v>
      </c>
    </row>
    <row r="1744">
      <c r="A1744" t="inlineStr">
        <is>
          <t>27BBBBB01744Z5</t>
        </is>
      </c>
      <c r="B1744" t="inlineStr">
        <is>
          <t>Dec-2024</t>
        </is>
      </c>
      <c r="C1744" s="2" t="n">
        <v>44784</v>
      </c>
      <c r="D1744" t="inlineStr">
        <is>
          <t>NON-NIL</t>
        </is>
      </c>
      <c r="E1744" t="n">
        <v>2462</v>
      </c>
    </row>
    <row r="1745">
      <c r="A1745" t="inlineStr">
        <is>
          <t>27BBBBB01745Z5</t>
        </is>
      </c>
      <c r="B1745" t="inlineStr">
        <is>
          <t>Jul-2018</t>
        </is>
      </c>
      <c r="C1745" s="2" t="n">
        <v>44068</v>
      </c>
      <c r="D1745" t="inlineStr">
        <is>
          <t>NON-NIL</t>
        </is>
      </c>
      <c r="E1745" t="n">
        <v>416</v>
      </c>
    </row>
    <row r="1746">
      <c r="A1746" t="inlineStr">
        <is>
          <t>27BBBBB01746Z5</t>
        </is>
      </c>
      <c r="B1746" t="inlineStr">
        <is>
          <t>Oct-2018</t>
        </is>
      </c>
      <c r="C1746" s="2" t="n">
        <v>43860</v>
      </c>
      <c r="D1746" t="inlineStr">
        <is>
          <t>NIL</t>
        </is>
      </c>
      <c r="E1746" t="n">
        <v>234</v>
      </c>
    </row>
    <row r="1747">
      <c r="A1747" t="inlineStr">
        <is>
          <t>27BBBBB01747Z5</t>
        </is>
      </c>
      <c r="B1747" t="inlineStr">
        <is>
          <t>Dec-2022</t>
        </is>
      </c>
      <c r="C1747" s="2" t="n">
        <v>45400</v>
      </c>
      <c r="D1747" t="inlineStr">
        <is>
          <t>NIL</t>
        </is>
      </c>
      <c r="E1747" t="n">
        <v>2346</v>
      </c>
    </row>
    <row r="1748">
      <c r="A1748" t="inlineStr">
        <is>
          <t>27BBBBB01748Z5</t>
        </is>
      </c>
      <c r="B1748" t="inlineStr">
        <is>
          <t>Apr-2020</t>
        </is>
      </c>
      <c r="C1748" s="2" t="n">
        <v>43986</v>
      </c>
      <c r="D1748" t="inlineStr">
        <is>
          <t>NON-NIL</t>
        </is>
      </c>
      <c r="E1748" t="n">
        <v>1625</v>
      </c>
    </row>
    <row r="1749">
      <c r="A1749" t="inlineStr">
        <is>
          <t>27BBBBB01749Z5</t>
        </is>
      </c>
      <c r="B1749" t="inlineStr">
        <is>
          <t>Sep-2018</t>
        </is>
      </c>
      <c r="C1749" s="2" t="n">
        <v>43775</v>
      </c>
      <c r="D1749" t="inlineStr">
        <is>
          <t>NIL</t>
        </is>
      </c>
      <c r="E1749" t="n">
        <v>1906</v>
      </c>
    </row>
    <row r="1750">
      <c r="A1750" t="inlineStr">
        <is>
          <t>27BBBBB01750Z5</t>
        </is>
      </c>
      <c r="B1750" t="inlineStr">
        <is>
          <t>Jul-2017</t>
        </is>
      </c>
      <c r="C1750" s="2" t="n">
        <v>44139</v>
      </c>
      <c r="D1750" t="inlineStr">
        <is>
          <t>NON-NIL</t>
        </is>
      </c>
      <c r="E1750" t="n">
        <v>483</v>
      </c>
    </row>
    <row r="1751">
      <c r="A1751" t="inlineStr">
        <is>
          <t>27BBBBB01751Z5</t>
        </is>
      </c>
      <c r="B1751" t="inlineStr">
        <is>
          <t>Sep-2017</t>
        </is>
      </c>
      <c r="C1751" s="2" t="n">
        <v>44457</v>
      </c>
      <c r="D1751" t="inlineStr">
        <is>
          <t>NIL</t>
        </is>
      </c>
      <c r="E1751" t="n">
        <v>882</v>
      </c>
    </row>
    <row r="1752">
      <c r="A1752" t="inlineStr">
        <is>
          <t>27BBBBB01752Z5</t>
        </is>
      </c>
      <c r="B1752" t="inlineStr">
        <is>
          <t>Jul-2020</t>
        </is>
      </c>
      <c r="C1752" s="2" t="n">
        <v>44550</v>
      </c>
      <c r="D1752" t="inlineStr">
        <is>
          <t>NON-NIL</t>
        </is>
      </c>
      <c r="E1752" t="n">
        <v>2986</v>
      </c>
    </row>
    <row r="1753">
      <c r="A1753" t="inlineStr">
        <is>
          <t>27BBBBB01753Z5</t>
        </is>
      </c>
      <c r="B1753" t="inlineStr">
        <is>
          <t>Dec-2017</t>
        </is>
      </c>
      <c r="C1753" s="2" t="n">
        <v>43569</v>
      </c>
      <c r="D1753" t="inlineStr">
        <is>
          <t>NON-NIL</t>
        </is>
      </c>
      <c r="E1753" t="n">
        <v>2839</v>
      </c>
    </row>
    <row r="1754">
      <c r="A1754" t="inlineStr">
        <is>
          <t>27BBBBB01754Z5</t>
        </is>
      </c>
      <c r="B1754" t="inlineStr">
        <is>
          <t>Jul-2018</t>
        </is>
      </c>
      <c r="C1754" s="2" t="n">
        <v>43189</v>
      </c>
      <c r="D1754" t="inlineStr">
        <is>
          <t>NIL</t>
        </is>
      </c>
      <c r="E1754" t="n">
        <v>232</v>
      </c>
    </row>
    <row r="1755">
      <c r="A1755" t="inlineStr">
        <is>
          <t>27BBBBB01755Z5</t>
        </is>
      </c>
      <c r="B1755" t="inlineStr">
        <is>
          <t>Jan-2021</t>
        </is>
      </c>
      <c r="C1755" s="2" t="n">
        <v>43603</v>
      </c>
      <c r="D1755" t="inlineStr">
        <is>
          <t>NIL</t>
        </is>
      </c>
      <c r="E1755" t="n">
        <v>2157</v>
      </c>
    </row>
    <row r="1756">
      <c r="A1756" t="inlineStr">
        <is>
          <t>27BBBBB01756Z5</t>
        </is>
      </c>
      <c r="B1756" t="inlineStr">
        <is>
          <t>Jul-2017</t>
        </is>
      </c>
      <c r="C1756" s="2" t="n">
        <v>43626</v>
      </c>
      <c r="D1756" t="inlineStr">
        <is>
          <t>NON-NIL</t>
        </is>
      </c>
      <c r="E1756" t="n">
        <v>2418</v>
      </c>
    </row>
    <row r="1757">
      <c r="A1757" t="inlineStr">
        <is>
          <t>27BBBBB01757Z5</t>
        </is>
      </c>
      <c r="B1757" t="inlineStr">
        <is>
          <t>Jul-2020</t>
        </is>
      </c>
      <c r="C1757" s="2" t="n">
        <v>44534</v>
      </c>
      <c r="D1757" t="inlineStr">
        <is>
          <t>NON-NIL</t>
        </is>
      </c>
      <c r="E1757" t="n">
        <v>95</v>
      </c>
    </row>
    <row r="1758">
      <c r="A1758" t="inlineStr">
        <is>
          <t>27BBBBB01758Z5</t>
        </is>
      </c>
      <c r="B1758" t="inlineStr">
        <is>
          <t>Jul-2017</t>
        </is>
      </c>
      <c r="C1758" s="2" t="n">
        <v>43029</v>
      </c>
      <c r="D1758" t="inlineStr">
        <is>
          <t>NON-NIL</t>
        </is>
      </c>
      <c r="E1758" t="n">
        <v>1219</v>
      </c>
    </row>
    <row r="1759">
      <c r="A1759" t="inlineStr">
        <is>
          <t>27BBBBB01759Z5</t>
        </is>
      </c>
      <c r="B1759" t="inlineStr">
        <is>
          <t>Mar-2018</t>
        </is>
      </c>
      <c r="C1759" s="2" t="n">
        <v>43067</v>
      </c>
      <c r="D1759" t="inlineStr">
        <is>
          <t>NON-NIL</t>
        </is>
      </c>
      <c r="E1759" t="n">
        <v>1746</v>
      </c>
    </row>
    <row r="1760">
      <c r="A1760" t="inlineStr">
        <is>
          <t>27BBBBB01760Z5</t>
        </is>
      </c>
      <c r="B1760" t="inlineStr">
        <is>
          <t>Dec-2024</t>
        </is>
      </c>
      <c r="C1760" s="2" t="n">
        <v>45031</v>
      </c>
      <c r="D1760" t="inlineStr">
        <is>
          <t>NIL</t>
        </is>
      </c>
      <c r="E1760" t="n">
        <v>169</v>
      </c>
    </row>
    <row r="1761">
      <c r="A1761" t="inlineStr">
        <is>
          <t>27BBBBB01761Z5</t>
        </is>
      </c>
      <c r="B1761" t="inlineStr">
        <is>
          <t>Jun-2018</t>
        </is>
      </c>
      <c r="C1761" s="2" t="n">
        <v>44406</v>
      </c>
      <c r="D1761" t="inlineStr">
        <is>
          <t>NON-NIL</t>
        </is>
      </c>
      <c r="E1761" t="n">
        <v>640</v>
      </c>
    </row>
    <row r="1762">
      <c r="A1762" t="inlineStr">
        <is>
          <t>27BBBBB01762Z5</t>
        </is>
      </c>
      <c r="B1762" t="inlineStr">
        <is>
          <t>Oct-2018</t>
        </is>
      </c>
      <c r="C1762" s="2" t="n">
        <v>43680</v>
      </c>
      <c r="D1762" t="inlineStr">
        <is>
          <t>NON-NIL</t>
        </is>
      </c>
      <c r="E1762" t="n">
        <v>633</v>
      </c>
    </row>
    <row r="1763">
      <c r="A1763" t="inlineStr">
        <is>
          <t>27BBBBB01763Z5</t>
        </is>
      </c>
      <c r="B1763" t="inlineStr">
        <is>
          <t>Dec-2022</t>
        </is>
      </c>
      <c r="C1763" s="2" t="n">
        <v>44233</v>
      </c>
      <c r="D1763" t="inlineStr">
        <is>
          <t>NIL</t>
        </is>
      </c>
      <c r="E1763" t="n">
        <v>670</v>
      </c>
    </row>
    <row r="1764">
      <c r="A1764" t="inlineStr">
        <is>
          <t>27BBBBB01764Z5</t>
        </is>
      </c>
      <c r="B1764" t="inlineStr">
        <is>
          <t>Oct-2017</t>
        </is>
      </c>
      <c r="C1764" s="2" t="n">
        <v>43840</v>
      </c>
      <c r="D1764" t="inlineStr">
        <is>
          <t>NON-NIL</t>
        </is>
      </c>
      <c r="E1764" t="n">
        <v>2214</v>
      </c>
    </row>
    <row r="1765">
      <c r="A1765" t="inlineStr">
        <is>
          <t>27BBBBB01765Z5</t>
        </is>
      </c>
      <c r="B1765" t="inlineStr">
        <is>
          <t>Mar-2020</t>
        </is>
      </c>
      <c r="C1765" s="2" t="n">
        <v>44197</v>
      </c>
      <c r="D1765" t="inlineStr">
        <is>
          <t>NIL</t>
        </is>
      </c>
      <c r="E1765" t="n">
        <v>2311</v>
      </c>
    </row>
    <row r="1766">
      <c r="A1766" t="inlineStr">
        <is>
          <t>27BBBBB01766Z5</t>
        </is>
      </c>
      <c r="B1766" t="inlineStr">
        <is>
          <t>Jul-2020</t>
        </is>
      </c>
      <c r="C1766" s="2" t="n">
        <v>43875</v>
      </c>
      <c r="D1766" t="inlineStr">
        <is>
          <t>NON-NIL</t>
        </is>
      </c>
      <c r="E1766" t="n">
        <v>794</v>
      </c>
    </row>
    <row r="1767">
      <c r="A1767" t="inlineStr">
        <is>
          <t>27BBBBB01767Z5</t>
        </is>
      </c>
      <c r="B1767" t="inlineStr">
        <is>
          <t>Sep-2018</t>
        </is>
      </c>
      <c r="C1767" s="2" t="n">
        <v>42976</v>
      </c>
      <c r="D1767" t="inlineStr">
        <is>
          <t>NIL</t>
        </is>
      </c>
      <c r="E1767" t="n">
        <v>929</v>
      </c>
    </row>
    <row r="1768">
      <c r="A1768" t="inlineStr">
        <is>
          <t>27BBBBB01768Z5</t>
        </is>
      </c>
      <c r="B1768" t="inlineStr">
        <is>
          <t>May-2020</t>
        </is>
      </c>
      <c r="C1768" s="2" t="n">
        <v>44810</v>
      </c>
      <c r="D1768" t="inlineStr">
        <is>
          <t>NON-NIL</t>
        </is>
      </c>
      <c r="E1768" t="n">
        <v>2877</v>
      </c>
    </row>
    <row r="1769">
      <c r="A1769" t="inlineStr">
        <is>
          <t>27BBBBB01769Z5</t>
        </is>
      </c>
      <c r="B1769" t="inlineStr">
        <is>
          <t>Jan-2021</t>
        </is>
      </c>
      <c r="C1769" s="2" t="n">
        <v>43584</v>
      </c>
      <c r="D1769" t="inlineStr">
        <is>
          <t>NON-NIL</t>
        </is>
      </c>
      <c r="E1769" t="n">
        <v>756</v>
      </c>
    </row>
    <row r="1770">
      <c r="A1770" t="inlineStr">
        <is>
          <t>27BBBBB01770Z5</t>
        </is>
      </c>
      <c r="B1770" t="inlineStr">
        <is>
          <t>Jul-2017</t>
        </is>
      </c>
      <c r="C1770" s="2" t="n">
        <v>44292</v>
      </c>
      <c r="D1770" t="inlineStr">
        <is>
          <t>NIL</t>
        </is>
      </c>
      <c r="E1770" t="n">
        <v>625</v>
      </c>
    </row>
    <row r="1771">
      <c r="A1771" t="inlineStr">
        <is>
          <t>27BBBBB01771Z5</t>
        </is>
      </c>
      <c r="B1771" t="inlineStr">
        <is>
          <t>Jan-2021</t>
        </is>
      </c>
      <c r="C1771" s="2" t="n">
        <v>44609</v>
      </c>
      <c r="D1771" t="inlineStr">
        <is>
          <t>NIL</t>
        </is>
      </c>
      <c r="E1771" t="n">
        <v>576</v>
      </c>
    </row>
    <row r="1772">
      <c r="A1772" t="inlineStr">
        <is>
          <t>27BBBBB01772Z5</t>
        </is>
      </c>
      <c r="B1772" t="inlineStr">
        <is>
          <t>Feb-2018</t>
        </is>
      </c>
      <c r="C1772" s="2" t="n">
        <v>44244</v>
      </c>
      <c r="D1772" t="inlineStr">
        <is>
          <t>NON-NIL</t>
        </is>
      </c>
      <c r="E1772" t="n">
        <v>1972</v>
      </c>
    </row>
    <row r="1773">
      <c r="A1773" t="inlineStr">
        <is>
          <t>27BBBBB01773Z5</t>
        </is>
      </c>
      <c r="B1773" t="inlineStr">
        <is>
          <t>Jun-2018</t>
        </is>
      </c>
      <c r="C1773" s="2" t="n">
        <v>43778</v>
      </c>
      <c r="D1773" t="inlineStr">
        <is>
          <t>NON-NIL</t>
        </is>
      </c>
      <c r="E1773" t="n">
        <v>1949</v>
      </c>
    </row>
    <row r="1774">
      <c r="A1774" t="inlineStr">
        <is>
          <t>27BBBBB01774Z5</t>
        </is>
      </c>
      <c r="B1774" t="inlineStr">
        <is>
          <t>Apr-2020</t>
        </is>
      </c>
      <c r="C1774" s="2" t="n">
        <v>44385</v>
      </c>
      <c r="D1774" t="inlineStr">
        <is>
          <t>NON-NIL</t>
        </is>
      </c>
      <c r="E1774" t="n">
        <v>1589</v>
      </c>
    </row>
    <row r="1775">
      <c r="A1775" t="inlineStr">
        <is>
          <t>27BBBBB01775Z5</t>
        </is>
      </c>
      <c r="B1775" t="inlineStr">
        <is>
          <t>Dec-2024</t>
        </is>
      </c>
      <c r="C1775" s="2" t="n">
        <v>45699</v>
      </c>
      <c r="D1775" t="inlineStr">
        <is>
          <t>NON-NIL</t>
        </is>
      </c>
      <c r="E1775" t="n">
        <v>837</v>
      </c>
    </row>
    <row r="1776">
      <c r="A1776" t="inlineStr">
        <is>
          <t>27BBBBB01776Z5</t>
        </is>
      </c>
      <c r="B1776" t="inlineStr">
        <is>
          <t>Mar-2023</t>
        </is>
      </c>
      <c r="C1776" s="2" t="n">
        <v>44228</v>
      </c>
      <c r="D1776" t="inlineStr">
        <is>
          <t>NON-NIL</t>
        </is>
      </c>
      <c r="E1776" t="n">
        <v>478</v>
      </c>
    </row>
    <row r="1777">
      <c r="A1777" t="inlineStr">
        <is>
          <t>27BBBBB01777Z5</t>
        </is>
      </c>
      <c r="B1777" t="inlineStr">
        <is>
          <t>Mar-2021</t>
        </is>
      </c>
      <c r="C1777" s="2" t="n">
        <v>44668</v>
      </c>
      <c r="D1777" t="inlineStr">
        <is>
          <t>NON-NIL</t>
        </is>
      </c>
      <c r="E1777" t="n">
        <v>639</v>
      </c>
    </row>
    <row r="1778">
      <c r="A1778" t="inlineStr">
        <is>
          <t>27BBBBB01778Z5</t>
        </is>
      </c>
      <c r="B1778" t="inlineStr">
        <is>
          <t>Aug-2018</t>
        </is>
      </c>
      <c r="C1778" s="2" t="n">
        <v>44247</v>
      </c>
      <c r="D1778" t="inlineStr">
        <is>
          <t>NIL</t>
        </is>
      </c>
      <c r="E1778" t="n">
        <v>1993</v>
      </c>
    </row>
    <row r="1779">
      <c r="A1779" t="inlineStr">
        <is>
          <t>27BBBBB01779Z5</t>
        </is>
      </c>
      <c r="B1779" t="inlineStr">
        <is>
          <t>Sep-2018</t>
        </is>
      </c>
      <c r="C1779" s="2" t="n">
        <v>43652</v>
      </c>
      <c r="D1779" t="inlineStr">
        <is>
          <t>NON-NIL</t>
        </is>
      </c>
      <c r="E1779" t="n">
        <v>2595</v>
      </c>
    </row>
    <row r="1780">
      <c r="A1780" t="inlineStr">
        <is>
          <t>27BBBBB01780Z5</t>
        </is>
      </c>
      <c r="B1780" t="inlineStr">
        <is>
          <t>Apr-2018</t>
        </is>
      </c>
      <c r="C1780" s="2" t="n">
        <v>43812</v>
      </c>
      <c r="D1780" t="inlineStr">
        <is>
          <t>NON-NIL</t>
        </is>
      </c>
      <c r="E1780" t="n">
        <v>2169</v>
      </c>
    </row>
    <row r="1781">
      <c r="A1781" t="inlineStr">
        <is>
          <t>27BBBBB01781Z5</t>
        </is>
      </c>
      <c r="B1781" t="inlineStr">
        <is>
          <t>May-2018</t>
        </is>
      </c>
      <c r="C1781" s="2" t="n">
        <v>44302</v>
      </c>
      <c r="D1781" t="inlineStr">
        <is>
          <t>NON-NIL</t>
        </is>
      </c>
      <c r="E1781" t="n">
        <v>2249</v>
      </c>
    </row>
    <row r="1782">
      <c r="A1782" t="inlineStr">
        <is>
          <t>27BBBBB01782Z5</t>
        </is>
      </c>
      <c r="B1782" t="inlineStr">
        <is>
          <t>Jun-2018</t>
        </is>
      </c>
      <c r="C1782" s="2" t="n">
        <v>43724</v>
      </c>
      <c r="D1782" t="inlineStr">
        <is>
          <t>NON-NIL</t>
        </is>
      </c>
      <c r="E1782" t="n">
        <v>1501</v>
      </c>
    </row>
    <row r="1783">
      <c r="A1783" t="inlineStr">
        <is>
          <t>27BBBBB01783Z5</t>
        </is>
      </c>
      <c r="B1783" t="inlineStr">
        <is>
          <t>Sep-2017</t>
        </is>
      </c>
      <c r="C1783" s="2" t="n">
        <v>44505</v>
      </c>
      <c r="D1783" t="inlineStr">
        <is>
          <t>NIL</t>
        </is>
      </c>
      <c r="E1783" t="n">
        <v>1134</v>
      </c>
    </row>
    <row r="1784">
      <c r="A1784" t="inlineStr">
        <is>
          <t>27BBBBB01784Z5</t>
        </is>
      </c>
      <c r="B1784" t="inlineStr">
        <is>
          <t>Nov-2017</t>
        </is>
      </c>
      <c r="C1784" s="2" t="n">
        <v>43835</v>
      </c>
      <c r="D1784" t="inlineStr">
        <is>
          <t>NIL</t>
        </is>
      </c>
      <c r="E1784" t="n">
        <v>1086</v>
      </c>
    </row>
    <row r="1785">
      <c r="A1785" t="inlineStr">
        <is>
          <t>27BBBBB01785Z5</t>
        </is>
      </c>
      <c r="B1785" t="inlineStr">
        <is>
          <t>Jul-2018</t>
        </is>
      </c>
      <c r="C1785" s="2" t="n">
        <v>44019</v>
      </c>
      <c r="D1785" t="inlineStr">
        <is>
          <t>NIL</t>
        </is>
      </c>
      <c r="E1785" t="n">
        <v>2672</v>
      </c>
    </row>
    <row r="1786">
      <c r="A1786" t="inlineStr">
        <is>
          <t>27BBBBB01786Z5</t>
        </is>
      </c>
      <c r="B1786" t="inlineStr">
        <is>
          <t>Apr-2020</t>
        </is>
      </c>
      <c r="C1786" s="2" t="n">
        <v>44574</v>
      </c>
      <c r="D1786" t="inlineStr">
        <is>
          <t>NIL</t>
        </is>
      </c>
      <c r="E1786" t="n">
        <v>1632</v>
      </c>
    </row>
    <row r="1787">
      <c r="A1787" t="inlineStr">
        <is>
          <t>27BBBBB01787Z5</t>
        </is>
      </c>
      <c r="B1787" t="inlineStr">
        <is>
          <t>Jun-2018</t>
        </is>
      </c>
      <c r="C1787" s="2" t="n">
        <v>43212</v>
      </c>
      <c r="D1787" t="inlineStr">
        <is>
          <t>NIL</t>
        </is>
      </c>
      <c r="E1787" t="n">
        <v>2732</v>
      </c>
    </row>
    <row r="1788">
      <c r="A1788" t="inlineStr">
        <is>
          <t>27BBBBB01788Z5</t>
        </is>
      </c>
      <c r="B1788" t="inlineStr">
        <is>
          <t>Nov-2018</t>
        </is>
      </c>
      <c r="C1788" s="2" t="n">
        <v>43921</v>
      </c>
      <c r="D1788" t="inlineStr">
        <is>
          <t>NIL</t>
        </is>
      </c>
      <c r="E1788" t="n">
        <v>1336</v>
      </c>
    </row>
    <row r="1789">
      <c r="A1789" t="inlineStr">
        <is>
          <t>27BBBBB01789Z5</t>
        </is>
      </c>
      <c r="B1789" t="inlineStr">
        <is>
          <t>Oct-2017</t>
        </is>
      </c>
      <c r="C1789" s="2" t="n">
        <v>43094</v>
      </c>
      <c r="D1789" t="inlineStr">
        <is>
          <t>NON-NIL</t>
        </is>
      </c>
      <c r="E1789" t="n">
        <v>1968</v>
      </c>
    </row>
    <row r="1790">
      <c r="A1790" t="inlineStr">
        <is>
          <t>27BBBBB01790Z5</t>
        </is>
      </c>
      <c r="B1790" t="inlineStr">
        <is>
          <t>Nov-2018</t>
        </is>
      </c>
      <c r="C1790" s="2" t="n">
        <v>43722</v>
      </c>
      <c r="D1790" t="inlineStr">
        <is>
          <t>NIL</t>
        </is>
      </c>
      <c r="E1790" t="n">
        <v>1063</v>
      </c>
    </row>
    <row r="1791">
      <c r="A1791" t="inlineStr">
        <is>
          <t>27BBBBB01791Z5</t>
        </is>
      </c>
      <c r="B1791" t="inlineStr">
        <is>
          <t>May-2020</t>
        </is>
      </c>
      <c r="C1791" s="2" t="n">
        <v>43970</v>
      </c>
      <c r="D1791" t="inlineStr">
        <is>
          <t>NON-NIL</t>
        </is>
      </c>
      <c r="E1791" t="n">
        <v>1165</v>
      </c>
    </row>
    <row r="1792">
      <c r="A1792" t="inlineStr">
        <is>
          <t>27BBBBB01792Z5</t>
        </is>
      </c>
      <c r="B1792" t="inlineStr">
        <is>
          <t>Dec-2018</t>
        </is>
      </c>
      <c r="C1792" s="2" t="n">
        <v>43896</v>
      </c>
      <c r="D1792" t="inlineStr">
        <is>
          <t>NON-NIL</t>
        </is>
      </c>
      <c r="E1792" t="n">
        <v>1807</v>
      </c>
    </row>
    <row r="1793">
      <c r="A1793" t="inlineStr">
        <is>
          <t>27BBBBB01793Z5</t>
        </is>
      </c>
      <c r="B1793" t="inlineStr">
        <is>
          <t>Apr-2018</t>
        </is>
      </c>
      <c r="C1793" s="2" t="n">
        <v>43828</v>
      </c>
      <c r="D1793" t="inlineStr">
        <is>
          <t>NON-NIL</t>
        </is>
      </c>
      <c r="E1793" t="n">
        <v>806</v>
      </c>
    </row>
    <row r="1794">
      <c r="A1794" t="inlineStr">
        <is>
          <t>27BBBBB01794Z5</t>
        </is>
      </c>
      <c r="B1794" t="inlineStr">
        <is>
          <t>Mar-2020</t>
        </is>
      </c>
      <c r="C1794" s="2" t="n">
        <v>44743</v>
      </c>
      <c r="D1794" t="inlineStr">
        <is>
          <t>NIL</t>
        </is>
      </c>
      <c r="E1794" t="n">
        <v>74</v>
      </c>
    </row>
    <row r="1795">
      <c r="A1795" t="inlineStr">
        <is>
          <t>27BBBBB01795Z5</t>
        </is>
      </c>
      <c r="B1795" t="inlineStr">
        <is>
          <t>Jan-2018</t>
        </is>
      </c>
      <c r="C1795" s="2" t="n">
        <v>43054</v>
      </c>
      <c r="D1795" t="inlineStr">
        <is>
          <t>NON-NIL</t>
        </is>
      </c>
      <c r="E1795" t="n">
        <v>733</v>
      </c>
    </row>
    <row r="1796">
      <c r="A1796" t="inlineStr">
        <is>
          <t>27BBBBB01796Z5</t>
        </is>
      </c>
      <c r="B1796" t="inlineStr">
        <is>
          <t>Oct-2018</t>
        </is>
      </c>
      <c r="C1796" s="2" t="n">
        <v>43913</v>
      </c>
      <c r="D1796" t="inlineStr">
        <is>
          <t>NON-NIL</t>
        </is>
      </c>
      <c r="E1796" t="n">
        <v>224</v>
      </c>
    </row>
    <row r="1797">
      <c r="A1797" t="inlineStr">
        <is>
          <t>27BBBBB01797Z5</t>
        </is>
      </c>
      <c r="B1797" t="inlineStr">
        <is>
          <t>Dec-2024</t>
        </is>
      </c>
      <c r="C1797" s="2" t="n">
        <v>45144</v>
      </c>
      <c r="D1797" t="inlineStr">
        <is>
          <t>NON-NIL</t>
        </is>
      </c>
      <c r="E1797" t="n">
        <v>1794</v>
      </c>
    </row>
    <row r="1798">
      <c r="A1798" t="inlineStr">
        <is>
          <t>27BBBBB01798Z5</t>
        </is>
      </c>
      <c r="B1798" t="inlineStr">
        <is>
          <t>Jun-2020</t>
        </is>
      </c>
      <c r="C1798" s="2" t="n">
        <v>44410</v>
      </c>
      <c r="D1798" t="inlineStr">
        <is>
          <t>NIL</t>
        </is>
      </c>
      <c r="E1798" t="n">
        <v>37</v>
      </c>
    </row>
    <row r="1799">
      <c r="A1799" t="inlineStr">
        <is>
          <t>27BBBBB01799Z5</t>
        </is>
      </c>
      <c r="B1799" t="inlineStr">
        <is>
          <t>May-2018</t>
        </is>
      </c>
      <c r="C1799" s="2" t="n">
        <v>44322</v>
      </c>
      <c r="D1799" t="inlineStr">
        <is>
          <t>NIL</t>
        </is>
      </c>
      <c r="E1799" t="n">
        <v>2722</v>
      </c>
    </row>
    <row r="1800">
      <c r="A1800" t="inlineStr">
        <is>
          <t>27BBBBB01800Z5</t>
        </is>
      </c>
      <c r="B1800" t="inlineStr">
        <is>
          <t>Mar-2023</t>
        </is>
      </c>
      <c r="C1800" s="2" t="n">
        <v>44794</v>
      </c>
      <c r="D1800" t="inlineStr">
        <is>
          <t>NON-NIL</t>
        </is>
      </c>
      <c r="E1800" t="n">
        <v>2191</v>
      </c>
    </row>
    <row r="1801">
      <c r="A1801" t="inlineStr">
        <is>
          <t>27BBBBB01801Z5</t>
        </is>
      </c>
      <c r="B1801" t="inlineStr">
        <is>
          <t>Apr-2018</t>
        </is>
      </c>
      <c r="C1801" s="2" t="n">
        <v>43743</v>
      </c>
      <c r="D1801" t="inlineStr">
        <is>
          <t>NIL</t>
        </is>
      </c>
      <c r="E1801" t="n">
        <v>590</v>
      </c>
    </row>
    <row r="1802">
      <c r="A1802" t="inlineStr">
        <is>
          <t>27BBBBB01802Z5</t>
        </is>
      </c>
      <c r="B1802" t="inlineStr">
        <is>
          <t>Mar-2023</t>
        </is>
      </c>
      <c r="C1802" s="2" t="n">
        <v>43751</v>
      </c>
      <c r="D1802" t="inlineStr">
        <is>
          <t>NON-NIL</t>
        </is>
      </c>
      <c r="E1802" t="n">
        <v>857</v>
      </c>
    </row>
    <row r="1803">
      <c r="A1803" t="inlineStr">
        <is>
          <t>27BBBBB01803Z5</t>
        </is>
      </c>
      <c r="B1803" t="inlineStr">
        <is>
          <t>Mar-2018</t>
        </is>
      </c>
      <c r="C1803" s="2" t="n">
        <v>44497</v>
      </c>
      <c r="D1803" t="inlineStr">
        <is>
          <t>NON-NIL</t>
        </is>
      </c>
      <c r="E1803" t="n">
        <v>1353</v>
      </c>
    </row>
    <row r="1804">
      <c r="A1804" t="inlineStr">
        <is>
          <t>27BBBBB01804Z5</t>
        </is>
      </c>
      <c r="B1804" t="inlineStr">
        <is>
          <t>Sep-2017</t>
        </is>
      </c>
      <c r="C1804" s="2" t="n">
        <v>44005</v>
      </c>
      <c r="D1804" t="inlineStr">
        <is>
          <t>NON-NIL</t>
        </is>
      </c>
      <c r="E1804" t="n">
        <v>1302</v>
      </c>
    </row>
    <row r="1805">
      <c r="A1805" t="inlineStr">
        <is>
          <t>27BBBBB01805Z5</t>
        </is>
      </c>
      <c r="B1805" t="inlineStr">
        <is>
          <t>Mar-2021</t>
        </is>
      </c>
      <c r="C1805" s="2" t="n">
        <v>43930</v>
      </c>
      <c r="D1805" t="inlineStr">
        <is>
          <t>NON-NIL</t>
        </is>
      </c>
      <c r="E1805" t="n">
        <v>953</v>
      </c>
    </row>
    <row r="1806">
      <c r="A1806" t="inlineStr">
        <is>
          <t>27BBBBB01806Z5</t>
        </is>
      </c>
      <c r="B1806" t="inlineStr">
        <is>
          <t>Sep-2017</t>
        </is>
      </c>
      <c r="C1806" s="2" t="n">
        <v>43188</v>
      </c>
      <c r="D1806" t="inlineStr">
        <is>
          <t>NIL</t>
        </is>
      </c>
      <c r="E1806" t="n">
        <v>1200</v>
      </c>
    </row>
    <row r="1807">
      <c r="A1807" t="inlineStr">
        <is>
          <t>27BBBBB01807Z5</t>
        </is>
      </c>
      <c r="B1807" t="inlineStr">
        <is>
          <t>Sep-2017</t>
        </is>
      </c>
      <c r="C1807" s="2" t="n">
        <v>44302</v>
      </c>
      <c r="D1807" t="inlineStr">
        <is>
          <t>NIL</t>
        </is>
      </c>
      <c r="E1807" t="n">
        <v>2917</v>
      </c>
    </row>
    <row r="1808">
      <c r="A1808" t="inlineStr">
        <is>
          <t>27BBBBB01808Z5</t>
        </is>
      </c>
      <c r="B1808" t="inlineStr">
        <is>
          <t>Nov-2018</t>
        </is>
      </c>
      <c r="C1808" s="2" t="n">
        <v>43173</v>
      </c>
      <c r="D1808" t="inlineStr">
        <is>
          <t>NON-NIL</t>
        </is>
      </c>
      <c r="E1808" t="n">
        <v>2553</v>
      </c>
    </row>
    <row r="1809">
      <c r="A1809" t="inlineStr">
        <is>
          <t>27BBBBB01809Z5</t>
        </is>
      </c>
      <c r="B1809" t="inlineStr">
        <is>
          <t>Aug-2017</t>
        </is>
      </c>
      <c r="C1809" s="2" t="n">
        <v>44005</v>
      </c>
      <c r="D1809" t="inlineStr">
        <is>
          <t>NON-NIL</t>
        </is>
      </c>
      <c r="E1809" t="n">
        <v>2707</v>
      </c>
    </row>
    <row r="1810">
      <c r="A1810" t="inlineStr">
        <is>
          <t>27BBBBB01810Z5</t>
        </is>
      </c>
      <c r="B1810" t="inlineStr">
        <is>
          <t>Nov-2018</t>
        </is>
      </c>
      <c r="C1810" s="2" t="n">
        <v>43791</v>
      </c>
      <c r="D1810" t="inlineStr">
        <is>
          <t>NON-NIL</t>
        </is>
      </c>
      <c r="E1810" t="n">
        <v>442</v>
      </c>
    </row>
    <row r="1811">
      <c r="A1811" t="inlineStr">
        <is>
          <t>27BBBBB01811Z5</t>
        </is>
      </c>
      <c r="B1811" t="inlineStr">
        <is>
          <t>May-2020</t>
        </is>
      </c>
      <c r="C1811" s="2" t="n">
        <v>44350</v>
      </c>
      <c r="D1811" t="inlineStr">
        <is>
          <t>NON-NIL</t>
        </is>
      </c>
      <c r="E1811" t="n">
        <v>1678</v>
      </c>
    </row>
    <row r="1812">
      <c r="A1812" t="inlineStr">
        <is>
          <t>27BBBBB01812Z5</t>
        </is>
      </c>
      <c r="B1812" t="inlineStr">
        <is>
          <t>Dec-2022</t>
        </is>
      </c>
      <c r="C1812" s="2" t="n">
        <v>43683</v>
      </c>
      <c r="D1812" t="inlineStr">
        <is>
          <t>NIL</t>
        </is>
      </c>
      <c r="E1812" t="n">
        <v>2024</v>
      </c>
    </row>
    <row r="1813">
      <c r="A1813" t="inlineStr">
        <is>
          <t>27BBBBB01813Z5</t>
        </is>
      </c>
      <c r="B1813" t="inlineStr">
        <is>
          <t>Jul-2017</t>
        </is>
      </c>
      <c r="C1813" s="2" t="n">
        <v>44555</v>
      </c>
      <c r="D1813" t="inlineStr">
        <is>
          <t>NON-NIL</t>
        </is>
      </c>
      <c r="E1813" t="n">
        <v>2321</v>
      </c>
    </row>
    <row r="1814">
      <c r="A1814" t="inlineStr">
        <is>
          <t>27BBBBB01814Z5</t>
        </is>
      </c>
      <c r="B1814" t="inlineStr">
        <is>
          <t>Feb-2018</t>
        </is>
      </c>
      <c r="C1814" s="2" t="n">
        <v>44174</v>
      </c>
      <c r="D1814" t="inlineStr">
        <is>
          <t>NON-NIL</t>
        </is>
      </c>
      <c r="E1814" t="n">
        <v>1896</v>
      </c>
    </row>
    <row r="1815">
      <c r="A1815" t="inlineStr">
        <is>
          <t>27BBBBB01815Z5</t>
        </is>
      </c>
      <c r="B1815" t="inlineStr">
        <is>
          <t>Aug-2017</t>
        </is>
      </c>
      <c r="C1815" s="2" t="n">
        <v>43136</v>
      </c>
      <c r="D1815" t="inlineStr">
        <is>
          <t>NON-NIL</t>
        </is>
      </c>
      <c r="E1815" t="n">
        <v>1513</v>
      </c>
    </row>
    <row r="1816">
      <c r="A1816" t="inlineStr">
        <is>
          <t>27BBBBB01816Z5</t>
        </is>
      </c>
      <c r="B1816" t="inlineStr">
        <is>
          <t>Jul-2020</t>
        </is>
      </c>
      <c r="C1816" s="2" t="n">
        <v>44168</v>
      </c>
      <c r="D1816" t="inlineStr">
        <is>
          <t>NIL</t>
        </is>
      </c>
      <c r="E1816" t="n">
        <v>1587</v>
      </c>
    </row>
    <row r="1817">
      <c r="A1817" t="inlineStr">
        <is>
          <t>27BBBBB01817Z5</t>
        </is>
      </c>
      <c r="B1817" t="inlineStr">
        <is>
          <t>Apr-2018</t>
        </is>
      </c>
      <c r="C1817" s="2" t="n">
        <v>43076</v>
      </c>
      <c r="D1817" t="inlineStr">
        <is>
          <t>NIL</t>
        </is>
      </c>
      <c r="E1817" t="n">
        <v>1077</v>
      </c>
    </row>
    <row r="1818">
      <c r="A1818" t="inlineStr">
        <is>
          <t>27BBBBB01818Z5</t>
        </is>
      </c>
      <c r="B1818" t="inlineStr">
        <is>
          <t>Jul-2018</t>
        </is>
      </c>
      <c r="C1818" s="2" t="n">
        <v>43683</v>
      </c>
      <c r="D1818" t="inlineStr">
        <is>
          <t>NON-NIL</t>
        </is>
      </c>
      <c r="E1818" t="n">
        <v>631</v>
      </c>
    </row>
    <row r="1819">
      <c r="A1819" t="inlineStr">
        <is>
          <t>27BBBBB01819Z5</t>
        </is>
      </c>
      <c r="B1819" t="inlineStr">
        <is>
          <t>Jul-2020</t>
        </is>
      </c>
      <c r="C1819" s="2" t="n">
        <v>44570</v>
      </c>
      <c r="D1819" t="inlineStr">
        <is>
          <t>NON-NIL</t>
        </is>
      </c>
      <c r="E1819" t="n">
        <v>2298</v>
      </c>
    </row>
    <row r="1820">
      <c r="A1820" t="inlineStr">
        <is>
          <t>27BBBBB01820Z5</t>
        </is>
      </c>
      <c r="B1820" t="inlineStr">
        <is>
          <t>Sep-2018</t>
        </is>
      </c>
      <c r="C1820" s="2" t="n">
        <v>44542</v>
      </c>
      <c r="D1820" t="inlineStr">
        <is>
          <t>NIL</t>
        </is>
      </c>
      <c r="E1820" t="n">
        <v>1299</v>
      </c>
    </row>
    <row r="1821">
      <c r="A1821" t="inlineStr">
        <is>
          <t>27BBBBB01821Z5</t>
        </is>
      </c>
      <c r="B1821" t="inlineStr">
        <is>
          <t>Oct-2017</t>
        </is>
      </c>
      <c r="C1821" s="2" t="n">
        <v>43693</v>
      </c>
      <c r="D1821" t="inlineStr">
        <is>
          <t>NIL</t>
        </is>
      </c>
      <c r="E1821" t="n">
        <v>571</v>
      </c>
    </row>
    <row r="1822">
      <c r="A1822" t="inlineStr">
        <is>
          <t>27BBBBB01822Z5</t>
        </is>
      </c>
      <c r="B1822" t="inlineStr">
        <is>
          <t>Jul-2017</t>
        </is>
      </c>
      <c r="C1822" s="2" t="n">
        <v>43285</v>
      </c>
      <c r="D1822" t="inlineStr">
        <is>
          <t>NIL</t>
        </is>
      </c>
      <c r="E1822" t="n">
        <v>1896</v>
      </c>
    </row>
    <row r="1823">
      <c r="A1823" t="inlineStr">
        <is>
          <t>27BBBBB01823Z5</t>
        </is>
      </c>
      <c r="B1823" t="inlineStr">
        <is>
          <t>Jul-2020</t>
        </is>
      </c>
      <c r="C1823" s="2" t="n">
        <v>44085</v>
      </c>
      <c r="D1823" t="inlineStr">
        <is>
          <t>NIL</t>
        </is>
      </c>
      <c r="E1823" t="n">
        <v>877</v>
      </c>
    </row>
    <row r="1824">
      <c r="A1824" t="inlineStr">
        <is>
          <t>27BBBBB01824Z5</t>
        </is>
      </c>
      <c r="B1824" t="inlineStr">
        <is>
          <t>May-2020</t>
        </is>
      </c>
      <c r="C1824" s="2" t="n">
        <v>43996</v>
      </c>
      <c r="D1824" t="inlineStr">
        <is>
          <t>NIL</t>
        </is>
      </c>
      <c r="E1824" t="n">
        <v>245</v>
      </c>
    </row>
    <row r="1825">
      <c r="A1825" t="inlineStr">
        <is>
          <t>27BBBBB01825Z5</t>
        </is>
      </c>
      <c r="B1825" t="inlineStr">
        <is>
          <t>Nov-2017</t>
        </is>
      </c>
      <c r="C1825" s="2" t="n">
        <v>43085</v>
      </c>
      <c r="D1825" t="inlineStr">
        <is>
          <t>NON-NIL</t>
        </is>
      </c>
      <c r="E1825" t="n">
        <v>2460</v>
      </c>
    </row>
    <row r="1826">
      <c r="A1826" t="inlineStr">
        <is>
          <t>27BBBBB01826Z5</t>
        </is>
      </c>
      <c r="B1826" t="inlineStr">
        <is>
          <t>Nov-2018</t>
        </is>
      </c>
      <c r="C1826" s="2" t="n">
        <v>43022</v>
      </c>
      <c r="D1826" t="inlineStr">
        <is>
          <t>NIL</t>
        </is>
      </c>
      <c r="E1826" t="n">
        <v>2948</v>
      </c>
    </row>
    <row r="1827">
      <c r="A1827" t="inlineStr">
        <is>
          <t>27BBBBB01827Z5</t>
        </is>
      </c>
      <c r="B1827" t="inlineStr">
        <is>
          <t>Mar-2021</t>
        </is>
      </c>
      <c r="C1827" s="2" t="n">
        <v>45651</v>
      </c>
      <c r="D1827" t="inlineStr">
        <is>
          <t>NON-NIL</t>
        </is>
      </c>
      <c r="E1827" t="n">
        <v>1813</v>
      </c>
    </row>
    <row r="1828">
      <c r="A1828" t="inlineStr">
        <is>
          <t>27BBBBB01828Z5</t>
        </is>
      </c>
      <c r="B1828" t="inlineStr">
        <is>
          <t>Jun-2020</t>
        </is>
      </c>
      <c r="C1828" s="2" t="n">
        <v>44476</v>
      </c>
      <c r="D1828" t="inlineStr">
        <is>
          <t>NON-NIL</t>
        </is>
      </c>
      <c r="E1828" t="n">
        <v>1474</v>
      </c>
    </row>
    <row r="1829">
      <c r="A1829" t="inlineStr">
        <is>
          <t>27BBBBB01829Z5</t>
        </is>
      </c>
      <c r="B1829" t="inlineStr">
        <is>
          <t>Sep-2018</t>
        </is>
      </c>
      <c r="C1829" s="2" t="n">
        <v>44318</v>
      </c>
      <c r="D1829" t="inlineStr">
        <is>
          <t>NON-NIL</t>
        </is>
      </c>
      <c r="E1829" t="n">
        <v>1010</v>
      </c>
    </row>
    <row r="1830">
      <c r="A1830" t="inlineStr">
        <is>
          <t>27BBBBB01830Z5</t>
        </is>
      </c>
      <c r="B1830" t="inlineStr">
        <is>
          <t>Apr-2018</t>
        </is>
      </c>
      <c r="C1830" s="2" t="n">
        <v>44323</v>
      </c>
      <c r="D1830" t="inlineStr">
        <is>
          <t>NIL</t>
        </is>
      </c>
      <c r="E1830" t="n">
        <v>613</v>
      </c>
    </row>
    <row r="1831">
      <c r="A1831" t="inlineStr">
        <is>
          <t>27BBBBB01831Z5</t>
        </is>
      </c>
      <c r="B1831" t="inlineStr">
        <is>
          <t>Dec-2018</t>
        </is>
      </c>
      <c r="C1831" s="2" t="n">
        <v>43286</v>
      </c>
      <c r="D1831" t="inlineStr">
        <is>
          <t>NIL</t>
        </is>
      </c>
      <c r="E1831" t="n">
        <v>2483</v>
      </c>
    </row>
    <row r="1832">
      <c r="A1832" t="inlineStr">
        <is>
          <t>27BBBBB01832Z5</t>
        </is>
      </c>
      <c r="B1832" t="inlineStr">
        <is>
          <t>Sep-2017</t>
        </is>
      </c>
      <c r="C1832" s="2" t="n">
        <v>43302</v>
      </c>
      <c r="D1832" t="inlineStr">
        <is>
          <t>NIL</t>
        </is>
      </c>
      <c r="E1832" t="n">
        <v>2713</v>
      </c>
    </row>
    <row r="1833">
      <c r="A1833" t="inlineStr">
        <is>
          <t>27BBBBB01833Z5</t>
        </is>
      </c>
      <c r="B1833" t="inlineStr">
        <is>
          <t>Jul-2020</t>
        </is>
      </c>
      <c r="C1833" s="2" t="n">
        <v>43966</v>
      </c>
      <c r="D1833" t="inlineStr">
        <is>
          <t>NIL</t>
        </is>
      </c>
      <c r="E1833" t="n">
        <v>1703</v>
      </c>
    </row>
    <row r="1834">
      <c r="A1834" t="inlineStr">
        <is>
          <t>27BBBBB01834Z5</t>
        </is>
      </c>
      <c r="B1834" t="inlineStr">
        <is>
          <t>Jul-2018</t>
        </is>
      </c>
      <c r="C1834" s="2" t="n">
        <v>44105</v>
      </c>
      <c r="D1834" t="inlineStr">
        <is>
          <t>NON-NIL</t>
        </is>
      </c>
      <c r="E1834" t="n">
        <v>2554</v>
      </c>
    </row>
    <row r="1835">
      <c r="A1835" t="inlineStr">
        <is>
          <t>27BBBBB01835Z5</t>
        </is>
      </c>
      <c r="B1835" t="inlineStr">
        <is>
          <t>Nov-2018</t>
        </is>
      </c>
      <c r="C1835" s="2" t="n">
        <v>43426</v>
      </c>
      <c r="D1835" t="inlineStr">
        <is>
          <t>NON-NIL</t>
        </is>
      </c>
      <c r="E1835" t="n">
        <v>2406</v>
      </c>
    </row>
    <row r="1836">
      <c r="A1836" t="inlineStr">
        <is>
          <t>27BBBBB01836Z5</t>
        </is>
      </c>
      <c r="B1836" t="inlineStr">
        <is>
          <t>Nov-2018</t>
        </is>
      </c>
      <c r="C1836" s="2" t="n">
        <v>44230</v>
      </c>
      <c r="D1836" t="inlineStr">
        <is>
          <t>NIL</t>
        </is>
      </c>
      <c r="E1836" t="n">
        <v>2147</v>
      </c>
    </row>
    <row r="1837">
      <c r="A1837" t="inlineStr">
        <is>
          <t>27BBBBB01837Z5</t>
        </is>
      </c>
      <c r="B1837" t="inlineStr">
        <is>
          <t>Mar-2018</t>
        </is>
      </c>
      <c r="C1837" s="2" t="n">
        <v>43715</v>
      </c>
      <c r="D1837" t="inlineStr">
        <is>
          <t>NON-NIL</t>
        </is>
      </c>
      <c r="E1837" t="n">
        <v>845</v>
      </c>
    </row>
    <row r="1838">
      <c r="A1838" t="inlineStr">
        <is>
          <t>27BBBBB01838Z5</t>
        </is>
      </c>
      <c r="B1838" t="inlineStr">
        <is>
          <t>Nov-2017</t>
        </is>
      </c>
      <c r="C1838" s="2" t="n">
        <v>44099</v>
      </c>
      <c r="D1838" t="inlineStr">
        <is>
          <t>NON-NIL</t>
        </is>
      </c>
      <c r="E1838" t="n">
        <v>1292</v>
      </c>
    </row>
    <row r="1839">
      <c r="A1839" t="inlineStr">
        <is>
          <t>27BBBBB01839Z5</t>
        </is>
      </c>
      <c r="B1839" t="inlineStr">
        <is>
          <t>Nov-2018</t>
        </is>
      </c>
      <c r="C1839" s="2" t="n">
        <v>43475</v>
      </c>
      <c r="D1839" t="inlineStr">
        <is>
          <t>NON-NIL</t>
        </is>
      </c>
      <c r="E1839" t="n">
        <v>1748</v>
      </c>
    </row>
    <row r="1840">
      <c r="A1840" t="inlineStr">
        <is>
          <t>27BBBBB01840Z5</t>
        </is>
      </c>
      <c r="B1840" t="inlineStr">
        <is>
          <t>Nov-2017</t>
        </is>
      </c>
      <c r="C1840" s="2" t="n">
        <v>43888</v>
      </c>
      <c r="D1840" t="inlineStr">
        <is>
          <t>NIL</t>
        </is>
      </c>
      <c r="E1840" t="n">
        <v>2653</v>
      </c>
    </row>
    <row r="1841">
      <c r="A1841" t="inlineStr">
        <is>
          <t>27BBBBB01841Z5</t>
        </is>
      </c>
      <c r="B1841" t="inlineStr">
        <is>
          <t>Jan-2018</t>
        </is>
      </c>
      <c r="C1841" s="2" t="n">
        <v>43871</v>
      </c>
      <c r="D1841" t="inlineStr">
        <is>
          <t>NIL</t>
        </is>
      </c>
      <c r="E1841" t="n">
        <v>2560</v>
      </c>
    </row>
    <row r="1842">
      <c r="A1842" t="inlineStr">
        <is>
          <t>27BBBBB01842Z5</t>
        </is>
      </c>
      <c r="B1842" t="inlineStr">
        <is>
          <t>Nov-2017</t>
        </is>
      </c>
      <c r="C1842" s="2" t="n">
        <v>43448</v>
      </c>
      <c r="D1842" t="inlineStr">
        <is>
          <t>NON-NIL</t>
        </is>
      </c>
      <c r="E1842" t="n">
        <v>1607</v>
      </c>
    </row>
    <row r="1843">
      <c r="A1843" t="inlineStr">
        <is>
          <t>27BBBBB01843Z5</t>
        </is>
      </c>
      <c r="B1843" t="inlineStr">
        <is>
          <t>Dec-2024</t>
        </is>
      </c>
      <c r="C1843" s="2" t="n">
        <v>45617</v>
      </c>
      <c r="D1843" t="inlineStr">
        <is>
          <t>NON-NIL</t>
        </is>
      </c>
      <c r="E1843" t="n">
        <v>1424</v>
      </c>
    </row>
    <row r="1844">
      <c r="A1844" t="inlineStr">
        <is>
          <t>27BBBBB01844Z5</t>
        </is>
      </c>
      <c r="B1844" t="inlineStr">
        <is>
          <t>Mar-2020</t>
        </is>
      </c>
      <c r="C1844" s="2" t="n">
        <v>43890</v>
      </c>
      <c r="D1844" t="inlineStr">
        <is>
          <t>NIL</t>
        </is>
      </c>
      <c r="E1844" t="n">
        <v>1554</v>
      </c>
    </row>
    <row r="1845">
      <c r="A1845" t="inlineStr">
        <is>
          <t>27BBBBB01845Z5</t>
        </is>
      </c>
      <c r="B1845" t="inlineStr">
        <is>
          <t>Jul-2018</t>
        </is>
      </c>
      <c r="C1845" s="2" t="n">
        <v>42974</v>
      </c>
      <c r="D1845" t="inlineStr">
        <is>
          <t>NON-NIL</t>
        </is>
      </c>
      <c r="E1845" t="n">
        <v>1914</v>
      </c>
    </row>
    <row r="1846">
      <c r="A1846" t="inlineStr">
        <is>
          <t>27BBBBB01846Z5</t>
        </is>
      </c>
      <c r="B1846" t="inlineStr">
        <is>
          <t>Nov-2018</t>
        </is>
      </c>
      <c r="C1846" s="2" t="n">
        <v>43323</v>
      </c>
      <c r="D1846" t="inlineStr">
        <is>
          <t>NIL</t>
        </is>
      </c>
      <c r="E1846" t="n">
        <v>1706</v>
      </c>
    </row>
    <row r="1847">
      <c r="A1847" t="inlineStr">
        <is>
          <t>27BBBBB01847Z5</t>
        </is>
      </c>
      <c r="B1847" t="inlineStr">
        <is>
          <t>Nov-2017</t>
        </is>
      </c>
      <c r="C1847" s="2" t="n">
        <v>43788</v>
      </c>
      <c r="D1847" t="inlineStr">
        <is>
          <t>NON-NIL</t>
        </is>
      </c>
      <c r="E1847" t="n">
        <v>1660</v>
      </c>
    </row>
    <row r="1848">
      <c r="A1848" t="inlineStr">
        <is>
          <t>27BBBBB01848Z5</t>
        </is>
      </c>
      <c r="B1848" t="inlineStr">
        <is>
          <t>Jan-2021</t>
        </is>
      </c>
      <c r="C1848" s="2" t="n">
        <v>44824</v>
      </c>
      <c r="D1848" t="inlineStr">
        <is>
          <t>NON-NIL</t>
        </is>
      </c>
      <c r="E1848" t="n">
        <v>726</v>
      </c>
    </row>
    <row r="1849">
      <c r="A1849" t="inlineStr">
        <is>
          <t>27BBBBB01849Z5</t>
        </is>
      </c>
      <c r="B1849" t="inlineStr">
        <is>
          <t>Mar-2018</t>
        </is>
      </c>
      <c r="C1849" s="2" t="n">
        <v>43465</v>
      </c>
      <c r="D1849" t="inlineStr">
        <is>
          <t>NON-NIL</t>
        </is>
      </c>
      <c r="E1849" t="n">
        <v>1592</v>
      </c>
    </row>
    <row r="1850">
      <c r="A1850" t="inlineStr">
        <is>
          <t>27BBBBB01850Z5</t>
        </is>
      </c>
      <c r="B1850" t="inlineStr">
        <is>
          <t>Feb-2018</t>
        </is>
      </c>
      <c r="C1850" s="2" t="n">
        <v>43085</v>
      </c>
      <c r="D1850" t="inlineStr">
        <is>
          <t>NIL</t>
        </is>
      </c>
      <c r="E1850" t="n">
        <v>2981</v>
      </c>
    </row>
    <row r="1851">
      <c r="A1851" t="inlineStr">
        <is>
          <t>27BBBBB01851Z5</t>
        </is>
      </c>
      <c r="B1851" t="inlineStr">
        <is>
          <t>Nov-2018</t>
        </is>
      </c>
      <c r="C1851" s="2" t="n">
        <v>44318</v>
      </c>
      <c r="D1851" t="inlineStr">
        <is>
          <t>NON-NIL</t>
        </is>
      </c>
      <c r="E1851" t="n">
        <v>572</v>
      </c>
    </row>
    <row r="1852">
      <c r="A1852" t="inlineStr">
        <is>
          <t>27BBBBB01852Z5</t>
        </is>
      </c>
      <c r="B1852" t="inlineStr">
        <is>
          <t>Jun-2020</t>
        </is>
      </c>
      <c r="C1852" s="2" t="n">
        <v>43918</v>
      </c>
      <c r="D1852" t="inlineStr">
        <is>
          <t>NIL</t>
        </is>
      </c>
      <c r="E1852" t="n">
        <v>1878</v>
      </c>
    </row>
    <row r="1853">
      <c r="A1853" t="inlineStr">
        <is>
          <t>27BBBBB01853Z5</t>
        </is>
      </c>
      <c r="B1853" t="inlineStr">
        <is>
          <t>Apr-2018</t>
        </is>
      </c>
      <c r="C1853" s="2" t="n">
        <v>44116</v>
      </c>
      <c r="D1853" t="inlineStr">
        <is>
          <t>NIL</t>
        </is>
      </c>
      <c r="E1853" t="n">
        <v>2807</v>
      </c>
    </row>
    <row r="1854">
      <c r="A1854" t="inlineStr">
        <is>
          <t>27BBBBB01854Z5</t>
        </is>
      </c>
      <c r="B1854" t="inlineStr">
        <is>
          <t>Mar-2020</t>
        </is>
      </c>
      <c r="C1854" s="2" t="n">
        <v>43921</v>
      </c>
      <c r="D1854" t="inlineStr">
        <is>
          <t>NIL</t>
        </is>
      </c>
      <c r="E1854" t="n">
        <v>2807</v>
      </c>
    </row>
    <row r="1855">
      <c r="A1855" t="inlineStr">
        <is>
          <t>27BBBBB01855Z5</t>
        </is>
      </c>
      <c r="B1855" t="inlineStr">
        <is>
          <t>Sep-2017</t>
        </is>
      </c>
      <c r="C1855" s="2" t="n">
        <v>43210</v>
      </c>
      <c r="D1855" t="inlineStr">
        <is>
          <t>NIL</t>
        </is>
      </c>
      <c r="E1855" t="n">
        <v>155</v>
      </c>
    </row>
    <row r="1856">
      <c r="A1856" t="inlineStr">
        <is>
          <t>27BBBBB01856Z5</t>
        </is>
      </c>
      <c r="B1856" t="inlineStr">
        <is>
          <t>Dec-2017</t>
        </is>
      </c>
      <c r="C1856" s="2" t="n">
        <v>44456</v>
      </c>
      <c r="D1856" t="inlineStr">
        <is>
          <t>NIL</t>
        </is>
      </c>
      <c r="E1856" t="n">
        <v>1397</v>
      </c>
    </row>
    <row r="1857">
      <c r="A1857" t="inlineStr">
        <is>
          <t>27BBBBB01857Z5</t>
        </is>
      </c>
      <c r="B1857" t="inlineStr">
        <is>
          <t>May-2020</t>
        </is>
      </c>
      <c r="C1857" s="2" t="n">
        <v>44028</v>
      </c>
      <c r="D1857" t="inlineStr">
        <is>
          <t>NIL</t>
        </is>
      </c>
      <c r="E1857" t="n">
        <v>2643</v>
      </c>
    </row>
    <row r="1858">
      <c r="A1858" t="inlineStr">
        <is>
          <t>27BBBBB01858Z5</t>
        </is>
      </c>
      <c r="B1858" t="inlineStr">
        <is>
          <t>Jun-2020</t>
        </is>
      </c>
      <c r="C1858" s="2" t="n">
        <v>44870</v>
      </c>
      <c r="D1858" t="inlineStr">
        <is>
          <t>NON-NIL</t>
        </is>
      </c>
      <c r="E1858" t="n">
        <v>320</v>
      </c>
    </row>
    <row r="1859">
      <c r="A1859" t="inlineStr">
        <is>
          <t>27BBBBB01859Z5</t>
        </is>
      </c>
      <c r="B1859" t="inlineStr">
        <is>
          <t>Jan-2018</t>
        </is>
      </c>
      <c r="C1859" s="2" t="n">
        <v>43701</v>
      </c>
      <c r="D1859" t="inlineStr">
        <is>
          <t>NON-NIL</t>
        </is>
      </c>
      <c r="E1859" t="n">
        <v>131</v>
      </c>
    </row>
    <row r="1860">
      <c r="A1860" t="inlineStr">
        <is>
          <t>27BBBBB01860Z5</t>
        </is>
      </c>
      <c r="B1860" t="inlineStr">
        <is>
          <t>May-2018</t>
        </is>
      </c>
      <c r="C1860" s="2" t="n">
        <v>43512</v>
      </c>
      <c r="D1860" t="inlineStr">
        <is>
          <t>NIL</t>
        </is>
      </c>
      <c r="E1860" t="n">
        <v>2928</v>
      </c>
    </row>
    <row r="1861">
      <c r="A1861" t="inlineStr">
        <is>
          <t>27BBBBB01861Z5</t>
        </is>
      </c>
      <c r="B1861" t="inlineStr">
        <is>
          <t>Jul-2018</t>
        </is>
      </c>
      <c r="C1861" s="2" t="n">
        <v>44287</v>
      </c>
      <c r="D1861" t="inlineStr">
        <is>
          <t>NON-NIL</t>
        </is>
      </c>
      <c r="E1861" t="n">
        <v>676</v>
      </c>
    </row>
    <row r="1862">
      <c r="A1862" t="inlineStr">
        <is>
          <t>27BBBBB01862Z5</t>
        </is>
      </c>
      <c r="B1862" t="inlineStr">
        <is>
          <t>Feb-2018</t>
        </is>
      </c>
      <c r="C1862" s="2" t="n">
        <v>43917</v>
      </c>
      <c r="D1862" t="inlineStr">
        <is>
          <t>NIL</t>
        </is>
      </c>
      <c r="E1862" t="n">
        <v>5</v>
      </c>
    </row>
    <row r="1863">
      <c r="A1863" t="inlineStr">
        <is>
          <t>27BBBBB01863Z5</t>
        </is>
      </c>
      <c r="B1863" t="inlineStr">
        <is>
          <t>Mar-2021</t>
        </is>
      </c>
      <c r="C1863" s="2" t="n">
        <v>45667</v>
      </c>
      <c r="D1863" t="inlineStr">
        <is>
          <t>NON-NIL</t>
        </is>
      </c>
      <c r="E1863" t="n">
        <v>2040</v>
      </c>
    </row>
    <row r="1864">
      <c r="A1864" t="inlineStr">
        <is>
          <t>27BBBBB01864Z5</t>
        </is>
      </c>
      <c r="B1864" t="inlineStr">
        <is>
          <t>Oct-2018</t>
        </is>
      </c>
      <c r="C1864" s="2" t="n">
        <v>43678</v>
      </c>
      <c r="D1864" t="inlineStr">
        <is>
          <t>NIL</t>
        </is>
      </c>
      <c r="E1864" t="n">
        <v>2516</v>
      </c>
    </row>
    <row r="1865">
      <c r="A1865" t="inlineStr">
        <is>
          <t>27BBBBB01865Z5</t>
        </is>
      </c>
      <c r="B1865" t="inlineStr">
        <is>
          <t>Aug-2017</t>
        </is>
      </c>
      <c r="C1865" s="2" t="n">
        <v>44454</v>
      </c>
      <c r="D1865" t="inlineStr">
        <is>
          <t>NIL</t>
        </is>
      </c>
      <c r="E1865" t="n">
        <v>842</v>
      </c>
    </row>
    <row r="1866">
      <c r="A1866" t="inlineStr">
        <is>
          <t>27BBBBB01866Z5</t>
        </is>
      </c>
      <c r="B1866" t="inlineStr">
        <is>
          <t>Dec-2017</t>
        </is>
      </c>
      <c r="C1866" s="2" t="n">
        <v>43241</v>
      </c>
      <c r="D1866" t="inlineStr">
        <is>
          <t>NON-NIL</t>
        </is>
      </c>
      <c r="E1866" t="n">
        <v>108</v>
      </c>
    </row>
    <row r="1867">
      <c r="A1867" t="inlineStr">
        <is>
          <t>27BBBBB01867Z5</t>
        </is>
      </c>
      <c r="B1867" t="inlineStr">
        <is>
          <t>Oct-2018</t>
        </is>
      </c>
      <c r="C1867" s="2" t="n">
        <v>43412</v>
      </c>
      <c r="D1867" t="inlineStr">
        <is>
          <t>NON-NIL</t>
        </is>
      </c>
      <c r="E1867" t="n">
        <v>1901</v>
      </c>
    </row>
    <row r="1868">
      <c r="A1868" t="inlineStr">
        <is>
          <t>27BBBBB01868Z5</t>
        </is>
      </c>
      <c r="B1868" t="inlineStr">
        <is>
          <t>Nov-2018</t>
        </is>
      </c>
      <c r="C1868" s="2" t="n">
        <v>44446</v>
      </c>
      <c r="D1868" t="inlineStr">
        <is>
          <t>NON-NIL</t>
        </is>
      </c>
      <c r="E1868" t="n">
        <v>982</v>
      </c>
    </row>
    <row r="1869">
      <c r="A1869" t="inlineStr">
        <is>
          <t>27BBBBB01869Z5</t>
        </is>
      </c>
      <c r="B1869" t="inlineStr">
        <is>
          <t>Dec-2017</t>
        </is>
      </c>
      <c r="C1869" s="2" t="n">
        <v>43789</v>
      </c>
      <c r="D1869" t="inlineStr">
        <is>
          <t>NON-NIL</t>
        </is>
      </c>
      <c r="E1869" t="n">
        <v>1050</v>
      </c>
    </row>
    <row r="1870">
      <c r="A1870" t="inlineStr">
        <is>
          <t>27BBBBB01870Z5</t>
        </is>
      </c>
      <c r="B1870" t="inlineStr">
        <is>
          <t>Dec-2018</t>
        </is>
      </c>
      <c r="C1870" s="2" t="n">
        <v>43551</v>
      </c>
      <c r="D1870" t="inlineStr">
        <is>
          <t>NON-NIL</t>
        </is>
      </c>
      <c r="E1870" t="n">
        <v>1114</v>
      </c>
    </row>
    <row r="1871">
      <c r="A1871" t="inlineStr">
        <is>
          <t>27BBBBB01871Z5</t>
        </is>
      </c>
      <c r="B1871" t="inlineStr">
        <is>
          <t>May-2020</t>
        </is>
      </c>
      <c r="C1871" s="2" t="n">
        <v>44279</v>
      </c>
      <c r="D1871" t="inlineStr">
        <is>
          <t>NIL</t>
        </is>
      </c>
      <c r="E1871" t="n">
        <v>253</v>
      </c>
    </row>
    <row r="1872">
      <c r="A1872" t="inlineStr">
        <is>
          <t>27BBBBB01872Z5</t>
        </is>
      </c>
      <c r="B1872" t="inlineStr">
        <is>
          <t>Mar-2023</t>
        </is>
      </c>
      <c r="C1872" s="2" t="n">
        <v>44321</v>
      </c>
      <c r="D1872" t="inlineStr">
        <is>
          <t>NIL</t>
        </is>
      </c>
      <c r="E1872" t="n">
        <v>894</v>
      </c>
    </row>
    <row r="1873">
      <c r="A1873" t="inlineStr">
        <is>
          <t>27BBBBB01873Z5</t>
        </is>
      </c>
      <c r="B1873" t="inlineStr">
        <is>
          <t>Feb-2018</t>
        </is>
      </c>
      <c r="C1873" s="2" t="n">
        <v>44032</v>
      </c>
      <c r="D1873" t="inlineStr">
        <is>
          <t>NON-NIL</t>
        </is>
      </c>
      <c r="E1873" t="n">
        <v>1054</v>
      </c>
    </row>
    <row r="1874">
      <c r="A1874" t="inlineStr">
        <is>
          <t>27BBBBB01874Z5</t>
        </is>
      </c>
      <c r="B1874" t="inlineStr">
        <is>
          <t>Feb-2018</t>
        </is>
      </c>
      <c r="C1874" s="2" t="n">
        <v>43831</v>
      </c>
      <c r="D1874" t="inlineStr">
        <is>
          <t>NON-NIL</t>
        </is>
      </c>
      <c r="E1874" t="n">
        <v>1970</v>
      </c>
    </row>
    <row r="1875">
      <c r="A1875" t="inlineStr">
        <is>
          <t>27BBBBB01875Z5</t>
        </is>
      </c>
      <c r="B1875" t="inlineStr">
        <is>
          <t>Feb-2018</t>
        </is>
      </c>
      <c r="C1875" s="2" t="n">
        <v>43029</v>
      </c>
      <c r="D1875" t="inlineStr">
        <is>
          <t>NON-NIL</t>
        </is>
      </c>
      <c r="E1875" t="n">
        <v>2244</v>
      </c>
    </row>
    <row r="1876">
      <c r="A1876" t="inlineStr">
        <is>
          <t>27BBBBB01876Z5</t>
        </is>
      </c>
      <c r="B1876" t="inlineStr">
        <is>
          <t>May-2018</t>
        </is>
      </c>
      <c r="C1876" s="2" t="n">
        <v>44018</v>
      </c>
      <c r="D1876" t="inlineStr">
        <is>
          <t>NIL</t>
        </is>
      </c>
      <c r="E1876" t="n">
        <v>316</v>
      </c>
    </row>
    <row r="1877">
      <c r="A1877" t="inlineStr">
        <is>
          <t>27BBBBB01877Z5</t>
        </is>
      </c>
      <c r="B1877" t="inlineStr">
        <is>
          <t>Apr-2020</t>
        </is>
      </c>
      <c r="C1877" s="2" t="n">
        <v>44696</v>
      </c>
      <c r="D1877" t="inlineStr">
        <is>
          <t>NON-NIL</t>
        </is>
      </c>
      <c r="E1877" t="n">
        <v>1397</v>
      </c>
    </row>
    <row r="1878">
      <c r="A1878" t="inlineStr">
        <is>
          <t>27BBBBB01878Z5</t>
        </is>
      </c>
      <c r="B1878" t="inlineStr">
        <is>
          <t>Apr-2020</t>
        </is>
      </c>
      <c r="C1878" s="2" t="n">
        <v>44690</v>
      </c>
      <c r="D1878" t="inlineStr">
        <is>
          <t>NIL</t>
        </is>
      </c>
      <c r="E1878" t="n">
        <v>567</v>
      </c>
    </row>
    <row r="1879">
      <c r="A1879" t="inlineStr">
        <is>
          <t>27BBBBB01879Z5</t>
        </is>
      </c>
      <c r="B1879" t="inlineStr">
        <is>
          <t>Mar-2018</t>
        </is>
      </c>
      <c r="C1879" s="2" t="n">
        <v>43338</v>
      </c>
      <c r="D1879" t="inlineStr">
        <is>
          <t>NIL</t>
        </is>
      </c>
      <c r="E1879" t="n">
        <v>557</v>
      </c>
    </row>
    <row r="1880">
      <c r="A1880" t="inlineStr">
        <is>
          <t>27BBBBB01880Z5</t>
        </is>
      </c>
      <c r="B1880" t="inlineStr">
        <is>
          <t>Jun-2020</t>
        </is>
      </c>
      <c r="C1880" s="2" t="n">
        <v>43994</v>
      </c>
      <c r="D1880" t="inlineStr">
        <is>
          <t>NIL</t>
        </is>
      </c>
      <c r="E1880" t="n">
        <v>1457</v>
      </c>
    </row>
    <row r="1881">
      <c r="A1881" t="inlineStr">
        <is>
          <t>27BBBBB01881Z5</t>
        </is>
      </c>
      <c r="B1881" t="inlineStr">
        <is>
          <t>Jun-2018</t>
        </is>
      </c>
      <c r="C1881" s="2" t="n">
        <v>43943</v>
      </c>
      <c r="D1881" t="inlineStr">
        <is>
          <t>NIL</t>
        </is>
      </c>
      <c r="E1881" t="n">
        <v>2526</v>
      </c>
    </row>
    <row r="1882">
      <c r="A1882" t="inlineStr">
        <is>
          <t>27BBBBB01882Z5</t>
        </is>
      </c>
      <c r="B1882" t="inlineStr">
        <is>
          <t>Dec-2017</t>
        </is>
      </c>
      <c r="C1882" s="2" t="n">
        <v>44328</v>
      </c>
      <c r="D1882" t="inlineStr">
        <is>
          <t>NIL</t>
        </is>
      </c>
      <c r="E1882" t="n">
        <v>85</v>
      </c>
    </row>
    <row r="1883">
      <c r="A1883" t="inlineStr">
        <is>
          <t>27BBBBB01883Z5</t>
        </is>
      </c>
      <c r="B1883" t="inlineStr">
        <is>
          <t>Oct-2018</t>
        </is>
      </c>
      <c r="C1883" s="2" t="n">
        <v>44029</v>
      </c>
      <c r="D1883" t="inlineStr">
        <is>
          <t>NIL</t>
        </is>
      </c>
      <c r="E1883" t="n">
        <v>1094</v>
      </c>
    </row>
    <row r="1884">
      <c r="A1884" t="inlineStr">
        <is>
          <t>27BBBBB01884Z5</t>
        </is>
      </c>
      <c r="B1884" t="inlineStr">
        <is>
          <t>Oct-2017</t>
        </is>
      </c>
      <c r="C1884" s="2" t="n">
        <v>43178</v>
      </c>
      <c r="D1884" t="inlineStr">
        <is>
          <t>NON-NIL</t>
        </is>
      </c>
      <c r="E1884" t="n">
        <v>1914</v>
      </c>
    </row>
    <row r="1885">
      <c r="A1885" t="inlineStr">
        <is>
          <t>27BBBBB01885Z5</t>
        </is>
      </c>
      <c r="B1885" t="inlineStr">
        <is>
          <t>Jul-2017</t>
        </is>
      </c>
      <c r="C1885" s="2" t="n">
        <v>44274</v>
      </c>
      <c r="D1885" t="inlineStr">
        <is>
          <t>NON-NIL</t>
        </is>
      </c>
      <c r="E1885" t="n">
        <v>1845</v>
      </c>
    </row>
    <row r="1886">
      <c r="A1886" t="inlineStr">
        <is>
          <t>27BBBBB01886Z5</t>
        </is>
      </c>
      <c r="B1886" t="inlineStr">
        <is>
          <t>Aug-2017</t>
        </is>
      </c>
      <c r="C1886" s="2" t="n">
        <v>43853</v>
      </c>
      <c r="D1886" t="inlineStr">
        <is>
          <t>NON-NIL</t>
        </is>
      </c>
      <c r="E1886" t="n">
        <v>2538</v>
      </c>
    </row>
    <row r="1887">
      <c r="A1887" t="inlineStr">
        <is>
          <t>27BBBBB01887Z5</t>
        </is>
      </c>
      <c r="B1887" t="inlineStr">
        <is>
          <t>Jul-2020</t>
        </is>
      </c>
      <c r="C1887" s="2" t="n">
        <v>44212</v>
      </c>
      <c r="D1887" t="inlineStr">
        <is>
          <t>NON-NIL</t>
        </is>
      </c>
      <c r="E1887" t="n">
        <v>1038</v>
      </c>
    </row>
    <row r="1888">
      <c r="A1888" t="inlineStr">
        <is>
          <t>27BBBBB01888Z5</t>
        </is>
      </c>
      <c r="B1888" t="inlineStr">
        <is>
          <t>Jul-2020</t>
        </is>
      </c>
      <c r="C1888" s="2" t="n">
        <v>44534</v>
      </c>
      <c r="D1888" t="inlineStr">
        <is>
          <t>NON-NIL</t>
        </is>
      </c>
      <c r="E1888" t="n">
        <v>1920</v>
      </c>
    </row>
    <row r="1889">
      <c r="A1889" t="inlineStr">
        <is>
          <t>27BBBBB01889Z5</t>
        </is>
      </c>
      <c r="B1889" t="inlineStr">
        <is>
          <t>May-2018</t>
        </is>
      </c>
      <c r="C1889" s="2" t="n">
        <v>44256</v>
      </c>
      <c r="D1889" t="inlineStr">
        <is>
          <t>NON-NIL</t>
        </is>
      </c>
      <c r="E1889" t="n">
        <v>284</v>
      </c>
    </row>
    <row r="1890">
      <c r="A1890" t="inlineStr">
        <is>
          <t>27BBBBB01890Z5</t>
        </is>
      </c>
      <c r="B1890" t="inlineStr">
        <is>
          <t>Oct-2017</t>
        </is>
      </c>
      <c r="C1890" s="2" t="n">
        <v>43389</v>
      </c>
      <c r="D1890" t="inlineStr">
        <is>
          <t>NIL</t>
        </is>
      </c>
      <c r="E1890" t="n">
        <v>1531</v>
      </c>
    </row>
    <row r="1891">
      <c r="A1891" t="inlineStr">
        <is>
          <t>27BBBBB01891Z5</t>
        </is>
      </c>
      <c r="B1891" t="inlineStr">
        <is>
          <t>Dec-2022</t>
        </is>
      </c>
      <c r="C1891" s="2" t="n">
        <v>45166</v>
      </c>
      <c r="D1891" t="inlineStr">
        <is>
          <t>NON-NIL</t>
        </is>
      </c>
      <c r="E1891" t="n">
        <v>863</v>
      </c>
    </row>
    <row r="1892">
      <c r="A1892" t="inlineStr">
        <is>
          <t>27BBBBB01892Z5</t>
        </is>
      </c>
      <c r="B1892" t="inlineStr">
        <is>
          <t>Oct-2017</t>
        </is>
      </c>
      <c r="C1892" s="2" t="n">
        <v>44296</v>
      </c>
      <c r="D1892" t="inlineStr">
        <is>
          <t>NIL</t>
        </is>
      </c>
      <c r="E1892" t="n">
        <v>534</v>
      </c>
    </row>
    <row r="1893">
      <c r="A1893" t="inlineStr">
        <is>
          <t>27BBBBB01893Z5</t>
        </is>
      </c>
      <c r="B1893" t="inlineStr">
        <is>
          <t>Apr-2018</t>
        </is>
      </c>
      <c r="C1893" s="2" t="n">
        <v>43239</v>
      </c>
      <c r="D1893" t="inlineStr">
        <is>
          <t>NON-NIL</t>
        </is>
      </c>
      <c r="E1893" t="n">
        <v>1211</v>
      </c>
    </row>
    <row r="1894">
      <c r="A1894" t="inlineStr">
        <is>
          <t>27BBBBB01894Z5</t>
        </is>
      </c>
      <c r="B1894" t="inlineStr">
        <is>
          <t>May-2018</t>
        </is>
      </c>
      <c r="C1894" s="2" t="n">
        <v>44148</v>
      </c>
      <c r="D1894" t="inlineStr">
        <is>
          <t>NON-NIL</t>
        </is>
      </c>
      <c r="E1894" t="n">
        <v>945</v>
      </c>
    </row>
    <row r="1895">
      <c r="A1895" t="inlineStr">
        <is>
          <t>27BBBBB01895Z5</t>
        </is>
      </c>
      <c r="B1895" t="inlineStr">
        <is>
          <t>Mar-2020</t>
        </is>
      </c>
      <c r="C1895" s="2" t="n">
        <v>44403</v>
      </c>
      <c r="D1895" t="inlineStr">
        <is>
          <t>NON-NIL</t>
        </is>
      </c>
      <c r="E1895" t="n">
        <v>2164</v>
      </c>
    </row>
    <row r="1896">
      <c r="A1896" t="inlineStr">
        <is>
          <t>27BBBBB01896Z5</t>
        </is>
      </c>
      <c r="B1896" t="inlineStr">
        <is>
          <t>Apr-2018</t>
        </is>
      </c>
      <c r="C1896" s="2" t="n">
        <v>43677</v>
      </c>
      <c r="D1896" t="inlineStr">
        <is>
          <t>NIL</t>
        </is>
      </c>
      <c r="E1896" t="n">
        <v>2903</v>
      </c>
    </row>
    <row r="1897">
      <c r="A1897" t="inlineStr">
        <is>
          <t>27BBBBB01897Z5</t>
        </is>
      </c>
      <c r="B1897" t="inlineStr">
        <is>
          <t>Oct-2017</t>
        </is>
      </c>
      <c r="C1897" s="2" t="n">
        <v>42942</v>
      </c>
      <c r="D1897" t="inlineStr">
        <is>
          <t>NIL</t>
        </is>
      </c>
      <c r="E1897" t="n">
        <v>787</v>
      </c>
    </row>
    <row r="1898">
      <c r="A1898" t="inlineStr">
        <is>
          <t>27BBBBB01898Z5</t>
        </is>
      </c>
      <c r="B1898" t="inlineStr">
        <is>
          <t>Dec-2024</t>
        </is>
      </c>
      <c r="C1898" s="2" t="n">
        <v>44884</v>
      </c>
      <c r="D1898" t="inlineStr">
        <is>
          <t>NON-NIL</t>
        </is>
      </c>
      <c r="E1898" t="n">
        <v>2062</v>
      </c>
    </row>
    <row r="1899">
      <c r="A1899" t="inlineStr">
        <is>
          <t>27BBBBB01899Z5</t>
        </is>
      </c>
      <c r="B1899" t="inlineStr">
        <is>
          <t>Jul-2020</t>
        </is>
      </c>
      <c r="C1899" s="2" t="n">
        <v>44806</v>
      </c>
      <c r="D1899" t="inlineStr">
        <is>
          <t>NIL</t>
        </is>
      </c>
      <c r="E1899" t="n">
        <v>1548</v>
      </c>
    </row>
    <row r="1900">
      <c r="A1900" t="inlineStr">
        <is>
          <t>27BBBBB01900Z5</t>
        </is>
      </c>
      <c r="B1900" t="inlineStr">
        <is>
          <t>Jan-2018</t>
        </is>
      </c>
      <c r="C1900" s="2" t="n">
        <v>44312</v>
      </c>
      <c r="D1900" t="inlineStr">
        <is>
          <t>NIL</t>
        </is>
      </c>
      <c r="E1900" t="n">
        <v>2846</v>
      </c>
    </row>
    <row r="1901">
      <c r="A1901" t="inlineStr">
        <is>
          <t>27BBBBB01901Z5</t>
        </is>
      </c>
      <c r="B1901" t="inlineStr">
        <is>
          <t>Dec-2022</t>
        </is>
      </c>
      <c r="C1901" s="2" t="n">
        <v>45405</v>
      </c>
      <c r="D1901" t="inlineStr">
        <is>
          <t>NON-NIL</t>
        </is>
      </c>
      <c r="E1901" t="n">
        <v>141</v>
      </c>
    </row>
    <row r="1902">
      <c r="A1902" t="inlineStr">
        <is>
          <t>27BBBBB01902Z5</t>
        </is>
      </c>
      <c r="B1902" t="inlineStr">
        <is>
          <t>Mar-2023</t>
        </is>
      </c>
      <c r="C1902" s="2" t="n">
        <v>44233</v>
      </c>
      <c r="D1902" t="inlineStr">
        <is>
          <t>NON-NIL</t>
        </is>
      </c>
      <c r="E1902" t="n">
        <v>2596</v>
      </c>
    </row>
    <row r="1903">
      <c r="A1903" t="inlineStr">
        <is>
          <t>27BBBBB01903Z5</t>
        </is>
      </c>
      <c r="B1903" t="inlineStr">
        <is>
          <t>Sep-2017</t>
        </is>
      </c>
      <c r="C1903" s="2" t="n">
        <v>44157</v>
      </c>
      <c r="D1903" t="inlineStr">
        <is>
          <t>NIL</t>
        </is>
      </c>
      <c r="E1903" t="n">
        <v>1592</v>
      </c>
    </row>
    <row r="1904">
      <c r="A1904" t="inlineStr">
        <is>
          <t>27BBBBB01904Z5</t>
        </is>
      </c>
      <c r="B1904" t="inlineStr">
        <is>
          <t>Apr-2018</t>
        </is>
      </c>
      <c r="C1904" s="2" t="n">
        <v>43294</v>
      </c>
      <c r="D1904" t="inlineStr">
        <is>
          <t>NIL</t>
        </is>
      </c>
      <c r="E1904" t="n">
        <v>27</v>
      </c>
    </row>
    <row r="1905">
      <c r="A1905" t="inlineStr">
        <is>
          <t>27BBBBB01905Z5</t>
        </is>
      </c>
      <c r="B1905" t="inlineStr">
        <is>
          <t>Dec-2017</t>
        </is>
      </c>
      <c r="C1905" s="2" t="n">
        <v>43398</v>
      </c>
      <c r="D1905" t="inlineStr">
        <is>
          <t>NON-NIL</t>
        </is>
      </c>
      <c r="E1905" t="n">
        <v>665</v>
      </c>
    </row>
    <row r="1906">
      <c r="A1906" t="inlineStr">
        <is>
          <t>27BBBBB01906Z5</t>
        </is>
      </c>
      <c r="B1906" t="inlineStr">
        <is>
          <t>Dec-2024</t>
        </is>
      </c>
      <c r="C1906" s="2" t="n">
        <v>45580</v>
      </c>
      <c r="D1906" t="inlineStr">
        <is>
          <t>NIL</t>
        </is>
      </c>
      <c r="E1906" t="n">
        <v>2001</v>
      </c>
    </row>
    <row r="1907">
      <c r="A1907" t="inlineStr">
        <is>
          <t>27BBBBB01907Z5</t>
        </is>
      </c>
      <c r="B1907" t="inlineStr">
        <is>
          <t>Feb-2018</t>
        </is>
      </c>
      <c r="C1907" s="2" t="n">
        <v>43807</v>
      </c>
      <c r="D1907" t="inlineStr">
        <is>
          <t>NON-NIL</t>
        </is>
      </c>
      <c r="E1907" t="n">
        <v>2924</v>
      </c>
    </row>
    <row r="1908">
      <c r="A1908" t="inlineStr">
        <is>
          <t>27BBBBB01908Z5</t>
        </is>
      </c>
      <c r="B1908" t="inlineStr">
        <is>
          <t>May-2020</t>
        </is>
      </c>
      <c r="C1908" s="2" t="n">
        <v>44460</v>
      </c>
      <c r="D1908" t="inlineStr">
        <is>
          <t>NON-NIL</t>
        </is>
      </c>
      <c r="E1908" t="n">
        <v>171</v>
      </c>
    </row>
    <row r="1909">
      <c r="A1909" t="inlineStr">
        <is>
          <t>27BBBBB01909Z5</t>
        </is>
      </c>
      <c r="B1909" t="inlineStr">
        <is>
          <t>Jul-2018</t>
        </is>
      </c>
      <c r="C1909" s="2" t="n">
        <v>44245</v>
      </c>
      <c r="D1909" t="inlineStr">
        <is>
          <t>NON-NIL</t>
        </is>
      </c>
      <c r="E1909" t="n">
        <v>2370</v>
      </c>
    </row>
    <row r="1910">
      <c r="A1910" t="inlineStr">
        <is>
          <t>27BBBBB01910Z5</t>
        </is>
      </c>
      <c r="B1910" t="inlineStr">
        <is>
          <t>Jul-2020</t>
        </is>
      </c>
      <c r="C1910" s="2" t="n">
        <v>43836</v>
      </c>
      <c r="D1910" t="inlineStr">
        <is>
          <t>NIL</t>
        </is>
      </c>
      <c r="E1910" t="n">
        <v>2306</v>
      </c>
    </row>
    <row r="1911">
      <c r="A1911" t="inlineStr">
        <is>
          <t>27BBBBB01911Z5</t>
        </is>
      </c>
      <c r="B1911" t="inlineStr">
        <is>
          <t>Mar-2023</t>
        </is>
      </c>
      <c r="C1911" s="2" t="n">
        <v>45123</v>
      </c>
      <c r="D1911" t="inlineStr">
        <is>
          <t>NON-NIL</t>
        </is>
      </c>
      <c r="E1911" t="n">
        <v>903</v>
      </c>
    </row>
    <row r="1912">
      <c r="A1912" t="inlineStr">
        <is>
          <t>27BBBBB01912Z5</t>
        </is>
      </c>
      <c r="B1912" t="inlineStr">
        <is>
          <t>Jan-2021</t>
        </is>
      </c>
      <c r="C1912" s="2" t="n">
        <v>44447</v>
      </c>
      <c r="D1912" t="inlineStr">
        <is>
          <t>NON-NIL</t>
        </is>
      </c>
      <c r="E1912" t="n">
        <v>1695</v>
      </c>
    </row>
    <row r="1913">
      <c r="A1913" t="inlineStr">
        <is>
          <t>27BBBBB01913Z5</t>
        </is>
      </c>
      <c r="B1913" t="inlineStr">
        <is>
          <t>Nov-2017</t>
        </is>
      </c>
      <c r="C1913" s="2" t="n">
        <v>43303</v>
      </c>
      <c r="D1913" t="inlineStr">
        <is>
          <t>NON-NIL</t>
        </is>
      </c>
      <c r="E1913" t="n">
        <v>109</v>
      </c>
    </row>
    <row r="1914">
      <c r="A1914" t="inlineStr">
        <is>
          <t>27BBBBB01914Z5</t>
        </is>
      </c>
      <c r="B1914" t="inlineStr">
        <is>
          <t>Dec-2017</t>
        </is>
      </c>
      <c r="C1914" s="2" t="n">
        <v>43066</v>
      </c>
      <c r="D1914" t="inlineStr">
        <is>
          <t>NIL</t>
        </is>
      </c>
      <c r="E1914" t="n">
        <v>494</v>
      </c>
    </row>
    <row r="1915">
      <c r="A1915" t="inlineStr">
        <is>
          <t>27BBBBB01915Z5</t>
        </is>
      </c>
      <c r="B1915" t="inlineStr">
        <is>
          <t>Nov-2018</t>
        </is>
      </c>
      <c r="C1915" s="2" t="n">
        <v>43882</v>
      </c>
      <c r="D1915" t="inlineStr">
        <is>
          <t>NIL</t>
        </is>
      </c>
      <c r="E1915" t="n">
        <v>2811</v>
      </c>
    </row>
    <row r="1916">
      <c r="A1916" t="inlineStr">
        <is>
          <t>27BBBBB01916Z5</t>
        </is>
      </c>
      <c r="B1916" t="inlineStr">
        <is>
          <t>Aug-2017</t>
        </is>
      </c>
      <c r="C1916" s="2" t="n">
        <v>42925</v>
      </c>
      <c r="D1916" t="inlineStr">
        <is>
          <t>NIL</t>
        </is>
      </c>
      <c r="E1916" t="n">
        <v>2201</v>
      </c>
    </row>
    <row r="1917">
      <c r="A1917" t="inlineStr">
        <is>
          <t>27BBBBB01917Z5</t>
        </is>
      </c>
      <c r="B1917" t="inlineStr">
        <is>
          <t>Dec-2024</t>
        </is>
      </c>
      <c r="C1917" s="2" t="n">
        <v>44039</v>
      </c>
      <c r="D1917" t="inlineStr">
        <is>
          <t>NIL</t>
        </is>
      </c>
      <c r="E1917" t="n">
        <v>523</v>
      </c>
    </row>
    <row r="1918">
      <c r="A1918" t="inlineStr">
        <is>
          <t>27BBBBB01918Z5</t>
        </is>
      </c>
      <c r="B1918" t="inlineStr">
        <is>
          <t>Aug-2017</t>
        </is>
      </c>
      <c r="C1918" s="2" t="n">
        <v>43652</v>
      </c>
      <c r="D1918" t="inlineStr">
        <is>
          <t>NIL</t>
        </is>
      </c>
      <c r="E1918" t="n">
        <v>537</v>
      </c>
    </row>
    <row r="1919">
      <c r="A1919" t="inlineStr">
        <is>
          <t>27BBBBB01919Z5</t>
        </is>
      </c>
      <c r="B1919" t="inlineStr">
        <is>
          <t>Jan-2021</t>
        </is>
      </c>
      <c r="C1919" s="2" t="n">
        <v>44149</v>
      </c>
      <c r="D1919" t="inlineStr">
        <is>
          <t>NIL</t>
        </is>
      </c>
      <c r="E1919" t="n">
        <v>2219</v>
      </c>
    </row>
    <row r="1920">
      <c r="A1920" t="inlineStr">
        <is>
          <t>27BBBBB01920Z5</t>
        </is>
      </c>
      <c r="B1920" t="inlineStr">
        <is>
          <t>Mar-2020</t>
        </is>
      </c>
      <c r="C1920" s="2" t="n">
        <v>44312</v>
      </c>
      <c r="D1920" t="inlineStr">
        <is>
          <t>NON-NIL</t>
        </is>
      </c>
      <c r="E1920" t="n">
        <v>1570</v>
      </c>
    </row>
    <row r="1921">
      <c r="A1921" t="inlineStr">
        <is>
          <t>27BBBBB01921Z5</t>
        </is>
      </c>
      <c r="B1921" t="inlineStr">
        <is>
          <t>Mar-2021</t>
        </is>
      </c>
      <c r="C1921" s="2" t="n">
        <v>43667</v>
      </c>
      <c r="D1921" t="inlineStr">
        <is>
          <t>NIL</t>
        </is>
      </c>
      <c r="E1921" t="n">
        <v>1193</v>
      </c>
    </row>
    <row r="1922">
      <c r="A1922" t="inlineStr">
        <is>
          <t>27BBBBB01922Z5</t>
        </is>
      </c>
      <c r="B1922" t="inlineStr">
        <is>
          <t>Aug-2018</t>
        </is>
      </c>
      <c r="C1922" s="2" t="n">
        <v>43701</v>
      </c>
      <c r="D1922" t="inlineStr">
        <is>
          <t>NIL</t>
        </is>
      </c>
      <c r="E1922" t="n">
        <v>1830</v>
      </c>
    </row>
    <row r="1923">
      <c r="A1923" t="inlineStr">
        <is>
          <t>27BBBBB01923Z5</t>
        </is>
      </c>
      <c r="B1923" t="inlineStr">
        <is>
          <t>Oct-2017</t>
        </is>
      </c>
      <c r="C1923" s="2" t="n">
        <v>42948</v>
      </c>
      <c r="D1923" t="inlineStr">
        <is>
          <t>NIL</t>
        </is>
      </c>
      <c r="E1923" t="n">
        <v>1171</v>
      </c>
    </row>
    <row r="1924">
      <c r="A1924" t="inlineStr">
        <is>
          <t>27BBBBB01924Z5</t>
        </is>
      </c>
      <c r="B1924" t="inlineStr">
        <is>
          <t>Oct-2018</t>
        </is>
      </c>
      <c r="C1924" s="2" t="n">
        <v>44015</v>
      </c>
      <c r="D1924" t="inlineStr">
        <is>
          <t>NIL</t>
        </is>
      </c>
      <c r="E1924" t="n">
        <v>1079</v>
      </c>
    </row>
    <row r="1925">
      <c r="A1925" t="inlineStr">
        <is>
          <t>27BBBBB01925Z5</t>
        </is>
      </c>
      <c r="B1925" t="inlineStr">
        <is>
          <t>Dec-2022</t>
        </is>
      </c>
      <c r="C1925" s="2" t="n">
        <v>45373</v>
      </c>
      <c r="D1925" t="inlineStr">
        <is>
          <t>NON-NIL</t>
        </is>
      </c>
      <c r="E1925" t="n">
        <v>2315</v>
      </c>
    </row>
    <row r="1926">
      <c r="A1926" t="inlineStr">
        <is>
          <t>27BBBBB01926Z5</t>
        </is>
      </c>
      <c r="B1926" t="inlineStr">
        <is>
          <t>Apr-2020</t>
        </is>
      </c>
      <c r="C1926" s="2" t="n">
        <v>44035</v>
      </c>
      <c r="D1926" t="inlineStr">
        <is>
          <t>NIL</t>
        </is>
      </c>
      <c r="E1926" t="n">
        <v>1995</v>
      </c>
    </row>
    <row r="1927">
      <c r="A1927" t="inlineStr">
        <is>
          <t>27BBBBB01927Z5</t>
        </is>
      </c>
      <c r="B1927" t="inlineStr">
        <is>
          <t>Jan-2018</t>
        </is>
      </c>
      <c r="C1927" s="2" t="n">
        <v>44079</v>
      </c>
      <c r="D1927" t="inlineStr">
        <is>
          <t>NIL</t>
        </is>
      </c>
      <c r="E1927" t="n">
        <v>1606</v>
      </c>
    </row>
    <row r="1928">
      <c r="A1928" t="inlineStr">
        <is>
          <t>27BBBBB01928Z5</t>
        </is>
      </c>
      <c r="B1928" t="inlineStr">
        <is>
          <t>Aug-2018</t>
        </is>
      </c>
      <c r="C1928" s="2" t="n">
        <v>43580</v>
      </c>
      <c r="D1928" t="inlineStr">
        <is>
          <t>NIL</t>
        </is>
      </c>
      <c r="E1928" t="n">
        <v>1650</v>
      </c>
    </row>
    <row r="1929">
      <c r="A1929" t="inlineStr">
        <is>
          <t>27BBBBB01929Z5</t>
        </is>
      </c>
      <c r="B1929" t="inlineStr">
        <is>
          <t>Nov-2018</t>
        </is>
      </c>
      <c r="C1929" s="2" t="n">
        <v>44004</v>
      </c>
      <c r="D1929" t="inlineStr">
        <is>
          <t>NON-NIL</t>
        </is>
      </c>
      <c r="E1929" t="n">
        <v>1892</v>
      </c>
    </row>
    <row r="1930">
      <c r="A1930" t="inlineStr">
        <is>
          <t>27BBBBB01930Z5</t>
        </is>
      </c>
      <c r="B1930" t="inlineStr">
        <is>
          <t>Jul-2020</t>
        </is>
      </c>
      <c r="C1930" s="2" t="n">
        <v>44710</v>
      </c>
      <c r="D1930" t="inlineStr">
        <is>
          <t>NIL</t>
        </is>
      </c>
      <c r="E1930" t="n">
        <v>748</v>
      </c>
    </row>
    <row r="1931">
      <c r="A1931" t="inlineStr">
        <is>
          <t>27BBBBB01931Z5</t>
        </is>
      </c>
      <c r="B1931" t="inlineStr">
        <is>
          <t>Sep-2018</t>
        </is>
      </c>
      <c r="C1931" s="2" t="n">
        <v>43320</v>
      </c>
      <c r="D1931" t="inlineStr">
        <is>
          <t>NIL</t>
        </is>
      </c>
      <c r="E1931" t="n">
        <v>1739</v>
      </c>
    </row>
    <row r="1932">
      <c r="A1932" t="inlineStr">
        <is>
          <t>27BBBBB01932Z5</t>
        </is>
      </c>
      <c r="B1932" t="inlineStr">
        <is>
          <t>Jul-2017</t>
        </is>
      </c>
      <c r="C1932" s="2" t="n">
        <v>43405</v>
      </c>
      <c r="D1932" t="inlineStr">
        <is>
          <t>NON-NIL</t>
        </is>
      </c>
      <c r="E1932" t="n">
        <v>217</v>
      </c>
    </row>
    <row r="1933">
      <c r="A1933" t="inlineStr">
        <is>
          <t>27BBBBB01933Z5</t>
        </is>
      </c>
      <c r="B1933" t="inlineStr">
        <is>
          <t>Nov-2017</t>
        </is>
      </c>
      <c r="C1933" s="2" t="n">
        <v>44327</v>
      </c>
      <c r="D1933" t="inlineStr">
        <is>
          <t>NON-NIL</t>
        </is>
      </c>
      <c r="E1933" t="n">
        <v>1393</v>
      </c>
    </row>
    <row r="1934">
      <c r="A1934" t="inlineStr">
        <is>
          <t>27BBBBB01934Z5</t>
        </is>
      </c>
      <c r="B1934" t="inlineStr">
        <is>
          <t>Jul-2017</t>
        </is>
      </c>
      <c r="C1934" s="2" t="n">
        <v>43723</v>
      </c>
      <c r="D1934" t="inlineStr">
        <is>
          <t>NIL</t>
        </is>
      </c>
      <c r="E1934" t="n">
        <v>518</v>
      </c>
    </row>
    <row r="1935">
      <c r="A1935" t="inlineStr">
        <is>
          <t>27BBBBB01935Z5</t>
        </is>
      </c>
      <c r="B1935" t="inlineStr">
        <is>
          <t>Jan-2021</t>
        </is>
      </c>
      <c r="C1935" s="2" t="n">
        <v>45362</v>
      </c>
      <c r="D1935" t="inlineStr">
        <is>
          <t>NIL</t>
        </is>
      </c>
      <c r="E1935" t="n">
        <v>2829</v>
      </c>
    </row>
    <row r="1936">
      <c r="A1936" t="inlineStr">
        <is>
          <t>27BBBBB01936Z5</t>
        </is>
      </c>
      <c r="B1936" t="inlineStr">
        <is>
          <t>Jul-2020</t>
        </is>
      </c>
      <c r="C1936" s="2" t="n">
        <v>44546</v>
      </c>
      <c r="D1936" t="inlineStr">
        <is>
          <t>NIL</t>
        </is>
      </c>
      <c r="E1936" t="n">
        <v>1127</v>
      </c>
    </row>
    <row r="1937">
      <c r="A1937" t="inlineStr">
        <is>
          <t>27BBBBB01937Z5</t>
        </is>
      </c>
      <c r="B1937" t="inlineStr">
        <is>
          <t>Sep-2017</t>
        </is>
      </c>
      <c r="C1937" s="2" t="n">
        <v>44270</v>
      </c>
      <c r="D1937" t="inlineStr">
        <is>
          <t>NON-NIL</t>
        </is>
      </c>
      <c r="E1937" t="n">
        <v>2492</v>
      </c>
    </row>
    <row r="1938">
      <c r="A1938" t="inlineStr">
        <is>
          <t>27BBBBB01938Z5</t>
        </is>
      </c>
      <c r="B1938" t="inlineStr">
        <is>
          <t>Mar-2023</t>
        </is>
      </c>
      <c r="C1938" s="2" t="n">
        <v>44519</v>
      </c>
      <c r="D1938" t="inlineStr">
        <is>
          <t>NON-NIL</t>
        </is>
      </c>
      <c r="E1938" t="n">
        <v>1766</v>
      </c>
    </row>
    <row r="1939">
      <c r="A1939" t="inlineStr">
        <is>
          <t>27BBBBB01939Z5</t>
        </is>
      </c>
      <c r="B1939" t="inlineStr">
        <is>
          <t>Apr-2018</t>
        </is>
      </c>
      <c r="C1939" s="2" t="n">
        <v>43698</v>
      </c>
      <c r="D1939" t="inlineStr">
        <is>
          <t>NON-NIL</t>
        </is>
      </c>
      <c r="E1939" t="n">
        <v>1551</v>
      </c>
    </row>
    <row r="1940">
      <c r="A1940" t="inlineStr">
        <is>
          <t>27BBBBB01940Z5</t>
        </is>
      </c>
      <c r="B1940" t="inlineStr">
        <is>
          <t>Sep-2018</t>
        </is>
      </c>
      <c r="C1940" s="2" t="n">
        <v>43729</v>
      </c>
      <c r="D1940" t="inlineStr">
        <is>
          <t>NON-NIL</t>
        </is>
      </c>
      <c r="E1940" t="n">
        <v>1686</v>
      </c>
    </row>
    <row r="1941">
      <c r="A1941" t="inlineStr">
        <is>
          <t>27BBBBB01941Z5</t>
        </is>
      </c>
      <c r="B1941" t="inlineStr">
        <is>
          <t>Apr-2020</t>
        </is>
      </c>
      <c r="C1941" s="2" t="n">
        <v>44076</v>
      </c>
      <c r="D1941" t="inlineStr">
        <is>
          <t>NON-NIL</t>
        </is>
      </c>
      <c r="E1941" t="n">
        <v>679</v>
      </c>
    </row>
    <row r="1942">
      <c r="A1942" t="inlineStr">
        <is>
          <t>27BBBBB01942Z5</t>
        </is>
      </c>
      <c r="B1942" t="inlineStr">
        <is>
          <t>Jul-2020</t>
        </is>
      </c>
      <c r="C1942" s="2" t="n">
        <v>44865</v>
      </c>
      <c r="D1942" t="inlineStr">
        <is>
          <t>NON-NIL</t>
        </is>
      </c>
      <c r="E1942" t="n">
        <v>34</v>
      </c>
    </row>
    <row r="1943">
      <c r="A1943" t="inlineStr">
        <is>
          <t>27BBBBB01943Z5</t>
        </is>
      </c>
      <c r="B1943" t="inlineStr">
        <is>
          <t>Jul-2017</t>
        </is>
      </c>
      <c r="C1943" s="2" t="n">
        <v>42927</v>
      </c>
      <c r="D1943" t="inlineStr">
        <is>
          <t>NIL</t>
        </is>
      </c>
      <c r="E1943" t="n">
        <v>2857</v>
      </c>
    </row>
    <row r="1944">
      <c r="A1944" t="inlineStr">
        <is>
          <t>27BBBBB01944Z5</t>
        </is>
      </c>
      <c r="B1944" t="inlineStr">
        <is>
          <t>Oct-2017</t>
        </is>
      </c>
      <c r="C1944" s="2" t="n">
        <v>43350</v>
      </c>
      <c r="D1944" t="inlineStr">
        <is>
          <t>NON-NIL</t>
        </is>
      </c>
      <c r="E1944" t="n">
        <v>1077</v>
      </c>
    </row>
    <row r="1945">
      <c r="A1945" t="inlineStr">
        <is>
          <t>27BBBBB01945Z5</t>
        </is>
      </c>
      <c r="B1945" t="inlineStr">
        <is>
          <t>Jan-2018</t>
        </is>
      </c>
      <c r="C1945" s="2" t="n">
        <v>43833</v>
      </c>
      <c r="D1945" t="inlineStr">
        <is>
          <t>NON-NIL</t>
        </is>
      </c>
      <c r="E1945" t="n">
        <v>2003</v>
      </c>
    </row>
    <row r="1946">
      <c r="A1946" t="inlineStr">
        <is>
          <t>27BBBBB01946Z5</t>
        </is>
      </c>
      <c r="B1946" t="inlineStr">
        <is>
          <t>Jan-2021</t>
        </is>
      </c>
      <c r="C1946" s="2" t="n">
        <v>43865</v>
      </c>
      <c r="D1946" t="inlineStr">
        <is>
          <t>NIL</t>
        </is>
      </c>
      <c r="E1946" t="n">
        <v>1944</v>
      </c>
    </row>
    <row r="1947">
      <c r="A1947" t="inlineStr">
        <is>
          <t>27BBBBB01947Z5</t>
        </is>
      </c>
      <c r="B1947" t="inlineStr">
        <is>
          <t>Feb-2018</t>
        </is>
      </c>
      <c r="C1947" s="2" t="n">
        <v>43956</v>
      </c>
      <c r="D1947" t="inlineStr">
        <is>
          <t>NIL</t>
        </is>
      </c>
      <c r="E1947" t="n">
        <v>780</v>
      </c>
    </row>
    <row r="1948">
      <c r="A1948" t="inlineStr">
        <is>
          <t>27BBBBB01948Z5</t>
        </is>
      </c>
      <c r="B1948" t="inlineStr">
        <is>
          <t>Dec-2017</t>
        </is>
      </c>
      <c r="C1948" s="2" t="n">
        <v>43218</v>
      </c>
      <c r="D1948" t="inlineStr">
        <is>
          <t>NON-NIL</t>
        </is>
      </c>
      <c r="E1948" t="n">
        <v>2963</v>
      </c>
    </row>
    <row r="1949">
      <c r="A1949" t="inlineStr">
        <is>
          <t>27BBBBB01949Z5</t>
        </is>
      </c>
      <c r="B1949" t="inlineStr">
        <is>
          <t>Jun-2020</t>
        </is>
      </c>
      <c r="C1949" s="2" t="n">
        <v>44287</v>
      </c>
      <c r="D1949" t="inlineStr">
        <is>
          <t>NIL</t>
        </is>
      </c>
      <c r="E1949" t="n">
        <v>1969</v>
      </c>
    </row>
    <row r="1950">
      <c r="A1950" t="inlineStr">
        <is>
          <t>27BBBBB01950Z5</t>
        </is>
      </c>
      <c r="B1950" t="inlineStr">
        <is>
          <t>Aug-2018</t>
        </is>
      </c>
      <c r="C1950" s="2" t="n">
        <v>44515</v>
      </c>
      <c r="D1950" t="inlineStr">
        <is>
          <t>NIL</t>
        </is>
      </c>
      <c r="E1950" t="n">
        <v>2630</v>
      </c>
    </row>
    <row r="1951">
      <c r="A1951" t="inlineStr">
        <is>
          <t>27BBBBB01951Z5</t>
        </is>
      </c>
      <c r="B1951" t="inlineStr">
        <is>
          <t>Jan-2021</t>
        </is>
      </c>
      <c r="C1951" s="2" t="n">
        <v>44044</v>
      </c>
      <c r="D1951" t="inlineStr">
        <is>
          <t>NIL</t>
        </is>
      </c>
      <c r="E1951" t="n">
        <v>2951</v>
      </c>
    </row>
    <row r="1952">
      <c r="A1952" t="inlineStr">
        <is>
          <t>27BBBBB01952Z5</t>
        </is>
      </c>
      <c r="B1952" t="inlineStr">
        <is>
          <t>Feb-2018</t>
        </is>
      </c>
      <c r="C1952" s="2" t="n">
        <v>43467</v>
      </c>
      <c r="D1952" t="inlineStr">
        <is>
          <t>NON-NIL</t>
        </is>
      </c>
      <c r="E1952" t="n">
        <v>181</v>
      </c>
    </row>
    <row r="1953">
      <c r="A1953" t="inlineStr">
        <is>
          <t>27BBBBB01953Z5</t>
        </is>
      </c>
      <c r="B1953" t="inlineStr">
        <is>
          <t>Oct-2017</t>
        </is>
      </c>
      <c r="C1953" s="2" t="n">
        <v>43618</v>
      </c>
      <c r="D1953" t="inlineStr">
        <is>
          <t>NON-NIL</t>
        </is>
      </c>
      <c r="E1953" t="n">
        <v>485</v>
      </c>
    </row>
    <row r="1954">
      <c r="A1954" t="inlineStr">
        <is>
          <t>27BBBBB01954Z5</t>
        </is>
      </c>
      <c r="B1954" t="inlineStr">
        <is>
          <t>Oct-2018</t>
        </is>
      </c>
      <c r="C1954" s="2" t="n">
        <v>43928</v>
      </c>
      <c r="D1954" t="inlineStr">
        <is>
          <t>NON-NIL</t>
        </is>
      </c>
      <c r="E1954" t="n">
        <v>1511</v>
      </c>
    </row>
    <row r="1955">
      <c r="A1955" t="inlineStr">
        <is>
          <t>27BBBBB01955Z5</t>
        </is>
      </c>
      <c r="B1955" t="inlineStr">
        <is>
          <t>Sep-2018</t>
        </is>
      </c>
      <c r="C1955" s="2" t="n">
        <v>44020</v>
      </c>
      <c r="D1955" t="inlineStr">
        <is>
          <t>NON-NIL</t>
        </is>
      </c>
      <c r="E1955" t="n">
        <v>1790</v>
      </c>
    </row>
    <row r="1956">
      <c r="A1956" t="inlineStr">
        <is>
          <t>27BBBBB01956Z5</t>
        </is>
      </c>
      <c r="B1956" t="inlineStr">
        <is>
          <t>Sep-2017</t>
        </is>
      </c>
      <c r="C1956" s="2" t="n">
        <v>43003</v>
      </c>
      <c r="D1956" t="inlineStr">
        <is>
          <t>NIL</t>
        </is>
      </c>
      <c r="E1956" t="n">
        <v>146</v>
      </c>
    </row>
    <row r="1957">
      <c r="A1957" t="inlineStr">
        <is>
          <t>27BBBBB01957Z5</t>
        </is>
      </c>
      <c r="B1957" t="inlineStr">
        <is>
          <t>Jul-2017</t>
        </is>
      </c>
      <c r="C1957" s="2" t="n">
        <v>43636</v>
      </c>
      <c r="D1957" t="inlineStr">
        <is>
          <t>NIL</t>
        </is>
      </c>
      <c r="E1957" t="n">
        <v>502</v>
      </c>
    </row>
    <row r="1958">
      <c r="A1958" t="inlineStr">
        <is>
          <t>27BBBBB01958Z5</t>
        </is>
      </c>
      <c r="B1958" t="inlineStr">
        <is>
          <t>Nov-2018</t>
        </is>
      </c>
      <c r="C1958" s="2" t="n">
        <v>43697</v>
      </c>
      <c r="D1958" t="inlineStr">
        <is>
          <t>NIL</t>
        </is>
      </c>
      <c r="E1958" t="n">
        <v>2638</v>
      </c>
    </row>
    <row r="1959">
      <c r="A1959" t="inlineStr">
        <is>
          <t>27BBBBB01959Z5</t>
        </is>
      </c>
      <c r="B1959" t="inlineStr">
        <is>
          <t>Jan-2021</t>
        </is>
      </c>
      <c r="C1959" s="2" t="n">
        <v>44564</v>
      </c>
      <c r="D1959" t="inlineStr">
        <is>
          <t>NON-NIL</t>
        </is>
      </c>
      <c r="E1959" t="n">
        <v>2491</v>
      </c>
    </row>
    <row r="1960">
      <c r="A1960" t="inlineStr">
        <is>
          <t>27BBBBB01960Z5</t>
        </is>
      </c>
      <c r="B1960" t="inlineStr">
        <is>
          <t>Mar-2021</t>
        </is>
      </c>
      <c r="C1960" s="2" t="n">
        <v>44443</v>
      </c>
      <c r="D1960" t="inlineStr">
        <is>
          <t>NIL</t>
        </is>
      </c>
      <c r="E1960" t="n">
        <v>2562</v>
      </c>
    </row>
    <row r="1961">
      <c r="A1961" t="inlineStr">
        <is>
          <t>27BBBBB01961Z5</t>
        </is>
      </c>
      <c r="B1961" t="inlineStr">
        <is>
          <t>Jan-2018</t>
        </is>
      </c>
      <c r="C1961" s="2" t="n">
        <v>43534</v>
      </c>
      <c r="D1961" t="inlineStr">
        <is>
          <t>NIL</t>
        </is>
      </c>
      <c r="E1961" t="n">
        <v>1168</v>
      </c>
    </row>
    <row r="1962">
      <c r="A1962" t="inlineStr">
        <is>
          <t>27BBBBB01962Z5</t>
        </is>
      </c>
      <c r="B1962" t="inlineStr">
        <is>
          <t>Aug-2017</t>
        </is>
      </c>
      <c r="C1962" s="2" t="n">
        <v>43179</v>
      </c>
      <c r="D1962" t="inlineStr">
        <is>
          <t>NON-NIL</t>
        </is>
      </c>
      <c r="E1962" t="n">
        <v>2411</v>
      </c>
    </row>
    <row r="1963">
      <c r="A1963" t="inlineStr">
        <is>
          <t>27BBBBB01963Z5</t>
        </is>
      </c>
      <c r="B1963" t="inlineStr">
        <is>
          <t>May-2020</t>
        </is>
      </c>
      <c r="C1963" s="2" t="n">
        <v>44627</v>
      </c>
      <c r="D1963" t="inlineStr">
        <is>
          <t>NIL</t>
        </is>
      </c>
      <c r="E1963" t="n">
        <v>353</v>
      </c>
    </row>
    <row r="1964">
      <c r="A1964" t="inlineStr">
        <is>
          <t>27BBBBB01964Z5</t>
        </is>
      </c>
      <c r="B1964" t="inlineStr">
        <is>
          <t>May-2018</t>
        </is>
      </c>
      <c r="C1964" s="2" t="n">
        <v>44349</v>
      </c>
      <c r="D1964" t="inlineStr">
        <is>
          <t>NON-NIL</t>
        </is>
      </c>
      <c r="E1964" t="n">
        <v>2594</v>
      </c>
    </row>
    <row r="1965">
      <c r="A1965" t="inlineStr">
        <is>
          <t>27BBBBB01965Z5</t>
        </is>
      </c>
      <c r="B1965" t="inlineStr">
        <is>
          <t>Jun-2018</t>
        </is>
      </c>
      <c r="C1965" s="2" t="n">
        <v>44301</v>
      </c>
      <c r="D1965" t="inlineStr">
        <is>
          <t>NIL</t>
        </is>
      </c>
      <c r="E1965" t="n">
        <v>2656</v>
      </c>
    </row>
    <row r="1966">
      <c r="A1966" t="inlineStr">
        <is>
          <t>27BBBBB01966Z5</t>
        </is>
      </c>
      <c r="B1966" t="inlineStr">
        <is>
          <t>Jul-2017</t>
        </is>
      </c>
      <c r="C1966" s="2" t="n">
        <v>43947</v>
      </c>
      <c r="D1966" t="inlineStr">
        <is>
          <t>NON-NIL</t>
        </is>
      </c>
      <c r="E1966" t="n">
        <v>1517</v>
      </c>
    </row>
    <row r="1967">
      <c r="A1967" t="inlineStr">
        <is>
          <t>27BBBBB01967Z5</t>
        </is>
      </c>
      <c r="B1967" t="inlineStr">
        <is>
          <t>Oct-2018</t>
        </is>
      </c>
      <c r="C1967" s="2" t="n">
        <v>44498</v>
      </c>
      <c r="D1967" t="inlineStr">
        <is>
          <t>NON-NIL</t>
        </is>
      </c>
      <c r="E1967" t="n">
        <v>1887</v>
      </c>
    </row>
    <row r="1968">
      <c r="A1968" t="inlineStr">
        <is>
          <t>27BBBBB01968Z5</t>
        </is>
      </c>
      <c r="B1968" t="inlineStr">
        <is>
          <t>May-2018</t>
        </is>
      </c>
      <c r="C1968" s="2" t="n">
        <v>43118</v>
      </c>
      <c r="D1968" t="inlineStr">
        <is>
          <t>NIL</t>
        </is>
      </c>
      <c r="E1968" t="n">
        <v>449</v>
      </c>
    </row>
    <row r="1969">
      <c r="A1969" t="inlineStr">
        <is>
          <t>27BBBBB01969Z5</t>
        </is>
      </c>
      <c r="B1969" t="inlineStr">
        <is>
          <t>Nov-2018</t>
        </is>
      </c>
      <c r="C1969" s="2" t="n">
        <v>44478</v>
      </c>
      <c r="D1969" t="inlineStr">
        <is>
          <t>NIL</t>
        </is>
      </c>
      <c r="E1969" t="n">
        <v>2967</v>
      </c>
    </row>
    <row r="1970">
      <c r="A1970" t="inlineStr">
        <is>
          <t>27BBBBB01970Z5</t>
        </is>
      </c>
      <c r="B1970" t="inlineStr">
        <is>
          <t>Dec-2018</t>
        </is>
      </c>
      <c r="C1970" s="2" t="n">
        <v>43195</v>
      </c>
      <c r="D1970" t="inlineStr">
        <is>
          <t>NIL</t>
        </is>
      </c>
      <c r="E1970" t="n">
        <v>2011</v>
      </c>
    </row>
    <row r="1971">
      <c r="A1971" t="inlineStr">
        <is>
          <t>27BBBBB01971Z5</t>
        </is>
      </c>
      <c r="B1971" t="inlineStr">
        <is>
          <t>Aug-2017</t>
        </is>
      </c>
      <c r="C1971" s="2" t="n">
        <v>44279</v>
      </c>
      <c r="D1971" t="inlineStr">
        <is>
          <t>NON-NIL</t>
        </is>
      </c>
      <c r="E1971" t="n">
        <v>1124</v>
      </c>
    </row>
    <row r="1972">
      <c r="A1972" t="inlineStr">
        <is>
          <t>27BBBBB01972Z5</t>
        </is>
      </c>
      <c r="B1972" t="inlineStr">
        <is>
          <t>Mar-2018</t>
        </is>
      </c>
      <c r="C1972" s="2" t="n">
        <v>43711</v>
      </c>
      <c r="D1972" t="inlineStr">
        <is>
          <t>NON-NIL</t>
        </is>
      </c>
      <c r="E1972" t="n">
        <v>67</v>
      </c>
    </row>
    <row r="1973">
      <c r="A1973" t="inlineStr">
        <is>
          <t>27BBBBB01973Z5</t>
        </is>
      </c>
      <c r="B1973" t="inlineStr">
        <is>
          <t>Oct-2017</t>
        </is>
      </c>
      <c r="C1973" s="2" t="n">
        <v>44284</v>
      </c>
      <c r="D1973" t="inlineStr">
        <is>
          <t>NIL</t>
        </is>
      </c>
      <c r="E1973" t="n">
        <v>2584</v>
      </c>
    </row>
    <row r="1974">
      <c r="A1974" t="inlineStr">
        <is>
          <t>27BBBBB01974Z5</t>
        </is>
      </c>
      <c r="B1974" t="inlineStr">
        <is>
          <t>Dec-2018</t>
        </is>
      </c>
      <c r="C1974" s="2" t="n">
        <v>43096</v>
      </c>
      <c r="D1974" t="inlineStr">
        <is>
          <t>NIL</t>
        </is>
      </c>
      <c r="E1974" t="n">
        <v>2074</v>
      </c>
    </row>
    <row r="1975">
      <c r="A1975" t="inlineStr">
        <is>
          <t>27BBBBB01975Z5</t>
        </is>
      </c>
      <c r="B1975" t="inlineStr">
        <is>
          <t>Jun-2018</t>
        </is>
      </c>
      <c r="C1975" s="2" t="n">
        <v>44381</v>
      </c>
      <c r="D1975" t="inlineStr">
        <is>
          <t>NON-NIL</t>
        </is>
      </c>
      <c r="E1975" t="n">
        <v>447</v>
      </c>
    </row>
    <row r="1976">
      <c r="A1976" t="inlineStr">
        <is>
          <t>27BBBBB01976Z5</t>
        </is>
      </c>
      <c r="B1976" t="inlineStr">
        <is>
          <t>Dec-2018</t>
        </is>
      </c>
      <c r="C1976" s="2" t="n">
        <v>43549</v>
      </c>
      <c r="D1976" t="inlineStr">
        <is>
          <t>NIL</t>
        </is>
      </c>
      <c r="E1976" t="n">
        <v>2523</v>
      </c>
    </row>
    <row r="1977">
      <c r="A1977" t="inlineStr">
        <is>
          <t>27BBBBB01977Z5</t>
        </is>
      </c>
      <c r="B1977" t="inlineStr">
        <is>
          <t>Feb-2018</t>
        </is>
      </c>
      <c r="C1977" s="2" t="n">
        <v>43246</v>
      </c>
      <c r="D1977" t="inlineStr">
        <is>
          <t>NON-NIL</t>
        </is>
      </c>
      <c r="E1977" t="n">
        <v>1146</v>
      </c>
    </row>
    <row r="1978">
      <c r="A1978" t="inlineStr">
        <is>
          <t>27BBBBB01978Z5</t>
        </is>
      </c>
      <c r="B1978" t="inlineStr">
        <is>
          <t>May-2018</t>
        </is>
      </c>
      <c r="C1978" s="2" t="n">
        <v>43845</v>
      </c>
      <c r="D1978" t="inlineStr">
        <is>
          <t>NIL</t>
        </is>
      </c>
      <c r="E1978" t="n">
        <v>269</v>
      </c>
    </row>
    <row r="1979">
      <c r="A1979" t="inlineStr">
        <is>
          <t>27BBBBB01979Z5</t>
        </is>
      </c>
      <c r="B1979" t="inlineStr">
        <is>
          <t>Oct-2018</t>
        </is>
      </c>
      <c r="C1979" s="2" t="n">
        <v>43836</v>
      </c>
      <c r="D1979" t="inlineStr">
        <is>
          <t>NIL</t>
        </is>
      </c>
      <c r="E1979" t="n">
        <v>936</v>
      </c>
    </row>
    <row r="1980">
      <c r="A1980" t="inlineStr">
        <is>
          <t>27BBBBB01980Z5</t>
        </is>
      </c>
      <c r="B1980" t="inlineStr">
        <is>
          <t>Mar-2023</t>
        </is>
      </c>
      <c r="C1980" s="2" t="n">
        <v>45461</v>
      </c>
      <c r="D1980" t="inlineStr">
        <is>
          <t>NIL</t>
        </is>
      </c>
      <c r="E1980" t="n">
        <v>273</v>
      </c>
    </row>
    <row r="1981">
      <c r="A1981" t="inlineStr">
        <is>
          <t>27BBBBB01981Z5</t>
        </is>
      </c>
      <c r="B1981" t="inlineStr">
        <is>
          <t>Aug-2017</t>
        </is>
      </c>
      <c r="C1981" s="2" t="n">
        <v>43781</v>
      </c>
      <c r="D1981" t="inlineStr">
        <is>
          <t>NON-NIL</t>
        </is>
      </c>
      <c r="E1981" t="n">
        <v>788</v>
      </c>
    </row>
    <row r="1982">
      <c r="A1982" t="inlineStr">
        <is>
          <t>27BBBBB01982Z5</t>
        </is>
      </c>
      <c r="B1982" t="inlineStr">
        <is>
          <t>Jul-2018</t>
        </is>
      </c>
      <c r="C1982" s="2" t="n">
        <v>43007</v>
      </c>
      <c r="D1982" t="inlineStr">
        <is>
          <t>NON-NIL</t>
        </is>
      </c>
      <c r="E1982" t="n">
        <v>1206</v>
      </c>
    </row>
    <row r="1983">
      <c r="A1983" t="inlineStr">
        <is>
          <t>27BBBBB01983Z5</t>
        </is>
      </c>
      <c r="B1983" t="inlineStr">
        <is>
          <t>Dec-2022</t>
        </is>
      </c>
      <c r="C1983" s="2" t="n">
        <v>45780</v>
      </c>
      <c r="D1983" t="inlineStr">
        <is>
          <t>NON-NIL</t>
        </is>
      </c>
      <c r="E1983" t="n">
        <v>339</v>
      </c>
    </row>
    <row r="1984">
      <c r="A1984" t="inlineStr">
        <is>
          <t>27BBBBB01984Z5</t>
        </is>
      </c>
      <c r="B1984" t="inlineStr">
        <is>
          <t>Dec-2017</t>
        </is>
      </c>
      <c r="C1984" s="2" t="n">
        <v>43885</v>
      </c>
      <c r="D1984" t="inlineStr">
        <is>
          <t>NIL</t>
        </is>
      </c>
      <c r="E1984" t="n">
        <v>323</v>
      </c>
    </row>
    <row r="1985">
      <c r="A1985" t="inlineStr">
        <is>
          <t>27BBBBB01985Z5</t>
        </is>
      </c>
      <c r="B1985" t="inlineStr">
        <is>
          <t>May-2020</t>
        </is>
      </c>
      <c r="C1985" s="2" t="n">
        <v>43908</v>
      </c>
      <c r="D1985" t="inlineStr">
        <is>
          <t>NIL</t>
        </is>
      </c>
      <c r="E1985" t="n">
        <v>1589</v>
      </c>
    </row>
    <row r="1986">
      <c r="A1986" t="inlineStr">
        <is>
          <t>27BBBBB01986Z5</t>
        </is>
      </c>
      <c r="B1986" t="inlineStr">
        <is>
          <t>Dec-2017</t>
        </is>
      </c>
      <c r="C1986" s="2" t="n">
        <v>44242</v>
      </c>
      <c r="D1986" t="inlineStr">
        <is>
          <t>NON-NIL</t>
        </is>
      </c>
      <c r="E1986" t="n">
        <v>1916</v>
      </c>
    </row>
    <row r="1987">
      <c r="A1987" t="inlineStr">
        <is>
          <t>27BBBBB01987Z5</t>
        </is>
      </c>
      <c r="B1987" t="inlineStr">
        <is>
          <t>May-2018</t>
        </is>
      </c>
      <c r="C1987" s="2" t="n">
        <v>43773</v>
      </c>
      <c r="D1987" t="inlineStr">
        <is>
          <t>NIL</t>
        </is>
      </c>
      <c r="E1987" t="n">
        <v>1778</v>
      </c>
    </row>
    <row r="1988">
      <c r="A1988" t="inlineStr">
        <is>
          <t>27BBBBB01988Z5</t>
        </is>
      </c>
      <c r="B1988" t="inlineStr">
        <is>
          <t>Jul-2020</t>
        </is>
      </c>
      <c r="C1988" s="2" t="n">
        <v>43876</v>
      </c>
      <c r="D1988" t="inlineStr">
        <is>
          <t>NON-NIL</t>
        </is>
      </c>
      <c r="E1988" t="n">
        <v>474</v>
      </c>
    </row>
    <row r="1989">
      <c r="A1989" t="inlineStr">
        <is>
          <t>27BBBBB01989Z5</t>
        </is>
      </c>
      <c r="B1989" t="inlineStr">
        <is>
          <t>Nov-2018</t>
        </is>
      </c>
      <c r="C1989" s="2" t="n">
        <v>43805</v>
      </c>
      <c r="D1989" t="inlineStr">
        <is>
          <t>NON-NIL</t>
        </is>
      </c>
      <c r="E1989" t="n">
        <v>43</v>
      </c>
    </row>
    <row r="1990">
      <c r="A1990" t="inlineStr">
        <is>
          <t>27BBBBB01990Z5</t>
        </is>
      </c>
      <c r="B1990" t="inlineStr">
        <is>
          <t>Apr-2020</t>
        </is>
      </c>
      <c r="C1990" s="2" t="n">
        <v>44567</v>
      </c>
      <c r="D1990" t="inlineStr">
        <is>
          <t>NON-NIL</t>
        </is>
      </c>
      <c r="E1990" t="n">
        <v>1650</v>
      </c>
    </row>
    <row r="1991">
      <c r="A1991" t="inlineStr">
        <is>
          <t>27BBBBB01991Z5</t>
        </is>
      </c>
      <c r="B1991" t="inlineStr">
        <is>
          <t>Dec-2024</t>
        </is>
      </c>
      <c r="C1991" s="2" t="n">
        <v>43876</v>
      </c>
      <c r="D1991" t="inlineStr">
        <is>
          <t>NIL</t>
        </is>
      </c>
      <c r="E1991" t="n">
        <v>2277</v>
      </c>
    </row>
    <row r="1992">
      <c r="A1992" t="inlineStr">
        <is>
          <t>27BBBBB01992Z5</t>
        </is>
      </c>
      <c r="B1992" t="inlineStr">
        <is>
          <t>Dec-2017</t>
        </is>
      </c>
      <c r="C1992" s="2" t="n">
        <v>44044</v>
      </c>
      <c r="D1992" t="inlineStr">
        <is>
          <t>NIL</t>
        </is>
      </c>
      <c r="E1992" t="n">
        <v>356</v>
      </c>
    </row>
    <row r="1993">
      <c r="A1993" t="inlineStr">
        <is>
          <t>27BBBBB01993Z5</t>
        </is>
      </c>
      <c r="B1993" t="inlineStr">
        <is>
          <t>Jul-2020</t>
        </is>
      </c>
      <c r="C1993" s="2" t="n">
        <v>43866</v>
      </c>
      <c r="D1993" t="inlineStr">
        <is>
          <t>NON-NIL</t>
        </is>
      </c>
      <c r="E1993" t="n">
        <v>1282</v>
      </c>
    </row>
    <row r="1994">
      <c r="A1994" t="inlineStr">
        <is>
          <t>27BBBBB01994Z5</t>
        </is>
      </c>
      <c r="B1994" t="inlineStr">
        <is>
          <t>Nov-2018</t>
        </is>
      </c>
      <c r="C1994" s="2" t="n">
        <v>43799</v>
      </c>
      <c r="D1994" t="inlineStr">
        <is>
          <t>NON-NIL</t>
        </is>
      </c>
      <c r="E1994" t="n">
        <v>898</v>
      </c>
    </row>
    <row r="1995">
      <c r="A1995" t="inlineStr">
        <is>
          <t>27BBBBB01995Z5</t>
        </is>
      </c>
      <c r="B1995" t="inlineStr">
        <is>
          <t>Jun-2018</t>
        </is>
      </c>
      <c r="C1995" s="2" t="n">
        <v>44068</v>
      </c>
      <c r="D1995" t="inlineStr">
        <is>
          <t>NIL</t>
        </is>
      </c>
      <c r="E1995" t="n">
        <v>91</v>
      </c>
    </row>
    <row r="1996">
      <c r="A1996" t="inlineStr">
        <is>
          <t>27BBBBB01996Z5</t>
        </is>
      </c>
      <c r="B1996" t="inlineStr">
        <is>
          <t>Mar-2020</t>
        </is>
      </c>
      <c r="C1996" s="2" t="n">
        <v>44840</v>
      </c>
      <c r="D1996" t="inlineStr">
        <is>
          <t>NON-NIL</t>
        </is>
      </c>
      <c r="E1996" t="n">
        <v>914</v>
      </c>
    </row>
    <row r="1997">
      <c r="A1997" t="inlineStr">
        <is>
          <t>27BBBBB01997Z5</t>
        </is>
      </c>
      <c r="B1997" t="inlineStr">
        <is>
          <t>Jan-2018</t>
        </is>
      </c>
      <c r="C1997" s="2" t="n">
        <v>44332</v>
      </c>
      <c r="D1997" t="inlineStr">
        <is>
          <t>NON-NIL</t>
        </is>
      </c>
      <c r="E1997" t="n">
        <v>811</v>
      </c>
    </row>
    <row r="1998">
      <c r="A1998" t="inlineStr">
        <is>
          <t>27BBBBB01998Z5</t>
        </is>
      </c>
      <c r="B1998" t="inlineStr">
        <is>
          <t>Oct-2017</t>
        </is>
      </c>
      <c r="C1998" s="2" t="n">
        <v>43453</v>
      </c>
      <c r="D1998" t="inlineStr">
        <is>
          <t>NIL</t>
        </is>
      </c>
      <c r="E1998" t="n">
        <v>2054</v>
      </c>
    </row>
    <row r="1999">
      <c r="A1999" t="inlineStr">
        <is>
          <t>27BBBBB01999Z5</t>
        </is>
      </c>
      <c r="B1999" t="inlineStr">
        <is>
          <t>May-2020</t>
        </is>
      </c>
      <c r="C1999" s="2" t="n">
        <v>44666</v>
      </c>
      <c r="D1999" t="inlineStr">
        <is>
          <t>NIL</t>
        </is>
      </c>
      <c r="E1999" t="n">
        <v>2113</v>
      </c>
    </row>
    <row r="2000">
      <c r="A2000" t="inlineStr">
        <is>
          <t>27BBBBB02000Z5</t>
        </is>
      </c>
      <c r="B2000" t="inlineStr">
        <is>
          <t>Jun-2020</t>
        </is>
      </c>
      <c r="C2000" s="2" t="n">
        <v>44658</v>
      </c>
      <c r="D2000" t="inlineStr">
        <is>
          <t>NIL</t>
        </is>
      </c>
      <c r="E2000" t="n">
        <v>2700</v>
      </c>
    </row>
    <row r="2001">
      <c r="A2001" t="inlineStr">
        <is>
          <t>27BBBBB02001Z5</t>
        </is>
      </c>
      <c r="B2001" t="inlineStr">
        <is>
          <t>Oct-2018</t>
        </is>
      </c>
      <c r="C2001" s="2" t="n">
        <v>43571</v>
      </c>
      <c r="D2001" t="inlineStr">
        <is>
          <t>NON-NIL</t>
        </is>
      </c>
      <c r="E2001" t="n">
        <v>2234</v>
      </c>
    </row>
    <row r="2002">
      <c r="A2002" t="inlineStr">
        <is>
          <t>27BBBBB02002Z5</t>
        </is>
      </c>
      <c r="B2002" t="inlineStr">
        <is>
          <t>Aug-2018</t>
        </is>
      </c>
      <c r="C2002" s="2" t="n">
        <v>43363</v>
      </c>
      <c r="D2002" t="inlineStr">
        <is>
          <t>NON-NIL</t>
        </is>
      </c>
      <c r="E2002" t="n">
        <v>1299</v>
      </c>
    </row>
    <row r="2003">
      <c r="A2003" t="inlineStr">
        <is>
          <t>27BBBBB02003Z5</t>
        </is>
      </c>
      <c r="B2003" t="inlineStr">
        <is>
          <t>Jun-2020</t>
        </is>
      </c>
      <c r="C2003" s="2" t="n">
        <v>44393</v>
      </c>
      <c r="D2003" t="inlineStr">
        <is>
          <t>NON-NIL</t>
        </is>
      </c>
      <c r="E2003" t="n">
        <v>1145</v>
      </c>
    </row>
    <row r="2004">
      <c r="A2004" t="inlineStr">
        <is>
          <t>27BBBBB02004Z5</t>
        </is>
      </c>
      <c r="B2004" t="inlineStr">
        <is>
          <t>Jun-2020</t>
        </is>
      </c>
      <c r="C2004" s="2" t="n">
        <v>44178</v>
      </c>
      <c r="D2004" t="inlineStr">
        <is>
          <t>NIL</t>
        </is>
      </c>
      <c r="E2004" t="n">
        <v>117</v>
      </c>
    </row>
    <row r="2005">
      <c r="A2005" t="inlineStr">
        <is>
          <t>27BBBBB02005Z5</t>
        </is>
      </c>
      <c r="B2005" t="inlineStr">
        <is>
          <t>Aug-2018</t>
        </is>
      </c>
      <c r="C2005" s="2" t="n">
        <v>44489</v>
      </c>
      <c r="D2005" t="inlineStr">
        <is>
          <t>NIL</t>
        </is>
      </c>
      <c r="E2005" t="n">
        <v>1385</v>
      </c>
    </row>
    <row r="2006">
      <c r="A2006" t="inlineStr">
        <is>
          <t>27BBBBB02006Z5</t>
        </is>
      </c>
      <c r="B2006" t="inlineStr">
        <is>
          <t>Mar-2021</t>
        </is>
      </c>
      <c r="C2006" s="2" t="n">
        <v>44871</v>
      </c>
      <c r="D2006" t="inlineStr">
        <is>
          <t>NIL</t>
        </is>
      </c>
      <c r="E2006" t="n">
        <v>223</v>
      </c>
    </row>
    <row r="2007">
      <c r="A2007" t="inlineStr">
        <is>
          <t>27BBBBB02007Z5</t>
        </is>
      </c>
      <c r="B2007" t="inlineStr">
        <is>
          <t>Jul-2017</t>
        </is>
      </c>
      <c r="C2007" s="2" t="n">
        <v>43322</v>
      </c>
      <c r="D2007" t="inlineStr">
        <is>
          <t>NON-NIL</t>
        </is>
      </c>
      <c r="E2007" t="n">
        <v>2190</v>
      </c>
    </row>
    <row r="2008">
      <c r="A2008" t="inlineStr">
        <is>
          <t>27BBBBB02008Z5</t>
        </is>
      </c>
      <c r="B2008" t="inlineStr">
        <is>
          <t>Aug-2017</t>
        </is>
      </c>
      <c r="C2008" s="2" t="n">
        <v>44276</v>
      </c>
      <c r="D2008" t="inlineStr">
        <is>
          <t>NON-NIL</t>
        </is>
      </c>
      <c r="E2008" t="n">
        <v>1508</v>
      </c>
    </row>
    <row r="2009">
      <c r="A2009" t="inlineStr">
        <is>
          <t>27BBBBB02009Z5</t>
        </is>
      </c>
      <c r="B2009" t="inlineStr">
        <is>
          <t>Jul-2018</t>
        </is>
      </c>
      <c r="C2009" s="2" t="n">
        <v>44199</v>
      </c>
      <c r="D2009" t="inlineStr">
        <is>
          <t>NIL</t>
        </is>
      </c>
      <c r="E2009" t="n">
        <v>1040</v>
      </c>
    </row>
    <row r="2010">
      <c r="A2010" t="inlineStr">
        <is>
          <t>27BBBBB02010Z5</t>
        </is>
      </c>
      <c r="B2010" t="inlineStr">
        <is>
          <t>Jan-2021</t>
        </is>
      </c>
      <c r="C2010" s="2" t="n">
        <v>44653</v>
      </c>
      <c r="D2010" t="inlineStr">
        <is>
          <t>NIL</t>
        </is>
      </c>
      <c r="E2010" t="n">
        <v>2945</v>
      </c>
    </row>
    <row r="2011">
      <c r="A2011" t="inlineStr">
        <is>
          <t>27BBBBB02011Z5</t>
        </is>
      </c>
      <c r="B2011" t="inlineStr">
        <is>
          <t>Dec-2024</t>
        </is>
      </c>
      <c r="C2011" s="2" t="n">
        <v>43626</v>
      </c>
      <c r="D2011" t="inlineStr">
        <is>
          <t>NON-NIL</t>
        </is>
      </c>
      <c r="E2011" t="n">
        <v>952</v>
      </c>
    </row>
    <row r="2012">
      <c r="A2012" t="inlineStr">
        <is>
          <t>27BBBBB02012Z5</t>
        </is>
      </c>
      <c r="B2012" t="inlineStr">
        <is>
          <t>Apr-2018</t>
        </is>
      </c>
      <c r="C2012" s="2" t="n">
        <v>44058</v>
      </c>
      <c r="D2012" t="inlineStr">
        <is>
          <t>NIL</t>
        </is>
      </c>
      <c r="E2012" t="n">
        <v>349</v>
      </c>
    </row>
    <row r="2013">
      <c r="A2013" t="inlineStr">
        <is>
          <t>27BBBBB02013Z5</t>
        </is>
      </c>
      <c r="B2013" t="inlineStr">
        <is>
          <t>Apr-2020</t>
        </is>
      </c>
      <c r="C2013" s="2" t="n">
        <v>44212</v>
      </c>
      <c r="D2013" t="inlineStr">
        <is>
          <t>NON-NIL</t>
        </is>
      </c>
      <c r="E2013" t="n">
        <v>2968</v>
      </c>
    </row>
    <row r="2014">
      <c r="A2014" t="inlineStr">
        <is>
          <t>27BBBBB02014Z5</t>
        </is>
      </c>
      <c r="B2014" t="inlineStr">
        <is>
          <t>Dec-2017</t>
        </is>
      </c>
      <c r="C2014" s="2" t="n">
        <v>43844</v>
      </c>
      <c r="D2014" t="inlineStr">
        <is>
          <t>NON-NIL</t>
        </is>
      </c>
      <c r="E2014" t="n">
        <v>2072</v>
      </c>
    </row>
    <row r="2015">
      <c r="A2015" t="inlineStr">
        <is>
          <t>27BBBBB02015Z5</t>
        </is>
      </c>
      <c r="B2015" t="inlineStr">
        <is>
          <t>Dec-2022</t>
        </is>
      </c>
      <c r="C2015" s="2" t="n">
        <v>44324</v>
      </c>
      <c r="D2015" t="inlineStr">
        <is>
          <t>NON-NIL</t>
        </is>
      </c>
      <c r="E2015" t="n">
        <v>192</v>
      </c>
    </row>
    <row r="2016">
      <c r="A2016" t="inlineStr">
        <is>
          <t>27BBBBB02016Z5</t>
        </is>
      </c>
      <c r="B2016" t="inlineStr">
        <is>
          <t>Oct-2018</t>
        </is>
      </c>
      <c r="C2016" s="2" t="n">
        <v>44110</v>
      </c>
      <c r="D2016" t="inlineStr">
        <is>
          <t>NIL</t>
        </is>
      </c>
      <c r="E2016" t="n">
        <v>563</v>
      </c>
    </row>
    <row r="2017">
      <c r="A2017" t="inlineStr">
        <is>
          <t>27BBBBB02017Z5</t>
        </is>
      </c>
      <c r="B2017" t="inlineStr">
        <is>
          <t>Nov-2018</t>
        </is>
      </c>
      <c r="C2017" s="2" t="n">
        <v>43078</v>
      </c>
      <c r="D2017" t="inlineStr">
        <is>
          <t>NIL</t>
        </is>
      </c>
      <c r="E2017" t="n">
        <v>1581</v>
      </c>
    </row>
    <row r="2018">
      <c r="A2018" t="inlineStr">
        <is>
          <t>27BBBBB02018Z5</t>
        </is>
      </c>
      <c r="B2018" t="inlineStr">
        <is>
          <t>Jun-2020</t>
        </is>
      </c>
      <c r="C2018" s="2" t="n">
        <v>44801</v>
      </c>
      <c r="D2018" t="inlineStr">
        <is>
          <t>NIL</t>
        </is>
      </c>
      <c r="E2018" t="n">
        <v>2011</v>
      </c>
    </row>
    <row r="2019">
      <c r="A2019" t="inlineStr">
        <is>
          <t>27BBBBB02019Z5</t>
        </is>
      </c>
      <c r="B2019" t="inlineStr">
        <is>
          <t>Sep-2018</t>
        </is>
      </c>
      <c r="C2019" s="2" t="n">
        <v>44279</v>
      </c>
      <c r="D2019" t="inlineStr">
        <is>
          <t>NIL</t>
        </is>
      </c>
      <c r="E2019" t="n">
        <v>488</v>
      </c>
    </row>
    <row r="2020">
      <c r="A2020" t="inlineStr">
        <is>
          <t>27BBBBB02020Z5</t>
        </is>
      </c>
      <c r="B2020" t="inlineStr">
        <is>
          <t>Jul-2017</t>
        </is>
      </c>
      <c r="C2020" s="2" t="n">
        <v>43379</v>
      </c>
      <c r="D2020" t="inlineStr">
        <is>
          <t>NON-NIL</t>
        </is>
      </c>
      <c r="E2020" t="n">
        <v>178</v>
      </c>
    </row>
    <row r="2021">
      <c r="A2021" t="inlineStr">
        <is>
          <t>27BBBBB02021Z5</t>
        </is>
      </c>
      <c r="B2021" t="inlineStr">
        <is>
          <t>Dec-2017</t>
        </is>
      </c>
      <c r="C2021" s="2" t="n">
        <v>43026</v>
      </c>
      <c r="D2021" t="inlineStr">
        <is>
          <t>NON-NIL</t>
        </is>
      </c>
      <c r="E2021" t="n">
        <v>896</v>
      </c>
    </row>
    <row r="2022">
      <c r="A2022" t="inlineStr">
        <is>
          <t>27BBBBB02022Z5</t>
        </is>
      </c>
      <c r="B2022" t="inlineStr">
        <is>
          <t>Aug-2018</t>
        </is>
      </c>
      <c r="C2022" s="2" t="n">
        <v>43052</v>
      </c>
      <c r="D2022" t="inlineStr">
        <is>
          <t>NON-NIL</t>
        </is>
      </c>
      <c r="E2022" t="n">
        <v>1273</v>
      </c>
    </row>
    <row r="2023">
      <c r="A2023" t="inlineStr">
        <is>
          <t>27BBBBB02023Z5</t>
        </is>
      </c>
      <c r="B2023" t="inlineStr">
        <is>
          <t>May-2018</t>
        </is>
      </c>
      <c r="C2023" s="2" t="n">
        <v>43848</v>
      </c>
      <c r="D2023" t="inlineStr">
        <is>
          <t>NON-NIL</t>
        </is>
      </c>
      <c r="E2023" t="n">
        <v>432</v>
      </c>
    </row>
    <row r="2024">
      <c r="A2024" t="inlineStr">
        <is>
          <t>27BBBBB02024Z5</t>
        </is>
      </c>
      <c r="B2024" t="inlineStr">
        <is>
          <t>Oct-2018</t>
        </is>
      </c>
      <c r="C2024" s="2" t="n">
        <v>44200</v>
      </c>
      <c r="D2024" t="inlineStr">
        <is>
          <t>NIL</t>
        </is>
      </c>
      <c r="E2024" t="n">
        <v>2056</v>
      </c>
    </row>
    <row r="2025">
      <c r="A2025" t="inlineStr">
        <is>
          <t>27BBBBB02025Z5</t>
        </is>
      </c>
      <c r="B2025" t="inlineStr">
        <is>
          <t>Mar-2018</t>
        </is>
      </c>
      <c r="C2025" s="2" t="n">
        <v>44225</v>
      </c>
      <c r="D2025" t="inlineStr">
        <is>
          <t>NIL</t>
        </is>
      </c>
      <c r="E2025" t="n">
        <v>73</v>
      </c>
    </row>
    <row r="2026">
      <c r="A2026" t="inlineStr">
        <is>
          <t>27BBBBB02026Z5</t>
        </is>
      </c>
      <c r="B2026" t="inlineStr">
        <is>
          <t>Dec-2022</t>
        </is>
      </c>
      <c r="C2026" s="2" t="n">
        <v>43720</v>
      </c>
      <c r="D2026" t="inlineStr">
        <is>
          <t>NIL</t>
        </is>
      </c>
      <c r="E2026" t="n">
        <v>62</v>
      </c>
    </row>
    <row r="2027">
      <c r="A2027" t="inlineStr">
        <is>
          <t>27BBBBB02027Z5</t>
        </is>
      </c>
      <c r="B2027" t="inlineStr">
        <is>
          <t>Mar-2023</t>
        </is>
      </c>
      <c r="C2027" s="2" t="n">
        <v>43835</v>
      </c>
      <c r="D2027" t="inlineStr">
        <is>
          <t>NIL</t>
        </is>
      </c>
      <c r="E2027" t="n">
        <v>978</v>
      </c>
    </row>
    <row r="2028">
      <c r="A2028" t="inlineStr">
        <is>
          <t>27BBBBB02028Z5</t>
        </is>
      </c>
      <c r="B2028" t="inlineStr">
        <is>
          <t>Aug-2017</t>
        </is>
      </c>
      <c r="C2028" s="2" t="n">
        <v>44324</v>
      </c>
      <c r="D2028" t="inlineStr">
        <is>
          <t>NIL</t>
        </is>
      </c>
      <c r="E2028" t="n">
        <v>2955</v>
      </c>
    </row>
    <row r="2029">
      <c r="A2029" t="inlineStr">
        <is>
          <t>27BBBBB02029Z5</t>
        </is>
      </c>
      <c r="B2029" t="inlineStr">
        <is>
          <t>Oct-2017</t>
        </is>
      </c>
      <c r="C2029" s="2" t="n">
        <v>43482</v>
      </c>
      <c r="D2029" t="inlineStr">
        <is>
          <t>NIL</t>
        </is>
      </c>
      <c r="E2029" t="n">
        <v>1045</v>
      </c>
    </row>
    <row r="2030">
      <c r="A2030" t="inlineStr">
        <is>
          <t>27BBBBB02030Z5</t>
        </is>
      </c>
      <c r="B2030" t="inlineStr">
        <is>
          <t>Jul-2017</t>
        </is>
      </c>
      <c r="C2030" s="2" t="n">
        <v>43080</v>
      </c>
      <c r="D2030" t="inlineStr">
        <is>
          <t>NIL</t>
        </is>
      </c>
      <c r="E2030" t="n">
        <v>2976</v>
      </c>
    </row>
    <row r="2031">
      <c r="A2031" t="inlineStr">
        <is>
          <t>27BBBBB02031Z5</t>
        </is>
      </c>
      <c r="B2031" t="inlineStr">
        <is>
          <t>Mar-2023</t>
        </is>
      </c>
      <c r="C2031" s="2" t="n">
        <v>44478</v>
      </c>
      <c r="D2031" t="inlineStr">
        <is>
          <t>NIL</t>
        </is>
      </c>
      <c r="E2031" t="n">
        <v>446</v>
      </c>
    </row>
    <row r="2032">
      <c r="A2032" t="inlineStr">
        <is>
          <t>27BBBBB02032Z5</t>
        </is>
      </c>
      <c r="B2032" t="inlineStr">
        <is>
          <t>Jun-2018</t>
        </is>
      </c>
      <c r="C2032" s="2" t="n">
        <v>44269</v>
      </c>
      <c r="D2032" t="inlineStr">
        <is>
          <t>NIL</t>
        </is>
      </c>
      <c r="E2032" t="n">
        <v>2376</v>
      </c>
    </row>
    <row r="2033">
      <c r="A2033" t="inlineStr">
        <is>
          <t>27BBBBB02033Z5</t>
        </is>
      </c>
      <c r="B2033" t="inlineStr">
        <is>
          <t>Nov-2017</t>
        </is>
      </c>
      <c r="C2033" s="2" t="n">
        <v>43871</v>
      </c>
      <c r="D2033" t="inlineStr">
        <is>
          <t>NON-NIL</t>
        </is>
      </c>
      <c r="E2033" t="n">
        <v>603</v>
      </c>
    </row>
    <row r="2034">
      <c r="A2034" t="inlineStr">
        <is>
          <t>27BBBBB02034Z5</t>
        </is>
      </c>
      <c r="B2034" t="inlineStr">
        <is>
          <t>Mar-2018</t>
        </is>
      </c>
      <c r="C2034" s="2" t="n">
        <v>43508</v>
      </c>
      <c r="D2034" t="inlineStr">
        <is>
          <t>NIL</t>
        </is>
      </c>
      <c r="E2034" t="n">
        <v>2642</v>
      </c>
    </row>
    <row r="2035">
      <c r="A2035" t="inlineStr">
        <is>
          <t>27BBBBB02035Z5</t>
        </is>
      </c>
      <c r="B2035" t="inlineStr">
        <is>
          <t>Sep-2018</t>
        </is>
      </c>
      <c r="C2035" s="2" t="n">
        <v>44372</v>
      </c>
      <c r="D2035" t="inlineStr">
        <is>
          <t>NON-NIL</t>
        </is>
      </c>
      <c r="E2035" t="n">
        <v>1183</v>
      </c>
    </row>
    <row r="2036">
      <c r="A2036" t="inlineStr">
        <is>
          <t>27BBBBB02036Z5</t>
        </is>
      </c>
      <c r="B2036" t="inlineStr">
        <is>
          <t>May-2018</t>
        </is>
      </c>
      <c r="C2036" s="2" t="n">
        <v>43689</v>
      </c>
      <c r="D2036" t="inlineStr">
        <is>
          <t>NIL</t>
        </is>
      </c>
      <c r="E2036" t="n">
        <v>2120</v>
      </c>
    </row>
    <row r="2037">
      <c r="A2037" t="inlineStr">
        <is>
          <t>27BBBBB02037Z5</t>
        </is>
      </c>
      <c r="B2037" t="inlineStr">
        <is>
          <t>Jan-2021</t>
        </is>
      </c>
      <c r="C2037" s="2" t="n">
        <v>44736</v>
      </c>
      <c r="D2037" t="inlineStr">
        <is>
          <t>NON-NIL</t>
        </is>
      </c>
      <c r="E2037" t="n">
        <v>2297</v>
      </c>
    </row>
    <row r="2038">
      <c r="A2038" t="inlineStr">
        <is>
          <t>27BBBBB02038Z5</t>
        </is>
      </c>
      <c r="B2038" t="inlineStr">
        <is>
          <t>Mar-2020</t>
        </is>
      </c>
      <c r="C2038" s="2" t="n">
        <v>44033</v>
      </c>
      <c r="D2038" t="inlineStr">
        <is>
          <t>NON-NIL</t>
        </is>
      </c>
      <c r="E2038" t="n">
        <v>2819</v>
      </c>
    </row>
    <row r="2039">
      <c r="A2039" t="inlineStr">
        <is>
          <t>27BBBBB02039Z5</t>
        </is>
      </c>
      <c r="B2039" t="inlineStr">
        <is>
          <t>May-2020</t>
        </is>
      </c>
      <c r="C2039" s="2" t="n">
        <v>44232</v>
      </c>
      <c r="D2039" t="inlineStr">
        <is>
          <t>NIL</t>
        </is>
      </c>
      <c r="E2039" t="n">
        <v>1626</v>
      </c>
    </row>
    <row r="2040">
      <c r="A2040" t="inlineStr">
        <is>
          <t>27BBBBB02040Z5</t>
        </is>
      </c>
      <c r="B2040" t="inlineStr">
        <is>
          <t>May-2018</t>
        </is>
      </c>
      <c r="C2040" s="2" t="n">
        <v>44188</v>
      </c>
      <c r="D2040" t="inlineStr">
        <is>
          <t>NON-NIL</t>
        </is>
      </c>
      <c r="E2040" t="n">
        <v>1267</v>
      </c>
    </row>
    <row r="2041">
      <c r="A2041" t="inlineStr">
        <is>
          <t>27BBBBB02041Z5</t>
        </is>
      </c>
      <c r="B2041" t="inlineStr">
        <is>
          <t>Oct-2018</t>
        </is>
      </c>
      <c r="C2041" s="2" t="n">
        <v>43008</v>
      </c>
      <c r="D2041" t="inlineStr">
        <is>
          <t>NIL</t>
        </is>
      </c>
      <c r="E2041" t="n">
        <v>1193</v>
      </c>
    </row>
    <row r="2042">
      <c r="A2042" t="inlineStr">
        <is>
          <t>27BBBBB02042Z5</t>
        </is>
      </c>
      <c r="B2042" t="inlineStr">
        <is>
          <t>Nov-2018</t>
        </is>
      </c>
      <c r="C2042" s="2" t="n">
        <v>43861</v>
      </c>
      <c r="D2042" t="inlineStr">
        <is>
          <t>NIL</t>
        </is>
      </c>
      <c r="E2042" t="n">
        <v>2470</v>
      </c>
    </row>
    <row r="2043">
      <c r="A2043" t="inlineStr">
        <is>
          <t>27BBBBB02043Z5</t>
        </is>
      </c>
      <c r="B2043" t="inlineStr">
        <is>
          <t>Dec-2017</t>
        </is>
      </c>
      <c r="C2043" s="2" t="n">
        <v>44345</v>
      </c>
      <c r="D2043" t="inlineStr">
        <is>
          <t>NIL</t>
        </is>
      </c>
      <c r="E2043" t="n">
        <v>2092</v>
      </c>
    </row>
    <row r="2044">
      <c r="A2044" t="inlineStr">
        <is>
          <t>27BBBBB02044Z5</t>
        </is>
      </c>
      <c r="B2044" t="inlineStr">
        <is>
          <t>Dec-2022</t>
        </is>
      </c>
      <c r="C2044" s="2" t="n">
        <v>44384</v>
      </c>
      <c r="D2044" t="inlineStr">
        <is>
          <t>NIL</t>
        </is>
      </c>
      <c r="E2044" t="n">
        <v>2138</v>
      </c>
    </row>
    <row r="2045">
      <c r="A2045" t="inlineStr">
        <is>
          <t>27BBBBB02045Z5</t>
        </is>
      </c>
      <c r="B2045" t="inlineStr">
        <is>
          <t>Nov-2017</t>
        </is>
      </c>
      <c r="C2045" s="2" t="n">
        <v>44444</v>
      </c>
      <c r="D2045" t="inlineStr">
        <is>
          <t>NON-NIL</t>
        </is>
      </c>
      <c r="E2045" t="n">
        <v>1423</v>
      </c>
    </row>
    <row r="2046">
      <c r="A2046" t="inlineStr">
        <is>
          <t>27BBBBB02046Z5</t>
        </is>
      </c>
      <c r="B2046" t="inlineStr">
        <is>
          <t>Aug-2018</t>
        </is>
      </c>
      <c r="C2046" s="2" t="n">
        <v>43165</v>
      </c>
      <c r="D2046" t="inlineStr">
        <is>
          <t>NON-NIL</t>
        </is>
      </c>
      <c r="E2046" t="n">
        <v>2190</v>
      </c>
    </row>
    <row r="2047">
      <c r="A2047" t="inlineStr">
        <is>
          <t>27BBBBB02047Z5</t>
        </is>
      </c>
      <c r="B2047" t="inlineStr">
        <is>
          <t>May-2020</t>
        </is>
      </c>
      <c r="C2047" s="2" t="n">
        <v>44606</v>
      </c>
      <c r="D2047" t="inlineStr">
        <is>
          <t>NIL</t>
        </is>
      </c>
      <c r="E2047" t="n">
        <v>555</v>
      </c>
    </row>
    <row r="2048">
      <c r="A2048" t="inlineStr">
        <is>
          <t>27BBBBB02048Z5</t>
        </is>
      </c>
      <c r="B2048" t="inlineStr">
        <is>
          <t>Jul-2018</t>
        </is>
      </c>
      <c r="C2048" s="2" t="n">
        <v>43742</v>
      </c>
      <c r="D2048" t="inlineStr">
        <is>
          <t>NON-NIL</t>
        </is>
      </c>
      <c r="E2048" t="n">
        <v>2799</v>
      </c>
    </row>
    <row r="2049">
      <c r="A2049" t="inlineStr">
        <is>
          <t>27BBBBB02049Z5</t>
        </is>
      </c>
      <c r="B2049" t="inlineStr">
        <is>
          <t>Apr-2020</t>
        </is>
      </c>
      <c r="C2049" s="2" t="n">
        <v>44073</v>
      </c>
      <c r="D2049" t="inlineStr">
        <is>
          <t>NON-NIL</t>
        </is>
      </c>
      <c r="E2049" t="n">
        <v>2988</v>
      </c>
    </row>
    <row r="2050">
      <c r="A2050" t="inlineStr">
        <is>
          <t>27BBBBB02050Z5</t>
        </is>
      </c>
      <c r="B2050" t="inlineStr">
        <is>
          <t>Dec-2024</t>
        </is>
      </c>
      <c r="C2050" s="2" t="n">
        <v>45817</v>
      </c>
      <c r="D2050" t="inlineStr">
        <is>
          <t>NIL</t>
        </is>
      </c>
      <c r="E2050" t="n">
        <v>2984</v>
      </c>
    </row>
    <row r="2051">
      <c r="A2051" t="inlineStr">
        <is>
          <t>27BBBBB02051Z5</t>
        </is>
      </c>
      <c r="B2051" t="inlineStr">
        <is>
          <t>Jul-2020</t>
        </is>
      </c>
      <c r="C2051" s="2" t="n">
        <v>44768</v>
      </c>
      <c r="D2051" t="inlineStr">
        <is>
          <t>NON-NIL</t>
        </is>
      </c>
      <c r="E2051" t="n">
        <v>2760</v>
      </c>
    </row>
    <row r="2052">
      <c r="A2052" t="inlineStr">
        <is>
          <t>27BBBBB02052Z5</t>
        </is>
      </c>
      <c r="B2052" t="inlineStr">
        <is>
          <t>Jul-2017</t>
        </is>
      </c>
      <c r="C2052" s="2" t="n">
        <v>44299</v>
      </c>
      <c r="D2052" t="inlineStr">
        <is>
          <t>NON-NIL</t>
        </is>
      </c>
      <c r="E2052" t="n">
        <v>2850</v>
      </c>
    </row>
    <row r="2053">
      <c r="A2053" t="inlineStr">
        <is>
          <t>27BBBBB02053Z5</t>
        </is>
      </c>
      <c r="B2053" t="inlineStr">
        <is>
          <t>Dec-2022</t>
        </is>
      </c>
      <c r="C2053" s="2" t="n">
        <v>45009</v>
      </c>
      <c r="D2053" t="inlineStr">
        <is>
          <t>NON-NIL</t>
        </is>
      </c>
      <c r="E2053" t="n">
        <v>1867</v>
      </c>
    </row>
    <row r="2054">
      <c r="A2054" t="inlineStr">
        <is>
          <t>27BBBBB02054Z5</t>
        </is>
      </c>
      <c r="B2054" t="inlineStr">
        <is>
          <t>Dec-2022</t>
        </is>
      </c>
      <c r="C2054" s="2" t="n">
        <v>44680</v>
      </c>
      <c r="D2054" t="inlineStr">
        <is>
          <t>NON-NIL</t>
        </is>
      </c>
      <c r="E2054" t="n">
        <v>1520</v>
      </c>
    </row>
    <row r="2055">
      <c r="A2055" t="inlineStr">
        <is>
          <t>27BBBBB02055Z5</t>
        </is>
      </c>
      <c r="B2055" t="inlineStr">
        <is>
          <t>Mar-2023</t>
        </is>
      </c>
      <c r="C2055" s="2" t="n">
        <v>45308</v>
      </c>
      <c r="D2055" t="inlineStr">
        <is>
          <t>NON-NIL</t>
        </is>
      </c>
      <c r="E2055" t="n">
        <v>2718</v>
      </c>
    </row>
    <row r="2056">
      <c r="A2056" t="inlineStr">
        <is>
          <t>27BBBBB02056Z5</t>
        </is>
      </c>
      <c r="B2056" t="inlineStr">
        <is>
          <t>May-2018</t>
        </is>
      </c>
      <c r="C2056" s="2" t="n">
        <v>44146</v>
      </c>
      <c r="D2056" t="inlineStr">
        <is>
          <t>NON-NIL</t>
        </is>
      </c>
      <c r="E2056" t="n">
        <v>2008</v>
      </c>
    </row>
    <row r="2057">
      <c r="A2057" t="inlineStr">
        <is>
          <t>27BBBBB02057Z5</t>
        </is>
      </c>
      <c r="B2057" t="inlineStr">
        <is>
          <t>Aug-2018</t>
        </is>
      </c>
      <c r="C2057" s="2" t="n">
        <v>43904</v>
      </c>
      <c r="D2057" t="inlineStr">
        <is>
          <t>NIL</t>
        </is>
      </c>
      <c r="E2057" t="n">
        <v>2833</v>
      </c>
    </row>
    <row r="2058">
      <c r="A2058" t="inlineStr">
        <is>
          <t>27BBBBB02058Z5</t>
        </is>
      </c>
      <c r="B2058" t="inlineStr">
        <is>
          <t>Jun-2020</t>
        </is>
      </c>
      <c r="C2058" s="2" t="n">
        <v>44869</v>
      </c>
      <c r="D2058" t="inlineStr">
        <is>
          <t>NIL</t>
        </is>
      </c>
      <c r="E2058" t="n">
        <v>160</v>
      </c>
    </row>
    <row r="2059">
      <c r="A2059" t="inlineStr">
        <is>
          <t>27BBBBB02059Z5</t>
        </is>
      </c>
      <c r="B2059" t="inlineStr">
        <is>
          <t>Sep-2018</t>
        </is>
      </c>
      <c r="C2059" s="2" t="n">
        <v>43568</v>
      </c>
      <c r="D2059" t="inlineStr">
        <is>
          <t>NIL</t>
        </is>
      </c>
      <c r="E2059" t="n">
        <v>2999</v>
      </c>
    </row>
    <row r="2060">
      <c r="A2060" t="inlineStr">
        <is>
          <t>27BBBBB02060Z5</t>
        </is>
      </c>
      <c r="B2060" t="inlineStr">
        <is>
          <t>Mar-2023</t>
        </is>
      </c>
      <c r="C2060" s="2" t="n">
        <v>45151</v>
      </c>
      <c r="D2060" t="inlineStr">
        <is>
          <t>NIL</t>
        </is>
      </c>
      <c r="E2060" t="n">
        <v>787</v>
      </c>
    </row>
    <row r="2061">
      <c r="A2061" t="inlineStr">
        <is>
          <t>27BBBBB02061Z5</t>
        </is>
      </c>
      <c r="B2061" t="inlineStr">
        <is>
          <t>May-2020</t>
        </is>
      </c>
      <c r="C2061" s="2" t="n">
        <v>44339</v>
      </c>
      <c r="D2061" t="inlineStr">
        <is>
          <t>NON-NIL</t>
        </is>
      </c>
      <c r="E2061" t="n">
        <v>962</v>
      </c>
    </row>
    <row r="2062">
      <c r="A2062" t="inlineStr">
        <is>
          <t>27BBBBB02062Z5</t>
        </is>
      </c>
      <c r="B2062" t="inlineStr">
        <is>
          <t>Mar-2023</t>
        </is>
      </c>
      <c r="C2062" s="2" t="n">
        <v>44383</v>
      </c>
      <c r="D2062" t="inlineStr">
        <is>
          <t>NIL</t>
        </is>
      </c>
      <c r="E2062" t="n">
        <v>1142</v>
      </c>
    </row>
    <row r="2063">
      <c r="A2063" t="inlineStr">
        <is>
          <t>27BBBBB02063Z5</t>
        </is>
      </c>
      <c r="B2063" t="inlineStr">
        <is>
          <t>Sep-2018</t>
        </is>
      </c>
      <c r="C2063" s="2" t="n">
        <v>44498</v>
      </c>
      <c r="D2063" t="inlineStr">
        <is>
          <t>NON-NIL</t>
        </is>
      </c>
      <c r="E2063" t="n">
        <v>2831</v>
      </c>
    </row>
    <row r="2064">
      <c r="A2064" t="inlineStr">
        <is>
          <t>27BBBBB02064Z5</t>
        </is>
      </c>
      <c r="B2064" t="inlineStr">
        <is>
          <t>Sep-2017</t>
        </is>
      </c>
      <c r="C2064" s="2" t="n">
        <v>44277</v>
      </c>
      <c r="D2064" t="inlineStr">
        <is>
          <t>NIL</t>
        </is>
      </c>
      <c r="E2064" t="n">
        <v>1777</v>
      </c>
    </row>
    <row r="2065">
      <c r="A2065" t="inlineStr">
        <is>
          <t>27BBBBB02065Z5</t>
        </is>
      </c>
      <c r="B2065" t="inlineStr">
        <is>
          <t>Oct-2018</t>
        </is>
      </c>
      <c r="C2065" s="2" t="n">
        <v>44068</v>
      </c>
      <c r="D2065" t="inlineStr">
        <is>
          <t>NON-NIL</t>
        </is>
      </c>
      <c r="E2065" t="n">
        <v>1383</v>
      </c>
    </row>
    <row r="2066">
      <c r="A2066" t="inlineStr">
        <is>
          <t>27BBBBB02066Z5</t>
        </is>
      </c>
      <c r="B2066" t="inlineStr">
        <is>
          <t>Sep-2018</t>
        </is>
      </c>
      <c r="C2066" s="2" t="n">
        <v>43023</v>
      </c>
      <c r="D2066" t="inlineStr">
        <is>
          <t>NON-NIL</t>
        </is>
      </c>
      <c r="E2066" t="n">
        <v>1007</v>
      </c>
    </row>
    <row r="2067">
      <c r="A2067" t="inlineStr">
        <is>
          <t>27BBBBB02067Z5</t>
        </is>
      </c>
      <c r="B2067" t="inlineStr">
        <is>
          <t>May-2020</t>
        </is>
      </c>
      <c r="C2067" s="2" t="n">
        <v>44584</v>
      </c>
      <c r="D2067" t="inlineStr">
        <is>
          <t>NON-NIL</t>
        </is>
      </c>
      <c r="E2067" t="n">
        <v>1649</v>
      </c>
    </row>
    <row r="2068">
      <c r="A2068" t="inlineStr">
        <is>
          <t>27BBBBB02068Z5</t>
        </is>
      </c>
      <c r="B2068" t="inlineStr">
        <is>
          <t>Jul-2017</t>
        </is>
      </c>
      <c r="C2068" s="2" t="n">
        <v>44440</v>
      </c>
      <c r="D2068" t="inlineStr">
        <is>
          <t>NON-NIL</t>
        </is>
      </c>
      <c r="E2068" t="n">
        <v>636</v>
      </c>
    </row>
    <row r="2069">
      <c r="A2069" t="inlineStr">
        <is>
          <t>27BBBBB02069Z5</t>
        </is>
      </c>
      <c r="B2069" t="inlineStr">
        <is>
          <t>Sep-2017</t>
        </is>
      </c>
      <c r="C2069" s="2" t="n">
        <v>43858</v>
      </c>
      <c r="D2069" t="inlineStr">
        <is>
          <t>NIL</t>
        </is>
      </c>
      <c r="E2069" t="n">
        <v>554</v>
      </c>
    </row>
    <row r="2070">
      <c r="A2070" t="inlineStr">
        <is>
          <t>27BBBBB02070Z5</t>
        </is>
      </c>
      <c r="B2070" t="inlineStr">
        <is>
          <t>Sep-2017</t>
        </is>
      </c>
      <c r="C2070" s="2" t="n">
        <v>43426</v>
      </c>
      <c r="D2070" t="inlineStr">
        <is>
          <t>NIL</t>
        </is>
      </c>
      <c r="E2070" t="n">
        <v>12</v>
      </c>
    </row>
    <row r="2071">
      <c r="A2071" t="inlineStr">
        <is>
          <t>27BBBBB02071Z5</t>
        </is>
      </c>
      <c r="B2071" t="inlineStr">
        <is>
          <t>May-2020</t>
        </is>
      </c>
      <c r="C2071" s="2" t="n">
        <v>44511</v>
      </c>
      <c r="D2071" t="inlineStr">
        <is>
          <t>NON-NIL</t>
        </is>
      </c>
      <c r="E2071" t="n">
        <v>2787</v>
      </c>
    </row>
    <row r="2072">
      <c r="A2072" t="inlineStr">
        <is>
          <t>27BBBBB02072Z5</t>
        </is>
      </c>
      <c r="B2072" t="inlineStr">
        <is>
          <t>Dec-2018</t>
        </is>
      </c>
      <c r="C2072" s="2" t="n">
        <v>44112</v>
      </c>
      <c r="D2072" t="inlineStr">
        <is>
          <t>NIL</t>
        </is>
      </c>
      <c r="E2072" t="n">
        <v>2574</v>
      </c>
    </row>
    <row r="2073">
      <c r="A2073" t="inlineStr">
        <is>
          <t>27BBBBB02073Z5</t>
        </is>
      </c>
      <c r="B2073" t="inlineStr">
        <is>
          <t>Nov-2018</t>
        </is>
      </c>
      <c r="C2073" s="2" t="n">
        <v>43992</v>
      </c>
      <c r="D2073" t="inlineStr">
        <is>
          <t>NIL</t>
        </is>
      </c>
      <c r="E2073" t="n">
        <v>673</v>
      </c>
    </row>
    <row r="2074">
      <c r="A2074" t="inlineStr">
        <is>
          <t>27BBBBB02074Z5</t>
        </is>
      </c>
      <c r="B2074" t="inlineStr">
        <is>
          <t>Jul-2020</t>
        </is>
      </c>
      <c r="C2074" s="2" t="n">
        <v>44151</v>
      </c>
      <c r="D2074" t="inlineStr">
        <is>
          <t>NON-NIL</t>
        </is>
      </c>
      <c r="E2074" t="n">
        <v>1366</v>
      </c>
    </row>
    <row r="2075">
      <c r="A2075" t="inlineStr">
        <is>
          <t>27BBBBB02075Z5</t>
        </is>
      </c>
      <c r="B2075" t="inlineStr">
        <is>
          <t>Mar-2021</t>
        </is>
      </c>
      <c r="C2075" s="2" t="n">
        <v>45513</v>
      </c>
      <c r="D2075" t="inlineStr">
        <is>
          <t>NON-NIL</t>
        </is>
      </c>
      <c r="E2075" t="n">
        <v>2533</v>
      </c>
    </row>
    <row r="2076">
      <c r="A2076" t="inlineStr">
        <is>
          <t>27BBBBB02076Z5</t>
        </is>
      </c>
      <c r="B2076" t="inlineStr">
        <is>
          <t>Mar-2021</t>
        </is>
      </c>
      <c r="C2076" s="2" t="n">
        <v>44358</v>
      </c>
      <c r="D2076" t="inlineStr">
        <is>
          <t>NIL</t>
        </is>
      </c>
      <c r="E2076" t="n">
        <v>2097</v>
      </c>
    </row>
    <row r="2077">
      <c r="A2077" t="inlineStr">
        <is>
          <t>27BBBBB02077Z5</t>
        </is>
      </c>
      <c r="B2077" t="inlineStr">
        <is>
          <t>Nov-2018</t>
        </is>
      </c>
      <c r="C2077" s="2" t="n">
        <v>44017</v>
      </c>
      <c r="D2077" t="inlineStr">
        <is>
          <t>NIL</t>
        </is>
      </c>
      <c r="E2077" t="n">
        <v>2040</v>
      </c>
    </row>
    <row r="2078">
      <c r="A2078" t="inlineStr">
        <is>
          <t>27BBBBB02078Z5</t>
        </is>
      </c>
      <c r="B2078" t="inlineStr">
        <is>
          <t>Mar-2023</t>
        </is>
      </c>
      <c r="C2078" s="2" t="n">
        <v>43596</v>
      </c>
      <c r="D2078" t="inlineStr">
        <is>
          <t>NON-NIL</t>
        </is>
      </c>
      <c r="E2078" t="n">
        <v>2451</v>
      </c>
    </row>
    <row r="2079">
      <c r="A2079" t="inlineStr">
        <is>
          <t>27BBBBB02079Z5</t>
        </is>
      </c>
      <c r="B2079" t="inlineStr">
        <is>
          <t>Jan-2021</t>
        </is>
      </c>
      <c r="C2079" s="2" t="n">
        <v>43746</v>
      </c>
      <c r="D2079" t="inlineStr">
        <is>
          <t>NIL</t>
        </is>
      </c>
      <c r="E2079" t="n">
        <v>1709</v>
      </c>
    </row>
    <row r="2080">
      <c r="A2080" t="inlineStr">
        <is>
          <t>27BBBBB02080Z5</t>
        </is>
      </c>
      <c r="B2080" t="inlineStr">
        <is>
          <t>Nov-2017</t>
        </is>
      </c>
      <c r="C2080" s="2" t="n">
        <v>43302</v>
      </c>
      <c r="D2080" t="inlineStr">
        <is>
          <t>NIL</t>
        </is>
      </c>
      <c r="E2080" t="n">
        <v>1416</v>
      </c>
    </row>
    <row r="2081">
      <c r="A2081" t="inlineStr">
        <is>
          <t>27BBBBB02081Z5</t>
        </is>
      </c>
      <c r="B2081" t="inlineStr">
        <is>
          <t>Jan-2021</t>
        </is>
      </c>
      <c r="C2081" s="2" t="n">
        <v>44621</v>
      </c>
      <c r="D2081" t="inlineStr">
        <is>
          <t>NIL</t>
        </is>
      </c>
      <c r="E2081" t="n">
        <v>1255</v>
      </c>
    </row>
    <row r="2082">
      <c r="A2082" t="inlineStr">
        <is>
          <t>27BBBBB02082Z5</t>
        </is>
      </c>
      <c r="B2082" t="inlineStr">
        <is>
          <t>Apr-2018</t>
        </is>
      </c>
      <c r="C2082" s="2" t="n">
        <v>44196</v>
      </c>
      <c r="D2082" t="inlineStr">
        <is>
          <t>NIL</t>
        </is>
      </c>
      <c r="E2082" t="n">
        <v>2305</v>
      </c>
    </row>
    <row r="2083">
      <c r="A2083" t="inlineStr">
        <is>
          <t>27BBBBB02083Z5</t>
        </is>
      </c>
      <c r="B2083" t="inlineStr">
        <is>
          <t>Mar-2023</t>
        </is>
      </c>
      <c r="C2083" s="2" t="n">
        <v>45481</v>
      </c>
      <c r="D2083" t="inlineStr">
        <is>
          <t>NON-NIL</t>
        </is>
      </c>
      <c r="E2083" t="n">
        <v>1860</v>
      </c>
    </row>
    <row r="2084">
      <c r="A2084" t="inlineStr">
        <is>
          <t>27BBBBB02084Z5</t>
        </is>
      </c>
      <c r="B2084" t="inlineStr">
        <is>
          <t>Jul-2017</t>
        </is>
      </c>
      <c r="C2084" s="2" t="n">
        <v>44223</v>
      </c>
      <c r="D2084" t="inlineStr">
        <is>
          <t>NON-NIL</t>
        </is>
      </c>
      <c r="E2084" t="n">
        <v>2216</v>
      </c>
    </row>
    <row r="2085">
      <c r="A2085" t="inlineStr">
        <is>
          <t>27BBBBB02085Z5</t>
        </is>
      </c>
      <c r="B2085" t="inlineStr">
        <is>
          <t>Jan-2021</t>
        </is>
      </c>
      <c r="C2085" s="2" t="n">
        <v>45092</v>
      </c>
      <c r="D2085" t="inlineStr">
        <is>
          <t>NON-NIL</t>
        </is>
      </c>
      <c r="E2085" t="n">
        <v>508</v>
      </c>
    </row>
    <row r="2086">
      <c r="A2086" t="inlineStr">
        <is>
          <t>27BBBBB02086Z5</t>
        </is>
      </c>
      <c r="B2086" t="inlineStr">
        <is>
          <t>Oct-2017</t>
        </is>
      </c>
      <c r="C2086" s="2" t="n">
        <v>44357</v>
      </c>
      <c r="D2086" t="inlineStr">
        <is>
          <t>NON-NIL</t>
        </is>
      </c>
      <c r="E2086" t="n">
        <v>648</v>
      </c>
    </row>
    <row r="2087">
      <c r="A2087" t="inlineStr">
        <is>
          <t>27BBBBB02087Z5</t>
        </is>
      </c>
      <c r="B2087" t="inlineStr">
        <is>
          <t>Apr-2018</t>
        </is>
      </c>
      <c r="C2087" s="2" t="n">
        <v>44165</v>
      </c>
      <c r="D2087" t="inlineStr">
        <is>
          <t>NON-NIL</t>
        </is>
      </c>
      <c r="E2087" t="n">
        <v>2399</v>
      </c>
    </row>
    <row r="2088">
      <c r="A2088" t="inlineStr">
        <is>
          <t>27BBBBB02088Z5</t>
        </is>
      </c>
      <c r="B2088" t="inlineStr">
        <is>
          <t>Jul-2018</t>
        </is>
      </c>
      <c r="C2088" s="2" t="n">
        <v>43407</v>
      </c>
      <c r="D2088" t="inlineStr">
        <is>
          <t>NON-NIL</t>
        </is>
      </c>
      <c r="E2088" t="n">
        <v>827</v>
      </c>
    </row>
    <row r="2089">
      <c r="A2089" t="inlineStr">
        <is>
          <t>27BBBBB02089Z5</t>
        </is>
      </c>
      <c r="B2089" t="inlineStr">
        <is>
          <t>Aug-2018</t>
        </is>
      </c>
      <c r="C2089" s="2" t="n">
        <v>43682</v>
      </c>
      <c r="D2089" t="inlineStr">
        <is>
          <t>NIL</t>
        </is>
      </c>
      <c r="E2089" t="n">
        <v>2527</v>
      </c>
    </row>
    <row r="2090">
      <c r="A2090" t="inlineStr">
        <is>
          <t>27BBBBB02090Z5</t>
        </is>
      </c>
      <c r="B2090" t="inlineStr">
        <is>
          <t>Mar-2018</t>
        </is>
      </c>
      <c r="C2090" s="2" t="n">
        <v>43130</v>
      </c>
      <c r="D2090" t="inlineStr">
        <is>
          <t>NON-NIL</t>
        </is>
      </c>
      <c r="E2090" t="n">
        <v>578</v>
      </c>
    </row>
    <row r="2091">
      <c r="A2091" t="inlineStr">
        <is>
          <t>27BBBBB02091Z5</t>
        </is>
      </c>
      <c r="B2091" t="inlineStr">
        <is>
          <t>May-2020</t>
        </is>
      </c>
      <c r="C2091" s="2" t="n">
        <v>44633</v>
      </c>
      <c r="D2091" t="inlineStr">
        <is>
          <t>NON-NIL</t>
        </is>
      </c>
      <c r="E2091" t="n">
        <v>731</v>
      </c>
    </row>
    <row r="2092">
      <c r="A2092" t="inlineStr">
        <is>
          <t>27BBBBB02092Z5</t>
        </is>
      </c>
      <c r="B2092" t="inlineStr">
        <is>
          <t>Mar-2018</t>
        </is>
      </c>
      <c r="C2092" s="2" t="n">
        <v>42939</v>
      </c>
      <c r="D2092" t="inlineStr">
        <is>
          <t>NON-NIL</t>
        </is>
      </c>
      <c r="E2092" t="n">
        <v>671</v>
      </c>
    </row>
    <row r="2093">
      <c r="A2093" t="inlineStr">
        <is>
          <t>27BBBBB02093Z5</t>
        </is>
      </c>
      <c r="B2093" t="inlineStr">
        <is>
          <t>Dec-2018</t>
        </is>
      </c>
      <c r="C2093" s="2" t="n">
        <v>44278</v>
      </c>
      <c r="D2093" t="inlineStr">
        <is>
          <t>NON-NIL</t>
        </is>
      </c>
      <c r="E2093" t="n">
        <v>232</v>
      </c>
    </row>
    <row r="2094">
      <c r="A2094" t="inlineStr">
        <is>
          <t>27BBBBB02094Z5</t>
        </is>
      </c>
      <c r="B2094" t="inlineStr">
        <is>
          <t>Sep-2017</t>
        </is>
      </c>
      <c r="C2094" s="2" t="n">
        <v>44377</v>
      </c>
      <c r="D2094" t="inlineStr">
        <is>
          <t>NIL</t>
        </is>
      </c>
      <c r="E2094" t="n">
        <v>584</v>
      </c>
    </row>
    <row r="2095">
      <c r="A2095" t="inlineStr">
        <is>
          <t>27BBBBB02095Z5</t>
        </is>
      </c>
      <c r="B2095" t="inlineStr">
        <is>
          <t>Dec-2024</t>
        </is>
      </c>
      <c r="C2095" s="2" t="n">
        <v>43879</v>
      </c>
      <c r="D2095" t="inlineStr">
        <is>
          <t>NON-NIL</t>
        </is>
      </c>
      <c r="E2095" t="n">
        <v>1630</v>
      </c>
    </row>
    <row r="2096">
      <c r="A2096" t="inlineStr">
        <is>
          <t>27BBBBB02096Z5</t>
        </is>
      </c>
      <c r="B2096" t="inlineStr">
        <is>
          <t>Aug-2018</t>
        </is>
      </c>
      <c r="C2096" s="2" t="n">
        <v>43836</v>
      </c>
      <c r="D2096" t="inlineStr">
        <is>
          <t>NIL</t>
        </is>
      </c>
      <c r="E2096" t="n">
        <v>258</v>
      </c>
    </row>
    <row r="2097">
      <c r="A2097" t="inlineStr">
        <is>
          <t>27BBBBB02097Z5</t>
        </is>
      </c>
      <c r="B2097" t="inlineStr">
        <is>
          <t>Jun-2020</t>
        </is>
      </c>
      <c r="C2097" s="2" t="n">
        <v>43987</v>
      </c>
      <c r="D2097" t="inlineStr">
        <is>
          <t>NON-NIL</t>
        </is>
      </c>
      <c r="E2097" t="n">
        <v>486</v>
      </c>
    </row>
    <row r="2098">
      <c r="A2098" t="inlineStr">
        <is>
          <t>27BBBBB02098Z5</t>
        </is>
      </c>
      <c r="B2098" t="inlineStr">
        <is>
          <t>Sep-2018</t>
        </is>
      </c>
      <c r="C2098" s="2" t="n">
        <v>43144</v>
      </c>
      <c r="D2098" t="inlineStr">
        <is>
          <t>NIL</t>
        </is>
      </c>
      <c r="E2098" t="n">
        <v>1096</v>
      </c>
    </row>
    <row r="2099">
      <c r="A2099" t="inlineStr">
        <is>
          <t>27BBBBB02099Z5</t>
        </is>
      </c>
      <c r="B2099" t="inlineStr">
        <is>
          <t>Dec-2022</t>
        </is>
      </c>
      <c r="C2099" s="2" t="n">
        <v>44832</v>
      </c>
      <c r="D2099" t="inlineStr">
        <is>
          <t>NIL</t>
        </is>
      </c>
      <c r="E2099" t="n">
        <v>2934</v>
      </c>
    </row>
    <row r="2100">
      <c r="A2100" t="inlineStr">
        <is>
          <t>27BBBBB02100Z5</t>
        </is>
      </c>
      <c r="B2100" t="inlineStr">
        <is>
          <t>Aug-2017</t>
        </is>
      </c>
      <c r="C2100" s="2" t="n">
        <v>43892</v>
      </c>
      <c r="D2100" t="inlineStr">
        <is>
          <t>NIL</t>
        </is>
      </c>
      <c r="E2100" t="n">
        <v>2112</v>
      </c>
    </row>
    <row r="2101">
      <c r="A2101" t="inlineStr">
        <is>
          <t>27BBBBB02101Z5</t>
        </is>
      </c>
      <c r="B2101" t="inlineStr">
        <is>
          <t>Dec-2024</t>
        </is>
      </c>
      <c r="C2101" s="2" t="n">
        <v>45720</v>
      </c>
      <c r="D2101" t="inlineStr">
        <is>
          <t>NIL</t>
        </is>
      </c>
      <c r="E2101" t="n">
        <v>613</v>
      </c>
    </row>
    <row r="2102">
      <c r="A2102" t="inlineStr">
        <is>
          <t>27BBBBB02102Z5</t>
        </is>
      </c>
      <c r="B2102" t="inlineStr">
        <is>
          <t>Dec-2017</t>
        </is>
      </c>
      <c r="C2102" s="2" t="n">
        <v>43078</v>
      </c>
      <c r="D2102" t="inlineStr">
        <is>
          <t>NIL</t>
        </is>
      </c>
      <c r="E2102" t="n">
        <v>428</v>
      </c>
    </row>
    <row r="2103">
      <c r="A2103" t="inlineStr">
        <is>
          <t>27BBBBB02103Z5</t>
        </is>
      </c>
      <c r="B2103" t="inlineStr">
        <is>
          <t>Dec-2018</t>
        </is>
      </c>
      <c r="C2103" s="2" t="n">
        <v>44110</v>
      </c>
      <c r="D2103" t="inlineStr">
        <is>
          <t>NON-NIL</t>
        </is>
      </c>
      <c r="E2103" t="n">
        <v>132</v>
      </c>
    </row>
    <row r="2104">
      <c r="A2104" t="inlineStr">
        <is>
          <t>27BBBBB02104Z5</t>
        </is>
      </c>
      <c r="B2104" t="inlineStr">
        <is>
          <t>May-2018</t>
        </is>
      </c>
      <c r="C2104" s="2" t="n">
        <v>42988</v>
      </c>
      <c r="D2104" t="inlineStr">
        <is>
          <t>NIL</t>
        </is>
      </c>
      <c r="E2104" t="n">
        <v>1279</v>
      </c>
    </row>
    <row r="2105">
      <c r="A2105" t="inlineStr">
        <is>
          <t>27BBBBB02105Z5</t>
        </is>
      </c>
      <c r="B2105" t="inlineStr">
        <is>
          <t>Jul-2018</t>
        </is>
      </c>
      <c r="C2105" s="2" t="n">
        <v>43140</v>
      </c>
      <c r="D2105" t="inlineStr">
        <is>
          <t>NIL</t>
        </is>
      </c>
      <c r="E2105" t="n">
        <v>1940</v>
      </c>
    </row>
    <row r="2106">
      <c r="A2106" t="inlineStr">
        <is>
          <t>27BBBBB02106Z5</t>
        </is>
      </c>
      <c r="B2106" t="inlineStr">
        <is>
          <t>Feb-2018</t>
        </is>
      </c>
      <c r="C2106" s="2" t="n">
        <v>43521</v>
      </c>
      <c r="D2106" t="inlineStr">
        <is>
          <t>NIL</t>
        </is>
      </c>
      <c r="E2106" t="n">
        <v>1976</v>
      </c>
    </row>
    <row r="2107">
      <c r="A2107" t="inlineStr">
        <is>
          <t>27BBBBB02107Z5</t>
        </is>
      </c>
      <c r="B2107" t="inlineStr">
        <is>
          <t>Jul-2020</t>
        </is>
      </c>
      <c r="C2107" s="2" t="n">
        <v>44356</v>
      </c>
      <c r="D2107" t="inlineStr">
        <is>
          <t>NIL</t>
        </is>
      </c>
      <c r="E2107" t="n">
        <v>1142</v>
      </c>
    </row>
    <row r="2108">
      <c r="A2108" t="inlineStr">
        <is>
          <t>27BBBBB02108Z5</t>
        </is>
      </c>
      <c r="B2108" t="inlineStr">
        <is>
          <t>Aug-2018</t>
        </is>
      </c>
      <c r="C2108" s="2" t="n">
        <v>43624</v>
      </c>
      <c r="D2108" t="inlineStr">
        <is>
          <t>NON-NIL</t>
        </is>
      </c>
      <c r="E2108" t="n">
        <v>1228</v>
      </c>
    </row>
    <row r="2109">
      <c r="A2109" t="inlineStr">
        <is>
          <t>27BBBBB02109Z5</t>
        </is>
      </c>
      <c r="B2109" t="inlineStr">
        <is>
          <t>May-2018</t>
        </is>
      </c>
      <c r="C2109" s="2" t="n">
        <v>43092</v>
      </c>
      <c r="D2109" t="inlineStr">
        <is>
          <t>NIL</t>
        </is>
      </c>
      <c r="E2109" t="n">
        <v>1013</v>
      </c>
    </row>
    <row r="2110">
      <c r="A2110" t="inlineStr">
        <is>
          <t>27BBBBB02110Z5</t>
        </is>
      </c>
      <c r="B2110" t="inlineStr">
        <is>
          <t>Dec-2024</t>
        </is>
      </c>
      <c r="C2110" s="2" t="n">
        <v>44311</v>
      </c>
      <c r="D2110" t="inlineStr">
        <is>
          <t>NON-NIL</t>
        </is>
      </c>
      <c r="E2110" t="n">
        <v>1491</v>
      </c>
    </row>
    <row r="2111">
      <c r="A2111" t="inlineStr">
        <is>
          <t>27BBBBB02111Z5</t>
        </is>
      </c>
      <c r="B2111" t="inlineStr">
        <is>
          <t>Mar-2020</t>
        </is>
      </c>
      <c r="C2111" s="2" t="n">
        <v>43984</v>
      </c>
      <c r="D2111" t="inlineStr">
        <is>
          <t>NON-NIL</t>
        </is>
      </c>
      <c r="E2111" t="n">
        <v>1235</v>
      </c>
    </row>
    <row r="2112">
      <c r="A2112" t="inlineStr">
        <is>
          <t>27BBBBB02112Z5</t>
        </is>
      </c>
      <c r="B2112" t="inlineStr">
        <is>
          <t>Jan-2021</t>
        </is>
      </c>
      <c r="C2112" s="2" t="n">
        <v>43822</v>
      </c>
      <c r="D2112" t="inlineStr">
        <is>
          <t>NON-NIL</t>
        </is>
      </c>
      <c r="E2112" t="n">
        <v>2686</v>
      </c>
    </row>
    <row r="2113">
      <c r="A2113" t="inlineStr">
        <is>
          <t>27BBBBB02113Z5</t>
        </is>
      </c>
      <c r="B2113" t="inlineStr">
        <is>
          <t>Aug-2018</t>
        </is>
      </c>
      <c r="C2113" s="2" t="n">
        <v>43748</v>
      </c>
      <c r="D2113" t="inlineStr">
        <is>
          <t>NIL</t>
        </is>
      </c>
      <c r="E2113" t="n">
        <v>96</v>
      </c>
    </row>
    <row r="2114">
      <c r="A2114" t="inlineStr">
        <is>
          <t>27BBBBB02114Z5</t>
        </is>
      </c>
      <c r="B2114" t="inlineStr">
        <is>
          <t>Jul-2020</t>
        </is>
      </c>
      <c r="C2114" s="2" t="n">
        <v>44233</v>
      </c>
      <c r="D2114" t="inlineStr">
        <is>
          <t>NON-NIL</t>
        </is>
      </c>
      <c r="E2114" t="n">
        <v>818</v>
      </c>
    </row>
    <row r="2115">
      <c r="A2115" t="inlineStr">
        <is>
          <t>27BBBBB02115Z5</t>
        </is>
      </c>
      <c r="B2115" t="inlineStr">
        <is>
          <t>Feb-2018</t>
        </is>
      </c>
      <c r="C2115" s="2" t="n">
        <v>43966</v>
      </c>
      <c r="D2115" t="inlineStr">
        <is>
          <t>NON-NIL</t>
        </is>
      </c>
      <c r="E2115" t="n">
        <v>2928</v>
      </c>
    </row>
    <row r="2116">
      <c r="A2116" t="inlineStr">
        <is>
          <t>27BBBBB02116Z5</t>
        </is>
      </c>
      <c r="B2116" t="inlineStr">
        <is>
          <t>Apr-2018</t>
        </is>
      </c>
      <c r="C2116" s="2" t="n">
        <v>43959</v>
      </c>
      <c r="D2116" t="inlineStr">
        <is>
          <t>NON-NIL</t>
        </is>
      </c>
      <c r="E2116" t="n">
        <v>1363</v>
      </c>
    </row>
    <row r="2117">
      <c r="A2117" t="inlineStr">
        <is>
          <t>27BBBBB02117Z5</t>
        </is>
      </c>
      <c r="B2117" t="inlineStr">
        <is>
          <t>Jul-2017</t>
        </is>
      </c>
      <c r="C2117" s="2" t="n">
        <v>43028</v>
      </c>
      <c r="D2117" t="inlineStr">
        <is>
          <t>NON-NIL</t>
        </is>
      </c>
      <c r="E2117" t="n">
        <v>1206</v>
      </c>
    </row>
    <row r="2118">
      <c r="A2118" t="inlineStr">
        <is>
          <t>27BBBBB02118Z5</t>
        </is>
      </c>
      <c r="B2118" t="inlineStr">
        <is>
          <t>Mar-2018</t>
        </is>
      </c>
      <c r="C2118" s="2" t="n">
        <v>43344</v>
      </c>
      <c r="D2118" t="inlineStr">
        <is>
          <t>NON-NIL</t>
        </is>
      </c>
      <c r="E2118" t="n">
        <v>734</v>
      </c>
    </row>
    <row r="2119">
      <c r="A2119" t="inlineStr">
        <is>
          <t>27BBBBB02119Z5</t>
        </is>
      </c>
      <c r="B2119" t="inlineStr">
        <is>
          <t>Dec-2022</t>
        </is>
      </c>
      <c r="C2119" s="2" t="n">
        <v>44764</v>
      </c>
      <c r="D2119" t="inlineStr">
        <is>
          <t>NIL</t>
        </is>
      </c>
      <c r="E2119" t="n">
        <v>263</v>
      </c>
    </row>
    <row r="2120">
      <c r="A2120" t="inlineStr">
        <is>
          <t>27BBBBB02120Z5</t>
        </is>
      </c>
      <c r="B2120" t="inlineStr">
        <is>
          <t>Mar-2020</t>
        </is>
      </c>
      <c r="C2120" s="2" t="n">
        <v>44010</v>
      </c>
      <c r="D2120" t="inlineStr">
        <is>
          <t>NON-NIL</t>
        </is>
      </c>
      <c r="E2120" t="n">
        <v>1498</v>
      </c>
    </row>
    <row r="2121">
      <c r="A2121" t="inlineStr">
        <is>
          <t>27BBBBB02121Z5</t>
        </is>
      </c>
      <c r="B2121" t="inlineStr">
        <is>
          <t>Feb-2018</t>
        </is>
      </c>
      <c r="C2121" s="2" t="n">
        <v>43731</v>
      </c>
      <c r="D2121" t="inlineStr">
        <is>
          <t>NON-NIL</t>
        </is>
      </c>
      <c r="E2121" t="n">
        <v>1888</v>
      </c>
    </row>
    <row r="2122">
      <c r="A2122" t="inlineStr">
        <is>
          <t>27BBBBB02122Z5</t>
        </is>
      </c>
      <c r="B2122" t="inlineStr">
        <is>
          <t>Jul-2017</t>
        </is>
      </c>
      <c r="C2122" s="2" t="n">
        <v>43721</v>
      </c>
      <c r="D2122" t="inlineStr">
        <is>
          <t>NON-NIL</t>
        </is>
      </c>
      <c r="E2122" t="n">
        <v>2512</v>
      </c>
    </row>
    <row r="2123">
      <c r="A2123" t="inlineStr">
        <is>
          <t>27BBBBB02123Z5</t>
        </is>
      </c>
      <c r="B2123" t="inlineStr">
        <is>
          <t>Aug-2018</t>
        </is>
      </c>
      <c r="C2123" s="2" t="n">
        <v>44197</v>
      </c>
      <c r="D2123" t="inlineStr">
        <is>
          <t>NON-NIL</t>
        </is>
      </c>
      <c r="E2123" t="n">
        <v>1988</v>
      </c>
    </row>
    <row r="2124">
      <c r="A2124" t="inlineStr">
        <is>
          <t>27BBBBB02124Z5</t>
        </is>
      </c>
      <c r="B2124" t="inlineStr">
        <is>
          <t>Nov-2018</t>
        </is>
      </c>
      <c r="C2124" s="2" t="n">
        <v>44197</v>
      </c>
      <c r="D2124" t="inlineStr">
        <is>
          <t>NIL</t>
        </is>
      </c>
      <c r="E2124" t="n">
        <v>851</v>
      </c>
    </row>
    <row r="2125">
      <c r="A2125" t="inlineStr">
        <is>
          <t>27BBBBB02125Z5</t>
        </is>
      </c>
      <c r="B2125" t="inlineStr">
        <is>
          <t>Mar-2018</t>
        </is>
      </c>
      <c r="C2125" s="2" t="n">
        <v>43049</v>
      </c>
      <c r="D2125" t="inlineStr">
        <is>
          <t>NON-NIL</t>
        </is>
      </c>
      <c r="E2125" t="n">
        <v>1401</v>
      </c>
    </row>
    <row r="2126">
      <c r="A2126" t="inlineStr">
        <is>
          <t>27BBBBB02126Z5</t>
        </is>
      </c>
      <c r="B2126" t="inlineStr">
        <is>
          <t>Nov-2017</t>
        </is>
      </c>
      <c r="C2126" s="2" t="n">
        <v>43478</v>
      </c>
      <c r="D2126" t="inlineStr">
        <is>
          <t>NON-NIL</t>
        </is>
      </c>
      <c r="E2126" t="n">
        <v>2242</v>
      </c>
    </row>
    <row r="2127">
      <c r="A2127" t="inlineStr">
        <is>
          <t>27BBBBB02127Z5</t>
        </is>
      </c>
      <c r="B2127" t="inlineStr">
        <is>
          <t>Aug-2018</t>
        </is>
      </c>
      <c r="C2127" s="2" t="n">
        <v>43479</v>
      </c>
      <c r="D2127" t="inlineStr">
        <is>
          <t>NIL</t>
        </is>
      </c>
      <c r="E2127" t="n">
        <v>2806</v>
      </c>
    </row>
    <row r="2128">
      <c r="A2128" t="inlineStr">
        <is>
          <t>27BBBBB02128Z5</t>
        </is>
      </c>
      <c r="B2128" t="inlineStr">
        <is>
          <t>Mar-2023</t>
        </is>
      </c>
      <c r="C2128" s="2" t="n">
        <v>44761</v>
      </c>
      <c r="D2128" t="inlineStr">
        <is>
          <t>NIL</t>
        </is>
      </c>
      <c r="E2128" t="n">
        <v>1417</v>
      </c>
    </row>
    <row r="2129">
      <c r="A2129" t="inlineStr">
        <is>
          <t>27BBBBB02129Z5</t>
        </is>
      </c>
      <c r="B2129" t="inlineStr">
        <is>
          <t>Jul-2017</t>
        </is>
      </c>
      <c r="C2129" s="2" t="n">
        <v>44085</v>
      </c>
      <c r="D2129" t="inlineStr">
        <is>
          <t>NIL</t>
        </is>
      </c>
      <c r="E2129" t="n">
        <v>2738</v>
      </c>
    </row>
    <row r="2130">
      <c r="A2130" t="inlineStr">
        <is>
          <t>27BBBBB02130Z5</t>
        </is>
      </c>
      <c r="B2130" t="inlineStr">
        <is>
          <t>Mar-2018</t>
        </is>
      </c>
      <c r="C2130" s="2" t="n">
        <v>43319</v>
      </c>
      <c r="D2130" t="inlineStr">
        <is>
          <t>NON-NIL</t>
        </is>
      </c>
      <c r="E2130" t="n">
        <v>310</v>
      </c>
    </row>
    <row r="2131">
      <c r="A2131" t="inlineStr">
        <is>
          <t>27BBBBB02131Z5</t>
        </is>
      </c>
      <c r="B2131" t="inlineStr">
        <is>
          <t>Mar-2023</t>
        </is>
      </c>
      <c r="C2131" s="2" t="n">
        <v>45598</v>
      </c>
      <c r="D2131" t="inlineStr">
        <is>
          <t>NON-NIL</t>
        </is>
      </c>
      <c r="E2131" t="n">
        <v>160</v>
      </c>
    </row>
    <row r="2132">
      <c r="A2132" t="inlineStr">
        <is>
          <t>27BBBBB02132Z5</t>
        </is>
      </c>
      <c r="B2132" t="inlineStr">
        <is>
          <t>Jul-2018</t>
        </is>
      </c>
      <c r="C2132" s="2" t="n">
        <v>43344</v>
      </c>
      <c r="D2132" t="inlineStr">
        <is>
          <t>NIL</t>
        </is>
      </c>
      <c r="E2132" t="n">
        <v>2461</v>
      </c>
    </row>
    <row r="2133">
      <c r="A2133" t="inlineStr">
        <is>
          <t>27BBBBB02133Z5</t>
        </is>
      </c>
      <c r="B2133" t="inlineStr">
        <is>
          <t>Jul-2020</t>
        </is>
      </c>
      <c r="C2133" s="2" t="n">
        <v>44358</v>
      </c>
      <c r="D2133" t="inlineStr">
        <is>
          <t>NON-NIL</t>
        </is>
      </c>
      <c r="E2133" t="n">
        <v>1490</v>
      </c>
    </row>
    <row r="2134">
      <c r="A2134" t="inlineStr">
        <is>
          <t>27BBBBB02134Z5</t>
        </is>
      </c>
      <c r="B2134" t="inlineStr">
        <is>
          <t>Oct-2017</t>
        </is>
      </c>
      <c r="C2134" s="2" t="n">
        <v>44513</v>
      </c>
      <c r="D2134" t="inlineStr">
        <is>
          <t>NIL</t>
        </is>
      </c>
      <c r="E2134" t="n">
        <v>593</v>
      </c>
    </row>
    <row r="2135">
      <c r="A2135" t="inlineStr">
        <is>
          <t>27BBBBB02135Z5</t>
        </is>
      </c>
      <c r="B2135" t="inlineStr">
        <is>
          <t>Sep-2018</t>
        </is>
      </c>
      <c r="C2135" s="2" t="n">
        <v>43092</v>
      </c>
      <c r="D2135" t="inlineStr">
        <is>
          <t>NIL</t>
        </is>
      </c>
      <c r="E2135" t="n">
        <v>141</v>
      </c>
    </row>
    <row r="2136">
      <c r="A2136" t="inlineStr">
        <is>
          <t>27BBBBB02136Z5</t>
        </is>
      </c>
      <c r="B2136" t="inlineStr">
        <is>
          <t>Apr-2018</t>
        </is>
      </c>
      <c r="C2136" s="2" t="n">
        <v>44183</v>
      </c>
      <c r="D2136" t="inlineStr">
        <is>
          <t>NIL</t>
        </is>
      </c>
      <c r="E2136" t="n">
        <v>708</v>
      </c>
    </row>
    <row r="2137">
      <c r="A2137" t="inlineStr">
        <is>
          <t>27BBBBB02137Z5</t>
        </is>
      </c>
      <c r="B2137" t="inlineStr">
        <is>
          <t>Aug-2018</t>
        </is>
      </c>
      <c r="C2137" s="2" t="n">
        <v>44485</v>
      </c>
      <c r="D2137" t="inlineStr">
        <is>
          <t>NON-NIL</t>
        </is>
      </c>
      <c r="E2137" t="n">
        <v>964</v>
      </c>
    </row>
    <row r="2138">
      <c r="A2138" t="inlineStr">
        <is>
          <t>27BBBBB02138Z5</t>
        </is>
      </c>
      <c r="B2138" t="inlineStr">
        <is>
          <t>Nov-2018</t>
        </is>
      </c>
      <c r="C2138" s="2" t="n">
        <v>43460</v>
      </c>
      <c r="D2138" t="inlineStr">
        <is>
          <t>NON-NIL</t>
        </is>
      </c>
      <c r="E2138" t="n">
        <v>2913</v>
      </c>
    </row>
    <row r="2139">
      <c r="A2139" t="inlineStr">
        <is>
          <t>27BBBBB02139Z5</t>
        </is>
      </c>
      <c r="B2139" t="inlineStr">
        <is>
          <t>Jul-2017</t>
        </is>
      </c>
      <c r="C2139" s="2" t="n">
        <v>44417</v>
      </c>
      <c r="D2139" t="inlineStr">
        <is>
          <t>NIL</t>
        </is>
      </c>
      <c r="E2139" t="n">
        <v>2358</v>
      </c>
    </row>
    <row r="2140">
      <c r="A2140" t="inlineStr">
        <is>
          <t>27BBBBB02140Z5</t>
        </is>
      </c>
      <c r="B2140" t="inlineStr">
        <is>
          <t>Dec-2022</t>
        </is>
      </c>
      <c r="C2140" s="2" t="n">
        <v>44114</v>
      </c>
      <c r="D2140" t="inlineStr">
        <is>
          <t>NIL</t>
        </is>
      </c>
      <c r="E2140" t="n">
        <v>1484</v>
      </c>
    </row>
    <row r="2141">
      <c r="A2141" t="inlineStr">
        <is>
          <t>27BBBBB02141Z5</t>
        </is>
      </c>
      <c r="B2141" t="inlineStr">
        <is>
          <t>Aug-2017</t>
        </is>
      </c>
      <c r="C2141" s="2" t="n">
        <v>44157</v>
      </c>
      <c r="D2141" t="inlineStr">
        <is>
          <t>NIL</t>
        </is>
      </c>
      <c r="E2141" t="n">
        <v>1569</v>
      </c>
    </row>
    <row r="2142">
      <c r="A2142" t="inlineStr">
        <is>
          <t>27BBBBB02142Z5</t>
        </is>
      </c>
      <c r="B2142" t="inlineStr">
        <is>
          <t>Dec-2024</t>
        </is>
      </c>
      <c r="C2142" s="2" t="n">
        <v>44331</v>
      </c>
      <c r="D2142" t="inlineStr">
        <is>
          <t>NIL</t>
        </is>
      </c>
      <c r="E2142" t="n">
        <v>2320</v>
      </c>
    </row>
    <row r="2143">
      <c r="A2143" t="inlineStr">
        <is>
          <t>27BBBBB02143Z5</t>
        </is>
      </c>
      <c r="B2143" t="inlineStr">
        <is>
          <t>Jun-2020</t>
        </is>
      </c>
      <c r="C2143" s="2" t="n">
        <v>44141</v>
      </c>
      <c r="D2143" t="inlineStr">
        <is>
          <t>NIL</t>
        </is>
      </c>
      <c r="E2143" t="n">
        <v>1601</v>
      </c>
    </row>
    <row r="2144">
      <c r="A2144" t="inlineStr">
        <is>
          <t>27BBBBB02144Z5</t>
        </is>
      </c>
      <c r="B2144" t="inlineStr">
        <is>
          <t>Nov-2017</t>
        </is>
      </c>
      <c r="C2144" s="2" t="n">
        <v>43567</v>
      </c>
      <c r="D2144" t="inlineStr">
        <is>
          <t>NIL</t>
        </is>
      </c>
      <c r="E2144" t="n">
        <v>549</v>
      </c>
    </row>
    <row r="2145">
      <c r="A2145" t="inlineStr">
        <is>
          <t>27BBBBB02145Z5</t>
        </is>
      </c>
      <c r="B2145" t="inlineStr">
        <is>
          <t>Dec-2024</t>
        </is>
      </c>
      <c r="C2145" s="2" t="n">
        <v>45728</v>
      </c>
      <c r="D2145" t="inlineStr">
        <is>
          <t>NON-NIL</t>
        </is>
      </c>
      <c r="E2145" t="n">
        <v>1479</v>
      </c>
    </row>
    <row r="2146">
      <c r="A2146" t="inlineStr">
        <is>
          <t>27BBBBB02146Z5</t>
        </is>
      </c>
      <c r="B2146" t="inlineStr">
        <is>
          <t>Oct-2018</t>
        </is>
      </c>
      <c r="C2146" s="2" t="n">
        <v>44446</v>
      </c>
      <c r="D2146" t="inlineStr">
        <is>
          <t>NIL</t>
        </is>
      </c>
      <c r="E2146" t="n">
        <v>455</v>
      </c>
    </row>
    <row r="2147">
      <c r="A2147" t="inlineStr">
        <is>
          <t>27BBBBB02147Z5</t>
        </is>
      </c>
      <c r="B2147" t="inlineStr">
        <is>
          <t>Jul-2020</t>
        </is>
      </c>
      <c r="C2147" s="2" t="n">
        <v>44176</v>
      </c>
      <c r="D2147" t="inlineStr">
        <is>
          <t>NON-NIL</t>
        </is>
      </c>
      <c r="E2147" t="n">
        <v>2350</v>
      </c>
    </row>
    <row r="2148">
      <c r="A2148" t="inlineStr">
        <is>
          <t>27BBBBB02148Z5</t>
        </is>
      </c>
      <c r="B2148" t="inlineStr">
        <is>
          <t>Jan-2021</t>
        </is>
      </c>
      <c r="C2148" s="2" t="n">
        <v>43908</v>
      </c>
      <c r="D2148" t="inlineStr">
        <is>
          <t>NIL</t>
        </is>
      </c>
      <c r="E2148" t="n">
        <v>2092</v>
      </c>
    </row>
    <row r="2149">
      <c r="A2149" t="inlineStr">
        <is>
          <t>27BBBBB02149Z5</t>
        </is>
      </c>
      <c r="B2149" t="inlineStr">
        <is>
          <t>Mar-2021</t>
        </is>
      </c>
      <c r="C2149" s="2" t="n">
        <v>44333</v>
      </c>
      <c r="D2149" t="inlineStr">
        <is>
          <t>NIL</t>
        </is>
      </c>
      <c r="E2149" t="n">
        <v>108</v>
      </c>
    </row>
    <row r="2150">
      <c r="A2150" t="inlineStr">
        <is>
          <t>27BBBBB02150Z5</t>
        </is>
      </c>
      <c r="B2150" t="inlineStr">
        <is>
          <t>Aug-2018</t>
        </is>
      </c>
      <c r="C2150" s="2" t="n">
        <v>43271</v>
      </c>
      <c r="D2150" t="inlineStr">
        <is>
          <t>NIL</t>
        </is>
      </c>
      <c r="E2150" t="n">
        <v>2179</v>
      </c>
    </row>
    <row r="2151">
      <c r="A2151" t="inlineStr">
        <is>
          <t>27BBBBB02151Z5</t>
        </is>
      </c>
      <c r="B2151" t="inlineStr">
        <is>
          <t>Oct-2017</t>
        </is>
      </c>
      <c r="C2151" s="2" t="n">
        <v>43966</v>
      </c>
      <c r="D2151" t="inlineStr">
        <is>
          <t>NIL</t>
        </is>
      </c>
      <c r="E2151" t="n">
        <v>2685</v>
      </c>
    </row>
    <row r="2152">
      <c r="A2152" t="inlineStr">
        <is>
          <t>27BBBBB02152Z5</t>
        </is>
      </c>
      <c r="B2152" t="inlineStr">
        <is>
          <t>Apr-2020</t>
        </is>
      </c>
      <c r="C2152" s="2" t="n">
        <v>44179</v>
      </c>
      <c r="D2152" t="inlineStr">
        <is>
          <t>NON-NIL</t>
        </is>
      </c>
      <c r="E2152" t="n">
        <v>1491</v>
      </c>
    </row>
    <row r="2153">
      <c r="A2153" t="inlineStr">
        <is>
          <t>27BBBBB02153Z5</t>
        </is>
      </c>
      <c r="B2153" t="inlineStr">
        <is>
          <t>Oct-2017</t>
        </is>
      </c>
      <c r="C2153" s="2" t="n">
        <v>43765</v>
      </c>
      <c r="D2153" t="inlineStr">
        <is>
          <t>NON-NIL</t>
        </is>
      </c>
      <c r="E2153" t="n">
        <v>2336</v>
      </c>
    </row>
    <row r="2154">
      <c r="A2154" t="inlineStr">
        <is>
          <t>27BBBBB02154Z5</t>
        </is>
      </c>
      <c r="B2154" t="inlineStr">
        <is>
          <t>Sep-2017</t>
        </is>
      </c>
      <c r="C2154" s="2" t="n">
        <v>43927</v>
      </c>
      <c r="D2154" t="inlineStr">
        <is>
          <t>NON-NIL</t>
        </is>
      </c>
      <c r="E2154" t="n">
        <v>1638</v>
      </c>
    </row>
    <row r="2155">
      <c r="A2155" t="inlineStr">
        <is>
          <t>27BBBBB02155Z5</t>
        </is>
      </c>
      <c r="B2155" t="inlineStr">
        <is>
          <t>Oct-2017</t>
        </is>
      </c>
      <c r="C2155" s="2" t="n">
        <v>44313</v>
      </c>
      <c r="D2155" t="inlineStr">
        <is>
          <t>NON-NIL</t>
        </is>
      </c>
      <c r="E2155" t="n">
        <v>32</v>
      </c>
    </row>
    <row r="2156">
      <c r="A2156" t="inlineStr">
        <is>
          <t>27BBBBB02156Z5</t>
        </is>
      </c>
      <c r="B2156" t="inlineStr">
        <is>
          <t>Oct-2018</t>
        </is>
      </c>
      <c r="C2156" s="2" t="n">
        <v>44187</v>
      </c>
      <c r="D2156" t="inlineStr">
        <is>
          <t>NIL</t>
        </is>
      </c>
      <c r="E2156" t="n">
        <v>388</v>
      </c>
    </row>
    <row r="2157">
      <c r="A2157" t="inlineStr">
        <is>
          <t>27BBBBB02157Z5</t>
        </is>
      </c>
      <c r="B2157" t="inlineStr">
        <is>
          <t>Oct-2018</t>
        </is>
      </c>
      <c r="C2157" s="2" t="n">
        <v>43205</v>
      </c>
      <c r="D2157" t="inlineStr">
        <is>
          <t>NIL</t>
        </is>
      </c>
      <c r="E2157" t="n">
        <v>971</v>
      </c>
    </row>
    <row r="2158">
      <c r="A2158" t="inlineStr">
        <is>
          <t>27BBBBB02158Z5</t>
        </is>
      </c>
      <c r="B2158" t="inlineStr">
        <is>
          <t>Feb-2018</t>
        </is>
      </c>
      <c r="C2158" s="2" t="n">
        <v>44357</v>
      </c>
      <c r="D2158" t="inlineStr">
        <is>
          <t>NON-NIL</t>
        </is>
      </c>
      <c r="E2158" t="n">
        <v>2314</v>
      </c>
    </row>
    <row r="2159">
      <c r="A2159" t="inlineStr">
        <is>
          <t>27BBBBB02159Z5</t>
        </is>
      </c>
      <c r="B2159" t="inlineStr">
        <is>
          <t>Oct-2017</t>
        </is>
      </c>
      <c r="C2159" s="2" t="n">
        <v>43426</v>
      </c>
      <c r="D2159" t="inlineStr">
        <is>
          <t>NIL</t>
        </is>
      </c>
      <c r="E2159" t="n">
        <v>1480</v>
      </c>
    </row>
    <row r="2160">
      <c r="A2160" t="inlineStr">
        <is>
          <t>27BBBBB02160Z5</t>
        </is>
      </c>
      <c r="B2160" t="inlineStr">
        <is>
          <t>Jan-2018</t>
        </is>
      </c>
      <c r="C2160" s="2" t="n">
        <v>43085</v>
      </c>
      <c r="D2160" t="inlineStr">
        <is>
          <t>NON-NIL</t>
        </is>
      </c>
      <c r="E2160" t="n">
        <v>1012</v>
      </c>
    </row>
    <row r="2161">
      <c r="A2161" t="inlineStr">
        <is>
          <t>27BBBBB02161Z5</t>
        </is>
      </c>
      <c r="B2161" t="inlineStr">
        <is>
          <t>Jun-2018</t>
        </is>
      </c>
      <c r="C2161" s="2" t="n">
        <v>43801</v>
      </c>
      <c r="D2161" t="inlineStr">
        <is>
          <t>NIL</t>
        </is>
      </c>
      <c r="E2161" t="n">
        <v>2915</v>
      </c>
    </row>
    <row r="2162">
      <c r="A2162" t="inlineStr">
        <is>
          <t>27BBBBB02162Z5</t>
        </is>
      </c>
      <c r="B2162" t="inlineStr">
        <is>
          <t>Mar-2021</t>
        </is>
      </c>
      <c r="C2162" s="2" t="n">
        <v>45691</v>
      </c>
      <c r="D2162" t="inlineStr">
        <is>
          <t>NON-NIL</t>
        </is>
      </c>
      <c r="E2162" t="n">
        <v>2947</v>
      </c>
    </row>
    <row r="2163">
      <c r="A2163" t="inlineStr">
        <is>
          <t>27BBBBB02163Z5</t>
        </is>
      </c>
      <c r="B2163" t="inlineStr">
        <is>
          <t>Nov-2017</t>
        </is>
      </c>
      <c r="C2163" s="2" t="n">
        <v>44388</v>
      </c>
      <c r="D2163" t="inlineStr">
        <is>
          <t>NON-NIL</t>
        </is>
      </c>
      <c r="E2163" t="n">
        <v>1450</v>
      </c>
    </row>
    <row r="2164">
      <c r="A2164" t="inlineStr">
        <is>
          <t>27BBBBB02164Z5</t>
        </is>
      </c>
      <c r="B2164" t="inlineStr">
        <is>
          <t>Jul-2020</t>
        </is>
      </c>
      <c r="C2164" s="2" t="n">
        <v>43876</v>
      </c>
      <c r="D2164" t="inlineStr">
        <is>
          <t>NON-NIL</t>
        </is>
      </c>
      <c r="E2164" t="n">
        <v>2943</v>
      </c>
    </row>
    <row r="2165">
      <c r="A2165" t="inlineStr">
        <is>
          <t>27BBBBB02165Z5</t>
        </is>
      </c>
      <c r="B2165" t="inlineStr">
        <is>
          <t>Jul-2020</t>
        </is>
      </c>
      <c r="C2165" s="2" t="n">
        <v>43888</v>
      </c>
      <c r="D2165" t="inlineStr">
        <is>
          <t>NON-NIL</t>
        </is>
      </c>
      <c r="E2165" t="n">
        <v>424</v>
      </c>
    </row>
    <row r="2166">
      <c r="A2166" t="inlineStr">
        <is>
          <t>27BBBBB02166Z5</t>
        </is>
      </c>
      <c r="B2166" t="inlineStr">
        <is>
          <t>Mar-2018</t>
        </is>
      </c>
      <c r="C2166" s="2" t="n">
        <v>44541</v>
      </c>
      <c r="D2166" t="inlineStr">
        <is>
          <t>NON-NIL</t>
        </is>
      </c>
      <c r="E2166" t="n">
        <v>2724</v>
      </c>
    </row>
    <row r="2167">
      <c r="A2167" t="inlineStr">
        <is>
          <t>27BBBBB02167Z5</t>
        </is>
      </c>
      <c r="B2167" t="inlineStr">
        <is>
          <t>Oct-2018</t>
        </is>
      </c>
      <c r="C2167" s="2" t="n">
        <v>43101</v>
      </c>
      <c r="D2167" t="inlineStr">
        <is>
          <t>NON-NIL</t>
        </is>
      </c>
      <c r="E2167" t="n">
        <v>2255</v>
      </c>
    </row>
    <row r="2168">
      <c r="A2168" t="inlineStr">
        <is>
          <t>27BBBBB02168Z5</t>
        </is>
      </c>
      <c r="B2168" t="inlineStr">
        <is>
          <t>Dec-2017</t>
        </is>
      </c>
      <c r="C2168" s="2" t="n">
        <v>44006</v>
      </c>
      <c r="D2168" t="inlineStr">
        <is>
          <t>NIL</t>
        </is>
      </c>
      <c r="E2168" t="n">
        <v>317</v>
      </c>
    </row>
    <row r="2169">
      <c r="A2169" t="inlineStr">
        <is>
          <t>27BBBBB02169Z5</t>
        </is>
      </c>
      <c r="B2169" t="inlineStr">
        <is>
          <t>Dec-2018</t>
        </is>
      </c>
      <c r="C2169" s="2" t="n">
        <v>44249</v>
      </c>
      <c r="D2169" t="inlineStr">
        <is>
          <t>NIL</t>
        </is>
      </c>
      <c r="E2169" t="n">
        <v>1188</v>
      </c>
    </row>
    <row r="2170">
      <c r="A2170" t="inlineStr">
        <is>
          <t>27BBBBB02170Z5</t>
        </is>
      </c>
      <c r="B2170" t="inlineStr">
        <is>
          <t>Apr-2018</t>
        </is>
      </c>
      <c r="C2170" s="2" t="n">
        <v>43707</v>
      </c>
      <c r="D2170" t="inlineStr">
        <is>
          <t>NIL</t>
        </is>
      </c>
      <c r="E2170" t="n">
        <v>396</v>
      </c>
    </row>
    <row r="2171">
      <c r="A2171" t="inlineStr">
        <is>
          <t>27BBBBB02171Z5</t>
        </is>
      </c>
      <c r="B2171" t="inlineStr">
        <is>
          <t>Jul-2018</t>
        </is>
      </c>
      <c r="C2171" s="2" t="n">
        <v>43315</v>
      </c>
      <c r="D2171" t="inlineStr">
        <is>
          <t>NON-NIL</t>
        </is>
      </c>
      <c r="E2171" t="n">
        <v>533</v>
      </c>
    </row>
    <row r="2172">
      <c r="A2172" t="inlineStr">
        <is>
          <t>27BBBBB02172Z5</t>
        </is>
      </c>
      <c r="B2172" t="inlineStr">
        <is>
          <t>Apr-2020</t>
        </is>
      </c>
      <c r="C2172" s="2" t="n">
        <v>44830</v>
      </c>
      <c r="D2172" t="inlineStr">
        <is>
          <t>NIL</t>
        </is>
      </c>
      <c r="E2172" t="n">
        <v>868</v>
      </c>
    </row>
    <row r="2173">
      <c r="A2173" t="inlineStr">
        <is>
          <t>27BBBBB02173Z5</t>
        </is>
      </c>
      <c r="B2173" t="inlineStr">
        <is>
          <t>Nov-2018</t>
        </is>
      </c>
      <c r="C2173" s="2" t="n">
        <v>43800</v>
      </c>
      <c r="D2173" t="inlineStr">
        <is>
          <t>NON-NIL</t>
        </is>
      </c>
      <c r="E2173" t="n">
        <v>2637</v>
      </c>
    </row>
    <row r="2174">
      <c r="A2174" t="inlineStr">
        <is>
          <t>27BBBBB02174Z5</t>
        </is>
      </c>
      <c r="B2174" t="inlineStr">
        <is>
          <t>Dec-2024</t>
        </is>
      </c>
      <c r="C2174" s="2" t="n">
        <v>45264</v>
      </c>
      <c r="D2174" t="inlineStr">
        <is>
          <t>NIL</t>
        </is>
      </c>
      <c r="E2174" t="n">
        <v>579</v>
      </c>
    </row>
    <row r="2175">
      <c r="A2175" t="inlineStr">
        <is>
          <t>27BBBBB02175Z5</t>
        </is>
      </c>
      <c r="B2175" t="inlineStr">
        <is>
          <t>Jul-2020</t>
        </is>
      </c>
      <c r="C2175" s="2" t="n">
        <v>44163</v>
      </c>
      <c r="D2175" t="inlineStr">
        <is>
          <t>NIL</t>
        </is>
      </c>
      <c r="E2175" t="n">
        <v>569</v>
      </c>
    </row>
    <row r="2176">
      <c r="A2176" t="inlineStr">
        <is>
          <t>27BBBBB02176Z5</t>
        </is>
      </c>
      <c r="B2176" t="inlineStr">
        <is>
          <t>Nov-2017</t>
        </is>
      </c>
      <c r="C2176" s="2" t="n">
        <v>43433</v>
      </c>
      <c r="D2176" t="inlineStr">
        <is>
          <t>NIL</t>
        </is>
      </c>
      <c r="E2176" t="n">
        <v>1772</v>
      </c>
    </row>
    <row r="2177">
      <c r="A2177" t="inlineStr">
        <is>
          <t>27BBBBB02177Z5</t>
        </is>
      </c>
      <c r="B2177" t="inlineStr">
        <is>
          <t>Jan-2018</t>
        </is>
      </c>
      <c r="C2177" s="2" t="n">
        <v>43844</v>
      </c>
      <c r="D2177" t="inlineStr">
        <is>
          <t>NIL</t>
        </is>
      </c>
      <c r="E2177" t="n">
        <v>1608</v>
      </c>
    </row>
    <row r="2178">
      <c r="A2178" t="inlineStr">
        <is>
          <t>27BBBBB02178Z5</t>
        </is>
      </c>
      <c r="B2178" t="inlineStr">
        <is>
          <t>Nov-2018</t>
        </is>
      </c>
      <c r="C2178" s="2" t="n">
        <v>44445</v>
      </c>
      <c r="D2178" t="inlineStr">
        <is>
          <t>NIL</t>
        </is>
      </c>
      <c r="E2178" t="n">
        <v>649</v>
      </c>
    </row>
    <row r="2179">
      <c r="A2179" t="inlineStr">
        <is>
          <t>27BBBBB02179Z5</t>
        </is>
      </c>
      <c r="B2179" t="inlineStr">
        <is>
          <t>May-2018</t>
        </is>
      </c>
      <c r="C2179" s="2" t="n">
        <v>43431</v>
      </c>
      <c r="D2179" t="inlineStr">
        <is>
          <t>NIL</t>
        </is>
      </c>
      <c r="E2179" t="n">
        <v>1202</v>
      </c>
    </row>
    <row r="2180">
      <c r="A2180" t="inlineStr">
        <is>
          <t>27BBBBB02180Z5</t>
        </is>
      </c>
      <c r="B2180" t="inlineStr">
        <is>
          <t>May-2018</t>
        </is>
      </c>
      <c r="C2180" s="2" t="n">
        <v>43196</v>
      </c>
      <c r="D2180" t="inlineStr">
        <is>
          <t>NON-NIL</t>
        </is>
      </c>
      <c r="E2180" t="n">
        <v>2217</v>
      </c>
    </row>
    <row r="2181">
      <c r="A2181" t="inlineStr">
        <is>
          <t>27BBBBB02181Z5</t>
        </is>
      </c>
      <c r="B2181" t="inlineStr">
        <is>
          <t>Mar-2018</t>
        </is>
      </c>
      <c r="C2181" s="2" t="n">
        <v>43893</v>
      </c>
      <c r="D2181" t="inlineStr">
        <is>
          <t>NON-NIL</t>
        </is>
      </c>
      <c r="E2181" t="n">
        <v>2502</v>
      </c>
    </row>
    <row r="2182">
      <c r="A2182" t="inlineStr">
        <is>
          <t>27BBBBB02182Z5</t>
        </is>
      </c>
      <c r="B2182" t="inlineStr">
        <is>
          <t>Jul-2017</t>
        </is>
      </c>
      <c r="C2182" s="2" t="n">
        <v>43485</v>
      </c>
      <c r="D2182" t="inlineStr">
        <is>
          <t>NON-NIL</t>
        </is>
      </c>
      <c r="E2182" t="n">
        <v>1907</v>
      </c>
    </row>
    <row r="2183">
      <c r="A2183" t="inlineStr">
        <is>
          <t>27BBBBB02183Z5</t>
        </is>
      </c>
      <c r="B2183" t="inlineStr">
        <is>
          <t>Apr-2018</t>
        </is>
      </c>
      <c r="C2183" s="2" t="n">
        <v>44343</v>
      </c>
      <c r="D2183" t="inlineStr">
        <is>
          <t>NIL</t>
        </is>
      </c>
      <c r="E2183" t="n">
        <v>1813</v>
      </c>
    </row>
    <row r="2184">
      <c r="A2184" t="inlineStr">
        <is>
          <t>27BBBBB02184Z5</t>
        </is>
      </c>
      <c r="B2184" t="inlineStr">
        <is>
          <t>Aug-2018</t>
        </is>
      </c>
      <c r="C2184" s="2" t="n">
        <v>43556</v>
      </c>
      <c r="D2184" t="inlineStr">
        <is>
          <t>NIL</t>
        </is>
      </c>
      <c r="E2184" t="n">
        <v>1118</v>
      </c>
    </row>
    <row r="2185">
      <c r="A2185" t="inlineStr">
        <is>
          <t>27BBBBB02185Z5</t>
        </is>
      </c>
      <c r="B2185" t="inlineStr">
        <is>
          <t>Mar-2018</t>
        </is>
      </c>
      <c r="C2185" s="2" t="n">
        <v>43076</v>
      </c>
      <c r="D2185" t="inlineStr">
        <is>
          <t>NIL</t>
        </is>
      </c>
      <c r="E2185" t="n">
        <v>1409</v>
      </c>
    </row>
    <row r="2186">
      <c r="A2186" t="inlineStr">
        <is>
          <t>27BBBBB02186Z5</t>
        </is>
      </c>
      <c r="B2186" t="inlineStr">
        <is>
          <t>Sep-2018</t>
        </is>
      </c>
      <c r="C2186" s="2" t="n">
        <v>44117</v>
      </c>
      <c r="D2186" t="inlineStr">
        <is>
          <t>NON-NIL</t>
        </is>
      </c>
      <c r="E2186" t="n">
        <v>2735</v>
      </c>
    </row>
    <row r="2187">
      <c r="A2187" t="inlineStr">
        <is>
          <t>27BBBBB02187Z5</t>
        </is>
      </c>
      <c r="B2187" t="inlineStr">
        <is>
          <t>Jan-2021</t>
        </is>
      </c>
      <c r="C2187" s="2" t="n">
        <v>43603</v>
      </c>
      <c r="D2187" t="inlineStr">
        <is>
          <t>NON-NIL</t>
        </is>
      </c>
      <c r="E2187" t="n">
        <v>2831</v>
      </c>
    </row>
    <row r="2188">
      <c r="A2188" t="inlineStr">
        <is>
          <t>27BBBBB02188Z5</t>
        </is>
      </c>
      <c r="B2188" t="inlineStr">
        <is>
          <t>May-2018</t>
        </is>
      </c>
      <c r="C2188" s="2" t="n">
        <v>43290</v>
      </c>
      <c r="D2188" t="inlineStr">
        <is>
          <t>NON-NIL</t>
        </is>
      </c>
      <c r="E2188" t="n">
        <v>888</v>
      </c>
    </row>
    <row r="2189">
      <c r="A2189" t="inlineStr">
        <is>
          <t>27BBBBB02189Z5</t>
        </is>
      </c>
      <c r="B2189" t="inlineStr">
        <is>
          <t>Dec-2017</t>
        </is>
      </c>
      <c r="C2189" s="2" t="n">
        <v>44102</v>
      </c>
      <c r="D2189" t="inlineStr">
        <is>
          <t>NIL</t>
        </is>
      </c>
      <c r="E2189" t="n">
        <v>2588</v>
      </c>
    </row>
    <row r="2190">
      <c r="A2190" t="inlineStr">
        <is>
          <t>27BBBBB02190Z5</t>
        </is>
      </c>
      <c r="B2190" t="inlineStr">
        <is>
          <t>Nov-2017</t>
        </is>
      </c>
      <c r="C2190" s="2" t="n">
        <v>43466</v>
      </c>
      <c r="D2190" t="inlineStr">
        <is>
          <t>NON-NIL</t>
        </is>
      </c>
      <c r="E2190" t="n">
        <v>1100</v>
      </c>
    </row>
    <row r="2191">
      <c r="A2191" t="inlineStr">
        <is>
          <t>27BBBBB02191Z5</t>
        </is>
      </c>
      <c r="B2191" t="inlineStr">
        <is>
          <t>Jun-2020</t>
        </is>
      </c>
      <c r="C2191" s="2" t="n">
        <v>44306</v>
      </c>
      <c r="D2191" t="inlineStr">
        <is>
          <t>NON-NIL</t>
        </is>
      </c>
      <c r="E2191" t="n">
        <v>2977</v>
      </c>
    </row>
    <row r="2192">
      <c r="A2192" t="inlineStr">
        <is>
          <t>27BBBBB02192Z5</t>
        </is>
      </c>
      <c r="B2192" t="inlineStr">
        <is>
          <t>Jun-2018</t>
        </is>
      </c>
      <c r="C2192" s="2" t="n">
        <v>43160</v>
      </c>
      <c r="D2192" t="inlineStr">
        <is>
          <t>NON-NIL</t>
        </is>
      </c>
      <c r="E2192" t="n">
        <v>1307</v>
      </c>
    </row>
    <row r="2193">
      <c r="A2193" t="inlineStr">
        <is>
          <t>27BBBBB02193Z5</t>
        </is>
      </c>
      <c r="B2193" t="inlineStr">
        <is>
          <t>Jul-2017</t>
        </is>
      </c>
      <c r="C2193" s="2" t="n">
        <v>44460</v>
      </c>
      <c r="D2193" t="inlineStr">
        <is>
          <t>NON-NIL</t>
        </is>
      </c>
      <c r="E2193" t="n">
        <v>1977</v>
      </c>
    </row>
    <row r="2194">
      <c r="A2194" t="inlineStr">
        <is>
          <t>27BBBBB02194Z5</t>
        </is>
      </c>
      <c r="B2194" t="inlineStr">
        <is>
          <t>May-2018</t>
        </is>
      </c>
      <c r="C2194" s="2" t="n">
        <v>43457</v>
      </c>
      <c r="D2194" t="inlineStr">
        <is>
          <t>NON-NIL</t>
        </is>
      </c>
      <c r="E2194" t="n">
        <v>558</v>
      </c>
    </row>
    <row r="2195">
      <c r="A2195" t="inlineStr">
        <is>
          <t>27BBBBB02195Z5</t>
        </is>
      </c>
      <c r="B2195" t="inlineStr">
        <is>
          <t>Jul-2020</t>
        </is>
      </c>
      <c r="C2195" s="2" t="n">
        <v>44078</v>
      </c>
      <c r="D2195" t="inlineStr">
        <is>
          <t>NON-NIL</t>
        </is>
      </c>
      <c r="E2195" t="n">
        <v>2739</v>
      </c>
    </row>
    <row r="2196">
      <c r="A2196" t="inlineStr">
        <is>
          <t>27BBBBB02196Z5</t>
        </is>
      </c>
      <c r="B2196" t="inlineStr">
        <is>
          <t>Sep-2018</t>
        </is>
      </c>
      <c r="C2196" s="2" t="n">
        <v>42973</v>
      </c>
      <c r="D2196" t="inlineStr">
        <is>
          <t>NON-NIL</t>
        </is>
      </c>
      <c r="E2196" t="n">
        <v>1734</v>
      </c>
    </row>
    <row r="2197">
      <c r="A2197" t="inlineStr">
        <is>
          <t>27BBBBB02197Z5</t>
        </is>
      </c>
      <c r="B2197" t="inlineStr">
        <is>
          <t>Dec-2017</t>
        </is>
      </c>
      <c r="C2197" s="2" t="n">
        <v>43626</v>
      </c>
      <c r="D2197" t="inlineStr">
        <is>
          <t>NIL</t>
        </is>
      </c>
      <c r="E2197" t="n">
        <v>424</v>
      </c>
    </row>
    <row r="2198">
      <c r="A2198" t="inlineStr">
        <is>
          <t>27BBBBB02198Z5</t>
        </is>
      </c>
      <c r="B2198" t="inlineStr">
        <is>
          <t>Jul-2020</t>
        </is>
      </c>
      <c r="C2198" s="2" t="n">
        <v>44709</v>
      </c>
      <c r="D2198" t="inlineStr">
        <is>
          <t>NIL</t>
        </is>
      </c>
      <c r="E2198" t="n">
        <v>766</v>
      </c>
    </row>
    <row r="2199">
      <c r="A2199" t="inlineStr">
        <is>
          <t>27BBBBB02199Z5</t>
        </is>
      </c>
      <c r="B2199" t="inlineStr">
        <is>
          <t>Jul-2017</t>
        </is>
      </c>
      <c r="C2199" s="2" t="n">
        <v>43532</v>
      </c>
      <c r="D2199" t="inlineStr">
        <is>
          <t>NIL</t>
        </is>
      </c>
      <c r="E2199" t="n">
        <v>2700</v>
      </c>
    </row>
    <row r="2200">
      <c r="A2200" t="inlineStr">
        <is>
          <t>27BBBBB02200Z5</t>
        </is>
      </c>
      <c r="B2200" t="inlineStr">
        <is>
          <t>Mar-2023</t>
        </is>
      </c>
      <c r="C2200" s="2" t="n">
        <v>45303</v>
      </c>
      <c r="D2200" t="inlineStr">
        <is>
          <t>NON-NIL</t>
        </is>
      </c>
      <c r="E2200" t="n">
        <v>511</v>
      </c>
    </row>
    <row r="2201">
      <c r="A2201" t="inlineStr">
        <is>
          <t>27BBBBB02201Z5</t>
        </is>
      </c>
      <c r="B2201" t="inlineStr">
        <is>
          <t>Mar-2018</t>
        </is>
      </c>
      <c r="C2201" s="2" t="n">
        <v>44171</v>
      </c>
      <c r="D2201" t="inlineStr">
        <is>
          <t>NON-NIL</t>
        </is>
      </c>
      <c r="E2201" t="n">
        <v>2244</v>
      </c>
    </row>
    <row r="2202">
      <c r="A2202" t="inlineStr">
        <is>
          <t>27BBBBB02202Z5</t>
        </is>
      </c>
      <c r="B2202" t="inlineStr">
        <is>
          <t>Oct-2018</t>
        </is>
      </c>
      <c r="C2202" s="2" t="n">
        <v>43254</v>
      </c>
      <c r="D2202" t="inlineStr">
        <is>
          <t>NON-NIL</t>
        </is>
      </c>
      <c r="E2202" t="n">
        <v>2121</v>
      </c>
    </row>
    <row r="2203">
      <c r="A2203" t="inlineStr">
        <is>
          <t>27BBBBB02203Z5</t>
        </is>
      </c>
      <c r="B2203" t="inlineStr">
        <is>
          <t>Mar-2018</t>
        </is>
      </c>
      <c r="C2203" s="2" t="n">
        <v>44113</v>
      </c>
      <c r="D2203" t="inlineStr">
        <is>
          <t>NIL</t>
        </is>
      </c>
      <c r="E2203" t="n">
        <v>1759</v>
      </c>
    </row>
    <row r="2204">
      <c r="A2204" t="inlineStr">
        <is>
          <t>27BBBBB02204Z5</t>
        </is>
      </c>
      <c r="B2204" t="inlineStr">
        <is>
          <t>Oct-2017</t>
        </is>
      </c>
      <c r="C2204" s="2" t="n">
        <v>43630</v>
      </c>
      <c r="D2204" t="inlineStr">
        <is>
          <t>NIL</t>
        </is>
      </c>
      <c r="E2204" t="n">
        <v>2125</v>
      </c>
    </row>
    <row r="2205">
      <c r="A2205" t="inlineStr">
        <is>
          <t>27BBBBB02205Z5</t>
        </is>
      </c>
      <c r="B2205" t="inlineStr">
        <is>
          <t>Dec-2024</t>
        </is>
      </c>
      <c r="C2205" s="2" t="n">
        <v>44439</v>
      </c>
      <c r="D2205" t="inlineStr">
        <is>
          <t>NIL</t>
        </is>
      </c>
      <c r="E2205" t="n">
        <v>1321</v>
      </c>
    </row>
    <row r="2206">
      <c r="A2206" t="inlineStr">
        <is>
          <t>27BBBBB02206Z5</t>
        </is>
      </c>
      <c r="B2206" t="inlineStr">
        <is>
          <t>Mar-2021</t>
        </is>
      </c>
      <c r="C2206" s="2" t="n">
        <v>45206</v>
      </c>
      <c r="D2206" t="inlineStr">
        <is>
          <t>NIL</t>
        </is>
      </c>
      <c r="E2206" t="n">
        <v>2982</v>
      </c>
    </row>
    <row r="2207">
      <c r="A2207" t="inlineStr">
        <is>
          <t>27BBBBB02207Z5</t>
        </is>
      </c>
      <c r="B2207" t="inlineStr">
        <is>
          <t>Aug-2017</t>
        </is>
      </c>
      <c r="C2207" s="2" t="n">
        <v>44063</v>
      </c>
      <c r="D2207" t="inlineStr">
        <is>
          <t>NIL</t>
        </is>
      </c>
      <c r="E2207" t="n">
        <v>2083</v>
      </c>
    </row>
    <row r="2208">
      <c r="A2208" t="inlineStr">
        <is>
          <t>27BBBBB02208Z5</t>
        </is>
      </c>
      <c r="B2208" t="inlineStr">
        <is>
          <t>Dec-2017</t>
        </is>
      </c>
      <c r="C2208" s="2" t="n">
        <v>42960</v>
      </c>
      <c r="D2208" t="inlineStr">
        <is>
          <t>NON-NIL</t>
        </is>
      </c>
      <c r="E2208" t="n">
        <v>2627</v>
      </c>
    </row>
    <row r="2209">
      <c r="A2209" t="inlineStr">
        <is>
          <t>27BBBBB02209Z5</t>
        </is>
      </c>
      <c r="B2209" t="inlineStr">
        <is>
          <t>Nov-2018</t>
        </is>
      </c>
      <c r="C2209" s="2" t="n">
        <v>42925</v>
      </c>
      <c r="D2209" t="inlineStr">
        <is>
          <t>NIL</t>
        </is>
      </c>
      <c r="E2209" t="n">
        <v>700</v>
      </c>
    </row>
    <row r="2210">
      <c r="A2210" t="inlineStr">
        <is>
          <t>27BBBBB02210Z5</t>
        </is>
      </c>
      <c r="B2210" t="inlineStr">
        <is>
          <t>Aug-2017</t>
        </is>
      </c>
      <c r="C2210" s="2" t="n">
        <v>44105</v>
      </c>
      <c r="D2210" t="inlineStr">
        <is>
          <t>NIL</t>
        </is>
      </c>
      <c r="E2210" t="n">
        <v>1459</v>
      </c>
    </row>
    <row r="2211">
      <c r="A2211" t="inlineStr">
        <is>
          <t>27BBBBB02211Z5</t>
        </is>
      </c>
      <c r="B2211" t="inlineStr">
        <is>
          <t>Dec-2017</t>
        </is>
      </c>
      <c r="C2211" s="2" t="n">
        <v>44199</v>
      </c>
      <c r="D2211" t="inlineStr">
        <is>
          <t>NIL</t>
        </is>
      </c>
      <c r="E2211" t="n">
        <v>16</v>
      </c>
    </row>
    <row r="2212">
      <c r="A2212" t="inlineStr">
        <is>
          <t>27BBBBB02212Z5</t>
        </is>
      </c>
      <c r="B2212" t="inlineStr">
        <is>
          <t>May-2020</t>
        </is>
      </c>
      <c r="C2212" s="2" t="n">
        <v>44391</v>
      </c>
      <c r="D2212" t="inlineStr">
        <is>
          <t>NIL</t>
        </is>
      </c>
      <c r="E2212" t="n">
        <v>800</v>
      </c>
    </row>
    <row r="2213">
      <c r="A2213" t="inlineStr">
        <is>
          <t>27BBBBB02213Z5</t>
        </is>
      </c>
      <c r="B2213" t="inlineStr">
        <is>
          <t>May-2020</t>
        </is>
      </c>
      <c r="C2213" s="2" t="n">
        <v>44538</v>
      </c>
      <c r="D2213" t="inlineStr">
        <is>
          <t>NON-NIL</t>
        </is>
      </c>
      <c r="E2213" t="n">
        <v>2011</v>
      </c>
    </row>
    <row r="2214">
      <c r="A2214" t="inlineStr">
        <is>
          <t>27BBBBB02214Z5</t>
        </is>
      </c>
      <c r="B2214" t="inlineStr">
        <is>
          <t>Mar-2020</t>
        </is>
      </c>
      <c r="C2214" s="2" t="n">
        <v>43998</v>
      </c>
      <c r="D2214" t="inlineStr">
        <is>
          <t>NIL</t>
        </is>
      </c>
      <c r="E2214" t="n">
        <v>203</v>
      </c>
    </row>
    <row r="2215">
      <c r="A2215" t="inlineStr">
        <is>
          <t>27BBBBB02215Z5</t>
        </is>
      </c>
      <c r="B2215" t="inlineStr">
        <is>
          <t>Jan-2021</t>
        </is>
      </c>
      <c r="C2215" s="2" t="n">
        <v>44108</v>
      </c>
      <c r="D2215" t="inlineStr">
        <is>
          <t>NON-NIL</t>
        </is>
      </c>
      <c r="E2215" t="n">
        <v>2379</v>
      </c>
    </row>
    <row r="2216">
      <c r="A2216" t="inlineStr">
        <is>
          <t>27BBBBB02216Z5</t>
        </is>
      </c>
      <c r="B2216" t="inlineStr">
        <is>
          <t>Nov-2017</t>
        </is>
      </c>
      <c r="C2216" s="2" t="n">
        <v>44120</v>
      </c>
      <c r="D2216" t="inlineStr">
        <is>
          <t>NIL</t>
        </is>
      </c>
      <c r="E2216" t="n">
        <v>686</v>
      </c>
    </row>
    <row r="2217">
      <c r="A2217" t="inlineStr">
        <is>
          <t>27BBBBB02217Z5</t>
        </is>
      </c>
      <c r="B2217" t="inlineStr">
        <is>
          <t>May-2018</t>
        </is>
      </c>
      <c r="C2217" s="2" t="n">
        <v>43094</v>
      </c>
      <c r="D2217" t="inlineStr">
        <is>
          <t>NIL</t>
        </is>
      </c>
      <c r="E2217" t="n">
        <v>63</v>
      </c>
    </row>
    <row r="2218">
      <c r="A2218" t="inlineStr">
        <is>
          <t>27BBBBB02218Z5</t>
        </is>
      </c>
      <c r="B2218" t="inlineStr">
        <is>
          <t>Dec-2022</t>
        </is>
      </c>
      <c r="C2218" s="2" t="n">
        <v>44153</v>
      </c>
      <c r="D2218" t="inlineStr">
        <is>
          <t>NIL</t>
        </is>
      </c>
      <c r="E2218" t="n">
        <v>1962</v>
      </c>
    </row>
    <row r="2219">
      <c r="A2219" t="inlineStr">
        <is>
          <t>27BBBBB02219Z5</t>
        </is>
      </c>
      <c r="B2219" t="inlineStr">
        <is>
          <t>Apr-2020</t>
        </is>
      </c>
      <c r="C2219" s="2" t="n">
        <v>44109</v>
      </c>
      <c r="D2219" t="inlineStr">
        <is>
          <t>NON-NIL</t>
        </is>
      </c>
      <c r="E2219" t="n">
        <v>1898</v>
      </c>
    </row>
    <row r="2220">
      <c r="A2220" t="inlineStr">
        <is>
          <t>27BBBBB02220Z5</t>
        </is>
      </c>
      <c r="B2220" t="inlineStr">
        <is>
          <t>Mar-2020</t>
        </is>
      </c>
      <c r="C2220" s="2" t="n">
        <v>44880</v>
      </c>
      <c r="D2220" t="inlineStr">
        <is>
          <t>NIL</t>
        </is>
      </c>
      <c r="E2220" t="n">
        <v>1363</v>
      </c>
    </row>
    <row r="2221">
      <c r="A2221" t="inlineStr">
        <is>
          <t>27BBBBB02221Z5</t>
        </is>
      </c>
      <c r="B2221" t="inlineStr">
        <is>
          <t>Dec-2022</t>
        </is>
      </c>
      <c r="C2221" s="2" t="n">
        <v>44492</v>
      </c>
      <c r="D2221" t="inlineStr">
        <is>
          <t>NIL</t>
        </is>
      </c>
      <c r="E2221" t="n">
        <v>691</v>
      </c>
    </row>
    <row r="2222">
      <c r="A2222" t="inlineStr">
        <is>
          <t>27BBBBB02222Z5</t>
        </is>
      </c>
      <c r="B2222" t="inlineStr">
        <is>
          <t>Aug-2018</t>
        </is>
      </c>
      <c r="C2222" s="2" t="n">
        <v>44534</v>
      </c>
      <c r="D2222" t="inlineStr">
        <is>
          <t>NIL</t>
        </is>
      </c>
      <c r="E2222" t="n">
        <v>950</v>
      </c>
    </row>
    <row r="2223">
      <c r="A2223" t="inlineStr">
        <is>
          <t>27BBBBB02223Z5</t>
        </is>
      </c>
      <c r="B2223" t="inlineStr">
        <is>
          <t>Dec-2017</t>
        </is>
      </c>
      <c r="C2223" s="2" t="n">
        <v>43266</v>
      </c>
      <c r="D2223" t="inlineStr">
        <is>
          <t>NON-NIL</t>
        </is>
      </c>
      <c r="E2223" t="n">
        <v>201</v>
      </c>
    </row>
    <row r="2224">
      <c r="A2224" t="inlineStr">
        <is>
          <t>27BBBBB02224Z5</t>
        </is>
      </c>
      <c r="B2224" t="inlineStr">
        <is>
          <t>Dec-2018</t>
        </is>
      </c>
      <c r="C2224" s="2" t="n">
        <v>42926</v>
      </c>
      <c r="D2224" t="inlineStr">
        <is>
          <t>NON-NIL</t>
        </is>
      </c>
      <c r="E2224" t="n">
        <v>1939</v>
      </c>
    </row>
    <row r="2225">
      <c r="A2225" t="inlineStr">
        <is>
          <t>27BBBBB02225Z5</t>
        </is>
      </c>
      <c r="B2225" t="inlineStr">
        <is>
          <t>May-2020</t>
        </is>
      </c>
      <c r="C2225" s="2" t="n">
        <v>43896</v>
      </c>
      <c r="D2225" t="inlineStr">
        <is>
          <t>NIL</t>
        </is>
      </c>
      <c r="E2225" t="n">
        <v>954</v>
      </c>
    </row>
    <row r="2226">
      <c r="A2226" t="inlineStr">
        <is>
          <t>27BBBBB02226Z5</t>
        </is>
      </c>
      <c r="B2226" t="inlineStr">
        <is>
          <t>Oct-2018</t>
        </is>
      </c>
      <c r="C2226" s="2" t="n">
        <v>44498</v>
      </c>
      <c r="D2226" t="inlineStr">
        <is>
          <t>NIL</t>
        </is>
      </c>
      <c r="E2226" t="n">
        <v>2009</v>
      </c>
    </row>
    <row r="2227">
      <c r="A2227" t="inlineStr">
        <is>
          <t>27BBBBB02227Z5</t>
        </is>
      </c>
      <c r="B2227" t="inlineStr">
        <is>
          <t>Oct-2017</t>
        </is>
      </c>
      <c r="C2227" s="2" t="n">
        <v>44528</v>
      </c>
      <c r="D2227" t="inlineStr">
        <is>
          <t>NON-NIL</t>
        </is>
      </c>
      <c r="E2227" t="n">
        <v>201</v>
      </c>
    </row>
    <row r="2228">
      <c r="A2228" t="inlineStr">
        <is>
          <t>27BBBBB02228Z5</t>
        </is>
      </c>
      <c r="B2228" t="inlineStr">
        <is>
          <t>Jul-2018</t>
        </is>
      </c>
      <c r="C2228" s="2" t="n">
        <v>44027</v>
      </c>
      <c r="D2228" t="inlineStr">
        <is>
          <t>NON-NIL</t>
        </is>
      </c>
      <c r="E2228" t="n">
        <v>607</v>
      </c>
    </row>
    <row r="2229">
      <c r="A2229" t="inlineStr">
        <is>
          <t>27BBBBB02229Z5</t>
        </is>
      </c>
      <c r="B2229" t="inlineStr">
        <is>
          <t>Apr-2018</t>
        </is>
      </c>
      <c r="C2229" s="2" t="n">
        <v>43697</v>
      </c>
      <c r="D2229" t="inlineStr">
        <is>
          <t>NIL</t>
        </is>
      </c>
      <c r="E2229" t="n">
        <v>2073</v>
      </c>
    </row>
    <row r="2230">
      <c r="A2230" t="inlineStr">
        <is>
          <t>27BBBBB02230Z5</t>
        </is>
      </c>
      <c r="B2230" t="inlineStr">
        <is>
          <t>Nov-2018</t>
        </is>
      </c>
      <c r="C2230" s="2" t="n">
        <v>44068</v>
      </c>
      <c r="D2230" t="inlineStr">
        <is>
          <t>NON-NIL</t>
        </is>
      </c>
      <c r="E2230" t="n">
        <v>2358</v>
      </c>
    </row>
    <row r="2231">
      <c r="A2231" t="inlineStr">
        <is>
          <t>27BBBBB02231Z5</t>
        </is>
      </c>
      <c r="B2231" t="inlineStr">
        <is>
          <t>Dec-2017</t>
        </is>
      </c>
      <c r="C2231" s="2" t="n">
        <v>44298</v>
      </c>
      <c r="D2231" t="inlineStr">
        <is>
          <t>NIL</t>
        </is>
      </c>
      <c r="E2231" t="n">
        <v>2217</v>
      </c>
    </row>
    <row r="2232">
      <c r="A2232" t="inlineStr">
        <is>
          <t>27BBBBB02232Z5</t>
        </is>
      </c>
      <c r="B2232" t="inlineStr">
        <is>
          <t>May-2018</t>
        </is>
      </c>
      <c r="C2232" s="2" t="n">
        <v>43156</v>
      </c>
      <c r="D2232" t="inlineStr">
        <is>
          <t>NON-NIL</t>
        </is>
      </c>
      <c r="E2232" t="n">
        <v>345</v>
      </c>
    </row>
    <row r="2233">
      <c r="A2233" t="inlineStr">
        <is>
          <t>27BBBBB02233Z5</t>
        </is>
      </c>
      <c r="B2233" t="inlineStr">
        <is>
          <t>Mar-2021</t>
        </is>
      </c>
      <c r="C2233" s="2" t="n">
        <v>44231</v>
      </c>
      <c r="D2233" t="inlineStr">
        <is>
          <t>NIL</t>
        </is>
      </c>
      <c r="E2233" t="n">
        <v>2646</v>
      </c>
    </row>
    <row r="2234">
      <c r="A2234" t="inlineStr">
        <is>
          <t>27BBBBB02234Z5</t>
        </is>
      </c>
      <c r="B2234" t="inlineStr">
        <is>
          <t>Dec-2024</t>
        </is>
      </c>
      <c r="C2234" s="2" t="n">
        <v>45555</v>
      </c>
      <c r="D2234" t="inlineStr">
        <is>
          <t>NON-NIL</t>
        </is>
      </c>
      <c r="E2234" t="n">
        <v>1569</v>
      </c>
    </row>
    <row r="2235">
      <c r="A2235" t="inlineStr">
        <is>
          <t>27BBBBB02235Z5</t>
        </is>
      </c>
      <c r="B2235" t="inlineStr">
        <is>
          <t>Aug-2017</t>
        </is>
      </c>
      <c r="C2235" s="2" t="n">
        <v>42961</v>
      </c>
      <c r="D2235" t="inlineStr">
        <is>
          <t>NON-NIL</t>
        </is>
      </c>
      <c r="E2235" t="n">
        <v>2824</v>
      </c>
    </row>
    <row r="2236">
      <c r="A2236" t="inlineStr">
        <is>
          <t>27BBBBB02236Z5</t>
        </is>
      </c>
      <c r="B2236" t="inlineStr">
        <is>
          <t>Apr-2018</t>
        </is>
      </c>
      <c r="C2236" s="2" t="n">
        <v>44100</v>
      </c>
      <c r="D2236" t="inlineStr">
        <is>
          <t>NON-NIL</t>
        </is>
      </c>
      <c r="E2236" t="n">
        <v>448</v>
      </c>
    </row>
    <row r="2237">
      <c r="A2237" t="inlineStr">
        <is>
          <t>27BBBBB02237Z5</t>
        </is>
      </c>
      <c r="B2237" t="inlineStr">
        <is>
          <t>Oct-2017</t>
        </is>
      </c>
      <c r="C2237" s="2" t="n">
        <v>44512</v>
      </c>
      <c r="D2237" t="inlineStr">
        <is>
          <t>NON-NIL</t>
        </is>
      </c>
      <c r="E2237" t="n">
        <v>450</v>
      </c>
    </row>
    <row r="2238">
      <c r="A2238" t="inlineStr">
        <is>
          <t>27BBBBB02238Z5</t>
        </is>
      </c>
      <c r="B2238" t="inlineStr">
        <is>
          <t>Jun-2018</t>
        </is>
      </c>
      <c r="C2238" s="2" t="n">
        <v>44110</v>
      </c>
      <c r="D2238" t="inlineStr">
        <is>
          <t>NIL</t>
        </is>
      </c>
      <c r="E2238" t="n">
        <v>961</v>
      </c>
    </row>
    <row r="2239">
      <c r="A2239" t="inlineStr">
        <is>
          <t>27BBBBB02239Z5</t>
        </is>
      </c>
      <c r="B2239" t="inlineStr">
        <is>
          <t>Jul-2018</t>
        </is>
      </c>
      <c r="C2239" s="2" t="n">
        <v>43522</v>
      </c>
      <c r="D2239" t="inlineStr">
        <is>
          <t>NON-NIL</t>
        </is>
      </c>
      <c r="E2239" t="n">
        <v>1016</v>
      </c>
    </row>
    <row r="2240">
      <c r="A2240" t="inlineStr">
        <is>
          <t>27BBBBB02240Z5</t>
        </is>
      </c>
      <c r="B2240" t="inlineStr">
        <is>
          <t>Oct-2018</t>
        </is>
      </c>
      <c r="C2240" s="2" t="n">
        <v>43174</v>
      </c>
      <c r="D2240" t="inlineStr">
        <is>
          <t>NON-NIL</t>
        </is>
      </c>
      <c r="E2240" t="n">
        <v>2513</v>
      </c>
    </row>
    <row r="2241">
      <c r="A2241" t="inlineStr">
        <is>
          <t>27BBBBB02241Z5</t>
        </is>
      </c>
      <c r="B2241" t="inlineStr">
        <is>
          <t>Jun-2020</t>
        </is>
      </c>
      <c r="C2241" s="2" t="n">
        <v>43874</v>
      </c>
      <c r="D2241" t="inlineStr">
        <is>
          <t>NIL</t>
        </is>
      </c>
      <c r="E2241" t="n">
        <v>597</v>
      </c>
    </row>
    <row r="2242">
      <c r="A2242" t="inlineStr">
        <is>
          <t>27BBBBB02242Z5</t>
        </is>
      </c>
      <c r="B2242" t="inlineStr">
        <is>
          <t>May-2018</t>
        </is>
      </c>
      <c r="C2242" s="2" t="n">
        <v>44150</v>
      </c>
      <c r="D2242" t="inlineStr">
        <is>
          <t>NON-NIL</t>
        </is>
      </c>
      <c r="E2242" t="n">
        <v>2073</v>
      </c>
    </row>
    <row r="2243">
      <c r="A2243" t="inlineStr">
        <is>
          <t>27BBBBB02243Z5</t>
        </is>
      </c>
      <c r="B2243" t="inlineStr">
        <is>
          <t>Mar-2018</t>
        </is>
      </c>
      <c r="C2243" s="2" t="n">
        <v>43984</v>
      </c>
      <c r="D2243" t="inlineStr">
        <is>
          <t>NIL</t>
        </is>
      </c>
      <c r="E2243" t="n">
        <v>1102</v>
      </c>
    </row>
    <row r="2244">
      <c r="A2244" t="inlineStr">
        <is>
          <t>27BBBBB02244Z5</t>
        </is>
      </c>
      <c r="B2244" t="inlineStr">
        <is>
          <t>Mar-2021</t>
        </is>
      </c>
      <c r="C2244" s="2" t="n">
        <v>44405</v>
      </c>
      <c r="D2244" t="inlineStr">
        <is>
          <t>NIL</t>
        </is>
      </c>
      <c r="E2244" t="n">
        <v>2311</v>
      </c>
    </row>
    <row r="2245">
      <c r="A2245" t="inlineStr">
        <is>
          <t>27BBBBB02245Z5</t>
        </is>
      </c>
      <c r="B2245" t="inlineStr">
        <is>
          <t>Jun-2020</t>
        </is>
      </c>
      <c r="C2245" s="2" t="n">
        <v>44735</v>
      </c>
      <c r="D2245" t="inlineStr">
        <is>
          <t>NON-NIL</t>
        </is>
      </c>
      <c r="E2245" t="n">
        <v>2575</v>
      </c>
    </row>
    <row r="2246">
      <c r="A2246" t="inlineStr">
        <is>
          <t>27BBBBB02246Z5</t>
        </is>
      </c>
      <c r="B2246" t="inlineStr">
        <is>
          <t>Oct-2018</t>
        </is>
      </c>
      <c r="C2246" s="2" t="n">
        <v>43069</v>
      </c>
      <c r="D2246" t="inlineStr">
        <is>
          <t>NON-NIL</t>
        </is>
      </c>
      <c r="E2246" t="n">
        <v>1278</v>
      </c>
    </row>
    <row r="2247">
      <c r="A2247" t="inlineStr">
        <is>
          <t>27BBBBB02247Z5</t>
        </is>
      </c>
      <c r="B2247" t="inlineStr">
        <is>
          <t>Jun-2020</t>
        </is>
      </c>
      <c r="C2247" s="2" t="n">
        <v>44208</v>
      </c>
      <c r="D2247" t="inlineStr">
        <is>
          <t>NON-NIL</t>
        </is>
      </c>
      <c r="E2247" t="n">
        <v>2757</v>
      </c>
    </row>
    <row r="2248">
      <c r="A2248" t="inlineStr">
        <is>
          <t>27BBBBB02248Z5</t>
        </is>
      </c>
      <c r="B2248" t="inlineStr">
        <is>
          <t>Apr-2020</t>
        </is>
      </c>
      <c r="C2248" s="2" t="n">
        <v>44494</v>
      </c>
      <c r="D2248" t="inlineStr">
        <is>
          <t>NON-NIL</t>
        </is>
      </c>
      <c r="E2248" t="n">
        <v>334</v>
      </c>
    </row>
    <row r="2249">
      <c r="A2249" t="inlineStr">
        <is>
          <t>27BBBBB02249Z5</t>
        </is>
      </c>
      <c r="B2249" t="inlineStr">
        <is>
          <t>Dec-2022</t>
        </is>
      </c>
      <c r="C2249" s="2" t="n">
        <v>44703</v>
      </c>
      <c r="D2249" t="inlineStr">
        <is>
          <t>NON-NIL</t>
        </is>
      </c>
      <c r="E2249" t="n">
        <v>2750</v>
      </c>
    </row>
    <row r="2250">
      <c r="A2250" t="inlineStr">
        <is>
          <t>27BBBBB02250Z5</t>
        </is>
      </c>
      <c r="B2250" t="inlineStr">
        <is>
          <t>Dec-2024</t>
        </is>
      </c>
      <c r="C2250" s="2" t="n">
        <v>45500</v>
      </c>
      <c r="D2250" t="inlineStr">
        <is>
          <t>NIL</t>
        </is>
      </c>
      <c r="E2250" t="n">
        <v>182</v>
      </c>
    </row>
    <row r="2251">
      <c r="A2251" t="inlineStr">
        <is>
          <t>27BBBBB02251Z5</t>
        </is>
      </c>
      <c r="B2251" t="inlineStr">
        <is>
          <t>Sep-2018</t>
        </is>
      </c>
      <c r="C2251" s="2" t="n">
        <v>43097</v>
      </c>
      <c r="D2251" t="inlineStr">
        <is>
          <t>NIL</t>
        </is>
      </c>
      <c r="E2251" t="n">
        <v>2638</v>
      </c>
    </row>
    <row r="2252">
      <c r="A2252" t="inlineStr">
        <is>
          <t>27BBBBB02252Z5</t>
        </is>
      </c>
      <c r="B2252" t="inlineStr">
        <is>
          <t>Jul-2020</t>
        </is>
      </c>
      <c r="C2252" s="2" t="n">
        <v>43927</v>
      </c>
      <c r="D2252" t="inlineStr">
        <is>
          <t>NIL</t>
        </is>
      </c>
      <c r="E2252" t="n">
        <v>1501</v>
      </c>
    </row>
    <row r="2253">
      <c r="A2253" t="inlineStr">
        <is>
          <t>27BBBBB02253Z5</t>
        </is>
      </c>
      <c r="B2253" t="inlineStr">
        <is>
          <t>Jan-2018</t>
        </is>
      </c>
      <c r="C2253" s="2" t="n">
        <v>43365</v>
      </c>
      <c r="D2253" t="inlineStr">
        <is>
          <t>NON-NIL</t>
        </is>
      </c>
      <c r="E2253" t="n">
        <v>912</v>
      </c>
    </row>
    <row r="2254">
      <c r="A2254" t="inlineStr">
        <is>
          <t>27BBBBB02254Z5</t>
        </is>
      </c>
      <c r="B2254" t="inlineStr">
        <is>
          <t>Jun-2018</t>
        </is>
      </c>
      <c r="C2254" s="2" t="n">
        <v>44195</v>
      </c>
      <c r="D2254" t="inlineStr">
        <is>
          <t>NIL</t>
        </is>
      </c>
      <c r="E2254" t="n">
        <v>468</v>
      </c>
    </row>
    <row r="2255">
      <c r="A2255" t="inlineStr">
        <is>
          <t>27BBBBB02255Z5</t>
        </is>
      </c>
      <c r="B2255" t="inlineStr">
        <is>
          <t>May-2020</t>
        </is>
      </c>
      <c r="C2255" s="2" t="n">
        <v>44793</v>
      </c>
      <c r="D2255" t="inlineStr">
        <is>
          <t>NIL</t>
        </is>
      </c>
      <c r="E2255" t="n">
        <v>827</v>
      </c>
    </row>
    <row r="2256">
      <c r="A2256" t="inlineStr">
        <is>
          <t>27BBBBB02256Z5</t>
        </is>
      </c>
      <c r="B2256" t="inlineStr">
        <is>
          <t>Mar-2018</t>
        </is>
      </c>
      <c r="C2256" s="2" t="n">
        <v>42939</v>
      </c>
      <c r="D2256" t="inlineStr">
        <is>
          <t>NON-NIL</t>
        </is>
      </c>
      <c r="E2256" t="n">
        <v>2585</v>
      </c>
    </row>
    <row r="2257">
      <c r="A2257" t="inlineStr">
        <is>
          <t>27BBBBB02257Z5</t>
        </is>
      </c>
      <c r="B2257" t="inlineStr">
        <is>
          <t>Sep-2017</t>
        </is>
      </c>
      <c r="C2257" s="2" t="n">
        <v>43680</v>
      </c>
      <c r="D2257" t="inlineStr">
        <is>
          <t>NON-NIL</t>
        </is>
      </c>
      <c r="E2257" t="n">
        <v>2183</v>
      </c>
    </row>
    <row r="2258">
      <c r="A2258" t="inlineStr">
        <is>
          <t>27BBBBB02258Z5</t>
        </is>
      </c>
      <c r="B2258" t="inlineStr">
        <is>
          <t>Jan-2021</t>
        </is>
      </c>
      <c r="C2258" s="2" t="n">
        <v>45691</v>
      </c>
      <c r="D2258" t="inlineStr">
        <is>
          <t>NON-NIL</t>
        </is>
      </c>
      <c r="E2258" t="n">
        <v>1722</v>
      </c>
    </row>
    <row r="2259">
      <c r="A2259" t="inlineStr">
        <is>
          <t>27BBBBB02259Z5</t>
        </is>
      </c>
      <c r="B2259" t="inlineStr">
        <is>
          <t>Feb-2018</t>
        </is>
      </c>
      <c r="C2259" s="2" t="n">
        <v>43142</v>
      </c>
      <c r="D2259" t="inlineStr">
        <is>
          <t>NON-NIL</t>
        </is>
      </c>
      <c r="E2259" t="n">
        <v>2730</v>
      </c>
    </row>
    <row r="2260">
      <c r="A2260" t="inlineStr">
        <is>
          <t>27BBBBB02260Z5</t>
        </is>
      </c>
      <c r="B2260" t="inlineStr">
        <is>
          <t>Feb-2018</t>
        </is>
      </c>
      <c r="C2260" s="2" t="n">
        <v>44026</v>
      </c>
      <c r="D2260" t="inlineStr">
        <is>
          <t>NON-NIL</t>
        </is>
      </c>
      <c r="E2260" t="n">
        <v>231</v>
      </c>
    </row>
    <row r="2261">
      <c r="A2261" t="inlineStr">
        <is>
          <t>27BBBBB02261Z5</t>
        </is>
      </c>
      <c r="B2261" t="inlineStr">
        <is>
          <t>Jul-2018</t>
        </is>
      </c>
      <c r="C2261" s="2" t="n">
        <v>43142</v>
      </c>
      <c r="D2261" t="inlineStr">
        <is>
          <t>NIL</t>
        </is>
      </c>
      <c r="E2261" t="n">
        <v>1404</v>
      </c>
    </row>
    <row r="2262">
      <c r="A2262" t="inlineStr">
        <is>
          <t>27BBBBB02262Z5</t>
        </is>
      </c>
      <c r="B2262" t="inlineStr">
        <is>
          <t>Apr-2018</t>
        </is>
      </c>
      <c r="C2262" s="2" t="n">
        <v>43215</v>
      </c>
      <c r="D2262" t="inlineStr">
        <is>
          <t>NIL</t>
        </is>
      </c>
      <c r="E2262" t="n">
        <v>460</v>
      </c>
    </row>
    <row r="2263">
      <c r="A2263" t="inlineStr">
        <is>
          <t>27BBBBB02263Z5</t>
        </is>
      </c>
      <c r="B2263" t="inlineStr">
        <is>
          <t>Dec-2024</t>
        </is>
      </c>
      <c r="C2263" s="2" t="n">
        <v>45603</v>
      </c>
      <c r="D2263" t="inlineStr">
        <is>
          <t>NON-NIL</t>
        </is>
      </c>
      <c r="E2263" t="n">
        <v>2506</v>
      </c>
    </row>
    <row r="2264">
      <c r="A2264" t="inlineStr">
        <is>
          <t>27BBBBB02264Z5</t>
        </is>
      </c>
      <c r="B2264" t="inlineStr">
        <is>
          <t>Mar-2018</t>
        </is>
      </c>
      <c r="C2264" s="2" t="n">
        <v>44140</v>
      </c>
      <c r="D2264" t="inlineStr">
        <is>
          <t>NIL</t>
        </is>
      </c>
      <c r="E2264" t="n">
        <v>2555</v>
      </c>
    </row>
    <row r="2265">
      <c r="A2265" t="inlineStr">
        <is>
          <t>27BBBBB02265Z5</t>
        </is>
      </c>
      <c r="B2265" t="inlineStr">
        <is>
          <t>Nov-2017</t>
        </is>
      </c>
      <c r="C2265" s="2" t="n">
        <v>44402</v>
      </c>
      <c r="D2265" t="inlineStr">
        <is>
          <t>NON-NIL</t>
        </is>
      </c>
      <c r="E2265" t="n">
        <v>1332</v>
      </c>
    </row>
    <row r="2266">
      <c r="A2266" t="inlineStr">
        <is>
          <t>27BBBBB02266Z5</t>
        </is>
      </c>
      <c r="B2266" t="inlineStr">
        <is>
          <t>Jun-2020</t>
        </is>
      </c>
      <c r="C2266" s="2" t="n">
        <v>44518</v>
      </c>
      <c r="D2266" t="inlineStr">
        <is>
          <t>NIL</t>
        </is>
      </c>
      <c r="E2266" t="n">
        <v>1949</v>
      </c>
    </row>
    <row r="2267">
      <c r="A2267" t="inlineStr">
        <is>
          <t>27BBBBB02267Z5</t>
        </is>
      </c>
      <c r="B2267" t="inlineStr">
        <is>
          <t>Jan-2018</t>
        </is>
      </c>
      <c r="C2267" s="2" t="n">
        <v>43393</v>
      </c>
      <c r="D2267" t="inlineStr">
        <is>
          <t>NON-NIL</t>
        </is>
      </c>
      <c r="E2267" t="n">
        <v>2679</v>
      </c>
    </row>
    <row r="2268">
      <c r="A2268" t="inlineStr">
        <is>
          <t>27BBBBB02268Z5</t>
        </is>
      </c>
      <c r="B2268" t="inlineStr">
        <is>
          <t>Jul-2018</t>
        </is>
      </c>
      <c r="C2268" s="2" t="n">
        <v>43783</v>
      </c>
      <c r="D2268" t="inlineStr">
        <is>
          <t>NON-NIL</t>
        </is>
      </c>
      <c r="E2268" t="n">
        <v>2247</v>
      </c>
    </row>
    <row r="2269">
      <c r="A2269" t="inlineStr">
        <is>
          <t>27BBBBB02269Z5</t>
        </is>
      </c>
      <c r="B2269" t="inlineStr">
        <is>
          <t>Oct-2017</t>
        </is>
      </c>
      <c r="C2269" s="2" t="n">
        <v>43487</v>
      </c>
      <c r="D2269" t="inlineStr">
        <is>
          <t>NIL</t>
        </is>
      </c>
      <c r="E2269" t="n">
        <v>361</v>
      </c>
    </row>
    <row r="2270">
      <c r="A2270" t="inlineStr">
        <is>
          <t>27BBBBB02270Z5</t>
        </is>
      </c>
      <c r="B2270" t="inlineStr">
        <is>
          <t>Jan-2018</t>
        </is>
      </c>
      <c r="C2270" s="2" t="n">
        <v>44532</v>
      </c>
      <c r="D2270" t="inlineStr">
        <is>
          <t>NON-NIL</t>
        </is>
      </c>
      <c r="E2270" t="n">
        <v>1080</v>
      </c>
    </row>
    <row r="2271">
      <c r="A2271" t="inlineStr">
        <is>
          <t>27BBBBB02271Z5</t>
        </is>
      </c>
      <c r="B2271" t="inlineStr">
        <is>
          <t>Jul-2017</t>
        </is>
      </c>
      <c r="C2271" s="2" t="n">
        <v>44482</v>
      </c>
      <c r="D2271" t="inlineStr">
        <is>
          <t>NIL</t>
        </is>
      </c>
      <c r="E2271" t="n">
        <v>2866</v>
      </c>
    </row>
    <row r="2272">
      <c r="A2272" t="inlineStr">
        <is>
          <t>27BBBBB02272Z5</t>
        </is>
      </c>
      <c r="B2272" t="inlineStr">
        <is>
          <t>Sep-2017</t>
        </is>
      </c>
      <c r="C2272" s="2" t="n">
        <v>44077</v>
      </c>
      <c r="D2272" t="inlineStr">
        <is>
          <t>NIL</t>
        </is>
      </c>
      <c r="E2272" t="n">
        <v>479</v>
      </c>
    </row>
    <row r="2273">
      <c r="A2273" t="inlineStr">
        <is>
          <t>27BBBBB02273Z5</t>
        </is>
      </c>
      <c r="B2273" t="inlineStr">
        <is>
          <t>Mar-2023</t>
        </is>
      </c>
      <c r="C2273" s="2" t="n">
        <v>43906</v>
      </c>
      <c r="D2273" t="inlineStr">
        <is>
          <t>NIL</t>
        </is>
      </c>
      <c r="E2273" t="n">
        <v>1678</v>
      </c>
    </row>
    <row r="2274">
      <c r="A2274" t="inlineStr">
        <is>
          <t>27BBBBB02274Z5</t>
        </is>
      </c>
      <c r="B2274" t="inlineStr">
        <is>
          <t>Feb-2018</t>
        </is>
      </c>
      <c r="C2274" s="2" t="n">
        <v>44054</v>
      </c>
      <c r="D2274" t="inlineStr">
        <is>
          <t>NIL</t>
        </is>
      </c>
      <c r="E2274" t="n">
        <v>742</v>
      </c>
    </row>
    <row r="2275">
      <c r="A2275" t="inlineStr">
        <is>
          <t>27BBBBB02275Z5</t>
        </is>
      </c>
      <c r="B2275" t="inlineStr">
        <is>
          <t>Mar-2018</t>
        </is>
      </c>
      <c r="C2275" s="2" t="n">
        <v>43472</v>
      </c>
      <c r="D2275" t="inlineStr">
        <is>
          <t>NIL</t>
        </is>
      </c>
      <c r="E2275" t="n">
        <v>650</v>
      </c>
    </row>
    <row r="2276">
      <c r="A2276" t="inlineStr">
        <is>
          <t>27BBBBB02276Z5</t>
        </is>
      </c>
      <c r="B2276" t="inlineStr">
        <is>
          <t>Jul-2018</t>
        </is>
      </c>
      <c r="C2276" s="2" t="n">
        <v>43628</v>
      </c>
      <c r="D2276" t="inlineStr">
        <is>
          <t>NON-NIL</t>
        </is>
      </c>
      <c r="E2276" t="n">
        <v>2328</v>
      </c>
    </row>
    <row r="2277">
      <c r="A2277" t="inlineStr">
        <is>
          <t>27BBBBB02277Z5</t>
        </is>
      </c>
      <c r="B2277" t="inlineStr">
        <is>
          <t>Mar-2023</t>
        </is>
      </c>
      <c r="C2277" s="2" t="n">
        <v>44753</v>
      </c>
      <c r="D2277" t="inlineStr">
        <is>
          <t>NIL</t>
        </is>
      </c>
      <c r="E2277" t="n">
        <v>2728</v>
      </c>
    </row>
    <row r="2278">
      <c r="A2278" t="inlineStr">
        <is>
          <t>27BBBBB02278Z5</t>
        </is>
      </c>
      <c r="B2278" t="inlineStr">
        <is>
          <t>Nov-2018</t>
        </is>
      </c>
      <c r="C2278" s="2" t="n">
        <v>44161</v>
      </c>
      <c r="D2278" t="inlineStr">
        <is>
          <t>NIL</t>
        </is>
      </c>
      <c r="E2278" t="n">
        <v>2628</v>
      </c>
    </row>
    <row r="2279">
      <c r="A2279" t="inlineStr">
        <is>
          <t>27BBBBB02279Z5</t>
        </is>
      </c>
      <c r="B2279" t="inlineStr">
        <is>
          <t>Mar-2020</t>
        </is>
      </c>
      <c r="C2279" s="2" t="n">
        <v>44828</v>
      </c>
      <c r="D2279" t="inlineStr">
        <is>
          <t>NON-NIL</t>
        </is>
      </c>
      <c r="E2279" t="n">
        <v>1334</v>
      </c>
    </row>
    <row r="2280">
      <c r="A2280" t="inlineStr">
        <is>
          <t>27BBBBB02280Z5</t>
        </is>
      </c>
      <c r="B2280" t="inlineStr">
        <is>
          <t>Sep-2017</t>
        </is>
      </c>
      <c r="C2280" s="2" t="n">
        <v>43838</v>
      </c>
      <c r="D2280" t="inlineStr">
        <is>
          <t>NIL</t>
        </is>
      </c>
      <c r="E2280" t="n">
        <v>1418</v>
      </c>
    </row>
    <row r="2281">
      <c r="A2281" t="inlineStr">
        <is>
          <t>27BBBBB02281Z5</t>
        </is>
      </c>
      <c r="B2281" t="inlineStr">
        <is>
          <t>Apr-2018</t>
        </is>
      </c>
      <c r="C2281" s="2" t="n">
        <v>43405</v>
      </c>
      <c r="D2281" t="inlineStr">
        <is>
          <t>NON-NIL</t>
        </is>
      </c>
      <c r="E2281" t="n">
        <v>2372</v>
      </c>
    </row>
    <row r="2282">
      <c r="A2282" t="inlineStr">
        <is>
          <t>27BBBBB02282Z5</t>
        </is>
      </c>
      <c r="B2282" t="inlineStr">
        <is>
          <t>Dec-2018</t>
        </is>
      </c>
      <c r="C2282" s="2" t="n">
        <v>44535</v>
      </c>
      <c r="D2282" t="inlineStr">
        <is>
          <t>NIL</t>
        </is>
      </c>
      <c r="E2282" t="n">
        <v>2627</v>
      </c>
    </row>
    <row r="2283">
      <c r="A2283" t="inlineStr">
        <is>
          <t>27BBBBB02283Z5</t>
        </is>
      </c>
      <c r="B2283" t="inlineStr">
        <is>
          <t>Jan-2018</t>
        </is>
      </c>
      <c r="C2283" s="2" t="n">
        <v>43469</v>
      </c>
      <c r="D2283" t="inlineStr">
        <is>
          <t>NON-NIL</t>
        </is>
      </c>
      <c r="E2283" t="n">
        <v>2467</v>
      </c>
    </row>
    <row r="2284">
      <c r="A2284" t="inlineStr">
        <is>
          <t>27BBBBB02284Z5</t>
        </is>
      </c>
      <c r="B2284" t="inlineStr">
        <is>
          <t>Jul-2020</t>
        </is>
      </c>
      <c r="C2284" s="2" t="n">
        <v>44356</v>
      </c>
      <c r="D2284" t="inlineStr">
        <is>
          <t>NIL</t>
        </is>
      </c>
      <c r="E2284" t="n">
        <v>117</v>
      </c>
    </row>
    <row r="2285">
      <c r="A2285" t="inlineStr">
        <is>
          <t>27BBBBB02285Z5</t>
        </is>
      </c>
      <c r="B2285" t="inlineStr">
        <is>
          <t>Apr-2018</t>
        </is>
      </c>
      <c r="C2285" s="2" t="n">
        <v>44180</v>
      </c>
      <c r="D2285" t="inlineStr">
        <is>
          <t>NON-NIL</t>
        </is>
      </c>
      <c r="E2285" t="n">
        <v>202</v>
      </c>
    </row>
    <row r="2286">
      <c r="A2286" t="inlineStr">
        <is>
          <t>27BBBBB02286Z5</t>
        </is>
      </c>
      <c r="B2286" t="inlineStr">
        <is>
          <t>Nov-2018</t>
        </is>
      </c>
      <c r="C2286" s="2" t="n">
        <v>43012</v>
      </c>
      <c r="D2286" t="inlineStr">
        <is>
          <t>NIL</t>
        </is>
      </c>
      <c r="E2286" t="n">
        <v>137</v>
      </c>
    </row>
    <row r="2287">
      <c r="A2287" t="inlineStr">
        <is>
          <t>27BBBBB02287Z5</t>
        </is>
      </c>
      <c r="B2287" t="inlineStr">
        <is>
          <t>Jul-2017</t>
        </is>
      </c>
      <c r="C2287" s="2" t="n">
        <v>43769</v>
      </c>
      <c r="D2287" t="inlineStr">
        <is>
          <t>NON-NIL</t>
        </is>
      </c>
      <c r="E2287" t="n">
        <v>1641</v>
      </c>
    </row>
    <row r="2288">
      <c r="A2288" t="inlineStr">
        <is>
          <t>27BBBBB02288Z5</t>
        </is>
      </c>
      <c r="B2288" t="inlineStr">
        <is>
          <t>Apr-2020</t>
        </is>
      </c>
      <c r="C2288" s="2" t="n">
        <v>44022</v>
      </c>
      <c r="D2288" t="inlineStr">
        <is>
          <t>NIL</t>
        </is>
      </c>
      <c r="E2288" t="n">
        <v>770</v>
      </c>
    </row>
    <row r="2289">
      <c r="A2289" t="inlineStr">
        <is>
          <t>27BBBBB02289Z5</t>
        </is>
      </c>
      <c r="B2289" t="inlineStr">
        <is>
          <t>Jan-2018</t>
        </is>
      </c>
      <c r="C2289" s="2" t="n">
        <v>43092</v>
      </c>
      <c r="D2289" t="inlineStr">
        <is>
          <t>NON-NIL</t>
        </is>
      </c>
      <c r="E2289" t="n">
        <v>1927</v>
      </c>
    </row>
    <row r="2290">
      <c r="A2290" t="inlineStr">
        <is>
          <t>27BBBBB02290Z5</t>
        </is>
      </c>
      <c r="B2290" t="inlineStr">
        <is>
          <t>Mar-2020</t>
        </is>
      </c>
      <c r="C2290" s="2" t="n">
        <v>44175</v>
      </c>
      <c r="D2290" t="inlineStr">
        <is>
          <t>NON-NIL</t>
        </is>
      </c>
      <c r="E2290" t="n">
        <v>1576</v>
      </c>
    </row>
    <row r="2291">
      <c r="A2291" t="inlineStr">
        <is>
          <t>27BBBBB02291Z5</t>
        </is>
      </c>
      <c r="B2291" t="inlineStr">
        <is>
          <t>Apr-2018</t>
        </is>
      </c>
      <c r="C2291" s="2" t="n">
        <v>42952</v>
      </c>
      <c r="D2291" t="inlineStr">
        <is>
          <t>NIL</t>
        </is>
      </c>
      <c r="E2291" t="n">
        <v>2898</v>
      </c>
    </row>
    <row r="2292">
      <c r="A2292" t="inlineStr">
        <is>
          <t>27BBBBB02292Z5</t>
        </is>
      </c>
      <c r="B2292" t="inlineStr">
        <is>
          <t>Aug-2017</t>
        </is>
      </c>
      <c r="C2292" s="2" t="n">
        <v>43832</v>
      </c>
      <c r="D2292" t="inlineStr">
        <is>
          <t>NON-NIL</t>
        </is>
      </c>
      <c r="E2292" t="n">
        <v>11</v>
      </c>
    </row>
    <row r="2293">
      <c r="A2293" t="inlineStr">
        <is>
          <t>27BBBBB02293Z5</t>
        </is>
      </c>
      <c r="B2293" t="inlineStr">
        <is>
          <t>May-2018</t>
        </is>
      </c>
      <c r="C2293" s="2" t="n">
        <v>44071</v>
      </c>
      <c r="D2293" t="inlineStr">
        <is>
          <t>NIL</t>
        </is>
      </c>
      <c r="E2293" t="n">
        <v>2684</v>
      </c>
    </row>
    <row r="2294">
      <c r="A2294" t="inlineStr">
        <is>
          <t>27BBBBB02294Z5</t>
        </is>
      </c>
      <c r="B2294" t="inlineStr">
        <is>
          <t>Aug-2018</t>
        </is>
      </c>
      <c r="C2294" s="2" t="n">
        <v>43486</v>
      </c>
      <c r="D2294" t="inlineStr">
        <is>
          <t>NIL</t>
        </is>
      </c>
      <c r="E2294" t="n">
        <v>2113</v>
      </c>
    </row>
    <row r="2295">
      <c r="A2295" t="inlineStr">
        <is>
          <t>27BBBBB02295Z5</t>
        </is>
      </c>
      <c r="B2295" t="inlineStr">
        <is>
          <t>Oct-2017</t>
        </is>
      </c>
      <c r="C2295" s="2" t="n">
        <v>43040</v>
      </c>
      <c r="D2295" t="inlineStr">
        <is>
          <t>NON-NIL</t>
        </is>
      </c>
      <c r="E2295" t="n">
        <v>1832</v>
      </c>
    </row>
    <row r="2296">
      <c r="A2296" t="inlineStr">
        <is>
          <t>27BBBBB02296Z5</t>
        </is>
      </c>
      <c r="B2296" t="inlineStr">
        <is>
          <t>Oct-2017</t>
        </is>
      </c>
      <c r="C2296" s="2" t="n">
        <v>43034</v>
      </c>
      <c r="D2296" t="inlineStr">
        <is>
          <t>NIL</t>
        </is>
      </c>
      <c r="E2296" t="n">
        <v>1808</v>
      </c>
    </row>
    <row r="2297">
      <c r="A2297" t="inlineStr">
        <is>
          <t>27BBBBB02297Z5</t>
        </is>
      </c>
      <c r="B2297" t="inlineStr">
        <is>
          <t>Apr-2020</t>
        </is>
      </c>
      <c r="C2297" s="2" t="n">
        <v>44600</v>
      </c>
      <c r="D2297" t="inlineStr">
        <is>
          <t>NON-NIL</t>
        </is>
      </c>
      <c r="E2297" t="n">
        <v>401</v>
      </c>
    </row>
    <row r="2298">
      <c r="A2298" t="inlineStr">
        <is>
          <t>27BBBBB02298Z5</t>
        </is>
      </c>
      <c r="B2298" t="inlineStr">
        <is>
          <t>Jul-2017</t>
        </is>
      </c>
      <c r="C2298" s="2" t="n">
        <v>43584</v>
      </c>
      <c r="D2298" t="inlineStr">
        <is>
          <t>NIL</t>
        </is>
      </c>
      <c r="E2298" t="n">
        <v>104</v>
      </c>
    </row>
    <row r="2299">
      <c r="A2299" t="inlineStr">
        <is>
          <t>27BBBBB02299Z5</t>
        </is>
      </c>
      <c r="B2299" t="inlineStr">
        <is>
          <t>Dec-2018</t>
        </is>
      </c>
      <c r="C2299" s="2" t="n">
        <v>43700</v>
      </c>
      <c r="D2299" t="inlineStr">
        <is>
          <t>NON-NIL</t>
        </is>
      </c>
      <c r="E2299" t="n">
        <v>881</v>
      </c>
    </row>
    <row r="2300">
      <c r="A2300" t="inlineStr">
        <is>
          <t>27BBBBB02300Z5</t>
        </is>
      </c>
      <c r="B2300" t="inlineStr">
        <is>
          <t>Jan-2021</t>
        </is>
      </c>
      <c r="C2300" s="2" t="n">
        <v>45509</v>
      </c>
      <c r="D2300" t="inlineStr">
        <is>
          <t>NON-NIL</t>
        </is>
      </c>
      <c r="E2300" t="n">
        <v>2372</v>
      </c>
    </row>
    <row r="2301">
      <c r="A2301" t="inlineStr">
        <is>
          <t>27BBBBB02301Z5</t>
        </is>
      </c>
      <c r="B2301" t="inlineStr">
        <is>
          <t>Mar-2018</t>
        </is>
      </c>
      <c r="C2301" s="2" t="n">
        <v>43641</v>
      </c>
      <c r="D2301" t="inlineStr">
        <is>
          <t>NON-NIL</t>
        </is>
      </c>
      <c r="E2301" t="n">
        <v>2919</v>
      </c>
    </row>
    <row r="2302">
      <c r="A2302" t="inlineStr">
        <is>
          <t>27BBBBB02302Z5</t>
        </is>
      </c>
      <c r="B2302" t="inlineStr">
        <is>
          <t>Dec-2018</t>
        </is>
      </c>
      <c r="C2302" s="2" t="n">
        <v>43317</v>
      </c>
      <c r="D2302" t="inlineStr">
        <is>
          <t>NIL</t>
        </is>
      </c>
      <c r="E2302" t="n">
        <v>348</v>
      </c>
    </row>
    <row r="2303">
      <c r="A2303" t="inlineStr">
        <is>
          <t>27BBBBB02303Z5</t>
        </is>
      </c>
      <c r="B2303" t="inlineStr">
        <is>
          <t>Nov-2018</t>
        </is>
      </c>
      <c r="C2303" s="2" t="n">
        <v>43663</v>
      </c>
      <c r="D2303" t="inlineStr">
        <is>
          <t>NON-NIL</t>
        </is>
      </c>
      <c r="E2303" t="n">
        <v>1577</v>
      </c>
    </row>
    <row r="2304">
      <c r="A2304" t="inlineStr">
        <is>
          <t>27BBBBB02304Z5</t>
        </is>
      </c>
      <c r="B2304" t="inlineStr">
        <is>
          <t>Jan-2021</t>
        </is>
      </c>
      <c r="C2304" s="2" t="n">
        <v>44826</v>
      </c>
      <c r="D2304" t="inlineStr">
        <is>
          <t>NON-NIL</t>
        </is>
      </c>
      <c r="E2304" t="n">
        <v>2313</v>
      </c>
    </row>
    <row r="2305">
      <c r="A2305" t="inlineStr">
        <is>
          <t>27BBBBB02305Z5</t>
        </is>
      </c>
      <c r="B2305" t="inlineStr">
        <is>
          <t>Feb-2018</t>
        </is>
      </c>
      <c r="C2305" s="2" t="n">
        <v>43440</v>
      </c>
      <c r="D2305" t="inlineStr">
        <is>
          <t>NON-NIL</t>
        </is>
      </c>
      <c r="E2305" t="n">
        <v>2089</v>
      </c>
    </row>
    <row r="2306">
      <c r="A2306" t="inlineStr">
        <is>
          <t>27BBBBB02306Z5</t>
        </is>
      </c>
      <c r="B2306" t="inlineStr">
        <is>
          <t>Oct-2017</t>
        </is>
      </c>
      <c r="C2306" s="2" t="n">
        <v>44541</v>
      </c>
      <c r="D2306" t="inlineStr">
        <is>
          <t>NIL</t>
        </is>
      </c>
      <c r="E2306" t="n">
        <v>1680</v>
      </c>
    </row>
    <row r="2307">
      <c r="A2307" t="inlineStr">
        <is>
          <t>27BBBBB02307Z5</t>
        </is>
      </c>
      <c r="B2307" t="inlineStr">
        <is>
          <t>Nov-2018</t>
        </is>
      </c>
      <c r="C2307" s="2" t="n">
        <v>44039</v>
      </c>
      <c r="D2307" t="inlineStr">
        <is>
          <t>NIL</t>
        </is>
      </c>
      <c r="E2307" t="n">
        <v>29</v>
      </c>
    </row>
    <row r="2308">
      <c r="A2308" t="inlineStr">
        <is>
          <t>27BBBBB02308Z5</t>
        </is>
      </c>
      <c r="B2308" t="inlineStr">
        <is>
          <t>Oct-2018</t>
        </is>
      </c>
      <c r="C2308" s="2" t="n">
        <v>44202</v>
      </c>
      <c r="D2308" t="inlineStr">
        <is>
          <t>NON-NIL</t>
        </is>
      </c>
      <c r="E2308" t="n">
        <v>2887</v>
      </c>
    </row>
    <row r="2309">
      <c r="A2309" t="inlineStr">
        <is>
          <t>27BBBBB02309Z5</t>
        </is>
      </c>
      <c r="B2309" t="inlineStr">
        <is>
          <t>May-2020</t>
        </is>
      </c>
      <c r="C2309" s="2" t="n">
        <v>44319</v>
      </c>
      <c r="D2309" t="inlineStr">
        <is>
          <t>NIL</t>
        </is>
      </c>
      <c r="E2309" t="n">
        <v>241</v>
      </c>
    </row>
    <row r="2310">
      <c r="A2310" t="inlineStr">
        <is>
          <t>27BBBBB02310Z5</t>
        </is>
      </c>
      <c r="B2310" t="inlineStr">
        <is>
          <t>Sep-2017</t>
        </is>
      </c>
      <c r="C2310" s="2" t="n">
        <v>44142</v>
      </c>
      <c r="D2310" t="inlineStr">
        <is>
          <t>NON-NIL</t>
        </is>
      </c>
      <c r="E2310" t="n">
        <v>163</v>
      </c>
    </row>
    <row r="2311">
      <c r="A2311" t="inlineStr">
        <is>
          <t>27BBBBB02311Z5</t>
        </is>
      </c>
      <c r="B2311" t="inlineStr">
        <is>
          <t>May-2020</t>
        </is>
      </c>
      <c r="C2311" s="2" t="n">
        <v>44277</v>
      </c>
      <c r="D2311" t="inlineStr">
        <is>
          <t>NIL</t>
        </is>
      </c>
      <c r="E2311" t="n">
        <v>2009</v>
      </c>
    </row>
    <row r="2312">
      <c r="A2312" t="inlineStr">
        <is>
          <t>27BBBBB02312Z5</t>
        </is>
      </c>
      <c r="B2312" t="inlineStr">
        <is>
          <t>May-2020</t>
        </is>
      </c>
      <c r="C2312" s="2" t="n">
        <v>44906</v>
      </c>
      <c r="D2312" t="inlineStr">
        <is>
          <t>NIL</t>
        </is>
      </c>
      <c r="E2312" t="n">
        <v>1901</v>
      </c>
    </row>
    <row r="2313">
      <c r="A2313" t="inlineStr">
        <is>
          <t>27BBBBB02313Z5</t>
        </is>
      </c>
      <c r="B2313" t="inlineStr">
        <is>
          <t>Jan-2021</t>
        </is>
      </c>
      <c r="C2313" s="2" t="n">
        <v>45201</v>
      </c>
      <c r="D2313" t="inlineStr">
        <is>
          <t>NIL</t>
        </is>
      </c>
      <c r="E2313" t="n">
        <v>1022</v>
      </c>
    </row>
    <row r="2314">
      <c r="A2314" t="inlineStr">
        <is>
          <t>27BBBBB02314Z5</t>
        </is>
      </c>
      <c r="B2314" t="inlineStr">
        <is>
          <t>Jul-2020</t>
        </is>
      </c>
      <c r="C2314" s="2" t="n">
        <v>44184</v>
      </c>
      <c r="D2314" t="inlineStr">
        <is>
          <t>NON-NIL</t>
        </is>
      </c>
      <c r="E2314" t="n">
        <v>1373</v>
      </c>
    </row>
    <row r="2315">
      <c r="A2315" t="inlineStr">
        <is>
          <t>27BBBBB02315Z5</t>
        </is>
      </c>
      <c r="B2315" t="inlineStr">
        <is>
          <t>Nov-2018</t>
        </is>
      </c>
      <c r="C2315" s="2" t="n">
        <v>44031</v>
      </c>
      <c r="D2315" t="inlineStr">
        <is>
          <t>NIL</t>
        </is>
      </c>
      <c r="E2315" t="n">
        <v>347</v>
      </c>
    </row>
    <row r="2316">
      <c r="A2316" t="inlineStr">
        <is>
          <t>27BBBBB02316Z5</t>
        </is>
      </c>
      <c r="B2316" t="inlineStr">
        <is>
          <t>May-2020</t>
        </is>
      </c>
      <c r="C2316" s="2" t="n">
        <v>44069</v>
      </c>
      <c r="D2316" t="inlineStr">
        <is>
          <t>NIL</t>
        </is>
      </c>
      <c r="E2316" t="n">
        <v>1801</v>
      </c>
    </row>
    <row r="2317">
      <c r="A2317" t="inlineStr">
        <is>
          <t>27BBBBB02317Z5</t>
        </is>
      </c>
      <c r="B2317" t="inlineStr">
        <is>
          <t>Sep-2018</t>
        </is>
      </c>
      <c r="C2317" s="2" t="n">
        <v>43774</v>
      </c>
      <c r="D2317" t="inlineStr">
        <is>
          <t>NIL</t>
        </is>
      </c>
      <c r="E2317" t="n">
        <v>1485</v>
      </c>
    </row>
    <row r="2318">
      <c r="A2318" t="inlineStr">
        <is>
          <t>27BBBBB02318Z5</t>
        </is>
      </c>
      <c r="B2318" t="inlineStr">
        <is>
          <t>Dec-2024</t>
        </is>
      </c>
      <c r="C2318" s="2" t="n">
        <v>43856</v>
      </c>
      <c r="D2318" t="inlineStr">
        <is>
          <t>NIL</t>
        </is>
      </c>
      <c r="E2318" t="n">
        <v>1842</v>
      </c>
    </row>
    <row r="2319">
      <c r="A2319" t="inlineStr">
        <is>
          <t>27BBBBB02319Z5</t>
        </is>
      </c>
      <c r="B2319" t="inlineStr">
        <is>
          <t>Nov-2018</t>
        </is>
      </c>
      <c r="C2319" s="2" t="n">
        <v>43461</v>
      </c>
      <c r="D2319" t="inlineStr">
        <is>
          <t>NON-NIL</t>
        </is>
      </c>
      <c r="E2319" t="n">
        <v>519</v>
      </c>
    </row>
    <row r="2320">
      <c r="A2320" t="inlineStr">
        <is>
          <t>27BBBBB02320Z5</t>
        </is>
      </c>
      <c r="B2320" t="inlineStr">
        <is>
          <t>Mar-2018</t>
        </is>
      </c>
      <c r="C2320" s="2" t="n">
        <v>43713</v>
      </c>
      <c r="D2320" t="inlineStr">
        <is>
          <t>NON-NIL</t>
        </is>
      </c>
      <c r="E2320" t="n">
        <v>1780</v>
      </c>
    </row>
    <row r="2321">
      <c r="A2321" t="inlineStr">
        <is>
          <t>27BBBBB02321Z5</t>
        </is>
      </c>
      <c r="B2321" t="inlineStr">
        <is>
          <t>Dec-2022</t>
        </is>
      </c>
      <c r="C2321" s="2" t="n">
        <v>43545</v>
      </c>
      <c r="D2321" t="inlineStr">
        <is>
          <t>NIL</t>
        </is>
      </c>
      <c r="E2321" t="n">
        <v>1040</v>
      </c>
    </row>
    <row r="2322">
      <c r="A2322" t="inlineStr">
        <is>
          <t>27BBBBB02322Z5</t>
        </is>
      </c>
      <c r="B2322" t="inlineStr">
        <is>
          <t>Dec-2024</t>
        </is>
      </c>
      <c r="C2322" s="2" t="n">
        <v>44035</v>
      </c>
      <c r="D2322" t="inlineStr">
        <is>
          <t>NON-NIL</t>
        </is>
      </c>
      <c r="E2322" t="n">
        <v>2491</v>
      </c>
    </row>
    <row r="2323">
      <c r="A2323" t="inlineStr">
        <is>
          <t>27BBBBB02323Z5</t>
        </is>
      </c>
      <c r="B2323" t="inlineStr">
        <is>
          <t>Sep-2018</t>
        </is>
      </c>
      <c r="C2323" s="2" t="n">
        <v>43759</v>
      </c>
      <c r="D2323" t="inlineStr">
        <is>
          <t>NON-NIL</t>
        </is>
      </c>
      <c r="E2323" t="n">
        <v>2035</v>
      </c>
    </row>
    <row r="2324">
      <c r="A2324" t="inlineStr">
        <is>
          <t>27BBBBB02324Z5</t>
        </is>
      </c>
      <c r="B2324" t="inlineStr">
        <is>
          <t>Sep-2017</t>
        </is>
      </c>
      <c r="C2324" s="2" t="n">
        <v>43293</v>
      </c>
      <c r="D2324" t="inlineStr">
        <is>
          <t>NON-NIL</t>
        </is>
      </c>
      <c r="E2324" t="n">
        <v>1051</v>
      </c>
    </row>
    <row r="2325">
      <c r="A2325" t="inlineStr">
        <is>
          <t>27BBBBB02325Z5</t>
        </is>
      </c>
      <c r="B2325" t="inlineStr">
        <is>
          <t>Apr-2018</t>
        </is>
      </c>
      <c r="C2325" s="2" t="n">
        <v>43633</v>
      </c>
      <c r="D2325" t="inlineStr">
        <is>
          <t>NON-NIL</t>
        </is>
      </c>
      <c r="E2325" t="n">
        <v>1804</v>
      </c>
    </row>
    <row r="2326">
      <c r="A2326" t="inlineStr">
        <is>
          <t>27BBBBB02326Z5</t>
        </is>
      </c>
      <c r="B2326" t="inlineStr">
        <is>
          <t>Mar-2020</t>
        </is>
      </c>
      <c r="C2326" s="2" t="n">
        <v>44553</v>
      </c>
      <c r="D2326" t="inlineStr">
        <is>
          <t>NIL</t>
        </is>
      </c>
      <c r="E2326" t="n">
        <v>2437</v>
      </c>
    </row>
    <row r="2327">
      <c r="A2327" t="inlineStr">
        <is>
          <t>27BBBBB02327Z5</t>
        </is>
      </c>
      <c r="B2327" t="inlineStr">
        <is>
          <t>Jul-2018</t>
        </is>
      </c>
      <c r="C2327" s="2" t="n">
        <v>43047</v>
      </c>
      <c r="D2327" t="inlineStr">
        <is>
          <t>NON-NIL</t>
        </is>
      </c>
      <c r="E2327" t="n">
        <v>2349</v>
      </c>
    </row>
    <row r="2328">
      <c r="A2328" t="inlineStr">
        <is>
          <t>27BBBBB02328Z5</t>
        </is>
      </c>
      <c r="B2328" t="inlineStr">
        <is>
          <t>Dec-2024</t>
        </is>
      </c>
      <c r="C2328" s="2" t="n">
        <v>43539</v>
      </c>
      <c r="D2328" t="inlineStr">
        <is>
          <t>NIL</t>
        </is>
      </c>
      <c r="E2328" t="n">
        <v>2700</v>
      </c>
    </row>
    <row r="2329">
      <c r="A2329" t="inlineStr">
        <is>
          <t>27BBBBB02329Z5</t>
        </is>
      </c>
      <c r="B2329" t="inlineStr">
        <is>
          <t>Jul-2020</t>
        </is>
      </c>
      <c r="C2329" s="2" t="n">
        <v>44372</v>
      </c>
      <c r="D2329" t="inlineStr">
        <is>
          <t>NIL</t>
        </is>
      </c>
      <c r="E2329" t="n">
        <v>2837</v>
      </c>
    </row>
    <row r="2330">
      <c r="A2330" t="inlineStr">
        <is>
          <t>27BBBBB02330Z5</t>
        </is>
      </c>
      <c r="B2330" t="inlineStr">
        <is>
          <t>Mar-2020</t>
        </is>
      </c>
      <c r="C2330" s="2" t="n">
        <v>43874</v>
      </c>
      <c r="D2330" t="inlineStr">
        <is>
          <t>NON-NIL</t>
        </is>
      </c>
      <c r="E2330" t="n">
        <v>1243</v>
      </c>
    </row>
    <row r="2331">
      <c r="A2331" t="inlineStr">
        <is>
          <t>27BBBBB02331Z5</t>
        </is>
      </c>
      <c r="B2331" t="inlineStr">
        <is>
          <t>May-2020</t>
        </is>
      </c>
      <c r="C2331" s="2" t="n">
        <v>44446</v>
      </c>
      <c r="D2331" t="inlineStr">
        <is>
          <t>NON-NIL</t>
        </is>
      </c>
      <c r="E2331" t="n">
        <v>2340</v>
      </c>
    </row>
    <row r="2332">
      <c r="A2332" t="inlineStr">
        <is>
          <t>27BBBBB02332Z5</t>
        </is>
      </c>
      <c r="B2332" t="inlineStr">
        <is>
          <t>Aug-2018</t>
        </is>
      </c>
      <c r="C2332" s="2" t="n">
        <v>43265</v>
      </c>
      <c r="D2332" t="inlineStr">
        <is>
          <t>NON-NIL</t>
        </is>
      </c>
      <c r="E2332" t="n">
        <v>592</v>
      </c>
    </row>
    <row r="2333">
      <c r="A2333" t="inlineStr">
        <is>
          <t>27BBBBB02333Z5</t>
        </is>
      </c>
      <c r="B2333" t="inlineStr">
        <is>
          <t>Mar-2023</t>
        </is>
      </c>
      <c r="C2333" s="2" t="n">
        <v>43914</v>
      </c>
      <c r="D2333" t="inlineStr">
        <is>
          <t>NON-NIL</t>
        </is>
      </c>
      <c r="E2333" t="n">
        <v>1430</v>
      </c>
    </row>
    <row r="2334">
      <c r="A2334" t="inlineStr">
        <is>
          <t>27BBBBB02334Z5</t>
        </is>
      </c>
      <c r="B2334" t="inlineStr">
        <is>
          <t>Feb-2018</t>
        </is>
      </c>
      <c r="C2334" s="2" t="n">
        <v>44046</v>
      </c>
      <c r="D2334" t="inlineStr">
        <is>
          <t>NON-NIL</t>
        </is>
      </c>
      <c r="E2334" t="n">
        <v>889</v>
      </c>
    </row>
    <row r="2335">
      <c r="A2335" t="inlineStr">
        <is>
          <t>27BBBBB02335Z5</t>
        </is>
      </c>
      <c r="B2335" t="inlineStr">
        <is>
          <t>Dec-2022</t>
        </is>
      </c>
      <c r="C2335" s="2" t="n">
        <v>43663</v>
      </c>
      <c r="D2335" t="inlineStr">
        <is>
          <t>NON-NIL</t>
        </is>
      </c>
      <c r="E2335" t="n">
        <v>1653</v>
      </c>
    </row>
    <row r="2336">
      <c r="A2336" t="inlineStr">
        <is>
          <t>27BBBBB02336Z5</t>
        </is>
      </c>
      <c r="B2336" t="inlineStr">
        <is>
          <t>Jul-2018</t>
        </is>
      </c>
      <c r="C2336" s="2" t="n">
        <v>44438</v>
      </c>
      <c r="D2336" t="inlineStr">
        <is>
          <t>NON-NIL</t>
        </is>
      </c>
      <c r="E2336" t="n">
        <v>1990</v>
      </c>
    </row>
    <row r="2337">
      <c r="A2337" t="inlineStr">
        <is>
          <t>27BBBBB02337Z5</t>
        </is>
      </c>
      <c r="B2337" t="inlineStr">
        <is>
          <t>Jun-2018</t>
        </is>
      </c>
      <c r="C2337" s="2" t="n">
        <v>44353</v>
      </c>
      <c r="D2337" t="inlineStr">
        <is>
          <t>NIL</t>
        </is>
      </c>
      <c r="E2337" t="n">
        <v>1051</v>
      </c>
    </row>
    <row r="2338">
      <c r="A2338" t="inlineStr">
        <is>
          <t>27BBBBB02338Z5</t>
        </is>
      </c>
      <c r="B2338" t="inlineStr">
        <is>
          <t>May-2020</t>
        </is>
      </c>
      <c r="C2338" s="2" t="n">
        <v>44440</v>
      </c>
      <c r="D2338" t="inlineStr">
        <is>
          <t>NIL</t>
        </is>
      </c>
      <c r="E2338" t="n">
        <v>57</v>
      </c>
    </row>
    <row r="2339">
      <c r="A2339" t="inlineStr">
        <is>
          <t>27BBBBB02339Z5</t>
        </is>
      </c>
      <c r="B2339" t="inlineStr">
        <is>
          <t>Mar-2023</t>
        </is>
      </c>
      <c r="C2339" s="2" t="n">
        <v>44451</v>
      </c>
      <c r="D2339" t="inlineStr">
        <is>
          <t>NIL</t>
        </is>
      </c>
      <c r="E2339" t="n">
        <v>1313</v>
      </c>
    </row>
    <row r="2340">
      <c r="A2340" t="inlineStr">
        <is>
          <t>27BBBBB02340Z5</t>
        </is>
      </c>
      <c r="B2340" t="inlineStr">
        <is>
          <t>Oct-2018</t>
        </is>
      </c>
      <c r="C2340" s="2" t="n">
        <v>44123</v>
      </c>
      <c r="D2340" t="inlineStr">
        <is>
          <t>NON-NIL</t>
        </is>
      </c>
      <c r="E2340" t="n">
        <v>37</v>
      </c>
    </row>
    <row r="2341">
      <c r="A2341" t="inlineStr">
        <is>
          <t>27BBBBB02341Z5</t>
        </is>
      </c>
      <c r="B2341" t="inlineStr">
        <is>
          <t>Jul-2018</t>
        </is>
      </c>
      <c r="C2341" s="2" t="n">
        <v>43627</v>
      </c>
      <c r="D2341" t="inlineStr">
        <is>
          <t>NIL</t>
        </is>
      </c>
      <c r="E2341" t="n">
        <v>419</v>
      </c>
    </row>
    <row r="2342">
      <c r="A2342" t="inlineStr">
        <is>
          <t>27BBBBB02342Z5</t>
        </is>
      </c>
      <c r="B2342" t="inlineStr">
        <is>
          <t>Nov-2017</t>
        </is>
      </c>
      <c r="C2342" s="2" t="n">
        <v>43485</v>
      </c>
      <c r="D2342" t="inlineStr">
        <is>
          <t>NON-NIL</t>
        </is>
      </c>
      <c r="E2342" t="n">
        <v>239</v>
      </c>
    </row>
    <row r="2343">
      <c r="A2343" t="inlineStr">
        <is>
          <t>27BBBBB02343Z5</t>
        </is>
      </c>
      <c r="B2343" t="inlineStr">
        <is>
          <t>Dec-2022</t>
        </is>
      </c>
      <c r="C2343" s="2" t="n">
        <v>45402</v>
      </c>
      <c r="D2343" t="inlineStr">
        <is>
          <t>NON-NIL</t>
        </is>
      </c>
      <c r="E2343" t="n">
        <v>2255</v>
      </c>
    </row>
    <row r="2344">
      <c r="A2344" t="inlineStr">
        <is>
          <t>27BBBBB02344Z5</t>
        </is>
      </c>
      <c r="B2344" t="inlineStr">
        <is>
          <t>Feb-2018</t>
        </is>
      </c>
      <c r="C2344" s="2" t="n">
        <v>43809</v>
      </c>
      <c r="D2344" t="inlineStr">
        <is>
          <t>NIL</t>
        </is>
      </c>
      <c r="E2344" t="n">
        <v>1340</v>
      </c>
    </row>
    <row r="2345">
      <c r="A2345" t="inlineStr">
        <is>
          <t>27BBBBB02345Z5</t>
        </is>
      </c>
      <c r="B2345" t="inlineStr">
        <is>
          <t>Aug-2017</t>
        </is>
      </c>
      <c r="C2345" s="2" t="n">
        <v>44300</v>
      </c>
      <c r="D2345" t="inlineStr">
        <is>
          <t>NON-NIL</t>
        </is>
      </c>
      <c r="E2345" t="n">
        <v>2095</v>
      </c>
    </row>
    <row r="2346">
      <c r="A2346" t="inlineStr">
        <is>
          <t>27BBBBB02346Z5</t>
        </is>
      </c>
      <c r="B2346" t="inlineStr">
        <is>
          <t>Aug-2017</t>
        </is>
      </c>
      <c r="C2346" s="2" t="n">
        <v>43127</v>
      </c>
      <c r="D2346" t="inlineStr">
        <is>
          <t>NIL</t>
        </is>
      </c>
      <c r="E2346" t="n">
        <v>599</v>
      </c>
    </row>
    <row r="2347">
      <c r="A2347" t="inlineStr">
        <is>
          <t>27BBBBB02347Z5</t>
        </is>
      </c>
      <c r="B2347" t="inlineStr">
        <is>
          <t>Sep-2018</t>
        </is>
      </c>
      <c r="C2347" s="2" t="n">
        <v>43162</v>
      </c>
      <c r="D2347" t="inlineStr">
        <is>
          <t>NON-NIL</t>
        </is>
      </c>
      <c r="E2347" t="n">
        <v>1700</v>
      </c>
    </row>
    <row r="2348">
      <c r="A2348" t="inlineStr">
        <is>
          <t>27BBBBB02348Z5</t>
        </is>
      </c>
      <c r="B2348" t="inlineStr">
        <is>
          <t>Dec-2017</t>
        </is>
      </c>
      <c r="C2348" s="2" t="n">
        <v>43339</v>
      </c>
      <c r="D2348" t="inlineStr">
        <is>
          <t>NIL</t>
        </is>
      </c>
      <c r="E2348" t="n">
        <v>1466</v>
      </c>
    </row>
    <row r="2349">
      <c r="A2349" t="inlineStr">
        <is>
          <t>27BBBBB02349Z5</t>
        </is>
      </c>
      <c r="B2349" t="inlineStr">
        <is>
          <t>Dec-2017</t>
        </is>
      </c>
      <c r="C2349" s="2" t="n">
        <v>43776</v>
      </c>
      <c r="D2349" t="inlineStr">
        <is>
          <t>NIL</t>
        </is>
      </c>
      <c r="E2349" t="n">
        <v>347</v>
      </c>
    </row>
    <row r="2350">
      <c r="A2350" t="inlineStr">
        <is>
          <t>27BBBBB02350Z5</t>
        </is>
      </c>
      <c r="B2350" t="inlineStr">
        <is>
          <t>Sep-2018</t>
        </is>
      </c>
      <c r="C2350" s="2" t="n">
        <v>44205</v>
      </c>
      <c r="D2350" t="inlineStr">
        <is>
          <t>NON-NIL</t>
        </is>
      </c>
      <c r="E2350" t="n">
        <v>710</v>
      </c>
    </row>
    <row r="2351">
      <c r="A2351" t="inlineStr">
        <is>
          <t>27BBBBB02351Z5</t>
        </is>
      </c>
      <c r="B2351" t="inlineStr">
        <is>
          <t>Dec-2024</t>
        </is>
      </c>
      <c r="C2351" s="2" t="n">
        <v>45172</v>
      </c>
      <c r="D2351" t="inlineStr">
        <is>
          <t>NON-NIL</t>
        </is>
      </c>
      <c r="E2351" t="n">
        <v>1375</v>
      </c>
    </row>
    <row r="2352">
      <c r="A2352" t="inlineStr">
        <is>
          <t>27BBBBB02352Z5</t>
        </is>
      </c>
      <c r="B2352" t="inlineStr">
        <is>
          <t>Nov-2018</t>
        </is>
      </c>
      <c r="C2352" s="2" t="n">
        <v>43054</v>
      </c>
      <c r="D2352" t="inlineStr">
        <is>
          <t>NIL</t>
        </is>
      </c>
      <c r="E2352" t="n">
        <v>520</v>
      </c>
    </row>
    <row r="2353">
      <c r="A2353" t="inlineStr">
        <is>
          <t>27BBBBB02353Z5</t>
        </is>
      </c>
      <c r="B2353" t="inlineStr">
        <is>
          <t>Dec-2022</t>
        </is>
      </c>
      <c r="C2353" s="2" t="n">
        <v>45246</v>
      </c>
      <c r="D2353" t="inlineStr">
        <is>
          <t>NIL</t>
        </is>
      </c>
      <c r="E2353" t="n">
        <v>777</v>
      </c>
    </row>
    <row r="2354">
      <c r="A2354" t="inlineStr">
        <is>
          <t>27BBBBB02354Z5</t>
        </is>
      </c>
      <c r="B2354" t="inlineStr">
        <is>
          <t>May-2018</t>
        </is>
      </c>
      <c r="C2354" s="2" t="n">
        <v>44259</v>
      </c>
      <c r="D2354" t="inlineStr">
        <is>
          <t>NON-NIL</t>
        </is>
      </c>
      <c r="E2354" t="n">
        <v>559</v>
      </c>
    </row>
    <row r="2355">
      <c r="A2355" t="inlineStr">
        <is>
          <t>27BBBBB02355Z5</t>
        </is>
      </c>
      <c r="B2355" t="inlineStr">
        <is>
          <t>Mar-2023</t>
        </is>
      </c>
      <c r="C2355" s="2" t="n">
        <v>45319</v>
      </c>
      <c r="D2355" t="inlineStr">
        <is>
          <t>NIL</t>
        </is>
      </c>
      <c r="E2355" t="n">
        <v>336</v>
      </c>
    </row>
    <row r="2356">
      <c r="A2356" t="inlineStr">
        <is>
          <t>27BBBBB02356Z5</t>
        </is>
      </c>
      <c r="B2356" t="inlineStr">
        <is>
          <t>Jun-2020</t>
        </is>
      </c>
      <c r="C2356" s="2" t="n">
        <v>44093</v>
      </c>
      <c r="D2356" t="inlineStr">
        <is>
          <t>NIL</t>
        </is>
      </c>
      <c r="E2356" t="n">
        <v>828</v>
      </c>
    </row>
    <row r="2357">
      <c r="A2357" t="inlineStr">
        <is>
          <t>27BBBBB02357Z5</t>
        </is>
      </c>
      <c r="B2357" t="inlineStr">
        <is>
          <t>May-2020</t>
        </is>
      </c>
      <c r="C2357" s="2" t="n">
        <v>44102</v>
      </c>
      <c r="D2357" t="inlineStr">
        <is>
          <t>NIL</t>
        </is>
      </c>
      <c r="E2357" t="n">
        <v>211</v>
      </c>
    </row>
    <row r="2358">
      <c r="A2358" t="inlineStr">
        <is>
          <t>27BBBBB02358Z5</t>
        </is>
      </c>
      <c r="B2358" t="inlineStr">
        <is>
          <t>Dec-2017</t>
        </is>
      </c>
      <c r="C2358" s="2" t="n">
        <v>43581</v>
      </c>
      <c r="D2358" t="inlineStr">
        <is>
          <t>NIL</t>
        </is>
      </c>
      <c r="E2358" t="n">
        <v>176</v>
      </c>
    </row>
    <row r="2359">
      <c r="A2359" t="inlineStr">
        <is>
          <t>27BBBBB02359Z5</t>
        </is>
      </c>
      <c r="B2359" t="inlineStr">
        <is>
          <t>Mar-2018</t>
        </is>
      </c>
      <c r="C2359" s="2" t="n">
        <v>44397</v>
      </c>
      <c r="D2359" t="inlineStr">
        <is>
          <t>NON-NIL</t>
        </is>
      </c>
      <c r="E2359" t="n">
        <v>1929</v>
      </c>
    </row>
    <row r="2360">
      <c r="A2360" t="inlineStr">
        <is>
          <t>27BBBBB02360Z5</t>
        </is>
      </c>
      <c r="B2360" t="inlineStr">
        <is>
          <t>Jan-2021</t>
        </is>
      </c>
      <c r="C2360" s="2" t="n">
        <v>44731</v>
      </c>
      <c r="D2360" t="inlineStr">
        <is>
          <t>NIL</t>
        </is>
      </c>
      <c r="E2360" t="n">
        <v>1856</v>
      </c>
    </row>
    <row r="2361">
      <c r="A2361" t="inlineStr">
        <is>
          <t>27BBBBB02361Z5</t>
        </is>
      </c>
      <c r="B2361" t="inlineStr">
        <is>
          <t>Oct-2017</t>
        </is>
      </c>
      <c r="C2361" s="2" t="n">
        <v>44032</v>
      </c>
      <c r="D2361" t="inlineStr">
        <is>
          <t>NON-NIL</t>
        </is>
      </c>
      <c r="E2361" t="n">
        <v>901</v>
      </c>
    </row>
    <row r="2362">
      <c r="A2362" t="inlineStr">
        <is>
          <t>27BBBBB02362Z5</t>
        </is>
      </c>
      <c r="B2362" t="inlineStr">
        <is>
          <t>Feb-2018</t>
        </is>
      </c>
      <c r="C2362" s="2" t="n">
        <v>43148</v>
      </c>
      <c r="D2362" t="inlineStr">
        <is>
          <t>NIL</t>
        </is>
      </c>
      <c r="E2362" t="n">
        <v>1393</v>
      </c>
    </row>
    <row r="2363">
      <c r="A2363" t="inlineStr">
        <is>
          <t>27BBBBB02363Z5</t>
        </is>
      </c>
      <c r="B2363" t="inlineStr">
        <is>
          <t>Jul-2018</t>
        </is>
      </c>
      <c r="C2363" s="2" t="n">
        <v>43521</v>
      </c>
      <c r="D2363" t="inlineStr">
        <is>
          <t>NIL</t>
        </is>
      </c>
      <c r="E2363" t="n">
        <v>1326</v>
      </c>
    </row>
    <row r="2364">
      <c r="A2364" t="inlineStr">
        <is>
          <t>27BBBBB02364Z5</t>
        </is>
      </c>
      <c r="B2364" t="inlineStr">
        <is>
          <t>Dec-2024</t>
        </is>
      </c>
      <c r="C2364" s="2" t="n">
        <v>45164</v>
      </c>
      <c r="D2364" t="inlineStr">
        <is>
          <t>NIL</t>
        </is>
      </c>
      <c r="E2364" t="n">
        <v>2275</v>
      </c>
    </row>
    <row r="2365">
      <c r="A2365" t="inlineStr">
        <is>
          <t>27BBBBB02365Z5</t>
        </is>
      </c>
      <c r="B2365" t="inlineStr">
        <is>
          <t>Sep-2018</t>
        </is>
      </c>
      <c r="C2365" s="2" t="n">
        <v>43612</v>
      </c>
      <c r="D2365" t="inlineStr">
        <is>
          <t>NIL</t>
        </is>
      </c>
      <c r="E2365" t="n">
        <v>2811</v>
      </c>
    </row>
    <row r="2366">
      <c r="A2366" t="inlineStr">
        <is>
          <t>27BBBBB02366Z5</t>
        </is>
      </c>
      <c r="B2366" t="inlineStr">
        <is>
          <t>Oct-2017</t>
        </is>
      </c>
      <c r="C2366" s="2" t="n">
        <v>44507</v>
      </c>
      <c r="D2366" t="inlineStr">
        <is>
          <t>NON-NIL</t>
        </is>
      </c>
      <c r="E2366" t="n">
        <v>2223</v>
      </c>
    </row>
    <row r="2367">
      <c r="A2367" t="inlineStr">
        <is>
          <t>27BBBBB02367Z5</t>
        </is>
      </c>
      <c r="B2367" t="inlineStr">
        <is>
          <t>Dec-2024</t>
        </is>
      </c>
      <c r="C2367" s="2" t="n">
        <v>44435</v>
      </c>
      <c r="D2367" t="inlineStr">
        <is>
          <t>NIL</t>
        </is>
      </c>
      <c r="E2367" t="n">
        <v>1551</v>
      </c>
    </row>
    <row r="2368">
      <c r="A2368" t="inlineStr">
        <is>
          <t>27BBBBB02368Z5</t>
        </is>
      </c>
      <c r="B2368" t="inlineStr">
        <is>
          <t>Apr-2018</t>
        </is>
      </c>
      <c r="C2368" s="2" t="n">
        <v>44069</v>
      </c>
      <c r="D2368" t="inlineStr">
        <is>
          <t>NIL</t>
        </is>
      </c>
      <c r="E2368" t="n">
        <v>453</v>
      </c>
    </row>
    <row r="2369">
      <c r="A2369" t="inlineStr">
        <is>
          <t>27BBBBB02369Z5</t>
        </is>
      </c>
      <c r="B2369" t="inlineStr">
        <is>
          <t>Jun-2018</t>
        </is>
      </c>
      <c r="C2369" s="2" t="n">
        <v>43224</v>
      </c>
      <c r="D2369" t="inlineStr">
        <is>
          <t>NON-NIL</t>
        </is>
      </c>
      <c r="E2369" t="n">
        <v>1037</v>
      </c>
    </row>
    <row r="2370">
      <c r="A2370" t="inlineStr">
        <is>
          <t>27BBBBB02370Z5</t>
        </is>
      </c>
      <c r="B2370" t="inlineStr">
        <is>
          <t>Jun-2018</t>
        </is>
      </c>
      <c r="C2370" s="2" t="n">
        <v>43983</v>
      </c>
      <c r="D2370" t="inlineStr">
        <is>
          <t>NON-NIL</t>
        </is>
      </c>
      <c r="E2370" t="n">
        <v>258</v>
      </c>
    </row>
    <row r="2371">
      <c r="A2371" t="inlineStr">
        <is>
          <t>27BBBBB02371Z5</t>
        </is>
      </c>
      <c r="B2371" t="inlineStr">
        <is>
          <t>Jul-2018</t>
        </is>
      </c>
      <c r="C2371" s="2" t="n">
        <v>43703</v>
      </c>
      <c r="D2371" t="inlineStr">
        <is>
          <t>NIL</t>
        </is>
      </c>
      <c r="E2371" t="n">
        <v>2660</v>
      </c>
    </row>
    <row r="2372">
      <c r="A2372" t="inlineStr">
        <is>
          <t>27BBBBB02372Z5</t>
        </is>
      </c>
      <c r="B2372" t="inlineStr">
        <is>
          <t>Apr-2020</t>
        </is>
      </c>
      <c r="C2372" s="2" t="n">
        <v>44259</v>
      </c>
      <c r="D2372" t="inlineStr">
        <is>
          <t>NIL</t>
        </is>
      </c>
      <c r="E2372" t="n">
        <v>849</v>
      </c>
    </row>
    <row r="2373">
      <c r="A2373" t="inlineStr">
        <is>
          <t>27BBBBB02373Z5</t>
        </is>
      </c>
      <c r="B2373" t="inlineStr">
        <is>
          <t>Nov-2017</t>
        </is>
      </c>
      <c r="C2373" s="2" t="n">
        <v>43246</v>
      </c>
      <c r="D2373" t="inlineStr">
        <is>
          <t>NIL</t>
        </is>
      </c>
      <c r="E2373" t="n">
        <v>1777</v>
      </c>
    </row>
    <row r="2374">
      <c r="A2374" t="inlineStr">
        <is>
          <t>27BBBBB02374Z5</t>
        </is>
      </c>
      <c r="B2374" t="inlineStr">
        <is>
          <t>Mar-2021</t>
        </is>
      </c>
      <c r="C2374" s="2" t="n">
        <v>45727</v>
      </c>
      <c r="D2374" t="inlineStr">
        <is>
          <t>NIL</t>
        </is>
      </c>
      <c r="E2374" t="n">
        <v>1910</v>
      </c>
    </row>
    <row r="2375">
      <c r="A2375" t="inlineStr">
        <is>
          <t>27BBBBB02375Z5</t>
        </is>
      </c>
      <c r="B2375" t="inlineStr">
        <is>
          <t>Jul-2017</t>
        </is>
      </c>
      <c r="C2375" s="2" t="n">
        <v>43112</v>
      </c>
      <c r="D2375" t="inlineStr">
        <is>
          <t>NIL</t>
        </is>
      </c>
      <c r="E2375" t="n">
        <v>342</v>
      </c>
    </row>
    <row r="2376">
      <c r="A2376" t="inlineStr">
        <is>
          <t>27BBBBB02376Z5</t>
        </is>
      </c>
      <c r="B2376" t="inlineStr">
        <is>
          <t>Mar-2023</t>
        </is>
      </c>
      <c r="C2376" s="2" t="n">
        <v>44835</v>
      </c>
      <c r="D2376" t="inlineStr">
        <is>
          <t>NON-NIL</t>
        </is>
      </c>
      <c r="E2376" t="n">
        <v>2004</v>
      </c>
    </row>
    <row r="2377">
      <c r="A2377" t="inlineStr">
        <is>
          <t>27BBBBB02377Z5</t>
        </is>
      </c>
      <c r="B2377" t="inlineStr">
        <is>
          <t>Mar-2018</t>
        </is>
      </c>
      <c r="C2377" s="2" t="n">
        <v>44295</v>
      </c>
      <c r="D2377" t="inlineStr">
        <is>
          <t>NIL</t>
        </is>
      </c>
      <c r="E2377" t="n">
        <v>548</v>
      </c>
    </row>
    <row r="2378">
      <c r="A2378" t="inlineStr">
        <is>
          <t>27BBBBB02378Z5</t>
        </is>
      </c>
      <c r="B2378" t="inlineStr">
        <is>
          <t>Dec-2022</t>
        </is>
      </c>
      <c r="C2378" s="2" t="n">
        <v>44972</v>
      </c>
      <c r="D2378" t="inlineStr">
        <is>
          <t>NIL</t>
        </is>
      </c>
      <c r="E2378" t="n">
        <v>730</v>
      </c>
    </row>
    <row r="2379">
      <c r="A2379" t="inlineStr">
        <is>
          <t>27BBBBB02379Z5</t>
        </is>
      </c>
      <c r="B2379" t="inlineStr">
        <is>
          <t>Oct-2017</t>
        </is>
      </c>
      <c r="C2379" s="2" t="n">
        <v>44032</v>
      </c>
      <c r="D2379" t="inlineStr">
        <is>
          <t>NIL</t>
        </is>
      </c>
      <c r="E2379" t="n">
        <v>2836</v>
      </c>
    </row>
    <row r="2380">
      <c r="A2380" t="inlineStr">
        <is>
          <t>27BBBBB02380Z5</t>
        </is>
      </c>
      <c r="B2380" t="inlineStr">
        <is>
          <t>Jan-2018</t>
        </is>
      </c>
      <c r="C2380" s="2" t="n">
        <v>43511</v>
      </c>
      <c r="D2380" t="inlineStr">
        <is>
          <t>NIL</t>
        </is>
      </c>
      <c r="E2380" t="n">
        <v>2668</v>
      </c>
    </row>
    <row r="2381">
      <c r="A2381" t="inlineStr">
        <is>
          <t>27BBBBB02381Z5</t>
        </is>
      </c>
      <c r="B2381" t="inlineStr">
        <is>
          <t>Sep-2017</t>
        </is>
      </c>
      <c r="C2381" s="2" t="n">
        <v>43877</v>
      </c>
      <c r="D2381" t="inlineStr">
        <is>
          <t>NIL</t>
        </is>
      </c>
      <c r="E2381" t="n">
        <v>2428</v>
      </c>
    </row>
    <row r="2382">
      <c r="A2382" t="inlineStr">
        <is>
          <t>27BBBBB02382Z5</t>
        </is>
      </c>
      <c r="B2382" t="inlineStr">
        <is>
          <t>Apr-2018</t>
        </is>
      </c>
      <c r="C2382" s="2" t="n">
        <v>43462</v>
      </c>
      <c r="D2382" t="inlineStr">
        <is>
          <t>NON-NIL</t>
        </is>
      </c>
      <c r="E2382" t="n">
        <v>2578</v>
      </c>
    </row>
    <row r="2383">
      <c r="A2383" t="inlineStr">
        <is>
          <t>27BBBBB02383Z5</t>
        </is>
      </c>
      <c r="B2383" t="inlineStr">
        <is>
          <t>Jun-2018</t>
        </is>
      </c>
      <c r="C2383" s="2" t="n">
        <v>43886</v>
      </c>
      <c r="D2383" t="inlineStr">
        <is>
          <t>NON-NIL</t>
        </is>
      </c>
      <c r="E2383" t="n">
        <v>1590</v>
      </c>
    </row>
    <row r="2384">
      <c r="A2384" t="inlineStr">
        <is>
          <t>27BBBBB02384Z5</t>
        </is>
      </c>
      <c r="B2384" t="inlineStr">
        <is>
          <t>Mar-2020</t>
        </is>
      </c>
      <c r="C2384" s="2" t="n">
        <v>44602</v>
      </c>
      <c r="D2384" t="inlineStr">
        <is>
          <t>NIL</t>
        </is>
      </c>
      <c r="E2384" t="n">
        <v>1408</v>
      </c>
    </row>
    <row r="2385">
      <c r="A2385" t="inlineStr">
        <is>
          <t>27BBBBB02385Z5</t>
        </is>
      </c>
      <c r="B2385" t="inlineStr">
        <is>
          <t>Jan-2018</t>
        </is>
      </c>
      <c r="C2385" s="2" t="n">
        <v>43758</v>
      </c>
      <c r="D2385" t="inlineStr">
        <is>
          <t>NON-NIL</t>
        </is>
      </c>
      <c r="E2385" t="n">
        <v>422</v>
      </c>
    </row>
    <row r="2386">
      <c r="A2386" t="inlineStr">
        <is>
          <t>27BBBBB02386Z5</t>
        </is>
      </c>
      <c r="B2386" t="inlineStr">
        <is>
          <t>Oct-2017</t>
        </is>
      </c>
      <c r="C2386" s="2" t="n">
        <v>43911</v>
      </c>
      <c r="D2386" t="inlineStr">
        <is>
          <t>NIL</t>
        </is>
      </c>
      <c r="E2386" t="n">
        <v>558</v>
      </c>
    </row>
    <row r="2387">
      <c r="A2387" t="inlineStr">
        <is>
          <t>27BBBBB02387Z5</t>
        </is>
      </c>
      <c r="B2387" t="inlineStr">
        <is>
          <t>Aug-2017</t>
        </is>
      </c>
      <c r="C2387" s="2" t="n">
        <v>43384</v>
      </c>
      <c r="D2387" t="inlineStr">
        <is>
          <t>NON-NIL</t>
        </is>
      </c>
      <c r="E2387" t="n">
        <v>1502</v>
      </c>
    </row>
    <row r="2388">
      <c r="A2388" t="inlineStr">
        <is>
          <t>27BBBBB02388Z5</t>
        </is>
      </c>
      <c r="B2388" t="inlineStr">
        <is>
          <t>Jul-2020</t>
        </is>
      </c>
      <c r="C2388" s="2" t="n">
        <v>44813</v>
      </c>
      <c r="D2388" t="inlineStr">
        <is>
          <t>NON-NIL</t>
        </is>
      </c>
      <c r="E2388" t="n">
        <v>500</v>
      </c>
    </row>
    <row r="2389">
      <c r="A2389" t="inlineStr">
        <is>
          <t>27BBBBB02389Z5</t>
        </is>
      </c>
      <c r="B2389" t="inlineStr">
        <is>
          <t>May-2020</t>
        </is>
      </c>
      <c r="C2389" s="2" t="n">
        <v>44741</v>
      </c>
      <c r="D2389" t="inlineStr">
        <is>
          <t>NON-NIL</t>
        </is>
      </c>
      <c r="E2389" t="n">
        <v>1559</v>
      </c>
    </row>
    <row r="2390">
      <c r="A2390" t="inlineStr">
        <is>
          <t>27BBBBB02390Z5</t>
        </is>
      </c>
      <c r="B2390" t="inlineStr">
        <is>
          <t>Jun-2018</t>
        </is>
      </c>
      <c r="C2390" s="2" t="n">
        <v>44184</v>
      </c>
      <c r="D2390" t="inlineStr">
        <is>
          <t>NIL</t>
        </is>
      </c>
      <c r="E2390" t="n">
        <v>852</v>
      </c>
    </row>
    <row r="2391">
      <c r="A2391" t="inlineStr">
        <is>
          <t>27BBBBB02391Z5</t>
        </is>
      </c>
      <c r="B2391" t="inlineStr">
        <is>
          <t>Jul-2017</t>
        </is>
      </c>
      <c r="C2391" s="2" t="n">
        <v>43013</v>
      </c>
      <c r="D2391" t="inlineStr">
        <is>
          <t>NIL</t>
        </is>
      </c>
      <c r="E2391" t="n">
        <v>757</v>
      </c>
    </row>
    <row r="2392">
      <c r="A2392" t="inlineStr">
        <is>
          <t>27BBBBB02392Z5</t>
        </is>
      </c>
      <c r="B2392" t="inlineStr">
        <is>
          <t>Apr-2018</t>
        </is>
      </c>
      <c r="C2392" s="2" t="n">
        <v>43282</v>
      </c>
      <c r="D2392" t="inlineStr">
        <is>
          <t>NIL</t>
        </is>
      </c>
      <c r="E2392" t="n">
        <v>946</v>
      </c>
    </row>
    <row r="2393">
      <c r="A2393" t="inlineStr">
        <is>
          <t>27BBBBB02393Z5</t>
        </is>
      </c>
      <c r="B2393" t="inlineStr">
        <is>
          <t>Sep-2018</t>
        </is>
      </c>
      <c r="C2393" s="2" t="n">
        <v>43104</v>
      </c>
      <c r="D2393" t="inlineStr">
        <is>
          <t>NON-NIL</t>
        </is>
      </c>
      <c r="E2393" t="n">
        <v>1577</v>
      </c>
    </row>
    <row r="2394">
      <c r="A2394" t="inlineStr">
        <is>
          <t>27BBBBB02394Z5</t>
        </is>
      </c>
      <c r="B2394" t="inlineStr">
        <is>
          <t>Apr-2018</t>
        </is>
      </c>
      <c r="C2394" s="2" t="n">
        <v>43383</v>
      </c>
      <c r="D2394" t="inlineStr">
        <is>
          <t>NIL</t>
        </is>
      </c>
      <c r="E2394" t="n">
        <v>2711</v>
      </c>
    </row>
    <row r="2395">
      <c r="A2395" t="inlineStr">
        <is>
          <t>27BBBBB02395Z5</t>
        </is>
      </c>
      <c r="B2395" t="inlineStr">
        <is>
          <t>Jan-2021</t>
        </is>
      </c>
      <c r="C2395" s="2" t="n">
        <v>44254</v>
      </c>
      <c r="D2395" t="inlineStr">
        <is>
          <t>NON-NIL</t>
        </is>
      </c>
      <c r="E2395" t="n">
        <v>346</v>
      </c>
    </row>
    <row r="2396">
      <c r="A2396" t="inlineStr">
        <is>
          <t>27BBBBB02396Z5</t>
        </is>
      </c>
      <c r="B2396" t="inlineStr">
        <is>
          <t>Dec-2022</t>
        </is>
      </c>
      <c r="C2396" s="2" t="n">
        <v>45315</v>
      </c>
      <c r="D2396" t="inlineStr">
        <is>
          <t>NIL</t>
        </is>
      </c>
      <c r="E2396" t="n">
        <v>268</v>
      </c>
    </row>
    <row r="2397">
      <c r="A2397" t="inlineStr">
        <is>
          <t>27BBBBB02397Z5</t>
        </is>
      </c>
      <c r="B2397" t="inlineStr">
        <is>
          <t>Sep-2017</t>
        </is>
      </c>
      <c r="C2397" s="2" t="n">
        <v>43057</v>
      </c>
      <c r="D2397" t="inlineStr">
        <is>
          <t>NON-NIL</t>
        </is>
      </c>
      <c r="E2397" t="n">
        <v>546</v>
      </c>
    </row>
    <row r="2398">
      <c r="A2398" t="inlineStr">
        <is>
          <t>27BBBBB02398Z5</t>
        </is>
      </c>
      <c r="B2398" t="inlineStr">
        <is>
          <t>Apr-2020</t>
        </is>
      </c>
      <c r="C2398" s="2" t="n">
        <v>44162</v>
      </c>
      <c r="D2398" t="inlineStr">
        <is>
          <t>NON-NIL</t>
        </is>
      </c>
      <c r="E2398" t="n">
        <v>35</v>
      </c>
    </row>
    <row r="2399">
      <c r="A2399" t="inlineStr">
        <is>
          <t>27BBBBB02399Z5</t>
        </is>
      </c>
      <c r="B2399" t="inlineStr">
        <is>
          <t>Mar-2023</t>
        </is>
      </c>
      <c r="C2399" s="2" t="n">
        <v>45835</v>
      </c>
      <c r="D2399" t="inlineStr">
        <is>
          <t>NIL</t>
        </is>
      </c>
      <c r="E2399" t="n">
        <v>2971</v>
      </c>
    </row>
    <row r="2400">
      <c r="A2400" t="inlineStr">
        <is>
          <t>27BBBBB02400Z5</t>
        </is>
      </c>
      <c r="B2400" t="inlineStr">
        <is>
          <t>Aug-2017</t>
        </is>
      </c>
      <c r="C2400" s="2" t="n">
        <v>43780</v>
      </c>
      <c r="D2400" t="inlineStr">
        <is>
          <t>NON-NIL</t>
        </is>
      </c>
      <c r="E2400" t="n">
        <v>1757</v>
      </c>
    </row>
    <row r="2401">
      <c r="A2401" t="inlineStr">
        <is>
          <t>27BBBBB02401Z5</t>
        </is>
      </c>
      <c r="B2401" t="inlineStr">
        <is>
          <t>May-2020</t>
        </is>
      </c>
      <c r="C2401" s="2" t="n">
        <v>44356</v>
      </c>
      <c r="D2401" t="inlineStr">
        <is>
          <t>NIL</t>
        </is>
      </c>
      <c r="E2401" t="n">
        <v>194</v>
      </c>
    </row>
    <row r="2402">
      <c r="A2402" t="inlineStr">
        <is>
          <t>27BBBBB02402Z5</t>
        </is>
      </c>
      <c r="B2402" t="inlineStr">
        <is>
          <t>May-2020</t>
        </is>
      </c>
      <c r="C2402" s="2" t="n">
        <v>44069</v>
      </c>
      <c r="D2402" t="inlineStr">
        <is>
          <t>NIL</t>
        </is>
      </c>
      <c r="E2402" t="n">
        <v>2042</v>
      </c>
    </row>
    <row r="2403">
      <c r="A2403" t="inlineStr">
        <is>
          <t>27BBBBB02403Z5</t>
        </is>
      </c>
      <c r="B2403" t="inlineStr">
        <is>
          <t>Mar-2021</t>
        </is>
      </c>
      <c r="C2403" s="2" t="n">
        <v>44471</v>
      </c>
      <c r="D2403" t="inlineStr">
        <is>
          <t>NIL</t>
        </is>
      </c>
      <c r="E2403" t="n">
        <v>164</v>
      </c>
    </row>
    <row r="2404">
      <c r="A2404" t="inlineStr">
        <is>
          <t>27BBBBB02404Z5</t>
        </is>
      </c>
      <c r="B2404" t="inlineStr">
        <is>
          <t>Sep-2017</t>
        </is>
      </c>
      <c r="C2404" s="2" t="n">
        <v>42999</v>
      </c>
      <c r="D2404" t="inlineStr">
        <is>
          <t>NIL</t>
        </is>
      </c>
      <c r="E2404" t="n">
        <v>126</v>
      </c>
    </row>
    <row r="2405">
      <c r="A2405" t="inlineStr">
        <is>
          <t>27BBBBB02405Z5</t>
        </is>
      </c>
      <c r="B2405" t="inlineStr">
        <is>
          <t>Jun-2020</t>
        </is>
      </c>
      <c r="C2405" s="2" t="n">
        <v>44368</v>
      </c>
      <c r="D2405" t="inlineStr">
        <is>
          <t>NON-NIL</t>
        </is>
      </c>
      <c r="E2405" t="n">
        <v>146</v>
      </c>
    </row>
    <row r="2406">
      <c r="A2406" t="inlineStr">
        <is>
          <t>27BBBBB02406Z5</t>
        </is>
      </c>
      <c r="B2406" t="inlineStr">
        <is>
          <t>Aug-2017</t>
        </is>
      </c>
      <c r="C2406" s="2" t="n">
        <v>43596</v>
      </c>
      <c r="D2406" t="inlineStr">
        <is>
          <t>NIL</t>
        </is>
      </c>
      <c r="E2406" t="n">
        <v>2655</v>
      </c>
    </row>
    <row r="2407">
      <c r="A2407" t="inlineStr">
        <is>
          <t>27BBBBB02407Z5</t>
        </is>
      </c>
      <c r="B2407" t="inlineStr">
        <is>
          <t>Aug-2017</t>
        </is>
      </c>
      <c r="C2407" s="2" t="n">
        <v>43554</v>
      </c>
      <c r="D2407" t="inlineStr">
        <is>
          <t>NON-NIL</t>
        </is>
      </c>
      <c r="E2407" t="n">
        <v>1585</v>
      </c>
    </row>
    <row r="2408">
      <c r="A2408" t="inlineStr">
        <is>
          <t>27BBBBB02408Z5</t>
        </is>
      </c>
      <c r="B2408" t="inlineStr">
        <is>
          <t>Aug-2018</t>
        </is>
      </c>
      <c r="C2408" s="2" t="n">
        <v>44012</v>
      </c>
      <c r="D2408" t="inlineStr">
        <is>
          <t>NON-NIL</t>
        </is>
      </c>
      <c r="E2408" t="n">
        <v>2908</v>
      </c>
    </row>
    <row r="2409">
      <c r="A2409" t="inlineStr">
        <is>
          <t>27BBBBB02409Z5</t>
        </is>
      </c>
      <c r="B2409" t="inlineStr">
        <is>
          <t>Jun-2018</t>
        </is>
      </c>
      <c r="C2409" s="2" t="n">
        <v>43099</v>
      </c>
      <c r="D2409" t="inlineStr">
        <is>
          <t>NIL</t>
        </is>
      </c>
      <c r="E2409" t="n">
        <v>820</v>
      </c>
    </row>
    <row r="2410">
      <c r="A2410" t="inlineStr">
        <is>
          <t>27BBBBB02410Z5</t>
        </is>
      </c>
      <c r="B2410" t="inlineStr">
        <is>
          <t>Dec-2018</t>
        </is>
      </c>
      <c r="C2410" s="2" t="n">
        <v>44140</v>
      </c>
      <c r="D2410" t="inlineStr">
        <is>
          <t>NON-NIL</t>
        </is>
      </c>
      <c r="E2410" t="n">
        <v>862</v>
      </c>
    </row>
    <row r="2411">
      <c r="A2411" t="inlineStr">
        <is>
          <t>27BBBBB02411Z5</t>
        </is>
      </c>
      <c r="B2411" t="inlineStr">
        <is>
          <t>Oct-2018</t>
        </is>
      </c>
      <c r="C2411" s="2" t="n">
        <v>44321</v>
      </c>
      <c r="D2411" t="inlineStr">
        <is>
          <t>NIL</t>
        </is>
      </c>
      <c r="E2411" t="n">
        <v>554</v>
      </c>
    </row>
    <row r="2412">
      <c r="A2412" t="inlineStr">
        <is>
          <t>27BBBBB02412Z5</t>
        </is>
      </c>
      <c r="B2412" t="inlineStr">
        <is>
          <t>Sep-2018</t>
        </is>
      </c>
      <c r="C2412" s="2" t="n">
        <v>44499</v>
      </c>
      <c r="D2412" t="inlineStr">
        <is>
          <t>NIL</t>
        </is>
      </c>
      <c r="E2412" t="n">
        <v>2349</v>
      </c>
    </row>
    <row r="2413">
      <c r="A2413" t="inlineStr">
        <is>
          <t>27BBBBB02413Z5</t>
        </is>
      </c>
      <c r="B2413" t="inlineStr">
        <is>
          <t>Dec-2017</t>
        </is>
      </c>
      <c r="C2413" s="2" t="n">
        <v>44428</v>
      </c>
      <c r="D2413" t="inlineStr">
        <is>
          <t>NIL</t>
        </is>
      </c>
      <c r="E2413" t="n">
        <v>682</v>
      </c>
    </row>
    <row r="2414">
      <c r="A2414" t="inlineStr">
        <is>
          <t>27BBBBB02414Z5</t>
        </is>
      </c>
      <c r="B2414" t="inlineStr">
        <is>
          <t>May-2018</t>
        </is>
      </c>
      <c r="C2414" s="2" t="n">
        <v>44533</v>
      </c>
      <c r="D2414" t="inlineStr">
        <is>
          <t>NIL</t>
        </is>
      </c>
      <c r="E2414" t="n">
        <v>742</v>
      </c>
    </row>
    <row r="2415">
      <c r="A2415" t="inlineStr">
        <is>
          <t>27BBBBB02415Z5</t>
        </is>
      </c>
      <c r="B2415" t="inlineStr">
        <is>
          <t>Apr-2018</t>
        </is>
      </c>
      <c r="C2415" s="2" t="n">
        <v>43465</v>
      </c>
      <c r="D2415" t="inlineStr">
        <is>
          <t>NIL</t>
        </is>
      </c>
      <c r="E2415" t="n">
        <v>2014</v>
      </c>
    </row>
    <row r="2416">
      <c r="A2416" t="inlineStr">
        <is>
          <t>27BBBBB02416Z5</t>
        </is>
      </c>
      <c r="B2416" t="inlineStr">
        <is>
          <t>Mar-2021</t>
        </is>
      </c>
      <c r="C2416" s="2" t="n">
        <v>45142</v>
      </c>
      <c r="D2416" t="inlineStr">
        <is>
          <t>NON-NIL</t>
        </is>
      </c>
      <c r="E2416" t="n">
        <v>1461</v>
      </c>
    </row>
    <row r="2417">
      <c r="A2417" t="inlineStr">
        <is>
          <t>27BBBBB02417Z5</t>
        </is>
      </c>
      <c r="B2417" t="inlineStr">
        <is>
          <t>Sep-2018</t>
        </is>
      </c>
      <c r="C2417" s="2" t="n">
        <v>43885</v>
      </c>
      <c r="D2417" t="inlineStr">
        <is>
          <t>NON-NIL</t>
        </is>
      </c>
      <c r="E2417" t="n">
        <v>1288</v>
      </c>
    </row>
    <row r="2418">
      <c r="A2418" t="inlineStr">
        <is>
          <t>27BBBBB02418Z5</t>
        </is>
      </c>
      <c r="B2418" t="inlineStr">
        <is>
          <t>Apr-2018</t>
        </is>
      </c>
      <c r="C2418" s="2" t="n">
        <v>43353</v>
      </c>
      <c r="D2418" t="inlineStr">
        <is>
          <t>NON-NIL</t>
        </is>
      </c>
      <c r="E2418" t="n">
        <v>2441</v>
      </c>
    </row>
    <row r="2419">
      <c r="A2419" t="inlineStr">
        <is>
          <t>27BBBBB02419Z5</t>
        </is>
      </c>
      <c r="B2419" t="inlineStr">
        <is>
          <t>Dec-2017</t>
        </is>
      </c>
      <c r="C2419" s="2" t="n">
        <v>44051</v>
      </c>
      <c r="D2419" t="inlineStr">
        <is>
          <t>NIL</t>
        </is>
      </c>
      <c r="E2419" t="n">
        <v>1049</v>
      </c>
    </row>
    <row r="2420">
      <c r="A2420" t="inlineStr">
        <is>
          <t>27BBBBB02420Z5</t>
        </is>
      </c>
      <c r="B2420" t="inlineStr">
        <is>
          <t>Aug-2018</t>
        </is>
      </c>
      <c r="C2420" s="2" t="n">
        <v>43400</v>
      </c>
      <c r="D2420" t="inlineStr">
        <is>
          <t>NIL</t>
        </is>
      </c>
      <c r="E2420" t="n">
        <v>680</v>
      </c>
    </row>
    <row r="2421">
      <c r="A2421" t="inlineStr">
        <is>
          <t>27BBBBB02421Z5</t>
        </is>
      </c>
      <c r="B2421" t="inlineStr">
        <is>
          <t>Dec-2024</t>
        </is>
      </c>
      <c r="C2421" s="2" t="n">
        <v>44676</v>
      </c>
      <c r="D2421" t="inlineStr">
        <is>
          <t>NON-NIL</t>
        </is>
      </c>
      <c r="E2421" t="n">
        <v>2800</v>
      </c>
    </row>
    <row r="2422">
      <c r="A2422" t="inlineStr">
        <is>
          <t>27BBBBB02422Z5</t>
        </is>
      </c>
      <c r="B2422" t="inlineStr">
        <is>
          <t>Feb-2018</t>
        </is>
      </c>
      <c r="C2422" s="2" t="n">
        <v>43447</v>
      </c>
      <c r="D2422" t="inlineStr">
        <is>
          <t>NON-NIL</t>
        </is>
      </c>
      <c r="E2422" t="n">
        <v>1071</v>
      </c>
    </row>
    <row r="2423">
      <c r="A2423" t="inlineStr">
        <is>
          <t>27BBBBB02423Z5</t>
        </is>
      </c>
      <c r="B2423" t="inlineStr">
        <is>
          <t>Mar-2020</t>
        </is>
      </c>
      <c r="C2423" s="2" t="n">
        <v>43965</v>
      </c>
      <c r="D2423" t="inlineStr">
        <is>
          <t>NIL</t>
        </is>
      </c>
      <c r="E2423" t="n">
        <v>1663</v>
      </c>
    </row>
    <row r="2424">
      <c r="A2424" t="inlineStr">
        <is>
          <t>27BBBBB02424Z5</t>
        </is>
      </c>
      <c r="B2424" t="inlineStr">
        <is>
          <t>Aug-2017</t>
        </is>
      </c>
      <c r="C2424" s="2" t="n">
        <v>44406</v>
      </c>
      <c r="D2424" t="inlineStr">
        <is>
          <t>NON-NIL</t>
        </is>
      </c>
      <c r="E2424" t="n">
        <v>2781</v>
      </c>
    </row>
    <row r="2425">
      <c r="A2425" t="inlineStr">
        <is>
          <t>27BBBBB02425Z5</t>
        </is>
      </c>
      <c r="B2425" t="inlineStr">
        <is>
          <t>Dec-2022</t>
        </is>
      </c>
      <c r="C2425" s="2" t="n">
        <v>45372</v>
      </c>
      <c r="D2425" t="inlineStr">
        <is>
          <t>NIL</t>
        </is>
      </c>
      <c r="E2425" t="n">
        <v>2285</v>
      </c>
    </row>
    <row r="2426">
      <c r="A2426" t="inlineStr">
        <is>
          <t>27BBBBB02426Z5</t>
        </is>
      </c>
      <c r="B2426" t="inlineStr">
        <is>
          <t>Dec-2017</t>
        </is>
      </c>
      <c r="C2426" s="2" t="n">
        <v>43213</v>
      </c>
      <c r="D2426" t="inlineStr">
        <is>
          <t>NIL</t>
        </is>
      </c>
      <c r="E2426" t="n">
        <v>874</v>
      </c>
    </row>
    <row r="2427">
      <c r="A2427" t="inlineStr">
        <is>
          <t>27BBBBB02427Z5</t>
        </is>
      </c>
      <c r="B2427" t="inlineStr">
        <is>
          <t>May-2020</t>
        </is>
      </c>
      <c r="C2427" s="2" t="n">
        <v>44376</v>
      </c>
      <c r="D2427" t="inlineStr">
        <is>
          <t>NON-NIL</t>
        </is>
      </c>
      <c r="E2427" t="n">
        <v>2598</v>
      </c>
    </row>
    <row r="2428">
      <c r="A2428" t="inlineStr">
        <is>
          <t>27BBBBB02428Z5</t>
        </is>
      </c>
      <c r="B2428" t="inlineStr">
        <is>
          <t>Mar-2020</t>
        </is>
      </c>
      <c r="C2428" s="2" t="n">
        <v>44424</v>
      </c>
      <c r="D2428" t="inlineStr">
        <is>
          <t>NON-NIL</t>
        </is>
      </c>
      <c r="E2428" t="n">
        <v>1859</v>
      </c>
    </row>
    <row r="2429">
      <c r="A2429" t="inlineStr">
        <is>
          <t>27BBBBB02429Z5</t>
        </is>
      </c>
      <c r="B2429" t="inlineStr">
        <is>
          <t>Dec-2022</t>
        </is>
      </c>
      <c r="C2429" s="2" t="n">
        <v>44703</v>
      </c>
      <c r="D2429" t="inlineStr">
        <is>
          <t>NON-NIL</t>
        </is>
      </c>
      <c r="E2429" t="n">
        <v>2151</v>
      </c>
    </row>
    <row r="2430">
      <c r="A2430" t="inlineStr">
        <is>
          <t>27BBBBB02430Z5</t>
        </is>
      </c>
      <c r="B2430" t="inlineStr">
        <is>
          <t>Jun-2018</t>
        </is>
      </c>
      <c r="C2430" s="2" t="n">
        <v>44525</v>
      </c>
      <c r="D2430" t="inlineStr">
        <is>
          <t>NON-NIL</t>
        </is>
      </c>
      <c r="E2430" t="n">
        <v>2536</v>
      </c>
    </row>
    <row r="2431">
      <c r="A2431" t="inlineStr">
        <is>
          <t>27BBBBB02431Z5</t>
        </is>
      </c>
      <c r="B2431" t="inlineStr">
        <is>
          <t>Dec-2022</t>
        </is>
      </c>
      <c r="C2431" s="2" t="n">
        <v>44737</v>
      </c>
      <c r="D2431" t="inlineStr">
        <is>
          <t>NON-NIL</t>
        </is>
      </c>
      <c r="E2431" t="n">
        <v>1345</v>
      </c>
    </row>
    <row r="2432">
      <c r="A2432" t="inlineStr">
        <is>
          <t>27BBBBB02432Z5</t>
        </is>
      </c>
      <c r="B2432" t="inlineStr">
        <is>
          <t>Sep-2017</t>
        </is>
      </c>
      <c r="C2432" s="2" t="n">
        <v>44349</v>
      </c>
      <c r="D2432" t="inlineStr">
        <is>
          <t>NON-NIL</t>
        </is>
      </c>
      <c r="E2432" t="n">
        <v>725</v>
      </c>
    </row>
    <row r="2433">
      <c r="A2433" t="inlineStr">
        <is>
          <t>27BBBBB02433Z5</t>
        </is>
      </c>
      <c r="B2433" t="inlineStr">
        <is>
          <t>Oct-2017</t>
        </is>
      </c>
      <c r="C2433" s="2" t="n">
        <v>44205</v>
      </c>
      <c r="D2433" t="inlineStr">
        <is>
          <t>NON-NIL</t>
        </is>
      </c>
      <c r="E2433" t="n">
        <v>1898</v>
      </c>
    </row>
    <row r="2434">
      <c r="A2434" t="inlineStr">
        <is>
          <t>27BBBBB02434Z5</t>
        </is>
      </c>
      <c r="B2434" t="inlineStr">
        <is>
          <t>Nov-2017</t>
        </is>
      </c>
      <c r="C2434" s="2" t="n">
        <v>44188</v>
      </c>
      <c r="D2434" t="inlineStr">
        <is>
          <t>NIL</t>
        </is>
      </c>
      <c r="E2434" t="n">
        <v>1051</v>
      </c>
    </row>
    <row r="2435">
      <c r="A2435" t="inlineStr">
        <is>
          <t>27BBBBB02435Z5</t>
        </is>
      </c>
      <c r="B2435" t="inlineStr">
        <is>
          <t>Nov-2017</t>
        </is>
      </c>
      <c r="C2435" s="2" t="n">
        <v>43694</v>
      </c>
      <c r="D2435" t="inlineStr">
        <is>
          <t>NIL</t>
        </is>
      </c>
      <c r="E2435" t="n">
        <v>1964</v>
      </c>
    </row>
    <row r="2436">
      <c r="A2436" t="inlineStr">
        <is>
          <t>27BBBBB02436Z5</t>
        </is>
      </c>
      <c r="B2436" t="inlineStr">
        <is>
          <t>Sep-2017</t>
        </is>
      </c>
      <c r="C2436" s="2" t="n">
        <v>43366</v>
      </c>
      <c r="D2436" t="inlineStr">
        <is>
          <t>NIL</t>
        </is>
      </c>
      <c r="E2436" t="n">
        <v>2372</v>
      </c>
    </row>
    <row r="2437">
      <c r="A2437" t="inlineStr">
        <is>
          <t>27BBBBB02437Z5</t>
        </is>
      </c>
      <c r="B2437" t="inlineStr">
        <is>
          <t>Sep-2017</t>
        </is>
      </c>
      <c r="C2437" s="2" t="n">
        <v>43469</v>
      </c>
      <c r="D2437" t="inlineStr">
        <is>
          <t>NIL</t>
        </is>
      </c>
      <c r="E2437" t="n">
        <v>2191</v>
      </c>
    </row>
    <row r="2438">
      <c r="A2438" t="inlineStr">
        <is>
          <t>27BBBBB02438Z5</t>
        </is>
      </c>
      <c r="B2438" t="inlineStr">
        <is>
          <t>Nov-2017</t>
        </is>
      </c>
      <c r="C2438" s="2" t="n">
        <v>43819</v>
      </c>
      <c r="D2438" t="inlineStr">
        <is>
          <t>NON-NIL</t>
        </is>
      </c>
      <c r="E2438" t="n">
        <v>1153</v>
      </c>
    </row>
    <row r="2439">
      <c r="A2439" t="inlineStr">
        <is>
          <t>27BBBBB02439Z5</t>
        </is>
      </c>
      <c r="B2439" t="inlineStr">
        <is>
          <t>Jun-2020</t>
        </is>
      </c>
      <c r="C2439" s="2" t="n">
        <v>44643</v>
      </c>
      <c r="D2439" t="inlineStr">
        <is>
          <t>NIL</t>
        </is>
      </c>
      <c r="E2439" t="n">
        <v>541</v>
      </c>
    </row>
    <row r="2440">
      <c r="A2440" t="inlineStr">
        <is>
          <t>27BBBBB02440Z5</t>
        </is>
      </c>
      <c r="B2440" t="inlineStr">
        <is>
          <t>Jan-2018</t>
        </is>
      </c>
      <c r="C2440" s="2" t="n">
        <v>44418</v>
      </c>
      <c r="D2440" t="inlineStr">
        <is>
          <t>NON-NIL</t>
        </is>
      </c>
      <c r="E2440" t="n">
        <v>1321</v>
      </c>
    </row>
    <row r="2441">
      <c r="A2441" t="inlineStr">
        <is>
          <t>27BBBBB02441Z5</t>
        </is>
      </c>
      <c r="B2441" t="inlineStr">
        <is>
          <t>Mar-2018</t>
        </is>
      </c>
      <c r="C2441" s="2" t="n">
        <v>43668</v>
      </c>
      <c r="D2441" t="inlineStr">
        <is>
          <t>NIL</t>
        </is>
      </c>
      <c r="E2441" t="n">
        <v>1372</v>
      </c>
    </row>
    <row r="2442">
      <c r="A2442" t="inlineStr">
        <is>
          <t>27BBBBB02442Z5</t>
        </is>
      </c>
      <c r="B2442" t="inlineStr">
        <is>
          <t>Jan-2021</t>
        </is>
      </c>
      <c r="C2442" s="2" t="n">
        <v>45805</v>
      </c>
      <c r="D2442" t="inlineStr">
        <is>
          <t>NIL</t>
        </is>
      </c>
      <c r="E2442" t="n">
        <v>851</v>
      </c>
    </row>
    <row r="2443">
      <c r="A2443" t="inlineStr">
        <is>
          <t>27BBBBB02443Z5</t>
        </is>
      </c>
      <c r="B2443" t="inlineStr">
        <is>
          <t>Sep-2018</t>
        </is>
      </c>
      <c r="C2443" s="2" t="n">
        <v>43270</v>
      </c>
      <c r="D2443" t="inlineStr">
        <is>
          <t>NIL</t>
        </is>
      </c>
      <c r="E2443" t="n">
        <v>1692</v>
      </c>
    </row>
    <row r="2444">
      <c r="A2444" t="inlineStr">
        <is>
          <t>27BBBBB02444Z5</t>
        </is>
      </c>
      <c r="B2444" t="inlineStr">
        <is>
          <t>Dec-2022</t>
        </is>
      </c>
      <c r="C2444" s="2" t="n">
        <v>45385</v>
      </c>
      <c r="D2444" t="inlineStr">
        <is>
          <t>NON-NIL</t>
        </is>
      </c>
      <c r="E2444" t="n">
        <v>2615</v>
      </c>
    </row>
    <row r="2445">
      <c r="A2445" t="inlineStr">
        <is>
          <t>27BBBBB02445Z5</t>
        </is>
      </c>
      <c r="B2445" t="inlineStr">
        <is>
          <t>Dec-2024</t>
        </is>
      </c>
      <c r="C2445" s="2" t="n">
        <v>44357</v>
      </c>
      <c r="D2445" t="inlineStr">
        <is>
          <t>NIL</t>
        </is>
      </c>
      <c r="E2445" t="n">
        <v>2540</v>
      </c>
    </row>
    <row r="2446">
      <c r="A2446" t="inlineStr">
        <is>
          <t>27BBBBB02446Z5</t>
        </is>
      </c>
      <c r="B2446" t="inlineStr">
        <is>
          <t>Jun-2020</t>
        </is>
      </c>
      <c r="C2446" s="2" t="n">
        <v>44774</v>
      </c>
      <c r="D2446" t="inlineStr">
        <is>
          <t>NIL</t>
        </is>
      </c>
      <c r="E2446" t="n">
        <v>987</v>
      </c>
    </row>
    <row r="2447">
      <c r="A2447" t="inlineStr">
        <is>
          <t>27BBBBB02447Z5</t>
        </is>
      </c>
      <c r="B2447" t="inlineStr">
        <is>
          <t>Dec-2024</t>
        </is>
      </c>
      <c r="C2447" s="2" t="n">
        <v>44341</v>
      </c>
      <c r="D2447" t="inlineStr">
        <is>
          <t>NON-NIL</t>
        </is>
      </c>
      <c r="E2447" t="n">
        <v>1639</v>
      </c>
    </row>
    <row r="2448">
      <c r="A2448" t="inlineStr">
        <is>
          <t>27BBBBB02448Z5</t>
        </is>
      </c>
      <c r="B2448" t="inlineStr">
        <is>
          <t>Dec-2018</t>
        </is>
      </c>
      <c r="C2448" s="2" t="n">
        <v>43726</v>
      </c>
      <c r="D2448" t="inlineStr">
        <is>
          <t>NIL</t>
        </is>
      </c>
      <c r="E2448" t="n">
        <v>208</v>
      </c>
    </row>
    <row r="2449">
      <c r="A2449" t="inlineStr">
        <is>
          <t>27BBBBB02449Z5</t>
        </is>
      </c>
      <c r="B2449" t="inlineStr">
        <is>
          <t>Jul-2020</t>
        </is>
      </c>
      <c r="C2449" s="2" t="n">
        <v>44811</v>
      </c>
      <c r="D2449" t="inlineStr">
        <is>
          <t>NON-NIL</t>
        </is>
      </c>
      <c r="E2449" t="n">
        <v>868</v>
      </c>
    </row>
    <row r="2450">
      <c r="A2450" t="inlineStr">
        <is>
          <t>27BBBBB02450Z5</t>
        </is>
      </c>
      <c r="B2450" t="inlineStr">
        <is>
          <t>Mar-2020</t>
        </is>
      </c>
      <c r="C2450" s="2" t="n">
        <v>44068</v>
      </c>
      <c r="D2450" t="inlineStr">
        <is>
          <t>NIL</t>
        </is>
      </c>
      <c r="E2450" t="n">
        <v>2700</v>
      </c>
    </row>
    <row r="2451">
      <c r="A2451" t="inlineStr">
        <is>
          <t>27BBBBB02451Z5</t>
        </is>
      </c>
      <c r="B2451" t="inlineStr">
        <is>
          <t>Dec-2022</t>
        </is>
      </c>
      <c r="C2451" s="2" t="n">
        <v>44245</v>
      </c>
      <c r="D2451" t="inlineStr">
        <is>
          <t>NIL</t>
        </is>
      </c>
      <c r="E2451" t="n">
        <v>2117</v>
      </c>
    </row>
    <row r="2452">
      <c r="A2452" t="inlineStr">
        <is>
          <t>27BBBBB02452Z5</t>
        </is>
      </c>
      <c r="B2452" t="inlineStr">
        <is>
          <t>Jun-2020</t>
        </is>
      </c>
      <c r="C2452" s="2" t="n">
        <v>44002</v>
      </c>
      <c r="D2452" t="inlineStr">
        <is>
          <t>NIL</t>
        </is>
      </c>
      <c r="E2452" t="n">
        <v>2962</v>
      </c>
    </row>
    <row r="2453">
      <c r="A2453" t="inlineStr">
        <is>
          <t>27BBBBB02453Z5</t>
        </is>
      </c>
      <c r="B2453" t="inlineStr">
        <is>
          <t>May-2018</t>
        </is>
      </c>
      <c r="C2453" s="2" t="n">
        <v>42943</v>
      </c>
      <c r="D2453" t="inlineStr">
        <is>
          <t>NON-NIL</t>
        </is>
      </c>
      <c r="E2453" t="n">
        <v>967</v>
      </c>
    </row>
    <row r="2454">
      <c r="A2454" t="inlineStr">
        <is>
          <t>27BBBBB02454Z5</t>
        </is>
      </c>
      <c r="B2454" t="inlineStr">
        <is>
          <t>Apr-2020</t>
        </is>
      </c>
      <c r="C2454" s="2" t="n">
        <v>44855</v>
      </c>
      <c r="D2454" t="inlineStr">
        <is>
          <t>NON-NIL</t>
        </is>
      </c>
      <c r="E2454" t="n">
        <v>2179</v>
      </c>
    </row>
    <row r="2455">
      <c r="A2455" t="inlineStr">
        <is>
          <t>27BBBBB02455Z5</t>
        </is>
      </c>
      <c r="B2455" t="inlineStr">
        <is>
          <t>May-2020</t>
        </is>
      </c>
      <c r="C2455" s="2" t="n">
        <v>44490</v>
      </c>
      <c r="D2455" t="inlineStr">
        <is>
          <t>NON-NIL</t>
        </is>
      </c>
      <c r="E2455" t="n">
        <v>44</v>
      </c>
    </row>
    <row r="2456">
      <c r="A2456" t="inlineStr">
        <is>
          <t>27BBBBB02456Z5</t>
        </is>
      </c>
      <c r="B2456" t="inlineStr">
        <is>
          <t>Jun-2018</t>
        </is>
      </c>
      <c r="C2456" s="2" t="n">
        <v>42992</v>
      </c>
      <c r="D2456" t="inlineStr">
        <is>
          <t>NON-NIL</t>
        </is>
      </c>
      <c r="E2456" t="n">
        <v>2086</v>
      </c>
    </row>
    <row r="2457">
      <c r="A2457" t="inlineStr">
        <is>
          <t>27BBBBB02457Z5</t>
        </is>
      </c>
      <c r="B2457" t="inlineStr">
        <is>
          <t>Oct-2017</t>
        </is>
      </c>
      <c r="C2457" s="2" t="n">
        <v>43625</v>
      </c>
      <c r="D2457" t="inlineStr">
        <is>
          <t>NIL</t>
        </is>
      </c>
      <c r="E2457" t="n">
        <v>2804</v>
      </c>
    </row>
    <row r="2458">
      <c r="A2458" t="inlineStr">
        <is>
          <t>27BBBBB02458Z5</t>
        </is>
      </c>
      <c r="B2458" t="inlineStr">
        <is>
          <t>Sep-2017</t>
        </is>
      </c>
      <c r="C2458" s="2" t="n">
        <v>43459</v>
      </c>
      <c r="D2458" t="inlineStr">
        <is>
          <t>NON-NIL</t>
        </is>
      </c>
      <c r="E2458" t="n">
        <v>545</v>
      </c>
    </row>
    <row r="2459">
      <c r="A2459" t="inlineStr">
        <is>
          <t>27BBBBB02459Z5</t>
        </is>
      </c>
      <c r="B2459" t="inlineStr">
        <is>
          <t>Sep-2018</t>
        </is>
      </c>
      <c r="C2459" s="2" t="n">
        <v>43945</v>
      </c>
      <c r="D2459" t="inlineStr">
        <is>
          <t>NON-NIL</t>
        </is>
      </c>
      <c r="E2459" t="n">
        <v>1619</v>
      </c>
    </row>
    <row r="2460">
      <c r="A2460" t="inlineStr">
        <is>
          <t>27BBBBB02460Z5</t>
        </is>
      </c>
      <c r="B2460" t="inlineStr">
        <is>
          <t>Mar-2021</t>
        </is>
      </c>
      <c r="C2460" s="2" t="n">
        <v>45132</v>
      </c>
      <c r="D2460" t="inlineStr">
        <is>
          <t>NIL</t>
        </is>
      </c>
      <c r="E2460" t="n">
        <v>292</v>
      </c>
    </row>
    <row r="2461">
      <c r="A2461" t="inlineStr">
        <is>
          <t>27BBBBB02461Z5</t>
        </is>
      </c>
      <c r="B2461" t="inlineStr">
        <is>
          <t>Oct-2018</t>
        </is>
      </c>
      <c r="C2461" s="2" t="n">
        <v>44363</v>
      </c>
      <c r="D2461" t="inlineStr">
        <is>
          <t>NON-NIL</t>
        </is>
      </c>
      <c r="E2461" t="n">
        <v>663</v>
      </c>
    </row>
    <row r="2462">
      <c r="A2462" t="inlineStr">
        <is>
          <t>27BBBBB02462Z5</t>
        </is>
      </c>
      <c r="B2462" t="inlineStr">
        <is>
          <t>Jun-2020</t>
        </is>
      </c>
      <c r="C2462" s="2" t="n">
        <v>44777</v>
      </c>
      <c r="D2462" t="inlineStr">
        <is>
          <t>NIL</t>
        </is>
      </c>
      <c r="E2462" t="n">
        <v>1268</v>
      </c>
    </row>
    <row r="2463">
      <c r="A2463" t="inlineStr">
        <is>
          <t>27BBBBB02463Z5</t>
        </is>
      </c>
      <c r="B2463" t="inlineStr">
        <is>
          <t>Feb-2018</t>
        </is>
      </c>
      <c r="C2463" s="2" t="n">
        <v>43952</v>
      </c>
      <c r="D2463" t="inlineStr">
        <is>
          <t>NIL</t>
        </is>
      </c>
      <c r="E2463" t="n">
        <v>1249</v>
      </c>
    </row>
    <row r="2464">
      <c r="A2464" t="inlineStr">
        <is>
          <t>27BBBBB02464Z5</t>
        </is>
      </c>
      <c r="B2464" t="inlineStr">
        <is>
          <t>Mar-2018</t>
        </is>
      </c>
      <c r="C2464" s="2" t="n">
        <v>43659</v>
      </c>
      <c r="D2464" t="inlineStr">
        <is>
          <t>NON-NIL</t>
        </is>
      </c>
      <c r="E2464" t="n">
        <v>1437</v>
      </c>
    </row>
    <row r="2465">
      <c r="A2465" t="inlineStr">
        <is>
          <t>27BBBBB02465Z5</t>
        </is>
      </c>
      <c r="B2465" t="inlineStr">
        <is>
          <t>Sep-2017</t>
        </is>
      </c>
      <c r="C2465" s="2" t="n">
        <v>44369</v>
      </c>
      <c r="D2465" t="inlineStr">
        <is>
          <t>NON-NIL</t>
        </is>
      </c>
      <c r="E2465" t="n">
        <v>2427</v>
      </c>
    </row>
    <row r="2466">
      <c r="A2466" t="inlineStr">
        <is>
          <t>27BBBBB02466Z5</t>
        </is>
      </c>
      <c r="B2466" t="inlineStr">
        <is>
          <t>Apr-2020</t>
        </is>
      </c>
      <c r="C2466" s="2" t="n">
        <v>44757</v>
      </c>
      <c r="D2466" t="inlineStr">
        <is>
          <t>NON-NIL</t>
        </is>
      </c>
      <c r="E2466" t="n">
        <v>833</v>
      </c>
    </row>
    <row r="2467">
      <c r="A2467" t="inlineStr">
        <is>
          <t>27BBBBB02467Z5</t>
        </is>
      </c>
      <c r="B2467" t="inlineStr">
        <is>
          <t>May-2020</t>
        </is>
      </c>
      <c r="C2467" s="2" t="n">
        <v>43902</v>
      </c>
      <c r="D2467" t="inlineStr">
        <is>
          <t>NIL</t>
        </is>
      </c>
      <c r="E2467" t="n">
        <v>1212</v>
      </c>
    </row>
    <row r="2468">
      <c r="A2468" t="inlineStr">
        <is>
          <t>27BBBBB02468Z5</t>
        </is>
      </c>
      <c r="B2468" t="inlineStr">
        <is>
          <t>Mar-2018</t>
        </is>
      </c>
      <c r="C2468" s="2" t="n">
        <v>43705</v>
      </c>
      <c r="D2468" t="inlineStr">
        <is>
          <t>NIL</t>
        </is>
      </c>
      <c r="E2468" t="n">
        <v>999</v>
      </c>
    </row>
    <row r="2469">
      <c r="A2469" t="inlineStr">
        <is>
          <t>27BBBBB02469Z5</t>
        </is>
      </c>
      <c r="B2469" t="inlineStr">
        <is>
          <t>Dec-2018</t>
        </is>
      </c>
      <c r="C2469" s="2" t="n">
        <v>43452</v>
      </c>
      <c r="D2469" t="inlineStr">
        <is>
          <t>NON-NIL</t>
        </is>
      </c>
      <c r="E2469" t="n">
        <v>1328</v>
      </c>
    </row>
    <row r="2470">
      <c r="A2470" t="inlineStr">
        <is>
          <t>27BBBBB02470Z5</t>
        </is>
      </c>
      <c r="B2470" t="inlineStr">
        <is>
          <t>Apr-2018</t>
        </is>
      </c>
      <c r="C2470" s="2" t="n">
        <v>43600</v>
      </c>
      <c r="D2470" t="inlineStr">
        <is>
          <t>NIL</t>
        </is>
      </c>
      <c r="E2470" t="n">
        <v>365</v>
      </c>
    </row>
    <row r="2471">
      <c r="A2471" t="inlineStr">
        <is>
          <t>27BBBBB02471Z5</t>
        </is>
      </c>
      <c r="B2471" t="inlineStr">
        <is>
          <t>Nov-2017</t>
        </is>
      </c>
      <c r="C2471" s="2" t="n">
        <v>44259</v>
      </c>
      <c r="D2471" t="inlineStr">
        <is>
          <t>NIL</t>
        </is>
      </c>
      <c r="E2471" t="n">
        <v>572</v>
      </c>
    </row>
    <row r="2472">
      <c r="A2472" t="inlineStr">
        <is>
          <t>27BBBBB02472Z5</t>
        </is>
      </c>
      <c r="B2472" t="inlineStr">
        <is>
          <t>Sep-2017</t>
        </is>
      </c>
      <c r="C2472" s="2" t="n">
        <v>44180</v>
      </c>
      <c r="D2472" t="inlineStr">
        <is>
          <t>NON-NIL</t>
        </is>
      </c>
      <c r="E2472" t="n">
        <v>2293</v>
      </c>
    </row>
    <row r="2473">
      <c r="A2473" t="inlineStr">
        <is>
          <t>27BBBBB02473Z5</t>
        </is>
      </c>
      <c r="B2473" t="inlineStr">
        <is>
          <t>Oct-2017</t>
        </is>
      </c>
      <c r="C2473" s="2" t="n">
        <v>43335</v>
      </c>
      <c r="D2473" t="inlineStr">
        <is>
          <t>NIL</t>
        </is>
      </c>
      <c r="E2473" t="n">
        <v>524</v>
      </c>
    </row>
    <row r="2474">
      <c r="A2474" t="inlineStr">
        <is>
          <t>27BBBBB02474Z5</t>
        </is>
      </c>
      <c r="B2474" t="inlineStr">
        <is>
          <t>Aug-2017</t>
        </is>
      </c>
      <c r="C2474" s="2" t="n">
        <v>43649</v>
      </c>
      <c r="D2474" t="inlineStr">
        <is>
          <t>NIL</t>
        </is>
      </c>
      <c r="E2474" t="n">
        <v>229</v>
      </c>
    </row>
    <row r="2475">
      <c r="A2475" t="inlineStr">
        <is>
          <t>27BBBBB02475Z5</t>
        </is>
      </c>
      <c r="B2475" t="inlineStr">
        <is>
          <t>Dec-2018</t>
        </is>
      </c>
      <c r="C2475" s="2" t="n">
        <v>44092</v>
      </c>
      <c r="D2475" t="inlineStr">
        <is>
          <t>NIL</t>
        </is>
      </c>
      <c r="E2475" t="n">
        <v>97</v>
      </c>
    </row>
    <row r="2476">
      <c r="A2476" t="inlineStr">
        <is>
          <t>27BBBBB02476Z5</t>
        </is>
      </c>
      <c r="B2476" t="inlineStr">
        <is>
          <t>Mar-2020</t>
        </is>
      </c>
      <c r="C2476" s="2" t="n">
        <v>44142</v>
      </c>
      <c r="D2476" t="inlineStr">
        <is>
          <t>NIL</t>
        </is>
      </c>
      <c r="E2476" t="n">
        <v>620</v>
      </c>
    </row>
    <row r="2477">
      <c r="A2477" t="inlineStr">
        <is>
          <t>27BBBBB02477Z5</t>
        </is>
      </c>
      <c r="B2477" t="inlineStr">
        <is>
          <t>Jul-2020</t>
        </is>
      </c>
      <c r="C2477" s="2" t="n">
        <v>43912</v>
      </c>
      <c r="D2477" t="inlineStr">
        <is>
          <t>NIL</t>
        </is>
      </c>
      <c r="E2477" t="n">
        <v>2938</v>
      </c>
    </row>
    <row r="2478">
      <c r="A2478" t="inlineStr">
        <is>
          <t>27BBBBB02478Z5</t>
        </is>
      </c>
      <c r="B2478" t="inlineStr">
        <is>
          <t>Apr-2018</t>
        </is>
      </c>
      <c r="C2478" s="2" t="n">
        <v>43058</v>
      </c>
      <c r="D2478" t="inlineStr">
        <is>
          <t>NON-NIL</t>
        </is>
      </c>
      <c r="E2478" t="n">
        <v>1747</v>
      </c>
    </row>
    <row r="2479">
      <c r="A2479" t="inlineStr">
        <is>
          <t>27BBBBB02479Z5</t>
        </is>
      </c>
      <c r="B2479" t="inlineStr">
        <is>
          <t>Aug-2018</t>
        </is>
      </c>
      <c r="C2479" s="2" t="n">
        <v>44519</v>
      </c>
      <c r="D2479" t="inlineStr">
        <is>
          <t>NON-NIL</t>
        </is>
      </c>
      <c r="E2479" t="n">
        <v>186</v>
      </c>
    </row>
    <row r="2480">
      <c r="A2480" t="inlineStr">
        <is>
          <t>27BBBBB02480Z5</t>
        </is>
      </c>
      <c r="B2480" t="inlineStr">
        <is>
          <t>Mar-2023</t>
        </is>
      </c>
      <c r="C2480" s="2" t="n">
        <v>45120</v>
      </c>
      <c r="D2480" t="inlineStr">
        <is>
          <t>NIL</t>
        </is>
      </c>
      <c r="E2480" t="n">
        <v>2853</v>
      </c>
    </row>
    <row r="2481">
      <c r="A2481" t="inlineStr">
        <is>
          <t>27BBBBB02481Z5</t>
        </is>
      </c>
      <c r="B2481" t="inlineStr">
        <is>
          <t>Dec-2018</t>
        </is>
      </c>
      <c r="C2481" s="2" t="n">
        <v>43242</v>
      </c>
      <c r="D2481" t="inlineStr">
        <is>
          <t>NIL</t>
        </is>
      </c>
      <c r="E2481" t="n">
        <v>1548</v>
      </c>
    </row>
    <row r="2482">
      <c r="A2482" t="inlineStr">
        <is>
          <t>27BBBBB02482Z5</t>
        </is>
      </c>
      <c r="B2482" t="inlineStr">
        <is>
          <t>Jul-2020</t>
        </is>
      </c>
      <c r="C2482" s="2" t="n">
        <v>44668</v>
      </c>
      <c r="D2482" t="inlineStr">
        <is>
          <t>NON-NIL</t>
        </is>
      </c>
      <c r="E2482" t="n">
        <v>1185</v>
      </c>
    </row>
    <row r="2483">
      <c r="A2483" t="inlineStr">
        <is>
          <t>27BBBBB02483Z5</t>
        </is>
      </c>
      <c r="B2483" t="inlineStr">
        <is>
          <t>Aug-2017</t>
        </is>
      </c>
      <c r="C2483" s="2" t="n">
        <v>44317</v>
      </c>
      <c r="D2483" t="inlineStr">
        <is>
          <t>NIL</t>
        </is>
      </c>
      <c r="E2483" t="n">
        <v>2728</v>
      </c>
    </row>
    <row r="2484">
      <c r="A2484" t="inlineStr">
        <is>
          <t>27BBBBB02484Z5</t>
        </is>
      </c>
      <c r="B2484" t="inlineStr">
        <is>
          <t>Jul-2017</t>
        </is>
      </c>
      <c r="C2484" s="2" t="n">
        <v>44142</v>
      </c>
      <c r="D2484" t="inlineStr">
        <is>
          <t>NON-NIL</t>
        </is>
      </c>
      <c r="E2484" t="n">
        <v>1997</v>
      </c>
    </row>
    <row r="2485">
      <c r="A2485" t="inlineStr">
        <is>
          <t>27BBBBB02485Z5</t>
        </is>
      </c>
      <c r="B2485" t="inlineStr">
        <is>
          <t>Feb-2018</t>
        </is>
      </c>
      <c r="C2485" s="2" t="n">
        <v>43588</v>
      </c>
      <c r="D2485" t="inlineStr">
        <is>
          <t>NON-NIL</t>
        </is>
      </c>
      <c r="E2485" t="n">
        <v>2377</v>
      </c>
    </row>
    <row r="2486">
      <c r="A2486" t="inlineStr">
        <is>
          <t>27BBBBB02486Z5</t>
        </is>
      </c>
      <c r="B2486" t="inlineStr">
        <is>
          <t>Jun-2020</t>
        </is>
      </c>
      <c r="C2486" s="2" t="n">
        <v>44669</v>
      </c>
      <c r="D2486" t="inlineStr">
        <is>
          <t>NIL</t>
        </is>
      </c>
      <c r="E2486" t="n">
        <v>1496</v>
      </c>
    </row>
    <row r="2487">
      <c r="A2487" t="inlineStr">
        <is>
          <t>27BBBBB02487Z5</t>
        </is>
      </c>
      <c r="B2487" t="inlineStr">
        <is>
          <t>Jun-2020</t>
        </is>
      </c>
      <c r="C2487" s="2" t="n">
        <v>44547</v>
      </c>
      <c r="D2487" t="inlineStr">
        <is>
          <t>NIL</t>
        </is>
      </c>
      <c r="E2487" t="n">
        <v>2993</v>
      </c>
    </row>
    <row r="2488">
      <c r="A2488" t="inlineStr">
        <is>
          <t>27BBBBB02488Z5</t>
        </is>
      </c>
      <c r="B2488" t="inlineStr">
        <is>
          <t>Oct-2017</t>
        </is>
      </c>
      <c r="C2488" s="2" t="n">
        <v>43206</v>
      </c>
      <c r="D2488" t="inlineStr">
        <is>
          <t>NIL</t>
        </is>
      </c>
      <c r="E2488" t="n">
        <v>890</v>
      </c>
    </row>
    <row r="2489">
      <c r="A2489" t="inlineStr">
        <is>
          <t>27BBBBB02489Z5</t>
        </is>
      </c>
      <c r="B2489" t="inlineStr">
        <is>
          <t>Jun-2018</t>
        </is>
      </c>
      <c r="C2489" s="2" t="n">
        <v>43597</v>
      </c>
      <c r="D2489" t="inlineStr">
        <is>
          <t>NIL</t>
        </is>
      </c>
      <c r="E2489" t="n">
        <v>212</v>
      </c>
    </row>
    <row r="2490">
      <c r="A2490" t="inlineStr">
        <is>
          <t>27BBBBB02490Z5</t>
        </is>
      </c>
      <c r="B2490" t="inlineStr">
        <is>
          <t>Oct-2017</t>
        </is>
      </c>
      <c r="C2490" s="2" t="n">
        <v>43248</v>
      </c>
      <c r="D2490" t="inlineStr">
        <is>
          <t>NON-NIL</t>
        </is>
      </c>
      <c r="E2490" t="n">
        <v>908</v>
      </c>
    </row>
    <row r="2491">
      <c r="A2491" t="inlineStr">
        <is>
          <t>27BBBBB02491Z5</t>
        </is>
      </c>
      <c r="B2491" t="inlineStr">
        <is>
          <t>Mar-2018</t>
        </is>
      </c>
      <c r="C2491" s="2" t="n">
        <v>44319</v>
      </c>
      <c r="D2491" t="inlineStr">
        <is>
          <t>NIL</t>
        </is>
      </c>
      <c r="E2491" t="n">
        <v>1768</v>
      </c>
    </row>
    <row r="2492">
      <c r="A2492" t="inlineStr">
        <is>
          <t>27BBBBB02492Z5</t>
        </is>
      </c>
      <c r="B2492" t="inlineStr">
        <is>
          <t>Jan-2021</t>
        </is>
      </c>
      <c r="C2492" s="2" t="n">
        <v>44524</v>
      </c>
      <c r="D2492" t="inlineStr">
        <is>
          <t>NON-NIL</t>
        </is>
      </c>
      <c r="E2492" t="n">
        <v>1759</v>
      </c>
    </row>
    <row r="2493">
      <c r="A2493" t="inlineStr">
        <is>
          <t>27BBBBB02493Z5</t>
        </is>
      </c>
      <c r="B2493" t="inlineStr">
        <is>
          <t>Mar-2020</t>
        </is>
      </c>
      <c r="C2493" s="2" t="n">
        <v>44286</v>
      </c>
      <c r="D2493" t="inlineStr">
        <is>
          <t>NON-NIL</t>
        </is>
      </c>
      <c r="E2493" t="n">
        <v>252</v>
      </c>
    </row>
    <row r="2494">
      <c r="A2494" t="inlineStr">
        <is>
          <t>27BBBBB02494Z5</t>
        </is>
      </c>
      <c r="B2494" t="inlineStr">
        <is>
          <t>Aug-2018</t>
        </is>
      </c>
      <c r="C2494" s="2" t="n">
        <v>43890</v>
      </c>
      <c r="D2494" t="inlineStr">
        <is>
          <t>NON-NIL</t>
        </is>
      </c>
      <c r="E2494" t="n">
        <v>1780</v>
      </c>
    </row>
    <row r="2495">
      <c r="A2495" t="inlineStr">
        <is>
          <t>27BBBBB02495Z5</t>
        </is>
      </c>
      <c r="B2495" t="inlineStr">
        <is>
          <t>Apr-2018</t>
        </is>
      </c>
      <c r="C2495" s="2" t="n">
        <v>43511</v>
      </c>
      <c r="D2495" t="inlineStr">
        <is>
          <t>NIL</t>
        </is>
      </c>
      <c r="E2495" t="n">
        <v>862</v>
      </c>
    </row>
    <row r="2496">
      <c r="A2496" t="inlineStr">
        <is>
          <t>27BBBBB02496Z5</t>
        </is>
      </c>
      <c r="B2496" t="inlineStr">
        <is>
          <t>May-2020</t>
        </is>
      </c>
      <c r="C2496" s="2" t="n">
        <v>44007</v>
      </c>
      <c r="D2496" t="inlineStr">
        <is>
          <t>NON-NIL</t>
        </is>
      </c>
      <c r="E2496" t="n">
        <v>2109</v>
      </c>
    </row>
    <row r="2497">
      <c r="A2497" t="inlineStr">
        <is>
          <t>27BBBBB02497Z5</t>
        </is>
      </c>
      <c r="B2497" t="inlineStr">
        <is>
          <t>Dec-2017</t>
        </is>
      </c>
      <c r="C2497" s="2" t="n">
        <v>43292</v>
      </c>
      <c r="D2497" t="inlineStr">
        <is>
          <t>NIL</t>
        </is>
      </c>
      <c r="E2497" t="n">
        <v>303</v>
      </c>
    </row>
    <row r="2498">
      <c r="A2498" t="inlineStr">
        <is>
          <t>27BBBBB02498Z5</t>
        </is>
      </c>
      <c r="B2498" t="inlineStr">
        <is>
          <t>Apr-2020</t>
        </is>
      </c>
      <c r="C2498" s="2" t="n">
        <v>44364</v>
      </c>
      <c r="D2498" t="inlineStr">
        <is>
          <t>NON-NIL</t>
        </is>
      </c>
      <c r="E2498" t="n">
        <v>2858</v>
      </c>
    </row>
    <row r="2499">
      <c r="A2499" t="inlineStr">
        <is>
          <t>27BBBBB02499Z5</t>
        </is>
      </c>
      <c r="B2499" t="inlineStr">
        <is>
          <t>Oct-2018</t>
        </is>
      </c>
      <c r="C2499" s="2" t="n">
        <v>43286</v>
      </c>
      <c r="D2499" t="inlineStr">
        <is>
          <t>NIL</t>
        </is>
      </c>
      <c r="E2499" t="n">
        <v>1421</v>
      </c>
    </row>
    <row r="2500">
      <c r="A2500" t="inlineStr">
        <is>
          <t>27BBBBB02500Z5</t>
        </is>
      </c>
      <c r="B2500" t="inlineStr">
        <is>
          <t>Jun-2018</t>
        </is>
      </c>
      <c r="C2500" s="2" t="n">
        <v>43572</v>
      </c>
      <c r="D2500" t="inlineStr">
        <is>
          <t>NIL</t>
        </is>
      </c>
      <c r="E2500" t="n">
        <v>666</v>
      </c>
    </row>
    <row r="2501">
      <c r="A2501" t="inlineStr">
        <is>
          <t>27BBBBB02501Z5</t>
        </is>
      </c>
      <c r="B2501" t="inlineStr">
        <is>
          <t>Oct-2017</t>
        </is>
      </c>
      <c r="C2501" s="2" t="n">
        <v>43729</v>
      </c>
      <c r="D2501" t="inlineStr">
        <is>
          <t>NON-NIL</t>
        </is>
      </c>
      <c r="E2501" t="n">
        <v>1440</v>
      </c>
    </row>
    <row r="2502">
      <c r="A2502" t="inlineStr">
        <is>
          <t>27BBBBB02502Z5</t>
        </is>
      </c>
      <c r="B2502" t="inlineStr">
        <is>
          <t>May-2018</t>
        </is>
      </c>
      <c r="C2502" s="2" t="n">
        <v>42918</v>
      </c>
      <c r="D2502" t="inlineStr">
        <is>
          <t>NIL</t>
        </is>
      </c>
      <c r="E2502" t="n">
        <v>1587</v>
      </c>
    </row>
    <row r="2503">
      <c r="A2503" t="inlineStr">
        <is>
          <t>27BBBBB02503Z5</t>
        </is>
      </c>
      <c r="B2503" t="inlineStr">
        <is>
          <t>Mar-2023</t>
        </is>
      </c>
      <c r="C2503" s="2" t="n">
        <v>44633</v>
      </c>
      <c r="D2503" t="inlineStr">
        <is>
          <t>NON-NIL</t>
        </is>
      </c>
      <c r="E2503" t="n">
        <v>56</v>
      </c>
    </row>
    <row r="2504">
      <c r="A2504" t="inlineStr">
        <is>
          <t>27BBBBB02504Z5</t>
        </is>
      </c>
      <c r="B2504" t="inlineStr">
        <is>
          <t>Jun-2018</t>
        </is>
      </c>
      <c r="C2504" s="2" t="n">
        <v>43987</v>
      </c>
      <c r="D2504" t="inlineStr">
        <is>
          <t>NIL</t>
        </is>
      </c>
      <c r="E2504" t="n">
        <v>2978</v>
      </c>
    </row>
    <row r="2505">
      <c r="A2505" t="inlineStr">
        <is>
          <t>27BBBBB02505Z5</t>
        </is>
      </c>
      <c r="B2505" t="inlineStr">
        <is>
          <t>Jul-2018</t>
        </is>
      </c>
      <c r="C2505" s="2" t="n">
        <v>43027</v>
      </c>
      <c r="D2505" t="inlineStr">
        <is>
          <t>NON-NIL</t>
        </is>
      </c>
      <c r="E2505" t="n">
        <v>651</v>
      </c>
    </row>
    <row r="2506">
      <c r="A2506" t="inlineStr">
        <is>
          <t>27BBBBB02506Z5</t>
        </is>
      </c>
      <c r="B2506" t="inlineStr">
        <is>
          <t>Nov-2017</t>
        </is>
      </c>
      <c r="C2506" s="2" t="n">
        <v>44064</v>
      </c>
      <c r="D2506" t="inlineStr">
        <is>
          <t>NON-NIL</t>
        </is>
      </c>
      <c r="E2506" t="n">
        <v>2368</v>
      </c>
    </row>
    <row r="2507">
      <c r="A2507" t="inlineStr">
        <is>
          <t>27BBBBB02507Z5</t>
        </is>
      </c>
      <c r="B2507" t="inlineStr">
        <is>
          <t>Mar-2020</t>
        </is>
      </c>
      <c r="C2507" s="2" t="n">
        <v>44239</v>
      </c>
      <c r="D2507" t="inlineStr">
        <is>
          <t>NIL</t>
        </is>
      </c>
      <c r="E2507" t="n">
        <v>2985</v>
      </c>
    </row>
    <row r="2508">
      <c r="A2508" t="inlineStr">
        <is>
          <t>27BBBBB02508Z5</t>
        </is>
      </c>
      <c r="B2508" t="inlineStr">
        <is>
          <t>Mar-2023</t>
        </is>
      </c>
      <c r="C2508" s="2" t="n">
        <v>45645</v>
      </c>
      <c r="D2508" t="inlineStr">
        <is>
          <t>NON-NIL</t>
        </is>
      </c>
      <c r="E2508" t="n">
        <v>1589</v>
      </c>
    </row>
    <row r="2509">
      <c r="A2509" t="inlineStr">
        <is>
          <t>27BBBBB02509Z5</t>
        </is>
      </c>
      <c r="B2509" t="inlineStr">
        <is>
          <t>Nov-2018</t>
        </is>
      </c>
      <c r="C2509" s="2" t="n">
        <v>44101</v>
      </c>
      <c r="D2509" t="inlineStr">
        <is>
          <t>NIL</t>
        </is>
      </c>
      <c r="E2509" t="n">
        <v>401</v>
      </c>
    </row>
    <row r="2510">
      <c r="A2510" t="inlineStr">
        <is>
          <t>27BBBBB02510Z5</t>
        </is>
      </c>
      <c r="B2510" t="inlineStr">
        <is>
          <t>Jul-2017</t>
        </is>
      </c>
      <c r="C2510" s="2" t="n">
        <v>43736</v>
      </c>
      <c r="D2510" t="inlineStr">
        <is>
          <t>NON-NIL</t>
        </is>
      </c>
      <c r="E2510" t="n">
        <v>2964</v>
      </c>
    </row>
    <row r="2511">
      <c r="A2511" t="inlineStr">
        <is>
          <t>27BBBBB02511Z5</t>
        </is>
      </c>
      <c r="B2511" t="inlineStr">
        <is>
          <t>Dec-2017</t>
        </is>
      </c>
      <c r="C2511" s="2" t="n">
        <v>44002</v>
      </c>
      <c r="D2511" t="inlineStr">
        <is>
          <t>NON-NIL</t>
        </is>
      </c>
      <c r="E2511" t="n">
        <v>1167</v>
      </c>
    </row>
    <row r="2512">
      <c r="A2512" t="inlineStr">
        <is>
          <t>27BBBBB02512Z5</t>
        </is>
      </c>
      <c r="B2512" t="inlineStr">
        <is>
          <t>Apr-2018</t>
        </is>
      </c>
      <c r="C2512" s="2" t="n">
        <v>44420</v>
      </c>
      <c r="D2512" t="inlineStr">
        <is>
          <t>NIL</t>
        </is>
      </c>
      <c r="E2512" t="n">
        <v>131</v>
      </c>
    </row>
    <row r="2513">
      <c r="A2513" t="inlineStr">
        <is>
          <t>27BBBBB02513Z5</t>
        </is>
      </c>
      <c r="B2513" t="inlineStr">
        <is>
          <t>May-2018</t>
        </is>
      </c>
      <c r="C2513" s="2" t="n">
        <v>43274</v>
      </c>
      <c r="D2513" t="inlineStr">
        <is>
          <t>NIL</t>
        </is>
      </c>
      <c r="E2513" t="n">
        <v>1741</v>
      </c>
    </row>
    <row r="2514">
      <c r="A2514" t="inlineStr">
        <is>
          <t>27BBBBB02514Z5</t>
        </is>
      </c>
      <c r="B2514" t="inlineStr">
        <is>
          <t>Oct-2017</t>
        </is>
      </c>
      <c r="C2514" s="2" t="n">
        <v>43438</v>
      </c>
      <c r="D2514" t="inlineStr">
        <is>
          <t>NIL</t>
        </is>
      </c>
      <c r="E2514" t="n">
        <v>1770</v>
      </c>
    </row>
    <row r="2515">
      <c r="A2515" t="inlineStr">
        <is>
          <t>27BBBBB02515Z5</t>
        </is>
      </c>
      <c r="B2515" t="inlineStr">
        <is>
          <t>Mar-2023</t>
        </is>
      </c>
      <c r="C2515" s="2" t="n">
        <v>44422</v>
      </c>
      <c r="D2515" t="inlineStr">
        <is>
          <t>NON-NIL</t>
        </is>
      </c>
      <c r="E2515" t="n">
        <v>73</v>
      </c>
    </row>
    <row r="2516">
      <c r="A2516" t="inlineStr">
        <is>
          <t>27BBBBB02516Z5</t>
        </is>
      </c>
      <c r="B2516" t="inlineStr">
        <is>
          <t>Sep-2018</t>
        </is>
      </c>
      <c r="C2516" s="2" t="n">
        <v>44223</v>
      </c>
      <c r="D2516" t="inlineStr">
        <is>
          <t>NIL</t>
        </is>
      </c>
      <c r="E2516" t="n">
        <v>2034</v>
      </c>
    </row>
    <row r="2517">
      <c r="A2517" t="inlineStr">
        <is>
          <t>27BBBBB02517Z5</t>
        </is>
      </c>
      <c r="B2517" t="inlineStr">
        <is>
          <t>Mar-2018</t>
        </is>
      </c>
      <c r="C2517" s="2" t="n">
        <v>44361</v>
      </c>
      <c r="D2517" t="inlineStr">
        <is>
          <t>NIL</t>
        </is>
      </c>
      <c r="E2517" t="n">
        <v>119</v>
      </c>
    </row>
    <row r="2518">
      <c r="A2518" t="inlineStr">
        <is>
          <t>27BBBBB02518Z5</t>
        </is>
      </c>
      <c r="B2518" t="inlineStr">
        <is>
          <t>Aug-2017</t>
        </is>
      </c>
      <c r="C2518" s="2" t="n">
        <v>44266</v>
      </c>
      <c r="D2518" t="inlineStr">
        <is>
          <t>NON-NIL</t>
        </is>
      </c>
      <c r="E2518" t="n">
        <v>216</v>
      </c>
    </row>
    <row r="2519">
      <c r="A2519" t="inlineStr">
        <is>
          <t>27BBBBB02519Z5</t>
        </is>
      </c>
      <c r="B2519" t="inlineStr">
        <is>
          <t>Dec-2017</t>
        </is>
      </c>
      <c r="C2519" s="2" t="n">
        <v>44247</v>
      </c>
      <c r="D2519" t="inlineStr">
        <is>
          <t>NON-NIL</t>
        </is>
      </c>
      <c r="E2519" t="n">
        <v>19</v>
      </c>
    </row>
    <row r="2520">
      <c r="A2520" t="inlineStr">
        <is>
          <t>27BBBBB02520Z5</t>
        </is>
      </c>
      <c r="B2520" t="inlineStr">
        <is>
          <t>Sep-2018</t>
        </is>
      </c>
      <c r="C2520" s="2" t="n">
        <v>44084</v>
      </c>
      <c r="D2520" t="inlineStr">
        <is>
          <t>NIL</t>
        </is>
      </c>
      <c r="E2520" t="n">
        <v>2466</v>
      </c>
    </row>
    <row r="2521">
      <c r="A2521" t="inlineStr">
        <is>
          <t>27BBBBB02521Z5</t>
        </is>
      </c>
      <c r="B2521" t="inlineStr">
        <is>
          <t>Sep-2018</t>
        </is>
      </c>
      <c r="C2521" s="2" t="n">
        <v>43887</v>
      </c>
      <c r="D2521" t="inlineStr">
        <is>
          <t>NIL</t>
        </is>
      </c>
      <c r="E2521" t="n">
        <v>193</v>
      </c>
    </row>
    <row r="2522">
      <c r="A2522" t="inlineStr">
        <is>
          <t>27BBBBB02522Z5</t>
        </is>
      </c>
      <c r="B2522" t="inlineStr">
        <is>
          <t>Mar-2018</t>
        </is>
      </c>
      <c r="C2522" s="2" t="n">
        <v>43957</v>
      </c>
      <c r="D2522" t="inlineStr">
        <is>
          <t>NON-NIL</t>
        </is>
      </c>
      <c r="E2522" t="n">
        <v>2399</v>
      </c>
    </row>
    <row r="2523">
      <c r="A2523" t="inlineStr">
        <is>
          <t>27BBBBB02523Z5</t>
        </is>
      </c>
      <c r="B2523" t="inlineStr">
        <is>
          <t>Oct-2017</t>
        </is>
      </c>
      <c r="C2523" s="2" t="n">
        <v>43629</v>
      </c>
      <c r="D2523" t="inlineStr">
        <is>
          <t>NIL</t>
        </is>
      </c>
      <c r="E2523" t="n">
        <v>1469</v>
      </c>
    </row>
    <row r="2524">
      <c r="A2524" t="inlineStr">
        <is>
          <t>27BBBBB02524Z5</t>
        </is>
      </c>
      <c r="B2524" t="inlineStr">
        <is>
          <t>Dec-2024</t>
        </is>
      </c>
      <c r="C2524" s="2" t="n">
        <v>44552</v>
      </c>
      <c r="D2524" t="inlineStr">
        <is>
          <t>NIL</t>
        </is>
      </c>
      <c r="E2524" t="n">
        <v>1212</v>
      </c>
    </row>
    <row r="2525">
      <c r="A2525" t="inlineStr">
        <is>
          <t>27BBBBB02525Z5</t>
        </is>
      </c>
      <c r="B2525" t="inlineStr">
        <is>
          <t>Dec-2018</t>
        </is>
      </c>
      <c r="C2525" s="2" t="n">
        <v>44467</v>
      </c>
      <c r="D2525" t="inlineStr">
        <is>
          <t>NON-NIL</t>
        </is>
      </c>
      <c r="E2525" t="n">
        <v>2141</v>
      </c>
    </row>
    <row r="2526">
      <c r="A2526" t="inlineStr">
        <is>
          <t>27BBBBB02526Z5</t>
        </is>
      </c>
      <c r="B2526" t="inlineStr">
        <is>
          <t>Apr-2018</t>
        </is>
      </c>
      <c r="C2526" s="2" t="n">
        <v>44213</v>
      </c>
      <c r="D2526" t="inlineStr">
        <is>
          <t>NIL</t>
        </is>
      </c>
      <c r="E2526" t="n">
        <v>1262</v>
      </c>
    </row>
    <row r="2527">
      <c r="A2527" t="inlineStr">
        <is>
          <t>27BBBBB02527Z5</t>
        </is>
      </c>
      <c r="B2527" t="inlineStr">
        <is>
          <t>Oct-2017</t>
        </is>
      </c>
      <c r="C2527" s="2" t="n">
        <v>44489</v>
      </c>
      <c r="D2527" t="inlineStr">
        <is>
          <t>NON-NIL</t>
        </is>
      </c>
      <c r="E2527" t="n">
        <v>2045</v>
      </c>
    </row>
    <row r="2528">
      <c r="A2528" t="inlineStr">
        <is>
          <t>27BBBBB02528Z5</t>
        </is>
      </c>
      <c r="B2528" t="inlineStr">
        <is>
          <t>Oct-2017</t>
        </is>
      </c>
      <c r="C2528" s="2" t="n">
        <v>43450</v>
      </c>
      <c r="D2528" t="inlineStr">
        <is>
          <t>NIL</t>
        </is>
      </c>
      <c r="E2528" t="n">
        <v>2784</v>
      </c>
    </row>
    <row r="2529">
      <c r="A2529" t="inlineStr">
        <is>
          <t>27BBBBB02529Z5</t>
        </is>
      </c>
      <c r="B2529" t="inlineStr">
        <is>
          <t>Nov-2018</t>
        </is>
      </c>
      <c r="C2529" s="2" t="n">
        <v>44467</v>
      </c>
      <c r="D2529" t="inlineStr">
        <is>
          <t>NON-NIL</t>
        </is>
      </c>
      <c r="E2529" t="n">
        <v>1998</v>
      </c>
    </row>
    <row r="2530">
      <c r="A2530" t="inlineStr">
        <is>
          <t>27BBBBB02530Z5</t>
        </is>
      </c>
      <c r="B2530" t="inlineStr">
        <is>
          <t>Mar-2023</t>
        </is>
      </c>
      <c r="C2530" s="2" t="n">
        <v>45826</v>
      </c>
      <c r="D2530" t="inlineStr">
        <is>
          <t>NON-NIL</t>
        </is>
      </c>
      <c r="E2530" t="n">
        <v>317</v>
      </c>
    </row>
    <row r="2531">
      <c r="A2531" t="inlineStr">
        <is>
          <t>27BBBBB02531Z5</t>
        </is>
      </c>
      <c r="B2531" t="inlineStr">
        <is>
          <t>May-2018</t>
        </is>
      </c>
      <c r="C2531" s="2" t="n">
        <v>44346</v>
      </c>
      <c r="D2531" t="inlineStr">
        <is>
          <t>NON-NIL</t>
        </is>
      </c>
      <c r="E2531" t="n">
        <v>2498</v>
      </c>
    </row>
    <row r="2532">
      <c r="A2532" t="inlineStr">
        <is>
          <t>27BBBBB02532Z5</t>
        </is>
      </c>
      <c r="B2532" t="inlineStr">
        <is>
          <t>Mar-2020</t>
        </is>
      </c>
      <c r="C2532" s="2" t="n">
        <v>44159</v>
      </c>
      <c r="D2532" t="inlineStr">
        <is>
          <t>NIL</t>
        </is>
      </c>
      <c r="E2532" t="n">
        <v>2422</v>
      </c>
    </row>
    <row r="2533">
      <c r="A2533" t="inlineStr">
        <is>
          <t>27BBBBB02533Z5</t>
        </is>
      </c>
      <c r="B2533" t="inlineStr">
        <is>
          <t>Oct-2017</t>
        </is>
      </c>
      <c r="C2533" s="2" t="n">
        <v>44239</v>
      </c>
      <c r="D2533" t="inlineStr">
        <is>
          <t>NIL</t>
        </is>
      </c>
      <c r="E2533" t="n">
        <v>1868</v>
      </c>
    </row>
    <row r="2534">
      <c r="A2534" t="inlineStr">
        <is>
          <t>27BBBBB02534Z5</t>
        </is>
      </c>
      <c r="B2534" t="inlineStr">
        <is>
          <t>May-2020</t>
        </is>
      </c>
      <c r="C2534" s="2" t="n">
        <v>43900</v>
      </c>
      <c r="D2534" t="inlineStr">
        <is>
          <t>NIL</t>
        </is>
      </c>
      <c r="E2534" t="n">
        <v>1630</v>
      </c>
    </row>
    <row r="2535">
      <c r="A2535" t="inlineStr">
        <is>
          <t>27BBBBB02535Z5</t>
        </is>
      </c>
      <c r="B2535" t="inlineStr">
        <is>
          <t>Dec-2018</t>
        </is>
      </c>
      <c r="C2535" s="2" t="n">
        <v>43989</v>
      </c>
      <c r="D2535" t="inlineStr">
        <is>
          <t>NON-NIL</t>
        </is>
      </c>
      <c r="E2535" t="n">
        <v>2761</v>
      </c>
    </row>
    <row r="2536">
      <c r="A2536" t="inlineStr">
        <is>
          <t>27BBBBB02536Z5</t>
        </is>
      </c>
      <c r="B2536" t="inlineStr">
        <is>
          <t>Jul-2017</t>
        </is>
      </c>
      <c r="C2536" s="2" t="n">
        <v>43548</v>
      </c>
      <c r="D2536" t="inlineStr">
        <is>
          <t>NON-NIL</t>
        </is>
      </c>
      <c r="E2536" t="n">
        <v>1653</v>
      </c>
    </row>
    <row r="2537">
      <c r="A2537" t="inlineStr">
        <is>
          <t>27BBBBB02537Z5</t>
        </is>
      </c>
      <c r="B2537" t="inlineStr">
        <is>
          <t>Jul-2020</t>
        </is>
      </c>
      <c r="C2537" s="2" t="n">
        <v>44313</v>
      </c>
      <c r="D2537" t="inlineStr">
        <is>
          <t>NIL</t>
        </is>
      </c>
      <c r="E2537" t="n">
        <v>46</v>
      </c>
    </row>
    <row r="2538">
      <c r="A2538" t="inlineStr">
        <is>
          <t>27BBBBB02538Z5</t>
        </is>
      </c>
      <c r="B2538" t="inlineStr">
        <is>
          <t>Mar-2021</t>
        </is>
      </c>
      <c r="C2538" s="2" t="n">
        <v>44735</v>
      </c>
      <c r="D2538" t="inlineStr">
        <is>
          <t>NON-NIL</t>
        </is>
      </c>
      <c r="E2538" t="n">
        <v>2626</v>
      </c>
    </row>
    <row r="2539">
      <c r="A2539" t="inlineStr">
        <is>
          <t>27BBBBB02539Z5</t>
        </is>
      </c>
      <c r="B2539" t="inlineStr">
        <is>
          <t>Apr-2020</t>
        </is>
      </c>
      <c r="C2539" s="2" t="n">
        <v>44035</v>
      </c>
      <c r="D2539" t="inlineStr">
        <is>
          <t>NON-NIL</t>
        </is>
      </c>
      <c r="E2539" t="n">
        <v>419</v>
      </c>
    </row>
    <row r="2540">
      <c r="A2540" t="inlineStr">
        <is>
          <t>27BBBBB02540Z5</t>
        </is>
      </c>
      <c r="B2540" t="inlineStr">
        <is>
          <t>May-2018</t>
        </is>
      </c>
      <c r="C2540" s="2" t="n">
        <v>44257</v>
      </c>
      <c r="D2540" t="inlineStr">
        <is>
          <t>NIL</t>
        </is>
      </c>
      <c r="E2540" t="n">
        <v>2053</v>
      </c>
    </row>
    <row r="2541">
      <c r="A2541" t="inlineStr">
        <is>
          <t>27BBBBB02541Z5</t>
        </is>
      </c>
      <c r="B2541" t="inlineStr">
        <is>
          <t>Apr-2018</t>
        </is>
      </c>
      <c r="C2541" s="2" t="n">
        <v>43200</v>
      </c>
      <c r="D2541" t="inlineStr">
        <is>
          <t>NON-NIL</t>
        </is>
      </c>
      <c r="E2541" t="n">
        <v>1556</v>
      </c>
    </row>
    <row r="2542">
      <c r="A2542" t="inlineStr">
        <is>
          <t>27BBBBB02542Z5</t>
        </is>
      </c>
      <c r="B2542" t="inlineStr">
        <is>
          <t>Oct-2018</t>
        </is>
      </c>
      <c r="C2542" s="2" t="n">
        <v>43852</v>
      </c>
      <c r="D2542" t="inlineStr">
        <is>
          <t>NON-NIL</t>
        </is>
      </c>
      <c r="E2542" t="n">
        <v>419</v>
      </c>
    </row>
    <row r="2543">
      <c r="A2543" t="inlineStr">
        <is>
          <t>27BBBBB02543Z5</t>
        </is>
      </c>
      <c r="B2543" t="inlineStr">
        <is>
          <t>Aug-2018</t>
        </is>
      </c>
      <c r="C2543" s="2" t="n">
        <v>43605</v>
      </c>
      <c r="D2543" t="inlineStr">
        <is>
          <t>NIL</t>
        </is>
      </c>
      <c r="E2543" t="n">
        <v>1821</v>
      </c>
    </row>
    <row r="2544">
      <c r="A2544" t="inlineStr">
        <is>
          <t>27BBBBB02544Z5</t>
        </is>
      </c>
      <c r="B2544" t="inlineStr">
        <is>
          <t>Mar-2018</t>
        </is>
      </c>
      <c r="C2544" s="2" t="n">
        <v>43752</v>
      </c>
      <c r="D2544" t="inlineStr">
        <is>
          <t>NON-NIL</t>
        </is>
      </c>
      <c r="E2544" t="n">
        <v>1805</v>
      </c>
    </row>
    <row r="2545">
      <c r="A2545" t="inlineStr">
        <is>
          <t>27BBBBB02545Z5</t>
        </is>
      </c>
      <c r="B2545" t="inlineStr">
        <is>
          <t>Dec-2018</t>
        </is>
      </c>
      <c r="C2545" s="2" t="n">
        <v>43620</v>
      </c>
      <c r="D2545" t="inlineStr">
        <is>
          <t>NON-NIL</t>
        </is>
      </c>
      <c r="E2545" t="n">
        <v>843</v>
      </c>
    </row>
    <row r="2546">
      <c r="A2546" t="inlineStr">
        <is>
          <t>27BBBBB02546Z5</t>
        </is>
      </c>
      <c r="B2546" t="inlineStr">
        <is>
          <t>Jun-2020</t>
        </is>
      </c>
      <c r="C2546" s="2" t="n">
        <v>44738</v>
      </c>
      <c r="D2546" t="inlineStr">
        <is>
          <t>NIL</t>
        </is>
      </c>
      <c r="E2546" t="n">
        <v>1547</v>
      </c>
    </row>
    <row r="2547">
      <c r="A2547" t="inlineStr">
        <is>
          <t>27BBBBB02547Z5</t>
        </is>
      </c>
      <c r="B2547" t="inlineStr">
        <is>
          <t>Apr-2018</t>
        </is>
      </c>
      <c r="C2547" s="2" t="n">
        <v>43401</v>
      </c>
      <c r="D2547" t="inlineStr">
        <is>
          <t>NON-NIL</t>
        </is>
      </c>
      <c r="E2547" t="n">
        <v>278</v>
      </c>
    </row>
    <row r="2548">
      <c r="A2548" t="inlineStr">
        <is>
          <t>27BBBBB02548Z5</t>
        </is>
      </c>
      <c r="B2548" t="inlineStr">
        <is>
          <t>May-2020</t>
        </is>
      </c>
      <c r="C2548" s="2" t="n">
        <v>44063</v>
      </c>
      <c r="D2548" t="inlineStr">
        <is>
          <t>NIL</t>
        </is>
      </c>
      <c r="E2548" t="n">
        <v>1658</v>
      </c>
    </row>
    <row r="2549">
      <c r="A2549" t="inlineStr">
        <is>
          <t>27BBBBB02549Z5</t>
        </is>
      </c>
      <c r="B2549" t="inlineStr">
        <is>
          <t>Dec-2022</t>
        </is>
      </c>
      <c r="C2549" s="2" t="n">
        <v>45587</v>
      </c>
      <c r="D2549" t="inlineStr">
        <is>
          <t>NON-NIL</t>
        </is>
      </c>
      <c r="E2549" t="n">
        <v>2407</v>
      </c>
    </row>
    <row r="2550">
      <c r="A2550" t="inlineStr">
        <is>
          <t>27BBBBB02550Z5</t>
        </is>
      </c>
      <c r="B2550" t="inlineStr">
        <is>
          <t>Dec-2022</t>
        </is>
      </c>
      <c r="C2550" s="2" t="n">
        <v>44987</v>
      </c>
      <c r="D2550" t="inlineStr">
        <is>
          <t>NIL</t>
        </is>
      </c>
      <c r="E2550" t="n">
        <v>1272</v>
      </c>
    </row>
    <row r="2551">
      <c r="A2551" t="inlineStr">
        <is>
          <t>27BBBBB02551Z5</t>
        </is>
      </c>
      <c r="B2551" t="inlineStr">
        <is>
          <t>Sep-2017</t>
        </is>
      </c>
      <c r="C2551" s="2" t="n">
        <v>43929</v>
      </c>
      <c r="D2551" t="inlineStr">
        <is>
          <t>NIL</t>
        </is>
      </c>
      <c r="E2551" t="n">
        <v>1762</v>
      </c>
    </row>
    <row r="2552">
      <c r="A2552" t="inlineStr">
        <is>
          <t>27BBBBB02552Z5</t>
        </is>
      </c>
      <c r="B2552" t="inlineStr">
        <is>
          <t>Nov-2018</t>
        </is>
      </c>
      <c r="C2552" s="2" t="n">
        <v>43928</v>
      </c>
      <c r="D2552" t="inlineStr">
        <is>
          <t>NON-NIL</t>
        </is>
      </c>
      <c r="E2552" t="n">
        <v>2009</v>
      </c>
    </row>
    <row r="2553">
      <c r="A2553" t="inlineStr">
        <is>
          <t>27BBBBB02553Z5</t>
        </is>
      </c>
      <c r="B2553" t="inlineStr">
        <is>
          <t>Dec-2018</t>
        </is>
      </c>
      <c r="C2553" s="2" t="n">
        <v>43252</v>
      </c>
      <c r="D2553" t="inlineStr">
        <is>
          <t>NON-NIL</t>
        </is>
      </c>
      <c r="E2553" t="n">
        <v>1666</v>
      </c>
    </row>
    <row r="2554">
      <c r="A2554" t="inlineStr">
        <is>
          <t>27BBBBB02554Z5</t>
        </is>
      </c>
      <c r="B2554" t="inlineStr">
        <is>
          <t>May-2020</t>
        </is>
      </c>
      <c r="C2554" s="2" t="n">
        <v>44338</v>
      </c>
      <c r="D2554" t="inlineStr">
        <is>
          <t>NON-NIL</t>
        </is>
      </c>
      <c r="E2554" t="n">
        <v>2998</v>
      </c>
    </row>
    <row r="2555">
      <c r="A2555" t="inlineStr">
        <is>
          <t>27BBBBB02555Z5</t>
        </is>
      </c>
      <c r="B2555" t="inlineStr">
        <is>
          <t>Jan-2021</t>
        </is>
      </c>
      <c r="C2555" s="2" t="n">
        <v>44301</v>
      </c>
      <c r="D2555" t="inlineStr">
        <is>
          <t>NIL</t>
        </is>
      </c>
      <c r="E2555" t="n">
        <v>1329</v>
      </c>
    </row>
    <row r="2556">
      <c r="A2556" t="inlineStr">
        <is>
          <t>27BBBBB02556Z5</t>
        </is>
      </c>
      <c r="B2556" t="inlineStr">
        <is>
          <t>Sep-2017</t>
        </is>
      </c>
      <c r="C2556" s="2" t="n">
        <v>42937</v>
      </c>
      <c r="D2556" t="inlineStr">
        <is>
          <t>NIL</t>
        </is>
      </c>
      <c r="E2556" t="n">
        <v>335</v>
      </c>
    </row>
    <row r="2557">
      <c r="A2557" t="inlineStr">
        <is>
          <t>27BBBBB02557Z5</t>
        </is>
      </c>
      <c r="B2557" t="inlineStr">
        <is>
          <t>Jul-2017</t>
        </is>
      </c>
      <c r="C2557" s="2" t="n">
        <v>43256</v>
      </c>
      <c r="D2557" t="inlineStr">
        <is>
          <t>NIL</t>
        </is>
      </c>
      <c r="E2557" t="n">
        <v>2841</v>
      </c>
    </row>
    <row r="2558">
      <c r="A2558" t="inlineStr">
        <is>
          <t>27BBBBB02558Z5</t>
        </is>
      </c>
      <c r="B2558" t="inlineStr">
        <is>
          <t>Oct-2017</t>
        </is>
      </c>
      <c r="C2558" s="2" t="n">
        <v>44524</v>
      </c>
      <c r="D2558" t="inlineStr">
        <is>
          <t>NON-NIL</t>
        </is>
      </c>
      <c r="E2558" t="n">
        <v>2341</v>
      </c>
    </row>
    <row r="2559">
      <c r="A2559" t="inlineStr">
        <is>
          <t>27BBBBB02559Z5</t>
        </is>
      </c>
      <c r="B2559" t="inlineStr">
        <is>
          <t>Jun-2020</t>
        </is>
      </c>
      <c r="C2559" s="2" t="n">
        <v>43969</v>
      </c>
      <c r="D2559" t="inlineStr">
        <is>
          <t>NON-NIL</t>
        </is>
      </c>
      <c r="E2559" t="n">
        <v>313</v>
      </c>
    </row>
    <row r="2560">
      <c r="A2560" t="inlineStr">
        <is>
          <t>27BBBBB02560Z5</t>
        </is>
      </c>
      <c r="B2560" t="inlineStr">
        <is>
          <t>Aug-2017</t>
        </is>
      </c>
      <c r="C2560" s="2" t="n">
        <v>43090</v>
      </c>
      <c r="D2560" t="inlineStr">
        <is>
          <t>NIL</t>
        </is>
      </c>
      <c r="E2560" t="n">
        <v>529</v>
      </c>
    </row>
    <row r="2561">
      <c r="A2561" t="inlineStr">
        <is>
          <t>27BBBBB02561Z5</t>
        </is>
      </c>
      <c r="B2561" t="inlineStr">
        <is>
          <t>Aug-2017</t>
        </is>
      </c>
      <c r="C2561" s="2" t="n">
        <v>43084</v>
      </c>
      <c r="D2561" t="inlineStr">
        <is>
          <t>NON-NIL</t>
        </is>
      </c>
      <c r="E2561" t="n">
        <v>1251</v>
      </c>
    </row>
    <row r="2562">
      <c r="A2562" t="inlineStr">
        <is>
          <t>27BBBBB02562Z5</t>
        </is>
      </c>
      <c r="B2562" t="inlineStr">
        <is>
          <t>Sep-2018</t>
        </is>
      </c>
      <c r="C2562" s="2" t="n">
        <v>43445</v>
      </c>
      <c r="D2562" t="inlineStr">
        <is>
          <t>NIL</t>
        </is>
      </c>
      <c r="E2562" t="n">
        <v>1283</v>
      </c>
    </row>
    <row r="2563">
      <c r="A2563" t="inlineStr">
        <is>
          <t>27BBBBB02563Z5</t>
        </is>
      </c>
      <c r="B2563" t="inlineStr">
        <is>
          <t>Jun-2020</t>
        </is>
      </c>
      <c r="C2563" s="2" t="n">
        <v>44803</v>
      </c>
      <c r="D2563" t="inlineStr">
        <is>
          <t>NON-NIL</t>
        </is>
      </c>
      <c r="E2563" t="n">
        <v>395</v>
      </c>
    </row>
    <row r="2564">
      <c r="A2564" t="inlineStr">
        <is>
          <t>27BBBBB02564Z5</t>
        </is>
      </c>
      <c r="B2564" t="inlineStr">
        <is>
          <t>Mar-2020</t>
        </is>
      </c>
      <c r="C2564" s="2" t="n">
        <v>44392</v>
      </c>
      <c r="D2564" t="inlineStr">
        <is>
          <t>NIL</t>
        </is>
      </c>
      <c r="E2564" t="n">
        <v>773</v>
      </c>
    </row>
    <row r="2565">
      <c r="A2565" t="inlineStr">
        <is>
          <t>27BBBBB02565Z5</t>
        </is>
      </c>
      <c r="B2565" t="inlineStr">
        <is>
          <t>Mar-2021</t>
        </is>
      </c>
      <c r="C2565" s="2" t="n">
        <v>45516</v>
      </c>
      <c r="D2565" t="inlineStr">
        <is>
          <t>NIL</t>
        </is>
      </c>
      <c r="E2565" t="n">
        <v>762</v>
      </c>
    </row>
    <row r="2566">
      <c r="A2566" t="inlineStr">
        <is>
          <t>27BBBBB02566Z5</t>
        </is>
      </c>
      <c r="B2566" t="inlineStr">
        <is>
          <t>Jan-2021</t>
        </is>
      </c>
      <c r="C2566" s="2" t="n">
        <v>43743</v>
      </c>
      <c r="D2566" t="inlineStr">
        <is>
          <t>NIL</t>
        </is>
      </c>
      <c r="E2566" t="n">
        <v>1054</v>
      </c>
    </row>
    <row r="2567">
      <c r="A2567" t="inlineStr">
        <is>
          <t>27BBBBB02567Z5</t>
        </is>
      </c>
      <c r="B2567" t="inlineStr">
        <is>
          <t>May-2018</t>
        </is>
      </c>
      <c r="C2567" s="2" t="n">
        <v>44337</v>
      </c>
      <c r="D2567" t="inlineStr">
        <is>
          <t>NIL</t>
        </is>
      </c>
      <c r="E2567" t="n">
        <v>1075</v>
      </c>
    </row>
    <row r="2568">
      <c r="A2568" t="inlineStr">
        <is>
          <t>27BBBBB02568Z5</t>
        </is>
      </c>
      <c r="B2568" t="inlineStr">
        <is>
          <t>Dec-2024</t>
        </is>
      </c>
      <c r="C2568" s="2" t="n">
        <v>45423</v>
      </c>
      <c r="D2568" t="inlineStr">
        <is>
          <t>NIL</t>
        </is>
      </c>
      <c r="E2568" t="n">
        <v>2084</v>
      </c>
    </row>
    <row r="2569">
      <c r="A2569" t="inlineStr">
        <is>
          <t>27BBBBB02569Z5</t>
        </is>
      </c>
      <c r="B2569" t="inlineStr">
        <is>
          <t>Jul-2017</t>
        </is>
      </c>
      <c r="C2569" s="2" t="n">
        <v>44451</v>
      </c>
      <c r="D2569" t="inlineStr">
        <is>
          <t>NON-NIL</t>
        </is>
      </c>
      <c r="E2569" t="n">
        <v>176</v>
      </c>
    </row>
    <row r="2570">
      <c r="A2570" t="inlineStr">
        <is>
          <t>27BBBBB02570Z5</t>
        </is>
      </c>
      <c r="B2570" t="inlineStr">
        <is>
          <t>Mar-2020</t>
        </is>
      </c>
      <c r="C2570" s="2" t="n">
        <v>44200</v>
      </c>
      <c r="D2570" t="inlineStr">
        <is>
          <t>NON-NIL</t>
        </is>
      </c>
      <c r="E2570" t="n">
        <v>2119</v>
      </c>
    </row>
    <row r="2571">
      <c r="A2571" t="inlineStr">
        <is>
          <t>27BBBBB02571Z5</t>
        </is>
      </c>
      <c r="B2571" t="inlineStr">
        <is>
          <t>May-2020</t>
        </is>
      </c>
      <c r="C2571" s="2" t="n">
        <v>44574</v>
      </c>
      <c r="D2571" t="inlineStr">
        <is>
          <t>NON-NIL</t>
        </is>
      </c>
      <c r="E2571" t="n">
        <v>1102</v>
      </c>
    </row>
    <row r="2572">
      <c r="A2572" t="inlineStr">
        <is>
          <t>27BBBBB02572Z5</t>
        </is>
      </c>
      <c r="B2572" t="inlineStr">
        <is>
          <t>Jan-2021</t>
        </is>
      </c>
      <c r="C2572" s="2" t="n">
        <v>44256</v>
      </c>
      <c r="D2572" t="inlineStr">
        <is>
          <t>NON-NIL</t>
        </is>
      </c>
      <c r="E2572" t="n">
        <v>2842</v>
      </c>
    </row>
    <row r="2573">
      <c r="A2573" t="inlineStr">
        <is>
          <t>27BBBBB02573Z5</t>
        </is>
      </c>
      <c r="B2573" t="inlineStr">
        <is>
          <t>Apr-2018</t>
        </is>
      </c>
      <c r="C2573" s="2" t="n">
        <v>43252</v>
      </c>
      <c r="D2573" t="inlineStr">
        <is>
          <t>NON-NIL</t>
        </is>
      </c>
      <c r="E2573" t="n">
        <v>1124</v>
      </c>
    </row>
    <row r="2574">
      <c r="A2574" t="inlineStr">
        <is>
          <t>27BBBBB02574Z5</t>
        </is>
      </c>
      <c r="B2574" t="inlineStr">
        <is>
          <t>Dec-2017</t>
        </is>
      </c>
      <c r="C2574" s="2" t="n">
        <v>44303</v>
      </c>
      <c r="D2574" t="inlineStr">
        <is>
          <t>NON-NIL</t>
        </is>
      </c>
      <c r="E2574" t="n">
        <v>2780</v>
      </c>
    </row>
    <row r="2575">
      <c r="A2575" t="inlineStr">
        <is>
          <t>27BBBBB02575Z5</t>
        </is>
      </c>
      <c r="B2575" t="inlineStr">
        <is>
          <t>Sep-2018</t>
        </is>
      </c>
      <c r="C2575" s="2" t="n">
        <v>43041</v>
      </c>
      <c r="D2575" t="inlineStr">
        <is>
          <t>NIL</t>
        </is>
      </c>
      <c r="E2575" t="n">
        <v>1581</v>
      </c>
    </row>
    <row r="2576">
      <c r="A2576" t="inlineStr">
        <is>
          <t>27BBBBB02576Z5</t>
        </is>
      </c>
      <c r="B2576" t="inlineStr">
        <is>
          <t>Apr-2020</t>
        </is>
      </c>
      <c r="C2576" s="2" t="n">
        <v>44052</v>
      </c>
      <c r="D2576" t="inlineStr">
        <is>
          <t>NON-NIL</t>
        </is>
      </c>
      <c r="E2576" t="n">
        <v>2709</v>
      </c>
    </row>
    <row r="2577">
      <c r="A2577" t="inlineStr">
        <is>
          <t>27BBBBB02577Z5</t>
        </is>
      </c>
      <c r="B2577" t="inlineStr">
        <is>
          <t>Apr-2018</t>
        </is>
      </c>
      <c r="C2577" s="2" t="n">
        <v>43733</v>
      </c>
      <c r="D2577" t="inlineStr">
        <is>
          <t>NON-NIL</t>
        </is>
      </c>
      <c r="E2577" t="n">
        <v>1787</v>
      </c>
    </row>
    <row r="2578">
      <c r="A2578" t="inlineStr">
        <is>
          <t>27BBBBB02578Z5</t>
        </is>
      </c>
      <c r="B2578" t="inlineStr">
        <is>
          <t>Apr-2020</t>
        </is>
      </c>
      <c r="C2578" s="2" t="n">
        <v>44100</v>
      </c>
      <c r="D2578" t="inlineStr">
        <is>
          <t>NIL</t>
        </is>
      </c>
      <c r="E2578" t="n">
        <v>1981</v>
      </c>
    </row>
    <row r="2579">
      <c r="A2579" t="inlineStr">
        <is>
          <t>27BBBBB02579Z5</t>
        </is>
      </c>
      <c r="B2579" t="inlineStr">
        <is>
          <t>Mar-2021</t>
        </is>
      </c>
      <c r="C2579" s="2" t="n">
        <v>44179</v>
      </c>
      <c r="D2579" t="inlineStr">
        <is>
          <t>NON-NIL</t>
        </is>
      </c>
      <c r="E2579" t="n">
        <v>610</v>
      </c>
    </row>
    <row r="2580">
      <c r="A2580" t="inlineStr">
        <is>
          <t>27BBBBB02580Z5</t>
        </is>
      </c>
      <c r="B2580" t="inlineStr">
        <is>
          <t>Nov-2017</t>
        </is>
      </c>
      <c r="C2580" s="2" t="n">
        <v>44522</v>
      </c>
      <c r="D2580" t="inlineStr">
        <is>
          <t>NIL</t>
        </is>
      </c>
      <c r="E2580" t="n">
        <v>2870</v>
      </c>
    </row>
    <row r="2581">
      <c r="A2581" t="inlineStr">
        <is>
          <t>27BBBBB02581Z5</t>
        </is>
      </c>
      <c r="B2581" t="inlineStr">
        <is>
          <t>Oct-2017</t>
        </is>
      </c>
      <c r="C2581" s="2" t="n">
        <v>44391</v>
      </c>
      <c r="D2581" t="inlineStr">
        <is>
          <t>NON-NIL</t>
        </is>
      </c>
      <c r="E2581" t="n">
        <v>104</v>
      </c>
    </row>
    <row r="2582">
      <c r="A2582" t="inlineStr">
        <is>
          <t>27BBBBB02582Z5</t>
        </is>
      </c>
      <c r="B2582" t="inlineStr">
        <is>
          <t>Nov-2018</t>
        </is>
      </c>
      <c r="C2582" s="2" t="n">
        <v>43757</v>
      </c>
      <c r="D2582" t="inlineStr">
        <is>
          <t>NIL</t>
        </is>
      </c>
      <c r="E2582" t="n">
        <v>852</v>
      </c>
    </row>
    <row r="2583">
      <c r="A2583" t="inlineStr">
        <is>
          <t>27BBBBB02583Z5</t>
        </is>
      </c>
      <c r="B2583" t="inlineStr">
        <is>
          <t>Mar-2023</t>
        </is>
      </c>
      <c r="C2583" s="2" t="n">
        <v>44705</v>
      </c>
      <c r="D2583" t="inlineStr">
        <is>
          <t>NON-NIL</t>
        </is>
      </c>
      <c r="E2583" t="n">
        <v>1435</v>
      </c>
    </row>
    <row r="2584">
      <c r="A2584" t="inlineStr">
        <is>
          <t>27BBBBB02584Z5</t>
        </is>
      </c>
      <c r="B2584" t="inlineStr">
        <is>
          <t>Feb-2018</t>
        </is>
      </c>
      <c r="C2584" s="2" t="n">
        <v>44109</v>
      </c>
      <c r="D2584" t="inlineStr">
        <is>
          <t>NON-NIL</t>
        </is>
      </c>
      <c r="E2584" t="n">
        <v>1474</v>
      </c>
    </row>
    <row r="2585">
      <c r="A2585" t="inlineStr">
        <is>
          <t>27BBBBB02585Z5</t>
        </is>
      </c>
      <c r="B2585" t="inlineStr">
        <is>
          <t>Dec-2024</t>
        </is>
      </c>
      <c r="C2585" s="2" t="n">
        <v>43657</v>
      </c>
      <c r="D2585" t="inlineStr">
        <is>
          <t>NIL</t>
        </is>
      </c>
      <c r="E2585" t="n">
        <v>2332</v>
      </c>
    </row>
    <row r="2586">
      <c r="A2586" t="inlineStr">
        <is>
          <t>27BBBBB02586Z5</t>
        </is>
      </c>
      <c r="B2586" t="inlineStr">
        <is>
          <t>May-2020</t>
        </is>
      </c>
      <c r="C2586" s="2" t="n">
        <v>43872</v>
      </c>
      <c r="D2586" t="inlineStr">
        <is>
          <t>NIL</t>
        </is>
      </c>
      <c r="E2586" t="n">
        <v>2103</v>
      </c>
    </row>
    <row r="2587">
      <c r="A2587" t="inlineStr">
        <is>
          <t>27BBBBB02587Z5</t>
        </is>
      </c>
      <c r="B2587" t="inlineStr">
        <is>
          <t>Jan-2021</t>
        </is>
      </c>
      <c r="C2587" s="2" t="n">
        <v>44785</v>
      </c>
      <c r="D2587" t="inlineStr">
        <is>
          <t>NON-NIL</t>
        </is>
      </c>
      <c r="E2587" t="n">
        <v>2869</v>
      </c>
    </row>
    <row r="2588">
      <c r="A2588" t="inlineStr">
        <is>
          <t>27BBBBB02588Z5</t>
        </is>
      </c>
      <c r="B2588" t="inlineStr">
        <is>
          <t>Dec-2024</t>
        </is>
      </c>
      <c r="C2588" s="2" t="n">
        <v>45520</v>
      </c>
      <c r="D2588" t="inlineStr">
        <is>
          <t>NIL</t>
        </is>
      </c>
      <c r="E2588" t="n">
        <v>566</v>
      </c>
    </row>
    <row r="2589">
      <c r="A2589" t="inlineStr">
        <is>
          <t>27BBBBB02589Z5</t>
        </is>
      </c>
      <c r="B2589" t="inlineStr">
        <is>
          <t>Dec-2018</t>
        </is>
      </c>
      <c r="C2589" s="2" t="n">
        <v>43537</v>
      </c>
      <c r="D2589" t="inlineStr">
        <is>
          <t>NON-NIL</t>
        </is>
      </c>
      <c r="E2589" t="n">
        <v>7</v>
      </c>
    </row>
    <row r="2590">
      <c r="A2590" t="inlineStr">
        <is>
          <t>27BBBBB02590Z5</t>
        </is>
      </c>
      <c r="B2590" t="inlineStr">
        <is>
          <t>Nov-2017</t>
        </is>
      </c>
      <c r="C2590" s="2" t="n">
        <v>43840</v>
      </c>
      <c r="D2590" t="inlineStr">
        <is>
          <t>NIL</t>
        </is>
      </c>
      <c r="E2590" t="n">
        <v>1719</v>
      </c>
    </row>
    <row r="2591">
      <c r="A2591" t="inlineStr">
        <is>
          <t>27BBBBB02591Z5</t>
        </is>
      </c>
      <c r="B2591" t="inlineStr">
        <is>
          <t>Jul-2020</t>
        </is>
      </c>
      <c r="C2591" s="2" t="n">
        <v>44101</v>
      </c>
      <c r="D2591" t="inlineStr">
        <is>
          <t>NON-NIL</t>
        </is>
      </c>
      <c r="E2591" t="n">
        <v>2261</v>
      </c>
    </row>
    <row r="2592">
      <c r="A2592" t="inlineStr">
        <is>
          <t>27BBBBB02592Z5</t>
        </is>
      </c>
      <c r="B2592" t="inlineStr">
        <is>
          <t>Jul-2020</t>
        </is>
      </c>
      <c r="C2592" s="2" t="n">
        <v>44396</v>
      </c>
      <c r="D2592" t="inlineStr">
        <is>
          <t>NON-NIL</t>
        </is>
      </c>
      <c r="E2592" t="n">
        <v>445</v>
      </c>
    </row>
    <row r="2593">
      <c r="A2593" t="inlineStr">
        <is>
          <t>27BBBBB02593Z5</t>
        </is>
      </c>
      <c r="B2593" t="inlineStr">
        <is>
          <t>Jun-2020</t>
        </is>
      </c>
      <c r="C2593" s="2" t="n">
        <v>44431</v>
      </c>
      <c r="D2593" t="inlineStr">
        <is>
          <t>NON-NIL</t>
        </is>
      </c>
      <c r="E2593" t="n">
        <v>2455</v>
      </c>
    </row>
    <row r="2594">
      <c r="A2594" t="inlineStr">
        <is>
          <t>27BBBBB02594Z5</t>
        </is>
      </c>
      <c r="B2594" t="inlineStr">
        <is>
          <t>Aug-2017</t>
        </is>
      </c>
      <c r="C2594" s="2" t="n">
        <v>43457</v>
      </c>
      <c r="D2594" t="inlineStr">
        <is>
          <t>NON-NIL</t>
        </is>
      </c>
      <c r="E2594" t="n">
        <v>1866</v>
      </c>
    </row>
    <row r="2595">
      <c r="A2595" t="inlineStr">
        <is>
          <t>27BBBBB02595Z5</t>
        </is>
      </c>
      <c r="B2595" t="inlineStr">
        <is>
          <t>May-2018</t>
        </is>
      </c>
      <c r="C2595" s="2" t="n">
        <v>43084</v>
      </c>
      <c r="D2595" t="inlineStr">
        <is>
          <t>NON-NIL</t>
        </is>
      </c>
      <c r="E2595" t="n">
        <v>960</v>
      </c>
    </row>
    <row r="2596">
      <c r="A2596" t="inlineStr">
        <is>
          <t>27BBBBB02596Z5</t>
        </is>
      </c>
      <c r="B2596" t="inlineStr">
        <is>
          <t>Oct-2018</t>
        </is>
      </c>
      <c r="C2596" s="2" t="n">
        <v>44213</v>
      </c>
      <c r="D2596" t="inlineStr">
        <is>
          <t>NIL</t>
        </is>
      </c>
      <c r="E2596" t="n">
        <v>1641</v>
      </c>
    </row>
    <row r="2597">
      <c r="A2597" t="inlineStr">
        <is>
          <t>27BBBBB02597Z5</t>
        </is>
      </c>
      <c r="B2597" t="inlineStr">
        <is>
          <t>May-2020</t>
        </is>
      </c>
      <c r="C2597" s="2" t="n">
        <v>43867</v>
      </c>
      <c r="D2597" t="inlineStr">
        <is>
          <t>NON-NIL</t>
        </is>
      </c>
      <c r="E2597" t="n">
        <v>86</v>
      </c>
    </row>
    <row r="2598">
      <c r="A2598" t="inlineStr">
        <is>
          <t>27BBBBB02598Z5</t>
        </is>
      </c>
      <c r="B2598" t="inlineStr">
        <is>
          <t>Dec-2018</t>
        </is>
      </c>
      <c r="C2598" s="2" t="n">
        <v>44494</v>
      </c>
      <c r="D2598" t="inlineStr">
        <is>
          <t>NIL</t>
        </is>
      </c>
      <c r="E2598" t="n">
        <v>1020</v>
      </c>
    </row>
    <row r="2599">
      <c r="A2599" t="inlineStr">
        <is>
          <t>27BBBBB02599Z5</t>
        </is>
      </c>
      <c r="B2599" t="inlineStr">
        <is>
          <t>Jun-2020</t>
        </is>
      </c>
      <c r="C2599" s="2" t="n">
        <v>44890</v>
      </c>
      <c r="D2599" t="inlineStr">
        <is>
          <t>NIL</t>
        </is>
      </c>
      <c r="E2599" t="n">
        <v>46</v>
      </c>
    </row>
    <row r="2600">
      <c r="A2600" t="inlineStr">
        <is>
          <t>27BBBBB02600Z5</t>
        </is>
      </c>
      <c r="B2600" t="inlineStr">
        <is>
          <t>Jun-2020</t>
        </is>
      </c>
      <c r="C2600" s="2" t="n">
        <v>43864</v>
      </c>
      <c r="D2600" t="inlineStr">
        <is>
          <t>NIL</t>
        </is>
      </c>
      <c r="E2600" t="n">
        <v>2793</v>
      </c>
    </row>
    <row r="2601">
      <c r="A2601" t="inlineStr">
        <is>
          <t>27BBBBB02601Z5</t>
        </is>
      </c>
      <c r="B2601" t="inlineStr">
        <is>
          <t>May-2020</t>
        </is>
      </c>
      <c r="C2601" s="2" t="n">
        <v>44183</v>
      </c>
      <c r="D2601" t="inlineStr">
        <is>
          <t>NON-NIL</t>
        </is>
      </c>
      <c r="E2601" t="n">
        <v>2196</v>
      </c>
    </row>
    <row r="2602">
      <c r="A2602" t="inlineStr">
        <is>
          <t>27BBBBB02602Z5</t>
        </is>
      </c>
      <c r="B2602" t="inlineStr">
        <is>
          <t>Jul-2017</t>
        </is>
      </c>
      <c r="C2602" s="2" t="n">
        <v>43779</v>
      </c>
      <c r="D2602" t="inlineStr">
        <is>
          <t>NON-NIL</t>
        </is>
      </c>
      <c r="E2602" t="n">
        <v>2993</v>
      </c>
    </row>
    <row r="2603">
      <c r="A2603" t="inlineStr">
        <is>
          <t>27BBBBB02603Z5</t>
        </is>
      </c>
      <c r="B2603" t="inlineStr">
        <is>
          <t>Dec-2022</t>
        </is>
      </c>
      <c r="C2603" s="2" t="n">
        <v>45728</v>
      </c>
      <c r="D2603" t="inlineStr">
        <is>
          <t>NIL</t>
        </is>
      </c>
      <c r="E2603" t="n">
        <v>2563</v>
      </c>
    </row>
    <row r="2604">
      <c r="A2604" t="inlineStr">
        <is>
          <t>27BBBBB02604Z5</t>
        </is>
      </c>
      <c r="B2604" t="inlineStr">
        <is>
          <t>Mar-2018</t>
        </is>
      </c>
      <c r="C2604" s="2" t="n">
        <v>43781</v>
      </c>
      <c r="D2604" t="inlineStr">
        <is>
          <t>NON-NIL</t>
        </is>
      </c>
      <c r="E2604" t="n">
        <v>2586</v>
      </c>
    </row>
    <row r="2605">
      <c r="A2605" t="inlineStr">
        <is>
          <t>27BBBBB02605Z5</t>
        </is>
      </c>
      <c r="B2605" t="inlineStr">
        <is>
          <t>May-2018</t>
        </is>
      </c>
      <c r="C2605" s="2" t="n">
        <v>43331</v>
      </c>
      <c r="D2605" t="inlineStr">
        <is>
          <t>NIL</t>
        </is>
      </c>
      <c r="E2605" t="n">
        <v>2496</v>
      </c>
    </row>
    <row r="2606">
      <c r="A2606" t="inlineStr">
        <is>
          <t>27BBBBB02606Z5</t>
        </is>
      </c>
      <c r="B2606" t="inlineStr">
        <is>
          <t>Nov-2017</t>
        </is>
      </c>
      <c r="C2606" s="2" t="n">
        <v>43222</v>
      </c>
      <c r="D2606" t="inlineStr">
        <is>
          <t>NIL</t>
        </is>
      </c>
      <c r="E2606" t="n">
        <v>696</v>
      </c>
    </row>
    <row r="2607">
      <c r="A2607" t="inlineStr">
        <is>
          <t>27BBBBB02607Z5</t>
        </is>
      </c>
      <c r="B2607" t="inlineStr">
        <is>
          <t>Oct-2017</t>
        </is>
      </c>
      <c r="C2607" s="2" t="n">
        <v>43178</v>
      </c>
      <c r="D2607" t="inlineStr">
        <is>
          <t>NIL</t>
        </is>
      </c>
      <c r="E2607" t="n">
        <v>1633</v>
      </c>
    </row>
    <row r="2608">
      <c r="A2608" t="inlineStr">
        <is>
          <t>27BBBBB02608Z5</t>
        </is>
      </c>
      <c r="B2608" t="inlineStr">
        <is>
          <t>Apr-2020</t>
        </is>
      </c>
      <c r="C2608" s="2" t="n">
        <v>43873</v>
      </c>
      <c r="D2608" t="inlineStr">
        <is>
          <t>NIL</t>
        </is>
      </c>
      <c r="E2608" t="n">
        <v>1311</v>
      </c>
    </row>
    <row r="2609">
      <c r="A2609" t="inlineStr">
        <is>
          <t>27BBBBB02609Z5</t>
        </is>
      </c>
      <c r="B2609" t="inlineStr">
        <is>
          <t>Mar-2023</t>
        </is>
      </c>
      <c r="C2609" s="2" t="n">
        <v>45663</v>
      </c>
      <c r="D2609" t="inlineStr">
        <is>
          <t>NIL</t>
        </is>
      </c>
      <c r="E2609" t="n">
        <v>714</v>
      </c>
    </row>
    <row r="2610">
      <c r="A2610" t="inlineStr">
        <is>
          <t>27BBBBB02610Z5</t>
        </is>
      </c>
      <c r="B2610" t="inlineStr">
        <is>
          <t>Jul-2020</t>
        </is>
      </c>
      <c r="C2610" s="2" t="n">
        <v>44137</v>
      </c>
      <c r="D2610" t="inlineStr">
        <is>
          <t>NIL</t>
        </is>
      </c>
      <c r="E2610" t="n">
        <v>681</v>
      </c>
    </row>
    <row r="2611">
      <c r="A2611" t="inlineStr">
        <is>
          <t>27BBBBB02611Z5</t>
        </is>
      </c>
      <c r="B2611" t="inlineStr">
        <is>
          <t>Oct-2018</t>
        </is>
      </c>
      <c r="C2611" s="2" t="n">
        <v>43211</v>
      </c>
      <c r="D2611" t="inlineStr">
        <is>
          <t>NIL</t>
        </is>
      </c>
      <c r="E2611" t="n">
        <v>1249</v>
      </c>
    </row>
    <row r="2612">
      <c r="A2612" t="inlineStr">
        <is>
          <t>27BBBBB02612Z5</t>
        </is>
      </c>
      <c r="B2612" t="inlineStr">
        <is>
          <t>Mar-2018</t>
        </is>
      </c>
      <c r="C2612" s="2" t="n">
        <v>43200</v>
      </c>
      <c r="D2612" t="inlineStr">
        <is>
          <t>NON-NIL</t>
        </is>
      </c>
      <c r="E2612" t="n">
        <v>292</v>
      </c>
    </row>
    <row r="2613">
      <c r="A2613" t="inlineStr">
        <is>
          <t>27BBBBB02613Z5</t>
        </is>
      </c>
      <c r="B2613" t="inlineStr">
        <is>
          <t>Mar-2021</t>
        </is>
      </c>
      <c r="C2613" s="2" t="n">
        <v>45071</v>
      </c>
      <c r="D2613" t="inlineStr">
        <is>
          <t>NIL</t>
        </is>
      </c>
      <c r="E2613" t="n">
        <v>2112</v>
      </c>
    </row>
    <row r="2614">
      <c r="A2614" t="inlineStr">
        <is>
          <t>27BBBBB02614Z5</t>
        </is>
      </c>
      <c r="B2614" t="inlineStr">
        <is>
          <t>Jan-2018</t>
        </is>
      </c>
      <c r="C2614" s="2" t="n">
        <v>44056</v>
      </c>
      <c r="D2614" t="inlineStr">
        <is>
          <t>NIL</t>
        </is>
      </c>
      <c r="E2614" t="n">
        <v>1041</v>
      </c>
    </row>
    <row r="2615">
      <c r="A2615" t="inlineStr">
        <is>
          <t>27BBBBB02615Z5</t>
        </is>
      </c>
      <c r="B2615" t="inlineStr">
        <is>
          <t>Mar-2021</t>
        </is>
      </c>
      <c r="C2615" s="2" t="n">
        <v>45691</v>
      </c>
      <c r="D2615" t="inlineStr">
        <is>
          <t>NON-NIL</t>
        </is>
      </c>
      <c r="E2615" t="n">
        <v>2219</v>
      </c>
    </row>
    <row r="2616">
      <c r="A2616" t="inlineStr">
        <is>
          <t>27BBBBB02616Z5</t>
        </is>
      </c>
      <c r="B2616" t="inlineStr">
        <is>
          <t>Jun-2020</t>
        </is>
      </c>
      <c r="C2616" s="2" t="n">
        <v>44172</v>
      </c>
      <c r="D2616" t="inlineStr">
        <is>
          <t>NIL</t>
        </is>
      </c>
      <c r="E2616" t="n">
        <v>879</v>
      </c>
    </row>
    <row r="2617">
      <c r="A2617" t="inlineStr">
        <is>
          <t>27BBBBB02617Z5</t>
        </is>
      </c>
      <c r="B2617" t="inlineStr">
        <is>
          <t>Jun-2020</t>
        </is>
      </c>
      <c r="C2617" s="2" t="n">
        <v>44223</v>
      </c>
      <c r="D2617" t="inlineStr">
        <is>
          <t>NIL</t>
        </is>
      </c>
      <c r="E2617" t="n">
        <v>722</v>
      </c>
    </row>
    <row r="2618">
      <c r="A2618" t="inlineStr">
        <is>
          <t>27BBBBB02618Z5</t>
        </is>
      </c>
      <c r="B2618" t="inlineStr">
        <is>
          <t>Nov-2018</t>
        </is>
      </c>
      <c r="C2618" s="2" t="n">
        <v>44406</v>
      </c>
      <c r="D2618" t="inlineStr">
        <is>
          <t>NON-NIL</t>
        </is>
      </c>
      <c r="E2618" t="n">
        <v>1740</v>
      </c>
    </row>
    <row r="2619">
      <c r="A2619" t="inlineStr">
        <is>
          <t>27BBBBB02619Z5</t>
        </is>
      </c>
      <c r="B2619" t="inlineStr">
        <is>
          <t>Mar-2021</t>
        </is>
      </c>
      <c r="C2619" s="2" t="n">
        <v>45084</v>
      </c>
      <c r="D2619" t="inlineStr">
        <is>
          <t>NIL</t>
        </is>
      </c>
      <c r="E2619" t="n">
        <v>2464</v>
      </c>
    </row>
    <row r="2620">
      <c r="A2620" t="inlineStr">
        <is>
          <t>27BBBBB02620Z5</t>
        </is>
      </c>
      <c r="B2620" t="inlineStr">
        <is>
          <t>Mar-2020</t>
        </is>
      </c>
      <c r="C2620" s="2" t="n">
        <v>44741</v>
      </c>
      <c r="D2620" t="inlineStr">
        <is>
          <t>NIL</t>
        </is>
      </c>
      <c r="E2620" t="n">
        <v>185</v>
      </c>
    </row>
    <row r="2621">
      <c r="A2621" t="inlineStr">
        <is>
          <t>27BBBBB02621Z5</t>
        </is>
      </c>
      <c r="B2621" t="inlineStr">
        <is>
          <t>Nov-2018</t>
        </is>
      </c>
      <c r="C2621" s="2" t="n">
        <v>44365</v>
      </c>
      <c r="D2621" t="inlineStr">
        <is>
          <t>NIL</t>
        </is>
      </c>
      <c r="E2621" t="n">
        <v>2084</v>
      </c>
    </row>
    <row r="2622">
      <c r="A2622" t="inlineStr">
        <is>
          <t>27BBBBB02622Z5</t>
        </is>
      </c>
      <c r="B2622" t="inlineStr">
        <is>
          <t>Jul-2018</t>
        </is>
      </c>
      <c r="C2622" s="2" t="n">
        <v>43320</v>
      </c>
      <c r="D2622" t="inlineStr">
        <is>
          <t>NIL</t>
        </is>
      </c>
      <c r="E2622" t="n">
        <v>454</v>
      </c>
    </row>
    <row r="2623">
      <c r="A2623" t="inlineStr">
        <is>
          <t>27BBBBB02623Z5</t>
        </is>
      </c>
      <c r="B2623" t="inlineStr">
        <is>
          <t>Feb-2018</t>
        </is>
      </c>
      <c r="C2623" s="2" t="n">
        <v>44234</v>
      </c>
      <c r="D2623" t="inlineStr">
        <is>
          <t>NIL</t>
        </is>
      </c>
      <c r="E2623" t="n">
        <v>1827</v>
      </c>
    </row>
    <row r="2624">
      <c r="A2624" t="inlineStr">
        <is>
          <t>27BBBBB02624Z5</t>
        </is>
      </c>
      <c r="B2624" t="inlineStr">
        <is>
          <t>Mar-2021</t>
        </is>
      </c>
      <c r="C2624" s="2" t="n">
        <v>44768</v>
      </c>
      <c r="D2624" t="inlineStr">
        <is>
          <t>NIL</t>
        </is>
      </c>
      <c r="E2624" t="n">
        <v>330</v>
      </c>
    </row>
    <row r="2625">
      <c r="A2625" t="inlineStr">
        <is>
          <t>27BBBBB02625Z5</t>
        </is>
      </c>
      <c r="B2625" t="inlineStr">
        <is>
          <t>Mar-2021</t>
        </is>
      </c>
      <c r="C2625" s="2" t="n">
        <v>44530</v>
      </c>
      <c r="D2625" t="inlineStr">
        <is>
          <t>NON-NIL</t>
        </is>
      </c>
      <c r="E2625" t="n">
        <v>2711</v>
      </c>
    </row>
    <row r="2626">
      <c r="A2626" t="inlineStr">
        <is>
          <t>27BBBBB02626Z5</t>
        </is>
      </c>
      <c r="B2626" t="inlineStr">
        <is>
          <t>Jun-2018</t>
        </is>
      </c>
      <c r="C2626" s="2" t="n">
        <v>43535</v>
      </c>
      <c r="D2626" t="inlineStr">
        <is>
          <t>NON-NIL</t>
        </is>
      </c>
      <c r="E2626" t="n">
        <v>1829</v>
      </c>
    </row>
    <row r="2627">
      <c r="A2627" t="inlineStr">
        <is>
          <t>27BBBBB02627Z5</t>
        </is>
      </c>
      <c r="B2627" t="inlineStr">
        <is>
          <t>Nov-2017</t>
        </is>
      </c>
      <c r="C2627" s="2" t="n">
        <v>43233</v>
      </c>
      <c r="D2627" t="inlineStr">
        <is>
          <t>NON-NIL</t>
        </is>
      </c>
      <c r="E2627" t="n">
        <v>114</v>
      </c>
    </row>
    <row r="2628">
      <c r="A2628" t="inlineStr">
        <is>
          <t>27BBBBB02628Z5</t>
        </is>
      </c>
      <c r="B2628" t="inlineStr">
        <is>
          <t>Jul-2020</t>
        </is>
      </c>
      <c r="C2628" s="2" t="n">
        <v>43936</v>
      </c>
      <c r="D2628" t="inlineStr">
        <is>
          <t>NON-NIL</t>
        </is>
      </c>
      <c r="E2628" t="n">
        <v>2113</v>
      </c>
    </row>
    <row r="2629">
      <c r="A2629" t="inlineStr">
        <is>
          <t>27BBBBB02629Z5</t>
        </is>
      </c>
      <c r="B2629" t="inlineStr">
        <is>
          <t>Apr-2020</t>
        </is>
      </c>
      <c r="C2629" s="2" t="n">
        <v>44839</v>
      </c>
      <c r="D2629" t="inlineStr">
        <is>
          <t>NON-NIL</t>
        </is>
      </c>
      <c r="E2629" t="n">
        <v>1041</v>
      </c>
    </row>
    <row r="2630">
      <c r="A2630" t="inlineStr">
        <is>
          <t>27BBBBB02630Z5</t>
        </is>
      </c>
      <c r="B2630" t="inlineStr">
        <is>
          <t>Dec-2017</t>
        </is>
      </c>
      <c r="C2630" s="2" t="n">
        <v>43275</v>
      </c>
      <c r="D2630" t="inlineStr">
        <is>
          <t>NON-NIL</t>
        </is>
      </c>
      <c r="E2630" t="n">
        <v>2512</v>
      </c>
    </row>
    <row r="2631">
      <c r="A2631" t="inlineStr">
        <is>
          <t>27BBBBB02631Z5</t>
        </is>
      </c>
      <c r="B2631" t="inlineStr">
        <is>
          <t>Jun-2020</t>
        </is>
      </c>
      <c r="C2631" s="2" t="n">
        <v>44757</v>
      </c>
      <c r="D2631" t="inlineStr">
        <is>
          <t>NIL</t>
        </is>
      </c>
      <c r="E2631" t="n">
        <v>130</v>
      </c>
    </row>
    <row r="2632">
      <c r="A2632" t="inlineStr">
        <is>
          <t>27BBBBB02632Z5</t>
        </is>
      </c>
      <c r="B2632" t="inlineStr">
        <is>
          <t>Jan-2018</t>
        </is>
      </c>
      <c r="C2632" s="2" t="n">
        <v>43923</v>
      </c>
      <c r="D2632" t="inlineStr">
        <is>
          <t>NON-NIL</t>
        </is>
      </c>
      <c r="E2632" t="n">
        <v>2109</v>
      </c>
    </row>
    <row r="2633">
      <c r="A2633" t="inlineStr">
        <is>
          <t>27BBBBB02633Z5</t>
        </is>
      </c>
      <c r="B2633" t="inlineStr">
        <is>
          <t>Dec-2024</t>
        </is>
      </c>
      <c r="C2633" s="2" t="n">
        <v>44959</v>
      </c>
      <c r="D2633" t="inlineStr">
        <is>
          <t>NIL</t>
        </is>
      </c>
      <c r="E2633" t="n">
        <v>2149</v>
      </c>
    </row>
    <row r="2634">
      <c r="A2634" t="inlineStr">
        <is>
          <t>27BBBBB02634Z5</t>
        </is>
      </c>
      <c r="B2634" t="inlineStr">
        <is>
          <t>Jan-2018</t>
        </is>
      </c>
      <c r="C2634" s="2" t="n">
        <v>44521</v>
      </c>
      <c r="D2634" t="inlineStr">
        <is>
          <t>NON-NIL</t>
        </is>
      </c>
      <c r="E2634" t="n">
        <v>1101</v>
      </c>
    </row>
    <row r="2635">
      <c r="A2635" t="inlineStr">
        <is>
          <t>27BBBBB02635Z5</t>
        </is>
      </c>
      <c r="B2635" t="inlineStr">
        <is>
          <t>Dec-2024</t>
        </is>
      </c>
      <c r="C2635" s="2" t="n">
        <v>44376</v>
      </c>
      <c r="D2635" t="inlineStr">
        <is>
          <t>NIL</t>
        </is>
      </c>
      <c r="E2635" t="n">
        <v>206</v>
      </c>
    </row>
    <row r="2636">
      <c r="A2636" t="inlineStr">
        <is>
          <t>27BBBBB02636Z5</t>
        </is>
      </c>
      <c r="B2636" t="inlineStr">
        <is>
          <t>Mar-2021</t>
        </is>
      </c>
      <c r="C2636" s="2" t="n">
        <v>43679</v>
      </c>
      <c r="D2636" t="inlineStr">
        <is>
          <t>NON-NIL</t>
        </is>
      </c>
      <c r="E2636" t="n">
        <v>2698</v>
      </c>
    </row>
    <row r="2637">
      <c r="A2637" t="inlineStr">
        <is>
          <t>27BBBBB02637Z5</t>
        </is>
      </c>
      <c r="B2637" t="inlineStr">
        <is>
          <t>Jul-2017</t>
        </is>
      </c>
      <c r="C2637" s="2" t="n">
        <v>44244</v>
      </c>
      <c r="D2637" t="inlineStr">
        <is>
          <t>NIL</t>
        </is>
      </c>
      <c r="E2637" t="n">
        <v>8</v>
      </c>
    </row>
    <row r="2638">
      <c r="A2638" t="inlineStr">
        <is>
          <t>27BBBBB02638Z5</t>
        </is>
      </c>
      <c r="B2638" t="inlineStr">
        <is>
          <t>May-2020</t>
        </is>
      </c>
      <c r="C2638" s="2" t="n">
        <v>44762</v>
      </c>
      <c r="D2638" t="inlineStr">
        <is>
          <t>NON-NIL</t>
        </is>
      </c>
      <c r="E2638" t="n">
        <v>996</v>
      </c>
    </row>
    <row r="2639">
      <c r="A2639" t="inlineStr">
        <is>
          <t>27BBBBB02639Z5</t>
        </is>
      </c>
      <c r="B2639" t="inlineStr">
        <is>
          <t>Aug-2018</t>
        </is>
      </c>
      <c r="C2639" s="2" t="n">
        <v>44446</v>
      </c>
      <c r="D2639" t="inlineStr">
        <is>
          <t>NON-NIL</t>
        </is>
      </c>
      <c r="E2639" t="n">
        <v>1978</v>
      </c>
    </row>
    <row r="2640">
      <c r="A2640" t="inlineStr">
        <is>
          <t>27BBBBB02640Z5</t>
        </is>
      </c>
      <c r="B2640" t="inlineStr">
        <is>
          <t>Mar-2021</t>
        </is>
      </c>
      <c r="C2640" s="2" t="n">
        <v>44954</v>
      </c>
      <c r="D2640" t="inlineStr">
        <is>
          <t>NON-NIL</t>
        </is>
      </c>
      <c r="E2640" t="n">
        <v>2382</v>
      </c>
    </row>
    <row r="2641">
      <c r="A2641" t="inlineStr">
        <is>
          <t>27BBBBB02641Z5</t>
        </is>
      </c>
      <c r="B2641" t="inlineStr">
        <is>
          <t>Nov-2018</t>
        </is>
      </c>
      <c r="C2641" s="2" t="n">
        <v>43821</v>
      </c>
      <c r="D2641" t="inlineStr">
        <is>
          <t>NON-NIL</t>
        </is>
      </c>
      <c r="E2641" t="n">
        <v>383</v>
      </c>
    </row>
    <row r="2642">
      <c r="A2642" t="inlineStr">
        <is>
          <t>27BBBBB02642Z5</t>
        </is>
      </c>
      <c r="B2642" t="inlineStr">
        <is>
          <t>Jan-2021</t>
        </is>
      </c>
      <c r="C2642" s="2" t="n">
        <v>44765</v>
      </c>
      <c r="D2642" t="inlineStr">
        <is>
          <t>NON-NIL</t>
        </is>
      </c>
      <c r="E2642" t="n">
        <v>959</v>
      </c>
    </row>
    <row r="2643">
      <c r="A2643" t="inlineStr">
        <is>
          <t>27BBBBB02643Z5</t>
        </is>
      </c>
      <c r="B2643" t="inlineStr">
        <is>
          <t>Feb-2018</t>
        </is>
      </c>
      <c r="C2643" s="2" t="n">
        <v>43393</v>
      </c>
      <c r="D2643" t="inlineStr">
        <is>
          <t>NON-NIL</t>
        </is>
      </c>
      <c r="E2643" t="n">
        <v>910</v>
      </c>
    </row>
    <row r="2644">
      <c r="A2644" t="inlineStr">
        <is>
          <t>27BBBBB02644Z5</t>
        </is>
      </c>
      <c r="B2644" t="inlineStr">
        <is>
          <t>Nov-2018</t>
        </is>
      </c>
      <c r="C2644" s="2" t="n">
        <v>43350</v>
      </c>
      <c r="D2644" t="inlineStr">
        <is>
          <t>NON-NIL</t>
        </is>
      </c>
      <c r="E2644" t="n">
        <v>2415</v>
      </c>
    </row>
    <row r="2645">
      <c r="A2645" t="inlineStr">
        <is>
          <t>27BBBBB02645Z5</t>
        </is>
      </c>
      <c r="B2645" t="inlineStr">
        <is>
          <t>Aug-2017</t>
        </is>
      </c>
      <c r="C2645" s="2" t="n">
        <v>43294</v>
      </c>
      <c r="D2645" t="inlineStr">
        <is>
          <t>NIL</t>
        </is>
      </c>
      <c r="E2645" t="n">
        <v>2187</v>
      </c>
    </row>
    <row r="2646">
      <c r="A2646" t="inlineStr">
        <is>
          <t>27BBBBB02646Z5</t>
        </is>
      </c>
      <c r="B2646" t="inlineStr">
        <is>
          <t>Jan-2021</t>
        </is>
      </c>
      <c r="C2646" s="2" t="n">
        <v>44658</v>
      </c>
      <c r="D2646" t="inlineStr">
        <is>
          <t>NIL</t>
        </is>
      </c>
      <c r="E2646" t="n">
        <v>1337</v>
      </c>
    </row>
    <row r="2647">
      <c r="A2647" t="inlineStr">
        <is>
          <t>27BBBBB02647Z5</t>
        </is>
      </c>
      <c r="B2647" t="inlineStr">
        <is>
          <t>Aug-2018</t>
        </is>
      </c>
      <c r="C2647" s="2" t="n">
        <v>44133</v>
      </c>
      <c r="D2647" t="inlineStr">
        <is>
          <t>NON-NIL</t>
        </is>
      </c>
      <c r="E2647" t="n">
        <v>2781</v>
      </c>
    </row>
    <row r="2648">
      <c r="A2648" t="inlineStr">
        <is>
          <t>27BBBBB02648Z5</t>
        </is>
      </c>
      <c r="B2648" t="inlineStr">
        <is>
          <t>Mar-2023</t>
        </is>
      </c>
      <c r="C2648" s="2" t="n">
        <v>45344</v>
      </c>
      <c r="D2648" t="inlineStr">
        <is>
          <t>NON-NIL</t>
        </is>
      </c>
      <c r="E2648" t="n">
        <v>429</v>
      </c>
    </row>
    <row r="2649">
      <c r="A2649" t="inlineStr">
        <is>
          <t>27BBBBB02649Z5</t>
        </is>
      </c>
      <c r="B2649" t="inlineStr">
        <is>
          <t>Apr-2020</t>
        </is>
      </c>
      <c r="C2649" s="2" t="n">
        <v>44176</v>
      </c>
      <c r="D2649" t="inlineStr">
        <is>
          <t>NON-NIL</t>
        </is>
      </c>
      <c r="E2649" t="n">
        <v>2148</v>
      </c>
    </row>
    <row r="2650">
      <c r="A2650" t="inlineStr">
        <is>
          <t>27BBBBB02650Z5</t>
        </is>
      </c>
      <c r="B2650" t="inlineStr">
        <is>
          <t>Oct-2017</t>
        </is>
      </c>
      <c r="C2650" s="2" t="n">
        <v>43231</v>
      </c>
      <c r="D2650" t="inlineStr">
        <is>
          <t>NIL</t>
        </is>
      </c>
      <c r="E2650" t="n">
        <v>1889</v>
      </c>
    </row>
    <row r="2651">
      <c r="A2651" t="inlineStr">
        <is>
          <t>27BBBBB02651Z5</t>
        </is>
      </c>
      <c r="B2651" t="inlineStr">
        <is>
          <t>Apr-2020</t>
        </is>
      </c>
      <c r="C2651" s="2" t="n">
        <v>44651</v>
      </c>
      <c r="D2651" t="inlineStr">
        <is>
          <t>NIL</t>
        </is>
      </c>
      <c r="E2651" t="n">
        <v>1146</v>
      </c>
    </row>
    <row r="2652">
      <c r="A2652" t="inlineStr">
        <is>
          <t>27BBBBB02652Z5</t>
        </is>
      </c>
      <c r="B2652" t="inlineStr">
        <is>
          <t>Dec-2018</t>
        </is>
      </c>
      <c r="C2652" s="2" t="n">
        <v>42990</v>
      </c>
      <c r="D2652" t="inlineStr">
        <is>
          <t>NON-NIL</t>
        </is>
      </c>
      <c r="E2652" t="n">
        <v>648</v>
      </c>
    </row>
    <row r="2653">
      <c r="A2653" t="inlineStr">
        <is>
          <t>27BBBBB02653Z5</t>
        </is>
      </c>
      <c r="B2653" t="inlineStr">
        <is>
          <t>Dec-2017</t>
        </is>
      </c>
      <c r="C2653" s="2" t="n">
        <v>43453</v>
      </c>
      <c r="D2653" t="inlineStr">
        <is>
          <t>NIL</t>
        </is>
      </c>
      <c r="E2653" t="n">
        <v>1861</v>
      </c>
    </row>
    <row r="2654">
      <c r="A2654" t="inlineStr">
        <is>
          <t>27BBBBB02654Z5</t>
        </is>
      </c>
      <c r="B2654" t="inlineStr">
        <is>
          <t>May-2018</t>
        </is>
      </c>
      <c r="C2654" s="2" t="n">
        <v>43790</v>
      </c>
      <c r="D2654" t="inlineStr">
        <is>
          <t>NIL</t>
        </is>
      </c>
      <c r="E2654" t="n">
        <v>1842</v>
      </c>
    </row>
    <row r="2655">
      <c r="A2655" t="inlineStr">
        <is>
          <t>27BBBBB02655Z5</t>
        </is>
      </c>
      <c r="B2655" t="inlineStr">
        <is>
          <t>Jul-2020</t>
        </is>
      </c>
      <c r="C2655" s="2" t="n">
        <v>44333</v>
      </c>
      <c r="D2655" t="inlineStr">
        <is>
          <t>NON-NIL</t>
        </is>
      </c>
      <c r="E2655" t="n">
        <v>619</v>
      </c>
    </row>
    <row r="2656">
      <c r="A2656" t="inlineStr">
        <is>
          <t>27BBBBB02656Z5</t>
        </is>
      </c>
      <c r="B2656" t="inlineStr">
        <is>
          <t>Aug-2017</t>
        </is>
      </c>
      <c r="C2656" s="2" t="n">
        <v>43078</v>
      </c>
      <c r="D2656" t="inlineStr">
        <is>
          <t>NON-NIL</t>
        </is>
      </c>
      <c r="E2656" t="n">
        <v>2977</v>
      </c>
    </row>
    <row r="2657">
      <c r="A2657" t="inlineStr">
        <is>
          <t>27BBBBB02657Z5</t>
        </is>
      </c>
      <c r="B2657" t="inlineStr">
        <is>
          <t>Jul-2020</t>
        </is>
      </c>
      <c r="C2657" s="2" t="n">
        <v>43877</v>
      </c>
      <c r="D2657" t="inlineStr">
        <is>
          <t>NIL</t>
        </is>
      </c>
      <c r="E2657" t="n">
        <v>460</v>
      </c>
    </row>
    <row r="2658">
      <c r="A2658" t="inlineStr">
        <is>
          <t>27BBBBB02658Z5</t>
        </is>
      </c>
      <c r="B2658" t="inlineStr">
        <is>
          <t>Sep-2018</t>
        </is>
      </c>
      <c r="C2658" s="2" t="n">
        <v>43574</v>
      </c>
      <c r="D2658" t="inlineStr">
        <is>
          <t>NON-NIL</t>
        </is>
      </c>
      <c r="E2658" t="n">
        <v>1363</v>
      </c>
    </row>
    <row r="2659">
      <c r="A2659" t="inlineStr">
        <is>
          <t>27BBBBB02659Z5</t>
        </is>
      </c>
      <c r="B2659" t="inlineStr">
        <is>
          <t>Jul-2020</t>
        </is>
      </c>
      <c r="C2659" s="2" t="n">
        <v>44632</v>
      </c>
      <c r="D2659" t="inlineStr">
        <is>
          <t>NON-NIL</t>
        </is>
      </c>
      <c r="E2659" t="n">
        <v>1882</v>
      </c>
    </row>
    <row r="2660">
      <c r="A2660" t="inlineStr">
        <is>
          <t>27BBBBB02660Z5</t>
        </is>
      </c>
      <c r="B2660" t="inlineStr">
        <is>
          <t>Dec-2024</t>
        </is>
      </c>
      <c r="C2660" s="2" t="n">
        <v>44671</v>
      </c>
      <c r="D2660" t="inlineStr">
        <is>
          <t>NON-NIL</t>
        </is>
      </c>
      <c r="E2660" t="n">
        <v>1014</v>
      </c>
    </row>
    <row r="2661">
      <c r="A2661" t="inlineStr">
        <is>
          <t>27BBBBB02661Z5</t>
        </is>
      </c>
      <c r="B2661" t="inlineStr">
        <is>
          <t>Jun-2018</t>
        </is>
      </c>
      <c r="C2661" s="2" t="n">
        <v>43146</v>
      </c>
      <c r="D2661" t="inlineStr">
        <is>
          <t>NIL</t>
        </is>
      </c>
      <c r="E2661" t="n">
        <v>1714</v>
      </c>
    </row>
    <row r="2662">
      <c r="A2662" t="inlineStr">
        <is>
          <t>27BBBBB02662Z5</t>
        </is>
      </c>
      <c r="B2662" t="inlineStr">
        <is>
          <t>Sep-2018</t>
        </is>
      </c>
      <c r="C2662" s="2" t="n">
        <v>44382</v>
      </c>
      <c r="D2662" t="inlineStr">
        <is>
          <t>NON-NIL</t>
        </is>
      </c>
      <c r="E2662" t="n">
        <v>1216</v>
      </c>
    </row>
    <row r="2663">
      <c r="A2663" t="inlineStr">
        <is>
          <t>27BBBBB02663Z5</t>
        </is>
      </c>
      <c r="B2663" t="inlineStr">
        <is>
          <t>Mar-2018</t>
        </is>
      </c>
      <c r="C2663" s="2" t="n">
        <v>44333</v>
      </c>
      <c r="D2663" t="inlineStr">
        <is>
          <t>NIL</t>
        </is>
      </c>
      <c r="E2663" t="n">
        <v>2905</v>
      </c>
    </row>
    <row r="2664">
      <c r="A2664" t="inlineStr">
        <is>
          <t>27BBBBB02664Z5</t>
        </is>
      </c>
      <c r="B2664" t="inlineStr">
        <is>
          <t>Oct-2018</t>
        </is>
      </c>
      <c r="C2664" s="2" t="n">
        <v>43171</v>
      </c>
      <c r="D2664" t="inlineStr">
        <is>
          <t>NON-NIL</t>
        </is>
      </c>
      <c r="E2664" t="n">
        <v>1999</v>
      </c>
    </row>
    <row r="2665">
      <c r="A2665" t="inlineStr">
        <is>
          <t>27BBBBB02665Z5</t>
        </is>
      </c>
      <c r="B2665" t="inlineStr">
        <is>
          <t>May-2020</t>
        </is>
      </c>
      <c r="C2665" s="2" t="n">
        <v>44837</v>
      </c>
      <c r="D2665" t="inlineStr">
        <is>
          <t>NIL</t>
        </is>
      </c>
      <c r="E2665" t="n">
        <v>962</v>
      </c>
    </row>
    <row r="2666">
      <c r="A2666" t="inlineStr">
        <is>
          <t>27BBBBB02666Z5</t>
        </is>
      </c>
      <c r="B2666" t="inlineStr">
        <is>
          <t>Jul-2017</t>
        </is>
      </c>
      <c r="C2666" s="2" t="n">
        <v>43256</v>
      </c>
      <c r="D2666" t="inlineStr">
        <is>
          <t>NON-NIL</t>
        </is>
      </c>
      <c r="E2666" t="n">
        <v>2357</v>
      </c>
    </row>
    <row r="2667">
      <c r="A2667" t="inlineStr">
        <is>
          <t>27BBBBB02667Z5</t>
        </is>
      </c>
      <c r="B2667" t="inlineStr">
        <is>
          <t>Dec-2024</t>
        </is>
      </c>
      <c r="C2667" s="2" t="n">
        <v>44021</v>
      </c>
      <c r="D2667" t="inlineStr">
        <is>
          <t>NIL</t>
        </is>
      </c>
      <c r="E2667" t="n">
        <v>2762</v>
      </c>
    </row>
    <row r="2668">
      <c r="A2668" t="inlineStr">
        <is>
          <t>27BBBBB02668Z5</t>
        </is>
      </c>
      <c r="B2668" t="inlineStr">
        <is>
          <t>Jun-2020</t>
        </is>
      </c>
      <c r="C2668" s="2" t="n">
        <v>43834</v>
      </c>
      <c r="D2668" t="inlineStr">
        <is>
          <t>NIL</t>
        </is>
      </c>
      <c r="E2668" t="n">
        <v>2294</v>
      </c>
    </row>
    <row r="2669">
      <c r="A2669" t="inlineStr">
        <is>
          <t>27BBBBB02669Z5</t>
        </is>
      </c>
      <c r="B2669" t="inlineStr">
        <is>
          <t>Jan-2018</t>
        </is>
      </c>
      <c r="C2669" s="2" t="n">
        <v>43376</v>
      </c>
      <c r="D2669" t="inlineStr">
        <is>
          <t>NON-NIL</t>
        </is>
      </c>
      <c r="E2669" t="n">
        <v>494</v>
      </c>
    </row>
    <row r="2670">
      <c r="A2670" t="inlineStr">
        <is>
          <t>27BBBBB02670Z5</t>
        </is>
      </c>
      <c r="B2670" t="inlineStr">
        <is>
          <t>Dec-2018</t>
        </is>
      </c>
      <c r="C2670" s="2" t="n">
        <v>43899</v>
      </c>
      <c r="D2670" t="inlineStr">
        <is>
          <t>NIL</t>
        </is>
      </c>
      <c r="E2670" t="n">
        <v>1311</v>
      </c>
    </row>
    <row r="2671">
      <c r="A2671" t="inlineStr">
        <is>
          <t>27BBBBB02671Z5</t>
        </is>
      </c>
      <c r="B2671" t="inlineStr">
        <is>
          <t>Jul-2020</t>
        </is>
      </c>
      <c r="C2671" s="2" t="n">
        <v>44471</v>
      </c>
      <c r="D2671" t="inlineStr">
        <is>
          <t>NIL</t>
        </is>
      </c>
      <c r="E2671" t="n">
        <v>802</v>
      </c>
    </row>
    <row r="2672">
      <c r="A2672" t="inlineStr">
        <is>
          <t>27BBBBB02672Z5</t>
        </is>
      </c>
      <c r="B2672" t="inlineStr">
        <is>
          <t>Apr-2020</t>
        </is>
      </c>
      <c r="C2672" s="2" t="n">
        <v>44228</v>
      </c>
      <c r="D2672" t="inlineStr">
        <is>
          <t>NIL</t>
        </is>
      </c>
      <c r="E2672" t="n">
        <v>941</v>
      </c>
    </row>
    <row r="2673">
      <c r="A2673" t="inlineStr">
        <is>
          <t>27BBBBB02673Z5</t>
        </is>
      </c>
      <c r="B2673" t="inlineStr">
        <is>
          <t>Nov-2018</t>
        </is>
      </c>
      <c r="C2673" s="2" t="n">
        <v>42937</v>
      </c>
      <c r="D2673" t="inlineStr">
        <is>
          <t>NIL</t>
        </is>
      </c>
      <c r="E2673" t="n">
        <v>1512</v>
      </c>
    </row>
    <row r="2674">
      <c r="A2674" t="inlineStr">
        <is>
          <t>27BBBBB02674Z5</t>
        </is>
      </c>
      <c r="B2674" t="inlineStr">
        <is>
          <t>Mar-2018</t>
        </is>
      </c>
      <c r="C2674" s="2" t="n">
        <v>43338</v>
      </c>
      <c r="D2674" t="inlineStr">
        <is>
          <t>NIL</t>
        </is>
      </c>
      <c r="E2674" t="n">
        <v>1021</v>
      </c>
    </row>
    <row r="2675">
      <c r="A2675" t="inlineStr">
        <is>
          <t>27BBBBB02675Z5</t>
        </is>
      </c>
      <c r="B2675" t="inlineStr">
        <is>
          <t>Sep-2018</t>
        </is>
      </c>
      <c r="C2675" s="2" t="n">
        <v>44423</v>
      </c>
      <c r="D2675" t="inlineStr">
        <is>
          <t>NIL</t>
        </is>
      </c>
      <c r="E2675" t="n">
        <v>447</v>
      </c>
    </row>
    <row r="2676">
      <c r="A2676" t="inlineStr">
        <is>
          <t>27BBBBB02676Z5</t>
        </is>
      </c>
      <c r="B2676" t="inlineStr">
        <is>
          <t>Nov-2017</t>
        </is>
      </c>
      <c r="C2676" s="2" t="n">
        <v>44373</v>
      </c>
      <c r="D2676" t="inlineStr">
        <is>
          <t>NON-NIL</t>
        </is>
      </c>
      <c r="E2676" t="n">
        <v>2844</v>
      </c>
    </row>
    <row r="2677">
      <c r="A2677" t="inlineStr">
        <is>
          <t>27BBBBB02677Z5</t>
        </is>
      </c>
      <c r="B2677" t="inlineStr">
        <is>
          <t>Jul-2017</t>
        </is>
      </c>
      <c r="C2677" s="2" t="n">
        <v>44544</v>
      </c>
      <c r="D2677" t="inlineStr">
        <is>
          <t>NON-NIL</t>
        </is>
      </c>
      <c r="E2677" t="n">
        <v>2256</v>
      </c>
    </row>
    <row r="2678">
      <c r="A2678" t="inlineStr">
        <is>
          <t>27BBBBB02678Z5</t>
        </is>
      </c>
      <c r="B2678" t="inlineStr">
        <is>
          <t>Nov-2018</t>
        </is>
      </c>
      <c r="C2678" s="2" t="n">
        <v>44200</v>
      </c>
      <c r="D2678" t="inlineStr">
        <is>
          <t>NIL</t>
        </is>
      </c>
      <c r="E2678" t="n">
        <v>2524</v>
      </c>
    </row>
    <row r="2679">
      <c r="A2679" t="inlineStr">
        <is>
          <t>27BBBBB02679Z5</t>
        </is>
      </c>
      <c r="B2679" t="inlineStr">
        <is>
          <t>Dec-2018</t>
        </is>
      </c>
      <c r="C2679" s="2" t="n">
        <v>43938</v>
      </c>
      <c r="D2679" t="inlineStr">
        <is>
          <t>NON-NIL</t>
        </is>
      </c>
      <c r="E2679" t="n">
        <v>2314</v>
      </c>
    </row>
    <row r="2680">
      <c r="A2680" t="inlineStr">
        <is>
          <t>27BBBBB02680Z5</t>
        </is>
      </c>
      <c r="B2680" t="inlineStr">
        <is>
          <t>Dec-2024</t>
        </is>
      </c>
      <c r="C2680" s="2" t="n">
        <v>45784</v>
      </c>
      <c r="D2680" t="inlineStr">
        <is>
          <t>NON-NIL</t>
        </is>
      </c>
      <c r="E2680" t="n">
        <v>935</v>
      </c>
    </row>
    <row r="2681">
      <c r="A2681" t="inlineStr">
        <is>
          <t>27BBBBB02681Z5</t>
        </is>
      </c>
      <c r="B2681" t="inlineStr">
        <is>
          <t>Nov-2017</t>
        </is>
      </c>
      <c r="C2681" s="2" t="n">
        <v>44338</v>
      </c>
      <c r="D2681" t="inlineStr">
        <is>
          <t>NIL</t>
        </is>
      </c>
      <c r="E2681" t="n">
        <v>2630</v>
      </c>
    </row>
    <row r="2682">
      <c r="A2682" t="inlineStr">
        <is>
          <t>27BBBBB02682Z5</t>
        </is>
      </c>
      <c r="B2682" t="inlineStr">
        <is>
          <t>Mar-2020</t>
        </is>
      </c>
      <c r="C2682" s="2" t="n">
        <v>44103</v>
      </c>
      <c r="D2682" t="inlineStr">
        <is>
          <t>NON-NIL</t>
        </is>
      </c>
      <c r="E2682" t="n">
        <v>2151</v>
      </c>
    </row>
    <row r="2683">
      <c r="A2683" t="inlineStr">
        <is>
          <t>27BBBBB02683Z5</t>
        </is>
      </c>
      <c r="B2683" t="inlineStr">
        <is>
          <t>Aug-2017</t>
        </is>
      </c>
      <c r="C2683" s="2" t="n">
        <v>44190</v>
      </c>
      <c r="D2683" t="inlineStr">
        <is>
          <t>NIL</t>
        </is>
      </c>
      <c r="E2683" t="n">
        <v>2137</v>
      </c>
    </row>
    <row r="2684">
      <c r="A2684" t="inlineStr">
        <is>
          <t>27BBBBB02684Z5</t>
        </is>
      </c>
      <c r="B2684" t="inlineStr">
        <is>
          <t>Feb-2018</t>
        </is>
      </c>
      <c r="C2684" s="2" t="n">
        <v>44558</v>
      </c>
      <c r="D2684" t="inlineStr">
        <is>
          <t>NON-NIL</t>
        </is>
      </c>
      <c r="E2684" t="n">
        <v>862</v>
      </c>
    </row>
    <row r="2685">
      <c r="A2685" t="inlineStr">
        <is>
          <t>27BBBBB02685Z5</t>
        </is>
      </c>
      <c r="B2685" t="inlineStr">
        <is>
          <t>Dec-2024</t>
        </is>
      </c>
      <c r="C2685" s="2" t="n">
        <v>45833</v>
      </c>
      <c r="D2685" t="inlineStr">
        <is>
          <t>NIL</t>
        </is>
      </c>
      <c r="E2685" t="n">
        <v>2576</v>
      </c>
    </row>
    <row r="2686">
      <c r="A2686" t="inlineStr">
        <is>
          <t>27BBBBB02686Z5</t>
        </is>
      </c>
      <c r="B2686" t="inlineStr">
        <is>
          <t>Aug-2017</t>
        </is>
      </c>
      <c r="C2686" s="2" t="n">
        <v>43776</v>
      </c>
      <c r="D2686" t="inlineStr">
        <is>
          <t>NIL</t>
        </is>
      </c>
      <c r="E2686" t="n">
        <v>127</v>
      </c>
    </row>
    <row r="2687">
      <c r="A2687" t="inlineStr">
        <is>
          <t>27BBBBB02687Z5</t>
        </is>
      </c>
      <c r="B2687" t="inlineStr">
        <is>
          <t>Mar-2018</t>
        </is>
      </c>
      <c r="C2687" s="2" t="n">
        <v>43795</v>
      </c>
      <c r="D2687" t="inlineStr">
        <is>
          <t>NON-NIL</t>
        </is>
      </c>
      <c r="E2687" t="n">
        <v>2301</v>
      </c>
    </row>
    <row r="2688">
      <c r="A2688" t="inlineStr">
        <is>
          <t>27BBBBB02688Z5</t>
        </is>
      </c>
      <c r="B2688" t="inlineStr">
        <is>
          <t>Aug-2018</t>
        </is>
      </c>
      <c r="C2688" s="2" t="n">
        <v>43319</v>
      </c>
      <c r="D2688" t="inlineStr">
        <is>
          <t>NIL</t>
        </is>
      </c>
      <c r="E2688" t="n">
        <v>911</v>
      </c>
    </row>
    <row r="2689">
      <c r="A2689" t="inlineStr">
        <is>
          <t>27BBBBB02689Z5</t>
        </is>
      </c>
      <c r="B2689" t="inlineStr">
        <is>
          <t>Dec-2018</t>
        </is>
      </c>
      <c r="C2689" s="2" t="n">
        <v>43047</v>
      </c>
      <c r="D2689" t="inlineStr">
        <is>
          <t>NON-NIL</t>
        </is>
      </c>
      <c r="E2689" t="n">
        <v>2370</v>
      </c>
    </row>
    <row r="2690">
      <c r="A2690" t="inlineStr">
        <is>
          <t>27BBBBB02690Z5</t>
        </is>
      </c>
      <c r="B2690" t="inlineStr">
        <is>
          <t>Sep-2017</t>
        </is>
      </c>
      <c r="C2690" s="2" t="n">
        <v>44087</v>
      </c>
      <c r="D2690" t="inlineStr">
        <is>
          <t>NON-NIL</t>
        </is>
      </c>
      <c r="E2690" t="n">
        <v>2233</v>
      </c>
    </row>
    <row r="2691">
      <c r="A2691" t="inlineStr">
        <is>
          <t>27BBBBB02691Z5</t>
        </is>
      </c>
      <c r="B2691" t="inlineStr">
        <is>
          <t>Jul-2018</t>
        </is>
      </c>
      <c r="C2691" s="2" t="n">
        <v>43899</v>
      </c>
      <c r="D2691" t="inlineStr">
        <is>
          <t>NIL</t>
        </is>
      </c>
      <c r="E2691" t="n">
        <v>1915</v>
      </c>
    </row>
    <row r="2692">
      <c r="A2692" t="inlineStr">
        <is>
          <t>27BBBBB02692Z5</t>
        </is>
      </c>
      <c r="B2692" t="inlineStr">
        <is>
          <t>May-2020</t>
        </is>
      </c>
      <c r="C2692" s="2" t="n">
        <v>44608</v>
      </c>
      <c r="D2692" t="inlineStr">
        <is>
          <t>NON-NIL</t>
        </is>
      </c>
      <c r="E2692" t="n">
        <v>1050</v>
      </c>
    </row>
    <row r="2693">
      <c r="A2693" t="inlineStr">
        <is>
          <t>27BBBBB02693Z5</t>
        </is>
      </c>
      <c r="B2693" t="inlineStr">
        <is>
          <t>Mar-2018</t>
        </is>
      </c>
      <c r="C2693" s="2" t="n">
        <v>43478</v>
      </c>
      <c r="D2693" t="inlineStr">
        <is>
          <t>NIL</t>
        </is>
      </c>
      <c r="E2693" t="n">
        <v>491</v>
      </c>
    </row>
    <row r="2694">
      <c r="A2694" t="inlineStr">
        <is>
          <t>27BBBBB02694Z5</t>
        </is>
      </c>
      <c r="B2694" t="inlineStr">
        <is>
          <t>Dec-2018</t>
        </is>
      </c>
      <c r="C2694" s="2" t="n">
        <v>43635</v>
      </c>
      <c r="D2694" t="inlineStr">
        <is>
          <t>NIL</t>
        </is>
      </c>
      <c r="E2694" t="n">
        <v>173</v>
      </c>
    </row>
    <row r="2695">
      <c r="A2695" t="inlineStr">
        <is>
          <t>27BBBBB02695Z5</t>
        </is>
      </c>
      <c r="B2695" t="inlineStr">
        <is>
          <t>Oct-2017</t>
        </is>
      </c>
      <c r="C2695" s="2" t="n">
        <v>43619</v>
      </c>
      <c r="D2695" t="inlineStr">
        <is>
          <t>NON-NIL</t>
        </is>
      </c>
      <c r="E2695" t="n">
        <v>2739</v>
      </c>
    </row>
    <row r="2696">
      <c r="A2696" t="inlineStr">
        <is>
          <t>27BBBBB02696Z5</t>
        </is>
      </c>
      <c r="B2696" t="inlineStr">
        <is>
          <t>Dec-2017</t>
        </is>
      </c>
      <c r="C2696" s="2" t="n">
        <v>43818</v>
      </c>
      <c r="D2696" t="inlineStr">
        <is>
          <t>NIL</t>
        </is>
      </c>
      <c r="E2696" t="n">
        <v>1322</v>
      </c>
    </row>
    <row r="2697">
      <c r="A2697" t="inlineStr">
        <is>
          <t>27BBBBB02697Z5</t>
        </is>
      </c>
      <c r="B2697" t="inlineStr">
        <is>
          <t>May-2018</t>
        </is>
      </c>
      <c r="C2697" s="2" t="n">
        <v>43857</v>
      </c>
      <c r="D2697" t="inlineStr">
        <is>
          <t>NIL</t>
        </is>
      </c>
      <c r="E2697" t="n">
        <v>60</v>
      </c>
    </row>
    <row r="2698">
      <c r="A2698" t="inlineStr">
        <is>
          <t>27BBBBB02698Z5</t>
        </is>
      </c>
      <c r="B2698" t="inlineStr">
        <is>
          <t>Jan-2021</t>
        </is>
      </c>
      <c r="C2698" s="2" t="n">
        <v>43885</v>
      </c>
      <c r="D2698" t="inlineStr">
        <is>
          <t>NIL</t>
        </is>
      </c>
      <c r="E2698" t="n">
        <v>2152</v>
      </c>
    </row>
    <row r="2699">
      <c r="A2699" t="inlineStr">
        <is>
          <t>27BBBBB02699Z5</t>
        </is>
      </c>
      <c r="B2699" t="inlineStr">
        <is>
          <t>Oct-2018</t>
        </is>
      </c>
      <c r="C2699" s="2" t="n">
        <v>43194</v>
      </c>
      <c r="D2699" t="inlineStr">
        <is>
          <t>NON-NIL</t>
        </is>
      </c>
      <c r="E2699" t="n">
        <v>2060</v>
      </c>
    </row>
    <row r="2700">
      <c r="A2700" t="inlineStr">
        <is>
          <t>27BBBBB02700Z5</t>
        </is>
      </c>
      <c r="B2700" t="inlineStr">
        <is>
          <t>Apr-2018</t>
        </is>
      </c>
      <c r="C2700" s="2" t="n">
        <v>43276</v>
      </c>
      <c r="D2700" t="inlineStr">
        <is>
          <t>NIL</t>
        </is>
      </c>
      <c r="E2700" t="n">
        <v>67</v>
      </c>
    </row>
    <row r="2701">
      <c r="A2701" t="inlineStr">
        <is>
          <t>27BBBBB02701Z5</t>
        </is>
      </c>
      <c r="B2701" t="inlineStr">
        <is>
          <t>Nov-2017</t>
        </is>
      </c>
      <c r="C2701" s="2" t="n">
        <v>43247</v>
      </c>
      <c r="D2701" t="inlineStr">
        <is>
          <t>NON-NIL</t>
        </is>
      </c>
      <c r="E2701" t="n">
        <v>736</v>
      </c>
    </row>
    <row r="2702">
      <c r="A2702" t="inlineStr">
        <is>
          <t>27BBBBB02702Z5</t>
        </is>
      </c>
      <c r="B2702" t="inlineStr">
        <is>
          <t>Oct-2018</t>
        </is>
      </c>
      <c r="C2702" s="2" t="n">
        <v>44332</v>
      </c>
      <c r="D2702" t="inlineStr">
        <is>
          <t>NON-NIL</t>
        </is>
      </c>
      <c r="E2702" t="n">
        <v>648</v>
      </c>
    </row>
    <row r="2703">
      <c r="A2703" t="inlineStr">
        <is>
          <t>27BBBBB02703Z5</t>
        </is>
      </c>
      <c r="B2703" t="inlineStr">
        <is>
          <t>Oct-2017</t>
        </is>
      </c>
      <c r="C2703" s="2" t="n">
        <v>44324</v>
      </c>
      <c r="D2703" t="inlineStr">
        <is>
          <t>NON-NIL</t>
        </is>
      </c>
      <c r="E2703" t="n">
        <v>688</v>
      </c>
    </row>
    <row r="2704">
      <c r="A2704" t="inlineStr">
        <is>
          <t>27BBBBB02704Z5</t>
        </is>
      </c>
      <c r="B2704" t="inlineStr">
        <is>
          <t>Oct-2018</t>
        </is>
      </c>
      <c r="C2704" s="2" t="n">
        <v>44511</v>
      </c>
      <c r="D2704" t="inlineStr">
        <is>
          <t>NIL</t>
        </is>
      </c>
      <c r="E2704" t="n">
        <v>988</v>
      </c>
    </row>
    <row r="2705">
      <c r="A2705" t="inlineStr">
        <is>
          <t>27BBBBB02705Z5</t>
        </is>
      </c>
      <c r="B2705" t="inlineStr">
        <is>
          <t>Sep-2017</t>
        </is>
      </c>
      <c r="C2705" s="2" t="n">
        <v>43163</v>
      </c>
      <c r="D2705" t="inlineStr">
        <is>
          <t>NON-NIL</t>
        </is>
      </c>
      <c r="E2705" t="n">
        <v>907</v>
      </c>
    </row>
    <row r="2706">
      <c r="A2706" t="inlineStr">
        <is>
          <t>27BBBBB02706Z5</t>
        </is>
      </c>
      <c r="B2706" t="inlineStr">
        <is>
          <t>Apr-2018</t>
        </is>
      </c>
      <c r="C2706" s="2" t="n">
        <v>43055</v>
      </c>
      <c r="D2706" t="inlineStr">
        <is>
          <t>NON-NIL</t>
        </is>
      </c>
      <c r="E2706" t="n">
        <v>1571</v>
      </c>
    </row>
    <row r="2707">
      <c r="A2707" t="inlineStr">
        <is>
          <t>27BBBBB02707Z5</t>
        </is>
      </c>
      <c r="B2707" t="inlineStr">
        <is>
          <t>Dec-2024</t>
        </is>
      </c>
      <c r="C2707" s="2" t="n">
        <v>44423</v>
      </c>
      <c r="D2707" t="inlineStr">
        <is>
          <t>NIL</t>
        </is>
      </c>
      <c r="E2707" t="n">
        <v>1711</v>
      </c>
    </row>
    <row r="2708">
      <c r="A2708" t="inlineStr">
        <is>
          <t>27BBBBB02708Z5</t>
        </is>
      </c>
      <c r="B2708" t="inlineStr">
        <is>
          <t>Sep-2018</t>
        </is>
      </c>
      <c r="C2708" s="2" t="n">
        <v>43816</v>
      </c>
      <c r="D2708" t="inlineStr">
        <is>
          <t>NON-NIL</t>
        </is>
      </c>
      <c r="E2708" t="n">
        <v>2386</v>
      </c>
    </row>
    <row r="2709">
      <c r="A2709" t="inlineStr">
        <is>
          <t>27BBBBB02709Z5</t>
        </is>
      </c>
      <c r="B2709" t="inlineStr">
        <is>
          <t>Sep-2018</t>
        </is>
      </c>
      <c r="C2709" s="2" t="n">
        <v>43187</v>
      </c>
      <c r="D2709" t="inlineStr">
        <is>
          <t>NON-NIL</t>
        </is>
      </c>
      <c r="E2709" t="n">
        <v>1805</v>
      </c>
    </row>
    <row r="2710">
      <c r="A2710" t="inlineStr">
        <is>
          <t>27BBBBB02710Z5</t>
        </is>
      </c>
      <c r="B2710" t="inlineStr">
        <is>
          <t>Sep-2018</t>
        </is>
      </c>
      <c r="C2710" s="2" t="n">
        <v>43141</v>
      </c>
      <c r="D2710" t="inlineStr">
        <is>
          <t>NON-NIL</t>
        </is>
      </c>
      <c r="E2710" t="n">
        <v>1668</v>
      </c>
    </row>
    <row r="2711">
      <c r="A2711" t="inlineStr">
        <is>
          <t>27BBBBB02711Z5</t>
        </is>
      </c>
      <c r="B2711" t="inlineStr">
        <is>
          <t>Jul-2017</t>
        </is>
      </c>
      <c r="C2711" s="2" t="n">
        <v>43638</v>
      </c>
      <c r="D2711" t="inlineStr">
        <is>
          <t>NIL</t>
        </is>
      </c>
      <c r="E2711" t="n">
        <v>2877</v>
      </c>
    </row>
    <row r="2712">
      <c r="A2712" t="inlineStr">
        <is>
          <t>27BBBBB02712Z5</t>
        </is>
      </c>
      <c r="B2712" t="inlineStr">
        <is>
          <t>Apr-2018</t>
        </is>
      </c>
      <c r="C2712" s="2" t="n">
        <v>43724</v>
      </c>
      <c r="D2712" t="inlineStr">
        <is>
          <t>NON-NIL</t>
        </is>
      </c>
      <c r="E2712" t="n">
        <v>2614</v>
      </c>
    </row>
    <row r="2713">
      <c r="A2713" t="inlineStr">
        <is>
          <t>27BBBBB02713Z5</t>
        </is>
      </c>
      <c r="B2713" t="inlineStr">
        <is>
          <t>Sep-2018</t>
        </is>
      </c>
      <c r="C2713" s="2" t="n">
        <v>43503</v>
      </c>
      <c r="D2713" t="inlineStr">
        <is>
          <t>NIL</t>
        </is>
      </c>
      <c r="E2713" t="n">
        <v>2513</v>
      </c>
    </row>
    <row r="2714">
      <c r="A2714" t="inlineStr">
        <is>
          <t>27BBBBB02714Z5</t>
        </is>
      </c>
      <c r="B2714" t="inlineStr">
        <is>
          <t>Jul-2018</t>
        </is>
      </c>
      <c r="C2714" s="2" t="n">
        <v>44539</v>
      </c>
      <c r="D2714" t="inlineStr">
        <is>
          <t>NIL</t>
        </is>
      </c>
      <c r="E2714" t="n">
        <v>1063</v>
      </c>
    </row>
    <row r="2715">
      <c r="A2715" t="inlineStr">
        <is>
          <t>27BBBBB02715Z5</t>
        </is>
      </c>
      <c r="B2715" t="inlineStr">
        <is>
          <t>Jul-2020</t>
        </is>
      </c>
      <c r="C2715" s="2" t="n">
        <v>44924</v>
      </c>
      <c r="D2715" t="inlineStr">
        <is>
          <t>NON-NIL</t>
        </is>
      </c>
      <c r="E2715" t="n">
        <v>2562</v>
      </c>
    </row>
    <row r="2716">
      <c r="A2716" t="inlineStr">
        <is>
          <t>27BBBBB02716Z5</t>
        </is>
      </c>
      <c r="B2716" t="inlineStr">
        <is>
          <t>Apr-2020</t>
        </is>
      </c>
      <c r="C2716" s="2" t="n">
        <v>44863</v>
      </c>
      <c r="D2716" t="inlineStr">
        <is>
          <t>NON-NIL</t>
        </is>
      </c>
      <c r="E2716" t="n">
        <v>384</v>
      </c>
    </row>
    <row r="2717">
      <c r="A2717" t="inlineStr">
        <is>
          <t>27BBBBB02717Z5</t>
        </is>
      </c>
      <c r="B2717" t="inlineStr">
        <is>
          <t>Aug-2018</t>
        </is>
      </c>
      <c r="C2717" s="2" t="n">
        <v>44340</v>
      </c>
      <c r="D2717" t="inlineStr">
        <is>
          <t>NON-NIL</t>
        </is>
      </c>
      <c r="E2717" t="n">
        <v>1640</v>
      </c>
    </row>
    <row r="2718">
      <c r="A2718" t="inlineStr">
        <is>
          <t>27BBBBB02718Z5</t>
        </is>
      </c>
      <c r="B2718" t="inlineStr">
        <is>
          <t>Dec-2022</t>
        </is>
      </c>
      <c r="C2718" s="2" t="n">
        <v>44114</v>
      </c>
      <c r="D2718" t="inlineStr">
        <is>
          <t>NIL</t>
        </is>
      </c>
      <c r="E2718" t="n">
        <v>2313</v>
      </c>
    </row>
    <row r="2719">
      <c r="A2719" t="inlineStr">
        <is>
          <t>27BBBBB02719Z5</t>
        </is>
      </c>
      <c r="B2719" t="inlineStr">
        <is>
          <t>Sep-2017</t>
        </is>
      </c>
      <c r="C2719" s="2" t="n">
        <v>44480</v>
      </c>
      <c r="D2719" t="inlineStr">
        <is>
          <t>NON-NIL</t>
        </is>
      </c>
      <c r="E2719" t="n">
        <v>1967</v>
      </c>
    </row>
    <row r="2720">
      <c r="A2720" t="inlineStr">
        <is>
          <t>27BBBBB02720Z5</t>
        </is>
      </c>
      <c r="B2720" t="inlineStr">
        <is>
          <t>Mar-2021</t>
        </is>
      </c>
      <c r="C2720" s="2" t="n">
        <v>44256</v>
      </c>
      <c r="D2720" t="inlineStr">
        <is>
          <t>NON-NIL</t>
        </is>
      </c>
      <c r="E2720" t="n">
        <v>79</v>
      </c>
    </row>
    <row r="2721">
      <c r="A2721" t="inlineStr">
        <is>
          <t>27BBBBB02721Z5</t>
        </is>
      </c>
      <c r="B2721" t="inlineStr">
        <is>
          <t>May-2018</t>
        </is>
      </c>
      <c r="C2721" s="2" t="n">
        <v>43411</v>
      </c>
      <c r="D2721" t="inlineStr">
        <is>
          <t>NIL</t>
        </is>
      </c>
      <c r="E2721" t="n">
        <v>2227</v>
      </c>
    </row>
    <row r="2722">
      <c r="A2722" t="inlineStr">
        <is>
          <t>27BBBBB02722Z5</t>
        </is>
      </c>
      <c r="B2722" t="inlineStr">
        <is>
          <t>Sep-2017</t>
        </is>
      </c>
      <c r="C2722" s="2" t="n">
        <v>43091</v>
      </c>
      <c r="D2722" t="inlineStr">
        <is>
          <t>NIL</t>
        </is>
      </c>
      <c r="E2722" t="n">
        <v>95</v>
      </c>
    </row>
    <row r="2723">
      <c r="A2723" t="inlineStr">
        <is>
          <t>27BBBBB02723Z5</t>
        </is>
      </c>
      <c r="B2723" t="inlineStr">
        <is>
          <t>Aug-2017</t>
        </is>
      </c>
      <c r="C2723" s="2" t="n">
        <v>43904</v>
      </c>
      <c r="D2723" t="inlineStr">
        <is>
          <t>NON-NIL</t>
        </is>
      </c>
      <c r="E2723" t="n">
        <v>2213</v>
      </c>
    </row>
    <row r="2724">
      <c r="A2724" t="inlineStr">
        <is>
          <t>27BBBBB02724Z5</t>
        </is>
      </c>
      <c r="B2724" t="inlineStr">
        <is>
          <t>Feb-2018</t>
        </is>
      </c>
      <c r="C2724" s="2" t="n">
        <v>43156</v>
      </c>
      <c r="D2724" t="inlineStr">
        <is>
          <t>NIL</t>
        </is>
      </c>
      <c r="E2724" t="n">
        <v>3000</v>
      </c>
    </row>
    <row r="2725">
      <c r="A2725" t="inlineStr">
        <is>
          <t>27BBBBB02725Z5</t>
        </is>
      </c>
      <c r="B2725" t="inlineStr">
        <is>
          <t>Aug-2018</t>
        </is>
      </c>
      <c r="C2725" s="2" t="n">
        <v>43333</v>
      </c>
      <c r="D2725" t="inlineStr">
        <is>
          <t>NON-NIL</t>
        </is>
      </c>
      <c r="E2725" t="n">
        <v>2618</v>
      </c>
    </row>
    <row r="2726">
      <c r="A2726" t="inlineStr">
        <is>
          <t>27BBBBB02726Z5</t>
        </is>
      </c>
      <c r="B2726" t="inlineStr">
        <is>
          <t>Mar-2018</t>
        </is>
      </c>
      <c r="C2726" s="2" t="n">
        <v>43061</v>
      </c>
      <c r="D2726" t="inlineStr">
        <is>
          <t>NON-NIL</t>
        </is>
      </c>
      <c r="E2726" t="n">
        <v>2780</v>
      </c>
    </row>
    <row r="2727">
      <c r="A2727" t="inlineStr">
        <is>
          <t>27BBBBB02727Z5</t>
        </is>
      </c>
      <c r="B2727" t="inlineStr">
        <is>
          <t>Jan-2021</t>
        </is>
      </c>
      <c r="C2727" s="2" t="n">
        <v>43661</v>
      </c>
      <c r="D2727" t="inlineStr">
        <is>
          <t>NIL</t>
        </is>
      </c>
      <c r="E2727" t="n">
        <v>751</v>
      </c>
    </row>
    <row r="2728">
      <c r="A2728" t="inlineStr">
        <is>
          <t>27BBBBB02728Z5</t>
        </is>
      </c>
      <c r="B2728" t="inlineStr">
        <is>
          <t>Dec-2017</t>
        </is>
      </c>
      <c r="C2728" s="2" t="n">
        <v>43567</v>
      </c>
      <c r="D2728" t="inlineStr">
        <is>
          <t>NIL</t>
        </is>
      </c>
      <c r="E2728" t="n">
        <v>2110</v>
      </c>
    </row>
    <row r="2729">
      <c r="A2729" t="inlineStr">
        <is>
          <t>27BBBBB02729Z5</t>
        </is>
      </c>
      <c r="B2729" t="inlineStr">
        <is>
          <t>Sep-2017</t>
        </is>
      </c>
      <c r="C2729" s="2" t="n">
        <v>44195</v>
      </c>
      <c r="D2729" t="inlineStr">
        <is>
          <t>NIL</t>
        </is>
      </c>
      <c r="E2729" t="n">
        <v>945</v>
      </c>
    </row>
    <row r="2730">
      <c r="A2730" t="inlineStr">
        <is>
          <t>27BBBBB02730Z5</t>
        </is>
      </c>
      <c r="B2730" t="inlineStr">
        <is>
          <t>Apr-2020</t>
        </is>
      </c>
      <c r="C2730" s="2" t="n">
        <v>44138</v>
      </c>
      <c r="D2730" t="inlineStr">
        <is>
          <t>NIL</t>
        </is>
      </c>
      <c r="E2730" t="n">
        <v>1944</v>
      </c>
    </row>
    <row r="2731">
      <c r="A2731" t="inlineStr">
        <is>
          <t>27BBBBB02731Z5</t>
        </is>
      </c>
      <c r="B2731" t="inlineStr">
        <is>
          <t>Dec-2024</t>
        </is>
      </c>
      <c r="C2731" s="2" t="n">
        <v>44523</v>
      </c>
      <c r="D2731" t="inlineStr">
        <is>
          <t>NON-NIL</t>
        </is>
      </c>
      <c r="E2731" t="n">
        <v>1512</v>
      </c>
    </row>
    <row r="2732">
      <c r="A2732" t="inlineStr">
        <is>
          <t>27BBBBB02732Z5</t>
        </is>
      </c>
      <c r="B2732" t="inlineStr">
        <is>
          <t>Mar-2018</t>
        </is>
      </c>
      <c r="C2732" s="2" t="n">
        <v>44268</v>
      </c>
      <c r="D2732" t="inlineStr">
        <is>
          <t>NON-NIL</t>
        </is>
      </c>
      <c r="E2732" t="n">
        <v>2975</v>
      </c>
    </row>
    <row r="2733">
      <c r="A2733" t="inlineStr">
        <is>
          <t>27BBBBB02733Z5</t>
        </is>
      </c>
      <c r="B2733" t="inlineStr">
        <is>
          <t>Apr-2018</t>
        </is>
      </c>
      <c r="C2733" s="2" t="n">
        <v>44491</v>
      </c>
      <c r="D2733" t="inlineStr">
        <is>
          <t>NON-NIL</t>
        </is>
      </c>
      <c r="E2733" t="n">
        <v>1975</v>
      </c>
    </row>
    <row r="2734">
      <c r="A2734" t="inlineStr">
        <is>
          <t>27BBBBB02734Z5</t>
        </is>
      </c>
      <c r="B2734" t="inlineStr">
        <is>
          <t>Dec-2017</t>
        </is>
      </c>
      <c r="C2734" s="2" t="n">
        <v>43825</v>
      </c>
      <c r="D2734" t="inlineStr">
        <is>
          <t>NON-NIL</t>
        </is>
      </c>
      <c r="E2734" t="n">
        <v>2904</v>
      </c>
    </row>
    <row r="2735">
      <c r="A2735" t="inlineStr">
        <is>
          <t>27BBBBB02735Z5</t>
        </is>
      </c>
      <c r="B2735" t="inlineStr">
        <is>
          <t>Apr-2020</t>
        </is>
      </c>
      <c r="C2735" s="2" t="n">
        <v>44188</v>
      </c>
      <c r="D2735" t="inlineStr">
        <is>
          <t>NON-NIL</t>
        </is>
      </c>
      <c r="E2735" t="n">
        <v>1157</v>
      </c>
    </row>
    <row r="2736">
      <c r="A2736" t="inlineStr">
        <is>
          <t>27BBBBB02736Z5</t>
        </is>
      </c>
      <c r="B2736" t="inlineStr">
        <is>
          <t>Dec-2022</t>
        </is>
      </c>
      <c r="C2736" s="2" t="n">
        <v>45259</v>
      </c>
      <c r="D2736" t="inlineStr">
        <is>
          <t>NON-NIL</t>
        </is>
      </c>
      <c r="E2736" t="n">
        <v>310</v>
      </c>
    </row>
    <row r="2737">
      <c r="A2737" t="inlineStr">
        <is>
          <t>27BBBBB02737Z5</t>
        </is>
      </c>
      <c r="B2737" t="inlineStr">
        <is>
          <t>Sep-2018</t>
        </is>
      </c>
      <c r="C2737" s="2" t="n">
        <v>43555</v>
      </c>
      <c r="D2737" t="inlineStr">
        <is>
          <t>NIL</t>
        </is>
      </c>
      <c r="E2737" t="n">
        <v>1671</v>
      </c>
    </row>
    <row r="2738">
      <c r="A2738" t="inlineStr">
        <is>
          <t>27BBBBB02738Z5</t>
        </is>
      </c>
      <c r="B2738" t="inlineStr">
        <is>
          <t>Jul-2018</t>
        </is>
      </c>
      <c r="C2738" s="2" t="n">
        <v>44059</v>
      </c>
      <c r="D2738" t="inlineStr">
        <is>
          <t>NON-NIL</t>
        </is>
      </c>
      <c r="E2738" t="n">
        <v>1840</v>
      </c>
    </row>
    <row r="2739">
      <c r="A2739" t="inlineStr">
        <is>
          <t>27BBBBB02739Z5</t>
        </is>
      </c>
      <c r="B2739" t="inlineStr">
        <is>
          <t>Mar-2020</t>
        </is>
      </c>
      <c r="C2739" s="2" t="n">
        <v>44365</v>
      </c>
      <c r="D2739" t="inlineStr">
        <is>
          <t>NIL</t>
        </is>
      </c>
      <c r="E2739" t="n">
        <v>23</v>
      </c>
    </row>
    <row r="2740">
      <c r="A2740" t="inlineStr">
        <is>
          <t>27BBBBB02740Z5</t>
        </is>
      </c>
      <c r="B2740" t="inlineStr">
        <is>
          <t>Jun-2020</t>
        </is>
      </c>
      <c r="C2740" s="2" t="n">
        <v>44600</v>
      </c>
      <c r="D2740" t="inlineStr">
        <is>
          <t>NIL</t>
        </is>
      </c>
      <c r="E2740" t="n">
        <v>895</v>
      </c>
    </row>
    <row r="2741">
      <c r="A2741" t="inlineStr">
        <is>
          <t>27BBBBB02741Z5</t>
        </is>
      </c>
      <c r="B2741" t="inlineStr">
        <is>
          <t>Oct-2018</t>
        </is>
      </c>
      <c r="C2741" s="2" t="n">
        <v>43795</v>
      </c>
      <c r="D2741" t="inlineStr">
        <is>
          <t>NIL</t>
        </is>
      </c>
      <c r="E2741" t="n">
        <v>782</v>
      </c>
    </row>
    <row r="2742">
      <c r="A2742" t="inlineStr">
        <is>
          <t>27BBBBB02742Z5</t>
        </is>
      </c>
      <c r="B2742" t="inlineStr">
        <is>
          <t>Sep-2018</t>
        </is>
      </c>
      <c r="C2742" s="2" t="n">
        <v>43686</v>
      </c>
      <c r="D2742" t="inlineStr">
        <is>
          <t>NIL</t>
        </is>
      </c>
      <c r="E2742" t="n">
        <v>2297</v>
      </c>
    </row>
    <row r="2743">
      <c r="A2743" t="inlineStr">
        <is>
          <t>27BBBBB02743Z5</t>
        </is>
      </c>
      <c r="B2743" t="inlineStr">
        <is>
          <t>Nov-2017</t>
        </is>
      </c>
      <c r="C2743" s="2" t="n">
        <v>43566</v>
      </c>
      <c r="D2743" t="inlineStr">
        <is>
          <t>NIL</t>
        </is>
      </c>
      <c r="E2743" t="n">
        <v>121</v>
      </c>
    </row>
    <row r="2744">
      <c r="A2744" t="inlineStr">
        <is>
          <t>27BBBBB02744Z5</t>
        </is>
      </c>
      <c r="B2744" t="inlineStr">
        <is>
          <t>Dec-2018</t>
        </is>
      </c>
      <c r="C2744" s="2" t="n">
        <v>43925</v>
      </c>
      <c r="D2744" t="inlineStr">
        <is>
          <t>NON-NIL</t>
        </is>
      </c>
      <c r="E2744" t="n">
        <v>2309</v>
      </c>
    </row>
    <row r="2745">
      <c r="A2745" t="inlineStr">
        <is>
          <t>27BBBBB02745Z5</t>
        </is>
      </c>
      <c r="B2745" t="inlineStr">
        <is>
          <t>Jul-2017</t>
        </is>
      </c>
      <c r="C2745" s="2" t="n">
        <v>44146</v>
      </c>
      <c r="D2745" t="inlineStr">
        <is>
          <t>NIL</t>
        </is>
      </c>
      <c r="E2745" t="n">
        <v>724</v>
      </c>
    </row>
    <row r="2746">
      <c r="A2746" t="inlineStr">
        <is>
          <t>27BBBBB02746Z5</t>
        </is>
      </c>
      <c r="B2746" t="inlineStr">
        <is>
          <t>Nov-2018</t>
        </is>
      </c>
      <c r="C2746" s="2" t="n">
        <v>43074</v>
      </c>
      <c r="D2746" t="inlineStr">
        <is>
          <t>NIL</t>
        </is>
      </c>
      <c r="E2746" t="n">
        <v>337</v>
      </c>
    </row>
    <row r="2747">
      <c r="A2747" t="inlineStr">
        <is>
          <t>27BBBBB02747Z5</t>
        </is>
      </c>
      <c r="B2747" t="inlineStr">
        <is>
          <t>Dec-2017</t>
        </is>
      </c>
      <c r="C2747" s="2" t="n">
        <v>43748</v>
      </c>
      <c r="D2747" t="inlineStr">
        <is>
          <t>NIL</t>
        </is>
      </c>
      <c r="E2747" t="n">
        <v>1294</v>
      </c>
    </row>
    <row r="2748">
      <c r="A2748" t="inlineStr">
        <is>
          <t>27BBBBB02748Z5</t>
        </is>
      </c>
      <c r="B2748" t="inlineStr">
        <is>
          <t>Dec-2022</t>
        </is>
      </c>
      <c r="C2748" s="2" t="n">
        <v>45740</v>
      </c>
      <c r="D2748" t="inlineStr">
        <is>
          <t>NIL</t>
        </is>
      </c>
      <c r="E2748" t="n">
        <v>1496</v>
      </c>
    </row>
    <row r="2749">
      <c r="A2749" t="inlineStr">
        <is>
          <t>27BBBBB02749Z5</t>
        </is>
      </c>
      <c r="B2749" t="inlineStr">
        <is>
          <t>Aug-2018</t>
        </is>
      </c>
      <c r="C2749" s="2" t="n">
        <v>43896</v>
      </c>
      <c r="D2749" t="inlineStr">
        <is>
          <t>NIL</t>
        </is>
      </c>
      <c r="E2749" t="n">
        <v>137</v>
      </c>
    </row>
    <row r="2750">
      <c r="A2750" t="inlineStr">
        <is>
          <t>27BBBBB02750Z5</t>
        </is>
      </c>
      <c r="B2750" t="inlineStr">
        <is>
          <t>Dec-2017</t>
        </is>
      </c>
      <c r="C2750" s="2" t="n">
        <v>43713</v>
      </c>
      <c r="D2750" t="inlineStr">
        <is>
          <t>NIL</t>
        </is>
      </c>
      <c r="E2750" t="n">
        <v>698</v>
      </c>
    </row>
    <row r="2751">
      <c r="A2751" t="inlineStr">
        <is>
          <t>27BBBBB02751Z5</t>
        </is>
      </c>
      <c r="B2751" t="inlineStr">
        <is>
          <t>Jul-2020</t>
        </is>
      </c>
      <c r="C2751" s="2" t="n">
        <v>44495</v>
      </c>
      <c r="D2751" t="inlineStr">
        <is>
          <t>NIL</t>
        </is>
      </c>
      <c r="E2751" t="n">
        <v>2489</v>
      </c>
    </row>
    <row r="2752">
      <c r="A2752" t="inlineStr">
        <is>
          <t>27BBBBB02752Z5</t>
        </is>
      </c>
      <c r="B2752" t="inlineStr">
        <is>
          <t>Jan-2018</t>
        </is>
      </c>
      <c r="C2752" s="2" t="n">
        <v>43310</v>
      </c>
      <c r="D2752" t="inlineStr">
        <is>
          <t>NON-NIL</t>
        </is>
      </c>
      <c r="E2752" t="n">
        <v>1717</v>
      </c>
    </row>
    <row r="2753">
      <c r="A2753" t="inlineStr">
        <is>
          <t>27BBBBB02753Z5</t>
        </is>
      </c>
      <c r="B2753" t="inlineStr">
        <is>
          <t>Nov-2017</t>
        </is>
      </c>
      <c r="C2753" s="2" t="n">
        <v>44549</v>
      </c>
      <c r="D2753" t="inlineStr">
        <is>
          <t>NON-NIL</t>
        </is>
      </c>
      <c r="E2753" t="n">
        <v>1190</v>
      </c>
    </row>
    <row r="2754">
      <c r="A2754" t="inlineStr">
        <is>
          <t>27BBBBB02754Z5</t>
        </is>
      </c>
      <c r="B2754" t="inlineStr">
        <is>
          <t>Feb-2018</t>
        </is>
      </c>
      <c r="C2754" s="2" t="n">
        <v>43914</v>
      </c>
      <c r="D2754" t="inlineStr">
        <is>
          <t>NIL</t>
        </is>
      </c>
      <c r="E2754" t="n">
        <v>2216</v>
      </c>
    </row>
    <row r="2755">
      <c r="A2755" t="inlineStr">
        <is>
          <t>27BBBBB02755Z5</t>
        </is>
      </c>
      <c r="B2755" t="inlineStr">
        <is>
          <t>Dec-2017</t>
        </is>
      </c>
      <c r="C2755" s="2" t="n">
        <v>43941</v>
      </c>
      <c r="D2755" t="inlineStr">
        <is>
          <t>NON-NIL</t>
        </is>
      </c>
      <c r="E2755" t="n">
        <v>114</v>
      </c>
    </row>
    <row r="2756">
      <c r="A2756" t="inlineStr">
        <is>
          <t>27BBBBB02756Z5</t>
        </is>
      </c>
      <c r="B2756" t="inlineStr">
        <is>
          <t>Jan-2021</t>
        </is>
      </c>
      <c r="C2756" s="2" t="n">
        <v>43872</v>
      </c>
      <c r="D2756" t="inlineStr">
        <is>
          <t>NIL</t>
        </is>
      </c>
      <c r="E2756" t="n">
        <v>1453</v>
      </c>
    </row>
    <row r="2757">
      <c r="A2757" t="inlineStr">
        <is>
          <t>27BBBBB02757Z5</t>
        </is>
      </c>
      <c r="B2757" t="inlineStr">
        <is>
          <t>Jul-2020</t>
        </is>
      </c>
      <c r="C2757" s="2" t="n">
        <v>44102</v>
      </c>
      <c r="D2757" t="inlineStr">
        <is>
          <t>NIL</t>
        </is>
      </c>
      <c r="E2757" t="n">
        <v>176</v>
      </c>
    </row>
    <row r="2758">
      <c r="A2758" t="inlineStr">
        <is>
          <t>27BBBBB02758Z5</t>
        </is>
      </c>
      <c r="B2758" t="inlineStr">
        <is>
          <t>Mar-2018</t>
        </is>
      </c>
      <c r="C2758" s="2" t="n">
        <v>43419</v>
      </c>
      <c r="D2758" t="inlineStr">
        <is>
          <t>NIL</t>
        </is>
      </c>
      <c r="E2758" t="n">
        <v>190</v>
      </c>
    </row>
    <row r="2759">
      <c r="A2759" t="inlineStr">
        <is>
          <t>27BBBBB02759Z5</t>
        </is>
      </c>
      <c r="B2759" t="inlineStr">
        <is>
          <t>Mar-2020</t>
        </is>
      </c>
      <c r="C2759" s="2" t="n">
        <v>43973</v>
      </c>
      <c r="D2759" t="inlineStr">
        <is>
          <t>NIL</t>
        </is>
      </c>
      <c r="E2759" t="n">
        <v>2049</v>
      </c>
    </row>
    <row r="2760">
      <c r="A2760" t="inlineStr">
        <is>
          <t>27BBBBB02760Z5</t>
        </is>
      </c>
      <c r="B2760" t="inlineStr">
        <is>
          <t>Mar-2021</t>
        </is>
      </c>
      <c r="C2760" s="2" t="n">
        <v>43948</v>
      </c>
      <c r="D2760" t="inlineStr">
        <is>
          <t>NIL</t>
        </is>
      </c>
      <c r="E2760" t="n">
        <v>1194</v>
      </c>
    </row>
    <row r="2761">
      <c r="A2761" t="inlineStr">
        <is>
          <t>27BBBBB02761Z5</t>
        </is>
      </c>
      <c r="B2761" t="inlineStr">
        <is>
          <t>Oct-2018</t>
        </is>
      </c>
      <c r="C2761" s="2" t="n">
        <v>44182</v>
      </c>
      <c r="D2761" t="inlineStr">
        <is>
          <t>NON-NIL</t>
        </is>
      </c>
      <c r="E2761" t="n">
        <v>2697</v>
      </c>
    </row>
    <row r="2762">
      <c r="A2762" t="inlineStr">
        <is>
          <t>27BBBBB02762Z5</t>
        </is>
      </c>
      <c r="B2762" t="inlineStr">
        <is>
          <t>Aug-2018</t>
        </is>
      </c>
      <c r="C2762" s="2" t="n">
        <v>43799</v>
      </c>
      <c r="D2762" t="inlineStr">
        <is>
          <t>NON-NIL</t>
        </is>
      </c>
      <c r="E2762" t="n">
        <v>2101</v>
      </c>
    </row>
    <row r="2763">
      <c r="A2763" t="inlineStr">
        <is>
          <t>27BBBBB02763Z5</t>
        </is>
      </c>
      <c r="B2763" t="inlineStr">
        <is>
          <t>Jan-2018</t>
        </is>
      </c>
      <c r="C2763" s="2" t="n">
        <v>42970</v>
      </c>
      <c r="D2763" t="inlineStr">
        <is>
          <t>NIL</t>
        </is>
      </c>
      <c r="E2763" t="n">
        <v>399</v>
      </c>
    </row>
    <row r="2764">
      <c r="A2764" t="inlineStr">
        <is>
          <t>27BBBBB02764Z5</t>
        </is>
      </c>
      <c r="B2764" t="inlineStr">
        <is>
          <t>Oct-2018</t>
        </is>
      </c>
      <c r="C2764" s="2" t="n">
        <v>43264</v>
      </c>
      <c r="D2764" t="inlineStr">
        <is>
          <t>NON-NIL</t>
        </is>
      </c>
      <c r="E2764" t="n">
        <v>205</v>
      </c>
    </row>
    <row r="2765">
      <c r="A2765" t="inlineStr">
        <is>
          <t>27BBBBB02765Z5</t>
        </is>
      </c>
      <c r="B2765" t="inlineStr">
        <is>
          <t>Apr-2020</t>
        </is>
      </c>
      <c r="C2765" s="2" t="n">
        <v>44273</v>
      </c>
      <c r="D2765" t="inlineStr">
        <is>
          <t>NON-NIL</t>
        </is>
      </c>
      <c r="E2765" t="n">
        <v>1434</v>
      </c>
    </row>
    <row r="2766">
      <c r="A2766" t="inlineStr">
        <is>
          <t>27BBBBB02766Z5</t>
        </is>
      </c>
      <c r="B2766" t="inlineStr">
        <is>
          <t>Sep-2017</t>
        </is>
      </c>
      <c r="C2766" s="2" t="n">
        <v>43353</v>
      </c>
      <c r="D2766" t="inlineStr">
        <is>
          <t>NON-NIL</t>
        </is>
      </c>
      <c r="E2766" t="n">
        <v>1703</v>
      </c>
    </row>
    <row r="2767">
      <c r="A2767" t="inlineStr">
        <is>
          <t>27BBBBB02767Z5</t>
        </is>
      </c>
      <c r="B2767" t="inlineStr">
        <is>
          <t>Jun-2020</t>
        </is>
      </c>
      <c r="C2767" s="2" t="n">
        <v>44926</v>
      </c>
      <c r="D2767" t="inlineStr">
        <is>
          <t>NON-NIL</t>
        </is>
      </c>
      <c r="E2767" t="n">
        <v>2172</v>
      </c>
    </row>
    <row r="2768">
      <c r="A2768" t="inlineStr">
        <is>
          <t>27BBBBB02768Z5</t>
        </is>
      </c>
      <c r="B2768" t="inlineStr">
        <is>
          <t>Oct-2017</t>
        </is>
      </c>
      <c r="C2768" s="2" t="n">
        <v>43537</v>
      </c>
      <c r="D2768" t="inlineStr">
        <is>
          <t>NIL</t>
        </is>
      </c>
      <c r="E2768" t="n">
        <v>2920</v>
      </c>
    </row>
    <row r="2769">
      <c r="A2769" t="inlineStr">
        <is>
          <t>27BBBBB02769Z5</t>
        </is>
      </c>
      <c r="B2769" t="inlineStr">
        <is>
          <t>Apr-2020</t>
        </is>
      </c>
      <c r="C2769" s="2" t="n">
        <v>44610</v>
      </c>
      <c r="D2769" t="inlineStr">
        <is>
          <t>NON-NIL</t>
        </is>
      </c>
      <c r="E2769" t="n">
        <v>2307</v>
      </c>
    </row>
    <row r="2770">
      <c r="A2770" t="inlineStr">
        <is>
          <t>27BBBBB02770Z5</t>
        </is>
      </c>
      <c r="B2770" t="inlineStr">
        <is>
          <t>Apr-2020</t>
        </is>
      </c>
      <c r="C2770" s="2" t="n">
        <v>44035</v>
      </c>
      <c r="D2770" t="inlineStr">
        <is>
          <t>NON-NIL</t>
        </is>
      </c>
      <c r="E2770" t="n">
        <v>1336</v>
      </c>
    </row>
    <row r="2771">
      <c r="A2771" t="inlineStr">
        <is>
          <t>27BBBBB02771Z5</t>
        </is>
      </c>
      <c r="B2771" t="inlineStr">
        <is>
          <t>Sep-2017</t>
        </is>
      </c>
      <c r="C2771" s="2" t="n">
        <v>44194</v>
      </c>
      <c r="D2771" t="inlineStr">
        <is>
          <t>NIL</t>
        </is>
      </c>
      <c r="E2771" t="n">
        <v>11</v>
      </c>
    </row>
    <row r="2772">
      <c r="A2772" t="inlineStr">
        <is>
          <t>27BBBBB02772Z5</t>
        </is>
      </c>
      <c r="B2772" t="inlineStr">
        <is>
          <t>Nov-2018</t>
        </is>
      </c>
      <c r="C2772" s="2" t="n">
        <v>44395</v>
      </c>
      <c r="D2772" t="inlineStr">
        <is>
          <t>NON-NIL</t>
        </is>
      </c>
      <c r="E2772" t="n">
        <v>2545</v>
      </c>
    </row>
    <row r="2773">
      <c r="A2773" t="inlineStr">
        <is>
          <t>27BBBBB02773Z5</t>
        </is>
      </c>
      <c r="B2773" t="inlineStr">
        <is>
          <t>Jan-2021</t>
        </is>
      </c>
      <c r="C2773" s="2" t="n">
        <v>45213</v>
      </c>
      <c r="D2773" t="inlineStr">
        <is>
          <t>NON-NIL</t>
        </is>
      </c>
      <c r="E2773" t="n">
        <v>1022</v>
      </c>
    </row>
    <row r="2774">
      <c r="A2774" t="inlineStr">
        <is>
          <t>27BBBBB02774Z5</t>
        </is>
      </c>
      <c r="B2774" t="inlineStr">
        <is>
          <t>Dec-2022</t>
        </is>
      </c>
      <c r="C2774" s="2" t="n">
        <v>45566</v>
      </c>
      <c r="D2774" t="inlineStr">
        <is>
          <t>NON-NIL</t>
        </is>
      </c>
      <c r="E2774" t="n">
        <v>373</v>
      </c>
    </row>
    <row r="2775">
      <c r="A2775" t="inlineStr">
        <is>
          <t>27BBBBB02775Z5</t>
        </is>
      </c>
      <c r="B2775" t="inlineStr">
        <is>
          <t>Mar-2020</t>
        </is>
      </c>
      <c r="C2775" s="2" t="n">
        <v>44368</v>
      </c>
      <c r="D2775" t="inlineStr">
        <is>
          <t>NIL</t>
        </is>
      </c>
      <c r="E2775" t="n">
        <v>1528</v>
      </c>
    </row>
    <row r="2776">
      <c r="A2776" t="inlineStr">
        <is>
          <t>27BBBBB02776Z5</t>
        </is>
      </c>
      <c r="B2776" t="inlineStr">
        <is>
          <t>Jul-2018</t>
        </is>
      </c>
      <c r="C2776" s="2" t="n">
        <v>44022</v>
      </c>
      <c r="D2776" t="inlineStr">
        <is>
          <t>NON-NIL</t>
        </is>
      </c>
      <c r="E2776" t="n">
        <v>2799</v>
      </c>
    </row>
    <row r="2777">
      <c r="A2777" t="inlineStr">
        <is>
          <t>27BBBBB02777Z5</t>
        </is>
      </c>
      <c r="B2777" t="inlineStr">
        <is>
          <t>Jun-2018</t>
        </is>
      </c>
      <c r="C2777" s="2" t="n">
        <v>44215</v>
      </c>
      <c r="D2777" t="inlineStr">
        <is>
          <t>NIL</t>
        </is>
      </c>
      <c r="E2777" t="n">
        <v>2842</v>
      </c>
    </row>
    <row r="2778">
      <c r="A2778" t="inlineStr">
        <is>
          <t>27BBBBB02778Z5</t>
        </is>
      </c>
      <c r="B2778" t="inlineStr">
        <is>
          <t>Mar-2018</t>
        </is>
      </c>
      <c r="C2778" s="2" t="n">
        <v>43028</v>
      </c>
      <c r="D2778" t="inlineStr">
        <is>
          <t>NIL</t>
        </is>
      </c>
      <c r="E2778" t="n">
        <v>192</v>
      </c>
    </row>
    <row r="2779">
      <c r="A2779" t="inlineStr">
        <is>
          <t>27BBBBB02779Z5</t>
        </is>
      </c>
      <c r="B2779" t="inlineStr">
        <is>
          <t>Mar-2023</t>
        </is>
      </c>
      <c r="C2779" s="2" t="n">
        <v>45357</v>
      </c>
      <c r="D2779" t="inlineStr">
        <is>
          <t>NON-NIL</t>
        </is>
      </c>
      <c r="E2779" t="n">
        <v>715</v>
      </c>
    </row>
    <row r="2780">
      <c r="A2780" t="inlineStr">
        <is>
          <t>27BBBBB02780Z5</t>
        </is>
      </c>
      <c r="B2780" t="inlineStr">
        <is>
          <t>Dec-2018</t>
        </is>
      </c>
      <c r="C2780" s="2" t="n">
        <v>43844</v>
      </c>
      <c r="D2780" t="inlineStr">
        <is>
          <t>NON-NIL</t>
        </is>
      </c>
      <c r="E2780" t="n">
        <v>674</v>
      </c>
    </row>
    <row r="2781">
      <c r="A2781" t="inlineStr">
        <is>
          <t>27BBBBB02781Z5</t>
        </is>
      </c>
      <c r="B2781" t="inlineStr">
        <is>
          <t>Nov-2017</t>
        </is>
      </c>
      <c r="C2781" s="2" t="n">
        <v>43612</v>
      </c>
      <c r="D2781" t="inlineStr">
        <is>
          <t>NON-NIL</t>
        </is>
      </c>
      <c r="E2781" t="n">
        <v>2984</v>
      </c>
    </row>
    <row r="2782">
      <c r="A2782" t="inlineStr">
        <is>
          <t>27BBBBB02782Z5</t>
        </is>
      </c>
      <c r="B2782" t="inlineStr">
        <is>
          <t>Jun-2020</t>
        </is>
      </c>
      <c r="C2782" s="2" t="n">
        <v>44488</v>
      </c>
      <c r="D2782" t="inlineStr">
        <is>
          <t>NIL</t>
        </is>
      </c>
      <c r="E2782" t="n">
        <v>527</v>
      </c>
    </row>
    <row r="2783">
      <c r="A2783" t="inlineStr">
        <is>
          <t>27BBBBB02783Z5</t>
        </is>
      </c>
      <c r="B2783" t="inlineStr">
        <is>
          <t>Dec-2017</t>
        </is>
      </c>
      <c r="C2783" s="2" t="n">
        <v>43605</v>
      </c>
      <c r="D2783" t="inlineStr">
        <is>
          <t>NIL</t>
        </is>
      </c>
      <c r="E2783" t="n">
        <v>2940</v>
      </c>
    </row>
    <row r="2784">
      <c r="A2784" t="inlineStr">
        <is>
          <t>27BBBBB02784Z5</t>
        </is>
      </c>
      <c r="B2784" t="inlineStr">
        <is>
          <t>Dec-2022</t>
        </is>
      </c>
      <c r="C2784" s="2" t="n">
        <v>43947</v>
      </c>
      <c r="D2784" t="inlineStr">
        <is>
          <t>NIL</t>
        </is>
      </c>
      <c r="E2784" t="n">
        <v>756</v>
      </c>
    </row>
    <row r="2785">
      <c r="A2785" t="inlineStr">
        <is>
          <t>27BBBBB02785Z5</t>
        </is>
      </c>
      <c r="B2785" t="inlineStr">
        <is>
          <t>Oct-2018</t>
        </is>
      </c>
      <c r="C2785" s="2" t="n">
        <v>43262</v>
      </c>
      <c r="D2785" t="inlineStr">
        <is>
          <t>NON-NIL</t>
        </is>
      </c>
      <c r="E2785" t="n">
        <v>1102</v>
      </c>
    </row>
    <row r="2786">
      <c r="A2786" t="inlineStr">
        <is>
          <t>27BBBBB02786Z5</t>
        </is>
      </c>
      <c r="B2786" t="inlineStr">
        <is>
          <t>Apr-2018</t>
        </is>
      </c>
      <c r="C2786" s="2" t="n">
        <v>44304</v>
      </c>
      <c r="D2786" t="inlineStr">
        <is>
          <t>NON-NIL</t>
        </is>
      </c>
      <c r="E2786" t="n">
        <v>1289</v>
      </c>
    </row>
    <row r="2787">
      <c r="A2787" t="inlineStr">
        <is>
          <t>27BBBBB02787Z5</t>
        </is>
      </c>
      <c r="B2787" t="inlineStr">
        <is>
          <t>May-2020</t>
        </is>
      </c>
      <c r="C2787" s="2" t="n">
        <v>43855</v>
      </c>
      <c r="D2787" t="inlineStr">
        <is>
          <t>NIL</t>
        </is>
      </c>
      <c r="E2787" t="n">
        <v>2789</v>
      </c>
    </row>
    <row r="2788">
      <c r="A2788" t="inlineStr">
        <is>
          <t>27BBBBB02788Z5</t>
        </is>
      </c>
      <c r="B2788" t="inlineStr">
        <is>
          <t>Jul-2017</t>
        </is>
      </c>
      <c r="C2788" s="2" t="n">
        <v>43844</v>
      </c>
      <c r="D2788" t="inlineStr">
        <is>
          <t>NON-NIL</t>
        </is>
      </c>
      <c r="E2788" t="n">
        <v>2235</v>
      </c>
    </row>
    <row r="2789">
      <c r="A2789" t="inlineStr">
        <is>
          <t>27BBBBB02789Z5</t>
        </is>
      </c>
      <c r="B2789" t="inlineStr">
        <is>
          <t>Nov-2017</t>
        </is>
      </c>
      <c r="C2789" s="2" t="n">
        <v>43593</v>
      </c>
      <c r="D2789" t="inlineStr">
        <is>
          <t>NON-NIL</t>
        </is>
      </c>
      <c r="E2789" t="n">
        <v>1752</v>
      </c>
    </row>
    <row r="2790">
      <c r="A2790" t="inlineStr">
        <is>
          <t>27BBBBB02790Z5</t>
        </is>
      </c>
      <c r="B2790" t="inlineStr">
        <is>
          <t>Oct-2018</t>
        </is>
      </c>
      <c r="C2790" s="2" t="n">
        <v>43818</v>
      </c>
      <c r="D2790" t="inlineStr">
        <is>
          <t>NIL</t>
        </is>
      </c>
      <c r="E2790" t="n">
        <v>973</v>
      </c>
    </row>
    <row r="2791">
      <c r="A2791" t="inlineStr">
        <is>
          <t>27BBBBB02791Z5</t>
        </is>
      </c>
      <c r="B2791" t="inlineStr">
        <is>
          <t>Apr-2020</t>
        </is>
      </c>
      <c r="C2791" s="2" t="n">
        <v>44599</v>
      </c>
      <c r="D2791" t="inlineStr">
        <is>
          <t>NON-NIL</t>
        </is>
      </c>
      <c r="E2791" t="n">
        <v>2731</v>
      </c>
    </row>
    <row r="2792">
      <c r="A2792" t="inlineStr">
        <is>
          <t>27BBBBB02792Z5</t>
        </is>
      </c>
      <c r="B2792" t="inlineStr">
        <is>
          <t>Oct-2018</t>
        </is>
      </c>
      <c r="C2792" s="2" t="n">
        <v>43982</v>
      </c>
      <c r="D2792" t="inlineStr">
        <is>
          <t>NIL</t>
        </is>
      </c>
      <c r="E2792" t="n">
        <v>2308</v>
      </c>
    </row>
    <row r="2793">
      <c r="A2793" t="inlineStr">
        <is>
          <t>27BBBBB02793Z5</t>
        </is>
      </c>
      <c r="B2793" t="inlineStr">
        <is>
          <t>Jul-2017</t>
        </is>
      </c>
      <c r="C2793" s="2" t="n">
        <v>43825</v>
      </c>
      <c r="D2793" t="inlineStr">
        <is>
          <t>NON-NIL</t>
        </is>
      </c>
      <c r="E2793" t="n">
        <v>329</v>
      </c>
    </row>
    <row r="2794">
      <c r="A2794" t="inlineStr">
        <is>
          <t>27BBBBB02794Z5</t>
        </is>
      </c>
      <c r="B2794" t="inlineStr">
        <is>
          <t>Aug-2018</t>
        </is>
      </c>
      <c r="C2794" s="2" t="n">
        <v>43329</v>
      </c>
      <c r="D2794" t="inlineStr">
        <is>
          <t>NIL</t>
        </is>
      </c>
      <c r="E2794" t="n">
        <v>1641</v>
      </c>
    </row>
    <row r="2795">
      <c r="A2795" t="inlineStr">
        <is>
          <t>27BBBBB02795Z5</t>
        </is>
      </c>
      <c r="B2795" t="inlineStr">
        <is>
          <t>Aug-2018</t>
        </is>
      </c>
      <c r="C2795" s="2" t="n">
        <v>43287</v>
      </c>
      <c r="D2795" t="inlineStr">
        <is>
          <t>NON-NIL</t>
        </is>
      </c>
      <c r="E2795" t="n">
        <v>1977</v>
      </c>
    </row>
    <row r="2796">
      <c r="A2796" t="inlineStr">
        <is>
          <t>27BBBBB02796Z5</t>
        </is>
      </c>
      <c r="B2796" t="inlineStr">
        <is>
          <t>Apr-2020</t>
        </is>
      </c>
      <c r="C2796" s="2" t="n">
        <v>44443</v>
      </c>
      <c r="D2796" t="inlineStr">
        <is>
          <t>NIL</t>
        </is>
      </c>
      <c r="E2796" t="n">
        <v>2493</v>
      </c>
    </row>
    <row r="2797">
      <c r="A2797" t="inlineStr">
        <is>
          <t>27BBBBB02797Z5</t>
        </is>
      </c>
      <c r="B2797" t="inlineStr">
        <is>
          <t>Jul-2020</t>
        </is>
      </c>
      <c r="C2797" s="2" t="n">
        <v>43909</v>
      </c>
      <c r="D2797" t="inlineStr">
        <is>
          <t>NON-NIL</t>
        </is>
      </c>
      <c r="E2797" t="n">
        <v>854</v>
      </c>
    </row>
    <row r="2798">
      <c r="A2798" t="inlineStr">
        <is>
          <t>27BBBBB02798Z5</t>
        </is>
      </c>
      <c r="B2798" t="inlineStr">
        <is>
          <t>Sep-2018</t>
        </is>
      </c>
      <c r="C2798" s="2" t="n">
        <v>44392</v>
      </c>
      <c r="D2798" t="inlineStr">
        <is>
          <t>NIL</t>
        </is>
      </c>
      <c r="E2798" t="n">
        <v>695</v>
      </c>
    </row>
    <row r="2799">
      <c r="A2799" t="inlineStr">
        <is>
          <t>27BBBBB02799Z5</t>
        </is>
      </c>
      <c r="B2799" t="inlineStr">
        <is>
          <t>Apr-2020</t>
        </is>
      </c>
      <c r="C2799" s="2" t="n">
        <v>44059</v>
      </c>
      <c r="D2799" t="inlineStr">
        <is>
          <t>NON-NIL</t>
        </is>
      </c>
      <c r="E2799" t="n">
        <v>1598</v>
      </c>
    </row>
    <row r="2800">
      <c r="A2800" t="inlineStr">
        <is>
          <t>27BBBBB02800Z5</t>
        </is>
      </c>
      <c r="B2800" t="inlineStr">
        <is>
          <t>Mar-2018</t>
        </is>
      </c>
      <c r="C2800" s="2" t="n">
        <v>44008</v>
      </c>
      <c r="D2800" t="inlineStr">
        <is>
          <t>NIL</t>
        </is>
      </c>
      <c r="E2800" t="n">
        <v>890</v>
      </c>
    </row>
    <row r="2801">
      <c r="A2801" t="inlineStr">
        <is>
          <t>27BBBBB02801Z5</t>
        </is>
      </c>
      <c r="B2801" t="inlineStr">
        <is>
          <t>Jul-2018</t>
        </is>
      </c>
      <c r="C2801" s="2" t="n">
        <v>43058</v>
      </c>
      <c r="D2801" t="inlineStr">
        <is>
          <t>NON-NIL</t>
        </is>
      </c>
      <c r="E2801" t="n">
        <v>2598</v>
      </c>
    </row>
    <row r="2802">
      <c r="A2802" t="inlineStr">
        <is>
          <t>27BBBBB02802Z5</t>
        </is>
      </c>
      <c r="B2802" t="inlineStr">
        <is>
          <t>Jun-2020</t>
        </is>
      </c>
      <c r="C2802" s="2" t="n">
        <v>44559</v>
      </c>
      <c r="D2802" t="inlineStr">
        <is>
          <t>NON-NIL</t>
        </is>
      </c>
      <c r="E2802" t="n">
        <v>1027</v>
      </c>
    </row>
    <row r="2803">
      <c r="A2803" t="inlineStr">
        <is>
          <t>27BBBBB02803Z5</t>
        </is>
      </c>
      <c r="B2803" t="inlineStr">
        <is>
          <t>Jul-2017</t>
        </is>
      </c>
      <c r="C2803" s="2" t="n">
        <v>44307</v>
      </c>
      <c r="D2803" t="inlineStr">
        <is>
          <t>NIL</t>
        </is>
      </c>
      <c r="E2803" t="n">
        <v>2437</v>
      </c>
    </row>
    <row r="2804">
      <c r="A2804" t="inlineStr">
        <is>
          <t>27BBBBB02804Z5</t>
        </is>
      </c>
      <c r="B2804" t="inlineStr">
        <is>
          <t>Sep-2017</t>
        </is>
      </c>
      <c r="C2804" s="2" t="n">
        <v>44169</v>
      </c>
      <c r="D2804" t="inlineStr">
        <is>
          <t>NON-NIL</t>
        </is>
      </c>
      <c r="E2804" t="n">
        <v>1566</v>
      </c>
    </row>
    <row r="2805">
      <c r="A2805" t="inlineStr">
        <is>
          <t>27BBBBB02805Z5</t>
        </is>
      </c>
      <c r="B2805" t="inlineStr">
        <is>
          <t>May-2018</t>
        </is>
      </c>
      <c r="C2805" s="2" t="n">
        <v>42956</v>
      </c>
      <c r="D2805" t="inlineStr">
        <is>
          <t>NON-NIL</t>
        </is>
      </c>
      <c r="E2805" t="n">
        <v>2140</v>
      </c>
    </row>
    <row r="2806">
      <c r="A2806" t="inlineStr">
        <is>
          <t>27BBBBB02806Z5</t>
        </is>
      </c>
      <c r="B2806" t="inlineStr">
        <is>
          <t>Mar-2018</t>
        </is>
      </c>
      <c r="C2806" s="2" t="n">
        <v>44064</v>
      </c>
      <c r="D2806" t="inlineStr">
        <is>
          <t>NON-NIL</t>
        </is>
      </c>
      <c r="E2806" t="n">
        <v>290</v>
      </c>
    </row>
    <row r="2807">
      <c r="A2807" t="inlineStr">
        <is>
          <t>27BBBBB02807Z5</t>
        </is>
      </c>
      <c r="B2807" t="inlineStr">
        <is>
          <t>May-2020</t>
        </is>
      </c>
      <c r="C2807" s="2" t="n">
        <v>44386</v>
      </c>
      <c r="D2807" t="inlineStr">
        <is>
          <t>NIL</t>
        </is>
      </c>
      <c r="E2807" t="n">
        <v>519</v>
      </c>
    </row>
    <row r="2808">
      <c r="A2808" t="inlineStr">
        <is>
          <t>27BBBBB02808Z5</t>
        </is>
      </c>
      <c r="B2808" t="inlineStr">
        <is>
          <t>Dec-2018</t>
        </is>
      </c>
      <c r="C2808" s="2" t="n">
        <v>43375</v>
      </c>
      <c r="D2808" t="inlineStr">
        <is>
          <t>NON-NIL</t>
        </is>
      </c>
      <c r="E2808" t="n">
        <v>2920</v>
      </c>
    </row>
    <row r="2809">
      <c r="A2809" t="inlineStr">
        <is>
          <t>27BBBBB02809Z5</t>
        </is>
      </c>
      <c r="B2809" t="inlineStr">
        <is>
          <t>Jul-2018</t>
        </is>
      </c>
      <c r="C2809" s="2" t="n">
        <v>42986</v>
      </c>
      <c r="D2809" t="inlineStr">
        <is>
          <t>NIL</t>
        </is>
      </c>
      <c r="E2809" t="n">
        <v>552</v>
      </c>
    </row>
    <row r="2810">
      <c r="A2810" t="inlineStr">
        <is>
          <t>27BBBBB02810Z5</t>
        </is>
      </c>
      <c r="B2810" t="inlineStr">
        <is>
          <t>Mar-2023</t>
        </is>
      </c>
      <c r="C2810" s="2" t="n">
        <v>44424</v>
      </c>
      <c r="D2810" t="inlineStr">
        <is>
          <t>NON-NIL</t>
        </is>
      </c>
      <c r="E2810" t="n">
        <v>262</v>
      </c>
    </row>
    <row r="2811">
      <c r="A2811" t="inlineStr">
        <is>
          <t>27BBBBB02811Z5</t>
        </is>
      </c>
      <c r="B2811" t="inlineStr">
        <is>
          <t>Sep-2017</t>
        </is>
      </c>
      <c r="C2811" s="2" t="n">
        <v>44275</v>
      </c>
      <c r="D2811" t="inlineStr">
        <is>
          <t>NON-NIL</t>
        </is>
      </c>
      <c r="E2811" t="n">
        <v>1229</v>
      </c>
    </row>
    <row r="2812">
      <c r="A2812" t="inlineStr">
        <is>
          <t>27BBBBB02812Z5</t>
        </is>
      </c>
      <c r="B2812" t="inlineStr">
        <is>
          <t>Nov-2018</t>
        </is>
      </c>
      <c r="C2812" s="2" t="n">
        <v>44216</v>
      </c>
      <c r="D2812" t="inlineStr">
        <is>
          <t>NON-NIL</t>
        </is>
      </c>
      <c r="E2812" t="n">
        <v>775</v>
      </c>
    </row>
    <row r="2813">
      <c r="A2813" t="inlineStr">
        <is>
          <t>27BBBBB02813Z5</t>
        </is>
      </c>
      <c r="B2813" t="inlineStr">
        <is>
          <t>Aug-2018</t>
        </is>
      </c>
      <c r="C2813" s="2" t="n">
        <v>44190</v>
      </c>
      <c r="D2813" t="inlineStr">
        <is>
          <t>NIL</t>
        </is>
      </c>
      <c r="E2813" t="n">
        <v>2213</v>
      </c>
    </row>
    <row r="2814">
      <c r="A2814" t="inlineStr">
        <is>
          <t>27BBBBB02814Z5</t>
        </is>
      </c>
      <c r="B2814" t="inlineStr">
        <is>
          <t>Jan-2021</t>
        </is>
      </c>
      <c r="C2814" s="2" t="n">
        <v>43655</v>
      </c>
      <c r="D2814" t="inlineStr">
        <is>
          <t>NON-NIL</t>
        </is>
      </c>
      <c r="E2814" t="n">
        <v>2207</v>
      </c>
    </row>
    <row r="2815">
      <c r="A2815" t="inlineStr">
        <is>
          <t>27BBBBB02815Z5</t>
        </is>
      </c>
      <c r="B2815" t="inlineStr">
        <is>
          <t>Mar-2018</t>
        </is>
      </c>
      <c r="C2815" s="2" t="n">
        <v>43719</v>
      </c>
      <c r="D2815" t="inlineStr">
        <is>
          <t>NIL</t>
        </is>
      </c>
      <c r="E2815" t="n">
        <v>1943</v>
      </c>
    </row>
    <row r="2816">
      <c r="A2816" t="inlineStr">
        <is>
          <t>27BBBBB02816Z5</t>
        </is>
      </c>
      <c r="B2816" t="inlineStr">
        <is>
          <t>Jul-2017</t>
        </is>
      </c>
      <c r="C2816" s="2" t="n">
        <v>44270</v>
      </c>
      <c r="D2816" t="inlineStr">
        <is>
          <t>NON-NIL</t>
        </is>
      </c>
      <c r="E2816" t="n">
        <v>937</v>
      </c>
    </row>
    <row r="2817">
      <c r="A2817" t="inlineStr">
        <is>
          <t>27BBBBB02817Z5</t>
        </is>
      </c>
      <c r="B2817" t="inlineStr">
        <is>
          <t>May-2018</t>
        </is>
      </c>
      <c r="C2817" s="2" t="n">
        <v>44290</v>
      </c>
      <c r="D2817" t="inlineStr">
        <is>
          <t>NIL</t>
        </is>
      </c>
      <c r="E2817" t="n">
        <v>1994</v>
      </c>
    </row>
    <row r="2818">
      <c r="A2818" t="inlineStr">
        <is>
          <t>27BBBBB02818Z5</t>
        </is>
      </c>
      <c r="B2818" t="inlineStr">
        <is>
          <t>Jun-2018</t>
        </is>
      </c>
      <c r="C2818" s="2" t="n">
        <v>44158</v>
      </c>
      <c r="D2818" t="inlineStr">
        <is>
          <t>NIL</t>
        </is>
      </c>
      <c r="E2818" t="n">
        <v>329</v>
      </c>
    </row>
    <row r="2819">
      <c r="A2819" t="inlineStr">
        <is>
          <t>27BBBBB02819Z5</t>
        </is>
      </c>
      <c r="B2819" t="inlineStr">
        <is>
          <t>Sep-2018</t>
        </is>
      </c>
      <c r="C2819" s="2" t="n">
        <v>43245</v>
      </c>
      <c r="D2819" t="inlineStr">
        <is>
          <t>NON-NIL</t>
        </is>
      </c>
      <c r="E2819" t="n">
        <v>268</v>
      </c>
    </row>
    <row r="2820">
      <c r="A2820" t="inlineStr">
        <is>
          <t>27BBBBB02820Z5</t>
        </is>
      </c>
      <c r="B2820" t="inlineStr">
        <is>
          <t>Aug-2017</t>
        </is>
      </c>
      <c r="C2820" s="2" t="n">
        <v>44025</v>
      </c>
      <c r="D2820" t="inlineStr">
        <is>
          <t>NON-NIL</t>
        </is>
      </c>
      <c r="E2820" t="n">
        <v>1337</v>
      </c>
    </row>
    <row r="2821">
      <c r="A2821" t="inlineStr">
        <is>
          <t>27BBBBB02821Z5</t>
        </is>
      </c>
      <c r="B2821" t="inlineStr">
        <is>
          <t>Jul-2018</t>
        </is>
      </c>
      <c r="C2821" s="2" t="n">
        <v>43328</v>
      </c>
      <c r="D2821" t="inlineStr">
        <is>
          <t>NIL</t>
        </is>
      </c>
      <c r="E2821" t="n">
        <v>1027</v>
      </c>
    </row>
    <row r="2822">
      <c r="A2822" t="inlineStr">
        <is>
          <t>27BBBBB02822Z5</t>
        </is>
      </c>
      <c r="B2822" t="inlineStr">
        <is>
          <t>Sep-2018</t>
        </is>
      </c>
      <c r="C2822" s="2" t="n">
        <v>44314</v>
      </c>
      <c r="D2822" t="inlineStr">
        <is>
          <t>NON-NIL</t>
        </is>
      </c>
      <c r="E2822" t="n">
        <v>425</v>
      </c>
    </row>
    <row r="2823">
      <c r="A2823" t="inlineStr">
        <is>
          <t>27BBBBB02823Z5</t>
        </is>
      </c>
      <c r="B2823" t="inlineStr">
        <is>
          <t>Mar-2021</t>
        </is>
      </c>
      <c r="C2823" s="2" t="n">
        <v>44201</v>
      </c>
      <c r="D2823" t="inlineStr">
        <is>
          <t>NON-NIL</t>
        </is>
      </c>
      <c r="E2823" t="n">
        <v>1375</v>
      </c>
    </row>
    <row r="2824">
      <c r="A2824" t="inlineStr">
        <is>
          <t>27BBBBB02824Z5</t>
        </is>
      </c>
      <c r="B2824" t="inlineStr">
        <is>
          <t>Aug-2017</t>
        </is>
      </c>
      <c r="C2824" s="2" t="n">
        <v>43997</v>
      </c>
      <c r="D2824" t="inlineStr">
        <is>
          <t>NON-NIL</t>
        </is>
      </c>
      <c r="E2824" t="n">
        <v>1475</v>
      </c>
    </row>
    <row r="2825">
      <c r="A2825" t="inlineStr">
        <is>
          <t>27BBBBB02825Z5</t>
        </is>
      </c>
      <c r="B2825" t="inlineStr">
        <is>
          <t>May-2018</t>
        </is>
      </c>
      <c r="C2825" s="2" t="n">
        <v>43952</v>
      </c>
      <c r="D2825" t="inlineStr">
        <is>
          <t>NON-NIL</t>
        </is>
      </c>
      <c r="E2825" t="n">
        <v>796</v>
      </c>
    </row>
    <row r="2826">
      <c r="A2826" t="inlineStr">
        <is>
          <t>27BBBBB02826Z5</t>
        </is>
      </c>
      <c r="B2826" t="inlineStr">
        <is>
          <t>Oct-2018</t>
        </is>
      </c>
      <c r="C2826" s="2" t="n">
        <v>44126</v>
      </c>
      <c r="D2826" t="inlineStr">
        <is>
          <t>NON-NIL</t>
        </is>
      </c>
      <c r="E2826" t="n">
        <v>2207</v>
      </c>
    </row>
    <row r="2827">
      <c r="A2827" t="inlineStr">
        <is>
          <t>27BBBBB02827Z5</t>
        </is>
      </c>
      <c r="B2827" t="inlineStr">
        <is>
          <t>Nov-2018</t>
        </is>
      </c>
      <c r="C2827" s="2" t="n">
        <v>43083</v>
      </c>
      <c r="D2827" t="inlineStr">
        <is>
          <t>NON-NIL</t>
        </is>
      </c>
      <c r="E2827" t="n">
        <v>2913</v>
      </c>
    </row>
    <row r="2828">
      <c r="A2828" t="inlineStr">
        <is>
          <t>27BBBBB02828Z5</t>
        </is>
      </c>
      <c r="B2828" t="inlineStr">
        <is>
          <t>Aug-2018</t>
        </is>
      </c>
      <c r="C2828" s="2" t="n">
        <v>43971</v>
      </c>
      <c r="D2828" t="inlineStr">
        <is>
          <t>NIL</t>
        </is>
      </c>
      <c r="E2828" t="n">
        <v>2555</v>
      </c>
    </row>
    <row r="2829">
      <c r="A2829" t="inlineStr">
        <is>
          <t>27BBBBB02829Z5</t>
        </is>
      </c>
      <c r="B2829" t="inlineStr">
        <is>
          <t>Jul-2018</t>
        </is>
      </c>
      <c r="C2829" s="2" t="n">
        <v>43592</v>
      </c>
      <c r="D2829" t="inlineStr">
        <is>
          <t>NIL</t>
        </is>
      </c>
      <c r="E2829" t="n">
        <v>429</v>
      </c>
    </row>
    <row r="2830">
      <c r="A2830" t="inlineStr">
        <is>
          <t>27BBBBB02830Z5</t>
        </is>
      </c>
      <c r="B2830" t="inlineStr">
        <is>
          <t>Mar-2020</t>
        </is>
      </c>
      <c r="C2830" s="2" t="n">
        <v>44870</v>
      </c>
      <c r="D2830" t="inlineStr">
        <is>
          <t>NON-NIL</t>
        </is>
      </c>
      <c r="E2830" t="n">
        <v>1170</v>
      </c>
    </row>
    <row r="2831">
      <c r="A2831" t="inlineStr">
        <is>
          <t>27BBBBB02831Z5</t>
        </is>
      </c>
      <c r="B2831" t="inlineStr">
        <is>
          <t>May-2020</t>
        </is>
      </c>
      <c r="C2831" s="2" t="n">
        <v>44451</v>
      </c>
      <c r="D2831" t="inlineStr">
        <is>
          <t>NON-NIL</t>
        </is>
      </c>
      <c r="E2831" t="n">
        <v>795</v>
      </c>
    </row>
    <row r="2832">
      <c r="A2832" t="inlineStr">
        <is>
          <t>27BBBBB02832Z5</t>
        </is>
      </c>
      <c r="B2832" t="inlineStr">
        <is>
          <t>Dec-2022</t>
        </is>
      </c>
      <c r="C2832" s="2" t="n">
        <v>44206</v>
      </c>
      <c r="D2832" t="inlineStr">
        <is>
          <t>NIL</t>
        </is>
      </c>
      <c r="E2832" t="n">
        <v>1944</v>
      </c>
    </row>
    <row r="2833">
      <c r="A2833" t="inlineStr">
        <is>
          <t>27BBBBB02833Z5</t>
        </is>
      </c>
      <c r="B2833" t="inlineStr">
        <is>
          <t>May-2020</t>
        </is>
      </c>
      <c r="C2833" s="2" t="n">
        <v>44757</v>
      </c>
      <c r="D2833" t="inlineStr">
        <is>
          <t>NON-NIL</t>
        </is>
      </c>
      <c r="E2833" t="n">
        <v>1201</v>
      </c>
    </row>
    <row r="2834">
      <c r="A2834" t="inlineStr">
        <is>
          <t>27BBBBB02834Z5</t>
        </is>
      </c>
      <c r="B2834" t="inlineStr">
        <is>
          <t>May-2018</t>
        </is>
      </c>
      <c r="C2834" s="2" t="n">
        <v>43861</v>
      </c>
      <c r="D2834" t="inlineStr">
        <is>
          <t>NON-NIL</t>
        </is>
      </c>
      <c r="E2834" t="n">
        <v>1953</v>
      </c>
    </row>
    <row r="2835">
      <c r="A2835" t="inlineStr">
        <is>
          <t>27BBBBB02835Z5</t>
        </is>
      </c>
      <c r="B2835" t="inlineStr">
        <is>
          <t>Jun-2020</t>
        </is>
      </c>
      <c r="C2835" s="2" t="n">
        <v>44777</v>
      </c>
      <c r="D2835" t="inlineStr">
        <is>
          <t>NIL</t>
        </is>
      </c>
      <c r="E2835" t="n">
        <v>1625</v>
      </c>
    </row>
    <row r="2836">
      <c r="A2836" t="inlineStr">
        <is>
          <t>27BBBBB02836Z5</t>
        </is>
      </c>
      <c r="B2836" t="inlineStr">
        <is>
          <t>Aug-2017</t>
        </is>
      </c>
      <c r="C2836" s="2" t="n">
        <v>43983</v>
      </c>
      <c r="D2836" t="inlineStr">
        <is>
          <t>NON-NIL</t>
        </is>
      </c>
      <c r="E2836" t="n">
        <v>1389</v>
      </c>
    </row>
    <row r="2837">
      <c r="A2837" t="inlineStr">
        <is>
          <t>27BBBBB02837Z5</t>
        </is>
      </c>
      <c r="B2837" t="inlineStr">
        <is>
          <t>Dec-2018</t>
        </is>
      </c>
      <c r="C2837" s="2" t="n">
        <v>44394</v>
      </c>
      <c r="D2837" t="inlineStr">
        <is>
          <t>NIL</t>
        </is>
      </c>
      <c r="E2837" t="n">
        <v>1278</v>
      </c>
    </row>
    <row r="2838">
      <c r="A2838" t="inlineStr">
        <is>
          <t>27BBBBB02838Z5</t>
        </is>
      </c>
      <c r="B2838" t="inlineStr">
        <is>
          <t>Dec-2018</t>
        </is>
      </c>
      <c r="C2838" s="2" t="n">
        <v>44537</v>
      </c>
      <c r="D2838" t="inlineStr">
        <is>
          <t>NON-NIL</t>
        </is>
      </c>
      <c r="E2838" t="n">
        <v>1696</v>
      </c>
    </row>
    <row r="2839">
      <c r="A2839" t="inlineStr">
        <is>
          <t>27BBBBB02839Z5</t>
        </is>
      </c>
      <c r="B2839" t="inlineStr">
        <is>
          <t>Apr-2018</t>
        </is>
      </c>
      <c r="C2839" s="2" t="n">
        <v>44458</v>
      </c>
      <c r="D2839" t="inlineStr">
        <is>
          <t>NIL</t>
        </is>
      </c>
      <c r="E2839" t="n">
        <v>682</v>
      </c>
    </row>
    <row r="2840">
      <c r="A2840" t="inlineStr">
        <is>
          <t>27BBBBB02840Z5</t>
        </is>
      </c>
      <c r="B2840" t="inlineStr">
        <is>
          <t>Dec-2024</t>
        </is>
      </c>
      <c r="C2840" s="2" t="n">
        <v>45376</v>
      </c>
      <c r="D2840" t="inlineStr">
        <is>
          <t>NON-NIL</t>
        </is>
      </c>
      <c r="E2840" t="n">
        <v>1262</v>
      </c>
    </row>
    <row r="2841">
      <c r="A2841" t="inlineStr">
        <is>
          <t>27BBBBB02841Z5</t>
        </is>
      </c>
      <c r="B2841" t="inlineStr">
        <is>
          <t>Sep-2017</t>
        </is>
      </c>
      <c r="C2841" s="2" t="n">
        <v>43062</v>
      </c>
      <c r="D2841" t="inlineStr">
        <is>
          <t>NON-NIL</t>
        </is>
      </c>
      <c r="E2841" t="n">
        <v>1744</v>
      </c>
    </row>
    <row r="2842">
      <c r="A2842" t="inlineStr">
        <is>
          <t>27BBBBB02842Z5</t>
        </is>
      </c>
      <c r="B2842" t="inlineStr">
        <is>
          <t>Jun-2018</t>
        </is>
      </c>
      <c r="C2842" s="2" t="n">
        <v>43224</v>
      </c>
      <c r="D2842" t="inlineStr">
        <is>
          <t>NON-NIL</t>
        </is>
      </c>
      <c r="E2842" t="n">
        <v>1859</v>
      </c>
    </row>
    <row r="2843">
      <c r="A2843" t="inlineStr">
        <is>
          <t>27BBBBB02843Z5</t>
        </is>
      </c>
      <c r="B2843" t="inlineStr">
        <is>
          <t>Aug-2017</t>
        </is>
      </c>
      <c r="C2843" s="2" t="n">
        <v>43089</v>
      </c>
      <c r="D2843" t="inlineStr">
        <is>
          <t>NON-NIL</t>
        </is>
      </c>
      <c r="E2843" t="n">
        <v>1568</v>
      </c>
    </row>
    <row r="2844">
      <c r="A2844" t="inlineStr">
        <is>
          <t>27BBBBB02844Z5</t>
        </is>
      </c>
      <c r="B2844" t="inlineStr">
        <is>
          <t>Dec-2017</t>
        </is>
      </c>
      <c r="C2844" s="2" t="n">
        <v>43715</v>
      </c>
      <c r="D2844" t="inlineStr">
        <is>
          <t>NON-NIL</t>
        </is>
      </c>
      <c r="E2844" t="n">
        <v>2555</v>
      </c>
    </row>
    <row r="2845">
      <c r="A2845" t="inlineStr">
        <is>
          <t>27BBBBB02845Z5</t>
        </is>
      </c>
      <c r="B2845" t="inlineStr">
        <is>
          <t>Mar-2020</t>
        </is>
      </c>
      <c r="C2845" s="2" t="n">
        <v>43997</v>
      </c>
      <c r="D2845" t="inlineStr">
        <is>
          <t>NIL</t>
        </is>
      </c>
      <c r="E2845" t="n">
        <v>1505</v>
      </c>
    </row>
    <row r="2846">
      <c r="A2846" t="inlineStr">
        <is>
          <t>27BBBBB02846Z5</t>
        </is>
      </c>
      <c r="B2846" t="inlineStr">
        <is>
          <t>Nov-2017</t>
        </is>
      </c>
      <c r="C2846" s="2" t="n">
        <v>43839</v>
      </c>
      <c r="D2846" t="inlineStr">
        <is>
          <t>NIL</t>
        </is>
      </c>
      <c r="E2846" t="n">
        <v>108</v>
      </c>
    </row>
    <row r="2847">
      <c r="A2847" t="inlineStr">
        <is>
          <t>27BBBBB02847Z5</t>
        </is>
      </c>
      <c r="B2847" t="inlineStr">
        <is>
          <t>Aug-2017</t>
        </is>
      </c>
      <c r="C2847" s="2" t="n">
        <v>44060</v>
      </c>
      <c r="D2847" t="inlineStr">
        <is>
          <t>NON-NIL</t>
        </is>
      </c>
      <c r="E2847" t="n">
        <v>1043</v>
      </c>
    </row>
    <row r="2848">
      <c r="A2848" t="inlineStr">
        <is>
          <t>27BBBBB02848Z5</t>
        </is>
      </c>
      <c r="B2848" t="inlineStr">
        <is>
          <t>Jul-2018</t>
        </is>
      </c>
      <c r="C2848" s="2" t="n">
        <v>43404</v>
      </c>
      <c r="D2848" t="inlineStr">
        <is>
          <t>NIL</t>
        </is>
      </c>
      <c r="E2848" t="n">
        <v>1730</v>
      </c>
    </row>
    <row r="2849">
      <c r="A2849" t="inlineStr">
        <is>
          <t>27BBBBB02849Z5</t>
        </is>
      </c>
      <c r="B2849" t="inlineStr">
        <is>
          <t>Jan-2021</t>
        </is>
      </c>
      <c r="C2849" s="2" t="n">
        <v>44602</v>
      </c>
      <c r="D2849" t="inlineStr">
        <is>
          <t>NON-NIL</t>
        </is>
      </c>
      <c r="E2849" t="n">
        <v>160</v>
      </c>
    </row>
    <row r="2850">
      <c r="A2850" t="inlineStr">
        <is>
          <t>27BBBBB02850Z5</t>
        </is>
      </c>
      <c r="B2850" t="inlineStr">
        <is>
          <t>Jul-2018</t>
        </is>
      </c>
      <c r="C2850" s="2" t="n">
        <v>44322</v>
      </c>
      <c r="D2850" t="inlineStr">
        <is>
          <t>NON-NIL</t>
        </is>
      </c>
      <c r="E2850" t="n">
        <v>2599</v>
      </c>
    </row>
    <row r="2851">
      <c r="A2851" t="inlineStr">
        <is>
          <t>27BBBBB02851Z5</t>
        </is>
      </c>
      <c r="B2851" t="inlineStr">
        <is>
          <t>Apr-2018</t>
        </is>
      </c>
      <c r="C2851" s="2" t="n">
        <v>44072</v>
      </c>
      <c r="D2851" t="inlineStr">
        <is>
          <t>NIL</t>
        </is>
      </c>
      <c r="E2851" t="n">
        <v>658</v>
      </c>
    </row>
    <row r="2852">
      <c r="A2852" t="inlineStr">
        <is>
          <t>27BBBBB02852Z5</t>
        </is>
      </c>
      <c r="B2852" t="inlineStr">
        <is>
          <t>Feb-2018</t>
        </is>
      </c>
      <c r="C2852" s="2" t="n">
        <v>43909</v>
      </c>
      <c r="D2852" t="inlineStr">
        <is>
          <t>NON-NIL</t>
        </is>
      </c>
      <c r="E2852" t="n">
        <v>1347</v>
      </c>
    </row>
    <row r="2853">
      <c r="A2853" t="inlineStr">
        <is>
          <t>27BBBBB02853Z5</t>
        </is>
      </c>
      <c r="B2853" t="inlineStr">
        <is>
          <t>Jul-2020</t>
        </is>
      </c>
      <c r="C2853" s="2" t="n">
        <v>44262</v>
      </c>
      <c r="D2853" t="inlineStr">
        <is>
          <t>NIL</t>
        </is>
      </c>
      <c r="E2853" t="n">
        <v>2972</v>
      </c>
    </row>
    <row r="2854">
      <c r="A2854" t="inlineStr">
        <is>
          <t>27BBBBB02854Z5</t>
        </is>
      </c>
      <c r="B2854" t="inlineStr">
        <is>
          <t>Dec-2022</t>
        </is>
      </c>
      <c r="C2854" s="2" t="n">
        <v>44387</v>
      </c>
      <c r="D2854" t="inlineStr">
        <is>
          <t>NIL</t>
        </is>
      </c>
      <c r="E2854" t="n">
        <v>2678</v>
      </c>
    </row>
    <row r="2855">
      <c r="A2855" t="inlineStr">
        <is>
          <t>27BBBBB02855Z5</t>
        </is>
      </c>
      <c r="B2855" t="inlineStr">
        <is>
          <t>Sep-2017</t>
        </is>
      </c>
      <c r="C2855" s="2" t="n">
        <v>43456</v>
      </c>
      <c r="D2855" t="inlineStr">
        <is>
          <t>NIL</t>
        </is>
      </c>
      <c r="E2855" t="n">
        <v>2665</v>
      </c>
    </row>
    <row r="2856">
      <c r="A2856" t="inlineStr">
        <is>
          <t>27BBBBB02856Z5</t>
        </is>
      </c>
      <c r="B2856" t="inlineStr">
        <is>
          <t>Nov-2017</t>
        </is>
      </c>
      <c r="C2856" s="2" t="n">
        <v>43649</v>
      </c>
      <c r="D2856" t="inlineStr">
        <is>
          <t>NON-NIL</t>
        </is>
      </c>
      <c r="E2856" t="n">
        <v>2093</v>
      </c>
    </row>
    <row r="2857">
      <c r="A2857" t="inlineStr">
        <is>
          <t>27BBBBB02857Z5</t>
        </is>
      </c>
      <c r="B2857" t="inlineStr">
        <is>
          <t>May-2018</t>
        </is>
      </c>
      <c r="C2857" s="2" t="n">
        <v>44100</v>
      </c>
      <c r="D2857" t="inlineStr">
        <is>
          <t>NIL</t>
        </is>
      </c>
      <c r="E2857" t="n">
        <v>2054</v>
      </c>
    </row>
    <row r="2858">
      <c r="A2858" t="inlineStr">
        <is>
          <t>27BBBBB02858Z5</t>
        </is>
      </c>
      <c r="B2858" t="inlineStr">
        <is>
          <t>Dec-2022</t>
        </is>
      </c>
      <c r="C2858" s="2" t="n">
        <v>44178</v>
      </c>
      <c r="D2858" t="inlineStr">
        <is>
          <t>NIL</t>
        </is>
      </c>
      <c r="E2858" t="n">
        <v>1613</v>
      </c>
    </row>
    <row r="2859">
      <c r="A2859" t="inlineStr">
        <is>
          <t>27BBBBB02859Z5</t>
        </is>
      </c>
      <c r="B2859" t="inlineStr">
        <is>
          <t>Aug-2018</t>
        </is>
      </c>
      <c r="C2859" s="2" t="n">
        <v>43807</v>
      </c>
      <c r="D2859" t="inlineStr">
        <is>
          <t>NON-NIL</t>
        </is>
      </c>
      <c r="E2859" t="n">
        <v>850</v>
      </c>
    </row>
    <row r="2860">
      <c r="A2860" t="inlineStr">
        <is>
          <t>27BBBBB02860Z5</t>
        </is>
      </c>
      <c r="B2860" t="inlineStr">
        <is>
          <t>Mar-2018</t>
        </is>
      </c>
      <c r="C2860" s="2" t="n">
        <v>43940</v>
      </c>
      <c r="D2860" t="inlineStr">
        <is>
          <t>NON-NIL</t>
        </is>
      </c>
      <c r="E2860" t="n">
        <v>2858</v>
      </c>
    </row>
    <row r="2861">
      <c r="A2861" t="inlineStr">
        <is>
          <t>27BBBBB02861Z5</t>
        </is>
      </c>
      <c r="B2861" t="inlineStr">
        <is>
          <t>Mar-2021</t>
        </is>
      </c>
      <c r="C2861" s="2" t="n">
        <v>43825</v>
      </c>
      <c r="D2861" t="inlineStr">
        <is>
          <t>NIL</t>
        </is>
      </c>
      <c r="E2861" t="n">
        <v>2324</v>
      </c>
    </row>
    <row r="2862">
      <c r="A2862" t="inlineStr">
        <is>
          <t>27BBBBB02862Z5</t>
        </is>
      </c>
      <c r="B2862" t="inlineStr">
        <is>
          <t>Jul-2017</t>
        </is>
      </c>
      <c r="C2862" s="2" t="n">
        <v>42960</v>
      </c>
      <c r="D2862" t="inlineStr">
        <is>
          <t>NIL</t>
        </is>
      </c>
      <c r="E2862" t="n">
        <v>2199</v>
      </c>
    </row>
    <row r="2863">
      <c r="A2863" t="inlineStr">
        <is>
          <t>27BBBBB02863Z5</t>
        </is>
      </c>
      <c r="B2863" t="inlineStr">
        <is>
          <t>Sep-2017</t>
        </is>
      </c>
      <c r="C2863" s="2" t="n">
        <v>42917</v>
      </c>
      <c r="D2863" t="inlineStr">
        <is>
          <t>NIL</t>
        </is>
      </c>
      <c r="E2863" t="n">
        <v>80</v>
      </c>
    </row>
    <row r="2864">
      <c r="A2864" t="inlineStr">
        <is>
          <t>27BBBBB02864Z5</t>
        </is>
      </c>
      <c r="B2864" t="inlineStr">
        <is>
          <t>Jan-2018</t>
        </is>
      </c>
      <c r="C2864" s="2" t="n">
        <v>43260</v>
      </c>
      <c r="D2864" t="inlineStr">
        <is>
          <t>NON-NIL</t>
        </is>
      </c>
      <c r="E2864" t="n">
        <v>1635</v>
      </c>
    </row>
    <row r="2865">
      <c r="A2865" t="inlineStr">
        <is>
          <t>27BBBBB02865Z5</t>
        </is>
      </c>
      <c r="B2865" t="inlineStr">
        <is>
          <t>Aug-2018</t>
        </is>
      </c>
      <c r="C2865" s="2" t="n">
        <v>43101</v>
      </c>
      <c r="D2865" t="inlineStr">
        <is>
          <t>NON-NIL</t>
        </is>
      </c>
      <c r="E2865" t="n">
        <v>2296</v>
      </c>
    </row>
    <row r="2866">
      <c r="A2866" t="inlineStr">
        <is>
          <t>27BBBBB02866Z5</t>
        </is>
      </c>
      <c r="B2866" t="inlineStr">
        <is>
          <t>Jul-2017</t>
        </is>
      </c>
      <c r="C2866" s="2" t="n">
        <v>43957</v>
      </c>
      <c r="D2866" t="inlineStr">
        <is>
          <t>NON-NIL</t>
        </is>
      </c>
      <c r="E2866" t="n">
        <v>1051</v>
      </c>
    </row>
    <row r="2867">
      <c r="A2867" t="inlineStr">
        <is>
          <t>27BBBBB02867Z5</t>
        </is>
      </c>
      <c r="B2867" t="inlineStr">
        <is>
          <t>Apr-2018</t>
        </is>
      </c>
      <c r="C2867" s="2" t="n">
        <v>44338</v>
      </c>
      <c r="D2867" t="inlineStr">
        <is>
          <t>NIL</t>
        </is>
      </c>
      <c r="E2867" t="n">
        <v>1603</v>
      </c>
    </row>
    <row r="2868">
      <c r="A2868" t="inlineStr">
        <is>
          <t>27BBBBB02868Z5</t>
        </is>
      </c>
      <c r="B2868" t="inlineStr">
        <is>
          <t>Nov-2017</t>
        </is>
      </c>
      <c r="C2868" s="2" t="n">
        <v>43929</v>
      </c>
      <c r="D2868" t="inlineStr">
        <is>
          <t>NON-NIL</t>
        </is>
      </c>
      <c r="E2868" t="n">
        <v>1695</v>
      </c>
    </row>
    <row r="2869">
      <c r="A2869" t="inlineStr">
        <is>
          <t>27BBBBB02869Z5</t>
        </is>
      </c>
      <c r="B2869" t="inlineStr">
        <is>
          <t>Jun-2018</t>
        </is>
      </c>
      <c r="C2869" s="2" t="n">
        <v>42924</v>
      </c>
      <c r="D2869" t="inlineStr">
        <is>
          <t>NIL</t>
        </is>
      </c>
      <c r="E2869" t="n">
        <v>2999</v>
      </c>
    </row>
    <row r="2870">
      <c r="A2870" t="inlineStr">
        <is>
          <t>27BBBBB02870Z5</t>
        </is>
      </c>
      <c r="B2870" t="inlineStr">
        <is>
          <t>Apr-2020</t>
        </is>
      </c>
      <c r="C2870" s="2" t="n">
        <v>44435</v>
      </c>
      <c r="D2870" t="inlineStr">
        <is>
          <t>NIL</t>
        </is>
      </c>
      <c r="E2870" t="n">
        <v>1451</v>
      </c>
    </row>
    <row r="2871">
      <c r="A2871" t="inlineStr">
        <is>
          <t>27BBBBB02871Z5</t>
        </is>
      </c>
      <c r="B2871" t="inlineStr">
        <is>
          <t>Aug-2017</t>
        </is>
      </c>
      <c r="C2871" s="2" t="n">
        <v>44469</v>
      </c>
      <c r="D2871" t="inlineStr">
        <is>
          <t>NIL</t>
        </is>
      </c>
      <c r="E2871" t="n">
        <v>631</v>
      </c>
    </row>
    <row r="2872">
      <c r="A2872" t="inlineStr">
        <is>
          <t>27BBBBB02872Z5</t>
        </is>
      </c>
      <c r="B2872" t="inlineStr">
        <is>
          <t>Nov-2017</t>
        </is>
      </c>
      <c r="C2872" s="2" t="n">
        <v>44092</v>
      </c>
      <c r="D2872" t="inlineStr">
        <is>
          <t>NIL</t>
        </is>
      </c>
      <c r="E2872" t="n">
        <v>1480</v>
      </c>
    </row>
    <row r="2873">
      <c r="A2873" t="inlineStr">
        <is>
          <t>27BBBBB02873Z5</t>
        </is>
      </c>
      <c r="B2873" t="inlineStr">
        <is>
          <t>Jan-2018</t>
        </is>
      </c>
      <c r="C2873" s="2" t="n">
        <v>43671</v>
      </c>
      <c r="D2873" t="inlineStr">
        <is>
          <t>NIL</t>
        </is>
      </c>
      <c r="E2873" t="n">
        <v>1869</v>
      </c>
    </row>
    <row r="2874">
      <c r="A2874" t="inlineStr">
        <is>
          <t>27BBBBB02874Z5</t>
        </is>
      </c>
      <c r="B2874" t="inlineStr">
        <is>
          <t>May-2018</t>
        </is>
      </c>
      <c r="C2874" s="2" t="n">
        <v>44116</v>
      </c>
      <c r="D2874" t="inlineStr">
        <is>
          <t>NIL</t>
        </is>
      </c>
      <c r="E2874" t="n">
        <v>1970</v>
      </c>
    </row>
    <row r="2875">
      <c r="A2875" t="inlineStr">
        <is>
          <t>27BBBBB02875Z5</t>
        </is>
      </c>
      <c r="B2875" t="inlineStr">
        <is>
          <t>Sep-2017</t>
        </is>
      </c>
      <c r="C2875" s="2" t="n">
        <v>44130</v>
      </c>
      <c r="D2875" t="inlineStr">
        <is>
          <t>NON-NIL</t>
        </is>
      </c>
      <c r="E2875" t="n">
        <v>1618</v>
      </c>
    </row>
    <row r="2876">
      <c r="A2876" t="inlineStr">
        <is>
          <t>27BBBBB02876Z5</t>
        </is>
      </c>
      <c r="B2876" t="inlineStr">
        <is>
          <t>Jan-2021</t>
        </is>
      </c>
      <c r="C2876" s="2" t="n">
        <v>45081</v>
      </c>
      <c r="D2876" t="inlineStr">
        <is>
          <t>NIL</t>
        </is>
      </c>
      <c r="E2876" t="n">
        <v>1539</v>
      </c>
    </row>
    <row r="2877">
      <c r="A2877" t="inlineStr">
        <is>
          <t>27BBBBB02877Z5</t>
        </is>
      </c>
      <c r="B2877" t="inlineStr">
        <is>
          <t>Dec-2017</t>
        </is>
      </c>
      <c r="C2877" s="2" t="n">
        <v>43508</v>
      </c>
      <c r="D2877" t="inlineStr">
        <is>
          <t>NIL</t>
        </is>
      </c>
      <c r="E2877" t="n">
        <v>2482</v>
      </c>
    </row>
    <row r="2878">
      <c r="A2878" t="inlineStr">
        <is>
          <t>27BBBBB02878Z5</t>
        </is>
      </c>
      <c r="B2878" t="inlineStr">
        <is>
          <t>Mar-2021</t>
        </is>
      </c>
      <c r="C2878" s="2" t="n">
        <v>44243</v>
      </c>
      <c r="D2878" t="inlineStr">
        <is>
          <t>NIL</t>
        </is>
      </c>
      <c r="E2878" t="n">
        <v>2173</v>
      </c>
    </row>
    <row r="2879">
      <c r="A2879" t="inlineStr">
        <is>
          <t>27BBBBB02879Z5</t>
        </is>
      </c>
      <c r="B2879" t="inlineStr">
        <is>
          <t>Jul-2017</t>
        </is>
      </c>
      <c r="C2879" s="2" t="n">
        <v>43141</v>
      </c>
      <c r="D2879" t="inlineStr">
        <is>
          <t>NIL</t>
        </is>
      </c>
      <c r="E2879" t="n">
        <v>1943</v>
      </c>
    </row>
    <row r="2880">
      <c r="A2880" t="inlineStr">
        <is>
          <t>27BBBBB02880Z5</t>
        </is>
      </c>
      <c r="B2880" t="inlineStr">
        <is>
          <t>Jun-2020</t>
        </is>
      </c>
      <c r="C2880" s="2" t="n">
        <v>43922</v>
      </c>
      <c r="D2880" t="inlineStr">
        <is>
          <t>NIL</t>
        </is>
      </c>
      <c r="E2880" t="n">
        <v>1796</v>
      </c>
    </row>
    <row r="2881">
      <c r="A2881" t="inlineStr">
        <is>
          <t>27BBBBB02881Z5</t>
        </is>
      </c>
      <c r="B2881" t="inlineStr">
        <is>
          <t>Sep-2018</t>
        </is>
      </c>
      <c r="C2881" s="2" t="n">
        <v>44462</v>
      </c>
      <c r="D2881" t="inlineStr">
        <is>
          <t>NON-NIL</t>
        </is>
      </c>
      <c r="E2881" t="n">
        <v>1263</v>
      </c>
    </row>
    <row r="2882">
      <c r="A2882" t="inlineStr">
        <is>
          <t>27BBBBB02882Z5</t>
        </is>
      </c>
      <c r="B2882" t="inlineStr">
        <is>
          <t>Jul-2018</t>
        </is>
      </c>
      <c r="C2882" s="2" t="n">
        <v>42957</v>
      </c>
      <c r="D2882" t="inlineStr">
        <is>
          <t>NIL</t>
        </is>
      </c>
      <c r="E2882" t="n">
        <v>1212</v>
      </c>
    </row>
    <row r="2883">
      <c r="A2883" t="inlineStr">
        <is>
          <t>27BBBBB02883Z5</t>
        </is>
      </c>
      <c r="B2883" t="inlineStr">
        <is>
          <t>Dec-2018</t>
        </is>
      </c>
      <c r="C2883" s="2" t="n">
        <v>43685</v>
      </c>
      <c r="D2883" t="inlineStr">
        <is>
          <t>NON-NIL</t>
        </is>
      </c>
      <c r="E2883" t="n">
        <v>2353</v>
      </c>
    </row>
    <row r="2884">
      <c r="A2884" t="inlineStr">
        <is>
          <t>27BBBBB02884Z5</t>
        </is>
      </c>
      <c r="B2884" t="inlineStr">
        <is>
          <t>Oct-2017</t>
        </is>
      </c>
      <c r="C2884" s="2" t="n">
        <v>43915</v>
      </c>
      <c r="D2884" t="inlineStr">
        <is>
          <t>NON-NIL</t>
        </is>
      </c>
      <c r="E2884" t="n">
        <v>39</v>
      </c>
    </row>
    <row r="2885">
      <c r="A2885" t="inlineStr">
        <is>
          <t>27BBBBB02885Z5</t>
        </is>
      </c>
      <c r="B2885" t="inlineStr">
        <is>
          <t>Sep-2018</t>
        </is>
      </c>
      <c r="C2885" s="2" t="n">
        <v>44038</v>
      </c>
      <c r="D2885" t="inlineStr">
        <is>
          <t>NIL</t>
        </is>
      </c>
      <c r="E2885" t="n">
        <v>389</v>
      </c>
    </row>
    <row r="2886">
      <c r="A2886" t="inlineStr">
        <is>
          <t>27BBBBB02886Z5</t>
        </is>
      </c>
      <c r="B2886" t="inlineStr">
        <is>
          <t>Nov-2017</t>
        </is>
      </c>
      <c r="C2886" s="2" t="n">
        <v>43336</v>
      </c>
      <c r="D2886" t="inlineStr">
        <is>
          <t>NIL</t>
        </is>
      </c>
      <c r="E2886" t="n">
        <v>472</v>
      </c>
    </row>
    <row r="2887">
      <c r="A2887" t="inlineStr">
        <is>
          <t>27BBBBB02887Z5</t>
        </is>
      </c>
      <c r="B2887" t="inlineStr">
        <is>
          <t>Dec-2024</t>
        </is>
      </c>
      <c r="C2887" s="2" t="n">
        <v>44772</v>
      </c>
      <c r="D2887" t="inlineStr">
        <is>
          <t>NIL</t>
        </is>
      </c>
      <c r="E2887" t="n">
        <v>1117</v>
      </c>
    </row>
    <row r="2888">
      <c r="A2888" t="inlineStr">
        <is>
          <t>27BBBBB02888Z5</t>
        </is>
      </c>
      <c r="B2888" t="inlineStr">
        <is>
          <t>Apr-2020</t>
        </is>
      </c>
      <c r="C2888" s="2" t="n">
        <v>44852</v>
      </c>
      <c r="D2888" t="inlineStr">
        <is>
          <t>NON-NIL</t>
        </is>
      </c>
      <c r="E2888" t="n">
        <v>708</v>
      </c>
    </row>
    <row r="2889">
      <c r="A2889" t="inlineStr">
        <is>
          <t>27BBBBB02889Z5</t>
        </is>
      </c>
      <c r="B2889" t="inlineStr">
        <is>
          <t>Oct-2017</t>
        </is>
      </c>
      <c r="C2889" s="2" t="n">
        <v>43920</v>
      </c>
      <c r="D2889" t="inlineStr">
        <is>
          <t>NON-NIL</t>
        </is>
      </c>
      <c r="E2889" t="n">
        <v>292</v>
      </c>
    </row>
    <row r="2890">
      <c r="A2890" t="inlineStr">
        <is>
          <t>27BBBBB02890Z5</t>
        </is>
      </c>
      <c r="B2890" t="inlineStr">
        <is>
          <t>May-2020</t>
        </is>
      </c>
      <c r="C2890" s="2" t="n">
        <v>43892</v>
      </c>
      <c r="D2890" t="inlineStr">
        <is>
          <t>NIL</t>
        </is>
      </c>
      <c r="E2890" t="n">
        <v>1853</v>
      </c>
    </row>
    <row r="2891">
      <c r="A2891" t="inlineStr">
        <is>
          <t>27BBBBB02891Z5</t>
        </is>
      </c>
      <c r="B2891" t="inlineStr">
        <is>
          <t>Jun-2018</t>
        </is>
      </c>
      <c r="C2891" s="2" t="n">
        <v>43131</v>
      </c>
      <c r="D2891" t="inlineStr">
        <is>
          <t>NON-NIL</t>
        </is>
      </c>
      <c r="E2891" t="n">
        <v>436</v>
      </c>
    </row>
    <row r="2892">
      <c r="A2892" t="inlineStr">
        <is>
          <t>27BBBBB02892Z5</t>
        </is>
      </c>
      <c r="B2892" t="inlineStr">
        <is>
          <t>Jul-2018</t>
        </is>
      </c>
      <c r="C2892" s="2" t="n">
        <v>43490</v>
      </c>
      <c r="D2892" t="inlineStr">
        <is>
          <t>NON-NIL</t>
        </is>
      </c>
      <c r="E2892" t="n">
        <v>2845</v>
      </c>
    </row>
    <row r="2893">
      <c r="A2893" t="inlineStr">
        <is>
          <t>27BBBBB02893Z5</t>
        </is>
      </c>
      <c r="B2893" t="inlineStr">
        <is>
          <t>Jul-2018</t>
        </is>
      </c>
      <c r="C2893" s="2" t="n">
        <v>43998</v>
      </c>
      <c r="D2893" t="inlineStr">
        <is>
          <t>NIL</t>
        </is>
      </c>
      <c r="E2893" t="n">
        <v>776</v>
      </c>
    </row>
    <row r="2894">
      <c r="A2894" t="inlineStr">
        <is>
          <t>27BBBBB02894Z5</t>
        </is>
      </c>
      <c r="B2894" t="inlineStr">
        <is>
          <t>Apr-2020</t>
        </is>
      </c>
      <c r="C2894" s="2" t="n">
        <v>44760</v>
      </c>
      <c r="D2894" t="inlineStr">
        <is>
          <t>NIL</t>
        </is>
      </c>
      <c r="E2894" t="n">
        <v>2653</v>
      </c>
    </row>
    <row r="2895">
      <c r="A2895" t="inlineStr">
        <is>
          <t>27BBBBB02895Z5</t>
        </is>
      </c>
      <c r="B2895" t="inlineStr">
        <is>
          <t>Nov-2017</t>
        </is>
      </c>
      <c r="C2895" s="2" t="n">
        <v>43828</v>
      </c>
      <c r="D2895" t="inlineStr">
        <is>
          <t>NON-NIL</t>
        </is>
      </c>
      <c r="E2895" t="n">
        <v>131</v>
      </c>
    </row>
    <row r="2896">
      <c r="A2896" t="inlineStr">
        <is>
          <t>27BBBBB02896Z5</t>
        </is>
      </c>
      <c r="B2896" t="inlineStr">
        <is>
          <t>Dec-2017</t>
        </is>
      </c>
      <c r="C2896" s="2" t="n">
        <v>43993</v>
      </c>
      <c r="D2896" t="inlineStr">
        <is>
          <t>NON-NIL</t>
        </is>
      </c>
      <c r="E2896" t="n">
        <v>2849</v>
      </c>
    </row>
    <row r="2897">
      <c r="A2897" t="inlineStr">
        <is>
          <t>27BBBBB02897Z5</t>
        </is>
      </c>
      <c r="B2897" t="inlineStr">
        <is>
          <t>Apr-2020</t>
        </is>
      </c>
      <c r="C2897" s="2" t="n">
        <v>44677</v>
      </c>
      <c r="D2897" t="inlineStr">
        <is>
          <t>NIL</t>
        </is>
      </c>
      <c r="E2897" t="n">
        <v>1473</v>
      </c>
    </row>
    <row r="2898">
      <c r="A2898" t="inlineStr">
        <is>
          <t>27BBBBB02898Z5</t>
        </is>
      </c>
      <c r="B2898" t="inlineStr">
        <is>
          <t>Jun-2018</t>
        </is>
      </c>
      <c r="C2898" s="2" t="n">
        <v>43645</v>
      </c>
      <c r="D2898" t="inlineStr">
        <is>
          <t>NIL</t>
        </is>
      </c>
      <c r="E2898" t="n">
        <v>278</v>
      </c>
    </row>
    <row r="2899">
      <c r="A2899" t="inlineStr">
        <is>
          <t>27BBBBB02899Z5</t>
        </is>
      </c>
      <c r="B2899" t="inlineStr">
        <is>
          <t>Nov-2017</t>
        </is>
      </c>
      <c r="C2899" s="2" t="n">
        <v>43052</v>
      </c>
      <c r="D2899" t="inlineStr">
        <is>
          <t>NIL</t>
        </is>
      </c>
      <c r="E2899" t="n">
        <v>1075</v>
      </c>
    </row>
    <row r="2900">
      <c r="A2900" t="inlineStr">
        <is>
          <t>27BBBBB02900Z5</t>
        </is>
      </c>
      <c r="B2900" t="inlineStr">
        <is>
          <t>Jun-2020</t>
        </is>
      </c>
      <c r="C2900" s="2" t="n">
        <v>44543</v>
      </c>
      <c r="D2900" t="inlineStr">
        <is>
          <t>NIL</t>
        </is>
      </c>
      <c r="E2900" t="n">
        <v>1317</v>
      </c>
    </row>
    <row r="2901">
      <c r="A2901" t="inlineStr">
        <is>
          <t>27BBBBB02901Z5</t>
        </is>
      </c>
      <c r="B2901" t="inlineStr">
        <is>
          <t>Jan-2018</t>
        </is>
      </c>
      <c r="C2901" s="2" t="n">
        <v>43606</v>
      </c>
      <c r="D2901" t="inlineStr">
        <is>
          <t>NON-NIL</t>
        </is>
      </c>
      <c r="E2901" t="n">
        <v>969</v>
      </c>
    </row>
    <row r="2902">
      <c r="A2902" t="inlineStr">
        <is>
          <t>27BBBBB02902Z5</t>
        </is>
      </c>
      <c r="B2902" t="inlineStr">
        <is>
          <t>Jul-2017</t>
        </is>
      </c>
      <c r="C2902" s="2" t="n">
        <v>43088</v>
      </c>
      <c r="D2902" t="inlineStr">
        <is>
          <t>NON-NIL</t>
        </is>
      </c>
      <c r="E2902" t="n">
        <v>1494</v>
      </c>
    </row>
    <row r="2903">
      <c r="A2903" t="inlineStr">
        <is>
          <t>27BBBBB02903Z5</t>
        </is>
      </c>
      <c r="B2903" t="inlineStr">
        <is>
          <t>Mar-2018</t>
        </is>
      </c>
      <c r="C2903" s="2" t="n">
        <v>44082</v>
      </c>
      <c r="D2903" t="inlineStr">
        <is>
          <t>NON-NIL</t>
        </is>
      </c>
      <c r="E2903" t="n">
        <v>237</v>
      </c>
    </row>
    <row r="2904">
      <c r="A2904" t="inlineStr">
        <is>
          <t>27BBBBB02904Z5</t>
        </is>
      </c>
      <c r="B2904" t="inlineStr">
        <is>
          <t>May-2018</t>
        </is>
      </c>
      <c r="C2904" s="2" t="n">
        <v>44538</v>
      </c>
      <c r="D2904" t="inlineStr">
        <is>
          <t>NON-NIL</t>
        </is>
      </c>
      <c r="E2904" t="n">
        <v>1049</v>
      </c>
    </row>
    <row r="2905">
      <c r="A2905" t="inlineStr">
        <is>
          <t>27BBBBB02905Z5</t>
        </is>
      </c>
      <c r="B2905" t="inlineStr">
        <is>
          <t>Jun-2018</t>
        </is>
      </c>
      <c r="C2905" s="2" t="n">
        <v>44305</v>
      </c>
      <c r="D2905" t="inlineStr">
        <is>
          <t>NIL</t>
        </is>
      </c>
      <c r="E2905" t="n">
        <v>1064</v>
      </c>
    </row>
    <row r="2906">
      <c r="A2906" t="inlineStr">
        <is>
          <t>27BBBBB02906Z5</t>
        </is>
      </c>
      <c r="B2906" t="inlineStr">
        <is>
          <t>May-2018</t>
        </is>
      </c>
      <c r="C2906" s="2" t="n">
        <v>43219</v>
      </c>
      <c r="D2906" t="inlineStr">
        <is>
          <t>NIL</t>
        </is>
      </c>
      <c r="E2906" t="n">
        <v>18</v>
      </c>
    </row>
    <row r="2907">
      <c r="A2907" t="inlineStr">
        <is>
          <t>27BBBBB02907Z5</t>
        </is>
      </c>
      <c r="B2907" t="inlineStr">
        <is>
          <t>Nov-2017</t>
        </is>
      </c>
      <c r="C2907" s="2" t="n">
        <v>42993</v>
      </c>
      <c r="D2907" t="inlineStr">
        <is>
          <t>NIL</t>
        </is>
      </c>
      <c r="E2907" t="n">
        <v>2065</v>
      </c>
    </row>
    <row r="2908">
      <c r="A2908" t="inlineStr">
        <is>
          <t>27BBBBB02908Z5</t>
        </is>
      </c>
      <c r="B2908" t="inlineStr">
        <is>
          <t>Dec-2018</t>
        </is>
      </c>
      <c r="C2908" s="2" t="n">
        <v>44281</v>
      </c>
      <c r="D2908" t="inlineStr">
        <is>
          <t>NON-NIL</t>
        </is>
      </c>
      <c r="E2908" t="n">
        <v>6</v>
      </c>
    </row>
    <row r="2909">
      <c r="A2909" t="inlineStr">
        <is>
          <t>27BBBBB02909Z5</t>
        </is>
      </c>
      <c r="B2909" t="inlineStr">
        <is>
          <t>May-2020</t>
        </is>
      </c>
      <c r="C2909" s="2" t="n">
        <v>44756</v>
      </c>
      <c r="D2909" t="inlineStr">
        <is>
          <t>NIL</t>
        </is>
      </c>
      <c r="E2909" t="n">
        <v>1011</v>
      </c>
    </row>
    <row r="2910">
      <c r="A2910" t="inlineStr">
        <is>
          <t>27BBBBB02910Z5</t>
        </is>
      </c>
      <c r="B2910" t="inlineStr">
        <is>
          <t>Mar-2023</t>
        </is>
      </c>
      <c r="C2910" s="2" t="n">
        <v>45225</v>
      </c>
      <c r="D2910" t="inlineStr">
        <is>
          <t>NIL</t>
        </is>
      </c>
      <c r="E2910" t="n">
        <v>1179</v>
      </c>
    </row>
    <row r="2911">
      <c r="A2911" t="inlineStr">
        <is>
          <t>27BBBBB02911Z5</t>
        </is>
      </c>
      <c r="B2911" t="inlineStr">
        <is>
          <t>Nov-2017</t>
        </is>
      </c>
      <c r="C2911" s="2" t="n">
        <v>43053</v>
      </c>
      <c r="D2911" t="inlineStr">
        <is>
          <t>NIL</t>
        </is>
      </c>
      <c r="E2911" t="n">
        <v>406</v>
      </c>
    </row>
    <row r="2912">
      <c r="A2912" t="inlineStr">
        <is>
          <t>27BBBBB02912Z5</t>
        </is>
      </c>
      <c r="B2912" t="inlineStr">
        <is>
          <t>Dec-2022</t>
        </is>
      </c>
      <c r="C2912" s="2" t="n">
        <v>43491</v>
      </c>
      <c r="D2912" t="inlineStr">
        <is>
          <t>NIL</t>
        </is>
      </c>
      <c r="E2912" t="n">
        <v>1172</v>
      </c>
    </row>
    <row r="2913">
      <c r="A2913" t="inlineStr">
        <is>
          <t>27BBBBB02913Z5</t>
        </is>
      </c>
      <c r="B2913" t="inlineStr">
        <is>
          <t>Aug-2018</t>
        </is>
      </c>
      <c r="C2913" s="2" t="n">
        <v>44025</v>
      </c>
      <c r="D2913" t="inlineStr">
        <is>
          <t>NON-NIL</t>
        </is>
      </c>
      <c r="E2913" t="n">
        <v>2493</v>
      </c>
    </row>
    <row r="2914">
      <c r="A2914" t="inlineStr">
        <is>
          <t>27BBBBB02914Z5</t>
        </is>
      </c>
      <c r="B2914" t="inlineStr">
        <is>
          <t>Oct-2018</t>
        </is>
      </c>
      <c r="C2914" s="2" t="n">
        <v>43641</v>
      </c>
      <c r="D2914" t="inlineStr">
        <is>
          <t>NIL</t>
        </is>
      </c>
      <c r="E2914" t="n">
        <v>331</v>
      </c>
    </row>
    <row r="2915">
      <c r="A2915" t="inlineStr">
        <is>
          <t>27BBBBB02915Z5</t>
        </is>
      </c>
      <c r="B2915" t="inlineStr">
        <is>
          <t>Aug-2017</t>
        </is>
      </c>
      <c r="C2915" s="2" t="n">
        <v>43040</v>
      </c>
      <c r="D2915" t="inlineStr">
        <is>
          <t>NON-NIL</t>
        </is>
      </c>
      <c r="E2915" t="n">
        <v>2257</v>
      </c>
    </row>
    <row r="2916">
      <c r="A2916" t="inlineStr">
        <is>
          <t>27BBBBB02916Z5</t>
        </is>
      </c>
      <c r="B2916" t="inlineStr">
        <is>
          <t>Aug-2018</t>
        </is>
      </c>
      <c r="C2916" s="2" t="n">
        <v>43559</v>
      </c>
      <c r="D2916" t="inlineStr">
        <is>
          <t>NON-NIL</t>
        </is>
      </c>
      <c r="E2916" t="n">
        <v>718</v>
      </c>
    </row>
    <row r="2917">
      <c r="A2917" t="inlineStr">
        <is>
          <t>27BBBBB02917Z5</t>
        </is>
      </c>
      <c r="B2917" t="inlineStr">
        <is>
          <t>Jun-2018</t>
        </is>
      </c>
      <c r="C2917" s="2" t="n">
        <v>44304</v>
      </c>
      <c r="D2917" t="inlineStr">
        <is>
          <t>NON-NIL</t>
        </is>
      </c>
      <c r="E2917" t="n">
        <v>2898</v>
      </c>
    </row>
    <row r="2918">
      <c r="A2918" t="inlineStr">
        <is>
          <t>27BBBBB02918Z5</t>
        </is>
      </c>
      <c r="B2918" t="inlineStr">
        <is>
          <t>Aug-2018</t>
        </is>
      </c>
      <c r="C2918" s="2" t="n">
        <v>44359</v>
      </c>
      <c r="D2918" t="inlineStr">
        <is>
          <t>NON-NIL</t>
        </is>
      </c>
      <c r="E2918" t="n">
        <v>582</v>
      </c>
    </row>
    <row r="2919">
      <c r="A2919" t="inlineStr">
        <is>
          <t>27BBBBB02919Z5</t>
        </is>
      </c>
      <c r="B2919" t="inlineStr">
        <is>
          <t>Dec-2017</t>
        </is>
      </c>
      <c r="C2919" s="2" t="n">
        <v>43255</v>
      </c>
      <c r="D2919" t="inlineStr">
        <is>
          <t>NIL</t>
        </is>
      </c>
      <c r="E2919" t="n">
        <v>2635</v>
      </c>
    </row>
    <row r="2920">
      <c r="A2920" t="inlineStr">
        <is>
          <t>27BBBBB02920Z5</t>
        </is>
      </c>
      <c r="B2920" t="inlineStr">
        <is>
          <t>May-2018</t>
        </is>
      </c>
      <c r="C2920" s="2" t="n">
        <v>43462</v>
      </c>
      <c r="D2920" t="inlineStr">
        <is>
          <t>NON-NIL</t>
        </is>
      </c>
      <c r="E2920" t="n">
        <v>387</v>
      </c>
    </row>
    <row r="2921">
      <c r="A2921" t="inlineStr">
        <is>
          <t>27BBBBB02921Z5</t>
        </is>
      </c>
      <c r="B2921" t="inlineStr">
        <is>
          <t>Sep-2018</t>
        </is>
      </c>
      <c r="C2921" s="2" t="n">
        <v>43098</v>
      </c>
      <c r="D2921" t="inlineStr">
        <is>
          <t>NIL</t>
        </is>
      </c>
      <c r="E2921" t="n">
        <v>1422</v>
      </c>
    </row>
    <row r="2922">
      <c r="A2922" t="inlineStr">
        <is>
          <t>27BBBBB02922Z5</t>
        </is>
      </c>
      <c r="B2922" t="inlineStr">
        <is>
          <t>Dec-2024</t>
        </is>
      </c>
      <c r="C2922" s="2" t="n">
        <v>45033</v>
      </c>
      <c r="D2922" t="inlineStr">
        <is>
          <t>NON-NIL</t>
        </is>
      </c>
      <c r="E2922" t="n">
        <v>879</v>
      </c>
    </row>
    <row r="2923">
      <c r="A2923" t="inlineStr">
        <is>
          <t>27BBBBB02923Z5</t>
        </is>
      </c>
      <c r="B2923" t="inlineStr">
        <is>
          <t>Apr-2020</t>
        </is>
      </c>
      <c r="C2923" s="2" t="n">
        <v>44125</v>
      </c>
      <c r="D2923" t="inlineStr">
        <is>
          <t>NIL</t>
        </is>
      </c>
      <c r="E2923" t="n">
        <v>2858</v>
      </c>
    </row>
    <row r="2924">
      <c r="A2924" t="inlineStr">
        <is>
          <t>27BBBBB02924Z5</t>
        </is>
      </c>
      <c r="B2924" t="inlineStr">
        <is>
          <t>Dec-2024</t>
        </is>
      </c>
      <c r="C2924" s="2" t="n">
        <v>45151</v>
      </c>
      <c r="D2924" t="inlineStr">
        <is>
          <t>NIL</t>
        </is>
      </c>
      <c r="E2924" t="n">
        <v>1907</v>
      </c>
    </row>
    <row r="2925">
      <c r="A2925" t="inlineStr">
        <is>
          <t>27BBBBB02925Z5</t>
        </is>
      </c>
      <c r="B2925" t="inlineStr">
        <is>
          <t>Jul-2017</t>
        </is>
      </c>
      <c r="C2925" s="2" t="n">
        <v>43695</v>
      </c>
      <c r="D2925" t="inlineStr">
        <is>
          <t>NON-NIL</t>
        </is>
      </c>
      <c r="E2925" t="n">
        <v>2783</v>
      </c>
    </row>
    <row r="2926">
      <c r="A2926" t="inlineStr">
        <is>
          <t>27BBBBB02926Z5</t>
        </is>
      </c>
      <c r="B2926" t="inlineStr">
        <is>
          <t>Nov-2018</t>
        </is>
      </c>
      <c r="C2926" s="2" t="n">
        <v>44240</v>
      </c>
      <c r="D2926" t="inlineStr">
        <is>
          <t>NON-NIL</t>
        </is>
      </c>
      <c r="E2926" t="n">
        <v>580</v>
      </c>
    </row>
    <row r="2927">
      <c r="A2927" t="inlineStr">
        <is>
          <t>27BBBBB02927Z5</t>
        </is>
      </c>
      <c r="B2927" t="inlineStr">
        <is>
          <t>Jul-2020</t>
        </is>
      </c>
      <c r="C2927" s="2" t="n">
        <v>44323</v>
      </c>
      <c r="D2927" t="inlineStr">
        <is>
          <t>NON-NIL</t>
        </is>
      </c>
      <c r="E2927" t="n">
        <v>2148</v>
      </c>
    </row>
    <row r="2928">
      <c r="A2928" t="inlineStr">
        <is>
          <t>27BBBBB02928Z5</t>
        </is>
      </c>
      <c r="B2928" t="inlineStr">
        <is>
          <t>Mar-2021</t>
        </is>
      </c>
      <c r="C2928" s="2" t="n">
        <v>44235</v>
      </c>
      <c r="D2928" t="inlineStr">
        <is>
          <t>NON-NIL</t>
        </is>
      </c>
      <c r="E2928" t="n">
        <v>338</v>
      </c>
    </row>
    <row r="2929">
      <c r="A2929" t="inlineStr">
        <is>
          <t>27BBBBB02929Z5</t>
        </is>
      </c>
      <c r="B2929" t="inlineStr">
        <is>
          <t>Sep-2018</t>
        </is>
      </c>
      <c r="C2929" s="2" t="n">
        <v>43663</v>
      </c>
      <c r="D2929" t="inlineStr">
        <is>
          <t>NIL</t>
        </is>
      </c>
      <c r="E2929" t="n">
        <v>222</v>
      </c>
    </row>
    <row r="2930">
      <c r="A2930" t="inlineStr">
        <is>
          <t>27BBBBB02930Z5</t>
        </is>
      </c>
      <c r="B2930" t="inlineStr">
        <is>
          <t>Apr-2018</t>
        </is>
      </c>
      <c r="C2930" s="2" t="n">
        <v>43868</v>
      </c>
      <c r="D2930" t="inlineStr">
        <is>
          <t>NON-NIL</t>
        </is>
      </c>
      <c r="E2930" t="n">
        <v>95</v>
      </c>
    </row>
    <row r="2931">
      <c r="A2931" t="inlineStr">
        <is>
          <t>27BBBBB02931Z5</t>
        </is>
      </c>
      <c r="B2931" t="inlineStr">
        <is>
          <t>Aug-2017</t>
        </is>
      </c>
      <c r="C2931" s="2" t="n">
        <v>43544</v>
      </c>
      <c r="D2931" t="inlineStr">
        <is>
          <t>NIL</t>
        </is>
      </c>
      <c r="E2931" t="n">
        <v>2857</v>
      </c>
    </row>
    <row r="2932">
      <c r="A2932" t="inlineStr">
        <is>
          <t>27BBBBB02932Z5</t>
        </is>
      </c>
      <c r="B2932" t="inlineStr">
        <is>
          <t>Jul-2017</t>
        </is>
      </c>
      <c r="C2932" s="2" t="n">
        <v>44324</v>
      </c>
      <c r="D2932" t="inlineStr">
        <is>
          <t>NON-NIL</t>
        </is>
      </c>
      <c r="E2932" t="n">
        <v>1600</v>
      </c>
    </row>
    <row r="2933">
      <c r="A2933" t="inlineStr">
        <is>
          <t>27BBBBB02933Z5</t>
        </is>
      </c>
      <c r="B2933" t="inlineStr">
        <is>
          <t>Nov-2017</t>
        </is>
      </c>
      <c r="C2933" s="2" t="n">
        <v>43863</v>
      </c>
      <c r="D2933" t="inlineStr">
        <is>
          <t>NIL</t>
        </is>
      </c>
      <c r="E2933" t="n">
        <v>696</v>
      </c>
    </row>
    <row r="2934">
      <c r="A2934" t="inlineStr">
        <is>
          <t>27BBBBB02934Z5</t>
        </is>
      </c>
      <c r="B2934" t="inlineStr">
        <is>
          <t>Jun-2018</t>
        </is>
      </c>
      <c r="C2934" s="2" t="n">
        <v>43619</v>
      </c>
      <c r="D2934" t="inlineStr">
        <is>
          <t>NIL</t>
        </is>
      </c>
      <c r="E2934" t="n">
        <v>2237</v>
      </c>
    </row>
    <row r="2935">
      <c r="A2935" t="inlineStr">
        <is>
          <t>27BBBBB02935Z5</t>
        </is>
      </c>
      <c r="B2935" t="inlineStr">
        <is>
          <t>Dec-2017</t>
        </is>
      </c>
      <c r="C2935" s="2" t="n">
        <v>43859</v>
      </c>
      <c r="D2935" t="inlineStr">
        <is>
          <t>NON-NIL</t>
        </is>
      </c>
      <c r="E2935" t="n">
        <v>884</v>
      </c>
    </row>
    <row r="2936">
      <c r="A2936" t="inlineStr">
        <is>
          <t>27BBBBB02936Z5</t>
        </is>
      </c>
      <c r="B2936" t="inlineStr">
        <is>
          <t>Dec-2018</t>
        </is>
      </c>
      <c r="C2936" s="2" t="n">
        <v>43396</v>
      </c>
      <c r="D2936" t="inlineStr">
        <is>
          <t>NIL</t>
        </is>
      </c>
      <c r="E2936" t="n">
        <v>2853</v>
      </c>
    </row>
    <row r="2937">
      <c r="A2937" t="inlineStr">
        <is>
          <t>27BBBBB02937Z5</t>
        </is>
      </c>
      <c r="B2937" t="inlineStr">
        <is>
          <t>Mar-2023</t>
        </is>
      </c>
      <c r="C2937" s="2" t="n">
        <v>45082</v>
      </c>
      <c r="D2937" t="inlineStr">
        <is>
          <t>NIL</t>
        </is>
      </c>
      <c r="E2937" t="n">
        <v>522</v>
      </c>
    </row>
    <row r="2938">
      <c r="A2938" t="inlineStr">
        <is>
          <t>27BBBBB02938Z5</t>
        </is>
      </c>
      <c r="B2938" t="inlineStr">
        <is>
          <t>May-2018</t>
        </is>
      </c>
      <c r="C2938" s="2" t="n">
        <v>43036</v>
      </c>
      <c r="D2938" t="inlineStr">
        <is>
          <t>NON-NIL</t>
        </is>
      </c>
      <c r="E2938" t="n">
        <v>852</v>
      </c>
    </row>
    <row r="2939">
      <c r="A2939" t="inlineStr">
        <is>
          <t>27BBBBB02939Z5</t>
        </is>
      </c>
      <c r="B2939" t="inlineStr">
        <is>
          <t>Apr-2018</t>
        </is>
      </c>
      <c r="C2939" s="2" t="n">
        <v>44001</v>
      </c>
      <c r="D2939" t="inlineStr">
        <is>
          <t>NIL</t>
        </is>
      </c>
      <c r="E2939" t="n">
        <v>1865</v>
      </c>
    </row>
    <row r="2940">
      <c r="A2940" t="inlineStr">
        <is>
          <t>27BBBBB02940Z5</t>
        </is>
      </c>
      <c r="B2940" t="inlineStr">
        <is>
          <t>Feb-2018</t>
        </is>
      </c>
      <c r="C2940" s="2" t="n">
        <v>44445</v>
      </c>
      <c r="D2940" t="inlineStr">
        <is>
          <t>NIL</t>
        </is>
      </c>
      <c r="E2940" t="n">
        <v>949</v>
      </c>
    </row>
    <row r="2941">
      <c r="A2941" t="inlineStr">
        <is>
          <t>27BBBBB02941Z5</t>
        </is>
      </c>
      <c r="B2941" t="inlineStr">
        <is>
          <t>Dec-2024</t>
        </is>
      </c>
      <c r="C2941" s="2" t="n">
        <v>43477</v>
      </c>
      <c r="D2941" t="inlineStr">
        <is>
          <t>NIL</t>
        </is>
      </c>
      <c r="E2941" t="n">
        <v>1065</v>
      </c>
    </row>
    <row r="2942">
      <c r="A2942" t="inlineStr">
        <is>
          <t>27BBBBB02942Z5</t>
        </is>
      </c>
      <c r="B2942" t="inlineStr">
        <is>
          <t>Aug-2018</t>
        </is>
      </c>
      <c r="C2942" s="2" t="n">
        <v>43442</v>
      </c>
      <c r="D2942" t="inlineStr">
        <is>
          <t>NON-NIL</t>
        </is>
      </c>
      <c r="E2942" t="n">
        <v>1977</v>
      </c>
    </row>
    <row r="2943">
      <c r="A2943" t="inlineStr">
        <is>
          <t>27BBBBB02943Z5</t>
        </is>
      </c>
      <c r="B2943" t="inlineStr">
        <is>
          <t>Jun-2018</t>
        </is>
      </c>
      <c r="C2943" s="2" t="n">
        <v>44511</v>
      </c>
      <c r="D2943" t="inlineStr">
        <is>
          <t>NIL</t>
        </is>
      </c>
      <c r="E2943" t="n">
        <v>1019</v>
      </c>
    </row>
    <row r="2944">
      <c r="A2944" t="inlineStr">
        <is>
          <t>27BBBBB02944Z5</t>
        </is>
      </c>
      <c r="B2944" t="inlineStr">
        <is>
          <t>Nov-2018</t>
        </is>
      </c>
      <c r="C2944" s="2" t="n">
        <v>43032</v>
      </c>
      <c r="D2944" t="inlineStr">
        <is>
          <t>NON-NIL</t>
        </is>
      </c>
      <c r="E2944" t="n">
        <v>1208</v>
      </c>
    </row>
    <row r="2945">
      <c r="A2945" t="inlineStr">
        <is>
          <t>27BBBBB02945Z5</t>
        </is>
      </c>
      <c r="B2945" t="inlineStr">
        <is>
          <t>Sep-2017</t>
        </is>
      </c>
      <c r="C2945" s="2" t="n">
        <v>44025</v>
      </c>
      <c r="D2945" t="inlineStr">
        <is>
          <t>NON-NIL</t>
        </is>
      </c>
      <c r="E2945" t="n">
        <v>2847</v>
      </c>
    </row>
    <row r="2946">
      <c r="A2946" t="inlineStr">
        <is>
          <t>27BBBBB02946Z5</t>
        </is>
      </c>
      <c r="B2946" t="inlineStr">
        <is>
          <t>Dec-2017</t>
        </is>
      </c>
      <c r="C2946" s="2" t="n">
        <v>43043</v>
      </c>
      <c r="D2946" t="inlineStr">
        <is>
          <t>NIL</t>
        </is>
      </c>
      <c r="E2946" t="n">
        <v>2395</v>
      </c>
    </row>
    <row r="2947">
      <c r="A2947" t="inlineStr">
        <is>
          <t>27BBBBB02947Z5</t>
        </is>
      </c>
      <c r="B2947" t="inlineStr">
        <is>
          <t>Oct-2018</t>
        </is>
      </c>
      <c r="C2947" s="2" t="n">
        <v>43132</v>
      </c>
      <c r="D2947" t="inlineStr">
        <is>
          <t>NIL</t>
        </is>
      </c>
      <c r="E2947" t="n">
        <v>495</v>
      </c>
    </row>
    <row r="2948">
      <c r="A2948" t="inlineStr">
        <is>
          <t>27BBBBB02948Z5</t>
        </is>
      </c>
      <c r="B2948" t="inlineStr">
        <is>
          <t>Jul-2020</t>
        </is>
      </c>
      <c r="C2948" s="2" t="n">
        <v>43871</v>
      </c>
      <c r="D2948" t="inlineStr">
        <is>
          <t>NON-NIL</t>
        </is>
      </c>
      <c r="E2948" t="n">
        <v>1107</v>
      </c>
    </row>
    <row r="2949">
      <c r="A2949" t="inlineStr">
        <is>
          <t>27BBBBB02949Z5</t>
        </is>
      </c>
      <c r="B2949" t="inlineStr">
        <is>
          <t>Jan-2018</t>
        </is>
      </c>
      <c r="C2949" s="2" t="n">
        <v>43363</v>
      </c>
      <c r="D2949" t="inlineStr">
        <is>
          <t>NIL</t>
        </is>
      </c>
      <c r="E2949" t="n">
        <v>1489</v>
      </c>
    </row>
    <row r="2950">
      <c r="A2950" t="inlineStr">
        <is>
          <t>27BBBBB02950Z5</t>
        </is>
      </c>
      <c r="B2950" t="inlineStr">
        <is>
          <t>Mar-2021</t>
        </is>
      </c>
      <c r="C2950" s="2" t="n">
        <v>43643</v>
      </c>
      <c r="D2950" t="inlineStr">
        <is>
          <t>NIL</t>
        </is>
      </c>
      <c r="E2950" t="n">
        <v>2379</v>
      </c>
    </row>
    <row r="2951">
      <c r="A2951" t="inlineStr">
        <is>
          <t>27BBBBB02951Z5</t>
        </is>
      </c>
      <c r="B2951" t="inlineStr">
        <is>
          <t>Mar-2020</t>
        </is>
      </c>
      <c r="C2951" s="2" t="n">
        <v>44325</v>
      </c>
      <c r="D2951" t="inlineStr">
        <is>
          <t>NON-NIL</t>
        </is>
      </c>
      <c r="E2951" t="n">
        <v>168</v>
      </c>
    </row>
    <row r="2952">
      <c r="A2952" t="inlineStr">
        <is>
          <t>27BBBBB02952Z5</t>
        </is>
      </c>
      <c r="B2952" t="inlineStr">
        <is>
          <t>Jun-2020</t>
        </is>
      </c>
      <c r="C2952" s="2" t="n">
        <v>44668</v>
      </c>
      <c r="D2952" t="inlineStr">
        <is>
          <t>NIL</t>
        </is>
      </c>
      <c r="E2952" t="n">
        <v>224</v>
      </c>
    </row>
    <row r="2953">
      <c r="A2953" t="inlineStr">
        <is>
          <t>27BBBBB02953Z5</t>
        </is>
      </c>
      <c r="B2953" t="inlineStr">
        <is>
          <t>Jan-2021</t>
        </is>
      </c>
      <c r="C2953" s="2" t="n">
        <v>45632</v>
      </c>
      <c r="D2953" t="inlineStr">
        <is>
          <t>NON-NIL</t>
        </is>
      </c>
      <c r="E2953" t="n">
        <v>1655</v>
      </c>
    </row>
    <row r="2954">
      <c r="A2954" t="inlineStr">
        <is>
          <t>27BBBBB02954Z5</t>
        </is>
      </c>
      <c r="B2954" t="inlineStr">
        <is>
          <t>Nov-2018</t>
        </is>
      </c>
      <c r="C2954" s="2" t="n">
        <v>43514</v>
      </c>
      <c r="D2954" t="inlineStr">
        <is>
          <t>NON-NIL</t>
        </is>
      </c>
      <c r="E2954" t="n">
        <v>1530</v>
      </c>
    </row>
    <row r="2955">
      <c r="A2955" t="inlineStr">
        <is>
          <t>27BBBBB02955Z5</t>
        </is>
      </c>
      <c r="B2955" t="inlineStr">
        <is>
          <t>May-2018</t>
        </is>
      </c>
      <c r="C2955" s="2" t="n">
        <v>43984</v>
      </c>
      <c r="D2955" t="inlineStr">
        <is>
          <t>NON-NIL</t>
        </is>
      </c>
      <c r="E2955" t="n">
        <v>636</v>
      </c>
    </row>
    <row r="2956">
      <c r="A2956" t="inlineStr">
        <is>
          <t>27BBBBB02956Z5</t>
        </is>
      </c>
      <c r="B2956" t="inlineStr">
        <is>
          <t>Dec-2017</t>
        </is>
      </c>
      <c r="C2956" s="2" t="n">
        <v>43636</v>
      </c>
      <c r="D2956" t="inlineStr">
        <is>
          <t>NIL</t>
        </is>
      </c>
      <c r="E2956" t="n">
        <v>1902</v>
      </c>
    </row>
    <row r="2957">
      <c r="A2957" t="inlineStr">
        <is>
          <t>27BBBBB02957Z5</t>
        </is>
      </c>
      <c r="B2957" t="inlineStr">
        <is>
          <t>Sep-2018</t>
        </is>
      </c>
      <c r="C2957" s="2" t="n">
        <v>43716</v>
      </c>
      <c r="D2957" t="inlineStr">
        <is>
          <t>NON-NIL</t>
        </is>
      </c>
      <c r="E2957" t="n">
        <v>1915</v>
      </c>
    </row>
    <row r="2958">
      <c r="A2958" t="inlineStr">
        <is>
          <t>27BBBBB02958Z5</t>
        </is>
      </c>
      <c r="B2958" t="inlineStr">
        <is>
          <t>May-2018</t>
        </is>
      </c>
      <c r="C2958" s="2" t="n">
        <v>43667</v>
      </c>
      <c r="D2958" t="inlineStr">
        <is>
          <t>NON-NIL</t>
        </is>
      </c>
      <c r="E2958" t="n">
        <v>1201</v>
      </c>
    </row>
    <row r="2959">
      <c r="A2959" t="inlineStr">
        <is>
          <t>27BBBBB02959Z5</t>
        </is>
      </c>
      <c r="B2959" t="inlineStr">
        <is>
          <t>Apr-2018</t>
        </is>
      </c>
      <c r="C2959" s="2" t="n">
        <v>43206</v>
      </c>
      <c r="D2959" t="inlineStr">
        <is>
          <t>NIL</t>
        </is>
      </c>
      <c r="E2959" t="n">
        <v>2024</v>
      </c>
    </row>
    <row r="2960">
      <c r="A2960" t="inlineStr">
        <is>
          <t>27BBBBB02960Z5</t>
        </is>
      </c>
      <c r="B2960" t="inlineStr">
        <is>
          <t>Oct-2018</t>
        </is>
      </c>
      <c r="C2960" s="2" t="n">
        <v>43615</v>
      </c>
      <c r="D2960" t="inlineStr">
        <is>
          <t>NIL</t>
        </is>
      </c>
      <c r="E2960" t="n">
        <v>354</v>
      </c>
    </row>
    <row r="2961">
      <c r="A2961" t="inlineStr">
        <is>
          <t>27BBBBB02961Z5</t>
        </is>
      </c>
      <c r="B2961" t="inlineStr">
        <is>
          <t>Apr-2020</t>
        </is>
      </c>
      <c r="C2961" s="2" t="n">
        <v>44261</v>
      </c>
      <c r="D2961" t="inlineStr">
        <is>
          <t>NIL</t>
        </is>
      </c>
      <c r="E2961" t="n">
        <v>1472</v>
      </c>
    </row>
    <row r="2962">
      <c r="A2962" t="inlineStr">
        <is>
          <t>27BBBBB02962Z5</t>
        </is>
      </c>
      <c r="B2962" t="inlineStr">
        <is>
          <t>Nov-2017</t>
        </is>
      </c>
      <c r="C2962" s="2" t="n">
        <v>44366</v>
      </c>
      <c r="D2962" t="inlineStr">
        <is>
          <t>NON-NIL</t>
        </is>
      </c>
      <c r="E2962" t="n">
        <v>1807</v>
      </c>
    </row>
    <row r="2963">
      <c r="A2963" t="inlineStr">
        <is>
          <t>27BBBBB02963Z5</t>
        </is>
      </c>
      <c r="B2963" t="inlineStr">
        <is>
          <t>Apr-2018</t>
        </is>
      </c>
      <c r="C2963" s="2" t="n">
        <v>44165</v>
      </c>
      <c r="D2963" t="inlineStr">
        <is>
          <t>NON-NIL</t>
        </is>
      </c>
      <c r="E2963" t="n">
        <v>563</v>
      </c>
    </row>
    <row r="2964">
      <c r="A2964" t="inlineStr">
        <is>
          <t>27BBBBB02964Z5</t>
        </is>
      </c>
      <c r="B2964" t="inlineStr">
        <is>
          <t>Dec-2024</t>
        </is>
      </c>
      <c r="C2964" s="2" t="n">
        <v>44232</v>
      </c>
      <c r="D2964" t="inlineStr">
        <is>
          <t>NIL</t>
        </is>
      </c>
      <c r="E2964" t="n">
        <v>369</v>
      </c>
    </row>
    <row r="2965">
      <c r="A2965" t="inlineStr">
        <is>
          <t>27BBBBB02965Z5</t>
        </is>
      </c>
      <c r="B2965" t="inlineStr">
        <is>
          <t>Aug-2018</t>
        </is>
      </c>
      <c r="C2965" s="2" t="n">
        <v>43706</v>
      </c>
      <c r="D2965" t="inlineStr">
        <is>
          <t>NIL</t>
        </is>
      </c>
      <c r="E2965" t="n">
        <v>2511</v>
      </c>
    </row>
    <row r="2966">
      <c r="A2966" t="inlineStr">
        <is>
          <t>27BBBBB02966Z5</t>
        </is>
      </c>
      <c r="B2966" t="inlineStr">
        <is>
          <t>Jun-2018</t>
        </is>
      </c>
      <c r="C2966" s="2" t="n">
        <v>43274</v>
      </c>
      <c r="D2966" t="inlineStr">
        <is>
          <t>NIL</t>
        </is>
      </c>
      <c r="E2966" t="n">
        <v>2085</v>
      </c>
    </row>
    <row r="2967">
      <c r="A2967" t="inlineStr">
        <is>
          <t>27BBBBB02967Z5</t>
        </is>
      </c>
      <c r="B2967" t="inlineStr">
        <is>
          <t>Dec-2022</t>
        </is>
      </c>
      <c r="C2967" s="2" t="n">
        <v>43885</v>
      </c>
      <c r="D2967" t="inlineStr">
        <is>
          <t>NON-NIL</t>
        </is>
      </c>
      <c r="E2967" t="n">
        <v>2494</v>
      </c>
    </row>
    <row r="2968">
      <c r="A2968" t="inlineStr">
        <is>
          <t>27BBBBB02968Z5</t>
        </is>
      </c>
      <c r="B2968" t="inlineStr">
        <is>
          <t>Dec-2018</t>
        </is>
      </c>
      <c r="C2968" s="2" t="n">
        <v>43838</v>
      </c>
      <c r="D2968" t="inlineStr">
        <is>
          <t>NIL</t>
        </is>
      </c>
      <c r="E2968" t="n">
        <v>2822</v>
      </c>
    </row>
    <row r="2969">
      <c r="A2969" t="inlineStr">
        <is>
          <t>27BBBBB02969Z5</t>
        </is>
      </c>
      <c r="B2969" t="inlineStr">
        <is>
          <t>Apr-2018</t>
        </is>
      </c>
      <c r="C2969" s="2" t="n">
        <v>43288</v>
      </c>
      <c r="D2969" t="inlineStr">
        <is>
          <t>NIL</t>
        </is>
      </c>
      <c r="E2969" t="n">
        <v>2994</v>
      </c>
    </row>
    <row r="2970">
      <c r="A2970" t="inlineStr">
        <is>
          <t>27BBBBB02970Z5</t>
        </is>
      </c>
      <c r="B2970" t="inlineStr">
        <is>
          <t>Jul-2020</t>
        </is>
      </c>
      <c r="C2970" s="2" t="n">
        <v>44286</v>
      </c>
      <c r="D2970" t="inlineStr">
        <is>
          <t>NON-NIL</t>
        </is>
      </c>
      <c r="E2970" t="n">
        <v>1869</v>
      </c>
    </row>
    <row r="2971">
      <c r="A2971" t="inlineStr">
        <is>
          <t>27BBBBB02971Z5</t>
        </is>
      </c>
      <c r="B2971" t="inlineStr">
        <is>
          <t>Oct-2018</t>
        </is>
      </c>
      <c r="C2971" s="2" t="n">
        <v>43837</v>
      </c>
      <c r="D2971" t="inlineStr">
        <is>
          <t>NIL</t>
        </is>
      </c>
      <c r="E2971" t="n">
        <v>492</v>
      </c>
    </row>
    <row r="2972">
      <c r="A2972" t="inlineStr">
        <is>
          <t>27BBBBB02972Z5</t>
        </is>
      </c>
      <c r="B2972" t="inlineStr">
        <is>
          <t>Dec-2017</t>
        </is>
      </c>
      <c r="C2972" s="2" t="n">
        <v>43436</v>
      </c>
      <c r="D2972" t="inlineStr">
        <is>
          <t>NIL</t>
        </is>
      </c>
      <c r="E2972" t="n">
        <v>1187</v>
      </c>
    </row>
    <row r="2973">
      <c r="A2973" t="inlineStr">
        <is>
          <t>27BBBBB02973Z5</t>
        </is>
      </c>
      <c r="B2973" t="inlineStr">
        <is>
          <t>Mar-2020</t>
        </is>
      </c>
      <c r="C2973" s="2" t="n">
        <v>44333</v>
      </c>
      <c r="D2973" t="inlineStr">
        <is>
          <t>NON-NIL</t>
        </is>
      </c>
      <c r="E2973" t="n">
        <v>2913</v>
      </c>
    </row>
    <row r="2974">
      <c r="A2974" t="inlineStr">
        <is>
          <t>27BBBBB02974Z5</t>
        </is>
      </c>
      <c r="B2974" t="inlineStr">
        <is>
          <t>Jan-2018</t>
        </is>
      </c>
      <c r="C2974" s="2" t="n">
        <v>43685</v>
      </c>
      <c r="D2974" t="inlineStr">
        <is>
          <t>NIL</t>
        </is>
      </c>
      <c r="E2974" t="n">
        <v>938</v>
      </c>
    </row>
    <row r="2975">
      <c r="A2975" t="inlineStr">
        <is>
          <t>27BBBBB02975Z5</t>
        </is>
      </c>
      <c r="B2975" t="inlineStr">
        <is>
          <t>Sep-2017</t>
        </is>
      </c>
      <c r="C2975" s="2" t="n">
        <v>43921</v>
      </c>
      <c r="D2975" t="inlineStr">
        <is>
          <t>NON-NIL</t>
        </is>
      </c>
      <c r="E2975" t="n">
        <v>2618</v>
      </c>
    </row>
    <row r="2976">
      <c r="A2976" t="inlineStr">
        <is>
          <t>27BBBBB02976Z5</t>
        </is>
      </c>
      <c r="B2976" t="inlineStr">
        <is>
          <t>Jun-2018</t>
        </is>
      </c>
      <c r="C2976" s="2" t="n">
        <v>43334</v>
      </c>
      <c r="D2976" t="inlineStr">
        <is>
          <t>NIL</t>
        </is>
      </c>
      <c r="E2976" t="n">
        <v>2995</v>
      </c>
    </row>
    <row r="2977">
      <c r="A2977" t="inlineStr">
        <is>
          <t>27BBBBB02977Z5</t>
        </is>
      </c>
      <c r="B2977" t="inlineStr">
        <is>
          <t>Sep-2018</t>
        </is>
      </c>
      <c r="C2977" s="2" t="n">
        <v>43326</v>
      </c>
      <c r="D2977" t="inlineStr">
        <is>
          <t>NON-NIL</t>
        </is>
      </c>
      <c r="E2977" t="n">
        <v>1978</v>
      </c>
    </row>
    <row r="2978">
      <c r="A2978" t="inlineStr">
        <is>
          <t>27BBBBB02978Z5</t>
        </is>
      </c>
      <c r="B2978" t="inlineStr">
        <is>
          <t>Sep-2018</t>
        </is>
      </c>
      <c r="C2978" s="2" t="n">
        <v>44248</v>
      </c>
      <c r="D2978" t="inlineStr">
        <is>
          <t>NON-NIL</t>
        </is>
      </c>
      <c r="E2978" t="n">
        <v>891</v>
      </c>
    </row>
    <row r="2979">
      <c r="A2979" t="inlineStr">
        <is>
          <t>27BBBBB02979Z5</t>
        </is>
      </c>
      <c r="B2979" t="inlineStr">
        <is>
          <t>Aug-2017</t>
        </is>
      </c>
      <c r="C2979" s="2" t="n">
        <v>44502</v>
      </c>
      <c r="D2979" t="inlineStr">
        <is>
          <t>NON-NIL</t>
        </is>
      </c>
      <c r="E2979" t="n">
        <v>1311</v>
      </c>
    </row>
    <row r="2980">
      <c r="A2980" t="inlineStr">
        <is>
          <t>27BBBBB02980Z5</t>
        </is>
      </c>
      <c r="B2980" t="inlineStr">
        <is>
          <t>Dec-2018</t>
        </is>
      </c>
      <c r="C2980" s="2" t="n">
        <v>43646</v>
      </c>
      <c r="D2980" t="inlineStr">
        <is>
          <t>NIL</t>
        </is>
      </c>
      <c r="E2980" t="n">
        <v>1859</v>
      </c>
    </row>
    <row r="2981">
      <c r="A2981" t="inlineStr">
        <is>
          <t>27BBBBB02981Z5</t>
        </is>
      </c>
      <c r="B2981" t="inlineStr">
        <is>
          <t>Dec-2022</t>
        </is>
      </c>
      <c r="C2981" s="2" t="n">
        <v>45231</v>
      </c>
      <c r="D2981" t="inlineStr">
        <is>
          <t>NON-NIL</t>
        </is>
      </c>
      <c r="E2981" t="n">
        <v>1228</v>
      </c>
    </row>
    <row r="2982">
      <c r="A2982" t="inlineStr">
        <is>
          <t>27BBBBB02982Z5</t>
        </is>
      </c>
      <c r="B2982" t="inlineStr">
        <is>
          <t>Dec-2022</t>
        </is>
      </c>
      <c r="C2982" s="2" t="n">
        <v>45056</v>
      </c>
      <c r="D2982" t="inlineStr">
        <is>
          <t>NIL</t>
        </is>
      </c>
      <c r="E2982" t="n">
        <v>1414</v>
      </c>
    </row>
    <row r="2983">
      <c r="A2983" t="inlineStr">
        <is>
          <t>27BBBBB02983Z5</t>
        </is>
      </c>
      <c r="B2983" t="inlineStr">
        <is>
          <t>Jun-2020</t>
        </is>
      </c>
      <c r="C2983" s="2" t="n">
        <v>44833</v>
      </c>
      <c r="D2983" t="inlineStr">
        <is>
          <t>NIL</t>
        </is>
      </c>
      <c r="E2983" t="n">
        <v>2602</v>
      </c>
    </row>
    <row r="2984">
      <c r="A2984" t="inlineStr">
        <is>
          <t>27BBBBB02984Z5</t>
        </is>
      </c>
      <c r="B2984" t="inlineStr">
        <is>
          <t>Jul-2017</t>
        </is>
      </c>
      <c r="C2984" s="2" t="n">
        <v>44228</v>
      </c>
      <c r="D2984" t="inlineStr">
        <is>
          <t>NIL</t>
        </is>
      </c>
      <c r="E2984" t="n">
        <v>2918</v>
      </c>
    </row>
    <row r="2985">
      <c r="A2985" t="inlineStr">
        <is>
          <t>27BBBBB02985Z5</t>
        </is>
      </c>
      <c r="B2985" t="inlineStr">
        <is>
          <t>Oct-2018</t>
        </is>
      </c>
      <c r="C2985" s="2" t="n">
        <v>44459</v>
      </c>
      <c r="D2985" t="inlineStr">
        <is>
          <t>NON-NIL</t>
        </is>
      </c>
      <c r="E2985" t="n">
        <v>2160</v>
      </c>
    </row>
    <row r="2986">
      <c r="A2986" t="inlineStr">
        <is>
          <t>27BBBBB02986Z5</t>
        </is>
      </c>
      <c r="B2986" t="inlineStr">
        <is>
          <t>Oct-2017</t>
        </is>
      </c>
      <c r="C2986" s="2" t="n">
        <v>43466</v>
      </c>
      <c r="D2986" t="inlineStr">
        <is>
          <t>NON-NIL</t>
        </is>
      </c>
      <c r="E2986" t="n">
        <v>2611</v>
      </c>
    </row>
    <row r="2987">
      <c r="A2987" t="inlineStr">
        <is>
          <t>27BBBBB02987Z5</t>
        </is>
      </c>
      <c r="B2987" t="inlineStr">
        <is>
          <t>Dec-2024</t>
        </is>
      </c>
      <c r="C2987" s="2" t="n">
        <v>43985</v>
      </c>
      <c r="D2987" t="inlineStr">
        <is>
          <t>NIL</t>
        </is>
      </c>
      <c r="E2987" t="n">
        <v>1672</v>
      </c>
    </row>
    <row r="2988">
      <c r="A2988" t="inlineStr">
        <is>
          <t>27BBBBB02988Z5</t>
        </is>
      </c>
      <c r="B2988" t="inlineStr">
        <is>
          <t>Dec-2018</t>
        </is>
      </c>
      <c r="C2988" s="2" t="n">
        <v>43874</v>
      </c>
      <c r="D2988" t="inlineStr">
        <is>
          <t>NON-NIL</t>
        </is>
      </c>
      <c r="E2988" t="n">
        <v>468</v>
      </c>
    </row>
    <row r="2989">
      <c r="A2989" t="inlineStr">
        <is>
          <t>27BBBBB02989Z5</t>
        </is>
      </c>
      <c r="B2989" t="inlineStr">
        <is>
          <t>Apr-2020</t>
        </is>
      </c>
      <c r="C2989" s="2" t="n">
        <v>43874</v>
      </c>
      <c r="D2989" t="inlineStr">
        <is>
          <t>NON-NIL</t>
        </is>
      </c>
      <c r="E2989" t="n">
        <v>1283</v>
      </c>
    </row>
    <row r="2990">
      <c r="A2990" t="inlineStr">
        <is>
          <t>27BBBBB02990Z5</t>
        </is>
      </c>
      <c r="B2990" t="inlineStr">
        <is>
          <t>Jul-2017</t>
        </is>
      </c>
      <c r="C2990" s="2" t="n">
        <v>43565</v>
      </c>
      <c r="D2990" t="inlineStr">
        <is>
          <t>NON-NIL</t>
        </is>
      </c>
      <c r="E2990" t="n">
        <v>321</v>
      </c>
    </row>
    <row r="2991">
      <c r="A2991" t="inlineStr">
        <is>
          <t>27BBBBB02991Z5</t>
        </is>
      </c>
      <c r="B2991" t="inlineStr">
        <is>
          <t>Oct-2017</t>
        </is>
      </c>
      <c r="C2991" s="2" t="n">
        <v>44384</v>
      </c>
      <c r="D2991" t="inlineStr">
        <is>
          <t>NON-NIL</t>
        </is>
      </c>
      <c r="E2991" t="n">
        <v>1446</v>
      </c>
    </row>
    <row r="2992">
      <c r="A2992" t="inlineStr">
        <is>
          <t>27BBBBB02992Z5</t>
        </is>
      </c>
      <c r="B2992" t="inlineStr">
        <is>
          <t>Jun-2018</t>
        </is>
      </c>
      <c r="C2992" s="2" t="n">
        <v>43115</v>
      </c>
      <c r="D2992" t="inlineStr">
        <is>
          <t>NIL</t>
        </is>
      </c>
      <c r="E2992" t="n">
        <v>2022</v>
      </c>
    </row>
    <row r="2993">
      <c r="A2993" t="inlineStr">
        <is>
          <t>27BBBBB02993Z5</t>
        </is>
      </c>
      <c r="B2993" t="inlineStr">
        <is>
          <t>Apr-2018</t>
        </is>
      </c>
      <c r="C2993" s="2" t="n">
        <v>44135</v>
      </c>
      <c r="D2993" t="inlineStr">
        <is>
          <t>NIL</t>
        </is>
      </c>
      <c r="E2993" t="n">
        <v>2303</v>
      </c>
    </row>
    <row r="2994">
      <c r="A2994" t="inlineStr">
        <is>
          <t>27BBBBB02994Z5</t>
        </is>
      </c>
      <c r="B2994" t="inlineStr">
        <is>
          <t>Nov-2018</t>
        </is>
      </c>
      <c r="C2994" s="2" t="n">
        <v>43739</v>
      </c>
      <c r="D2994" t="inlineStr">
        <is>
          <t>NON-NIL</t>
        </is>
      </c>
      <c r="E2994" t="n">
        <v>427</v>
      </c>
    </row>
    <row r="2995">
      <c r="A2995" t="inlineStr">
        <is>
          <t>27BBBBB02995Z5</t>
        </is>
      </c>
      <c r="B2995" t="inlineStr">
        <is>
          <t>Sep-2017</t>
        </is>
      </c>
      <c r="C2995" s="2" t="n">
        <v>43679</v>
      </c>
      <c r="D2995" t="inlineStr">
        <is>
          <t>NIL</t>
        </is>
      </c>
      <c r="E2995" t="n">
        <v>262</v>
      </c>
    </row>
    <row r="2996">
      <c r="A2996" t="inlineStr">
        <is>
          <t>27BBBBB02996Z5</t>
        </is>
      </c>
      <c r="B2996" t="inlineStr">
        <is>
          <t>Oct-2018</t>
        </is>
      </c>
      <c r="C2996" s="2" t="n">
        <v>43064</v>
      </c>
      <c r="D2996" t="inlineStr">
        <is>
          <t>NON-NIL</t>
        </is>
      </c>
      <c r="E2996" t="n">
        <v>516</v>
      </c>
    </row>
    <row r="2997">
      <c r="A2997" t="inlineStr">
        <is>
          <t>27BBBBB02997Z5</t>
        </is>
      </c>
      <c r="B2997" t="inlineStr">
        <is>
          <t>Mar-2020</t>
        </is>
      </c>
      <c r="C2997" s="2" t="n">
        <v>44765</v>
      </c>
      <c r="D2997" t="inlineStr">
        <is>
          <t>NIL</t>
        </is>
      </c>
      <c r="E2997" t="n">
        <v>324</v>
      </c>
    </row>
    <row r="2998">
      <c r="A2998" t="inlineStr">
        <is>
          <t>27BBBBB02998Z5</t>
        </is>
      </c>
      <c r="B2998" t="inlineStr">
        <is>
          <t>Jan-2021</t>
        </is>
      </c>
      <c r="C2998" s="2" t="n">
        <v>44228</v>
      </c>
      <c r="D2998" t="inlineStr">
        <is>
          <t>NON-NIL</t>
        </is>
      </c>
      <c r="E2998" t="n">
        <v>2076</v>
      </c>
    </row>
    <row r="2999">
      <c r="A2999" t="inlineStr">
        <is>
          <t>27BBBBB02999Z5</t>
        </is>
      </c>
      <c r="B2999" t="inlineStr">
        <is>
          <t>Jan-2018</t>
        </is>
      </c>
      <c r="C2999" s="2" t="n">
        <v>44231</v>
      </c>
      <c r="D2999" t="inlineStr">
        <is>
          <t>NIL</t>
        </is>
      </c>
      <c r="E2999" t="n">
        <v>1458</v>
      </c>
    </row>
    <row r="3000">
      <c r="A3000" t="inlineStr">
        <is>
          <t>27BBBBB03000Z5</t>
        </is>
      </c>
      <c r="B3000" t="inlineStr">
        <is>
          <t>Mar-2021</t>
        </is>
      </c>
      <c r="C3000" s="2" t="n">
        <v>45128</v>
      </c>
      <c r="D3000" t="inlineStr">
        <is>
          <t>NIL</t>
        </is>
      </c>
      <c r="E3000" t="n">
        <v>2654</v>
      </c>
    </row>
    <row r="3001">
      <c r="A3001" t="inlineStr">
        <is>
          <t>27BBBBB03001Z5</t>
        </is>
      </c>
      <c r="B3001" t="inlineStr">
        <is>
          <t>Dec-2024</t>
        </is>
      </c>
      <c r="C3001" s="2" t="n">
        <v>44534</v>
      </c>
      <c r="D3001" t="inlineStr">
        <is>
          <t>NIL</t>
        </is>
      </c>
      <c r="E3001" t="n">
        <v>246</v>
      </c>
    </row>
    <row r="3002">
      <c r="A3002" t="inlineStr">
        <is>
          <t>27BBBBB03002Z5</t>
        </is>
      </c>
      <c r="B3002" t="inlineStr">
        <is>
          <t>Jul-2018</t>
        </is>
      </c>
      <c r="C3002" s="2" t="n">
        <v>43016</v>
      </c>
      <c r="D3002" t="inlineStr">
        <is>
          <t>NON-NIL</t>
        </is>
      </c>
      <c r="E3002" t="n">
        <v>2617</v>
      </c>
    </row>
    <row r="3003">
      <c r="A3003" t="inlineStr">
        <is>
          <t>27BBBBB03003Z5</t>
        </is>
      </c>
      <c r="B3003" t="inlineStr">
        <is>
          <t>Sep-2017</t>
        </is>
      </c>
      <c r="C3003" s="2" t="n">
        <v>44510</v>
      </c>
      <c r="D3003" t="inlineStr">
        <is>
          <t>NIL</t>
        </is>
      </c>
      <c r="E3003" t="n">
        <v>1653</v>
      </c>
    </row>
    <row r="3004">
      <c r="A3004" t="inlineStr">
        <is>
          <t>27BBBBB03004Z5</t>
        </is>
      </c>
      <c r="B3004" t="inlineStr">
        <is>
          <t>Apr-2020</t>
        </is>
      </c>
      <c r="C3004" s="2" t="n">
        <v>44817</v>
      </c>
      <c r="D3004" t="inlineStr">
        <is>
          <t>NON-NIL</t>
        </is>
      </c>
      <c r="E3004" t="n">
        <v>2498</v>
      </c>
    </row>
    <row r="3005">
      <c r="A3005" t="inlineStr">
        <is>
          <t>27BBBBB03005Z5</t>
        </is>
      </c>
      <c r="B3005" t="inlineStr">
        <is>
          <t>Jul-2017</t>
        </is>
      </c>
      <c r="C3005" s="2" t="n">
        <v>43620</v>
      </c>
      <c r="D3005" t="inlineStr">
        <is>
          <t>NON-NIL</t>
        </is>
      </c>
      <c r="E3005" t="n">
        <v>1010</v>
      </c>
    </row>
    <row r="3006">
      <c r="A3006" t="inlineStr">
        <is>
          <t>27BBBBB03006Z5</t>
        </is>
      </c>
      <c r="B3006" t="inlineStr">
        <is>
          <t>May-2018</t>
        </is>
      </c>
      <c r="C3006" s="2" t="n">
        <v>44481</v>
      </c>
      <c r="D3006" t="inlineStr">
        <is>
          <t>NIL</t>
        </is>
      </c>
      <c r="E3006" t="n">
        <v>1660</v>
      </c>
    </row>
    <row r="3007">
      <c r="A3007" t="inlineStr">
        <is>
          <t>27BBBBB03007Z5</t>
        </is>
      </c>
      <c r="B3007" t="inlineStr">
        <is>
          <t>Dec-2018</t>
        </is>
      </c>
      <c r="C3007" s="2" t="n">
        <v>44529</v>
      </c>
      <c r="D3007" t="inlineStr">
        <is>
          <t>NIL</t>
        </is>
      </c>
      <c r="E3007" t="n">
        <v>275</v>
      </c>
    </row>
    <row r="3008">
      <c r="A3008" t="inlineStr">
        <is>
          <t>27BBBBB03008Z5</t>
        </is>
      </c>
      <c r="B3008" t="inlineStr">
        <is>
          <t>Apr-2020</t>
        </is>
      </c>
      <c r="C3008" s="2" t="n">
        <v>44440</v>
      </c>
      <c r="D3008" t="inlineStr">
        <is>
          <t>NON-NIL</t>
        </is>
      </c>
      <c r="E3008" t="n">
        <v>342</v>
      </c>
    </row>
    <row r="3009">
      <c r="A3009" t="inlineStr">
        <is>
          <t>27BBBBB03009Z5</t>
        </is>
      </c>
      <c r="B3009" t="inlineStr">
        <is>
          <t>Mar-2020</t>
        </is>
      </c>
      <c r="C3009" s="2" t="n">
        <v>43833</v>
      </c>
      <c r="D3009" t="inlineStr">
        <is>
          <t>NIL</t>
        </is>
      </c>
      <c r="E3009" t="n">
        <v>2728</v>
      </c>
    </row>
    <row r="3010">
      <c r="A3010" t="inlineStr">
        <is>
          <t>27BBBBB03010Z5</t>
        </is>
      </c>
      <c r="B3010" t="inlineStr">
        <is>
          <t>Feb-2018</t>
        </is>
      </c>
      <c r="C3010" s="2" t="n">
        <v>43271</v>
      </c>
      <c r="D3010" t="inlineStr">
        <is>
          <t>NON-NIL</t>
        </is>
      </c>
      <c r="E3010" t="n">
        <v>2892</v>
      </c>
    </row>
    <row r="3011">
      <c r="A3011" t="inlineStr">
        <is>
          <t>27BBBBB03011Z5</t>
        </is>
      </c>
      <c r="B3011" t="inlineStr">
        <is>
          <t>Oct-2017</t>
        </is>
      </c>
      <c r="C3011" s="2" t="n">
        <v>42982</v>
      </c>
      <c r="D3011" t="inlineStr">
        <is>
          <t>NON-NIL</t>
        </is>
      </c>
      <c r="E3011" t="n">
        <v>1009</v>
      </c>
    </row>
    <row r="3012">
      <c r="A3012" t="inlineStr">
        <is>
          <t>27BBBBB03012Z5</t>
        </is>
      </c>
      <c r="B3012" t="inlineStr">
        <is>
          <t>Nov-2017</t>
        </is>
      </c>
      <c r="C3012" s="2" t="n">
        <v>43613</v>
      </c>
      <c r="D3012" t="inlineStr">
        <is>
          <t>NON-NIL</t>
        </is>
      </c>
      <c r="E3012" t="n">
        <v>1496</v>
      </c>
    </row>
    <row r="3013">
      <c r="A3013" t="inlineStr">
        <is>
          <t>27BBBBB03013Z5</t>
        </is>
      </c>
      <c r="B3013" t="inlineStr">
        <is>
          <t>Apr-2020</t>
        </is>
      </c>
      <c r="C3013" s="2" t="n">
        <v>44117</v>
      </c>
      <c r="D3013" t="inlineStr">
        <is>
          <t>NIL</t>
        </is>
      </c>
      <c r="E3013" t="n">
        <v>741</v>
      </c>
    </row>
    <row r="3014">
      <c r="A3014" t="inlineStr">
        <is>
          <t>27BBBBB03014Z5</t>
        </is>
      </c>
      <c r="B3014" t="inlineStr">
        <is>
          <t>Feb-2018</t>
        </is>
      </c>
      <c r="C3014" s="2" t="n">
        <v>42990</v>
      </c>
      <c r="D3014" t="inlineStr">
        <is>
          <t>NIL</t>
        </is>
      </c>
      <c r="E3014" t="n">
        <v>1225</v>
      </c>
    </row>
    <row r="3015">
      <c r="A3015" t="inlineStr">
        <is>
          <t>27BBBBB03015Z5</t>
        </is>
      </c>
      <c r="B3015" t="inlineStr">
        <is>
          <t>Nov-2018</t>
        </is>
      </c>
      <c r="C3015" s="2" t="n">
        <v>44172</v>
      </c>
      <c r="D3015" t="inlineStr">
        <is>
          <t>NIL</t>
        </is>
      </c>
      <c r="E3015" t="n">
        <v>1329</v>
      </c>
    </row>
    <row r="3016">
      <c r="A3016" t="inlineStr">
        <is>
          <t>27BBBBB03016Z5</t>
        </is>
      </c>
      <c r="B3016" t="inlineStr">
        <is>
          <t>Aug-2018</t>
        </is>
      </c>
      <c r="C3016" s="2" t="n">
        <v>44376</v>
      </c>
      <c r="D3016" t="inlineStr">
        <is>
          <t>NON-NIL</t>
        </is>
      </c>
      <c r="E3016" t="n">
        <v>837</v>
      </c>
    </row>
    <row r="3017">
      <c r="A3017" t="inlineStr">
        <is>
          <t>27BBBBB03017Z5</t>
        </is>
      </c>
      <c r="B3017" t="inlineStr">
        <is>
          <t>Sep-2017</t>
        </is>
      </c>
      <c r="C3017" s="2" t="n">
        <v>43823</v>
      </c>
      <c r="D3017" t="inlineStr">
        <is>
          <t>NIL</t>
        </is>
      </c>
      <c r="E3017" t="n">
        <v>322</v>
      </c>
    </row>
    <row r="3018">
      <c r="A3018" t="inlineStr">
        <is>
          <t>27BBBBB03018Z5</t>
        </is>
      </c>
      <c r="B3018" t="inlineStr">
        <is>
          <t>Jan-2021</t>
        </is>
      </c>
      <c r="C3018" s="2" t="n">
        <v>43701</v>
      </c>
      <c r="D3018" t="inlineStr">
        <is>
          <t>NON-NIL</t>
        </is>
      </c>
      <c r="E3018" t="n">
        <v>1618</v>
      </c>
    </row>
    <row r="3019">
      <c r="A3019" t="inlineStr">
        <is>
          <t>27BBBBB03019Z5</t>
        </is>
      </c>
      <c r="B3019" t="inlineStr">
        <is>
          <t>Jan-2018</t>
        </is>
      </c>
      <c r="C3019" s="2" t="n">
        <v>44495</v>
      </c>
      <c r="D3019" t="inlineStr">
        <is>
          <t>NIL</t>
        </is>
      </c>
      <c r="E3019" t="n">
        <v>291</v>
      </c>
    </row>
    <row r="3020">
      <c r="A3020" t="inlineStr">
        <is>
          <t>27BBBBB03020Z5</t>
        </is>
      </c>
      <c r="B3020" t="inlineStr">
        <is>
          <t>Nov-2018</t>
        </is>
      </c>
      <c r="C3020" s="2" t="n">
        <v>44334</v>
      </c>
      <c r="D3020" t="inlineStr">
        <is>
          <t>NON-NIL</t>
        </is>
      </c>
      <c r="E3020" t="n">
        <v>2991</v>
      </c>
    </row>
    <row r="3021">
      <c r="A3021" t="inlineStr">
        <is>
          <t>27BBBBB03021Z5</t>
        </is>
      </c>
      <c r="B3021" t="inlineStr">
        <is>
          <t>Sep-2018</t>
        </is>
      </c>
      <c r="C3021" s="2" t="n">
        <v>42950</v>
      </c>
      <c r="D3021" t="inlineStr">
        <is>
          <t>NIL</t>
        </is>
      </c>
      <c r="E3021" t="n">
        <v>2319</v>
      </c>
    </row>
    <row r="3022">
      <c r="A3022" t="inlineStr">
        <is>
          <t>27BBBBB03022Z5</t>
        </is>
      </c>
      <c r="B3022" t="inlineStr">
        <is>
          <t>Dec-2018</t>
        </is>
      </c>
      <c r="C3022" s="2" t="n">
        <v>43930</v>
      </c>
      <c r="D3022" t="inlineStr">
        <is>
          <t>NIL</t>
        </is>
      </c>
      <c r="E3022" t="n">
        <v>1432</v>
      </c>
    </row>
    <row r="3023">
      <c r="A3023" t="inlineStr">
        <is>
          <t>27BBBBB03023Z5</t>
        </is>
      </c>
      <c r="B3023" t="inlineStr">
        <is>
          <t>Jul-2017</t>
        </is>
      </c>
      <c r="C3023" s="2" t="n">
        <v>44314</v>
      </c>
      <c r="D3023" t="inlineStr">
        <is>
          <t>NON-NIL</t>
        </is>
      </c>
      <c r="E3023" t="n">
        <v>1232</v>
      </c>
    </row>
    <row r="3024">
      <c r="A3024" t="inlineStr">
        <is>
          <t>27BBBBB03024Z5</t>
        </is>
      </c>
      <c r="B3024" t="inlineStr">
        <is>
          <t>Apr-2018</t>
        </is>
      </c>
      <c r="C3024" s="2" t="n">
        <v>43657</v>
      </c>
      <c r="D3024" t="inlineStr">
        <is>
          <t>NIL</t>
        </is>
      </c>
      <c r="E3024" t="n">
        <v>447</v>
      </c>
    </row>
    <row r="3025">
      <c r="A3025" t="inlineStr">
        <is>
          <t>27BBBBB03025Z5</t>
        </is>
      </c>
      <c r="B3025" t="inlineStr">
        <is>
          <t>Dec-2018</t>
        </is>
      </c>
      <c r="C3025" s="2" t="n">
        <v>43135</v>
      </c>
      <c r="D3025" t="inlineStr">
        <is>
          <t>NIL</t>
        </is>
      </c>
      <c r="E3025" t="n">
        <v>389</v>
      </c>
    </row>
    <row r="3026">
      <c r="A3026" t="inlineStr">
        <is>
          <t>27BBBBB03026Z5</t>
        </is>
      </c>
      <c r="B3026" t="inlineStr">
        <is>
          <t>Nov-2017</t>
        </is>
      </c>
      <c r="C3026" s="2" t="n">
        <v>43652</v>
      </c>
      <c r="D3026" t="inlineStr">
        <is>
          <t>NON-NIL</t>
        </is>
      </c>
      <c r="E3026" t="n">
        <v>1815</v>
      </c>
    </row>
    <row r="3027">
      <c r="A3027" t="inlineStr">
        <is>
          <t>27BBBBB03027Z5</t>
        </is>
      </c>
      <c r="B3027" t="inlineStr">
        <is>
          <t>Jul-2017</t>
        </is>
      </c>
      <c r="C3027" s="2" t="n">
        <v>44099</v>
      </c>
      <c r="D3027" t="inlineStr">
        <is>
          <t>NON-NIL</t>
        </is>
      </c>
      <c r="E3027" t="n">
        <v>790</v>
      </c>
    </row>
    <row r="3028">
      <c r="A3028" t="inlineStr">
        <is>
          <t>27BBBBB03028Z5</t>
        </is>
      </c>
      <c r="B3028" t="inlineStr">
        <is>
          <t>Mar-2018</t>
        </is>
      </c>
      <c r="C3028" s="2" t="n">
        <v>43128</v>
      </c>
      <c r="D3028" t="inlineStr">
        <is>
          <t>NIL</t>
        </is>
      </c>
      <c r="E3028" t="n">
        <v>1465</v>
      </c>
    </row>
    <row r="3029">
      <c r="A3029" t="inlineStr">
        <is>
          <t>27BBBBB03029Z5</t>
        </is>
      </c>
      <c r="B3029" t="inlineStr">
        <is>
          <t>May-2020</t>
        </is>
      </c>
      <c r="C3029" s="2" t="n">
        <v>43874</v>
      </c>
      <c r="D3029" t="inlineStr">
        <is>
          <t>NON-NIL</t>
        </is>
      </c>
      <c r="E3029" t="n">
        <v>1139</v>
      </c>
    </row>
    <row r="3030">
      <c r="A3030" t="inlineStr">
        <is>
          <t>27BBBBB03030Z5</t>
        </is>
      </c>
      <c r="B3030" t="inlineStr">
        <is>
          <t>Jul-2020</t>
        </is>
      </c>
      <c r="C3030" s="2" t="n">
        <v>43843</v>
      </c>
      <c r="D3030" t="inlineStr">
        <is>
          <t>NON-NIL</t>
        </is>
      </c>
      <c r="E3030" t="n">
        <v>1686</v>
      </c>
    </row>
    <row r="3031">
      <c r="A3031" t="inlineStr">
        <is>
          <t>27BBBBB03031Z5</t>
        </is>
      </c>
      <c r="B3031" t="inlineStr">
        <is>
          <t>Mar-2018</t>
        </is>
      </c>
      <c r="C3031" s="2" t="n">
        <v>44455</v>
      </c>
      <c r="D3031" t="inlineStr">
        <is>
          <t>NON-NIL</t>
        </is>
      </c>
      <c r="E3031" t="n">
        <v>448</v>
      </c>
    </row>
    <row r="3032">
      <c r="A3032" t="inlineStr">
        <is>
          <t>27BBBBB03032Z5</t>
        </is>
      </c>
      <c r="B3032" t="inlineStr">
        <is>
          <t>May-2020</t>
        </is>
      </c>
      <c r="C3032" s="2" t="n">
        <v>44618</v>
      </c>
      <c r="D3032" t="inlineStr">
        <is>
          <t>NIL</t>
        </is>
      </c>
      <c r="E3032" t="n">
        <v>2580</v>
      </c>
    </row>
    <row r="3033">
      <c r="A3033" t="inlineStr">
        <is>
          <t>27BBBBB03033Z5</t>
        </is>
      </c>
      <c r="B3033" t="inlineStr">
        <is>
          <t>Mar-2020</t>
        </is>
      </c>
      <c r="C3033" s="2" t="n">
        <v>44383</v>
      </c>
      <c r="D3033" t="inlineStr">
        <is>
          <t>NIL</t>
        </is>
      </c>
      <c r="E3033" t="n">
        <v>1675</v>
      </c>
    </row>
    <row r="3034">
      <c r="A3034" t="inlineStr">
        <is>
          <t>27BBBBB03034Z5</t>
        </is>
      </c>
      <c r="B3034" t="inlineStr">
        <is>
          <t>Dec-2018</t>
        </is>
      </c>
      <c r="C3034" s="2" t="n">
        <v>44330</v>
      </c>
      <c r="D3034" t="inlineStr">
        <is>
          <t>NIL</t>
        </is>
      </c>
      <c r="E3034" t="n">
        <v>776</v>
      </c>
    </row>
    <row r="3035">
      <c r="A3035" t="inlineStr">
        <is>
          <t>27BBBBB03035Z5</t>
        </is>
      </c>
      <c r="B3035" t="inlineStr">
        <is>
          <t>Sep-2017</t>
        </is>
      </c>
      <c r="C3035" s="2" t="n">
        <v>43522</v>
      </c>
      <c r="D3035" t="inlineStr">
        <is>
          <t>NON-NIL</t>
        </is>
      </c>
      <c r="E3035" t="n">
        <v>958</v>
      </c>
    </row>
    <row r="3036">
      <c r="A3036" t="inlineStr">
        <is>
          <t>27BBBBB03036Z5</t>
        </is>
      </c>
      <c r="B3036" t="inlineStr">
        <is>
          <t>Mar-2021</t>
        </is>
      </c>
      <c r="C3036" s="2" t="n">
        <v>44618</v>
      </c>
      <c r="D3036" t="inlineStr">
        <is>
          <t>NIL</t>
        </is>
      </c>
      <c r="E3036" t="n">
        <v>1919</v>
      </c>
    </row>
    <row r="3037">
      <c r="A3037" t="inlineStr">
        <is>
          <t>27BBBBB03037Z5</t>
        </is>
      </c>
      <c r="B3037" t="inlineStr">
        <is>
          <t>Mar-2023</t>
        </is>
      </c>
      <c r="C3037" s="2" t="n">
        <v>44013</v>
      </c>
      <c r="D3037" t="inlineStr">
        <is>
          <t>NIL</t>
        </is>
      </c>
      <c r="E3037" t="n">
        <v>1804</v>
      </c>
    </row>
    <row r="3038">
      <c r="A3038" t="inlineStr">
        <is>
          <t>27BBBBB03038Z5</t>
        </is>
      </c>
      <c r="B3038" t="inlineStr">
        <is>
          <t>Mar-2021</t>
        </is>
      </c>
      <c r="C3038" s="2" t="n">
        <v>45644</v>
      </c>
      <c r="D3038" t="inlineStr">
        <is>
          <t>NON-NIL</t>
        </is>
      </c>
      <c r="E3038" t="n">
        <v>2987</v>
      </c>
    </row>
    <row r="3039">
      <c r="A3039" t="inlineStr">
        <is>
          <t>27BBBBB03039Z5</t>
        </is>
      </c>
      <c r="B3039" t="inlineStr">
        <is>
          <t>Jun-2018</t>
        </is>
      </c>
      <c r="C3039" s="2" t="n">
        <v>44281</v>
      </c>
      <c r="D3039" t="inlineStr">
        <is>
          <t>NON-NIL</t>
        </is>
      </c>
      <c r="E3039" t="n">
        <v>1348</v>
      </c>
    </row>
    <row r="3040">
      <c r="A3040" t="inlineStr">
        <is>
          <t>27BBBBB03040Z5</t>
        </is>
      </c>
      <c r="B3040" t="inlineStr">
        <is>
          <t>Dec-2018</t>
        </is>
      </c>
      <c r="C3040" s="2" t="n">
        <v>43534</v>
      </c>
      <c r="D3040" t="inlineStr">
        <is>
          <t>NIL</t>
        </is>
      </c>
      <c r="E3040" t="n">
        <v>724</v>
      </c>
    </row>
    <row r="3041">
      <c r="A3041" t="inlineStr">
        <is>
          <t>27BBBBB03041Z5</t>
        </is>
      </c>
      <c r="B3041" t="inlineStr">
        <is>
          <t>Nov-2017</t>
        </is>
      </c>
      <c r="C3041" s="2" t="n">
        <v>43247</v>
      </c>
      <c r="D3041" t="inlineStr">
        <is>
          <t>NON-NIL</t>
        </is>
      </c>
      <c r="E3041" t="n">
        <v>2948</v>
      </c>
    </row>
    <row r="3042">
      <c r="A3042" t="inlineStr">
        <is>
          <t>27BBBBB03042Z5</t>
        </is>
      </c>
      <c r="B3042" t="inlineStr">
        <is>
          <t>Oct-2018</t>
        </is>
      </c>
      <c r="C3042" s="2" t="n">
        <v>43692</v>
      </c>
      <c r="D3042" t="inlineStr">
        <is>
          <t>NIL</t>
        </is>
      </c>
      <c r="E3042" t="n">
        <v>530</v>
      </c>
    </row>
    <row r="3043">
      <c r="A3043" t="inlineStr">
        <is>
          <t>27BBBBB03043Z5</t>
        </is>
      </c>
      <c r="B3043" t="inlineStr">
        <is>
          <t>Oct-2017</t>
        </is>
      </c>
      <c r="C3043" s="2" t="n">
        <v>44051</v>
      </c>
      <c r="D3043" t="inlineStr">
        <is>
          <t>NIL</t>
        </is>
      </c>
      <c r="E3043" t="n">
        <v>1734</v>
      </c>
    </row>
    <row r="3044">
      <c r="A3044" t="inlineStr">
        <is>
          <t>27BBBBB03044Z5</t>
        </is>
      </c>
      <c r="B3044" t="inlineStr">
        <is>
          <t>Mar-2021</t>
        </is>
      </c>
      <c r="C3044" s="2" t="n">
        <v>45242</v>
      </c>
      <c r="D3044" t="inlineStr">
        <is>
          <t>NON-NIL</t>
        </is>
      </c>
      <c r="E3044" t="n">
        <v>518</v>
      </c>
    </row>
    <row r="3045">
      <c r="A3045" t="inlineStr">
        <is>
          <t>27BBBBB03045Z5</t>
        </is>
      </c>
      <c r="B3045" t="inlineStr">
        <is>
          <t>May-2018</t>
        </is>
      </c>
      <c r="C3045" s="2" t="n">
        <v>43279</v>
      </c>
      <c r="D3045" t="inlineStr">
        <is>
          <t>NON-NIL</t>
        </is>
      </c>
      <c r="E3045" t="n">
        <v>2419</v>
      </c>
    </row>
    <row r="3046">
      <c r="A3046" t="inlineStr">
        <is>
          <t>27BBBBB03046Z5</t>
        </is>
      </c>
      <c r="B3046" t="inlineStr">
        <is>
          <t>Jan-2018</t>
        </is>
      </c>
      <c r="C3046" s="2" t="n">
        <v>44455</v>
      </c>
      <c r="D3046" t="inlineStr">
        <is>
          <t>NON-NIL</t>
        </is>
      </c>
      <c r="E3046" t="n">
        <v>1042</v>
      </c>
    </row>
    <row r="3047">
      <c r="A3047" t="inlineStr">
        <is>
          <t>27BBBBB03047Z5</t>
        </is>
      </c>
      <c r="B3047" t="inlineStr">
        <is>
          <t>Mar-2018</t>
        </is>
      </c>
      <c r="C3047" s="2" t="n">
        <v>43635</v>
      </c>
      <c r="D3047" t="inlineStr">
        <is>
          <t>NIL</t>
        </is>
      </c>
      <c r="E3047" t="n">
        <v>2917</v>
      </c>
    </row>
    <row r="3048">
      <c r="A3048" t="inlineStr">
        <is>
          <t>27BBBBB03048Z5</t>
        </is>
      </c>
      <c r="B3048" t="inlineStr">
        <is>
          <t>Dec-2022</t>
        </is>
      </c>
      <c r="C3048" s="2" t="n">
        <v>43622</v>
      </c>
      <c r="D3048" t="inlineStr">
        <is>
          <t>NON-NIL</t>
        </is>
      </c>
      <c r="E3048" t="n">
        <v>1802</v>
      </c>
    </row>
    <row r="3049">
      <c r="A3049" t="inlineStr">
        <is>
          <t>27BBBBB03049Z5</t>
        </is>
      </c>
      <c r="B3049" t="inlineStr">
        <is>
          <t>Oct-2018</t>
        </is>
      </c>
      <c r="C3049" s="2" t="n">
        <v>43525</v>
      </c>
      <c r="D3049" t="inlineStr">
        <is>
          <t>NIL</t>
        </is>
      </c>
      <c r="E3049" t="n">
        <v>267</v>
      </c>
    </row>
    <row r="3050">
      <c r="A3050" t="inlineStr">
        <is>
          <t>27BBBBB03050Z5</t>
        </is>
      </c>
      <c r="B3050" t="inlineStr">
        <is>
          <t>Jan-2021</t>
        </is>
      </c>
      <c r="C3050" s="2" t="n">
        <v>43497</v>
      </c>
      <c r="D3050" t="inlineStr">
        <is>
          <t>NIL</t>
        </is>
      </c>
      <c r="E3050" t="n">
        <v>60</v>
      </c>
    </row>
    <row r="3051">
      <c r="A3051" t="inlineStr">
        <is>
          <t>27BBBBB03051Z5</t>
        </is>
      </c>
      <c r="B3051" t="inlineStr">
        <is>
          <t>Aug-2018</t>
        </is>
      </c>
      <c r="C3051" s="2" t="n">
        <v>43344</v>
      </c>
      <c r="D3051" t="inlineStr">
        <is>
          <t>NON-NIL</t>
        </is>
      </c>
      <c r="E3051" t="n">
        <v>1209</v>
      </c>
    </row>
    <row r="3052">
      <c r="A3052" t="inlineStr">
        <is>
          <t>27BBBBB03052Z5</t>
        </is>
      </c>
      <c r="B3052" t="inlineStr">
        <is>
          <t>Jan-2018</t>
        </is>
      </c>
      <c r="C3052" s="2" t="n">
        <v>44404</v>
      </c>
      <c r="D3052" t="inlineStr">
        <is>
          <t>NON-NIL</t>
        </is>
      </c>
      <c r="E3052" t="n">
        <v>421</v>
      </c>
    </row>
    <row r="3053">
      <c r="A3053" t="inlineStr">
        <is>
          <t>27BBBBB03053Z5</t>
        </is>
      </c>
      <c r="B3053" t="inlineStr">
        <is>
          <t>Jul-2017</t>
        </is>
      </c>
      <c r="C3053" s="2" t="n">
        <v>44315</v>
      </c>
      <c r="D3053" t="inlineStr">
        <is>
          <t>NON-NIL</t>
        </is>
      </c>
      <c r="E3053" t="n">
        <v>684</v>
      </c>
    </row>
    <row r="3054">
      <c r="A3054" t="inlineStr">
        <is>
          <t>27BBBBB03054Z5</t>
        </is>
      </c>
      <c r="B3054" t="inlineStr">
        <is>
          <t>May-2018</t>
        </is>
      </c>
      <c r="C3054" s="2" t="n">
        <v>43827</v>
      </c>
      <c r="D3054" t="inlineStr">
        <is>
          <t>NON-NIL</t>
        </is>
      </c>
      <c r="E3054" t="n">
        <v>1104</v>
      </c>
    </row>
    <row r="3055">
      <c r="A3055" t="inlineStr">
        <is>
          <t>27BBBBB03055Z5</t>
        </is>
      </c>
      <c r="B3055" t="inlineStr">
        <is>
          <t>Dec-2017</t>
        </is>
      </c>
      <c r="C3055" s="2" t="n">
        <v>43386</v>
      </c>
      <c r="D3055" t="inlineStr">
        <is>
          <t>NON-NIL</t>
        </is>
      </c>
      <c r="E3055" t="n">
        <v>976</v>
      </c>
    </row>
    <row r="3056">
      <c r="A3056" t="inlineStr">
        <is>
          <t>27BBBBB03056Z5</t>
        </is>
      </c>
      <c r="B3056" t="inlineStr">
        <is>
          <t>May-2018</t>
        </is>
      </c>
      <c r="C3056" s="2" t="n">
        <v>43348</v>
      </c>
      <c r="D3056" t="inlineStr">
        <is>
          <t>NON-NIL</t>
        </is>
      </c>
      <c r="E3056" t="n">
        <v>2316</v>
      </c>
    </row>
    <row r="3057">
      <c r="A3057" t="inlineStr">
        <is>
          <t>27BBBBB03057Z5</t>
        </is>
      </c>
      <c r="B3057" t="inlineStr">
        <is>
          <t>Dec-2024</t>
        </is>
      </c>
      <c r="C3057" s="2" t="n">
        <v>45334</v>
      </c>
      <c r="D3057" t="inlineStr">
        <is>
          <t>NIL</t>
        </is>
      </c>
      <c r="E3057" t="n">
        <v>1275</v>
      </c>
    </row>
    <row r="3058">
      <c r="A3058" t="inlineStr">
        <is>
          <t>27BBBBB03058Z5</t>
        </is>
      </c>
      <c r="B3058" t="inlineStr">
        <is>
          <t>Nov-2018</t>
        </is>
      </c>
      <c r="C3058" s="2" t="n">
        <v>43775</v>
      </c>
      <c r="D3058" t="inlineStr">
        <is>
          <t>NIL</t>
        </is>
      </c>
      <c r="E3058" t="n">
        <v>679</v>
      </c>
    </row>
    <row r="3059">
      <c r="A3059" t="inlineStr">
        <is>
          <t>27BBBBB03059Z5</t>
        </is>
      </c>
      <c r="B3059" t="inlineStr">
        <is>
          <t>Dec-2017</t>
        </is>
      </c>
      <c r="C3059" s="2" t="n">
        <v>43597</v>
      </c>
      <c r="D3059" t="inlineStr">
        <is>
          <t>NIL</t>
        </is>
      </c>
      <c r="E3059" t="n">
        <v>1378</v>
      </c>
    </row>
    <row r="3060">
      <c r="A3060" t="inlineStr">
        <is>
          <t>27BBBBB03060Z5</t>
        </is>
      </c>
      <c r="B3060" t="inlineStr">
        <is>
          <t>Jul-2017</t>
        </is>
      </c>
      <c r="C3060" s="2" t="n">
        <v>43294</v>
      </c>
      <c r="D3060" t="inlineStr">
        <is>
          <t>NIL</t>
        </is>
      </c>
      <c r="E3060" t="n">
        <v>1832</v>
      </c>
    </row>
    <row r="3061">
      <c r="A3061" t="inlineStr">
        <is>
          <t>27BBBBB03061Z5</t>
        </is>
      </c>
      <c r="B3061" t="inlineStr">
        <is>
          <t>Sep-2018</t>
        </is>
      </c>
      <c r="C3061" s="2" t="n">
        <v>43452</v>
      </c>
      <c r="D3061" t="inlineStr">
        <is>
          <t>NON-NIL</t>
        </is>
      </c>
      <c r="E3061" t="n">
        <v>2620</v>
      </c>
    </row>
    <row r="3062">
      <c r="A3062" t="inlineStr">
        <is>
          <t>27BBBBB03062Z5</t>
        </is>
      </c>
      <c r="B3062" t="inlineStr">
        <is>
          <t>Mar-2020</t>
        </is>
      </c>
      <c r="C3062" s="2" t="n">
        <v>43846</v>
      </c>
      <c r="D3062" t="inlineStr">
        <is>
          <t>NIL</t>
        </is>
      </c>
      <c r="E3062" t="n">
        <v>942</v>
      </c>
    </row>
    <row r="3063">
      <c r="A3063" t="inlineStr">
        <is>
          <t>27BBBBB03063Z5</t>
        </is>
      </c>
      <c r="B3063" t="inlineStr">
        <is>
          <t>Nov-2018</t>
        </is>
      </c>
      <c r="C3063" s="2" t="n">
        <v>43438</v>
      </c>
      <c r="D3063" t="inlineStr">
        <is>
          <t>NON-NIL</t>
        </is>
      </c>
      <c r="E3063" t="n">
        <v>453</v>
      </c>
    </row>
    <row r="3064">
      <c r="A3064" t="inlineStr">
        <is>
          <t>27BBBBB03064Z5</t>
        </is>
      </c>
      <c r="B3064" t="inlineStr">
        <is>
          <t>Feb-2018</t>
        </is>
      </c>
      <c r="C3064" s="2" t="n">
        <v>43893</v>
      </c>
      <c r="D3064" t="inlineStr">
        <is>
          <t>NIL</t>
        </is>
      </c>
      <c r="E3064" t="n">
        <v>1390</v>
      </c>
    </row>
    <row r="3065">
      <c r="A3065" t="inlineStr">
        <is>
          <t>27BBBBB03065Z5</t>
        </is>
      </c>
      <c r="B3065" t="inlineStr">
        <is>
          <t>Nov-2018</t>
        </is>
      </c>
      <c r="C3065" s="2" t="n">
        <v>43928</v>
      </c>
      <c r="D3065" t="inlineStr">
        <is>
          <t>NON-NIL</t>
        </is>
      </c>
      <c r="E3065" t="n">
        <v>2983</v>
      </c>
    </row>
    <row r="3066">
      <c r="A3066" t="inlineStr">
        <is>
          <t>27BBBBB03066Z5</t>
        </is>
      </c>
      <c r="B3066" t="inlineStr">
        <is>
          <t>May-2018</t>
        </is>
      </c>
      <c r="C3066" s="2" t="n">
        <v>43204</v>
      </c>
      <c r="D3066" t="inlineStr">
        <is>
          <t>NIL</t>
        </is>
      </c>
      <c r="E3066" t="n">
        <v>747</v>
      </c>
    </row>
    <row r="3067">
      <c r="A3067" t="inlineStr">
        <is>
          <t>27BBBBB03067Z5</t>
        </is>
      </c>
      <c r="B3067" t="inlineStr">
        <is>
          <t>Dec-2022</t>
        </is>
      </c>
      <c r="C3067" s="2" t="n">
        <v>43803</v>
      </c>
      <c r="D3067" t="inlineStr">
        <is>
          <t>NIL</t>
        </is>
      </c>
      <c r="E3067" t="n">
        <v>2963</v>
      </c>
    </row>
    <row r="3068">
      <c r="A3068" t="inlineStr">
        <is>
          <t>27BBBBB03068Z5</t>
        </is>
      </c>
      <c r="B3068" t="inlineStr">
        <is>
          <t>Aug-2017</t>
        </is>
      </c>
      <c r="C3068" s="2" t="n">
        <v>42985</v>
      </c>
      <c r="D3068" t="inlineStr">
        <is>
          <t>NON-NIL</t>
        </is>
      </c>
      <c r="E3068" t="n">
        <v>50</v>
      </c>
    </row>
    <row r="3069">
      <c r="A3069" t="inlineStr">
        <is>
          <t>27BBBBB03069Z5</t>
        </is>
      </c>
      <c r="B3069" t="inlineStr">
        <is>
          <t>May-2020</t>
        </is>
      </c>
      <c r="C3069" s="2" t="n">
        <v>44138</v>
      </c>
      <c r="D3069" t="inlineStr">
        <is>
          <t>NIL</t>
        </is>
      </c>
      <c r="E3069" t="n">
        <v>2710</v>
      </c>
    </row>
    <row r="3070">
      <c r="A3070" t="inlineStr">
        <is>
          <t>27BBBBB03070Z5</t>
        </is>
      </c>
      <c r="B3070" t="inlineStr">
        <is>
          <t>Mar-2018</t>
        </is>
      </c>
      <c r="C3070" s="2" t="n">
        <v>43189</v>
      </c>
      <c r="D3070" t="inlineStr">
        <is>
          <t>NIL</t>
        </is>
      </c>
      <c r="E3070" t="n">
        <v>768</v>
      </c>
    </row>
    <row r="3071">
      <c r="A3071" t="inlineStr">
        <is>
          <t>27BBBBB03071Z5</t>
        </is>
      </c>
      <c r="B3071" t="inlineStr">
        <is>
          <t>Feb-2018</t>
        </is>
      </c>
      <c r="C3071" s="2" t="n">
        <v>44305</v>
      </c>
      <c r="D3071" t="inlineStr">
        <is>
          <t>NON-NIL</t>
        </is>
      </c>
      <c r="E3071" t="n">
        <v>2623</v>
      </c>
    </row>
    <row r="3072">
      <c r="A3072" t="inlineStr">
        <is>
          <t>27BBBBB03072Z5</t>
        </is>
      </c>
      <c r="B3072" t="inlineStr">
        <is>
          <t>Jan-2018</t>
        </is>
      </c>
      <c r="C3072" s="2" t="n">
        <v>44049</v>
      </c>
      <c r="D3072" t="inlineStr">
        <is>
          <t>NON-NIL</t>
        </is>
      </c>
      <c r="E3072" t="n">
        <v>1527</v>
      </c>
    </row>
    <row r="3073">
      <c r="A3073" t="inlineStr">
        <is>
          <t>27BBBBB03073Z5</t>
        </is>
      </c>
      <c r="B3073" t="inlineStr">
        <is>
          <t>Mar-2021</t>
        </is>
      </c>
      <c r="C3073" s="2" t="n">
        <v>44326</v>
      </c>
      <c r="D3073" t="inlineStr">
        <is>
          <t>NON-NIL</t>
        </is>
      </c>
      <c r="E3073" t="n">
        <v>134</v>
      </c>
    </row>
    <row r="3074">
      <c r="A3074" t="inlineStr">
        <is>
          <t>27BBBBB03074Z5</t>
        </is>
      </c>
      <c r="B3074" t="inlineStr">
        <is>
          <t>Dec-2022</t>
        </is>
      </c>
      <c r="C3074" s="2" t="n">
        <v>43688</v>
      </c>
      <c r="D3074" t="inlineStr">
        <is>
          <t>NIL</t>
        </is>
      </c>
      <c r="E3074" t="n">
        <v>397</v>
      </c>
    </row>
    <row r="3075">
      <c r="A3075" t="inlineStr">
        <is>
          <t>27BBBBB03075Z5</t>
        </is>
      </c>
      <c r="B3075" t="inlineStr">
        <is>
          <t>May-2018</t>
        </is>
      </c>
      <c r="C3075" s="2" t="n">
        <v>44275</v>
      </c>
      <c r="D3075" t="inlineStr">
        <is>
          <t>NON-NIL</t>
        </is>
      </c>
      <c r="E3075" t="n">
        <v>982</v>
      </c>
    </row>
    <row r="3076">
      <c r="A3076" t="inlineStr">
        <is>
          <t>27BBBBB03076Z5</t>
        </is>
      </c>
      <c r="B3076" t="inlineStr">
        <is>
          <t>Dec-2018</t>
        </is>
      </c>
      <c r="C3076" s="2" t="n">
        <v>43323</v>
      </c>
      <c r="D3076" t="inlineStr">
        <is>
          <t>NON-NIL</t>
        </is>
      </c>
      <c r="E3076" t="n">
        <v>1546</v>
      </c>
    </row>
    <row r="3077">
      <c r="A3077" t="inlineStr">
        <is>
          <t>27BBBBB03077Z5</t>
        </is>
      </c>
      <c r="B3077" t="inlineStr">
        <is>
          <t>Aug-2018</t>
        </is>
      </c>
      <c r="C3077" s="2" t="n">
        <v>44075</v>
      </c>
      <c r="D3077" t="inlineStr">
        <is>
          <t>NON-NIL</t>
        </is>
      </c>
      <c r="E3077" t="n">
        <v>2621</v>
      </c>
    </row>
    <row r="3078">
      <c r="A3078" t="inlineStr">
        <is>
          <t>27BBBBB03078Z5</t>
        </is>
      </c>
      <c r="B3078" t="inlineStr">
        <is>
          <t>Mar-2021</t>
        </is>
      </c>
      <c r="C3078" s="2" t="n">
        <v>44239</v>
      </c>
      <c r="D3078" t="inlineStr">
        <is>
          <t>NON-NIL</t>
        </is>
      </c>
      <c r="E3078" t="n">
        <v>1387</v>
      </c>
    </row>
    <row r="3079">
      <c r="A3079" t="inlineStr">
        <is>
          <t>27BBBBB03079Z5</t>
        </is>
      </c>
      <c r="B3079" t="inlineStr">
        <is>
          <t>Nov-2018</t>
        </is>
      </c>
      <c r="C3079" s="2" t="n">
        <v>43685</v>
      </c>
      <c r="D3079" t="inlineStr">
        <is>
          <t>NON-NIL</t>
        </is>
      </c>
      <c r="E3079" t="n">
        <v>2524</v>
      </c>
    </row>
    <row r="3080">
      <c r="A3080" t="inlineStr">
        <is>
          <t>27BBBBB03080Z5</t>
        </is>
      </c>
      <c r="B3080" t="inlineStr">
        <is>
          <t>Sep-2017</t>
        </is>
      </c>
      <c r="C3080" s="2" t="n">
        <v>44157</v>
      </c>
      <c r="D3080" t="inlineStr">
        <is>
          <t>NON-NIL</t>
        </is>
      </c>
      <c r="E3080" t="n">
        <v>2220</v>
      </c>
    </row>
    <row r="3081">
      <c r="A3081" t="inlineStr">
        <is>
          <t>27BBBBB03081Z5</t>
        </is>
      </c>
      <c r="B3081" t="inlineStr">
        <is>
          <t>Jul-2020</t>
        </is>
      </c>
      <c r="C3081" s="2" t="n">
        <v>44488</v>
      </c>
      <c r="D3081" t="inlineStr">
        <is>
          <t>NIL</t>
        </is>
      </c>
      <c r="E3081" t="n">
        <v>900</v>
      </c>
    </row>
    <row r="3082">
      <c r="A3082" t="inlineStr">
        <is>
          <t>27BBBBB03082Z5</t>
        </is>
      </c>
      <c r="B3082" t="inlineStr">
        <is>
          <t>Jul-2020</t>
        </is>
      </c>
      <c r="C3082" s="2" t="n">
        <v>44465</v>
      </c>
      <c r="D3082" t="inlineStr">
        <is>
          <t>NON-NIL</t>
        </is>
      </c>
      <c r="E3082" t="n">
        <v>1291</v>
      </c>
    </row>
    <row r="3083">
      <c r="A3083" t="inlineStr">
        <is>
          <t>27BBBBB03083Z5</t>
        </is>
      </c>
      <c r="B3083" t="inlineStr">
        <is>
          <t>Jan-2021</t>
        </is>
      </c>
      <c r="C3083" s="2" t="n">
        <v>44779</v>
      </c>
      <c r="D3083" t="inlineStr">
        <is>
          <t>NIL</t>
        </is>
      </c>
      <c r="E3083" t="n">
        <v>2851</v>
      </c>
    </row>
    <row r="3084">
      <c r="A3084" t="inlineStr">
        <is>
          <t>27BBBBB03084Z5</t>
        </is>
      </c>
      <c r="B3084" t="inlineStr">
        <is>
          <t>Dec-2017</t>
        </is>
      </c>
      <c r="C3084" s="2" t="n">
        <v>44138</v>
      </c>
      <c r="D3084" t="inlineStr">
        <is>
          <t>NON-NIL</t>
        </is>
      </c>
      <c r="E3084" t="n">
        <v>2039</v>
      </c>
    </row>
    <row r="3085">
      <c r="A3085" t="inlineStr">
        <is>
          <t>27BBBBB03085Z5</t>
        </is>
      </c>
      <c r="B3085" t="inlineStr">
        <is>
          <t>Oct-2018</t>
        </is>
      </c>
      <c r="C3085" s="2" t="n">
        <v>43305</v>
      </c>
      <c r="D3085" t="inlineStr">
        <is>
          <t>NON-NIL</t>
        </is>
      </c>
      <c r="E3085" t="n">
        <v>1291</v>
      </c>
    </row>
    <row r="3086">
      <c r="A3086" t="inlineStr">
        <is>
          <t>27BBBBB03086Z5</t>
        </is>
      </c>
      <c r="B3086" t="inlineStr">
        <is>
          <t>Mar-2020</t>
        </is>
      </c>
      <c r="C3086" s="2" t="n">
        <v>44469</v>
      </c>
      <c r="D3086" t="inlineStr">
        <is>
          <t>NIL</t>
        </is>
      </c>
      <c r="E3086" t="n">
        <v>2218</v>
      </c>
    </row>
    <row r="3087">
      <c r="A3087" t="inlineStr">
        <is>
          <t>27BBBBB03087Z5</t>
        </is>
      </c>
      <c r="B3087" t="inlineStr">
        <is>
          <t>Jan-2018</t>
        </is>
      </c>
      <c r="C3087" s="2" t="n">
        <v>43098</v>
      </c>
      <c r="D3087" t="inlineStr">
        <is>
          <t>NON-NIL</t>
        </is>
      </c>
      <c r="E3087" t="n">
        <v>445</v>
      </c>
    </row>
    <row r="3088">
      <c r="A3088" t="inlineStr">
        <is>
          <t>27BBBBB03088Z5</t>
        </is>
      </c>
      <c r="B3088" t="inlineStr">
        <is>
          <t>Jul-2018</t>
        </is>
      </c>
      <c r="C3088" s="2" t="n">
        <v>43774</v>
      </c>
      <c r="D3088" t="inlineStr">
        <is>
          <t>NON-NIL</t>
        </is>
      </c>
      <c r="E3088" t="n">
        <v>940</v>
      </c>
    </row>
    <row r="3089">
      <c r="A3089" t="inlineStr">
        <is>
          <t>27BBBBB03089Z5</t>
        </is>
      </c>
      <c r="B3089" t="inlineStr">
        <is>
          <t>Feb-2018</t>
        </is>
      </c>
      <c r="C3089" s="2" t="n">
        <v>43530</v>
      </c>
      <c r="D3089" t="inlineStr">
        <is>
          <t>NIL</t>
        </is>
      </c>
      <c r="E3089" t="n">
        <v>2097</v>
      </c>
    </row>
    <row r="3090">
      <c r="A3090" t="inlineStr">
        <is>
          <t>27BBBBB03090Z5</t>
        </is>
      </c>
      <c r="B3090" t="inlineStr">
        <is>
          <t>Dec-2022</t>
        </is>
      </c>
      <c r="C3090" s="2" t="n">
        <v>43608</v>
      </c>
      <c r="D3090" t="inlineStr">
        <is>
          <t>NIL</t>
        </is>
      </c>
      <c r="E3090" t="n">
        <v>398</v>
      </c>
    </row>
    <row r="3091">
      <c r="A3091" t="inlineStr">
        <is>
          <t>27BBBBB03091Z5</t>
        </is>
      </c>
      <c r="B3091" t="inlineStr">
        <is>
          <t>May-2018</t>
        </is>
      </c>
      <c r="C3091" s="2" t="n">
        <v>43448</v>
      </c>
      <c r="D3091" t="inlineStr">
        <is>
          <t>NIL</t>
        </is>
      </c>
      <c r="E3091" t="n">
        <v>1552</v>
      </c>
    </row>
    <row r="3092">
      <c r="A3092" t="inlineStr">
        <is>
          <t>27BBBBB03092Z5</t>
        </is>
      </c>
      <c r="B3092" t="inlineStr">
        <is>
          <t>Nov-2018</t>
        </is>
      </c>
      <c r="C3092" s="2" t="n">
        <v>43269</v>
      </c>
      <c r="D3092" t="inlineStr">
        <is>
          <t>NON-NIL</t>
        </is>
      </c>
      <c r="E3092" t="n">
        <v>2480</v>
      </c>
    </row>
    <row r="3093">
      <c r="A3093" t="inlineStr">
        <is>
          <t>27BBBBB03093Z5</t>
        </is>
      </c>
      <c r="B3093" t="inlineStr">
        <is>
          <t>Dec-2022</t>
        </is>
      </c>
      <c r="C3093" s="2" t="n">
        <v>45368</v>
      </c>
      <c r="D3093" t="inlineStr">
        <is>
          <t>NON-NIL</t>
        </is>
      </c>
      <c r="E3093" t="n">
        <v>23</v>
      </c>
    </row>
    <row r="3094">
      <c r="A3094" t="inlineStr">
        <is>
          <t>27BBBBB03094Z5</t>
        </is>
      </c>
      <c r="B3094" t="inlineStr">
        <is>
          <t>Mar-2021</t>
        </is>
      </c>
      <c r="C3094" s="2" t="n">
        <v>44925</v>
      </c>
      <c r="D3094" t="inlineStr">
        <is>
          <t>NON-NIL</t>
        </is>
      </c>
      <c r="E3094" t="n">
        <v>2731</v>
      </c>
    </row>
    <row r="3095">
      <c r="A3095" t="inlineStr">
        <is>
          <t>27BBBBB03095Z5</t>
        </is>
      </c>
      <c r="B3095" t="inlineStr">
        <is>
          <t>Mar-2020</t>
        </is>
      </c>
      <c r="C3095" s="2" t="n">
        <v>44064</v>
      </c>
      <c r="D3095" t="inlineStr">
        <is>
          <t>NIL</t>
        </is>
      </c>
      <c r="E3095" t="n">
        <v>2763</v>
      </c>
    </row>
    <row r="3096">
      <c r="A3096" t="inlineStr">
        <is>
          <t>27BBBBB03096Z5</t>
        </is>
      </c>
      <c r="B3096" t="inlineStr">
        <is>
          <t>Jun-2020</t>
        </is>
      </c>
      <c r="C3096" s="2" t="n">
        <v>44364</v>
      </c>
      <c r="D3096" t="inlineStr">
        <is>
          <t>NIL</t>
        </is>
      </c>
      <c r="E3096" t="n">
        <v>1755</v>
      </c>
    </row>
    <row r="3097">
      <c r="A3097" t="inlineStr">
        <is>
          <t>27BBBBB03097Z5</t>
        </is>
      </c>
      <c r="B3097" t="inlineStr">
        <is>
          <t>Jun-2018</t>
        </is>
      </c>
      <c r="C3097" s="2" t="n">
        <v>44233</v>
      </c>
      <c r="D3097" t="inlineStr">
        <is>
          <t>NON-NIL</t>
        </is>
      </c>
      <c r="E3097" t="n">
        <v>2023</v>
      </c>
    </row>
    <row r="3098">
      <c r="A3098" t="inlineStr">
        <is>
          <t>27BBBBB03098Z5</t>
        </is>
      </c>
      <c r="B3098" t="inlineStr">
        <is>
          <t>Jul-2018</t>
        </is>
      </c>
      <c r="C3098" s="2" t="n">
        <v>43640</v>
      </c>
      <c r="D3098" t="inlineStr">
        <is>
          <t>NIL</t>
        </is>
      </c>
      <c r="E3098" t="n">
        <v>743</v>
      </c>
    </row>
    <row r="3099">
      <c r="A3099" t="inlineStr">
        <is>
          <t>27BBBBB03099Z5</t>
        </is>
      </c>
      <c r="B3099" t="inlineStr">
        <is>
          <t>Aug-2018</t>
        </is>
      </c>
      <c r="C3099" s="2" t="n">
        <v>43905</v>
      </c>
      <c r="D3099" t="inlineStr">
        <is>
          <t>NON-NIL</t>
        </is>
      </c>
      <c r="E3099" t="n">
        <v>2445</v>
      </c>
    </row>
    <row r="3100">
      <c r="A3100" t="inlineStr">
        <is>
          <t>27BBBBB03100Z5</t>
        </is>
      </c>
      <c r="B3100" t="inlineStr">
        <is>
          <t>Jul-2017</t>
        </is>
      </c>
      <c r="C3100" s="2" t="n">
        <v>43855</v>
      </c>
      <c r="D3100" t="inlineStr">
        <is>
          <t>NON-NIL</t>
        </is>
      </c>
      <c r="E3100" t="n">
        <v>924</v>
      </c>
    </row>
    <row r="3101">
      <c r="A3101" t="inlineStr">
        <is>
          <t>27BBBBB03101Z5</t>
        </is>
      </c>
      <c r="B3101" t="inlineStr">
        <is>
          <t>Jun-2018</t>
        </is>
      </c>
      <c r="C3101" s="2" t="n">
        <v>43124</v>
      </c>
      <c r="D3101" t="inlineStr">
        <is>
          <t>NIL</t>
        </is>
      </c>
      <c r="E3101" t="n">
        <v>2103</v>
      </c>
    </row>
    <row r="3102">
      <c r="A3102" t="inlineStr">
        <is>
          <t>27BBBBB03102Z5</t>
        </is>
      </c>
      <c r="B3102" t="inlineStr">
        <is>
          <t>Feb-2018</t>
        </is>
      </c>
      <c r="C3102" s="2" t="n">
        <v>43450</v>
      </c>
      <c r="D3102" t="inlineStr">
        <is>
          <t>NON-NIL</t>
        </is>
      </c>
      <c r="E3102" t="n">
        <v>1692</v>
      </c>
    </row>
    <row r="3103">
      <c r="A3103" t="inlineStr">
        <is>
          <t>27BBBBB03103Z5</t>
        </is>
      </c>
      <c r="B3103" t="inlineStr">
        <is>
          <t>Dec-2017</t>
        </is>
      </c>
      <c r="C3103" s="2" t="n">
        <v>44074</v>
      </c>
      <c r="D3103" t="inlineStr">
        <is>
          <t>NIL</t>
        </is>
      </c>
      <c r="E3103" t="n">
        <v>905</v>
      </c>
    </row>
    <row r="3104">
      <c r="A3104" t="inlineStr">
        <is>
          <t>27BBBBB03104Z5</t>
        </is>
      </c>
      <c r="B3104" t="inlineStr">
        <is>
          <t>Apr-2018</t>
        </is>
      </c>
      <c r="C3104" s="2" t="n">
        <v>44282</v>
      </c>
      <c r="D3104" t="inlineStr">
        <is>
          <t>NON-NIL</t>
        </is>
      </c>
      <c r="E3104" t="n">
        <v>1728</v>
      </c>
    </row>
    <row r="3105">
      <c r="A3105" t="inlineStr">
        <is>
          <t>27BBBBB03105Z5</t>
        </is>
      </c>
      <c r="B3105" t="inlineStr">
        <is>
          <t>Dec-2024</t>
        </is>
      </c>
      <c r="C3105" s="2" t="n">
        <v>44820</v>
      </c>
      <c r="D3105" t="inlineStr">
        <is>
          <t>NIL</t>
        </is>
      </c>
      <c r="E3105" t="n">
        <v>1370</v>
      </c>
    </row>
    <row r="3106">
      <c r="A3106" t="inlineStr">
        <is>
          <t>27BBBBB03106Z5</t>
        </is>
      </c>
      <c r="B3106" t="inlineStr">
        <is>
          <t>Jul-2020</t>
        </is>
      </c>
      <c r="C3106" s="2" t="n">
        <v>44920</v>
      </c>
      <c r="D3106" t="inlineStr">
        <is>
          <t>NIL</t>
        </is>
      </c>
      <c r="E3106" t="n">
        <v>634</v>
      </c>
    </row>
    <row r="3107">
      <c r="A3107" t="inlineStr">
        <is>
          <t>27BBBBB03107Z5</t>
        </is>
      </c>
      <c r="B3107" t="inlineStr">
        <is>
          <t>Jul-2020</t>
        </is>
      </c>
      <c r="C3107" s="2" t="n">
        <v>44268</v>
      </c>
      <c r="D3107" t="inlineStr">
        <is>
          <t>NIL</t>
        </is>
      </c>
      <c r="E3107" t="n">
        <v>2432</v>
      </c>
    </row>
    <row r="3108">
      <c r="A3108" t="inlineStr">
        <is>
          <t>27BBBBB03108Z5</t>
        </is>
      </c>
      <c r="B3108" t="inlineStr">
        <is>
          <t>Mar-2023</t>
        </is>
      </c>
      <c r="C3108" s="2" t="n">
        <v>44692</v>
      </c>
      <c r="D3108" t="inlineStr">
        <is>
          <t>NON-NIL</t>
        </is>
      </c>
      <c r="E3108" t="n">
        <v>1642</v>
      </c>
    </row>
    <row r="3109">
      <c r="A3109" t="inlineStr">
        <is>
          <t>27BBBBB03109Z5</t>
        </is>
      </c>
      <c r="B3109" t="inlineStr">
        <is>
          <t>Aug-2017</t>
        </is>
      </c>
      <c r="C3109" s="2" t="n">
        <v>43617</v>
      </c>
      <c r="D3109" t="inlineStr">
        <is>
          <t>NON-NIL</t>
        </is>
      </c>
      <c r="E3109" t="n">
        <v>1832</v>
      </c>
    </row>
    <row r="3110">
      <c r="A3110" t="inlineStr">
        <is>
          <t>27BBBBB03110Z5</t>
        </is>
      </c>
      <c r="B3110" t="inlineStr">
        <is>
          <t>Aug-2018</t>
        </is>
      </c>
      <c r="C3110" s="2" t="n">
        <v>44431</v>
      </c>
      <c r="D3110" t="inlineStr">
        <is>
          <t>NON-NIL</t>
        </is>
      </c>
      <c r="E3110" t="n">
        <v>2744</v>
      </c>
    </row>
    <row r="3111">
      <c r="A3111" t="inlineStr">
        <is>
          <t>27BBBBB03111Z5</t>
        </is>
      </c>
      <c r="B3111" t="inlineStr">
        <is>
          <t>Mar-2021</t>
        </is>
      </c>
      <c r="C3111" s="2" t="n">
        <v>45238</v>
      </c>
      <c r="D3111" t="inlineStr">
        <is>
          <t>NIL</t>
        </is>
      </c>
      <c r="E3111" t="n">
        <v>687</v>
      </c>
    </row>
    <row r="3112">
      <c r="A3112" t="inlineStr">
        <is>
          <t>27BBBBB03112Z5</t>
        </is>
      </c>
      <c r="B3112" t="inlineStr">
        <is>
          <t>Mar-2018</t>
        </is>
      </c>
      <c r="C3112" s="2" t="n">
        <v>44073</v>
      </c>
      <c r="D3112" t="inlineStr">
        <is>
          <t>NIL</t>
        </is>
      </c>
      <c r="E3112" t="n">
        <v>942</v>
      </c>
    </row>
    <row r="3113">
      <c r="A3113" t="inlineStr">
        <is>
          <t>27BBBBB03113Z5</t>
        </is>
      </c>
      <c r="B3113" t="inlineStr">
        <is>
          <t>Mar-2021</t>
        </is>
      </c>
      <c r="C3113" s="2" t="n">
        <v>44688</v>
      </c>
      <c r="D3113" t="inlineStr">
        <is>
          <t>NON-NIL</t>
        </is>
      </c>
      <c r="E3113" t="n">
        <v>399</v>
      </c>
    </row>
    <row r="3114">
      <c r="A3114" t="inlineStr">
        <is>
          <t>27BBBBB03114Z5</t>
        </is>
      </c>
      <c r="B3114" t="inlineStr">
        <is>
          <t>Apr-2018</t>
        </is>
      </c>
      <c r="C3114" s="2" t="n">
        <v>43699</v>
      </c>
      <c r="D3114" t="inlineStr">
        <is>
          <t>NON-NIL</t>
        </is>
      </c>
      <c r="E3114" t="n">
        <v>2375</v>
      </c>
    </row>
    <row r="3115">
      <c r="A3115" t="inlineStr">
        <is>
          <t>27BBBBB03115Z5</t>
        </is>
      </c>
      <c r="B3115" t="inlineStr">
        <is>
          <t>Mar-2023</t>
        </is>
      </c>
      <c r="C3115" s="2" t="n">
        <v>45040</v>
      </c>
      <c r="D3115" t="inlineStr">
        <is>
          <t>NIL</t>
        </is>
      </c>
      <c r="E3115" t="n">
        <v>2085</v>
      </c>
    </row>
    <row r="3116">
      <c r="A3116" t="inlineStr">
        <is>
          <t>27BBBBB03116Z5</t>
        </is>
      </c>
      <c r="B3116" t="inlineStr">
        <is>
          <t>Mar-2020</t>
        </is>
      </c>
      <c r="C3116" s="2" t="n">
        <v>44137</v>
      </c>
      <c r="D3116" t="inlineStr">
        <is>
          <t>NON-NIL</t>
        </is>
      </c>
      <c r="E3116" t="n">
        <v>2753</v>
      </c>
    </row>
    <row r="3117">
      <c r="A3117" t="inlineStr">
        <is>
          <t>27BBBBB03117Z5</t>
        </is>
      </c>
      <c r="B3117" t="inlineStr">
        <is>
          <t>Dec-2017</t>
        </is>
      </c>
      <c r="C3117" s="2" t="n">
        <v>44176</v>
      </c>
      <c r="D3117" t="inlineStr">
        <is>
          <t>NIL</t>
        </is>
      </c>
      <c r="E3117" t="n">
        <v>1172</v>
      </c>
    </row>
    <row r="3118">
      <c r="A3118" t="inlineStr">
        <is>
          <t>27BBBBB03118Z5</t>
        </is>
      </c>
      <c r="B3118" t="inlineStr">
        <is>
          <t>May-2020</t>
        </is>
      </c>
      <c r="C3118" s="2" t="n">
        <v>44289</v>
      </c>
      <c r="D3118" t="inlineStr">
        <is>
          <t>NON-NIL</t>
        </is>
      </c>
      <c r="E3118" t="n">
        <v>873</v>
      </c>
    </row>
    <row r="3119">
      <c r="A3119" t="inlineStr">
        <is>
          <t>27BBBBB03119Z5</t>
        </is>
      </c>
      <c r="B3119" t="inlineStr">
        <is>
          <t>Mar-2021</t>
        </is>
      </c>
      <c r="C3119" s="2" t="n">
        <v>44853</v>
      </c>
      <c r="D3119" t="inlineStr">
        <is>
          <t>NIL</t>
        </is>
      </c>
      <c r="E3119" t="n">
        <v>2511</v>
      </c>
    </row>
    <row r="3120">
      <c r="A3120" t="inlineStr">
        <is>
          <t>27BBBBB03120Z5</t>
        </is>
      </c>
      <c r="B3120" t="inlineStr">
        <is>
          <t>Aug-2017</t>
        </is>
      </c>
      <c r="C3120" s="2" t="n">
        <v>43980</v>
      </c>
      <c r="D3120" t="inlineStr">
        <is>
          <t>NIL</t>
        </is>
      </c>
      <c r="E3120" t="n">
        <v>344</v>
      </c>
    </row>
    <row r="3121">
      <c r="A3121" t="inlineStr">
        <is>
          <t>27BBBBB03121Z5</t>
        </is>
      </c>
      <c r="B3121" t="inlineStr">
        <is>
          <t>Mar-2021</t>
        </is>
      </c>
      <c r="C3121" s="2" t="n">
        <v>43794</v>
      </c>
      <c r="D3121" t="inlineStr">
        <is>
          <t>NON-NIL</t>
        </is>
      </c>
      <c r="E3121" t="n">
        <v>2819</v>
      </c>
    </row>
    <row r="3122">
      <c r="A3122" t="inlineStr">
        <is>
          <t>27BBBBB03122Z5</t>
        </is>
      </c>
      <c r="B3122" t="inlineStr">
        <is>
          <t>Jun-2020</t>
        </is>
      </c>
      <c r="C3122" s="2" t="n">
        <v>44885</v>
      </c>
      <c r="D3122" t="inlineStr">
        <is>
          <t>NON-NIL</t>
        </is>
      </c>
      <c r="E3122" t="n">
        <v>1833</v>
      </c>
    </row>
    <row r="3123">
      <c r="A3123" t="inlineStr">
        <is>
          <t>27BBBBB03123Z5</t>
        </is>
      </c>
      <c r="B3123" t="inlineStr">
        <is>
          <t>Jul-2020</t>
        </is>
      </c>
      <c r="C3123" s="2" t="n">
        <v>44371</v>
      </c>
      <c r="D3123" t="inlineStr">
        <is>
          <t>NON-NIL</t>
        </is>
      </c>
      <c r="E3123" t="n">
        <v>1835</v>
      </c>
    </row>
    <row r="3124">
      <c r="A3124" t="inlineStr">
        <is>
          <t>27BBBBB03124Z5</t>
        </is>
      </c>
      <c r="B3124" t="inlineStr">
        <is>
          <t>Nov-2018</t>
        </is>
      </c>
      <c r="C3124" s="2" t="n">
        <v>43811</v>
      </c>
      <c r="D3124" t="inlineStr">
        <is>
          <t>NON-NIL</t>
        </is>
      </c>
      <c r="E3124" t="n">
        <v>816</v>
      </c>
    </row>
    <row r="3125">
      <c r="A3125" t="inlineStr">
        <is>
          <t>27BBBBB03125Z5</t>
        </is>
      </c>
      <c r="B3125" t="inlineStr">
        <is>
          <t>Nov-2017</t>
        </is>
      </c>
      <c r="C3125" s="2" t="n">
        <v>42923</v>
      </c>
      <c r="D3125" t="inlineStr">
        <is>
          <t>NON-NIL</t>
        </is>
      </c>
      <c r="E3125" t="n">
        <v>259</v>
      </c>
    </row>
    <row r="3126">
      <c r="A3126" t="inlineStr">
        <is>
          <t>27BBBBB03126Z5</t>
        </is>
      </c>
      <c r="B3126" t="inlineStr">
        <is>
          <t>Dec-2018</t>
        </is>
      </c>
      <c r="C3126" s="2" t="n">
        <v>43094</v>
      </c>
      <c r="D3126" t="inlineStr">
        <is>
          <t>NIL</t>
        </is>
      </c>
      <c r="E3126" t="n">
        <v>1654</v>
      </c>
    </row>
    <row r="3127">
      <c r="A3127" t="inlineStr">
        <is>
          <t>27BBBBB03127Z5</t>
        </is>
      </c>
      <c r="B3127" t="inlineStr">
        <is>
          <t>Apr-2020</t>
        </is>
      </c>
      <c r="C3127" s="2" t="n">
        <v>44349</v>
      </c>
      <c r="D3127" t="inlineStr">
        <is>
          <t>NON-NIL</t>
        </is>
      </c>
      <c r="E3127" t="n">
        <v>469</v>
      </c>
    </row>
    <row r="3128">
      <c r="A3128" t="inlineStr">
        <is>
          <t>27BBBBB03128Z5</t>
        </is>
      </c>
      <c r="B3128" t="inlineStr">
        <is>
          <t>Jun-2020</t>
        </is>
      </c>
      <c r="C3128" s="2" t="n">
        <v>44124</v>
      </c>
      <c r="D3128" t="inlineStr">
        <is>
          <t>NON-NIL</t>
        </is>
      </c>
      <c r="E3128" t="n">
        <v>2469</v>
      </c>
    </row>
    <row r="3129">
      <c r="A3129" t="inlineStr">
        <is>
          <t>27BBBBB03129Z5</t>
        </is>
      </c>
      <c r="B3129" t="inlineStr">
        <is>
          <t>Oct-2018</t>
        </is>
      </c>
      <c r="C3129" s="2" t="n">
        <v>44287</v>
      </c>
      <c r="D3129" t="inlineStr">
        <is>
          <t>NIL</t>
        </is>
      </c>
      <c r="E3129" t="n">
        <v>2065</v>
      </c>
    </row>
    <row r="3130">
      <c r="A3130" t="inlineStr">
        <is>
          <t>27BBBBB03130Z5</t>
        </is>
      </c>
      <c r="B3130" t="inlineStr">
        <is>
          <t>Jul-2020</t>
        </is>
      </c>
      <c r="C3130" s="2" t="n">
        <v>44787</v>
      </c>
      <c r="D3130" t="inlineStr">
        <is>
          <t>NIL</t>
        </is>
      </c>
      <c r="E3130" t="n">
        <v>2922</v>
      </c>
    </row>
    <row r="3131">
      <c r="A3131" t="inlineStr">
        <is>
          <t>27BBBBB03131Z5</t>
        </is>
      </c>
      <c r="B3131" t="inlineStr">
        <is>
          <t>Oct-2017</t>
        </is>
      </c>
      <c r="C3131" s="2" t="n">
        <v>43619</v>
      </c>
      <c r="D3131" t="inlineStr">
        <is>
          <t>NIL</t>
        </is>
      </c>
      <c r="E3131" t="n">
        <v>2949</v>
      </c>
    </row>
    <row r="3132">
      <c r="A3132" t="inlineStr">
        <is>
          <t>27BBBBB03132Z5</t>
        </is>
      </c>
      <c r="B3132" t="inlineStr">
        <is>
          <t>Mar-2020</t>
        </is>
      </c>
      <c r="C3132" s="2" t="n">
        <v>44777</v>
      </c>
      <c r="D3132" t="inlineStr">
        <is>
          <t>NON-NIL</t>
        </is>
      </c>
      <c r="E3132" t="n">
        <v>85</v>
      </c>
    </row>
    <row r="3133">
      <c r="A3133" t="inlineStr">
        <is>
          <t>27BBBBB03133Z5</t>
        </is>
      </c>
      <c r="B3133" t="inlineStr">
        <is>
          <t>Jun-2018</t>
        </is>
      </c>
      <c r="C3133" s="2" t="n">
        <v>44456</v>
      </c>
      <c r="D3133" t="inlineStr">
        <is>
          <t>NON-NIL</t>
        </is>
      </c>
      <c r="E3133" t="n">
        <v>316</v>
      </c>
    </row>
    <row r="3134">
      <c r="A3134" t="inlineStr">
        <is>
          <t>27BBBBB03134Z5</t>
        </is>
      </c>
      <c r="B3134" t="inlineStr">
        <is>
          <t>Mar-2020</t>
        </is>
      </c>
      <c r="C3134" s="2" t="n">
        <v>43963</v>
      </c>
      <c r="D3134" t="inlineStr">
        <is>
          <t>NON-NIL</t>
        </is>
      </c>
      <c r="E3134" t="n">
        <v>2940</v>
      </c>
    </row>
    <row r="3135">
      <c r="A3135" t="inlineStr">
        <is>
          <t>27BBBBB03135Z5</t>
        </is>
      </c>
      <c r="B3135" t="inlineStr">
        <is>
          <t>Jul-2020</t>
        </is>
      </c>
      <c r="C3135" s="2" t="n">
        <v>44925</v>
      </c>
      <c r="D3135" t="inlineStr">
        <is>
          <t>NON-NIL</t>
        </is>
      </c>
      <c r="E3135" t="n">
        <v>2689</v>
      </c>
    </row>
    <row r="3136">
      <c r="A3136" t="inlineStr">
        <is>
          <t>27BBBBB03136Z5</t>
        </is>
      </c>
      <c r="B3136" t="inlineStr">
        <is>
          <t>Dec-2022</t>
        </is>
      </c>
      <c r="C3136" s="2" t="n">
        <v>43963</v>
      </c>
      <c r="D3136" t="inlineStr">
        <is>
          <t>NIL</t>
        </is>
      </c>
      <c r="E3136" t="n">
        <v>1970</v>
      </c>
    </row>
    <row r="3137">
      <c r="A3137" t="inlineStr">
        <is>
          <t>27BBBBB03137Z5</t>
        </is>
      </c>
      <c r="B3137" t="inlineStr">
        <is>
          <t>Apr-2018</t>
        </is>
      </c>
      <c r="C3137" s="2" t="n">
        <v>43262</v>
      </c>
      <c r="D3137" t="inlineStr">
        <is>
          <t>NON-NIL</t>
        </is>
      </c>
      <c r="E3137" t="n">
        <v>327</v>
      </c>
    </row>
    <row r="3138">
      <c r="A3138" t="inlineStr">
        <is>
          <t>27BBBBB03138Z5</t>
        </is>
      </c>
      <c r="B3138" t="inlineStr">
        <is>
          <t>Apr-2018</t>
        </is>
      </c>
      <c r="C3138" s="2" t="n">
        <v>43185</v>
      </c>
      <c r="D3138" t="inlineStr">
        <is>
          <t>NIL</t>
        </is>
      </c>
      <c r="E3138" t="n">
        <v>1818</v>
      </c>
    </row>
    <row r="3139">
      <c r="A3139" t="inlineStr">
        <is>
          <t>27BBBBB03139Z5</t>
        </is>
      </c>
      <c r="B3139" t="inlineStr">
        <is>
          <t>Apr-2018</t>
        </is>
      </c>
      <c r="C3139" s="2" t="n">
        <v>42975</v>
      </c>
      <c r="D3139" t="inlineStr">
        <is>
          <t>NON-NIL</t>
        </is>
      </c>
      <c r="E3139" t="n">
        <v>1465</v>
      </c>
    </row>
    <row r="3140">
      <c r="A3140" t="inlineStr">
        <is>
          <t>27BBBBB03140Z5</t>
        </is>
      </c>
      <c r="B3140" t="inlineStr">
        <is>
          <t>Sep-2017</t>
        </is>
      </c>
      <c r="C3140" s="2" t="n">
        <v>43260</v>
      </c>
      <c r="D3140" t="inlineStr">
        <is>
          <t>NIL</t>
        </is>
      </c>
      <c r="E3140" t="n">
        <v>2145</v>
      </c>
    </row>
    <row r="3141">
      <c r="A3141" t="inlineStr">
        <is>
          <t>27BBBBB03141Z5</t>
        </is>
      </c>
      <c r="B3141" t="inlineStr">
        <is>
          <t>Jun-2020</t>
        </is>
      </c>
      <c r="C3141" s="2" t="n">
        <v>44504</v>
      </c>
      <c r="D3141" t="inlineStr">
        <is>
          <t>NIL</t>
        </is>
      </c>
      <c r="E3141" t="n">
        <v>2661</v>
      </c>
    </row>
    <row r="3142">
      <c r="A3142" t="inlineStr">
        <is>
          <t>27BBBBB03142Z5</t>
        </is>
      </c>
      <c r="B3142" t="inlineStr">
        <is>
          <t>Sep-2018</t>
        </is>
      </c>
      <c r="C3142" s="2" t="n">
        <v>42978</v>
      </c>
      <c r="D3142" t="inlineStr">
        <is>
          <t>NIL</t>
        </is>
      </c>
      <c r="E3142" t="n">
        <v>202</v>
      </c>
    </row>
    <row r="3143">
      <c r="A3143" t="inlineStr">
        <is>
          <t>27BBBBB03143Z5</t>
        </is>
      </c>
      <c r="B3143" t="inlineStr">
        <is>
          <t>Jan-2021</t>
        </is>
      </c>
      <c r="C3143" s="2" t="n">
        <v>44432</v>
      </c>
      <c r="D3143" t="inlineStr">
        <is>
          <t>NON-NIL</t>
        </is>
      </c>
      <c r="E3143" t="n">
        <v>1855</v>
      </c>
    </row>
    <row r="3144">
      <c r="A3144" t="inlineStr">
        <is>
          <t>27BBBBB03144Z5</t>
        </is>
      </c>
      <c r="B3144" t="inlineStr">
        <is>
          <t>Jun-2020</t>
        </is>
      </c>
      <c r="C3144" s="2" t="n">
        <v>44396</v>
      </c>
      <c r="D3144" t="inlineStr">
        <is>
          <t>NIL</t>
        </is>
      </c>
      <c r="E3144" t="n">
        <v>357</v>
      </c>
    </row>
    <row r="3145">
      <c r="A3145" t="inlineStr">
        <is>
          <t>27BBBBB03145Z5</t>
        </is>
      </c>
      <c r="B3145" t="inlineStr">
        <is>
          <t>Dec-2018</t>
        </is>
      </c>
      <c r="C3145" s="2" t="n">
        <v>44077</v>
      </c>
      <c r="D3145" t="inlineStr">
        <is>
          <t>NIL</t>
        </is>
      </c>
      <c r="E3145" t="n">
        <v>151</v>
      </c>
    </row>
    <row r="3146">
      <c r="A3146" t="inlineStr">
        <is>
          <t>27BBBBB03146Z5</t>
        </is>
      </c>
      <c r="B3146" t="inlineStr">
        <is>
          <t>Jul-2017</t>
        </is>
      </c>
      <c r="C3146" s="2" t="n">
        <v>43554</v>
      </c>
      <c r="D3146" t="inlineStr">
        <is>
          <t>NIL</t>
        </is>
      </c>
      <c r="E3146" t="n">
        <v>1045</v>
      </c>
    </row>
    <row r="3147">
      <c r="A3147" t="inlineStr">
        <is>
          <t>27BBBBB03147Z5</t>
        </is>
      </c>
      <c r="B3147" t="inlineStr">
        <is>
          <t>Jul-2018</t>
        </is>
      </c>
      <c r="C3147" s="2" t="n">
        <v>42991</v>
      </c>
      <c r="D3147" t="inlineStr">
        <is>
          <t>NIL</t>
        </is>
      </c>
      <c r="E3147" t="n">
        <v>617</v>
      </c>
    </row>
    <row r="3148">
      <c r="A3148" t="inlineStr">
        <is>
          <t>27BBBBB03148Z5</t>
        </is>
      </c>
      <c r="B3148" t="inlineStr">
        <is>
          <t>Dec-2018</t>
        </is>
      </c>
      <c r="C3148" s="2" t="n">
        <v>44200</v>
      </c>
      <c r="D3148" t="inlineStr">
        <is>
          <t>NON-NIL</t>
        </is>
      </c>
      <c r="E3148" t="n">
        <v>1063</v>
      </c>
    </row>
    <row r="3149">
      <c r="A3149" t="inlineStr">
        <is>
          <t>27BBBBB03149Z5</t>
        </is>
      </c>
      <c r="B3149" t="inlineStr">
        <is>
          <t>Jun-2020</t>
        </is>
      </c>
      <c r="C3149" s="2" t="n">
        <v>44768</v>
      </c>
      <c r="D3149" t="inlineStr">
        <is>
          <t>NIL</t>
        </is>
      </c>
      <c r="E3149" t="n">
        <v>1639</v>
      </c>
    </row>
    <row r="3150">
      <c r="A3150" t="inlineStr">
        <is>
          <t>27BBBBB03150Z5</t>
        </is>
      </c>
      <c r="B3150" t="inlineStr">
        <is>
          <t>Mar-2021</t>
        </is>
      </c>
      <c r="C3150" s="2" t="n">
        <v>44399</v>
      </c>
      <c r="D3150" t="inlineStr">
        <is>
          <t>NIL</t>
        </is>
      </c>
      <c r="E3150" t="n">
        <v>2671</v>
      </c>
    </row>
    <row r="3151">
      <c r="A3151" t="inlineStr">
        <is>
          <t>27BBBBB03151Z5</t>
        </is>
      </c>
      <c r="B3151" t="inlineStr">
        <is>
          <t>May-2018</t>
        </is>
      </c>
      <c r="C3151" s="2" t="n">
        <v>43024</v>
      </c>
      <c r="D3151" t="inlineStr">
        <is>
          <t>NIL</t>
        </is>
      </c>
      <c r="E3151" t="n">
        <v>32</v>
      </c>
    </row>
    <row r="3152">
      <c r="A3152" t="inlineStr">
        <is>
          <t>27BBBBB03152Z5</t>
        </is>
      </c>
      <c r="B3152" t="inlineStr">
        <is>
          <t>Dec-2018</t>
        </is>
      </c>
      <c r="C3152" s="2" t="n">
        <v>43807</v>
      </c>
      <c r="D3152" t="inlineStr">
        <is>
          <t>NON-NIL</t>
        </is>
      </c>
      <c r="E3152" t="n">
        <v>1811</v>
      </c>
    </row>
    <row r="3153">
      <c r="A3153" t="inlineStr">
        <is>
          <t>27BBBBB03153Z5</t>
        </is>
      </c>
      <c r="B3153" t="inlineStr">
        <is>
          <t>Mar-2023</t>
        </is>
      </c>
      <c r="C3153" s="2" t="n">
        <v>43682</v>
      </c>
      <c r="D3153" t="inlineStr">
        <is>
          <t>NON-NIL</t>
        </is>
      </c>
      <c r="E3153" t="n">
        <v>2768</v>
      </c>
    </row>
    <row r="3154">
      <c r="A3154" t="inlineStr">
        <is>
          <t>27BBBBB03154Z5</t>
        </is>
      </c>
      <c r="B3154" t="inlineStr">
        <is>
          <t>Mar-2021</t>
        </is>
      </c>
      <c r="C3154" s="2" t="n">
        <v>43995</v>
      </c>
      <c r="D3154" t="inlineStr">
        <is>
          <t>NON-NIL</t>
        </is>
      </c>
      <c r="E3154" t="n">
        <v>2814</v>
      </c>
    </row>
    <row r="3155">
      <c r="A3155" t="inlineStr">
        <is>
          <t>27BBBBB03155Z5</t>
        </is>
      </c>
      <c r="B3155" t="inlineStr">
        <is>
          <t>Sep-2018</t>
        </is>
      </c>
      <c r="C3155" s="2" t="n">
        <v>44143</v>
      </c>
      <c r="D3155" t="inlineStr">
        <is>
          <t>NIL</t>
        </is>
      </c>
      <c r="E3155" t="n">
        <v>872</v>
      </c>
    </row>
    <row r="3156">
      <c r="A3156" t="inlineStr">
        <is>
          <t>27BBBBB03156Z5</t>
        </is>
      </c>
      <c r="B3156" t="inlineStr">
        <is>
          <t>May-2018</t>
        </is>
      </c>
      <c r="C3156" s="2" t="n">
        <v>43487</v>
      </c>
      <c r="D3156" t="inlineStr">
        <is>
          <t>NIL</t>
        </is>
      </c>
      <c r="E3156" t="n">
        <v>1586</v>
      </c>
    </row>
    <row r="3157">
      <c r="A3157" t="inlineStr">
        <is>
          <t>27BBBBB03157Z5</t>
        </is>
      </c>
      <c r="B3157" t="inlineStr">
        <is>
          <t>Mar-2018</t>
        </is>
      </c>
      <c r="C3157" s="2" t="n">
        <v>43223</v>
      </c>
      <c r="D3157" t="inlineStr">
        <is>
          <t>NIL</t>
        </is>
      </c>
      <c r="E3157" t="n">
        <v>910</v>
      </c>
    </row>
    <row r="3158">
      <c r="A3158" t="inlineStr">
        <is>
          <t>27BBBBB03158Z5</t>
        </is>
      </c>
      <c r="B3158" t="inlineStr">
        <is>
          <t>Dec-2024</t>
        </is>
      </c>
      <c r="C3158" s="2" t="n">
        <v>44940</v>
      </c>
      <c r="D3158" t="inlineStr">
        <is>
          <t>NON-NIL</t>
        </is>
      </c>
      <c r="E3158" t="n">
        <v>2182</v>
      </c>
    </row>
    <row r="3159">
      <c r="A3159" t="inlineStr">
        <is>
          <t>27BBBBB03159Z5</t>
        </is>
      </c>
      <c r="B3159" t="inlineStr">
        <is>
          <t>Nov-2018</t>
        </is>
      </c>
      <c r="C3159" s="2" t="n">
        <v>43910</v>
      </c>
      <c r="D3159" t="inlineStr">
        <is>
          <t>NON-NIL</t>
        </is>
      </c>
      <c r="E3159" t="n">
        <v>2551</v>
      </c>
    </row>
    <row r="3160">
      <c r="A3160" t="inlineStr">
        <is>
          <t>27BBBBB03160Z5</t>
        </is>
      </c>
      <c r="B3160" t="inlineStr">
        <is>
          <t>Jun-2020</t>
        </is>
      </c>
      <c r="C3160" s="2" t="n">
        <v>43992</v>
      </c>
      <c r="D3160" t="inlineStr">
        <is>
          <t>NON-NIL</t>
        </is>
      </c>
      <c r="E3160" t="n">
        <v>1157</v>
      </c>
    </row>
    <row r="3161">
      <c r="A3161" t="inlineStr">
        <is>
          <t>27BBBBB03161Z5</t>
        </is>
      </c>
      <c r="B3161" t="inlineStr">
        <is>
          <t>Mar-2021</t>
        </is>
      </c>
      <c r="C3161" s="2" t="n">
        <v>45589</v>
      </c>
      <c r="D3161" t="inlineStr">
        <is>
          <t>NON-NIL</t>
        </is>
      </c>
      <c r="E3161" t="n">
        <v>310</v>
      </c>
    </row>
    <row r="3162">
      <c r="A3162" t="inlineStr">
        <is>
          <t>27BBBBB03162Z5</t>
        </is>
      </c>
      <c r="B3162" t="inlineStr">
        <is>
          <t>Dec-2017</t>
        </is>
      </c>
      <c r="C3162" s="2" t="n">
        <v>43081</v>
      </c>
      <c r="D3162" t="inlineStr">
        <is>
          <t>NIL</t>
        </is>
      </c>
      <c r="E3162" t="n">
        <v>974</v>
      </c>
    </row>
    <row r="3163">
      <c r="A3163" t="inlineStr">
        <is>
          <t>27BBBBB03163Z5</t>
        </is>
      </c>
      <c r="B3163" t="inlineStr">
        <is>
          <t>Apr-2018</t>
        </is>
      </c>
      <c r="C3163" s="2" t="n">
        <v>44083</v>
      </c>
      <c r="D3163" t="inlineStr">
        <is>
          <t>NON-NIL</t>
        </is>
      </c>
      <c r="E3163" t="n">
        <v>143</v>
      </c>
    </row>
    <row r="3164">
      <c r="A3164" t="inlineStr">
        <is>
          <t>27BBBBB03164Z5</t>
        </is>
      </c>
      <c r="B3164" t="inlineStr">
        <is>
          <t>Jun-2018</t>
        </is>
      </c>
      <c r="C3164" s="2" t="n">
        <v>44150</v>
      </c>
      <c r="D3164" t="inlineStr">
        <is>
          <t>NIL</t>
        </is>
      </c>
      <c r="E3164" t="n">
        <v>2046</v>
      </c>
    </row>
    <row r="3165">
      <c r="A3165" t="inlineStr">
        <is>
          <t>27BBBBB03165Z5</t>
        </is>
      </c>
      <c r="B3165" t="inlineStr">
        <is>
          <t>Aug-2017</t>
        </is>
      </c>
      <c r="C3165" s="2" t="n">
        <v>44362</v>
      </c>
      <c r="D3165" t="inlineStr">
        <is>
          <t>NON-NIL</t>
        </is>
      </c>
      <c r="E3165" t="n">
        <v>598</v>
      </c>
    </row>
    <row r="3166">
      <c r="A3166" t="inlineStr">
        <is>
          <t>27BBBBB03166Z5</t>
        </is>
      </c>
      <c r="B3166" t="inlineStr">
        <is>
          <t>Sep-2018</t>
        </is>
      </c>
      <c r="C3166" s="2" t="n">
        <v>43210</v>
      </c>
      <c r="D3166" t="inlineStr">
        <is>
          <t>NIL</t>
        </is>
      </c>
      <c r="E3166" t="n">
        <v>1368</v>
      </c>
    </row>
    <row r="3167">
      <c r="A3167" t="inlineStr">
        <is>
          <t>27BBBBB03167Z5</t>
        </is>
      </c>
      <c r="B3167" t="inlineStr">
        <is>
          <t>Nov-2017</t>
        </is>
      </c>
      <c r="C3167" s="2" t="n">
        <v>43718</v>
      </c>
      <c r="D3167" t="inlineStr">
        <is>
          <t>NON-NIL</t>
        </is>
      </c>
      <c r="E3167" t="n">
        <v>2916</v>
      </c>
    </row>
    <row r="3168">
      <c r="A3168" t="inlineStr">
        <is>
          <t>27BBBBB03168Z5</t>
        </is>
      </c>
      <c r="B3168" t="inlineStr">
        <is>
          <t>Dec-2022</t>
        </is>
      </c>
      <c r="C3168" s="2" t="n">
        <v>44325</v>
      </c>
      <c r="D3168" t="inlineStr">
        <is>
          <t>NON-NIL</t>
        </is>
      </c>
      <c r="E3168" t="n">
        <v>365</v>
      </c>
    </row>
    <row r="3169">
      <c r="A3169" t="inlineStr">
        <is>
          <t>27BBBBB03169Z5</t>
        </is>
      </c>
      <c r="B3169" t="inlineStr">
        <is>
          <t>Oct-2017</t>
        </is>
      </c>
      <c r="C3169" s="2" t="n">
        <v>43420</v>
      </c>
      <c r="D3169" t="inlineStr">
        <is>
          <t>NON-NIL</t>
        </is>
      </c>
      <c r="E3169" t="n">
        <v>236</v>
      </c>
    </row>
    <row r="3170">
      <c r="A3170" t="inlineStr">
        <is>
          <t>27BBBBB03170Z5</t>
        </is>
      </c>
      <c r="B3170" t="inlineStr">
        <is>
          <t>Jul-2020</t>
        </is>
      </c>
      <c r="C3170" s="2" t="n">
        <v>44487</v>
      </c>
      <c r="D3170" t="inlineStr">
        <is>
          <t>NON-NIL</t>
        </is>
      </c>
      <c r="E3170" t="n">
        <v>420</v>
      </c>
    </row>
    <row r="3171">
      <c r="A3171" t="inlineStr">
        <is>
          <t>27BBBBB03171Z5</t>
        </is>
      </c>
      <c r="B3171" t="inlineStr">
        <is>
          <t>Dec-2024</t>
        </is>
      </c>
      <c r="C3171" s="2" t="n">
        <v>45237</v>
      </c>
      <c r="D3171" t="inlineStr">
        <is>
          <t>NIL</t>
        </is>
      </c>
      <c r="E3171" t="n">
        <v>2541</v>
      </c>
    </row>
    <row r="3172">
      <c r="A3172" t="inlineStr">
        <is>
          <t>27BBBBB03172Z5</t>
        </is>
      </c>
      <c r="B3172" t="inlineStr">
        <is>
          <t>Nov-2018</t>
        </is>
      </c>
      <c r="C3172" s="2" t="n">
        <v>43490</v>
      </c>
      <c r="D3172" t="inlineStr">
        <is>
          <t>NON-NIL</t>
        </is>
      </c>
      <c r="E3172" t="n">
        <v>1530</v>
      </c>
    </row>
    <row r="3173">
      <c r="A3173" t="inlineStr">
        <is>
          <t>27BBBBB03173Z5</t>
        </is>
      </c>
      <c r="B3173" t="inlineStr">
        <is>
          <t>Apr-2018</t>
        </is>
      </c>
      <c r="C3173" s="2" t="n">
        <v>43948</v>
      </c>
      <c r="D3173" t="inlineStr">
        <is>
          <t>NON-NIL</t>
        </is>
      </c>
      <c r="E3173" t="n">
        <v>183</v>
      </c>
    </row>
    <row r="3174">
      <c r="A3174" t="inlineStr">
        <is>
          <t>27BBBBB03174Z5</t>
        </is>
      </c>
      <c r="B3174" t="inlineStr">
        <is>
          <t>Jan-2021</t>
        </is>
      </c>
      <c r="C3174" s="2" t="n">
        <v>43681</v>
      </c>
      <c r="D3174" t="inlineStr">
        <is>
          <t>NON-NIL</t>
        </is>
      </c>
      <c r="E3174" t="n">
        <v>1044</v>
      </c>
    </row>
    <row r="3175">
      <c r="A3175" t="inlineStr">
        <is>
          <t>27BBBBB03175Z5</t>
        </is>
      </c>
      <c r="B3175" t="inlineStr">
        <is>
          <t>Aug-2018</t>
        </is>
      </c>
      <c r="C3175" s="2" t="n">
        <v>43158</v>
      </c>
      <c r="D3175" t="inlineStr">
        <is>
          <t>NON-NIL</t>
        </is>
      </c>
      <c r="E3175" t="n">
        <v>1537</v>
      </c>
    </row>
    <row r="3176">
      <c r="A3176" t="inlineStr">
        <is>
          <t>27BBBBB03176Z5</t>
        </is>
      </c>
      <c r="B3176" t="inlineStr">
        <is>
          <t>Mar-2020</t>
        </is>
      </c>
      <c r="C3176" s="2" t="n">
        <v>44403</v>
      </c>
      <c r="D3176" t="inlineStr">
        <is>
          <t>NIL</t>
        </is>
      </c>
      <c r="E3176" t="n">
        <v>2099</v>
      </c>
    </row>
    <row r="3177">
      <c r="A3177" t="inlineStr">
        <is>
          <t>27BBBBB03177Z5</t>
        </is>
      </c>
      <c r="B3177" t="inlineStr">
        <is>
          <t>Dec-2024</t>
        </is>
      </c>
      <c r="C3177" s="2" t="n">
        <v>44909</v>
      </c>
      <c r="D3177" t="inlineStr">
        <is>
          <t>NON-NIL</t>
        </is>
      </c>
      <c r="E3177" t="n">
        <v>2959</v>
      </c>
    </row>
    <row r="3178">
      <c r="A3178" t="inlineStr">
        <is>
          <t>27BBBBB03178Z5</t>
        </is>
      </c>
      <c r="B3178" t="inlineStr">
        <is>
          <t>Aug-2017</t>
        </is>
      </c>
      <c r="C3178" s="2" t="n">
        <v>43167</v>
      </c>
      <c r="D3178" t="inlineStr">
        <is>
          <t>NON-NIL</t>
        </is>
      </c>
      <c r="E3178" t="n">
        <v>1731</v>
      </c>
    </row>
    <row r="3179">
      <c r="A3179" t="inlineStr">
        <is>
          <t>27BBBBB03179Z5</t>
        </is>
      </c>
      <c r="B3179" t="inlineStr">
        <is>
          <t>Nov-2018</t>
        </is>
      </c>
      <c r="C3179" s="2" t="n">
        <v>43610</v>
      </c>
      <c r="D3179" t="inlineStr">
        <is>
          <t>NON-NIL</t>
        </is>
      </c>
      <c r="E3179" t="n">
        <v>1861</v>
      </c>
    </row>
    <row r="3180">
      <c r="A3180" t="inlineStr">
        <is>
          <t>27BBBBB03180Z5</t>
        </is>
      </c>
      <c r="B3180" t="inlineStr">
        <is>
          <t>Dec-2022</t>
        </is>
      </c>
      <c r="C3180" s="2" t="n">
        <v>45266</v>
      </c>
      <c r="D3180" t="inlineStr">
        <is>
          <t>NON-NIL</t>
        </is>
      </c>
      <c r="E3180" t="n">
        <v>945</v>
      </c>
    </row>
    <row r="3181">
      <c r="A3181" t="inlineStr">
        <is>
          <t>27BBBBB03181Z5</t>
        </is>
      </c>
      <c r="B3181" t="inlineStr">
        <is>
          <t>Jan-2021</t>
        </is>
      </c>
      <c r="C3181" s="2" t="n">
        <v>44027</v>
      </c>
      <c r="D3181" t="inlineStr">
        <is>
          <t>NON-NIL</t>
        </is>
      </c>
      <c r="E3181" t="n">
        <v>2531</v>
      </c>
    </row>
    <row r="3182">
      <c r="A3182" t="inlineStr">
        <is>
          <t>27BBBBB03182Z5</t>
        </is>
      </c>
      <c r="B3182" t="inlineStr">
        <is>
          <t>Sep-2018</t>
        </is>
      </c>
      <c r="C3182" s="2" t="n">
        <v>44486</v>
      </c>
      <c r="D3182" t="inlineStr">
        <is>
          <t>NON-NIL</t>
        </is>
      </c>
      <c r="E3182" t="n">
        <v>882</v>
      </c>
    </row>
    <row r="3183">
      <c r="A3183" t="inlineStr">
        <is>
          <t>27BBBBB03183Z5</t>
        </is>
      </c>
      <c r="B3183" t="inlineStr">
        <is>
          <t>Apr-2020</t>
        </is>
      </c>
      <c r="C3183" s="2" t="n">
        <v>44259</v>
      </c>
      <c r="D3183" t="inlineStr">
        <is>
          <t>NIL</t>
        </is>
      </c>
      <c r="E3183" t="n">
        <v>929</v>
      </c>
    </row>
    <row r="3184">
      <c r="A3184" t="inlineStr">
        <is>
          <t>27BBBBB03184Z5</t>
        </is>
      </c>
      <c r="B3184" t="inlineStr">
        <is>
          <t>May-2020</t>
        </is>
      </c>
      <c r="C3184" s="2" t="n">
        <v>44631</v>
      </c>
      <c r="D3184" t="inlineStr">
        <is>
          <t>NIL</t>
        </is>
      </c>
      <c r="E3184" t="n">
        <v>2506</v>
      </c>
    </row>
    <row r="3185">
      <c r="A3185" t="inlineStr">
        <is>
          <t>27BBBBB03185Z5</t>
        </is>
      </c>
      <c r="B3185" t="inlineStr">
        <is>
          <t>Mar-2020</t>
        </is>
      </c>
      <c r="C3185" s="2" t="n">
        <v>44258</v>
      </c>
      <c r="D3185" t="inlineStr">
        <is>
          <t>NIL</t>
        </is>
      </c>
      <c r="E3185" t="n">
        <v>1548</v>
      </c>
    </row>
    <row r="3186">
      <c r="A3186" t="inlineStr">
        <is>
          <t>27BBBBB03186Z5</t>
        </is>
      </c>
      <c r="B3186" t="inlineStr">
        <is>
          <t>Jan-2021</t>
        </is>
      </c>
      <c r="C3186" s="2" t="n">
        <v>43554</v>
      </c>
      <c r="D3186" t="inlineStr">
        <is>
          <t>NIL</t>
        </is>
      </c>
      <c r="E3186" t="n">
        <v>2219</v>
      </c>
    </row>
    <row r="3187">
      <c r="A3187" t="inlineStr">
        <is>
          <t>27BBBBB03187Z5</t>
        </is>
      </c>
      <c r="B3187" t="inlineStr">
        <is>
          <t>Jul-2020</t>
        </is>
      </c>
      <c r="C3187" s="2" t="n">
        <v>44644</v>
      </c>
      <c r="D3187" t="inlineStr">
        <is>
          <t>NIL</t>
        </is>
      </c>
      <c r="E3187" t="n">
        <v>2590</v>
      </c>
    </row>
    <row r="3188">
      <c r="A3188" t="inlineStr">
        <is>
          <t>27BBBBB03188Z5</t>
        </is>
      </c>
      <c r="B3188" t="inlineStr">
        <is>
          <t>Jun-2018</t>
        </is>
      </c>
      <c r="C3188" s="2" t="n">
        <v>44394</v>
      </c>
      <c r="D3188" t="inlineStr">
        <is>
          <t>NON-NIL</t>
        </is>
      </c>
      <c r="E3188" t="n">
        <v>2630</v>
      </c>
    </row>
    <row r="3189">
      <c r="A3189" t="inlineStr">
        <is>
          <t>27BBBBB03189Z5</t>
        </is>
      </c>
      <c r="B3189" t="inlineStr">
        <is>
          <t>Dec-2022</t>
        </is>
      </c>
      <c r="C3189" s="2" t="n">
        <v>44634</v>
      </c>
      <c r="D3189" t="inlineStr">
        <is>
          <t>NIL</t>
        </is>
      </c>
      <c r="E3189" t="n">
        <v>775</v>
      </c>
    </row>
    <row r="3190">
      <c r="A3190" t="inlineStr">
        <is>
          <t>27BBBBB03190Z5</t>
        </is>
      </c>
      <c r="B3190" t="inlineStr">
        <is>
          <t>Dec-2024</t>
        </is>
      </c>
      <c r="C3190" s="2" t="n">
        <v>45075</v>
      </c>
      <c r="D3190" t="inlineStr">
        <is>
          <t>NIL</t>
        </is>
      </c>
      <c r="E3190" t="n">
        <v>1840</v>
      </c>
    </row>
    <row r="3191">
      <c r="A3191" t="inlineStr">
        <is>
          <t>27BBBBB03191Z5</t>
        </is>
      </c>
      <c r="B3191" t="inlineStr">
        <is>
          <t>Jan-2021</t>
        </is>
      </c>
      <c r="C3191" s="2" t="n">
        <v>45614</v>
      </c>
      <c r="D3191" t="inlineStr">
        <is>
          <t>NIL</t>
        </is>
      </c>
      <c r="E3191" t="n">
        <v>2762</v>
      </c>
    </row>
    <row r="3192">
      <c r="A3192" t="inlineStr">
        <is>
          <t>27BBBBB03192Z5</t>
        </is>
      </c>
      <c r="B3192" t="inlineStr">
        <is>
          <t>Jan-2018</t>
        </is>
      </c>
      <c r="C3192" s="2" t="n">
        <v>43842</v>
      </c>
      <c r="D3192" t="inlineStr">
        <is>
          <t>NIL</t>
        </is>
      </c>
      <c r="E3192" t="n">
        <v>1914</v>
      </c>
    </row>
    <row r="3193">
      <c r="A3193" t="inlineStr">
        <is>
          <t>27BBBBB03193Z5</t>
        </is>
      </c>
      <c r="B3193" t="inlineStr">
        <is>
          <t>Sep-2017</t>
        </is>
      </c>
      <c r="C3193" s="2" t="n">
        <v>44043</v>
      </c>
      <c r="D3193" t="inlineStr">
        <is>
          <t>NON-NIL</t>
        </is>
      </c>
      <c r="E3193" t="n">
        <v>1318</v>
      </c>
    </row>
    <row r="3194">
      <c r="A3194" t="inlineStr">
        <is>
          <t>27BBBBB03194Z5</t>
        </is>
      </c>
      <c r="B3194" t="inlineStr">
        <is>
          <t>Dec-2018</t>
        </is>
      </c>
      <c r="C3194" s="2" t="n">
        <v>44032</v>
      </c>
      <c r="D3194" t="inlineStr">
        <is>
          <t>NIL</t>
        </is>
      </c>
      <c r="E3194" t="n">
        <v>1868</v>
      </c>
    </row>
    <row r="3195">
      <c r="A3195" t="inlineStr">
        <is>
          <t>27BBBBB03195Z5</t>
        </is>
      </c>
      <c r="B3195" t="inlineStr">
        <is>
          <t>Apr-2018</t>
        </is>
      </c>
      <c r="C3195" s="2" t="n">
        <v>43742</v>
      </c>
      <c r="D3195" t="inlineStr">
        <is>
          <t>NIL</t>
        </is>
      </c>
      <c r="E3195" t="n">
        <v>2827</v>
      </c>
    </row>
    <row r="3196">
      <c r="A3196" t="inlineStr">
        <is>
          <t>27BBBBB03196Z5</t>
        </is>
      </c>
      <c r="B3196" t="inlineStr">
        <is>
          <t>Nov-2017</t>
        </is>
      </c>
      <c r="C3196" s="2" t="n">
        <v>42997</v>
      </c>
      <c r="D3196" t="inlineStr">
        <is>
          <t>NON-NIL</t>
        </is>
      </c>
      <c r="E3196" t="n">
        <v>1694</v>
      </c>
    </row>
    <row r="3197">
      <c r="A3197" t="inlineStr">
        <is>
          <t>27BBBBB03197Z5</t>
        </is>
      </c>
      <c r="B3197" t="inlineStr">
        <is>
          <t>May-2018</t>
        </is>
      </c>
      <c r="C3197" s="2" t="n">
        <v>43536</v>
      </c>
      <c r="D3197" t="inlineStr">
        <is>
          <t>NON-NIL</t>
        </is>
      </c>
      <c r="E3197" t="n">
        <v>1547</v>
      </c>
    </row>
    <row r="3198">
      <c r="A3198" t="inlineStr">
        <is>
          <t>27BBBBB03198Z5</t>
        </is>
      </c>
      <c r="B3198" t="inlineStr">
        <is>
          <t>May-2018</t>
        </is>
      </c>
      <c r="C3198" s="2" t="n">
        <v>43806</v>
      </c>
      <c r="D3198" t="inlineStr">
        <is>
          <t>NON-NIL</t>
        </is>
      </c>
      <c r="E3198" t="n">
        <v>905</v>
      </c>
    </row>
    <row r="3199">
      <c r="A3199" t="inlineStr">
        <is>
          <t>27BBBBB03199Z5</t>
        </is>
      </c>
      <c r="B3199" t="inlineStr">
        <is>
          <t>Jul-2020</t>
        </is>
      </c>
      <c r="C3199" s="2" t="n">
        <v>44620</v>
      </c>
      <c r="D3199" t="inlineStr">
        <is>
          <t>NIL</t>
        </is>
      </c>
      <c r="E3199" t="n">
        <v>1600</v>
      </c>
    </row>
    <row r="3200">
      <c r="A3200" t="inlineStr">
        <is>
          <t>27BBBBB03200Z5</t>
        </is>
      </c>
      <c r="B3200" t="inlineStr">
        <is>
          <t>Jan-2018</t>
        </is>
      </c>
      <c r="C3200" s="2" t="n">
        <v>44362</v>
      </c>
      <c r="D3200" t="inlineStr">
        <is>
          <t>NIL</t>
        </is>
      </c>
      <c r="E3200" t="n">
        <v>855</v>
      </c>
    </row>
    <row r="3201">
      <c r="A3201" t="inlineStr">
        <is>
          <t>27BBBBB03201Z5</t>
        </is>
      </c>
      <c r="B3201" t="inlineStr">
        <is>
          <t>Apr-2020</t>
        </is>
      </c>
      <c r="C3201" s="2" t="n">
        <v>44123</v>
      </c>
      <c r="D3201" t="inlineStr">
        <is>
          <t>NIL</t>
        </is>
      </c>
      <c r="E3201" t="n">
        <v>720</v>
      </c>
    </row>
    <row r="3202">
      <c r="A3202" t="inlineStr">
        <is>
          <t>27BBBBB03202Z5</t>
        </is>
      </c>
      <c r="B3202" t="inlineStr">
        <is>
          <t>Jan-2018</t>
        </is>
      </c>
      <c r="C3202" s="2" t="n">
        <v>43036</v>
      </c>
      <c r="D3202" t="inlineStr">
        <is>
          <t>NON-NIL</t>
        </is>
      </c>
      <c r="E3202" t="n">
        <v>749</v>
      </c>
    </row>
    <row r="3203">
      <c r="A3203" t="inlineStr">
        <is>
          <t>27BBBBB03203Z5</t>
        </is>
      </c>
      <c r="B3203" t="inlineStr">
        <is>
          <t>Oct-2017</t>
        </is>
      </c>
      <c r="C3203" s="2" t="n">
        <v>43033</v>
      </c>
      <c r="D3203" t="inlineStr">
        <is>
          <t>NIL</t>
        </is>
      </c>
      <c r="E3203" t="n">
        <v>2015</v>
      </c>
    </row>
    <row r="3204">
      <c r="A3204" t="inlineStr">
        <is>
          <t>27BBBBB03204Z5</t>
        </is>
      </c>
      <c r="B3204" t="inlineStr">
        <is>
          <t>Apr-2020</t>
        </is>
      </c>
      <c r="C3204" s="2" t="n">
        <v>44211</v>
      </c>
      <c r="D3204" t="inlineStr">
        <is>
          <t>NIL</t>
        </is>
      </c>
      <c r="E3204" t="n">
        <v>1237</v>
      </c>
    </row>
    <row r="3205">
      <c r="A3205" t="inlineStr">
        <is>
          <t>27BBBBB03205Z5</t>
        </is>
      </c>
      <c r="B3205" t="inlineStr">
        <is>
          <t>May-2020</t>
        </is>
      </c>
      <c r="C3205" s="2" t="n">
        <v>44744</v>
      </c>
      <c r="D3205" t="inlineStr">
        <is>
          <t>NIL</t>
        </is>
      </c>
      <c r="E3205" t="n">
        <v>2041</v>
      </c>
    </row>
    <row r="3206">
      <c r="A3206" t="inlineStr">
        <is>
          <t>27BBBBB03206Z5</t>
        </is>
      </c>
      <c r="B3206" t="inlineStr">
        <is>
          <t>Jan-2021</t>
        </is>
      </c>
      <c r="C3206" s="2" t="n">
        <v>43654</v>
      </c>
      <c r="D3206" t="inlineStr">
        <is>
          <t>NIL</t>
        </is>
      </c>
      <c r="E3206" t="n">
        <v>714</v>
      </c>
    </row>
    <row r="3207">
      <c r="A3207" t="inlineStr">
        <is>
          <t>27BBBBB03207Z5</t>
        </is>
      </c>
      <c r="B3207" t="inlineStr">
        <is>
          <t>Feb-2018</t>
        </is>
      </c>
      <c r="C3207" s="2" t="n">
        <v>43328</v>
      </c>
      <c r="D3207" t="inlineStr">
        <is>
          <t>NON-NIL</t>
        </is>
      </c>
      <c r="E3207" t="n">
        <v>1832</v>
      </c>
    </row>
    <row r="3208">
      <c r="A3208" t="inlineStr">
        <is>
          <t>27BBBBB03208Z5</t>
        </is>
      </c>
      <c r="B3208" t="inlineStr">
        <is>
          <t>Mar-2023</t>
        </is>
      </c>
      <c r="C3208" s="2" t="n">
        <v>45796</v>
      </c>
      <c r="D3208" t="inlineStr">
        <is>
          <t>NIL</t>
        </is>
      </c>
      <c r="E3208" t="n">
        <v>2024</v>
      </c>
    </row>
    <row r="3209">
      <c r="A3209" t="inlineStr">
        <is>
          <t>27BBBBB03209Z5</t>
        </is>
      </c>
      <c r="B3209" t="inlineStr">
        <is>
          <t>May-2020</t>
        </is>
      </c>
      <c r="C3209" s="2" t="n">
        <v>44795</v>
      </c>
      <c r="D3209" t="inlineStr">
        <is>
          <t>NON-NIL</t>
        </is>
      </c>
      <c r="E3209" t="n">
        <v>2445</v>
      </c>
    </row>
    <row r="3210">
      <c r="A3210" t="inlineStr">
        <is>
          <t>27BBBBB03210Z5</t>
        </is>
      </c>
      <c r="B3210" t="inlineStr">
        <is>
          <t>Jul-2017</t>
        </is>
      </c>
      <c r="C3210" s="2" t="n">
        <v>43082</v>
      </c>
      <c r="D3210" t="inlineStr">
        <is>
          <t>NIL</t>
        </is>
      </c>
      <c r="E3210" t="n">
        <v>2459</v>
      </c>
    </row>
    <row r="3211">
      <c r="A3211" t="inlineStr">
        <is>
          <t>27BBBBB03211Z5</t>
        </is>
      </c>
      <c r="B3211" t="inlineStr">
        <is>
          <t>Nov-2017</t>
        </is>
      </c>
      <c r="C3211" s="2" t="n">
        <v>44124</v>
      </c>
      <c r="D3211" t="inlineStr">
        <is>
          <t>NIL</t>
        </is>
      </c>
      <c r="E3211" t="n">
        <v>2535</v>
      </c>
    </row>
    <row r="3212">
      <c r="A3212" t="inlineStr">
        <is>
          <t>27BBBBB03212Z5</t>
        </is>
      </c>
      <c r="B3212" t="inlineStr">
        <is>
          <t>Nov-2017</t>
        </is>
      </c>
      <c r="C3212" s="2" t="n">
        <v>42966</v>
      </c>
      <c r="D3212" t="inlineStr">
        <is>
          <t>NIL</t>
        </is>
      </c>
      <c r="E3212" t="n">
        <v>959</v>
      </c>
    </row>
    <row r="3213">
      <c r="A3213" t="inlineStr">
        <is>
          <t>27BBBBB03213Z5</t>
        </is>
      </c>
      <c r="B3213" t="inlineStr">
        <is>
          <t>Jan-2018</t>
        </is>
      </c>
      <c r="C3213" s="2" t="n">
        <v>43826</v>
      </c>
      <c r="D3213" t="inlineStr">
        <is>
          <t>NIL</t>
        </is>
      </c>
      <c r="E3213" t="n">
        <v>1170</v>
      </c>
    </row>
    <row r="3214">
      <c r="A3214" t="inlineStr">
        <is>
          <t>27BBBBB03214Z5</t>
        </is>
      </c>
      <c r="B3214" t="inlineStr">
        <is>
          <t>May-2018</t>
        </is>
      </c>
      <c r="C3214" s="2" t="n">
        <v>43888</v>
      </c>
      <c r="D3214" t="inlineStr">
        <is>
          <t>NON-NIL</t>
        </is>
      </c>
      <c r="E3214" t="n">
        <v>2922</v>
      </c>
    </row>
    <row r="3215">
      <c r="A3215" t="inlineStr">
        <is>
          <t>27BBBBB03215Z5</t>
        </is>
      </c>
      <c r="B3215" t="inlineStr">
        <is>
          <t>Jul-2017</t>
        </is>
      </c>
      <c r="C3215" s="2" t="n">
        <v>44272</v>
      </c>
      <c r="D3215" t="inlineStr">
        <is>
          <t>NON-NIL</t>
        </is>
      </c>
      <c r="E3215" t="n">
        <v>202</v>
      </c>
    </row>
    <row r="3216">
      <c r="A3216" t="inlineStr">
        <is>
          <t>27BBBBB03216Z5</t>
        </is>
      </c>
      <c r="B3216" t="inlineStr">
        <is>
          <t>Jan-2021</t>
        </is>
      </c>
      <c r="C3216" s="2" t="n">
        <v>45401</v>
      </c>
      <c r="D3216" t="inlineStr">
        <is>
          <t>NON-NIL</t>
        </is>
      </c>
      <c r="E3216" t="n">
        <v>2465</v>
      </c>
    </row>
    <row r="3217">
      <c r="A3217" t="inlineStr">
        <is>
          <t>27BBBBB03217Z5</t>
        </is>
      </c>
      <c r="B3217" t="inlineStr">
        <is>
          <t>May-2020</t>
        </is>
      </c>
      <c r="C3217" s="2" t="n">
        <v>43991</v>
      </c>
      <c r="D3217" t="inlineStr">
        <is>
          <t>NIL</t>
        </is>
      </c>
      <c r="E3217" t="n">
        <v>925</v>
      </c>
    </row>
    <row r="3218">
      <c r="A3218" t="inlineStr">
        <is>
          <t>27BBBBB03218Z5</t>
        </is>
      </c>
      <c r="B3218" t="inlineStr">
        <is>
          <t>Apr-2020</t>
        </is>
      </c>
      <c r="C3218" s="2" t="n">
        <v>44149</v>
      </c>
      <c r="D3218" t="inlineStr">
        <is>
          <t>NIL</t>
        </is>
      </c>
      <c r="E3218" t="n">
        <v>804</v>
      </c>
    </row>
    <row r="3219">
      <c r="A3219" t="inlineStr">
        <is>
          <t>27BBBBB03219Z5</t>
        </is>
      </c>
      <c r="B3219" t="inlineStr">
        <is>
          <t>Dec-2024</t>
        </is>
      </c>
      <c r="C3219" s="2" t="n">
        <v>45151</v>
      </c>
      <c r="D3219" t="inlineStr">
        <is>
          <t>NON-NIL</t>
        </is>
      </c>
      <c r="E3219" t="n">
        <v>1278</v>
      </c>
    </row>
    <row r="3220">
      <c r="A3220" t="inlineStr">
        <is>
          <t>27BBBBB03220Z5</t>
        </is>
      </c>
      <c r="B3220" t="inlineStr">
        <is>
          <t>Apr-2020</t>
        </is>
      </c>
      <c r="C3220" s="2" t="n">
        <v>44321</v>
      </c>
      <c r="D3220" t="inlineStr">
        <is>
          <t>NIL</t>
        </is>
      </c>
      <c r="E3220" t="n">
        <v>1772</v>
      </c>
    </row>
    <row r="3221">
      <c r="A3221" t="inlineStr">
        <is>
          <t>27BBBBB03221Z5</t>
        </is>
      </c>
      <c r="B3221" t="inlineStr">
        <is>
          <t>Dec-2018</t>
        </is>
      </c>
      <c r="C3221" s="2" t="n">
        <v>43376</v>
      </c>
      <c r="D3221" t="inlineStr">
        <is>
          <t>NIL</t>
        </is>
      </c>
      <c r="E3221" t="n">
        <v>977</v>
      </c>
    </row>
    <row r="3222">
      <c r="A3222" t="inlineStr">
        <is>
          <t>27BBBBB03222Z5</t>
        </is>
      </c>
      <c r="B3222" t="inlineStr">
        <is>
          <t>Dec-2018</t>
        </is>
      </c>
      <c r="C3222" s="2" t="n">
        <v>42945</v>
      </c>
      <c r="D3222" t="inlineStr">
        <is>
          <t>NIL</t>
        </is>
      </c>
      <c r="E3222" t="n">
        <v>2925</v>
      </c>
    </row>
    <row r="3223">
      <c r="A3223" t="inlineStr">
        <is>
          <t>27BBBBB03223Z5</t>
        </is>
      </c>
      <c r="B3223" t="inlineStr">
        <is>
          <t>Jun-2020</t>
        </is>
      </c>
      <c r="C3223" s="2" t="n">
        <v>44277</v>
      </c>
      <c r="D3223" t="inlineStr">
        <is>
          <t>NIL</t>
        </is>
      </c>
      <c r="E3223" t="n">
        <v>2302</v>
      </c>
    </row>
    <row r="3224">
      <c r="A3224" t="inlineStr">
        <is>
          <t>27BBBBB03224Z5</t>
        </is>
      </c>
      <c r="B3224" t="inlineStr">
        <is>
          <t>Jan-2018</t>
        </is>
      </c>
      <c r="C3224" s="2" t="n">
        <v>43398</v>
      </c>
      <c r="D3224" t="inlineStr">
        <is>
          <t>NON-NIL</t>
        </is>
      </c>
      <c r="E3224" t="n">
        <v>1867</v>
      </c>
    </row>
    <row r="3225">
      <c r="A3225" t="inlineStr">
        <is>
          <t>27BBBBB03225Z5</t>
        </is>
      </c>
      <c r="B3225" t="inlineStr">
        <is>
          <t>Jan-2021</t>
        </is>
      </c>
      <c r="C3225" s="2" t="n">
        <v>44279</v>
      </c>
      <c r="D3225" t="inlineStr">
        <is>
          <t>NON-NIL</t>
        </is>
      </c>
      <c r="E3225" t="n">
        <v>287</v>
      </c>
    </row>
    <row r="3226">
      <c r="A3226" t="inlineStr">
        <is>
          <t>27BBBBB03226Z5</t>
        </is>
      </c>
      <c r="B3226" t="inlineStr">
        <is>
          <t>Apr-2018</t>
        </is>
      </c>
      <c r="C3226" s="2" t="n">
        <v>44390</v>
      </c>
      <c r="D3226" t="inlineStr">
        <is>
          <t>NIL</t>
        </is>
      </c>
      <c r="E3226" t="n">
        <v>1162</v>
      </c>
    </row>
    <row r="3227">
      <c r="A3227" t="inlineStr">
        <is>
          <t>27BBBBB03227Z5</t>
        </is>
      </c>
      <c r="B3227" t="inlineStr">
        <is>
          <t>Oct-2018</t>
        </is>
      </c>
      <c r="C3227" s="2" t="n">
        <v>44295</v>
      </c>
      <c r="D3227" t="inlineStr">
        <is>
          <t>NON-NIL</t>
        </is>
      </c>
      <c r="E3227" t="n">
        <v>313</v>
      </c>
    </row>
    <row r="3228">
      <c r="A3228" t="inlineStr">
        <is>
          <t>27BBBBB03228Z5</t>
        </is>
      </c>
      <c r="B3228" t="inlineStr">
        <is>
          <t>Apr-2020</t>
        </is>
      </c>
      <c r="C3228" s="2" t="n">
        <v>44421</v>
      </c>
      <c r="D3228" t="inlineStr">
        <is>
          <t>NON-NIL</t>
        </is>
      </c>
      <c r="E3228" t="n">
        <v>1722</v>
      </c>
    </row>
    <row r="3229">
      <c r="A3229" t="inlineStr">
        <is>
          <t>27BBBBB03229Z5</t>
        </is>
      </c>
      <c r="B3229" t="inlineStr">
        <is>
          <t>Sep-2017</t>
        </is>
      </c>
      <c r="C3229" s="2" t="n">
        <v>44288</v>
      </c>
      <c r="D3229" t="inlineStr">
        <is>
          <t>NON-NIL</t>
        </is>
      </c>
      <c r="E3229" t="n">
        <v>2195</v>
      </c>
    </row>
    <row r="3230">
      <c r="A3230" t="inlineStr">
        <is>
          <t>27BBBBB03230Z5</t>
        </is>
      </c>
      <c r="B3230" t="inlineStr">
        <is>
          <t>Oct-2017</t>
        </is>
      </c>
      <c r="C3230" s="2" t="n">
        <v>43951</v>
      </c>
      <c r="D3230" t="inlineStr">
        <is>
          <t>NIL</t>
        </is>
      </c>
      <c r="E3230" t="n">
        <v>2642</v>
      </c>
    </row>
    <row r="3231">
      <c r="A3231" t="inlineStr">
        <is>
          <t>27BBBBB03231Z5</t>
        </is>
      </c>
      <c r="B3231" t="inlineStr">
        <is>
          <t>Sep-2017</t>
        </is>
      </c>
      <c r="C3231" s="2" t="n">
        <v>42940</v>
      </c>
      <c r="D3231" t="inlineStr">
        <is>
          <t>NON-NIL</t>
        </is>
      </c>
      <c r="E3231" t="n">
        <v>2864</v>
      </c>
    </row>
    <row r="3232">
      <c r="A3232" t="inlineStr">
        <is>
          <t>27BBBBB03232Z5</t>
        </is>
      </c>
      <c r="B3232" t="inlineStr">
        <is>
          <t>Apr-2020</t>
        </is>
      </c>
      <c r="C3232" s="2" t="n">
        <v>44421</v>
      </c>
      <c r="D3232" t="inlineStr">
        <is>
          <t>NIL</t>
        </is>
      </c>
      <c r="E3232" t="n">
        <v>2369</v>
      </c>
    </row>
    <row r="3233">
      <c r="A3233" t="inlineStr">
        <is>
          <t>27BBBBB03233Z5</t>
        </is>
      </c>
      <c r="B3233" t="inlineStr">
        <is>
          <t>Dec-2017</t>
        </is>
      </c>
      <c r="C3233" s="2" t="n">
        <v>43253</v>
      </c>
      <c r="D3233" t="inlineStr">
        <is>
          <t>NIL</t>
        </is>
      </c>
      <c r="E3233" t="n">
        <v>260</v>
      </c>
    </row>
    <row r="3234">
      <c r="A3234" t="inlineStr">
        <is>
          <t>27BBBBB03234Z5</t>
        </is>
      </c>
      <c r="B3234" t="inlineStr">
        <is>
          <t>Jan-2021</t>
        </is>
      </c>
      <c r="C3234" s="2" t="n">
        <v>45474</v>
      </c>
      <c r="D3234" t="inlineStr">
        <is>
          <t>NON-NIL</t>
        </is>
      </c>
      <c r="E3234" t="n">
        <v>2923</v>
      </c>
    </row>
    <row r="3235">
      <c r="A3235" t="inlineStr">
        <is>
          <t>27BBBBB03235Z5</t>
        </is>
      </c>
      <c r="B3235" t="inlineStr">
        <is>
          <t>Jun-2020</t>
        </is>
      </c>
      <c r="C3235" s="2" t="n">
        <v>44901</v>
      </c>
      <c r="D3235" t="inlineStr">
        <is>
          <t>NIL</t>
        </is>
      </c>
      <c r="E3235" t="n">
        <v>2638</v>
      </c>
    </row>
    <row r="3236">
      <c r="A3236" t="inlineStr">
        <is>
          <t>27BBBBB03236Z5</t>
        </is>
      </c>
      <c r="B3236" t="inlineStr">
        <is>
          <t>May-2020</t>
        </is>
      </c>
      <c r="C3236" s="2" t="n">
        <v>44132</v>
      </c>
      <c r="D3236" t="inlineStr">
        <is>
          <t>NIL</t>
        </is>
      </c>
      <c r="E3236" t="n">
        <v>263</v>
      </c>
    </row>
    <row r="3237">
      <c r="A3237" t="inlineStr">
        <is>
          <t>27BBBBB03237Z5</t>
        </is>
      </c>
      <c r="B3237" t="inlineStr">
        <is>
          <t>Dec-2022</t>
        </is>
      </c>
      <c r="C3237" s="2" t="n">
        <v>43624</v>
      </c>
      <c r="D3237" t="inlineStr">
        <is>
          <t>NIL</t>
        </is>
      </c>
      <c r="E3237" t="n">
        <v>29</v>
      </c>
    </row>
    <row r="3238">
      <c r="A3238" t="inlineStr">
        <is>
          <t>27BBBBB03238Z5</t>
        </is>
      </c>
      <c r="B3238" t="inlineStr">
        <is>
          <t>Oct-2018</t>
        </is>
      </c>
      <c r="C3238" s="2" t="n">
        <v>43241</v>
      </c>
      <c r="D3238" t="inlineStr">
        <is>
          <t>NIL</t>
        </is>
      </c>
      <c r="E3238" t="n">
        <v>605</v>
      </c>
    </row>
    <row r="3239">
      <c r="A3239" t="inlineStr">
        <is>
          <t>27BBBBB03239Z5</t>
        </is>
      </c>
      <c r="B3239" t="inlineStr">
        <is>
          <t>Jan-2021</t>
        </is>
      </c>
      <c r="C3239" s="2" t="n">
        <v>44046</v>
      </c>
      <c r="D3239" t="inlineStr">
        <is>
          <t>NON-NIL</t>
        </is>
      </c>
      <c r="E3239" t="n">
        <v>1228</v>
      </c>
    </row>
    <row r="3240">
      <c r="A3240" t="inlineStr">
        <is>
          <t>27BBBBB03240Z5</t>
        </is>
      </c>
      <c r="B3240" t="inlineStr">
        <is>
          <t>Jan-2021</t>
        </is>
      </c>
      <c r="C3240" s="2" t="n">
        <v>45267</v>
      </c>
      <c r="D3240" t="inlineStr">
        <is>
          <t>NIL</t>
        </is>
      </c>
      <c r="E3240" t="n">
        <v>141</v>
      </c>
    </row>
    <row r="3241">
      <c r="A3241" t="inlineStr">
        <is>
          <t>27BBBBB03241Z5</t>
        </is>
      </c>
      <c r="B3241" t="inlineStr">
        <is>
          <t>Sep-2017</t>
        </is>
      </c>
      <c r="C3241" s="2" t="n">
        <v>44196</v>
      </c>
      <c r="D3241" t="inlineStr">
        <is>
          <t>NON-NIL</t>
        </is>
      </c>
      <c r="E3241" t="n">
        <v>1095</v>
      </c>
    </row>
    <row r="3242">
      <c r="A3242" t="inlineStr">
        <is>
          <t>27BBBBB03242Z5</t>
        </is>
      </c>
      <c r="B3242" t="inlineStr">
        <is>
          <t>Oct-2017</t>
        </is>
      </c>
      <c r="C3242" s="2" t="n">
        <v>42929</v>
      </c>
      <c r="D3242" t="inlineStr">
        <is>
          <t>NIL</t>
        </is>
      </c>
      <c r="E3242" t="n">
        <v>1257</v>
      </c>
    </row>
    <row r="3243">
      <c r="A3243" t="inlineStr">
        <is>
          <t>27BBBBB03243Z5</t>
        </is>
      </c>
      <c r="B3243" t="inlineStr">
        <is>
          <t>Mar-2021</t>
        </is>
      </c>
      <c r="C3243" s="2" t="n">
        <v>44569</v>
      </c>
      <c r="D3243" t="inlineStr">
        <is>
          <t>NON-NIL</t>
        </is>
      </c>
      <c r="E3243" t="n">
        <v>620</v>
      </c>
    </row>
    <row r="3244">
      <c r="A3244" t="inlineStr">
        <is>
          <t>27BBBBB03244Z5</t>
        </is>
      </c>
      <c r="B3244" t="inlineStr">
        <is>
          <t>May-2018</t>
        </is>
      </c>
      <c r="C3244" s="2" t="n">
        <v>43425</v>
      </c>
      <c r="D3244" t="inlineStr">
        <is>
          <t>NON-NIL</t>
        </is>
      </c>
      <c r="E3244" t="n">
        <v>1194</v>
      </c>
    </row>
    <row r="3245">
      <c r="A3245" t="inlineStr">
        <is>
          <t>27BBBBB03245Z5</t>
        </is>
      </c>
      <c r="B3245" t="inlineStr">
        <is>
          <t>Nov-2017</t>
        </is>
      </c>
      <c r="C3245" s="2" t="n">
        <v>43463</v>
      </c>
      <c r="D3245" t="inlineStr">
        <is>
          <t>NON-NIL</t>
        </is>
      </c>
      <c r="E3245" t="n">
        <v>377</v>
      </c>
    </row>
    <row r="3246">
      <c r="A3246" t="inlineStr">
        <is>
          <t>27BBBBB03246Z5</t>
        </is>
      </c>
      <c r="B3246" t="inlineStr">
        <is>
          <t>Dec-2022</t>
        </is>
      </c>
      <c r="C3246" s="2" t="n">
        <v>45497</v>
      </c>
      <c r="D3246" t="inlineStr">
        <is>
          <t>NON-NIL</t>
        </is>
      </c>
      <c r="E3246" t="n">
        <v>2248</v>
      </c>
    </row>
    <row r="3247">
      <c r="A3247" t="inlineStr">
        <is>
          <t>27BBBBB03247Z5</t>
        </is>
      </c>
      <c r="B3247" t="inlineStr">
        <is>
          <t>Mar-2018</t>
        </is>
      </c>
      <c r="C3247" s="2" t="n">
        <v>43890</v>
      </c>
      <c r="D3247" t="inlineStr">
        <is>
          <t>NON-NIL</t>
        </is>
      </c>
      <c r="E3247" t="n">
        <v>177</v>
      </c>
    </row>
    <row r="3248">
      <c r="A3248" t="inlineStr">
        <is>
          <t>27BBBBB03248Z5</t>
        </is>
      </c>
      <c r="B3248" t="inlineStr">
        <is>
          <t>Nov-2017</t>
        </is>
      </c>
      <c r="C3248" s="2" t="n">
        <v>43357</v>
      </c>
      <c r="D3248" t="inlineStr">
        <is>
          <t>NIL</t>
        </is>
      </c>
      <c r="E3248" t="n">
        <v>2076</v>
      </c>
    </row>
    <row r="3249">
      <c r="A3249" t="inlineStr">
        <is>
          <t>27BBBBB03249Z5</t>
        </is>
      </c>
      <c r="B3249" t="inlineStr">
        <is>
          <t>Jun-2020</t>
        </is>
      </c>
      <c r="C3249" s="2" t="n">
        <v>44219</v>
      </c>
      <c r="D3249" t="inlineStr">
        <is>
          <t>NIL</t>
        </is>
      </c>
      <c r="E3249" t="n">
        <v>226</v>
      </c>
    </row>
    <row r="3250">
      <c r="A3250" t="inlineStr">
        <is>
          <t>27BBBBB03250Z5</t>
        </is>
      </c>
      <c r="B3250" t="inlineStr">
        <is>
          <t>Apr-2020</t>
        </is>
      </c>
      <c r="C3250" s="2" t="n">
        <v>43965</v>
      </c>
      <c r="D3250" t="inlineStr">
        <is>
          <t>NON-NIL</t>
        </is>
      </c>
      <c r="E3250" t="n">
        <v>1798</v>
      </c>
    </row>
    <row r="3251">
      <c r="A3251" t="inlineStr">
        <is>
          <t>27BBBBB03251Z5</t>
        </is>
      </c>
      <c r="B3251" t="inlineStr">
        <is>
          <t>Sep-2017</t>
        </is>
      </c>
      <c r="C3251" s="2" t="n">
        <v>44140</v>
      </c>
      <c r="D3251" t="inlineStr">
        <is>
          <t>NIL</t>
        </is>
      </c>
      <c r="E3251" t="n">
        <v>43</v>
      </c>
    </row>
    <row r="3252">
      <c r="A3252" t="inlineStr">
        <is>
          <t>27BBBBB03252Z5</t>
        </is>
      </c>
      <c r="B3252" t="inlineStr">
        <is>
          <t>Apr-2018</t>
        </is>
      </c>
      <c r="C3252" s="2" t="n">
        <v>44230</v>
      </c>
      <c r="D3252" t="inlineStr">
        <is>
          <t>NIL</t>
        </is>
      </c>
      <c r="E3252" t="n">
        <v>2427</v>
      </c>
    </row>
    <row r="3253">
      <c r="A3253" t="inlineStr">
        <is>
          <t>27BBBBB03253Z5</t>
        </is>
      </c>
      <c r="B3253" t="inlineStr">
        <is>
          <t>Sep-2018</t>
        </is>
      </c>
      <c r="C3253" s="2" t="n">
        <v>44492</v>
      </c>
      <c r="D3253" t="inlineStr">
        <is>
          <t>NIL</t>
        </is>
      </c>
      <c r="E3253" t="n">
        <v>982</v>
      </c>
    </row>
    <row r="3254">
      <c r="A3254" t="inlineStr">
        <is>
          <t>27BBBBB03254Z5</t>
        </is>
      </c>
      <c r="B3254" t="inlineStr">
        <is>
          <t>Apr-2018</t>
        </is>
      </c>
      <c r="C3254" s="2" t="n">
        <v>43102</v>
      </c>
      <c r="D3254" t="inlineStr">
        <is>
          <t>NIL</t>
        </is>
      </c>
      <c r="E3254" t="n">
        <v>2742</v>
      </c>
    </row>
    <row r="3255">
      <c r="A3255" t="inlineStr">
        <is>
          <t>27BBBBB03255Z5</t>
        </is>
      </c>
      <c r="B3255" t="inlineStr">
        <is>
          <t>Jan-2021</t>
        </is>
      </c>
      <c r="C3255" s="2" t="n">
        <v>44090</v>
      </c>
      <c r="D3255" t="inlineStr">
        <is>
          <t>NON-NIL</t>
        </is>
      </c>
      <c r="E3255" t="n">
        <v>591</v>
      </c>
    </row>
    <row r="3256">
      <c r="A3256" t="inlineStr">
        <is>
          <t>27BBBBB03256Z5</t>
        </is>
      </c>
      <c r="B3256" t="inlineStr">
        <is>
          <t>Jun-2018</t>
        </is>
      </c>
      <c r="C3256" s="2" t="n">
        <v>43011</v>
      </c>
      <c r="D3256" t="inlineStr">
        <is>
          <t>NON-NIL</t>
        </is>
      </c>
      <c r="E3256" t="n">
        <v>2485</v>
      </c>
    </row>
    <row r="3257">
      <c r="A3257" t="inlineStr">
        <is>
          <t>27BBBBB03257Z5</t>
        </is>
      </c>
      <c r="B3257" t="inlineStr">
        <is>
          <t>Jun-2020</t>
        </is>
      </c>
      <c r="C3257" s="2" t="n">
        <v>44629</v>
      </c>
      <c r="D3257" t="inlineStr">
        <is>
          <t>NIL</t>
        </is>
      </c>
      <c r="E3257" t="n">
        <v>435</v>
      </c>
    </row>
    <row r="3258">
      <c r="A3258" t="inlineStr">
        <is>
          <t>27BBBBB03258Z5</t>
        </is>
      </c>
      <c r="B3258" t="inlineStr">
        <is>
          <t>Aug-2017</t>
        </is>
      </c>
      <c r="C3258" s="2" t="n">
        <v>43688</v>
      </c>
      <c r="D3258" t="inlineStr">
        <is>
          <t>NIL</t>
        </is>
      </c>
      <c r="E3258" t="n">
        <v>1735</v>
      </c>
    </row>
    <row r="3259">
      <c r="A3259" t="inlineStr">
        <is>
          <t>27BBBBB03259Z5</t>
        </is>
      </c>
      <c r="B3259" t="inlineStr">
        <is>
          <t>Mar-2023</t>
        </is>
      </c>
      <c r="C3259" s="2" t="n">
        <v>45761</v>
      </c>
      <c r="D3259" t="inlineStr">
        <is>
          <t>NON-NIL</t>
        </is>
      </c>
      <c r="E3259" t="n">
        <v>1153</v>
      </c>
    </row>
    <row r="3260">
      <c r="A3260" t="inlineStr">
        <is>
          <t>27BBBBB03260Z5</t>
        </is>
      </c>
      <c r="B3260" t="inlineStr">
        <is>
          <t>Sep-2017</t>
        </is>
      </c>
      <c r="C3260" s="2" t="n">
        <v>44039</v>
      </c>
      <c r="D3260" t="inlineStr">
        <is>
          <t>NON-NIL</t>
        </is>
      </c>
      <c r="E3260" t="n">
        <v>1917</v>
      </c>
    </row>
    <row r="3261">
      <c r="A3261" t="inlineStr">
        <is>
          <t>27BBBBB03261Z5</t>
        </is>
      </c>
      <c r="B3261" t="inlineStr">
        <is>
          <t>Dec-2022</t>
        </is>
      </c>
      <c r="C3261" s="2" t="n">
        <v>45235</v>
      </c>
      <c r="D3261" t="inlineStr">
        <is>
          <t>NON-NIL</t>
        </is>
      </c>
      <c r="E3261" t="n">
        <v>358</v>
      </c>
    </row>
    <row r="3262">
      <c r="A3262" t="inlineStr">
        <is>
          <t>27BBBBB03262Z5</t>
        </is>
      </c>
      <c r="B3262" t="inlineStr">
        <is>
          <t>Jul-2020</t>
        </is>
      </c>
      <c r="C3262" s="2" t="n">
        <v>44791</v>
      </c>
      <c r="D3262" t="inlineStr">
        <is>
          <t>NON-NIL</t>
        </is>
      </c>
      <c r="E3262" t="n">
        <v>2595</v>
      </c>
    </row>
    <row r="3263">
      <c r="A3263" t="inlineStr">
        <is>
          <t>27BBBBB03263Z5</t>
        </is>
      </c>
      <c r="B3263" t="inlineStr">
        <is>
          <t>Dec-2018</t>
        </is>
      </c>
      <c r="C3263" s="2" t="n">
        <v>43813</v>
      </c>
      <c r="D3263" t="inlineStr">
        <is>
          <t>NIL</t>
        </is>
      </c>
      <c r="E3263" t="n">
        <v>2306</v>
      </c>
    </row>
    <row r="3264">
      <c r="A3264" t="inlineStr">
        <is>
          <t>27BBBBB03264Z5</t>
        </is>
      </c>
      <c r="B3264" t="inlineStr">
        <is>
          <t>Aug-2018</t>
        </is>
      </c>
      <c r="C3264" s="2" t="n">
        <v>43173</v>
      </c>
      <c r="D3264" t="inlineStr">
        <is>
          <t>NIL</t>
        </is>
      </c>
      <c r="E3264" t="n">
        <v>1234</v>
      </c>
    </row>
    <row r="3265">
      <c r="A3265" t="inlineStr">
        <is>
          <t>27BBBBB03265Z5</t>
        </is>
      </c>
      <c r="B3265" t="inlineStr">
        <is>
          <t>Dec-2017</t>
        </is>
      </c>
      <c r="C3265" s="2" t="n">
        <v>44490</v>
      </c>
      <c r="D3265" t="inlineStr">
        <is>
          <t>NON-NIL</t>
        </is>
      </c>
      <c r="E3265" t="n">
        <v>1503</v>
      </c>
    </row>
    <row r="3266">
      <c r="A3266" t="inlineStr">
        <is>
          <t>27BBBBB03266Z5</t>
        </is>
      </c>
      <c r="B3266" t="inlineStr">
        <is>
          <t>Dec-2022</t>
        </is>
      </c>
      <c r="C3266" s="2" t="n">
        <v>45702</v>
      </c>
      <c r="D3266" t="inlineStr">
        <is>
          <t>NIL</t>
        </is>
      </c>
      <c r="E3266" t="n">
        <v>237</v>
      </c>
    </row>
    <row r="3267">
      <c r="A3267" t="inlineStr">
        <is>
          <t>27BBBBB03267Z5</t>
        </is>
      </c>
      <c r="B3267" t="inlineStr">
        <is>
          <t>Sep-2017</t>
        </is>
      </c>
      <c r="C3267" s="2" t="n">
        <v>44327</v>
      </c>
      <c r="D3267" t="inlineStr">
        <is>
          <t>NON-NIL</t>
        </is>
      </c>
      <c r="E3267" t="n">
        <v>259</v>
      </c>
    </row>
    <row r="3268">
      <c r="A3268" t="inlineStr">
        <is>
          <t>27BBBBB03268Z5</t>
        </is>
      </c>
      <c r="B3268" t="inlineStr">
        <is>
          <t>Aug-2017</t>
        </is>
      </c>
      <c r="C3268" s="2" t="n">
        <v>44396</v>
      </c>
      <c r="D3268" t="inlineStr">
        <is>
          <t>NIL</t>
        </is>
      </c>
      <c r="E3268" t="n">
        <v>2159</v>
      </c>
    </row>
    <row r="3269">
      <c r="A3269" t="inlineStr">
        <is>
          <t>27BBBBB03269Z5</t>
        </is>
      </c>
      <c r="B3269" t="inlineStr">
        <is>
          <t>Jan-2021</t>
        </is>
      </c>
      <c r="C3269" s="2" t="n">
        <v>44080</v>
      </c>
      <c r="D3269" t="inlineStr">
        <is>
          <t>NON-NIL</t>
        </is>
      </c>
      <c r="E3269" t="n">
        <v>2426</v>
      </c>
    </row>
    <row r="3270">
      <c r="A3270" t="inlineStr">
        <is>
          <t>27BBBBB03270Z5</t>
        </is>
      </c>
      <c r="B3270" t="inlineStr">
        <is>
          <t>May-2020</t>
        </is>
      </c>
      <c r="C3270" s="2" t="n">
        <v>44197</v>
      </c>
      <c r="D3270" t="inlineStr">
        <is>
          <t>NIL</t>
        </is>
      </c>
      <c r="E3270" t="n">
        <v>193</v>
      </c>
    </row>
    <row r="3271">
      <c r="A3271" t="inlineStr">
        <is>
          <t>27BBBBB03271Z5</t>
        </is>
      </c>
      <c r="B3271" t="inlineStr">
        <is>
          <t>Jul-2018</t>
        </is>
      </c>
      <c r="C3271" s="2" t="n">
        <v>43622</v>
      </c>
      <c r="D3271" t="inlineStr">
        <is>
          <t>NIL</t>
        </is>
      </c>
      <c r="E3271" t="n">
        <v>474</v>
      </c>
    </row>
    <row r="3272">
      <c r="A3272" t="inlineStr">
        <is>
          <t>27BBBBB03272Z5</t>
        </is>
      </c>
      <c r="B3272" t="inlineStr">
        <is>
          <t>Oct-2018</t>
        </is>
      </c>
      <c r="C3272" s="2" t="n">
        <v>43763</v>
      </c>
      <c r="D3272" t="inlineStr">
        <is>
          <t>NIL</t>
        </is>
      </c>
      <c r="E3272" t="n">
        <v>1331</v>
      </c>
    </row>
    <row r="3273">
      <c r="A3273" t="inlineStr">
        <is>
          <t>27BBBBB03273Z5</t>
        </is>
      </c>
      <c r="B3273" t="inlineStr">
        <is>
          <t>Oct-2017</t>
        </is>
      </c>
      <c r="C3273" s="2" t="n">
        <v>43572</v>
      </c>
      <c r="D3273" t="inlineStr">
        <is>
          <t>NIL</t>
        </is>
      </c>
      <c r="E3273" t="n">
        <v>2068</v>
      </c>
    </row>
    <row r="3274">
      <c r="A3274" t="inlineStr">
        <is>
          <t>27BBBBB03274Z5</t>
        </is>
      </c>
      <c r="B3274" t="inlineStr">
        <is>
          <t>Nov-2018</t>
        </is>
      </c>
      <c r="C3274" s="2" t="n">
        <v>42970</v>
      </c>
      <c r="D3274" t="inlineStr">
        <is>
          <t>NIL</t>
        </is>
      </c>
      <c r="E3274" t="n">
        <v>1269</v>
      </c>
    </row>
    <row r="3275">
      <c r="A3275" t="inlineStr">
        <is>
          <t>27BBBBB03275Z5</t>
        </is>
      </c>
      <c r="B3275" t="inlineStr">
        <is>
          <t>Apr-2020</t>
        </is>
      </c>
      <c r="C3275" s="2" t="n">
        <v>44684</v>
      </c>
      <c r="D3275" t="inlineStr">
        <is>
          <t>NIL</t>
        </is>
      </c>
      <c r="E3275" t="n">
        <v>1493</v>
      </c>
    </row>
    <row r="3276">
      <c r="A3276" t="inlineStr">
        <is>
          <t>27BBBBB03276Z5</t>
        </is>
      </c>
      <c r="B3276" t="inlineStr">
        <is>
          <t>Mar-2018</t>
        </is>
      </c>
      <c r="C3276" s="2" t="n">
        <v>43774</v>
      </c>
      <c r="D3276" t="inlineStr">
        <is>
          <t>NIL</t>
        </is>
      </c>
      <c r="E3276" t="n">
        <v>1529</v>
      </c>
    </row>
    <row r="3277">
      <c r="A3277" t="inlineStr">
        <is>
          <t>27BBBBB03277Z5</t>
        </is>
      </c>
      <c r="B3277" t="inlineStr">
        <is>
          <t>Mar-2023</t>
        </is>
      </c>
      <c r="C3277" s="2" t="n">
        <v>43642</v>
      </c>
      <c r="D3277" t="inlineStr">
        <is>
          <t>NON-NIL</t>
        </is>
      </c>
      <c r="E3277" t="n">
        <v>2634</v>
      </c>
    </row>
    <row r="3278">
      <c r="A3278" t="inlineStr">
        <is>
          <t>27BBBBB03278Z5</t>
        </is>
      </c>
      <c r="B3278" t="inlineStr">
        <is>
          <t>May-2020</t>
        </is>
      </c>
      <c r="C3278" s="2" t="n">
        <v>44515</v>
      </c>
      <c r="D3278" t="inlineStr">
        <is>
          <t>NIL</t>
        </is>
      </c>
      <c r="E3278" t="n">
        <v>1944</v>
      </c>
    </row>
    <row r="3279">
      <c r="A3279" t="inlineStr">
        <is>
          <t>27BBBBB03279Z5</t>
        </is>
      </c>
      <c r="B3279" t="inlineStr">
        <is>
          <t>Jan-2021</t>
        </is>
      </c>
      <c r="C3279" s="2" t="n">
        <v>43524</v>
      </c>
      <c r="D3279" t="inlineStr">
        <is>
          <t>NON-NIL</t>
        </is>
      </c>
      <c r="E3279" t="n">
        <v>515</v>
      </c>
    </row>
    <row r="3280">
      <c r="A3280" t="inlineStr">
        <is>
          <t>27BBBBB03280Z5</t>
        </is>
      </c>
      <c r="B3280" t="inlineStr">
        <is>
          <t>Dec-2022</t>
        </is>
      </c>
      <c r="C3280" s="2" t="n">
        <v>43669</v>
      </c>
      <c r="D3280" t="inlineStr">
        <is>
          <t>NON-NIL</t>
        </is>
      </c>
      <c r="E3280" t="n">
        <v>1963</v>
      </c>
    </row>
    <row r="3281">
      <c r="A3281" t="inlineStr">
        <is>
          <t>27BBBBB03281Z5</t>
        </is>
      </c>
      <c r="B3281" t="inlineStr">
        <is>
          <t>Jan-2018</t>
        </is>
      </c>
      <c r="C3281" s="2" t="n">
        <v>42961</v>
      </c>
      <c r="D3281" t="inlineStr">
        <is>
          <t>NON-NIL</t>
        </is>
      </c>
      <c r="E3281" t="n">
        <v>2289</v>
      </c>
    </row>
    <row r="3282">
      <c r="A3282" t="inlineStr">
        <is>
          <t>27BBBBB03282Z5</t>
        </is>
      </c>
      <c r="B3282" t="inlineStr">
        <is>
          <t>Dec-2018</t>
        </is>
      </c>
      <c r="C3282" s="2" t="n">
        <v>43820</v>
      </c>
      <c r="D3282" t="inlineStr">
        <is>
          <t>NON-NIL</t>
        </is>
      </c>
      <c r="E3282" t="n">
        <v>519</v>
      </c>
    </row>
    <row r="3283">
      <c r="A3283" t="inlineStr">
        <is>
          <t>27BBBBB03283Z5</t>
        </is>
      </c>
      <c r="B3283" t="inlineStr">
        <is>
          <t>Jul-2018</t>
        </is>
      </c>
      <c r="C3283" s="2" t="n">
        <v>43376</v>
      </c>
      <c r="D3283" t="inlineStr">
        <is>
          <t>NIL</t>
        </is>
      </c>
      <c r="E3283" t="n">
        <v>677</v>
      </c>
    </row>
    <row r="3284">
      <c r="A3284" t="inlineStr">
        <is>
          <t>27BBBBB03284Z5</t>
        </is>
      </c>
      <c r="B3284" t="inlineStr">
        <is>
          <t>Dec-2024</t>
        </is>
      </c>
      <c r="C3284" s="2" t="n">
        <v>45604</v>
      </c>
      <c r="D3284" t="inlineStr">
        <is>
          <t>NON-NIL</t>
        </is>
      </c>
      <c r="E3284" t="n">
        <v>1210</v>
      </c>
    </row>
    <row r="3285">
      <c r="A3285" t="inlineStr">
        <is>
          <t>27BBBBB03285Z5</t>
        </is>
      </c>
      <c r="B3285" t="inlineStr">
        <is>
          <t>Oct-2017</t>
        </is>
      </c>
      <c r="C3285" s="2" t="n">
        <v>43394</v>
      </c>
      <c r="D3285" t="inlineStr">
        <is>
          <t>NIL</t>
        </is>
      </c>
      <c r="E3285" t="n">
        <v>2780</v>
      </c>
    </row>
    <row r="3286">
      <c r="A3286" t="inlineStr">
        <is>
          <t>27BBBBB03286Z5</t>
        </is>
      </c>
      <c r="B3286" t="inlineStr">
        <is>
          <t>Jan-2018</t>
        </is>
      </c>
      <c r="C3286" s="2" t="n">
        <v>43575</v>
      </c>
      <c r="D3286" t="inlineStr">
        <is>
          <t>NIL</t>
        </is>
      </c>
      <c r="E3286" t="n">
        <v>716</v>
      </c>
    </row>
    <row r="3287">
      <c r="A3287" t="inlineStr">
        <is>
          <t>27BBBBB03287Z5</t>
        </is>
      </c>
      <c r="B3287" t="inlineStr">
        <is>
          <t>Jun-2020</t>
        </is>
      </c>
      <c r="C3287" s="2" t="n">
        <v>43982</v>
      </c>
      <c r="D3287" t="inlineStr">
        <is>
          <t>NIL</t>
        </is>
      </c>
      <c r="E3287" t="n">
        <v>883</v>
      </c>
    </row>
    <row r="3288">
      <c r="A3288" t="inlineStr">
        <is>
          <t>27BBBBB03288Z5</t>
        </is>
      </c>
      <c r="B3288" t="inlineStr">
        <is>
          <t>Oct-2018</t>
        </is>
      </c>
      <c r="C3288" s="2" t="n">
        <v>44449</v>
      </c>
      <c r="D3288" t="inlineStr">
        <is>
          <t>NON-NIL</t>
        </is>
      </c>
      <c r="E3288" t="n">
        <v>61</v>
      </c>
    </row>
    <row r="3289">
      <c r="A3289" t="inlineStr">
        <is>
          <t>27BBBBB03289Z5</t>
        </is>
      </c>
      <c r="B3289" t="inlineStr">
        <is>
          <t>Jul-2017</t>
        </is>
      </c>
      <c r="C3289" s="2" t="n">
        <v>43207</v>
      </c>
      <c r="D3289" t="inlineStr">
        <is>
          <t>NIL</t>
        </is>
      </c>
      <c r="E3289" t="n">
        <v>878</v>
      </c>
    </row>
    <row r="3290">
      <c r="A3290" t="inlineStr">
        <is>
          <t>27BBBBB03290Z5</t>
        </is>
      </c>
      <c r="B3290" t="inlineStr">
        <is>
          <t>May-2018</t>
        </is>
      </c>
      <c r="C3290" s="2" t="n">
        <v>44028</v>
      </c>
      <c r="D3290" t="inlineStr">
        <is>
          <t>NIL</t>
        </is>
      </c>
      <c r="E3290" t="n">
        <v>812</v>
      </c>
    </row>
    <row r="3291">
      <c r="A3291" t="inlineStr">
        <is>
          <t>27BBBBB03291Z5</t>
        </is>
      </c>
      <c r="B3291" t="inlineStr">
        <is>
          <t>May-2018</t>
        </is>
      </c>
      <c r="C3291" s="2" t="n">
        <v>42965</v>
      </c>
      <c r="D3291" t="inlineStr">
        <is>
          <t>NON-NIL</t>
        </is>
      </c>
      <c r="E3291" t="n">
        <v>712</v>
      </c>
    </row>
    <row r="3292">
      <c r="A3292" t="inlineStr">
        <is>
          <t>27BBBBB03292Z5</t>
        </is>
      </c>
      <c r="B3292" t="inlineStr">
        <is>
          <t>Sep-2018</t>
        </is>
      </c>
      <c r="C3292" s="2" t="n">
        <v>43552</v>
      </c>
      <c r="D3292" t="inlineStr">
        <is>
          <t>NIL</t>
        </is>
      </c>
      <c r="E3292" t="n">
        <v>1515</v>
      </c>
    </row>
    <row r="3293">
      <c r="A3293" t="inlineStr">
        <is>
          <t>27BBBBB03293Z5</t>
        </is>
      </c>
      <c r="B3293" t="inlineStr">
        <is>
          <t>Oct-2018</t>
        </is>
      </c>
      <c r="C3293" s="2" t="n">
        <v>43026</v>
      </c>
      <c r="D3293" t="inlineStr">
        <is>
          <t>NIL</t>
        </is>
      </c>
      <c r="E3293" t="n">
        <v>685</v>
      </c>
    </row>
    <row r="3294">
      <c r="A3294" t="inlineStr">
        <is>
          <t>27BBBBB03294Z5</t>
        </is>
      </c>
      <c r="B3294" t="inlineStr">
        <is>
          <t>Nov-2018</t>
        </is>
      </c>
      <c r="C3294" s="2" t="n">
        <v>43722</v>
      </c>
      <c r="D3294" t="inlineStr">
        <is>
          <t>NIL</t>
        </is>
      </c>
      <c r="E3294" t="n">
        <v>1080</v>
      </c>
    </row>
    <row r="3295">
      <c r="A3295" t="inlineStr">
        <is>
          <t>27BBBBB03295Z5</t>
        </is>
      </c>
      <c r="B3295" t="inlineStr">
        <is>
          <t>Oct-2017</t>
        </is>
      </c>
      <c r="C3295" s="2" t="n">
        <v>43696</v>
      </c>
      <c r="D3295" t="inlineStr">
        <is>
          <t>NIL</t>
        </is>
      </c>
      <c r="E3295" t="n">
        <v>1276</v>
      </c>
    </row>
    <row r="3296">
      <c r="A3296" t="inlineStr">
        <is>
          <t>27BBBBB03296Z5</t>
        </is>
      </c>
      <c r="B3296" t="inlineStr">
        <is>
          <t>Feb-2018</t>
        </is>
      </c>
      <c r="C3296" s="2" t="n">
        <v>43616</v>
      </c>
      <c r="D3296" t="inlineStr">
        <is>
          <t>NON-NIL</t>
        </is>
      </c>
      <c r="E3296" t="n">
        <v>900</v>
      </c>
    </row>
    <row r="3297">
      <c r="A3297" t="inlineStr">
        <is>
          <t>27BBBBB03297Z5</t>
        </is>
      </c>
      <c r="B3297" t="inlineStr">
        <is>
          <t>Dec-2022</t>
        </is>
      </c>
      <c r="C3297" s="2" t="n">
        <v>44712</v>
      </c>
      <c r="D3297" t="inlineStr">
        <is>
          <t>NIL</t>
        </is>
      </c>
      <c r="E3297" t="n">
        <v>2929</v>
      </c>
    </row>
    <row r="3298">
      <c r="A3298" t="inlineStr">
        <is>
          <t>27BBBBB03298Z5</t>
        </is>
      </c>
      <c r="B3298" t="inlineStr">
        <is>
          <t>Mar-2021</t>
        </is>
      </c>
      <c r="C3298" s="2" t="n">
        <v>45526</v>
      </c>
      <c r="D3298" t="inlineStr">
        <is>
          <t>NIL</t>
        </is>
      </c>
      <c r="E3298" t="n">
        <v>1259</v>
      </c>
    </row>
    <row r="3299">
      <c r="A3299" t="inlineStr">
        <is>
          <t>27BBBBB03299Z5</t>
        </is>
      </c>
      <c r="B3299" t="inlineStr">
        <is>
          <t>Mar-2023</t>
        </is>
      </c>
      <c r="C3299" s="2" t="n">
        <v>44883</v>
      </c>
      <c r="D3299" t="inlineStr">
        <is>
          <t>NON-NIL</t>
        </is>
      </c>
      <c r="E3299" t="n">
        <v>1853</v>
      </c>
    </row>
    <row r="3300">
      <c r="A3300" t="inlineStr">
        <is>
          <t>27BBBBB03300Z5</t>
        </is>
      </c>
      <c r="B3300" t="inlineStr">
        <is>
          <t>Jan-2021</t>
        </is>
      </c>
      <c r="C3300" s="2" t="n">
        <v>44638</v>
      </c>
      <c r="D3300" t="inlineStr">
        <is>
          <t>NON-NIL</t>
        </is>
      </c>
      <c r="E3300" t="n">
        <v>2564</v>
      </c>
    </row>
    <row r="3301">
      <c r="A3301" t="inlineStr">
        <is>
          <t>27BBBBB03301Z5</t>
        </is>
      </c>
      <c r="B3301" t="inlineStr">
        <is>
          <t>Apr-2018</t>
        </is>
      </c>
      <c r="C3301" s="2" t="n">
        <v>44398</v>
      </c>
      <c r="D3301" t="inlineStr">
        <is>
          <t>NIL</t>
        </is>
      </c>
      <c r="E3301" t="n">
        <v>802</v>
      </c>
    </row>
    <row r="3302">
      <c r="A3302" t="inlineStr">
        <is>
          <t>27BBBBB03302Z5</t>
        </is>
      </c>
      <c r="B3302" t="inlineStr">
        <is>
          <t>Feb-2018</t>
        </is>
      </c>
      <c r="C3302" s="2" t="n">
        <v>43032</v>
      </c>
      <c r="D3302" t="inlineStr">
        <is>
          <t>NON-NIL</t>
        </is>
      </c>
      <c r="E3302" t="n">
        <v>65</v>
      </c>
    </row>
    <row r="3303">
      <c r="A3303" t="inlineStr">
        <is>
          <t>27BBBBB03303Z5</t>
        </is>
      </c>
      <c r="B3303" t="inlineStr">
        <is>
          <t>Jan-2018</t>
        </is>
      </c>
      <c r="C3303" s="2" t="n">
        <v>43007</v>
      </c>
      <c r="D3303" t="inlineStr">
        <is>
          <t>NON-NIL</t>
        </is>
      </c>
      <c r="E3303" t="n">
        <v>2242</v>
      </c>
    </row>
    <row r="3304">
      <c r="A3304" t="inlineStr">
        <is>
          <t>27BBBBB03304Z5</t>
        </is>
      </c>
      <c r="B3304" t="inlineStr">
        <is>
          <t>Mar-2021</t>
        </is>
      </c>
      <c r="C3304" s="2" t="n">
        <v>43799</v>
      </c>
      <c r="D3304" t="inlineStr">
        <is>
          <t>NIL</t>
        </is>
      </c>
      <c r="E3304" t="n">
        <v>1475</v>
      </c>
    </row>
    <row r="3305">
      <c r="A3305" t="inlineStr">
        <is>
          <t>27BBBBB03305Z5</t>
        </is>
      </c>
      <c r="B3305" t="inlineStr">
        <is>
          <t>Jun-2020</t>
        </is>
      </c>
      <c r="C3305" s="2" t="n">
        <v>44882</v>
      </c>
      <c r="D3305" t="inlineStr">
        <is>
          <t>NON-NIL</t>
        </is>
      </c>
      <c r="E3305" t="n">
        <v>967</v>
      </c>
    </row>
    <row r="3306">
      <c r="A3306" t="inlineStr">
        <is>
          <t>27BBBBB03306Z5</t>
        </is>
      </c>
      <c r="B3306" t="inlineStr">
        <is>
          <t>May-2018</t>
        </is>
      </c>
      <c r="C3306" s="2" t="n">
        <v>42923</v>
      </c>
      <c r="D3306" t="inlineStr">
        <is>
          <t>NON-NIL</t>
        </is>
      </c>
      <c r="E3306" t="n">
        <v>513</v>
      </c>
    </row>
    <row r="3307">
      <c r="A3307" t="inlineStr">
        <is>
          <t>27BBBBB03307Z5</t>
        </is>
      </c>
      <c r="B3307" t="inlineStr">
        <is>
          <t>Apr-2020</t>
        </is>
      </c>
      <c r="C3307" s="2" t="n">
        <v>44142</v>
      </c>
      <c r="D3307" t="inlineStr">
        <is>
          <t>NON-NIL</t>
        </is>
      </c>
      <c r="E3307" t="n">
        <v>2192</v>
      </c>
    </row>
    <row r="3308">
      <c r="A3308" t="inlineStr">
        <is>
          <t>27BBBBB03308Z5</t>
        </is>
      </c>
      <c r="B3308" t="inlineStr">
        <is>
          <t>Jun-2020</t>
        </is>
      </c>
      <c r="C3308" s="2" t="n">
        <v>43899</v>
      </c>
      <c r="D3308" t="inlineStr">
        <is>
          <t>NON-NIL</t>
        </is>
      </c>
      <c r="E3308" t="n">
        <v>2507</v>
      </c>
    </row>
    <row r="3309">
      <c r="A3309" t="inlineStr">
        <is>
          <t>27BBBBB03309Z5</t>
        </is>
      </c>
      <c r="B3309" t="inlineStr">
        <is>
          <t>Sep-2017</t>
        </is>
      </c>
      <c r="C3309" s="2" t="n">
        <v>44083</v>
      </c>
      <c r="D3309" t="inlineStr">
        <is>
          <t>NON-NIL</t>
        </is>
      </c>
      <c r="E3309" t="n">
        <v>983</v>
      </c>
    </row>
    <row r="3310">
      <c r="A3310" t="inlineStr">
        <is>
          <t>27BBBBB03310Z5</t>
        </is>
      </c>
      <c r="B3310" t="inlineStr">
        <is>
          <t>Sep-2018</t>
        </is>
      </c>
      <c r="C3310" s="2" t="n">
        <v>43318</v>
      </c>
      <c r="D3310" t="inlineStr">
        <is>
          <t>NIL</t>
        </is>
      </c>
      <c r="E3310" t="n">
        <v>875</v>
      </c>
    </row>
    <row r="3311">
      <c r="A3311" t="inlineStr">
        <is>
          <t>27BBBBB03311Z5</t>
        </is>
      </c>
      <c r="B3311" t="inlineStr">
        <is>
          <t>Sep-2017</t>
        </is>
      </c>
      <c r="C3311" s="2" t="n">
        <v>43277</v>
      </c>
      <c r="D3311" t="inlineStr">
        <is>
          <t>NIL</t>
        </is>
      </c>
      <c r="E3311" t="n">
        <v>2855</v>
      </c>
    </row>
    <row r="3312">
      <c r="A3312" t="inlineStr">
        <is>
          <t>27BBBBB03312Z5</t>
        </is>
      </c>
      <c r="B3312" t="inlineStr">
        <is>
          <t>Nov-2018</t>
        </is>
      </c>
      <c r="C3312" s="2" t="n">
        <v>43697</v>
      </c>
      <c r="D3312" t="inlineStr">
        <is>
          <t>NON-NIL</t>
        </is>
      </c>
      <c r="E3312" t="n">
        <v>1377</v>
      </c>
    </row>
    <row r="3313">
      <c r="A3313" t="inlineStr">
        <is>
          <t>27BBBBB03313Z5</t>
        </is>
      </c>
      <c r="B3313" t="inlineStr">
        <is>
          <t>Jul-2018</t>
        </is>
      </c>
      <c r="C3313" s="2" t="n">
        <v>44505</v>
      </c>
      <c r="D3313" t="inlineStr">
        <is>
          <t>NON-NIL</t>
        </is>
      </c>
      <c r="E3313" t="n">
        <v>2693</v>
      </c>
    </row>
    <row r="3314">
      <c r="A3314" t="inlineStr">
        <is>
          <t>27BBBBB03314Z5</t>
        </is>
      </c>
      <c r="B3314" t="inlineStr">
        <is>
          <t>Aug-2017</t>
        </is>
      </c>
      <c r="C3314" s="2" t="n">
        <v>43237</v>
      </c>
      <c r="D3314" t="inlineStr">
        <is>
          <t>NIL</t>
        </is>
      </c>
      <c r="E3314" t="n">
        <v>39</v>
      </c>
    </row>
    <row r="3315">
      <c r="A3315" t="inlineStr">
        <is>
          <t>27BBBBB03315Z5</t>
        </is>
      </c>
      <c r="B3315" t="inlineStr">
        <is>
          <t>May-2020</t>
        </is>
      </c>
      <c r="C3315" s="2" t="n">
        <v>44919</v>
      </c>
      <c r="D3315" t="inlineStr">
        <is>
          <t>NIL</t>
        </is>
      </c>
      <c r="E3315" t="n">
        <v>1532</v>
      </c>
    </row>
    <row r="3316">
      <c r="A3316" t="inlineStr">
        <is>
          <t>27BBBBB03316Z5</t>
        </is>
      </c>
      <c r="B3316" t="inlineStr">
        <is>
          <t>Jan-2018</t>
        </is>
      </c>
      <c r="C3316" s="2" t="n">
        <v>44031</v>
      </c>
      <c r="D3316" t="inlineStr">
        <is>
          <t>NON-NIL</t>
        </is>
      </c>
      <c r="E3316" t="n">
        <v>2031</v>
      </c>
    </row>
    <row r="3317">
      <c r="A3317" t="inlineStr">
        <is>
          <t>27BBBBB03317Z5</t>
        </is>
      </c>
      <c r="B3317" t="inlineStr">
        <is>
          <t>Mar-2023</t>
        </is>
      </c>
      <c r="C3317" s="2" t="n">
        <v>45827</v>
      </c>
      <c r="D3317" t="inlineStr">
        <is>
          <t>NIL</t>
        </is>
      </c>
      <c r="E3317" t="n">
        <v>1842</v>
      </c>
    </row>
    <row r="3318">
      <c r="A3318" t="inlineStr">
        <is>
          <t>27BBBBB03318Z5</t>
        </is>
      </c>
      <c r="B3318" t="inlineStr">
        <is>
          <t>Apr-2020</t>
        </is>
      </c>
      <c r="C3318" s="2" t="n">
        <v>44587</v>
      </c>
      <c r="D3318" t="inlineStr">
        <is>
          <t>NIL</t>
        </is>
      </c>
      <c r="E3318" t="n">
        <v>869</v>
      </c>
    </row>
    <row r="3319">
      <c r="A3319" t="inlineStr">
        <is>
          <t>27BBBBB03319Z5</t>
        </is>
      </c>
      <c r="B3319" t="inlineStr">
        <is>
          <t>Dec-2024</t>
        </is>
      </c>
      <c r="C3319" s="2" t="n">
        <v>44220</v>
      </c>
      <c r="D3319" t="inlineStr">
        <is>
          <t>NON-NIL</t>
        </is>
      </c>
      <c r="E3319" t="n">
        <v>1622</v>
      </c>
    </row>
    <row r="3320">
      <c r="A3320" t="inlineStr">
        <is>
          <t>27BBBBB03320Z5</t>
        </is>
      </c>
      <c r="B3320" t="inlineStr">
        <is>
          <t>May-2018</t>
        </is>
      </c>
      <c r="C3320" s="2" t="n">
        <v>43072</v>
      </c>
      <c r="D3320" t="inlineStr">
        <is>
          <t>NIL</t>
        </is>
      </c>
      <c r="E3320" t="n">
        <v>2798</v>
      </c>
    </row>
    <row r="3321">
      <c r="A3321" t="inlineStr">
        <is>
          <t>27BBBBB03321Z5</t>
        </is>
      </c>
      <c r="B3321" t="inlineStr">
        <is>
          <t>Jun-2018</t>
        </is>
      </c>
      <c r="C3321" s="2" t="n">
        <v>44133</v>
      </c>
      <c r="D3321" t="inlineStr">
        <is>
          <t>NIL</t>
        </is>
      </c>
      <c r="E3321" t="n">
        <v>1044</v>
      </c>
    </row>
    <row r="3322">
      <c r="A3322" t="inlineStr">
        <is>
          <t>27BBBBB03322Z5</t>
        </is>
      </c>
      <c r="B3322" t="inlineStr">
        <is>
          <t>Aug-2018</t>
        </is>
      </c>
      <c r="C3322" s="2" t="n">
        <v>43149</v>
      </c>
      <c r="D3322" t="inlineStr">
        <is>
          <t>NIL</t>
        </is>
      </c>
      <c r="E3322" t="n">
        <v>182</v>
      </c>
    </row>
    <row r="3323">
      <c r="A3323" t="inlineStr">
        <is>
          <t>27BBBBB03323Z5</t>
        </is>
      </c>
      <c r="B3323" t="inlineStr">
        <is>
          <t>Oct-2017</t>
        </is>
      </c>
      <c r="C3323" s="2" t="n">
        <v>44412</v>
      </c>
      <c r="D3323" t="inlineStr">
        <is>
          <t>NON-NIL</t>
        </is>
      </c>
      <c r="E3323" t="n">
        <v>166</v>
      </c>
    </row>
    <row r="3324">
      <c r="A3324" t="inlineStr">
        <is>
          <t>27BBBBB03324Z5</t>
        </is>
      </c>
      <c r="B3324" t="inlineStr">
        <is>
          <t>Jan-2021</t>
        </is>
      </c>
      <c r="C3324" s="2" t="n">
        <v>45323</v>
      </c>
      <c r="D3324" t="inlineStr">
        <is>
          <t>NIL</t>
        </is>
      </c>
      <c r="E3324" t="n">
        <v>1124</v>
      </c>
    </row>
    <row r="3325">
      <c r="A3325" t="inlineStr">
        <is>
          <t>27BBBBB03325Z5</t>
        </is>
      </c>
      <c r="B3325" t="inlineStr">
        <is>
          <t>Jul-2017</t>
        </is>
      </c>
      <c r="C3325" s="2" t="n">
        <v>42928</v>
      </c>
      <c r="D3325" t="inlineStr">
        <is>
          <t>NON-NIL</t>
        </is>
      </c>
      <c r="E3325" t="n">
        <v>1821</v>
      </c>
    </row>
    <row r="3326">
      <c r="A3326" t="inlineStr">
        <is>
          <t>27BBBBB03326Z5</t>
        </is>
      </c>
      <c r="B3326" t="inlineStr">
        <is>
          <t>Dec-2022</t>
        </is>
      </c>
      <c r="C3326" s="2" t="n">
        <v>43775</v>
      </c>
      <c r="D3326" t="inlineStr">
        <is>
          <t>NON-NIL</t>
        </is>
      </c>
      <c r="E3326" t="n">
        <v>2585</v>
      </c>
    </row>
    <row r="3327">
      <c r="A3327" t="inlineStr">
        <is>
          <t>27BBBBB03327Z5</t>
        </is>
      </c>
      <c r="B3327" t="inlineStr">
        <is>
          <t>Aug-2017</t>
        </is>
      </c>
      <c r="C3327" s="2" t="n">
        <v>43121</v>
      </c>
      <c r="D3327" t="inlineStr">
        <is>
          <t>NIL</t>
        </is>
      </c>
      <c r="E3327" t="n">
        <v>2300</v>
      </c>
    </row>
    <row r="3328">
      <c r="A3328" t="inlineStr">
        <is>
          <t>27BBBBB03328Z5</t>
        </is>
      </c>
      <c r="B3328" t="inlineStr">
        <is>
          <t>Jan-2021</t>
        </is>
      </c>
      <c r="C3328" s="2" t="n">
        <v>44368</v>
      </c>
      <c r="D3328" t="inlineStr">
        <is>
          <t>NIL</t>
        </is>
      </c>
      <c r="E3328" t="n">
        <v>1807</v>
      </c>
    </row>
    <row r="3329">
      <c r="A3329" t="inlineStr">
        <is>
          <t>27BBBBB03329Z5</t>
        </is>
      </c>
      <c r="B3329" t="inlineStr">
        <is>
          <t>Dec-2022</t>
        </is>
      </c>
      <c r="C3329" s="2" t="n">
        <v>44455</v>
      </c>
      <c r="D3329" t="inlineStr">
        <is>
          <t>NON-NIL</t>
        </is>
      </c>
      <c r="E3329" t="n">
        <v>2485</v>
      </c>
    </row>
    <row r="3330">
      <c r="A3330" t="inlineStr">
        <is>
          <t>27BBBBB03330Z5</t>
        </is>
      </c>
      <c r="B3330" t="inlineStr">
        <is>
          <t>Jan-2021</t>
        </is>
      </c>
      <c r="C3330" s="2" t="n">
        <v>45779</v>
      </c>
      <c r="D3330" t="inlineStr">
        <is>
          <t>NON-NIL</t>
        </is>
      </c>
      <c r="E3330" t="n">
        <v>831</v>
      </c>
    </row>
    <row r="3331">
      <c r="A3331" t="inlineStr">
        <is>
          <t>27BBBBB03331Z5</t>
        </is>
      </c>
      <c r="B3331" t="inlineStr">
        <is>
          <t>Dec-2017</t>
        </is>
      </c>
      <c r="C3331" s="2" t="n">
        <v>43112</v>
      </c>
      <c r="D3331" t="inlineStr">
        <is>
          <t>NON-NIL</t>
        </is>
      </c>
      <c r="E3331" t="n">
        <v>1472</v>
      </c>
    </row>
    <row r="3332">
      <c r="A3332" t="inlineStr">
        <is>
          <t>27BBBBB03332Z5</t>
        </is>
      </c>
      <c r="B3332" t="inlineStr">
        <is>
          <t>Feb-2018</t>
        </is>
      </c>
      <c r="C3332" s="2" t="n">
        <v>44249</v>
      </c>
      <c r="D3332" t="inlineStr">
        <is>
          <t>NIL</t>
        </is>
      </c>
      <c r="E3332" t="n">
        <v>2525</v>
      </c>
    </row>
    <row r="3333">
      <c r="A3333" t="inlineStr">
        <is>
          <t>27BBBBB03333Z5</t>
        </is>
      </c>
      <c r="B3333" t="inlineStr">
        <is>
          <t>Dec-2022</t>
        </is>
      </c>
      <c r="C3333" s="2" t="n">
        <v>45367</v>
      </c>
      <c r="D3333" t="inlineStr">
        <is>
          <t>NON-NIL</t>
        </is>
      </c>
      <c r="E3333" t="n">
        <v>827</v>
      </c>
    </row>
    <row r="3334">
      <c r="A3334" t="inlineStr">
        <is>
          <t>27BBBBB03334Z5</t>
        </is>
      </c>
      <c r="B3334" t="inlineStr">
        <is>
          <t>Oct-2017</t>
        </is>
      </c>
      <c r="C3334" s="2" t="n">
        <v>43929</v>
      </c>
      <c r="D3334" t="inlineStr">
        <is>
          <t>NON-NIL</t>
        </is>
      </c>
      <c r="E3334" t="n">
        <v>537</v>
      </c>
    </row>
    <row r="3335">
      <c r="A3335" t="inlineStr">
        <is>
          <t>27BBBBB03335Z5</t>
        </is>
      </c>
      <c r="B3335" t="inlineStr">
        <is>
          <t>Mar-2023</t>
        </is>
      </c>
      <c r="C3335" s="2" t="n">
        <v>45703</v>
      </c>
      <c r="D3335" t="inlineStr">
        <is>
          <t>NON-NIL</t>
        </is>
      </c>
      <c r="E3335" t="n">
        <v>409</v>
      </c>
    </row>
    <row r="3336">
      <c r="A3336" t="inlineStr">
        <is>
          <t>27BBBBB03336Z5</t>
        </is>
      </c>
      <c r="B3336" t="inlineStr">
        <is>
          <t>Dec-2022</t>
        </is>
      </c>
      <c r="C3336" s="2" t="n">
        <v>44223</v>
      </c>
      <c r="D3336" t="inlineStr">
        <is>
          <t>NIL</t>
        </is>
      </c>
      <c r="E3336" t="n">
        <v>1046</v>
      </c>
    </row>
    <row r="3337">
      <c r="A3337" t="inlineStr">
        <is>
          <t>27BBBBB03337Z5</t>
        </is>
      </c>
      <c r="B3337" t="inlineStr">
        <is>
          <t>Jul-2017</t>
        </is>
      </c>
      <c r="C3337" s="2" t="n">
        <v>44229</v>
      </c>
      <c r="D3337" t="inlineStr">
        <is>
          <t>NIL</t>
        </is>
      </c>
      <c r="E3337" t="n">
        <v>134</v>
      </c>
    </row>
    <row r="3338">
      <c r="A3338" t="inlineStr">
        <is>
          <t>27BBBBB03338Z5</t>
        </is>
      </c>
      <c r="B3338" t="inlineStr">
        <is>
          <t>Nov-2017</t>
        </is>
      </c>
      <c r="C3338" s="2" t="n">
        <v>43557</v>
      </c>
      <c r="D3338" t="inlineStr">
        <is>
          <t>NIL</t>
        </is>
      </c>
      <c r="E3338" t="n">
        <v>2023</v>
      </c>
    </row>
    <row r="3339">
      <c r="A3339" t="inlineStr">
        <is>
          <t>27BBBBB03339Z5</t>
        </is>
      </c>
      <c r="B3339" t="inlineStr">
        <is>
          <t>Mar-2023</t>
        </is>
      </c>
      <c r="C3339" s="2" t="n">
        <v>44834</v>
      </c>
      <c r="D3339" t="inlineStr">
        <is>
          <t>NIL</t>
        </is>
      </c>
      <c r="E3339" t="n">
        <v>2183</v>
      </c>
    </row>
    <row r="3340">
      <c r="A3340" t="inlineStr">
        <is>
          <t>27BBBBB03340Z5</t>
        </is>
      </c>
      <c r="B3340" t="inlineStr">
        <is>
          <t>Feb-2018</t>
        </is>
      </c>
      <c r="C3340" s="2" t="n">
        <v>43620</v>
      </c>
      <c r="D3340" t="inlineStr">
        <is>
          <t>NIL</t>
        </is>
      </c>
      <c r="E3340" t="n">
        <v>2617</v>
      </c>
    </row>
    <row r="3341">
      <c r="A3341" t="inlineStr">
        <is>
          <t>27BBBBB03341Z5</t>
        </is>
      </c>
      <c r="B3341" t="inlineStr">
        <is>
          <t>Aug-2017</t>
        </is>
      </c>
      <c r="C3341" s="2" t="n">
        <v>43295</v>
      </c>
      <c r="D3341" t="inlineStr">
        <is>
          <t>NIL</t>
        </is>
      </c>
      <c r="E3341" t="n">
        <v>2296</v>
      </c>
    </row>
    <row r="3342">
      <c r="A3342" t="inlineStr">
        <is>
          <t>27BBBBB03342Z5</t>
        </is>
      </c>
      <c r="B3342" t="inlineStr">
        <is>
          <t>Oct-2018</t>
        </is>
      </c>
      <c r="C3342" s="2" t="n">
        <v>44445</v>
      </c>
      <c r="D3342" t="inlineStr">
        <is>
          <t>NON-NIL</t>
        </is>
      </c>
      <c r="E3342" t="n">
        <v>52</v>
      </c>
    </row>
    <row r="3343">
      <c r="A3343" t="inlineStr">
        <is>
          <t>27BBBBB03343Z5</t>
        </is>
      </c>
      <c r="B3343" t="inlineStr">
        <is>
          <t>Jun-2020</t>
        </is>
      </c>
      <c r="C3343" s="2" t="n">
        <v>44917</v>
      </c>
      <c r="D3343" t="inlineStr">
        <is>
          <t>NON-NIL</t>
        </is>
      </c>
      <c r="E3343" t="n">
        <v>1523</v>
      </c>
    </row>
    <row r="3344">
      <c r="A3344" t="inlineStr">
        <is>
          <t>27BBBBB03344Z5</t>
        </is>
      </c>
      <c r="B3344" t="inlineStr">
        <is>
          <t>May-2020</t>
        </is>
      </c>
      <c r="C3344" s="2" t="n">
        <v>44830</v>
      </c>
      <c r="D3344" t="inlineStr">
        <is>
          <t>NON-NIL</t>
        </is>
      </c>
      <c r="E3344" t="n">
        <v>558</v>
      </c>
    </row>
    <row r="3345">
      <c r="A3345" t="inlineStr">
        <is>
          <t>27BBBBB03345Z5</t>
        </is>
      </c>
      <c r="B3345" t="inlineStr">
        <is>
          <t>Feb-2018</t>
        </is>
      </c>
      <c r="C3345" s="2" t="n">
        <v>43626</v>
      </c>
      <c r="D3345" t="inlineStr">
        <is>
          <t>NIL</t>
        </is>
      </c>
      <c r="E3345" t="n">
        <v>2573</v>
      </c>
    </row>
    <row r="3346">
      <c r="A3346" t="inlineStr">
        <is>
          <t>27BBBBB03346Z5</t>
        </is>
      </c>
      <c r="B3346" t="inlineStr">
        <is>
          <t>Dec-2018</t>
        </is>
      </c>
      <c r="C3346" s="2" t="n">
        <v>44296</v>
      </c>
      <c r="D3346" t="inlineStr">
        <is>
          <t>NIL</t>
        </is>
      </c>
      <c r="E3346" t="n">
        <v>2898</v>
      </c>
    </row>
    <row r="3347">
      <c r="A3347" t="inlineStr">
        <is>
          <t>27BBBBB03347Z5</t>
        </is>
      </c>
      <c r="B3347" t="inlineStr">
        <is>
          <t>Mar-2023</t>
        </is>
      </c>
      <c r="C3347" s="2" t="n">
        <v>44121</v>
      </c>
      <c r="D3347" t="inlineStr">
        <is>
          <t>NON-NIL</t>
        </is>
      </c>
      <c r="E3347" t="n">
        <v>1273</v>
      </c>
    </row>
    <row r="3348">
      <c r="A3348" t="inlineStr">
        <is>
          <t>27BBBBB03348Z5</t>
        </is>
      </c>
      <c r="B3348" t="inlineStr">
        <is>
          <t>Dec-2017</t>
        </is>
      </c>
      <c r="C3348" s="2" t="n">
        <v>43143</v>
      </c>
      <c r="D3348" t="inlineStr">
        <is>
          <t>NON-NIL</t>
        </is>
      </c>
      <c r="E3348" t="n">
        <v>2397</v>
      </c>
    </row>
    <row r="3349">
      <c r="A3349" t="inlineStr">
        <is>
          <t>27BBBBB03349Z5</t>
        </is>
      </c>
      <c r="B3349" t="inlineStr">
        <is>
          <t>Nov-2017</t>
        </is>
      </c>
      <c r="C3349" s="2" t="n">
        <v>44007</v>
      </c>
      <c r="D3349" t="inlineStr">
        <is>
          <t>NON-NIL</t>
        </is>
      </c>
      <c r="E3349" t="n">
        <v>297</v>
      </c>
    </row>
    <row r="3350">
      <c r="A3350" t="inlineStr">
        <is>
          <t>27BBBBB03350Z5</t>
        </is>
      </c>
      <c r="B3350" t="inlineStr">
        <is>
          <t>Jul-2018</t>
        </is>
      </c>
      <c r="C3350" s="2" t="n">
        <v>44395</v>
      </c>
      <c r="D3350" t="inlineStr">
        <is>
          <t>NIL</t>
        </is>
      </c>
      <c r="E3350" t="n">
        <v>2905</v>
      </c>
    </row>
    <row r="3351">
      <c r="A3351" t="inlineStr">
        <is>
          <t>27BBBBB03351Z5</t>
        </is>
      </c>
      <c r="B3351" t="inlineStr">
        <is>
          <t>Mar-2018</t>
        </is>
      </c>
      <c r="C3351" s="2" t="n">
        <v>43501</v>
      </c>
      <c r="D3351" t="inlineStr">
        <is>
          <t>NON-NIL</t>
        </is>
      </c>
      <c r="E3351" t="n">
        <v>1918</v>
      </c>
    </row>
    <row r="3352">
      <c r="A3352" t="inlineStr">
        <is>
          <t>27BBBBB03352Z5</t>
        </is>
      </c>
      <c r="B3352" t="inlineStr">
        <is>
          <t>May-2020</t>
        </is>
      </c>
      <c r="C3352" s="2" t="n">
        <v>44213</v>
      </c>
      <c r="D3352" t="inlineStr">
        <is>
          <t>NON-NIL</t>
        </is>
      </c>
      <c r="E3352" t="n">
        <v>2632</v>
      </c>
    </row>
    <row r="3353">
      <c r="A3353" t="inlineStr">
        <is>
          <t>27BBBBB03353Z5</t>
        </is>
      </c>
      <c r="B3353" t="inlineStr">
        <is>
          <t>Apr-2020</t>
        </is>
      </c>
      <c r="C3353" s="2" t="n">
        <v>44683</v>
      </c>
      <c r="D3353" t="inlineStr">
        <is>
          <t>NIL</t>
        </is>
      </c>
      <c r="E3353" t="n">
        <v>2529</v>
      </c>
    </row>
    <row r="3354">
      <c r="A3354" t="inlineStr">
        <is>
          <t>27BBBBB03354Z5</t>
        </is>
      </c>
      <c r="B3354" t="inlineStr">
        <is>
          <t>Jun-2020</t>
        </is>
      </c>
      <c r="C3354" s="2" t="n">
        <v>44139</v>
      </c>
      <c r="D3354" t="inlineStr">
        <is>
          <t>NIL</t>
        </is>
      </c>
      <c r="E3354" t="n">
        <v>1416</v>
      </c>
    </row>
    <row r="3355">
      <c r="A3355" t="inlineStr">
        <is>
          <t>27BBBBB03355Z5</t>
        </is>
      </c>
      <c r="B3355" t="inlineStr">
        <is>
          <t>Jun-2018</t>
        </is>
      </c>
      <c r="C3355" s="2" t="n">
        <v>43081</v>
      </c>
      <c r="D3355" t="inlineStr">
        <is>
          <t>NON-NIL</t>
        </is>
      </c>
      <c r="E3355" t="n">
        <v>2662</v>
      </c>
    </row>
    <row r="3356">
      <c r="A3356" t="inlineStr">
        <is>
          <t>27BBBBB03356Z5</t>
        </is>
      </c>
      <c r="B3356" t="inlineStr">
        <is>
          <t>Sep-2018</t>
        </is>
      </c>
      <c r="C3356" s="2" t="n">
        <v>42928</v>
      </c>
      <c r="D3356" t="inlineStr">
        <is>
          <t>NON-NIL</t>
        </is>
      </c>
      <c r="E3356" t="n">
        <v>1454</v>
      </c>
    </row>
    <row r="3357">
      <c r="A3357" t="inlineStr">
        <is>
          <t>27BBBBB03357Z5</t>
        </is>
      </c>
      <c r="B3357" t="inlineStr">
        <is>
          <t>Dec-2024</t>
        </is>
      </c>
      <c r="C3357" s="2" t="n">
        <v>44239</v>
      </c>
      <c r="D3357" t="inlineStr">
        <is>
          <t>NIL</t>
        </is>
      </c>
      <c r="E3357" t="n">
        <v>45</v>
      </c>
    </row>
    <row r="3358">
      <c r="A3358" t="inlineStr">
        <is>
          <t>27BBBBB03358Z5</t>
        </is>
      </c>
      <c r="B3358" t="inlineStr">
        <is>
          <t>Apr-2018</t>
        </is>
      </c>
      <c r="C3358" s="2" t="n">
        <v>43365</v>
      </c>
      <c r="D3358" t="inlineStr">
        <is>
          <t>NON-NIL</t>
        </is>
      </c>
      <c r="E3358" t="n">
        <v>2553</v>
      </c>
    </row>
    <row r="3359">
      <c r="A3359" t="inlineStr">
        <is>
          <t>27BBBBB03359Z5</t>
        </is>
      </c>
      <c r="B3359" t="inlineStr">
        <is>
          <t>Mar-2018</t>
        </is>
      </c>
      <c r="C3359" s="2" t="n">
        <v>44054</v>
      </c>
      <c r="D3359" t="inlineStr">
        <is>
          <t>NIL</t>
        </is>
      </c>
      <c r="E3359" t="n">
        <v>1481</v>
      </c>
    </row>
    <row r="3360">
      <c r="A3360" t="inlineStr">
        <is>
          <t>27BBBBB03360Z5</t>
        </is>
      </c>
      <c r="B3360" t="inlineStr">
        <is>
          <t>Mar-2020</t>
        </is>
      </c>
      <c r="C3360" s="2" t="n">
        <v>44878</v>
      </c>
      <c r="D3360" t="inlineStr">
        <is>
          <t>NIL</t>
        </is>
      </c>
      <c r="E3360" t="n">
        <v>2828</v>
      </c>
    </row>
    <row r="3361">
      <c r="A3361" t="inlineStr">
        <is>
          <t>27BBBBB03361Z5</t>
        </is>
      </c>
      <c r="B3361" t="inlineStr">
        <is>
          <t>Jul-2018</t>
        </is>
      </c>
      <c r="C3361" s="2" t="n">
        <v>43974</v>
      </c>
      <c r="D3361" t="inlineStr">
        <is>
          <t>NON-NIL</t>
        </is>
      </c>
      <c r="E3361" t="n">
        <v>1198</v>
      </c>
    </row>
    <row r="3362">
      <c r="A3362" t="inlineStr">
        <is>
          <t>27BBBBB03362Z5</t>
        </is>
      </c>
      <c r="B3362" t="inlineStr">
        <is>
          <t>Apr-2018</t>
        </is>
      </c>
      <c r="C3362" s="2" t="n">
        <v>43368</v>
      </c>
      <c r="D3362" t="inlineStr">
        <is>
          <t>NIL</t>
        </is>
      </c>
      <c r="E3362" t="n">
        <v>2756</v>
      </c>
    </row>
    <row r="3363">
      <c r="A3363" t="inlineStr">
        <is>
          <t>27BBBBB03363Z5</t>
        </is>
      </c>
      <c r="B3363" t="inlineStr">
        <is>
          <t>Oct-2018</t>
        </is>
      </c>
      <c r="C3363" s="2" t="n">
        <v>43339</v>
      </c>
      <c r="D3363" t="inlineStr">
        <is>
          <t>NIL</t>
        </is>
      </c>
      <c r="E3363" t="n">
        <v>1077</v>
      </c>
    </row>
    <row r="3364">
      <c r="A3364" t="inlineStr">
        <is>
          <t>27BBBBB03364Z5</t>
        </is>
      </c>
      <c r="B3364" t="inlineStr">
        <is>
          <t>May-2020</t>
        </is>
      </c>
      <c r="C3364" s="2" t="n">
        <v>43854</v>
      </c>
      <c r="D3364" t="inlineStr">
        <is>
          <t>NIL</t>
        </is>
      </c>
      <c r="E3364" t="n">
        <v>2495</v>
      </c>
    </row>
    <row r="3365">
      <c r="A3365" t="inlineStr">
        <is>
          <t>27BBBBB03365Z5</t>
        </is>
      </c>
      <c r="B3365" t="inlineStr">
        <is>
          <t>Jul-2017</t>
        </is>
      </c>
      <c r="C3365" s="2" t="n">
        <v>43382</v>
      </c>
      <c r="D3365" t="inlineStr">
        <is>
          <t>NIL</t>
        </is>
      </c>
      <c r="E3365" t="n">
        <v>207</v>
      </c>
    </row>
    <row r="3366">
      <c r="A3366" t="inlineStr">
        <is>
          <t>27BBBBB03366Z5</t>
        </is>
      </c>
      <c r="B3366" t="inlineStr">
        <is>
          <t>Dec-2018</t>
        </is>
      </c>
      <c r="C3366" s="2" t="n">
        <v>43134</v>
      </c>
      <c r="D3366" t="inlineStr">
        <is>
          <t>NIL</t>
        </is>
      </c>
      <c r="E3366" t="n">
        <v>909</v>
      </c>
    </row>
    <row r="3367">
      <c r="A3367" t="inlineStr">
        <is>
          <t>27BBBBB03367Z5</t>
        </is>
      </c>
      <c r="B3367" t="inlineStr">
        <is>
          <t>Apr-2020</t>
        </is>
      </c>
      <c r="C3367" s="2" t="n">
        <v>44016</v>
      </c>
      <c r="D3367" t="inlineStr">
        <is>
          <t>NIL</t>
        </is>
      </c>
      <c r="E3367" t="n">
        <v>475</v>
      </c>
    </row>
    <row r="3368">
      <c r="A3368" t="inlineStr">
        <is>
          <t>27BBBBB03368Z5</t>
        </is>
      </c>
      <c r="B3368" t="inlineStr">
        <is>
          <t>May-2020</t>
        </is>
      </c>
      <c r="C3368" s="2" t="n">
        <v>44444</v>
      </c>
      <c r="D3368" t="inlineStr">
        <is>
          <t>NIL</t>
        </is>
      </c>
      <c r="E3368" t="n">
        <v>2013</v>
      </c>
    </row>
    <row r="3369">
      <c r="A3369" t="inlineStr">
        <is>
          <t>27BBBBB03369Z5</t>
        </is>
      </c>
      <c r="B3369" t="inlineStr">
        <is>
          <t>Jun-2018</t>
        </is>
      </c>
      <c r="C3369" s="2" t="n">
        <v>43682</v>
      </c>
      <c r="D3369" t="inlineStr">
        <is>
          <t>NON-NIL</t>
        </is>
      </c>
      <c r="E3369" t="n">
        <v>2201</v>
      </c>
    </row>
    <row r="3370">
      <c r="A3370" t="inlineStr">
        <is>
          <t>27BBBBB03370Z5</t>
        </is>
      </c>
      <c r="B3370" t="inlineStr">
        <is>
          <t>Dec-2022</t>
        </is>
      </c>
      <c r="C3370" s="2" t="n">
        <v>45255</v>
      </c>
      <c r="D3370" t="inlineStr">
        <is>
          <t>NIL</t>
        </is>
      </c>
      <c r="E3370" t="n">
        <v>294</v>
      </c>
    </row>
    <row r="3371">
      <c r="A3371" t="inlineStr">
        <is>
          <t>27BBBBB03371Z5</t>
        </is>
      </c>
      <c r="B3371" t="inlineStr">
        <is>
          <t>Dec-2024</t>
        </is>
      </c>
      <c r="C3371" s="2" t="n">
        <v>45171</v>
      </c>
      <c r="D3371" t="inlineStr">
        <is>
          <t>NIL</t>
        </is>
      </c>
      <c r="E3371" t="n">
        <v>1033</v>
      </c>
    </row>
    <row r="3372">
      <c r="A3372" t="inlineStr">
        <is>
          <t>27BBBBB03372Z5</t>
        </is>
      </c>
      <c r="B3372" t="inlineStr">
        <is>
          <t>Nov-2018</t>
        </is>
      </c>
      <c r="C3372" s="2" t="n">
        <v>43542</v>
      </c>
      <c r="D3372" t="inlineStr">
        <is>
          <t>NON-NIL</t>
        </is>
      </c>
      <c r="E3372" t="n">
        <v>959</v>
      </c>
    </row>
    <row r="3373">
      <c r="A3373" t="inlineStr">
        <is>
          <t>27BBBBB03373Z5</t>
        </is>
      </c>
      <c r="B3373" t="inlineStr">
        <is>
          <t>Aug-2017</t>
        </is>
      </c>
      <c r="C3373" s="2" t="n">
        <v>43600</v>
      </c>
      <c r="D3373" t="inlineStr">
        <is>
          <t>NIL</t>
        </is>
      </c>
      <c r="E3373" t="n">
        <v>1233</v>
      </c>
    </row>
    <row r="3374">
      <c r="A3374" t="inlineStr">
        <is>
          <t>27BBBBB03374Z5</t>
        </is>
      </c>
      <c r="B3374" t="inlineStr">
        <is>
          <t>Mar-2018</t>
        </is>
      </c>
      <c r="C3374" s="2" t="n">
        <v>44458</v>
      </c>
      <c r="D3374" t="inlineStr">
        <is>
          <t>NON-NIL</t>
        </is>
      </c>
      <c r="E3374" t="n">
        <v>1378</v>
      </c>
    </row>
    <row r="3375">
      <c r="A3375" t="inlineStr">
        <is>
          <t>27BBBBB03375Z5</t>
        </is>
      </c>
      <c r="B3375" t="inlineStr">
        <is>
          <t>Jun-2018</t>
        </is>
      </c>
      <c r="C3375" s="2" t="n">
        <v>42960</v>
      </c>
      <c r="D3375" t="inlineStr">
        <is>
          <t>NIL</t>
        </is>
      </c>
      <c r="E3375" t="n">
        <v>938</v>
      </c>
    </row>
    <row r="3376">
      <c r="A3376" t="inlineStr">
        <is>
          <t>27BBBBB03376Z5</t>
        </is>
      </c>
      <c r="B3376" t="inlineStr">
        <is>
          <t>Dec-2018</t>
        </is>
      </c>
      <c r="C3376" s="2" t="n">
        <v>43214</v>
      </c>
      <c r="D3376" t="inlineStr">
        <is>
          <t>NIL</t>
        </is>
      </c>
      <c r="E3376" t="n">
        <v>1614</v>
      </c>
    </row>
    <row r="3377">
      <c r="A3377" t="inlineStr">
        <is>
          <t>27BBBBB03377Z5</t>
        </is>
      </c>
      <c r="B3377" t="inlineStr">
        <is>
          <t>Sep-2017</t>
        </is>
      </c>
      <c r="C3377" s="2" t="n">
        <v>43394</v>
      </c>
      <c r="D3377" t="inlineStr">
        <is>
          <t>NON-NIL</t>
        </is>
      </c>
      <c r="E3377" t="n">
        <v>2674</v>
      </c>
    </row>
    <row r="3378">
      <c r="A3378" t="inlineStr">
        <is>
          <t>27BBBBB03378Z5</t>
        </is>
      </c>
      <c r="B3378" t="inlineStr">
        <is>
          <t>Sep-2017</t>
        </is>
      </c>
      <c r="C3378" s="2" t="n">
        <v>44107</v>
      </c>
      <c r="D3378" t="inlineStr">
        <is>
          <t>NON-NIL</t>
        </is>
      </c>
      <c r="E3378" t="n">
        <v>2802</v>
      </c>
    </row>
    <row r="3379">
      <c r="A3379" t="inlineStr">
        <is>
          <t>27BBBBB03379Z5</t>
        </is>
      </c>
      <c r="B3379" t="inlineStr">
        <is>
          <t>Nov-2018</t>
        </is>
      </c>
      <c r="C3379" s="2" t="n">
        <v>44013</v>
      </c>
      <c r="D3379" t="inlineStr">
        <is>
          <t>NIL</t>
        </is>
      </c>
      <c r="E3379" t="n">
        <v>2009</v>
      </c>
    </row>
    <row r="3380">
      <c r="A3380" t="inlineStr">
        <is>
          <t>27BBBBB03380Z5</t>
        </is>
      </c>
      <c r="B3380" t="inlineStr">
        <is>
          <t>Feb-2018</t>
        </is>
      </c>
      <c r="C3380" s="2" t="n">
        <v>44537</v>
      </c>
      <c r="D3380" t="inlineStr">
        <is>
          <t>NIL</t>
        </is>
      </c>
      <c r="E3380" t="n">
        <v>1984</v>
      </c>
    </row>
    <row r="3381">
      <c r="A3381" t="inlineStr">
        <is>
          <t>27BBBBB03381Z5</t>
        </is>
      </c>
      <c r="B3381" t="inlineStr">
        <is>
          <t>Oct-2017</t>
        </is>
      </c>
      <c r="C3381" s="2" t="n">
        <v>43546</v>
      </c>
      <c r="D3381" t="inlineStr">
        <is>
          <t>NON-NIL</t>
        </is>
      </c>
      <c r="E3381" t="n">
        <v>914</v>
      </c>
    </row>
    <row r="3382">
      <c r="A3382" t="inlineStr">
        <is>
          <t>27BBBBB03382Z5</t>
        </is>
      </c>
      <c r="B3382" t="inlineStr">
        <is>
          <t>Jun-2018</t>
        </is>
      </c>
      <c r="C3382" s="2" t="n">
        <v>43619</v>
      </c>
      <c r="D3382" t="inlineStr">
        <is>
          <t>NON-NIL</t>
        </is>
      </c>
      <c r="E3382" t="n">
        <v>583</v>
      </c>
    </row>
    <row r="3383">
      <c r="A3383" t="inlineStr">
        <is>
          <t>27BBBBB03383Z5</t>
        </is>
      </c>
      <c r="B3383" t="inlineStr">
        <is>
          <t>Dec-2018</t>
        </is>
      </c>
      <c r="C3383" s="2" t="n">
        <v>43542</v>
      </c>
      <c r="D3383" t="inlineStr">
        <is>
          <t>NON-NIL</t>
        </is>
      </c>
      <c r="E3383" t="n">
        <v>2128</v>
      </c>
    </row>
    <row r="3384">
      <c r="A3384" t="inlineStr">
        <is>
          <t>27BBBBB03384Z5</t>
        </is>
      </c>
      <c r="B3384" t="inlineStr">
        <is>
          <t>Mar-2023</t>
        </is>
      </c>
      <c r="C3384" s="2" t="n">
        <v>45162</v>
      </c>
      <c r="D3384" t="inlineStr">
        <is>
          <t>NIL</t>
        </is>
      </c>
      <c r="E3384" t="n">
        <v>2587</v>
      </c>
    </row>
    <row r="3385">
      <c r="A3385" t="inlineStr">
        <is>
          <t>27BBBBB03385Z5</t>
        </is>
      </c>
      <c r="B3385" t="inlineStr">
        <is>
          <t>Jul-2020</t>
        </is>
      </c>
      <c r="C3385" s="2" t="n">
        <v>44740</v>
      </c>
      <c r="D3385" t="inlineStr">
        <is>
          <t>NIL</t>
        </is>
      </c>
      <c r="E3385" t="n">
        <v>215</v>
      </c>
    </row>
    <row r="3386">
      <c r="A3386" t="inlineStr">
        <is>
          <t>27BBBBB03386Z5</t>
        </is>
      </c>
      <c r="B3386" t="inlineStr">
        <is>
          <t>Jan-2018</t>
        </is>
      </c>
      <c r="C3386" s="2" t="n">
        <v>43258</v>
      </c>
      <c r="D3386" t="inlineStr">
        <is>
          <t>NIL</t>
        </is>
      </c>
      <c r="E3386" t="n">
        <v>2151</v>
      </c>
    </row>
    <row r="3387">
      <c r="A3387" t="inlineStr">
        <is>
          <t>27BBBBB03387Z5</t>
        </is>
      </c>
      <c r="B3387" t="inlineStr">
        <is>
          <t>Feb-2018</t>
        </is>
      </c>
      <c r="C3387" s="2" t="n">
        <v>44482</v>
      </c>
      <c r="D3387" t="inlineStr">
        <is>
          <t>NIL</t>
        </is>
      </c>
      <c r="E3387" t="n">
        <v>519</v>
      </c>
    </row>
    <row r="3388">
      <c r="A3388" t="inlineStr">
        <is>
          <t>27BBBBB03388Z5</t>
        </is>
      </c>
      <c r="B3388" t="inlineStr">
        <is>
          <t>Oct-2018</t>
        </is>
      </c>
      <c r="C3388" s="2" t="n">
        <v>43041</v>
      </c>
      <c r="D3388" t="inlineStr">
        <is>
          <t>NON-NIL</t>
        </is>
      </c>
      <c r="E3388" t="n">
        <v>2496</v>
      </c>
    </row>
    <row r="3389">
      <c r="A3389" t="inlineStr">
        <is>
          <t>27BBBBB03389Z5</t>
        </is>
      </c>
      <c r="B3389" t="inlineStr">
        <is>
          <t>Mar-2018</t>
        </is>
      </c>
      <c r="C3389" s="2" t="n">
        <v>43406</v>
      </c>
      <c r="D3389" t="inlineStr">
        <is>
          <t>NIL</t>
        </is>
      </c>
      <c r="E3389" t="n">
        <v>1953</v>
      </c>
    </row>
    <row r="3390">
      <c r="A3390" t="inlineStr">
        <is>
          <t>27BBBBB03390Z5</t>
        </is>
      </c>
      <c r="B3390" t="inlineStr">
        <is>
          <t>Jul-2020</t>
        </is>
      </c>
      <c r="C3390" s="2" t="n">
        <v>44430</v>
      </c>
      <c r="D3390" t="inlineStr">
        <is>
          <t>NIL</t>
        </is>
      </c>
      <c r="E3390" t="n">
        <v>655</v>
      </c>
    </row>
    <row r="3391">
      <c r="A3391" t="inlineStr">
        <is>
          <t>27BBBBB03391Z5</t>
        </is>
      </c>
      <c r="B3391" t="inlineStr">
        <is>
          <t>Jul-2018</t>
        </is>
      </c>
      <c r="C3391" s="2" t="n">
        <v>43639</v>
      </c>
      <c r="D3391" t="inlineStr">
        <is>
          <t>NON-NIL</t>
        </is>
      </c>
      <c r="E3391" t="n">
        <v>2251</v>
      </c>
    </row>
    <row r="3392">
      <c r="A3392" t="inlineStr">
        <is>
          <t>27BBBBB03392Z5</t>
        </is>
      </c>
      <c r="B3392" t="inlineStr">
        <is>
          <t>May-2018</t>
        </is>
      </c>
      <c r="C3392" s="2" t="n">
        <v>44180</v>
      </c>
      <c r="D3392" t="inlineStr">
        <is>
          <t>NIL</t>
        </is>
      </c>
      <c r="E3392" t="n">
        <v>1074</v>
      </c>
    </row>
    <row r="3393">
      <c r="A3393" t="inlineStr">
        <is>
          <t>27BBBBB03393Z5</t>
        </is>
      </c>
      <c r="B3393" t="inlineStr">
        <is>
          <t>Jun-2018</t>
        </is>
      </c>
      <c r="C3393" s="2" t="n">
        <v>44063</v>
      </c>
      <c r="D3393" t="inlineStr">
        <is>
          <t>NIL</t>
        </is>
      </c>
      <c r="E3393" t="n">
        <v>677</v>
      </c>
    </row>
    <row r="3394">
      <c r="A3394" t="inlineStr">
        <is>
          <t>27BBBBB03394Z5</t>
        </is>
      </c>
      <c r="B3394" t="inlineStr">
        <is>
          <t>Feb-2018</t>
        </is>
      </c>
      <c r="C3394" s="2" t="n">
        <v>44393</v>
      </c>
      <c r="D3394" t="inlineStr">
        <is>
          <t>NIL</t>
        </is>
      </c>
      <c r="E3394" t="n">
        <v>494</v>
      </c>
    </row>
    <row r="3395">
      <c r="A3395" t="inlineStr">
        <is>
          <t>27BBBBB03395Z5</t>
        </is>
      </c>
      <c r="B3395" t="inlineStr">
        <is>
          <t>Jul-2017</t>
        </is>
      </c>
      <c r="C3395" s="2" t="n">
        <v>43956</v>
      </c>
      <c r="D3395" t="inlineStr">
        <is>
          <t>NIL</t>
        </is>
      </c>
      <c r="E3395" t="n">
        <v>2065</v>
      </c>
    </row>
    <row r="3396">
      <c r="A3396" t="inlineStr">
        <is>
          <t>27BBBBB03396Z5</t>
        </is>
      </c>
      <c r="B3396" t="inlineStr">
        <is>
          <t>Jun-2018</t>
        </is>
      </c>
      <c r="C3396" s="2" t="n">
        <v>44243</v>
      </c>
      <c r="D3396" t="inlineStr">
        <is>
          <t>NON-NIL</t>
        </is>
      </c>
      <c r="E3396" t="n">
        <v>2952</v>
      </c>
    </row>
    <row r="3397">
      <c r="A3397" t="inlineStr">
        <is>
          <t>27BBBBB03397Z5</t>
        </is>
      </c>
      <c r="B3397" t="inlineStr">
        <is>
          <t>Dec-2018</t>
        </is>
      </c>
      <c r="C3397" s="2" t="n">
        <v>44411</v>
      </c>
      <c r="D3397" t="inlineStr">
        <is>
          <t>NIL</t>
        </is>
      </c>
      <c r="E3397" t="n">
        <v>1334</v>
      </c>
    </row>
    <row r="3398">
      <c r="A3398" t="inlineStr">
        <is>
          <t>27BBBBB03398Z5</t>
        </is>
      </c>
      <c r="B3398" t="inlineStr">
        <is>
          <t>Jan-2021</t>
        </is>
      </c>
      <c r="C3398" s="2" t="n">
        <v>43846</v>
      </c>
      <c r="D3398" t="inlineStr">
        <is>
          <t>NON-NIL</t>
        </is>
      </c>
      <c r="E3398" t="n">
        <v>965</v>
      </c>
    </row>
    <row r="3399">
      <c r="A3399" t="inlineStr">
        <is>
          <t>27BBBBB03399Z5</t>
        </is>
      </c>
      <c r="B3399" t="inlineStr">
        <is>
          <t>Jun-2020</t>
        </is>
      </c>
      <c r="C3399" s="2" t="n">
        <v>44888</v>
      </c>
      <c r="D3399" t="inlineStr">
        <is>
          <t>NIL</t>
        </is>
      </c>
      <c r="E3399" t="n">
        <v>1940</v>
      </c>
    </row>
    <row r="3400">
      <c r="A3400" t="inlineStr">
        <is>
          <t>27BBBBB03400Z5</t>
        </is>
      </c>
      <c r="B3400" t="inlineStr">
        <is>
          <t>Feb-2018</t>
        </is>
      </c>
      <c r="C3400" s="2" t="n">
        <v>43916</v>
      </c>
      <c r="D3400" t="inlineStr">
        <is>
          <t>NON-NIL</t>
        </is>
      </c>
      <c r="E3400" t="n">
        <v>2368</v>
      </c>
    </row>
    <row r="3401">
      <c r="A3401" t="inlineStr">
        <is>
          <t>27BBBBB03401Z5</t>
        </is>
      </c>
      <c r="B3401" t="inlineStr">
        <is>
          <t>Aug-2017</t>
        </is>
      </c>
      <c r="C3401" s="2" t="n">
        <v>44117</v>
      </c>
      <c r="D3401" t="inlineStr">
        <is>
          <t>NON-NIL</t>
        </is>
      </c>
      <c r="E3401" t="n">
        <v>2689</v>
      </c>
    </row>
    <row r="3402">
      <c r="A3402" t="inlineStr">
        <is>
          <t>27BBBBB03402Z5</t>
        </is>
      </c>
      <c r="B3402" t="inlineStr">
        <is>
          <t>Mar-2018</t>
        </is>
      </c>
      <c r="C3402" s="2" t="n">
        <v>43935</v>
      </c>
      <c r="D3402" t="inlineStr">
        <is>
          <t>NIL</t>
        </is>
      </c>
      <c r="E3402" t="n">
        <v>2187</v>
      </c>
    </row>
    <row r="3403">
      <c r="A3403" t="inlineStr">
        <is>
          <t>27BBBBB03403Z5</t>
        </is>
      </c>
      <c r="B3403" t="inlineStr">
        <is>
          <t>Dec-2024</t>
        </is>
      </c>
      <c r="C3403" s="2" t="n">
        <v>43736</v>
      </c>
      <c r="D3403" t="inlineStr">
        <is>
          <t>NIL</t>
        </is>
      </c>
      <c r="E3403" t="n">
        <v>590</v>
      </c>
    </row>
    <row r="3404">
      <c r="A3404" t="inlineStr">
        <is>
          <t>27BBBBB03404Z5</t>
        </is>
      </c>
      <c r="B3404" t="inlineStr">
        <is>
          <t>Apr-2018</t>
        </is>
      </c>
      <c r="C3404" s="2" t="n">
        <v>44472</v>
      </c>
      <c r="D3404" t="inlineStr">
        <is>
          <t>NIL</t>
        </is>
      </c>
      <c r="E3404" t="n">
        <v>1664</v>
      </c>
    </row>
    <row r="3405">
      <c r="A3405" t="inlineStr">
        <is>
          <t>27BBBBB03405Z5</t>
        </is>
      </c>
      <c r="B3405" t="inlineStr">
        <is>
          <t>Nov-2017</t>
        </is>
      </c>
      <c r="C3405" s="2" t="n">
        <v>43063</v>
      </c>
      <c r="D3405" t="inlineStr">
        <is>
          <t>NON-NIL</t>
        </is>
      </c>
      <c r="E3405" t="n">
        <v>1675</v>
      </c>
    </row>
    <row r="3406">
      <c r="A3406" t="inlineStr">
        <is>
          <t>27BBBBB03406Z5</t>
        </is>
      </c>
      <c r="B3406" t="inlineStr">
        <is>
          <t>Oct-2017</t>
        </is>
      </c>
      <c r="C3406" s="2" t="n">
        <v>43392</v>
      </c>
      <c r="D3406" t="inlineStr">
        <is>
          <t>NIL</t>
        </is>
      </c>
      <c r="E3406" t="n">
        <v>1438</v>
      </c>
    </row>
    <row r="3407">
      <c r="A3407" t="inlineStr">
        <is>
          <t>27BBBBB03407Z5</t>
        </is>
      </c>
      <c r="B3407" t="inlineStr">
        <is>
          <t>Mar-2018</t>
        </is>
      </c>
      <c r="C3407" s="2" t="n">
        <v>43813</v>
      </c>
      <c r="D3407" t="inlineStr">
        <is>
          <t>NIL</t>
        </is>
      </c>
      <c r="E3407" t="n">
        <v>2964</v>
      </c>
    </row>
    <row r="3408">
      <c r="A3408" t="inlineStr">
        <is>
          <t>27BBBBB03408Z5</t>
        </is>
      </c>
      <c r="B3408" t="inlineStr">
        <is>
          <t>Feb-2018</t>
        </is>
      </c>
      <c r="C3408" s="2" t="n">
        <v>43883</v>
      </c>
      <c r="D3408" t="inlineStr">
        <is>
          <t>NIL</t>
        </is>
      </c>
      <c r="E3408" t="n">
        <v>691</v>
      </c>
    </row>
    <row r="3409">
      <c r="A3409" t="inlineStr">
        <is>
          <t>27BBBBB03409Z5</t>
        </is>
      </c>
      <c r="B3409" t="inlineStr">
        <is>
          <t>Dec-2024</t>
        </is>
      </c>
      <c r="C3409" s="2" t="n">
        <v>44783</v>
      </c>
      <c r="D3409" t="inlineStr">
        <is>
          <t>NON-NIL</t>
        </is>
      </c>
      <c r="E3409" t="n">
        <v>1421</v>
      </c>
    </row>
    <row r="3410">
      <c r="A3410" t="inlineStr">
        <is>
          <t>27BBBBB03410Z5</t>
        </is>
      </c>
      <c r="B3410" t="inlineStr">
        <is>
          <t>Mar-2021</t>
        </is>
      </c>
      <c r="C3410" s="2" t="n">
        <v>45066</v>
      </c>
      <c r="D3410" t="inlineStr">
        <is>
          <t>NIL</t>
        </is>
      </c>
      <c r="E3410" t="n">
        <v>1191</v>
      </c>
    </row>
    <row r="3411">
      <c r="A3411" t="inlineStr">
        <is>
          <t>27BBBBB03411Z5</t>
        </is>
      </c>
      <c r="B3411" t="inlineStr">
        <is>
          <t>May-2020</t>
        </is>
      </c>
      <c r="C3411" s="2" t="n">
        <v>44076</v>
      </c>
      <c r="D3411" t="inlineStr">
        <is>
          <t>NON-NIL</t>
        </is>
      </c>
      <c r="E3411" t="n">
        <v>469</v>
      </c>
    </row>
    <row r="3412">
      <c r="A3412" t="inlineStr">
        <is>
          <t>27BBBBB03412Z5</t>
        </is>
      </c>
      <c r="B3412" t="inlineStr">
        <is>
          <t>Dec-2024</t>
        </is>
      </c>
      <c r="C3412" s="2" t="n">
        <v>44913</v>
      </c>
      <c r="D3412" t="inlineStr">
        <is>
          <t>NON-NIL</t>
        </is>
      </c>
      <c r="E3412" t="n">
        <v>1861</v>
      </c>
    </row>
    <row r="3413">
      <c r="A3413" t="inlineStr">
        <is>
          <t>27BBBBB03413Z5</t>
        </is>
      </c>
      <c r="B3413" t="inlineStr">
        <is>
          <t>Jun-2020</t>
        </is>
      </c>
      <c r="C3413" s="2" t="n">
        <v>44057</v>
      </c>
      <c r="D3413" t="inlineStr">
        <is>
          <t>NIL</t>
        </is>
      </c>
      <c r="E3413" t="n">
        <v>1843</v>
      </c>
    </row>
    <row r="3414">
      <c r="A3414" t="inlineStr">
        <is>
          <t>27BBBBB03414Z5</t>
        </is>
      </c>
      <c r="B3414" t="inlineStr">
        <is>
          <t>Mar-2018</t>
        </is>
      </c>
      <c r="C3414" s="2" t="n">
        <v>44073</v>
      </c>
      <c r="D3414" t="inlineStr">
        <is>
          <t>NIL</t>
        </is>
      </c>
      <c r="E3414" t="n">
        <v>589</v>
      </c>
    </row>
    <row r="3415">
      <c r="A3415" t="inlineStr">
        <is>
          <t>27BBBBB03415Z5</t>
        </is>
      </c>
      <c r="B3415" t="inlineStr">
        <is>
          <t>Mar-2021</t>
        </is>
      </c>
      <c r="C3415" s="2" t="n">
        <v>44238</v>
      </c>
      <c r="D3415" t="inlineStr">
        <is>
          <t>NON-NIL</t>
        </is>
      </c>
      <c r="E3415" t="n">
        <v>1696</v>
      </c>
    </row>
    <row r="3416">
      <c r="A3416" t="inlineStr">
        <is>
          <t>27BBBBB03416Z5</t>
        </is>
      </c>
      <c r="B3416" t="inlineStr">
        <is>
          <t>Jun-2018</t>
        </is>
      </c>
      <c r="C3416" s="2" t="n">
        <v>43196</v>
      </c>
      <c r="D3416" t="inlineStr">
        <is>
          <t>NON-NIL</t>
        </is>
      </c>
      <c r="E3416" t="n">
        <v>2878</v>
      </c>
    </row>
    <row r="3417">
      <c r="A3417" t="inlineStr">
        <is>
          <t>27BBBBB03417Z5</t>
        </is>
      </c>
      <c r="B3417" t="inlineStr">
        <is>
          <t>Oct-2017</t>
        </is>
      </c>
      <c r="C3417" s="2" t="n">
        <v>44225</v>
      </c>
      <c r="D3417" t="inlineStr">
        <is>
          <t>NON-NIL</t>
        </is>
      </c>
      <c r="E3417" t="n">
        <v>435</v>
      </c>
    </row>
    <row r="3418">
      <c r="A3418" t="inlineStr">
        <is>
          <t>27BBBBB03418Z5</t>
        </is>
      </c>
      <c r="B3418" t="inlineStr">
        <is>
          <t>Mar-2020</t>
        </is>
      </c>
      <c r="C3418" s="2" t="n">
        <v>43831</v>
      </c>
      <c r="D3418" t="inlineStr">
        <is>
          <t>NIL</t>
        </is>
      </c>
      <c r="E3418" t="n">
        <v>1834</v>
      </c>
    </row>
    <row r="3419">
      <c r="A3419" t="inlineStr">
        <is>
          <t>27BBBBB03419Z5</t>
        </is>
      </c>
      <c r="B3419" t="inlineStr">
        <is>
          <t>Mar-2018</t>
        </is>
      </c>
      <c r="C3419" s="2" t="n">
        <v>43566</v>
      </c>
      <c r="D3419" t="inlineStr">
        <is>
          <t>NON-NIL</t>
        </is>
      </c>
      <c r="E3419" t="n">
        <v>1127</v>
      </c>
    </row>
    <row r="3420">
      <c r="A3420" t="inlineStr">
        <is>
          <t>27BBBBB03420Z5</t>
        </is>
      </c>
      <c r="B3420" t="inlineStr">
        <is>
          <t>Jun-2018</t>
        </is>
      </c>
      <c r="C3420" s="2" t="n">
        <v>43759</v>
      </c>
      <c r="D3420" t="inlineStr">
        <is>
          <t>NON-NIL</t>
        </is>
      </c>
      <c r="E3420" t="n">
        <v>2381</v>
      </c>
    </row>
    <row r="3421">
      <c r="A3421" t="inlineStr">
        <is>
          <t>27BBBBB03421Z5</t>
        </is>
      </c>
      <c r="B3421" t="inlineStr">
        <is>
          <t>May-2020</t>
        </is>
      </c>
      <c r="C3421" s="2" t="n">
        <v>44138</v>
      </c>
      <c r="D3421" t="inlineStr">
        <is>
          <t>NON-NIL</t>
        </is>
      </c>
      <c r="E3421" t="n">
        <v>72</v>
      </c>
    </row>
    <row r="3422">
      <c r="A3422" t="inlineStr">
        <is>
          <t>27BBBBB03422Z5</t>
        </is>
      </c>
      <c r="B3422" t="inlineStr">
        <is>
          <t>Oct-2018</t>
        </is>
      </c>
      <c r="C3422" s="2" t="n">
        <v>43796</v>
      </c>
      <c r="D3422" t="inlineStr">
        <is>
          <t>NIL</t>
        </is>
      </c>
      <c r="E3422" t="n">
        <v>929</v>
      </c>
    </row>
    <row r="3423">
      <c r="A3423" t="inlineStr">
        <is>
          <t>27BBBBB03423Z5</t>
        </is>
      </c>
      <c r="B3423" t="inlineStr">
        <is>
          <t>Oct-2018</t>
        </is>
      </c>
      <c r="C3423" s="2" t="n">
        <v>44329</v>
      </c>
      <c r="D3423" t="inlineStr">
        <is>
          <t>NIL</t>
        </is>
      </c>
      <c r="E3423" t="n">
        <v>1701</v>
      </c>
    </row>
    <row r="3424">
      <c r="A3424" t="inlineStr">
        <is>
          <t>27BBBBB03424Z5</t>
        </is>
      </c>
      <c r="B3424" t="inlineStr">
        <is>
          <t>Apr-2018</t>
        </is>
      </c>
      <c r="C3424" s="2" t="n">
        <v>44502</v>
      </c>
      <c r="D3424" t="inlineStr">
        <is>
          <t>NIL</t>
        </is>
      </c>
      <c r="E3424" t="n">
        <v>1530</v>
      </c>
    </row>
    <row r="3425">
      <c r="A3425" t="inlineStr">
        <is>
          <t>27BBBBB03425Z5</t>
        </is>
      </c>
      <c r="B3425" t="inlineStr">
        <is>
          <t>Mar-2021</t>
        </is>
      </c>
      <c r="C3425" s="2" t="n">
        <v>44410</v>
      </c>
      <c r="D3425" t="inlineStr">
        <is>
          <t>NON-NIL</t>
        </is>
      </c>
      <c r="E3425" t="n">
        <v>459</v>
      </c>
    </row>
    <row r="3426">
      <c r="A3426" t="inlineStr">
        <is>
          <t>27BBBBB03426Z5</t>
        </is>
      </c>
      <c r="B3426" t="inlineStr">
        <is>
          <t>Dec-2017</t>
        </is>
      </c>
      <c r="C3426" s="2" t="n">
        <v>43117</v>
      </c>
      <c r="D3426" t="inlineStr">
        <is>
          <t>NON-NIL</t>
        </is>
      </c>
      <c r="E3426" t="n">
        <v>1614</v>
      </c>
    </row>
    <row r="3427">
      <c r="A3427" t="inlineStr">
        <is>
          <t>27BBBBB03427Z5</t>
        </is>
      </c>
      <c r="B3427" t="inlineStr">
        <is>
          <t>Feb-2018</t>
        </is>
      </c>
      <c r="C3427" s="2" t="n">
        <v>43025</v>
      </c>
      <c r="D3427" t="inlineStr">
        <is>
          <t>NON-NIL</t>
        </is>
      </c>
      <c r="E3427" t="n">
        <v>245</v>
      </c>
    </row>
    <row r="3428">
      <c r="A3428" t="inlineStr">
        <is>
          <t>27BBBBB03428Z5</t>
        </is>
      </c>
      <c r="B3428" t="inlineStr">
        <is>
          <t>May-2020</t>
        </is>
      </c>
      <c r="C3428" s="2" t="n">
        <v>43949</v>
      </c>
      <c r="D3428" t="inlineStr">
        <is>
          <t>NON-NIL</t>
        </is>
      </c>
      <c r="E3428" t="n">
        <v>2172</v>
      </c>
    </row>
    <row r="3429">
      <c r="A3429" t="inlineStr">
        <is>
          <t>27BBBBB03429Z5</t>
        </is>
      </c>
      <c r="B3429" t="inlineStr">
        <is>
          <t>Jan-2018</t>
        </is>
      </c>
      <c r="C3429" s="2" t="n">
        <v>42959</v>
      </c>
      <c r="D3429" t="inlineStr">
        <is>
          <t>NON-NIL</t>
        </is>
      </c>
      <c r="E3429" t="n">
        <v>703</v>
      </c>
    </row>
    <row r="3430">
      <c r="A3430" t="inlineStr">
        <is>
          <t>27BBBBB03430Z5</t>
        </is>
      </c>
      <c r="B3430" t="inlineStr">
        <is>
          <t>Mar-2021</t>
        </is>
      </c>
      <c r="C3430" s="2" t="n">
        <v>45674</v>
      </c>
      <c r="D3430" t="inlineStr">
        <is>
          <t>NON-NIL</t>
        </is>
      </c>
      <c r="E3430" t="n">
        <v>888</v>
      </c>
    </row>
    <row r="3431">
      <c r="A3431" t="inlineStr">
        <is>
          <t>27BBBBB03431Z5</t>
        </is>
      </c>
      <c r="B3431" t="inlineStr">
        <is>
          <t>Nov-2017</t>
        </is>
      </c>
      <c r="C3431" s="2" t="n">
        <v>43407</v>
      </c>
      <c r="D3431" t="inlineStr">
        <is>
          <t>NIL</t>
        </is>
      </c>
      <c r="E3431" t="n">
        <v>203</v>
      </c>
    </row>
    <row r="3432">
      <c r="A3432" t="inlineStr">
        <is>
          <t>27BBBBB03432Z5</t>
        </is>
      </c>
      <c r="B3432" t="inlineStr">
        <is>
          <t>Dec-2017</t>
        </is>
      </c>
      <c r="C3432" s="2" t="n">
        <v>43743</v>
      </c>
      <c r="D3432" t="inlineStr">
        <is>
          <t>NON-NIL</t>
        </is>
      </c>
      <c r="E3432" t="n">
        <v>2818</v>
      </c>
    </row>
    <row r="3433">
      <c r="A3433" t="inlineStr">
        <is>
          <t>27BBBBB03433Z5</t>
        </is>
      </c>
      <c r="B3433" t="inlineStr">
        <is>
          <t>May-2018</t>
        </is>
      </c>
      <c r="C3433" s="2" t="n">
        <v>43935</v>
      </c>
      <c r="D3433" t="inlineStr">
        <is>
          <t>NON-NIL</t>
        </is>
      </c>
      <c r="E3433" t="n">
        <v>1954</v>
      </c>
    </row>
    <row r="3434">
      <c r="A3434" t="inlineStr">
        <is>
          <t>27BBBBB03434Z5</t>
        </is>
      </c>
      <c r="B3434" t="inlineStr">
        <is>
          <t>Mar-2018</t>
        </is>
      </c>
      <c r="C3434" s="2" t="n">
        <v>44315</v>
      </c>
      <c r="D3434" t="inlineStr">
        <is>
          <t>NON-NIL</t>
        </is>
      </c>
      <c r="E3434" t="n">
        <v>2470</v>
      </c>
    </row>
    <row r="3435">
      <c r="A3435" t="inlineStr">
        <is>
          <t>27BBBBB03435Z5</t>
        </is>
      </c>
      <c r="B3435" t="inlineStr">
        <is>
          <t>Jan-2018</t>
        </is>
      </c>
      <c r="C3435" s="2" t="n">
        <v>43727</v>
      </c>
      <c r="D3435" t="inlineStr">
        <is>
          <t>NON-NIL</t>
        </is>
      </c>
      <c r="E3435" t="n">
        <v>2009</v>
      </c>
    </row>
    <row r="3436">
      <c r="A3436" t="inlineStr">
        <is>
          <t>27BBBBB03436Z5</t>
        </is>
      </c>
      <c r="B3436" t="inlineStr">
        <is>
          <t>Feb-2018</t>
        </is>
      </c>
      <c r="C3436" s="2" t="n">
        <v>43584</v>
      </c>
      <c r="D3436" t="inlineStr">
        <is>
          <t>NIL</t>
        </is>
      </c>
      <c r="E3436" t="n">
        <v>407</v>
      </c>
    </row>
    <row r="3437">
      <c r="A3437" t="inlineStr">
        <is>
          <t>27BBBBB03437Z5</t>
        </is>
      </c>
      <c r="B3437" t="inlineStr">
        <is>
          <t>Jul-2018</t>
        </is>
      </c>
      <c r="C3437" s="2" t="n">
        <v>42949</v>
      </c>
      <c r="D3437" t="inlineStr">
        <is>
          <t>NIL</t>
        </is>
      </c>
      <c r="E3437" t="n">
        <v>1220</v>
      </c>
    </row>
    <row r="3438">
      <c r="A3438" t="inlineStr">
        <is>
          <t>27BBBBB03438Z5</t>
        </is>
      </c>
      <c r="B3438" t="inlineStr">
        <is>
          <t>Aug-2017</t>
        </is>
      </c>
      <c r="C3438" s="2" t="n">
        <v>43258</v>
      </c>
      <c r="D3438" t="inlineStr">
        <is>
          <t>NON-NIL</t>
        </is>
      </c>
      <c r="E3438" t="n">
        <v>1144</v>
      </c>
    </row>
    <row r="3439">
      <c r="A3439" t="inlineStr">
        <is>
          <t>27BBBBB03439Z5</t>
        </is>
      </c>
      <c r="B3439" t="inlineStr">
        <is>
          <t>Mar-2021</t>
        </is>
      </c>
      <c r="C3439" s="2" t="n">
        <v>43481</v>
      </c>
      <c r="D3439" t="inlineStr">
        <is>
          <t>NIL</t>
        </is>
      </c>
      <c r="E3439" t="n">
        <v>2810</v>
      </c>
    </row>
    <row r="3440">
      <c r="A3440" t="inlineStr">
        <is>
          <t>27BBBBB03440Z5</t>
        </is>
      </c>
      <c r="B3440" t="inlineStr">
        <is>
          <t>Mar-2020</t>
        </is>
      </c>
      <c r="C3440" s="2" t="n">
        <v>44247</v>
      </c>
      <c r="D3440" t="inlineStr">
        <is>
          <t>NON-NIL</t>
        </is>
      </c>
      <c r="E3440" t="n">
        <v>2511</v>
      </c>
    </row>
    <row r="3441">
      <c r="A3441" t="inlineStr">
        <is>
          <t>27BBBBB03441Z5</t>
        </is>
      </c>
      <c r="B3441" t="inlineStr">
        <is>
          <t>Jul-2020</t>
        </is>
      </c>
      <c r="C3441" s="2" t="n">
        <v>44632</v>
      </c>
      <c r="D3441" t="inlineStr">
        <is>
          <t>NON-NIL</t>
        </is>
      </c>
      <c r="E3441" t="n">
        <v>1947</v>
      </c>
    </row>
    <row r="3442">
      <c r="A3442" t="inlineStr">
        <is>
          <t>27BBBBB03442Z5</t>
        </is>
      </c>
      <c r="B3442" t="inlineStr">
        <is>
          <t>Dec-2022</t>
        </is>
      </c>
      <c r="C3442" s="2" t="n">
        <v>44270</v>
      </c>
      <c r="D3442" t="inlineStr">
        <is>
          <t>NON-NIL</t>
        </is>
      </c>
      <c r="E3442" t="n">
        <v>896</v>
      </c>
    </row>
    <row r="3443">
      <c r="A3443" t="inlineStr">
        <is>
          <t>27BBBBB03443Z5</t>
        </is>
      </c>
      <c r="B3443" t="inlineStr">
        <is>
          <t>Apr-2020</t>
        </is>
      </c>
      <c r="C3443" s="2" t="n">
        <v>44519</v>
      </c>
      <c r="D3443" t="inlineStr">
        <is>
          <t>NON-NIL</t>
        </is>
      </c>
      <c r="E3443" t="n">
        <v>671</v>
      </c>
    </row>
    <row r="3444">
      <c r="A3444" t="inlineStr">
        <is>
          <t>27BBBBB03444Z5</t>
        </is>
      </c>
      <c r="B3444" t="inlineStr">
        <is>
          <t>Dec-2022</t>
        </is>
      </c>
      <c r="C3444" s="2" t="n">
        <v>43896</v>
      </c>
      <c r="D3444" t="inlineStr">
        <is>
          <t>NON-NIL</t>
        </is>
      </c>
      <c r="E3444" t="n">
        <v>1192</v>
      </c>
    </row>
    <row r="3445">
      <c r="A3445" t="inlineStr">
        <is>
          <t>27BBBBB03445Z5</t>
        </is>
      </c>
      <c r="B3445" t="inlineStr">
        <is>
          <t>Nov-2017</t>
        </is>
      </c>
      <c r="C3445" s="2" t="n">
        <v>44360</v>
      </c>
      <c r="D3445" t="inlineStr">
        <is>
          <t>NON-NIL</t>
        </is>
      </c>
      <c r="E3445" t="n">
        <v>546</v>
      </c>
    </row>
    <row r="3446">
      <c r="A3446" t="inlineStr">
        <is>
          <t>27BBBBB03446Z5</t>
        </is>
      </c>
      <c r="B3446" t="inlineStr">
        <is>
          <t>Mar-2023</t>
        </is>
      </c>
      <c r="C3446" s="2" t="n">
        <v>45160</v>
      </c>
      <c r="D3446" t="inlineStr">
        <is>
          <t>NON-NIL</t>
        </is>
      </c>
      <c r="E3446" t="n">
        <v>332</v>
      </c>
    </row>
    <row r="3447">
      <c r="A3447" t="inlineStr">
        <is>
          <t>27BBBBB03447Z5</t>
        </is>
      </c>
      <c r="B3447" t="inlineStr">
        <is>
          <t>Nov-2018</t>
        </is>
      </c>
      <c r="C3447" s="2" t="n">
        <v>44020</v>
      </c>
      <c r="D3447" t="inlineStr">
        <is>
          <t>NIL</t>
        </is>
      </c>
      <c r="E3447" t="n">
        <v>1677</v>
      </c>
    </row>
    <row r="3448">
      <c r="A3448" t="inlineStr">
        <is>
          <t>27BBBBB03448Z5</t>
        </is>
      </c>
      <c r="B3448" t="inlineStr">
        <is>
          <t>Jan-2021</t>
        </is>
      </c>
      <c r="C3448" s="2" t="n">
        <v>45422</v>
      </c>
      <c r="D3448" t="inlineStr">
        <is>
          <t>NIL</t>
        </is>
      </c>
      <c r="E3448" t="n">
        <v>367</v>
      </c>
    </row>
    <row r="3449">
      <c r="A3449" t="inlineStr">
        <is>
          <t>27BBBBB03449Z5</t>
        </is>
      </c>
      <c r="B3449" t="inlineStr">
        <is>
          <t>Jan-2018</t>
        </is>
      </c>
      <c r="C3449" s="2" t="n">
        <v>43799</v>
      </c>
      <c r="D3449" t="inlineStr">
        <is>
          <t>NIL</t>
        </is>
      </c>
      <c r="E3449" t="n">
        <v>2388</v>
      </c>
    </row>
    <row r="3450">
      <c r="A3450" t="inlineStr">
        <is>
          <t>27BBBBB03450Z5</t>
        </is>
      </c>
      <c r="B3450" t="inlineStr">
        <is>
          <t>Sep-2017</t>
        </is>
      </c>
      <c r="C3450" s="2" t="n">
        <v>43761</v>
      </c>
      <c r="D3450" t="inlineStr">
        <is>
          <t>NON-NIL</t>
        </is>
      </c>
      <c r="E3450" t="n">
        <v>1799</v>
      </c>
    </row>
    <row r="3451">
      <c r="A3451" t="inlineStr">
        <is>
          <t>27BBBBB03451Z5</t>
        </is>
      </c>
      <c r="B3451" t="inlineStr">
        <is>
          <t>Feb-2018</t>
        </is>
      </c>
      <c r="C3451" s="2" t="n">
        <v>43298</v>
      </c>
      <c r="D3451" t="inlineStr">
        <is>
          <t>NIL</t>
        </is>
      </c>
      <c r="E3451" t="n">
        <v>492</v>
      </c>
    </row>
    <row r="3452">
      <c r="A3452" t="inlineStr">
        <is>
          <t>27BBBBB03452Z5</t>
        </is>
      </c>
      <c r="B3452" t="inlineStr">
        <is>
          <t>Jul-2020</t>
        </is>
      </c>
      <c r="C3452" s="2" t="n">
        <v>44768</v>
      </c>
      <c r="D3452" t="inlineStr">
        <is>
          <t>NON-NIL</t>
        </is>
      </c>
      <c r="E3452" t="n">
        <v>1428</v>
      </c>
    </row>
    <row r="3453">
      <c r="A3453" t="inlineStr">
        <is>
          <t>27BBBBB03453Z5</t>
        </is>
      </c>
      <c r="B3453" t="inlineStr">
        <is>
          <t>Mar-2020</t>
        </is>
      </c>
      <c r="C3453" s="2" t="n">
        <v>44398</v>
      </c>
      <c r="D3453" t="inlineStr">
        <is>
          <t>NIL</t>
        </is>
      </c>
      <c r="E3453" t="n">
        <v>1222</v>
      </c>
    </row>
    <row r="3454">
      <c r="A3454" t="inlineStr">
        <is>
          <t>27BBBBB03454Z5</t>
        </is>
      </c>
      <c r="B3454" t="inlineStr">
        <is>
          <t>Mar-2018</t>
        </is>
      </c>
      <c r="C3454" s="2" t="n">
        <v>43913</v>
      </c>
      <c r="D3454" t="inlineStr">
        <is>
          <t>NON-NIL</t>
        </is>
      </c>
      <c r="E3454" t="n">
        <v>730</v>
      </c>
    </row>
    <row r="3455">
      <c r="A3455" t="inlineStr">
        <is>
          <t>27BBBBB03455Z5</t>
        </is>
      </c>
      <c r="B3455" t="inlineStr">
        <is>
          <t>Jul-2017</t>
        </is>
      </c>
      <c r="C3455" s="2" t="n">
        <v>44489</v>
      </c>
      <c r="D3455" t="inlineStr">
        <is>
          <t>NON-NIL</t>
        </is>
      </c>
      <c r="E3455" t="n">
        <v>1399</v>
      </c>
    </row>
    <row r="3456">
      <c r="A3456" t="inlineStr">
        <is>
          <t>27BBBBB03456Z5</t>
        </is>
      </c>
      <c r="B3456" t="inlineStr">
        <is>
          <t>Feb-2018</t>
        </is>
      </c>
      <c r="C3456" s="2" t="n">
        <v>43375</v>
      </c>
      <c r="D3456" t="inlineStr">
        <is>
          <t>NON-NIL</t>
        </is>
      </c>
      <c r="E3456" t="n">
        <v>2995</v>
      </c>
    </row>
    <row r="3457">
      <c r="A3457" t="inlineStr">
        <is>
          <t>27BBBBB03457Z5</t>
        </is>
      </c>
      <c r="B3457" t="inlineStr">
        <is>
          <t>Dec-2022</t>
        </is>
      </c>
      <c r="C3457" s="2" t="n">
        <v>45052</v>
      </c>
      <c r="D3457" t="inlineStr">
        <is>
          <t>NON-NIL</t>
        </is>
      </c>
      <c r="E3457" t="n">
        <v>2450</v>
      </c>
    </row>
    <row r="3458">
      <c r="A3458" t="inlineStr">
        <is>
          <t>27BBBBB03458Z5</t>
        </is>
      </c>
      <c r="B3458" t="inlineStr">
        <is>
          <t>Oct-2017</t>
        </is>
      </c>
      <c r="C3458" s="2" t="n">
        <v>44342</v>
      </c>
      <c r="D3458" t="inlineStr">
        <is>
          <t>NON-NIL</t>
        </is>
      </c>
      <c r="E3458" t="n">
        <v>563</v>
      </c>
    </row>
    <row r="3459">
      <c r="A3459" t="inlineStr">
        <is>
          <t>27BBBBB03459Z5</t>
        </is>
      </c>
      <c r="B3459" t="inlineStr">
        <is>
          <t>Sep-2018</t>
        </is>
      </c>
      <c r="C3459" s="2" t="n">
        <v>43733</v>
      </c>
      <c r="D3459" t="inlineStr">
        <is>
          <t>NIL</t>
        </is>
      </c>
      <c r="E3459" t="n">
        <v>1119</v>
      </c>
    </row>
    <row r="3460">
      <c r="A3460" t="inlineStr">
        <is>
          <t>27BBBBB03460Z5</t>
        </is>
      </c>
      <c r="B3460" t="inlineStr">
        <is>
          <t>Feb-2018</t>
        </is>
      </c>
      <c r="C3460" s="2" t="n">
        <v>44095</v>
      </c>
      <c r="D3460" t="inlineStr">
        <is>
          <t>NON-NIL</t>
        </is>
      </c>
      <c r="E3460" t="n">
        <v>2697</v>
      </c>
    </row>
    <row r="3461">
      <c r="A3461" t="inlineStr">
        <is>
          <t>27BBBBB03461Z5</t>
        </is>
      </c>
      <c r="B3461" t="inlineStr">
        <is>
          <t>Aug-2017</t>
        </is>
      </c>
      <c r="C3461" s="2" t="n">
        <v>44459</v>
      </c>
      <c r="D3461" t="inlineStr">
        <is>
          <t>NON-NIL</t>
        </is>
      </c>
      <c r="E3461" t="n">
        <v>904</v>
      </c>
    </row>
    <row r="3462">
      <c r="A3462" t="inlineStr">
        <is>
          <t>27BBBBB03462Z5</t>
        </is>
      </c>
      <c r="B3462" t="inlineStr">
        <is>
          <t>Aug-2017</t>
        </is>
      </c>
      <c r="C3462" s="2" t="n">
        <v>42996</v>
      </c>
      <c r="D3462" t="inlineStr">
        <is>
          <t>NON-NIL</t>
        </is>
      </c>
      <c r="E3462" t="n">
        <v>2414</v>
      </c>
    </row>
    <row r="3463">
      <c r="A3463" t="inlineStr">
        <is>
          <t>27BBBBB03463Z5</t>
        </is>
      </c>
      <c r="B3463" t="inlineStr">
        <is>
          <t>Nov-2018</t>
        </is>
      </c>
      <c r="C3463" s="2" t="n">
        <v>43271</v>
      </c>
      <c r="D3463" t="inlineStr">
        <is>
          <t>NIL</t>
        </is>
      </c>
      <c r="E3463" t="n">
        <v>2902</v>
      </c>
    </row>
    <row r="3464">
      <c r="A3464" t="inlineStr">
        <is>
          <t>27BBBBB03464Z5</t>
        </is>
      </c>
      <c r="B3464" t="inlineStr">
        <is>
          <t>Jan-2018</t>
        </is>
      </c>
      <c r="C3464" s="2" t="n">
        <v>44226</v>
      </c>
      <c r="D3464" t="inlineStr">
        <is>
          <t>NIL</t>
        </is>
      </c>
      <c r="E3464" t="n">
        <v>1941</v>
      </c>
    </row>
    <row r="3465">
      <c r="A3465" t="inlineStr">
        <is>
          <t>27BBBBB03465Z5</t>
        </is>
      </c>
      <c r="B3465" t="inlineStr">
        <is>
          <t>Nov-2018</t>
        </is>
      </c>
      <c r="C3465" s="2" t="n">
        <v>43921</v>
      </c>
      <c r="D3465" t="inlineStr">
        <is>
          <t>NIL</t>
        </is>
      </c>
      <c r="E3465" t="n">
        <v>2721</v>
      </c>
    </row>
    <row r="3466">
      <c r="A3466" t="inlineStr">
        <is>
          <t>27BBBBB03466Z5</t>
        </is>
      </c>
      <c r="B3466" t="inlineStr">
        <is>
          <t>May-2020</t>
        </is>
      </c>
      <c r="C3466" s="2" t="n">
        <v>44578</v>
      </c>
      <c r="D3466" t="inlineStr">
        <is>
          <t>NON-NIL</t>
        </is>
      </c>
      <c r="E3466" t="n">
        <v>905</v>
      </c>
    </row>
    <row r="3467">
      <c r="A3467" t="inlineStr">
        <is>
          <t>27BBBBB03467Z5</t>
        </is>
      </c>
      <c r="B3467" t="inlineStr">
        <is>
          <t>Apr-2020</t>
        </is>
      </c>
      <c r="C3467" s="2" t="n">
        <v>44210</v>
      </c>
      <c r="D3467" t="inlineStr">
        <is>
          <t>NIL</t>
        </is>
      </c>
      <c r="E3467" t="n">
        <v>444</v>
      </c>
    </row>
    <row r="3468">
      <c r="A3468" t="inlineStr">
        <is>
          <t>27BBBBB03468Z5</t>
        </is>
      </c>
      <c r="B3468" t="inlineStr">
        <is>
          <t>Nov-2018</t>
        </is>
      </c>
      <c r="C3468" s="2" t="n">
        <v>43846</v>
      </c>
      <c r="D3468" t="inlineStr">
        <is>
          <t>NIL</t>
        </is>
      </c>
      <c r="E3468" t="n">
        <v>1573</v>
      </c>
    </row>
    <row r="3469">
      <c r="A3469" t="inlineStr">
        <is>
          <t>27BBBBB03469Z5</t>
        </is>
      </c>
      <c r="B3469" t="inlineStr">
        <is>
          <t>Nov-2017</t>
        </is>
      </c>
      <c r="C3469" s="2" t="n">
        <v>43701</v>
      </c>
      <c r="D3469" t="inlineStr">
        <is>
          <t>NON-NIL</t>
        </is>
      </c>
      <c r="E3469" t="n">
        <v>1793</v>
      </c>
    </row>
    <row r="3470">
      <c r="A3470" t="inlineStr">
        <is>
          <t>27BBBBB03470Z5</t>
        </is>
      </c>
      <c r="B3470" t="inlineStr">
        <is>
          <t>Feb-2018</t>
        </is>
      </c>
      <c r="C3470" s="2" t="n">
        <v>43589</v>
      </c>
      <c r="D3470" t="inlineStr">
        <is>
          <t>NIL</t>
        </is>
      </c>
      <c r="E3470" t="n">
        <v>196</v>
      </c>
    </row>
    <row r="3471">
      <c r="A3471" t="inlineStr">
        <is>
          <t>27BBBBB03471Z5</t>
        </is>
      </c>
      <c r="B3471" t="inlineStr">
        <is>
          <t>Jun-2018</t>
        </is>
      </c>
      <c r="C3471" s="2" t="n">
        <v>44321</v>
      </c>
      <c r="D3471" t="inlineStr">
        <is>
          <t>NON-NIL</t>
        </is>
      </c>
      <c r="E3471" t="n">
        <v>869</v>
      </c>
    </row>
    <row r="3472">
      <c r="A3472" t="inlineStr">
        <is>
          <t>27BBBBB03472Z5</t>
        </is>
      </c>
      <c r="B3472" t="inlineStr">
        <is>
          <t>Apr-2018</t>
        </is>
      </c>
      <c r="C3472" s="2" t="n">
        <v>43531</v>
      </c>
      <c r="D3472" t="inlineStr">
        <is>
          <t>NON-NIL</t>
        </is>
      </c>
      <c r="E3472" t="n">
        <v>2143</v>
      </c>
    </row>
    <row r="3473">
      <c r="A3473" t="inlineStr">
        <is>
          <t>27BBBBB03473Z5</t>
        </is>
      </c>
      <c r="B3473" t="inlineStr">
        <is>
          <t>May-2018</t>
        </is>
      </c>
      <c r="C3473" s="2" t="n">
        <v>42921</v>
      </c>
      <c r="D3473" t="inlineStr">
        <is>
          <t>NIL</t>
        </is>
      </c>
      <c r="E3473" t="n">
        <v>2540</v>
      </c>
    </row>
    <row r="3474">
      <c r="A3474" t="inlineStr">
        <is>
          <t>27BBBBB03474Z5</t>
        </is>
      </c>
      <c r="B3474" t="inlineStr">
        <is>
          <t>Apr-2018</t>
        </is>
      </c>
      <c r="C3474" s="2" t="n">
        <v>43835</v>
      </c>
      <c r="D3474" t="inlineStr">
        <is>
          <t>NON-NIL</t>
        </is>
      </c>
      <c r="E3474" t="n">
        <v>1870</v>
      </c>
    </row>
    <row r="3475">
      <c r="A3475" t="inlineStr">
        <is>
          <t>27BBBBB03475Z5</t>
        </is>
      </c>
      <c r="B3475" t="inlineStr">
        <is>
          <t>Mar-2021</t>
        </is>
      </c>
      <c r="C3475" s="2" t="n">
        <v>44136</v>
      </c>
      <c r="D3475" t="inlineStr">
        <is>
          <t>NIL</t>
        </is>
      </c>
      <c r="E3475" t="n">
        <v>2651</v>
      </c>
    </row>
    <row r="3476">
      <c r="A3476" t="inlineStr">
        <is>
          <t>27BBBBB03476Z5</t>
        </is>
      </c>
      <c r="B3476" t="inlineStr">
        <is>
          <t>Jul-2018</t>
        </is>
      </c>
      <c r="C3476" s="2" t="n">
        <v>44505</v>
      </c>
      <c r="D3476" t="inlineStr">
        <is>
          <t>NIL</t>
        </is>
      </c>
      <c r="E3476" t="n">
        <v>1589</v>
      </c>
    </row>
    <row r="3477">
      <c r="A3477" t="inlineStr">
        <is>
          <t>27BBBBB03477Z5</t>
        </is>
      </c>
      <c r="B3477" t="inlineStr">
        <is>
          <t>Dec-2024</t>
        </is>
      </c>
      <c r="C3477" s="2" t="n">
        <v>45151</v>
      </c>
      <c r="D3477" t="inlineStr">
        <is>
          <t>NIL</t>
        </is>
      </c>
      <c r="E3477" t="n">
        <v>2994</v>
      </c>
    </row>
    <row r="3478">
      <c r="A3478" t="inlineStr">
        <is>
          <t>27BBBBB03478Z5</t>
        </is>
      </c>
      <c r="B3478" t="inlineStr">
        <is>
          <t>Jul-2020</t>
        </is>
      </c>
      <c r="C3478" s="2" t="n">
        <v>43914</v>
      </c>
      <c r="D3478" t="inlineStr">
        <is>
          <t>NON-NIL</t>
        </is>
      </c>
      <c r="E3478" t="n">
        <v>2348</v>
      </c>
    </row>
    <row r="3479">
      <c r="A3479" t="inlineStr">
        <is>
          <t>27BBBBB03479Z5</t>
        </is>
      </c>
      <c r="B3479" t="inlineStr">
        <is>
          <t>Nov-2017</t>
        </is>
      </c>
      <c r="C3479" s="2" t="n">
        <v>44083</v>
      </c>
      <c r="D3479" t="inlineStr">
        <is>
          <t>NON-NIL</t>
        </is>
      </c>
      <c r="E3479" t="n">
        <v>2210</v>
      </c>
    </row>
    <row r="3480">
      <c r="A3480" t="inlineStr">
        <is>
          <t>27BBBBB03480Z5</t>
        </is>
      </c>
      <c r="B3480" t="inlineStr">
        <is>
          <t>Jul-2018</t>
        </is>
      </c>
      <c r="C3480" s="2" t="n">
        <v>43392</v>
      </c>
      <c r="D3480" t="inlineStr">
        <is>
          <t>NON-NIL</t>
        </is>
      </c>
      <c r="E3480" t="n">
        <v>2999</v>
      </c>
    </row>
    <row r="3481">
      <c r="A3481" t="inlineStr">
        <is>
          <t>27BBBBB03481Z5</t>
        </is>
      </c>
      <c r="B3481" t="inlineStr">
        <is>
          <t>Jan-2021</t>
        </is>
      </c>
      <c r="C3481" s="2" t="n">
        <v>45472</v>
      </c>
      <c r="D3481" t="inlineStr">
        <is>
          <t>NON-NIL</t>
        </is>
      </c>
      <c r="E3481" t="n">
        <v>1751</v>
      </c>
    </row>
    <row r="3482">
      <c r="A3482" t="inlineStr">
        <is>
          <t>27BBBBB03482Z5</t>
        </is>
      </c>
      <c r="B3482" t="inlineStr">
        <is>
          <t>Feb-2018</t>
        </is>
      </c>
      <c r="C3482" s="2" t="n">
        <v>44193</v>
      </c>
      <c r="D3482" t="inlineStr">
        <is>
          <t>NON-NIL</t>
        </is>
      </c>
      <c r="E3482" t="n">
        <v>1579</v>
      </c>
    </row>
    <row r="3483">
      <c r="A3483" t="inlineStr">
        <is>
          <t>27BBBBB03483Z5</t>
        </is>
      </c>
      <c r="B3483" t="inlineStr">
        <is>
          <t>Feb-2018</t>
        </is>
      </c>
      <c r="C3483" s="2" t="n">
        <v>43679</v>
      </c>
      <c r="D3483" t="inlineStr">
        <is>
          <t>NIL</t>
        </is>
      </c>
      <c r="E3483" t="n">
        <v>1946</v>
      </c>
    </row>
    <row r="3484">
      <c r="A3484" t="inlineStr">
        <is>
          <t>27BBBBB03484Z5</t>
        </is>
      </c>
      <c r="B3484" t="inlineStr">
        <is>
          <t>Feb-2018</t>
        </is>
      </c>
      <c r="C3484" s="2" t="n">
        <v>43742</v>
      </c>
      <c r="D3484" t="inlineStr">
        <is>
          <t>NIL</t>
        </is>
      </c>
      <c r="E3484" t="n">
        <v>75</v>
      </c>
    </row>
    <row r="3485">
      <c r="A3485" t="inlineStr">
        <is>
          <t>27BBBBB03485Z5</t>
        </is>
      </c>
      <c r="B3485" t="inlineStr">
        <is>
          <t>Dec-2022</t>
        </is>
      </c>
      <c r="C3485" s="2" t="n">
        <v>45320</v>
      </c>
      <c r="D3485" t="inlineStr">
        <is>
          <t>NON-NIL</t>
        </is>
      </c>
      <c r="E3485" t="n">
        <v>1506</v>
      </c>
    </row>
    <row r="3486">
      <c r="A3486" t="inlineStr">
        <is>
          <t>27BBBBB03486Z5</t>
        </is>
      </c>
      <c r="B3486" t="inlineStr">
        <is>
          <t>Jul-2017</t>
        </is>
      </c>
      <c r="C3486" s="2" t="n">
        <v>43442</v>
      </c>
      <c r="D3486" t="inlineStr">
        <is>
          <t>NIL</t>
        </is>
      </c>
      <c r="E3486" t="n">
        <v>2667</v>
      </c>
    </row>
    <row r="3487">
      <c r="A3487" t="inlineStr">
        <is>
          <t>27BBBBB03487Z5</t>
        </is>
      </c>
      <c r="B3487" t="inlineStr">
        <is>
          <t>Dec-2018</t>
        </is>
      </c>
      <c r="C3487" s="2" t="n">
        <v>43481</v>
      </c>
      <c r="D3487" t="inlineStr">
        <is>
          <t>NIL</t>
        </is>
      </c>
      <c r="E3487" t="n">
        <v>2905</v>
      </c>
    </row>
    <row r="3488">
      <c r="A3488" t="inlineStr">
        <is>
          <t>27BBBBB03488Z5</t>
        </is>
      </c>
      <c r="B3488" t="inlineStr">
        <is>
          <t>Jan-2018</t>
        </is>
      </c>
      <c r="C3488" s="2" t="n">
        <v>43962</v>
      </c>
      <c r="D3488" t="inlineStr">
        <is>
          <t>NIL</t>
        </is>
      </c>
      <c r="E3488" t="n">
        <v>2050</v>
      </c>
    </row>
    <row r="3489">
      <c r="A3489" t="inlineStr">
        <is>
          <t>27BBBBB03489Z5</t>
        </is>
      </c>
      <c r="B3489" t="inlineStr">
        <is>
          <t>Mar-2020</t>
        </is>
      </c>
      <c r="C3489" s="2" t="n">
        <v>43935</v>
      </c>
      <c r="D3489" t="inlineStr">
        <is>
          <t>NIL</t>
        </is>
      </c>
      <c r="E3489" t="n">
        <v>271</v>
      </c>
    </row>
    <row r="3490">
      <c r="A3490" t="inlineStr">
        <is>
          <t>27BBBBB03490Z5</t>
        </is>
      </c>
      <c r="B3490" t="inlineStr">
        <is>
          <t>Sep-2018</t>
        </is>
      </c>
      <c r="C3490" s="2" t="n">
        <v>43566</v>
      </c>
      <c r="D3490" t="inlineStr">
        <is>
          <t>NIL</t>
        </is>
      </c>
      <c r="E3490" t="n">
        <v>2228</v>
      </c>
    </row>
    <row r="3491">
      <c r="A3491" t="inlineStr">
        <is>
          <t>27BBBBB03491Z5</t>
        </is>
      </c>
      <c r="B3491" t="inlineStr">
        <is>
          <t>May-2020</t>
        </is>
      </c>
      <c r="C3491" s="2" t="n">
        <v>44099</v>
      </c>
      <c r="D3491" t="inlineStr">
        <is>
          <t>NIL</t>
        </is>
      </c>
      <c r="E3491" t="n">
        <v>2630</v>
      </c>
    </row>
    <row r="3492">
      <c r="A3492" t="inlineStr">
        <is>
          <t>27BBBBB03492Z5</t>
        </is>
      </c>
      <c r="B3492" t="inlineStr">
        <is>
          <t>Oct-2018</t>
        </is>
      </c>
      <c r="C3492" s="2" t="n">
        <v>44140</v>
      </c>
      <c r="D3492" t="inlineStr">
        <is>
          <t>NIL</t>
        </is>
      </c>
      <c r="E3492" t="n">
        <v>2036</v>
      </c>
    </row>
    <row r="3493">
      <c r="A3493" t="inlineStr">
        <is>
          <t>27BBBBB03493Z5</t>
        </is>
      </c>
      <c r="B3493" t="inlineStr">
        <is>
          <t>Oct-2018</t>
        </is>
      </c>
      <c r="C3493" s="2" t="n">
        <v>44230</v>
      </c>
      <c r="D3493" t="inlineStr">
        <is>
          <t>NON-NIL</t>
        </is>
      </c>
      <c r="E3493" t="n">
        <v>506</v>
      </c>
    </row>
    <row r="3494">
      <c r="A3494" t="inlineStr">
        <is>
          <t>27BBBBB03494Z5</t>
        </is>
      </c>
      <c r="B3494" t="inlineStr">
        <is>
          <t>Nov-2018</t>
        </is>
      </c>
      <c r="C3494" s="2" t="n">
        <v>43273</v>
      </c>
      <c r="D3494" t="inlineStr">
        <is>
          <t>NON-NIL</t>
        </is>
      </c>
      <c r="E3494" t="n">
        <v>1696</v>
      </c>
    </row>
    <row r="3495">
      <c r="A3495" t="inlineStr">
        <is>
          <t>27BBBBB03495Z5</t>
        </is>
      </c>
      <c r="B3495" t="inlineStr">
        <is>
          <t>Jul-2020</t>
        </is>
      </c>
      <c r="C3495" s="2" t="n">
        <v>43971</v>
      </c>
      <c r="D3495" t="inlineStr">
        <is>
          <t>NON-NIL</t>
        </is>
      </c>
      <c r="E3495" t="n">
        <v>1746</v>
      </c>
    </row>
    <row r="3496">
      <c r="A3496" t="inlineStr">
        <is>
          <t>27BBBBB03496Z5</t>
        </is>
      </c>
      <c r="B3496" t="inlineStr">
        <is>
          <t>Mar-2018</t>
        </is>
      </c>
      <c r="C3496" s="2" t="n">
        <v>42999</v>
      </c>
      <c r="D3496" t="inlineStr">
        <is>
          <t>NIL</t>
        </is>
      </c>
      <c r="E3496" t="n">
        <v>2262</v>
      </c>
    </row>
    <row r="3497">
      <c r="A3497" t="inlineStr">
        <is>
          <t>27BBBBB03497Z5</t>
        </is>
      </c>
      <c r="B3497" t="inlineStr">
        <is>
          <t>May-2020</t>
        </is>
      </c>
      <c r="C3497" s="2" t="n">
        <v>43838</v>
      </c>
      <c r="D3497" t="inlineStr">
        <is>
          <t>NIL</t>
        </is>
      </c>
      <c r="E3497" t="n">
        <v>2297</v>
      </c>
    </row>
    <row r="3498">
      <c r="A3498" t="inlineStr">
        <is>
          <t>27BBBBB03498Z5</t>
        </is>
      </c>
      <c r="B3498" t="inlineStr">
        <is>
          <t>Jul-2017</t>
        </is>
      </c>
      <c r="C3498" s="2" t="n">
        <v>43213</v>
      </c>
      <c r="D3498" t="inlineStr">
        <is>
          <t>NIL</t>
        </is>
      </c>
      <c r="E3498" t="n">
        <v>735</v>
      </c>
    </row>
    <row r="3499">
      <c r="A3499" t="inlineStr">
        <is>
          <t>27BBBBB03499Z5</t>
        </is>
      </c>
      <c r="B3499" t="inlineStr">
        <is>
          <t>Jun-2020</t>
        </is>
      </c>
      <c r="C3499" s="2" t="n">
        <v>44447</v>
      </c>
      <c r="D3499" t="inlineStr">
        <is>
          <t>NON-NIL</t>
        </is>
      </c>
      <c r="E3499" t="n">
        <v>1588</v>
      </c>
    </row>
    <row r="3500">
      <c r="A3500" t="inlineStr">
        <is>
          <t>27BBBBB03500Z5</t>
        </is>
      </c>
      <c r="B3500" t="inlineStr">
        <is>
          <t>Aug-2018</t>
        </is>
      </c>
      <c r="C3500" s="2" t="n">
        <v>43087</v>
      </c>
      <c r="D3500" t="inlineStr">
        <is>
          <t>NON-NIL</t>
        </is>
      </c>
      <c r="E3500" t="n">
        <v>1334</v>
      </c>
    </row>
    <row r="3501">
      <c r="A3501" t="inlineStr">
        <is>
          <t>27BBBBB03501Z5</t>
        </is>
      </c>
      <c r="B3501" t="inlineStr">
        <is>
          <t>Sep-2017</t>
        </is>
      </c>
      <c r="C3501" s="2" t="n">
        <v>43885</v>
      </c>
      <c r="D3501" t="inlineStr">
        <is>
          <t>NON-NIL</t>
        </is>
      </c>
      <c r="E3501" t="n">
        <v>2300</v>
      </c>
    </row>
    <row r="3502">
      <c r="A3502" t="inlineStr">
        <is>
          <t>27BBBBB03502Z5</t>
        </is>
      </c>
      <c r="B3502" t="inlineStr">
        <is>
          <t>Aug-2018</t>
        </is>
      </c>
      <c r="C3502" s="2" t="n">
        <v>43732</v>
      </c>
      <c r="D3502" t="inlineStr">
        <is>
          <t>NON-NIL</t>
        </is>
      </c>
      <c r="E3502" t="n">
        <v>750</v>
      </c>
    </row>
    <row r="3503">
      <c r="A3503" t="inlineStr">
        <is>
          <t>27BBBBB03503Z5</t>
        </is>
      </c>
      <c r="B3503" t="inlineStr">
        <is>
          <t>Dec-2024</t>
        </is>
      </c>
      <c r="C3503" s="2" t="n">
        <v>45118</v>
      </c>
      <c r="D3503" t="inlineStr">
        <is>
          <t>NON-NIL</t>
        </is>
      </c>
      <c r="E3503" t="n">
        <v>2039</v>
      </c>
    </row>
    <row r="3504">
      <c r="A3504" t="inlineStr">
        <is>
          <t>27BBBBB03504Z5</t>
        </is>
      </c>
      <c r="B3504" t="inlineStr">
        <is>
          <t>Mar-2023</t>
        </is>
      </c>
      <c r="C3504" s="2" t="n">
        <v>43680</v>
      </c>
      <c r="D3504" t="inlineStr">
        <is>
          <t>NON-NIL</t>
        </is>
      </c>
      <c r="E3504" t="n">
        <v>894</v>
      </c>
    </row>
    <row r="3505">
      <c r="A3505" t="inlineStr">
        <is>
          <t>27BBBBB03505Z5</t>
        </is>
      </c>
      <c r="B3505" t="inlineStr">
        <is>
          <t>Dec-2018</t>
        </is>
      </c>
      <c r="C3505" s="2" t="n">
        <v>44002</v>
      </c>
      <c r="D3505" t="inlineStr">
        <is>
          <t>NIL</t>
        </is>
      </c>
      <c r="E3505" t="n">
        <v>807</v>
      </c>
    </row>
    <row r="3506">
      <c r="A3506" t="inlineStr">
        <is>
          <t>27BBBBB03506Z5</t>
        </is>
      </c>
      <c r="B3506" t="inlineStr">
        <is>
          <t>Mar-2021</t>
        </is>
      </c>
      <c r="C3506" s="2" t="n">
        <v>45804</v>
      </c>
      <c r="D3506" t="inlineStr">
        <is>
          <t>NIL</t>
        </is>
      </c>
      <c r="E3506" t="n">
        <v>809</v>
      </c>
    </row>
    <row r="3507">
      <c r="A3507" t="inlineStr">
        <is>
          <t>27BBBBB03507Z5</t>
        </is>
      </c>
      <c r="B3507" t="inlineStr">
        <is>
          <t>Jun-2020</t>
        </is>
      </c>
      <c r="C3507" s="2" t="n">
        <v>44900</v>
      </c>
      <c r="D3507" t="inlineStr">
        <is>
          <t>NON-NIL</t>
        </is>
      </c>
      <c r="E3507" t="n">
        <v>103</v>
      </c>
    </row>
    <row r="3508">
      <c r="A3508" t="inlineStr">
        <is>
          <t>27BBBBB03508Z5</t>
        </is>
      </c>
      <c r="B3508" t="inlineStr">
        <is>
          <t>Apr-2020</t>
        </is>
      </c>
      <c r="C3508" s="2" t="n">
        <v>44073</v>
      </c>
      <c r="D3508" t="inlineStr">
        <is>
          <t>NIL</t>
        </is>
      </c>
      <c r="E3508" t="n">
        <v>1619</v>
      </c>
    </row>
    <row r="3509">
      <c r="A3509" t="inlineStr">
        <is>
          <t>27BBBBB03509Z5</t>
        </is>
      </c>
      <c r="B3509" t="inlineStr">
        <is>
          <t>Apr-2020</t>
        </is>
      </c>
      <c r="C3509" s="2" t="n">
        <v>43990</v>
      </c>
      <c r="D3509" t="inlineStr">
        <is>
          <t>NON-NIL</t>
        </is>
      </c>
      <c r="E3509" t="n">
        <v>1659</v>
      </c>
    </row>
    <row r="3510">
      <c r="A3510" t="inlineStr">
        <is>
          <t>27BBBBB03510Z5</t>
        </is>
      </c>
      <c r="B3510" t="inlineStr">
        <is>
          <t>Mar-2021</t>
        </is>
      </c>
      <c r="C3510" s="2" t="n">
        <v>44509</v>
      </c>
      <c r="D3510" t="inlineStr">
        <is>
          <t>NON-NIL</t>
        </is>
      </c>
      <c r="E3510" t="n">
        <v>1834</v>
      </c>
    </row>
    <row r="3511">
      <c r="A3511" t="inlineStr">
        <is>
          <t>27BBBBB03511Z5</t>
        </is>
      </c>
      <c r="B3511" t="inlineStr">
        <is>
          <t>Sep-2018</t>
        </is>
      </c>
      <c r="C3511" s="2" t="n">
        <v>43524</v>
      </c>
      <c r="D3511" t="inlineStr">
        <is>
          <t>NIL</t>
        </is>
      </c>
      <c r="E3511" t="n">
        <v>1819</v>
      </c>
    </row>
    <row r="3512">
      <c r="A3512" t="inlineStr">
        <is>
          <t>27BBBBB03512Z5</t>
        </is>
      </c>
      <c r="B3512" t="inlineStr">
        <is>
          <t>Jan-2018</t>
        </is>
      </c>
      <c r="C3512" s="2" t="n">
        <v>43562</v>
      </c>
      <c r="D3512" t="inlineStr">
        <is>
          <t>NON-NIL</t>
        </is>
      </c>
      <c r="E3512" t="n">
        <v>226</v>
      </c>
    </row>
    <row r="3513">
      <c r="A3513" t="inlineStr">
        <is>
          <t>27BBBBB03513Z5</t>
        </is>
      </c>
      <c r="B3513" t="inlineStr">
        <is>
          <t>Jun-2020</t>
        </is>
      </c>
      <c r="C3513" s="2" t="n">
        <v>44766</v>
      </c>
      <c r="D3513" t="inlineStr">
        <is>
          <t>NIL</t>
        </is>
      </c>
      <c r="E3513" t="n">
        <v>2959</v>
      </c>
    </row>
    <row r="3514">
      <c r="A3514" t="inlineStr">
        <is>
          <t>27BBBBB03514Z5</t>
        </is>
      </c>
      <c r="B3514" t="inlineStr">
        <is>
          <t>Mar-2023</t>
        </is>
      </c>
      <c r="C3514" s="2" t="n">
        <v>44784</v>
      </c>
      <c r="D3514" t="inlineStr">
        <is>
          <t>NON-NIL</t>
        </is>
      </c>
      <c r="E3514" t="n">
        <v>1918</v>
      </c>
    </row>
    <row r="3515">
      <c r="A3515" t="inlineStr">
        <is>
          <t>27BBBBB03515Z5</t>
        </is>
      </c>
      <c r="B3515" t="inlineStr">
        <is>
          <t>Nov-2017</t>
        </is>
      </c>
      <c r="C3515" s="2" t="n">
        <v>43015</v>
      </c>
      <c r="D3515" t="inlineStr">
        <is>
          <t>NIL</t>
        </is>
      </c>
      <c r="E3515" t="n">
        <v>1774</v>
      </c>
    </row>
    <row r="3516">
      <c r="A3516" t="inlineStr">
        <is>
          <t>27BBBBB03516Z5</t>
        </is>
      </c>
      <c r="B3516" t="inlineStr">
        <is>
          <t>Mar-2018</t>
        </is>
      </c>
      <c r="C3516" s="2" t="n">
        <v>43712</v>
      </c>
      <c r="D3516" t="inlineStr">
        <is>
          <t>NON-NIL</t>
        </is>
      </c>
      <c r="E3516" t="n">
        <v>580</v>
      </c>
    </row>
    <row r="3517">
      <c r="A3517" t="inlineStr">
        <is>
          <t>27BBBBB03517Z5</t>
        </is>
      </c>
      <c r="B3517" t="inlineStr">
        <is>
          <t>Mar-2020</t>
        </is>
      </c>
      <c r="C3517" s="2" t="n">
        <v>44676</v>
      </c>
      <c r="D3517" t="inlineStr">
        <is>
          <t>NON-NIL</t>
        </is>
      </c>
      <c r="E3517" t="n">
        <v>2936</v>
      </c>
    </row>
    <row r="3518">
      <c r="A3518" t="inlineStr">
        <is>
          <t>27BBBBB03518Z5</t>
        </is>
      </c>
      <c r="B3518" t="inlineStr">
        <is>
          <t>Apr-2020</t>
        </is>
      </c>
      <c r="C3518" s="2" t="n">
        <v>44345</v>
      </c>
      <c r="D3518" t="inlineStr">
        <is>
          <t>NON-NIL</t>
        </is>
      </c>
      <c r="E3518" t="n">
        <v>453</v>
      </c>
    </row>
    <row r="3519">
      <c r="A3519" t="inlineStr">
        <is>
          <t>27BBBBB03519Z5</t>
        </is>
      </c>
      <c r="B3519" t="inlineStr">
        <is>
          <t>Nov-2018</t>
        </is>
      </c>
      <c r="C3519" s="2" t="n">
        <v>44154</v>
      </c>
      <c r="D3519" t="inlineStr">
        <is>
          <t>NIL</t>
        </is>
      </c>
      <c r="E3519" t="n">
        <v>2873</v>
      </c>
    </row>
    <row r="3520">
      <c r="A3520" t="inlineStr">
        <is>
          <t>27BBBBB03520Z5</t>
        </is>
      </c>
      <c r="B3520" t="inlineStr">
        <is>
          <t>Aug-2018</t>
        </is>
      </c>
      <c r="C3520" s="2" t="n">
        <v>43756</v>
      </c>
      <c r="D3520" t="inlineStr">
        <is>
          <t>NIL</t>
        </is>
      </c>
      <c r="E3520" t="n">
        <v>2007</v>
      </c>
    </row>
    <row r="3521">
      <c r="A3521" t="inlineStr">
        <is>
          <t>27BBBBB03521Z5</t>
        </is>
      </c>
      <c r="B3521" t="inlineStr">
        <is>
          <t>Feb-2018</t>
        </is>
      </c>
      <c r="C3521" s="2" t="n">
        <v>44380</v>
      </c>
      <c r="D3521" t="inlineStr">
        <is>
          <t>NIL</t>
        </is>
      </c>
      <c r="E3521" t="n">
        <v>2974</v>
      </c>
    </row>
    <row r="3522">
      <c r="A3522" t="inlineStr">
        <is>
          <t>27BBBBB03522Z5</t>
        </is>
      </c>
      <c r="B3522" t="inlineStr">
        <is>
          <t>Aug-2017</t>
        </is>
      </c>
      <c r="C3522" s="2" t="n">
        <v>42975</v>
      </c>
      <c r="D3522" t="inlineStr">
        <is>
          <t>NIL</t>
        </is>
      </c>
      <c r="E3522" t="n">
        <v>1834</v>
      </c>
    </row>
    <row r="3523">
      <c r="A3523" t="inlineStr">
        <is>
          <t>27BBBBB03523Z5</t>
        </is>
      </c>
      <c r="B3523" t="inlineStr">
        <is>
          <t>Mar-2020</t>
        </is>
      </c>
      <c r="C3523" s="2" t="n">
        <v>44795</v>
      </c>
      <c r="D3523" t="inlineStr">
        <is>
          <t>NON-NIL</t>
        </is>
      </c>
      <c r="E3523" t="n">
        <v>1645</v>
      </c>
    </row>
    <row r="3524">
      <c r="A3524" t="inlineStr">
        <is>
          <t>27BBBBB03524Z5</t>
        </is>
      </c>
      <c r="B3524" t="inlineStr">
        <is>
          <t>Jul-2018</t>
        </is>
      </c>
      <c r="C3524" s="2" t="n">
        <v>44286</v>
      </c>
      <c r="D3524" t="inlineStr">
        <is>
          <t>NIL</t>
        </is>
      </c>
      <c r="E3524" t="n">
        <v>214</v>
      </c>
    </row>
    <row r="3525">
      <c r="A3525" t="inlineStr">
        <is>
          <t>27BBBBB03525Z5</t>
        </is>
      </c>
      <c r="B3525" t="inlineStr">
        <is>
          <t>Dec-2017</t>
        </is>
      </c>
      <c r="C3525" s="2" t="n">
        <v>43244</v>
      </c>
      <c r="D3525" t="inlineStr">
        <is>
          <t>NIL</t>
        </is>
      </c>
      <c r="E3525" t="n">
        <v>101</v>
      </c>
    </row>
    <row r="3526">
      <c r="A3526" t="inlineStr">
        <is>
          <t>27BBBBB03526Z5</t>
        </is>
      </c>
      <c r="B3526" t="inlineStr">
        <is>
          <t>May-2020</t>
        </is>
      </c>
      <c r="C3526" s="2" t="n">
        <v>44342</v>
      </c>
      <c r="D3526" t="inlineStr">
        <is>
          <t>NON-NIL</t>
        </is>
      </c>
      <c r="E3526" t="n">
        <v>1261</v>
      </c>
    </row>
    <row r="3527">
      <c r="A3527" t="inlineStr">
        <is>
          <t>27BBBBB03527Z5</t>
        </is>
      </c>
      <c r="B3527" t="inlineStr">
        <is>
          <t>Mar-2021</t>
        </is>
      </c>
      <c r="C3527" s="2" t="n">
        <v>44001</v>
      </c>
      <c r="D3527" t="inlineStr">
        <is>
          <t>NIL</t>
        </is>
      </c>
      <c r="E3527" t="n">
        <v>2095</v>
      </c>
    </row>
    <row r="3528">
      <c r="A3528" t="inlineStr">
        <is>
          <t>27BBBBB03528Z5</t>
        </is>
      </c>
      <c r="B3528" t="inlineStr">
        <is>
          <t>Dec-2017</t>
        </is>
      </c>
      <c r="C3528" s="2" t="n">
        <v>43196</v>
      </c>
      <c r="D3528" t="inlineStr">
        <is>
          <t>NIL</t>
        </is>
      </c>
      <c r="E3528" t="n">
        <v>1407</v>
      </c>
    </row>
    <row r="3529">
      <c r="A3529" t="inlineStr">
        <is>
          <t>27BBBBB03529Z5</t>
        </is>
      </c>
      <c r="B3529" t="inlineStr">
        <is>
          <t>May-2018</t>
        </is>
      </c>
      <c r="C3529" s="2" t="n">
        <v>43287</v>
      </c>
      <c r="D3529" t="inlineStr">
        <is>
          <t>NIL</t>
        </is>
      </c>
      <c r="E3529" t="n">
        <v>121</v>
      </c>
    </row>
    <row r="3530">
      <c r="A3530" t="inlineStr">
        <is>
          <t>27BBBBB03530Z5</t>
        </is>
      </c>
      <c r="B3530" t="inlineStr">
        <is>
          <t>Apr-2020</t>
        </is>
      </c>
      <c r="C3530" s="2" t="n">
        <v>44467</v>
      </c>
      <c r="D3530" t="inlineStr">
        <is>
          <t>NIL</t>
        </is>
      </c>
      <c r="E3530" t="n">
        <v>676</v>
      </c>
    </row>
    <row r="3531">
      <c r="A3531" t="inlineStr">
        <is>
          <t>27BBBBB03531Z5</t>
        </is>
      </c>
      <c r="B3531" t="inlineStr">
        <is>
          <t>Mar-2018</t>
        </is>
      </c>
      <c r="C3531" s="2" t="n">
        <v>43605</v>
      </c>
      <c r="D3531" t="inlineStr">
        <is>
          <t>NON-NIL</t>
        </is>
      </c>
      <c r="E3531" t="n">
        <v>761</v>
      </c>
    </row>
    <row r="3532">
      <c r="A3532" t="inlineStr">
        <is>
          <t>27BBBBB03532Z5</t>
        </is>
      </c>
      <c r="B3532" t="inlineStr">
        <is>
          <t>May-2020</t>
        </is>
      </c>
      <c r="C3532" s="2" t="n">
        <v>44053</v>
      </c>
      <c r="D3532" t="inlineStr">
        <is>
          <t>NIL</t>
        </is>
      </c>
      <c r="E3532" t="n">
        <v>94</v>
      </c>
    </row>
    <row r="3533">
      <c r="A3533" t="inlineStr">
        <is>
          <t>27BBBBB03533Z5</t>
        </is>
      </c>
      <c r="B3533" t="inlineStr">
        <is>
          <t>Dec-2017</t>
        </is>
      </c>
      <c r="C3533" s="2" t="n">
        <v>43656</v>
      </c>
      <c r="D3533" t="inlineStr">
        <is>
          <t>NON-NIL</t>
        </is>
      </c>
      <c r="E3533" t="n">
        <v>2648</v>
      </c>
    </row>
    <row r="3534">
      <c r="A3534" t="inlineStr">
        <is>
          <t>27BBBBB03534Z5</t>
        </is>
      </c>
      <c r="B3534" t="inlineStr">
        <is>
          <t>Mar-2023</t>
        </is>
      </c>
      <c r="C3534" s="2" t="n">
        <v>43573</v>
      </c>
      <c r="D3534" t="inlineStr">
        <is>
          <t>NON-NIL</t>
        </is>
      </c>
      <c r="E3534" t="n">
        <v>433</v>
      </c>
    </row>
    <row r="3535">
      <c r="A3535" t="inlineStr">
        <is>
          <t>27BBBBB03535Z5</t>
        </is>
      </c>
      <c r="B3535" t="inlineStr">
        <is>
          <t>Sep-2017</t>
        </is>
      </c>
      <c r="C3535" s="2" t="n">
        <v>43304</v>
      </c>
      <c r="D3535" t="inlineStr">
        <is>
          <t>NON-NIL</t>
        </is>
      </c>
      <c r="E3535" t="n">
        <v>1365</v>
      </c>
    </row>
    <row r="3536">
      <c r="A3536" t="inlineStr">
        <is>
          <t>27BBBBB03536Z5</t>
        </is>
      </c>
      <c r="B3536" t="inlineStr">
        <is>
          <t>Mar-2018</t>
        </is>
      </c>
      <c r="C3536" s="2" t="n">
        <v>43629</v>
      </c>
      <c r="D3536" t="inlineStr">
        <is>
          <t>NIL</t>
        </is>
      </c>
      <c r="E3536" t="n">
        <v>1348</v>
      </c>
    </row>
    <row r="3537">
      <c r="A3537" t="inlineStr">
        <is>
          <t>27BBBBB03537Z5</t>
        </is>
      </c>
      <c r="B3537" t="inlineStr">
        <is>
          <t>Jul-2020</t>
        </is>
      </c>
      <c r="C3537" s="2" t="n">
        <v>44472</v>
      </c>
      <c r="D3537" t="inlineStr">
        <is>
          <t>NIL</t>
        </is>
      </c>
      <c r="E3537" t="n">
        <v>1821</v>
      </c>
    </row>
    <row r="3538">
      <c r="A3538" t="inlineStr">
        <is>
          <t>27BBBBB03538Z5</t>
        </is>
      </c>
      <c r="B3538" t="inlineStr">
        <is>
          <t>Mar-2021</t>
        </is>
      </c>
      <c r="C3538" s="2" t="n">
        <v>45061</v>
      </c>
      <c r="D3538" t="inlineStr">
        <is>
          <t>NON-NIL</t>
        </is>
      </c>
      <c r="E3538" t="n">
        <v>1702</v>
      </c>
    </row>
    <row r="3539">
      <c r="A3539" t="inlineStr">
        <is>
          <t>27BBBBB03539Z5</t>
        </is>
      </c>
      <c r="B3539" t="inlineStr">
        <is>
          <t>Jul-2020</t>
        </is>
      </c>
      <c r="C3539" s="2" t="n">
        <v>44282</v>
      </c>
      <c r="D3539" t="inlineStr">
        <is>
          <t>NON-NIL</t>
        </is>
      </c>
      <c r="E3539" t="n">
        <v>1241</v>
      </c>
    </row>
    <row r="3540">
      <c r="A3540" t="inlineStr">
        <is>
          <t>27BBBBB03540Z5</t>
        </is>
      </c>
      <c r="B3540" t="inlineStr">
        <is>
          <t>Dec-2024</t>
        </is>
      </c>
      <c r="C3540" s="2" t="n">
        <v>44791</v>
      </c>
      <c r="D3540" t="inlineStr">
        <is>
          <t>NIL</t>
        </is>
      </c>
      <c r="E3540" t="n">
        <v>2455</v>
      </c>
    </row>
    <row r="3541">
      <c r="A3541" t="inlineStr">
        <is>
          <t>27BBBBB03541Z5</t>
        </is>
      </c>
      <c r="B3541" t="inlineStr">
        <is>
          <t>May-2020</t>
        </is>
      </c>
      <c r="C3541" s="2" t="n">
        <v>44192</v>
      </c>
      <c r="D3541" t="inlineStr">
        <is>
          <t>NON-NIL</t>
        </is>
      </c>
      <c r="E3541" t="n">
        <v>604</v>
      </c>
    </row>
    <row r="3542">
      <c r="A3542" t="inlineStr">
        <is>
          <t>27BBBBB03542Z5</t>
        </is>
      </c>
      <c r="B3542" t="inlineStr">
        <is>
          <t>Nov-2018</t>
        </is>
      </c>
      <c r="C3542" s="2" t="n">
        <v>44178</v>
      </c>
      <c r="D3542" t="inlineStr">
        <is>
          <t>NON-NIL</t>
        </is>
      </c>
      <c r="E3542" t="n">
        <v>1518</v>
      </c>
    </row>
    <row r="3543">
      <c r="A3543" t="inlineStr">
        <is>
          <t>27BBBBB03543Z5</t>
        </is>
      </c>
      <c r="B3543" t="inlineStr">
        <is>
          <t>Jun-2020</t>
        </is>
      </c>
      <c r="C3543" s="2" t="n">
        <v>44836</v>
      </c>
      <c r="D3543" t="inlineStr">
        <is>
          <t>NIL</t>
        </is>
      </c>
      <c r="E3543" t="n">
        <v>243</v>
      </c>
    </row>
    <row r="3544">
      <c r="A3544" t="inlineStr">
        <is>
          <t>27BBBBB03544Z5</t>
        </is>
      </c>
      <c r="B3544" t="inlineStr">
        <is>
          <t>Jan-2021</t>
        </is>
      </c>
      <c r="C3544" s="2" t="n">
        <v>44250</v>
      </c>
      <c r="D3544" t="inlineStr">
        <is>
          <t>NIL</t>
        </is>
      </c>
      <c r="E3544" t="n">
        <v>1174</v>
      </c>
    </row>
    <row r="3545">
      <c r="A3545" t="inlineStr">
        <is>
          <t>27BBBBB03545Z5</t>
        </is>
      </c>
      <c r="B3545" t="inlineStr">
        <is>
          <t>Jul-2020</t>
        </is>
      </c>
      <c r="C3545" s="2" t="n">
        <v>44233</v>
      </c>
      <c r="D3545" t="inlineStr">
        <is>
          <t>NIL</t>
        </is>
      </c>
      <c r="E3545" t="n">
        <v>1660</v>
      </c>
    </row>
    <row r="3546">
      <c r="A3546" t="inlineStr">
        <is>
          <t>27BBBBB03546Z5</t>
        </is>
      </c>
      <c r="B3546" t="inlineStr">
        <is>
          <t>Oct-2017</t>
        </is>
      </c>
      <c r="C3546" s="2" t="n">
        <v>43530</v>
      </c>
      <c r="D3546" t="inlineStr">
        <is>
          <t>NIL</t>
        </is>
      </c>
      <c r="E3546" t="n">
        <v>726</v>
      </c>
    </row>
    <row r="3547">
      <c r="A3547" t="inlineStr">
        <is>
          <t>27BBBBB03547Z5</t>
        </is>
      </c>
      <c r="B3547" t="inlineStr">
        <is>
          <t>Nov-2018</t>
        </is>
      </c>
      <c r="C3547" s="2" t="n">
        <v>43941</v>
      </c>
      <c r="D3547" t="inlineStr">
        <is>
          <t>NON-NIL</t>
        </is>
      </c>
      <c r="E3547" t="n">
        <v>2164</v>
      </c>
    </row>
    <row r="3548">
      <c r="A3548" t="inlineStr">
        <is>
          <t>27BBBBB03548Z5</t>
        </is>
      </c>
      <c r="B3548" t="inlineStr">
        <is>
          <t>Mar-2020</t>
        </is>
      </c>
      <c r="C3548" s="2" t="n">
        <v>44424</v>
      </c>
      <c r="D3548" t="inlineStr">
        <is>
          <t>NON-NIL</t>
        </is>
      </c>
      <c r="E3548" t="n">
        <v>160</v>
      </c>
    </row>
    <row r="3549">
      <c r="A3549" t="inlineStr">
        <is>
          <t>27BBBBB03549Z5</t>
        </is>
      </c>
      <c r="B3549" t="inlineStr">
        <is>
          <t>Apr-2020</t>
        </is>
      </c>
      <c r="C3549" s="2" t="n">
        <v>43874</v>
      </c>
      <c r="D3549" t="inlineStr">
        <is>
          <t>NON-NIL</t>
        </is>
      </c>
      <c r="E3549" t="n">
        <v>2448</v>
      </c>
    </row>
    <row r="3550">
      <c r="A3550" t="inlineStr">
        <is>
          <t>27BBBBB03550Z5</t>
        </is>
      </c>
      <c r="B3550" t="inlineStr">
        <is>
          <t>Mar-2020</t>
        </is>
      </c>
      <c r="C3550" s="2" t="n">
        <v>44063</v>
      </c>
      <c r="D3550" t="inlineStr">
        <is>
          <t>NIL</t>
        </is>
      </c>
      <c r="E3550" t="n">
        <v>913</v>
      </c>
    </row>
    <row r="3551">
      <c r="A3551" t="inlineStr">
        <is>
          <t>27BBBBB03551Z5</t>
        </is>
      </c>
      <c r="B3551" t="inlineStr">
        <is>
          <t>Dec-2022</t>
        </is>
      </c>
      <c r="C3551" s="2" t="n">
        <v>45400</v>
      </c>
      <c r="D3551" t="inlineStr">
        <is>
          <t>NIL</t>
        </is>
      </c>
      <c r="E3551" t="n">
        <v>245</v>
      </c>
    </row>
    <row r="3552">
      <c r="A3552" t="inlineStr">
        <is>
          <t>27BBBBB03552Z5</t>
        </is>
      </c>
      <c r="B3552" t="inlineStr">
        <is>
          <t>Mar-2018</t>
        </is>
      </c>
      <c r="C3552" s="2" t="n">
        <v>43538</v>
      </c>
      <c r="D3552" t="inlineStr">
        <is>
          <t>NIL</t>
        </is>
      </c>
      <c r="E3552" t="n">
        <v>2027</v>
      </c>
    </row>
    <row r="3553">
      <c r="A3553" t="inlineStr">
        <is>
          <t>27BBBBB03553Z5</t>
        </is>
      </c>
      <c r="B3553" t="inlineStr">
        <is>
          <t>Oct-2017</t>
        </is>
      </c>
      <c r="C3553" s="2" t="n">
        <v>44262</v>
      </c>
      <c r="D3553" t="inlineStr">
        <is>
          <t>NIL</t>
        </is>
      </c>
      <c r="E3553" t="n">
        <v>915</v>
      </c>
    </row>
    <row r="3554">
      <c r="A3554" t="inlineStr">
        <is>
          <t>27BBBBB03554Z5</t>
        </is>
      </c>
      <c r="B3554" t="inlineStr">
        <is>
          <t>Jun-2020</t>
        </is>
      </c>
      <c r="C3554" s="2" t="n">
        <v>44695</v>
      </c>
      <c r="D3554" t="inlineStr">
        <is>
          <t>NON-NIL</t>
        </is>
      </c>
      <c r="E3554" t="n">
        <v>1736</v>
      </c>
    </row>
    <row r="3555">
      <c r="A3555" t="inlineStr">
        <is>
          <t>27BBBBB03555Z5</t>
        </is>
      </c>
      <c r="B3555" t="inlineStr">
        <is>
          <t>Dec-2018</t>
        </is>
      </c>
      <c r="C3555" s="2" t="n">
        <v>44175</v>
      </c>
      <c r="D3555" t="inlineStr">
        <is>
          <t>NIL</t>
        </is>
      </c>
      <c r="E3555" t="n">
        <v>1576</v>
      </c>
    </row>
    <row r="3556">
      <c r="A3556" t="inlineStr">
        <is>
          <t>27BBBBB03556Z5</t>
        </is>
      </c>
      <c r="B3556" t="inlineStr">
        <is>
          <t>Jul-2020</t>
        </is>
      </c>
      <c r="C3556" s="2" t="n">
        <v>44921</v>
      </c>
      <c r="D3556" t="inlineStr">
        <is>
          <t>NON-NIL</t>
        </is>
      </c>
      <c r="E3556" t="n">
        <v>2108</v>
      </c>
    </row>
    <row r="3557">
      <c r="A3557" t="inlineStr">
        <is>
          <t>27BBBBB03557Z5</t>
        </is>
      </c>
      <c r="B3557" t="inlineStr">
        <is>
          <t>May-2018</t>
        </is>
      </c>
      <c r="C3557" s="2" t="n">
        <v>44020</v>
      </c>
      <c r="D3557" t="inlineStr">
        <is>
          <t>NIL</t>
        </is>
      </c>
      <c r="E3557" t="n">
        <v>775</v>
      </c>
    </row>
    <row r="3558">
      <c r="A3558" t="inlineStr">
        <is>
          <t>27BBBBB03558Z5</t>
        </is>
      </c>
      <c r="B3558" t="inlineStr">
        <is>
          <t>Apr-2020</t>
        </is>
      </c>
      <c r="C3558" s="2" t="n">
        <v>44036</v>
      </c>
      <c r="D3558" t="inlineStr">
        <is>
          <t>NIL</t>
        </is>
      </c>
      <c r="E3558" t="n">
        <v>2639</v>
      </c>
    </row>
    <row r="3559">
      <c r="A3559" t="inlineStr">
        <is>
          <t>27BBBBB03559Z5</t>
        </is>
      </c>
      <c r="B3559" t="inlineStr">
        <is>
          <t>Dec-2022</t>
        </is>
      </c>
      <c r="C3559" s="2" t="n">
        <v>45352</v>
      </c>
      <c r="D3559" t="inlineStr">
        <is>
          <t>NON-NIL</t>
        </is>
      </c>
      <c r="E3559" t="n">
        <v>2530</v>
      </c>
    </row>
    <row r="3560">
      <c r="A3560" t="inlineStr">
        <is>
          <t>27BBBBB03560Z5</t>
        </is>
      </c>
      <c r="B3560" t="inlineStr">
        <is>
          <t>Dec-2022</t>
        </is>
      </c>
      <c r="C3560" s="2" t="n">
        <v>43618</v>
      </c>
      <c r="D3560" t="inlineStr">
        <is>
          <t>NON-NIL</t>
        </is>
      </c>
      <c r="E3560" t="n">
        <v>782</v>
      </c>
    </row>
    <row r="3561">
      <c r="A3561" t="inlineStr">
        <is>
          <t>27BBBBB03561Z5</t>
        </is>
      </c>
      <c r="B3561" t="inlineStr">
        <is>
          <t>Jun-2020</t>
        </is>
      </c>
      <c r="C3561" s="2" t="n">
        <v>44854</v>
      </c>
      <c r="D3561" t="inlineStr">
        <is>
          <t>NON-NIL</t>
        </is>
      </c>
      <c r="E3561" t="n">
        <v>310</v>
      </c>
    </row>
    <row r="3562">
      <c r="A3562" t="inlineStr">
        <is>
          <t>27BBBBB03562Z5</t>
        </is>
      </c>
      <c r="B3562" t="inlineStr">
        <is>
          <t>Jan-2021</t>
        </is>
      </c>
      <c r="C3562" s="2" t="n">
        <v>45542</v>
      </c>
      <c r="D3562" t="inlineStr">
        <is>
          <t>NON-NIL</t>
        </is>
      </c>
      <c r="E3562" t="n">
        <v>869</v>
      </c>
    </row>
    <row r="3563">
      <c r="A3563" t="inlineStr">
        <is>
          <t>27BBBBB03563Z5</t>
        </is>
      </c>
      <c r="B3563" t="inlineStr">
        <is>
          <t>Jan-2021</t>
        </is>
      </c>
      <c r="C3563" s="2" t="n">
        <v>44496</v>
      </c>
      <c r="D3563" t="inlineStr">
        <is>
          <t>NIL</t>
        </is>
      </c>
      <c r="E3563" t="n">
        <v>2365</v>
      </c>
    </row>
    <row r="3564">
      <c r="A3564" t="inlineStr">
        <is>
          <t>27BBBBB03564Z5</t>
        </is>
      </c>
      <c r="B3564" t="inlineStr">
        <is>
          <t>Sep-2018</t>
        </is>
      </c>
      <c r="C3564" s="2" t="n">
        <v>44230</v>
      </c>
      <c r="D3564" t="inlineStr">
        <is>
          <t>NIL</t>
        </is>
      </c>
      <c r="E3564" t="n">
        <v>941</v>
      </c>
    </row>
    <row r="3565">
      <c r="A3565" t="inlineStr">
        <is>
          <t>27BBBBB03565Z5</t>
        </is>
      </c>
      <c r="B3565" t="inlineStr">
        <is>
          <t>Mar-2020</t>
        </is>
      </c>
      <c r="C3565" s="2" t="n">
        <v>44778</v>
      </c>
      <c r="D3565" t="inlineStr">
        <is>
          <t>NON-NIL</t>
        </is>
      </c>
      <c r="E3565" t="n">
        <v>831</v>
      </c>
    </row>
    <row r="3566">
      <c r="A3566" t="inlineStr">
        <is>
          <t>27BBBBB03566Z5</t>
        </is>
      </c>
      <c r="B3566" t="inlineStr">
        <is>
          <t>Feb-2018</t>
        </is>
      </c>
      <c r="C3566" s="2" t="n">
        <v>43969</v>
      </c>
      <c r="D3566" t="inlineStr">
        <is>
          <t>NIL</t>
        </is>
      </c>
      <c r="E3566" t="n">
        <v>125</v>
      </c>
    </row>
    <row r="3567">
      <c r="A3567" t="inlineStr">
        <is>
          <t>27BBBBB03567Z5</t>
        </is>
      </c>
      <c r="B3567" t="inlineStr">
        <is>
          <t>Mar-2018</t>
        </is>
      </c>
      <c r="C3567" s="2" t="n">
        <v>43102</v>
      </c>
      <c r="D3567" t="inlineStr">
        <is>
          <t>NON-NIL</t>
        </is>
      </c>
      <c r="E3567" t="n">
        <v>2734</v>
      </c>
    </row>
    <row r="3568">
      <c r="A3568" t="inlineStr">
        <is>
          <t>27BBBBB03568Z5</t>
        </is>
      </c>
      <c r="B3568" t="inlineStr">
        <is>
          <t>Mar-2023</t>
        </is>
      </c>
      <c r="C3568" s="2" t="n">
        <v>44259</v>
      </c>
      <c r="D3568" t="inlineStr">
        <is>
          <t>NIL</t>
        </is>
      </c>
      <c r="E3568" t="n">
        <v>2674</v>
      </c>
    </row>
    <row r="3569">
      <c r="A3569" t="inlineStr">
        <is>
          <t>27BBBBB03569Z5</t>
        </is>
      </c>
      <c r="B3569" t="inlineStr">
        <is>
          <t>Mar-2021</t>
        </is>
      </c>
      <c r="C3569" s="2" t="n">
        <v>45177</v>
      </c>
      <c r="D3569" t="inlineStr">
        <is>
          <t>NON-NIL</t>
        </is>
      </c>
      <c r="E3569" t="n">
        <v>2603</v>
      </c>
    </row>
    <row r="3570">
      <c r="A3570" t="inlineStr">
        <is>
          <t>27BBBBB03570Z5</t>
        </is>
      </c>
      <c r="B3570" t="inlineStr">
        <is>
          <t>Apr-2018</t>
        </is>
      </c>
      <c r="C3570" s="2" t="n">
        <v>43169</v>
      </c>
      <c r="D3570" t="inlineStr">
        <is>
          <t>NIL</t>
        </is>
      </c>
      <c r="E3570" t="n">
        <v>1081</v>
      </c>
    </row>
    <row r="3571">
      <c r="A3571" t="inlineStr">
        <is>
          <t>27BBBBB03571Z5</t>
        </is>
      </c>
      <c r="B3571" t="inlineStr">
        <is>
          <t>Mar-2021</t>
        </is>
      </c>
      <c r="C3571" s="2" t="n">
        <v>44012</v>
      </c>
      <c r="D3571" t="inlineStr">
        <is>
          <t>NIL</t>
        </is>
      </c>
      <c r="E3571" t="n">
        <v>577</v>
      </c>
    </row>
    <row r="3572">
      <c r="A3572" t="inlineStr">
        <is>
          <t>27BBBBB03572Z5</t>
        </is>
      </c>
      <c r="B3572" t="inlineStr">
        <is>
          <t>Jul-2017</t>
        </is>
      </c>
      <c r="C3572" s="2" t="n">
        <v>42985</v>
      </c>
      <c r="D3572" t="inlineStr">
        <is>
          <t>NON-NIL</t>
        </is>
      </c>
      <c r="E3572" t="n">
        <v>1492</v>
      </c>
    </row>
    <row r="3573">
      <c r="A3573" t="inlineStr">
        <is>
          <t>27BBBBB03573Z5</t>
        </is>
      </c>
      <c r="B3573" t="inlineStr">
        <is>
          <t>Dec-2018</t>
        </is>
      </c>
      <c r="C3573" s="2" t="n">
        <v>43685</v>
      </c>
      <c r="D3573" t="inlineStr">
        <is>
          <t>NIL</t>
        </is>
      </c>
      <c r="E3573" t="n">
        <v>2852</v>
      </c>
    </row>
    <row r="3574">
      <c r="A3574" t="inlineStr">
        <is>
          <t>27BBBBB03574Z5</t>
        </is>
      </c>
      <c r="B3574" t="inlineStr">
        <is>
          <t>Jul-2020</t>
        </is>
      </c>
      <c r="C3574" s="2" t="n">
        <v>44220</v>
      </c>
      <c r="D3574" t="inlineStr">
        <is>
          <t>NIL</t>
        </is>
      </c>
      <c r="E3574" t="n">
        <v>1063</v>
      </c>
    </row>
    <row r="3575">
      <c r="A3575" t="inlineStr">
        <is>
          <t>27BBBBB03575Z5</t>
        </is>
      </c>
      <c r="B3575" t="inlineStr">
        <is>
          <t>Dec-2018</t>
        </is>
      </c>
      <c r="C3575" s="2" t="n">
        <v>43912</v>
      </c>
      <c r="D3575" t="inlineStr">
        <is>
          <t>NIL</t>
        </is>
      </c>
      <c r="E3575" t="n">
        <v>2521</v>
      </c>
    </row>
    <row r="3576">
      <c r="A3576" t="inlineStr">
        <is>
          <t>27BBBBB03576Z5</t>
        </is>
      </c>
      <c r="B3576" t="inlineStr">
        <is>
          <t>Feb-2018</t>
        </is>
      </c>
      <c r="C3576" s="2" t="n">
        <v>43528</v>
      </c>
      <c r="D3576" t="inlineStr">
        <is>
          <t>NIL</t>
        </is>
      </c>
      <c r="E3576" t="n">
        <v>381</v>
      </c>
    </row>
    <row r="3577">
      <c r="A3577" t="inlineStr">
        <is>
          <t>27BBBBB03577Z5</t>
        </is>
      </c>
      <c r="B3577" t="inlineStr">
        <is>
          <t>Sep-2017</t>
        </is>
      </c>
      <c r="C3577" s="2" t="n">
        <v>43500</v>
      </c>
      <c r="D3577" t="inlineStr">
        <is>
          <t>NON-NIL</t>
        </is>
      </c>
      <c r="E3577" t="n">
        <v>2640</v>
      </c>
    </row>
    <row r="3578">
      <c r="A3578" t="inlineStr">
        <is>
          <t>27BBBBB03578Z5</t>
        </is>
      </c>
      <c r="B3578" t="inlineStr">
        <is>
          <t>Apr-2018</t>
        </is>
      </c>
      <c r="C3578" s="2" t="n">
        <v>43729</v>
      </c>
      <c r="D3578" t="inlineStr">
        <is>
          <t>NON-NIL</t>
        </is>
      </c>
      <c r="E3578" t="n">
        <v>1289</v>
      </c>
    </row>
    <row r="3579">
      <c r="A3579" t="inlineStr">
        <is>
          <t>27BBBBB03579Z5</t>
        </is>
      </c>
      <c r="B3579" t="inlineStr">
        <is>
          <t>Dec-2024</t>
        </is>
      </c>
      <c r="C3579" s="2" t="n">
        <v>45458</v>
      </c>
      <c r="D3579" t="inlineStr">
        <is>
          <t>NIL</t>
        </is>
      </c>
      <c r="E3579" t="n">
        <v>692</v>
      </c>
    </row>
    <row r="3580">
      <c r="A3580" t="inlineStr">
        <is>
          <t>27BBBBB03580Z5</t>
        </is>
      </c>
      <c r="B3580" t="inlineStr">
        <is>
          <t>Jul-2020</t>
        </is>
      </c>
      <c r="C3580" s="2" t="n">
        <v>44479</v>
      </c>
      <c r="D3580" t="inlineStr">
        <is>
          <t>NIL</t>
        </is>
      </c>
      <c r="E3580" t="n">
        <v>2901</v>
      </c>
    </row>
    <row r="3581">
      <c r="A3581" t="inlineStr">
        <is>
          <t>27BBBBB03581Z5</t>
        </is>
      </c>
      <c r="B3581" t="inlineStr">
        <is>
          <t>May-2020</t>
        </is>
      </c>
      <c r="C3581" s="2" t="n">
        <v>44343</v>
      </c>
      <c r="D3581" t="inlineStr">
        <is>
          <t>NIL</t>
        </is>
      </c>
      <c r="E3581" t="n">
        <v>1365</v>
      </c>
    </row>
    <row r="3582">
      <c r="A3582" t="inlineStr">
        <is>
          <t>27BBBBB03582Z5</t>
        </is>
      </c>
      <c r="B3582" t="inlineStr">
        <is>
          <t>Aug-2018</t>
        </is>
      </c>
      <c r="C3582" s="2" t="n">
        <v>43060</v>
      </c>
      <c r="D3582" t="inlineStr">
        <is>
          <t>NON-NIL</t>
        </is>
      </c>
      <c r="E3582" t="n">
        <v>777</v>
      </c>
    </row>
    <row r="3583">
      <c r="A3583" t="inlineStr">
        <is>
          <t>27BBBBB03583Z5</t>
        </is>
      </c>
      <c r="B3583" t="inlineStr">
        <is>
          <t>Dec-2024</t>
        </is>
      </c>
      <c r="C3583" s="2" t="n">
        <v>43819</v>
      </c>
      <c r="D3583" t="inlineStr">
        <is>
          <t>NIL</t>
        </is>
      </c>
      <c r="E3583" t="n">
        <v>1146</v>
      </c>
    </row>
    <row r="3584">
      <c r="A3584" t="inlineStr">
        <is>
          <t>27BBBBB03584Z5</t>
        </is>
      </c>
      <c r="B3584" t="inlineStr">
        <is>
          <t>Feb-2018</t>
        </is>
      </c>
      <c r="C3584" s="2" t="n">
        <v>43223</v>
      </c>
      <c r="D3584" t="inlineStr">
        <is>
          <t>NIL</t>
        </is>
      </c>
      <c r="E3584" t="n">
        <v>2987</v>
      </c>
    </row>
    <row r="3585">
      <c r="A3585" t="inlineStr">
        <is>
          <t>27BBBBB03585Z5</t>
        </is>
      </c>
      <c r="B3585" t="inlineStr">
        <is>
          <t>Mar-2020</t>
        </is>
      </c>
      <c r="C3585" s="2" t="n">
        <v>44769</v>
      </c>
      <c r="D3585" t="inlineStr">
        <is>
          <t>NIL</t>
        </is>
      </c>
      <c r="E3585" t="n">
        <v>1035</v>
      </c>
    </row>
    <row r="3586">
      <c r="A3586" t="inlineStr">
        <is>
          <t>27BBBBB03586Z5</t>
        </is>
      </c>
      <c r="B3586" t="inlineStr">
        <is>
          <t>Oct-2018</t>
        </is>
      </c>
      <c r="C3586" s="2" t="n">
        <v>44341</v>
      </c>
      <c r="D3586" t="inlineStr">
        <is>
          <t>NON-NIL</t>
        </is>
      </c>
      <c r="E3586" t="n">
        <v>467</v>
      </c>
    </row>
    <row r="3587">
      <c r="A3587" t="inlineStr">
        <is>
          <t>27BBBBB03587Z5</t>
        </is>
      </c>
      <c r="B3587" t="inlineStr">
        <is>
          <t>Sep-2018</t>
        </is>
      </c>
      <c r="C3587" s="2" t="n">
        <v>43477</v>
      </c>
      <c r="D3587" t="inlineStr">
        <is>
          <t>NIL</t>
        </is>
      </c>
      <c r="E3587" t="n">
        <v>935</v>
      </c>
    </row>
    <row r="3588">
      <c r="A3588" t="inlineStr">
        <is>
          <t>27BBBBB03588Z5</t>
        </is>
      </c>
      <c r="B3588" t="inlineStr">
        <is>
          <t>May-2018</t>
        </is>
      </c>
      <c r="C3588" s="2" t="n">
        <v>44220</v>
      </c>
      <c r="D3588" t="inlineStr">
        <is>
          <t>NIL</t>
        </is>
      </c>
      <c r="E3588" t="n">
        <v>2899</v>
      </c>
    </row>
    <row r="3589">
      <c r="A3589" t="inlineStr">
        <is>
          <t>27BBBBB03589Z5</t>
        </is>
      </c>
      <c r="B3589" t="inlineStr">
        <is>
          <t>Aug-2017</t>
        </is>
      </c>
      <c r="C3589" s="2" t="n">
        <v>42997</v>
      </c>
      <c r="D3589" t="inlineStr">
        <is>
          <t>NON-NIL</t>
        </is>
      </c>
      <c r="E3589" t="n">
        <v>1571</v>
      </c>
    </row>
    <row r="3590">
      <c r="A3590" t="inlineStr">
        <is>
          <t>27BBBBB03590Z5</t>
        </is>
      </c>
      <c r="B3590" t="inlineStr">
        <is>
          <t>Nov-2018</t>
        </is>
      </c>
      <c r="C3590" s="2" t="n">
        <v>43471</v>
      </c>
      <c r="D3590" t="inlineStr">
        <is>
          <t>NIL</t>
        </is>
      </c>
      <c r="E3590" t="n">
        <v>1838</v>
      </c>
    </row>
    <row r="3591">
      <c r="A3591" t="inlineStr">
        <is>
          <t>27BBBBB03591Z5</t>
        </is>
      </c>
      <c r="B3591" t="inlineStr">
        <is>
          <t>Nov-2017</t>
        </is>
      </c>
      <c r="C3591" s="2" t="n">
        <v>43919</v>
      </c>
      <c r="D3591" t="inlineStr">
        <is>
          <t>NIL</t>
        </is>
      </c>
      <c r="E3591" t="n">
        <v>1110</v>
      </c>
    </row>
    <row r="3592">
      <c r="A3592" t="inlineStr">
        <is>
          <t>27BBBBB03592Z5</t>
        </is>
      </c>
      <c r="B3592" t="inlineStr">
        <is>
          <t>Aug-2017</t>
        </is>
      </c>
      <c r="C3592" s="2" t="n">
        <v>43717</v>
      </c>
      <c r="D3592" t="inlineStr">
        <is>
          <t>NON-NIL</t>
        </is>
      </c>
      <c r="E3592" t="n">
        <v>1350</v>
      </c>
    </row>
    <row r="3593">
      <c r="A3593" t="inlineStr">
        <is>
          <t>27BBBBB03593Z5</t>
        </is>
      </c>
      <c r="B3593" t="inlineStr">
        <is>
          <t>Mar-2018</t>
        </is>
      </c>
      <c r="C3593" s="2" t="n">
        <v>43156</v>
      </c>
      <c r="D3593" t="inlineStr">
        <is>
          <t>NIL</t>
        </is>
      </c>
      <c r="E3593" t="n">
        <v>745</v>
      </c>
    </row>
    <row r="3594">
      <c r="A3594" t="inlineStr">
        <is>
          <t>27BBBBB03594Z5</t>
        </is>
      </c>
      <c r="B3594" t="inlineStr">
        <is>
          <t>Jul-2018</t>
        </is>
      </c>
      <c r="C3594" s="2" t="n">
        <v>43314</v>
      </c>
      <c r="D3594" t="inlineStr">
        <is>
          <t>NIL</t>
        </is>
      </c>
      <c r="E3594" t="n">
        <v>2736</v>
      </c>
    </row>
    <row r="3595">
      <c r="A3595" t="inlineStr">
        <is>
          <t>27BBBBB03595Z5</t>
        </is>
      </c>
      <c r="B3595" t="inlineStr">
        <is>
          <t>Oct-2017</t>
        </is>
      </c>
      <c r="C3595" s="2" t="n">
        <v>44533</v>
      </c>
      <c r="D3595" t="inlineStr">
        <is>
          <t>NON-NIL</t>
        </is>
      </c>
      <c r="E3595" t="n">
        <v>224</v>
      </c>
    </row>
    <row r="3596">
      <c r="A3596" t="inlineStr">
        <is>
          <t>27BBBBB03596Z5</t>
        </is>
      </c>
      <c r="B3596" t="inlineStr">
        <is>
          <t>Dec-2018</t>
        </is>
      </c>
      <c r="C3596" s="2" t="n">
        <v>44229</v>
      </c>
      <c r="D3596" t="inlineStr">
        <is>
          <t>NIL</t>
        </is>
      </c>
      <c r="E3596" t="n">
        <v>538</v>
      </c>
    </row>
    <row r="3597">
      <c r="A3597" t="inlineStr">
        <is>
          <t>27BBBBB03597Z5</t>
        </is>
      </c>
      <c r="B3597" t="inlineStr">
        <is>
          <t>Apr-2020</t>
        </is>
      </c>
      <c r="C3597" s="2" t="n">
        <v>44863</v>
      </c>
      <c r="D3597" t="inlineStr">
        <is>
          <t>NIL</t>
        </is>
      </c>
      <c r="E3597" t="n">
        <v>183</v>
      </c>
    </row>
    <row r="3598">
      <c r="A3598" t="inlineStr">
        <is>
          <t>27BBBBB03598Z5</t>
        </is>
      </c>
      <c r="B3598" t="inlineStr">
        <is>
          <t>Mar-2020</t>
        </is>
      </c>
      <c r="C3598" s="2" t="n">
        <v>44141</v>
      </c>
      <c r="D3598" t="inlineStr">
        <is>
          <t>NIL</t>
        </is>
      </c>
      <c r="E3598" t="n">
        <v>309</v>
      </c>
    </row>
    <row r="3599">
      <c r="A3599" t="inlineStr">
        <is>
          <t>27BBBBB03599Z5</t>
        </is>
      </c>
      <c r="B3599" t="inlineStr">
        <is>
          <t>Mar-2021</t>
        </is>
      </c>
      <c r="C3599" s="2" t="n">
        <v>44385</v>
      </c>
      <c r="D3599" t="inlineStr">
        <is>
          <t>NIL</t>
        </is>
      </c>
      <c r="E3599" t="n">
        <v>1903</v>
      </c>
    </row>
    <row r="3600">
      <c r="A3600" t="inlineStr">
        <is>
          <t>27BBBBB03600Z5</t>
        </is>
      </c>
      <c r="B3600" t="inlineStr">
        <is>
          <t>Jul-2017</t>
        </is>
      </c>
      <c r="C3600" s="2" t="n">
        <v>43435</v>
      </c>
      <c r="D3600" t="inlineStr">
        <is>
          <t>NON-NIL</t>
        </is>
      </c>
      <c r="E3600" t="n">
        <v>2867</v>
      </c>
    </row>
    <row r="3601">
      <c r="A3601" t="inlineStr">
        <is>
          <t>27BBBBB03601Z5</t>
        </is>
      </c>
      <c r="B3601" t="inlineStr">
        <is>
          <t>Aug-2017</t>
        </is>
      </c>
      <c r="C3601" s="2" t="n">
        <v>43360</v>
      </c>
      <c r="D3601" t="inlineStr">
        <is>
          <t>NON-NIL</t>
        </is>
      </c>
      <c r="E3601" t="n">
        <v>65</v>
      </c>
    </row>
    <row r="3602">
      <c r="A3602" t="inlineStr">
        <is>
          <t>27BBBBB03602Z5</t>
        </is>
      </c>
      <c r="B3602" t="inlineStr">
        <is>
          <t>Oct-2018</t>
        </is>
      </c>
      <c r="C3602" s="2" t="n">
        <v>43253</v>
      </c>
      <c r="D3602" t="inlineStr">
        <is>
          <t>NON-NIL</t>
        </is>
      </c>
      <c r="E3602" t="n">
        <v>794</v>
      </c>
    </row>
    <row r="3603">
      <c r="A3603" t="inlineStr">
        <is>
          <t>27BBBBB03603Z5</t>
        </is>
      </c>
      <c r="B3603" t="inlineStr">
        <is>
          <t>Aug-2017</t>
        </is>
      </c>
      <c r="C3603" s="2" t="n">
        <v>43757</v>
      </c>
      <c r="D3603" t="inlineStr">
        <is>
          <t>NIL</t>
        </is>
      </c>
      <c r="E3603" t="n">
        <v>2063</v>
      </c>
    </row>
    <row r="3604">
      <c r="A3604" t="inlineStr">
        <is>
          <t>27BBBBB03604Z5</t>
        </is>
      </c>
      <c r="B3604" t="inlineStr">
        <is>
          <t>Sep-2018</t>
        </is>
      </c>
      <c r="C3604" s="2" t="n">
        <v>43301</v>
      </c>
      <c r="D3604" t="inlineStr">
        <is>
          <t>NON-NIL</t>
        </is>
      </c>
      <c r="E3604" t="n">
        <v>1372</v>
      </c>
    </row>
    <row r="3605">
      <c r="A3605" t="inlineStr">
        <is>
          <t>27BBBBB03605Z5</t>
        </is>
      </c>
      <c r="B3605" t="inlineStr">
        <is>
          <t>Oct-2017</t>
        </is>
      </c>
      <c r="C3605" s="2" t="n">
        <v>43200</v>
      </c>
      <c r="D3605" t="inlineStr">
        <is>
          <t>NON-NIL</t>
        </is>
      </c>
      <c r="E3605" t="n">
        <v>478</v>
      </c>
    </row>
    <row r="3606">
      <c r="A3606" t="inlineStr">
        <is>
          <t>27BBBBB03606Z5</t>
        </is>
      </c>
      <c r="B3606" t="inlineStr">
        <is>
          <t>Apr-2020</t>
        </is>
      </c>
      <c r="C3606" s="2" t="n">
        <v>44735</v>
      </c>
      <c r="D3606" t="inlineStr">
        <is>
          <t>NIL</t>
        </is>
      </c>
      <c r="E3606" t="n">
        <v>2199</v>
      </c>
    </row>
    <row r="3607">
      <c r="A3607" t="inlineStr">
        <is>
          <t>27BBBBB03607Z5</t>
        </is>
      </c>
      <c r="B3607" t="inlineStr">
        <is>
          <t>Jan-2021</t>
        </is>
      </c>
      <c r="C3607" s="2" t="n">
        <v>44841</v>
      </c>
      <c r="D3607" t="inlineStr">
        <is>
          <t>NON-NIL</t>
        </is>
      </c>
      <c r="E3607" t="n">
        <v>2223</v>
      </c>
    </row>
    <row r="3608">
      <c r="A3608" t="inlineStr">
        <is>
          <t>27BBBBB03608Z5</t>
        </is>
      </c>
      <c r="B3608" t="inlineStr">
        <is>
          <t>Jul-2018</t>
        </is>
      </c>
      <c r="C3608" s="2" t="n">
        <v>43939</v>
      </c>
      <c r="D3608" t="inlineStr">
        <is>
          <t>NIL</t>
        </is>
      </c>
      <c r="E3608" t="n">
        <v>489</v>
      </c>
    </row>
    <row r="3609">
      <c r="A3609" t="inlineStr">
        <is>
          <t>27BBBBB03609Z5</t>
        </is>
      </c>
      <c r="B3609" t="inlineStr">
        <is>
          <t>Jul-2018</t>
        </is>
      </c>
      <c r="C3609" s="2" t="n">
        <v>42998</v>
      </c>
      <c r="D3609" t="inlineStr">
        <is>
          <t>NIL</t>
        </is>
      </c>
      <c r="E3609" t="n">
        <v>1936</v>
      </c>
    </row>
    <row r="3610">
      <c r="A3610" t="inlineStr">
        <is>
          <t>27BBBBB03610Z5</t>
        </is>
      </c>
      <c r="B3610" t="inlineStr">
        <is>
          <t>Nov-2018</t>
        </is>
      </c>
      <c r="C3610" s="2" t="n">
        <v>43787</v>
      </c>
      <c r="D3610" t="inlineStr">
        <is>
          <t>NIL</t>
        </is>
      </c>
      <c r="E3610" t="n">
        <v>2989</v>
      </c>
    </row>
    <row r="3611">
      <c r="A3611" t="inlineStr">
        <is>
          <t>27BBBBB03611Z5</t>
        </is>
      </c>
      <c r="B3611" t="inlineStr">
        <is>
          <t>Jul-2020</t>
        </is>
      </c>
      <c r="C3611" s="2" t="n">
        <v>44437</v>
      </c>
      <c r="D3611" t="inlineStr">
        <is>
          <t>NON-NIL</t>
        </is>
      </c>
      <c r="E3611" t="n">
        <v>1717</v>
      </c>
    </row>
    <row r="3612">
      <c r="A3612" t="inlineStr">
        <is>
          <t>27BBBBB03612Z5</t>
        </is>
      </c>
      <c r="B3612" t="inlineStr">
        <is>
          <t>Mar-2021</t>
        </is>
      </c>
      <c r="C3612" s="2" t="n">
        <v>44947</v>
      </c>
      <c r="D3612" t="inlineStr">
        <is>
          <t>NON-NIL</t>
        </is>
      </c>
      <c r="E3612" t="n">
        <v>391</v>
      </c>
    </row>
    <row r="3613">
      <c r="A3613" t="inlineStr">
        <is>
          <t>27BBBBB03613Z5</t>
        </is>
      </c>
      <c r="B3613" t="inlineStr">
        <is>
          <t>Nov-2017</t>
        </is>
      </c>
      <c r="C3613" s="2" t="n">
        <v>44002</v>
      </c>
      <c r="D3613" t="inlineStr">
        <is>
          <t>NIL</t>
        </is>
      </c>
      <c r="E3613" t="n">
        <v>1672</v>
      </c>
    </row>
    <row r="3614">
      <c r="A3614" t="inlineStr">
        <is>
          <t>27BBBBB03614Z5</t>
        </is>
      </c>
      <c r="B3614" t="inlineStr">
        <is>
          <t>Apr-2020</t>
        </is>
      </c>
      <c r="C3614" s="2" t="n">
        <v>44544</v>
      </c>
      <c r="D3614" t="inlineStr">
        <is>
          <t>NON-NIL</t>
        </is>
      </c>
      <c r="E3614" t="n">
        <v>646</v>
      </c>
    </row>
    <row r="3615">
      <c r="A3615" t="inlineStr">
        <is>
          <t>27BBBBB03615Z5</t>
        </is>
      </c>
      <c r="B3615" t="inlineStr">
        <is>
          <t>Oct-2017</t>
        </is>
      </c>
      <c r="C3615" s="2" t="n">
        <v>43132</v>
      </c>
      <c r="D3615" t="inlineStr">
        <is>
          <t>NIL</t>
        </is>
      </c>
      <c r="E3615" t="n">
        <v>2853</v>
      </c>
    </row>
    <row r="3616">
      <c r="A3616" t="inlineStr">
        <is>
          <t>27BBBBB03616Z5</t>
        </is>
      </c>
      <c r="B3616" t="inlineStr">
        <is>
          <t>Mar-2023</t>
        </is>
      </c>
      <c r="C3616" s="2" t="n">
        <v>44822</v>
      </c>
      <c r="D3616" t="inlineStr">
        <is>
          <t>NIL</t>
        </is>
      </c>
      <c r="E3616" t="n">
        <v>323</v>
      </c>
    </row>
    <row r="3617">
      <c r="A3617" t="inlineStr">
        <is>
          <t>27BBBBB03617Z5</t>
        </is>
      </c>
      <c r="B3617" t="inlineStr">
        <is>
          <t>Jul-2018</t>
        </is>
      </c>
      <c r="C3617" s="2" t="n">
        <v>43142</v>
      </c>
      <c r="D3617" t="inlineStr">
        <is>
          <t>NON-NIL</t>
        </is>
      </c>
      <c r="E3617" t="n">
        <v>1566</v>
      </c>
    </row>
    <row r="3618">
      <c r="A3618" t="inlineStr">
        <is>
          <t>27BBBBB03618Z5</t>
        </is>
      </c>
      <c r="B3618" t="inlineStr">
        <is>
          <t>Dec-2022</t>
        </is>
      </c>
      <c r="C3618" s="2" t="n">
        <v>45066</v>
      </c>
      <c r="D3618" t="inlineStr">
        <is>
          <t>NON-NIL</t>
        </is>
      </c>
      <c r="E3618" t="n">
        <v>2937</v>
      </c>
    </row>
    <row r="3619">
      <c r="A3619" t="inlineStr">
        <is>
          <t>27BBBBB03619Z5</t>
        </is>
      </c>
      <c r="B3619" t="inlineStr">
        <is>
          <t>Dec-2018</t>
        </is>
      </c>
      <c r="C3619" s="2" t="n">
        <v>44319</v>
      </c>
      <c r="D3619" t="inlineStr">
        <is>
          <t>NON-NIL</t>
        </is>
      </c>
      <c r="E3619" t="n">
        <v>2512</v>
      </c>
    </row>
    <row r="3620">
      <c r="A3620" t="inlineStr">
        <is>
          <t>27BBBBB03620Z5</t>
        </is>
      </c>
      <c r="B3620" t="inlineStr">
        <is>
          <t>Sep-2018</t>
        </is>
      </c>
      <c r="C3620" s="2" t="n">
        <v>44462</v>
      </c>
      <c r="D3620" t="inlineStr">
        <is>
          <t>NIL</t>
        </is>
      </c>
      <c r="E3620" t="n">
        <v>864</v>
      </c>
    </row>
    <row r="3621">
      <c r="A3621" t="inlineStr">
        <is>
          <t>27BBBBB03621Z5</t>
        </is>
      </c>
      <c r="B3621" t="inlineStr">
        <is>
          <t>Mar-2018</t>
        </is>
      </c>
      <c r="C3621" s="2" t="n">
        <v>43065</v>
      </c>
      <c r="D3621" t="inlineStr">
        <is>
          <t>NIL</t>
        </is>
      </c>
      <c r="E3621" t="n">
        <v>534</v>
      </c>
    </row>
    <row r="3622">
      <c r="A3622" t="inlineStr">
        <is>
          <t>27BBBBB03622Z5</t>
        </is>
      </c>
      <c r="B3622" t="inlineStr">
        <is>
          <t>Apr-2020</t>
        </is>
      </c>
      <c r="C3622" s="2" t="n">
        <v>44132</v>
      </c>
      <c r="D3622" t="inlineStr">
        <is>
          <t>NIL</t>
        </is>
      </c>
      <c r="E3622" t="n">
        <v>35</v>
      </c>
    </row>
    <row r="3623">
      <c r="A3623" t="inlineStr">
        <is>
          <t>27BBBBB03623Z5</t>
        </is>
      </c>
      <c r="B3623" t="inlineStr">
        <is>
          <t>Mar-2018</t>
        </is>
      </c>
      <c r="C3623" s="2" t="n">
        <v>43262</v>
      </c>
      <c r="D3623" t="inlineStr">
        <is>
          <t>NIL</t>
        </is>
      </c>
      <c r="E3623" t="n">
        <v>2256</v>
      </c>
    </row>
    <row r="3624">
      <c r="A3624" t="inlineStr">
        <is>
          <t>27BBBBB03624Z5</t>
        </is>
      </c>
      <c r="B3624" t="inlineStr">
        <is>
          <t>May-2020</t>
        </is>
      </c>
      <c r="C3624" s="2" t="n">
        <v>44495</v>
      </c>
      <c r="D3624" t="inlineStr">
        <is>
          <t>NIL</t>
        </is>
      </c>
      <c r="E3624" t="n">
        <v>1038</v>
      </c>
    </row>
    <row r="3625">
      <c r="A3625" t="inlineStr">
        <is>
          <t>27BBBBB03625Z5</t>
        </is>
      </c>
      <c r="B3625" t="inlineStr">
        <is>
          <t>Sep-2018</t>
        </is>
      </c>
      <c r="C3625" s="2" t="n">
        <v>44186</v>
      </c>
      <c r="D3625" t="inlineStr">
        <is>
          <t>NON-NIL</t>
        </is>
      </c>
      <c r="E3625" t="n">
        <v>1308</v>
      </c>
    </row>
    <row r="3626">
      <c r="A3626" t="inlineStr">
        <is>
          <t>27BBBBB03626Z5</t>
        </is>
      </c>
      <c r="B3626" t="inlineStr">
        <is>
          <t>Jul-2020</t>
        </is>
      </c>
      <c r="C3626" s="2" t="n">
        <v>44563</v>
      </c>
      <c r="D3626" t="inlineStr">
        <is>
          <t>NON-NIL</t>
        </is>
      </c>
      <c r="E3626" t="n">
        <v>1455</v>
      </c>
    </row>
    <row r="3627">
      <c r="A3627" t="inlineStr">
        <is>
          <t>27BBBBB03627Z5</t>
        </is>
      </c>
      <c r="B3627" t="inlineStr">
        <is>
          <t>Aug-2017</t>
        </is>
      </c>
      <c r="C3627" s="2" t="n">
        <v>43943</v>
      </c>
      <c r="D3627" t="inlineStr">
        <is>
          <t>NON-NIL</t>
        </is>
      </c>
      <c r="E3627" t="n">
        <v>1323</v>
      </c>
    </row>
    <row r="3628">
      <c r="A3628" t="inlineStr">
        <is>
          <t>27BBBBB03628Z5</t>
        </is>
      </c>
      <c r="B3628" t="inlineStr">
        <is>
          <t>Mar-2018</t>
        </is>
      </c>
      <c r="C3628" s="2" t="n">
        <v>44024</v>
      </c>
      <c r="D3628" t="inlineStr">
        <is>
          <t>NON-NIL</t>
        </is>
      </c>
      <c r="E3628" t="n">
        <v>2460</v>
      </c>
    </row>
    <row r="3629">
      <c r="A3629" t="inlineStr">
        <is>
          <t>27BBBBB03629Z5</t>
        </is>
      </c>
      <c r="B3629" t="inlineStr">
        <is>
          <t>Nov-2018</t>
        </is>
      </c>
      <c r="C3629" s="2" t="n">
        <v>44211</v>
      </c>
      <c r="D3629" t="inlineStr">
        <is>
          <t>NIL</t>
        </is>
      </c>
      <c r="E3629" t="n">
        <v>1585</v>
      </c>
    </row>
    <row r="3630">
      <c r="A3630" t="inlineStr">
        <is>
          <t>27BBBBB03630Z5</t>
        </is>
      </c>
      <c r="B3630" t="inlineStr">
        <is>
          <t>Mar-2020</t>
        </is>
      </c>
      <c r="C3630" s="2" t="n">
        <v>43934</v>
      </c>
      <c r="D3630" t="inlineStr">
        <is>
          <t>NON-NIL</t>
        </is>
      </c>
      <c r="E3630" t="n">
        <v>984</v>
      </c>
    </row>
    <row r="3631">
      <c r="A3631" t="inlineStr">
        <is>
          <t>27BBBBB03631Z5</t>
        </is>
      </c>
      <c r="B3631" t="inlineStr">
        <is>
          <t>Mar-2020</t>
        </is>
      </c>
      <c r="C3631" s="2" t="n">
        <v>44803</v>
      </c>
      <c r="D3631" t="inlineStr">
        <is>
          <t>NON-NIL</t>
        </is>
      </c>
      <c r="E3631" t="n">
        <v>2545</v>
      </c>
    </row>
    <row r="3632">
      <c r="A3632" t="inlineStr">
        <is>
          <t>27BBBBB03632Z5</t>
        </is>
      </c>
      <c r="B3632" t="inlineStr">
        <is>
          <t>May-2020</t>
        </is>
      </c>
      <c r="C3632" s="2" t="n">
        <v>44454</v>
      </c>
      <c r="D3632" t="inlineStr">
        <is>
          <t>NON-NIL</t>
        </is>
      </c>
      <c r="E3632" t="n">
        <v>4</v>
      </c>
    </row>
    <row r="3633">
      <c r="A3633" t="inlineStr">
        <is>
          <t>27BBBBB03633Z5</t>
        </is>
      </c>
      <c r="B3633" t="inlineStr">
        <is>
          <t>Jul-2018</t>
        </is>
      </c>
      <c r="C3633" s="2" t="n">
        <v>42996</v>
      </c>
      <c r="D3633" t="inlineStr">
        <is>
          <t>NIL</t>
        </is>
      </c>
      <c r="E3633" t="n">
        <v>1589</v>
      </c>
    </row>
    <row r="3634">
      <c r="A3634" t="inlineStr">
        <is>
          <t>27BBBBB03634Z5</t>
        </is>
      </c>
      <c r="B3634" t="inlineStr">
        <is>
          <t>Mar-2020</t>
        </is>
      </c>
      <c r="C3634" s="2" t="n">
        <v>43902</v>
      </c>
      <c r="D3634" t="inlineStr">
        <is>
          <t>NON-NIL</t>
        </is>
      </c>
      <c r="E3634" t="n">
        <v>2441</v>
      </c>
    </row>
    <row r="3635">
      <c r="A3635" t="inlineStr">
        <is>
          <t>27BBBBB03635Z5</t>
        </is>
      </c>
      <c r="B3635" t="inlineStr">
        <is>
          <t>Apr-2018</t>
        </is>
      </c>
      <c r="C3635" s="2" t="n">
        <v>43016</v>
      </c>
      <c r="D3635" t="inlineStr">
        <is>
          <t>NON-NIL</t>
        </is>
      </c>
      <c r="E3635" t="n">
        <v>2783</v>
      </c>
    </row>
    <row r="3636">
      <c r="A3636" t="inlineStr">
        <is>
          <t>27BBBBB03636Z5</t>
        </is>
      </c>
      <c r="B3636" t="inlineStr">
        <is>
          <t>May-2020</t>
        </is>
      </c>
      <c r="C3636" s="2" t="n">
        <v>44102</v>
      </c>
      <c r="D3636" t="inlineStr">
        <is>
          <t>NIL</t>
        </is>
      </c>
      <c r="E3636" t="n">
        <v>2317</v>
      </c>
    </row>
    <row r="3637">
      <c r="A3637" t="inlineStr">
        <is>
          <t>27BBBBB03637Z5</t>
        </is>
      </c>
      <c r="B3637" t="inlineStr">
        <is>
          <t>Nov-2018</t>
        </is>
      </c>
      <c r="C3637" s="2" t="n">
        <v>44092</v>
      </c>
      <c r="D3637" t="inlineStr">
        <is>
          <t>NIL</t>
        </is>
      </c>
      <c r="E3637" t="n">
        <v>767</v>
      </c>
    </row>
    <row r="3638">
      <c r="A3638" t="inlineStr">
        <is>
          <t>27BBBBB03638Z5</t>
        </is>
      </c>
      <c r="B3638" t="inlineStr">
        <is>
          <t>Jul-2017</t>
        </is>
      </c>
      <c r="C3638" s="2" t="n">
        <v>44545</v>
      </c>
      <c r="D3638" t="inlineStr">
        <is>
          <t>NON-NIL</t>
        </is>
      </c>
      <c r="E3638" t="n">
        <v>1904</v>
      </c>
    </row>
    <row r="3639">
      <c r="A3639" t="inlineStr">
        <is>
          <t>27BBBBB03639Z5</t>
        </is>
      </c>
      <c r="B3639" t="inlineStr">
        <is>
          <t>Oct-2018</t>
        </is>
      </c>
      <c r="C3639" s="2" t="n">
        <v>43314</v>
      </c>
      <c r="D3639" t="inlineStr">
        <is>
          <t>NIL</t>
        </is>
      </c>
      <c r="E3639" t="n">
        <v>2183</v>
      </c>
    </row>
    <row r="3640">
      <c r="A3640" t="inlineStr">
        <is>
          <t>27BBBBB03640Z5</t>
        </is>
      </c>
      <c r="B3640" t="inlineStr">
        <is>
          <t>Nov-2018</t>
        </is>
      </c>
      <c r="C3640" s="2" t="n">
        <v>43102</v>
      </c>
      <c r="D3640" t="inlineStr">
        <is>
          <t>NON-NIL</t>
        </is>
      </c>
      <c r="E3640" t="n">
        <v>941</v>
      </c>
    </row>
    <row r="3641">
      <c r="A3641" t="inlineStr">
        <is>
          <t>27BBBBB03641Z5</t>
        </is>
      </c>
      <c r="B3641" t="inlineStr">
        <is>
          <t>Jul-2017</t>
        </is>
      </c>
      <c r="C3641" s="2" t="n">
        <v>43250</v>
      </c>
      <c r="D3641" t="inlineStr">
        <is>
          <t>NIL</t>
        </is>
      </c>
      <c r="E3641" t="n">
        <v>846</v>
      </c>
    </row>
    <row r="3642">
      <c r="A3642" t="inlineStr">
        <is>
          <t>27BBBBB03642Z5</t>
        </is>
      </c>
      <c r="B3642" t="inlineStr">
        <is>
          <t>Jan-2018</t>
        </is>
      </c>
      <c r="C3642" s="2" t="n">
        <v>43710</v>
      </c>
      <c r="D3642" t="inlineStr">
        <is>
          <t>NON-NIL</t>
        </is>
      </c>
      <c r="E3642" t="n">
        <v>1838</v>
      </c>
    </row>
    <row r="3643">
      <c r="A3643" t="inlineStr">
        <is>
          <t>27BBBBB03643Z5</t>
        </is>
      </c>
      <c r="B3643" t="inlineStr">
        <is>
          <t>Aug-2017</t>
        </is>
      </c>
      <c r="C3643" s="2" t="n">
        <v>43624</v>
      </c>
      <c r="D3643" t="inlineStr">
        <is>
          <t>NIL</t>
        </is>
      </c>
      <c r="E3643" t="n">
        <v>2311</v>
      </c>
    </row>
    <row r="3644">
      <c r="A3644" t="inlineStr">
        <is>
          <t>27BBBBB03644Z5</t>
        </is>
      </c>
      <c r="B3644" t="inlineStr">
        <is>
          <t>Oct-2018</t>
        </is>
      </c>
      <c r="C3644" s="2" t="n">
        <v>44101</v>
      </c>
      <c r="D3644" t="inlineStr">
        <is>
          <t>NIL</t>
        </is>
      </c>
      <c r="E3644" t="n">
        <v>1447</v>
      </c>
    </row>
    <row r="3645">
      <c r="A3645" t="inlineStr">
        <is>
          <t>27BBBBB03645Z5</t>
        </is>
      </c>
      <c r="B3645" t="inlineStr">
        <is>
          <t>Feb-2018</t>
        </is>
      </c>
      <c r="C3645" s="2" t="n">
        <v>44024</v>
      </c>
      <c r="D3645" t="inlineStr">
        <is>
          <t>NON-NIL</t>
        </is>
      </c>
      <c r="E3645" t="n">
        <v>414</v>
      </c>
    </row>
    <row r="3646">
      <c r="A3646" t="inlineStr">
        <is>
          <t>27BBBBB03646Z5</t>
        </is>
      </c>
      <c r="B3646" t="inlineStr">
        <is>
          <t>Jul-2020</t>
        </is>
      </c>
      <c r="C3646" s="2" t="n">
        <v>44126</v>
      </c>
      <c r="D3646" t="inlineStr">
        <is>
          <t>NON-NIL</t>
        </is>
      </c>
      <c r="E3646" t="n">
        <v>2408</v>
      </c>
    </row>
    <row r="3647">
      <c r="A3647" t="inlineStr">
        <is>
          <t>27BBBBB03647Z5</t>
        </is>
      </c>
      <c r="B3647" t="inlineStr">
        <is>
          <t>May-2020</t>
        </is>
      </c>
      <c r="C3647" s="2" t="n">
        <v>44043</v>
      </c>
      <c r="D3647" t="inlineStr">
        <is>
          <t>NIL</t>
        </is>
      </c>
      <c r="E3647" t="n">
        <v>587</v>
      </c>
    </row>
    <row r="3648">
      <c r="A3648" t="inlineStr">
        <is>
          <t>27BBBBB03648Z5</t>
        </is>
      </c>
      <c r="B3648" t="inlineStr">
        <is>
          <t>Jun-2018</t>
        </is>
      </c>
      <c r="C3648" s="2" t="n">
        <v>43368</v>
      </c>
      <c r="D3648" t="inlineStr">
        <is>
          <t>NIL</t>
        </is>
      </c>
      <c r="E3648" t="n">
        <v>573</v>
      </c>
    </row>
    <row r="3649">
      <c r="A3649" t="inlineStr">
        <is>
          <t>27BBBBB03649Z5</t>
        </is>
      </c>
      <c r="B3649" t="inlineStr">
        <is>
          <t>Jul-2020</t>
        </is>
      </c>
      <c r="C3649" s="2" t="n">
        <v>44563</v>
      </c>
      <c r="D3649" t="inlineStr">
        <is>
          <t>NON-NIL</t>
        </is>
      </c>
      <c r="E3649" t="n">
        <v>2641</v>
      </c>
    </row>
    <row r="3650">
      <c r="A3650" t="inlineStr">
        <is>
          <t>27BBBBB03650Z5</t>
        </is>
      </c>
      <c r="B3650" t="inlineStr">
        <is>
          <t>Mar-2021</t>
        </is>
      </c>
      <c r="C3650" s="2" t="n">
        <v>43537</v>
      </c>
      <c r="D3650" t="inlineStr">
        <is>
          <t>NON-NIL</t>
        </is>
      </c>
      <c r="E3650" t="n">
        <v>323</v>
      </c>
    </row>
    <row r="3651">
      <c r="A3651" t="inlineStr">
        <is>
          <t>27BBBBB03651Z5</t>
        </is>
      </c>
      <c r="B3651" t="inlineStr">
        <is>
          <t>Aug-2018</t>
        </is>
      </c>
      <c r="C3651" s="2" t="n">
        <v>43270</v>
      </c>
      <c r="D3651" t="inlineStr">
        <is>
          <t>NON-NIL</t>
        </is>
      </c>
      <c r="E3651" t="n">
        <v>1127</v>
      </c>
    </row>
    <row r="3652">
      <c r="A3652" t="inlineStr">
        <is>
          <t>27BBBBB03652Z5</t>
        </is>
      </c>
      <c r="B3652" t="inlineStr">
        <is>
          <t>Dec-2017</t>
        </is>
      </c>
      <c r="C3652" s="2" t="n">
        <v>43197</v>
      </c>
      <c r="D3652" t="inlineStr">
        <is>
          <t>NIL</t>
        </is>
      </c>
      <c r="E3652" t="n">
        <v>527</v>
      </c>
    </row>
    <row r="3653">
      <c r="A3653" t="inlineStr">
        <is>
          <t>27BBBBB03653Z5</t>
        </is>
      </c>
      <c r="B3653" t="inlineStr">
        <is>
          <t>Jun-2020</t>
        </is>
      </c>
      <c r="C3653" s="2" t="n">
        <v>44060</v>
      </c>
      <c r="D3653" t="inlineStr">
        <is>
          <t>NIL</t>
        </is>
      </c>
      <c r="E3653" t="n">
        <v>1335</v>
      </c>
    </row>
    <row r="3654">
      <c r="A3654" t="inlineStr">
        <is>
          <t>27BBBBB03654Z5</t>
        </is>
      </c>
      <c r="B3654" t="inlineStr">
        <is>
          <t>Apr-2018</t>
        </is>
      </c>
      <c r="C3654" s="2" t="n">
        <v>44251</v>
      </c>
      <c r="D3654" t="inlineStr">
        <is>
          <t>NON-NIL</t>
        </is>
      </c>
      <c r="E3654" t="n">
        <v>1269</v>
      </c>
    </row>
    <row r="3655">
      <c r="A3655" t="inlineStr">
        <is>
          <t>27BBBBB03655Z5</t>
        </is>
      </c>
      <c r="B3655" t="inlineStr">
        <is>
          <t>May-2020</t>
        </is>
      </c>
      <c r="C3655" s="2" t="n">
        <v>44884</v>
      </c>
      <c r="D3655" t="inlineStr">
        <is>
          <t>NON-NIL</t>
        </is>
      </c>
      <c r="E3655" t="n">
        <v>63</v>
      </c>
    </row>
    <row r="3656">
      <c r="A3656" t="inlineStr">
        <is>
          <t>27BBBBB03656Z5</t>
        </is>
      </c>
      <c r="B3656" t="inlineStr">
        <is>
          <t>Nov-2017</t>
        </is>
      </c>
      <c r="C3656" s="2" t="n">
        <v>44304</v>
      </c>
      <c r="D3656" t="inlineStr">
        <is>
          <t>NON-NIL</t>
        </is>
      </c>
      <c r="E3656" t="n">
        <v>1669</v>
      </c>
    </row>
    <row r="3657">
      <c r="A3657" t="inlineStr">
        <is>
          <t>27BBBBB03657Z5</t>
        </is>
      </c>
      <c r="B3657" t="inlineStr">
        <is>
          <t>Jul-2020</t>
        </is>
      </c>
      <c r="C3657" s="2" t="n">
        <v>43980</v>
      </c>
      <c r="D3657" t="inlineStr">
        <is>
          <t>NIL</t>
        </is>
      </c>
      <c r="E3657" t="n">
        <v>2779</v>
      </c>
    </row>
    <row r="3658">
      <c r="A3658" t="inlineStr">
        <is>
          <t>27BBBBB03658Z5</t>
        </is>
      </c>
      <c r="B3658" t="inlineStr">
        <is>
          <t>Jul-2020</t>
        </is>
      </c>
      <c r="C3658" s="2" t="n">
        <v>43975</v>
      </c>
      <c r="D3658" t="inlineStr">
        <is>
          <t>NON-NIL</t>
        </is>
      </c>
      <c r="E3658" t="n">
        <v>2187</v>
      </c>
    </row>
    <row r="3659">
      <c r="A3659" t="inlineStr">
        <is>
          <t>27BBBBB03659Z5</t>
        </is>
      </c>
      <c r="B3659" t="inlineStr">
        <is>
          <t>Sep-2017</t>
        </is>
      </c>
      <c r="C3659" s="2" t="n">
        <v>42924</v>
      </c>
      <c r="D3659" t="inlineStr">
        <is>
          <t>NON-NIL</t>
        </is>
      </c>
      <c r="E3659" t="n">
        <v>418</v>
      </c>
    </row>
    <row r="3660">
      <c r="A3660" t="inlineStr">
        <is>
          <t>27BBBBB03660Z5</t>
        </is>
      </c>
      <c r="B3660" t="inlineStr">
        <is>
          <t>Feb-2018</t>
        </is>
      </c>
      <c r="C3660" s="2" t="n">
        <v>43904</v>
      </c>
      <c r="D3660" t="inlineStr">
        <is>
          <t>NON-NIL</t>
        </is>
      </c>
      <c r="E3660" t="n">
        <v>2778</v>
      </c>
    </row>
    <row r="3661">
      <c r="A3661" t="inlineStr">
        <is>
          <t>27BBBBB03661Z5</t>
        </is>
      </c>
      <c r="B3661" t="inlineStr">
        <is>
          <t>Mar-2020</t>
        </is>
      </c>
      <c r="C3661" s="2" t="n">
        <v>44833</v>
      </c>
      <c r="D3661" t="inlineStr">
        <is>
          <t>NIL</t>
        </is>
      </c>
      <c r="E3661" t="n">
        <v>60</v>
      </c>
    </row>
    <row r="3662">
      <c r="A3662" t="inlineStr">
        <is>
          <t>27BBBBB03662Z5</t>
        </is>
      </c>
      <c r="B3662" t="inlineStr">
        <is>
          <t>Apr-2020</t>
        </is>
      </c>
      <c r="C3662" s="2" t="n">
        <v>44516</v>
      </c>
      <c r="D3662" t="inlineStr">
        <is>
          <t>NIL</t>
        </is>
      </c>
      <c r="E3662" t="n">
        <v>2889</v>
      </c>
    </row>
    <row r="3663">
      <c r="A3663" t="inlineStr">
        <is>
          <t>27BBBBB03663Z5</t>
        </is>
      </c>
      <c r="B3663" t="inlineStr">
        <is>
          <t>Apr-2018</t>
        </is>
      </c>
      <c r="C3663" s="2" t="n">
        <v>44216</v>
      </c>
      <c r="D3663" t="inlineStr">
        <is>
          <t>NON-NIL</t>
        </is>
      </c>
      <c r="E3663" t="n">
        <v>42</v>
      </c>
    </row>
    <row r="3664">
      <c r="A3664" t="inlineStr">
        <is>
          <t>27BBBBB03664Z5</t>
        </is>
      </c>
      <c r="B3664" t="inlineStr">
        <is>
          <t>Sep-2018</t>
        </is>
      </c>
      <c r="C3664" s="2" t="n">
        <v>43306</v>
      </c>
      <c r="D3664" t="inlineStr">
        <is>
          <t>NON-NIL</t>
        </is>
      </c>
      <c r="E3664" t="n">
        <v>704</v>
      </c>
    </row>
    <row r="3665">
      <c r="A3665" t="inlineStr">
        <is>
          <t>27BBBBB03665Z5</t>
        </is>
      </c>
      <c r="B3665" t="inlineStr">
        <is>
          <t>Aug-2017</t>
        </is>
      </c>
      <c r="C3665" s="2" t="n">
        <v>43547</v>
      </c>
      <c r="D3665" t="inlineStr">
        <is>
          <t>NIL</t>
        </is>
      </c>
      <c r="E3665" t="n">
        <v>996</v>
      </c>
    </row>
    <row r="3666">
      <c r="A3666" t="inlineStr">
        <is>
          <t>27BBBBB03666Z5</t>
        </is>
      </c>
      <c r="B3666" t="inlineStr">
        <is>
          <t>May-2020</t>
        </is>
      </c>
      <c r="C3666" s="2" t="n">
        <v>44195</v>
      </c>
      <c r="D3666" t="inlineStr">
        <is>
          <t>NON-NIL</t>
        </is>
      </c>
      <c r="E3666" t="n">
        <v>37</v>
      </c>
    </row>
    <row r="3667">
      <c r="A3667" t="inlineStr">
        <is>
          <t>27BBBBB03667Z5</t>
        </is>
      </c>
      <c r="B3667" t="inlineStr">
        <is>
          <t>Apr-2018</t>
        </is>
      </c>
      <c r="C3667" s="2" t="n">
        <v>43538</v>
      </c>
      <c r="D3667" t="inlineStr">
        <is>
          <t>NIL</t>
        </is>
      </c>
      <c r="E3667" t="n">
        <v>420</v>
      </c>
    </row>
    <row r="3668">
      <c r="A3668" t="inlineStr">
        <is>
          <t>27BBBBB03668Z5</t>
        </is>
      </c>
      <c r="B3668" t="inlineStr">
        <is>
          <t>Dec-2017</t>
        </is>
      </c>
      <c r="C3668" s="2" t="n">
        <v>43071</v>
      </c>
      <c r="D3668" t="inlineStr">
        <is>
          <t>NON-NIL</t>
        </is>
      </c>
      <c r="E3668" t="n">
        <v>2276</v>
      </c>
    </row>
    <row r="3669">
      <c r="A3669" t="inlineStr">
        <is>
          <t>27BBBBB03669Z5</t>
        </is>
      </c>
      <c r="B3669" t="inlineStr">
        <is>
          <t>May-2018</t>
        </is>
      </c>
      <c r="C3669" s="2" t="n">
        <v>43786</v>
      </c>
      <c r="D3669" t="inlineStr">
        <is>
          <t>NIL</t>
        </is>
      </c>
      <c r="E3669" t="n">
        <v>2686</v>
      </c>
    </row>
    <row r="3670">
      <c r="A3670" t="inlineStr">
        <is>
          <t>27BBBBB03670Z5</t>
        </is>
      </c>
      <c r="B3670" t="inlineStr">
        <is>
          <t>Mar-2021</t>
        </is>
      </c>
      <c r="C3670" s="2" t="n">
        <v>44737</v>
      </c>
      <c r="D3670" t="inlineStr">
        <is>
          <t>NIL</t>
        </is>
      </c>
      <c r="E3670" t="n">
        <v>1638</v>
      </c>
    </row>
    <row r="3671">
      <c r="A3671" t="inlineStr">
        <is>
          <t>27BBBBB03671Z5</t>
        </is>
      </c>
      <c r="B3671" t="inlineStr">
        <is>
          <t>Sep-2017</t>
        </is>
      </c>
      <c r="C3671" s="2" t="n">
        <v>43477</v>
      </c>
      <c r="D3671" t="inlineStr">
        <is>
          <t>NON-NIL</t>
        </is>
      </c>
      <c r="E3671" t="n">
        <v>1493</v>
      </c>
    </row>
    <row r="3672">
      <c r="A3672" t="inlineStr">
        <is>
          <t>27BBBBB03672Z5</t>
        </is>
      </c>
      <c r="B3672" t="inlineStr">
        <is>
          <t>Mar-2023</t>
        </is>
      </c>
      <c r="C3672" s="2" t="n">
        <v>43599</v>
      </c>
      <c r="D3672" t="inlineStr">
        <is>
          <t>NIL</t>
        </is>
      </c>
      <c r="E3672" t="n">
        <v>640</v>
      </c>
    </row>
    <row r="3673">
      <c r="A3673" t="inlineStr">
        <is>
          <t>27BBBBB03673Z5</t>
        </is>
      </c>
      <c r="B3673" t="inlineStr">
        <is>
          <t>Apr-2020</t>
        </is>
      </c>
      <c r="C3673" s="2" t="n">
        <v>43863</v>
      </c>
      <c r="D3673" t="inlineStr">
        <is>
          <t>NON-NIL</t>
        </is>
      </c>
      <c r="E3673" t="n">
        <v>978</v>
      </c>
    </row>
    <row r="3674">
      <c r="A3674" t="inlineStr">
        <is>
          <t>27BBBBB03674Z5</t>
        </is>
      </c>
      <c r="B3674" t="inlineStr">
        <is>
          <t>Sep-2017</t>
        </is>
      </c>
      <c r="C3674" s="2" t="n">
        <v>43243</v>
      </c>
      <c r="D3674" t="inlineStr">
        <is>
          <t>NON-NIL</t>
        </is>
      </c>
      <c r="E3674" t="n">
        <v>2196</v>
      </c>
    </row>
    <row r="3675">
      <c r="A3675" t="inlineStr">
        <is>
          <t>27BBBBB03675Z5</t>
        </is>
      </c>
      <c r="B3675" t="inlineStr">
        <is>
          <t>Dec-2024</t>
        </is>
      </c>
      <c r="C3675" s="2" t="n">
        <v>45206</v>
      </c>
      <c r="D3675" t="inlineStr">
        <is>
          <t>NON-NIL</t>
        </is>
      </c>
      <c r="E3675" t="n">
        <v>1872</v>
      </c>
    </row>
    <row r="3676">
      <c r="A3676" t="inlineStr">
        <is>
          <t>27BBBBB03676Z5</t>
        </is>
      </c>
      <c r="B3676" t="inlineStr">
        <is>
          <t>Sep-2018</t>
        </is>
      </c>
      <c r="C3676" s="2" t="n">
        <v>43624</v>
      </c>
      <c r="D3676" t="inlineStr">
        <is>
          <t>NON-NIL</t>
        </is>
      </c>
      <c r="E3676" t="n">
        <v>1202</v>
      </c>
    </row>
    <row r="3677">
      <c r="A3677" t="inlineStr">
        <is>
          <t>27BBBBB03677Z5</t>
        </is>
      </c>
      <c r="B3677" t="inlineStr">
        <is>
          <t>Jul-2018</t>
        </is>
      </c>
      <c r="C3677" s="2" t="n">
        <v>44166</v>
      </c>
      <c r="D3677" t="inlineStr">
        <is>
          <t>NIL</t>
        </is>
      </c>
      <c r="E3677" t="n">
        <v>1567</v>
      </c>
    </row>
    <row r="3678">
      <c r="A3678" t="inlineStr">
        <is>
          <t>27BBBBB03678Z5</t>
        </is>
      </c>
      <c r="B3678" t="inlineStr">
        <is>
          <t>Feb-2018</t>
        </is>
      </c>
      <c r="C3678" s="2" t="n">
        <v>43339</v>
      </c>
      <c r="D3678" t="inlineStr">
        <is>
          <t>NIL</t>
        </is>
      </c>
      <c r="E3678" t="n">
        <v>142</v>
      </c>
    </row>
    <row r="3679">
      <c r="A3679" t="inlineStr">
        <is>
          <t>27BBBBB03679Z5</t>
        </is>
      </c>
      <c r="B3679" t="inlineStr">
        <is>
          <t>Mar-2020</t>
        </is>
      </c>
      <c r="C3679" s="2" t="n">
        <v>44409</v>
      </c>
      <c r="D3679" t="inlineStr">
        <is>
          <t>NIL</t>
        </is>
      </c>
      <c r="E3679" t="n">
        <v>1664</v>
      </c>
    </row>
    <row r="3680">
      <c r="A3680" t="inlineStr">
        <is>
          <t>27BBBBB03680Z5</t>
        </is>
      </c>
      <c r="B3680" t="inlineStr">
        <is>
          <t>Nov-2018</t>
        </is>
      </c>
      <c r="C3680" s="2" t="n">
        <v>43643</v>
      </c>
      <c r="D3680" t="inlineStr">
        <is>
          <t>NIL</t>
        </is>
      </c>
      <c r="E3680" t="n">
        <v>349</v>
      </c>
    </row>
    <row r="3681">
      <c r="A3681" t="inlineStr">
        <is>
          <t>27BBBBB03681Z5</t>
        </is>
      </c>
      <c r="B3681" t="inlineStr">
        <is>
          <t>Mar-2020</t>
        </is>
      </c>
      <c r="C3681" s="2" t="n">
        <v>43834</v>
      </c>
      <c r="D3681" t="inlineStr">
        <is>
          <t>NON-NIL</t>
        </is>
      </c>
      <c r="E3681" t="n">
        <v>136</v>
      </c>
    </row>
    <row r="3682">
      <c r="A3682" t="inlineStr">
        <is>
          <t>27BBBBB03682Z5</t>
        </is>
      </c>
      <c r="B3682" t="inlineStr">
        <is>
          <t>Sep-2017</t>
        </is>
      </c>
      <c r="C3682" s="2" t="n">
        <v>44465</v>
      </c>
      <c r="D3682" t="inlineStr">
        <is>
          <t>NON-NIL</t>
        </is>
      </c>
      <c r="E3682" t="n">
        <v>1558</v>
      </c>
    </row>
    <row r="3683">
      <c r="A3683" t="inlineStr">
        <is>
          <t>27BBBBB03683Z5</t>
        </is>
      </c>
      <c r="B3683" t="inlineStr">
        <is>
          <t>Oct-2017</t>
        </is>
      </c>
      <c r="C3683" s="2" t="n">
        <v>43972</v>
      </c>
      <c r="D3683" t="inlineStr">
        <is>
          <t>NON-NIL</t>
        </is>
      </c>
      <c r="E3683" t="n">
        <v>232</v>
      </c>
    </row>
    <row r="3684">
      <c r="A3684" t="inlineStr">
        <is>
          <t>27BBBBB03684Z5</t>
        </is>
      </c>
      <c r="B3684" t="inlineStr">
        <is>
          <t>Dec-2022</t>
        </is>
      </c>
      <c r="C3684" s="2" t="n">
        <v>44136</v>
      </c>
      <c r="D3684" t="inlineStr">
        <is>
          <t>NON-NIL</t>
        </is>
      </c>
      <c r="E3684" t="n">
        <v>2856</v>
      </c>
    </row>
    <row r="3685">
      <c r="A3685" t="inlineStr">
        <is>
          <t>27BBBBB03685Z5</t>
        </is>
      </c>
      <c r="B3685" t="inlineStr">
        <is>
          <t>Mar-2023</t>
        </is>
      </c>
      <c r="C3685" s="2" t="n">
        <v>44401</v>
      </c>
      <c r="D3685" t="inlineStr">
        <is>
          <t>NIL</t>
        </is>
      </c>
      <c r="E3685" t="n">
        <v>1091</v>
      </c>
    </row>
    <row r="3686">
      <c r="A3686" t="inlineStr">
        <is>
          <t>27BBBBB03686Z5</t>
        </is>
      </c>
      <c r="B3686" t="inlineStr">
        <is>
          <t>Dec-2022</t>
        </is>
      </c>
      <c r="C3686" s="2" t="n">
        <v>45063</v>
      </c>
      <c r="D3686" t="inlineStr">
        <is>
          <t>NON-NIL</t>
        </is>
      </c>
      <c r="E3686" t="n">
        <v>2204</v>
      </c>
    </row>
    <row r="3687">
      <c r="A3687" t="inlineStr">
        <is>
          <t>27BBBBB03687Z5</t>
        </is>
      </c>
      <c r="B3687" t="inlineStr">
        <is>
          <t>Mar-2021</t>
        </is>
      </c>
      <c r="C3687" s="2" t="n">
        <v>44413</v>
      </c>
      <c r="D3687" t="inlineStr">
        <is>
          <t>NIL</t>
        </is>
      </c>
      <c r="E3687" t="n">
        <v>1248</v>
      </c>
    </row>
    <row r="3688">
      <c r="A3688" t="inlineStr">
        <is>
          <t>27BBBBB03688Z5</t>
        </is>
      </c>
      <c r="B3688" t="inlineStr">
        <is>
          <t>Jul-2020</t>
        </is>
      </c>
      <c r="C3688" s="2" t="n">
        <v>44625</v>
      </c>
      <c r="D3688" t="inlineStr">
        <is>
          <t>NON-NIL</t>
        </is>
      </c>
      <c r="E3688" t="n">
        <v>645</v>
      </c>
    </row>
    <row r="3689">
      <c r="A3689" t="inlineStr">
        <is>
          <t>27BBBBB03689Z5</t>
        </is>
      </c>
      <c r="B3689" t="inlineStr">
        <is>
          <t>May-2018</t>
        </is>
      </c>
      <c r="C3689" s="2" t="n">
        <v>44497</v>
      </c>
      <c r="D3689" t="inlineStr">
        <is>
          <t>NIL</t>
        </is>
      </c>
      <c r="E3689" t="n">
        <v>2081</v>
      </c>
    </row>
    <row r="3690">
      <c r="A3690" t="inlineStr">
        <is>
          <t>27BBBBB03690Z5</t>
        </is>
      </c>
      <c r="B3690" t="inlineStr">
        <is>
          <t>Dec-2022</t>
        </is>
      </c>
      <c r="C3690" s="2" t="n">
        <v>45584</v>
      </c>
      <c r="D3690" t="inlineStr">
        <is>
          <t>NIL</t>
        </is>
      </c>
      <c r="E3690" t="n">
        <v>973</v>
      </c>
    </row>
    <row r="3691">
      <c r="A3691" t="inlineStr">
        <is>
          <t>27BBBBB03691Z5</t>
        </is>
      </c>
      <c r="B3691" t="inlineStr">
        <is>
          <t>Nov-2017</t>
        </is>
      </c>
      <c r="C3691" s="2" t="n">
        <v>44501</v>
      </c>
      <c r="D3691" t="inlineStr">
        <is>
          <t>NON-NIL</t>
        </is>
      </c>
      <c r="E3691" t="n">
        <v>2590</v>
      </c>
    </row>
    <row r="3692">
      <c r="A3692" t="inlineStr">
        <is>
          <t>27BBBBB03692Z5</t>
        </is>
      </c>
      <c r="B3692" t="inlineStr">
        <is>
          <t>Jan-2018</t>
        </is>
      </c>
      <c r="C3692" s="2" t="n">
        <v>44195</v>
      </c>
      <c r="D3692" t="inlineStr">
        <is>
          <t>NON-NIL</t>
        </is>
      </c>
      <c r="E3692" t="n">
        <v>2339</v>
      </c>
    </row>
    <row r="3693">
      <c r="A3693" t="inlineStr">
        <is>
          <t>27BBBBB03693Z5</t>
        </is>
      </c>
      <c r="B3693" t="inlineStr">
        <is>
          <t>Aug-2018</t>
        </is>
      </c>
      <c r="C3693" s="2" t="n">
        <v>44200</v>
      </c>
      <c r="D3693" t="inlineStr">
        <is>
          <t>NON-NIL</t>
        </is>
      </c>
      <c r="E3693" t="n">
        <v>2943</v>
      </c>
    </row>
    <row r="3694">
      <c r="A3694" t="inlineStr">
        <is>
          <t>27BBBBB03694Z5</t>
        </is>
      </c>
      <c r="B3694" t="inlineStr">
        <is>
          <t>Jun-2020</t>
        </is>
      </c>
      <c r="C3694" s="2" t="n">
        <v>44748</v>
      </c>
      <c r="D3694" t="inlineStr">
        <is>
          <t>NON-NIL</t>
        </is>
      </c>
      <c r="E3694" t="n">
        <v>872</v>
      </c>
    </row>
    <row r="3695">
      <c r="A3695" t="inlineStr">
        <is>
          <t>27BBBBB03695Z5</t>
        </is>
      </c>
      <c r="B3695" t="inlineStr">
        <is>
          <t>Nov-2017</t>
        </is>
      </c>
      <c r="C3695" s="2" t="n">
        <v>43427</v>
      </c>
      <c r="D3695" t="inlineStr">
        <is>
          <t>NON-NIL</t>
        </is>
      </c>
      <c r="E3695" t="n">
        <v>642</v>
      </c>
    </row>
    <row r="3696">
      <c r="A3696" t="inlineStr">
        <is>
          <t>27BBBBB03696Z5</t>
        </is>
      </c>
      <c r="B3696" t="inlineStr">
        <is>
          <t>Mar-2018</t>
        </is>
      </c>
      <c r="C3696" s="2" t="n">
        <v>44128</v>
      </c>
      <c r="D3696" t="inlineStr">
        <is>
          <t>NIL</t>
        </is>
      </c>
      <c r="E3696" t="n">
        <v>2475</v>
      </c>
    </row>
    <row r="3697">
      <c r="A3697" t="inlineStr">
        <is>
          <t>27BBBBB03697Z5</t>
        </is>
      </c>
      <c r="B3697" t="inlineStr">
        <is>
          <t>Dec-2017</t>
        </is>
      </c>
      <c r="C3697" s="2" t="n">
        <v>44246</v>
      </c>
      <c r="D3697" t="inlineStr">
        <is>
          <t>NIL</t>
        </is>
      </c>
      <c r="E3697" t="n">
        <v>1011</v>
      </c>
    </row>
    <row r="3698">
      <c r="A3698" t="inlineStr">
        <is>
          <t>27BBBBB03698Z5</t>
        </is>
      </c>
      <c r="B3698" t="inlineStr">
        <is>
          <t>Feb-2018</t>
        </is>
      </c>
      <c r="C3698" s="2" t="n">
        <v>43200</v>
      </c>
      <c r="D3698" t="inlineStr">
        <is>
          <t>NON-NIL</t>
        </is>
      </c>
      <c r="E3698" t="n">
        <v>21</v>
      </c>
    </row>
    <row r="3699">
      <c r="A3699" t="inlineStr">
        <is>
          <t>27BBBBB03699Z5</t>
        </is>
      </c>
      <c r="B3699" t="inlineStr">
        <is>
          <t>Jul-2018</t>
        </is>
      </c>
      <c r="C3699" s="2" t="n">
        <v>43064</v>
      </c>
      <c r="D3699" t="inlineStr">
        <is>
          <t>NON-NIL</t>
        </is>
      </c>
      <c r="E3699" t="n">
        <v>2806</v>
      </c>
    </row>
    <row r="3700">
      <c r="A3700" t="inlineStr">
        <is>
          <t>27BBBBB03700Z5</t>
        </is>
      </c>
      <c r="B3700" t="inlineStr">
        <is>
          <t>Apr-2020</t>
        </is>
      </c>
      <c r="C3700" s="2" t="n">
        <v>44422</v>
      </c>
      <c r="D3700" t="inlineStr">
        <is>
          <t>NON-NIL</t>
        </is>
      </c>
      <c r="E3700" t="n">
        <v>82</v>
      </c>
    </row>
    <row r="3701">
      <c r="A3701" t="inlineStr">
        <is>
          <t>27BBBBB03701Z5</t>
        </is>
      </c>
      <c r="B3701" t="inlineStr">
        <is>
          <t>Jun-2018</t>
        </is>
      </c>
      <c r="C3701" s="2" t="n">
        <v>43728</v>
      </c>
      <c r="D3701" t="inlineStr">
        <is>
          <t>NIL</t>
        </is>
      </c>
      <c r="E3701" t="n">
        <v>1834</v>
      </c>
    </row>
    <row r="3702">
      <c r="A3702" t="inlineStr">
        <is>
          <t>27BBBBB03702Z5</t>
        </is>
      </c>
      <c r="B3702" t="inlineStr">
        <is>
          <t>Mar-2018</t>
        </is>
      </c>
      <c r="C3702" s="2" t="n">
        <v>43676</v>
      </c>
      <c r="D3702" t="inlineStr">
        <is>
          <t>NIL</t>
        </is>
      </c>
      <c r="E3702" t="n">
        <v>1500</v>
      </c>
    </row>
    <row r="3703">
      <c r="A3703" t="inlineStr">
        <is>
          <t>27BBBBB03703Z5</t>
        </is>
      </c>
      <c r="B3703" t="inlineStr">
        <is>
          <t>Jan-2021</t>
        </is>
      </c>
      <c r="C3703" s="2" t="n">
        <v>45131</v>
      </c>
      <c r="D3703" t="inlineStr">
        <is>
          <t>NON-NIL</t>
        </is>
      </c>
      <c r="E3703" t="n">
        <v>2729</v>
      </c>
    </row>
    <row r="3704">
      <c r="A3704" t="inlineStr">
        <is>
          <t>27BBBBB03704Z5</t>
        </is>
      </c>
      <c r="B3704" t="inlineStr">
        <is>
          <t>Nov-2018</t>
        </is>
      </c>
      <c r="C3704" s="2" t="n">
        <v>43260</v>
      </c>
      <c r="D3704" t="inlineStr">
        <is>
          <t>NON-NIL</t>
        </is>
      </c>
      <c r="E3704" t="n">
        <v>341</v>
      </c>
    </row>
    <row r="3705">
      <c r="A3705" t="inlineStr">
        <is>
          <t>27BBBBB03705Z5</t>
        </is>
      </c>
      <c r="B3705" t="inlineStr">
        <is>
          <t>Dec-2024</t>
        </is>
      </c>
      <c r="C3705" s="2" t="n">
        <v>45225</v>
      </c>
      <c r="D3705" t="inlineStr">
        <is>
          <t>NIL</t>
        </is>
      </c>
      <c r="E3705" t="n">
        <v>817</v>
      </c>
    </row>
    <row r="3706">
      <c r="A3706" t="inlineStr">
        <is>
          <t>27BBBBB03706Z5</t>
        </is>
      </c>
      <c r="B3706" t="inlineStr">
        <is>
          <t>Mar-2018</t>
        </is>
      </c>
      <c r="C3706" s="2" t="n">
        <v>43372</v>
      </c>
      <c r="D3706" t="inlineStr">
        <is>
          <t>NIL</t>
        </is>
      </c>
      <c r="E3706" t="n">
        <v>639</v>
      </c>
    </row>
    <row r="3707">
      <c r="A3707" t="inlineStr">
        <is>
          <t>27BBBBB03707Z5</t>
        </is>
      </c>
      <c r="B3707" t="inlineStr">
        <is>
          <t>Mar-2021</t>
        </is>
      </c>
      <c r="C3707" s="2" t="n">
        <v>44854</v>
      </c>
      <c r="D3707" t="inlineStr">
        <is>
          <t>NIL</t>
        </is>
      </c>
      <c r="E3707" t="n">
        <v>759</v>
      </c>
    </row>
    <row r="3708">
      <c r="A3708" t="inlineStr">
        <is>
          <t>27BBBBB03708Z5</t>
        </is>
      </c>
      <c r="B3708" t="inlineStr">
        <is>
          <t>May-2018</t>
        </is>
      </c>
      <c r="C3708" s="2" t="n">
        <v>43719</v>
      </c>
      <c r="D3708" t="inlineStr">
        <is>
          <t>NIL</t>
        </is>
      </c>
      <c r="E3708" t="n">
        <v>341</v>
      </c>
    </row>
    <row r="3709">
      <c r="A3709" t="inlineStr">
        <is>
          <t>27BBBBB03709Z5</t>
        </is>
      </c>
      <c r="B3709" t="inlineStr">
        <is>
          <t>Apr-2020</t>
        </is>
      </c>
      <c r="C3709" s="2" t="n">
        <v>44737</v>
      </c>
      <c r="D3709" t="inlineStr">
        <is>
          <t>NON-NIL</t>
        </is>
      </c>
      <c r="E3709" t="n">
        <v>1946</v>
      </c>
    </row>
    <row r="3710">
      <c r="A3710" t="inlineStr">
        <is>
          <t>27BBBBB03710Z5</t>
        </is>
      </c>
      <c r="B3710" t="inlineStr">
        <is>
          <t>Aug-2018</t>
        </is>
      </c>
      <c r="C3710" s="2" t="n">
        <v>43014</v>
      </c>
      <c r="D3710" t="inlineStr">
        <is>
          <t>NON-NIL</t>
        </is>
      </c>
      <c r="E3710" t="n">
        <v>3000</v>
      </c>
    </row>
    <row r="3711">
      <c r="A3711" t="inlineStr">
        <is>
          <t>27BBBBB03711Z5</t>
        </is>
      </c>
      <c r="B3711" t="inlineStr">
        <is>
          <t>Apr-2018</t>
        </is>
      </c>
      <c r="C3711" s="2" t="n">
        <v>43036</v>
      </c>
      <c r="D3711" t="inlineStr">
        <is>
          <t>NON-NIL</t>
        </is>
      </c>
      <c r="E3711" t="n">
        <v>602</v>
      </c>
    </row>
    <row r="3712">
      <c r="A3712" t="inlineStr">
        <is>
          <t>27BBBBB03712Z5</t>
        </is>
      </c>
      <c r="B3712" t="inlineStr">
        <is>
          <t>Mar-2018</t>
        </is>
      </c>
      <c r="C3712" s="2" t="n">
        <v>43139</v>
      </c>
      <c r="D3712" t="inlineStr">
        <is>
          <t>NON-NIL</t>
        </is>
      </c>
      <c r="E3712" t="n">
        <v>599</v>
      </c>
    </row>
    <row r="3713">
      <c r="A3713" t="inlineStr">
        <is>
          <t>27BBBBB03713Z5</t>
        </is>
      </c>
      <c r="B3713" t="inlineStr">
        <is>
          <t>Jul-2020</t>
        </is>
      </c>
      <c r="C3713" s="2" t="n">
        <v>44683</v>
      </c>
      <c r="D3713" t="inlineStr">
        <is>
          <t>NON-NIL</t>
        </is>
      </c>
      <c r="E3713" t="n">
        <v>1536</v>
      </c>
    </row>
    <row r="3714">
      <c r="A3714" t="inlineStr">
        <is>
          <t>27BBBBB03714Z5</t>
        </is>
      </c>
      <c r="B3714" t="inlineStr">
        <is>
          <t>Nov-2017</t>
        </is>
      </c>
      <c r="C3714" s="2" t="n">
        <v>43782</v>
      </c>
      <c r="D3714" t="inlineStr">
        <is>
          <t>NIL</t>
        </is>
      </c>
      <c r="E3714" t="n">
        <v>1618</v>
      </c>
    </row>
    <row r="3715">
      <c r="A3715" t="inlineStr">
        <is>
          <t>27BBBBB03715Z5</t>
        </is>
      </c>
      <c r="B3715" t="inlineStr">
        <is>
          <t>Aug-2017</t>
        </is>
      </c>
      <c r="C3715" s="2" t="n">
        <v>43442</v>
      </c>
      <c r="D3715" t="inlineStr">
        <is>
          <t>NON-NIL</t>
        </is>
      </c>
      <c r="E3715" t="n">
        <v>1216</v>
      </c>
    </row>
    <row r="3716">
      <c r="A3716" t="inlineStr">
        <is>
          <t>27BBBBB03716Z5</t>
        </is>
      </c>
      <c r="B3716" t="inlineStr">
        <is>
          <t>Feb-2018</t>
        </is>
      </c>
      <c r="C3716" s="2" t="n">
        <v>42971</v>
      </c>
      <c r="D3716" t="inlineStr">
        <is>
          <t>NIL</t>
        </is>
      </c>
      <c r="E3716" t="n">
        <v>1796</v>
      </c>
    </row>
    <row r="3717">
      <c r="A3717" t="inlineStr">
        <is>
          <t>27BBBBB03717Z5</t>
        </is>
      </c>
      <c r="B3717" t="inlineStr">
        <is>
          <t>Dec-2017</t>
        </is>
      </c>
      <c r="C3717" s="2" t="n">
        <v>43542</v>
      </c>
      <c r="D3717" t="inlineStr">
        <is>
          <t>NON-NIL</t>
        </is>
      </c>
      <c r="E3717" t="n">
        <v>1611</v>
      </c>
    </row>
    <row r="3718">
      <c r="A3718" t="inlineStr">
        <is>
          <t>27BBBBB03718Z5</t>
        </is>
      </c>
      <c r="B3718" t="inlineStr">
        <is>
          <t>Jul-2018</t>
        </is>
      </c>
      <c r="C3718" s="2" t="n">
        <v>44329</v>
      </c>
      <c r="D3718" t="inlineStr">
        <is>
          <t>NIL</t>
        </is>
      </c>
      <c r="E3718" t="n">
        <v>1462</v>
      </c>
    </row>
    <row r="3719">
      <c r="A3719" t="inlineStr">
        <is>
          <t>27BBBBB03719Z5</t>
        </is>
      </c>
      <c r="B3719" t="inlineStr">
        <is>
          <t>Mar-2021</t>
        </is>
      </c>
      <c r="C3719" s="2" t="n">
        <v>44358</v>
      </c>
      <c r="D3719" t="inlineStr">
        <is>
          <t>NIL</t>
        </is>
      </c>
      <c r="E3719" t="n">
        <v>892</v>
      </c>
    </row>
    <row r="3720">
      <c r="A3720" t="inlineStr">
        <is>
          <t>27BBBBB03720Z5</t>
        </is>
      </c>
      <c r="B3720" t="inlineStr">
        <is>
          <t>Apr-2020</t>
        </is>
      </c>
      <c r="C3720" s="2" t="n">
        <v>44815</v>
      </c>
      <c r="D3720" t="inlineStr">
        <is>
          <t>NIL</t>
        </is>
      </c>
      <c r="E3720" t="n">
        <v>1893</v>
      </c>
    </row>
    <row r="3721">
      <c r="A3721" t="inlineStr">
        <is>
          <t>27BBBBB03721Z5</t>
        </is>
      </c>
      <c r="B3721" t="inlineStr">
        <is>
          <t>Apr-2018</t>
        </is>
      </c>
      <c r="C3721" s="2" t="n">
        <v>43895</v>
      </c>
      <c r="D3721" t="inlineStr">
        <is>
          <t>NON-NIL</t>
        </is>
      </c>
      <c r="E3721" t="n">
        <v>1555</v>
      </c>
    </row>
    <row r="3722">
      <c r="A3722" t="inlineStr">
        <is>
          <t>27BBBBB03722Z5</t>
        </is>
      </c>
      <c r="B3722" t="inlineStr">
        <is>
          <t>Dec-2022</t>
        </is>
      </c>
      <c r="C3722" s="2" t="n">
        <v>44384</v>
      </c>
      <c r="D3722" t="inlineStr">
        <is>
          <t>NON-NIL</t>
        </is>
      </c>
      <c r="E3722" t="n">
        <v>1934</v>
      </c>
    </row>
    <row r="3723">
      <c r="A3723" t="inlineStr">
        <is>
          <t>27BBBBB03723Z5</t>
        </is>
      </c>
      <c r="B3723" t="inlineStr">
        <is>
          <t>Jan-2021</t>
        </is>
      </c>
      <c r="C3723" s="2" t="n">
        <v>45438</v>
      </c>
      <c r="D3723" t="inlineStr">
        <is>
          <t>NIL</t>
        </is>
      </c>
      <c r="E3723" t="n">
        <v>1249</v>
      </c>
    </row>
    <row r="3724">
      <c r="A3724" t="inlineStr">
        <is>
          <t>27BBBBB03724Z5</t>
        </is>
      </c>
      <c r="B3724" t="inlineStr">
        <is>
          <t>Mar-2021</t>
        </is>
      </c>
      <c r="C3724" s="2" t="n">
        <v>44187</v>
      </c>
      <c r="D3724" t="inlineStr">
        <is>
          <t>NON-NIL</t>
        </is>
      </c>
      <c r="E3724" t="n">
        <v>691</v>
      </c>
    </row>
    <row r="3725">
      <c r="A3725" t="inlineStr">
        <is>
          <t>27BBBBB03725Z5</t>
        </is>
      </c>
      <c r="B3725" t="inlineStr">
        <is>
          <t>Oct-2018</t>
        </is>
      </c>
      <c r="C3725" s="2" t="n">
        <v>43961</v>
      </c>
      <c r="D3725" t="inlineStr">
        <is>
          <t>NON-NIL</t>
        </is>
      </c>
      <c r="E3725" t="n">
        <v>2833</v>
      </c>
    </row>
    <row r="3726">
      <c r="A3726" t="inlineStr">
        <is>
          <t>27BBBBB03726Z5</t>
        </is>
      </c>
      <c r="B3726" t="inlineStr">
        <is>
          <t>Sep-2017</t>
        </is>
      </c>
      <c r="C3726" s="2" t="n">
        <v>43277</v>
      </c>
      <c r="D3726" t="inlineStr">
        <is>
          <t>NON-NIL</t>
        </is>
      </c>
      <c r="E3726" t="n">
        <v>2623</v>
      </c>
    </row>
    <row r="3727">
      <c r="A3727" t="inlineStr">
        <is>
          <t>27BBBBB03727Z5</t>
        </is>
      </c>
      <c r="B3727" t="inlineStr">
        <is>
          <t>Aug-2018</t>
        </is>
      </c>
      <c r="C3727" s="2" t="n">
        <v>44494</v>
      </c>
      <c r="D3727" t="inlineStr">
        <is>
          <t>NIL</t>
        </is>
      </c>
      <c r="E3727" t="n">
        <v>547</v>
      </c>
    </row>
    <row r="3728">
      <c r="A3728" t="inlineStr">
        <is>
          <t>27BBBBB03728Z5</t>
        </is>
      </c>
      <c r="B3728" t="inlineStr">
        <is>
          <t>Mar-2021</t>
        </is>
      </c>
      <c r="C3728" s="2" t="n">
        <v>45533</v>
      </c>
      <c r="D3728" t="inlineStr">
        <is>
          <t>NIL</t>
        </is>
      </c>
      <c r="E3728" t="n">
        <v>1747</v>
      </c>
    </row>
    <row r="3729">
      <c r="A3729" t="inlineStr">
        <is>
          <t>27BBBBB03729Z5</t>
        </is>
      </c>
      <c r="B3729" t="inlineStr">
        <is>
          <t>Oct-2017</t>
        </is>
      </c>
      <c r="C3729" s="2" t="n">
        <v>43243</v>
      </c>
      <c r="D3729" t="inlineStr">
        <is>
          <t>NON-NIL</t>
        </is>
      </c>
      <c r="E3729" t="n">
        <v>2924</v>
      </c>
    </row>
    <row r="3730">
      <c r="A3730" t="inlineStr">
        <is>
          <t>27BBBBB03730Z5</t>
        </is>
      </c>
      <c r="B3730" t="inlineStr">
        <is>
          <t>Mar-2020</t>
        </is>
      </c>
      <c r="C3730" s="2" t="n">
        <v>44776</v>
      </c>
      <c r="D3730" t="inlineStr">
        <is>
          <t>NON-NIL</t>
        </is>
      </c>
      <c r="E3730" t="n">
        <v>2495</v>
      </c>
    </row>
    <row r="3731">
      <c r="A3731" t="inlineStr">
        <is>
          <t>27BBBBB03731Z5</t>
        </is>
      </c>
      <c r="B3731" t="inlineStr">
        <is>
          <t>Mar-2020</t>
        </is>
      </c>
      <c r="C3731" s="2" t="n">
        <v>44417</v>
      </c>
      <c r="D3731" t="inlineStr">
        <is>
          <t>NIL</t>
        </is>
      </c>
      <c r="E3731" t="n">
        <v>2387</v>
      </c>
    </row>
    <row r="3732">
      <c r="A3732" t="inlineStr">
        <is>
          <t>27BBBBB03732Z5</t>
        </is>
      </c>
      <c r="B3732" t="inlineStr">
        <is>
          <t>Apr-2018</t>
        </is>
      </c>
      <c r="C3732" s="2" t="n">
        <v>44336</v>
      </c>
      <c r="D3732" t="inlineStr">
        <is>
          <t>NIL</t>
        </is>
      </c>
      <c r="E3732" t="n">
        <v>1667</v>
      </c>
    </row>
    <row r="3733">
      <c r="A3733" t="inlineStr">
        <is>
          <t>27BBBBB03733Z5</t>
        </is>
      </c>
      <c r="B3733" t="inlineStr">
        <is>
          <t>Jul-2020</t>
        </is>
      </c>
      <c r="C3733" s="2" t="n">
        <v>44080</v>
      </c>
      <c r="D3733" t="inlineStr">
        <is>
          <t>NIL</t>
        </is>
      </c>
      <c r="E3733" t="n">
        <v>1876</v>
      </c>
    </row>
    <row r="3734">
      <c r="A3734" t="inlineStr">
        <is>
          <t>27BBBBB03734Z5</t>
        </is>
      </c>
      <c r="B3734" t="inlineStr">
        <is>
          <t>Jun-2018</t>
        </is>
      </c>
      <c r="C3734" s="2" t="n">
        <v>43739</v>
      </c>
      <c r="D3734" t="inlineStr">
        <is>
          <t>NIL</t>
        </is>
      </c>
      <c r="E3734" t="n">
        <v>2962</v>
      </c>
    </row>
    <row r="3735">
      <c r="A3735" t="inlineStr">
        <is>
          <t>27BBBBB03735Z5</t>
        </is>
      </c>
      <c r="B3735" t="inlineStr">
        <is>
          <t>Jul-2017</t>
        </is>
      </c>
      <c r="C3735" s="2" t="n">
        <v>43519</v>
      </c>
      <c r="D3735" t="inlineStr">
        <is>
          <t>NIL</t>
        </is>
      </c>
      <c r="E3735" t="n">
        <v>2289</v>
      </c>
    </row>
    <row r="3736">
      <c r="A3736" t="inlineStr">
        <is>
          <t>27BBBBB03736Z5</t>
        </is>
      </c>
      <c r="B3736" t="inlineStr">
        <is>
          <t>Aug-2018</t>
        </is>
      </c>
      <c r="C3736" s="2" t="n">
        <v>43884</v>
      </c>
      <c r="D3736" t="inlineStr">
        <is>
          <t>NIL</t>
        </is>
      </c>
      <c r="E3736" t="n">
        <v>586</v>
      </c>
    </row>
    <row r="3737">
      <c r="A3737" t="inlineStr">
        <is>
          <t>27BBBBB03737Z5</t>
        </is>
      </c>
      <c r="B3737" t="inlineStr">
        <is>
          <t>May-2018</t>
        </is>
      </c>
      <c r="C3737" s="2" t="n">
        <v>44537</v>
      </c>
      <c r="D3737" t="inlineStr">
        <is>
          <t>NON-NIL</t>
        </is>
      </c>
      <c r="E3737" t="n">
        <v>2061</v>
      </c>
    </row>
    <row r="3738">
      <c r="A3738" t="inlineStr">
        <is>
          <t>27BBBBB03738Z5</t>
        </is>
      </c>
      <c r="B3738" t="inlineStr">
        <is>
          <t>Mar-2018</t>
        </is>
      </c>
      <c r="C3738" s="2" t="n">
        <v>43983</v>
      </c>
      <c r="D3738" t="inlineStr">
        <is>
          <t>NIL</t>
        </is>
      </c>
      <c r="E3738" t="n">
        <v>123</v>
      </c>
    </row>
    <row r="3739">
      <c r="A3739" t="inlineStr">
        <is>
          <t>27BBBBB03739Z5</t>
        </is>
      </c>
      <c r="B3739" t="inlineStr">
        <is>
          <t>Jul-2018</t>
        </is>
      </c>
      <c r="C3739" s="2" t="n">
        <v>43244</v>
      </c>
      <c r="D3739" t="inlineStr">
        <is>
          <t>NON-NIL</t>
        </is>
      </c>
      <c r="E3739" t="n">
        <v>1884</v>
      </c>
    </row>
    <row r="3740">
      <c r="A3740" t="inlineStr">
        <is>
          <t>27BBBBB03740Z5</t>
        </is>
      </c>
      <c r="B3740" t="inlineStr">
        <is>
          <t>Sep-2017</t>
        </is>
      </c>
      <c r="C3740" s="2" t="n">
        <v>43709</v>
      </c>
      <c r="D3740" t="inlineStr">
        <is>
          <t>NON-NIL</t>
        </is>
      </c>
      <c r="E3740" t="n">
        <v>1604</v>
      </c>
    </row>
    <row r="3741">
      <c r="A3741" t="inlineStr">
        <is>
          <t>27BBBBB03741Z5</t>
        </is>
      </c>
      <c r="B3741" t="inlineStr">
        <is>
          <t>Apr-2020</t>
        </is>
      </c>
      <c r="C3741" s="2" t="n">
        <v>44228</v>
      </c>
      <c r="D3741" t="inlineStr">
        <is>
          <t>NON-NIL</t>
        </is>
      </c>
      <c r="E3741" t="n">
        <v>1298</v>
      </c>
    </row>
    <row r="3742">
      <c r="A3742" t="inlineStr">
        <is>
          <t>27BBBBB03742Z5</t>
        </is>
      </c>
      <c r="B3742" t="inlineStr">
        <is>
          <t>Sep-2017</t>
        </is>
      </c>
      <c r="C3742" s="2" t="n">
        <v>43290</v>
      </c>
      <c r="D3742" t="inlineStr">
        <is>
          <t>NIL</t>
        </is>
      </c>
      <c r="E3742" t="n">
        <v>1377</v>
      </c>
    </row>
    <row r="3743">
      <c r="A3743" t="inlineStr">
        <is>
          <t>27BBBBB03743Z5</t>
        </is>
      </c>
      <c r="B3743" t="inlineStr">
        <is>
          <t>Mar-2018</t>
        </is>
      </c>
      <c r="C3743" s="2" t="n">
        <v>43144</v>
      </c>
      <c r="D3743" t="inlineStr">
        <is>
          <t>NON-NIL</t>
        </is>
      </c>
      <c r="E3743" t="n">
        <v>527</v>
      </c>
    </row>
    <row r="3744">
      <c r="A3744" t="inlineStr">
        <is>
          <t>27BBBBB03744Z5</t>
        </is>
      </c>
      <c r="B3744" t="inlineStr">
        <is>
          <t>Nov-2018</t>
        </is>
      </c>
      <c r="C3744" s="2" t="n">
        <v>42970</v>
      </c>
      <c r="D3744" t="inlineStr">
        <is>
          <t>NON-NIL</t>
        </is>
      </c>
      <c r="E3744" t="n">
        <v>2052</v>
      </c>
    </row>
    <row r="3745">
      <c r="A3745" t="inlineStr">
        <is>
          <t>27BBBBB03745Z5</t>
        </is>
      </c>
      <c r="B3745" t="inlineStr">
        <is>
          <t>Aug-2018</t>
        </is>
      </c>
      <c r="C3745" s="2" t="n">
        <v>44454</v>
      </c>
      <c r="D3745" t="inlineStr">
        <is>
          <t>NON-NIL</t>
        </is>
      </c>
      <c r="E3745" t="n">
        <v>1902</v>
      </c>
    </row>
    <row r="3746">
      <c r="A3746" t="inlineStr">
        <is>
          <t>27BBBBB03746Z5</t>
        </is>
      </c>
      <c r="B3746" t="inlineStr">
        <is>
          <t>Mar-2021</t>
        </is>
      </c>
      <c r="C3746" s="2" t="n">
        <v>45446</v>
      </c>
      <c r="D3746" t="inlineStr">
        <is>
          <t>NIL</t>
        </is>
      </c>
      <c r="E3746" t="n">
        <v>465</v>
      </c>
    </row>
    <row r="3747">
      <c r="A3747" t="inlineStr">
        <is>
          <t>27BBBBB03747Z5</t>
        </is>
      </c>
      <c r="B3747" t="inlineStr">
        <is>
          <t>Aug-2018</t>
        </is>
      </c>
      <c r="C3747" s="2" t="n">
        <v>44107</v>
      </c>
      <c r="D3747" t="inlineStr">
        <is>
          <t>NON-NIL</t>
        </is>
      </c>
      <c r="E3747" t="n">
        <v>567</v>
      </c>
    </row>
    <row r="3748">
      <c r="A3748" t="inlineStr">
        <is>
          <t>27BBBBB03748Z5</t>
        </is>
      </c>
      <c r="B3748" t="inlineStr">
        <is>
          <t>Jul-2017</t>
        </is>
      </c>
      <c r="C3748" s="2" t="n">
        <v>44442</v>
      </c>
      <c r="D3748" t="inlineStr">
        <is>
          <t>NIL</t>
        </is>
      </c>
      <c r="E3748" t="n">
        <v>2717</v>
      </c>
    </row>
    <row r="3749">
      <c r="A3749" t="inlineStr">
        <is>
          <t>27BBBBB03749Z5</t>
        </is>
      </c>
      <c r="B3749" t="inlineStr">
        <is>
          <t>Feb-2018</t>
        </is>
      </c>
      <c r="C3749" s="2" t="n">
        <v>43312</v>
      </c>
      <c r="D3749" t="inlineStr">
        <is>
          <t>NON-NIL</t>
        </is>
      </c>
      <c r="E3749" t="n">
        <v>514</v>
      </c>
    </row>
    <row r="3750">
      <c r="A3750" t="inlineStr">
        <is>
          <t>27BBBBB03750Z5</t>
        </is>
      </c>
      <c r="B3750" t="inlineStr">
        <is>
          <t>Oct-2018</t>
        </is>
      </c>
      <c r="C3750" s="2" t="n">
        <v>42979</v>
      </c>
      <c r="D3750" t="inlineStr">
        <is>
          <t>NON-NIL</t>
        </is>
      </c>
      <c r="E3750" t="n">
        <v>1520</v>
      </c>
    </row>
    <row r="3751">
      <c r="A3751" t="inlineStr">
        <is>
          <t>27BBBBB03751Z5</t>
        </is>
      </c>
      <c r="B3751" t="inlineStr">
        <is>
          <t>Mar-2021</t>
        </is>
      </c>
      <c r="C3751" s="2" t="n">
        <v>44465</v>
      </c>
      <c r="D3751" t="inlineStr">
        <is>
          <t>NIL</t>
        </is>
      </c>
      <c r="E3751" t="n">
        <v>853</v>
      </c>
    </row>
    <row r="3752">
      <c r="A3752" t="inlineStr">
        <is>
          <t>27BBBBB03752Z5</t>
        </is>
      </c>
      <c r="B3752" t="inlineStr">
        <is>
          <t>Dec-2022</t>
        </is>
      </c>
      <c r="C3752" s="2" t="n">
        <v>45400</v>
      </c>
      <c r="D3752" t="inlineStr">
        <is>
          <t>NON-NIL</t>
        </is>
      </c>
      <c r="E3752" t="n">
        <v>1585</v>
      </c>
    </row>
    <row r="3753">
      <c r="A3753" t="inlineStr">
        <is>
          <t>27BBBBB03753Z5</t>
        </is>
      </c>
      <c r="B3753" t="inlineStr">
        <is>
          <t>Jul-2020</t>
        </is>
      </c>
      <c r="C3753" s="2" t="n">
        <v>44112</v>
      </c>
      <c r="D3753" t="inlineStr">
        <is>
          <t>NIL</t>
        </is>
      </c>
      <c r="E3753" t="n">
        <v>1342</v>
      </c>
    </row>
    <row r="3754">
      <c r="A3754" t="inlineStr">
        <is>
          <t>27BBBBB03754Z5</t>
        </is>
      </c>
      <c r="B3754" t="inlineStr">
        <is>
          <t>Apr-2018</t>
        </is>
      </c>
      <c r="C3754" s="2" t="n">
        <v>43379</v>
      </c>
      <c r="D3754" t="inlineStr">
        <is>
          <t>NON-NIL</t>
        </is>
      </c>
      <c r="E3754" t="n">
        <v>2661</v>
      </c>
    </row>
    <row r="3755">
      <c r="A3755" t="inlineStr">
        <is>
          <t>27BBBBB03755Z5</t>
        </is>
      </c>
      <c r="B3755" t="inlineStr">
        <is>
          <t>Sep-2017</t>
        </is>
      </c>
      <c r="C3755" s="2" t="n">
        <v>43250</v>
      </c>
      <c r="D3755" t="inlineStr">
        <is>
          <t>NIL</t>
        </is>
      </c>
      <c r="E3755" t="n">
        <v>1275</v>
      </c>
    </row>
    <row r="3756">
      <c r="A3756" t="inlineStr">
        <is>
          <t>27BBBBB03756Z5</t>
        </is>
      </c>
      <c r="B3756" t="inlineStr">
        <is>
          <t>Jun-2018</t>
        </is>
      </c>
      <c r="C3756" s="2" t="n">
        <v>44033</v>
      </c>
      <c r="D3756" t="inlineStr">
        <is>
          <t>NON-NIL</t>
        </is>
      </c>
      <c r="E3756" t="n">
        <v>897</v>
      </c>
    </row>
    <row r="3757">
      <c r="A3757" t="inlineStr">
        <is>
          <t>27BBBBB03757Z5</t>
        </is>
      </c>
      <c r="B3757" t="inlineStr">
        <is>
          <t>Jul-2020</t>
        </is>
      </c>
      <c r="C3757" s="2" t="n">
        <v>44556</v>
      </c>
      <c r="D3757" t="inlineStr">
        <is>
          <t>NON-NIL</t>
        </is>
      </c>
      <c r="E3757" t="n">
        <v>565</v>
      </c>
    </row>
    <row r="3758">
      <c r="A3758" t="inlineStr">
        <is>
          <t>27BBBBB03758Z5</t>
        </is>
      </c>
      <c r="B3758" t="inlineStr">
        <is>
          <t>Apr-2018</t>
        </is>
      </c>
      <c r="C3758" s="2" t="n">
        <v>43015</v>
      </c>
      <c r="D3758" t="inlineStr">
        <is>
          <t>NON-NIL</t>
        </is>
      </c>
      <c r="E3758" t="n">
        <v>160</v>
      </c>
    </row>
    <row r="3759">
      <c r="A3759" t="inlineStr">
        <is>
          <t>27BBBBB03759Z5</t>
        </is>
      </c>
      <c r="B3759" t="inlineStr">
        <is>
          <t>Aug-2017</t>
        </is>
      </c>
      <c r="C3759" s="2" t="n">
        <v>43485</v>
      </c>
      <c r="D3759" t="inlineStr">
        <is>
          <t>NON-NIL</t>
        </is>
      </c>
      <c r="E3759" t="n">
        <v>359</v>
      </c>
    </row>
    <row r="3760">
      <c r="A3760" t="inlineStr">
        <is>
          <t>27BBBBB03760Z5</t>
        </is>
      </c>
      <c r="B3760" t="inlineStr">
        <is>
          <t>Jan-2021</t>
        </is>
      </c>
      <c r="C3760" s="2" t="n">
        <v>43555</v>
      </c>
      <c r="D3760" t="inlineStr">
        <is>
          <t>NON-NIL</t>
        </is>
      </c>
      <c r="E3760" t="n">
        <v>2632</v>
      </c>
    </row>
    <row r="3761">
      <c r="A3761" t="inlineStr">
        <is>
          <t>27BBBBB03761Z5</t>
        </is>
      </c>
      <c r="B3761" t="inlineStr">
        <is>
          <t>Jul-2018</t>
        </is>
      </c>
      <c r="C3761" s="2" t="n">
        <v>44481</v>
      </c>
      <c r="D3761" t="inlineStr">
        <is>
          <t>NON-NIL</t>
        </is>
      </c>
      <c r="E3761" t="n">
        <v>51</v>
      </c>
    </row>
    <row r="3762">
      <c r="A3762" t="inlineStr">
        <is>
          <t>27BBBBB03762Z5</t>
        </is>
      </c>
      <c r="B3762" t="inlineStr">
        <is>
          <t>Jun-2018</t>
        </is>
      </c>
      <c r="C3762" s="2" t="n">
        <v>44056</v>
      </c>
      <c r="D3762" t="inlineStr">
        <is>
          <t>NIL</t>
        </is>
      </c>
      <c r="E3762" t="n">
        <v>2370</v>
      </c>
    </row>
    <row r="3763">
      <c r="A3763" t="inlineStr">
        <is>
          <t>27BBBBB03763Z5</t>
        </is>
      </c>
      <c r="B3763" t="inlineStr">
        <is>
          <t>May-2018</t>
        </is>
      </c>
      <c r="C3763" s="2" t="n">
        <v>44081</v>
      </c>
      <c r="D3763" t="inlineStr">
        <is>
          <t>NIL</t>
        </is>
      </c>
      <c r="E3763" t="n">
        <v>2626</v>
      </c>
    </row>
    <row r="3764">
      <c r="A3764" t="inlineStr">
        <is>
          <t>27BBBBB03764Z5</t>
        </is>
      </c>
      <c r="B3764" t="inlineStr">
        <is>
          <t>Mar-2018</t>
        </is>
      </c>
      <c r="C3764" s="2" t="n">
        <v>43349</v>
      </c>
      <c r="D3764" t="inlineStr">
        <is>
          <t>NIL</t>
        </is>
      </c>
      <c r="E3764" t="n">
        <v>1379</v>
      </c>
    </row>
    <row r="3765">
      <c r="A3765" t="inlineStr">
        <is>
          <t>27BBBBB03765Z5</t>
        </is>
      </c>
      <c r="B3765" t="inlineStr">
        <is>
          <t>Nov-2018</t>
        </is>
      </c>
      <c r="C3765" s="2" t="n">
        <v>44199</v>
      </c>
      <c r="D3765" t="inlineStr">
        <is>
          <t>NIL</t>
        </is>
      </c>
      <c r="E3765" t="n">
        <v>667</v>
      </c>
    </row>
    <row r="3766">
      <c r="A3766" t="inlineStr">
        <is>
          <t>27BBBBB03766Z5</t>
        </is>
      </c>
      <c r="B3766" t="inlineStr">
        <is>
          <t>Nov-2017</t>
        </is>
      </c>
      <c r="C3766" s="2" t="n">
        <v>43684</v>
      </c>
      <c r="D3766" t="inlineStr">
        <is>
          <t>NON-NIL</t>
        </is>
      </c>
      <c r="E3766" t="n">
        <v>229</v>
      </c>
    </row>
    <row r="3767">
      <c r="A3767" t="inlineStr">
        <is>
          <t>27BBBBB03767Z5</t>
        </is>
      </c>
      <c r="B3767" t="inlineStr">
        <is>
          <t>Dec-2017</t>
        </is>
      </c>
      <c r="C3767" s="2" t="n">
        <v>43143</v>
      </c>
      <c r="D3767" t="inlineStr">
        <is>
          <t>NIL</t>
        </is>
      </c>
      <c r="E3767" t="n">
        <v>1686</v>
      </c>
    </row>
    <row r="3768">
      <c r="A3768" t="inlineStr">
        <is>
          <t>27BBBBB03768Z5</t>
        </is>
      </c>
      <c r="B3768" t="inlineStr">
        <is>
          <t>Dec-2018</t>
        </is>
      </c>
      <c r="C3768" s="2" t="n">
        <v>44450</v>
      </c>
      <c r="D3768" t="inlineStr">
        <is>
          <t>NON-NIL</t>
        </is>
      </c>
      <c r="E3768" t="n">
        <v>1648</v>
      </c>
    </row>
    <row r="3769">
      <c r="A3769" t="inlineStr">
        <is>
          <t>27BBBBB03769Z5</t>
        </is>
      </c>
      <c r="B3769" t="inlineStr">
        <is>
          <t>Jun-2020</t>
        </is>
      </c>
      <c r="C3769" s="2" t="n">
        <v>43919</v>
      </c>
      <c r="D3769" t="inlineStr">
        <is>
          <t>NIL</t>
        </is>
      </c>
      <c r="E3769" t="n">
        <v>2207</v>
      </c>
    </row>
    <row r="3770">
      <c r="A3770" t="inlineStr">
        <is>
          <t>27BBBBB03770Z5</t>
        </is>
      </c>
      <c r="B3770" t="inlineStr">
        <is>
          <t>Apr-2020</t>
        </is>
      </c>
      <c r="C3770" s="2" t="n">
        <v>44203</v>
      </c>
      <c r="D3770" t="inlineStr">
        <is>
          <t>NIL</t>
        </is>
      </c>
      <c r="E3770" t="n">
        <v>1053</v>
      </c>
    </row>
    <row r="3771">
      <c r="A3771" t="inlineStr">
        <is>
          <t>27BBBBB03771Z5</t>
        </is>
      </c>
      <c r="B3771" t="inlineStr">
        <is>
          <t>Apr-2020</t>
        </is>
      </c>
      <c r="C3771" s="2" t="n">
        <v>44867</v>
      </c>
      <c r="D3771" t="inlineStr">
        <is>
          <t>NON-NIL</t>
        </is>
      </c>
      <c r="E3771" t="n">
        <v>1433</v>
      </c>
    </row>
    <row r="3772">
      <c r="A3772" t="inlineStr">
        <is>
          <t>27BBBBB03772Z5</t>
        </is>
      </c>
      <c r="B3772" t="inlineStr">
        <is>
          <t>Aug-2018</t>
        </is>
      </c>
      <c r="C3772" s="2" t="n">
        <v>44262</v>
      </c>
      <c r="D3772" t="inlineStr">
        <is>
          <t>NIL</t>
        </is>
      </c>
      <c r="E3772" t="n">
        <v>2923</v>
      </c>
    </row>
    <row r="3773">
      <c r="A3773" t="inlineStr">
        <is>
          <t>27BBBBB03773Z5</t>
        </is>
      </c>
      <c r="B3773" t="inlineStr">
        <is>
          <t>Oct-2018</t>
        </is>
      </c>
      <c r="C3773" s="2" t="n">
        <v>44047</v>
      </c>
      <c r="D3773" t="inlineStr">
        <is>
          <t>NIL</t>
        </is>
      </c>
      <c r="E3773" t="n">
        <v>1498</v>
      </c>
    </row>
    <row r="3774">
      <c r="A3774" t="inlineStr">
        <is>
          <t>27BBBBB03774Z5</t>
        </is>
      </c>
      <c r="B3774" t="inlineStr">
        <is>
          <t>Mar-2018</t>
        </is>
      </c>
      <c r="C3774" s="2" t="n">
        <v>44300</v>
      </c>
      <c r="D3774" t="inlineStr">
        <is>
          <t>NIL</t>
        </is>
      </c>
      <c r="E3774" t="n">
        <v>1572</v>
      </c>
    </row>
    <row r="3775">
      <c r="A3775" t="inlineStr">
        <is>
          <t>27BBBBB03775Z5</t>
        </is>
      </c>
      <c r="B3775" t="inlineStr">
        <is>
          <t>Dec-2022</t>
        </is>
      </c>
      <c r="C3775" s="2" t="n">
        <v>43821</v>
      </c>
      <c r="D3775" t="inlineStr">
        <is>
          <t>NIL</t>
        </is>
      </c>
      <c r="E3775" t="n">
        <v>1294</v>
      </c>
    </row>
    <row r="3776">
      <c r="A3776" t="inlineStr">
        <is>
          <t>27BBBBB03776Z5</t>
        </is>
      </c>
      <c r="B3776" t="inlineStr">
        <is>
          <t>Feb-2018</t>
        </is>
      </c>
      <c r="C3776" s="2" t="n">
        <v>44059</v>
      </c>
      <c r="D3776" t="inlineStr">
        <is>
          <t>NIL</t>
        </is>
      </c>
      <c r="E3776" t="n">
        <v>911</v>
      </c>
    </row>
    <row r="3777">
      <c r="A3777" t="inlineStr">
        <is>
          <t>27BBBBB03777Z5</t>
        </is>
      </c>
      <c r="B3777" t="inlineStr">
        <is>
          <t>Jul-2018</t>
        </is>
      </c>
      <c r="C3777" s="2" t="n">
        <v>43712</v>
      </c>
      <c r="D3777" t="inlineStr">
        <is>
          <t>NON-NIL</t>
        </is>
      </c>
      <c r="E3777" t="n">
        <v>1166</v>
      </c>
    </row>
    <row r="3778">
      <c r="A3778" t="inlineStr">
        <is>
          <t>27BBBBB03778Z5</t>
        </is>
      </c>
      <c r="B3778" t="inlineStr">
        <is>
          <t>Mar-2020</t>
        </is>
      </c>
      <c r="C3778" s="2" t="n">
        <v>44233</v>
      </c>
      <c r="D3778" t="inlineStr">
        <is>
          <t>NON-NIL</t>
        </is>
      </c>
      <c r="E3778" t="n">
        <v>1910</v>
      </c>
    </row>
    <row r="3779">
      <c r="A3779" t="inlineStr">
        <is>
          <t>27BBBBB03779Z5</t>
        </is>
      </c>
      <c r="B3779" t="inlineStr">
        <is>
          <t>Jul-2020</t>
        </is>
      </c>
      <c r="C3779" s="2" t="n">
        <v>44408</v>
      </c>
      <c r="D3779" t="inlineStr">
        <is>
          <t>NIL</t>
        </is>
      </c>
      <c r="E3779" t="n">
        <v>214</v>
      </c>
    </row>
    <row r="3780">
      <c r="A3780" t="inlineStr">
        <is>
          <t>27BBBBB03780Z5</t>
        </is>
      </c>
      <c r="B3780" t="inlineStr">
        <is>
          <t>Feb-2018</t>
        </is>
      </c>
      <c r="C3780" s="2" t="n">
        <v>43520</v>
      </c>
      <c r="D3780" t="inlineStr">
        <is>
          <t>NIL</t>
        </is>
      </c>
      <c r="E3780" t="n">
        <v>1762</v>
      </c>
    </row>
    <row r="3781">
      <c r="A3781" t="inlineStr">
        <is>
          <t>27BBBBB03781Z5</t>
        </is>
      </c>
      <c r="B3781" t="inlineStr">
        <is>
          <t>Sep-2018</t>
        </is>
      </c>
      <c r="C3781" s="2" t="n">
        <v>44037</v>
      </c>
      <c r="D3781" t="inlineStr">
        <is>
          <t>NON-NIL</t>
        </is>
      </c>
      <c r="E3781" t="n">
        <v>1397</v>
      </c>
    </row>
    <row r="3782">
      <c r="A3782" t="inlineStr">
        <is>
          <t>27BBBBB03782Z5</t>
        </is>
      </c>
      <c r="B3782" t="inlineStr">
        <is>
          <t>Dec-2022</t>
        </is>
      </c>
      <c r="C3782" s="2" t="n">
        <v>45086</v>
      </c>
      <c r="D3782" t="inlineStr">
        <is>
          <t>NON-NIL</t>
        </is>
      </c>
      <c r="E3782" t="n">
        <v>2997</v>
      </c>
    </row>
    <row r="3783">
      <c r="A3783" t="inlineStr">
        <is>
          <t>27BBBBB03783Z5</t>
        </is>
      </c>
      <c r="B3783" t="inlineStr">
        <is>
          <t>Dec-2024</t>
        </is>
      </c>
      <c r="C3783" s="2" t="n">
        <v>43730</v>
      </c>
      <c r="D3783" t="inlineStr">
        <is>
          <t>NIL</t>
        </is>
      </c>
      <c r="E3783" t="n">
        <v>1347</v>
      </c>
    </row>
    <row r="3784">
      <c r="A3784" t="inlineStr">
        <is>
          <t>27BBBBB03784Z5</t>
        </is>
      </c>
      <c r="B3784" t="inlineStr">
        <is>
          <t>Jun-2018</t>
        </is>
      </c>
      <c r="C3784" s="2" t="n">
        <v>43734</v>
      </c>
      <c r="D3784" t="inlineStr">
        <is>
          <t>NIL</t>
        </is>
      </c>
      <c r="E3784" t="n">
        <v>1675</v>
      </c>
    </row>
    <row r="3785">
      <c r="A3785" t="inlineStr">
        <is>
          <t>27BBBBB03785Z5</t>
        </is>
      </c>
      <c r="B3785" t="inlineStr">
        <is>
          <t>Jul-2017</t>
        </is>
      </c>
      <c r="C3785" s="2" t="n">
        <v>44138</v>
      </c>
      <c r="D3785" t="inlineStr">
        <is>
          <t>NON-NIL</t>
        </is>
      </c>
      <c r="E3785" t="n">
        <v>1258</v>
      </c>
    </row>
    <row r="3786">
      <c r="A3786" t="inlineStr">
        <is>
          <t>27BBBBB03786Z5</t>
        </is>
      </c>
      <c r="B3786" t="inlineStr">
        <is>
          <t>Jun-2020</t>
        </is>
      </c>
      <c r="C3786" s="2" t="n">
        <v>43948</v>
      </c>
      <c r="D3786" t="inlineStr">
        <is>
          <t>NON-NIL</t>
        </is>
      </c>
      <c r="E3786" t="n">
        <v>1797</v>
      </c>
    </row>
    <row r="3787">
      <c r="A3787" t="inlineStr">
        <is>
          <t>27BBBBB03787Z5</t>
        </is>
      </c>
      <c r="B3787" t="inlineStr">
        <is>
          <t>Nov-2018</t>
        </is>
      </c>
      <c r="C3787" s="2" t="n">
        <v>43927</v>
      </c>
      <c r="D3787" t="inlineStr">
        <is>
          <t>NON-NIL</t>
        </is>
      </c>
      <c r="E3787" t="n">
        <v>1710</v>
      </c>
    </row>
    <row r="3788">
      <c r="A3788" t="inlineStr">
        <is>
          <t>27BBBBB03788Z5</t>
        </is>
      </c>
      <c r="B3788" t="inlineStr">
        <is>
          <t>Jul-2017</t>
        </is>
      </c>
      <c r="C3788" s="2" t="n">
        <v>44478</v>
      </c>
      <c r="D3788" t="inlineStr">
        <is>
          <t>NIL</t>
        </is>
      </c>
      <c r="E3788" t="n">
        <v>1929</v>
      </c>
    </row>
    <row r="3789">
      <c r="A3789" t="inlineStr">
        <is>
          <t>27BBBBB03789Z5</t>
        </is>
      </c>
      <c r="B3789" t="inlineStr">
        <is>
          <t>Dec-2018</t>
        </is>
      </c>
      <c r="C3789" s="2" t="n">
        <v>43239</v>
      </c>
      <c r="D3789" t="inlineStr">
        <is>
          <t>NON-NIL</t>
        </is>
      </c>
      <c r="E3789" t="n">
        <v>392</v>
      </c>
    </row>
    <row r="3790">
      <c r="A3790" t="inlineStr">
        <is>
          <t>27BBBBB03790Z5</t>
        </is>
      </c>
      <c r="B3790" t="inlineStr">
        <is>
          <t>Dec-2024</t>
        </is>
      </c>
      <c r="C3790" s="2" t="n">
        <v>44630</v>
      </c>
      <c r="D3790" t="inlineStr">
        <is>
          <t>NON-NIL</t>
        </is>
      </c>
      <c r="E3790" t="n">
        <v>931</v>
      </c>
    </row>
    <row r="3791">
      <c r="A3791" t="inlineStr">
        <is>
          <t>27BBBBB03791Z5</t>
        </is>
      </c>
      <c r="B3791" t="inlineStr">
        <is>
          <t>Jul-2017</t>
        </is>
      </c>
      <c r="C3791" s="2" t="n">
        <v>43843</v>
      </c>
      <c r="D3791" t="inlineStr">
        <is>
          <t>NON-NIL</t>
        </is>
      </c>
      <c r="E3791" t="n">
        <v>2216</v>
      </c>
    </row>
    <row r="3792">
      <c r="A3792" t="inlineStr">
        <is>
          <t>27BBBBB03792Z5</t>
        </is>
      </c>
      <c r="B3792" t="inlineStr">
        <is>
          <t>Jan-2021</t>
        </is>
      </c>
      <c r="C3792" s="2" t="n">
        <v>43582</v>
      </c>
      <c r="D3792" t="inlineStr">
        <is>
          <t>NIL</t>
        </is>
      </c>
      <c r="E3792" t="n">
        <v>1869</v>
      </c>
    </row>
    <row r="3793">
      <c r="A3793" t="inlineStr">
        <is>
          <t>27BBBBB03793Z5</t>
        </is>
      </c>
      <c r="B3793" t="inlineStr">
        <is>
          <t>Apr-2020</t>
        </is>
      </c>
      <c r="C3793" s="2" t="n">
        <v>44850</v>
      </c>
      <c r="D3793" t="inlineStr">
        <is>
          <t>NIL</t>
        </is>
      </c>
      <c r="E3793" t="n">
        <v>2032</v>
      </c>
    </row>
    <row r="3794">
      <c r="A3794" t="inlineStr">
        <is>
          <t>27BBBBB03794Z5</t>
        </is>
      </c>
      <c r="B3794" t="inlineStr">
        <is>
          <t>Jan-2018</t>
        </is>
      </c>
      <c r="C3794" s="2" t="n">
        <v>42942</v>
      </c>
      <c r="D3794" t="inlineStr">
        <is>
          <t>NIL</t>
        </is>
      </c>
      <c r="E3794" t="n">
        <v>2406</v>
      </c>
    </row>
    <row r="3795">
      <c r="A3795" t="inlineStr">
        <is>
          <t>27BBBBB03795Z5</t>
        </is>
      </c>
      <c r="B3795" t="inlineStr">
        <is>
          <t>Apr-2020</t>
        </is>
      </c>
      <c r="C3795" s="2" t="n">
        <v>44706</v>
      </c>
      <c r="D3795" t="inlineStr">
        <is>
          <t>NON-NIL</t>
        </is>
      </c>
      <c r="E3795" t="n">
        <v>1619</v>
      </c>
    </row>
    <row r="3796">
      <c r="A3796" t="inlineStr">
        <is>
          <t>27BBBBB03796Z5</t>
        </is>
      </c>
      <c r="B3796" t="inlineStr">
        <is>
          <t>Mar-2023</t>
        </is>
      </c>
      <c r="C3796" s="2" t="n">
        <v>44993</v>
      </c>
      <c r="D3796" t="inlineStr">
        <is>
          <t>NIL</t>
        </is>
      </c>
      <c r="E3796" t="n">
        <v>432</v>
      </c>
    </row>
    <row r="3797">
      <c r="A3797" t="inlineStr">
        <is>
          <t>27BBBBB03797Z5</t>
        </is>
      </c>
      <c r="B3797" t="inlineStr">
        <is>
          <t>Oct-2018</t>
        </is>
      </c>
      <c r="C3797" s="2" t="n">
        <v>43515</v>
      </c>
      <c r="D3797" t="inlineStr">
        <is>
          <t>NON-NIL</t>
        </is>
      </c>
      <c r="E3797" t="n">
        <v>2672</v>
      </c>
    </row>
    <row r="3798">
      <c r="A3798" t="inlineStr">
        <is>
          <t>27BBBBB03798Z5</t>
        </is>
      </c>
      <c r="B3798" t="inlineStr">
        <is>
          <t>Jul-2018</t>
        </is>
      </c>
      <c r="C3798" s="2" t="n">
        <v>43560</v>
      </c>
      <c r="D3798" t="inlineStr">
        <is>
          <t>NON-NIL</t>
        </is>
      </c>
      <c r="E3798" t="n">
        <v>800</v>
      </c>
    </row>
    <row r="3799">
      <c r="A3799" t="inlineStr">
        <is>
          <t>27BBBBB03799Z5</t>
        </is>
      </c>
      <c r="B3799" t="inlineStr">
        <is>
          <t>Dec-2022</t>
        </is>
      </c>
      <c r="C3799" s="2" t="n">
        <v>45731</v>
      </c>
      <c r="D3799" t="inlineStr">
        <is>
          <t>NON-NIL</t>
        </is>
      </c>
      <c r="E3799" t="n">
        <v>2302</v>
      </c>
    </row>
    <row r="3800">
      <c r="A3800" t="inlineStr">
        <is>
          <t>27BBBBB03800Z5</t>
        </is>
      </c>
      <c r="B3800" t="inlineStr">
        <is>
          <t>Apr-2018</t>
        </is>
      </c>
      <c r="C3800" s="2" t="n">
        <v>43538</v>
      </c>
      <c r="D3800" t="inlineStr">
        <is>
          <t>NIL</t>
        </is>
      </c>
      <c r="E3800" t="n">
        <v>2820</v>
      </c>
    </row>
    <row r="3801">
      <c r="A3801" t="inlineStr">
        <is>
          <t>27BBBBB03801Z5</t>
        </is>
      </c>
      <c r="B3801" t="inlineStr">
        <is>
          <t>Dec-2018</t>
        </is>
      </c>
      <c r="C3801" s="2" t="n">
        <v>42963</v>
      </c>
      <c r="D3801" t="inlineStr">
        <is>
          <t>NON-NIL</t>
        </is>
      </c>
      <c r="E3801" t="n">
        <v>2140</v>
      </c>
    </row>
    <row r="3802">
      <c r="A3802" t="inlineStr">
        <is>
          <t>27BBBBB03802Z5</t>
        </is>
      </c>
      <c r="B3802" t="inlineStr">
        <is>
          <t>Mar-2018</t>
        </is>
      </c>
      <c r="C3802" s="2" t="n">
        <v>43134</v>
      </c>
      <c r="D3802" t="inlineStr">
        <is>
          <t>NON-NIL</t>
        </is>
      </c>
      <c r="E3802" t="n">
        <v>1531</v>
      </c>
    </row>
    <row r="3803">
      <c r="A3803" t="inlineStr">
        <is>
          <t>27BBBBB03803Z5</t>
        </is>
      </c>
      <c r="B3803" t="inlineStr">
        <is>
          <t>Sep-2018</t>
        </is>
      </c>
      <c r="C3803" s="2" t="n">
        <v>44095</v>
      </c>
      <c r="D3803" t="inlineStr">
        <is>
          <t>NON-NIL</t>
        </is>
      </c>
      <c r="E3803" t="n">
        <v>1422</v>
      </c>
    </row>
    <row r="3804">
      <c r="A3804" t="inlineStr">
        <is>
          <t>27BBBBB03804Z5</t>
        </is>
      </c>
      <c r="B3804" t="inlineStr">
        <is>
          <t>Jan-2021</t>
        </is>
      </c>
      <c r="C3804" s="2" t="n">
        <v>45327</v>
      </c>
      <c r="D3804" t="inlineStr">
        <is>
          <t>NIL</t>
        </is>
      </c>
      <c r="E3804" t="n">
        <v>2264</v>
      </c>
    </row>
    <row r="3805">
      <c r="A3805" t="inlineStr">
        <is>
          <t>27BBBBB03805Z5</t>
        </is>
      </c>
      <c r="B3805" t="inlineStr">
        <is>
          <t>Dec-2024</t>
        </is>
      </c>
      <c r="C3805" s="2" t="n">
        <v>43734</v>
      </c>
      <c r="D3805" t="inlineStr">
        <is>
          <t>NON-NIL</t>
        </is>
      </c>
      <c r="E3805" t="n">
        <v>2593</v>
      </c>
    </row>
    <row r="3806">
      <c r="A3806" t="inlineStr">
        <is>
          <t>27BBBBB03806Z5</t>
        </is>
      </c>
      <c r="B3806" t="inlineStr">
        <is>
          <t>Aug-2018</t>
        </is>
      </c>
      <c r="C3806" s="2" t="n">
        <v>44385</v>
      </c>
      <c r="D3806" t="inlineStr">
        <is>
          <t>NON-NIL</t>
        </is>
      </c>
      <c r="E3806" t="n">
        <v>2367</v>
      </c>
    </row>
    <row r="3807">
      <c r="A3807" t="inlineStr">
        <is>
          <t>27BBBBB03807Z5</t>
        </is>
      </c>
      <c r="B3807" t="inlineStr">
        <is>
          <t>Apr-2020</t>
        </is>
      </c>
      <c r="C3807" s="2" t="n">
        <v>44791</v>
      </c>
      <c r="D3807" t="inlineStr">
        <is>
          <t>NIL</t>
        </is>
      </c>
      <c r="E3807" t="n">
        <v>2168</v>
      </c>
    </row>
    <row r="3808">
      <c r="A3808" t="inlineStr">
        <is>
          <t>27BBBBB03808Z5</t>
        </is>
      </c>
      <c r="B3808" t="inlineStr">
        <is>
          <t>Sep-2017</t>
        </is>
      </c>
      <c r="C3808" s="2" t="n">
        <v>43621</v>
      </c>
      <c r="D3808" t="inlineStr">
        <is>
          <t>NON-NIL</t>
        </is>
      </c>
      <c r="E3808" t="n">
        <v>343</v>
      </c>
    </row>
    <row r="3809">
      <c r="A3809" t="inlineStr">
        <is>
          <t>27BBBBB03809Z5</t>
        </is>
      </c>
      <c r="B3809" t="inlineStr">
        <is>
          <t>Jan-2018</t>
        </is>
      </c>
      <c r="C3809" s="2" t="n">
        <v>44245</v>
      </c>
      <c r="D3809" t="inlineStr">
        <is>
          <t>NIL</t>
        </is>
      </c>
      <c r="E3809" t="n">
        <v>512</v>
      </c>
    </row>
    <row r="3810">
      <c r="A3810" t="inlineStr">
        <is>
          <t>27BBBBB03810Z5</t>
        </is>
      </c>
      <c r="B3810" t="inlineStr">
        <is>
          <t>Dec-2022</t>
        </is>
      </c>
      <c r="C3810" s="2" t="n">
        <v>44394</v>
      </c>
      <c r="D3810" t="inlineStr">
        <is>
          <t>NIL</t>
        </is>
      </c>
      <c r="E3810" t="n">
        <v>1970</v>
      </c>
    </row>
    <row r="3811">
      <c r="A3811" t="inlineStr">
        <is>
          <t>27BBBBB03811Z5</t>
        </is>
      </c>
      <c r="B3811" t="inlineStr">
        <is>
          <t>Dec-2024</t>
        </is>
      </c>
      <c r="C3811" s="2" t="n">
        <v>45115</v>
      </c>
      <c r="D3811" t="inlineStr">
        <is>
          <t>NIL</t>
        </is>
      </c>
      <c r="E3811" t="n">
        <v>2436</v>
      </c>
    </row>
    <row r="3812">
      <c r="A3812" t="inlineStr">
        <is>
          <t>27BBBBB03812Z5</t>
        </is>
      </c>
      <c r="B3812" t="inlineStr">
        <is>
          <t>Sep-2017</t>
        </is>
      </c>
      <c r="C3812" s="2" t="n">
        <v>43724</v>
      </c>
      <c r="D3812" t="inlineStr">
        <is>
          <t>NON-NIL</t>
        </is>
      </c>
      <c r="E3812" t="n">
        <v>2466</v>
      </c>
    </row>
    <row r="3813">
      <c r="A3813" t="inlineStr">
        <is>
          <t>27BBBBB03813Z5</t>
        </is>
      </c>
      <c r="B3813" t="inlineStr">
        <is>
          <t>Oct-2018</t>
        </is>
      </c>
      <c r="C3813" s="2" t="n">
        <v>43339</v>
      </c>
      <c r="D3813" t="inlineStr">
        <is>
          <t>NON-NIL</t>
        </is>
      </c>
      <c r="E3813" t="n">
        <v>1610</v>
      </c>
    </row>
    <row r="3814">
      <c r="A3814" t="inlineStr">
        <is>
          <t>27BBBBB03814Z5</t>
        </is>
      </c>
      <c r="B3814" t="inlineStr">
        <is>
          <t>Nov-2018</t>
        </is>
      </c>
      <c r="C3814" s="2" t="n">
        <v>43866</v>
      </c>
      <c r="D3814" t="inlineStr">
        <is>
          <t>NON-NIL</t>
        </is>
      </c>
      <c r="E3814" t="n">
        <v>1501</v>
      </c>
    </row>
    <row r="3815">
      <c r="A3815" t="inlineStr">
        <is>
          <t>27BBBBB03815Z5</t>
        </is>
      </c>
      <c r="B3815" t="inlineStr">
        <is>
          <t>Mar-2020</t>
        </is>
      </c>
      <c r="C3815" s="2" t="n">
        <v>44667</v>
      </c>
      <c r="D3815" t="inlineStr">
        <is>
          <t>NON-NIL</t>
        </is>
      </c>
      <c r="E3815" t="n">
        <v>2046</v>
      </c>
    </row>
    <row r="3816">
      <c r="A3816" t="inlineStr">
        <is>
          <t>27BBBBB03816Z5</t>
        </is>
      </c>
      <c r="B3816" t="inlineStr">
        <is>
          <t>Oct-2017</t>
        </is>
      </c>
      <c r="C3816" s="2" t="n">
        <v>44009</v>
      </c>
      <c r="D3816" t="inlineStr">
        <is>
          <t>NIL</t>
        </is>
      </c>
      <c r="E3816" t="n">
        <v>2761</v>
      </c>
    </row>
    <row r="3817">
      <c r="A3817" t="inlineStr">
        <is>
          <t>27BBBBB03817Z5</t>
        </is>
      </c>
      <c r="B3817" t="inlineStr">
        <is>
          <t>Oct-2018</t>
        </is>
      </c>
      <c r="C3817" s="2" t="n">
        <v>43646</v>
      </c>
      <c r="D3817" t="inlineStr">
        <is>
          <t>NIL</t>
        </is>
      </c>
      <c r="E3817" t="n">
        <v>1090</v>
      </c>
    </row>
    <row r="3818">
      <c r="A3818" t="inlineStr">
        <is>
          <t>27BBBBB03818Z5</t>
        </is>
      </c>
      <c r="B3818" t="inlineStr">
        <is>
          <t>Aug-2017</t>
        </is>
      </c>
      <c r="C3818" s="2" t="n">
        <v>44106</v>
      </c>
      <c r="D3818" t="inlineStr">
        <is>
          <t>NON-NIL</t>
        </is>
      </c>
      <c r="E3818" t="n">
        <v>441</v>
      </c>
    </row>
    <row r="3819">
      <c r="A3819" t="inlineStr">
        <is>
          <t>27BBBBB03819Z5</t>
        </is>
      </c>
      <c r="B3819" t="inlineStr">
        <is>
          <t>May-2020</t>
        </is>
      </c>
      <c r="C3819" s="2" t="n">
        <v>44734</v>
      </c>
      <c r="D3819" t="inlineStr">
        <is>
          <t>NON-NIL</t>
        </is>
      </c>
      <c r="E3819" t="n">
        <v>464</v>
      </c>
    </row>
    <row r="3820">
      <c r="A3820" t="inlineStr">
        <is>
          <t>27BBBBB03820Z5</t>
        </is>
      </c>
      <c r="B3820" t="inlineStr">
        <is>
          <t>Sep-2017</t>
        </is>
      </c>
      <c r="C3820" s="2" t="n">
        <v>43911</v>
      </c>
      <c r="D3820" t="inlineStr">
        <is>
          <t>NON-NIL</t>
        </is>
      </c>
      <c r="E3820" t="n">
        <v>1716</v>
      </c>
    </row>
    <row r="3821">
      <c r="A3821" t="inlineStr">
        <is>
          <t>27BBBBB03821Z5</t>
        </is>
      </c>
      <c r="B3821" t="inlineStr">
        <is>
          <t>Jan-2018</t>
        </is>
      </c>
      <c r="C3821" s="2" t="n">
        <v>44556</v>
      </c>
      <c r="D3821" t="inlineStr">
        <is>
          <t>NON-NIL</t>
        </is>
      </c>
      <c r="E3821" t="n">
        <v>1144</v>
      </c>
    </row>
    <row r="3822">
      <c r="A3822" t="inlineStr">
        <is>
          <t>27BBBBB03822Z5</t>
        </is>
      </c>
      <c r="B3822" t="inlineStr">
        <is>
          <t>Aug-2017</t>
        </is>
      </c>
      <c r="C3822" s="2" t="n">
        <v>43761</v>
      </c>
      <c r="D3822" t="inlineStr">
        <is>
          <t>NIL</t>
        </is>
      </c>
      <c r="E3822" t="n">
        <v>624</v>
      </c>
    </row>
    <row r="3823">
      <c r="A3823" t="inlineStr">
        <is>
          <t>27BBBBB03823Z5</t>
        </is>
      </c>
      <c r="B3823" t="inlineStr">
        <is>
          <t>Oct-2017</t>
        </is>
      </c>
      <c r="C3823" s="2" t="n">
        <v>42988</v>
      </c>
      <c r="D3823" t="inlineStr">
        <is>
          <t>NIL</t>
        </is>
      </c>
      <c r="E3823" t="n">
        <v>1568</v>
      </c>
    </row>
    <row r="3824">
      <c r="A3824" t="inlineStr">
        <is>
          <t>27BBBBB03824Z5</t>
        </is>
      </c>
      <c r="B3824" t="inlineStr">
        <is>
          <t>Mar-2023</t>
        </is>
      </c>
      <c r="C3824" s="2" t="n">
        <v>44213</v>
      </c>
      <c r="D3824" t="inlineStr">
        <is>
          <t>NON-NIL</t>
        </is>
      </c>
      <c r="E3824" t="n">
        <v>2518</v>
      </c>
    </row>
    <row r="3825">
      <c r="A3825" t="inlineStr">
        <is>
          <t>27BBBBB03825Z5</t>
        </is>
      </c>
      <c r="B3825" t="inlineStr">
        <is>
          <t>Aug-2018</t>
        </is>
      </c>
      <c r="C3825" s="2" t="n">
        <v>44188</v>
      </c>
      <c r="D3825" t="inlineStr">
        <is>
          <t>NON-NIL</t>
        </is>
      </c>
      <c r="E3825" t="n">
        <v>1967</v>
      </c>
    </row>
    <row r="3826">
      <c r="A3826" t="inlineStr">
        <is>
          <t>27BBBBB03826Z5</t>
        </is>
      </c>
      <c r="B3826" t="inlineStr">
        <is>
          <t>Dec-2017</t>
        </is>
      </c>
      <c r="C3826" s="2" t="n">
        <v>44497</v>
      </c>
      <c r="D3826" t="inlineStr">
        <is>
          <t>NON-NIL</t>
        </is>
      </c>
      <c r="E3826" t="n">
        <v>2065</v>
      </c>
    </row>
    <row r="3827">
      <c r="A3827" t="inlineStr">
        <is>
          <t>27BBBBB03827Z5</t>
        </is>
      </c>
      <c r="B3827" t="inlineStr">
        <is>
          <t>Jul-2020</t>
        </is>
      </c>
      <c r="C3827" s="2" t="n">
        <v>44320</v>
      </c>
      <c r="D3827" t="inlineStr">
        <is>
          <t>NIL</t>
        </is>
      </c>
      <c r="E3827" t="n">
        <v>717</v>
      </c>
    </row>
    <row r="3828">
      <c r="A3828" t="inlineStr">
        <is>
          <t>27BBBBB03828Z5</t>
        </is>
      </c>
      <c r="B3828" t="inlineStr">
        <is>
          <t>Dec-2022</t>
        </is>
      </c>
      <c r="C3828" s="2" t="n">
        <v>44194</v>
      </c>
      <c r="D3828" t="inlineStr">
        <is>
          <t>NON-NIL</t>
        </is>
      </c>
      <c r="E3828" t="n">
        <v>851</v>
      </c>
    </row>
    <row r="3829">
      <c r="A3829" t="inlineStr">
        <is>
          <t>27BBBBB03829Z5</t>
        </is>
      </c>
      <c r="B3829" t="inlineStr">
        <is>
          <t>Oct-2018</t>
        </is>
      </c>
      <c r="C3829" s="2" t="n">
        <v>43325</v>
      </c>
      <c r="D3829" t="inlineStr">
        <is>
          <t>NIL</t>
        </is>
      </c>
      <c r="E3829" t="n">
        <v>2312</v>
      </c>
    </row>
    <row r="3830">
      <c r="A3830" t="inlineStr">
        <is>
          <t>27BBBBB03830Z5</t>
        </is>
      </c>
      <c r="B3830" t="inlineStr">
        <is>
          <t>Aug-2018</t>
        </is>
      </c>
      <c r="C3830" s="2" t="n">
        <v>44548</v>
      </c>
      <c r="D3830" t="inlineStr">
        <is>
          <t>NIL</t>
        </is>
      </c>
      <c r="E3830" t="n">
        <v>1247</v>
      </c>
    </row>
    <row r="3831">
      <c r="A3831" t="inlineStr">
        <is>
          <t>27BBBBB03831Z5</t>
        </is>
      </c>
      <c r="B3831" t="inlineStr">
        <is>
          <t>Jan-2018</t>
        </is>
      </c>
      <c r="C3831" s="2" t="n">
        <v>43778</v>
      </c>
      <c r="D3831" t="inlineStr">
        <is>
          <t>NIL</t>
        </is>
      </c>
      <c r="E3831" t="n">
        <v>517</v>
      </c>
    </row>
    <row r="3832">
      <c r="A3832" t="inlineStr">
        <is>
          <t>27BBBBB03832Z5</t>
        </is>
      </c>
      <c r="B3832" t="inlineStr">
        <is>
          <t>Aug-2017</t>
        </is>
      </c>
      <c r="C3832" s="2" t="n">
        <v>43008</v>
      </c>
      <c r="D3832" t="inlineStr">
        <is>
          <t>NON-NIL</t>
        </is>
      </c>
      <c r="E3832" t="n">
        <v>1936</v>
      </c>
    </row>
    <row r="3833">
      <c r="A3833" t="inlineStr">
        <is>
          <t>27BBBBB03833Z5</t>
        </is>
      </c>
      <c r="B3833" t="inlineStr">
        <is>
          <t>Dec-2018</t>
        </is>
      </c>
      <c r="C3833" s="2" t="n">
        <v>44326</v>
      </c>
      <c r="D3833" t="inlineStr">
        <is>
          <t>NON-NIL</t>
        </is>
      </c>
      <c r="E3833" t="n">
        <v>646</v>
      </c>
    </row>
    <row r="3834">
      <c r="A3834" t="inlineStr">
        <is>
          <t>27BBBBB03834Z5</t>
        </is>
      </c>
      <c r="B3834" t="inlineStr">
        <is>
          <t>Aug-2018</t>
        </is>
      </c>
      <c r="C3834" s="2" t="n">
        <v>43856</v>
      </c>
      <c r="D3834" t="inlineStr">
        <is>
          <t>NIL</t>
        </is>
      </c>
      <c r="E3834" t="n">
        <v>1517</v>
      </c>
    </row>
    <row r="3835">
      <c r="A3835" t="inlineStr">
        <is>
          <t>27BBBBB03835Z5</t>
        </is>
      </c>
      <c r="B3835" t="inlineStr">
        <is>
          <t>Aug-2018</t>
        </is>
      </c>
      <c r="C3835" s="2" t="n">
        <v>44114</v>
      </c>
      <c r="D3835" t="inlineStr">
        <is>
          <t>NIL</t>
        </is>
      </c>
      <c r="E3835" t="n">
        <v>2614</v>
      </c>
    </row>
    <row r="3836">
      <c r="A3836" t="inlineStr">
        <is>
          <t>27BBBBB03836Z5</t>
        </is>
      </c>
      <c r="B3836" t="inlineStr">
        <is>
          <t>Apr-2018</t>
        </is>
      </c>
      <c r="C3836" s="2" t="n">
        <v>44400</v>
      </c>
      <c r="D3836" t="inlineStr">
        <is>
          <t>NON-NIL</t>
        </is>
      </c>
      <c r="E3836" t="n">
        <v>60</v>
      </c>
    </row>
    <row r="3837">
      <c r="A3837" t="inlineStr">
        <is>
          <t>27BBBBB03837Z5</t>
        </is>
      </c>
      <c r="B3837" t="inlineStr">
        <is>
          <t>Sep-2017</t>
        </is>
      </c>
      <c r="C3837" s="2" t="n">
        <v>43239</v>
      </c>
      <c r="D3837" t="inlineStr">
        <is>
          <t>NIL</t>
        </is>
      </c>
      <c r="E3837" t="n">
        <v>2766</v>
      </c>
    </row>
    <row r="3838">
      <c r="A3838" t="inlineStr">
        <is>
          <t>27BBBBB03838Z5</t>
        </is>
      </c>
      <c r="B3838" t="inlineStr">
        <is>
          <t>Mar-2021</t>
        </is>
      </c>
      <c r="C3838" s="2" t="n">
        <v>44512</v>
      </c>
      <c r="D3838" t="inlineStr">
        <is>
          <t>NON-NIL</t>
        </is>
      </c>
      <c r="E3838" t="n">
        <v>1198</v>
      </c>
    </row>
    <row r="3839">
      <c r="A3839" t="inlineStr">
        <is>
          <t>27BBBBB03839Z5</t>
        </is>
      </c>
      <c r="B3839" t="inlineStr">
        <is>
          <t>Sep-2017</t>
        </is>
      </c>
      <c r="C3839" s="2" t="n">
        <v>44520</v>
      </c>
      <c r="D3839" t="inlineStr">
        <is>
          <t>NON-NIL</t>
        </is>
      </c>
      <c r="E3839" t="n">
        <v>1129</v>
      </c>
    </row>
    <row r="3840">
      <c r="A3840" t="inlineStr">
        <is>
          <t>27BBBBB03840Z5</t>
        </is>
      </c>
      <c r="B3840" t="inlineStr">
        <is>
          <t>Jul-2018</t>
        </is>
      </c>
      <c r="C3840" s="2" t="n">
        <v>42972</v>
      </c>
      <c r="D3840" t="inlineStr">
        <is>
          <t>NON-NIL</t>
        </is>
      </c>
      <c r="E3840" t="n">
        <v>2809</v>
      </c>
    </row>
    <row r="3841">
      <c r="A3841" t="inlineStr">
        <is>
          <t>27BBBBB03841Z5</t>
        </is>
      </c>
      <c r="B3841" t="inlineStr">
        <is>
          <t>Oct-2017</t>
        </is>
      </c>
      <c r="C3841" s="2" t="n">
        <v>43636</v>
      </c>
      <c r="D3841" t="inlineStr">
        <is>
          <t>NIL</t>
        </is>
      </c>
      <c r="E3841" t="n">
        <v>4</v>
      </c>
    </row>
    <row r="3842">
      <c r="A3842" t="inlineStr">
        <is>
          <t>27BBBBB03842Z5</t>
        </is>
      </c>
      <c r="B3842" t="inlineStr">
        <is>
          <t>Aug-2018</t>
        </is>
      </c>
      <c r="C3842" s="2" t="n">
        <v>44227</v>
      </c>
      <c r="D3842" t="inlineStr">
        <is>
          <t>NON-NIL</t>
        </is>
      </c>
      <c r="E3842" t="n">
        <v>1422</v>
      </c>
    </row>
    <row r="3843">
      <c r="A3843" t="inlineStr">
        <is>
          <t>27BBBBB03843Z5</t>
        </is>
      </c>
      <c r="B3843" t="inlineStr">
        <is>
          <t>Dec-2017</t>
        </is>
      </c>
      <c r="C3843" s="2" t="n">
        <v>44040</v>
      </c>
      <c r="D3843" t="inlineStr">
        <is>
          <t>NON-NIL</t>
        </is>
      </c>
      <c r="E3843" t="n">
        <v>820</v>
      </c>
    </row>
    <row r="3844">
      <c r="A3844" t="inlineStr">
        <is>
          <t>27BBBBB03844Z5</t>
        </is>
      </c>
      <c r="B3844" t="inlineStr">
        <is>
          <t>Aug-2017</t>
        </is>
      </c>
      <c r="C3844" s="2" t="n">
        <v>42981</v>
      </c>
      <c r="D3844" t="inlineStr">
        <is>
          <t>NON-NIL</t>
        </is>
      </c>
      <c r="E3844" t="n">
        <v>1342</v>
      </c>
    </row>
    <row r="3845">
      <c r="A3845" t="inlineStr">
        <is>
          <t>27BBBBB03845Z5</t>
        </is>
      </c>
      <c r="B3845" t="inlineStr">
        <is>
          <t>Jun-2018</t>
        </is>
      </c>
      <c r="C3845" s="2" t="n">
        <v>43878</v>
      </c>
      <c r="D3845" t="inlineStr">
        <is>
          <t>NON-NIL</t>
        </is>
      </c>
      <c r="E3845" t="n">
        <v>2187</v>
      </c>
    </row>
    <row r="3846">
      <c r="A3846" t="inlineStr">
        <is>
          <t>27BBBBB03846Z5</t>
        </is>
      </c>
      <c r="B3846" t="inlineStr">
        <is>
          <t>Dec-2024</t>
        </is>
      </c>
      <c r="C3846" s="2" t="n">
        <v>44840</v>
      </c>
      <c r="D3846" t="inlineStr">
        <is>
          <t>NIL</t>
        </is>
      </c>
      <c r="E3846" t="n">
        <v>614</v>
      </c>
    </row>
    <row r="3847">
      <c r="A3847" t="inlineStr">
        <is>
          <t>27BBBBB03847Z5</t>
        </is>
      </c>
      <c r="B3847" t="inlineStr">
        <is>
          <t>Nov-2017</t>
        </is>
      </c>
      <c r="C3847" s="2" t="n">
        <v>43175</v>
      </c>
      <c r="D3847" t="inlineStr">
        <is>
          <t>NIL</t>
        </is>
      </c>
      <c r="E3847" t="n">
        <v>75</v>
      </c>
    </row>
    <row r="3848">
      <c r="A3848" t="inlineStr">
        <is>
          <t>27BBBBB03848Z5</t>
        </is>
      </c>
      <c r="B3848" t="inlineStr">
        <is>
          <t>Mar-2021</t>
        </is>
      </c>
      <c r="C3848" s="2" t="n">
        <v>45042</v>
      </c>
      <c r="D3848" t="inlineStr">
        <is>
          <t>NON-NIL</t>
        </is>
      </c>
      <c r="E3848" t="n">
        <v>2953</v>
      </c>
    </row>
    <row r="3849">
      <c r="A3849" t="inlineStr">
        <is>
          <t>27BBBBB03849Z5</t>
        </is>
      </c>
      <c r="B3849" t="inlineStr">
        <is>
          <t>Jun-2020</t>
        </is>
      </c>
      <c r="C3849" s="2" t="n">
        <v>44810</v>
      </c>
      <c r="D3849" t="inlineStr">
        <is>
          <t>NON-NIL</t>
        </is>
      </c>
      <c r="E3849" t="n">
        <v>1252</v>
      </c>
    </row>
    <row r="3850">
      <c r="A3850" t="inlineStr">
        <is>
          <t>27BBBBB03850Z5</t>
        </is>
      </c>
      <c r="B3850" t="inlineStr">
        <is>
          <t>May-2020</t>
        </is>
      </c>
      <c r="C3850" s="2" t="n">
        <v>44067</v>
      </c>
      <c r="D3850" t="inlineStr">
        <is>
          <t>NON-NIL</t>
        </is>
      </c>
      <c r="E3850" t="n">
        <v>1114</v>
      </c>
    </row>
    <row r="3851">
      <c r="A3851" t="inlineStr">
        <is>
          <t>27BBBBB03851Z5</t>
        </is>
      </c>
      <c r="B3851" t="inlineStr">
        <is>
          <t>Nov-2017</t>
        </is>
      </c>
      <c r="C3851" s="2" t="n">
        <v>44224</v>
      </c>
      <c r="D3851" t="inlineStr">
        <is>
          <t>NIL</t>
        </is>
      </c>
      <c r="E3851" t="n">
        <v>339</v>
      </c>
    </row>
    <row r="3852">
      <c r="A3852" t="inlineStr">
        <is>
          <t>27BBBBB03852Z5</t>
        </is>
      </c>
      <c r="B3852" t="inlineStr">
        <is>
          <t>Nov-2018</t>
        </is>
      </c>
      <c r="C3852" s="2" t="n">
        <v>44265</v>
      </c>
      <c r="D3852" t="inlineStr">
        <is>
          <t>NIL</t>
        </is>
      </c>
      <c r="E3852" t="n">
        <v>863</v>
      </c>
    </row>
    <row r="3853">
      <c r="A3853" t="inlineStr">
        <is>
          <t>27BBBBB03853Z5</t>
        </is>
      </c>
      <c r="B3853" t="inlineStr">
        <is>
          <t>Apr-2018</t>
        </is>
      </c>
      <c r="C3853" s="2" t="n">
        <v>43211</v>
      </c>
      <c r="D3853" t="inlineStr">
        <is>
          <t>NIL</t>
        </is>
      </c>
      <c r="E3853" t="n">
        <v>2938</v>
      </c>
    </row>
    <row r="3854">
      <c r="A3854" t="inlineStr">
        <is>
          <t>27BBBBB03854Z5</t>
        </is>
      </c>
      <c r="B3854" t="inlineStr">
        <is>
          <t>Jul-2018</t>
        </is>
      </c>
      <c r="C3854" s="2" t="n">
        <v>44419</v>
      </c>
      <c r="D3854" t="inlineStr">
        <is>
          <t>NON-NIL</t>
        </is>
      </c>
      <c r="E3854" t="n">
        <v>708</v>
      </c>
    </row>
    <row r="3855">
      <c r="A3855" t="inlineStr">
        <is>
          <t>27BBBBB03855Z5</t>
        </is>
      </c>
      <c r="B3855" t="inlineStr">
        <is>
          <t>Sep-2017</t>
        </is>
      </c>
      <c r="C3855" s="2" t="n">
        <v>43940</v>
      </c>
      <c r="D3855" t="inlineStr">
        <is>
          <t>NIL</t>
        </is>
      </c>
      <c r="E3855" t="n">
        <v>1149</v>
      </c>
    </row>
    <row r="3856">
      <c r="A3856" t="inlineStr">
        <is>
          <t>27BBBBB03856Z5</t>
        </is>
      </c>
      <c r="B3856" t="inlineStr">
        <is>
          <t>Mar-2023</t>
        </is>
      </c>
      <c r="C3856" s="2" t="n">
        <v>45223</v>
      </c>
      <c r="D3856" t="inlineStr">
        <is>
          <t>NON-NIL</t>
        </is>
      </c>
      <c r="E3856" t="n">
        <v>2150</v>
      </c>
    </row>
    <row r="3857">
      <c r="A3857" t="inlineStr">
        <is>
          <t>27BBBBB03857Z5</t>
        </is>
      </c>
      <c r="B3857" t="inlineStr">
        <is>
          <t>Oct-2018</t>
        </is>
      </c>
      <c r="C3857" s="2" t="n">
        <v>44231</v>
      </c>
      <c r="D3857" t="inlineStr">
        <is>
          <t>NIL</t>
        </is>
      </c>
      <c r="E3857" t="n">
        <v>2711</v>
      </c>
    </row>
    <row r="3858">
      <c r="A3858" t="inlineStr">
        <is>
          <t>27BBBBB03858Z5</t>
        </is>
      </c>
      <c r="B3858" t="inlineStr">
        <is>
          <t>Dec-2022</t>
        </is>
      </c>
      <c r="C3858" s="2" t="n">
        <v>45751</v>
      </c>
      <c r="D3858" t="inlineStr">
        <is>
          <t>NIL</t>
        </is>
      </c>
      <c r="E3858" t="n">
        <v>2002</v>
      </c>
    </row>
    <row r="3859">
      <c r="A3859" t="inlineStr">
        <is>
          <t>27BBBBB03859Z5</t>
        </is>
      </c>
      <c r="B3859" t="inlineStr">
        <is>
          <t>Apr-2020</t>
        </is>
      </c>
      <c r="C3859" s="2" t="n">
        <v>44625</v>
      </c>
      <c r="D3859" t="inlineStr">
        <is>
          <t>NIL</t>
        </is>
      </c>
      <c r="E3859" t="n">
        <v>509</v>
      </c>
    </row>
    <row r="3860">
      <c r="A3860" t="inlineStr">
        <is>
          <t>27BBBBB03860Z5</t>
        </is>
      </c>
      <c r="B3860" t="inlineStr">
        <is>
          <t>Sep-2017</t>
        </is>
      </c>
      <c r="C3860" s="2" t="n">
        <v>43805</v>
      </c>
      <c r="D3860" t="inlineStr">
        <is>
          <t>NON-NIL</t>
        </is>
      </c>
      <c r="E3860" t="n">
        <v>445</v>
      </c>
    </row>
    <row r="3861">
      <c r="A3861" t="inlineStr">
        <is>
          <t>27BBBBB03861Z5</t>
        </is>
      </c>
      <c r="B3861" t="inlineStr">
        <is>
          <t>Nov-2017</t>
        </is>
      </c>
      <c r="C3861" s="2" t="n">
        <v>43398</v>
      </c>
      <c r="D3861" t="inlineStr">
        <is>
          <t>NIL</t>
        </is>
      </c>
      <c r="E3861" t="n">
        <v>1086</v>
      </c>
    </row>
    <row r="3862">
      <c r="A3862" t="inlineStr">
        <is>
          <t>27BBBBB03862Z5</t>
        </is>
      </c>
      <c r="B3862" t="inlineStr">
        <is>
          <t>Jul-2018</t>
        </is>
      </c>
      <c r="C3862" s="2" t="n">
        <v>44343</v>
      </c>
      <c r="D3862" t="inlineStr">
        <is>
          <t>NON-NIL</t>
        </is>
      </c>
      <c r="E3862" t="n">
        <v>2078</v>
      </c>
    </row>
    <row r="3863">
      <c r="A3863" t="inlineStr">
        <is>
          <t>27BBBBB03863Z5</t>
        </is>
      </c>
      <c r="B3863" t="inlineStr">
        <is>
          <t>Feb-2018</t>
        </is>
      </c>
      <c r="C3863" s="2" t="n">
        <v>43730</v>
      </c>
      <c r="D3863" t="inlineStr">
        <is>
          <t>NON-NIL</t>
        </is>
      </c>
      <c r="E3863" t="n">
        <v>2473</v>
      </c>
    </row>
    <row r="3864">
      <c r="A3864" t="inlineStr">
        <is>
          <t>27BBBBB03864Z5</t>
        </is>
      </c>
      <c r="B3864" t="inlineStr">
        <is>
          <t>Apr-2020</t>
        </is>
      </c>
      <c r="C3864" s="2" t="n">
        <v>43835</v>
      </c>
      <c r="D3864" t="inlineStr">
        <is>
          <t>NIL</t>
        </is>
      </c>
      <c r="E3864" t="n">
        <v>1664</v>
      </c>
    </row>
    <row r="3865">
      <c r="A3865" t="inlineStr">
        <is>
          <t>27BBBBB03865Z5</t>
        </is>
      </c>
      <c r="B3865" t="inlineStr">
        <is>
          <t>Jun-2020</t>
        </is>
      </c>
      <c r="C3865" s="2" t="n">
        <v>44681</v>
      </c>
      <c r="D3865" t="inlineStr">
        <is>
          <t>NON-NIL</t>
        </is>
      </c>
      <c r="E3865" t="n">
        <v>2235</v>
      </c>
    </row>
    <row r="3866">
      <c r="A3866" t="inlineStr">
        <is>
          <t>27BBBBB03866Z5</t>
        </is>
      </c>
      <c r="B3866" t="inlineStr">
        <is>
          <t>Mar-2023</t>
        </is>
      </c>
      <c r="C3866" s="2" t="n">
        <v>43882</v>
      </c>
      <c r="D3866" t="inlineStr">
        <is>
          <t>NIL</t>
        </is>
      </c>
      <c r="E3866" t="n">
        <v>1728</v>
      </c>
    </row>
    <row r="3867">
      <c r="A3867" t="inlineStr">
        <is>
          <t>27BBBBB03867Z5</t>
        </is>
      </c>
      <c r="B3867" t="inlineStr">
        <is>
          <t>Dec-2022</t>
        </is>
      </c>
      <c r="C3867" s="2" t="n">
        <v>45135</v>
      </c>
      <c r="D3867" t="inlineStr">
        <is>
          <t>NIL</t>
        </is>
      </c>
      <c r="E3867" t="n">
        <v>684</v>
      </c>
    </row>
    <row r="3868">
      <c r="A3868" t="inlineStr">
        <is>
          <t>27BBBBB03868Z5</t>
        </is>
      </c>
      <c r="B3868" t="inlineStr">
        <is>
          <t>Mar-2021</t>
        </is>
      </c>
      <c r="C3868" s="2" t="n">
        <v>44093</v>
      </c>
      <c r="D3868" t="inlineStr">
        <is>
          <t>NIL</t>
        </is>
      </c>
      <c r="E3868" t="n">
        <v>2224</v>
      </c>
    </row>
    <row r="3869">
      <c r="A3869" t="inlineStr">
        <is>
          <t>27BBBBB03869Z5</t>
        </is>
      </c>
      <c r="B3869" t="inlineStr">
        <is>
          <t>Jul-2018</t>
        </is>
      </c>
      <c r="C3869" s="2" t="n">
        <v>43045</v>
      </c>
      <c r="D3869" t="inlineStr">
        <is>
          <t>NIL</t>
        </is>
      </c>
      <c r="E3869" t="n">
        <v>570</v>
      </c>
    </row>
    <row r="3870">
      <c r="A3870" t="inlineStr">
        <is>
          <t>27BBBBB03870Z5</t>
        </is>
      </c>
      <c r="B3870" t="inlineStr">
        <is>
          <t>Oct-2017</t>
        </is>
      </c>
      <c r="C3870" s="2" t="n">
        <v>43403</v>
      </c>
      <c r="D3870" t="inlineStr">
        <is>
          <t>NIL</t>
        </is>
      </c>
      <c r="E3870" t="n">
        <v>2904</v>
      </c>
    </row>
    <row r="3871">
      <c r="A3871" t="inlineStr">
        <is>
          <t>27BBBBB03871Z5</t>
        </is>
      </c>
      <c r="B3871" t="inlineStr">
        <is>
          <t>Jul-2020</t>
        </is>
      </c>
      <c r="C3871" s="2" t="n">
        <v>44575</v>
      </c>
      <c r="D3871" t="inlineStr">
        <is>
          <t>NIL</t>
        </is>
      </c>
      <c r="E3871" t="n">
        <v>2338</v>
      </c>
    </row>
    <row r="3872">
      <c r="A3872" t="inlineStr">
        <is>
          <t>27BBBBB03872Z5</t>
        </is>
      </c>
      <c r="B3872" t="inlineStr">
        <is>
          <t>Jul-2018</t>
        </is>
      </c>
      <c r="C3872" s="2" t="n">
        <v>43400</v>
      </c>
      <c r="D3872" t="inlineStr">
        <is>
          <t>NON-NIL</t>
        </is>
      </c>
      <c r="E3872" t="n">
        <v>1986</v>
      </c>
    </row>
    <row r="3873">
      <c r="A3873" t="inlineStr">
        <is>
          <t>27BBBBB03873Z5</t>
        </is>
      </c>
      <c r="B3873" t="inlineStr">
        <is>
          <t>Dec-2018</t>
        </is>
      </c>
      <c r="C3873" s="2" t="n">
        <v>43314</v>
      </c>
      <c r="D3873" t="inlineStr">
        <is>
          <t>NON-NIL</t>
        </is>
      </c>
      <c r="E3873" t="n">
        <v>2169</v>
      </c>
    </row>
    <row r="3874">
      <c r="A3874" t="inlineStr">
        <is>
          <t>27BBBBB03874Z5</t>
        </is>
      </c>
      <c r="B3874" t="inlineStr">
        <is>
          <t>Dec-2018</t>
        </is>
      </c>
      <c r="C3874" s="2" t="n">
        <v>43064</v>
      </c>
      <c r="D3874" t="inlineStr">
        <is>
          <t>NON-NIL</t>
        </is>
      </c>
      <c r="E3874" t="n">
        <v>1624</v>
      </c>
    </row>
    <row r="3875">
      <c r="A3875" t="inlineStr">
        <is>
          <t>27BBBBB03875Z5</t>
        </is>
      </c>
      <c r="B3875" t="inlineStr">
        <is>
          <t>Jul-2017</t>
        </is>
      </c>
      <c r="C3875" s="2" t="n">
        <v>44467</v>
      </c>
      <c r="D3875" t="inlineStr">
        <is>
          <t>NIL</t>
        </is>
      </c>
      <c r="E3875" t="n">
        <v>1065</v>
      </c>
    </row>
    <row r="3876">
      <c r="A3876" t="inlineStr">
        <is>
          <t>27BBBBB03876Z5</t>
        </is>
      </c>
      <c r="B3876" t="inlineStr">
        <is>
          <t>Jul-2020</t>
        </is>
      </c>
      <c r="C3876" s="2" t="n">
        <v>44740</v>
      </c>
      <c r="D3876" t="inlineStr">
        <is>
          <t>NON-NIL</t>
        </is>
      </c>
      <c r="E3876" t="n">
        <v>63</v>
      </c>
    </row>
    <row r="3877">
      <c r="A3877" t="inlineStr">
        <is>
          <t>27BBBBB03877Z5</t>
        </is>
      </c>
      <c r="B3877" t="inlineStr">
        <is>
          <t>Jan-2021</t>
        </is>
      </c>
      <c r="C3877" s="2" t="n">
        <v>45384</v>
      </c>
      <c r="D3877" t="inlineStr">
        <is>
          <t>NON-NIL</t>
        </is>
      </c>
      <c r="E3877" t="n">
        <v>850</v>
      </c>
    </row>
    <row r="3878">
      <c r="A3878" t="inlineStr">
        <is>
          <t>27BBBBB03878Z5</t>
        </is>
      </c>
      <c r="B3878" t="inlineStr">
        <is>
          <t>Apr-2018</t>
        </is>
      </c>
      <c r="C3878" s="2" t="n">
        <v>43555</v>
      </c>
      <c r="D3878" t="inlineStr">
        <is>
          <t>NON-NIL</t>
        </is>
      </c>
      <c r="E3878" t="n">
        <v>462</v>
      </c>
    </row>
    <row r="3879">
      <c r="A3879" t="inlineStr">
        <is>
          <t>27BBBBB03879Z5</t>
        </is>
      </c>
      <c r="B3879" t="inlineStr">
        <is>
          <t>Jun-2020</t>
        </is>
      </c>
      <c r="C3879" s="2" t="n">
        <v>44787</v>
      </c>
      <c r="D3879" t="inlineStr">
        <is>
          <t>NON-NIL</t>
        </is>
      </c>
      <c r="E3879" t="n">
        <v>1542</v>
      </c>
    </row>
    <row r="3880">
      <c r="A3880" t="inlineStr">
        <is>
          <t>27BBBBB03880Z5</t>
        </is>
      </c>
      <c r="B3880" t="inlineStr">
        <is>
          <t>Aug-2018</t>
        </is>
      </c>
      <c r="C3880" s="2" t="n">
        <v>43706</v>
      </c>
      <c r="D3880" t="inlineStr">
        <is>
          <t>NIL</t>
        </is>
      </c>
      <c r="E3880" t="n">
        <v>2459</v>
      </c>
    </row>
    <row r="3881">
      <c r="A3881" t="inlineStr">
        <is>
          <t>27BBBBB03881Z5</t>
        </is>
      </c>
      <c r="B3881" t="inlineStr">
        <is>
          <t>Jul-2018</t>
        </is>
      </c>
      <c r="C3881" s="2" t="n">
        <v>43297</v>
      </c>
      <c r="D3881" t="inlineStr">
        <is>
          <t>NIL</t>
        </is>
      </c>
      <c r="E3881" t="n">
        <v>911</v>
      </c>
    </row>
    <row r="3882">
      <c r="A3882" t="inlineStr">
        <is>
          <t>27BBBBB03882Z5</t>
        </is>
      </c>
      <c r="B3882" t="inlineStr">
        <is>
          <t>Dec-2017</t>
        </is>
      </c>
      <c r="C3882" s="2" t="n">
        <v>43399</v>
      </c>
      <c r="D3882" t="inlineStr">
        <is>
          <t>NIL</t>
        </is>
      </c>
      <c r="E3882" t="n">
        <v>2541</v>
      </c>
    </row>
    <row r="3883">
      <c r="A3883" t="inlineStr">
        <is>
          <t>27BBBBB03883Z5</t>
        </is>
      </c>
      <c r="B3883" t="inlineStr">
        <is>
          <t>Jun-2018</t>
        </is>
      </c>
      <c r="C3883" s="2" t="n">
        <v>42937</v>
      </c>
      <c r="D3883" t="inlineStr">
        <is>
          <t>NIL</t>
        </is>
      </c>
      <c r="E3883" t="n">
        <v>2767</v>
      </c>
    </row>
    <row r="3884">
      <c r="A3884" t="inlineStr">
        <is>
          <t>27BBBBB03884Z5</t>
        </is>
      </c>
      <c r="B3884" t="inlineStr">
        <is>
          <t>Dec-2024</t>
        </is>
      </c>
      <c r="C3884" s="2" t="n">
        <v>45445</v>
      </c>
      <c r="D3884" t="inlineStr">
        <is>
          <t>NON-NIL</t>
        </is>
      </c>
      <c r="E3884" t="n">
        <v>336</v>
      </c>
    </row>
    <row r="3885">
      <c r="A3885" t="inlineStr">
        <is>
          <t>27BBBBB03885Z5</t>
        </is>
      </c>
      <c r="B3885" t="inlineStr">
        <is>
          <t>Aug-2017</t>
        </is>
      </c>
      <c r="C3885" s="2" t="n">
        <v>44481</v>
      </c>
      <c r="D3885" t="inlineStr">
        <is>
          <t>NIL</t>
        </is>
      </c>
      <c r="E3885" t="n">
        <v>551</v>
      </c>
    </row>
    <row r="3886">
      <c r="A3886" t="inlineStr">
        <is>
          <t>27BBBBB03886Z5</t>
        </is>
      </c>
      <c r="B3886" t="inlineStr">
        <is>
          <t>Dec-2022</t>
        </is>
      </c>
      <c r="C3886" s="2" t="n">
        <v>43885</v>
      </c>
      <c r="D3886" t="inlineStr">
        <is>
          <t>NON-NIL</t>
        </is>
      </c>
      <c r="E3886" t="n">
        <v>1391</v>
      </c>
    </row>
    <row r="3887">
      <c r="A3887" t="inlineStr">
        <is>
          <t>27BBBBB03887Z5</t>
        </is>
      </c>
      <c r="B3887" t="inlineStr">
        <is>
          <t>Dec-2024</t>
        </is>
      </c>
      <c r="C3887" s="2" t="n">
        <v>45523</v>
      </c>
      <c r="D3887" t="inlineStr">
        <is>
          <t>NIL</t>
        </is>
      </c>
      <c r="E3887" t="n">
        <v>2278</v>
      </c>
    </row>
    <row r="3888">
      <c r="A3888" t="inlineStr">
        <is>
          <t>27BBBBB03888Z5</t>
        </is>
      </c>
      <c r="B3888" t="inlineStr">
        <is>
          <t>Sep-2018</t>
        </is>
      </c>
      <c r="C3888" s="2" t="n">
        <v>43224</v>
      </c>
      <c r="D3888" t="inlineStr">
        <is>
          <t>NON-NIL</t>
        </is>
      </c>
      <c r="E3888" t="n">
        <v>2739</v>
      </c>
    </row>
    <row r="3889">
      <c r="A3889" t="inlineStr">
        <is>
          <t>27BBBBB03889Z5</t>
        </is>
      </c>
      <c r="B3889" t="inlineStr">
        <is>
          <t>Oct-2018</t>
        </is>
      </c>
      <c r="C3889" s="2" t="n">
        <v>44306</v>
      </c>
      <c r="D3889" t="inlineStr">
        <is>
          <t>NIL</t>
        </is>
      </c>
      <c r="E3889" t="n">
        <v>2844</v>
      </c>
    </row>
    <row r="3890">
      <c r="A3890" t="inlineStr">
        <is>
          <t>27BBBBB03890Z5</t>
        </is>
      </c>
      <c r="B3890" t="inlineStr">
        <is>
          <t>May-2018</t>
        </is>
      </c>
      <c r="C3890" s="2" t="n">
        <v>44266</v>
      </c>
      <c r="D3890" t="inlineStr">
        <is>
          <t>NIL</t>
        </is>
      </c>
      <c r="E3890" t="n">
        <v>2987</v>
      </c>
    </row>
    <row r="3891">
      <c r="A3891" t="inlineStr">
        <is>
          <t>27BBBBB03891Z5</t>
        </is>
      </c>
      <c r="B3891" t="inlineStr">
        <is>
          <t>Oct-2017</t>
        </is>
      </c>
      <c r="C3891" s="2" t="n">
        <v>44186</v>
      </c>
      <c r="D3891" t="inlineStr">
        <is>
          <t>NIL</t>
        </is>
      </c>
      <c r="E3891" t="n">
        <v>2146</v>
      </c>
    </row>
    <row r="3892">
      <c r="A3892" t="inlineStr">
        <is>
          <t>27BBBBB03892Z5</t>
        </is>
      </c>
      <c r="B3892" t="inlineStr">
        <is>
          <t>Dec-2018</t>
        </is>
      </c>
      <c r="C3892" s="2" t="n">
        <v>43355</v>
      </c>
      <c r="D3892" t="inlineStr">
        <is>
          <t>NIL</t>
        </is>
      </c>
      <c r="E3892" t="n">
        <v>2468</v>
      </c>
    </row>
    <row r="3893">
      <c r="A3893" t="inlineStr">
        <is>
          <t>27BBBBB03893Z5</t>
        </is>
      </c>
      <c r="B3893" t="inlineStr">
        <is>
          <t>Jul-2017</t>
        </is>
      </c>
      <c r="C3893" s="2" t="n">
        <v>43471</v>
      </c>
      <c r="D3893" t="inlineStr">
        <is>
          <t>NON-NIL</t>
        </is>
      </c>
      <c r="E3893" t="n">
        <v>2566</v>
      </c>
    </row>
    <row r="3894">
      <c r="A3894" t="inlineStr">
        <is>
          <t>27BBBBB03894Z5</t>
        </is>
      </c>
      <c r="B3894" t="inlineStr">
        <is>
          <t>Nov-2018</t>
        </is>
      </c>
      <c r="C3894" s="2" t="n">
        <v>43096</v>
      </c>
      <c r="D3894" t="inlineStr">
        <is>
          <t>NON-NIL</t>
        </is>
      </c>
      <c r="E3894" t="n">
        <v>2725</v>
      </c>
    </row>
    <row r="3895">
      <c r="A3895" t="inlineStr">
        <is>
          <t>27BBBBB03895Z5</t>
        </is>
      </c>
      <c r="B3895" t="inlineStr">
        <is>
          <t>Oct-2018</t>
        </is>
      </c>
      <c r="C3895" s="2" t="n">
        <v>43299</v>
      </c>
      <c r="D3895" t="inlineStr">
        <is>
          <t>NIL</t>
        </is>
      </c>
      <c r="E3895" t="n">
        <v>2460</v>
      </c>
    </row>
    <row r="3896">
      <c r="A3896" t="inlineStr">
        <is>
          <t>27BBBBB03896Z5</t>
        </is>
      </c>
      <c r="B3896" t="inlineStr">
        <is>
          <t>Feb-2018</t>
        </is>
      </c>
      <c r="C3896" s="2" t="n">
        <v>42937</v>
      </c>
      <c r="D3896" t="inlineStr">
        <is>
          <t>NON-NIL</t>
        </is>
      </c>
      <c r="E3896" t="n">
        <v>528</v>
      </c>
    </row>
    <row r="3897">
      <c r="A3897" t="inlineStr">
        <is>
          <t>27BBBBB03897Z5</t>
        </is>
      </c>
      <c r="B3897" t="inlineStr">
        <is>
          <t>Mar-2021</t>
        </is>
      </c>
      <c r="C3897" s="2" t="n">
        <v>43601</v>
      </c>
      <c r="D3897" t="inlineStr">
        <is>
          <t>NIL</t>
        </is>
      </c>
      <c r="E3897" t="n">
        <v>2299</v>
      </c>
    </row>
    <row r="3898">
      <c r="A3898" t="inlineStr">
        <is>
          <t>27BBBBB03898Z5</t>
        </is>
      </c>
      <c r="B3898" t="inlineStr">
        <is>
          <t>Jun-2018</t>
        </is>
      </c>
      <c r="C3898" s="2" t="n">
        <v>44116</v>
      </c>
      <c r="D3898" t="inlineStr">
        <is>
          <t>NIL</t>
        </is>
      </c>
      <c r="E3898" t="n">
        <v>1432</v>
      </c>
    </row>
    <row r="3899">
      <c r="A3899" t="inlineStr">
        <is>
          <t>27BBBBB03899Z5</t>
        </is>
      </c>
      <c r="B3899" t="inlineStr">
        <is>
          <t>Dec-2017</t>
        </is>
      </c>
      <c r="C3899" s="2" t="n">
        <v>43896</v>
      </c>
      <c r="D3899" t="inlineStr">
        <is>
          <t>NIL</t>
        </is>
      </c>
      <c r="E3899" t="n">
        <v>454</v>
      </c>
    </row>
    <row r="3900">
      <c r="A3900" t="inlineStr">
        <is>
          <t>27BBBBB03900Z5</t>
        </is>
      </c>
      <c r="B3900" t="inlineStr">
        <is>
          <t>Sep-2017</t>
        </is>
      </c>
      <c r="C3900" s="2" t="n">
        <v>44483</v>
      </c>
      <c r="D3900" t="inlineStr">
        <is>
          <t>NON-NIL</t>
        </is>
      </c>
      <c r="E3900" t="n">
        <v>1612</v>
      </c>
    </row>
    <row r="3901">
      <c r="A3901" t="inlineStr">
        <is>
          <t>27BBBBB03901Z5</t>
        </is>
      </c>
      <c r="B3901" t="inlineStr">
        <is>
          <t>Jun-2018</t>
        </is>
      </c>
      <c r="C3901" s="2" t="n">
        <v>43758</v>
      </c>
      <c r="D3901" t="inlineStr">
        <is>
          <t>NON-NIL</t>
        </is>
      </c>
      <c r="E3901" t="n">
        <v>760</v>
      </c>
    </row>
    <row r="3902">
      <c r="A3902" t="inlineStr">
        <is>
          <t>27BBBBB03902Z5</t>
        </is>
      </c>
      <c r="B3902" t="inlineStr">
        <is>
          <t>Dec-2017</t>
        </is>
      </c>
      <c r="C3902" s="2" t="n">
        <v>43479</v>
      </c>
      <c r="D3902" t="inlineStr">
        <is>
          <t>NIL</t>
        </is>
      </c>
      <c r="E3902" t="n">
        <v>641</v>
      </c>
    </row>
    <row r="3903">
      <c r="A3903" t="inlineStr">
        <is>
          <t>27BBBBB03903Z5</t>
        </is>
      </c>
      <c r="B3903" t="inlineStr">
        <is>
          <t>Nov-2018</t>
        </is>
      </c>
      <c r="C3903" s="2" t="n">
        <v>43714</v>
      </c>
      <c r="D3903" t="inlineStr">
        <is>
          <t>NON-NIL</t>
        </is>
      </c>
      <c r="E3903" t="n">
        <v>2980</v>
      </c>
    </row>
    <row r="3904">
      <c r="A3904" t="inlineStr">
        <is>
          <t>27BBBBB03904Z5</t>
        </is>
      </c>
      <c r="B3904" t="inlineStr">
        <is>
          <t>Jul-2017</t>
        </is>
      </c>
      <c r="C3904" s="2" t="n">
        <v>44349</v>
      </c>
      <c r="D3904" t="inlineStr">
        <is>
          <t>NIL</t>
        </is>
      </c>
      <c r="E3904" t="n">
        <v>2114</v>
      </c>
    </row>
    <row r="3905">
      <c r="A3905" t="inlineStr">
        <is>
          <t>27BBBBB03905Z5</t>
        </is>
      </c>
      <c r="B3905" t="inlineStr">
        <is>
          <t>Apr-2018</t>
        </is>
      </c>
      <c r="C3905" s="2" t="n">
        <v>43172</v>
      </c>
      <c r="D3905" t="inlineStr">
        <is>
          <t>NIL</t>
        </is>
      </c>
      <c r="E3905" t="n">
        <v>392</v>
      </c>
    </row>
    <row r="3906">
      <c r="A3906" t="inlineStr">
        <is>
          <t>27BBBBB03906Z5</t>
        </is>
      </c>
      <c r="B3906" t="inlineStr">
        <is>
          <t>Jun-2020</t>
        </is>
      </c>
      <c r="C3906" s="2" t="n">
        <v>44555</v>
      </c>
      <c r="D3906" t="inlineStr">
        <is>
          <t>NIL</t>
        </is>
      </c>
      <c r="E3906" t="n">
        <v>653</v>
      </c>
    </row>
    <row r="3907">
      <c r="A3907" t="inlineStr">
        <is>
          <t>27BBBBB03907Z5</t>
        </is>
      </c>
      <c r="B3907" t="inlineStr">
        <is>
          <t>Dec-2017</t>
        </is>
      </c>
      <c r="C3907" s="2" t="n">
        <v>43458</v>
      </c>
      <c r="D3907" t="inlineStr">
        <is>
          <t>NIL</t>
        </is>
      </c>
      <c r="E3907" t="n">
        <v>2828</v>
      </c>
    </row>
    <row r="3908">
      <c r="A3908" t="inlineStr">
        <is>
          <t>27BBBBB03908Z5</t>
        </is>
      </c>
      <c r="B3908" t="inlineStr">
        <is>
          <t>Mar-2018</t>
        </is>
      </c>
      <c r="C3908" s="2" t="n">
        <v>43438</v>
      </c>
      <c r="D3908" t="inlineStr">
        <is>
          <t>NON-NIL</t>
        </is>
      </c>
      <c r="E3908" t="n">
        <v>112</v>
      </c>
    </row>
    <row r="3909">
      <c r="A3909" t="inlineStr">
        <is>
          <t>27BBBBB03909Z5</t>
        </is>
      </c>
      <c r="B3909" t="inlineStr">
        <is>
          <t>Jul-2020</t>
        </is>
      </c>
      <c r="C3909" s="2" t="n">
        <v>44650</v>
      </c>
      <c r="D3909" t="inlineStr">
        <is>
          <t>NON-NIL</t>
        </is>
      </c>
      <c r="E3909" t="n">
        <v>351</v>
      </c>
    </row>
    <row r="3910">
      <c r="A3910" t="inlineStr">
        <is>
          <t>27BBBBB03910Z5</t>
        </is>
      </c>
      <c r="B3910" t="inlineStr">
        <is>
          <t>Dec-2024</t>
        </is>
      </c>
      <c r="C3910" s="2" t="n">
        <v>44881</v>
      </c>
      <c r="D3910" t="inlineStr">
        <is>
          <t>NIL</t>
        </is>
      </c>
      <c r="E3910" t="n">
        <v>2840</v>
      </c>
    </row>
    <row r="3911">
      <c r="A3911" t="inlineStr">
        <is>
          <t>27BBBBB03911Z5</t>
        </is>
      </c>
      <c r="B3911" t="inlineStr">
        <is>
          <t>Nov-2017</t>
        </is>
      </c>
      <c r="C3911" s="2" t="n">
        <v>43191</v>
      </c>
      <c r="D3911" t="inlineStr">
        <is>
          <t>NIL</t>
        </is>
      </c>
      <c r="E3911" t="n">
        <v>2420</v>
      </c>
    </row>
    <row r="3912">
      <c r="A3912" t="inlineStr">
        <is>
          <t>27BBBBB03912Z5</t>
        </is>
      </c>
      <c r="B3912" t="inlineStr">
        <is>
          <t>Oct-2018</t>
        </is>
      </c>
      <c r="C3912" s="2" t="n">
        <v>43705</v>
      </c>
      <c r="D3912" t="inlineStr">
        <is>
          <t>NON-NIL</t>
        </is>
      </c>
      <c r="E3912" t="n">
        <v>2213</v>
      </c>
    </row>
    <row r="3913">
      <c r="A3913" t="inlineStr">
        <is>
          <t>27BBBBB03913Z5</t>
        </is>
      </c>
      <c r="B3913" t="inlineStr">
        <is>
          <t>Jul-2018</t>
        </is>
      </c>
      <c r="C3913" s="2" t="n">
        <v>43051</v>
      </c>
      <c r="D3913" t="inlineStr">
        <is>
          <t>NIL</t>
        </is>
      </c>
      <c r="E3913" t="n">
        <v>2297</v>
      </c>
    </row>
    <row r="3914">
      <c r="A3914" t="inlineStr">
        <is>
          <t>27BBBBB03914Z5</t>
        </is>
      </c>
      <c r="B3914" t="inlineStr">
        <is>
          <t>Dec-2017</t>
        </is>
      </c>
      <c r="C3914" s="2" t="n">
        <v>43630</v>
      </c>
      <c r="D3914" t="inlineStr">
        <is>
          <t>NON-NIL</t>
        </is>
      </c>
      <c r="E3914" t="n">
        <v>2820</v>
      </c>
    </row>
    <row r="3915">
      <c r="A3915" t="inlineStr">
        <is>
          <t>27BBBBB03915Z5</t>
        </is>
      </c>
      <c r="B3915" t="inlineStr">
        <is>
          <t>Mar-2020</t>
        </is>
      </c>
      <c r="C3915" s="2" t="n">
        <v>44074</v>
      </c>
      <c r="D3915" t="inlineStr">
        <is>
          <t>NON-NIL</t>
        </is>
      </c>
      <c r="E3915" t="n">
        <v>898</v>
      </c>
    </row>
    <row r="3916">
      <c r="A3916" t="inlineStr">
        <is>
          <t>27BBBBB03916Z5</t>
        </is>
      </c>
      <c r="B3916" t="inlineStr">
        <is>
          <t>Dec-2017</t>
        </is>
      </c>
      <c r="C3916" s="2" t="n">
        <v>43069</v>
      </c>
      <c r="D3916" t="inlineStr">
        <is>
          <t>NIL</t>
        </is>
      </c>
      <c r="E3916" t="n">
        <v>2901</v>
      </c>
    </row>
    <row r="3917">
      <c r="A3917" t="inlineStr">
        <is>
          <t>27BBBBB03917Z5</t>
        </is>
      </c>
      <c r="B3917" t="inlineStr">
        <is>
          <t>Oct-2018</t>
        </is>
      </c>
      <c r="C3917" s="2" t="n">
        <v>43266</v>
      </c>
      <c r="D3917" t="inlineStr">
        <is>
          <t>NON-NIL</t>
        </is>
      </c>
      <c r="E3917" t="n">
        <v>1433</v>
      </c>
    </row>
    <row r="3918">
      <c r="A3918" t="inlineStr">
        <is>
          <t>27BBBBB03918Z5</t>
        </is>
      </c>
      <c r="B3918" t="inlineStr">
        <is>
          <t>Jul-2018</t>
        </is>
      </c>
      <c r="C3918" s="2" t="n">
        <v>44424</v>
      </c>
      <c r="D3918" t="inlineStr">
        <is>
          <t>NIL</t>
        </is>
      </c>
      <c r="E3918" t="n">
        <v>1409</v>
      </c>
    </row>
    <row r="3919">
      <c r="A3919" t="inlineStr">
        <is>
          <t>27BBBBB03919Z5</t>
        </is>
      </c>
      <c r="B3919" t="inlineStr">
        <is>
          <t>Sep-2017</t>
        </is>
      </c>
      <c r="C3919" s="2" t="n">
        <v>43965</v>
      </c>
      <c r="D3919" t="inlineStr">
        <is>
          <t>NIL</t>
        </is>
      </c>
      <c r="E3919" t="n">
        <v>227</v>
      </c>
    </row>
    <row r="3920">
      <c r="A3920" t="inlineStr">
        <is>
          <t>27BBBBB03920Z5</t>
        </is>
      </c>
      <c r="B3920" t="inlineStr">
        <is>
          <t>Nov-2018</t>
        </is>
      </c>
      <c r="C3920" s="2" t="n">
        <v>44224</v>
      </c>
      <c r="D3920" t="inlineStr">
        <is>
          <t>NIL</t>
        </is>
      </c>
      <c r="E3920" t="n">
        <v>2262</v>
      </c>
    </row>
    <row r="3921">
      <c r="A3921" t="inlineStr">
        <is>
          <t>27BBBBB03921Z5</t>
        </is>
      </c>
      <c r="B3921" t="inlineStr">
        <is>
          <t>Aug-2018</t>
        </is>
      </c>
      <c r="C3921" s="2" t="n">
        <v>43150</v>
      </c>
      <c r="D3921" t="inlineStr">
        <is>
          <t>NON-NIL</t>
        </is>
      </c>
      <c r="E3921" t="n">
        <v>2102</v>
      </c>
    </row>
    <row r="3922">
      <c r="A3922" t="inlineStr">
        <is>
          <t>27BBBBB03922Z5</t>
        </is>
      </c>
      <c r="B3922" t="inlineStr">
        <is>
          <t>Jul-2017</t>
        </is>
      </c>
      <c r="C3922" s="2" t="n">
        <v>43994</v>
      </c>
      <c r="D3922" t="inlineStr">
        <is>
          <t>NON-NIL</t>
        </is>
      </c>
      <c r="E3922" t="n">
        <v>454</v>
      </c>
    </row>
    <row r="3923">
      <c r="A3923" t="inlineStr">
        <is>
          <t>27BBBBB03923Z5</t>
        </is>
      </c>
      <c r="B3923" t="inlineStr">
        <is>
          <t>Jan-2018</t>
        </is>
      </c>
      <c r="C3923" s="2" t="n">
        <v>43613</v>
      </c>
      <c r="D3923" t="inlineStr">
        <is>
          <t>NIL</t>
        </is>
      </c>
      <c r="E3923" t="n">
        <v>2122</v>
      </c>
    </row>
    <row r="3924">
      <c r="A3924" t="inlineStr">
        <is>
          <t>27BBBBB03924Z5</t>
        </is>
      </c>
      <c r="B3924" t="inlineStr">
        <is>
          <t>Jul-2020</t>
        </is>
      </c>
      <c r="C3924" s="2" t="n">
        <v>44459</v>
      </c>
      <c r="D3924" t="inlineStr">
        <is>
          <t>NON-NIL</t>
        </is>
      </c>
      <c r="E3924" t="n">
        <v>803</v>
      </c>
    </row>
    <row r="3925">
      <c r="A3925" t="inlineStr">
        <is>
          <t>27BBBBB03925Z5</t>
        </is>
      </c>
      <c r="B3925" t="inlineStr">
        <is>
          <t>Nov-2017</t>
        </is>
      </c>
      <c r="C3925" s="2" t="n">
        <v>43460</v>
      </c>
      <c r="D3925" t="inlineStr">
        <is>
          <t>NIL</t>
        </is>
      </c>
      <c r="E3925" t="n">
        <v>243</v>
      </c>
    </row>
    <row r="3926">
      <c r="A3926" t="inlineStr">
        <is>
          <t>27BBBBB03926Z5</t>
        </is>
      </c>
      <c r="B3926" t="inlineStr">
        <is>
          <t>Jul-2020</t>
        </is>
      </c>
      <c r="C3926" s="2" t="n">
        <v>44564</v>
      </c>
      <c r="D3926" t="inlineStr">
        <is>
          <t>NON-NIL</t>
        </is>
      </c>
      <c r="E3926" t="n">
        <v>242</v>
      </c>
    </row>
    <row r="3927">
      <c r="A3927" t="inlineStr">
        <is>
          <t>27BBBBB03927Z5</t>
        </is>
      </c>
      <c r="B3927" t="inlineStr">
        <is>
          <t>Jan-2021</t>
        </is>
      </c>
      <c r="C3927" s="2" t="n">
        <v>44380</v>
      </c>
      <c r="D3927" t="inlineStr">
        <is>
          <t>NON-NIL</t>
        </is>
      </c>
      <c r="E3927" t="n">
        <v>1490</v>
      </c>
    </row>
    <row r="3928">
      <c r="A3928" t="inlineStr">
        <is>
          <t>27BBBBB03928Z5</t>
        </is>
      </c>
      <c r="B3928" t="inlineStr">
        <is>
          <t>Mar-2020</t>
        </is>
      </c>
      <c r="C3928" s="2" t="n">
        <v>44597</v>
      </c>
      <c r="D3928" t="inlineStr">
        <is>
          <t>NIL</t>
        </is>
      </c>
      <c r="E3928" t="n">
        <v>1294</v>
      </c>
    </row>
    <row r="3929">
      <c r="A3929" t="inlineStr">
        <is>
          <t>27BBBBB03929Z5</t>
        </is>
      </c>
      <c r="B3929" t="inlineStr">
        <is>
          <t>Oct-2018</t>
        </is>
      </c>
      <c r="C3929" s="2" t="n">
        <v>42969</v>
      </c>
      <c r="D3929" t="inlineStr">
        <is>
          <t>NON-NIL</t>
        </is>
      </c>
      <c r="E3929" t="n">
        <v>2980</v>
      </c>
    </row>
    <row r="3930">
      <c r="A3930" t="inlineStr">
        <is>
          <t>27BBBBB03930Z5</t>
        </is>
      </c>
      <c r="B3930" t="inlineStr">
        <is>
          <t>Dec-2017</t>
        </is>
      </c>
      <c r="C3930" s="2" t="n">
        <v>44533</v>
      </c>
      <c r="D3930" t="inlineStr">
        <is>
          <t>NON-NIL</t>
        </is>
      </c>
      <c r="E3930" t="n">
        <v>2679</v>
      </c>
    </row>
    <row r="3931">
      <c r="A3931" t="inlineStr">
        <is>
          <t>27BBBBB03931Z5</t>
        </is>
      </c>
      <c r="B3931" t="inlineStr">
        <is>
          <t>Jan-2021</t>
        </is>
      </c>
      <c r="C3931" s="2" t="n">
        <v>45822</v>
      </c>
      <c r="D3931" t="inlineStr">
        <is>
          <t>NIL</t>
        </is>
      </c>
      <c r="E3931" t="n">
        <v>2463</v>
      </c>
    </row>
    <row r="3932">
      <c r="A3932" t="inlineStr">
        <is>
          <t>27BBBBB03932Z5</t>
        </is>
      </c>
      <c r="B3932" t="inlineStr">
        <is>
          <t>Jul-2017</t>
        </is>
      </c>
      <c r="C3932" s="2" t="n">
        <v>44350</v>
      </c>
      <c r="D3932" t="inlineStr">
        <is>
          <t>NON-NIL</t>
        </is>
      </c>
      <c r="E3932" t="n">
        <v>2901</v>
      </c>
    </row>
    <row r="3933">
      <c r="A3933" t="inlineStr">
        <is>
          <t>27BBBBB03933Z5</t>
        </is>
      </c>
      <c r="B3933" t="inlineStr">
        <is>
          <t>Aug-2018</t>
        </is>
      </c>
      <c r="C3933" s="2" t="n">
        <v>44444</v>
      </c>
      <c r="D3933" t="inlineStr">
        <is>
          <t>NIL</t>
        </is>
      </c>
      <c r="E3933" t="n">
        <v>284</v>
      </c>
    </row>
    <row r="3934">
      <c r="A3934" t="inlineStr">
        <is>
          <t>27BBBBB03934Z5</t>
        </is>
      </c>
      <c r="B3934" t="inlineStr">
        <is>
          <t>Jan-2021</t>
        </is>
      </c>
      <c r="C3934" s="2" t="n">
        <v>45258</v>
      </c>
      <c r="D3934" t="inlineStr">
        <is>
          <t>NIL</t>
        </is>
      </c>
      <c r="E3934" t="n">
        <v>351</v>
      </c>
    </row>
    <row r="3935">
      <c r="A3935" t="inlineStr">
        <is>
          <t>27BBBBB03935Z5</t>
        </is>
      </c>
      <c r="B3935" t="inlineStr">
        <is>
          <t>May-2020</t>
        </is>
      </c>
      <c r="C3935" s="2" t="n">
        <v>44297</v>
      </c>
      <c r="D3935" t="inlineStr">
        <is>
          <t>NON-NIL</t>
        </is>
      </c>
      <c r="E3935" t="n">
        <v>209</v>
      </c>
    </row>
    <row r="3936">
      <c r="A3936" t="inlineStr">
        <is>
          <t>27BBBBB03936Z5</t>
        </is>
      </c>
      <c r="B3936" t="inlineStr">
        <is>
          <t>Dec-2017</t>
        </is>
      </c>
      <c r="C3936" s="2" t="n">
        <v>44355</v>
      </c>
      <c r="D3936" t="inlineStr">
        <is>
          <t>NON-NIL</t>
        </is>
      </c>
      <c r="E3936" t="n">
        <v>2965</v>
      </c>
    </row>
    <row r="3937">
      <c r="A3937" t="inlineStr">
        <is>
          <t>27BBBBB03937Z5</t>
        </is>
      </c>
      <c r="B3937" t="inlineStr">
        <is>
          <t>Sep-2017</t>
        </is>
      </c>
      <c r="C3937" s="2" t="n">
        <v>43701</v>
      </c>
      <c r="D3937" t="inlineStr">
        <is>
          <t>NON-NIL</t>
        </is>
      </c>
      <c r="E3937" t="n">
        <v>378</v>
      </c>
    </row>
    <row r="3938">
      <c r="A3938" t="inlineStr">
        <is>
          <t>27BBBBB03938Z5</t>
        </is>
      </c>
      <c r="B3938" t="inlineStr">
        <is>
          <t>Jul-2018</t>
        </is>
      </c>
      <c r="C3938" s="2" t="n">
        <v>44330</v>
      </c>
      <c r="D3938" t="inlineStr">
        <is>
          <t>NON-NIL</t>
        </is>
      </c>
      <c r="E3938" t="n">
        <v>740</v>
      </c>
    </row>
    <row r="3939">
      <c r="A3939" t="inlineStr">
        <is>
          <t>27BBBBB03939Z5</t>
        </is>
      </c>
      <c r="B3939" t="inlineStr">
        <is>
          <t>Mar-2023</t>
        </is>
      </c>
      <c r="C3939" s="2" t="n">
        <v>45503</v>
      </c>
      <c r="D3939" t="inlineStr">
        <is>
          <t>NIL</t>
        </is>
      </c>
      <c r="E3939" t="n">
        <v>618</v>
      </c>
    </row>
    <row r="3940">
      <c r="A3940" t="inlineStr">
        <is>
          <t>27BBBBB03940Z5</t>
        </is>
      </c>
      <c r="B3940" t="inlineStr">
        <is>
          <t>Nov-2017</t>
        </is>
      </c>
      <c r="C3940" s="2" t="n">
        <v>44413</v>
      </c>
      <c r="D3940" t="inlineStr">
        <is>
          <t>NON-NIL</t>
        </is>
      </c>
      <c r="E3940" t="n">
        <v>324</v>
      </c>
    </row>
    <row r="3941">
      <c r="A3941" t="inlineStr">
        <is>
          <t>27BBBBB03941Z5</t>
        </is>
      </c>
      <c r="B3941" t="inlineStr">
        <is>
          <t>Aug-2017</t>
        </is>
      </c>
      <c r="C3941" s="2" t="n">
        <v>44526</v>
      </c>
      <c r="D3941" t="inlineStr">
        <is>
          <t>NIL</t>
        </is>
      </c>
      <c r="E3941" t="n">
        <v>1711</v>
      </c>
    </row>
    <row r="3942">
      <c r="A3942" t="inlineStr">
        <is>
          <t>27BBBBB03942Z5</t>
        </is>
      </c>
      <c r="B3942" t="inlineStr">
        <is>
          <t>Dec-2017</t>
        </is>
      </c>
      <c r="C3942" s="2" t="n">
        <v>43116</v>
      </c>
      <c r="D3942" t="inlineStr">
        <is>
          <t>NIL</t>
        </is>
      </c>
      <c r="E3942" t="n">
        <v>2189</v>
      </c>
    </row>
    <row r="3943">
      <c r="A3943" t="inlineStr">
        <is>
          <t>27BBBBB03943Z5</t>
        </is>
      </c>
      <c r="B3943" t="inlineStr">
        <is>
          <t>Jan-2018</t>
        </is>
      </c>
      <c r="C3943" s="2" t="n">
        <v>42944</v>
      </c>
      <c r="D3943" t="inlineStr">
        <is>
          <t>NIL</t>
        </is>
      </c>
      <c r="E3943" t="n">
        <v>764</v>
      </c>
    </row>
    <row r="3944">
      <c r="A3944" t="inlineStr">
        <is>
          <t>27BBBBB03944Z5</t>
        </is>
      </c>
      <c r="B3944" t="inlineStr">
        <is>
          <t>Jul-2017</t>
        </is>
      </c>
      <c r="C3944" s="2" t="n">
        <v>44482</v>
      </c>
      <c r="D3944" t="inlineStr">
        <is>
          <t>NIL</t>
        </is>
      </c>
      <c r="E3944" t="n">
        <v>1244</v>
      </c>
    </row>
    <row r="3945">
      <c r="A3945" t="inlineStr">
        <is>
          <t>27BBBBB03945Z5</t>
        </is>
      </c>
      <c r="B3945" t="inlineStr">
        <is>
          <t>Jul-2020</t>
        </is>
      </c>
      <c r="C3945" s="2" t="n">
        <v>44294</v>
      </c>
      <c r="D3945" t="inlineStr">
        <is>
          <t>NIL</t>
        </is>
      </c>
      <c r="E3945" t="n">
        <v>2364</v>
      </c>
    </row>
    <row r="3946">
      <c r="A3946" t="inlineStr">
        <is>
          <t>27BBBBB03946Z5</t>
        </is>
      </c>
      <c r="B3946" t="inlineStr">
        <is>
          <t>Feb-2018</t>
        </is>
      </c>
      <c r="C3946" s="2" t="n">
        <v>44014</v>
      </c>
      <c r="D3946" t="inlineStr">
        <is>
          <t>NON-NIL</t>
        </is>
      </c>
      <c r="E3946" t="n">
        <v>272</v>
      </c>
    </row>
    <row r="3947">
      <c r="A3947" t="inlineStr">
        <is>
          <t>27BBBBB03947Z5</t>
        </is>
      </c>
      <c r="B3947" t="inlineStr">
        <is>
          <t>Dec-2022</t>
        </is>
      </c>
      <c r="C3947" s="2" t="n">
        <v>44815</v>
      </c>
      <c r="D3947" t="inlineStr">
        <is>
          <t>NIL</t>
        </is>
      </c>
      <c r="E3947" t="n">
        <v>370</v>
      </c>
    </row>
    <row r="3948">
      <c r="A3948" t="inlineStr">
        <is>
          <t>27BBBBB03948Z5</t>
        </is>
      </c>
      <c r="B3948" t="inlineStr">
        <is>
          <t>Jun-2020</t>
        </is>
      </c>
      <c r="C3948" s="2" t="n">
        <v>43971</v>
      </c>
      <c r="D3948" t="inlineStr">
        <is>
          <t>NIL</t>
        </is>
      </c>
      <c r="E3948" t="n">
        <v>941</v>
      </c>
    </row>
    <row r="3949">
      <c r="A3949" t="inlineStr">
        <is>
          <t>27BBBBB03949Z5</t>
        </is>
      </c>
      <c r="B3949" t="inlineStr">
        <is>
          <t>Aug-2017</t>
        </is>
      </c>
      <c r="C3949" s="2" t="n">
        <v>43903</v>
      </c>
      <c r="D3949" t="inlineStr">
        <is>
          <t>NIL</t>
        </is>
      </c>
      <c r="E3949" t="n">
        <v>326</v>
      </c>
    </row>
    <row r="3950">
      <c r="A3950" t="inlineStr">
        <is>
          <t>27BBBBB03950Z5</t>
        </is>
      </c>
      <c r="B3950" t="inlineStr">
        <is>
          <t>Feb-2018</t>
        </is>
      </c>
      <c r="C3950" s="2" t="n">
        <v>44121</v>
      </c>
      <c r="D3950" t="inlineStr">
        <is>
          <t>NON-NIL</t>
        </is>
      </c>
      <c r="E3950" t="n">
        <v>584</v>
      </c>
    </row>
    <row r="3951">
      <c r="A3951" t="inlineStr">
        <is>
          <t>27BBBBB03951Z5</t>
        </is>
      </c>
      <c r="B3951" t="inlineStr">
        <is>
          <t>Mar-2020</t>
        </is>
      </c>
      <c r="C3951" s="2" t="n">
        <v>44894</v>
      </c>
      <c r="D3951" t="inlineStr">
        <is>
          <t>NON-NIL</t>
        </is>
      </c>
      <c r="E3951" t="n">
        <v>735</v>
      </c>
    </row>
    <row r="3952">
      <c r="A3952" t="inlineStr">
        <is>
          <t>27BBBBB03952Z5</t>
        </is>
      </c>
      <c r="B3952" t="inlineStr">
        <is>
          <t>Nov-2018</t>
        </is>
      </c>
      <c r="C3952" s="2" t="n">
        <v>43839</v>
      </c>
      <c r="D3952" t="inlineStr">
        <is>
          <t>NON-NIL</t>
        </is>
      </c>
      <c r="E3952" t="n">
        <v>298</v>
      </c>
    </row>
    <row r="3953">
      <c r="A3953" t="inlineStr">
        <is>
          <t>27BBBBB03953Z5</t>
        </is>
      </c>
      <c r="B3953" t="inlineStr">
        <is>
          <t>Jan-2018</t>
        </is>
      </c>
      <c r="C3953" s="2" t="n">
        <v>44449</v>
      </c>
      <c r="D3953" t="inlineStr">
        <is>
          <t>NIL</t>
        </is>
      </c>
      <c r="E3953" t="n">
        <v>1239</v>
      </c>
    </row>
    <row r="3954">
      <c r="A3954" t="inlineStr">
        <is>
          <t>27BBBBB03954Z5</t>
        </is>
      </c>
      <c r="B3954" t="inlineStr">
        <is>
          <t>Nov-2017</t>
        </is>
      </c>
      <c r="C3954" s="2" t="n">
        <v>43392</v>
      </c>
      <c r="D3954" t="inlineStr">
        <is>
          <t>NON-NIL</t>
        </is>
      </c>
      <c r="E3954" t="n">
        <v>2746</v>
      </c>
    </row>
    <row r="3955">
      <c r="A3955" t="inlineStr">
        <is>
          <t>27BBBBB03955Z5</t>
        </is>
      </c>
      <c r="B3955" t="inlineStr">
        <is>
          <t>Jul-2018</t>
        </is>
      </c>
      <c r="C3955" s="2" t="n">
        <v>43949</v>
      </c>
      <c r="D3955" t="inlineStr">
        <is>
          <t>NIL</t>
        </is>
      </c>
      <c r="E3955" t="n">
        <v>2406</v>
      </c>
    </row>
    <row r="3956">
      <c r="A3956" t="inlineStr">
        <is>
          <t>27BBBBB03956Z5</t>
        </is>
      </c>
      <c r="B3956" t="inlineStr">
        <is>
          <t>Jul-2017</t>
        </is>
      </c>
      <c r="C3956" s="2" t="n">
        <v>42945</v>
      </c>
      <c r="D3956" t="inlineStr">
        <is>
          <t>NON-NIL</t>
        </is>
      </c>
      <c r="E3956" t="n">
        <v>2760</v>
      </c>
    </row>
    <row r="3957">
      <c r="A3957" t="inlineStr">
        <is>
          <t>27BBBBB03957Z5</t>
        </is>
      </c>
      <c r="B3957" t="inlineStr">
        <is>
          <t>Jan-2021</t>
        </is>
      </c>
      <c r="C3957" s="2" t="n">
        <v>45345</v>
      </c>
      <c r="D3957" t="inlineStr">
        <is>
          <t>NON-NIL</t>
        </is>
      </c>
      <c r="E3957" t="n">
        <v>1153</v>
      </c>
    </row>
    <row r="3958">
      <c r="A3958" t="inlineStr">
        <is>
          <t>27BBBBB03958Z5</t>
        </is>
      </c>
      <c r="B3958" t="inlineStr">
        <is>
          <t>Dec-2017</t>
        </is>
      </c>
      <c r="C3958" s="2" t="n">
        <v>44387</v>
      </c>
      <c r="D3958" t="inlineStr">
        <is>
          <t>NON-NIL</t>
        </is>
      </c>
      <c r="E3958" t="n">
        <v>1870</v>
      </c>
    </row>
    <row r="3959">
      <c r="A3959" t="inlineStr">
        <is>
          <t>27BBBBB03959Z5</t>
        </is>
      </c>
      <c r="B3959" t="inlineStr">
        <is>
          <t>Jan-2021</t>
        </is>
      </c>
      <c r="C3959" s="2" t="n">
        <v>43607</v>
      </c>
      <c r="D3959" t="inlineStr">
        <is>
          <t>NON-NIL</t>
        </is>
      </c>
      <c r="E3959" t="n">
        <v>2170</v>
      </c>
    </row>
    <row r="3960">
      <c r="A3960" t="inlineStr">
        <is>
          <t>27BBBBB03960Z5</t>
        </is>
      </c>
      <c r="B3960" t="inlineStr">
        <is>
          <t>Dec-2022</t>
        </is>
      </c>
      <c r="C3960" s="2" t="n">
        <v>44974</v>
      </c>
      <c r="D3960" t="inlineStr">
        <is>
          <t>NIL</t>
        </is>
      </c>
      <c r="E3960" t="n">
        <v>1528</v>
      </c>
    </row>
    <row r="3961">
      <c r="A3961" t="inlineStr">
        <is>
          <t>27BBBBB03961Z5</t>
        </is>
      </c>
      <c r="B3961" t="inlineStr">
        <is>
          <t>Feb-2018</t>
        </is>
      </c>
      <c r="C3961" s="2" t="n">
        <v>44490</v>
      </c>
      <c r="D3961" t="inlineStr">
        <is>
          <t>NIL</t>
        </is>
      </c>
      <c r="E3961" t="n">
        <v>770</v>
      </c>
    </row>
    <row r="3962">
      <c r="A3962" t="inlineStr">
        <is>
          <t>27BBBBB03962Z5</t>
        </is>
      </c>
      <c r="B3962" t="inlineStr">
        <is>
          <t>Nov-2018</t>
        </is>
      </c>
      <c r="C3962" s="2" t="n">
        <v>43577</v>
      </c>
      <c r="D3962" t="inlineStr">
        <is>
          <t>NON-NIL</t>
        </is>
      </c>
      <c r="E3962" t="n">
        <v>278</v>
      </c>
    </row>
    <row r="3963">
      <c r="A3963" t="inlineStr">
        <is>
          <t>27BBBBB03963Z5</t>
        </is>
      </c>
      <c r="B3963" t="inlineStr">
        <is>
          <t>Feb-2018</t>
        </is>
      </c>
      <c r="C3963" s="2" t="n">
        <v>43167</v>
      </c>
      <c r="D3963" t="inlineStr">
        <is>
          <t>NON-NIL</t>
        </is>
      </c>
      <c r="E3963" t="n">
        <v>2568</v>
      </c>
    </row>
    <row r="3964">
      <c r="A3964" t="inlineStr">
        <is>
          <t>27BBBBB03964Z5</t>
        </is>
      </c>
      <c r="B3964" t="inlineStr">
        <is>
          <t>May-2020</t>
        </is>
      </c>
      <c r="C3964" s="2" t="n">
        <v>44365</v>
      </c>
      <c r="D3964" t="inlineStr">
        <is>
          <t>NON-NIL</t>
        </is>
      </c>
      <c r="E3964" t="n">
        <v>2200</v>
      </c>
    </row>
    <row r="3965">
      <c r="A3965" t="inlineStr">
        <is>
          <t>27BBBBB03965Z5</t>
        </is>
      </c>
      <c r="B3965" t="inlineStr">
        <is>
          <t>Jun-2020</t>
        </is>
      </c>
      <c r="C3965" s="2" t="n">
        <v>44517</v>
      </c>
      <c r="D3965" t="inlineStr">
        <is>
          <t>NIL</t>
        </is>
      </c>
      <c r="E3965" t="n">
        <v>2385</v>
      </c>
    </row>
    <row r="3966">
      <c r="A3966" t="inlineStr">
        <is>
          <t>27BBBBB03966Z5</t>
        </is>
      </c>
      <c r="B3966" t="inlineStr">
        <is>
          <t>Jun-2018</t>
        </is>
      </c>
      <c r="C3966" s="2" t="n">
        <v>43434</v>
      </c>
      <c r="D3966" t="inlineStr">
        <is>
          <t>NON-NIL</t>
        </is>
      </c>
      <c r="E3966" t="n">
        <v>698</v>
      </c>
    </row>
    <row r="3967">
      <c r="A3967" t="inlineStr">
        <is>
          <t>27BBBBB03967Z5</t>
        </is>
      </c>
      <c r="B3967" t="inlineStr">
        <is>
          <t>Jun-2020</t>
        </is>
      </c>
      <c r="C3967" s="2" t="n">
        <v>44287</v>
      </c>
      <c r="D3967" t="inlineStr">
        <is>
          <t>NIL</t>
        </is>
      </c>
      <c r="E3967" t="n">
        <v>1065</v>
      </c>
    </row>
    <row r="3968">
      <c r="A3968" t="inlineStr">
        <is>
          <t>27BBBBB03968Z5</t>
        </is>
      </c>
      <c r="B3968" t="inlineStr">
        <is>
          <t>Mar-2018</t>
        </is>
      </c>
      <c r="C3968" s="2" t="n">
        <v>43001</v>
      </c>
      <c r="D3968" t="inlineStr">
        <is>
          <t>NIL</t>
        </is>
      </c>
      <c r="E3968" t="n">
        <v>1527</v>
      </c>
    </row>
    <row r="3969">
      <c r="A3969" t="inlineStr">
        <is>
          <t>27BBBBB03969Z5</t>
        </is>
      </c>
      <c r="B3969" t="inlineStr">
        <is>
          <t>Jul-2020</t>
        </is>
      </c>
      <c r="C3969" s="2" t="n">
        <v>44867</v>
      </c>
      <c r="D3969" t="inlineStr">
        <is>
          <t>NON-NIL</t>
        </is>
      </c>
      <c r="E3969" t="n">
        <v>1357</v>
      </c>
    </row>
    <row r="3970">
      <c r="A3970" t="inlineStr">
        <is>
          <t>27BBBBB03970Z5</t>
        </is>
      </c>
      <c r="B3970" t="inlineStr">
        <is>
          <t>Sep-2017</t>
        </is>
      </c>
      <c r="C3970" s="2" t="n">
        <v>42936</v>
      </c>
      <c r="D3970" t="inlineStr">
        <is>
          <t>NIL</t>
        </is>
      </c>
      <c r="E3970" t="n">
        <v>2594</v>
      </c>
    </row>
    <row r="3971">
      <c r="A3971" t="inlineStr">
        <is>
          <t>27BBBBB03971Z5</t>
        </is>
      </c>
      <c r="B3971" t="inlineStr">
        <is>
          <t>Mar-2023</t>
        </is>
      </c>
      <c r="C3971" s="2" t="n">
        <v>43889</v>
      </c>
      <c r="D3971" t="inlineStr">
        <is>
          <t>NON-NIL</t>
        </is>
      </c>
      <c r="E3971" t="n">
        <v>393</v>
      </c>
    </row>
    <row r="3972">
      <c r="A3972" t="inlineStr">
        <is>
          <t>27BBBBB03972Z5</t>
        </is>
      </c>
      <c r="B3972" t="inlineStr">
        <is>
          <t>Jul-2017</t>
        </is>
      </c>
      <c r="C3972" s="2" t="n">
        <v>43988</v>
      </c>
      <c r="D3972" t="inlineStr">
        <is>
          <t>NON-NIL</t>
        </is>
      </c>
      <c r="E3972" t="n">
        <v>1120</v>
      </c>
    </row>
    <row r="3973">
      <c r="A3973" t="inlineStr">
        <is>
          <t>27BBBBB03973Z5</t>
        </is>
      </c>
      <c r="B3973" t="inlineStr">
        <is>
          <t>Dec-2018</t>
        </is>
      </c>
      <c r="C3973" s="2" t="n">
        <v>43582</v>
      </c>
      <c r="D3973" t="inlineStr">
        <is>
          <t>NIL</t>
        </is>
      </c>
      <c r="E3973" t="n">
        <v>328</v>
      </c>
    </row>
    <row r="3974">
      <c r="A3974" t="inlineStr">
        <is>
          <t>27BBBBB03974Z5</t>
        </is>
      </c>
      <c r="B3974" t="inlineStr">
        <is>
          <t>May-2018</t>
        </is>
      </c>
      <c r="C3974" s="2" t="n">
        <v>44149</v>
      </c>
      <c r="D3974" t="inlineStr">
        <is>
          <t>NON-NIL</t>
        </is>
      </c>
      <c r="E3974" t="n">
        <v>1177</v>
      </c>
    </row>
    <row r="3975">
      <c r="A3975" t="inlineStr">
        <is>
          <t>27BBBBB03975Z5</t>
        </is>
      </c>
      <c r="B3975" t="inlineStr">
        <is>
          <t>Jun-2020</t>
        </is>
      </c>
      <c r="C3975" s="2" t="n">
        <v>44643</v>
      </c>
      <c r="D3975" t="inlineStr">
        <is>
          <t>NIL</t>
        </is>
      </c>
      <c r="E3975" t="n">
        <v>2290</v>
      </c>
    </row>
    <row r="3976">
      <c r="A3976" t="inlineStr">
        <is>
          <t>27BBBBB03976Z5</t>
        </is>
      </c>
      <c r="B3976" t="inlineStr">
        <is>
          <t>Jan-2021</t>
        </is>
      </c>
      <c r="C3976" s="2" t="n">
        <v>45303</v>
      </c>
      <c r="D3976" t="inlineStr">
        <is>
          <t>NIL</t>
        </is>
      </c>
      <c r="E3976" t="n">
        <v>1387</v>
      </c>
    </row>
    <row r="3977">
      <c r="A3977" t="inlineStr">
        <is>
          <t>27BBBBB03977Z5</t>
        </is>
      </c>
      <c r="B3977" t="inlineStr">
        <is>
          <t>Mar-2018</t>
        </is>
      </c>
      <c r="C3977" s="2" t="n">
        <v>43939</v>
      </c>
      <c r="D3977" t="inlineStr">
        <is>
          <t>NON-NIL</t>
        </is>
      </c>
      <c r="E3977" t="n">
        <v>2041</v>
      </c>
    </row>
    <row r="3978">
      <c r="A3978" t="inlineStr">
        <is>
          <t>27BBBBB03978Z5</t>
        </is>
      </c>
      <c r="B3978" t="inlineStr">
        <is>
          <t>May-2018</t>
        </is>
      </c>
      <c r="C3978" s="2" t="n">
        <v>43400</v>
      </c>
      <c r="D3978" t="inlineStr">
        <is>
          <t>NIL</t>
        </is>
      </c>
      <c r="E3978" t="n">
        <v>1842</v>
      </c>
    </row>
    <row r="3979">
      <c r="A3979" t="inlineStr">
        <is>
          <t>27BBBBB03979Z5</t>
        </is>
      </c>
      <c r="B3979" t="inlineStr">
        <is>
          <t>Dec-2022</t>
        </is>
      </c>
      <c r="C3979" s="2" t="n">
        <v>45247</v>
      </c>
      <c r="D3979" t="inlineStr">
        <is>
          <t>NIL</t>
        </is>
      </c>
      <c r="E3979" t="n">
        <v>1509</v>
      </c>
    </row>
    <row r="3980">
      <c r="A3980" t="inlineStr">
        <is>
          <t>27BBBBB03980Z5</t>
        </is>
      </c>
      <c r="B3980" t="inlineStr">
        <is>
          <t>Jan-2018</t>
        </is>
      </c>
      <c r="C3980" s="2" t="n">
        <v>43181</v>
      </c>
      <c r="D3980" t="inlineStr">
        <is>
          <t>NON-NIL</t>
        </is>
      </c>
      <c r="E3980" t="n">
        <v>1931</v>
      </c>
    </row>
    <row r="3981">
      <c r="A3981" t="inlineStr">
        <is>
          <t>27BBBBB03981Z5</t>
        </is>
      </c>
      <c r="B3981" t="inlineStr">
        <is>
          <t>Nov-2018</t>
        </is>
      </c>
      <c r="C3981" s="2" t="n">
        <v>43080</v>
      </c>
      <c r="D3981" t="inlineStr">
        <is>
          <t>NIL</t>
        </is>
      </c>
      <c r="E3981" t="n">
        <v>47</v>
      </c>
    </row>
    <row r="3982">
      <c r="A3982" t="inlineStr">
        <is>
          <t>27BBBBB03982Z5</t>
        </is>
      </c>
      <c r="B3982" t="inlineStr">
        <is>
          <t>Dec-2024</t>
        </is>
      </c>
      <c r="C3982" s="2" t="n">
        <v>43950</v>
      </c>
      <c r="D3982" t="inlineStr">
        <is>
          <t>NON-NIL</t>
        </is>
      </c>
      <c r="E3982" t="n">
        <v>619</v>
      </c>
    </row>
    <row r="3983">
      <c r="A3983" t="inlineStr">
        <is>
          <t>27BBBBB03983Z5</t>
        </is>
      </c>
      <c r="B3983" t="inlineStr">
        <is>
          <t>Oct-2017</t>
        </is>
      </c>
      <c r="C3983" s="2" t="n">
        <v>44161</v>
      </c>
      <c r="D3983" t="inlineStr">
        <is>
          <t>NON-NIL</t>
        </is>
      </c>
      <c r="E3983" t="n">
        <v>1046</v>
      </c>
    </row>
    <row r="3984">
      <c r="A3984" t="inlineStr">
        <is>
          <t>27BBBBB03984Z5</t>
        </is>
      </c>
      <c r="B3984" t="inlineStr">
        <is>
          <t>Mar-2021</t>
        </is>
      </c>
      <c r="C3984" s="2" t="n">
        <v>44633</v>
      </c>
      <c r="D3984" t="inlineStr">
        <is>
          <t>NON-NIL</t>
        </is>
      </c>
      <c r="E3984" t="n">
        <v>2378</v>
      </c>
    </row>
    <row r="3985">
      <c r="A3985" t="inlineStr">
        <is>
          <t>27BBBBB03985Z5</t>
        </is>
      </c>
      <c r="B3985" t="inlineStr">
        <is>
          <t>Mar-2021</t>
        </is>
      </c>
      <c r="C3985" s="2" t="n">
        <v>44291</v>
      </c>
      <c r="D3985" t="inlineStr">
        <is>
          <t>NIL</t>
        </is>
      </c>
      <c r="E3985" t="n">
        <v>1716</v>
      </c>
    </row>
    <row r="3986">
      <c r="A3986" t="inlineStr">
        <is>
          <t>27BBBBB03986Z5</t>
        </is>
      </c>
      <c r="B3986" t="inlineStr">
        <is>
          <t>Dec-2018</t>
        </is>
      </c>
      <c r="C3986" s="2" t="n">
        <v>44335</v>
      </c>
      <c r="D3986" t="inlineStr">
        <is>
          <t>NIL</t>
        </is>
      </c>
      <c r="E3986" t="n">
        <v>2850</v>
      </c>
    </row>
    <row r="3987">
      <c r="A3987" t="inlineStr">
        <is>
          <t>27BBBBB03987Z5</t>
        </is>
      </c>
      <c r="B3987" t="inlineStr">
        <is>
          <t>Jun-2018</t>
        </is>
      </c>
      <c r="C3987" s="2" t="n">
        <v>44305</v>
      </c>
      <c r="D3987" t="inlineStr">
        <is>
          <t>NIL</t>
        </is>
      </c>
      <c r="E3987" t="n">
        <v>1590</v>
      </c>
    </row>
    <row r="3988">
      <c r="A3988" t="inlineStr">
        <is>
          <t>27BBBBB03988Z5</t>
        </is>
      </c>
      <c r="B3988" t="inlineStr">
        <is>
          <t>Apr-2018</t>
        </is>
      </c>
      <c r="C3988" s="2" t="n">
        <v>44178</v>
      </c>
      <c r="D3988" t="inlineStr">
        <is>
          <t>NIL</t>
        </is>
      </c>
      <c r="E3988" t="n">
        <v>2921</v>
      </c>
    </row>
    <row r="3989">
      <c r="A3989" t="inlineStr">
        <is>
          <t>27BBBBB03989Z5</t>
        </is>
      </c>
      <c r="B3989" t="inlineStr">
        <is>
          <t>Apr-2020</t>
        </is>
      </c>
      <c r="C3989" s="2" t="n">
        <v>43869</v>
      </c>
      <c r="D3989" t="inlineStr">
        <is>
          <t>NON-NIL</t>
        </is>
      </c>
      <c r="E3989" t="n">
        <v>193</v>
      </c>
    </row>
    <row r="3990">
      <c r="A3990" t="inlineStr">
        <is>
          <t>27BBBBB03990Z5</t>
        </is>
      </c>
      <c r="B3990" t="inlineStr">
        <is>
          <t>May-2020</t>
        </is>
      </c>
      <c r="C3990" s="2" t="n">
        <v>44385</v>
      </c>
      <c r="D3990" t="inlineStr">
        <is>
          <t>NON-NIL</t>
        </is>
      </c>
      <c r="E3990" t="n">
        <v>1397</v>
      </c>
    </row>
    <row r="3991">
      <c r="A3991" t="inlineStr">
        <is>
          <t>27BBBBB03991Z5</t>
        </is>
      </c>
      <c r="B3991" t="inlineStr">
        <is>
          <t>Oct-2017</t>
        </is>
      </c>
      <c r="C3991" s="2" t="n">
        <v>44144</v>
      </c>
      <c r="D3991" t="inlineStr">
        <is>
          <t>NON-NIL</t>
        </is>
      </c>
      <c r="E3991" t="n">
        <v>1182</v>
      </c>
    </row>
    <row r="3992">
      <c r="A3992" t="inlineStr">
        <is>
          <t>27BBBBB03992Z5</t>
        </is>
      </c>
      <c r="B3992" t="inlineStr">
        <is>
          <t>Mar-2023</t>
        </is>
      </c>
      <c r="C3992" s="2" t="n">
        <v>45824</v>
      </c>
      <c r="D3992" t="inlineStr">
        <is>
          <t>NIL</t>
        </is>
      </c>
      <c r="E3992" t="n">
        <v>977</v>
      </c>
    </row>
    <row r="3993">
      <c r="A3993" t="inlineStr">
        <is>
          <t>27BBBBB03993Z5</t>
        </is>
      </c>
      <c r="B3993" t="inlineStr">
        <is>
          <t>Jan-2021</t>
        </is>
      </c>
      <c r="C3993" s="2" t="n">
        <v>43568</v>
      </c>
      <c r="D3993" t="inlineStr">
        <is>
          <t>NON-NIL</t>
        </is>
      </c>
      <c r="E3993" t="n">
        <v>2845</v>
      </c>
    </row>
    <row r="3994">
      <c r="A3994" t="inlineStr">
        <is>
          <t>27BBBBB03994Z5</t>
        </is>
      </c>
      <c r="B3994" t="inlineStr">
        <is>
          <t>Aug-2018</t>
        </is>
      </c>
      <c r="C3994" s="2" t="n">
        <v>43050</v>
      </c>
      <c r="D3994" t="inlineStr">
        <is>
          <t>NIL</t>
        </is>
      </c>
      <c r="E3994" t="n">
        <v>469</v>
      </c>
    </row>
    <row r="3995">
      <c r="A3995" t="inlineStr">
        <is>
          <t>27BBBBB03995Z5</t>
        </is>
      </c>
      <c r="B3995" t="inlineStr">
        <is>
          <t>Oct-2018</t>
        </is>
      </c>
      <c r="C3995" s="2" t="n">
        <v>44254</v>
      </c>
      <c r="D3995" t="inlineStr">
        <is>
          <t>NON-NIL</t>
        </is>
      </c>
      <c r="E3995" t="n">
        <v>2120</v>
      </c>
    </row>
    <row r="3996">
      <c r="A3996" t="inlineStr">
        <is>
          <t>27BBBBB03996Z5</t>
        </is>
      </c>
      <c r="B3996" t="inlineStr">
        <is>
          <t>Dec-2024</t>
        </is>
      </c>
      <c r="C3996" s="2" t="n">
        <v>44667</v>
      </c>
      <c r="D3996" t="inlineStr">
        <is>
          <t>NIL</t>
        </is>
      </c>
      <c r="E3996" t="n">
        <v>1311</v>
      </c>
    </row>
    <row r="3997">
      <c r="A3997" t="inlineStr">
        <is>
          <t>27BBBBB03997Z5</t>
        </is>
      </c>
      <c r="B3997" t="inlineStr">
        <is>
          <t>Dec-2017</t>
        </is>
      </c>
      <c r="C3997" s="2" t="n">
        <v>43467</v>
      </c>
      <c r="D3997" t="inlineStr">
        <is>
          <t>NON-NIL</t>
        </is>
      </c>
      <c r="E3997" t="n">
        <v>1900</v>
      </c>
    </row>
    <row r="3998">
      <c r="A3998" t="inlineStr">
        <is>
          <t>27BBBBB03998Z5</t>
        </is>
      </c>
      <c r="B3998" t="inlineStr">
        <is>
          <t>Oct-2017</t>
        </is>
      </c>
      <c r="C3998" s="2" t="n">
        <v>44144</v>
      </c>
      <c r="D3998" t="inlineStr">
        <is>
          <t>NIL</t>
        </is>
      </c>
      <c r="E3998" t="n">
        <v>255</v>
      </c>
    </row>
    <row r="3999">
      <c r="A3999" t="inlineStr">
        <is>
          <t>27BBBBB03999Z5</t>
        </is>
      </c>
      <c r="B3999" t="inlineStr">
        <is>
          <t>Jul-2018</t>
        </is>
      </c>
      <c r="C3999" s="2" t="n">
        <v>44380</v>
      </c>
      <c r="D3999" t="inlineStr">
        <is>
          <t>NON-NIL</t>
        </is>
      </c>
      <c r="E3999" t="n">
        <v>1997</v>
      </c>
    </row>
    <row r="4000">
      <c r="A4000" t="inlineStr">
        <is>
          <t>27BBBBB04000Z5</t>
        </is>
      </c>
      <c r="B4000" t="inlineStr">
        <is>
          <t>Jan-2018</t>
        </is>
      </c>
      <c r="C4000" s="2" t="n">
        <v>44325</v>
      </c>
      <c r="D4000" t="inlineStr">
        <is>
          <t>NIL</t>
        </is>
      </c>
      <c r="E4000" t="n">
        <v>2166</v>
      </c>
    </row>
    <row r="4001">
      <c r="A4001" t="inlineStr">
        <is>
          <t>27BBBBB04001Z5</t>
        </is>
      </c>
      <c r="B4001" t="inlineStr">
        <is>
          <t>Oct-2018</t>
        </is>
      </c>
      <c r="C4001" s="2" t="n">
        <v>43639</v>
      </c>
      <c r="D4001" t="inlineStr">
        <is>
          <t>NIL</t>
        </is>
      </c>
      <c r="E4001" t="n">
        <v>1393</v>
      </c>
    </row>
    <row r="4002">
      <c r="A4002" t="inlineStr">
        <is>
          <t>27BBBBB04002Z5</t>
        </is>
      </c>
      <c r="B4002" t="inlineStr">
        <is>
          <t>Dec-2018</t>
        </is>
      </c>
      <c r="C4002" s="2" t="n">
        <v>44256</v>
      </c>
      <c r="D4002" t="inlineStr">
        <is>
          <t>NIL</t>
        </is>
      </c>
      <c r="E4002" t="n">
        <v>663</v>
      </c>
    </row>
    <row r="4003">
      <c r="A4003" t="inlineStr">
        <is>
          <t>27BBBBB04003Z5</t>
        </is>
      </c>
      <c r="B4003" t="inlineStr">
        <is>
          <t>Jan-2021</t>
        </is>
      </c>
      <c r="C4003" s="2" t="n">
        <v>44585</v>
      </c>
      <c r="D4003" t="inlineStr">
        <is>
          <t>NIL</t>
        </is>
      </c>
      <c r="E4003" t="n">
        <v>1349</v>
      </c>
    </row>
    <row r="4004">
      <c r="A4004" t="inlineStr">
        <is>
          <t>27BBBBB04004Z5</t>
        </is>
      </c>
      <c r="B4004" t="inlineStr">
        <is>
          <t>Jun-2020</t>
        </is>
      </c>
      <c r="C4004" s="2" t="n">
        <v>44570</v>
      </c>
      <c r="D4004" t="inlineStr">
        <is>
          <t>NIL</t>
        </is>
      </c>
      <c r="E4004" t="n">
        <v>965</v>
      </c>
    </row>
    <row r="4005">
      <c r="A4005" t="inlineStr">
        <is>
          <t>27BBBBB04005Z5</t>
        </is>
      </c>
      <c r="B4005" t="inlineStr">
        <is>
          <t>Jan-2018</t>
        </is>
      </c>
      <c r="C4005" s="2" t="n">
        <v>43380</v>
      </c>
      <c r="D4005" t="inlineStr">
        <is>
          <t>NIL</t>
        </is>
      </c>
      <c r="E4005" t="n">
        <v>2930</v>
      </c>
    </row>
    <row r="4006">
      <c r="A4006" t="inlineStr">
        <is>
          <t>27BBBBB04006Z5</t>
        </is>
      </c>
      <c r="B4006" t="inlineStr">
        <is>
          <t>Aug-2018</t>
        </is>
      </c>
      <c r="C4006" s="2" t="n">
        <v>44438</v>
      </c>
      <c r="D4006" t="inlineStr">
        <is>
          <t>NON-NIL</t>
        </is>
      </c>
      <c r="E4006" t="n">
        <v>1099</v>
      </c>
    </row>
    <row r="4007">
      <c r="A4007" t="inlineStr">
        <is>
          <t>27BBBBB04007Z5</t>
        </is>
      </c>
      <c r="B4007" t="inlineStr">
        <is>
          <t>Jan-2018</t>
        </is>
      </c>
      <c r="C4007" s="2" t="n">
        <v>43190</v>
      </c>
      <c r="D4007" t="inlineStr">
        <is>
          <t>NIL</t>
        </is>
      </c>
      <c r="E4007" t="n">
        <v>751</v>
      </c>
    </row>
    <row r="4008">
      <c r="A4008" t="inlineStr">
        <is>
          <t>27BBBBB04008Z5</t>
        </is>
      </c>
      <c r="B4008" t="inlineStr">
        <is>
          <t>Mar-2018</t>
        </is>
      </c>
      <c r="C4008" s="2" t="n">
        <v>43767</v>
      </c>
      <c r="D4008" t="inlineStr">
        <is>
          <t>NIL</t>
        </is>
      </c>
      <c r="E4008" t="n">
        <v>1436</v>
      </c>
    </row>
    <row r="4009">
      <c r="A4009" t="inlineStr">
        <is>
          <t>27BBBBB04009Z5</t>
        </is>
      </c>
      <c r="B4009" t="inlineStr">
        <is>
          <t>Jun-2018</t>
        </is>
      </c>
      <c r="C4009" s="2" t="n">
        <v>43169</v>
      </c>
      <c r="D4009" t="inlineStr">
        <is>
          <t>NON-NIL</t>
        </is>
      </c>
      <c r="E4009" t="n">
        <v>2527</v>
      </c>
    </row>
    <row r="4010">
      <c r="A4010" t="inlineStr">
        <is>
          <t>27BBBBB04010Z5</t>
        </is>
      </c>
      <c r="B4010" t="inlineStr">
        <is>
          <t>Oct-2018</t>
        </is>
      </c>
      <c r="C4010" s="2" t="n">
        <v>44046</v>
      </c>
      <c r="D4010" t="inlineStr">
        <is>
          <t>NIL</t>
        </is>
      </c>
      <c r="E4010" t="n">
        <v>2690</v>
      </c>
    </row>
    <row r="4011">
      <c r="A4011" t="inlineStr">
        <is>
          <t>27BBBBB04011Z5</t>
        </is>
      </c>
      <c r="B4011" t="inlineStr">
        <is>
          <t>Oct-2018</t>
        </is>
      </c>
      <c r="C4011" s="2" t="n">
        <v>43886</v>
      </c>
      <c r="D4011" t="inlineStr">
        <is>
          <t>NON-NIL</t>
        </is>
      </c>
      <c r="E4011" t="n">
        <v>646</v>
      </c>
    </row>
    <row r="4012">
      <c r="A4012" t="inlineStr">
        <is>
          <t>27BBBBB04012Z5</t>
        </is>
      </c>
      <c r="B4012" t="inlineStr">
        <is>
          <t>Mar-2021</t>
        </is>
      </c>
      <c r="C4012" s="2" t="n">
        <v>43685</v>
      </c>
      <c r="D4012" t="inlineStr">
        <is>
          <t>NON-NIL</t>
        </is>
      </c>
      <c r="E4012" t="n">
        <v>942</v>
      </c>
    </row>
    <row r="4013">
      <c r="A4013" t="inlineStr">
        <is>
          <t>27BBBBB04013Z5</t>
        </is>
      </c>
      <c r="B4013" t="inlineStr">
        <is>
          <t>Mar-2020</t>
        </is>
      </c>
      <c r="C4013" s="2" t="n">
        <v>44850</v>
      </c>
      <c r="D4013" t="inlineStr">
        <is>
          <t>NIL</t>
        </is>
      </c>
      <c r="E4013" t="n">
        <v>2056</v>
      </c>
    </row>
    <row r="4014">
      <c r="A4014" t="inlineStr">
        <is>
          <t>27BBBBB04014Z5</t>
        </is>
      </c>
      <c r="B4014" t="inlineStr">
        <is>
          <t>Nov-2018</t>
        </is>
      </c>
      <c r="C4014" s="2" t="n">
        <v>44040</v>
      </c>
      <c r="D4014" t="inlineStr">
        <is>
          <t>NON-NIL</t>
        </is>
      </c>
      <c r="E4014" t="n">
        <v>580</v>
      </c>
    </row>
    <row r="4015">
      <c r="A4015" t="inlineStr">
        <is>
          <t>27BBBBB04015Z5</t>
        </is>
      </c>
      <c r="B4015" t="inlineStr">
        <is>
          <t>Sep-2018</t>
        </is>
      </c>
      <c r="C4015" s="2" t="n">
        <v>43144</v>
      </c>
      <c r="D4015" t="inlineStr">
        <is>
          <t>NON-NIL</t>
        </is>
      </c>
      <c r="E4015" t="n">
        <v>2966</v>
      </c>
    </row>
    <row r="4016">
      <c r="A4016" t="inlineStr">
        <is>
          <t>27BBBBB04016Z5</t>
        </is>
      </c>
      <c r="B4016" t="inlineStr">
        <is>
          <t>Apr-2020</t>
        </is>
      </c>
      <c r="C4016" s="2" t="n">
        <v>44702</v>
      </c>
      <c r="D4016" t="inlineStr">
        <is>
          <t>NON-NIL</t>
        </is>
      </c>
      <c r="E4016" t="n">
        <v>1704</v>
      </c>
    </row>
    <row r="4017">
      <c r="A4017" t="inlineStr">
        <is>
          <t>27BBBBB04017Z5</t>
        </is>
      </c>
      <c r="B4017" t="inlineStr">
        <is>
          <t>Apr-2018</t>
        </is>
      </c>
      <c r="C4017" s="2" t="n">
        <v>43644</v>
      </c>
      <c r="D4017" t="inlineStr">
        <is>
          <t>NON-NIL</t>
        </is>
      </c>
      <c r="E4017" t="n">
        <v>892</v>
      </c>
    </row>
    <row r="4018">
      <c r="A4018" t="inlineStr">
        <is>
          <t>27BBBBB04018Z5</t>
        </is>
      </c>
      <c r="B4018" t="inlineStr">
        <is>
          <t>Dec-2022</t>
        </is>
      </c>
      <c r="C4018" s="2" t="n">
        <v>44130</v>
      </c>
      <c r="D4018" t="inlineStr">
        <is>
          <t>NON-NIL</t>
        </is>
      </c>
      <c r="E4018" t="n">
        <v>75</v>
      </c>
    </row>
    <row r="4019">
      <c r="A4019" t="inlineStr">
        <is>
          <t>27BBBBB04019Z5</t>
        </is>
      </c>
      <c r="B4019" t="inlineStr">
        <is>
          <t>Dec-2024</t>
        </is>
      </c>
      <c r="C4019" s="2" t="n">
        <v>44298</v>
      </c>
      <c r="D4019" t="inlineStr">
        <is>
          <t>NON-NIL</t>
        </is>
      </c>
      <c r="E4019" t="n">
        <v>1994</v>
      </c>
    </row>
    <row r="4020">
      <c r="A4020" t="inlineStr">
        <is>
          <t>27BBBBB04020Z5</t>
        </is>
      </c>
      <c r="B4020" t="inlineStr">
        <is>
          <t>Aug-2018</t>
        </is>
      </c>
      <c r="C4020" s="2" t="n">
        <v>44141</v>
      </c>
      <c r="D4020" t="inlineStr">
        <is>
          <t>NON-NIL</t>
        </is>
      </c>
      <c r="E4020" t="n">
        <v>1227</v>
      </c>
    </row>
    <row r="4021">
      <c r="A4021" t="inlineStr">
        <is>
          <t>27BBBBB04021Z5</t>
        </is>
      </c>
      <c r="B4021" t="inlineStr">
        <is>
          <t>Jan-2021</t>
        </is>
      </c>
      <c r="C4021" s="2" t="n">
        <v>44985</v>
      </c>
      <c r="D4021" t="inlineStr">
        <is>
          <t>NON-NIL</t>
        </is>
      </c>
      <c r="E4021" t="n">
        <v>1254</v>
      </c>
    </row>
    <row r="4022">
      <c r="A4022" t="inlineStr">
        <is>
          <t>27BBBBB04022Z5</t>
        </is>
      </c>
      <c r="B4022" t="inlineStr">
        <is>
          <t>Jul-2017</t>
        </is>
      </c>
      <c r="C4022" s="2" t="n">
        <v>43772</v>
      </c>
      <c r="D4022" t="inlineStr">
        <is>
          <t>NON-NIL</t>
        </is>
      </c>
      <c r="E4022" t="n">
        <v>2120</v>
      </c>
    </row>
    <row r="4023">
      <c r="A4023" t="inlineStr">
        <is>
          <t>27BBBBB04023Z5</t>
        </is>
      </c>
      <c r="B4023" t="inlineStr">
        <is>
          <t>Apr-2020</t>
        </is>
      </c>
      <c r="C4023" s="2" t="n">
        <v>44445</v>
      </c>
      <c r="D4023" t="inlineStr">
        <is>
          <t>NIL</t>
        </is>
      </c>
      <c r="E4023" t="n">
        <v>1392</v>
      </c>
    </row>
    <row r="4024">
      <c r="A4024" t="inlineStr">
        <is>
          <t>27BBBBB04024Z5</t>
        </is>
      </c>
      <c r="B4024" t="inlineStr">
        <is>
          <t>Jan-2018</t>
        </is>
      </c>
      <c r="C4024" s="2" t="n">
        <v>43247</v>
      </c>
      <c r="D4024" t="inlineStr">
        <is>
          <t>NIL</t>
        </is>
      </c>
      <c r="E4024" t="n">
        <v>1625</v>
      </c>
    </row>
    <row r="4025">
      <c r="A4025" t="inlineStr">
        <is>
          <t>27BBBBB04025Z5</t>
        </is>
      </c>
      <c r="B4025" t="inlineStr">
        <is>
          <t>Mar-2020</t>
        </is>
      </c>
      <c r="C4025" s="2" t="n">
        <v>44306</v>
      </c>
      <c r="D4025" t="inlineStr">
        <is>
          <t>NIL</t>
        </is>
      </c>
      <c r="E4025" t="n">
        <v>2563</v>
      </c>
    </row>
    <row r="4026">
      <c r="A4026" t="inlineStr">
        <is>
          <t>27BBBBB04026Z5</t>
        </is>
      </c>
      <c r="B4026" t="inlineStr">
        <is>
          <t>Dec-2018</t>
        </is>
      </c>
      <c r="C4026" s="2" t="n">
        <v>42978</v>
      </c>
      <c r="D4026" t="inlineStr">
        <is>
          <t>NIL</t>
        </is>
      </c>
      <c r="E4026" t="n">
        <v>401</v>
      </c>
    </row>
    <row r="4027">
      <c r="A4027" t="inlineStr">
        <is>
          <t>27BBBBB04027Z5</t>
        </is>
      </c>
      <c r="B4027" t="inlineStr">
        <is>
          <t>May-2020</t>
        </is>
      </c>
      <c r="C4027" s="2" t="n">
        <v>44833</v>
      </c>
      <c r="D4027" t="inlineStr">
        <is>
          <t>NIL</t>
        </is>
      </c>
      <c r="E4027" t="n">
        <v>464</v>
      </c>
    </row>
    <row r="4028">
      <c r="A4028" t="inlineStr">
        <is>
          <t>27BBBBB04028Z5</t>
        </is>
      </c>
      <c r="B4028" t="inlineStr">
        <is>
          <t>May-2020</t>
        </is>
      </c>
      <c r="C4028" s="2" t="n">
        <v>44219</v>
      </c>
      <c r="D4028" t="inlineStr">
        <is>
          <t>NIL</t>
        </is>
      </c>
      <c r="E4028" t="n">
        <v>2985</v>
      </c>
    </row>
    <row r="4029">
      <c r="A4029" t="inlineStr">
        <is>
          <t>27BBBBB04029Z5</t>
        </is>
      </c>
      <c r="B4029" t="inlineStr">
        <is>
          <t>Jul-2017</t>
        </is>
      </c>
      <c r="C4029" s="2" t="n">
        <v>43253</v>
      </c>
      <c r="D4029" t="inlineStr">
        <is>
          <t>NIL</t>
        </is>
      </c>
      <c r="E4029" t="n">
        <v>2845</v>
      </c>
    </row>
    <row r="4030">
      <c r="A4030" t="inlineStr">
        <is>
          <t>27BBBBB04030Z5</t>
        </is>
      </c>
      <c r="B4030" t="inlineStr">
        <is>
          <t>Jul-2017</t>
        </is>
      </c>
      <c r="C4030" s="2" t="n">
        <v>43641</v>
      </c>
      <c r="D4030" t="inlineStr">
        <is>
          <t>NON-NIL</t>
        </is>
      </c>
      <c r="E4030" t="n">
        <v>2568</v>
      </c>
    </row>
    <row r="4031">
      <c r="A4031" t="inlineStr">
        <is>
          <t>27BBBBB04031Z5</t>
        </is>
      </c>
      <c r="B4031" t="inlineStr">
        <is>
          <t>May-2020</t>
        </is>
      </c>
      <c r="C4031" s="2" t="n">
        <v>44530</v>
      </c>
      <c r="D4031" t="inlineStr">
        <is>
          <t>NON-NIL</t>
        </is>
      </c>
      <c r="E4031" t="n">
        <v>673</v>
      </c>
    </row>
    <row r="4032">
      <c r="A4032" t="inlineStr">
        <is>
          <t>27BBBBB04032Z5</t>
        </is>
      </c>
      <c r="B4032" t="inlineStr">
        <is>
          <t>Jun-2020</t>
        </is>
      </c>
      <c r="C4032" s="2" t="n">
        <v>44246</v>
      </c>
      <c r="D4032" t="inlineStr">
        <is>
          <t>NON-NIL</t>
        </is>
      </c>
      <c r="E4032" t="n">
        <v>2732</v>
      </c>
    </row>
    <row r="4033">
      <c r="A4033" t="inlineStr">
        <is>
          <t>27BBBBB04033Z5</t>
        </is>
      </c>
      <c r="B4033" t="inlineStr">
        <is>
          <t>Oct-2017</t>
        </is>
      </c>
      <c r="C4033" s="2" t="n">
        <v>43752</v>
      </c>
      <c r="D4033" t="inlineStr">
        <is>
          <t>NIL</t>
        </is>
      </c>
      <c r="E4033" t="n">
        <v>312</v>
      </c>
    </row>
    <row r="4034">
      <c r="A4034" t="inlineStr">
        <is>
          <t>27BBBBB04034Z5</t>
        </is>
      </c>
      <c r="B4034" t="inlineStr">
        <is>
          <t>Dec-2018</t>
        </is>
      </c>
      <c r="C4034" s="2" t="n">
        <v>43796</v>
      </c>
      <c r="D4034" t="inlineStr">
        <is>
          <t>NIL</t>
        </is>
      </c>
      <c r="E4034" t="n">
        <v>2382</v>
      </c>
    </row>
    <row r="4035">
      <c r="A4035" t="inlineStr">
        <is>
          <t>27BBBBB04035Z5</t>
        </is>
      </c>
      <c r="B4035" t="inlineStr">
        <is>
          <t>Oct-2017</t>
        </is>
      </c>
      <c r="C4035" s="2" t="n">
        <v>43416</v>
      </c>
      <c r="D4035" t="inlineStr">
        <is>
          <t>NON-NIL</t>
        </is>
      </c>
      <c r="E4035" t="n">
        <v>2773</v>
      </c>
    </row>
    <row r="4036">
      <c r="A4036" t="inlineStr">
        <is>
          <t>27BBBBB04036Z5</t>
        </is>
      </c>
      <c r="B4036" t="inlineStr">
        <is>
          <t>Mar-2018</t>
        </is>
      </c>
      <c r="C4036" s="2" t="n">
        <v>43038</v>
      </c>
      <c r="D4036" t="inlineStr">
        <is>
          <t>NON-NIL</t>
        </is>
      </c>
      <c r="E4036" t="n">
        <v>2427</v>
      </c>
    </row>
    <row r="4037">
      <c r="A4037" t="inlineStr">
        <is>
          <t>27BBBBB04037Z5</t>
        </is>
      </c>
      <c r="B4037" t="inlineStr">
        <is>
          <t>May-2018</t>
        </is>
      </c>
      <c r="C4037" s="2" t="n">
        <v>44024</v>
      </c>
      <c r="D4037" t="inlineStr">
        <is>
          <t>NIL</t>
        </is>
      </c>
      <c r="E4037" t="n">
        <v>1479</v>
      </c>
    </row>
    <row r="4038">
      <c r="A4038" t="inlineStr">
        <is>
          <t>27BBBBB04038Z5</t>
        </is>
      </c>
      <c r="B4038" t="inlineStr">
        <is>
          <t>Jan-2021</t>
        </is>
      </c>
      <c r="C4038" s="2" t="n">
        <v>43774</v>
      </c>
      <c r="D4038" t="inlineStr">
        <is>
          <t>NON-NIL</t>
        </is>
      </c>
      <c r="E4038" t="n">
        <v>190</v>
      </c>
    </row>
    <row r="4039">
      <c r="A4039" t="inlineStr">
        <is>
          <t>27BBBBB04039Z5</t>
        </is>
      </c>
      <c r="B4039" t="inlineStr">
        <is>
          <t>Apr-2018</t>
        </is>
      </c>
      <c r="C4039" s="2" t="n">
        <v>44236</v>
      </c>
      <c r="D4039" t="inlineStr">
        <is>
          <t>NON-NIL</t>
        </is>
      </c>
      <c r="E4039" t="n">
        <v>1998</v>
      </c>
    </row>
    <row r="4040">
      <c r="A4040" t="inlineStr">
        <is>
          <t>27BBBBB04040Z5</t>
        </is>
      </c>
      <c r="B4040" t="inlineStr">
        <is>
          <t>Feb-2018</t>
        </is>
      </c>
      <c r="C4040" s="2" t="n">
        <v>43642</v>
      </c>
      <c r="D4040" t="inlineStr">
        <is>
          <t>NIL</t>
        </is>
      </c>
      <c r="E4040" t="n">
        <v>964</v>
      </c>
    </row>
    <row r="4041">
      <c r="A4041" t="inlineStr">
        <is>
          <t>27BBBBB04041Z5</t>
        </is>
      </c>
      <c r="B4041" t="inlineStr">
        <is>
          <t>Dec-2022</t>
        </is>
      </c>
      <c r="C4041" s="2" t="n">
        <v>43961</v>
      </c>
      <c r="D4041" t="inlineStr">
        <is>
          <t>NON-NIL</t>
        </is>
      </c>
      <c r="E4041" t="n">
        <v>2405</v>
      </c>
    </row>
    <row r="4042">
      <c r="A4042" t="inlineStr">
        <is>
          <t>27BBBBB04042Z5</t>
        </is>
      </c>
      <c r="B4042" t="inlineStr">
        <is>
          <t>Sep-2018</t>
        </is>
      </c>
      <c r="C4042" s="2" t="n">
        <v>43517</v>
      </c>
      <c r="D4042" t="inlineStr">
        <is>
          <t>NIL</t>
        </is>
      </c>
      <c r="E4042" t="n">
        <v>1588</v>
      </c>
    </row>
    <row r="4043">
      <c r="A4043" t="inlineStr">
        <is>
          <t>27BBBBB04043Z5</t>
        </is>
      </c>
      <c r="B4043" t="inlineStr">
        <is>
          <t>Feb-2018</t>
        </is>
      </c>
      <c r="C4043" s="2" t="n">
        <v>43290</v>
      </c>
      <c r="D4043" t="inlineStr">
        <is>
          <t>NIL</t>
        </is>
      </c>
      <c r="E4043" t="n">
        <v>2156</v>
      </c>
    </row>
    <row r="4044">
      <c r="A4044" t="inlineStr">
        <is>
          <t>27BBBBB04044Z5</t>
        </is>
      </c>
      <c r="B4044" t="inlineStr">
        <is>
          <t>May-2018</t>
        </is>
      </c>
      <c r="C4044" s="2" t="n">
        <v>43643</v>
      </c>
      <c r="D4044" t="inlineStr">
        <is>
          <t>NON-NIL</t>
        </is>
      </c>
      <c r="E4044" t="n">
        <v>915</v>
      </c>
    </row>
    <row r="4045">
      <c r="A4045" t="inlineStr">
        <is>
          <t>27BBBBB04045Z5</t>
        </is>
      </c>
      <c r="B4045" t="inlineStr">
        <is>
          <t>Mar-2023</t>
        </is>
      </c>
      <c r="C4045" s="2" t="n">
        <v>44408</v>
      </c>
      <c r="D4045" t="inlineStr">
        <is>
          <t>NON-NIL</t>
        </is>
      </c>
      <c r="E4045" t="n">
        <v>1669</v>
      </c>
    </row>
    <row r="4046">
      <c r="A4046" t="inlineStr">
        <is>
          <t>27BBBBB04046Z5</t>
        </is>
      </c>
      <c r="B4046" t="inlineStr">
        <is>
          <t>Mar-2023</t>
        </is>
      </c>
      <c r="C4046" s="2" t="n">
        <v>43486</v>
      </c>
      <c r="D4046" t="inlineStr">
        <is>
          <t>NIL</t>
        </is>
      </c>
      <c r="E4046" t="n">
        <v>913</v>
      </c>
    </row>
    <row r="4047">
      <c r="A4047" t="inlineStr">
        <is>
          <t>27BBBBB04047Z5</t>
        </is>
      </c>
      <c r="B4047" t="inlineStr">
        <is>
          <t>May-2018</t>
        </is>
      </c>
      <c r="C4047" s="2" t="n">
        <v>43217</v>
      </c>
      <c r="D4047" t="inlineStr">
        <is>
          <t>NIL</t>
        </is>
      </c>
      <c r="E4047" t="n">
        <v>2039</v>
      </c>
    </row>
    <row r="4048">
      <c r="A4048" t="inlineStr">
        <is>
          <t>27BBBBB04048Z5</t>
        </is>
      </c>
      <c r="B4048" t="inlineStr">
        <is>
          <t>May-2020</t>
        </is>
      </c>
      <c r="C4048" s="2" t="n">
        <v>44105</v>
      </c>
      <c r="D4048" t="inlineStr">
        <is>
          <t>NIL</t>
        </is>
      </c>
      <c r="E4048" t="n">
        <v>482</v>
      </c>
    </row>
    <row r="4049">
      <c r="A4049" t="inlineStr">
        <is>
          <t>27BBBBB04049Z5</t>
        </is>
      </c>
      <c r="B4049" t="inlineStr">
        <is>
          <t>Dec-2024</t>
        </is>
      </c>
      <c r="C4049" s="2" t="n">
        <v>45752</v>
      </c>
      <c r="D4049" t="inlineStr">
        <is>
          <t>NIL</t>
        </is>
      </c>
      <c r="E4049" t="n">
        <v>2189</v>
      </c>
    </row>
    <row r="4050">
      <c r="A4050" t="inlineStr">
        <is>
          <t>27BBBBB04050Z5</t>
        </is>
      </c>
      <c r="B4050" t="inlineStr">
        <is>
          <t>Mar-2020</t>
        </is>
      </c>
      <c r="C4050" s="2" t="n">
        <v>43973</v>
      </c>
      <c r="D4050" t="inlineStr">
        <is>
          <t>NIL</t>
        </is>
      </c>
      <c r="E4050" t="n">
        <v>112</v>
      </c>
    </row>
    <row r="4051">
      <c r="A4051" t="inlineStr">
        <is>
          <t>27BBBBB04051Z5</t>
        </is>
      </c>
      <c r="B4051" t="inlineStr">
        <is>
          <t>Mar-2023</t>
        </is>
      </c>
      <c r="C4051" s="2" t="n">
        <v>44787</v>
      </c>
      <c r="D4051" t="inlineStr">
        <is>
          <t>NIL</t>
        </is>
      </c>
      <c r="E4051" t="n">
        <v>83</v>
      </c>
    </row>
    <row r="4052">
      <c r="A4052" t="inlineStr">
        <is>
          <t>27BBBBB04052Z5</t>
        </is>
      </c>
      <c r="B4052" t="inlineStr">
        <is>
          <t>Nov-2017</t>
        </is>
      </c>
      <c r="C4052" s="2" t="n">
        <v>43845</v>
      </c>
      <c r="D4052" t="inlineStr">
        <is>
          <t>NIL</t>
        </is>
      </c>
      <c r="E4052" t="n">
        <v>2500</v>
      </c>
    </row>
    <row r="4053">
      <c r="A4053" t="inlineStr">
        <is>
          <t>27BBBBB04053Z5</t>
        </is>
      </c>
      <c r="B4053" t="inlineStr">
        <is>
          <t>Jul-2017</t>
        </is>
      </c>
      <c r="C4053" s="2" t="n">
        <v>43637</v>
      </c>
      <c r="D4053" t="inlineStr">
        <is>
          <t>NIL</t>
        </is>
      </c>
      <c r="E4053" t="n">
        <v>1086</v>
      </c>
    </row>
    <row r="4054">
      <c r="A4054" t="inlineStr">
        <is>
          <t>27BBBBB04054Z5</t>
        </is>
      </c>
      <c r="B4054" t="inlineStr">
        <is>
          <t>Sep-2018</t>
        </is>
      </c>
      <c r="C4054" s="2" t="n">
        <v>44197</v>
      </c>
      <c r="D4054" t="inlineStr">
        <is>
          <t>NON-NIL</t>
        </is>
      </c>
      <c r="E4054" t="n">
        <v>2735</v>
      </c>
    </row>
    <row r="4055">
      <c r="A4055" t="inlineStr">
        <is>
          <t>27BBBBB04055Z5</t>
        </is>
      </c>
      <c r="B4055" t="inlineStr">
        <is>
          <t>Aug-2017</t>
        </is>
      </c>
      <c r="C4055" s="2" t="n">
        <v>44367</v>
      </c>
      <c r="D4055" t="inlineStr">
        <is>
          <t>NON-NIL</t>
        </is>
      </c>
      <c r="E4055" t="n">
        <v>1544</v>
      </c>
    </row>
    <row r="4056">
      <c r="A4056" t="inlineStr">
        <is>
          <t>27BBBBB04056Z5</t>
        </is>
      </c>
      <c r="B4056" t="inlineStr">
        <is>
          <t>Nov-2017</t>
        </is>
      </c>
      <c r="C4056" s="2" t="n">
        <v>43415</v>
      </c>
      <c r="D4056" t="inlineStr">
        <is>
          <t>NIL</t>
        </is>
      </c>
      <c r="E4056" t="n">
        <v>144</v>
      </c>
    </row>
    <row r="4057">
      <c r="A4057" t="inlineStr">
        <is>
          <t>27BBBBB04057Z5</t>
        </is>
      </c>
      <c r="B4057" t="inlineStr">
        <is>
          <t>Mar-2020</t>
        </is>
      </c>
      <c r="C4057" s="2" t="n">
        <v>44354</v>
      </c>
      <c r="D4057" t="inlineStr">
        <is>
          <t>NON-NIL</t>
        </is>
      </c>
      <c r="E4057" t="n">
        <v>2362</v>
      </c>
    </row>
    <row r="4058">
      <c r="A4058" t="inlineStr">
        <is>
          <t>27BBBBB04058Z5</t>
        </is>
      </c>
      <c r="B4058" t="inlineStr">
        <is>
          <t>Jan-2021</t>
        </is>
      </c>
      <c r="C4058" s="2" t="n">
        <v>45310</v>
      </c>
      <c r="D4058" t="inlineStr">
        <is>
          <t>NON-NIL</t>
        </is>
      </c>
      <c r="E4058" t="n">
        <v>2110</v>
      </c>
    </row>
    <row r="4059">
      <c r="A4059" t="inlineStr">
        <is>
          <t>27BBBBB04059Z5</t>
        </is>
      </c>
      <c r="B4059" t="inlineStr">
        <is>
          <t>Nov-2018</t>
        </is>
      </c>
      <c r="C4059" s="2" t="n">
        <v>43606</v>
      </c>
      <c r="D4059" t="inlineStr">
        <is>
          <t>NON-NIL</t>
        </is>
      </c>
      <c r="E4059" t="n">
        <v>808</v>
      </c>
    </row>
    <row r="4060">
      <c r="A4060" t="inlineStr">
        <is>
          <t>27BBBBB04060Z5</t>
        </is>
      </c>
      <c r="B4060" t="inlineStr">
        <is>
          <t>Mar-2018</t>
        </is>
      </c>
      <c r="C4060" s="2" t="n">
        <v>44537</v>
      </c>
      <c r="D4060" t="inlineStr">
        <is>
          <t>NON-NIL</t>
        </is>
      </c>
      <c r="E4060" t="n">
        <v>1121</v>
      </c>
    </row>
    <row r="4061">
      <c r="A4061" t="inlineStr">
        <is>
          <t>27BBBBB04061Z5</t>
        </is>
      </c>
      <c r="B4061" t="inlineStr">
        <is>
          <t>May-2018</t>
        </is>
      </c>
      <c r="C4061" s="2" t="n">
        <v>43953</v>
      </c>
      <c r="D4061" t="inlineStr">
        <is>
          <t>NIL</t>
        </is>
      </c>
      <c r="E4061" t="n">
        <v>2500</v>
      </c>
    </row>
    <row r="4062">
      <c r="A4062" t="inlineStr">
        <is>
          <t>27BBBBB04062Z5</t>
        </is>
      </c>
      <c r="B4062" t="inlineStr">
        <is>
          <t>May-2018</t>
        </is>
      </c>
      <c r="C4062" s="2" t="n">
        <v>43446</v>
      </c>
      <c r="D4062" t="inlineStr">
        <is>
          <t>NON-NIL</t>
        </is>
      </c>
      <c r="E4062" t="n">
        <v>842</v>
      </c>
    </row>
    <row r="4063">
      <c r="A4063" t="inlineStr">
        <is>
          <t>27BBBBB04063Z5</t>
        </is>
      </c>
      <c r="B4063" t="inlineStr">
        <is>
          <t>Dec-2024</t>
        </is>
      </c>
      <c r="C4063" s="2" t="n">
        <v>45419</v>
      </c>
      <c r="D4063" t="inlineStr">
        <is>
          <t>NIL</t>
        </is>
      </c>
      <c r="E4063" t="n">
        <v>1017</v>
      </c>
    </row>
    <row r="4064">
      <c r="A4064" t="inlineStr">
        <is>
          <t>27BBBBB04064Z5</t>
        </is>
      </c>
      <c r="B4064" t="inlineStr">
        <is>
          <t>Feb-2018</t>
        </is>
      </c>
      <c r="C4064" s="2" t="n">
        <v>42937</v>
      </c>
      <c r="D4064" t="inlineStr">
        <is>
          <t>NIL</t>
        </is>
      </c>
      <c r="E4064" t="n">
        <v>912</v>
      </c>
    </row>
    <row r="4065">
      <c r="A4065" t="inlineStr">
        <is>
          <t>27BBBBB04065Z5</t>
        </is>
      </c>
      <c r="B4065" t="inlineStr">
        <is>
          <t>Jan-2021</t>
        </is>
      </c>
      <c r="C4065" s="2" t="n">
        <v>43494</v>
      </c>
      <c r="D4065" t="inlineStr">
        <is>
          <t>NON-NIL</t>
        </is>
      </c>
      <c r="E4065" t="n">
        <v>1869</v>
      </c>
    </row>
    <row r="4066">
      <c r="A4066" t="inlineStr">
        <is>
          <t>27BBBBB04066Z5</t>
        </is>
      </c>
      <c r="B4066" t="inlineStr">
        <is>
          <t>Oct-2017</t>
        </is>
      </c>
      <c r="C4066" s="2" t="n">
        <v>43697</v>
      </c>
      <c r="D4066" t="inlineStr">
        <is>
          <t>NON-NIL</t>
        </is>
      </c>
      <c r="E4066" t="n">
        <v>620</v>
      </c>
    </row>
    <row r="4067">
      <c r="A4067" t="inlineStr">
        <is>
          <t>27BBBBB04067Z5</t>
        </is>
      </c>
      <c r="B4067" t="inlineStr">
        <is>
          <t>Feb-2018</t>
        </is>
      </c>
      <c r="C4067" s="2" t="n">
        <v>43499</v>
      </c>
      <c r="D4067" t="inlineStr">
        <is>
          <t>NIL</t>
        </is>
      </c>
      <c r="E4067" t="n">
        <v>1499</v>
      </c>
    </row>
    <row r="4068">
      <c r="A4068" t="inlineStr">
        <is>
          <t>27BBBBB04068Z5</t>
        </is>
      </c>
      <c r="B4068" t="inlineStr">
        <is>
          <t>Feb-2018</t>
        </is>
      </c>
      <c r="C4068" s="2" t="n">
        <v>44442</v>
      </c>
      <c r="D4068" t="inlineStr">
        <is>
          <t>NIL</t>
        </is>
      </c>
      <c r="E4068" t="n">
        <v>495</v>
      </c>
    </row>
    <row r="4069">
      <c r="A4069" t="inlineStr">
        <is>
          <t>27BBBBB04069Z5</t>
        </is>
      </c>
      <c r="B4069" t="inlineStr">
        <is>
          <t>Nov-2017</t>
        </is>
      </c>
      <c r="C4069" s="2" t="n">
        <v>44214</v>
      </c>
      <c r="D4069" t="inlineStr">
        <is>
          <t>NIL</t>
        </is>
      </c>
      <c r="E4069" t="n">
        <v>2428</v>
      </c>
    </row>
    <row r="4070">
      <c r="A4070" t="inlineStr">
        <is>
          <t>27BBBBB04070Z5</t>
        </is>
      </c>
      <c r="B4070" t="inlineStr">
        <is>
          <t>Apr-2018</t>
        </is>
      </c>
      <c r="C4070" s="2" t="n">
        <v>42941</v>
      </c>
      <c r="D4070" t="inlineStr">
        <is>
          <t>NIL</t>
        </is>
      </c>
      <c r="E4070" t="n">
        <v>444</v>
      </c>
    </row>
    <row r="4071">
      <c r="A4071" t="inlineStr">
        <is>
          <t>27BBBBB04071Z5</t>
        </is>
      </c>
      <c r="B4071" t="inlineStr">
        <is>
          <t>Sep-2017</t>
        </is>
      </c>
      <c r="C4071" s="2" t="n">
        <v>43195</v>
      </c>
      <c r="D4071" t="inlineStr">
        <is>
          <t>NON-NIL</t>
        </is>
      </c>
      <c r="E4071" t="n">
        <v>549</v>
      </c>
    </row>
    <row r="4072">
      <c r="A4072" t="inlineStr">
        <is>
          <t>27BBBBB04072Z5</t>
        </is>
      </c>
      <c r="B4072" t="inlineStr">
        <is>
          <t>Aug-2017</t>
        </is>
      </c>
      <c r="C4072" s="2" t="n">
        <v>43916</v>
      </c>
      <c r="D4072" t="inlineStr">
        <is>
          <t>NIL</t>
        </is>
      </c>
      <c r="E4072" t="n">
        <v>2192</v>
      </c>
    </row>
    <row r="4073">
      <c r="A4073" t="inlineStr">
        <is>
          <t>27BBBBB04073Z5</t>
        </is>
      </c>
      <c r="B4073" t="inlineStr">
        <is>
          <t>Oct-2018</t>
        </is>
      </c>
      <c r="C4073" s="2" t="n">
        <v>44419</v>
      </c>
      <c r="D4073" t="inlineStr">
        <is>
          <t>NON-NIL</t>
        </is>
      </c>
      <c r="E4073" t="n">
        <v>400</v>
      </c>
    </row>
    <row r="4074">
      <c r="A4074" t="inlineStr">
        <is>
          <t>27BBBBB04074Z5</t>
        </is>
      </c>
      <c r="B4074" t="inlineStr">
        <is>
          <t>Apr-2018</t>
        </is>
      </c>
      <c r="C4074" s="2" t="n">
        <v>43708</v>
      </c>
      <c r="D4074" t="inlineStr">
        <is>
          <t>NON-NIL</t>
        </is>
      </c>
      <c r="E4074" t="n">
        <v>1704</v>
      </c>
    </row>
    <row r="4075">
      <c r="A4075" t="inlineStr">
        <is>
          <t>27BBBBB04075Z5</t>
        </is>
      </c>
      <c r="B4075" t="inlineStr">
        <is>
          <t>Mar-2023</t>
        </is>
      </c>
      <c r="C4075" s="2" t="n">
        <v>45176</v>
      </c>
      <c r="D4075" t="inlineStr">
        <is>
          <t>NIL</t>
        </is>
      </c>
      <c r="E4075" t="n">
        <v>1845</v>
      </c>
    </row>
    <row r="4076">
      <c r="A4076" t="inlineStr">
        <is>
          <t>27BBBBB04076Z5</t>
        </is>
      </c>
      <c r="B4076" t="inlineStr">
        <is>
          <t>Aug-2017</t>
        </is>
      </c>
      <c r="C4076" s="2" t="n">
        <v>43927</v>
      </c>
      <c r="D4076" t="inlineStr">
        <is>
          <t>NIL</t>
        </is>
      </c>
      <c r="E4076" t="n">
        <v>2587</v>
      </c>
    </row>
    <row r="4077">
      <c r="A4077" t="inlineStr">
        <is>
          <t>27BBBBB04077Z5</t>
        </is>
      </c>
      <c r="B4077" t="inlineStr">
        <is>
          <t>Mar-2018</t>
        </is>
      </c>
      <c r="C4077" s="2" t="n">
        <v>44488</v>
      </c>
      <c r="D4077" t="inlineStr">
        <is>
          <t>NIL</t>
        </is>
      </c>
      <c r="E4077" t="n">
        <v>2622</v>
      </c>
    </row>
    <row r="4078">
      <c r="A4078" t="inlineStr">
        <is>
          <t>27BBBBB04078Z5</t>
        </is>
      </c>
      <c r="B4078" t="inlineStr">
        <is>
          <t>Jun-2020</t>
        </is>
      </c>
      <c r="C4078" s="2" t="n">
        <v>44803</v>
      </c>
      <c r="D4078" t="inlineStr">
        <is>
          <t>NIL</t>
        </is>
      </c>
      <c r="E4078" t="n">
        <v>1867</v>
      </c>
    </row>
    <row r="4079">
      <c r="A4079" t="inlineStr">
        <is>
          <t>27BBBBB04079Z5</t>
        </is>
      </c>
      <c r="B4079" t="inlineStr">
        <is>
          <t>Jul-2020</t>
        </is>
      </c>
      <c r="C4079" s="2" t="n">
        <v>44583</v>
      </c>
      <c r="D4079" t="inlineStr">
        <is>
          <t>NIL</t>
        </is>
      </c>
      <c r="E4079" t="n">
        <v>1045</v>
      </c>
    </row>
    <row r="4080">
      <c r="A4080" t="inlineStr">
        <is>
          <t>27BBBBB04080Z5</t>
        </is>
      </c>
      <c r="B4080" t="inlineStr">
        <is>
          <t>Feb-2018</t>
        </is>
      </c>
      <c r="C4080" s="2" t="n">
        <v>43682</v>
      </c>
      <c r="D4080" t="inlineStr">
        <is>
          <t>NIL</t>
        </is>
      </c>
      <c r="E4080" t="n">
        <v>1315</v>
      </c>
    </row>
    <row r="4081">
      <c r="A4081" t="inlineStr">
        <is>
          <t>27BBBBB04081Z5</t>
        </is>
      </c>
      <c r="B4081" t="inlineStr">
        <is>
          <t>Jun-2018</t>
        </is>
      </c>
      <c r="C4081" s="2" t="n">
        <v>44436</v>
      </c>
      <c r="D4081" t="inlineStr">
        <is>
          <t>NON-NIL</t>
        </is>
      </c>
      <c r="E4081" t="n">
        <v>1753</v>
      </c>
    </row>
    <row r="4082">
      <c r="A4082" t="inlineStr">
        <is>
          <t>27BBBBB04082Z5</t>
        </is>
      </c>
      <c r="B4082" t="inlineStr">
        <is>
          <t>Jan-2021</t>
        </is>
      </c>
      <c r="C4082" s="2" t="n">
        <v>44143</v>
      </c>
      <c r="D4082" t="inlineStr">
        <is>
          <t>NIL</t>
        </is>
      </c>
      <c r="E4082" t="n">
        <v>624</v>
      </c>
    </row>
    <row r="4083">
      <c r="A4083" t="inlineStr">
        <is>
          <t>27BBBBB04083Z5</t>
        </is>
      </c>
      <c r="B4083" t="inlineStr">
        <is>
          <t>Jun-2020</t>
        </is>
      </c>
      <c r="C4083" s="2" t="n">
        <v>44446</v>
      </c>
      <c r="D4083" t="inlineStr">
        <is>
          <t>NON-NIL</t>
        </is>
      </c>
      <c r="E4083" t="n">
        <v>1657</v>
      </c>
    </row>
    <row r="4084">
      <c r="A4084" t="inlineStr">
        <is>
          <t>27BBBBB04084Z5</t>
        </is>
      </c>
      <c r="B4084" t="inlineStr">
        <is>
          <t>Jul-2018</t>
        </is>
      </c>
      <c r="C4084" s="2" t="n">
        <v>42989</v>
      </c>
      <c r="D4084" t="inlineStr">
        <is>
          <t>NIL</t>
        </is>
      </c>
      <c r="E4084" t="n">
        <v>2503</v>
      </c>
    </row>
    <row r="4085">
      <c r="A4085" t="inlineStr">
        <is>
          <t>27BBBBB04085Z5</t>
        </is>
      </c>
      <c r="B4085" t="inlineStr">
        <is>
          <t>Oct-2018</t>
        </is>
      </c>
      <c r="C4085" s="2" t="n">
        <v>43545</v>
      </c>
      <c r="D4085" t="inlineStr">
        <is>
          <t>NIL</t>
        </is>
      </c>
      <c r="E4085" t="n">
        <v>2357</v>
      </c>
    </row>
    <row r="4086">
      <c r="A4086" t="inlineStr">
        <is>
          <t>27BBBBB04086Z5</t>
        </is>
      </c>
      <c r="B4086" t="inlineStr">
        <is>
          <t>Sep-2017</t>
        </is>
      </c>
      <c r="C4086" s="2" t="n">
        <v>44240</v>
      </c>
      <c r="D4086" t="inlineStr">
        <is>
          <t>NIL</t>
        </is>
      </c>
      <c r="E4086" t="n">
        <v>1558</v>
      </c>
    </row>
    <row r="4087">
      <c r="A4087" t="inlineStr">
        <is>
          <t>27BBBBB04087Z5</t>
        </is>
      </c>
      <c r="B4087" t="inlineStr">
        <is>
          <t>Oct-2017</t>
        </is>
      </c>
      <c r="C4087" s="2" t="n">
        <v>44159</v>
      </c>
      <c r="D4087" t="inlineStr">
        <is>
          <t>NIL</t>
        </is>
      </c>
      <c r="E4087" t="n">
        <v>1529</v>
      </c>
    </row>
    <row r="4088">
      <c r="A4088" t="inlineStr">
        <is>
          <t>27BBBBB04088Z5</t>
        </is>
      </c>
      <c r="B4088" t="inlineStr">
        <is>
          <t>Dec-2018</t>
        </is>
      </c>
      <c r="C4088" s="2" t="n">
        <v>43118</v>
      </c>
      <c r="D4088" t="inlineStr">
        <is>
          <t>NON-NIL</t>
        </is>
      </c>
      <c r="E4088" t="n">
        <v>414</v>
      </c>
    </row>
    <row r="4089">
      <c r="A4089" t="inlineStr">
        <is>
          <t>27BBBBB04089Z5</t>
        </is>
      </c>
      <c r="B4089" t="inlineStr">
        <is>
          <t>Apr-2018</t>
        </is>
      </c>
      <c r="C4089" s="2" t="n">
        <v>43114</v>
      </c>
      <c r="D4089" t="inlineStr">
        <is>
          <t>NON-NIL</t>
        </is>
      </c>
      <c r="E4089" t="n">
        <v>2548</v>
      </c>
    </row>
    <row r="4090">
      <c r="A4090" t="inlineStr">
        <is>
          <t>27BBBBB04090Z5</t>
        </is>
      </c>
      <c r="B4090" t="inlineStr">
        <is>
          <t>Mar-2023</t>
        </is>
      </c>
      <c r="C4090" s="2" t="n">
        <v>44683</v>
      </c>
      <c r="D4090" t="inlineStr">
        <is>
          <t>NIL</t>
        </is>
      </c>
      <c r="E4090" t="n">
        <v>236</v>
      </c>
    </row>
    <row r="4091">
      <c r="A4091" t="inlineStr">
        <is>
          <t>27BBBBB04091Z5</t>
        </is>
      </c>
      <c r="B4091" t="inlineStr">
        <is>
          <t>Apr-2018</t>
        </is>
      </c>
      <c r="C4091" s="2" t="n">
        <v>43960</v>
      </c>
      <c r="D4091" t="inlineStr">
        <is>
          <t>NON-NIL</t>
        </is>
      </c>
      <c r="E4091" t="n">
        <v>1372</v>
      </c>
    </row>
    <row r="4092">
      <c r="A4092" t="inlineStr">
        <is>
          <t>27BBBBB04092Z5</t>
        </is>
      </c>
      <c r="B4092" t="inlineStr">
        <is>
          <t>Aug-2018</t>
        </is>
      </c>
      <c r="C4092" s="2" t="n">
        <v>42932</v>
      </c>
      <c r="D4092" t="inlineStr">
        <is>
          <t>NON-NIL</t>
        </is>
      </c>
      <c r="E4092" t="n">
        <v>1583</v>
      </c>
    </row>
    <row r="4093">
      <c r="A4093" t="inlineStr">
        <is>
          <t>27BBBBB04093Z5</t>
        </is>
      </c>
      <c r="B4093" t="inlineStr">
        <is>
          <t>Mar-2020</t>
        </is>
      </c>
      <c r="C4093" s="2" t="n">
        <v>44586</v>
      </c>
      <c r="D4093" t="inlineStr">
        <is>
          <t>NON-NIL</t>
        </is>
      </c>
      <c r="E4093" t="n">
        <v>2745</v>
      </c>
    </row>
    <row r="4094">
      <c r="A4094" t="inlineStr">
        <is>
          <t>27BBBBB04094Z5</t>
        </is>
      </c>
      <c r="B4094" t="inlineStr">
        <is>
          <t>Mar-2018</t>
        </is>
      </c>
      <c r="C4094" s="2" t="n">
        <v>44140</v>
      </c>
      <c r="D4094" t="inlineStr">
        <is>
          <t>NON-NIL</t>
        </is>
      </c>
      <c r="E4094" t="n">
        <v>1547</v>
      </c>
    </row>
    <row r="4095">
      <c r="A4095" t="inlineStr">
        <is>
          <t>27BBBBB04095Z5</t>
        </is>
      </c>
      <c r="B4095" t="inlineStr">
        <is>
          <t>Jan-2021</t>
        </is>
      </c>
      <c r="C4095" s="2" t="n">
        <v>45784</v>
      </c>
      <c r="D4095" t="inlineStr">
        <is>
          <t>NON-NIL</t>
        </is>
      </c>
      <c r="E4095" t="n">
        <v>1893</v>
      </c>
    </row>
    <row r="4096">
      <c r="A4096" t="inlineStr">
        <is>
          <t>27BBBBB04096Z5</t>
        </is>
      </c>
      <c r="B4096" t="inlineStr">
        <is>
          <t>Jun-2018</t>
        </is>
      </c>
      <c r="C4096" s="2" t="n">
        <v>43671</v>
      </c>
      <c r="D4096" t="inlineStr">
        <is>
          <t>NON-NIL</t>
        </is>
      </c>
      <c r="E4096" t="n">
        <v>272</v>
      </c>
    </row>
    <row r="4097">
      <c r="A4097" t="inlineStr">
        <is>
          <t>27BBBBB04097Z5</t>
        </is>
      </c>
      <c r="B4097" t="inlineStr">
        <is>
          <t>Dec-2017</t>
        </is>
      </c>
      <c r="C4097" s="2" t="n">
        <v>43420</v>
      </c>
      <c r="D4097" t="inlineStr">
        <is>
          <t>NON-NIL</t>
        </is>
      </c>
      <c r="E4097" t="n">
        <v>70</v>
      </c>
    </row>
    <row r="4098">
      <c r="A4098" t="inlineStr">
        <is>
          <t>27BBBBB04098Z5</t>
        </is>
      </c>
      <c r="B4098" t="inlineStr">
        <is>
          <t>Aug-2017</t>
        </is>
      </c>
      <c r="C4098" s="2" t="n">
        <v>43084</v>
      </c>
      <c r="D4098" t="inlineStr">
        <is>
          <t>NON-NIL</t>
        </is>
      </c>
      <c r="E4098" t="n">
        <v>546</v>
      </c>
    </row>
    <row r="4099">
      <c r="A4099" t="inlineStr">
        <is>
          <t>27BBBBB04099Z5</t>
        </is>
      </c>
      <c r="B4099" t="inlineStr">
        <is>
          <t>Dec-2017</t>
        </is>
      </c>
      <c r="C4099" s="2" t="n">
        <v>44171</v>
      </c>
      <c r="D4099" t="inlineStr">
        <is>
          <t>NIL</t>
        </is>
      </c>
      <c r="E4099" t="n">
        <v>1203</v>
      </c>
    </row>
    <row r="4100">
      <c r="A4100" t="inlineStr">
        <is>
          <t>27BBBBB04100Z5</t>
        </is>
      </c>
      <c r="B4100" t="inlineStr">
        <is>
          <t>Jul-2017</t>
        </is>
      </c>
      <c r="C4100" s="2" t="n">
        <v>44205</v>
      </c>
      <c r="D4100" t="inlineStr">
        <is>
          <t>NIL</t>
        </is>
      </c>
      <c r="E4100" t="n">
        <v>1463</v>
      </c>
    </row>
    <row r="4101">
      <c r="A4101" t="inlineStr">
        <is>
          <t>27BBBBB04101Z5</t>
        </is>
      </c>
      <c r="B4101" t="inlineStr">
        <is>
          <t>Jul-2017</t>
        </is>
      </c>
      <c r="C4101" s="2" t="n">
        <v>43905</v>
      </c>
      <c r="D4101" t="inlineStr">
        <is>
          <t>NON-NIL</t>
        </is>
      </c>
      <c r="E4101" t="n">
        <v>675</v>
      </c>
    </row>
    <row r="4102">
      <c r="A4102" t="inlineStr">
        <is>
          <t>27BBBBB04102Z5</t>
        </is>
      </c>
      <c r="B4102" t="inlineStr">
        <is>
          <t>Mar-2020</t>
        </is>
      </c>
      <c r="C4102" s="2" t="n">
        <v>44384</v>
      </c>
      <c r="D4102" t="inlineStr">
        <is>
          <t>NIL</t>
        </is>
      </c>
      <c r="E4102" t="n">
        <v>95</v>
      </c>
    </row>
    <row r="4103">
      <c r="A4103" t="inlineStr">
        <is>
          <t>27BBBBB04103Z5</t>
        </is>
      </c>
      <c r="B4103" t="inlineStr">
        <is>
          <t>Oct-2017</t>
        </is>
      </c>
      <c r="C4103" s="2" t="n">
        <v>43219</v>
      </c>
      <c r="D4103" t="inlineStr">
        <is>
          <t>NIL</t>
        </is>
      </c>
      <c r="E4103" t="n">
        <v>1880</v>
      </c>
    </row>
    <row r="4104">
      <c r="A4104" t="inlineStr">
        <is>
          <t>27BBBBB04104Z5</t>
        </is>
      </c>
      <c r="B4104" t="inlineStr">
        <is>
          <t>Nov-2017</t>
        </is>
      </c>
      <c r="C4104" s="2" t="n">
        <v>44508</v>
      </c>
      <c r="D4104" t="inlineStr">
        <is>
          <t>NIL</t>
        </is>
      </c>
      <c r="E4104" t="n">
        <v>172</v>
      </c>
    </row>
    <row r="4105">
      <c r="A4105" t="inlineStr">
        <is>
          <t>27BBBBB04105Z5</t>
        </is>
      </c>
      <c r="B4105" t="inlineStr">
        <is>
          <t>Mar-2020</t>
        </is>
      </c>
      <c r="C4105" s="2" t="n">
        <v>44446</v>
      </c>
      <c r="D4105" t="inlineStr">
        <is>
          <t>NIL</t>
        </is>
      </c>
      <c r="E4105" t="n">
        <v>1047</v>
      </c>
    </row>
    <row r="4106">
      <c r="A4106" t="inlineStr">
        <is>
          <t>27BBBBB04106Z5</t>
        </is>
      </c>
      <c r="B4106" t="inlineStr">
        <is>
          <t>Dec-2017</t>
        </is>
      </c>
      <c r="C4106" s="2" t="n">
        <v>43300</v>
      </c>
      <c r="D4106" t="inlineStr">
        <is>
          <t>NIL</t>
        </is>
      </c>
      <c r="E4106" t="n">
        <v>2120</v>
      </c>
    </row>
    <row r="4107">
      <c r="A4107" t="inlineStr">
        <is>
          <t>27BBBBB04107Z5</t>
        </is>
      </c>
      <c r="B4107" t="inlineStr">
        <is>
          <t>Nov-2017</t>
        </is>
      </c>
      <c r="C4107" s="2" t="n">
        <v>43525</v>
      </c>
      <c r="D4107" t="inlineStr">
        <is>
          <t>NIL</t>
        </is>
      </c>
      <c r="E4107" t="n">
        <v>2757</v>
      </c>
    </row>
    <row r="4108">
      <c r="A4108" t="inlineStr">
        <is>
          <t>27BBBBB04108Z5</t>
        </is>
      </c>
      <c r="B4108" t="inlineStr">
        <is>
          <t>Apr-2020</t>
        </is>
      </c>
      <c r="C4108" s="2" t="n">
        <v>44567</v>
      </c>
      <c r="D4108" t="inlineStr">
        <is>
          <t>NON-NIL</t>
        </is>
      </c>
      <c r="E4108" t="n">
        <v>1865</v>
      </c>
    </row>
    <row r="4109">
      <c r="A4109" t="inlineStr">
        <is>
          <t>27BBBBB04109Z5</t>
        </is>
      </c>
      <c r="B4109" t="inlineStr">
        <is>
          <t>Jan-2021</t>
        </is>
      </c>
      <c r="C4109" s="2" t="n">
        <v>45563</v>
      </c>
      <c r="D4109" t="inlineStr">
        <is>
          <t>NON-NIL</t>
        </is>
      </c>
      <c r="E4109" t="n">
        <v>864</v>
      </c>
    </row>
    <row r="4110">
      <c r="A4110" t="inlineStr">
        <is>
          <t>27BBBBB04110Z5</t>
        </is>
      </c>
      <c r="B4110" t="inlineStr">
        <is>
          <t>Apr-2018</t>
        </is>
      </c>
      <c r="C4110" s="2" t="n">
        <v>43143</v>
      </c>
      <c r="D4110" t="inlineStr">
        <is>
          <t>NIL</t>
        </is>
      </c>
      <c r="E4110" t="n">
        <v>1826</v>
      </c>
    </row>
    <row r="4111">
      <c r="A4111" t="inlineStr">
        <is>
          <t>27BBBBB04111Z5</t>
        </is>
      </c>
      <c r="B4111" t="inlineStr">
        <is>
          <t>Nov-2017</t>
        </is>
      </c>
      <c r="C4111" s="2" t="n">
        <v>43342</v>
      </c>
      <c r="D4111" t="inlineStr">
        <is>
          <t>NIL</t>
        </is>
      </c>
      <c r="E4111" t="n">
        <v>2938</v>
      </c>
    </row>
    <row r="4112">
      <c r="A4112" t="inlineStr">
        <is>
          <t>27BBBBB04112Z5</t>
        </is>
      </c>
      <c r="B4112" t="inlineStr">
        <is>
          <t>Jul-2020</t>
        </is>
      </c>
      <c r="C4112" s="2" t="n">
        <v>44766</v>
      </c>
      <c r="D4112" t="inlineStr">
        <is>
          <t>NIL</t>
        </is>
      </c>
      <c r="E4112" t="n">
        <v>1291</v>
      </c>
    </row>
    <row r="4113">
      <c r="A4113" t="inlineStr">
        <is>
          <t>27BBBBB04113Z5</t>
        </is>
      </c>
      <c r="B4113" t="inlineStr">
        <is>
          <t>Oct-2018</t>
        </is>
      </c>
      <c r="C4113" s="2" t="n">
        <v>43120</v>
      </c>
      <c r="D4113" t="inlineStr">
        <is>
          <t>NIL</t>
        </is>
      </c>
      <c r="E4113" t="n">
        <v>1598</v>
      </c>
    </row>
    <row r="4114">
      <c r="A4114" t="inlineStr">
        <is>
          <t>27BBBBB04114Z5</t>
        </is>
      </c>
      <c r="B4114" t="inlineStr">
        <is>
          <t>Jan-2021</t>
        </is>
      </c>
      <c r="C4114" s="2" t="n">
        <v>43747</v>
      </c>
      <c r="D4114" t="inlineStr">
        <is>
          <t>NON-NIL</t>
        </is>
      </c>
      <c r="E4114" t="n">
        <v>1910</v>
      </c>
    </row>
    <row r="4115">
      <c r="A4115" t="inlineStr">
        <is>
          <t>27BBBBB04115Z5</t>
        </is>
      </c>
      <c r="B4115" t="inlineStr">
        <is>
          <t>Mar-2018</t>
        </is>
      </c>
      <c r="C4115" s="2" t="n">
        <v>44100</v>
      </c>
      <c r="D4115" t="inlineStr">
        <is>
          <t>NON-NIL</t>
        </is>
      </c>
      <c r="E4115" t="n">
        <v>2105</v>
      </c>
    </row>
    <row r="4116">
      <c r="A4116" t="inlineStr">
        <is>
          <t>27BBBBB04116Z5</t>
        </is>
      </c>
      <c r="B4116" t="inlineStr">
        <is>
          <t>Dec-2024</t>
        </is>
      </c>
      <c r="C4116" s="2" t="n">
        <v>44939</v>
      </c>
      <c r="D4116" t="inlineStr">
        <is>
          <t>NIL</t>
        </is>
      </c>
      <c r="E4116" t="n">
        <v>2796</v>
      </c>
    </row>
    <row r="4117">
      <c r="A4117" t="inlineStr">
        <is>
          <t>27BBBBB04117Z5</t>
        </is>
      </c>
      <c r="B4117" t="inlineStr">
        <is>
          <t>Jun-2018</t>
        </is>
      </c>
      <c r="C4117" s="2" t="n">
        <v>43250</v>
      </c>
      <c r="D4117" t="inlineStr">
        <is>
          <t>NON-NIL</t>
        </is>
      </c>
      <c r="E4117" t="n">
        <v>2185</v>
      </c>
    </row>
    <row r="4118">
      <c r="A4118" t="inlineStr">
        <is>
          <t>27BBBBB04118Z5</t>
        </is>
      </c>
      <c r="B4118" t="inlineStr">
        <is>
          <t>May-2018</t>
        </is>
      </c>
      <c r="C4118" s="2" t="n">
        <v>43422</v>
      </c>
      <c r="D4118" t="inlineStr">
        <is>
          <t>NON-NIL</t>
        </is>
      </c>
      <c r="E4118" t="n">
        <v>1325</v>
      </c>
    </row>
    <row r="4119">
      <c r="A4119" t="inlineStr">
        <is>
          <t>27BBBBB04119Z5</t>
        </is>
      </c>
      <c r="B4119" t="inlineStr">
        <is>
          <t>May-2020</t>
        </is>
      </c>
      <c r="C4119" s="2" t="n">
        <v>44528</v>
      </c>
      <c r="D4119" t="inlineStr">
        <is>
          <t>NIL</t>
        </is>
      </c>
      <c r="E4119" t="n">
        <v>1289</v>
      </c>
    </row>
    <row r="4120">
      <c r="A4120" t="inlineStr">
        <is>
          <t>27BBBBB04120Z5</t>
        </is>
      </c>
      <c r="B4120" t="inlineStr">
        <is>
          <t>Mar-2018</t>
        </is>
      </c>
      <c r="C4120" s="2" t="n">
        <v>43132</v>
      </c>
      <c r="D4120" t="inlineStr">
        <is>
          <t>NON-NIL</t>
        </is>
      </c>
      <c r="E4120" t="n">
        <v>1016</v>
      </c>
    </row>
    <row r="4121">
      <c r="A4121" t="inlineStr">
        <is>
          <t>27BBBBB04121Z5</t>
        </is>
      </c>
      <c r="B4121" t="inlineStr">
        <is>
          <t>Aug-2018</t>
        </is>
      </c>
      <c r="C4121" s="2" t="n">
        <v>43027</v>
      </c>
      <c r="D4121" t="inlineStr">
        <is>
          <t>NON-NIL</t>
        </is>
      </c>
      <c r="E4121" t="n">
        <v>982</v>
      </c>
    </row>
    <row r="4122">
      <c r="A4122" t="inlineStr">
        <is>
          <t>27BBBBB04122Z5</t>
        </is>
      </c>
      <c r="B4122" t="inlineStr">
        <is>
          <t>Dec-2018</t>
        </is>
      </c>
      <c r="C4122" s="2" t="n">
        <v>43926</v>
      </c>
      <c r="D4122" t="inlineStr">
        <is>
          <t>NIL</t>
        </is>
      </c>
      <c r="E4122" t="n">
        <v>1175</v>
      </c>
    </row>
    <row r="4123">
      <c r="A4123" t="inlineStr">
        <is>
          <t>27BBBBB04123Z5</t>
        </is>
      </c>
      <c r="B4123" t="inlineStr">
        <is>
          <t>Feb-2018</t>
        </is>
      </c>
      <c r="C4123" s="2" t="n">
        <v>42921</v>
      </c>
      <c r="D4123" t="inlineStr">
        <is>
          <t>NON-NIL</t>
        </is>
      </c>
      <c r="E4123" t="n">
        <v>2287</v>
      </c>
    </row>
    <row r="4124">
      <c r="A4124" t="inlineStr">
        <is>
          <t>27BBBBB04124Z5</t>
        </is>
      </c>
      <c r="B4124" t="inlineStr">
        <is>
          <t>Mar-2021</t>
        </is>
      </c>
      <c r="C4124" s="2" t="n">
        <v>45122</v>
      </c>
      <c r="D4124" t="inlineStr">
        <is>
          <t>NIL</t>
        </is>
      </c>
      <c r="E4124" t="n">
        <v>1745</v>
      </c>
    </row>
    <row r="4125">
      <c r="A4125" t="inlineStr">
        <is>
          <t>27BBBBB04125Z5</t>
        </is>
      </c>
      <c r="B4125" t="inlineStr">
        <is>
          <t>Dec-2024</t>
        </is>
      </c>
      <c r="C4125" s="2" t="n">
        <v>44543</v>
      </c>
      <c r="D4125" t="inlineStr">
        <is>
          <t>NIL</t>
        </is>
      </c>
      <c r="E4125" t="n">
        <v>1222</v>
      </c>
    </row>
    <row r="4126">
      <c r="A4126" t="inlineStr">
        <is>
          <t>27BBBBB04126Z5</t>
        </is>
      </c>
      <c r="B4126" t="inlineStr">
        <is>
          <t>Apr-2018</t>
        </is>
      </c>
      <c r="C4126" s="2" t="n">
        <v>44428</v>
      </c>
      <c r="D4126" t="inlineStr">
        <is>
          <t>NIL</t>
        </is>
      </c>
      <c r="E4126" t="n">
        <v>1485</v>
      </c>
    </row>
    <row r="4127">
      <c r="A4127" t="inlineStr">
        <is>
          <t>27BBBBB04127Z5</t>
        </is>
      </c>
      <c r="B4127" t="inlineStr">
        <is>
          <t>Jan-2021</t>
        </is>
      </c>
      <c r="C4127" s="2" t="n">
        <v>43670</v>
      </c>
      <c r="D4127" t="inlineStr">
        <is>
          <t>NON-NIL</t>
        </is>
      </c>
      <c r="E4127" t="n">
        <v>2371</v>
      </c>
    </row>
    <row r="4128">
      <c r="A4128" t="inlineStr">
        <is>
          <t>27BBBBB04128Z5</t>
        </is>
      </c>
      <c r="B4128" t="inlineStr">
        <is>
          <t>Jan-2018</t>
        </is>
      </c>
      <c r="C4128" s="2" t="n">
        <v>43425</v>
      </c>
      <c r="D4128" t="inlineStr">
        <is>
          <t>NON-NIL</t>
        </is>
      </c>
      <c r="E4128" t="n">
        <v>1359</v>
      </c>
    </row>
    <row r="4129">
      <c r="A4129" t="inlineStr">
        <is>
          <t>27BBBBB04129Z5</t>
        </is>
      </c>
      <c r="B4129" t="inlineStr">
        <is>
          <t>Jul-2020</t>
        </is>
      </c>
      <c r="C4129" s="2" t="n">
        <v>44825</v>
      </c>
      <c r="D4129" t="inlineStr">
        <is>
          <t>NIL</t>
        </is>
      </c>
      <c r="E4129" t="n">
        <v>413</v>
      </c>
    </row>
    <row r="4130">
      <c r="A4130" t="inlineStr">
        <is>
          <t>27BBBBB04130Z5</t>
        </is>
      </c>
      <c r="B4130" t="inlineStr">
        <is>
          <t>May-2018</t>
        </is>
      </c>
      <c r="C4130" s="2" t="n">
        <v>43645</v>
      </c>
      <c r="D4130" t="inlineStr">
        <is>
          <t>NIL</t>
        </is>
      </c>
      <c r="E4130" t="n">
        <v>2167</v>
      </c>
    </row>
    <row r="4131">
      <c r="A4131" t="inlineStr">
        <is>
          <t>27BBBBB04131Z5</t>
        </is>
      </c>
      <c r="B4131" t="inlineStr">
        <is>
          <t>Dec-2018</t>
        </is>
      </c>
      <c r="C4131" s="2" t="n">
        <v>42919</v>
      </c>
      <c r="D4131" t="inlineStr">
        <is>
          <t>NON-NIL</t>
        </is>
      </c>
      <c r="E4131" t="n">
        <v>827</v>
      </c>
    </row>
    <row r="4132">
      <c r="A4132" t="inlineStr">
        <is>
          <t>27BBBBB04132Z5</t>
        </is>
      </c>
      <c r="B4132" t="inlineStr">
        <is>
          <t>Mar-2020</t>
        </is>
      </c>
      <c r="C4132" s="2" t="n">
        <v>44526</v>
      </c>
      <c r="D4132" t="inlineStr">
        <is>
          <t>NON-NIL</t>
        </is>
      </c>
      <c r="E4132" t="n">
        <v>1361</v>
      </c>
    </row>
    <row r="4133">
      <c r="A4133" t="inlineStr">
        <is>
          <t>27BBBBB04133Z5</t>
        </is>
      </c>
      <c r="B4133" t="inlineStr">
        <is>
          <t>Mar-2018</t>
        </is>
      </c>
      <c r="C4133" s="2" t="n">
        <v>43628</v>
      </c>
      <c r="D4133" t="inlineStr">
        <is>
          <t>NIL</t>
        </is>
      </c>
      <c r="E4133" t="n">
        <v>2570</v>
      </c>
    </row>
    <row r="4134">
      <c r="A4134" t="inlineStr">
        <is>
          <t>27BBBBB04134Z5</t>
        </is>
      </c>
      <c r="B4134" t="inlineStr">
        <is>
          <t>May-2018</t>
        </is>
      </c>
      <c r="C4134" s="2" t="n">
        <v>44363</v>
      </c>
      <c r="D4134" t="inlineStr">
        <is>
          <t>NIL</t>
        </is>
      </c>
      <c r="E4134" t="n">
        <v>2470</v>
      </c>
    </row>
    <row r="4135">
      <c r="A4135" t="inlineStr">
        <is>
          <t>27BBBBB04135Z5</t>
        </is>
      </c>
      <c r="B4135" t="inlineStr">
        <is>
          <t>Jul-2018</t>
        </is>
      </c>
      <c r="C4135" s="2" t="n">
        <v>43621</v>
      </c>
      <c r="D4135" t="inlineStr">
        <is>
          <t>NIL</t>
        </is>
      </c>
      <c r="E4135" t="n">
        <v>1976</v>
      </c>
    </row>
    <row r="4136">
      <c r="A4136" t="inlineStr">
        <is>
          <t>27BBBBB04136Z5</t>
        </is>
      </c>
      <c r="B4136" t="inlineStr">
        <is>
          <t>Aug-2017</t>
        </is>
      </c>
      <c r="C4136" s="2" t="n">
        <v>43437</v>
      </c>
      <c r="D4136" t="inlineStr">
        <is>
          <t>NON-NIL</t>
        </is>
      </c>
      <c r="E4136" t="n">
        <v>1683</v>
      </c>
    </row>
    <row r="4137">
      <c r="A4137" t="inlineStr">
        <is>
          <t>27BBBBB04137Z5</t>
        </is>
      </c>
      <c r="B4137" t="inlineStr">
        <is>
          <t>Jan-2021</t>
        </is>
      </c>
      <c r="C4137" s="2" t="n">
        <v>45523</v>
      </c>
      <c r="D4137" t="inlineStr">
        <is>
          <t>NIL</t>
        </is>
      </c>
      <c r="E4137" t="n">
        <v>2491</v>
      </c>
    </row>
    <row r="4138">
      <c r="A4138" t="inlineStr">
        <is>
          <t>27BBBBB04138Z5</t>
        </is>
      </c>
      <c r="B4138" t="inlineStr">
        <is>
          <t>Dec-2018</t>
        </is>
      </c>
      <c r="C4138" s="2" t="n">
        <v>43642</v>
      </c>
      <c r="D4138" t="inlineStr">
        <is>
          <t>NON-NIL</t>
        </is>
      </c>
      <c r="E4138" t="n">
        <v>2246</v>
      </c>
    </row>
    <row r="4139">
      <c r="A4139" t="inlineStr">
        <is>
          <t>27BBBBB04139Z5</t>
        </is>
      </c>
      <c r="B4139" t="inlineStr">
        <is>
          <t>Feb-2018</t>
        </is>
      </c>
      <c r="C4139" s="2" t="n">
        <v>43557</v>
      </c>
      <c r="D4139" t="inlineStr">
        <is>
          <t>NIL</t>
        </is>
      </c>
      <c r="E4139" t="n">
        <v>1455</v>
      </c>
    </row>
    <row r="4140">
      <c r="A4140" t="inlineStr">
        <is>
          <t>27BBBBB04140Z5</t>
        </is>
      </c>
      <c r="B4140" t="inlineStr">
        <is>
          <t>Oct-2017</t>
        </is>
      </c>
      <c r="C4140" s="2" t="n">
        <v>43993</v>
      </c>
      <c r="D4140" t="inlineStr">
        <is>
          <t>NIL</t>
        </is>
      </c>
      <c r="E4140" t="n">
        <v>1132</v>
      </c>
    </row>
    <row r="4141">
      <c r="A4141" t="inlineStr">
        <is>
          <t>27BBBBB04141Z5</t>
        </is>
      </c>
      <c r="B4141" t="inlineStr">
        <is>
          <t>Apr-2018</t>
        </is>
      </c>
      <c r="C4141" s="2" t="n">
        <v>42978</v>
      </c>
      <c r="D4141" t="inlineStr">
        <is>
          <t>NIL</t>
        </is>
      </c>
      <c r="E4141" t="n">
        <v>1875</v>
      </c>
    </row>
    <row r="4142">
      <c r="A4142" t="inlineStr">
        <is>
          <t>27BBBBB04142Z5</t>
        </is>
      </c>
      <c r="B4142" t="inlineStr">
        <is>
          <t>Jun-2018</t>
        </is>
      </c>
      <c r="C4142" s="2" t="n">
        <v>43659</v>
      </c>
      <c r="D4142" t="inlineStr">
        <is>
          <t>NON-NIL</t>
        </is>
      </c>
      <c r="E4142" t="n">
        <v>2598</v>
      </c>
    </row>
    <row r="4143">
      <c r="A4143" t="inlineStr">
        <is>
          <t>27BBBBB04143Z5</t>
        </is>
      </c>
      <c r="B4143" t="inlineStr">
        <is>
          <t>Oct-2018</t>
        </is>
      </c>
      <c r="C4143" s="2" t="n">
        <v>44302</v>
      </c>
      <c r="D4143" t="inlineStr">
        <is>
          <t>NIL</t>
        </is>
      </c>
      <c r="E4143" t="n">
        <v>509</v>
      </c>
    </row>
    <row r="4144">
      <c r="A4144" t="inlineStr">
        <is>
          <t>27BBBBB04144Z5</t>
        </is>
      </c>
      <c r="B4144" t="inlineStr">
        <is>
          <t>Mar-2018</t>
        </is>
      </c>
      <c r="C4144" s="2" t="n">
        <v>43280</v>
      </c>
      <c r="D4144" t="inlineStr">
        <is>
          <t>NON-NIL</t>
        </is>
      </c>
      <c r="E4144" t="n">
        <v>84</v>
      </c>
    </row>
    <row r="4145">
      <c r="A4145" t="inlineStr">
        <is>
          <t>27BBBBB04145Z5</t>
        </is>
      </c>
      <c r="B4145" t="inlineStr">
        <is>
          <t>Feb-2018</t>
        </is>
      </c>
      <c r="C4145" s="2" t="n">
        <v>44206</v>
      </c>
      <c r="D4145" t="inlineStr">
        <is>
          <t>NIL</t>
        </is>
      </c>
      <c r="E4145" t="n">
        <v>1752</v>
      </c>
    </row>
    <row r="4146">
      <c r="A4146" t="inlineStr">
        <is>
          <t>27BBBBB04146Z5</t>
        </is>
      </c>
      <c r="B4146" t="inlineStr">
        <is>
          <t>Mar-2020</t>
        </is>
      </c>
      <c r="C4146" s="2" t="n">
        <v>44332</v>
      </c>
      <c r="D4146" t="inlineStr">
        <is>
          <t>NON-NIL</t>
        </is>
      </c>
      <c r="E4146" t="n">
        <v>2227</v>
      </c>
    </row>
    <row r="4147">
      <c r="A4147" t="inlineStr">
        <is>
          <t>27BBBBB04147Z5</t>
        </is>
      </c>
      <c r="B4147" t="inlineStr">
        <is>
          <t>Feb-2018</t>
        </is>
      </c>
      <c r="C4147" s="2" t="n">
        <v>43529</v>
      </c>
      <c r="D4147" t="inlineStr">
        <is>
          <t>NIL</t>
        </is>
      </c>
      <c r="E4147" t="n">
        <v>633</v>
      </c>
    </row>
    <row r="4148">
      <c r="A4148" t="inlineStr">
        <is>
          <t>27BBBBB04148Z5</t>
        </is>
      </c>
      <c r="B4148" t="inlineStr">
        <is>
          <t>Oct-2017</t>
        </is>
      </c>
      <c r="C4148" s="2" t="n">
        <v>43169</v>
      </c>
      <c r="D4148" t="inlineStr">
        <is>
          <t>NIL</t>
        </is>
      </c>
      <c r="E4148" t="n">
        <v>1101</v>
      </c>
    </row>
    <row r="4149">
      <c r="A4149" t="inlineStr">
        <is>
          <t>27BBBBB04149Z5</t>
        </is>
      </c>
      <c r="B4149" t="inlineStr">
        <is>
          <t>Jun-2018</t>
        </is>
      </c>
      <c r="C4149" s="2" t="n">
        <v>43527</v>
      </c>
      <c r="D4149" t="inlineStr">
        <is>
          <t>NIL</t>
        </is>
      </c>
      <c r="E4149" t="n">
        <v>2572</v>
      </c>
    </row>
    <row r="4150">
      <c r="A4150" t="inlineStr">
        <is>
          <t>27BBBBB04150Z5</t>
        </is>
      </c>
      <c r="B4150" t="inlineStr">
        <is>
          <t>May-2020</t>
        </is>
      </c>
      <c r="C4150" s="2" t="n">
        <v>44420</v>
      </c>
      <c r="D4150" t="inlineStr">
        <is>
          <t>NON-NIL</t>
        </is>
      </c>
      <c r="E4150" t="n">
        <v>107</v>
      </c>
    </row>
    <row r="4151">
      <c r="A4151" t="inlineStr">
        <is>
          <t>27BBBBB04151Z5</t>
        </is>
      </c>
      <c r="B4151" t="inlineStr">
        <is>
          <t>Jul-2018</t>
        </is>
      </c>
      <c r="C4151" s="2" t="n">
        <v>43653</v>
      </c>
      <c r="D4151" t="inlineStr">
        <is>
          <t>NIL</t>
        </is>
      </c>
      <c r="E4151" t="n">
        <v>1254</v>
      </c>
    </row>
    <row r="4152">
      <c r="A4152" t="inlineStr">
        <is>
          <t>27BBBBB04152Z5</t>
        </is>
      </c>
      <c r="B4152" t="inlineStr">
        <is>
          <t>May-2020</t>
        </is>
      </c>
      <c r="C4152" s="2" t="n">
        <v>44267</v>
      </c>
      <c r="D4152" t="inlineStr">
        <is>
          <t>NIL</t>
        </is>
      </c>
      <c r="E4152" t="n">
        <v>2540</v>
      </c>
    </row>
    <row r="4153">
      <c r="A4153" t="inlineStr">
        <is>
          <t>27BBBBB04153Z5</t>
        </is>
      </c>
      <c r="B4153" t="inlineStr">
        <is>
          <t>Aug-2018</t>
        </is>
      </c>
      <c r="C4153" s="2" t="n">
        <v>43758</v>
      </c>
      <c r="D4153" t="inlineStr">
        <is>
          <t>NON-NIL</t>
        </is>
      </c>
      <c r="E4153" t="n">
        <v>808</v>
      </c>
    </row>
    <row r="4154">
      <c r="A4154" t="inlineStr">
        <is>
          <t>27BBBBB04154Z5</t>
        </is>
      </c>
      <c r="B4154" t="inlineStr">
        <is>
          <t>Apr-2018</t>
        </is>
      </c>
      <c r="C4154" s="2" t="n">
        <v>44152</v>
      </c>
      <c r="D4154" t="inlineStr">
        <is>
          <t>NIL</t>
        </is>
      </c>
      <c r="E4154" t="n">
        <v>1700</v>
      </c>
    </row>
    <row r="4155">
      <c r="A4155" t="inlineStr">
        <is>
          <t>27BBBBB04155Z5</t>
        </is>
      </c>
      <c r="B4155" t="inlineStr">
        <is>
          <t>Jul-2018</t>
        </is>
      </c>
      <c r="C4155" s="2" t="n">
        <v>43027</v>
      </c>
      <c r="D4155" t="inlineStr">
        <is>
          <t>NON-NIL</t>
        </is>
      </c>
      <c r="E4155" t="n">
        <v>1323</v>
      </c>
    </row>
    <row r="4156">
      <c r="A4156" t="inlineStr">
        <is>
          <t>27BBBBB04156Z5</t>
        </is>
      </c>
      <c r="B4156" t="inlineStr">
        <is>
          <t>Oct-2018</t>
        </is>
      </c>
      <c r="C4156" s="2" t="n">
        <v>43837</v>
      </c>
      <c r="D4156" t="inlineStr">
        <is>
          <t>NIL</t>
        </is>
      </c>
      <c r="E4156" t="n">
        <v>2955</v>
      </c>
    </row>
    <row r="4157">
      <c r="A4157" t="inlineStr">
        <is>
          <t>27BBBBB04157Z5</t>
        </is>
      </c>
      <c r="B4157" t="inlineStr">
        <is>
          <t>Mar-2020</t>
        </is>
      </c>
      <c r="C4157" s="2" t="n">
        <v>43912</v>
      </c>
      <c r="D4157" t="inlineStr">
        <is>
          <t>NON-NIL</t>
        </is>
      </c>
      <c r="E4157" t="n">
        <v>1469</v>
      </c>
    </row>
    <row r="4158">
      <c r="A4158" t="inlineStr">
        <is>
          <t>27BBBBB04158Z5</t>
        </is>
      </c>
      <c r="B4158" t="inlineStr">
        <is>
          <t>May-2018</t>
        </is>
      </c>
      <c r="C4158" s="2" t="n">
        <v>44222</v>
      </c>
      <c r="D4158" t="inlineStr">
        <is>
          <t>NON-NIL</t>
        </is>
      </c>
      <c r="E4158" t="n">
        <v>786</v>
      </c>
    </row>
    <row r="4159">
      <c r="A4159" t="inlineStr">
        <is>
          <t>27BBBBB04159Z5</t>
        </is>
      </c>
      <c r="B4159" t="inlineStr">
        <is>
          <t>Aug-2018</t>
        </is>
      </c>
      <c r="C4159" s="2" t="n">
        <v>43298</v>
      </c>
      <c r="D4159" t="inlineStr">
        <is>
          <t>NIL</t>
        </is>
      </c>
      <c r="E4159" t="n">
        <v>790</v>
      </c>
    </row>
    <row r="4160">
      <c r="A4160" t="inlineStr">
        <is>
          <t>27BBBBB04160Z5</t>
        </is>
      </c>
      <c r="B4160" t="inlineStr">
        <is>
          <t>Sep-2017</t>
        </is>
      </c>
      <c r="C4160" s="2" t="n">
        <v>44146</v>
      </c>
      <c r="D4160" t="inlineStr">
        <is>
          <t>NIL</t>
        </is>
      </c>
      <c r="E4160" t="n">
        <v>302</v>
      </c>
    </row>
    <row r="4161">
      <c r="A4161" t="inlineStr">
        <is>
          <t>27BBBBB04161Z5</t>
        </is>
      </c>
      <c r="B4161" t="inlineStr">
        <is>
          <t>Jul-2020</t>
        </is>
      </c>
      <c r="C4161" s="2" t="n">
        <v>44149</v>
      </c>
      <c r="D4161" t="inlineStr">
        <is>
          <t>NIL</t>
        </is>
      </c>
      <c r="E4161" t="n">
        <v>2942</v>
      </c>
    </row>
    <row r="4162">
      <c r="A4162" t="inlineStr">
        <is>
          <t>27BBBBB04162Z5</t>
        </is>
      </c>
      <c r="B4162" t="inlineStr">
        <is>
          <t>Aug-2017</t>
        </is>
      </c>
      <c r="C4162" s="2" t="n">
        <v>44054</v>
      </c>
      <c r="D4162" t="inlineStr">
        <is>
          <t>NIL</t>
        </is>
      </c>
      <c r="E4162" t="n">
        <v>481</v>
      </c>
    </row>
    <row r="4163">
      <c r="A4163" t="inlineStr">
        <is>
          <t>27BBBBB04163Z5</t>
        </is>
      </c>
      <c r="B4163" t="inlineStr">
        <is>
          <t>Jun-2020</t>
        </is>
      </c>
      <c r="C4163" s="2" t="n">
        <v>43914</v>
      </c>
      <c r="D4163" t="inlineStr">
        <is>
          <t>NIL</t>
        </is>
      </c>
      <c r="E4163" t="n">
        <v>2222</v>
      </c>
    </row>
    <row r="4164">
      <c r="A4164" t="inlineStr">
        <is>
          <t>27BBBBB04164Z5</t>
        </is>
      </c>
      <c r="B4164" t="inlineStr">
        <is>
          <t>Oct-2018</t>
        </is>
      </c>
      <c r="C4164" s="2" t="n">
        <v>43882</v>
      </c>
      <c r="D4164" t="inlineStr">
        <is>
          <t>NIL</t>
        </is>
      </c>
      <c r="E4164" t="n">
        <v>2976</v>
      </c>
    </row>
    <row r="4165">
      <c r="A4165" t="inlineStr">
        <is>
          <t>27BBBBB04165Z5</t>
        </is>
      </c>
      <c r="B4165" t="inlineStr">
        <is>
          <t>Dec-2018</t>
        </is>
      </c>
      <c r="C4165" s="2" t="n">
        <v>42970</v>
      </c>
      <c r="D4165" t="inlineStr">
        <is>
          <t>NIL</t>
        </is>
      </c>
      <c r="E4165" t="n">
        <v>1827</v>
      </c>
    </row>
    <row r="4166">
      <c r="A4166" t="inlineStr">
        <is>
          <t>27BBBBB04166Z5</t>
        </is>
      </c>
      <c r="B4166" t="inlineStr">
        <is>
          <t>Jan-2021</t>
        </is>
      </c>
      <c r="C4166" s="2" t="n">
        <v>45511</v>
      </c>
      <c r="D4166" t="inlineStr">
        <is>
          <t>NIL</t>
        </is>
      </c>
      <c r="E4166" t="n">
        <v>2340</v>
      </c>
    </row>
    <row r="4167">
      <c r="A4167" t="inlineStr">
        <is>
          <t>27BBBBB04167Z5</t>
        </is>
      </c>
      <c r="B4167" t="inlineStr">
        <is>
          <t>Jul-2020</t>
        </is>
      </c>
      <c r="C4167" s="2" t="n">
        <v>44656</v>
      </c>
      <c r="D4167" t="inlineStr">
        <is>
          <t>NON-NIL</t>
        </is>
      </c>
      <c r="E4167" t="n">
        <v>44</v>
      </c>
    </row>
    <row r="4168">
      <c r="A4168" t="inlineStr">
        <is>
          <t>27BBBBB04168Z5</t>
        </is>
      </c>
      <c r="B4168" t="inlineStr">
        <is>
          <t>Jul-2020</t>
        </is>
      </c>
      <c r="C4168" s="2" t="n">
        <v>44683</v>
      </c>
      <c r="D4168" t="inlineStr">
        <is>
          <t>NON-NIL</t>
        </is>
      </c>
      <c r="E4168" t="n">
        <v>1760</v>
      </c>
    </row>
    <row r="4169">
      <c r="A4169" t="inlineStr">
        <is>
          <t>27BBBBB04169Z5</t>
        </is>
      </c>
      <c r="B4169" t="inlineStr">
        <is>
          <t>Nov-2018</t>
        </is>
      </c>
      <c r="C4169" s="2" t="n">
        <v>44270</v>
      </c>
      <c r="D4169" t="inlineStr">
        <is>
          <t>NON-NIL</t>
        </is>
      </c>
      <c r="E4169" t="n">
        <v>818</v>
      </c>
    </row>
    <row r="4170">
      <c r="A4170" t="inlineStr">
        <is>
          <t>27BBBBB04170Z5</t>
        </is>
      </c>
      <c r="B4170" t="inlineStr">
        <is>
          <t>Mar-2023</t>
        </is>
      </c>
      <c r="C4170" s="2" t="n">
        <v>44269</v>
      </c>
      <c r="D4170" t="inlineStr">
        <is>
          <t>NIL</t>
        </is>
      </c>
      <c r="E4170" t="n">
        <v>1775</v>
      </c>
    </row>
    <row r="4171">
      <c r="A4171" t="inlineStr">
        <is>
          <t>27BBBBB04171Z5</t>
        </is>
      </c>
      <c r="B4171" t="inlineStr">
        <is>
          <t>May-2018</t>
        </is>
      </c>
      <c r="C4171" s="2" t="n">
        <v>42983</v>
      </c>
      <c r="D4171" t="inlineStr">
        <is>
          <t>NIL</t>
        </is>
      </c>
      <c r="E4171" t="n">
        <v>922</v>
      </c>
    </row>
    <row r="4172">
      <c r="A4172" t="inlineStr">
        <is>
          <t>27BBBBB04172Z5</t>
        </is>
      </c>
      <c r="B4172" t="inlineStr">
        <is>
          <t>Dec-2018</t>
        </is>
      </c>
      <c r="C4172" s="2" t="n">
        <v>43052</v>
      </c>
      <c r="D4172" t="inlineStr">
        <is>
          <t>NIL</t>
        </is>
      </c>
      <c r="E4172" t="n">
        <v>2008</v>
      </c>
    </row>
    <row r="4173">
      <c r="A4173" t="inlineStr">
        <is>
          <t>27BBBBB04173Z5</t>
        </is>
      </c>
      <c r="B4173" t="inlineStr">
        <is>
          <t>Nov-2017</t>
        </is>
      </c>
      <c r="C4173" s="2" t="n">
        <v>44531</v>
      </c>
      <c r="D4173" t="inlineStr">
        <is>
          <t>NON-NIL</t>
        </is>
      </c>
      <c r="E4173" t="n">
        <v>2483</v>
      </c>
    </row>
    <row r="4174">
      <c r="A4174" t="inlineStr">
        <is>
          <t>27BBBBB04174Z5</t>
        </is>
      </c>
      <c r="B4174" t="inlineStr">
        <is>
          <t>Jan-2021</t>
        </is>
      </c>
      <c r="C4174" s="2" t="n">
        <v>43648</v>
      </c>
      <c r="D4174" t="inlineStr">
        <is>
          <t>NIL</t>
        </is>
      </c>
      <c r="E4174" t="n">
        <v>1103</v>
      </c>
    </row>
    <row r="4175">
      <c r="A4175" t="inlineStr">
        <is>
          <t>27BBBBB04175Z5</t>
        </is>
      </c>
      <c r="B4175" t="inlineStr">
        <is>
          <t>Aug-2017</t>
        </is>
      </c>
      <c r="C4175" s="2" t="n">
        <v>43654</v>
      </c>
      <c r="D4175" t="inlineStr">
        <is>
          <t>NON-NIL</t>
        </is>
      </c>
      <c r="E4175" t="n">
        <v>816</v>
      </c>
    </row>
    <row r="4176">
      <c r="A4176" t="inlineStr">
        <is>
          <t>27BBBBB04176Z5</t>
        </is>
      </c>
      <c r="B4176" t="inlineStr">
        <is>
          <t>Apr-2020</t>
        </is>
      </c>
      <c r="C4176" s="2" t="n">
        <v>44302</v>
      </c>
      <c r="D4176" t="inlineStr">
        <is>
          <t>NON-NIL</t>
        </is>
      </c>
      <c r="E4176" t="n">
        <v>1542</v>
      </c>
    </row>
    <row r="4177">
      <c r="A4177" t="inlineStr">
        <is>
          <t>27BBBBB04177Z5</t>
        </is>
      </c>
      <c r="B4177" t="inlineStr">
        <is>
          <t>Apr-2020</t>
        </is>
      </c>
      <c r="C4177" s="2" t="n">
        <v>44889</v>
      </c>
      <c r="D4177" t="inlineStr">
        <is>
          <t>NON-NIL</t>
        </is>
      </c>
      <c r="E4177" t="n">
        <v>1959</v>
      </c>
    </row>
    <row r="4178">
      <c r="A4178" t="inlineStr">
        <is>
          <t>27BBBBB04178Z5</t>
        </is>
      </c>
      <c r="B4178" t="inlineStr">
        <is>
          <t>Jun-2020</t>
        </is>
      </c>
      <c r="C4178" s="2" t="n">
        <v>44333</v>
      </c>
      <c r="D4178" t="inlineStr">
        <is>
          <t>NON-NIL</t>
        </is>
      </c>
      <c r="E4178" t="n">
        <v>1016</v>
      </c>
    </row>
    <row r="4179">
      <c r="A4179" t="inlineStr">
        <is>
          <t>27BBBBB04179Z5</t>
        </is>
      </c>
      <c r="B4179" t="inlineStr">
        <is>
          <t>Mar-2020</t>
        </is>
      </c>
      <c r="C4179" s="2" t="n">
        <v>44479</v>
      </c>
      <c r="D4179" t="inlineStr">
        <is>
          <t>NIL</t>
        </is>
      </c>
      <c r="E4179" t="n">
        <v>1995</v>
      </c>
    </row>
    <row r="4180">
      <c r="A4180" t="inlineStr">
        <is>
          <t>27BBBBB04180Z5</t>
        </is>
      </c>
      <c r="B4180" t="inlineStr">
        <is>
          <t>Dec-2017</t>
        </is>
      </c>
      <c r="C4180" s="2" t="n">
        <v>43669</v>
      </c>
      <c r="D4180" t="inlineStr">
        <is>
          <t>NIL</t>
        </is>
      </c>
      <c r="E4180" t="n">
        <v>370</v>
      </c>
    </row>
    <row r="4181">
      <c r="A4181" t="inlineStr">
        <is>
          <t>27BBBBB04181Z5</t>
        </is>
      </c>
      <c r="B4181" t="inlineStr">
        <is>
          <t>Mar-2023</t>
        </is>
      </c>
      <c r="C4181" s="2" t="n">
        <v>44843</v>
      </c>
      <c r="D4181" t="inlineStr">
        <is>
          <t>NIL</t>
        </is>
      </c>
      <c r="E4181" t="n">
        <v>2728</v>
      </c>
    </row>
    <row r="4182">
      <c r="A4182" t="inlineStr">
        <is>
          <t>27BBBBB04182Z5</t>
        </is>
      </c>
      <c r="B4182" t="inlineStr">
        <is>
          <t>Jun-2018</t>
        </is>
      </c>
      <c r="C4182" s="2" t="n">
        <v>43984</v>
      </c>
      <c r="D4182" t="inlineStr">
        <is>
          <t>NON-NIL</t>
        </is>
      </c>
      <c r="E4182" t="n">
        <v>2339</v>
      </c>
    </row>
    <row r="4183">
      <c r="A4183" t="inlineStr">
        <is>
          <t>27BBBBB04183Z5</t>
        </is>
      </c>
      <c r="B4183" t="inlineStr">
        <is>
          <t>Aug-2018</t>
        </is>
      </c>
      <c r="C4183" s="2" t="n">
        <v>43229</v>
      </c>
      <c r="D4183" t="inlineStr">
        <is>
          <t>NIL</t>
        </is>
      </c>
      <c r="E4183" t="n">
        <v>144</v>
      </c>
    </row>
    <row r="4184">
      <c r="A4184" t="inlineStr">
        <is>
          <t>27BBBBB04184Z5</t>
        </is>
      </c>
      <c r="B4184" t="inlineStr">
        <is>
          <t>Jan-2018</t>
        </is>
      </c>
      <c r="C4184" s="2" t="n">
        <v>43290</v>
      </c>
      <c r="D4184" t="inlineStr">
        <is>
          <t>NIL</t>
        </is>
      </c>
      <c r="E4184" t="n">
        <v>144</v>
      </c>
    </row>
    <row r="4185">
      <c r="A4185" t="inlineStr">
        <is>
          <t>27BBBBB04185Z5</t>
        </is>
      </c>
      <c r="B4185" t="inlineStr">
        <is>
          <t>Dec-2017</t>
        </is>
      </c>
      <c r="C4185" s="2" t="n">
        <v>42939</v>
      </c>
      <c r="D4185" t="inlineStr">
        <is>
          <t>NIL</t>
        </is>
      </c>
      <c r="E4185" t="n">
        <v>2951</v>
      </c>
    </row>
    <row r="4186">
      <c r="A4186" t="inlineStr">
        <is>
          <t>27BBBBB04186Z5</t>
        </is>
      </c>
      <c r="B4186" t="inlineStr">
        <is>
          <t>Apr-2020</t>
        </is>
      </c>
      <c r="C4186" s="2" t="n">
        <v>44108</v>
      </c>
      <c r="D4186" t="inlineStr">
        <is>
          <t>NON-NIL</t>
        </is>
      </c>
      <c r="E4186" t="n">
        <v>2688</v>
      </c>
    </row>
    <row r="4187">
      <c r="A4187" t="inlineStr">
        <is>
          <t>27BBBBB04187Z5</t>
        </is>
      </c>
      <c r="B4187" t="inlineStr">
        <is>
          <t>Dec-2018</t>
        </is>
      </c>
      <c r="C4187" s="2" t="n">
        <v>43733</v>
      </c>
      <c r="D4187" t="inlineStr">
        <is>
          <t>NIL</t>
        </is>
      </c>
      <c r="E4187" t="n">
        <v>452</v>
      </c>
    </row>
    <row r="4188">
      <c r="A4188" t="inlineStr">
        <is>
          <t>27BBBBB04188Z5</t>
        </is>
      </c>
      <c r="B4188" t="inlineStr">
        <is>
          <t>Oct-2018</t>
        </is>
      </c>
      <c r="C4188" s="2" t="n">
        <v>43386</v>
      </c>
      <c r="D4188" t="inlineStr">
        <is>
          <t>NON-NIL</t>
        </is>
      </c>
      <c r="E4188" t="n">
        <v>1324</v>
      </c>
    </row>
    <row r="4189">
      <c r="A4189" t="inlineStr">
        <is>
          <t>27BBBBB04189Z5</t>
        </is>
      </c>
      <c r="B4189" t="inlineStr">
        <is>
          <t>Jul-2020</t>
        </is>
      </c>
      <c r="C4189" s="2" t="n">
        <v>44576</v>
      </c>
      <c r="D4189" t="inlineStr">
        <is>
          <t>NON-NIL</t>
        </is>
      </c>
      <c r="E4189" t="n">
        <v>1449</v>
      </c>
    </row>
    <row r="4190">
      <c r="A4190" t="inlineStr">
        <is>
          <t>27BBBBB04190Z5</t>
        </is>
      </c>
      <c r="B4190" t="inlineStr">
        <is>
          <t>Aug-2017</t>
        </is>
      </c>
      <c r="C4190" s="2" t="n">
        <v>43624</v>
      </c>
      <c r="D4190" t="inlineStr">
        <is>
          <t>NIL</t>
        </is>
      </c>
      <c r="E4190" t="n">
        <v>2563</v>
      </c>
    </row>
    <row r="4191">
      <c r="A4191" t="inlineStr">
        <is>
          <t>27BBBBB04191Z5</t>
        </is>
      </c>
      <c r="B4191" t="inlineStr">
        <is>
          <t>Dec-2018</t>
        </is>
      </c>
      <c r="C4191" s="2" t="n">
        <v>43105</v>
      </c>
      <c r="D4191" t="inlineStr">
        <is>
          <t>NON-NIL</t>
        </is>
      </c>
      <c r="E4191" t="n">
        <v>2770</v>
      </c>
    </row>
    <row r="4192">
      <c r="A4192" t="inlineStr">
        <is>
          <t>27BBBBB04192Z5</t>
        </is>
      </c>
      <c r="B4192" t="inlineStr">
        <is>
          <t>Jul-2018</t>
        </is>
      </c>
      <c r="C4192" s="2" t="n">
        <v>43104</v>
      </c>
      <c r="D4192" t="inlineStr">
        <is>
          <t>NON-NIL</t>
        </is>
      </c>
      <c r="E4192" t="n">
        <v>652</v>
      </c>
    </row>
    <row r="4193">
      <c r="A4193" t="inlineStr">
        <is>
          <t>27BBBBB04193Z5</t>
        </is>
      </c>
      <c r="B4193" t="inlineStr">
        <is>
          <t>Jul-2018</t>
        </is>
      </c>
      <c r="C4193" s="2" t="n">
        <v>44537</v>
      </c>
      <c r="D4193" t="inlineStr">
        <is>
          <t>NON-NIL</t>
        </is>
      </c>
      <c r="E4193" t="n">
        <v>567</v>
      </c>
    </row>
    <row r="4194">
      <c r="A4194" t="inlineStr">
        <is>
          <t>27BBBBB04194Z5</t>
        </is>
      </c>
      <c r="B4194" t="inlineStr">
        <is>
          <t>Apr-2018</t>
        </is>
      </c>
      <c r="C4194" s="2" t="n">
        <v>43543</v>
      </c>
      <c r="D4194" t="inlineStr">
        <is>
          <t>NIL</t>
        </is>
      </c>
      <c r="E4194" t="n">
        <v>1687</v>
      </c>
    </row>
    <row r="4195">
      <c r="A4195" t="inlineStr">
        <is>
          <t>27BBBBB04195Z5</t>
        </is>
      </c>
      <c r="B4195" t="inlineStr">
        <is>
          <t>Oct-2018</t>
        </is>
      </c>
      <c r="C4195" s="2" t="n">
        <v>43894</v>
      </c>
      <c r="D4195" t="inlineStr">
        <is>
          <t>NIL</t>
        </is>
      </c>
      <c r="E4195" t="n">
        <v>1053</v>
      </c>
    </row>
    <row r="4196">
      <c r="A4196" t="inlineStr">
        <is>
          <t>27BBBBB04196Z5</t>
        </is>
      </c>
      <c r="B4196" t="inlineStr">
        <is>
          <t>May-2020</t>
        </is>
      </c>
      <c r="C4196" s="2" t="n">
        <v>44014</v>
      </c>
      <c r="D4196" t="inlineStr">
        <is>
          <t>NIL</t>
        </is>
      </c>
      <c r="E4196" t="n">
        <v>65</v>
      </c>
    </row>
    <row r="4197">
      <c r="A4197" t="inlineStr">
        <is>
          <t>27BBBBB04197Z5</t>
        </is>
      </c>
      <c r="B4197" t="inlineStr">
        <is>
          <t>Nov-2018</t>
        </is>
      </c>
      <c r="C4197" s="2" t="n">
        <v>42999</v>
      </c>
      <c r="D4197" t="inlineStr">
        <is>
          <t>NIL</t>
        </is>
      </c>
      <c r="E4197" t="n">
        <v>2587</v>
      </c>
    </row>
    <row r="4198">
      <c r="A4198" t="inlineStr">
        <is>
          <t>27BBBBB04198Z5</t>
        </is>
      </c>
      <c r="B4198" t="inlineStr">
        <is>
          <t>Dec-2017</t>
        </is>
      </c>
      <c r="C4198" s="2" t="n">
        <v>44236</v>
      </c>
      <c r="D4198" t="inlineStr">
        <is>
          <t>NON-NIL</t>
        </is>
      </c>
      <c r="E4198" t="n">
        <v>1128</v>
      </c>
    </row>
    <row r="4199">
      <c r="A4199" t="inlineStr">
        <is>
          <t>27BBBBB04199Z5</t>
        </is>
      </c>
      <c r="B4199" t="inlineStr">
        <is>
          <t>Apr-2020</t>
        </is>
      </c>
      <c r="C4199" s="2" t="n">
        <v>44042</v>
      </c>
      <c r="D4199" t="inlineStr">
        <is>
          <t>NIL</t>
        </is>
      </c>
      <c r="E4199" t="n">
        <v>1317</v>
      </c>
    </row>
    <row r="4200">
      <c r="A4200" t="inlineStr">
        <is>
          <t>27BBBBB04200Z5</t>
        </is>
      </c>
      <c r="B4200" t="inlineStr">
        <is>
          <t>Jun-2020</t>
        </is>
      </c>
      <c r="C4200" s="2" t="n">
        <v>44807</v>
      </c>
      <c r="D4200" t="inlineStr">
        <is>
          <t>NON-NIL</t>
        </is>
      </c>
      <c r="E4200" t="n">
        <v>2154</v>
      </c>
    </row>
    <row r="4201">
      <c r="A4201" t="inlineStr">
        <is>
          <t>27BBBBB04201Z5</t>
        </is>
      </c>
      <c r="B4201" t="inlineStr">
        <is>
          <t>Mar-2020</t>
        </is>
      </c>
      <c r="C4201" s="2" t="n">
        <v>44566</v>
      </c>
      <c r="D4201" t="inlineStr">
        <is>
          <t>NON-NIL</t>
        </is>
      </c>
      <c r="E4201" t="n">
        <v>1089</v>
      </c>
    </row>
    <row r="4202">
      <c r="A4202" t="inlineStr">
        <is>
          <t>27BBBBB04202Z5</t>
        </is>
      </c>
      <c r="B4202" t="inlineStr">
        <is>
          <t>Nov-2017</t>
        </is>
      </c>
      <c r="C4202" s="2" t="n">
        <v>43678</v>
      </c>
      <c r="D4202" t="inlineStr">
        <is>
          <t>NIL</t>
        </is>
      </c>
      <c r="E4202" t="n">
        <v>2013</v>
      </c>
    </row>
    <row r="4203">
      <c r="A4203" t="inlineStr">
        <is>
          <t>27BBBBB04203Z5</t>
        </is>
      </c>
      <c r="B4203" t="inlineStr">
        <is>
          <t>May-2018</t>
        </is>
      </c>
      <c r="C4203" s="2" t="n">
        <v>44441</v>
      </c>
      <c r="D4203" t="inlineStr">
        <is>
          <t>NIL</t>
        </is>
      </c>
      <c r="E4203" t="n">
        <v>369</v>
      </c>
    </row>
    <row r="4204">
      <c r="A4204" t="inlineStr">
        <is>
          <t>27BBBBB04204Z5</t>
        </is>
      </c>
      <c r="B4204" t="inlineStr">
        <is>
          <t>Sep-2018</t>
        </is>
      </c>
      <c r="C4204" s="2" t="n">
        <v>43917</v>
      </c>
      <c r="D4204" t="inlineStr">
        <is>
          <t>NIL</t>
        </is>
      </c>
      <c r="E4204" t="n">
        <v>27</v>
      </c>
    </row>
    <row r="4205">
      <c r="A4205" t="inlineStr">
        <is>
          <t>27BBBBB04205Z5</t>
        </is>
      </c>
      <c r="B4205" t="inlineStr">
        <is>
          <t>Jun-2018</t>
        </is>
      </c>
      <c r="C4205" s="2" t="n">
        <v>44506</v>
      </c>
      <c r="D4205" t="inlineStr">
        <is>
          <t>NIL</t>
        </is>
      </c>
      <c r="E4205" t="n">
        <v>1809</v>
      </c>
    </row>
    <row r="4206">
      <c r="A4206" t="inlineStr">
        <is>
          <t>27BBBBB04206Z5</t>
        </is>
      </c>
      <c r="B4206" t="inlineStr">
        <is>
          <t>Dec-2017</t>
        </is>
      </c>
      <c r="C4206" s="2" t="n">
        <v>43650</v>
      </c>
      <c r="D4206" t="inlineStr">
        <is>
          <t>NON-NIL</t>
        </is>
      </c>
      <c r="E4206" t="n">
        <v>1409</v>
      </c>
    </row>
    <row r="4207">
      <c r="A4207" t="inlineStr">
        <is>
          <t>27BBBBB04207Z5</t>
        </is>
      </c>
      <c r="B4207" t="inlineStr">
        <is>
          <t>Jul-2018</t>
        </is>
      </c>
      <c r="C4207" s="2" t="n">
        <v>43375</v>
      </c>
      <c r="D4207" t="inlineStr">
        <is>
          <t>NIL</t>
        </is>
      </c>
      <c r="E4207" t="n">
        <v>2034</v>
      </c>
    </row>
    <row r="4208">
      <c r="A4208" t="inlineStr">
        <is>
          <t>27BBBBB04208Z5</t>
        </is>
      </c>
      <c r="B4208" t="inlineStr">
        <is>
          <t>Jan-2018</t>
        </is>
      </c>
      <c r="C4208" s="2" t="n">
        <v>43444</v>
      </c>
      <c r="D4208" t="inlineStr">
        <is>
          <t>NIL</t>
        </is>
      </c>
      <c r="E4208" t="n">
        <v>1259</v>
      </c>
    </row>
    <row r="4209">
      <c r="A4209" t="inlineStr">
        <is>
          <t>27BBBBB04209Z5</t>
        </is>
      </c>
      <c r="B4209" t="inlineStr">
        <is>
          <t>Dec-2018</t>
        </is>
      </c>
      <c r="C4209" s="2" t="n">
        <v>44050</v>
      </c>
      <c r="D4209" t="inlineStr">
        <is>
          <t>NIL</t>
        </is>
      </c>
      <c r="E4209" t="n">
        <v>2529</v>
      </c>
    </row>
    <row r="4210">
      <c r="A4210" t="inlineStr">
        <is>
          <t>27BBBBB04210Z5</t>
        </is>
      </c>
      <c r="B4210" t="inlineStr">
        <is>
          <t>Aug-2017</t>
        </is>
      </c>
      <c r="C4210" s="2" t="n">
        <v>42968</v>
      </c>
      <c r="D4210" t="inlineStr">
        <is>
          <t>NIL</t>
        </is>
      </c>
      <c r="E4210" t="n">
        <v>100</v>
      </c>
    </row>
    <row r="4211">
      <c r="A4211" t="inlineStr">
        <is>
          <t>27BBBBB04211Z5</t>
        </is>
      </c>
      <c r="B4211" t="inlineStr">
        <is>
          <t>Dec-2017</t>
        </is>
      </c>
      <c r="C4211" s="2" t="n">
        <v>43430</v>
      </c>
      <c r="D4211" t="inlineStr">
        <is>
          <t>NIL</t>
        </is>
      </c>
      <c r="E4211" t="n">
        <v>90</v>
      </c>
    </row>
    <row r="4212">
      <c r="A4212" t="inlineStr">
        <is>
          <t>27BBBBB04212Z5</t>
        </is>
      </c>
      <c r="B4212" t="inlineStr">
        <is>
          <t>Dec-2022</t>
        </is>
      </c>
      <c r="C4212" s="2" t="n">
        <v>43761</v>
      </c>
      <c r="D4212" t="inlineStr">
        <is>
          <t>NIL</t>
        </is>
      </c>
      <c r="E4212" t="n">
        <v>1840</v>
      </c>
    </row>
    <row r="4213">
      <c r="A4213" t="inlineStr">
        <is>
          <t>27BBBBB04213Z5</t>
        </is>
      </c>
      <c r="B4213" t="inlineStr">
        <is>
          <t>Sep-2018</t>
        </is>
      </c>
      <c r="C4213" s="2" t="n">
        <v>43686</v>
      </c>
      <c r="D4213" t="inlineStr">
        <is>
          <t>NIL</t>
        </is>
      </c>
      <c r="E4213" t="n">
        <v>1593</v>
      </c>
    </row>
    <row r="4214">
      <c r="A4214" t="inlineStr">
        <is>
          <t>27BBBBB04214Z5</t>
        </is>
      </c>
      <c r="B4214" t="inlineStr">
        <is>
          <t>Jul-2018</t>
        </is>
      </c>
      <c r="C4214" s="2" t="n">
        <v>43189</v>
      </c>
      <c r="D4214" t="inlineStr">
        <is>
          <t>NON-NIL</t>
        </is>
      </c>
      <c r="E4214" t="n">
        <v>2743</v>
      </c>
    </row>
    <row r="4215">
      <c r="A4215" t="inlineStr">
        <is>
          <t>27BBBBB04215Z5</t>
        </is>
      </c>
      <c r="B4215" t="inlineStr">
        <is>
          <t>Mar-2020</t>
        </is>
      </c>
      <c r="C4215" s="2" t="n">
        <v>44589</v>
      </c>
      <c r="D4215" t="inlineStr">
        <is>
          <t>NON-NIL</t>
        </is>
      </c>
      <c r="E4215" t="n">
        <v>2228</v>
      </c>
    </row>
    <row r="4216">
      <c r="A4216" t="inlineStr">
        <is>
          <t>27BBBBB04216Z5</t>
        </is>
      </c>
      <c r="B4216" t="inlineStr">
        <is>
          <t>Oct-2018</t>
        </is>
      </c>
      <c r="C4216" s="2" t="n">
        <v>43522</v>
      </c>
      <c r="D4216" t="inlineStr">
        <is>
          <t>NON-NIL</t>
        </is>
      </c>
      <c r="E4216" t="n">
        <v>455</v>
      </c>
    </row>
    <row r="4217">
      <c r="A4217" t="inlineStr">
        <is>
          <t>27BBBBB04217Z5</t>
        </is>
      </c>
      <c r="B4217" t="inlineStr">
        <is>
          <t>Oct-2017</t>
        </is>
      </c>
      <c r="C4217" s="2" t="n">
        <v>43181</v>
      </c>
      <c r="D4217" t="inlineStr">
        <is>
          <t>NON-NIL</t>
        </is>
      </c>
      <c r="E4217" t="n">
        <v>2053</v>
      </c>
    </row>
    <row r="4218">
      <c r="A4218" t="inlineStr">
        <is>
          <t>27BBBBB04218Z5</t>
        </is>
      </c>
      <c r="B4218" t="inlineStr">
        <is>
          <t>Apr-2018</t>
        </is>
      </c>
      <c r="C4218" s="2" t="n">
        <v>43274</v>
      </c>
      <c r="D4218" t="inlineStr">
        <is>
          <t>NIL</t>
        </is>
      </c>
      <c r="E4218" t="n">
        <v>1982</v>
      </c>
    </row>
    <row r="4219">
      <c r="A4219" t="inlineStr">
        <is>
          <t>27BBBBB04219Z5</t>
        </is>
      </c>
      <c r="B4219" t="inlineStr">
        <is>
          <t>Jan-2021</t>
        </is>
      </c>
      <c r="C4219" s="2" t="n">
        <v>44184</v>
      </c>
      <c r="D4219" t="inlineStr">
        <is>
          <t>NON-NIL</t>
        </is>
      </c>
      <c r="E4219" t="n">
        <v>1038</v>
      </c>
    </row>
    <row r="4220">
      <c r="A4220" t="inlineStr">
        <is>
          <t>27BBBBB04220Z5</t>
        </is>
      </c>
      <c r="B4220" t="inlineStr">
        <is>
          <t>Mar-2021</t>
        </is>
      </c>
      <c r="C4220" s="2" t="n">
        <v>44074</v>
      </c>
      <c r="D4220" t="inlineStr">
        <is>
          <t>NIL</t>
        </is>
      </c>
      <c r="E4220" t="n">
        <v>2907</v>
      </c>
    </row>
    <row r="4221">
      <c r="A4221" t="inlineStr">
        <is>
          <t>27BBBBB04221Z5</t>
        </is>
      </c>
      <c r="B4221" t="inlineStr">
        <is>
          <t>Apr-2020</t>
        </is>
      </c>
      <c r="C4221" s="2" t="n">
        <v>44355</v>
      </c>
      <c r="D4221" t="inlineStr">
        <is>
          <t>NIL</t>
        </is>
      </c>
      <c r="E4221" t="n">
        <v>2700</v>
      </c>
    </row>
    <row r="4222">
      <c r="A4222" t="inlineStr">
        <is>
          <t>27BBBBB04222Z5</t>
        </is>
      </c>
      <c r="B4222" t="inlineStr">
        <is>
          <t>Jan-2021</t>
        </is>
      </c>
      <c r="C4222" s="2" t="n">
        <v>44642</v>
      </c>
      <c r="D4222" t="inlineStr">
        <is>
          <t>NON-NIL</t>
        </is>
      </c>
      <c r="E4222" t="n">
        <v>2281</v>
      </c>
    </row>
    <row r="4223">
      <c r="A4223" t="inlineStr">
        <is>
          <t>27BBBBB04223Z5</t>
        </is>
      </c>
      <c r="B4223" t="inlineStr">
        <is>
          <t>Jan-2021</t>
        </is>
      </c>
      <c r="C4223" s="2" t="n">
        <v>45773</v>
      </c>
      <c r="D4223" t="inlineStr">
        <is>
          <t>NIL</t>
        </is>
      </c>
      <c r="E4223" t="n">
        <v>829</v>
      </c>
    </row>
    <row r="4224">
      <c r="A4224" t="inlineStr">
        <is>
          <t>27BBBBB04224Z5</t>
        </is>
      </c>
      <c r="B4224" t="inlineStr">
        <is>
          <t>Aug-2018</t>
        </is>
      </c>
      <c r="C4224" s="2" t="n">
        <v>43899</v>
      </c>
      <c r="D4224" t="inlineStr">
        <is>
          <t>NIL</t>
        </is>
      </c>
      <c r="E4224" t="n">
        <v>1788</v>
      </c>
    </row>
    <row r="4225">
      <c r="A4225" t="inlineStr">
        <is>
          <t>27BBBBB04225Z5</t>
        </is>
      </c>
      <c r="B4225" t="inlineStr">
        <is>
          <t>Sep-2017</t>
        </is>
      </c>
      <c r="C4225" s="2" t="n">
        <v>44208</v>
      </c>
      <c r="D4225" t="inlineStr">
        <is>
          <t>NON-NIL</t>
        </is>
      </c>
      <c r="E4225" t="n">
        <v>2150</v>
      </c>
    </row>
    <row r="4226">
      <c r="A4226" t="inlineStr">
        <is>
          <t>27BBBBB04226Z5</t>
        </is>
      </c>
      <c r="B4226" t="inlineStr">
        <is>
          <t>Apr-2018</t>
        </is>
      </c>
      <c r="C4226" s="2" t="n">
        <v>44472</v>
      </c>
      <c r="D4226" t="inlineStr">
        <is>
          <t>NIL</t>
        </is>
      </c>
      <c r="E4226" t="n">
        <v>2592</v>
      </c>
    </row>
    <row r="4227">
      <c r="A4227" t="inlineStr">
        <is>
          <t>27BBBBB04227Z5</t>
        </is>
      </c>
      <c r="B4227" t="inlineStr">
        <is>
          <t>Nov-2017</t>
        </is>
      </c>
      <c r="C4227" s="2" t="n">
        <v>43703</v>
      </c>
      <c r="D4227" t="inlineStr">
        <is>
          <t>NIL</t>
        </is>
      </c>
      <c r="E4227" t="n">
        <v>2826</v>
      </c>
    </row>
    <row r="4228">
      <c r="A4228" t="inlineStr">
        <is>
          <t>27BBBBB04228Z5</t>
        </is>
      </c>
      <c r="B4228" t="inlineStr">
        <is>
          <t>Nov-2018</t>
        </is>
      </c>
      <c r="C4228" s="2" t="n">
        <v>44325</v>
      </c>
      <c r="D4228" t="inlineStr">
        <is>
          <t>NIL</t>
        </is>
      </c>
      <c r="E4228" t="n">
        <v>1849</v>
      </c>
    </row>
    <row r="4229">
      <c r="A4229" t="inlineStr">
        <is>
          <t>27BBBBB04229Z5</t>
        </is>
      </c>
      <c r="B4229" t="inlineStr">
        <is>
          <t>Apr-2020</t>
        </is>
      </c>
      <c r="C4229" s="2" t="n">
        <v>44462</v>
      </c>
      <c r="D4229" t="inlineStr">
        <is>
          <t>NIL</t>
        </is>
      </c>
      <c r="E4229" t="n">
        <v>1255</v>
      </c>
    </row>
    <row r="4230">
      <c r="A4230" t="inlineStr">
        <is>
          <t>27BBBBB04230Z5</t>
        </is>
      </c>
      <c r="B4230" t="inlineStr">
        <is>
          <t>Jun-2018</t>
        </is>
      </c>
      <c r="C4230" s="2" t="n">
        <v>44238</v>
      </c>
      <c r="D4230" t="inlineStr">
        <is>
          <t>NON-NIL</t>
        </is>
      </c>
      <c r="E4230" t="n">
        <v>13</v>
      </c>
    </row>
    <row r="4231">
      <c r="A4231" t="inlineStr">
        <is>
          <t>27BBBBB04231Z5</t>
        </is>
      </c>
      <c r="B4231" t="inlineStr">
        <is>
          <t>Mar-2020</t>
        </is>
      </c>
      <c r="C4231" s="2" t="n">
        <v>44784</v>
      </c>
      <c r="D4231" t="inlineStr">
        <is>
          <t>NIL</t>
        </is>
      </c>
      <c r="E4231" t="n">
        <v>864</v>
      </c>
    </row>
    <row r="4232">
      <c r="A4232" t="inlineStr">
        <is>
          <t>27BBBBB04232Z5</t>
        </is>
      </c>
      <c r="B4232" t="inlineStr">
        <is>
          <t>Jan-2018</t>
        </is>
      </c>
      <c r="C4232" s="2" t="n">
        <v>43011</v>
      </c>
      <c r="D4232" t="inlineStr">
        <is>
          <t>NON-NIL</t>
        </is>
      </c>
      <c r="E4232" t="n">
        <v>190</v>
      </c>
    </row>
    <row r="4233">
      <c r="A4233" t="inlineStr">
        <is>
          <t>27BBBBB04233Z5</t>
        </is>
      </c>
      <c r="B4233" t="inlineStr">
        <is>
          <t>Feb-2018</t>
        </is>
      </c>
      <c r="C4233" s="2" t="n">
        <v>43969</v>
      </c>
      <c r="D4233" t="inlineStr">
        <is>
          <t>NIL</t>
        </is>
      </c>
      <c r="E4233" t="n">
        <v>2885</v>
      </c>
    </row>
    <row r="4234">
      <c r="A4234" t="inlineStr">
        <is>
          <t>27BBBBB04234Z5</t>
        </is>
      </c>
      <c r="B4234" t="inlineStr">
        <is>
          <t>Mar-2018</t>
        </is>
      </c>
      <c r="C4234" s="2" t="n">
        <v>43265</v>
      </c>
      <c r="D4234" t="inlineStr">
        <is>
          <t>NON-NIL</t>
        </is>
      </c>
      <c r="E4234" t="n">
        <v>638</v>
      </c>
    </row>
    <row r="4235">
      <c r="A4235" t="inlineStr">
        <is>
          <t>27BBBBB04235Z5</t>
        </is>
      </c>
      <c r="B4235" t="inlineStr">
        <is>
          <t>Oct-2018</t>
        </is>
      </c>
      <c r="C4235" s="2" t="n">
        <v>43038</v>
      </c>
      <c r="D4235" t="inlineStr">
        <is>
          <t>NON-NIL</t>
        </is>
      </c>
      <c r="E4235" t="n">
        <v>2519</v>
      </c>
    </row>
    <row r="4236">
      <c r="A4236" t="inlineStr">
        <is>
          <t>27BBBBB04236Z5</t>
        </is>
      </c>
      <c r="B4236" t="inlineStr">
        <is>
          <t>Sep-2018</t>
        </is>
      </c>
      <c r="C4236" s="2" t="n">
        <v>44201</v>
      </c>
      <c r="D4236" t="inlineStr">
        <is>
          <t>NIL</t>
        </is>
      </c>
      <c r="E4236" t="n">
        <v>1137</v>
      </c>
    </row>
    <row r="4237">
      <c r="A4237" t="inlineStr">
        <is>
          <t>27BBBBB04237Z5</t>
        </is>
      </c>
      <c r="B4237" t="inlineStr">
        <is>
          <t>Apr-2018</t>
        </is>
      </c>
      <c r="C4237" s="2" t="n">
        <v>43543</v>
      </c>
      <c r="D4237" t="inlineStr">
        <is>
          <t>NON-NIL</t>
        </is>
      </c>
      <c r="E4237" t="n">
        <v>858</v>
      </c>
    </row>
    <row r="4238">
      <c r="A4238" t="inlineStr">
        <is>
          <t>27BBBBB04238Z5</t>
        </is>
      </c>
      <c r="B4238" t="inlineStr">
        <is>
          <t>Dec-2022</t>
        </is>
      </c>
      <c r="C4238" s="2" t="n">
        <v>44672</v>
      </c>
      <c r="D4238" t="inlineStr">
        <is>
          <t>NON-NIL</t>
        </is>
      </c>
      <c r="E4238" t="n">
        <v>1068</v>
      </c>
    </row>
    <row r="4239">
      <c r="A4239" t="inlineStr">
        <is>
          <t>27BBBBB04239Z5</t>
        </is>
      </c>
      <c r="B4239" t="inlineStr">
        <is>
          <t>Oct-2018</t>
        </is>
      </c>
      <c r="C4239" s="2" t="n">
        <v>43444</v>
      </c>
      <c r="D4239" t="inlineStr">
        <is>
          <t>NON-NIL</t>
        </is>
      </c>
      <c r="E4239" t="n">
        <v>1385</v>
      </c>
    </row>
    <row r="4240">
      <c r="A4240" t="inlineStr">
        <is>
          <t>27BBBBB04240Z5</t>
        </is>
      </c>
      <c r="B4240" t="inlineStr">
        <is>
          <t>Mar-2020</t>
        </is>
      </c>
      <c r="C4240" s="2" t="n">
        <v>44079</v>
      </c>
      <c r="D4240" t="inlineStr">
        <is>
          <t>NIL</t>
        </is>
      </c>
      <c r="E4240" t="n">
        <v>403</v>
      </c>
    </row>
    <row r="4241">
      <c r="A4241" t="inlineStr">
        <is>
          <t>27BBBBB04241Z5</t>
        </is>
      </c>
      <c r="B4241" t="inlineStr">
        <is>
          <t>Sep-2017</t>
        </is>
      </c>
      <c r="C4241" s="2" t="n">
        <v>42946</v>
      </c>
      <c r="D4241" t="inlineStr">
        <is>
          <t>NIL</t>
        </is>
      </c>
      <c r="E4241" t="n">
        <v>1525</v>
      </c>
    </row>
    <row r="4242">
      <c r="A4242" t="inlineStr">
        <is>
          <t>27BBBBB04242Z5</t>
        </is>
      </c>
      <c r="B4242" t="inlineStr">
        <is>
          <t>Nov-2017</t>
        </is>
      </c>
      <c r="C4242" s="2" t="n">
        <v>43255</v>
      </c>
      <c r="D4242" t="inlineStr">
        <is>
          <t>NIL</t>
        </is>
      </c>
      <c r="E4242" t="n">
        <v>2560</v>
      </c>
    </row>
    <row r="4243">
      <c r="A4243" t="inlineStr">
        <is>
          <t>27BBBBB04243Z5</t>
        </is>
      </c>
      <c r="B4243" t="inlineStr">
        <is>
          <t>Nov-2018</t>
        </is>
      </c>
      <c r="C4243" s="2" t="n">
        <v>43108</v>
      </c>
      <c r="D4243" t="inlineStr">
        <is>
          <t>NON-NIL</t>
        </is>
      </c>
      <c r="E4243" t="n">
        <v>2395</v>
      </c>
    </row>
    <row r="4244">
      <c r="A4244" t="inlineStr">
        <is>
          <t>27BBBBB04244Z5</t>
        </is>
      </c>
      <c r="B4244" t="inlineStr">
        <is>
          <t>Jun-2018</t>
        </is>
      </c>
      <c r="C4244" s="2" t="n">
        <v>44024</v>
      </c>
      <c r="D4244" t="inlineStr">
        <is>
          <t>NIL</t>
        </is>
      </c>
      <c r="E4244" t="n">
        <v>671</v>
      </c>
    </row>
    <row r="4245">
      <c r="A4245" t="inlineStr">
        <is>
          <t>27BBBBB04245Z5</t>
        </is>
      </c>
      <c r="B4245" t="inlineStr">
        <is>
          <t>Jan-2018</t>
        </is>
      </c>
      <c r="C4245" s="2" t="n">
        <v>43788</v>
      </c>
      <c r="D4245" t="inlineStr">
        <is>
          <t>NON-NIL</t>
        </is>
      </c>
      <c r="E4245" t="n">
        <v>1573</v>
      </c>
    </row>
    <row r="4246">
      <c r="A4246" t="inlineStr">
        <is>
          <t>27BBBBB04246Z5</t>
        </is>
      </c>
      <c r="B4246" t="inlineStr">
        <is>
          <t>Aug-2017</t>
        </is>
      </c>
      <c r="C4246" s="2" t="n">
        <v>43957</v>
      </c>
      <c r="D4246" t="inlineStr">
        <is>
          <t>NIL</t>
        </is>
      </c>
      <c r="E4246" t="n">
        <v>951</v>
      </c>
    </row>
    <row r="4247">
      <c r="A4247" t="inlineStr">
        <is>
          <t>27BBBBB04247Z5</t>
        </is>
      </c>
      <c r="B4247" t="inlineStr">
        <is>
          <t>Nov-2017</t>
        </is>
      </c>
      <c r="C4247" s="2" t="n">
        <v>43402</v>
      </c>
      <c r="D4247" t="inlineStr">
        <is>
          <t>NON-NIL</t>
        </is>
      </c>
      <c r="E4247" t="n">
        <v>414</v>
      </c>
    </row>
    <row r="4248">
      <c r="A4248" t="inlineStr">
        <is>
          <t>27BBBBB04248Z5</t>
        </is>
      </c>
      <c r="B4248" t="inlineStr">
        <is>
          <t>Sep-2017</t>
        </is>
      </c>
      <c r="C4248" s="2" t="n">
        <v>43421</v>
      </c>
      <c r="D4248" t="inlineStr">
        <is>
          <t>NON-NIL</t>
        </is>
      </c>
      <c r="E4248" t="n">
        <v>2909</v>
      </c>
    </row>
    <row r="4249">
      <c r="A4249" t="inlineStr">
        <is>
          <t>27BBBBB04249Z5</t>
        </is>
      </c>
      <c r="B4249" t="inlineStr">
        <is>
          <t>Dec-2017</t>
        </is>
      </c>
      <c r="C4249" s="2" t="n">
        <v>43270</v>
      </c>
      <c r="D4249" t="inlineStr">
        <is>
          <t>NON-NIL</t>
        </is>
      </c>
      <c r="E4249" t="n">
        <v>2949</v>
      </c>
    </row>
    <row r="4250">
      <c r="A4250" t="inlineStr">
        <is>
          <t>27BBBBB04250Z5</t>
        </is>
      </c>
      <c r="B4250" t="inlineStr">
        <is>
          <t>Mar-2018</t>
        </is>
      </c>
      <c r="C4250" s="2" t="n">
        <v>44095</v>
      </c>
      <c r="D4250" t="inlineStr">
        <is>
          <t>NON-NIL</t>
        </is>
      </c>
      <c r="E4250" t="n">
        <v>1481</v>
      </c>
    </row>
    <row r="4251">
      <c r="A4251" t="inlineStr">
        <is>
          <t>27BBBBB04251Z5</t>
        </is>
      </c>
      <c r="B4251" t="inlineStr">
        <is>
          <t>Sep-2018</t>
        </is>
      </c>
      <c r="C4251" s="2" t="n">
        <v>42956</v>
      </c>
      <c r="D4251" t="inlineStr">
        <is>
          <t>NIL</t>
        </is>
      </c>
      <c r="E4251" t="n">
        <v>327</v>
      </c>
    </row>
    <row r="4252">
      <c r="A4252" t="inlineStr">
        <is>
          <t>27BBBBB04252Z5</t>
        </is>
      </c>
      <c r="B4252" t="inlineStr">
        <is>
          <t>Oct-2018</t>
        </is>
      </c>
      <c r="C4252" s="2" t="n">
        <v>43740</v>
      </c>
      <c r="D4252" t="inlineStr">
        <is>
          <t>NIL</t>
        </is>
      </c>
      <c r="E4252" t="n">
        <v>229</v>
      </c>
    </row>
    <row r="4253">
      <c r="A4253" t="inlineStr">
        <is>
          <t>27BBBBB04253Z5</t>
        </is>
      </c>
      <c r="B4253" t="inlineStr">
        <is>
          <t>Mar-2023</t>
        </is>
      </c>
      <c r="C4253" s="2" t="n">
        <v>43820</v>
      </c>
      <c r="D4253" t="inlineStr">
        <is>
          <t>NIL</t>
        </is>
      </c>
      <c r="E4253" t="n">
        <v>648</v>
      </c>
    </row>
    <row r="4254">
      <c r="A4254" t="inlineStr">
        <is>
          <t>27BBBBB04254Z5</t>
        </is>
      </c>
      <c r="B4254" t="inlineStr">
        <is>
          <t>Mar-2018</t>
        </is>
      </c>
      <c r="C4254" s="2" t="n">
        <v>43879</v>
      </c>
      <c r="D4254" t="inlineStr">
        <is>
          <t>NIL</t>
        </is>
      </c>
      <c r="E4254" t="n">
        <v>1969</v>
      </c>
    </row>
    <row r="4255">
      <c r="A4255" t="inlineStr">
        <is>
          <t>27BBBBB04255Z5</t>
        </is>
      </c>
      <c r="B4255" t="inlineStr">
        <is>
          <t>Jan-2018</t>
        </is>
      </c>
      <c r="C4255" s="2" t="n">
        <v>43033</v>
      </c>
      <c r="D4255" t="inlineStr">
        <is>
          <t>NIL</t>
        </is>
      </c>
      <c r="E4255" t="n">
        <v>1198</v>
      </c>
    </row>
    <row r="4256">
      <c r="A4256" t="inlineStr">
        <is>
          <t>27BBBBB04256Z5</t>
        </is>
      </c>
      <c r="B4256" t="inlineStr">
        <is>
          <t>Sep-2017</t>
        </is>
      </c>
      <c r="C4256" s="2" t="n">
        <v>43485</v>
      </c>
      <c r="D4256" t="inlineStr">
        <is>
          <t>NIL</t>
        </is>
      </c>
      <c r="E4256" t="n">
        <v>912</v>
      </c>
    </row>
    <row r="4257">
      <c r="A4257" t="inlineStr">
        <is>
          <t>27BBBBB04257Z5</t>
        </is>
      </c>
      <c r="B4257" t="inlineStr">
        <is>
          <t>Sep-2018</t>
        </is>
      </c>
      <c r="C4257" s="2" t="n">
        <v>43650</v>
      </c>
      <c r="D4257" t="inlineStr">
        <is>
          <t>NON-NIL</t>
        </is>
      </c>
      <c r="E4257" t="n">
        <v>1129</v>
      </c>
    </row>
    <row r="4258">
      <c r="A4258" t="inlineStr">
        <is>
          <t>27BBBBB04258Z5</t>
        </is>
      </c>
      <c r="B4258" t="inlineStr">
        <is>
          <t>Jul-2020</t>
        </is>
      </c>
      <c r="C4258" s="2" t="n">
        <v>44534</v>
      </c>
      <c r="D4258" t="inlineStr">
        <is>
          <t>NON-NIL</t>
        </is>
      </c>
      <c r="E4258" t="n">
        <v>1532</v>
      </c>
    </row>
    <row r="4259">
      <c r="A4259" t="inlineStr">
        <is>
          <t>27BBBBB04259Z5</t>
        </is>
      </c>
      <c r="B4259" t="inlineStr">
        <is>
          <t>Dec-2024</t>
        </is>
      </c>
      <c r="C4259" s="2" t="n">
        <v>43967</v>
      </c>
      <c r="D4259" t="inlineStr">
        <is>
          <t>NON-NIL</t>
        </is>
      </c>
      <c r="E4259" t="n">
        <v>949</v>
      </c>
    </row>
    <row r="4260">
      <c r="A4260" t="inlineStr">
        <is>
          <t>27BBBBB04260Z5</t>
        </is>
      </c>
      <c r="B4260" t="inlineStr">
        <is>
          <t>Mar-2021</t>
        </is>
      </c>
      <c r="C4260" s="2" t="n">
        <v>44259</v>
      </c>
      <c r="D4260" t="inlineStr">
        <is>
          <t>NIL</t>
        </is>
      </c>
      <c r="E4260" t="n">
        <v>275</v>
      </c>
    </row>
    <row r="4261">
      <c r="A4261" t="inlineStr">
        <is>
          <t>27BBBBB04261Z5</t>
        </is>
      </c>
      <c r="B4261" t="inlineStr">
        <is>
          <t>Aug-2018</t>
        </is>
      </c>
      <c r="C4261" s="2" t="n">
        <v>43610</v>
      </c>
      <c r="D4261" t="inlineStr">
        <is>
          <t>NON-NIL</t>
        </is>
      </c>
      <c r="E4261" t="n">
        <v>2079</v>
      </c>
    </row>
    <row r="4262">
      <c r="A4262" t="inlineStr">
        <is>
          <t>27BBBBB04262Z5</t>
        </is>
      </c>
      <c r="B4262" t="inlineStr">
        <is>
          <t>Sep-2018</t>
        </is>
      </c>
      <c r="C4262" s="2" t="n">
        <v>43720</v>
      </c>
      <c r="D4262" t="inlineStr">
        <is>
          <t>NON-NIL</t>
        </is>
      </c>
      <c r="E4262" t="n">
        <v>1837</v>
      </c>
    </row>
    <row r="4263">
      <c r="A4263" t="inlineStr">
        <is>
          <t>27BBBBB04263Z5</t>
        </is>
      </c>
      <c r="B4263" t="inlineStr">
        <is>
          <t>Nov-2018</t>
        </is>
      </c>
      <c r="C4263" s="2" t="n">
        <v>43102</v>
      </c>
      <c r="D4263" t="inlineStr">
        <is>
          <t>NON-NIL</t>
        </is>
      </c>
      <c r="E4263" t="n">
        <v>2307</v>
      </c>
    </row>
    <row r="4264">
      <c r="A4264" t="inlineStr">
        <is>
          <t>27BBBBB04264Z5</t>
        </is>
      </c>
      <c r="B4264" t="inlineStr">
        <is>
          <t>Sep-2017</t>
        </is>
      </c>
      <c r="C4264" s="2" t="n">
        <v>43778</v>
      </c>
      <c r="D4264" t="inlineStr">
        <is>
          <t>NON-NIL</t>
        </is>
      </c>
      <c r="E4264" t="n">
        <v>1446</v>
      </c>
    </row>
    <row r="4265">
      <c r="A4265" t="inlineStr">
        <is>
          <t>27BBBBB04265Z5</t>
        </is>
      </c>
      <c r="B4265" t="inlineStr">
        <is>
          <t>May-2018</t>
        </is>
      </c>
      <c r="C4265" s="2" t="n">
        <v>44219</v>
      </c>
      <c r="D4265" t="inlineStr">
        <is>
          <t>NIL</t>
        </is>
      </c>
      <c r="E4265" t="n">
        <v>1796</v>
      </c>
    </row>
    <row r="4266">
      <c r="A4266" t="inlineStr">
        <is>
          <t>27BBBBB04266Z5</t>
        </is>
      </c>
      <c r="B4266" t="inlineStr">
        <is>
          <t>Nov-2017</t>
        </is>
      </c>
      <c r="C4266" s="2" t="n">
        <v>44520</v>
      </c>
      <c r="D4266" t="inlineStr">
        <is>
          <t>NON-NIL</t>
        </is>
      </c>
      <c r="E4266" t="n">
        <v>1026</v>
      </c>
    </row>
    <row r="4267">
      <c r="A4267" t="inlineStr">
        <is>
          <t>27BBBBB04267Z5</t>
        </is>
      </c>
      <c r="B4267" t="inlineStr">
        <is>
          <t>Nov-2017</t>
        </is>
      </c>
      <c r="C4267" s="2" t="n">
        <v>43073</v>
      </c>
      <c r="D4267" t="inlineStr">
        <is>
          <t>NIL</t>
        </is>
      </c>
      <c r="E4267" t="n">
        <v>1778</v>
      </c>
    </row>
    <row r="4268">
      <c r="A4268" t="inlineStr">
        <is>
          <t>27BBBBB04268Z5</t>
        </is>
      </c>
      <c r="B4268" t="inlineStr">
        <is>
          <t>Aug-2017</t>
        </is>
      </c>
      <c r="C4268" s="2" t="n">
        <v>43149</v>
      </c>
      <c r="D4268" t="inlineStr">
        <is>
          <t>NON-NIL</t>
        </is>
      </c>
      <c r="E4268" t="n">
        <v>381</v>
      </c>
    </row>
    <row r="4269">
      <c r="A4269" t="inlineStr">
        <is>
          <t>27BBBBB04269Z5</t>
        </is>
      </c>
      <c r="B4269" t="inlineStr">
        <is>
          <t>Apr-2018</t>
        </is>
      </c>
      <c r="C4269" s="2" t="n">
        <v>43907</v>
      </c>
      <c r="D4269" t="inlineStr">
        <is>
          <t>NIL</t>
        </is>
      </c>
      <c r="E4269" t="n">
        <v>710</v>
      </c>
    </row>
    <row r="4270">
      <c r="A4270" t="inlineStr">
        <is>
          <t>27BBBBB04270Z5</t>
        </is>
      </c>
      <c r="B4270" t="inlineStr">
        <is>
          <t>Mar-2023</t>
        </is>
      </c>
      <c r="C4270" s="2" t="n">
        <v>43980</v>
      </c>
      <c r="D4270" t="inlineStr">
        <is>
          <t>NON-NIL</t>
        </is>
      </c>
      <c r="E4270" t="n">
        <v>1354</v>
      </c>
    </row>
    <row r="4271">
      <c r="A4271" t="inlineStr">
        <is>
          <t>27BBBBB04271Z5</t>
        </is>
      </c>
      <c r="B4271" t="inlineStr">
        <is>
          <t>Jan-2018</t>
        </is>
      </c>
      <c r="C4271" s="2" t="n">
        <v>43119</v>
      </c>
      <c r="D4271" t="inlineStr">
        <is>
          <t>NON-NIL</t>
        </is>
      </c>
      <c r="E4271" t="n">
        <v>2892</v>
      </c>
    </row>
    <row r="4272">
      <c r="A4272" t="inlineStr">
        <is>
          <t>27BBBBB04272Z5</t>
        </is>
      </c>
      <c r="B4272" t="inlineStr">
        <is>
          <t>Dec-2022</t>
        </is>
      </c>
      <c r="C4272" s="2" t="n">
        <v>44765</v>
      </c>
      <c r="D4272" t="inlineStr">
        <is>
          <t>NIL</t>
        </is>
      </c>
      <c r="E4272" t="n">
        <v>1574</v>
      </c>
    </row>
    <row r="4273">
      <c r="A4273" t="inlineStr">
        <is>
          <t>27BBBBB04273Z5</t>
        </is>
      </c>
      <c r="B4273" t="inlineStr">
        <is>
          <t>Apr-2018</t>
        </is>
      </c>
      <c r="C4273" s="2" t="n">
        <v>44540</v>
      </c>
      <c r="D4273" t="inlineStr">
        <is>
          <t>NON-NIL</t>
        </is>
      </c>
      <c r="E4273" t="n">
        <v>403</v>
      </c>
    </row>
    <row r="4274">
      <c r="A4274" t="inlineStr">
        <is>
          <t>27BBBBB04274Z5</t>
        </is>
      </c>
      <c r="B4274" t="inlineStr">
        <is>
          <t>Dec-2018</t>
        </is>
      </c>
      <c r="C4274" s="2" t="n">
        <v>44272</v>
      </c>
      <c r="D4274" t="inlineStr">
        <is>
          <t>NIL</t>
        </is>
      </c>
      <c r="E4274" t="n">
        <v>1365</v>
      </c>
    </row>
    <row r="4275">
      <c r="A4275" t="inlineStr">
        <is>
          <t>27BBBBB04275Z5</t>
        </is>
      </c>
      <c r="B4275" t="inlineStr">
        <is>
          <t>Mar-2018</t>
        </is>
      </c>
      <c r="C4275" s="2" t="n">
        <v>42938</v>
      </c>
      <c r="D4275" t="inlineStr">
        <is>
          <t>NIL</t>
        </is>
      </c>
      <c r="E4275" t="n">
        <v>2125</v>
      </c>
    </row>
    <row r="4276">
      <c r="A4276" t="inlineStr">
        <is>
          <t>27BBBBB04276Z5</t>
        </is>
      </c>
      <c r="B4276" t="inlineStr">
        <is>
          <t>May-2018</t>
        </is>
      </c>
      <c r="C4276" s="2" t="n">
        <v>44404</v>
      </c>
      <c r="D4276" t="inlineStr">
        <is>
          <t>NIL</t>
        </is>
      </c>
      <c r="E4276" t="n">
        <v>2120</v>
      </c>
    </row>
    <row r="4277">
      <c r="A4277" t="inlineStr">
        <is>
          <t>27BBBBB04277Z5</t>
        </is>
      </c>
      <c r="B4277" t="inlineStr">
        <is>
          <t>Jan-2021</t>
        </is>
      </c>
      <c r="C4277" s="2" t="n">
        <v>43521</v>
      </c>
      <c r="D4277" t="inlineStr">
        <is>
          <t>NON-NIL</t>
        </is>
      </c>
      <c r="E4277" t="n">
        <v>653</v>
      </c>
    </row>
    <row r="4278">
      <c r="A4278" t="inlineStr">
        <is>
          <t>27BBBBB04278Z5</t>
        </is>
      </c>
      <c r="B4278" t="inlineStr">
        <is>
          <t>Jul-2017</t>
        </is>
      </c>
      <c r="C4278" s="2" t="n">
        <v>44516</v>
      </c>
      <c r="D4278" t="inlineStr">
        <is>
          <t>NON-NIL</t>
        </is>
      </c>
      <c r="E4278" t="n">
        <v>2522</v>
      </c>
    </row>
    <row r="4279">
      <c r="A4279" t="inlineStr">
        <is>
          <t>27BBBBB04279Z5</t>
        </is>
      </c>
      <c r="B4279" t="inlineStr">
        <is>
          <t>Jul-2018</t>
        </is>
      </c>
      <c r="C4279" s="2" t="n">
        <v>44336</v>
      </c>
      <c r="D4279" t="inlineStr">
        <is>
          <t>NIL</t>
        </is>
      </c>
      <c r="E4279" t="n">
        <v>2851</v>
      </c>
    </row>
    <row r="4280">
      <c r="A4280" t="inlineStr">
        <is>
          <t>27BBBBB04280Z5</t>
        </is>
      </c>
      <c r="B4280" t="inlineStr">
        <is>
          <t>Apr-2020</t>
        </is>
      </c>
      <c r="C4280" s="2" t="n">
        <v>43907</v>
      </c>
      <c r="D4280" t="inlineStr">
        <is>
          <t>NON-NIL</t>
        </is>
      </c>
      <c r="E4280" t="n">
        <v>2420</v>
      </c>
    </row>
    <row r="4281">
      <c r="A4281" t="inlineStr">
        <is>
          <t>27BBBBB04281Z5</t>
        </is>
      </c>
      <c r="B4281" t="inlineStr">
        <is>
          <t>Dec-2018</t>
        </is>
      </c>
      <c r="C4281" s="2" t="n">
        <v>44542</v>
      </c>
      <c r="D4281" t="inlineStr">
        <is>
          <t>NON-NIL</t>
        </is>
      </c>
      <c r="E4281" t="n">
        <v>1348</v>
      </c>
    </row>
    <row r="4282">
      <c r="A4282" t="inlineStr">
        <is>
          <t>27BBBBB04282Z5</t>
        </is>
      </c>
      <c r="B4282" t="inlineStr">
        <is>
          <t>Jan-2021</t>
        </is>
      </c>
      <c r="C4282" s="2" t="n">
        <v>45825</v>
      </c>
      <c r="D4282" t="inlineStr">
        <is>
          <t>NIL</t>
        </is>
      </c>
      <c r="E4282" t="n">
        <v>926</v>
      </c>
    </row>
    <row r="4283">
      <c r="A4283" t="inlineStr">
        <is>
          <t>27BBBBB04283Z5</t>
        </is>
      </c>
      <c r="B4283" t="inlineStr">
        <is>
          <t>Oct-2017</t>
        </is>
      </c>
      <c r="C4283" s="2" t="n">
        <v>43132</v>
      </c>
      <c r="D4283" t="inlineStr">
        <is>
          <t>NON-NIL</t>
        </is>
      </c>
      <c r="E4283" t="n">
        <v>90</v>
      </c>
    </row>
    <row r="4284">
      <c r="A4284" t="inlineStr">
        <is>
          <t>27BBBBB04284Z5</t>
        </is>
      </c>
      <c r="B4284" t="inlineStr">
        <is>
          <t>Dec-2024</t>
        </is>
      </c>
      <c r="C4284" s="2" t="n">
        <v>45609</v>
      </c>
      <c r="D4284" t="inlineStr">
        <is>
          <t>NON-NIL</t>
        </is>
      </c>
      <c r="E4284" t="n">
        <v>2127</v>
      </c>
    </row>
    <row r="4285">
      <c r="A4285" t="inlineStr">
        <is>
          <t>27BBBBB04285Z5</t>
        </is>
      </c>
      <c r="B4285" t="inlineStr">
        <is>
          <t>Jan-2021</t>
        </is>
      </c>
      <c r="C4285" s="2" t="n">
        <v>43779</v>
      </c>
      <c r="D4285" t="inlineStr">
        <is>
          <t>NON-NIL</t>
        </is>
      </c>
      <c r="E4285" t="n">
        <v>1833</v>
      </c>
    </row>
    <row r="4286">
      <c r="A4286" t="inlineStr">
        <is>
          <t>27BBBBB04286Z5</t>
        </is>
      </c>
      <c r="B4286" t="inlineStr">
        <is>
          <t>Mar-2018</t>
        </is>
      </c>
      <c r="C4286" s="2" t="n">
        <v>44338</v>
      </c>
      <c r="D4286" t="inlineStr">
        <is>
          <t>NIL</t>
        </is>
      </c>
      <c r="E4286" t="n">
        <v>1729</v>
      </c>
    </row>
    <row r="4287">
      <c r="A4287" t="inlineStr">
        <is>
          <t>27BBBBB04287Z5</t>
        </is>
      </c>
      <c r="B4287" t="inlineStr">
        <is>
          <t>Dec-2024</t>
        </is>
      </c>
      <c r="C4287" s="2" t="n">
        <v>45456</v>
      </c>
      <c r="D4287" t="inlineStr">
        <is>
          <t>NIL</t>
        </is>
      </c>
      <c r="E4287" t="n">
        <v>1735</v>
      </c>
    </row>
    <row r="4288">
      <c r="A4288" t="inlineStr">
        <is>
          <t>27BBBBB04288Z5</t>
        </is>
      </c>
      <c r="B4288" t="inlineStr">
        <is>
          <t>May-2018</t>
        </is>
      </c>
      <c r="C4288" s="2" t="n">
        <v>43804</v>
      </c>
      <c r="D4288" t="inlineStr">
        <is>
          <t>NON-NIL</t>
        </is>
      </c>
      <c r="E4288" t="n">
        <v>201</v>
      </c>
    </row>
    <row r="4289">
      <c r="A4289" t="inlineStr">
        <is>
          <t>27BBBBB04289Z5</t>
        </is>
      </c>
      <c r="B4289" t="inlineStr">
        <is>
          <t>Jun-2020</t>
        </is>
      </c>
      <c r="C4289" s="2" t="n">
        <v>44908</v>
      </c>
      <c r="D4289" t="inlineStr">
        <is>
          <t>NON-NIL</t>
        </is>
      </c>
      <c r="E4289" t="n">
        <v>1762</v>
      </c>
    </row>
    <row r="4290">
      <c r="A4290" t="inlineStr">
        <is>
          <t>27BBBBB04290Z5</t>
        </is>
      </c>
      <c r="B4290" t="inlineStr">
        <is>
          <t>Oct-2018</t>
        </is>
      </c>
      <c r="C4290" s="2" t="n">
        <v>44036</v>
      </c>
      <c r="D4290" t="inlineStr">
        <is>
          <t>NON-NIL</t>
        </is>
      </c>
      <c r="E4290" t="n">
        <v>484</v>
      </c>
    </row>
    <row r="4291">
      <c r="A4291" t="inlineStr">
        <is>
          <t>27BBBBB04291Z5</t>
        </is>
      </c>
      <c r="B4291" t="inlineStr">
        <is>
          <t>Jan-2021</t>
        </is>
      </c>
      <c r="C4291" s="2" t="n">
        <v>45208</v>
      </c>
      <c r="D4291" t="inlineStr">
        <is>
          <t>NIL</t>
        </is>
      </c>
      <c r="E4291" t="n">
        <v>94</v>
      </c>
    </row>
    <row r="4292">
      <c r="A4292" t="inlineStr">
        <is>
          <t>27BBBBB04292Z5</t>
        </is>
      </c>
      <c r="B4292" t="inlineStr">
        <is>
          <t>Jan-2018</t>
        </is>
      </c>
      <c r="C4292" s="2" t="n">
        <v>44057</v>
      </c>
      <c r="D4292" t="inlineStr">
        <is>
          <t>NON-NIL</t>
        </is>
      </c>
      <c r="E4292" t="n">
        <v>597</v>
      </c>
    </row>
    <row r="4293">
      <c r="A4293" t="inlineStr">
        <is>
          <t>27BBBBB04293Z5</t>
        </is>
      </c>
      <c r="B4293" t="inlineStr">
        <is>
          <t>May-2020</t>
        </is>
      </c>
      <c r="C4293" s="2" t="n">
        <v>44887</v>
      </c>
      <c r="D4293" t="inlineStr">
        <is>
          <t>NON-NIL</t>
        </is>
      </c>
      <c r="E4293" t="n">
        <v>1917</v>
      </c>
    </row>
    <row r="4294">
      <c r="A4294" t="inlineStr">
        <is>
          <t>27BBBBB04294Z5</t>
        </is>
      </c>
      <c r="B4294" t="inlineStr">
        <is>
          <t>Apr-2020</t>
        </is>
      </c>
      <c r="C4294" s="2" t="n">
        <v>44443</v>
      </c>
      <c r="D4294" t="inlineStr">
        <is>
          <t>NIL</t>
        </is>
      </c>
      <c r="E4294" t="n">
        <v>270</v>
      </c>
    </row>
    <row r="4295">
      <c r="A4295" t="inlineStr">
        <is>
          <t>27BBBBB04295Z5</t>
        </is>
      </c>
      <c r="B4295" t="inlineStr">
        <is>
          <t>Dec-2024</t>
        </is>
      </c>
      <c r="C4295" s="2" t="n">
        <v>44847</v>
      </c>
      <c r="D4295" t="inlineStr">
        <is>
          <t>NON-NIL</t>
        </is>
      </c>
      <c r="E4295" t="n">
        <v>2865</v>
      </c>
    </row>
    <row r="4296">
      <c r="A4296" t="inlineStr">
        <is>
          <t>27BBBBB04296Z5</t>
        </is>
      </c>
      <c r="B4296" t="inlineStr">
        <is>
          <t>Sep-2017</t>
        </is>
      </c>
      <c r="C4296" s="2" t="n">
        <v>44281</v>
      </c>
      <c r="D4296" t="inlineStr">
        <is>
          <t>NON-NIL</t>
        </is>
      </c>
      <c r="E4296" t="n">
        <v>74</v>
      </c>
    </row>
    <row r="4297">
      <c r="A4297" t="inlineStr">
        <is>
          <t>27BBBBB04297Z5</t>
        </is>
      </c>
      <c r="B4297" t="inlineStr">
        <is>
          <t>Jul-2018</t>
        </is>
      </c>
      <c r="C4297" s="2" t="n">
        <v>43970</v>
      </c>
      <c r="D4297" t="inlineStr">
        <is>
          <t>NON-NIL</t>
        </is>
      </c>
      <c r="E4297" t="n">
        <v>366</v>
      </c>
    </row>
    <row r="4298">
      <c r="A4298" t="inlineStr">
        <is>
          <t>27BBBBB04298Z5</t>
        </is>
      </c>
      <c r="B4298" t="inlineStr">
        <is>
          <t>Oct-2017</t>
        </is>
      </c>
      <c r="C4298" s="2" t="n">
        <v>44029</v>
      </c>
      <c r="D4298" t="inlineStr">
        <is>
          <t>NIL</t>
        </is>
      </c>
      <c r="E4298" t="n">
        <v>329</v>
      </c>
    </row>
    <row r="4299">
      <c r="A4299" t="inlineStr">
        <is>
          <t>27BBBBB04299Z5</t>
        </is>
      </c>
      <c r="B4299" t="inlineStr">
        <is>
          <t>Jul-2018</t>
        </is>
      </c>
      <c r="C4299" s="2" t="n">
        <v>44306</v>
      </c>
      <c r="D4299" t="inlineStr">
        <is>
          <t>NON-NIL</t>
        </is>
      </c>
      <c r="E4299" t="n">
        <v>2191</v>
      </c>
    </row>
    <row r="4300">
      <c r="A4300" t="inlineStr">
        <is>
          <t>27BBBBB04300Z5</t>
        </is>
      </c>
      <c r="B4300" t="inlineStr">
        <is>
          <t>Oct-2018</t>
        </is>
      </c>
      <c r="C4300" s="2" t="n">
        <v>43325</v>
      </c>
      <c r="D4300" t="inlineStr">
        <is>
          <t>NON-NIL</t>
        </is>
      </c>
      <c r="E4300" t="n">
        <v>2094</v>
      </c>
    </row>
    <row r="4301">
      <c r="A4301" t="inlineStr">
        <is>
          <t>27BBBBB04301Z5</t>
        </is>
      </c>
      <c r="B4301" t="inlineStr">
        <is>
          <t>Aug-2017</t>
        </is>
      </c>
      <c r="C4301" s="2" t="n">
        <v>44062</v>
      </c>
      <c r="D4301" t="inlineStr">
        <is>
          <t>NON-NIL</t>
        </is>
      </c>
      <c r="E4301" t="n">
        <v>478</v>
      </c>
    </row>
    <row r="4302">
      <c r="A4302" t="inlineStr">
        <is>
          <t>27BBBBB04302Z5</t>
        </is>
      </c>
      <c r="B4302" t="inlineStr">
        <is>
          <t>Jul-2020</t>
        </is>
      </c>
      <c r="C4302" s="2" t="n">
        <v>44347</v>
      </c>
      <c r="D4302" t="inlineStr">
        <is>
          <t>NON-NIL</t>
        </is>
      </c>
      <c r="E4302" t="n">
        <v>1684</v>
      </c>
    </row>
    <row r="4303">
      <c r="A4303" t="inlineStr">
        <is>
          <t>27BBBBB04303Z5</t>
        </is>
      </c>
      <c r="B4303" t="inlineStr">
        <is>
          <t>Sep-2018</t>
        </is>
      </c>
      <c r="C4303" s="2" t="n">
        <v>43683</v>
      </c>
      <c r="D4303" t="inlineStr">
        <is>
          <t>NON-NIL</t>
        </is>
      </c>
      <c r="E4303" t="n">
        <v>2698</v>
      </c>
    </row>
    <row r="4304">
      <c r="A4304" t="inlineStr">
        <is>
          <t>27BBBBB04304Z5</t>
        </is>
      </c>
      <c r="B4304" t="inlineStr">
        <is>
          <t>Oct-2017</t>
        </is>
      </c>
      <c r="C4304" s="2" t="n">
        <v>44342</v>
      </c>
      <c r="D4304" t="inlineStr">
        <is>
          <t>NON-NIL</t>
        </is>
      </c>
      <c r="E4304" t="n">
        <v>2340</v>
      </c>
    </row>
    <row r="4305">
      <c r="A4305" t="inlineStr">
        <is>
          <t>27BBBBB04305Z5</t>
        </is>
      </c>
      <c r="B4305" t="inlineStr">
        <is>
          <t>May-2018</t>
        </is>
      </c>
      <c r="C4305" s="2" t="n">
        <v>43511</v>
      </c>
      <c r="D4305" t="inlineStr">
        <is>
          <t>NIL</t>
        </is>
      </c>
      <c r="E4305" t="n">
        <v>575</v>
      </c>
    </row>
    <row r="4306">
      <c r="A4306" t="inlineStr">
        <is>
          <t>27BBBBB04306Z5</t>
        </is>
      </c>
      <c r="B4306" t="inlineStr">
        <is>
          <t>Jan-2018</t>
        </is>
      </c>
      <c r="C4306" s="2" t="n">
        <v>43109</v>
      </c>
      <c r="D4306" t="inlineStr">
        <is>
          <t>NIL</t>
        </is>
      </c>
      <c r="E4306" t="n">
        <v>2998</v>
      </c>
    </row>
    <row r="4307">
      <c r="A4307" t="inlineStr">
        <is>
          <t>27BBBBB04307Z5</t>
        </is>
      </c>
      <c r="B4307" t="inlineStr">
        <is>
          <t>Apr-2018</t>
        </is>
      </c>
      <c r="C4307" s="2" t="n">
        <v>43294</v>
      </c>
      <c r="D4307" t="inlineStr">
        <is>
          <t>NON-NIL</t>
        </is>
      </c>
      <c r="E4307" t="n">
        <v>2294</v>
      </c>
    </row>
    <row r="4308">
      <c r="A4308" t="inlineStr">
        <is>
          <t>27BBBBB04308Z5</t>
        </is>
      </c>
      <c r="B4308" t="inlineStr">
        <is>
          <t>Jan-2018</t>
        </is>
      </c>
      <c r="C4308" s="2" t="n">
        <v>44172</v>
      </c>
      <c r="D4308" t="inlineStr">
        <is>
          <t>NON-NIL</t>
        </is>
      </c>
      <c r="E4308" t="n">
        <v>2407</v>
      </c>
    </row>
    <row r="4309">
      <c r="A4309" t="inlineStr">
        <is>
          <t>27BBBBB04309Z5</t>
        </is>
      </c>
      <c r="B4309" t="inlineStr">
        <is>
          <t>Apr-2020</t>
        </is>
      </c>
      <c r="C4309" s="2" t="n">
        <v>44535</v>
      </c>
      <c r="D4309" t="inlineStr">
        <is>
          <t>NON-NIL</t>
        </is>
      </c>
      <c r="E4309" t="n">
        <v>389</v>
      </c>
    </row>
    <row r="4310">
      <c r="A4310" t="inlineStr">
        <is>
          <t>27BBBBB04310Z5</t>
        </is>
      </c>
      <c r="B4310" t="inlineStr">
        <is>
          <t>Feb-2018</t>
        </is>
      </c>
      <c r="C4310" s="2" t="n">
        <v>44217</v>
      </c>
      <c r="D4310" t="inlineStr">
        <is>
          <t>NON-NIL</t>
        </is>
      </c>
      <c r="E4310" t="n">
        <v>1900</v>
      </c>
    </row>
    <row r="4311">
      <c r="A4311" t="inlineStr">
        <is>
          <t>27BBBBB04311Z5</t>
        </is>
      </c>
      <c r="B4311" t="inlineStr">
        <is>
          <t>Jul-2017</t>
        </is>
      </c>
      <c r="C4311" s="2" t="n">
        <v>43010</v>
      </c>
      <c r="D4311" t="inlineStr">
        <is>
          <t>NIL</t>
        </is>
      </c>
      <c r="E4311" t="n">
        <v>1730</v>
      </c>
    </row>
    <row r="4312">
      <c r="A4312" t="inlineStr">
        <is>
          <t>27BBBBB04312Z5</t>
        </is>
      </c>
      <c r="B4312" t="inlineStr">
        <is>
          <t>Dec-2018</t>
        </is>
      </c>
      <c r="C4312" s="2" t="n">
        <v>43515</v>
      </c>
      <c r="D4312" t="inlineStr">
        <is>
          <t>NON-NIL</t>
        </is>
      </c>
      <c r="E4312" t="n">
        <v>269</v>
      </c>
    </row>
    <row r="4313">
      <c r="A4313" t="inlineStr">
        <is>
          <t>27BBBBB04313Z5</t>
        </is>
      </c>
      <c r="B4313" t="inlineStr">
        <is>
          <t>May-2020</t>
        </is>
      </c>
      <c r="C4313" s="2" t="n">
        <v>44129</v>
      </c>
      <c r="D4313" t="inlineStr">
        <is>
          <t>NIL</t>
        </is>
      </c>
      <c r="E4313" t="n">
        <v>2999</v>
      </c>
    </row>
    <row r="4314">
      <c r="A4314" t="inlineStr">
        <is>
          <t>27BBBBB04314Z5</t>
        </is>
      </c>
      <c r="B4314" t="inlineStr">
        <is>
          <t>Mar-2018</t>
        </is>
      </c>
      <c r="C4314" s="2" t="n">
        <v>44207</v>
      </c>
      <c r="D4314" t="inlineStr">
        <is>
          <t>NIL</t>
        </is>
      </c>
      <c r="E4314" t="n">
        <v>713</v>
      </c>
    </row>
    <row r="4315">
      <c r="A4315" t="inlineStr">
        <is>
          <t>27BBBBB04315Z5</t>
        </is>
      </c>
      <c r="B4315" t="inlineStr">
        <is>
          <t>Feb-2018</t>
        </is>
      </c>
      <c r="C4315" s="2" t="n">
        <v>43980</v>
      </c>
      <c r="D4315" t="inlineStr">
        <is>
          <t>NON-NIL</t>
        </is>
      </c>
      <c r="E4315" t="n">
        <v>2195</v>
      </c>
    </row>
    <row r="4316">
      <c r="A4316" t="inlineStr">
        <is>
          <t>27BBBBB04316Z5</t>
        </is>
      </c>
      <c r="B4316" t="inlineStr">
        <is>
          <t>Apr-2020</t>
        </is>
      </c>
      <c r="C4316" s="2" t="n">
        <v>44218</v>
      </c>
      <c r="D4316" t="inlineStr">
        <is>
          <t>NIL</t>
        </is>
      </c>
      <c r="E4316" t="n">
        <v>831</v>
      </c>
    </row>
    <row r="4317">
      <c r="A4317" t="inlineStr">
        <is>
          <t>27BBBBB04317Z5</t>
        </is>
      </c>
      <c r="B4317" t="inlineStr">
        <is>
          <t>Dec-2018</t>
        </is>
      </c>
      <c r="C4317" s="2" t="n">
        <v>43153</v>
      </c>
      <c r="D4317" t="inlineStr">
        <is>
          <t>NON-NIL</t>
        </is>
      </c>
      <c r="E4317" t="n">
        <v>2992</v>
      </c>
    </row>
    <row r="4318">
      <c r="A4318" t="inlineStr">
        <is>
          <t>27BBBBB04318Z5</t>
        </is>
      </c>
      <c r="B4318" t="inlineStr">
        <is>
          <t>Sep-2018</t>
        </is>
      </c>
      <c r="C4318" s="2" t="n">
        <v>43720</v>
      </c>
      <c r="D4318" t="inlineStr">
        <is>
          <t>NIL</t>
        </is>
      </c>
      <c r="E4318" t="n">
        <v>1126</v>
      </c>
    </row>
    <row r="4319">
      <c r="A4319" t="inlineStr">
        <is>
          <t>27BBBBB04319Z5</t>
        </is>
      </c>
      <c r="B4319" t="inlineStr">
        <is>
          <t>Jul-2017</t>
        </is>
      </c>
      <c r="C4319" s="2" t="n">
        <v>44092</v>
      </c>
      <c r="D4319" t="inlineStr">
        <is>
          <t>NON-NIL</t>
        </is>
      </c>
      <c r="E4319" t="n">
        <v>2863</v>
      </c>
    </row>
    <row r="4320">
      <c r="A4320" t="inlineStr">
        <is>
          <t>27BBBBB04320Z5</t>
        </is>
      </c>
      <c r="B4320" t="inlineStr">
        <is>
          <t>Dec-2017</t>
        </is>
      </c>
      <c r="C4320" s="2" t="n">
        <v>44427</v>
      </c>
      <c r="D4320" t="inlineStr">
        <is>
          <t>NON-NIL</t>
        </is>
      </c>
      <c r="E4320" t="n">
        <v>590</v>
      </c>
    </row>
    <row r="4321">
      <c r="A4321" t="inlineStr">
        <is>
          <t>27BBBBB04321Z5</t>
        </is>
      </c>
      <c r="B4321" t="inlineStr">
        <is>
          <t>Mar-2020</t>
        </is>
      </c>
      <c r="C4321" s="2" t="n">
        <v>44159</v>
      </c>
      <c r="D4321" t="inlineStr">
        <is>
          <t>NIL</t>
        </is>
      </c>
      <c r="E4321" t="n">
        <v>1431</v>
      </c>
    </row>
    <row r="4322">
      <c r="A4322" t="inlineStr">
        <is>
          <t>27BBBBB04322Z5</t>
        </is>
      </c>
      <c r="B4322" t="inlineStr">
        <is>
          <t>Mar-2021</t>
        </is>
      </c>
      <c r="C4322" s="2" t="n">
        <v>45791</v>
      </c>
      <c r="D4322" t="inlineStr">
        <is>
          <t>NON-NIL</t>
        </is>
      </c>
      <c r="E4322" t="n">
        <v>831</v>
      </c>
    </row>
    <row r="4323">
      <c r="A4323" t="inlineStr">
        <is>
          <t>27BBBBB04323Z5</t>
        </is>
      </c>
      <c r="B4323" t="inlineStr">
        <is>
          <t>Sep-2018</t>
        </is>
      </c>
      <c r="C4323" s="2" t="n">
        <v>43789</v>
      </c>
      <c r="D4323" t="inlineStr">
        <is>
          <t>NIL</t>
        </is>
      </c>
      <c r="E4323" t="n">
        <v>486</v>
      </c>
    </row>
    <row r="4324">
      <c r="A4324" t="inlineStr">
        <is>
          <t>27BBBBB04324Z5</t>
        </is>
      </c>
      <c r="B4324" t="inlineStr">
        <is>
          <t>Dec-2024</t>
        </is>
      </c>
      <c r="C4324" s="2" t="n">
        <v>43488</v>
      </c>
      <c r="D4324" t="inlineStr">
        <is>
          <t>NON-NIL</t>
        </is>
      </c>
      <c r="E4324" t="n">
        <v>816</v>
      </c>
    </row>
    <row r="4325">
      <c r="A4325" t="inlineStr">
        <is>
          <t>27BBBBB04325Z5</t>
        </is>
      </c>
      <c r="B4325" t="inlineStr">
        <is>
          <t>Dec-2017</t>
        </is>
      </c>
      <c r="C4325" s="2" t="n">
        <v>44382</v>
      </c>
      <c r="D4325" t="inlineStr">
        <is>
          <t>NON-NIL</t>
        </is>
      </c>
      <c r="E4325" t="n">
        <v>530</v>
      </c>
    </row>
    <row r="4326">
      <c r="A4326" t="inlineStr">
        <is>
          <t>27BBBBB04326Z5</t>
        </is>
      </c>
      <c r="B4326" t="inlineStr">
        <is>
          <t>Sep-2018</t>
        </is>
      </c>
      <c r="C4326" s="2" t="n">
        <v>44559</v>
      </c>
      <c r="D4326" t="inlineStr">
        <is>
          <t>NIL</t>
        </is>
      </c>
      <c r="E4326" t="n">
        <v>164</v>
      </c>
    </row>
    <row r="4327">
      <c r="A4327" t="inlineStr">
        <is>
          <t>27BBBBB04327Z5</t>
        </is>
      </c>
      <c r="B4327" t="inlineStr">
        <is>
          <t>Aug-2018</t>
        </is>
      </c>
      <c r="C4327" s="2" t="n">
        <v>43729</v>
      </c>
      <c r="D4327" t="inlineStr">
        <is>
          <t>NON-NIL</t>
        </is>
      </c>
      <c r="E4327" t="n">
        <v>1509</v>
      </c>
    </row>
    <row r="4328">
      <c r="A4328" t="inlineStr">
        <is>
          <t>27BBBBB04328Z5</t>
        </is>
      </c>
      <c r="B4328" t="inlineStr">
        <is>
          <t>Mar-2018</t>
        </is>
      </c>
      <c r="C4328" s="2" t="n">
        <v>44108</v>
      </c>
      <c r="D4328" t="inlineStr">
        <is>
          <t>NIL</t>
        </is>
      </c>
      <c r="E4328" t="n">
        <v>1490</v>
      </c>
    </row>
    <row r="4329">
      <c r="A4329" t="inlineStr">
        <is>
          <t>27BBBBB04329Z5</t>
        </is>
      </c>
      <c r="B4329" t="inlineStr">
        <is>
          <t>Mar-2020</t>
        </is>
      </c>
      <c r="C4329" s="2" t="n">
        <v>44850</v>
      </c>
      <c r="D4329" t="inlineStr">
        <is>
          <t>NIL</t>
        </is>
      </c>
      <c r="E4329" t="n">
        <v>67</v>
      </c>
    </row>
    <row r="4330">
      <c r="A4330" t="inlineStr">
        <is>
          <t>27BBBBB04330Z5</t>
        </is>
      </c>
      <c r="B4330" t="inlineStr">
        <is>
          <t>Feb-2018</t>
        </is>
      </c>
      <c r="C4330" s="2" t="n">
        <v>43852</v>
      </c>
      <c r="D4330" t="inlineStr">
        <is>
          <t>NON-NIL</t>
        </is>
      </c>
      <c r="E4330" t="n">
        <v>2728</v>
      </c>
    </row>
    <row r="4331">
      <c r="A4331" t="inlineStr">
        <is>
          <t>27BBBBB04331Z5</t>
        </is>
      </c>
      <c r="B4331" t="inlineStr">
        <is>
          <t>Feb-2018</t>
        </is>
      </c>
      <c r="C4331" s="2" t="n">
        <v>43884</v>
      </c>
      <c r="D4331" t="inlineStr">
        <is>
          <t>NON-NIL</t>
        </is>
      </c>
      <c r="E4331" t="n">
        <v>1533</v>
      </c>
    </row>
    <row r="4332">
      <c r="A4332" t="inlineStr">
        <is>
          <t>27BBBBB04332Z5</t>
        </is>
      </c>
      <c r="B4332" t="inlineStr">
        <is>
          <t>Dec-2022</t>
        </is>
      </c>
      <c r="C4332" s="2" t="n">
        <v>43714</v>
      </c>
      <c r="D4332" t="inlineStr">
        <is>
          <t>NIL</t>
        </is>
      </c>
      <c r="E4332" t="n">
        <v>16</v>
      </c>
    </row>
    <row r="4333">
      <c r="A4333" t="inlineStr">
        <is>
          <t>27BBBBB04333Z5</t>
        </is>
      </c>
      <c r="B4333" t="inlineStr">
        <is>
          <t>Jul-2020</t>
        </is>
      </c>
      <c r="C4333" s="2" t="n">
        <v>44651</v>
      </c>
      <c r="D4333" t="inlineStr">
        <is>
          <t>NIL</t>
        </is>
      </c>
      <c r="E4333" t="n">
        <v>2308</v>
      </c>
    </row>
    <row r="4334">
      <c r="A4334" t="inlineStr">
        <is>
          <t>27BBBBB04334Z5</t>
        </is>
      </c>
      <c r="B4334" t="inlineStr">
        <is>
          <t>Mar-2018</t>
        </is>
      </c>
      <c r="C4334" s="2" t="n">
        <v>43974</v>
      </c>
      <c r="D4334" t="inlineStr">
        <is>
          <t>NIL</t>
        </is>
      </c>
      <c r="E4334" t="n">
        <v>1810</v>
      </c>
    </row>
    <row r="4335">
      <c r="A4335" t="inlineStr">
        <is>
          <t>27BBBBB04335Z5</t>
        </is>
      </c>
      <c r="B4335" t="inlineStr">
        <is>
          <t>Aug-2017</t>
        </is>
      </c>
      <c r="C4335" s="2" t="n">
        <v>43486</v>
      </c>
      <c r="D4335" t="inlineStr">
        <is>
          <t>NON-NIL</t>
        </is>
      </c>
      <c r="E4335" t="n">
        <v>1999</v>
      </c>
    </row>
    <row r="4336">
      <c r="A4336" t="inlineStr">
        <is>
          <t>27BBBBB04336Z5</t>
        </is>
      </c>
      <c r="B4336" t="inlineStr">
        <is>
          <t>Nov-2017</t>
        </is>
      </c>
      <c r="C4336" s="2" t="n">
        <v>44112</v>
      </c>
      <c r="D4336" t="inlineStr">
        <is>
          <t>NON-NIL</t>
        </is>
      </c>
      <c r="E4336" t="n">
        <v>555</v>
      </c>
    </row>
    <row r="4337">
      <c r="A4337" t="inlineStr">
        <is>
          <t>27BBBBB04337Z5</t>
        </is>
      </c>
      <c r="B4337" t="inlineStr">
        <is>
          <t>Sep-2018</t>
        </is>
      </c>
      <c r="C4337" s="2" t="n">
        <v>44391</v>
      </c>
      <c r="D4337" t="inlineStr">
        <is>
          <t>NIL</t>
        </is>
      </c>
      <c r="E4337" t="n">
        <v>2393</v>
      </c>
    </row>
    <row r="4338">
      <c r="A4338" t="inlineStr">
        <is>
          <t>27BBBBB04338Z5</t>
        </is>
      </c>
      <c r="B4338" t="inlineStr">
        <is>
          <t>Sep-2017</t>
        </is>
      </c>
      <c r="C4338" s="2" t="n">
        <v>43795</v>
      </c>
      <c r="D4338" t="inlineStr">
        <is>
          <t>NIL</t>
        </is>
      </c>
      <c r="E4338" t="n">
        <v>1851</v>
      </c>
    </row>
    <row r="4339">
      <c r="A4339" t="inlineStr">
        <is>
          <t>27BBBBB04339Z5</t>
        </is>
      </c>
      <c r="B4339" t="inlineStr">
        <is>
          <t>Jul-2020</t>
        </is>
      </c>
      <c r="C4339" s="2" t="n">
        <v>44902</v>
      </c>
      <c r="D4339" t="inlineStr">
        <is>
          <t>NIL</t>
        </is>
      </c>
      <c r="E4339" t="n">
        <v>146</v>
      </c>
    </row>
    <row r="4340">
      <c r="A4340" t="inlineStr">
        <is>
          <t>27BBBBB04340Z5</t>
        </is>
      </c>
      <c r="B4340" t="inlineStr">
        <is>
          <t>Mar-2018</t>
        </is>
      </c>
      <c r="C4340" s="2" t="n">
        <v>44463</v>
      </c>
      <c r="D4340" t="inlineStr">
        <is>
          <t>NON-NIL</t>
        </is>
      </c>
      <c r="E4340" t="n">
        <v>598</v>
      </c>
    </row>
    <row r="4341">
      <c r="A4341" t="inlineStr">
        <is>
          <t>27BBBBB04341Z5</t>
        </is>
      </c>
      <c r="B4341" t="inlineStr">
        <is>
          <t>Jul-2017</t>
        </is>
      </c>
      <c r="C4341" s="2" t="n">
        <v>43258</v>
      </c>
      <c r="D4341" t="inlineStr">
        <is>
          <t>NIL</t>
        </is>
      </c>
      <c r="E4341" t="n">
        <v>874</v>
      </c>
    </row>
    <row r="4342">
      <c r="A4342" t="inlineStr">
        <is>
          <t>27BBBBB04342Z5</t>
        </is>
      </c>
      <c r="B4342" t="inlineStr">
        <is>
          <t>Mar-2020</t>
        </is>
      </c>
      <c r="C4342" s="2" t="n">
        <v>44737</v>
      </c>
      <c r="D4342" t="inlineStr">
        <is>
          <t>NON-NIL</t>
        </is>
      </c>
      <c r="E4342" t="n">
        <v>11</v>
      </c>
    </row>
    <row r="4343">
      <c r="A4343" t="inlineStr">
        <is>
          <t>27BBBBB04343Z5</t>
        </is>
      </c>
      <c r="B4343" t="inlineStr">
        <is>
          <t>Mar-2021</t>
        </is>
      </c>
      <c r="C4343" s="2" t="n">
        <v>45765</v>
      </c>
      <c r="D4343" t="inlineStr">
        <is>
          <t>NON-NIL</t>
        </is>
      </c>
      <c r="E4343" t="n">
        <v>1950</v>
      </c>
    </row>
    <row r="4344">
      <c r="A4344" t="inlineStr">
        <is>
          <t>27BBBBB04344Z5</t>
        </is>
      </c>
      <c r="B4344" t="inlineStr">
        <is>
          <t>Aug-2017</t>
        </is>
      </c>
      <c r="C4344" s="2" t="n">
        <v>43058</v>
      </c>
      <c r="D4344" t="inlineStr">
        <is>
          <t>NON-NIL</t>
        </is>
      </c>
      <c r="E4344" t="n">
        <v>2734</v>
      </c>
    </row>
    <row r="4345">
      <c r="A4345" t="inlineStr">
        <is>
          <t>27BBBBB04345Z5</t>
        </is>
      </c>
      <c r="B4345" t="inlineStr">
        <is>
          <t>Dec-2017</t>
        </is>
      </c>
      <c r="C4345" s="2" t="n">
        <v>44441</v>
      </c>
      <c r="D4345" t="inlineStr">
        <is>
          <t>NON-NIL</t>
        </is>
      </c>
      <c r="E4345" t="n">
        <v>2810</v>
      </c>
    </row>
    <row r="4346">
      <c r="A4346" t="inlineStr">
        <is>
          <t>27BBBBB04346Z5</t>
        </is>
      </c>
      <c r="B4346" t="inlineStr">
        <is>
          <t>Dec-2017</t>
        </is>
      </c>
      <c r="C4346" s="2" t="n">
        <v>43464</v>
      </c>
      <c r="D4346" t="inlineStr">
        <is>
          <t>NON-NIL</t>
        </is>
      </c>
      <c r="E4346" t="n">
        <v>1018</v>
      </c>
    </row>
    <row r="4347">
      <c r="A4347" t="inlineStr">
        <is>
          <t>27BBBBB04347Z5</t>
        </is>
      </c>
      <c r="B4347" t="inlineStr">
        <is>
          <t>Sep-2017</t>
        </is>
      </c>
      <c r="C4347" s="2" t="n">
        <v>43007</v>
      </c>
      <c r="D4347" t="inlineStr">
        <is>
          <t>NIL</t>
        </is>
      </c>
      <c r="E4347" t="n">
        <v>2542</v>
      </c>
    </row>
    <row r="4348">
      <c r="A4348" t="inlineStr">
        <is>
          <t>27BBBBB04348Z5</t>
        </is>
      </c>
      <c r="B4348" t="inlineStr">
        <is>
          <t>Mar-2020</t>
        </is>
      </c>
      <c r="C4348" s="2" t="n">
        <v>44275</v>
      </c>
      <c r="D4348" t="inlineStr">
        <is>
          <t>NIL</t>
        </is>
      </c>
      <c r="E4348" t="n">
        <v>387</v>
      </c>
    </row>
    <row r="4349">
      <c r="A4349" t="inlineStr">
        <is>
          <t>27BBBBB04349Z5</t>
        </is>
      </c>
      <c r="B4349" t="inlineStr">
        <is>
          <t>Jul-2017</t>
        </is>
      </c>
      <c r="C4349" s="2" t="n">
        <v>43356</v>
      </c>
      <c r="D4349" t="inlineStr">
        <is>
          <t>NON-NIL</t>
        </is>
      </c>
      <c r="E4349" t="n">
        <v>1932</v>
      </c>
    </row>
    <row r="4350">
      <c r="A4350" t="inlineStr">
        <is>
          <t>27BBBBB04350Z5</t>
        </is>
      </c>
      <c r="B4350" t="inlineStr">
        <is>
          <t>May-2020</t>
        </is>
      </c>
      <c r="C4350" s="2" t="n">
        <v>44371</v>
      </c>
      <c r="D4350" t="inlineStr">
        <is>
          <t>NIL</t>
        </is>
      </c>
      <c r="E4350" t="n">
        <v>145</v>
      </c>
    </row>
    <row r="4351">
      <c r="A4351" t="inlineStr">
        <is>
          <t>27BBBBB04351Z5</t>
        </is>
      </c>
      <c r="B4351" t="inlineStr">
        <is>
          <t>Mar-2020</t>
        </is>
      </c>
      <c r="C4351" s="2" t="n">
        <v>44208</v>
      </c>
      <c r="D4351" t="inlineStr">
        <is>
          <t>NON-NIL</t>
        </is>
      </c>
      <c r="E4351" t="n">
        <v>2730</v>
      </c>
    </row>
    <row r="4352">
      <c r="A4352" t="inlineStr">
        <is>
          <t>27BBBBB04352Z5</t>
        </is>
      </c>
      <c r="B4352" t="inlineStr">
        <is>
          <t>Jan-2021</t>
        </is>
      </c>
      <c r="C4352" s="2" t="n">
        <v>44545</v>
      </c>
      <c r="D4352" t="inlineStr">
        <is>
          <t>NIL</t>
        </is>
      </c>
      <c r="E4352" t="n">
        <v>2035</v>
      </c>
    </row>
    <row r="4353">
      <c r="A4353" t="inlineStr">
        <is>
          <t>27BBBBB04353Z5</t>
        </is>
      </c>
      <c r="B4353" t="inlineStr">
        <is>
          <t>Jul-2017</t>
        </is>
      </c>
      <c r="C4353" s="2" t="n">
        <v>44541</v>
      </c>
      <c r="D4353" t="inlineStr">
        <is>
          <t>NIL</t>
        </is>
      </c>
      <c r="E4353" t="n">
        <v>441</v>
      </c>
    </row>
    <row r="4354">
      <c r="A4354" t="inlineStr">
        <is>
          <t>27BBBBB04354Z5</t>
        </is>
      </c>
      <c r="B4354" t="inlineStr">
        <is>
          <t>Jul-2020</t>
        </is>
      </c>
      <c r="C4354" s="2" t="n">
        <v>44883</v>
      </c>
      <c r="D4354" t="inlineStr">
        <is>
          <t>NIL</t>
        </is>
      </c>
      <c r="E4354" t="n">
        <v>2232</v>
      </c>
    </row>
    <row r="4355">
      <c r="A4355" t="inlineStr">
        <is>
          <t>27BBBBB04355Z5</t>
        </is>
      </c>
      <c r="B4355" t="inlineStr">
        <is>
          <t>Aug-2017</t>
        </is>
      </c>
      <c r="C4355" s="2" t="n">
        <v>43402</v>
      </c>
      <c r="D4355" t="inlineStr">
        <is>
          <t>NON-NIL</t>
        </is>
      </c>
      <c r="E4355" t="n">
        <v>770</v>
      </c>
    </row>
    <row r="4356">
      <c r="A4356" t="inlineStr">
        <is>
          <t>27BBBBB04356Z5</t>
        </is>
      </c>
      <c r="B4356" t="inlineStr">
        <is>
          <t>Jul-2017</t>
        </is>
      </c>
      <c r="C4356" s="2" t="n">
        <v>43852</v>
      </c>
      <c r="D4356" t="inlineStr">
        <is>
          <t>NIL</t>
        </is>
      </c>
      <c r="E4356" t="n">
        <v>1236</v>
      </c>
    </row>
    <row r="4357">
      <c r="A4357" t="inlineStr">
        <is>
          <t>27BBBBB04357Z5</t>
        </is>
      </c>
      <c r="B4357" t="inlineStr">
        <is>
          <t>Mar-2023</t>
        </is>
      </c>
      <c r="C4357" s="2" t="n">
        <v>45682</v>
      </c>
      <c r="D4357" t="inlineStr">
        <is>
          <t>NIL</t>
        </is>
      </c>
      <c r="E4357" t="n">
        <v>171</v>
      </c>
    </row>
    <row r="4358">
      <c r="A4358" t="inlineStr">
        <is>
          <t>27BBBBB04358Z5</t>
        </is>
      </c>
      <c r="B4358" t="inlineStr">
        <is>
          <t>May-2018</t>
        </is>
      </c>
      <c r="C4358" s="2" t="n">
        <v>44446</v>
      </c>
      <c r="D4358" t="inlineStr">
        <is>
          <t>NON-NIL</t>
        </is>
      </c>
      <c r="E4358" t="n">
        <v>1414</v>
      </c>
    </row>
    <row r="4359">
      <c r="A4359" t="inlineStr">
        <is>
          <t>27BBBBB04359Z5</t>
        </is>
      </c>
      <c r="B4359" t="inlineStr">
        <is>
          <t>Jul-2017</t>
        </is>
      </c>
      <c r="C4359" s="2" t="n">
        <v>44534</v>
      </c>
      <c r="D4359" t="inlineStr">
        <is>
          <t>NIL</t>
        </is>
      </c>
      <c r="E4359" t="n">
        <v>2023</v>
      </c>
    </row>
    <row r="4360">
      <c r="A4360" t="inlineStr">
        <is>
          <t>27BBBBB04360Z5</t>
        </is>
      </c>
      <c r="B4360" t="inlineStr">
        <is>
          <t>May-2020</t>
        </is>
      </c>
      <c r="C4360" s="2" t="n">
        <v>44564</v>
      </c>
      <c r="D4360" t="inlineStr">
        <is>
          <t>NON-NIL</t>
        </is>
      </c>
      <c r="E4360" t="n">
        <v>2123</v>
      </c>
    </row>
    <row r="4361">
      <c r="A4361" t="inlineStr">
        <is>
          <t>27BBBBB04361Z5</t>
        </is>
      </c>
      <c r="B4361" t="inlineStr">
        <is>
          <t>Jun-2018</t>
        </is>
      </c>
      <c r="C4361" s="2" t="n">
        <v>44052</v>
      </c>
      <c r="D4361" t="inlineStr">
        <is>
          <t>NIL</t>
        </is>
      </c>
      <c r="E4361" t="n">
        <v>2436</v>
      </c>
    </row>
    <row r="4362">
      <c r="A4362" t="inlineStr">
        <is>
          <t>27BBBBB04362Z5</t>
        </is>
      </c>
      <c r="B4362" t="inlineStr">
        <is>
          <t>Oct-2018</t>
        </is>
      </c>
      <c r="C4362" s="2" t="n">
        <v>43490</v>
      </c>
      <c r="D4362" t="inlineStr">
        <is>
          <t>NON-NIL</t>
        </is>
      </c>
      <c r="E4362" t="n">
        <v>1705</v>
      </c>
    </row>
    <row r="4363">
      <c r="A4363" t="inlineStr">
        <is>
          <t>27BBBBB04363Z5</t>
        </is>
      </c>
      <c r="B4363" t="inlineStr">
        <is>
          <t>May-2020</t>
        </is>
      </c>
      <c r="C4363" s="2" t="n">
        <v>44730</v>
      </c>
      <c r="D4363" t="inlineStr">
        <is>
          <t>NON-NIL</t>
        </is>
      </c>
      <c r="E4363" t="n">
        <v>2239</v>
      </c>
    </row>
    <row r="4364">
      <c r="A4364" t="inlineStr">
        <is>
          <t>27BBBBB04364Z5</t>
        </is>
      </c>
      <c r="B4364" t="inlineStr">
        <is>
          <t>Nov-2017</t>
        </is>
      </c>
      <c r="C4364" s="2" t="n">
        <v>43266</v>
      </c>
      <c r="D4364" t="inlineStr">
        <is>
          <t>NIL</t>
        </is>
      </c>
      <c r="E4364" t="n">
        <v>700</v>
      </c>
    </row>
    <row r="4365">
      <c r="A4365" t="inlineStr">
        <is>
          <t>27BBBBB04365Z5</t>
        </is>
      </c>
      <c r="B4365" t="inlineStr">
        <is>
          <t>Dec-2022</t>
        </is>
      </c>
      <c r="C4365" s="2" t="n">
        <v>45666</v>
      </c>
      <c r="D4365" t="inlineStr">
        <is>
          <t>NON-NIL</t>
        </is>
      </c>
      <c r="E4365" t="n">
        <v>1040</v>
      </c>
    </row>
    <row r="4366">
      <c r="A4366" t="inlineStr">
        <is>
          <t>27BBBBB04366Z5</t>
        </is>
      </c>
      <c r="B4366" t="inlineStr">
        <is>
          <t>Dec-2017</t>
        </is>
      </c>
      <c r="C4366" s="2" t="n">
        <v>43602</v>
      </c>
      <c r="D4366" t="inlineStr">
        <is>
          <t>NIL</t>
        </is>
      </c>
      <c r="E4366" t="n">
        <v>1240</v>
      </c>
    </row>
    <row r="4367">
      <c r="A4367" t="inlineStr">
        <is>
          <t>27BBBBB04367Z5</t>
        </is>
      </c>
      <c r="B4367" t="inlineStr">
        <is>
          <t>Aug-2018</t>
        </is>
      </c>
      <c r="C4367" s="2" t="n">
        <v>43487</v>
      </c>
      <c r="D4367" t="inlineStr">
        <is>
          <t>NON-NIL</t>
        </is>
      </c>
      <c r="E4367" t="n">
        <v>383</v>
      </c>
    </row>
    <row r="4368">
      <c r="A4368" t="inlineStr">
        <is>
          <t>27BBBBB04368Z5</t>
        </is>
      </c>
      <c r="B4368" t="inlineStr">
        <is>
          <t>Jul-2020</t>
        </is>
      </c>
      <c r="C4368" s="2" t="n">
        <v>44825</v>
      </c>
      <c r="D4368" t="inlineStr">
        <is>
          <t>NON-NIL</t>
        </is>
      </c>
      <c r="E4368" t="n">
        <v>568</v>
      </c>
    </row>
    <row r="4369">
      <c r="A4369" t="inlineStr">
        <is>
          <t>27BBBBB04369Z5</t>
        </is>
      </c>
      <c r="B4369" t="inlineStr">
        <is>
          <t>Jul-2018</t>
        </is>
      </c>
      <c r="C4369" s="2" t="n">
        <v>43658</v>
      </c>
      <c r="D4369" t="inlineStr">
        <is>
          <t>NON-NIL</t>
        </is>
      </c>
      <c r="E4369" t="n">
        <v>218</v>
      </c>
    </row>
    <row r="4370">
      <c r="A4370" t="inlineStr">
        <is>
          <t>27BBBBB04370Z5</t>
        </is>
      </c>
      <c r="B4370" t="inlineStr">
        <is>
          <t>Aug-2018</t>
        </is>
      </c>
      <c r="C4370" s="2" t="n">
        <v>43808</v>
      </c>
      <c r="D4370" t="inlineStr">
        <is>
          <t>NIL</t>
        </is>
      </c>
      <c r="E4370" t="n">
        <v>614</v>
      </c>
    </row>
    <row r="4371">
      <c r="A4371" t="inlineStr">
        <is>
          <t>27BBBBB04371Z5</t>
        </is>
      </c>
      <c r="B4371" t="inlineStr">
        <is>
          <t>Mar-2018</t>
        </is>
      </c>
      <c r="C4371" s="2" t="n">
        <v>43623</v>
      </c>
      <c r="D4371" t="inlineStr">
        <is>
          <t>NIL</t>
        </is>
      </c>
      <c r="E4371" t="n">
        <v>341</v>
      </c>
    </row>
    <row r="4372">
      <c r="A4372" t="inlineStr">
        <is>
          <t>27BBBBB04372Z5</t>
        </is>
      </c>
      <c r="B4372" t="inlineStr">
        <is>
          <t>Sep-2017</t>
        </is>
      </c>
      <c r="C4372" s="2" t="n">
        <v>43803</v>
      </c>
      <c r="D4372" t="inlineStr">
        <is>
          <t>NIL</t>
        </is>
      </c>
      <c r="E4372" t="n">
        <v>411</v>
      </c>
    </row>
    <row r="4373">
      <c r="A4373" t="inlineStr">
        <is>
          <t>27BBBBB04373Z5</t>
        </is>
      </c>
      <c r="B4373" t="inlineStr">
        <is>
          <t>Dec-2017</t>
        </is>
      </c>
      <c r="C4373" s="2" t="n">
        <v>44556</v>
      </c>
      <c r="D4373" t="inlineStr">
        <is>
          <t>NON-NIL</t>
        </is>
      </c>
      <c r="E4373" t="n">
        <v>2882</v>
      </c>
    </row>
    <row r="4374">
      <c r="A4374" t="inlineStr">
        <is>
          <t>27BBBBB04374Z5</t>
        </is>
      </c>
      <c r="B4374" t="inlineStr">
        <is>
          <t>Dec-2024</t>
        </is>
      </c>
      <c r="C4374" s="2" t="n">
        <v>43935</v>
      </c>
      <c r="D4374" t="inlineStr">
        <is>
          <t>NIL</t>
        </is>
      </c>
      <c r="E4374" t="n">
        <v>414</v>
      </c>
    </row>
    <row r="4375">
      <c r="A4375" t="inlineStr">
        <is>
          <t>27BBBBB04375Z5</t>
        </is>
      </c>
      <c r="B4375" t="inlineStr">
        <is>
          <t>Jul-2020</t>
        </is>
      </c>
      <c r="C4375" s="2" t="n">
        <v>44669</v>
      </c>
      <c r="D4375" t="inlineStr">
        <is>
          <t>NIL</t>
        </is>
      </c>
      <c r="E4375" t="n">
        <v>1869</v>
      </c>
    </row>
    <row r="4376">
      <c r="A4376" t="inlineStr">
        <is>
          <t>27BBBBB04376Z5</t>
        </is>
      </c>
      <c r="B4376" t="inlineStr">
        <is>
          <t>Jul-2018</t>
        </is>
      </c>
      <c r="C4376" s="2" t="n">
        <v>43282</v>
      </c>
      <c r="D4376" t="inlineStr">
        <is>
          <t>NIL</t>
        </is>
      </c>
      <c r="E4376" t="n">
        <v>94</v>
      </c>
    </row>
    <row r="4377">
      <c r="A4377" t="inlineStr">
        <is>
          <t>27BBBBB04377Z5</t>
        </is>
      </c>
      <c r="B4377" t="inlineStr">
        <is>
          <t>Mar-2020</t>
        </is>
      </c>
      <c r="C4377" s="2" t="n">
        <v>44649</v>
      </c>
      <c r="D4377" t="inlineStr">
        <is>
          <t>NIL</t>
        </is>
      </c>
      <c r="E4377" t="n">
        <v>1674</v>
      </c>
    </row>
    <row r="4378">
      <c r="A4378" t="inlineStr">
        <is>
          <t>27BBBBB04378Z5</t>
        </is>
      </c>
      <c r="B4378" t="inlineStr">
        <is>
          <t>Jan-2021</t>
        </is>
      </c>
      <c r="C4378" s="2" t="n">
        <v>44207</v>
      </c>
      <c r="D4378" t="inlineStr">
        <is>
          <t>NIL</t>
        </is>
      </c>
      <c r="E4378" t="n">
        <v>1542</v>
      </c>
    </row>
    <row r="4379">
      <c r="A4379" t="inlineStr">
        <is>
          <t>27BBBBB04379Z5</t>
        </is>
      </c>
      <c r="B4379" t="inlineStr">
        <is>
          <t>Dec-2018</t>
        </is>
      </c>
      <c r="C4379" s="2" t="n">
        <v>43472</v>
      </c>
      <c r="D4379" t="inlineStr">
        <is>
          <t>NON-NIL</t>
        </is>
      </c>
      <c r="E4379" t="n">
        <v>739</v>
      </c>
    </row>
    <row r="4380">
      <c r="A4380" t="inlineStr">
        <is>
          <t>27BBBBB04380Z5</t>
        </is>
      </c>
      <c r="B4380" t="inlineStr">
        <is>
          <t>Jan-2021</t>
        </is>
      </c>
      <c r="C4380" s="2" t="n">
        <v>43542</v>
      </c>
      <c r="D4380" t="inlineStr">
        <is>
          <t>NIL</t>
        </is>
      </c>
      <c r="E4380" t="n">
        <v>193</v>
      </c>
    </row>
    <row r="4381">
      <c r="A4381" t="inlineStr">
        <is>
          <t>27BBBBB04381Z5</t>
        </is>
      </c>
      <c r="B4381" t="inlineStr">
        <is>
          <t>Jul-2018</t>
        </is>
      </c>
      <c r="C4381" s="2" t="n">
        <v>43316</v>
      </c>
      <c r="D4381" t="inlineStr">
        <is>
          <t>NIL</t>
        </is>
      </c>
      <c r="E4381" t="n">
        <v>1277</v>
      </c>
    </row>
    <row r="4382">
      <c r="A4382" t="inlineStr">
        <is>
          <t>27BBBBB04382Z5</t>
        </is>
      </c>
      <c r="B4382" t="inlineStr">
        <is>
          <t>Sep-2017</t>
        </is>
      </c>
      <c r="C4382" s="2" t="n">
        <v>42988</v>
      </c>
      <c r="D4382" t="inlineStr">
        <is>
          <t>NIL</t>
        </is>
      </c>
      <c r="E4382" t="n">
        <v>1151</v>
      </c>
    </row>
    <row r="4383">
      <c r="A4383" t="inlineStr">
        <is>
          <t>27BBBBB04383Z5</t>
        </is>
      </c>
      <c r="B4383" t="inlineStr">
        <is>
          <t>Mar-2018</t>
        </is>
      </c>
      <c r="C4383" s="2" t="n">
        <v>43356</v>
      </c>
      <c r="D4383" t="inlineStr">
        <is>
          <t>NIL</t>
        </is>
      </c>
      <c r="E4383" t="n">
        <v>2396</v>
      </c>
    </row>
    <row r="4384">
      <c r="A4384" t="inlineStr">
        <is>
          <t>27BBBBB04384Z5</t>
        </is>
      </c>
      <c r="B4384" t="inlineStr">
        <is>
          <t>Jun-2018</t>
        </is>
      </c>
      <c r="C4384" s="2" t="n">
        <v>44446</v>
      </c>
      <c r="D4384" t="inlineStr">
        <is>
          <t>NON-NIL</t>
        </is>
      </c>
      <c r="E4384" t="n">
        <v>17</v>
      </c>
    </row>
    <row r="4385">
      <c r="A4385" t="inlineStr">
        <is>
          <t>27BBBBB04385Z5</t>
        </is>
      </c>
      <c r="B4385" t="inlineStr">
        <is>
          <t>Jun-2020</t>
        </is>
      </c>
      <c r="C4385" s="2" t="n">
        <v>44535</v>
      </c>
      <c r="D4385" t="inlineStr">
        <is>
          <t>NON-NIL</t>
        </is>
      </c>
      <c r="E4385" t="n">
        <v>2175</v>
      </c>
    </row>
    <row r="4386">
      <c r="A4386" t="inlineStr">
        <is>
          <t>27BBBBB04386Z5</t>
        </is>
      </c>
      <c r="B4386" t="inlineStr">
        <is>
          <t>Jul-2020</t>
        </is>
      </c>
      <c r="C4386" s="2" t="n">
        <v>44630</v>
      </c>
      <c r="D4386" t="inlineStr">
        <is>
          <t>NON-NIL</t>
        </is>
      </c>
      <c r="E4386" t="n">
        <v>606</v>
      </c>
    </row>
    <row r="4387">
      <c r="A4387" t="inlineStr">
        <is>
          <t>27BBBBB04387Z5</t>
        </is>
      </c>
      <c r="B4387" t="inlineStr">
        <is>
          <t>Mar-2020</t>
        </is>
      </c>
      <c r="C4387" s="2" t="n">
        <v>44637</v>
      </c>
      <c r="D4387" t="inlineStr">
        <is>
          <t>NIL</t>
        </is>
      </c>
      <c r="E4387" t="n">
        <v>2899</v>
      </c>
    </row>
    <row r="4388">
      <c r="A4388" t="inlineStr">
        <is>
          <t>27BBBBB04388Z5</t>
        </is>
      </c>
      <c r="B4388" t="inlineStr">
        <is>
          <t>Oct-2018</t>
        </is>
      </c>
      <c r="C4388" s="2" t="n">
        <v>43271</v>
      </c>
      <c r="D4388" t="inlineStr">
        <is>
          <t>NON-NIL</t>
        </is>
      </c>
      <c r="E4388" t="n">
        <v>1875</v>
      </c>
    </row>
    <row r="4389">
      <c r="A4389" t="inlineStr">
        <is>
          <t>27BBBBB04389Z5</t>
        </is>
      </c>
      <c r="B4389" t="inlineStr">
        <is>
          <t>Dec-2022</t>
        </is>
      </c>
      <c r="C4389" s="2" t="n">
        <v>44029</v>
      </c>
      <c r="D4389" t="inlineStr">
        <is>
          <t>NON-NIL</t>
        </is>
      </c>
      <c r="E4389" t="n">
        <v>2764</v>
      </c>
    </row>
    <row r="4390">
      <c r="A4390" t="inlineStr">
        <is>
          <t>27BBBBB04390Z5</t>
        </is>
      </c>
      <c r="B4390" t="inlineStr">
        <is>
          <t>Jan-2018</t>
        </is>
      </c>
      <c r="C4390" s="2" t="n">
        <v>43056</v>
      </c>
      <c r="D4390" t="inlineStr">
        <is>
          <t>NON-NIL</t>
        </is>
      </c>
      <c r="E4390" t="n">
        <v>151</v>
      </c>
    </row>
    <row r="4391">
      <c r="A4391" t="inlineStr">
        <is>
          <t>27BBBBB04391Z5</t>
        </is>
      </c>
      <c r="B4391" t="inlineStr">
        <is>
          <t>Aug-2018</t>
        </is>
      </c>
      <c r="C4391" s="2" t="n">
        <v>43014</v>
      </c>
      <c r="D4391" t="inlineStr">
        <is>
          <t>NON-NIL</t>
        </is>
      </c>
      <c r="E4391" t="n">
        <v>1094</v>
      </c>
    </row>
    <row r="4392">
      <c r="A4392" t="inlineStr">
        <is>
          <t>27BBBBB04392Z5</t>
        </is>
      </c>
      <c r="B4392" t="inlineStr">
        <is>
          <t>Jul-2018</t>
        </is>
      </c>
      <c r="C4392" s="2" t="n">
        <v>43208</v>
      </c>
      <c r="D4392" t="inlineStr">
        <is>
          <t>NIL</t>
        </is>
      </c>
      <c r="E4392" t="n">
        <v>863</v>
      </c>
    </row>
    <row r="4393">
      <c r="A4393" t="inlineStr">
        <is>
          <t>27BBBBB04393Z5</t>
        </is>
      </c>
      <c r="B4393" t="inlineStr">
        <is>
          <t>Sep-2018</t>
        </is>
      </c>
      <c r="C4393" s="2" t="n">
        <v>43493</v>
      </c>
      <c r="D4393" t="inlineStr">
        <is>
          <t>NON-NIL</t>
        </is>
      </c>
      <c r="E4393" t="n">
        <v>2996</v>
      </c>
    </row>
    <row r="4394">
      <c r="A4394" t="inlineStr">
        <is>
          <t>27BBBBB04394Z5</t>
        </is>
      </c>
      <c r="B4394" t="inlineStr">
        <is>
          <t>Jun-2018</t>
        </is>
      </c>
      <c r="C4394" s="2" t="n">
        <v>43890</v>
      </c>
      <c r="D4394" t="inlineStr">
        <is>
          <t>NIL</t>
        </is>
      </c>
      <c r="E4394" t="n">
        <v>2362</v>
      </c>
    </row>
    <row r="4395">
      <c r="A4395" t="inlineStr">
        <is>
          <t>27BBBBB04395Z5</t>
        </is>
      </c>
      <c r="B4395" t="inlineStr">
        <is>
          <t>Apr-2020</t>
        </is>
      </c>
      <c r="C4395" s="2" t="n">
        <v>43987</v>
      </c>
      <c r="D4395" t="inlineStr">
        <is>
          <t>NON-NIL</t>
        </is>
      </c>
      <c r="E4395" t="n">
        <v>2784</v>
      </c>
    </row>
    <row r="4396">
      <c r="A4396" t="inlineStr">
        <is>
          <t>27BBBBB04396Z5</t>
        </is>
      </c>
      <c r="B4396" t="inlineStr">
        <is>
          <t>Oct-2018</t>
        </is>
      </c>
      <c r="C4396" s="2" t="n">
        <v>43326</v>
      </c>
      <c r="D4396" t="inlineStr">
        <is>
          <t>NON-NIL</t>
        </is>
      </c>
      <c r="E4396" t="n">
        <v>2860</v>
      </c>
    </row>
    <row r="4397">
      <c r="A4397" t="inlineStr">
        <is>
          <t>27BBBBB04397Z5</t>
        </is>
      </c>
      <c r="B4397" t="inlineStr">
        <is>
          <t>Nov-2017</t>
        </is>
      </c>
      <c r="C4397" s="2" t="n">
        <v>44200</v>
      </c>
      <c r="D4397" t="inlineStr">
        <is>
          <t>NIL</t>
        </is>
      </c>
      <c r="E4397" t="n">
        <v>1041</v>
      </c>
    </row>
    <row r="4398">
      <c r="A4398" t="inlineStr">
        <is>
          <t>27BBBBB04398Z5</t>
        </is>
      </c>
      <c r="B4398" t="inlineStr">
        <is>
          <t>Nov-2017</t>
        </is>
      </c>
      <c r="C4398" s="2" t="n">
        <v>43104</v>
      </c>
      <c r="D4398" t="inlineStr">
        <is>
          <t>NIL</t>
        </is>
      </c>
      <c r="E4398" t="n">
        <v>1140</v>
      </c>
    </row>
    <row r="4399">
      <c r="A4399" t="inlineStr">
        <is>
          <t>27BBBBB04399Z5</t>
        </is>
      </c>
      <c r="B4399" t="inlineStr">
        <is>
          <t>Jul-2017</t>
        </is>
      </c>
      <c r="C4399" s="2" t="n">
        <v>43866</v>
      </c>
      <c r="D4399" t="inlineStr">
        <is>
          <t>NIL</t>
        </is>
      </c>
      <c r="E4399" t="n">
        <v>946</v>
      </c>
    </row>
    <row r="4400">
      <c r="A4400" t="inlineStr">
        <is>
          <t>27BBBBB04400Z5</t>
        </is>
      </c>
      <c r="B4400" t="inlineStr">
        <is>
          <t>Aug-2018</t>
        </is>
      </c>
      <c r="C4400" s="2" t="n">
        <v>44275</v>
      </c>
      <c r="D4400" t="inlineStr">
        <is>
          <t>NON-NIL</t>
        </is>
      </c>
      <c r="E4400" t="n">
        <v>1279</v>
      </c>
    </row>
    <row r="4401">
      <c r="A4401" t="inlineStr">
        <is>
          <t>27BBBBB04401Z5</t>
        </is>
      </c>
      <c r="B4401" t="inlineStr">
        <is>
          <t>Apr-2020</t>
        </is>
      </c>
      <c r="C4401" s="2" t="n">
        <v>44101</v>
      </c>
      <c r="D4401" t="inlineStr">
        <is>
          <t>NIL</t>
        </is>
      </c>
      <c r="E4401" t="n">
        <v>2025</v>
      </c>
    </row>
    <row r="4402">
      <c r="A4402" t="inlineStr">
        <is>
          <t>27BBBBB04402Z5</t>
        </is>
      </c>
      <c r="B4402" t="inlineStr">
        <is>
          <t>Aug-2017</t>
        </is>
      </c>
      <c r="C4402" s="2" t="n">
        <v>43309</v>
      </c>
      <c r="D4402" t="inlineStr">
        <is>
          <t>NIL</t>
        </is>
      </c>
      <c r="E4402" t="n">
        <v>2308</v>
      </c>
    </row>
    <row r="4403">
      <c r="A4403" t="inlineStr">
        <is>
          <t>27BBBBB04403Z5</t>
        </is>
      </c>
      <c r="B4403" t="inlineStr">
        <is>
          <t>Apr-2018</t>
        </is>
      </c>
      <c r="C4403" s="2" t="n">
        <v>43271</v>
      </c>
      <c r="D4403" t="inlineStr">
        <is>
          <t>NON-NIL</t>
        </is>
      </c>
      <c r="E4403" t="n">
        <v>469</v>
      </c>
    </row>
    <row r="4404">
      <c r="A4404" t="inlineStr">
        <is>
          <t>27BBBBB04404Z5</t>
        </is>
      </c>
      <c r="B4404" t="inlineStr">
        <is>
          <t>Dec-2024</t>
        </is>
      </c>
      <c r="C4404" s="2" t="n">
        <v>44367</v>
      </c>
      <c r="D4404" t="inlineStr">
        <is>
          <t>NON-NIL</t>
        </is>
      </c>
      <c r="E4404" t="n">
        <v>585</v>
      </c>
    </row>
    <row r="4405">
      <c r="A4405" t="inlineStr">
        <is>
          <t>27BBBBB04405Z5</t>
        </is>
      </c>
      <c r="B4405" t="inlineStr">
        <is>
          <t>Apr-2018</t>
        </is>
      </c>
      <c r="C4405" s="2" t="n">
        <v>43919</v>
      </c>
      <c r="D4405" t="inlineStr">
        <is>
          <t>NIL</t>
        </is>
      </c>
      <c r="E4405" t="n">
        <v>1704</v>
      </c>
    </row>
    <row r="4406">
      <c r="A4406" t="inlineStr">
        <is>
          <t>27BBBBB04406Z5</t>
        </is>
      </c>
      <c r="B4406" t="inlineStr">
        <is>
          <t>Jun-2020</t>
        </is>
      </c>
      <c r="C4406" s="2" t="n">
        <v>44439</v>
      </c>
      <c r="D4406" t="inlineStr">
        <is>
          <t>NIL</t>
        </is>
      </c>
      <c r="E4406" t="n">
        <v>525</v>
      </c>
    </row>
    <row r="4407">
      <c r="A4407" t="inlineStr">
        <is>
          <t>27BBBBB04407Z5</t>
        </is>
      </c>
      <c r="B4407" t="inlineStr">
        <is>
          <t>Mar-2023</t>
        </is>
      </c>
      <c r="C4407" s="2" t="n">
        <v>43989</v>
      </c>
      <c r="D4407" t="inlineStr">
        <is>
          <t>NON-NIL</t>
        </is>
      </c>
      <c r="E4407" t="n">
        <v>2847</v>
      </c>
    </row>
    <row r="4408">
      <c r="A4408" t="inlineStr">
        <is>
          <t>27BBBBB04408Z5</t>
        </is>
      </c>
      <c r="B4408" t="inlineStr">
        <is>
          <t>Sep-2018</t>
        </is>
      </c>
      <c r="C4408" s="2" t="n">
        <v>44552</v>
      </c>
      <c r="D4408" t="inlineStr">
        <is>
          <t>NIL</t>
        </is>
      </c>
      <c r="E4408" t="n">
        <v>1725</v>
      </c>
    </row>
    <row r="4409">
      <c r="A4409" t="inlineStr">
        <is>
          <t>27BBBBB04409Z5</t>
        </is>
      </c>
      <c r="B4409" t="inlineStr">
        <is>
          <t>Jan-2021</t>
        </is>
      </c>
      <c r="C4409" s="2" t="n">
        <v>44657</v>
      </c>
      <c r="D4409" t="inlineStr">
        <is>
          <t>NIL</t>
        </is>
      </c>
      <c r="E4409" t="n">
        <v>115</v>
      </c>
    </row>
    <row r="4410">
      <c r="A4410" t="inlineStr">
        <is>
          <t>27BBBBB04410Z5</t>
        </is>
      </c>
      <c r="B4410" t="inlineStr">
        <is>
          <t>Mar-2018</t>
        </is>
      </c>
      <c r="C4410" s="2" t="n">
        <v>43943</v>
      </c>
      <c r="D4410" t="inlineStr">
        <is>
          <t>NON-NIL</t>
        </is>
      </c>
      <c r="E4410" t="n">
        <v>667</v>
      </c>
    </row>
    <row r="4411">
      <c r="A4411" t="inlineStr">
        <is>
          <t>27BBBBB04411Z5</t>
        </is>
      </c>
      <c r="B4411" t="inlineStr">
        <is>
          <t>Mar-2018</t>
        </is>
      </c>
      <c r="C4411" s="2" t="n">
        <v>43157</v>
      </c>
      <c r="D4411" t="inlineStr">
        <is>
          <t>NON-NIL</t>
        </is>
      </c>
      <c r="E4411" t="n">
        <v>909</v>
      </c>
    </row>
    <row r="4412">
      <c r="A4412" t="inlineStr">
        <is>
          <t>27BBBBB04412Z5</t>
        </is>
      </c>
      <c r="B4412" t="inlineStr">
        <is>
          <t>May-2020</t>
        </is>
      </c>
      <c r="C4412" s="2" t="n">
        <v>44406</v>
      </c>
      <c r="D4412" t="inlineStr">
        <is>
          <t>NON-NIL</t>
        </is>
      </c>
      <c r="E4412" t="n">
        <v>1756</v>
      </c>
    </row>
    <row r="4413">
      <c r="A4413" t="inlineStr">
        <is>
          <t>27BBBBB04413Z5</t>
        </is>
      </c>
      <c r="B4413" t="inlineStr">
        <is>
          <t>Apr-2018</t>
        </is>
      </c>
      <c r="C4413" s="2" t="n">
        <v>43753</v>
      </c>
      <c r="D4413" t="inlineStr">
        <is>
          <t>NON-NIL</t>
        </is>
      </c>
      <c r="E4413" t="n">
        <v>893</v>
      </c>
    </row>
    <row r="4414">
      <c r="A4414" t="inlineStr">
        <is>
          <t>27BBBBB04414Z5</t>
        </is>
      </c>
      <c r="B4414" t="inlineStr">
        <is>
          <t>Apr-2020</t>
        </is>
      </c>
      <c r="C4414" s="2" t="n">
        <v>44816</v>
      </c>
      <c r="D4414" t="inlineStr">
        <is>
          <t>NIL</t>
        </is>
      </c>
      <c r="E4414" t="n">
        <v>2050</v>
      </c>
    </row>
    <row r="4415">
      <c r="A4415" t="inlineStr">
        <is>
          <t>27BBBBB04415Z5</t>
        </is>
      </c>
      <c r="B4415" t="inlineStr">
        <is>
          <t>Aug-2017</t>
        </is>
      </c>
      <c r="C4415" s="2" t="n">
        <v>43101</v>
      </c>
      <c r="D4415" t="inlineStr">
        <is>
          <t>NIL</t>
        </is>
      </c>
      <c r="E4415" t="n">
        <v>2998</v>
      </c>
    </row>
    <row r="4416">
      <c r="A4416" t="inlineStr">
        <is>
          <t>27BBBBB04416Z5</t>
        </is>
      </c>
      <c r="B4416" t="inlineStr">
        <is>
          <t>Aug-2017</t>
        </is>
      </c>
      <c r="C4416" s="2" t="n">
        <v>43706</v>
      </c>
      <c r="D4416" t="inlineStr">
        <is>
          <t>NIL</t>
        </is>
      </c>
      <c r="E4416" t="n">
        <v>987</v>
      </c>
    </row>
    <row r="4417">
      <c r="A4417" t="inlineStr">
        <is>
          <t>27BBBBB04417Z5</t>
        </is>
      </c>
      <c r="B4417" t="inlineStr">
        <is>
          <t>Jun-2018</t>
        </is>
      </c>
      <c r="C4417" s="2" t="n">
        <v>43928</v>
      </c>
      <c r="D4417" t="inlineStr">
        <is>
          <t>NON-NIL</t>
        </is>
      </c>
      <c r="E4417" t="n">
        <v>2607</v>
      </c>
    </row>
    <row r="4418">
      <c r="A4418" t="inlineStr">
        <is>
          <t>27BBBBB04418Z5</t>
        </is>
      </c>
      <c r="B4418" t="inlineStr">
        <is>
          <t>Mar-2020</t>
        </is>
      </c>
      <c r="C4418" s="2" t="n">
        <v>44808</v>
      </c>
      <c r="D4418" t="inlineStr">
        <is>
          <t>NON-NIL</t>
        </is>
      </c>
      <c r="E4418" t="n">
        <v>2447</v>
      </c>
    </row>
    <row r="4419">
      <c r="A4419" t="inlineStr">
        <is>
          <t>27BBBBB04419Z5</t>
        </is>
      </c>
      <c r="B4419" t="inlineStr">
        <is>
          <t>Sep-2018</t>
        </is>
      </c>
      <c r="C4419" s="2" t="n">
        <v>43563</v>
      </c>
      <c r="D4419" t="inlineStr">
        <is>
          <t>NON-NIL</t>
        </is>
      </c>
      <c r="E4419" t="n">
        <v>1886</v>
      </c>
    </row>
    <row r="4420">
      <c r="A4420" t="inlineStr">
        <is>
          <t>27BBBBB04420Z5</t>
        </is>
      </c>
      <c r="B4420" t="inlineStr">
        <is>
          <t>Jun-2018</t>
        </is>
      </c>
      <c r="C4420" s="2" t="n">
        <v>43774</v>
      </c>
      <c r="D4420" t="inlineStr">
        <is>
          <t>NON-NIL</t>
        </is>
      </c>
      <c r="E4420" t="n">
        <v>1551</v>
      </c>
    </row>
    <row r="4421">
      <c r="A4421" t="inlineStr">
        <is>
          <t>27BBBBB04421Z5</t>
        </is>
      </c>
      <c r="B4421" t="inlineStr">
        <is>
          <t>Jun-2020</t>
        </is>
      </c>
      <c r="C4421" s="2" t="n">
        <v>44695</v>
      </c>
      <c r="D4421" t="inlineStr">
        <is>
          <t>NON-NIL</t>
        </is>
      </c>
      <c r="E4421" t="n">
        <v>1544</v>
      </c>
    </row>
    <row r="4422">
      <c r="A4422" t="inlineStr">
        <is>
          <t>27BBBBB04422Z5</t>
        </is>
      </c>
      <c r="B4422" t="inlineStr">
        <is>
          <t>Jul-2018</t>
        </is>
      </c>
      <c r="C4422" s="2" t="n">
        <v>43820</v>
      </c>
      <c r="D4422" t="inlineStr">
        <is>
          <t>NON-NIL</t>
        </is>
      </c>
      <c r="E4422" t="n">
        <v>2355</v>
      </c>
    </row>
    <row r="4423">
      <c r="A4423" t="inlineStr">
        <is>
          <t>27BBBBB04423Z5</t>
        </is>
      </c>
      <c r="B4423" t="inlineStr">
        <is>
          <t>Jul-2020</t>
        </is>
      </c>
      <c r="C4423" s="2" t="n">
        <v>44021</v>
      </c>
      <c r="D4423" t="inlineStr">
        <is>
          <t>NIL</t>
        </is>
      </c>
      <c r="E4423" t="n">
        <v>1239</v>
      </c>
    </row>
    <row r="4424">
      <c r="A4424" t="inlineStr">
        <is>
          <t>27BBBBB04424Z5</t>
        </is>
      </c>
      <c r="B4424" t="inlineStr">
        <is>
          <t>Jul-2020</t>
        </is>
      </c>
      <c r="C4424" s="2" t="n">
        <v>44876</v>
      </c>
      <c r="D4424" t="inlineStr">
        <is>
          <t>NIL</t>
        </is>
      </c>
      <c r="E4424" t="n">
        <v>1609</v>
      </c>
    </row>
    <row r="4425">
      <c r="A4425" t="inlineStr">
        <is>
          <t>27BBBBB04425Z5</t>
        </is>
      </c>
      <c r="B4425" t="inlineStr">
        <is>
          <t>Mar-2020</t>
        </is>
      </c>
      <c r="C4425" s="2" t="n">
        <v>44401</v>
      </c>
      <c r="D4425" t="inlineStr">
        <is>
          <t>NIL</t>
        </is>
      </c>
      <c r="E4425" t="n">
        <v>870</v>
      </c>
    </row>
    <row r="4426">
      <c r="A4426" t="inlineStr">
        <is>
          <t>27BBBBB04426Z5</t>
        </is>
      </c>
      <c r="B4426" t="inlineStr">
        <is>
          <t>Dec-2017</t>
        </is>
      </c>
      <c r="C4426" s="2" t="n">
        <v>43534</v>
      </c>
      <c r="D4426" t="inlineStr">
        <is>
          <t>NIL</t>
        </is>
      </c>
      <c r="E4426" t="n">
        <v>661</v>
      </c>
    </row>
    <row r="4427">
      <c r="A4427" t="inlineStr">
        <is>
          <t>27BBBBB04427Z5</t>
        </is>
      </c>
      <c r="B4427" t="inlineStr">
        <is>
          <t>Oct-2017</t>
        </is>
      </c>
      <c r="C4427" s="2" t="n">
        <v>43783</v>
      </c>
      <c r="D4427" t="inlineStr">
        <is>
          <t>NON-NIL</t>
        </is>
      </c>
      <c r="E4427" t="n">
        <v>1446</v>
      </c>
    </row>
    <row r="4428">
      <c r="A4428" t="inlineStr">
        <is>
          <t>27BBBBB04428Z5</t>
        </is>
      </c>
      <c r="B4428" t="inlineStr">
        <is>
          <t>Jan-2018</t>
        </is>
      </c>
      <c r="C4428" s="2" t="n">
        <v>44354</v>
      </c>
      <c r="D4428" t="inlineStr">
        <is>
          <t>NIL</t>
        </is>
      </c>
      <c r="E4428" t="n">
        <v>2783</v>
      </c>
    </row>
    <row r="4429">
      <c r="A4429" t="inlineStr">
        <is>
          <t>27BBBBB04429Z5</t>
        </is>
      </c>
      <c r="B4429" t="inlineStr">
        <is>
          <t>Apr-2018</t>
        </is>
      </c>
      <c r="C4429" s="2" t="n">
        <v>44394</v>
      </c>
      <c r="D4429" t="inlineStr">
        <is>
          <t>NON-NIL</t>
        </is>
      </c>
      <c r="E4429" t="n">
        <v>2831</v>
      </c>
    </row>
    <row r="4430">
      <c r="A4430" t="inlineStr">
        <is>
          <t>27BBBBB04430Z5</t>
        </is>
      </c>
      <c r="B4430" t="inlineStr">
        <is>
          <t>May-2020</t>
        </is>
      </c>
      <c r="C4430" s="2" t="n">
        <v>44103</v>
      </c>
      <c r="D4430" t="inlineStr">
        <is>
          <t>NIL</t>
        </is>
      </c>
      <c r="E4430" t="n">
        <v>1254</v>
      </c>
    </row>
    <row r="4431">
      <c r="A4431" t="inlineStr">
        <is>
          <t>27BBBBB04431Z5</t>
        </is>
      </c>
      <c r="B4431" t="inlineStr">
        <is>
          <t>Jul-2018</t>
        </is>
      </c>
      <c r="C4431" s="2" t="n">
        <v>43111</v>
      </c>
      <c r="D4431" t="inlineStr">
        <is>
          <t>NIL</t>
        </is>
      </c>
      <c r="E4431" t="n">
        <v>66</v>
      </c>
    </row>
    <row r="4432">
      <c r="A4432" t="inlineStr">
        <is>
          <t>27BBBBB04432Z5</t>
        </is>
      </c>
      <c r="B4432" t="inlineStr">
        <is>
          <t>Apr-2018</t>
        </is>
      </c>
      <c r="C4432" s="2" t="n">
        <v>44088</v>
      </c>
      <c r="D4432" t="inlineStr">
        <is>
          <t>NIL</t>
        </is>
      </c>
      <c r="E4432" t="n">
        <v>1291</v>
      </c>
    </row>
    <row r="4433">
      <c r="A4433" t="inlineStr">
        <is>
          <t>27BBBBB04433Z5</t>
        </is>
      </c>
      <c r="B4433" t="inlineStr">
        <is>
          <t>Apr-2020</t>
        </is>
      </c>
      <c r="C4433" s="2" t="n">
        <v>43918</v>
      </c>
      <c r="D4433" t="inlineStr">
        <is>
          <t>NIL</t>
        </is>
      </c>
      <c r="E4433" t="n">
        <v>1369</v>
      </c>
    </row>
    <row r="4434">
      <c r="A4434" t="inlineStr">
        <is>
          <t>27BBBBB04434Z5</t>
        </is>
      </c>
      <c r="B4434" t="inlineStr">
        <is>
          <t>Mar-2023</t>
        </is>
      </c>
      <c r="C4434" s="2" t="n">
        <v>45523</v>
      </c>
      <c r="D4434" t="inlineStr">
        <is>
          <t>NIL</t>
        </is>
      </c>
      <c r="E4434" t="n">
        <v>2531</v>
      </c>
    </row>
    <row r="4435">
      <c r="A4435" t="inlineStr">
        <is>
          <t>27BBBBB04435Z5</t>
        </is>
      </c>
      <c r="B4435" t="inlineStr">
        <is>
          <t>Dec-2018</t>
        </is>
      </c>
      <c r="C4435" s="2" t="n">
        <v>43310</v>
      </c>
      <c r="D4435" t="inlineStr">
        <is>
          <t>NON-NIL</t>
        </is>
      </c>
      <c r="E4435" t="n">
        <v>1498</v>
      </c>
    </row>
    <row r="4436">
      <c r="A4436" t="inlineStr">
        <is>
          <t>27BBBBB04436Z5</t>
        </is>
      </c>
      <c r="B4436" t="inlineStr">
        <is>
          <t>Sep-2017</t>
        </is>
      </c>
      <c r="C4436" s="2" t="n">
        <v>44480</v>
      </c>
      <c r="D4436" t="inlineStr">
        <is>
          <t>NON-NIL</t>
        </is>
      </c>
      <c r="E4436" t="n">
        <v>1639</v>
      </c>
    </row>
    <row r="4437">
      <c r="A4437" t="inlineStr">
        <is>
          <t>27BBBBB04437Z5</t>
        </is>
      </c>
      <c r="B4437" t="inlineStr">
        <is>
          <t>Mar-2020</t>
        </is>
      </c>
      <c r="C4437" s="2" t="n">
        <v>43948</v>
      </c>
      <c r="D4437" t="inlineStr">
        <is>
          <t>NON-NIL</t>
        </is>
      </c>
      <c r="E4437" t="n">
        <v>2438</v>
      </c>
    </row>
    <row r="4438">
      <c r="A4438" t="inlineStr">
        <is>
          <t>27BBBBB04438Z5</t>
        </is>
      </c>
      <c r="B4438" t="inlineStr">
        <is>
          <t>Jun-2020</t>
        </is>
      </c>
      <c r="C4438" s="2" t="n">
        <v>44006</v>
      </c>
      <c r="D4438" t="inlineStr">
        <is>
          <t>NIL</t>
        </is>
      </c>
      <c r="E4438" t="n">
        <v>1971</v>
      </c>
    </row>
    <row r="4439">
      <c r="A4439" t="inlineStr">
        <is>
          <t>27BBBBB04439Z5</t>
        </is>
      </c>
      <c r="B4439" t="inlineStr">
        <is>
          <t>Aug-2018</t>
        </is>
      </c>
      <c r="C4439" s="2" t="n">
        <v>43640</v>
      </c>
      <c r="D4439" t="inlineStr">
        <is>
          <t>NIL</t>
        </is>
      </c>
      <c r="E4439" t="n">
        <v>2537</v>
      </c>
    </row>
    <row r="4440">
      <c r="A4440" t="inlineStr">
        <is>
          <t>27BBBBB04440Z5</t>
        </is>
      </c>
      <c r="B4440" t="inlineStr">
        <is>
          <t>Sep-2018</t>
        </is>
      </c>
      <c r="C4440" s="2" t="n">
        <v>44097</v>
      </c>
      <c r="D4440" t="inlineStr">
        <is>
          <t>NIL</t>
        </is>
      </c>
      <c r="E4440" t="n">
        <v>148</v>
      </c>
    </row>
    <row r="4441">
      <c r="A4441" t="inlineStr">
        <is>
          <t>27BBBBB04441Z5</t>
        </is>
      </c>
      <c r="B4441" t="inlineStr">
        <is>
          <t>May-2018</t>
        </is>
      </c>
      <c r="C4441" s="2" t="n">
        <v>43856</v>
      </c>
      <c r="D4441" t="inlineStr">
        <is>
          <t>NIL</t>
        </is>
      </c>
      <c r="E4441" t="n">
        <v>1046</v>
      </c>
    </row>
    <row r="4442">
      <c r="A4442" t="inlineStr">
        <is>
          <t>27BBBBB04442Z5</t>
        </is>
      </c>
      <c r="B4442" t="inlineStr">
        <is>
          <t>Sep-2017</t>
        </is>
      </c>
      <c r="C4442" s="2" t="n">
        <v>42951</v>
      </c>
      <c r="D4442" t="inlineStr">
        <is>
          <t>NIL</t>
        </is>
      </c>
      <c r="E4442" t="n">
        <v>2039</v>
      </c>
    </row>
    <row r="4443">
      <c r="A4443" t="inlineStr">
        <is>
          <t>27BBBBB04443Z5</t>
        </is>
      </c>
      <c r="B4443" t="inlineStr">
        <is>
          <t>Jun-2018</t>
        </is>
      </c>
      <c r="C4443" s="2" t="n">
        <v>42990</v>
      </c>
      <c r="D4443" t="inlineStr">
        <is>
          <t>NON-NIL</t>
        </is>
      </c>
      <c r="E4443" t="n">
        <v>241</v>
      </c>
    </row>
    <row r="4444">
      <c r="A4444" t="inlineStr">
        <is>
          <t>27BBBBB04444Z5</t>
        </is>
      </c>
      <c r="B4444" t="inlineStr">
        <is>
          <t>Jun-2020</t>
        </is>
      </c>
      <c r="C4444" s="2" t="n">
        <v>44264</v>
      </c>
      <c r="D4444" t="inlineStr">
        <is>
          <t>NON-NIL</t>
        </is>
      </c>
      <c r="E4444" t="n">
        <v>1115</v>
      </c>
    </row>
    <row r="4445">
      <c r="A4445" t="inlineStr">
        <is>
          <t>27BBBBB04445Z5</t>
        </is>
      </c>
      <c r="B4445" t="inlineStr">
        <is>
          <t>Jun-2018</t>
        </is>
      </c>
      <c r="C4445" s="2" t="n">
        <v>43146</v>
      </c>
      <c r="D4445" t="inlineStr">
        <is>
          <t>NIL</t>
        </is>
      </c>
      <c r="E4445" t="n">
        <v>1760</v>
      </c>
    </row>
    <row r="4446">
      <c r="A4446" t="inlineStr">
        <is>
          <t>27BBBBB04446Z5</t>
        </is>
      </c>
      <c r="B4446" t="inlineStr">
        <is>
          <t>Mar-2018</t>
        </is>
      </c>
      <c r="C4446" s="2" t="n">
        <v>42993</v>
      </c>
      <c r="D4446" t="inlineStr">
        <is>
          <t>NIL</t>
        </is>
      </c>
      <c r="E4446" t="n">
        <v>2970</v>
      </c>
    </row>
    <row r="4447">
      <c r="A4447" t="inlineStr">
        <is>
          <t>27BBBBB04447Z5</t>
        </is>
      </c>
      <c r="B4447" t="inlineStr">
        <is>
          <t>Jul-2020</t>
        </is>
      </c>
      <c r="C4447" s="2" t="n">
        <v>44441</v>
      </c>
      <c r="D4447" t="inlineStr">
        <is>
          <t>NIL</t>
        </is>
      </c>
      <c r="E4447" t="n">
        <v>2982</v>
      </c>
    </row>
    <row r="4448">
      <c r="A4448" t="inlineStr">
        <is>
          <t>27BBBBB04448Z5</t>
        </is>
      </c>
      <c r="B4448" t="inlineStr">
        <is>
          <t>Nov-2017</t>
        </is>
      </c>
      <c r="C4448" s="2" t="n">
        <v>44326</v>
      </c>
      <c r="D4448" t="inlineStr">
        <is>
          <t>NIL</t>
        </is>
      </c>
      <c r="E4448" t="n">
        <v>2724</v>
      </c>
    </row>
    <row r="4449">
      <c r="A4449" t="inlineStr">
        <is>
          <t>27BBBBB04449Z5</t>
        </is>
      </c>
      <c r="B4449" t="inlineStr">
        <is>
          <t>Jun-2020</t>
        </is>
      </c>
      <c r="C4449" s="2" t="n">
        <v>44512</v>
      </c>
      <c r="D4449" t="inlineStr">
        <is>
          <t>NON-NIL</t>
        </is>
      </c>
      <c r="E4449" t="n">
        <v>10</v>
      </c>
    </row>
    <row r="4450">
      <c r="A4450" t="inlineStr">
        <is>
          <t>27BBBBB04450Z5</t>
        </is>
      </c>
      <c r="B4450" t="inlineStr">
        <is>
          <t>Jan-2018</t>
        </is>
      </c>
      <c r="C4450" s="2" t="n">
        <v>44537</v>
      </c>
      <c r="D4450" t="inlineStr">
        <is>
          <t>NIL</t>
        </is>
      </c>
      <c r="E4450" t="n">
        <v>593</v>
      </c>
    </row>
    <row r="4451">
      <c r="A4451" t="inlineStr">
        <is>
          <t>27BBBBB04451Z5</t>
        </is>
      </c>
      <c r="B4451" t="inlineStr">
        <is>
          <t>Dec-2022</t>
        </is>
      </c>
      <c r="C4451" s="2" t="n">
        <v>43862</v>
      </c>
      <c r="D4451" t="inlineStr">
        <is>
          <t>NON-NIL</t>
        </is>
      </c>
      <c r="E4451" t="n">
        <v>1379</v>
      </c>
    </row>
    <row r="4452">
      <c r="A4452" t="inlineStr">
        <is>
          <t>27BBBBB04452Z5</t>
        </is>
      </c>
      <c r="B4452" t="inlineStr">
        <is>
          <t>Mar-2020</t>
        </is>
      </c>
      <c r="C4452" s="2" t="n">
        <v>44561</v>
      </c>
      <c r="D4452" t="inlineStr">
        <is>
          <t>NON-NIL</t>
        </is>
      </c>
      <c r="E4452" t="n">
        <v>2336</v>
      </c>
    </row>
    <row r="4453">
      <c r="A4453" t="inlineStr">
        <is>
          <t>27BBBBB04453Z5</t>
        </is>
      </c>
      <c r="B4453" t="inlineStr">
        <is>
          <t>Mar-2021</t>
        </is>
      </c>
      <c r="C4453" s="2" t="n">
        <v>44174</v>
      </c>
      <c r="D4453" t="inlineStr">
        <is>
          <t>NON-NIL</t>
        </is>
      </c>
      <c r="E4453" t="n">
        <v>287</v>
      </c>
    </row>
    <row r="4454">
      <c r="A4454" t="inlineStr">
        <is>
          <t>27BBBBB04454Z5</t>
        </is>
      </c>
      <c r="B4454" t="inlineStr">
        <is>
          <t>Apr-2020</t>
        </is>
      </c>
      <c r="C4454" s="2" t="n">
        <v>44730</v>
      </c>
      <c r="D4454" t="inlineStr">
        <is>
          <t>NIL</t>
        </is>
      </c>
      <c r="E4454" t="n">
        <v>1775</v>
      </c>
    </row>
    <row r="4455">
      <c r="A4455" t="inlineStr">
        <is>
          <t>27BBBBB04455Z5</t>
        </is>
      </c>
      <c r="B4455" t="inlineStr">
        <is>
          <t>Jul-2018</t>
        </is>
      </c>
      <c r="C4455" s="2" t="n">
        <v>43609</v>
      </c>
      <c r="D4455" t="inlineStr">
        <is>
          <t>NON-NIL</t>
        </is>
      </c>
      <c r="E4455" t="n">
        <v>887</v>
      </c>
    </row>
    <row r="4456">
      <c r="A4456" t="inlineStr">
        <is>
          <t>27BBBBB04456Z5</t>
        </is>
      </c>
      <c r="B4456" t="inlineStr">
        <is>
          <t>Jul-2018</t>
        </is>
      </c>
      <c r="C4456" s="2" t="n">
        <v>43011</v>
      </c>
      <c r="D4456" t="inlineStr">
        <is>
          <t>NIL</t>
        </is>
      </c>
      <c r="E4456" t="n">
        <v>2235</v>
      </c>
    </row>
    <row r="4457">
      <c r="A4457" t="inlineStr">
        <is>
          <t>27BBBBB04457Z5</t>
        </is>
      </c>
      <c r="B4457" t="inlineStr">
        <is>
          <t>Sep-2017</t>
        </is>
      </c>
      <c r="C4457" s="2" t="n">
        <v>43140</v>
      </c>
      <c r="D4457" t="inlineStr">
        <is>
          <t>NON-NIL</t>
        </is>
      </c>
      <c r="E4457" t="n">
        <v>1</v>
      </c>
    </row>
    <row r="4458">
      <c r="A4458" t="inlineStr">
        <is>
          <t>27BBBBB04458Z5</t>
        </is>
      </c>
      <c r="B4458" t="inlineStr">
        <is>
          <t>Jan-2018</t>
        </is>
      </c>
      <c r="C4458" s="2" t="n">
        <v>43182</v>
      </c>
      <c r="D4458" t="inlineStr">
        <is>
          <t>NIL</t>
        </is>
      </c>
      <c r="E4458" t="n">
        <v>2746</v>
      </c>
    </row>
    <row r="4459">
      <c r="A4459" t="inlineStr">
        <is>
          <t>27BBBBB04459Z5</t>
        </is>
      </c>
      <c r="B4459" t="inlineStr">
        <is>
          <t>Feb-2018</t>
        </is>
      </c>
      <c r="C4459" s="2" t="n">
        <v>43226</v>
      </c>
      <c r="D4459" t="inlineStr">
        <is>
          <t>NON-NIL</t>
        </is>
      </c>
      <c r="E4459" t="n">
        <v>823</v>
      </c>
    </row>
    <row r="4460">
      <c r="A4460" t="inlineStr">
        <is>
          <t>27BBBBB04460Z5</t>
        </is>
      </c>
      <c r="B4460" t="inlineStr">
        <is>
          <t>Dec-2018</t>
        </is>
      </c>
      <c r="C4460" s="2" t="n">
        <v>43326</v>
      </c>
      <c r="D4460" t="inlineStr">
        <is>
          <t>NON-NIL</t>
        </is>
      </c>
      <c r="E4460" t="n">
        <v>290</v>
      </c>
    </row>
    <row r="4461">
      <c r="A4461" t="inlineStr">
        <is>
          <t>27BBBBB04461Z5</t>
        </is>
      </c>
      <c r="B4461" t="inlineStr">
        <is>
          <t>Apr-2018</t>
        </is>
      </c>
      <c r="C4461" s="2" t="n">
        <v>43464</v>
      </c>
      <c r="D4461" t="inlineStr">
        <is>
          <t>NIL</t>
        </is>
      </c>
      <c r="E4461" t="n">
        <v>1924</v>
      </c>
    </row>
    <row r="4462">
      <c r="A4462" t="inlineStr">
        <is>
          <t>27BBBBB04462Z5</t>
        </is>
      </c>
      <c r="B4462" t="inlineStr">
        <is>
          <t>Mar-2020</t>
        </is>
      </c>
      <c r="C4462" s="2" t="n">
        <v>44150</v>
      </c>
      <c r="D4462" t="inlineStr">
        <is>
          <t>NIL</t>
        </is>
      </c>
      <c r="E4462" t="n">
        <v>2680</v>
      </c>
    </row>
    <row r="4463">
      <c r="A4463" t="inlineStr">
        <is>
          <t>27BBBBB04463Z5</t>
        </is>
      </c>
      <c r="B4463" t="inlineStr">
        <is>
          <t>Aug-2018</t>
        </is>
      </c>
      <c r="C4463" s="2" t="n">
        <v>43609</v>
      </c>
      <c r="D4463" t="inlineStr">
        <is>
          <t>NIL</t>
        </is>
      </c>
      <c r="E4463" t="n">
        <v>1276</v>
      </c>
    </row>
    <row r="4464">
      <c r="A4464" t="inlineStr">
        <is>
          <t>27BBBBB04464Z5</t>
        </is>
      </c>
      <c r="B4464" t="inlineStr">
        <is>
          <t>Mar-2023</t>
        </is>
      </c>
      <c r="C4464" s="2" t="n">
        <v>45700</v>
      </c>
      <c r="D4464" t="inlineStr">
        <is>
          <t>NIL</t>
        </is>
      </c>
      <c r="E4464" t="n">
        <v>258</v>
      </c>
    </row>
    <row r="4465">
      <c r="A4465" t="inlineStr">
        <is>
          <t>27BBBBB04465Z5</t>
        </is>
      </c>
      <c r="B4465" t="inlineStr">
        <is>
          <t>Oct-2017</t>
        </is>
      </c>
      <c r="C4465" s="2" t="n">
        <v>43519</v>
      </c>
      <c r="D4465" t="inlineStr">
        <is>
          <t>NON-NIL</t>
        </is>
      </c>
      <c r="E4465" t="n">
        <v>2265</v>
      </c>
    </row>
    <row r="4466">
      <c r="A4466" t="inlineStr">
        <is>
          <t>27BBBBB04466Z5</t>
        </is>
      </c>
      <c r="B4466" t="inlineStr">
        <is>
          <t>Oct-2018</t>
        </is>
      </c>
      <c r="C4466" s="2" t="n">
        <v>43281</v>
      </c>
      <c r="D4466" t="inlineStr">
        <is>
          <t>NON-NIL</t>
        </is>
      </c>
      <c r="E4466" t="n">
        <v>473</v>
      </c>
    </row>
    <row r="4467">
      <c r="A4467" t="inlineStr">
        <is>
          <t>27BBBBB04467Z5</t>
        </is>
      </c>
      <c r="B4467" t="inlineStr">
        <is>
          <t>Oct-2017</t>
        </is>
      </c>
      <c r="C4467" s="2" t="n">
        <v>43927</v>
      </c>
      <c r="D4467" t="inlineStr">
        <is>
          <t>NIL</t>
        </is>
      </c>
      <c r="E4467" t="n">
        <v>1958</v>
      </c>
    </row>
    <row r="4468">
      <c r="A4468" t="inlineStr">
        <is>
          <t>27BBBBB04468Z5</t>
        </is>
      </c>
      <c r="B4468" t="inlineStr">
        <is>
          <t>Jul-2017</t>
        </is>
      </c>
      <c r="C4468" s="2" t="n">
        <v>43271</v>
      </c>
      <c r="D4468" t="inlineStr">
        <is>
          <t>NIL</t>
        </is>
      </c>
      <c r="E4468" t="n">
        <v>1535</v>
      </c>
    </row>
    <row r="4469">
      <c r="A4469" t="inlineStr">
        <is>
          <t>27BBBBB04469Z5</t>
        </is>
      </c>
      <c r="B4469" t="inlineStr">
        <is>
          <t>Jan-2018</t>
        </is>
      </c>
      <c r="C4469" s="2" t="n">
        <v>44033</v>
      </c>
      <c r="D4469" t="inlineStr">
        <is>
          <t>NON-NIL</t>
        </is>
      </c>
      <c r="E4469" t="n">
        <v>1433</v>
      </c>
    </row>
    <row r="4470">
      <c r="A4470" t="inlineStr">
        <is>
          <t>27BBBBB04470Z5</t>
        </is>
      </c>
      <c r="B4470" t="inlineStr">
        <is>
          <t>Aug-2017</t>
        </is>
      </c>
      <c r="C4470" s="2" t="n">
        <v>43335</v>
      </c>
      <c r="D4470" t="inlineStr">
        <is>
          <t>NON-NIL</t>
        </is>
      </c>
      <c r="E4470" t="n">
        <v>1334</v>
      </c>
    </row>
    <row r="4471">
      <c r="A4471" t="inlineStr">
        <is>
          <t>27BBBBB04471Z5</t>
        </is>
      </c>
      <c r="B4471" t="inlineStr">
        <is>
          <t>May-2020</t>
        </is>
      </c>
      <c r="C4471" s="2" t="n">
        <v>44644</v>
      </c>
      <c r="D4471" t="inlineStr">
        <is>
          <t>NON-NIL</t>
        </is>
      </c>
      <c r="E4471" t="n">
        <v>916</v>
      </c>
    </row>
    <row r="4472">
      <c r="A4472" t="inlineStr">
        <is>
          <t>27BBBBB04472Z5</t>
        </is>
      </c>
      <c r="B4472" t="inlineStr">
        <is>
          <t>Sep-2017</t>
        </is>
      </c>
      <c r="C4472" s="2" t="n">
        <v>43324</v>
      </c>
      <c r="D4472" t="inlineStr">
        <is>
          <t>NIL</t>
        </is>
      </c>
      <c r="E4472" t="n">
        <v>621</v>
      </c>
    </row>
    <row r="4473">
      <c r="A4473" t="inlineStr">
        <is>
          <t>27BBBBB04473Z5</t>
        </is>
      </c>
      <c r="B4473" t="inlineStr">
        <is>
          <t>Oct-2017</t>
        </is>
      </c>
      <c r="C4473" s="2" t="n">
        <v>43332</v>
      </c>
      <c r="D4473" t="inlineStr">
        <is>
          <t>NIL</t>
        </is>
      </c>
      <c r="E4473" t="n">
        <v>2959</v>
      </c>
    </row>
    <row r="4474">
      <c r="A4474" t="inlineStr">
        <is>
          <t>27BBBBB04474Z5</t>
        </is>
      </c>
      <c r="B4474" t="inlineStr">
        <is>
          <t>Dec-2024</t>
        </is>
      </c>
      <c r="C4474" s="2" t="n">
        <v>44222</v>
      </c>
      <c r="D4474" t="inlineStr">
        <is>
          <t>NON-NIL</t>
        </is>
      </c>
      <c r="E4474" t="n">
        <v>810</v>
      </c>
    </row>
    <row r="4475">
      <c r="A4475" t="inlineStr">
        <is>
          <t>27BBBBB04475Z5</t>
        </is>
      </c>
      <c r="B4475" t="inlineStr">
        <is>
          <t>Mar-2018</t>
        </is>
      </c>
      <c r="C4475" s="2" t="n">
        <v>44367</v>
      </c>
      <c r="D4475" t="inlineStr">
        <is>
          <t>NON-NIL</t>
        </is>
      </c>
      <c r="E4475" t="n">
        <v>1554</v>
      </c>
    </row>
    <row r="4476">
      <c r="A4476" t="inlineStr">
        <is>
          <t>27BBBBB04476Z5</t>
        </is>
      </c>
      <c r="B4476" t="inlineStr">
        <is>
          <t>Jul-2020</t>
        </is>
      </c>
      <c r="C4476" s="2" t="n">
        <v>44626</v>
      </c>
      <c r="D4476" t="inlineStr">
        <is>
          <t>NIL</t>
        </is>
      </c>
      <c r="E4476" t="n">
        <v>2476</v>
      </c>
    </row>
    <row r="4477">
      <c r="A4477" t="inlineStr">
        <is>
          <t>27BBBBB04477Z5</t>
        </is>
      </c>
      <c r="B4477" t="inlineStr">
        <is>
          <t>Oct-2017</t>
        </is>
      </c>
      <c r="C4477" s="2" t="n">
        <v>43329</v>
      </c>
      <c r="D4477" t="inlineStr">
        <is>
          <t>NON-NIL</t>
        </is>
      </c>
      <c r="E4477" t="n">
        <v>730</v>
      </c>
    </row>
    <row r="4478">
      <c r="A4478" t="inlineStr">
        <is>
          <t>27BBBBB04478Z5</t>
        </is>
      </c>
      <c r="B4478" t="inlineStr">
        <is>
          <t>Sep-2017</t>
        </is>
      </c>
      <c r="C4478" s="2" t="n">
        <v>43602</v>
      </c>
      <c r="D4478" t="inlineStr">
        <is>
          <t>NIL</t>
        </is>
      </c>
      <c r="E4478" t="n">
        <v>2426</v>
      </c>
    </row>
    <row r="4479">
      <c r="A4479" t="inlineStr">
        <is>
          <t>27BBBBB04479Z5</t>
        </is>
      </c>
      <c r="B4479" t="inlineStr">
        <is>
          <t>Mar-2018</t>
        </is>
      </c>
      <c r="C4479" s="2" t="n">
        <v>43445</v>
      </c>
      <c r="D4479" t="inlineStr">
        <is>
          <t>NIL</t>
        </is>
      </c>
      <c r="E4479" t="n">
        <v>1572</v>
      </c>
    </row>
    <row r="4480">
      <c r="A4480" t="inlineStr">
        <is>
          <t>27BBBBB04480Z5</t>
        </is>
      </c>
      <c r="B4480" t="inlineStr">
        <is>
          <t>Jul-2017</t>
        </is>
      </c>
      <c r="C4480" s="2" t="n">
        <v>43074</v>
      </c>
      <c r="D4480" t="inlineStr">
        <is>
          <t>NON-NIL</t>
        </is>
      </c>
      <c r="E4480" t="n">
        <v>1716</v>
      </c>
    </row>
    <row r="4481">
      <c r="A4481" t="inlineStr">
        <is>
          <t>27BBBBB04481Z5</t>
        </is>
      </c>
      <c r="B4481" t="inlineStr">
        <is>
          <t>Jan-2021</t>
        </is>
      </c>
      <c r="C4481" s="2" t="n">
        <v>43928</v>
      </c>
      <c r="D4481" t="inlineStr">
        <is>
          <t>NIL</t>
        </is>
      </c>
      <c r="E4481" t="n">
        <v>38</v>
      </c>
    </row>
    <row r="4482">
      <c r="A4482" t="inlineStr">
        <is>
          <t>27BBBBB04482Z5</t>
        </is>
      </c>
      <c r="B4482" t="inlineStr">
        <is>
          <t>May-2018</t>
        </is>
      </c>
      <c r="C4482" s="2" t="n">
        <v>44388</v>
      </c>
      <c r="D4482" t="inlineStr">
        <is>
          <t>NON-NIL</t>
        </is>
      </c>
      <c r="E4482" t="n">
        <v>2441</v>
      </c>
    </row>
    <row r="4483">
      <c r="A4483" t="inlineStr">
        <is>
          <t>27BBBBB04483Z5</t>
        </is>
      </c>
      <c r="B4483" t="inlineStr">
        <is>
          <t>Dec-2018</t>
        </is>
      </c>
      <c r="C4483" s="2" t="n">
        <v>43493</v>
      </c>
      <c r="D4483" t="inlineStr">
        <is>
          <t>NON-NIL</t>
        </is>
      </c>
      <c r="E4483" t="n">
        <v>1850</v>
      </c>
    </row>
    <row r="4484">
      <c r="A4484" t="inlineStr">
        <is>
          <t>27BBBBB04484Z5</t>
        </is>
      </c>
      <c r="B4484" t="inlineStr">
        <is>
          <t>Jun-2018</t>
        </is>
      </c>
      <c r="C4484" s="2" t="n">
        <v>43367</v>
      </c>
      <c r="D4484" t="inlineStr">
        <is>
          <t>NIL</t>
        </is>
      </c>
      <c r="E4484" t="n">
        <v>1743</v>
      </c>
    </row>
    <row r="4485">
      <c r="A4485" t="inlineStr">
        <is>
          <t>27BBBBB04485Z5</t>
        </is>
      </c>
      <c r="B4485" t="inlineStr">
        <is>
          <t>Aug-2017</t>
        </is>
      </c>
      <c r="C4485" s="2" t="n">
        <v>42974</v>
      </c>
      <c r="D4485" t="inlineStr">
        <is>
          <t>NON-NIL</t>
        </is>
      </c>
      <c r="E4485" t="n">
        <v>1213</v>
      </c>
    </row>
    <row r="4486">
      <c r="A4486" t="inlineStr">
        <is>
          <t>27BBBBB04486Z5</t>
        </is>
      </c>
      <c r="B4486" t="inlineStr">
        <is>
          <t>Nov-2018</t>
        </is>
      </c>
      <c r="C4486" s="2" t="n">
        <v>43140</v>
      </c>
      <c r="D4486" t="inlineStr">
        <is>
          <t>NIL</t>
        </is>
      </c>
      <c r="E4486" t="n">
        <v>2806</v>
      </c>
    </row>
    <row r="4487">
      <c r="A4487" t="inlineStr">
        <is>
          <t>27BBBBB04487Z5</t>
        </is>
      </c>
      <c r="B4487" t="inlineStr">
        <is>
          <t>Jan-2018</t>
        </is>
      </c>
      <c r="C4487" s="2" t="n">
        <v>43673</v>
      </c>
      <c r="D4487" t="inlineStr">
        <is>
          <t>NIL</t>
        </is>
      </c>
      <c r="E4487" t="n">
        <v>864</v>
      </c>
    </row>
    <row r="4488">
      <c r="A4488" t="inlineStr">
        <is>
          <t>27BBBBB04488Z5</t>
        </is>
      </c>
      <c r="B4488" t="inlineStr">
        <is>
          <t>Jul-2020</t>
        </is>
      </c>
      <c r="C4488" s="2" t="n">
        <v>44331</v>
      </c>
      <c r="D4488" t="inlineStr">
        <is>
          <t>NON-NIL</t>
        </is>
      </c>
      <c r="E4488" t="n">
        <v>2547</v>
      </c>
    </row>
    <row r="4489">
      <c r="A4489" t="inlineStr">
        <is>
          <t>27BBBBB04489Z5</t>
        </is>
      </c>
      <c r="B4489" t="inlineStr">
        <is>
          <t>Mar-2018</t>
        </is>
      </c>
      <c r="C4489" s="2" t="n">
        <v>43046</v>
      </c>
      <c r="D4489" t="inlineStr">
        <is>
          <t>NON-NIL</t>
        </is>
      </c>
      <c r="E4489" t="n">
        <v>1434</v>
      </c>
    </row>
    <row r="4490">
      <c r="A4490" t="inlineStr">
        <is>
          <t>27BBBBB04490Z5</t>
        </is>
      </c>
      <c r="B4490" t="inlineStr">
        <is>
          <t>Oct-2017</t>
        </is>
      </c>
      <c r="C4490" s="2" t="n">
        <v>43943</v>
      </c>
      <c r="D4490" t="inlineStr">
        <is>
          <t>NIL</t>
        </is>
      </c>
      <c r="E4490" t="n">
        <v>2759</v>
      </c>
    </row>
    <row r="4491">
      <c r="A4491" t="inlineStr">
        <is>
          <t>27BBBBB04491Z5</t>
        </is>
      </c>
      <c r="B4491" t="inlineStr">
        <is>
          <t>Jul-2017</t>
        </is>
      </c>
      <c r="C4491" s="2" t="n">
        <v>43835</v>
      </c>
      <c r="D4491" t="inlineStr">
        <is>
          <t>NON-NIL</t>
        </is>
      </c>
      <c r="E4491" t="n">
        <v>1583</v>
      </c>
    </row>
    <row r="4492">
      <c r="A4492" t="inlineStr">
        <is>
          <t>27BBBBB04492Z5</t>
        </is>
      </c>
      <c r="B4492" t="inlineStr">
        <is>
          <t>Jun-2018</t>
        </is>
      </c>
      <c r="C4492" s="2" t="n">
        <v>44013</v>
      </c>
      <c r="D4492" t="inlineStr">
        <is>
          <t>NIL</t>
        </is>
      </c>
      <c r="E4492" t="n">
        <v>1376</v>
      </c>
    </row>
    <row r="4493">
      <c r="A4493" t="inlineStr">
        <is>
          <t>27BBBBB04493Z5</t>
        </is>
      </c>
      <c r="B4493" t="inlineStr">
        <is>
          <t>May-2018</t>
        </is>
      </c>
      <c r="C4493" s="2" t="n">
        <v>43451</v>
      </c>
      <c r="D4493" t="inlineStr">
        <is>
          <t>NIL</t>
        </is>
      </c>
      <c r="E4493" t="n">
        <v>2073</v>
      </c>
    </row>
    <row r="4494">
      <c r="A4494" t="inlineStr">
        <is>
          <t>27BBBBB04494Z5</t>
        </is>
      </c>
      <c r="B4494" t="inlineStr">
        <is>
          <t>Aug-2018</t>
        </is>
      </c>
      <c r="C4494" s="2" t="n">
        <v>44060</v>
      </c>
      <c r="D4494" t="inlineStr">
        <is>
          <t>NON-NIL</t>
        </is>
      </c>
      <c r="E4494" t="n">
        <v>361</v>
      </c>
    </row>
    <row r="4495">
      <c r="A4495" t="inlineStr">
        <is>
          <t>27BBBBB04495Z5</t>
        </is>
      </c>
      <c r="B4495" t="inlineStr">
        <is>
          <t>Nov-2017</t>
        </is>
      </c>
      <c r="C4495" s="2" t="n">
        <v>43323</v>
      </c>
      <c r="D4495" t="inlineStr">
        <is>
          <t>NON-NIL</t>
        </is>
      </c>
      <c r="E4495" t="n">
        <v>2134</v>
      </c>
    </row>
    <row r="4496">
      <c r="A4496" t="inlineStr">
        <is>
          <t>27BBBBB04496Z5</t>
        </is>
      </c>
      <c r="B4496" t="inlineStr">
        <is>
          <t>Oct-2018</t>
        </is>
      </c>
      <c r="C4496" s="2" t="n">
        <v>44165</v>
      </c>
      <c r="D4496" t="inlineStr">
        <is>
          <t>NIL</t>
        </is>
      </c>
      <c r="E4496" t="n">
        <v>1384</v>
      </c>
    </row>
    <row r="4497">
      <c r="A4497" t="inlineStr">
        <is>
          <t>27BBBBB04497Z5</t>
        </is>
      </c>
      <c r="B4497" t="inlineStr">
        <is>
          <t>Jul-2017</t>
        </is>
      </c>
      <c r="C4497" s="2" t="n">
        <v>43898</v>
      </c>
      <c r="D4497" t="inlineStr">
        <is>
          <t>NIL</t>
        </is>
      </c>
      <c r="E4497" t="n">
        <v>171</v>
      </c>
    </row>
    <row r="4498">
      <c r="A4498" t="inlineStr">
        <is>
          <t>27BBBBB04498Z5</t>
        </is>
      </c>
      <c r="B4498" t="inlineStr">
        <is>
          <t>Jul-2020</t>
        </is>
      </c>
      <c r="C4498" s="2" t="n">
        <v>43957</v>
      </c>
      <c r="D4498" t="inlineStr">
        <is>
          <t>NON-NIL</t>
        </is>
      </c>
      <c r="E4498" t="n">
        <v>521</v>
      </c>
    </row>
    <row r="4499">
      <c r="A4499" t="inlineStr">
        <is>
          <t>27BBBBB04499Z5</t>
        </is>
      </c>
      <c r="B4499" t="inlineStr">
        <is>
          <t>Mar-2020</t>
        </is>
      </c>
      <c r="C4499" s="2" t="n">
        <v>44343</v>
      </c>
      <c r="D4499" t="inlineStr">
        <is>
          <t>NON-NIL</t>
        </is>
      </c>
      <c r="E4499" t="n">
        <v>1582</v>
      </c>
    </row>
    <row r="4500">
      <c r="A4500" t="inlineStr">
        <is>
          <t>27BBBBB04500Z5</t>
        </is>
      </c>
      <c r="B4500" t="inlineStr">
        <is>
          <t>Dec-2022</t>
        </is>
      </c>
      <c r="C4500" s="2" t="n">
        <v>44483</v>
      </c>
      <c r="D4500" t="inlineStr">
        <is>
          <t>NON-NIL</t>
        </is>
      </c>
      <c r="E4500" t="n">
        <v>1745</v>
      </c>
    </row>
    <row r="4501">
      <c r="A4501" t="inlineStr">
        <is>
          <t>27BBBBB04501Z5</t>
        </is>
      </c>
      <c r="B4501" t="inlineStr">
        <is>
          <t>Jul-2018</t>
        </is>
      </c>
      <c r="C4501" s="2" t="n">
        <v>43822</v>
      </c>
      <c r="D4501" t="inlineStr">
        <is>
          <t>NIL</t>
        </is>
      </c>
      <c r="E4501" t="n">
        <v>400</v>
      </c>
    </row>
    <row r="4502">
      <c r="A4502" t="inlineStr">
        <is>
          <t>27BBBBB04502Z5</t>
        </is>
      </c>
      <c r="B4502" t="inlineStr">
        <is>
          <t>Jan-2018</t>
        </is>
      </c>
      <c r="C4502" s="2" t="n">
        <v>44466</v>
      </c>
      <c r="D4502" t="inlineStr">
        <is>
          <t>NON-NIL</t>
        </is>
      </c>
      <c r="E4502" t="n">
        <v>731</v>
      </c>
    </row>
    <row r="4503">
      <c r="A4503" t="inlineStr">
        <is>
          <t>27BBBBB04503Z5</t>
        </is>
      </c>
      <c r="B4503" t="inlineStr">
        <is>
          <t>Jul-2020</t>
        </is>
      </c>
      <c r="C4503" s="2" t="n">
        <v>44894</v>
      </c>
      <c r="D4503" t="inlineStr">
        <is>
          <t>NON-NIL</t>
        </is>
      </c>
      <c r="E4503" t="n">
        <v>1011</v>
      </c>
    </row>
    <row r="4504">
      <c r="A4504" t="inlineStr">
        <is>
          <t>27BBBBB04504Z5</t>
        </is>
      </c>
      <c r="B4504" t="inlineStr">
        <is>
          <t>Jan-2018</t>
        </is>
      </c>
      <c r="C4504" s="2" t="n">
        <v>44032</v>
      </c>
      <c r="D4504" t="inlineStr">
        <is>
          <t>NON-NIL</t>
        </is>
      </c>
      <c r="E4504" t="n">
        <v>1368</v>
      </c>
    </row>
    <row r="4505">
      <c r="A4505" t="inlineStr">
        <is>
          <t>27BBBBB04505Z5</t>
        </is>
      </c>
      <c r="B4505" t="inlineStr">
        <is>
          <t>Apr-2018</t>
        </is>
      </c>
      <c r="C4505" s="2" t="n">
        <v>43919</v>
      </c>
      <c r="D4505" t="inlineStr">
        <is>
          <t>NIL</t>
        </is>
      </c>
      <c r="E4505" t="n">
        <v>483</v>
      </c>
    </row>
    <row r="4506">
      <c r="A4506" t="inlineStr">
        <is>
          <t>27BBBBB04506Z5</t>
        </is>
      </c>
      <c r="B4506" t="inlineStr">
        <is>
          <t>Jun-2020</t>
        </is>
      </c>
      <c r="C4506" s="2" t="n">
        <v>43993</v>
      </c>
      <c r="D4506" t="inlineStr">
        <is>
          <t>NIL</t>
        </is>
      </c>
      <c r="E4506" t="n">
        <v>342</v>
      </c>
    </row>
    <row r="4507">
      <c r="A4507" t="inlineStr">
        <is>
          <t>27BBBBB04507Z5</t>
        </is>
      </c>
      <c r="B4507" t="inlineStr">
        <is>
          <t>Apr-2018</t>
        </is>
      </c>
      <c r="C4507" s="2" t="n">
        <v>43320</v>
      </c>
      <c r="D4507" t="inlineStr">
        <is>
          <t>NON-NIL</t>
        </is>
      </c>
      <c r="E4507" t="n">
        <v>2489</v>
      </c>
    </row>
    <row r="4508">
      <c r="A4508" t="inlineStr">
        <is>
          <t>27BBBBB04508Z5</t>
        </is>
      </c>
      <c r="B4508" t="inlineStr">
        <is>
          <t>Mar-2023</t>
        </is>
      </c>
      <c r="C4508" s="2" t="n">
        <v>44247</v>
      </c>
      <c r="D4508" t="inlineStr">
        <is>
          <t>NIL</t>
        </is>
      </c>
      <c r="E4508" t="n">
        <v>2334</v>
      </c>
    </row>
    <row r="4509">
      <c r="A4509" t="inlineStr">
        <is>
          <t>27BBBBB04509Z5</t>
        </is>
      </c>
      <c r="B4509" t="inlineStr">
        <is>
          <t>Mar-2018</t>
        </is>
      </c>
      <c r="C4509" s="2" t="n">
        <v>43247</v>
      </c>
      <c r="D4509" t="inlineStr">
        <is>
          <t>NON-NIL</t>
        </is>
      </c>
      <c r="E4509" t="n">
        <v>697</v>
      </c>
    </row>
    <row r="4510">
      <c r="A4510" t="inlineStr">
        <is>
          <t>27BBBBB04510Z5</t>
        </is>
      </c>
      <c r="B4510" t="inlineStr">
        <is>
          <t>Nov-2018</t>
        </is>
      </c>
      <c r="C4510" s="2" t="n">
        <v>44443</v>
      </c>
      <c r="D4510" t="inlineStr">
        <is>
          <t>NIL</t>
        </is>
      </c>
      <c r="E4510" t="n">
        <v>2181</v>
      </c>
    </row>
    <row r="4511">
      <c r="A4511" t="inlineStr">
        <is>
          <t>27BBBBB04511Z5</t>
        </is>
      </c>
      <c r="B4511" t="inlineStr">
        <is>
          <t>Nov-2018</t>
        </is>
      </c>
      <c r="C4511" s="2" t="n">
        <v>43163</v>
      </c>
      <c r="D4511" t="inlineStr">
        <is>
          <t>NON-NIL</t>
        </is>
      </c>
      <c r="E4511" t="n">
        <v>1706</v>
      </c>
    </row>
    <row r="4512">
      <c r="A4512" t="inlineStr">
        <is>
          <t>27BBBBB04512Z5</t>
        </is>
      </c>
      <c r="B4512" t="inlineStr">
        <is>
          <t>Jun-2018</t>
        </is>
      </c>
      <c r="C4512" s="2" t="n">
        <v>44438</v>
      </c>
      <c r="D4512" t="inlineStr">
        <is>
          <t>NON-NIL</t>
        </is>
      </c>
      <c r="E4512" t="n">
        <v>56</v>
      </c>
    </row>
    <row r="4513">
      <c r="A4513" t="inlineStr">
        <is>
          <t>27BBBBB04513Z5</t>
        </is>
      </c>
      <c r="B4513" t="inlineStr">
        <is>
          <t>Apr-2018</t>
        </is>
      </c>
      <c r="C4513" s="2" t="n">
        <v>43027</v>
      </c>
      <c r="D4513" t="inlineStr">
        <is>
          <t>NIL</t>
        </is>
      </c>
      <c r="E4513" t="n">
        <v>2274</v>
      </c>
    </row>
    <row r="4514">
      <c r="A4514" t="inlineStr">
        <is>
          <t>27BBBBB04514Z5</t>
        </is>
      </c>
      <c r="B4514" t="inlineStr">
        <is>
          <t>Jun-2020</t>
        </is>
      </c>
      <c r="C4514" s="2" t="n">
        <v>44782</v>
      </c>
      <c r="D4514" t="inlineStr">
        <is>
          <t>NON-NIL</t>
        </is>
      </c>
      <c r="E4514" t="n">
        <v>1249</v>
      </c>
    </row>
    <row r="4515">
      <c r="A4515" t="inlineStr">
        <is>
          <t>27BBBBB04515Z5</t>
        </is>
      </c>
      <c r="B4515" t="inlineStr">
        <is>
          <t>Sep-2018</t>
        </is>
      </c>
      <c r="C4515" s="2" t="n">
        <v>43868</v>
      </c>
      <c r="D4515" t="inlineStr">
        <is>
          <t>NIL</t>
        </is>
      </c>
      <c r="E4515" t="n">
        <v>1575</v>
      </c>
    </row>
    <row r="4516">
      <c r="A4516" t="inlineStr">
        <is>
          <t>27BBBBB04516Z5</t>
        </is>
      </c>
      <c r="B4516" t="inlineStr">
        <is>
          <t>Mar-2018</t>
        </is>
      </c>
      <c r="C4516" s="2" t="n">
        <v>44028</v>
      </c>
      <c r="D4516" t="inlineStr">
        <is>
          <t>NIL</t>
        </is>
      </c>
      <c r="E4516" t="n">
        <v>842</v>
      </c>
    </row>
    <row r="4517">
      <c r="A4517" t="inlineStr">
        <is>
          <t>27BBBBB04517Z5</t>
        </is>
      </c>
      <c r="B4517" t="inlineStr">
        <is>
          <t>Feb-2018</t>
        </is>
      </c>
      <c r="C4517" s="2" t="n">
        <v>43607</v>
      </c>
      <c r="D4517" t="inlineStr">
        <is>
          <t>NON-NIL</t>
        </is>
      </c>
      <c r="E4517" t="n">
        <v>2140</v>
      </c>
    </row>
    <row r="4518">
      <c r="A4518" t="inlineStr">
        <is>
          <t>27BBBBB04518Z5</t>
        </is>
      </c>
      <c r="B4518" t="inlineStr">
        <is>
          <t>Dec-2017</t>
        </is>
      </c>
      <c r="C4518" s="2" t="n">
        <v>44182</v>
      </c>
      <c r="D4518" t="inlineStr">
        <is>
          <t>NIL</t>
        </is>
      </c>
      <c r="E4518" t="n">
        <v>1098</v>
      </c>
    </row>
    <row r="4519">
      <c r="A4519" t="inlineStr">
        <is>
          <t>27BBBBB04519Z5</t>
        </is>
      </c>
      <c r="B4519" t="inlineStr">
        <is>
          <t>Dec-2024</t>
        </is>
      </c>
      <c r="C4519" s="2" t="n">
        <v>44629</v>
      </c>
      <c r="D4519" t="inlineStr">
        <is>
          <t>NIL</t>
        </is>
      </c>
      <c r="E4519" t="n">
        <v>949</v>
      </c>
    </row>
    <row r="4520">
      <c r="A4520" t="inlineStr">
        <is>
          <t>27BBBBB04520Z5</t>
        </is>
      </c>
      <c r="B4520" t="inlineStr">
        <is>
          <t>May-2018</t>
        </is>
      </c>
      <c r="C4520" s="2" t="n">
        <v>44503</v>
      </c>
      <c r="D4520" t="inlineStr">
        <is>
          <t>NIL</t>
        </is>
      </c>
      <c r="E4520" t="n">
        <v>1662</v>
      </c>
    </row>
    <row r="4521">
      <c r="A4521" t="inlineStr">
        <is>
          <t>27BBBBB04521Z5</t>
        </is>
      </c>
      <c r="B4521" t="inlineStr">
        <is>
          <t>Dec-2018</t>
        </is>
      </c>
      <c r="C4521" s="2" t="n">
        <v>43975</v>
      </c>
      <c r="D4521" t="inlineStr">
        <is>
          <t>NON-NIL</t>
        </is>
      </c>
      <c r="E4521" t="n">
        <v>881</v>
      </c>
    </row>
    <row r="4522">
      <c r="A4522" t="inlineStr">
        <is>
          <t>27BBBBB04522Z5</t>
        </is>
      </c>
      <c r="B4522" t="inlineStr">
        <is>
          <t>Mar-2021</t>
        </is>
      </c>
      <c r="C4522" s="2" t="n">
        <v>44480</v>
      </c>
      <c r="D4522" t="inlineStr">
        <is>
          <t>NIL</t>
        </is>
      </c>
      <c r="E4522" t="n">
        <v>2729</v>
      </c>
    </row>
    <row r="4523">
      <c r="A4523" t="inlineStr">
        <is>
          <t>27BBBBB04523Z5</t>
        </is>
      </c>
      <c r="B4523" t="inlineStr">
        <is>
          <t>Mar-2023</t>
        </is>
      </c>
      <c r="C4523" s="2" t="n">
        <v>45060</v>
      </c>
      <c r="D4523" t="inlineStr">
        <is>
          <t>NIL</t>
        </is>
      </c>
      <c r="E4523" t="n">
        <v>1605</v>
      </c>
    </row>
    <row r="4524">
      <c r="A4524" t="inlineStr">
        <is>
          <t>27BBBBB04524Z5</t>
        </is>
      </c>
      <c r="B4524" t="inlineStr">
        <is>
          <t>Jul-2020</t>
        </is>
      </c>
      <c r="C4524" s="2" t="n">
        <v>44127</v>
      </c>
      <c r="D4524" t="inlineStr">
        <is>
          <t>NON-NIL</t>
        </is>
      </c>
      <c r="E4524" t="n">
        <v>804</v>
      </c>
    </row>
    <row r="4525">
      <c r="A4525" t="inlineStr">
        <is>
          <t>27BBBBB04525Z5</t>
        </is>
      </c>
      <c r="B4525" t="inlineStr">
        <is>
          <t>Dec-2018</t>
        </is>
      </c>
      <c r="C4525" s="2" t="n">
        <v>44357</v>
      </c>
      <c r="D4525" t="inlineStr">
        <is>
          <t>NIL</t>
        </is>
      </c>
      <c r="E4525" t="n">
        <v>942</v>
      </c>
    </row>
    <row r="4526">
      <c r="A4526" t="inlineStr">
        <is>
          <t>27BBBBB04526Z5</t>
        </is>
      </c>
      <c r="B4526" t="inlineStr">
        <is>
          <t>Apr-2020</t>
        </is>
      </c>
      <c r="C4526" s="2" t="n">
        <v>44055</v>
      </c>
      <c r="D4526" t="inlineStr">
        <is>
          <t>NIL</t>
        </is>
      </c>
      <c r="E4526" t="n">
        <v>2397</v>
      </c>
    </row>
    <row r="4527">
      <c r="A4527" t="inlineStr">
        <is>
          <t>27BBBBB04527Z5</t>
        </is>
      </c>
      <c r="B4527" t="inlineStr">
        <is>
          <t>Apr-2018</t>
        </is>
      </c>
      <c r="C4527" s="2" t="n">
        <v>43880</v>
      </c>
      <c r="D4527" t="inlineStr">
        <is>
          <t>NON-NIL</t>
        </is>
      </c>
      <c r="E4527" t="n">
        <v>1141</v>
      </c>
    </row>
    <row r="4528">
      <c r="A4528" t="inlineStr">
        <is>
          <t>27BBBBB04528Z5</t>
        </is>
      </c>
      <c r="B4528" t="inlineStr">
        <is>
          <t>Jun-2018</t>
        </is>
      </c>
      <c r="C4528" s="2" t="n">
        <v>44535</v>
      </c>
      <c r="D4528" t="inlineStr">
        <is>
          <t>NON-NIL</t>
        </is>
      </c>
      <c r="E4528" t="n">
        <v>1474</v>
      </c>
    </row>
    <row r="4529">
      <c r="A4529" t="inlineStr">
        <is>
          <t>27BBBBB04529Z5</t>
        </is>
      </c>
      <c r="B4529" t="inlineStr">
        <is>
          <t>Aug-2018</t>
        </is>
      </c>
      <c r="C4529" s="2" t="n">
        <v>44384</v>
      </c>
      <c r="D4529" t="inlineStr">
        <is>
          <t>NIL</t>
        </is>
      </c>
      <c r="E4529" t="n">
        <v>786</v>
      </c>
    </row>
    <row r="4530">
      <c r="A4530" t="inlineStr">
        <is>
          <t>27BBBBB04530Z5</t>
        </is>
      </c>
      <c r="B4530" t="inlineStr">
        <is>
          <t>Jun-2020</t>
        </is>
      </c>
      <c r="C4530" s="2" t="n">
        <v>44080</v>
      </c>
      <c r="D4530" t="inlineStr">
        <is>
          <t>NON-NIL</t>
        </is>
      </c>
      <c r="E4530" t="n">
        <v>2065</v>
      </c>
    </row>
    <row r="4531">
      <c r="A4531" t="inlineStr">
        <is>
          <t>27BBBBB04531Z5</t>
        </is>
      </c>
      <c r="B4531" t="inlineStr">
        <is>
          <t>Mar-2023</t>
        </is>
      </c>
      <c r="C4531" s="2" t="n">
        <v>45045</v>
      </c>
      <c r="D4531" t="inlineStr">
        <is>
          <t>NON-NIL</t>
        </is>
      </c>
      <c r="E4531" t="n">
        <v>2385</v>
      </c>
    </row>
    <row r="4532">
      <c r="A4532" t="inlineStr">
        <is>
          <t>27BBBBB04532Z5</t>
        </is>
      </c>
      <c r="B4532" t="inlineStr">
        <is>
          <t>Dec-2017</t>
        </is>
      </c>
      <c r="C4532" s="2" t="n">
        <v>43889</v>
      </c>
      <c r="D4532" t="inlineStr">
        <is>
          <t>NON-NIL</t>
        </is>
      </c>
      <c r="E4532" t="n">
        <v>2114</v>
      </c>
    </row>
    <row r="4533">
      <c r="A4533" t="inlineStr">
        <is>
          <t>27BBBBB04533Z5</t>
        </is>
      </c>
      <c r="B4533" t="inlineStr">
        <is>
          <t>Oct-2017</t>
        </is>
      </c>
      <c r="C4533" s="2" t="n">
        <v>44209</v>
      </c>
      <c r="D4533" t="inlineStr">
        <is>
          <t>NIL</t>
        </is>
      </c>
      <c r="E4533" t="n">
        <v>2482</v>
      </c>
    </row>
    <row r="4534">
      <c r="A4534" t="inlineStr">
        <is>
          <t>27BBBBB04534Z5</t>
        </is>
      </c>
      <c r="B4534" t="inlineStr">
        <is>
          <t>May-2020</t>
        </is>
      </c>
      <c r="C4534" s="2" t="n">
        <v>44675</v>
      </c>
      <c r="D4534" t="inlineStr">
        <is>
          <t>NON-NIL</t>
        </is>
      </c>
      <c r="E4534" t="n">
        <v>1319</v>
      </c>
    </row>
    <row r="4535">
      <c r="A4535" t="inlineStr">
        <is>
          <t>27BBBBB04535Z5</t>
        </is>
      </c>
      <c r="B4535" t="inlineStr">
        <is>
          <t>Apr-2018</t>
        </is>
      </c>
      <c r="C4535" s="2" t="n">
        <v>43981</v>
      </c>
      <c r="D4535" t="inlineStr">
        <is>
          <t>NIL</t>
        </is>
      </c>
      <c r="E4535" t="n">
        <v>1886</v>
      </c>
    </row>
    <row r="4536">
      <c r="A4536" t="inlineStr">
        <is>
          <t>27BBBBB04536Z5</t>
        </is>
      </c>
      <c r="B4536" t="inlineStr">
        <is>
          <t>Oct-2018</t>
        </is>
      </c>
      <c r="C4536" s="2" t="n">
        <v>43172</v>
      </c>
      <c r="D4536" t="inlineStr">
        <is>
          <t>NON-NIL</t>
        </is>
      </c>
      <c r="E4536" t="n">
        <v>2475</v>
      </c>
    </row>
    <row r="4537">
      <c r="A4537" t="inlineStr">
        <is>
          <t>27BBBBB04537Z5</t>
        </is>
      </c>
      <c r="B4537" t="inlineStr">
        <is>
          <t>Sep-2017</t>
        </is>
      </c>
      <c r="C4537" s="2" t="n">
        <v>44215</v>
      </c>
      <c r="D4537" t="inlineStr">
        <is>
          <t>NIL</t>
        </is>
      </c>
      <c r="E4537" t="n">
        <v>2554</v>
      </c>
    </row>
    <row r="4538">
      <c r="A4538" t="inlineStr">
        <is>
          <t>27BBBBB04538Z5</t>
        </is>
      </c>
      <c r="B4538" t="inlineStr">
        <is>
          <t>Jan-2021</t>
        </is>
      </c>
      <c r="C4538" s="2" t="n">
        <v>44544</v>
      </c>
      <c r="D4538" t="inlineStr">
        <is>
          <t>NIL</t>
        </is>
      </c>
      <c r="E4538" t="n">
        <v>2963</v>
      </c>
    </row>
    <row r="4539">
      <c r="A4539" t="inlineStr">
        <is>
          <t>27BBBBB04539Z5</t>
        </is>
      </c>
      <c r="B4539" t="inlineStr">
        <is>
          <t>Feb-2018</t>
        </is>
      </c>
      <c r="C4539" s="2" t="n">
        <v>43734</v>
      </c>
      <c r="D4539" t="inlineStr">
        <is>
          <t>NON-NIL</t>
        </is>
      </c>
      <c r="E4539" t="n">
        <v>1270</v>
      </c>
    </row>
    <row r="4540">
      <c r="A4540" t="inlineStr">
        <is>
          <t>27BBBBB04540Z5</t>
        </is>
      </c>
      <c r="B4540" t="inlineStr">
        <is>
          <t>Jun-2020</t>
        </is>
      </c>
      <c r="C4540" s="2" t="n">
        <v>44743</v>
      </c>
      <c r="D4540" t="inlineStr">
        <is>
          <t>NON-NIL</t>
        </is>
      </c>
      <c r="E4540" t="n">
        <v>658</v>
      </c>
    </row>
    <row r="4541">
      <c r="A4541" t="inlineStr">
        <is>
          <t>27BBBBB04541Z5</t>
        </is>
      </c>
      <c r="B4541" t="inlineStr">
        <is>
          <t>Mar-2020</t>
        </is>
      </c>
      <c r="C4541" s="2" t="n">
        <v>44028</v>
      </c>
      <c r="D4541" t="inlineStr">
        <is>
          <t>NIL</t>
        </is>
      </c>
      <c r="E4541" t="n">
        <v>2221</v>
      </c>
    </row>
    <row r="4542">
      <c r="A4542" t="inlineStr">
        <is>
          <t>27BBBBB04542Z5</t>
        </is>
      </c>
      <c r="B4542" t="inlineStr">
        <is>
          <t>Nov-2018</t>
        </is>
      </c>
      <c r="C4542" s="2" t="n">
        <v>43497</v>
      </c>
      <c r="D4542" t="inlineStr">
        <is>
          <t>NON-NIL</t>
        </is>
      </c>
      <c r="E4542" t="n">
        <v>177</v>
      </c>
    </row>
    <row r="4543">
      <c r="A4543" t="inlineStr">
        <is>
          <t>27BBBBB04543Z5</t>
        </is>
      </c>
      <c r="B4543" t="inlineStr">
        <is>
          <t>Jan-2021</t>
        </is>
      </c>
      <c r="C4543" s="2" t="n">
        <v>43942</v>
      </c>
      <c r="D4543" t="inlineStr">
        <is>
          <t>NON-NIL</t>
        </is>
      </c>
      <c r="E4543" t="n">
        <v>1831</v>
      </c>
    </row>
    <row r="4544">
      <c r="A4544" t="inlineStr">
        <is>
          <t>27BBBBB04544Z5</t>
        </is>
      </c>
      <c r="B4544" t="inlineStr">
        <is>
          <t>Mar-2021</t>
        </is>
      </c>
      <c r="C4544" s="2" t="n">
        <v>43473</v>
      </c>
      <c r="D4544" t="inlineStr">
        <is>
          <t>NIL</t>
        </is>
      </c>
      <c r="E4544" t="n">
        <v>815</v>
      </c>
    </row>
    <row r="4545">
      <c r="A4545" t="inlineStr">
        <is>
          <t>27BBBBB04545Z5</t>
        </is>
      </c>
      <c r="B4545" t="inlineStr">
        <is>
          <t>Sep-2017</t>
        </is>
      </c>
      <c r="C4545" s="2" t="n">
        <v>44317</v>
      </c>
      <c r="D4545" t="inlineStr">
        <is>
          <t>NON-NIL</t>
        </is>
      </c>
      <c r="E4545" t="n">
        <v>451</v>
      </c>
    </row>
    <row r="4546">
      <c r="A4546" t="inlineStr">
        <is>
          <t>27BBBBB04546Z5</t>
        </is>
      </c>
      <c r="B4546" t="inlineStr">
        <is>
          <t>Oct-2018</t>
        </is>
      </c>
      <c r="C4546" s="2" t="n">
        <v>44246</v>
      </c>
      <c r="D4546" t="inlineStr">
        <is>
          <t>NIL</t>
        </is>
      </c>
      <c r="E4546" t="n">
        <v>1445</v>
      </c>
    </row>
    <row r="4547">
      <c r="A4547" t="inlineStr">
        <is>
          <t>27BBBBB04547Z5</t>
        </is>
      </c>
      <c r="B4547" t="inlineStr">
        <is>
          <t>Nov-2018</t>
        </is>
      </c>
      <c r="C4547" s="2" t="n">
        <v>44035</v>
      </c>
      <c r="D4547" t="inlineStr">
        <is>
          <t>NIL</t>
        </is>
      </c>
      <c r="E4547" t="n">
        <v>2796</v>
      </c>
    </row>
    <row r="4548">
      <c r="A4548" t="inlineStr">
        <is>
          <t>27BBBBB04548Z5</t>
        </is>
      </c>
      <c r="B4548" t="inlineStr">
        <is>
          <t>Jun-2020</t>
        </is>
      </c>
      <c r="C4548" s="2" t="n">
        <v>44888</v>
      </c>
      <c r="D4548" t="inlineStr">
        <is>
          <t>NON-NIL</t>
        </is>
      </c>
      <c r="E4548" t="n">
        <v>2816</v>
      </c>
    </row>
    <row r="4549">
      <c r="A4549" t="inlineStr">
        <is>
          <t>27BBBBB04549Z5</t>
        </is>
      </c>
      <c r="B4549" t="inlineStr">
        <is>
          <t>Mar-2018</t>
        </is>
      </c>
      <c r="C4549" s="2" t="n">
        <v>44418</v>
      </c>
      <c r="D4549" t="inlineStr">
        <is>
          <t>NIL</t>
        </is>
      </c>
      <c r="E4549" t="n">
        <v>1811</v>
      </c>
    </row>
    <row r="4550">
      <c r="A4550" t="inlineStr">
        <is>
          <t>27BBBBB04550Z5</t>
        </is>
      </c>
      <c r="B4550" t="inlineStr">
        <is>
          <t>Oct-2017</t>
        </is>
      </c>
      <c r="C4550" s="2" t="n">
        <v>44225</v>
      </c>
      <c r="D4550" t="inlineStr">
        <is>
          <t>NIL</t>
        </is>
      </c>
      <c r="E4550" t="n">
        <v>1083</v>
      </c>
    </row>
    <row r="4551">
      <c r="A4551" t="inlineStr">
        <is>
          <t>27BBBBB04551Z5</t>
        </is>
      </c>
      <c r="B4551" t="inlineStr">
        <is>
          <t>Jun-2018</t>
        </is>
      </c>
      <c r="C4551" s="2" t="n">
        <v>43584</v>
      </c>
      <c r="D4551" t="inlineStr">
        <is>
          <t>NIL</t>
        </is>
      </c>
      <c r="E4551" t="n">
        <v>719</v>
      </c>
    </row>
    <row r="4552">
      <c r="A4552" t="inlineStr">
        <is>
          <t>27BBBBB04552Z5</t>
        </is>
      </c>
      <c r="B4552" t="inlineStr">
        <is>
          <t>Dec-2018</t>
        </is>
      </c>
      <c r="C4552" s="2" t="n">
        <v>44161</v>
      </c>
      <c r="D4552" t="inlineStr">
        <is>
          <t>NON-NIL</t>
        </is>
      </c>
      <c r="E4552" t="n">
        <v>474</v>
      </c>
    </row>
    <row r="4553">
      <c r="A4553" t="inlineStr">
        <is>
          <t>27BBBBB04553Z5</t>
        </is>
      </c>
      <c r="B4553" t="inlineStr">
        <is>
          <t>Dec-2017</t>
        </is>
      </c>
      <c r="C4553" s="2" t="n">
        <v>43140</v>
      </c>
      <c r="D4553" t="inlineStr">
        <is>
          <t>NON-NIL</t>
        </is>
      </c>
      <c r="E4553" t="n">
        <v>1252</v>
      </c>
    </row>
    <row r="4554">
      <c r="A4554" t="inlineStr">
        <is>
          <t>27BBBBB04554Z5</t>
        </is>
      </c>
      <c r="B4554" t="inlineStr">
        <is>
          <t>Mar-2021</t>
        </is>
      </c>
      <c r="C4554" s="2" t="n">
        <v>44728</v>
      </c>
      <c r="D4554" t="inlineStr">
        <is>
          <t>NON-NIL</t>
        </is>
      </c>
      <c r="E4554" t="n">
        <v>1532</v>
      </c>
    </row>
    <row r="4555">
      <c r="A4555" t="inlineStr">
        <is>
          <t>27BBBBB04555Z5</t>
        </is>
      </c>
      <c r="B4555" t="inlineStr">
        <is>
          <t>Aug-2018</t>
        </is>
      </c>
      <c r="C4555" s="2" t="n">
        <v>44453</v>
      </c>
      <c r="D4555" t="inlineStr">
        <is>
          <t>NIL</t>
        </is>
      </c>
      <c r="E4555" t="n">
        <v>1603</v>
      </c>
    </row>
    <row r="4556">
      <c r="A4556" t="inlineStr">
        <is>
          <t>27BBBBB04556Z5</t>
        </is>
      </c>
      <c r="B4556" t="inlineStr">
        <is>
          <t>May-2018</t>
        </is>
      </c>
      <c r="C4556" s="2" t="n">
        <v>43171</v>
      </c>
      <c r="D4556" t="inlineStr">
        <is>
          <t>NIL</t>
        </is>
      </c>
      <c r="E4556" t="n">
        <v>1922</v>
      </c>
    </row>
    <row r="4557">
      <c r="A4557" t="inlineStr">
        <is>
          <t>27BBBBB04557Z5</t>
        </is>
      </c>
      <c r="B4557" t="inlineStr">
        <is>
          <t>Jul-2017</t>
        </is>
      </c>
      <c r="C4557" s="2" t="n">
        <v>43537</v>
      </c>
      <c r="D4557" t="inlineStr">
        <is>
          <t>NON-NIL</t>
        </is>
      </c>
      <c r="E4557" t="n">
        <v>172</v>
      </c>
    </row>
    <row r="4558">
      <c r="A4558" t="inlineStr">
        <is>
          <t>27BBBBB04558Z5</t>
        </is>
      </c>
      <c r="B4558" t="inlineStr">
        <is>
          <t>Jul-2020</t>
        </is>
      </c>
      <c r="C4558" s="2" t="n">
        <v>44166</v>
      </c>
      <c r="D4558" t="inlineStr">
        <is>
          <t>NIL</t>
        </is>
      </c>
      <c r="E4558" t="n">
        <v>1856</v>
      </c>
    </row>
    <row r="4559">
      <c r="A4559" t="inlineStr">
        <is>
          <t>27BBBBB04559Z5</t>
        </is>
      </c>
      <c r="B4559" t="inlineStr">
        <is>
          <t>Mar-2021</t>
        </is>
      </c>
      <c r="C4559" s="2" t="n">
        <v>43970</v>
      </c>
      <c r="D4559" t="inlineStr">
        <is>
          <t>NIL</t>
        </is>
      </c>
      <c r="E4559" t="n">
        <v>1485</v>
      </c>
    </row>
    <row r="4560">
      <c r="A4560" t="inlineStr">
        <is>
          <t>27BBBBB04560Z5</t>
        </is>
      </c>
      <c r="B4560" t="inlineStr">
        <is>
          <t>Jul-2017</t>
        </is>
      </c>
      <c r="C4560" s="2" t="n">
        <v>43688</v>
      </c>
      <c r="D4560" t="inlineStr">
        <is>
          <t>NIL</t>
        </is>
      </c>
      <c r="E4560" t="n">
        <v>454</v>
      </c>
    </row>
    <row r="4561">
      <c r="A4561" t="inlineStr">
        <is>
          <t>27BBBBB04561Z5</t>
        </is>
      </c>
      <c r="B4561" t="inlineStr">
        <is>
          <t>Jan-2021</t>
        </is>
      </c>
      <c r="C4561" s="2" t="n">
        <v>44028</v>
      </c>
      <c r="D4561" t="inlineStr">
        <is>
          <t>NIL</t>
        </is>
      </c>
      <c r="E4561" t="n">
        <v>897</v>
      </c>
    </row>
    <row r="4562">
      <c r="A4562" t="inlineStr">
        <is>
          <t>27BBBBB04562Z5</t>
        </is>
      </c>
      <c r="B4562" t="inlineStr">
        <is>
          <t>Dec-2024</t>
        </is>
      </c>
      <c r="C4562" s="2" t="n">
        <v>44973</v>
      </c>
      <c r="D4562" t="inlineStr">
        <is>
          <t>NIL</t>
        </is>
      </c>
      <c r="E4562" t="n">
        <v>984</v>
      </c>
    </row>
    <row r="4563">
      <c r="A4563" t="inlineStr">
        <is>
          <t>27BBBBB04563Z5</t>
        </is>
      </c>
      <c r="B4563" t="inlineStr">
        <is>
          <t>Mar-2021</t>
        </is>
      </c>
      <c r="C4563" s="2" t="n">
        <v>45286</v>
      </c>
      <c r="D4563" t="inlineStr">
        <is>
          <t>NON-NIL</t>
        </is>
      </c>
      <c r="E4563" t="n">
        <v>339</v>
      </c>
    </row>
    <row r="4564">
      <c r="A4564" t="inlineStr">
        <is>
          <t>27BBBBB04564Z5</t>
        </is>
      </c>
      <c r="B4564" t="inlineStr">
        <is>
          <t>Apr-2020</t>
        </is>
      </c>
      <c r="C4564" s="2" t="n">
        <v>44716</v>
      </c>
      <c r="D4564" t="inlineStr">
        <is>
          <t>NIL</t>
        </is>
      </c>
      <c r="E4564" t="n">
        <v>2876</v>
      </c>
    </row>
    <row r="4565">
      <c r="A4565" t="inlineStr">
        <is>
          <t>27BBBBB04565Z5</t>
        </is>
      </c>
      <c r="B4565" t="inlineStr">
        <is>
          <t>Mar-2018</t>
        </is>
      </c>
      <c r="C4565" s="2" t="n">
        <v>43683</v>
      </c>
      <c r="D4565" t="inlineStr">
        <is>
          <t>NIL</t>
        </is>
      </c>
      <c r="E4565" t="n">
        <v>1083</v>
      </c>
    </row>
    <row r="4566">
      <c r="A4566" t="inlineStr">
        <is>
          <t>27BBBBB04566Z5</t>
        </is>
      </c>
      <c r="B4566" t="inlineStr">
        <is>
          <t>Aug-2017</t>
        </is>
      </c>
      <c r="C4566" s="2" t="n">
        <v>43666</v>
      </c>
      <c r="D4566" t="inlineStr">
        <is>
          <t>NON-NIL</t>
        </is>
      </c>
      <c r="E4566" t="n">
        <v>2074</v>
      </c>
    </row>
    <row r="4567">
      <c r="A4567" t="inlineStr">
        <is>
          <t>27BBBBB04567Z5</t>
        </is>
      </c>
      <c r="B4567" t="inlineStr">
        <is>
          <t>Mar-2020</t>
        </is>
      </c>
      <c r="C4567" s="2" t="n">
        <v>44785</v>
      </c>
      <c r="D4567" t="inlineStr">
        <is>
          <t>NIL</t>
        </is>
      </c>
      <c r="E4567" t="n">
        <v>954</v>
      </c>
    </row>
    <row r="4568">
      <c r="A4568" t="inlineStr">
        <is>
          <t>27BBBBB04568Z5</t>
        </is>
      </c>
      <c r="B4568" t="inlineStr">
        <is>
          <t>Mar-2023</t>
        </is>
      </c>
      <c r="C4568" s="2" t="n">
        <v>44953</v>
      </c>
      <c r="D4568" t="inlineStr">
        <is>
          <t>NIL</t>
        </is>
      </c>
      <c r="E4568" t="n">
        <v>2327</v>
      </c>
    </row>
    <row r="4569">
      <c r="A4569" t="inlineStr">
        <is>
          <t>27BBBBB04569Z5</t>
        </is>
      </c>
      <c r="B4569" t="inlineStr">
        <is>
          <t>Jun-2020</t>
        </is>
      </c>
      <c r="C4569" s="2" t="n">
        <v>44881</v>
      </c>
      <c r="D4569" t="inlineStr">
        <is>
          <t>NON-NIL</t>
        </is>
      </c>
      <c r="E4569" t="n">
        <v>1466</v>
      </c>
    </row>
    <row r="4570">
      <c r="A4570" t="inlineStr">
        <is>
          <t>27BBBBB04570Z5</t>
        </is>
      </c>
      <c r="B4570" t="inlineStr">
        <is>
          <t>Dec-2017</t>
        </is>
      </c>
      <c r="C4570" s="2" t="n">
        <v>43264</v>
      </c>
      <c r="D4570" t="inlineStr">
        <is>
          <t>NIL</t>
        </is>
      </c>
      <c r="E4570" t="n">
        <v>2504</v>
      </c>
    </row>
    <row r="4571">
      <c r="A4571" t="inlineStr">
        <is>
          <t>27BBBBB04571Z5</t>
        </is>
      </c>
      <c r="B4571" t="inlineStr">
        <is>
          <t>Sep-2018</t>
        </is>
      </c>
      <c r="C4571" s="2" t="n">
        <v>43905</v>
      </c>
      <c r="D4571" t="inlineStr">
        <is>
          <t>NIL</t>
        </is>
      </c>
      <c r="E4571" t="n">
        <v>745</v>
      </c>
    </row>
    <row r="4572">
      <c r="A4572" t="inlineStr">
        <is>
          <t>27BBBBB04572Z5</t>
        </is>
      </c>
      <c r="B4572" t="inlineStr">
        <is>
          <t>Jun-2018</t>
        </is>
      </c>
      <c r="C4572" s="2" t="n">
        <v>44208</v>
      </c>
      <c r="D4572" t="inlineStr">
        <is>
          <t>NON-NIL</t>
        </is>
      </c>
      <c r="E4572" t="n">
        <v>1454</v>
      </c>
    </row>
    <row r="4573">
      <c r="A4573" t="inlineStr">
        <is>
          <t>27BBBBB04573Z5</t>
        </is>
      </c>
      <c r="B4573" t="inlineStr">
        <is>
          <t>Dec-2018</t>
        </is>
      </c>
      <c r="C4573" s="2" t="n">
        <v>43571</v>
      </c>
      <c r="D4573" t="inlineStr">
        <is>
          <t>NON-NIL</t>
        </is>
      </c>
      <c r="E4573" t="n">
        <v>1166</v>
      </c>
    </row>
    <row r="4574">
      <c r="A4574" t="inlineStr">
        <is>
          <t>27BBBBB04574Z5</t>
        </is>
      </c>
      <c r="B4574" t="inlineStr">
        <is>
          <t>Nov-2017</t>
        </is>
      </c>
      <c r="C4574" s="2" t="n">
        <v>43240</v>
      </c>
      <c r="D4574" t="inlineStr">
        <is>
          <t>NIL</t>
        </is>
      </c>
      <c r="E4574" t="n">
        <v>1316</v>
      </c>
    </row>
    <row r="4575">
      <c r="A4575" t="inlineStr">
        <is>
          <t>27BBBBB04575Z5</t>
        </is>
      </c>
      <c r="B4575" t="inlineStr">
        <is>
          <t>Apr-2018</t>
        </is>
      </c>
      <c r="C4575" s="2" t="n">
        <v>44409</v>
      </c>
      <c r="D4575" t="inlineStr">
        <is>
          <t>NON-NIL</t>
        </is>
      </c>
      <c r="E4575" t="n">
        <v>728</v>
      </c>
    </row>
    <row r="4576">
      <c r="A4576" t="inlineStr">
        <is>
          <t>27BBBBB04576Z5</t>
        </is>
      </c>
      <c r="B4576" t="inlineStr">
        <is>
          <t>Mar-2023</t>
        </is>
      </c>
      <c r="C4576" s="2" t="n">
        <v>45832</v>
      </c>
      <c r="D4576" t="inlineStr">
        <is>
          <t>NIL</t>
        </is>
      </c>
      <c r="E4576" t="n">
        <v>761</v>
      </c>
    </row>
    <row r="4577">
      <c r="A4577" t="inlineStr">
        <is>
          <t>27BBBBB04577Z5</t>
        </is>
      </c>
      <c r="B4577" t="inlineStr">
        <is>
          <t>Apr-2020</t>
        </is>
      </c>
      <c r="C4577" s="2" t="n">
        <v>44863</v>
      </c>
      <c r="D4577" t="inlineStr">
        <is>
          <t>NON-NIL</t>
        </is>
      </c>
      <c r="E4577" t="n">
        <v>1834</v>
      </c>
    </row>
    <row r="4578">
      <c r="A4578" t="inlineStr">
        <is>
          <t>27BBBBB04578Z5</t>
        </is>
      </c>
      <c r="B4578" t="inlineStr">
        <is>
          <t>Feb-2018</t>
        </is>
      </c>
      <c r="C4578" s="2" t="n">
        <v>43425</v>
      </c>
      <c r="D4578" t="inlineStr">
        <is>
          <t>NON-NIL</t>
        </is>
      </c>
      <c r="E4578" t="n">
        <v>2769</v>
      </c>
    </row>
    <row r="4579">
      <c r="A4579" t="inlineStr">
        <is>
          <t>27BBBBB04579Z5</t>
        </is>
      </c>
      <c r="B4579" t="inlineStr">
        <is>
          <t>Dec-2024</t>
        </is>
      </c>
      <c r="C4579" s="2" t="n">
        <v>44431</v>
      </c>
      <c r="D4579" t="inlineStr">
        <is>
          <t>NON-NIL</t>
        </is>
      </c>
      <c r="E4579" t="n">
        <v>117</v>
      </c>
    </row>
    <row r="4580">
      <c r="A4580" t="inlineStr">
        <is>
          <t>27BBBBB04580Z5</t>
        </is>
      </c>
      <c r="B4580" t="inlineStr">
        <is>
          <t>Dec-2024</t>
        </is>
      </c>
      <c r="C4580" s="2" t="n">
        <v>45220</v>
      </c>
      <c r="D4580" t="inlineStr">
        <is>
          <t>NIL</t>
        </is>
      </c>
      <c r="E4580" t="n">
        <v>598</v>
      </c>
    </row>
    <row r="4581">
      <c r="A4581" t="inlineStr">
        <is>
          <t>27BBBBB04581Z5</t>
        </is>
      </c>
      <c r="B4581" t="inlineStr">
        <is>
          <t>Jan-2018</t>
        </is>
      </c>
      <c r="C4581" s="2" t="n">
        <v>43021</v>
      </c>
      <c r="D4581" t="inlineStr">
        <is>
          <t>NIL</t>
        </is>
      </c>
      <c r="E4581" t="n">
        <v>2565</v>
      </c>
    </row>
    <row r="4582">
      <c r="A4582" t="inlineStr">
        <is>
          <t>27BBBBB04582Z5</t>
        </is>
      </c>
      <c r="B4582" t="inlineStr">
        <is>
          <t>Sep-2017</t>
        </is>
      </c>
      <c r="C4582" s="2" t="n">
        <v>43819</v>
      </c>
      <c r="D4582" t="inlineStr">
        <is>
          <t>NIL</t>
        </is>
      </c>
      <c r="E4582" t="n">
        <v>2492</v>
      </c>
    </row>
    <row r="4583">
      <c r="A4583" t="inlineStr">
        <is>
          <t>27BBBBB04583Z5</t>
        </is>
      </c>
      <c r="B4583" t="inlineStr">
        <is>
          <t>Dec-2024</t>
        </is>
      </c>
      <c r="C4583" s="2" t="n">
        <v>44915</v>
      </c>
      <c r="D4583" t="inlineStr">
        <is>
          <t>NON-NIL</t>
        </is>
      </c>
      <c r="E4583" t="n">
        <v>1953</v>
      </c>
    </row>
    <row r="4584">
      <c r="A4584" t="inlineStr">
        <is>
          <t>27BBBBB04584Z5</t>
        </is>
      </c>
      <c r="B4584" t="inlineStr">
        <is>
          <t>Dec-2022</t>
        </is>
      </c>
      <c r="C4584" s="2" t="n">
        <v>45227</v>
      </c>
      <c r="D4584" t="inlineStr">
        <is>
          <t>NIL</t>
        </is>
      </c>
      <c r="E4584" t="n">
        <v>543</v>
      </c>
    </row>
    <row r="4585">
      <c r="A4585" t="inlineStr">
        <is>
          <t>27BBBBB04585Z5</t>
        </is>
      </c>
      <c r="B4585" t="inlineStr">
        <is>
          <t>Apr-2020</t>
        </is>
      </c>
      <c r="C4585" s="2" t="n">
        <v>44597</v>
      </c>
      <c r="D4585" t="inlineStr">
        <is>
          <t>NIL</t>
        </is>
      </c>
      <c r="E4585" t="n">
        <v>1609</v>
      </c>
    </row>
    <row r="4586">
      <c r="A4586" t="inlineStr">
        <is>
          <t>27BBBBB04586Z5</t>
        </is>
      </c>
      <c r="B4586" t="inlineStr">
        <is>
          <t>Dec-2024</t>
        </is>
      </c>
      <c r="C4586" s="2" t="n">
        <v>45161</v>
      </c>
      <c r="D4586" t="inlineStr">
        <is>
          <t>NIL</t>
        </is>
      </c>
      <c r="E4586" t="n">
        <v>289</v>
      </c>
    </row>
    <row r="4587">
      <c r="A4587" t="inlineStr">
        <is>
          <t>27BBBBB04587Z5</t>
        </is>
      </c>
      <c r="B4587" t="inlineStr">
        <is>
          <t>Jun-2018</t>
        </is>
      </c>
      <c r="C4587" s="2" t="n">
        <v>44331</v>
      </c>
      <c r="D4587" t="inlineStr">
        <is>
          <t>NON-NIL</t>
        </is>
      </c>
      <c r="E4587" t="n">
        <v>2602</v>
      </c>
    </row>
    <row r="4588">
      <c r="A4588" t="inlineStr">
        <is>
          <t>27BBBBB04588Z5</t>
        </is>
      </c>
      <c r="B4588" t="inlineStr">
        <is>
          <t>Dec-2024</t>
        </is>
      </c>
      <c r="C4588" s="2" t="n">
        <v>45402</v>
      </c>
      <c r="D4588" t="inlineStr">
        <is>
          <t>NON-NIL</t>
        </is>
      </c>
      <c r="E4588" t="n">
        <v>2283</v>
      </c>
    </row>
    <row r="4589">
      <c r="A4589" t="inlineStr">
        <is>
          <t>27BBBBB04589Z5</t>
        </is>
      </c>
      <c r="B4589" t="inlineStr">
        <is>
          <t>Jan-2021</t>
        </is>
      </c>
      <c r="C4589" s="2" t="n">
        <v>45007</v>
      </c>
      <c r="D4589" t="inlineStr">
        <is>
          <t>NIL</t>
        </is>
      </c>
      <c r="E4589" t="n">
        <v>2034</v>
      </c>
    </row>
    <row r="4590">
      <c r="A4590" t="inlineStr">
        <is>
          <t>27BBBBB04590Z5</t>
        </is>
      </c>
      <c r="B4590" t="inlineStr">
        <is>
          <t>Apr-2018</t>
        </is>
      </c>
      <c r="C4590" s="2" t="n">
        <v>43923</v>
      </c>
      <c r="D4590" t="inlineStr">
        <is>
          <t>NIL</t>
        </is>
      </c>
      <c r="E4590" t="n">
        <v>969</v>
      </c>
    </row>
    <row r="4591">
      <c r="A4591" t="inlineStr">
        <is>
          <t>27BBBBB04591Z5</t>
        </is>
      </c>
      <c r="B4591" t="inlineStr">
        <is>
          <t>May-2020</t>
        </is>
      </c>
      <c r="C4591" s="2" t="n">
        <v>43864</v>
      </c>
      <c r="D4591" t="inlineStr">
        <is>
          <t>NIL</t>
        </is>
      </c>
      <c r="E4591" t="n">
        <v>1695</v>
      </c>
    </row>
    <row r="4592">
      <c r="A4592" t="inlineStr">
        <is>
          <t>27BBBBB04592Z5</t>
        </is>
      </c>
      <c r="B4592" t="inlineStr">
        <is>
          <t>Jul-2018</t>
        </is>
      </c>
      <c r="C4592" s="2" t="n">
        <v>43415</v>
      </c>
      <c r="D4592" t="inlineStr">
        <is>
          <t>NON-NIL</t>
        </is>
      </c>
      <c r="E4592" t="n">
        <v>2735</v>
      </c>
    </row>
    <row r="4593">
      <c r="A4593" t="inlineStr">
        <is>
          <t>27BBBBB04593Z5</t>
        </is>
      </c>
      <c r="B4593" t="inlineStr">
        <is>
          <t>Jul-2020</t>
        </is>
      </c>
      <c r="C4593" s="2" t="n">
        <v>43941</v>
      </c>
      <c r="D4593" t="inlineStr">
        <is>
          <t>NIL</t>
        </is>
      </c>
      <c r="E4593" t="n">
        <v>1580</v>
      </c>
    </row>
    <row r="4594">
      <c r="A4594" t="inlineStr">
        <is>
          <t>27BBBBB04594Z5</t>
        </is>
      </c>
      <c r="B4594" t="inlineStr">
        <is>
          <t>May-2020</t>
        </is>
      </c>
      <c r="C4594" s="2" t="n">
        <v>44878</v>
      </c>
      <c r="D4594" t="inlineStr">
        <is>
          <t>NON-NIL</t>
        </is>
      </c>
      <c r="E4594" t="n">
        <v>477</v>
      </c>
    </row>
    <row r="4595">
      <c r="A4595" t="inlineStr">
        <is>
          <t>27BBBBB04595Z5</t>
        </is>
      </c>
      <c r="B4595" t="inlineStr">
        <is>
          <t>Jun-2020</t>
        </is>
      </c>
      <c r="C4595" s="2" t="n">
        <v>44765</v>
      </c>
      <c r="D4595" t="inlineStr">
        <is>
          <t>NON-NIL</t>
        </is>
      </c>
      <c r="E4595" t="n">
        <v>2058</v>
      </c>
    </row>
    <row r="4596">
      <c r="A4596" t="inlineStr">
        <is>
          <t>27BBBBB04596Z5</t>
        </is>
      </c>
      <c r="B4596" t="inlineStr">
        <is>
          <t>Mar-2018</t>
        </is>
      </c>
      <c r="C4596" s="2" t="n">
        <v>42957</v>
      </c>
      <c r="D4596" t="inlineStr">
        <is>
          <t>NON-NIL</t>
        </is>
      </c>
      <c r="E4596" t="n">
        <v>927</v>
      </c>
    </row>
    <row r="4597">
      <c r="A4597" t="inlineStr">
        <is>
          <t>27BBBBB04597Z5</t>
        </is>
      </c>
      <c r="B4597" t="inlineStr">
        <is>
          <t>Mar-2021</t>
        </is>
      </c>
      <c r="C4597" s="2" t="n">
        <v>43739</v>
      </c>
      <c r="D4597" t="inlineStr">
        <is>
          <t>NON-NIL</t>
        </is>
      </c>
      <c r="E4597" t="n">
        <v>1359</v>
      </c>
    </row>
    <row r="4598">
      <c r="A4598" t="inlineStr">
        <is>
          <t>27BBBBB04598Z5</t>
        </is>
      </c>
      <c r="B4598" t="inlineStr">
        <is>
          <t>Dec-2018</t>
        </is>
      </c>
      <c r="C4598" s="2" t="n">
        <v>43584</v>
      </c>
      <c r="D4598" t="inlineStr">
        <is>
          <t>NIL</t>
        </is>
      </c>
      <c r="E4598" t="n">
        <v>763</v>
      </c>
    </row>
    <row r="4599">
      <c r="A4599" t="inlineStr">
        <is>
          <t>27BBBBB04599Z5</t>
        </is>
      </c>
      <c r="B4599" t="inlineStr">
        <is>
          <t>Nov-2018</t>
        </is>
      </c>
      <c r="C4599" s="2" t="n">
        <v>43970</v>
      </c>
      <c r="D4599" t="inlineStr">
        <is>
          <t>NON-NIL</t>
        </is>
      </c>
      <c r="E4599" t="n">
        <v>1598</v>
      </c>
    </row>
    <row r="4600">
      <c r="A4600" t="inlineStr">
        <is>
          <t>27BBBBB04600Z5</t>
        </is>
      </c>
      <c r="B4600" t="inlineStr">
        <is>
          <t>Jan-2021</t>
        </is>
      </c>
      <c r="C4600" s="2" t="n">
        <v>43970</v>
      </c>
      <c r="D4600" t="inlineStr">
        <is>
          <t>NON-NIL</t>
        </is>
      </c>
      <c r="E4600" t="n">
        <v>642</v>
      </c>
    </row>
    <row r="4601">
      <c r="A4601" t="inlineStr">
        <is>
          <t>27BBBBB04601Z5</t>
        </is>
      </c>
      <c r="B4601" t="inlineStr">
        <is>
          <t>Sep-2018</t>
        </is>
      </c>
      <c r="C4601" s="2" t="n">
        <v>43475</v>
      </c>
      <c r="D4601" t="inlineStr">
        <is>
          <t>NON-NIL</t>
        </is>
      </c>
      <c r="E4601" t="n">
        <v>237</v>
      </c>
    </row>
    <row r="4602">
      <c r="A4602" t="inlineStr">
        <is>
          <t>27BBBBB04602Z5</t>
        </is>
      </c>
      <c r="B4602" t="inlineStr">
        <is>
          <t>Jul-2017</t>
        </is>
      </c>
      <c r="C4602" s="2" t="n">
        <v>43420</v>
      </c>
      <c r="D4602" t="inlineStr">
        <is>
          <t>NON-NIL</t>
        </is>
      </c>
      <c r="E4602" t="n">
        <v>368</v>
      </c>
    </row>
    <row r="4603">
      <c r="A4603" t="inlineStr">
        <is>
          <t>27BBBBB04603Z5</t>
        </is>
      </c>
      <c r="B4603" t="inlineStr">
        <is>
          <t>Jul-2017</t>
        </is>
      </c>
      <c r="C4603" s="2" t="n">
        <v>44478</v>
      </c>
      <c r="D4603" t="inlineStr">
        <is>
          <t>NON-NIL</t>
        </is>
      </c>
      <c r="E4603" t="n">
        <v>2297</v>
      </c>
    </row>
    <row r="4604">
      <c r="A4604" t="inlineStr">
        <is>
          <t>27BBBBB04604Z5</t>
        </is>
      </c>
      <c r="B4604" t="inlineStr">
        <is>
          <t>Dec-2022</t>
        </is>
      </c>
      <c r="C4604" s="2" t="n">
        <v>45747</v>
      </c>
      <c r="D4604" t="inlineStr">
        <is>
          <t>NIL</t>
        </is>
      </c>
      <c r="E4604" t="n">
        <v>2163</v>
      </c>
    </row>
    <row r="4605">
      <c r="A4605" t="inlineStr">
        <is>
          <t>27BBBBB04605Z5</t>
        </is>
      </c>
      <c r="B4605" t="inlineStr">
        <is>
          <t>Sep-2018</t>
        </is>
      </c>
      <c r="C4605" s="2" t="n">
        <v>42974</v>
      </c>
      <c r="D4605" t="inlineStr">
        <is>
          <t>NIL</t>
        </is>
      </c>
      <c r="E4605" t="n">
        <v>1527</v>
      </c>
    </row>
    <row r="4606">
      <c r="A4606" t="inlineStr">
        <is>
          <t>27BBBBB04606Z5</t>
        </is>
      </c>
      <c r="B4606" t="inlineStr">
        <is>
          <t>Sep-2017</t>
        </is>
      </c>
      <c r="C4606" s="2" t="n">
        <v>43893</v>
      </c>
      <c r="D4606" t="inlineStr">
        <is>
          <t>NIL</t>
        </is>
      </c>
      <c r="E4606" t="n">
        <v>2412</v>
      </c>
    </row>
    <row r="4607">
      <c r="A4607" t="inlineStr">
        <is>
          <t>27BBBBB04607Z5</t>
        </is>
      </c>
      <c r="B4607" t="inlineStr">
        <is>
          <t>Mar-2020</t>
        </is>
      </c>
      <c r="C4607" s="2" t="n">
        <v>44382</v>
      </c>
      <c r="D4607" t="inlineStr">
        <is>
          <t>NON-NIL</t>
        </is>
      </c>
      <c r="E4607" t="n">
        <v>1056</v>
      </c>
    </row>
    <row r="4608">
      <c r="A4608" t="inlineStr">
        <is>
          <t>27BBBBB04608Z5</t>
        </is>
      </c>
      <c r="B4608" t="inlineStr">
        <is>
          <t>May-2018</t>
        </is>
      </c>
      <c r="C4608" s="2" t="n">
        <v>42947</v>
      </c>
      <c r="D4608" t="inlineStr">
        <is>
          <t>NIL</t>
        </is>
      </c>
      <c r="E4608" t="n">
        <v>2473</v>
      </c>
    </row>
    <row r="4609">
      <c r="A4609" t="inlineStr">
        <is>
          <t>27BBBBB04609Z5</t>
        </is>
      </c>
      <c r="B4609" t="inlineStr">
        <is>
          <t>Oct-2018</t>
        </is>
      </c>
      <c r="C4609" s="2" t="n">
        <v>43018</v>
      </c>
      <c r="D4609" t="inlineStr">
        <is>
          <t>NON-NIL</t>
        </is>
      </c>
      <c r="E4609" t="n">
        <v>1095</v>
      </c>
    </row>
    <row r="4610">
      <c r="A4610" t="inlineStr">
        <is>
          <t>27BBBBB04610Z5</t>
        </is>
      </c>
      <c r="B4610" t="inlineStr">
        <is>
          <t>Jun-2020</t>
        </is>
      </c>
      <c r="C4610" s="2" t="n">
        <v>44359</v>
      </c>
      <c r="D4610" t="inlineStr">
        <is>
          <t>NIL</t>
        </is>
      </c>
      <c r="E4610" t="n">
        <v>2835</v>
      </c>
    </row>
    <row r="4611">
      <c r="A4611" t="inlineStr">
        <is>
          <t>27BBBBB04611Z5</t>
        </is>
      </c>
      <c r="B4611" t="inlineStr">
        <is>
          <t>Oct-2018</t>
        </is>
      </c>
      <c r="C4611" s="2" t="n">
        <v>44268</v>
      </c>
      <c r="D4611" t="inlineStr">
        <is>
          <t>NIL</t>
        </is>
      </c>
      <c r="E4611" t="n">
        <v>2621</v>
      </c>
    </row>
    <row r="4612">
      <c r="A4612" t="inlineStr">
        <is>
          <t>27BBBBB04612Z5</t>
        </is>
      </c>
      <c r="B4612" t="inlineStr">
        <is>
          <t>Dec-2017</t>
        </is>
      </c>
      <c r="C4612" s="2" t="n">
        <v>44310</v>
      </c>
      <c r="D4612" t="inlineStr">
        <is>
          <t>NON-NIL</t>
        </is>
      </c>
      <c r="E4612" t="n">
        <v>936</v>
      </c>
    </row>
    <row r="4613">
      <c r="A4613" t="inlineStr">
        <is>
          <t>27BBBBB04613Z5</t>
        </is>
      </c>
      <c r="B4613" t="inlineStr">
        <is>
          <t>Dec-2022</t>
        </is>
      </c>
      <c r="C4613" s="2" t="n">
        <v>44645</v>
      </c>
      <c r="D4613" t="inlineStr">
        <is>
          <t>NON-NIL</t>
        </is>
      </c>
      <c r="E4613" t="n">
        <v>435</v>
      </c>
    </row>
    <row r="4614">
      <c r="A4614" t="inlineStr">
        <is>
          <t>27BBBBB04614Z5</t>
        </is>
      </c>
      <c r="B4614" t="inlineStr">
        <is>
          <t>Oct-2017</t>
        </is>
      </c>
      <c r="C4614" s="2" t="n">
        <v>43582</v>
      </c>
      <c r="D4614" t="inlineStr">
        <is>
          <t>NON-NIL</t>
        </is>
      </c>
      <c r="E4614" t="n">
        <v>2563</v>
      </c>
    </row>
    <row r="4615">
      <c r="A4615" t="inlineStr">
        <is>
          <t>27BBBBB04615Z5</t>
        </is>
      </c>
      <c r="B4615" t="inlineStr">
        <is>
          <t>May-2018</t>
        </is>
      </c>
      <c r="C4615" s="2" t="n">
        <v>43290</v>
      </c>
      <c r="D4615" t="inlineStr">
        <is>
          <t>NON-NIL</t>
        </is>
      </c>
      <c r="E4615" t="n">
        <v>2578</v>
      </c>
    </row>
    <row r="4616">
      <c r="A4616" t="inlineStr">
        <is>
          <t>27BBBBB04616Z5</t>
        </is>
      </c>
      <c r="B4616" t="inlineStr">
        <is>
          <t>Jul-2017</t>
        </is>
      </c>
      <c r="C4616" s="2" t="n">
        <v>44537</v>
      </c>
      <c r="D4616" t="inlineStr">
        <is>
          <t>NIL</t>
        </is>
      </c>
      <c r="E4616" t="n">
        <v>1799</v>
      </c>
    </row>
    <row r="4617">
      <c r="A4617" t="inlineStr">
        <is>
          <t>27BBBBB04617Z5</t>
        </is>
      </c>
      <c r="B4617" t="inlineStr">
        <is>
          <t>Dec-2018</t>
        </is>
      </c>
      <c r="C4617" s="2" t="n">
        <v>44308</v>
      </c>
      <c r="D4617" t="inlineStr">
        <is>
          <t>NIL</t>
        </is>
      </c>
      <c r="E4617" t="n">
        <v>220</v>
      </c>
    </row>
    <row r="4618">
      <c r="A4618" t="inlineStr">
        <is>
          <t>27BBBBB04618Z5</t>
        </is>
      </c>
      <c r="B4618" t="inlineStr">
        <is>
          <t>Oct-2017</t>
        </is>
      </c>
      <c r="C4618" s="2" t="n">
        <v>43658</v>
      </c>
      <c r="D4618" t="inlineStr">
        <is>
          <t>NIL</t>
        </is>
      </c>
      <c r="E4618" t="n">
        <v>469</v>
      </c>
    </row>
    <row r="4619">
      <c r="A4619" t="inlineStr">
        <is>
          <t>27BBBBB04619Z5</t>
        </is>
      </c>
      <c r="B4619" t="inlineStr">
        <is>
          <t>Feb-2018</t>
        </is>
      </c>
      <c r="C4619" s="2" t="n">
        <v>42978</v>
      </c>
      <c r="D4619" t="inlineStr">
        <is>
          <t>NIL</t>
        </is>
      </c>
      <c r="E4619" t="n">
        <v>2435</v>
      </c>
    </row>
    <row r="4620">
      <c r="A4620" t="inlineStr">
        <is>
          <t>27BBBBB04620Z5</t>
        </is>
      </c>
      <c r="B4620" t="inlineStr">
        <is>
          <t>Jun-2018</t>
        </is>
      </c>
      <c r="C4620" s="2" t="n">
        <v>43307</v>
      </c>
      <c r="D4620" t="inlineStr">
        <is>
          <t>NIL</t>
        </is>
      </c>
      <c r="E4620" t="n">
        <v>305</v>
      </c>
    </row>
    <row r="4621">
      <c r="A4621" t="inlineStr">
        <is>
          <t>27BBBBB04621Z5</t>
        </is>
      </c>
      <c r="B4621" t="inlineStr">
        <is>
          <t>Mar-2021</t>
        </is>
      </c>
      <c r="C4621" s="2" t="n">
        <v>45242</v>
      </c>
      <c r="D4621" t="inlineStr">
        <is>
          <t>NON-NIL</t>
        </is>
      </c>
      <c r="E4621" t="n">
        <v>2603</v>
      </c>
    </row>
    <row r="4622">
      <c r="A4622" t="inlineStr">
        <is>
          <t>27BBBBB04622Z5</t>
        </is>
      </c>
      <c r="B4622" t="inlineStr">
        <is>
          <t>Jun-2020</t>
        </is>
      </c>
      <c r="C4622" s="2" t="n">
        <v>44083</v>
      </c>
      <c r="D4622" t="inlineStr">
        <is>
          <t>NON-NIL</t>
        </is>
      </c>
      <c r="E4622" t="n">
        <v>521</v>
      </c>
    </row>
    <row r="4623">
      <c r="A4623" t="inlineStr">
        <is>
          <t>27BBBBB04623Z5</t>
        </is>
      </c>
      <c r="B4623" t="inlineStr">
        <is>
          <t>Nov-2017</t>
        </is>
      </c>
      <c r="C4623" s="2" t="n">
        <v>44464</v>
      </c>
      <c r="D4623" t="inlineStr">
        <is>
          <t>NIL</t>
        </is>
      </c>
      <c r="E4623" t="n">
        <v>1076</v>
      </c>
    </row>
    <row r="4624">
      <c r="A4624" t="inlineStr">
        <is>
          <t>27BBBBB04624Z5</t>
        </is>
      </c>
      <c r="B4624" t="inlineStr">
        <is>
          <t>May-2018</t>
        </is>
      </c>
      <c r="C4624" s="2" t="n">
        <v>44539</v>
      </c>
      <c r="D4624" t="inlineStr">
        <is>
          <t>NIL</t>
        </is>
      </c>
      <c r="E4624" t="n">
        <v>2254</v>
      </c>
    </row>
    <row r="4625">
      <c r="A4625" t="inlineStr">
        <is>
          <t>27BBBBB04625Z5</t>
        </is>
      </c>
      <c r="B4625" t="inlineStr">
        <is>
          <t>Mar-2020</t>
        </is>
      </c>
      <c r="C4625" s="2" t="n">
        <v>44696</v>
      </c>
      <c r="D4625" t="inlineStr">
        <is>
          <t>NIL</t>
        </is>
      </c>
      <c r="E4625" t="n">
        <v>2815</v>
      </c>
    </row>
    <row r="4626">
      <c r="A4626" t="inlineStr">
        <is>
          <t>27BBBBB04626Z5</t>
        </is>
      </c>
      <c r="B4626" t="inlineStr">
        <is>
          <t>Dec-2022</t>
        </is>
      </c>
      <c r="C4626" s="2" t="n">
        <v>45433</v>
      </c>
      <c r="D4626" t="inlineStr">
        <is>
          <t>NIL</t>
        </is>
      </c>
      <c r="E4626" t="n">
        <v>888</v>
      </c>
    </row>
    <row r="4627">
      <c r="A4627" t="inlineStr">
        <is>
          <t>27BBBBB04627Z5</t>
        </is>
      </c>
      <c r="B4627" t="inlineStr">
        <is>
          <t>Oct-2018</t>
        </is>
      </c>
      <c r="C4627" s="2" t="n">
        <v>44488</v>
      </c>
      <c r="D4627" t="inlineStr">
        <is>
          <t>NON-NIL</t>
        </is>
      </c>
      <c r="E4627" t="n">
        <v>1569</v>
      </c>
    </row>
    <row r="4628">
      <c r="A4628" t="inlineStr">
        <is>
          <t>27BBBBB04628Z5</t>
        </is>
      </c>
      <c r="B4628" t="inlineStr">
        <is>
          <t>Dec-2022</t>
        </is>
      </c>
      <c r="C4628" s="2" t="n">
        <v>45381</v>
      </c>
      <c r="D4628" t="inlineStr">
        <is>
          <t>NIL</t>
        </is>
      </c>
      <c r="E4628" t="n">
        <v>2692</v>
      </c>
    </row>
    <row r="4629">
      <c r="A4629" t="inlineStr">
        <is>
          <t>27BBBBB04629Z5</t>
        </is>
      </c>
      <c r="B4629" t="inlineStr">
        <is>
          <t>Dec-2024</t>
        </is>
      </c>
      <c r="C4629" s="2" t="n">
        <v>45762</v>
      </c>
      <c r="D4629" t="inlineStr">
        <is>
          <t>NIL</t>
        </is>
      </c>
      <c r="E4629" t="n">
        <v>1573</v>
      </c>
    </row>
    <row r="4630">
      <c r="A4630" t="inlineStr">
        <is>
          <t>27BBBBB04630Z5</t>
        </is>
      </c>
      <c r="B4630" t="inlineStr">
        <is>
          <t>Mar-2021</t>
        </is>
      </c>
      <c r="C4630" s="2" t="n">
        <v>43506</v>
      </c>
      <c r="D4630" t="inlineStr">
        <is>
          <t>NON-NIL</t>
        </is>
      </c>
      <c r="E4630" t="n">
        <v>217</v>
      </c>
    </row>
    <row r="4631">
      <c r="A4631" t="inlineStr">
        <is>
          <t>27BBBBB04631Z5</t>
        </is>
      </c>
      <c r="B4631" t="inlineStr">
        <is>
          <t>May-2018</t>
        </is>
      </c>
      <c r="C4631" s="2" t="n">
        <v>44385</v>
      </c>
      <c r="D4631" t="inlineStr">
        <is>
          <t>NIL</t>
        </is>
      </c>
      <c r="E4631" t="n">
        <v>2914</v>
      </c>
    </row>
    <row r="4632">
      <c r="A4632" t="inlineStr">
        <is>
          <t>27BBBBB04632Z5</t>
        </is>
      </c>
      <c r="B4632" t="inlineStr">
        <is>
          <t>Aug-2018</t>
        </is>
      </c>
      <c r="C4632" s="2" t="n">
        <v>43510</v>
      </c>
      <c r="D4632" t="inlineStr">
        <is>
          <t>NIL</t>
        </is>
      </c>
      <c r="E4632" t="n">
        <v>1453</v>
      </c>
    </row>
    <row r="4633">
      <c r="A4633" t="inlineStr">
        <is>
          <t>27BBBBB04633Z5</t>
        </is>
      </c>
      <c r="B4633" t="inlineStr">
        <is>
          <t>Oct-2017</t>
        </is>
      </c>
      <c r="C4633" s="2" t="n">
        <v>43097</v>
      </c>
      <c r="D4633" t="inlineStr">
        <is>
          <t>NIL</t>
        </is>
      </c>
      <c r="E4633" t="n">
        <v>729</v>
      </c>
    </row>
    <row r="4634">
      <c r="A4634" t="inlineStr">
        <is>
          <t>27BBBBB04634Z5</t>
        </is>
      </c>
      <c r="B4634" t="inlineStr">
        <is>
          <t>Dec-2018</t>
        </is>
      </c>
      <c r="C4634" s="2" t="n">
        <v>44412</v>
      </c>
      <c r="D4634" t="inlineStr">
        <is>
          <t>NON-NIL</t>
        </is>
      </c>
      <c r="E4634" t="n">
        <v>90</v>
      </c>
    </row>
    <row r="4635">
      <c r="A4635" t="inlineStr">
        <is>
          <t>27BBBBB04635Z5</t>
        </is>
      </c>
      <c r="B4635" t="inlineStr">
        <is>
          <t>Mar-2023</t>
        </is>
      </c>
      <c r="C4635" s="2" t="n">
        <v>43864</v>
      </c>
      <c r="D4635" t="inlineStr">
        <is>
          <t>NON-NIL</t>
        </is>
      </c>
      <c r="E4635" t="n">
        <v>2970</v>
      </c>
    </row>
    <row r="4636">
      <c r="A4636" t="inlineStr">
        <is>
          <t>27BBBBB04636Z5</t>
        </is>
      </c>
      <c r="B4636" t="inlineStr">
        <is>
          <t>Mar-2018</t>
        </is>
      </c>
      <c r="C4636" s="2" t="n">
        <v>43000</v>
      </c>
      <c r="D4636" t="inlineStr">
        <is>
          <t>NON-NIL</t>
        </is>
      </c>
      <c r="E4636" t="n">
        <v>2540</v>
      </c>
    </row>
    <row r="4637">
      <c r="A4637" t="inlineStr">
        <is>
          <t>27BBBBB04637Z5</t>
        </is>
      </c>
      <c r="B4637" t="inlineStr">
        <is>
          <t>Jul-2017</t>
        </is>
      </c>
      <c r="C4637" s="2" t="n">
        <v>43476</v>
      </c>
      <c r="D4637" t="inlineStr">
        <is>
          <t>NIL</t>
        </is>
      </c>
      <c r="E4637" t="n">
        <v>2114</v>
      </c>
    </row>
    <row r="4638">
      <c r="A4638" t="inlineStr">
        <is>
          <t>27BBBBB04638Z5</t>
        </is>
      </c>
      <c r="B4638" t="inlineStr">
        <is>
          <t>Mar-2020</t>
        </is>
      </c>
      <c r="C4638" s="2" t="n">
        <v>44223</v>
      </c>
      <c r="D4638" t="inlineStr">
        <is>
          <t>NON-NIL</t>
        </is>
      </c>
      <c r="E4638" t="n">
        <v>922</v>
      </c>
    </row>
    <row r="4639">
      <c r="A4639" t="inlineStr">
        <is>
          <t>27BBBBB04639Z5</t>
        </is>
      </c>
      <c r="B4639" t="inlineStr">
        <is>
          <t>Oct-2017</t>
        </is>
      </c>
      <c r="C4639" s="2" t="n">
        <v>43847</v>
      </c>
      <c r="D4639" t="inlineStr">
        <is>
          <t>NIL</t>
        </is>
      </c>
      <c r="E4639" t="n">
        <v>599</v>
      </c>
    </row>
    <row r="4640">
      <c r="A4640" t="inlineStr">
        <is>
          <t>27BBBBB04640Z5</t>
        </is>
      </c>
      <c r="B4640" t="inlineStr">
        <is>
          <t>Dec-2024</t>
        </is>
      </c>
      <c r="C4640" s="2" t="n">
        <v>44657</v>
      </c>
      <c r="D4640" t="inlineStr">
        <is>
          <t>NON-NIL</t>
        </is>
      </c>
      <c r="E4640" t="n">
        <v>447</v>
      </c>
    </row>
    <row r="4641">
      <c r="A4641" t="inlineStr">
        <is>
          <t>27BBBBB04641Z5</t>
        </is>
      </c>
      <c r="B4641" t="inlineStr">
        <is>
          <t>Jun-2018</t>
        </is>
      </c>
      <c r="C4641" s="2" t="n">
        <v>44288</v>
      </c>
      <c r="D4641" t="inlineStr">
        <is>
          <t>NON-NIL</t>
        </is>
      </c>
      <c r="E4641" t="n">
        <v>640</v>
      </c>
    </row>
    <row r="4642">
      <c r="A4642" t="inlineStr">
        <is>
          <t>27BBBBB04642Z5</t>
        </is>
      </c>
      <c r="B4642" t="inlineStr">
        <is>
          <t>Nov-2017</t>
        </is>
      </c>
      <c r="C4642" s="2" t="n">
        <v>43511</v>
      </c>
      <c r="D4642" t="inlineStr">
        <is>
          <t>NIL</t>
        </is>
      </c>
      <c r="E4642" t="n">
        <v>273</v>
      </c>
    </row>
    <row r="4643">
      <c r="A4643" t="inlineStr">
        <is>
          <t>27BBBBB04643Z5</t>
        </is>
      </c>
      <c r="B4643" t="inlineStr">
        <is>
          <t>Feb-2018</t>
        </is>
      </c>
      <c r="C4643" s="2" t="n">
        <v>43450</v>
      </c>
      <c r="D4643" t="inlineStr">
        <is>
          <t>NIL</t>
        </is>
      </c>
      <c r="E4643" t="n">
        <v>1202</v>
      </c>
    </row>
    <row r="4644">
      <c r="A4644" t="inlineStr">
        <is>
          <t>27BBBBB04644Z5</t>
        </is>
      </c>
      <c r="B4644" t="inlineStr">
        <is>
          <t>Dec-2018</t>
        </is>
      </c>
      <c r="C4644" s="2" t="n">
        <v>43129</v>
      </c>
      <c r="D4644" t="inlineStr">
        <is>
          <t>NIL</t>
        </is>
      </c>
      <c r="E4644" t="n">
        <v>1699</v>
      </c>
    </row>
    <row r="4645">
      <c r="A4645" t="inlineStr">
        <is>
          <t>27BBBBB04645Z5</t>
        </is>
      </c>
      <c r="B4645" t="inlineStr">
        <is>
          <t>Jan-2021</t>
        </is>
      </c>
      <c r="C4645" s="2" t="n">
        <v>45715</v>
      </c>
      <c r="D4645" t="inlineStr">
        <is>
          <t>NIL</t>
        </is>
      </c>
      <c r="E4645" t="n">
        <v>1575</v>
      </c>
    </row>
    <row r="4646">
      <c r="A4646" t="inlineStr">
        <is>
          <t>27BBBBB04646Z5</t>
        </is>
      </c>
      <c r="B4646" t="inlineStr">
        <is>
          <t>Jun-2018</t>
        </is>
      </c>
      <c r="C4646" s="2" t="n">
        <v>44021</v>
      </c>
      <c r="D4646" t="inlineStr">
        <is>
          <t>NIL</t>
        </is>
      </c>
      <c r="E4646" t="n">
        <v>1343</v>
      </c>
    </row>
    <row r="4647">
      <c r="A4647" t="inlineStr">
        <is>
          <t>27BBBBB04647Z5</t>
        </is>
      </c>
      <c r="B4647" t="inlineStr">
        <is>
          <t>May-2020</t>
        </is>
      </c>
      <c r="C4647" s="2" t="n">
        <v>44188</v>
      </c>
      <c r="D4647" t="inlineStr">
        <is>
          <t>NON-NIL</t>
        </is>
      </c>
      <c r="E4647" t="n">
        <v>982</v>
      </c>
    </row>
    <row r="4648">
      <c r="A4648" t="inlineStr">
        <is>
          <t>27BBBBB04648Z5</t>
        </is>
      </c>
      <c r="B4648" t="inlineStr">
        <is>
          <t>Dec-2018</t>
        </is>
      </c>
      <c r="C4648" s="2" t="n">
        <v>43336</v>
      </c>
      <c r="D4648" t="inlineStr">
        <is>
          <t>NON-NIL</t>
        </is>
      </c>
      <c r="E4648" t="n">
        <v>2050</v>
      </c>
    </row>
    <row r="4649">
      <c r="A4649" t="inlineStr">
        <is>
          <t>27BBBBB04649Z5</t>
        </is>
      </c>
      <c r="B4649" t="inlineStr">
        <is>
          <t>Dec-2018</t>
        </is>
      </c>
      <c r="C4649" s="2" t="n">
        <v>43580</v>
      </c>
      <c r="D4649" t="inlineStr">
        <is>
          <t>NON-NIL</t>
        </is>
      </c>
      <c r="E4649" t="n">
        <v>110</v>
      </c>
    </row>
    <row r="4650">
      <c r="A4650" t="inlineStr">
        <is>
          <t>27BBBBB04650Z5</t>
        </is>
      </c>
      <c r="B4650" t="inlineStr">
        <is>
          <t>Jul-2020</t>
        </is>
      </c>
      <c r="C4650" s="2" t="n">
        <v>44669</v>
      </c>
      <c r="D4650" t="inlineStr">
        <is>
          <t>NON-NIL</t>
        </is>
      </c>
      <c r="E4650" t="n">
        <v>1331</v>
      </c>
    </row>
    <row r="4651">
      <c r="A4651" t="inlineStr">
        <is>
          <t>27BBBBB04651Z5</t>
        </is>
      </c>
      <c r="B4651" t="inlineStr">
        <is>
          <t>Mar-2021</t>
        </is>
      </c>
      <c r="C4651" s="2" t="n">
        <v>45127</v>
      </c>
      <c r="D4651" t="inlineStr">
        <is>
          <t>NON-NIL</t>
        </is>
      </c>
      <c r="E4651" t="n">
        <v>1798</v>
      </c>
    </row>
    <row r="4652">
      <c r="A4652" t="inlineStr">
        <is>
          <t>27BBBBB04652Z5</t>
        </is>
      </c>
      <c r="B4652" t="inlineStr">
        <is>
          <t>Aug-2017</t>
        </is>
      </c>
      <c r="C4652" s="2" t="n">
        <v>44160</v>
      </c>
      <c r="D4652" t="inlineStr">
        <is>
          <t>NIL</t>
        </is>
      </c>
      <c r="E4652" t="n">
        <v>330</v>
      </c>
    </row>
    <row r="4653">
      <c r="A4653" t="inlineStr">
        <is>
          <t>27BBBBB04653Z5</t>
        </is>
      </c>
      <c r="B4653" t="inlineStr">
        <is>
          <t>Apr-2020</t>
        </is>
      </c>
      <c r="C4653" s="2" t="n">
        <v>44598</v>
      </c>
      <c r="D4653" t="inlineStr">
        <is>
          <t>NON-NIL</t>
        </is>
      </c>
      <c r="E4653" t="n">
        <v>2324</v>
      </c>
    </row>
    <row r="4654">
      <c r="A4654" t="inlineStr">
        <is>
          <t>27BBBBB04654Z5</t>
        </is>
      </c>
      <c r="B4654" t="inlineStr">
        <is>
          <t>Jun-2020</t>
        </is>
      </c>
      <c r="C4654" s="2" t="n">
        <v>44709</v>
      </c>
      <c r="D4654" t="inlineStr">
        <is>
          <t>NON-NIL</t>
        </is>
      </c>
      <c r="E4654" t="n">
        <v>2315</v>
      </c>
    </row>
    <row r="4655">
      <c r="A4655" t="inlineStr">
        <is>
          <t>27BBBBB04655Z5</t>
        </is>
      </c>
      <c r="B4655" t="inlineStr">
        <is>
          <t>Oct-2017</t>
        </is>
      </c>
      <c r="C4655" s="2" t="n">
        <v>43286</v>
      </c>
      <c r="D4655" t="inlineStr">
        <is>
          <t>NIL</t>
        </is>
      </c>
      <c r="E4655" t="n">
        <v>2434</v>
      </c>
    </row>
    <row r="4656">
      <c r="A4656" t="inlineStr">
        <is>
          <t>27BBBBB04656Z5</t>
        </is>
      </c>
      <c r="B4656" t="inlineStr">
        <is>
          <t>Jan-2021</t>
        </is>
      </c>
      <c r="C4656" s="2" t="n">
        <v>44501</v>
      </c>
      <c r="D4656" t="inlineStr">
        <is>
          <t>NON-NIL</t>
        </is>
      </c>
      <c r="E4656" t="n">
        <v>2655</v>
      </c>
    </row>
    <row r="4657">
      <c r="A4657" t="inlineStr">
        <is>
          <t>27BBBBB04657Z5</t>
        </is>
      </c>
      <c r="B4657" t="inlineStr">
        <is>
          <t>Mar-2021</t>
        </is>
      </c>
      <c r="C4657" s="2" t="n">
        <v>44510</v>
      </c>
      <c r="D4657" t="inlineStr">
        <is>
          <t>NIL</t>
        </is>
      </c>
      <c r="E4657" t="n">
        <v>20</v>
      </c>
    </row>
    <row r="4658">
      <c r="A4658" t="inlineStr">
        <is>
          <t>27BBBBB04658Z5</t>
        </is>
      </c>
      <c r="B4658" t="inlineStr">
        <is>
          <t>Sep-2018</t>
        </is>
      </c>
      <c r="C4658" s="2" t="n">
        <v>44252</v>
      </c>
      <c r="D4658" t="inlineStr">
        <is>
          <t>NON-NIL</t>
        </is>
      </c>
      <c r="E4658" t="n">
        <v>1347</v>
      </c>
    </row>
    <row r="4659">
      <c r="A4659" t="inlineStr">
        <is>
          <t>27BBBBB04659Z5</t>
        </is>
      </c>
      <c r="B4659" t="inlineStr">
        <is>
          <t>Sep-2018</t>
        </is>
      </c>
      <c r="C4659" s="2" t="n">
        <v>43945</v>
      </c>
      <c r="D4659" t="inlineStr">
        <is>
          <t>NON-NIL</t>
        </is>
      </c>
      <c r="E4659" t="n">
        <v>1025</v>
      </c>
    </row>
    <row r="4660">
      <c r="A4660" t="inlineStr">
        <is>
          <t>27BBBBB04660Z5</t>
        </is>
      </c>
      <c r="B4660" t="inlineStr">
        <is>
          <t>Apr-2020</t>
        </is>
      </c>
      <c r="C4660" s="2" t="n">
        <v>43957</v>
      </c>
      <c r="D4660" t="inlineStr">
        <is>
          <t>NIL</t>
        </is>
      </c>
      <c r="E4660" t="n">
        <v>957</v>
      </c>
    </row>
    <row r="4661">
      <c r="A4661" t="inlineStr">
        <is>
          <t>27BBBBB04661Z5</t>
        </is>
      </c>
      <c r="B4661" t="inlineStr">
        <is>
          <t>Aug-2017</t>
        </is>
      </c>
      <c r="C4661" s="2" t="n">
        <v>43900</v>
      </c>
      <c r="D4661" t="inlineStr">
        <is>
          <t>NON-NIL</t>
        </is>
      </c>
      <c r="E4661" t="n">
        <v>469</v>
      </c>
    </row>
    <row r="4662">
      <c r="A4662" t="inlineStr">
        <is>
          <t>27BBBBB04662Z5</t>
        </is>
      </c>
      <c r="B4662" t="inlineStr">
        <is>
          <t>Dec-2022</t>
        </is>
      </c>
      <c r="C4662" s="2" t="n">
        <v>44734</v>
      </c>
      <c r="D4662" t="inlineStr">
        <is>
          <t>NON-NIL</t>
        </is>
      </c>
      <c r="E4662" t="n">
        <v>1351</v>
      </c>
    </row>
    <row r="4663">
      <c r="A4663" t="inlineStr">
        <is>
          <t>27BBBBB04663Z5</t>
        </is>
      </c>
      <c r="B4663" t="inlineStr">
        <is>
          <t>Jun-2020</t>
        </is>
      </c>
      <c r="C4663" s="2" t="n">
        <v>43895</v>
      </c>
      <c r="D4663" t="inlineStr">
        <is>
          <t>NIL</t>
        </is>
      </c>
      <c r="E4663" t="n">
        <v>2278</v>
      </c>
    </row>
    <row r="4664">
      <c r="A4664" t="inlineStr">
        <is>
          <t>27BBBBB04664Z5</t>
        </is>
      </c>
      <c r="B4664" t="inlineStr">
        <is>
          <t>Aug-2018</t>
        </is>
      </c>
      <c r="C4664" s="2" t="n">
        <v>42943</v>
      </c>
      <c r="D4664" t="inlineStr">
        <is>
          <t>NIL</t>
        </is>
      </c>
      <c r="E4664" t="n">
        <v>312</v>
      </c>
    </row>
    <row r="4665">
      <c r="A4665" t="inlineStr">
        <is>
          <t>27BBBBB04665Z5</t>
        </is>
      </c>
      <c r="B4665" t="inlineStr">
        <is>
          <t>Nov-2018</t>
        </is>
      </c>
      <c r="C4665" s="2" t="n">
        <v>43428</v>
      </c>
      <c r="D4665" t="inlineStr">
        <is>
          <t>NON-NIL</t>
        </is>
      </c>
      <c r="E4665" t="n">
        <v>1673</v>
      </c>
    </row>
    <row r="4666">
      <c r="A4666" t="inlineStr">
        <is>
          <t>27BBBBB04666Z5</t>
        </is>
      </c>
      <c r="B4666" t="inlineStr">
        <is>
          <t>Mar-2023</t>
        </is>
      </c>
      <c r="C4666" s="2" t="n">
        <v>43741</v>
      </c>
      <c r="D4666" t="inlineStr">
        <is>
          <t>NIL</t>
        </is>
      </c>
      <c r="E4666" t="n">
        <v>2091</v>
      </c>
    </row>
    <row r="4667">
      <c r="A4667" t="inlineStr">
        <is>
          <t>27BBBBB04667Z5</t>
        </is>
      </c>
      <c r="B4667" t="inlineStr">
        <is>
          <t>Sep-2017</t>
        </is>
      </c>
      <c r="C4667" s="2" t="n">
        <v>44524</v>
      </c>
      <c r="D4667" t="inlineStr">
        <is>
          <t>NIL</t>
        </is>
      </c>
      <c r="E4667" t="n">
        <v>2847</v>
      </c>
    </row>
    <row r="4668">
      <c r="A4668" t="inlineStr">
        <is>
          <t>27BBBBB04668Z5</t>
        </is>
      </c>
      <c r="B4668" t="inlineStr">
        <is>
          <t>May-2020</t>
        </is>
      </c>
      <c r="C4668" s="2" t="n">
        <v>44279</v>
      </c>
      <c r="D4668" t="inlineStr">
        <is>
          <t>NON-NIL</t>
        </is>
      </c>
      <c r="E4668" t="n">
        <v>2162</v>
      </c>
    </row>
    <row r="4669">
      <c r="A4669" t="inlineStr">
        <is>
          <t>27BBBBB04669Z5</t>
        </is>
      </c>
      <c r="B4669" t="inlineStr">
        <is>
          <t>Aug-2017</t>
        </is>
      </c>
      <c r="C4669" s="2" t="n">
        <v>43147</v>
      </c>
      <c r="D4669" t="inlineStr">
        <is>
          <t>NIL</t>
        </is>
      </c>
      <c r="E4669" t="n">
        <v>180</v>
      </c>
    </row>
    <row r="4670">
      <c r="A4670" t="inlineStr">
        <is>
          <t>27BBBBB04670Z5</t>
        </is>
      </c>
      <c r="B4670" t="inlineStr">
        <is>
          <t>Apr-2018</t>
        </is>
      </c>
      <c r="C4670" s="2" t="n">
        <v>43857</v>
      </c>
      <c r="D4670" t="inlineStr">
        <is>
          <t>NIL</t>
        </is>
      </c>
      <c r="E4670" t="n">
        <v>2083</v>
      </c>
    </row>
    <row r="4671">
      <c r="A4671" t="inlineStr">
        <is>
          <t>27BBBBB04671Z5</t>
        </is>
      </c>
      <c r="B4671" t="inlineStr">
        <is>
          <t>May-2020</t>
        </is>
      </c>
      <c r="C4671" s="2" t="n">
        <v>44379</v>
      </c>
      <c r="D4671" t="inlineStr">
        <is>
          <t>NON-NIL</t>
        </is>
      </c>
      <c r="E4671" t="n">
        <v>2858</v>
      </c>
    </row>
    <row r="4672">
      <c r="A4672" t="inlineStr">
        <is>
          <t>27BBBBB04672Z5</t>
        </is>
      </c>
      <c r="B4672" t="inlineStr">
        <is>
          <t>Dec-2022</t>
        </is>
      </c>
      <c r="C4672" s="2" t="n">
        <v>44502</v>
      </c>
      <c r="D4672" t="inlineStr">
        <is>
          <t>NON-NIL</t>
        </is>
      </c>
      <c r="E4672" t="n">
        <v>1294</v>
      </c>
    </row>
    <row r="4673">
      <c r="A4673" t="inlineStr">
        <is>
          <t>27BBBBB04673Z5</t>
        </is>
      </c>
      <c r="B4673" t="inlineStr">
        <is>
          <t>Dec-2024</t>
        </is>
      </c>
      <c r="C4673" s="2" t="n">
        <v>44409</v>
      </c>
      <c r="D4673" t="inlineStr">
        <is>
          <t>NIL</t>
        </is>
      </c>
      <c r="E4673" t="n">
        <v>1429</v>
      </c>
    </row>
    <row r="4674">
      <c r="A4674" t="inlineStr">
        <is>
          <t>27BBBBB04674Z5</t>
        </is>
      </c>
      <c r="B4674" t="inlineStr">
        <is>
          <t>Jul-2018</t>
        </is>
      </c>
      <c r="C4674" s="2" t="n">
        <v>43879</v>
      </c>
      <c r="D4674" t="inlineStr">
        <is>
          <t>NIL</t>
        </is>
      </c>
      <c r="E4674" t="n">
        <v>366</v>
      </c>
    </row>
    <row r="4675">
      <c r="A4675" t="inlineStr">
        <is>
          <t>27BBBBB04675Z5</t>
        </is>
      </c>
      <c r="B4675" t="inlineStr">
        <is>
          <t>Mar-2023</t>
        </is>
      </c>
      <c r="C4675" s="2" t="n">
        <v>43729</v>
      </c>
      <c r="D4675" t="inlineStr">
        <is>
          <t>NON-NIL</t>
        </is>
      </c>
      <c r="E4675" t="n">
        <v>310</v>
      </c>
    </row>
    <row r="4676">
      <c r="A4676" t="inlineStr">
        <is>
          <t>27BBBBB04676Z5</t>
        </is>
      </c>
      <c r="B4676" t="inlineStr">
        <is>
          <t>Sep-2017</t>
        </is>
      </c>
      <c r="C4676" s="2" t="n">
        <v>42932</v>
      </c>
      <c r="D4676" t="inlineStr">
        <is>
          <t>NON-NIL</t>
        </is>
      </c>
      <c r="E4676" t="n">
        <v>1483</v>
      </c>
    </row>
    <row r="4677">
      <c r="A4677" t="inlineStr">
        <is>
          <t>27BBBBB04677Z5</t>
        </is>
      </c>
      <c r="B4677" t="inlineStr">
        <is>
          <t>Jan-2021</t>
        </is>
      </c>
      <c r="C4677" s="2" t="n">
        <v>44006</v>
      </c>
      <c r="D4677" t="inlineStr">
        <is>
          <t>NON-NIL</t>
        </is>
      </c>
      <c r="E4677" t="n">
        <v>1448</v>
      </c>
    </row>
    <row r="4678">
      <c r="A4678" t="inlineStr">
        <is>
          <t>27BBBBB04678Z5</t>
        </is>
      </c>
      <c r="B4678" t="inlineStr">
        <is>
          <t>Mar-2021</t>
        </is>
      </c>
      <c r="C4678" s="2" t="n">
        <v>45617</v>
      </c>
      <c r="D4678" t="inlineStr">
        <is>
          <t>NIL</t>
        </is>
      </c>
      <c r="E4678" t="n">
        <v>290</v>
      </c>
    </row>
    <row r="4679">
      <c r="A4679" t="inlineStr">
        <is>
          <t>27BBBBB04679Z5</t>
        </is>
      </c>
      <c r="B4679" t="inlineStr">
        <is>
          <t>Aug-2018</t>
        </is>
      </c>
      <c r="C4679" s="2" t="n">
        <v>43616</v>
      </c>
      <c r="D4679" t="inlineStr">
        <is>
          <t>NON-NIL</t>
        </is>
      </c>
      <c r="E4679" t="n">
        <v>362</v>
      </c>
    </row>
    <row r="4680">
      <c r="A4680" t="inlineStr">
        <is>
          <t>27BBBBB04680Z5</t>
        </is>
      </c>
      <c r="B4680" t="inlineStr">
        <is>
          <t>Apr-2018</t>
        </is>
      </c>
      <c r="C4680" s="2" t="n">
        <v>43805</v>
      </c>
      <c r="D4680" t="inlineStr">
        <is>
          <t>NIL</t>
        </is>
      </c>
      <c r="E4680" t="n">
        <v>2787</v>
      </c>
    </row>
    <row r="4681">
      <c r="A4681" t="inlineStr">
        <is>
          <t>27BBBBB04681Z5</t>
        </is>
      </c>
      <c r="B4681" t="inlineStr">
        <is>
          <t>Dec-2024</t>
        </is>
      </c>
      <c r="C4681" s="2" t="n">
        <v>43510</v>
      </c>
      <c r="D4681" t="inlineStr">
        <is>
          <t>NIL</t>
        </is>
      </c>
      <c r="E4681" t="n">
        <v>28</v>
      </c>
    </row>
    <row r="4682">
      <c r="A4682" t="inlineStr">
        <is>
          <t>27BBBBB04682Z5</t>
        </is>
      </c>
      <c r="B4682" t="inlineStr">
        <is>
          <t>Dec-2018</t>
        </is>
      </c>
      <c r="C4682" s="2" t="n">
        <v>43966</v>
      </c>
      <c r="D4682" t="inlineStr">
        <is>
          <t>NON-NIL</t>
        </is>
      </c>
      <c r="E4682" t="n">
        <v>2630</v>
      </c>
    </row>
    <row r="4683">
      <c r="A4683" t="inlineStr">
        <is>
          <t>27BBBBB04683Z5</t>
        </is>
      </c>
      <c r="B4683" t="inlineStr">
        <is>
          <t>Aug-2018</t>
        </is>
      </c>
      <c r="C4683" s="2" t="n">
        <v>43528</v>
      </c>
      <c r="D4683" t="inlineStr">
        <is>
          <t>NIL</t>
        </is>
      </c>
      <c r="E4683" t="n">
        <v>1262</v>
      </c>
    </row>
    <row r="4684">
      <c r="A4684" t="inlineStr">
        <is>
          <t>27BBBBB04684Z5</t>
        </is>
      </c>
      <c r="B4684" t="inlineStr">
        <is>
          <t>Feb-2018</t>
        </is>
      </c>
      <c r="C4684" s="2" t="n">
        <v>43854</v>
      </c>
      <c r="D4684" t="inlineStr">
        <is>
          <t>NON-NIL</t>
        </is>
      </c>
      <c r="E4684" t="n">
        <v>678</v>
      </c>
    </row>
    <row r="4685">
      <c r="A4685" t="inlineStr">
        <is>
          <t>27BBBBB04685Z5</t>
        </is>
      </c>
      <c r="B4685" t="inlineStr">
        <is>
          <t>Dec-2017</t>
        </is>
      </c>
      <c r="C4685" s="2" t="n">
        <v>43283</v>
      </c>
      <c r="D4685" t="inlineStr">
        <is>
          <t>NON-NIL</t>
        </is>
      </c>
      <c r="E4685" t="n">
        <v>1335</v>
      </c>
    </row>
    <row r="4686">
      <c r="A4686" t="inlineStr">
        <is>
          <t>27BBBBB04686Z5</t>
        </is>
      </c>
      <c r="B4686" t="inlineStr">
        <is>
          <t>Aug-2018</t>
        </is>
      </c>
      <c r="C4686" s="2" t="n">
        <v>44532</v>
      </c>
      <c r="D4686" t="inlineStr">
        <is>
          <t>NIL</t>
        </is>
      </c>
      <c r="E4686" t="n">
        <v>320</v>
      </c>
    </row>
    <row r="4687">
      <c r="A4687" t="inlineStr">
        <is>
          <t>27BBBBB04687Z5</t>
        </is>
      </c>
      <c r="B4687" t="inlineStr">
        <is>
          <t>Mar-2023</t>
        </is>
      </c>
      <c r="C4687" s="2" t="n">
        <v>44608</v>
      </c>
      <c r="D4687" t="inlineStr">
        <is>
          <t>NIL</t>
        </is>
      </c>
      <c r="E4687" t="n">
        <v>1454</v>
      </c>
    </row>
    <row r="4688">
      <c r="A4688" t="inlineStr">
        <is>
          <t>27BBBBB04688Z5</t>
        </is>
      </c>
      <c r="B4688" t="inlineStr">
        <is>
          <t>Apr-2018</t>
        </is>
      </c>
      <c r="C4688" s="2" t="n">
        <v>44015</v>
      </c>
      <c r="D4688" t="inlineStr">
        <is>
          <t>NIL</t>
        </is>
      </c>
      <c r="E4688" t="n">
        <v>2958</v>
      </c>
    </row>
    <row r="4689">
      <c r="A4689" t="inlineStr">
        <is>
          <t>27BBBBB04689Z5</t>
        </is>
      </c>
      <c r="B4689" t="inlineStr">
        <is>
          <t>Aug-2017</t>
        </is>
      </c>
      <c r="C4689" s="2" t="n">
        <v>44393</v>
      </c>
      <c r="D4689" t="inlineStr">
        <is>
          <t>NON-NIL</t>
        </is>
      </c>
      <c r="E4689" t="n">
        <v>822</v>
      </c>
    </row>
    <row r="4690">
      <c r="A4690" t="inlineStr">
        <is>
          <t>27BBBBB04690Z5</t>
        </is>
      </c>
      <c r="B4690" t="inlineStr">
        <is>
          <t>Nov-2017</t>
        </is>
      </c>
      <c r="C4690" s="2" t="n">
        <v>43866</v>
      </c>
      <c r="D4690" t="inlineStr">
        <is>
          <t>NON-NIL</t>
        </is>
      </c>
      <c r="E4690" t="n">
        <v>2914</v>
      </c>
    </row>
    <row r="4691">
      <c r="A4691" t="inlineStr">
        <is>
          <t>27BBBBB04691Z5</t>
        </is>
      </c>
      <c r="B4691" t="inlineStr">
        <is>
          <t>Dec-2024</t>
        </is>
      </c>
      <c r="C4691" s="2" t="n">
        <v>43761</v>
      </c>
      <c r="D4691" t="inlineStr">
        <is>
          <t>NIL</t>
        </is>
      </c>
      <c r="E4691" t="n">
        <v>970</v>
      </c>
    </row>
    <row r="4692">
      <c r="A4692" t="inlineStr">
        <is>
          <t>27BBBBB04692Z5</t>
        </is>
      </c>
      <c r="B4692" t="inlineStr">
        <is>
          <t>Sep-2018</t>
        </is>
      </c>
      <c r="C4692" s="2" t="n">
        <v>43882</v>
      </c>
      <c r="D4692" t="inlineStr">
        <is>
          <t>NON-NIL</t>
        </is>
      </c>
      <c r="E4692" t="n">
        <v>1011</v>
      </c>
    </row>
    <row r="4693">
      <c r="A4693" t="inlineStr">
        <is>
          <t>27BBBBB04693Z5</t>
        </is>
      </c>
      <c r="B4693" t="inlineStr">
        <is>
          <t>Sep-2017</t>
        </is>
      </c>
      <c r="C4693" s="2" t="n">
        <v>43116</v>
      </c>
      <c r="D4693" t="inlineStr">
        <is>
          <t>NIL</t>
        </is>
      </c>
      <c r="E4693" t="n">
        <v>696</v>
      </c>
    </row>
    <row r="4694">
      <c r="A4694" t="inlineStr">
        <is>
          <t>27BBBBB04694Z5</t>
        </is>
      </c>
      <c r="B4694" t="inlineStr">
        <is>
          <t>Mar-2023</t>
        </is>
      </c>
      <c r="C4694" s="2" t="n">
        <v>44772</v>
      </c>
      <c r="D4694" t="inlineStr">
        <is>
          <t>NIL</t>
        </is>
      </c>
      <c r="E4694" t="n">
        <v>1862</v>
      </c>
    </row>
    <row r="4695">
      <c r="A4695" t="inlineStr">
        <is>
          <t>27BBBBB04695Z5</t>
        </is>
      </c>
      <c r="B4695" t="inlineStr">
        <is>
          <t>Jun-2020</t>
        </is>
      </c>
      <c r="C4695" s="2" t="n">
        <v>44483</v>
      </c>
      <c r="D4695" t="inlineStr">
        <is>
          <t>NIL</t>
        </is>
      </c>
      <c r="E4695" t="n">
        <v>853</v>
      </c>
    </row>
    <row r="4696">
      <c r="A4696" t="inlineStr">
        <is>
          <t>27BBBBB04696Z5</t>
        </is>
      </c>
      <c r="B4696" t="inlineStr">
        <is>
          <t>May-2018</t>
        </is>
      </c>
      <c r="C4696" s="2" t="n">
        <v>44030</v>
      </c>
      <c r="D4696" t="inlineStr">
        <is>
          <t>NON-NIL</t>
        </is>
      </c>
      <c r="E4696" t="n">
        <v>468</v>
      </c>
    </row>
    <row r="4697">
      <c r="A4697" t="inlineStr">
        <is>
          <t>27BBBBB04697Z5</t>
        </is>
      </c>
      <c r="B4697" t="inlineStr">
        <is>
          <t>Jul-2020</t>
        </is>
      </c>
      <c r="C4697" s="2" t="n">
        <v>44541</v>
      </c>
      <c r="D4697" t="inlineStr">
        <is>
          <t>NIL</t>
        </is>
      </c>
      <c r="E4697" t="n">
        <v>2563</v>
      </c>
    </row>
    <row r="4698">
      <c r="A4698" t="inlineStr">
        <is>
          <t>27BBBBB04698Z5</t>
        </is>
      </c>
      <c r="B4698" t="inlineStr">
        <is>
          <t>Apr-2018</t>
        </is>
      </c>
      <c r="C4698" s="2" t="n">
        <v>44093</v>
      </c>
      <c r="D4698" t="inlineStr">
        <is>
          <t>NON-NIL</t>
        </is>
      </c>
      <c r="E4698" t="n">
        <v>161</v>
      </c>
    </row>
    <row r="4699">
      <c r="A4699" t="inlineStr">
        <is>
          <t>27BBBBB04699Z5</t>
        </is>
      </c>
      <c r="B4699" t="inlineStr">
        <is>
          <t>Jun-2020</t>
        </is>
      </c>
      <c r="C4699" s="2" t="n">
        <v>43871</v>
      </c>
      <c r="D4699" t="inlineStr">
        <is>
          <t>NON-NIL</t>
        </is>
      </c>
      <c r="E4699" t="n">
        <v>1084</v>
      </c>
    </row>
    <row r="4700">
      <c r="A4700" t="inlineStr">
        <is>
          <t>27BBBBB04700Z5</t>
        </is>
      </c>
      <c r="B4700" t="inlineStr">
        <is>
          <t>Mar-2023</t>
        </is>
      </c>
      <c r="C4700" s="2" t="n">
        <v>45233</v>
      </c>
      <c r="D4700" t="inlineStr">
        <is>
          <t>NON-NIL</t>
        </is>
      </c>
      <c r="E4700" t="n">
        <v>550</v>
      </c>
    </row>
    <row r="4701">
      <c r="A4701" t="inlineStr">
        <is>
          <t>27BBBBB04701Z5</t>
        </is>
      </c>
      <c r="B4701" t="inlineStr">
        <is>
          <t>Feb-2018</t>
        </is>
      </c>
      <c r="C4701" s="2" t="n">
        <v>44120</v>
      </c>
      <c r="D4701" t="inlineStr">
        <is>
          <t>NON-NIL</t>
        </is>
      </c>
      <c r="E4701" t="n">
        <v>2550</v>
      </c>
    </row>
    <row r="4702">
      <c r="A4702" t="inlineStr">
        <is>
          <t>27BBBBB04702Z5</t>
        </is>
      </c>
      <c r="B4702" t="inlineStr">
        <is>
          <t>Mar-2023</t>
        </is>
      </c>
      <c r="C4702" s="2" t="n">
        <v>45603</v>
      </c>
      <c r="D4702" t="inlineStr">
        <is>
          <t>NIL</t>
        </is>
      </c>
      <c r="E4702" t="n">
        <v>426</v>
      </c>
    </row>
    <row r="4703">
      <c r="A4703" t="inlineStr">
        <is>
          <t>27BBBBB04703Z5</t>
        </is>
      </c>
      <c r="B4703" t="inlineStr">
        <is>
          <t>Nov-2018</t>
        </is>
      </c>
      <c r="C4703" s="2" t="n">
        <v>43950</v>
      </c>
      <c r="D4703" t="inlineStr">
        <is>
          <t>NIL</t>
        </is>
      </c>
      <c r="E4703" t="n">
        <v>394</v>
      </c>
    </row>
    <row r="4704">
      <c r="A4704" t="inlineStr">
        <is>
          <t>27BBBBB04704Z5</t>
        </is>
      </c>
      <c r="B4704" t="inlineStr">
        <is>
          <t>Mar-2021</t>
        </is>
      </c>
      <c r="C4704" s="2" t="n">
        <v>43658</v>
      </c>
      <c r="D4704" t="inlineStr">
        <is>
          <t>NON-NIL</t>
        </is>
      </c>
      <c r="E4704" t="n">
        <v>1547</v>
      </c>
    </row>
    <row r="4705">
      <c r="A4705" t="inlineStr">
        <is>
          <t>27BBBBB04705Z5</t>
        </is>
      </c>
      <c r="B4705" t="inlineStr">
        <is>
          <t>Dec-2024</t>
        </is>
      </c>
      <c r="C4705" s="2" t="n">
        <v>43597</v>
      </c>
      <c r="D4705" t="inlineStr">
        <is>
          <t>NON-NIL</t>
        </is>
      </c>
      <c r="E4705" t="n">
        <v>2728</v>
      </c>
    </row>
    <row r="4706">
      <c r="A4706" t="inlineStr">
        <is>
          <t>27BBBBB04706Z5</t>
        </is>
      </c>
      <c r="B4706" t="inlineStr">
        <is>
          <t>Mar-2021</t>
        </is>
      </c>
      <c r="C4706" s="2" t="n">
        <v>45833</v>
      </c>
      <c r="D4706" t="inlineStr">
        <is>
          <t>NON-NIL</t>
        </is>
      </c>
      <c r="E4706" t="n">
        <v>1303</v>
      </c>
    </row>
    <row r="4707">
      <c r="A4707" t="inlineStr">
        <is>
          <t>27BBBBB04707Z5</t>
        </is>
      </c>
      <c r="B4707" t="inlineStr">
        <is>
          <t>Dec-2018</t>
        </is>
      </c>
      <c r="C4707" s="2" t="n">
        <v>44265</v>
      </c>
      <c r="D4707" t="inlineStr">
        <is>
          <t>NON-NIL</t>
        </is>
      </c>
      <c r="E4707" t="n">
        <v>184</v>
      </c>
    </row>
    <row r="4708">
      <c r="A4708" t="inlineStr">
        <is>
          <t>27BBBBB04708Z5</t>
        </is>
      </c>
      <c r="B4708" t="inlineStr">
        <is>
          <t>Mar-2018</t>
        </is>
      </c>
      <c r="C4708" s="2" t="n">
        <v>43212</v>
      </c>
      <c r="D4708" t="inlineStr">
        <is>
          <t>NON-NIL</t>
        </is>
      </c>
      <c r="E4708" t="n">
        <v>914</v>
      </c>
    </row>
    <row r="4709">
      <c r="A4709" t="inlineStr">
        <is>
          <t>27BBBBB04709Z5</t>
        </is>
      </c>
      <c r="B4709" t="inlineStr">
        <is>
          <t>Jul-2020</t>
        </is>
      </c>
      <c r="C4709" s="2" t="n">
        <v>44728</v>
      </c>
      <c r="D4709" t="inlineStr">
        <is>
          <t>NON-NIL</t>
        </is>
      </c>
      <c r="E4709" t="n">
        <v>1664</v>
      </c>
    </row>
    <row r="4710">
      <c r="A4710" t="inlineStr">
        <is>
          <t>27BBBBB04710Z5</t>
        </is>
      </c>
      <c r="B4710" t="inlineStr">
        <is>
          <t>Mar-2020</t>
        </is>
      </c>
      <c r="C4710" s="2" t="n">
        <v>44663</v>
      </c>
      <c r="D4710" t="inlineStr">
        <is>
          <t>NON-NIL</t>
        </is>
      </c>
      <c r="E4710" t="n">
        <v>2929</v>
      </c>
    </row>
    <row r="4711">
      <c r="A4711" t="inlineStr">
        <is>
          <t>27BBBBB04711Z5</t>
        </is>
      </c>
      <c r="B4711" t="inlineStr">
        <is>
          <t>Feb-2018</t>
        </is>
      </c>
      <c r="C4711" s="2" t="n">
        <v>43185</v>
      </c>
      <c r="D4711" t="inlineStr">
        <is>
          <t>NON-NIL</t>
        </is>
      </c>
      <c r="E4711" t="n">
        <v>1110</v>
      </c>
    </row>
    <row r="4712">
      <c r="A4712" t="inlineStr">
        <is>
          <t>27BBBBB04712Z5</t>
        </is>
      </c>
      <c r="B4712" t="inlineStr">
        <is>
          <t>Mar-2020</t>
        </is>
      </c>
      <c r="C4712" s="2" t="n">
        <v>44634</v>
      </c>
      <c r="D4712" t="inlineStr">
        <is>
          <t>NON-NIL</t>
        </is>
      </c>
      <c r="E4712" t="n">
        <v>123</v>
      </c>
    </row>
    <row r="4713">
      <c r="A4713" t="inlineStr">
        <is>
          <t>27BBBBB04713Z5</t>
        </is>
      </c>
      <c r="B4713" t="inlineStr">
        <is>
          <t>Mar-2023</t>
        </is>
      </c>
      <c r="C4713" s="2" t="n">
        <v>45456</v>
      </c>
      <c r="D4713" t="inlineStr">
        <is>
          <t>NIL</t>
        </is>
      </c>
      <c r="E4713" t="n">
        <v>720</v>
      </c>
    </row>
    <row r="4714">
      <c r="A4714" t="inlineStr">
        <is>
          <t>27BBBBB04714Z5</t>
        </is>
      </c>
      <c r="B4714" t="inlineStr">
        <is>
          <t>Dec-2018</t>
        </is>
      </c>
      <c r="C4714" s="2" t="n">
        <v>44215</v>
      </c>
      <c r="D4714" t="inlineStr">
        <is>
          <t>NON-NIL</t>
        </is>
      </c>
      <c r="E4714" t="n">
        <v>879</v>
      </c>
    </row>
    <row r="4715">
      <c r="A4715" t="inlineStr">
        <is>
          <t>27BBBBB04715Z5</t>
        </is>
      </c>
      <c r="B4715" t="inlineStr">
        <is>
          <t>Mar-2021</t>
        </is>
      </c>
      <c r="C4715" s="2" t="n">
        <v>45495</v>
      </c>
      <c r="D4715" t="inlineStr">
        <is>
          <t>NIL</t>
        </is>
      </c>
      <c r="E4715" t="n">
        <v>857</v>
      </c>
    </row>
    <row r="4716">
      <c r="A4716" t="inlineStr">
        <is>
          <t>27BBBBB04716Z5</t>
        </is>
      </c>
      <c r="B4716" t="inlineStr">
        <is>
          <t>Dec-2018</t>
        </is>
      </c>
      <c r="C4716" s="2" t="n">
        <v>42975</v>
      </c>
      <c r="D4716" t="inlineStr">
        <is>
          <t>NON-NIL</t>
        </is>
      </c>
      <c r="E4716" t="n">
        <v>1866</v>
      </c>
    </row>
    <row r="4717">
      <c r="A4717" t="inlineStr">
        <is>
          <t>27BBBBB04717Z5</t>
        </is>
      </c>
      <c r="B4717" t="inlineStr">
        <is>
          <t>Oct-2017</t>
        </is>
      </c>
      <c r="C4717" s="2" t="n">
        <v>43236</v>
      </c>
      <c r="D4717" t="inlineStr">
        <is>
          <t>NIL</t>
        </is>
      </c>
      <c r="E4717" t="n">
        <v>1650</v>
      </c>
    </row>
    <row r="4718">
      <c r="A4718" t="inlineStr">
        <is>
          <t>27BBBBB04718Z5</t>
        </is>
      </c>
      <c r="B4718" t="inlineStr">
        <is>
          <t>Dec-2024</t>
        </is>
      </c>
      <c r="C4718" s="2" t="n">
        <v>45251</v>
      </c>
      <c r="D4718" t="inlineStr">
        <is>
          <t>NIL</t>
        </is>
      </c>
      <c r="E4718" t="n">
        <v>2469</v>
      </c>
    </row>
    <row r="4719">
      <c r="A4719" t="inlineStr">
        <is>
          <t>27BBBBB04719Z5</t>
        </is>
      </c>
      <c r="B4719" t="inlineStr">
        <is>
          <t>Jul-2018</t>
        </is>
      </c>
      <c r="C4719" s="2" t="n">
        <v>44293</v>
      </c>
      <c r="D4719" t="inlineStr">
        <is>
          <t>NON-NIL</t>
        </is>
      </c>
      <c r="E4719" t="n">
        <v>2139</v>
      </c>
    </row>
    <row r="4720">
      <c r="A4720" t="inlineStr">
        <is>
          <t>27BBBBB04720Z5</t>
        </is>
      </c>
      <c r="B4720" t="inlineStr">
        <is>
          <t>May-2020</t>
        </is>
      </c>
      <c r="C4720" s="2" t="n">
        <v>44202</v>
      </c>
      <c r="D4720" t="inlineStr">
        <is>
          <t>NON-NIL</t>
        </is>
      </c>
      <c r="E4720" t="n">
        <v>937</v>
      </c>
    </row>
    <row r="4721">
      <c r="A4721" t="inlineStr">
        <is>
          <t>27BBBBB04721Z5</t>
        </is>
      </c>
      <c r="B4721" t="inlineStr">
        <is>
          <t>Mar-2018</t>
        </is>
      </c>
      <c r="C4721" s="2" t="n">
        <v>43263</v>
      </c>
      <c r="D4721" t="inlineStr">
        <is>
          <t>NIL</t>
        </is>
      </c>
      <c r="E4721" t="n">
        <v>2677</v>
      </c>
    </row>
    <row r="4722">
      <c r="A4722" t="inlineStr">
        <is>
          <t>27BBBBB04722Z5</t>
        </is>
      </c>
      <c r="B4722" t="inlineStr">
        <is>
          <t>Dec-2022</t>
        </is>
      </c>
      <c r="C4722" s="2" t="n">
        <v>44553</v>
      </c>
      <c r="D4722" t="inlineStr">
        <is>
          <t>NIL</t>
        </is>
      </c>
      <c r="E4722" t="n">
        <v>1626</v>
      </c>
    </row>
    <row r="4723">
      <c r="A4723" t="inlineStr">
        <is>
          <t>27BBBBB04723Z5</t>
        </is>
      </c>
      <c r="B4723" t="inlineStr">
        <is>
          <t>Dec-2018</t>
        </is>
      </c>
      <c r="C4723" s="2" t="n">
        <v>43581</v>
      </c>
      <c r="D4723" t="inlineStr">
        <is>
          <t>NON-NIL</t>
        </is>
      </c>
      <c r="E4723" t="n">
        <v>1190</v>
      </c>
    </row>
    <row r="4724">
      <c r="A4724" t="inlineStr">
        <is>
          <t>27BBBBB04724Z5</t>
        </is>
      </c>
      <c r="B4724" t="inlineStr">
        <is>
          <t>Jul-2018</t>
        </is>
      </c>
      <c r="C4724" s="2" t="n">
        <v>42923</v>
      </c>
      <c r="D4724" t="inlineStr">
        <is>
          <t>NON-NIL</t>
        </is>
      </c>
      <c r="E4724" t="n">
        <v>2073</v>
      </c>
    </row>
    <row r="4725">
      <c r="A4725" t="inlineStr">
        <is>
          <t>27BBBBB04725Z5</t>
        </is>
      </c>
      <c r="B4725" t="inlineStr">
        <is>
          <t>Nov-2018</t>
        </is>
      </c>
      <c r="C4725" s="2" t="n">
        <v>44093</v>
      </c>
      <c r="D4725" t="inlineStr">
        <is>
          <t>NON-NIL</t>
        </is>
      </c>
      <c r="E4725" t="n">
        <v>2074</v>
      </c>
    </row>
    <row r="4726">
      <c r="A4726" t="inlineStr">
        <is>
          <t>27BBBBB04726Z5</t>
        </is>
      </c>
      <c r="B4726" t="inlineStr">
        <is>
          <t>Apr-2020</t>
        </is>
      </c>
      <c r="C4726" s="2" t="n">
        <v>44320</v>
      </c>
      <c r="D4726" t="inlineStr">
        <is>
          <t>NIL</t>
        </is>
      </c>
      <c r="E4726" t="n">
        <v>288</v>
      </c>
    </row>
    <row r="4727">
      <c r="A4727" t="inlineStr">
        <is>
          <t>27BBBBB04727Z5</t>
        </is>
      </c>
      <c r="B4727" t="inlineStr">
        <is>
          <t>Apr-2020</t>
        </is>
      </c>
      <c r="C4727" s="2" t="n">
        <v>43988</v>
      </c>
      <c r="D4727" t="inlineStr">
        <is>
          <t>NIL</t>
        </is>
      </c>
      <c r="E4727" t="n">
        <v>772</v>
      </c>
    </row>
    <row r="4728">
      <c r="A4728" t="inlineStr">
        <is>
          <t>27BBBBB04728Z5</t>
        </is>
      </c>
      <c r="B4728" t="inlineStr">
        <is>
          <t>Jan-2021</t>
        </is>
      </c>
      <c r="C4728" s="2" t="n">
        <v>43595</v>
      </c>
      <c r="D4728" t="inlineStr">
        <is>
          <t>NON-NIL</t>
        </is>
      </c>
      <c r="E4728" t="n">
        <v>1217</v>
      </c>
    </row>
    <row r="4729">
      <c r="A4729" t="inlineStr">
        <is>
          <t>27BBBBB04729Z5</t>
        </is>
      </c>
      <c r="B4729" t="inlineStr">
        <is>
          <t>Nov-2017</t>
        </is>
      </c>
      <c r="C4729" s="2" t="n">
        <v>43111</v>
      </c>
      <c r="D4729" t="inlineStr">
        <is>
          <t>NON-NIL</t>
        </is>
      </c>
      <c r="E4729" t="n">
        <v>2478</v>
      </c>
    </row>
    <row r="4730">
      <c r="A4730" t="inlineStr">
        <is>
          <t>27BBBBB04730Z5</t>
        </is>
      </c>
      <c r="B4730" t="inlineStr">
        <is>
          <t>May-2018</t>
        </is>
      </c>
      <c r="C4730" s="2" t="n">
        <v>43347</v>
      </c>
      <c r="D4730" t="inlineStr">
        <is>
          <t>NON-NIL</t>
        </is>
      </c>
      <c r="E4730" t="n">
        <v>2830</v>
      </c>
    </row>
    <row r="4731">
      <c r="A4731" t="inlineStr">
        <is>
          <t>27BBBBB04731Z5</t>
        </is>
      </c>
      <c r="B4731" t="inlineStr">
        <is>
          <t>Dec-2018</t>
        </is>
      </c>
      <c r="C4731" s="2" t="n">
        <v>44512</v>
      </c>
      <c r="D4731" t="inlineStr">
        <is>
          <t>NON-NIL</t>
        </is>
      </c>
      <c r="E4731" t="n">
        <v>1705</v>
      </c>
    </row>
    <row r="4732">
      <c r="A4732" t="inlineStr">
        <is>
          <t>27BBBBB04732Z5</t>
        </is>
      </c>
      <c r="B4732" t="inlineStr">
        <is>
          <t>Mar-2018</t>
        </is>
      </c>
      <c r="C4732" s="2" t="n">
        <v>43633</v>
      </c>
      <c r="D4732" t="inlineStr">
        <is>
          <t>NIL</t>
        </is>
      </c>
      <c r="E4732" t="n">
        <v>1160</v>
      </c>
    </row>
    <row r="4733">
      <c r="A4733" t="inlineStr">
        <is>
          <t>27BBBBB04733Z5</t>
        </is>
      </c>
      <c r="B4733" t="inlineStr">
        <is>
          <t>Apr-2018</t>
        </is>
      </c>
      <c r="C4733" s="2" t="n">
        <v>43766</v>
      </c>
      <c r="D4733" t="inlineStr">
        <is>
          <t>NIL</t>
        </is>
      </c>
      <c r="E4733" t="n">
        <v>1057</v>
      </c>
    </row>
    <row r="4734">
      <c r="A4734" t="inlineStr">
        <is>
          <t>27BBBBB04734Z5</t>
        </is>
      </c>
      <c r="B4734" t="inlineStr">
        <is>
          <t>Jul-2017</t>
        </is>
      </c>
      <c r="C4734" s="2" t="n">
        <v>44505</v>
      </c>
      <c r="D4734" t="inlineStr">
        <is>
          <t>NON-NIL</t>
        </is>
      </c>
      <c r="E4734" t="n">
        <v>2805</v>
      </c>
    </row>
    <row r="4735">
      <c r="A4735" t="inlineStr">
        <is>
          <t>27BBBBB04735Z5</t>
        </is>
      </c>
      <c r="B4735" t="inlineStr">
        <is>
          <t>Mar-2021</t>
        </is>
      </c>
      <c r="C4735" s="2" t="n">
        <v>44658</v>
      </c>
      <c r="D4735" t="inlineStr">
        <is>
          <t>NIL</t>
        </is>
      </c>
      <c r="E4735" t="n">
        <v>1657</v>
      </c>
    </row>
    <row r="4736">
      <c r="A4736" t="inlineStr">
        <is>
          <t>27BBBBB04736Z5</t>
        </is>
      </c>
      <c r="B4736" t="inlineStr">
        <is>
          <t>Jan-2018</t>
        </is>
      </c>
      <c r="C4736" s="2" t="n">
        <v>43104</v>
      </c>
      <c r="D4736" t="inlineStr">
        <is>
          <t>NON-NIL</t>
        </is>
      </c>
      <c r="E4736" t="n">
        <v>2968</v>
      </c>
    </row>
    <row r="4737">
      <c r="A4737" t="inlineStr">
        <is>
          <t>27BBBBB04737Z5</t>
        </is>
      </c>
      <c r="B4737" t="inlineStr">
        <is>
          <t>Jun-2020</t>
        </is>
      </c>
      <c r="C4737" s="2" t="n">
        <v>44622</v>
      </c>
      <c r="D4737" t="inlineStr">
        <is>
          <t>NON-NIL</t>
        </is>
      </c>
      <c r="E4737" t="n">
        <v>390</v>
      </c>
    </row>
    <row r="4738">
      <c r="A4738" t="inlineStr">
        <is>
          <t>27BBBBB04738Z5</t>
        </is>
      </c>
      <c r="B4738" t="inlineStr">
        <is>
          <t>Oct-2018</t>
        </is>
      </c>
      <c r="C4738" s="2" t="n">
        <v>43029</v>
      </c>
      <c r="D4738" t="inlineStr">
        <is>
          <t>NIL</t>
        </is>
      </c>
      <c r="E4738" t="n">
        <v>255</v>
      </c>
    </row>
    <row r="4739">
      <c r="A4739" t="inlineStr">
        <is>
          <t>27BBBBB04739Z5</t>
        </is>
      </c>
      <c r="B4739" t="inlineStr">
        <is>
          <t>Feb-2018</t>
        </is>
      </c>
      <c r="C4739" s="2" t="n">
        <v>43365</v>
      </c>
      <c r="D4739" t="inlineStr">
        <is>
          <t>NON-NIL</t>
        </is>
      </c>
      <c r="E4739" t="n">
        <v>2401</v>
      </c>
    </row>
    <row r="4740">
      <c r="A4740" t="inlineStr">
        <is>
          <t>27BBBBB04740Z5</t>
        </is>
      </c>
      <c r="B4740" t="inlineStr">
        <is>
          <t>Jul-2017</t>
        </is>
      </c>
      <c r="C4740" s="2" t="n">
        <v>43443</v>
      </c>
      <c r="D4740" t="inlineStr">
        <is>
          <t>NON-NIL</t>
        </is>
      </c>
      <c r="E4740" t="n">
        <v>1088</v>
      </c>
    </row>
    <row r="4741">
      <c r="A4741" t="inlineStr">
        <is>
          <t>27BBBBB04741Z5</t>
        </is>
      </c>
      <c r="B4741" t="inlineStr">
        <is>
          <t>Dec-2022</t>
        </is>
      </c>
      <c r="C4741" s="2" t="n">
        <v>43978</v>
      </c>
      <c r="D4741" t="inlineStr">
        <is>
          <t>NIL</t>
        </is>
      </c>
      <c r="E4741" t="n">
        <v>543</v>
      </c>
    </row>
    <row r="4742">
      <c r="A4742" t="inlineStr">
        <is>
          <t>27BBBBB04742Z5</t>
        </is>
      </c>
      <c r="B4742" t="inlineStr">
        <is>
          <t>Jan-2021</t>
        </is>
      </c>
      <c r="C4742" s="2" t="n">
        <v>43626</v>
      </c>
      <c r="D4742" t="inlineStr">
        <is>
          <t>NON-NIL</t>
        </is>
      </c>
      <c r="E4742" t="n">
        <v>2756</v>
      </c>
    </row>
    <row r="4743">
      <c r="A4743" t="inlineStr">
        <is>
          <t>27BBBBB04743Z5</t>
        </is>
      </c>
      <c r="B4743" t="inlineStr">
        <is>
          <t>Jul-2018</t>
        </is>
      </c>
      <c r="C4743" s="2" t="n">
        <v>42960</v>
      </c>
      <c r="D4743" t="inlineStr">
        <is>
          <t>NON-NIL</t>
        </is>
      </c>
      <c r="E4743" t="n">
        <v>2761</v>
      </c>
    </row>
    <row r="4744">
      <c r="A4744" t="inlineStr">
        <is>
          <t>27BBBBB04744Z5</t>
        </is>
      </c>
      <c r="B4744" t="inlineStr">
        <is>
          <t>Mar-2021</t>
        </is>
      </c>
      <c r="C4744" s="2" t="n">
        <v>45516</v>
      </c>
      <c r="D4744" t="inlineStr">
        <is>
          <t>NIL</t>
        </is>
      </c>
      <c r="E4744" t="n">
        <v>2841</v>
      </c>
    </row>
    <row r="4745">
      <c r="A4745" t="inlineStr">
        <is>
          <t>27BBBBB04745Z5</t>
        </is>
      </c>
      <c r="B4745" t="inlineStr">
        <is>
          <t>Mar-2023</t>
        </is>
      </c>
      <c r="C4745" s="2" t="n">
        <v>45658</v>
      </c>
      <c r="D4745" t="inlineStr">
        <is>
          <t>NON-NIL</t>
        </is>
      </c>
      <c r="E4745" t="n">
        <v>1715</v>
      </c>
    </row>
    <row r="4746">
      <c r="A4746" t="inlineStr">
        <is>
          <t>27BBBBB04746Z5</t>
        </is>
      </c>
      <c r="B4746" t="inlineStr">
        <is>
          <t>Mar-2020</t>
        </is>
      </c>
      <c r="C4746" s="2" t="n">
        <v>43844</v>
      </c>
      <c r="D4746" t="inlineStr">
        <is>
          <t>NIL</t>
        </is>
      </c>
      <c r="E4746" t="n">
        <v>2967</v>
      </c>
    </row>
    <row r="4747">
      <c r="A4747" t="inlineStr">
        <is>
          <t>27BBBBB04747Z5</t>
        </is>
      </c>
      <c r="B4747" t="inlineStr">
        <is>
          <t>Dec-2018</t>
        </is>
      </c>
      <c r="C4747" s="2" t="n">
        <v>44282</v>
      </c>
      <c r="D4747" t="inlineStr">
        <is>
          <t>NIL</t>
        </is>
      </c>
      <c r="E4747" t="n">
        <v>2569</v>
      </c>
    </row>
    <row r="4748">
      <c r="A4748" t="inlineStr">
        <is>
          <t>27BBBBB04748Z5</t>
        </is>
      </c>
      <c r="B4748" t="inlineStr">
        <is>
          <t>Oct-2018</t>
        </is>
      </c>
      <c r="C4748" s="2" t="n">
        <v>43023</v>
      </c>
      <c r="D4748" t="inlineStr">
        <is>
          <t>NIL</t>
        </is>
      </c>
      <c r="E4748" t="n">
        <v>1797</v>
      </c>
    </row>
    <row r="4749">
      <c r="A4749" t="inlineStr">
        <is>
          <t>27BBBBB04749Z5</t>
        </is>
      </c>
      <c r="B4749" t="inlineStr">
        <is>
          <t>Dec-2022</t>
        </is>
      </c>
      <c r="C4749" s="2" t="n">
        <v>44042</v>
      </c>
      <c r="D4749" t="inlineStr">
        <is>
          <t>NON-NIL</t>
        </is>
      </c>
      <c r="E4749" t="n">
        <v>615</v>
      </c>
    </row>
    <row r="4750">
      <c r="A4750" t="inlineStr">
        <is>
          <t>27BBBBB04750Z5</t>
        </is>
      </c>
      <c r="B4750" t="inlineStr">
        <is>
          <t>Aug-2017</t>
        </is>
      </c>
      <c r="C4750" s="2" t="n">
        <v>43894</v>
      </c>
      <c r="D4750" t="inlineStr">
        <is>
          <t>NON-NIL</t>
        </is>
      </c>
      <c r="E4750" t="n">
        <v>962</v>
      </c>
    </row>
    <row r="4751">
      <c r="A4751" t="inlineStr">
        <is>
          <t>27BBBBB04751Z5</t>
        </is>
      </c>
      <c r="B4751" t="inlineStr">
        <is>
          <t>Jul-2017</t>
        </is>
      </c>
      <c r="C4751" s="2" t="n">
        <v>44463</v>
      </c>
      <c r="D4751" t="inlineStr">
        <is>
          <t>NON-NIL</t>
        </is>
      </c>
      <c r="E4751" t="n">
        <v>1892</v>
      </c>
    </row>
    <row r="4752">
      <c r="A4752" t="inlineStr">
        <is>
          <t>27BBBBB04752Z5</t>
        </is>
      </c>
      <c r="B4752" t="inlineStr">
        <is>
          <t>Nov-2017</t>
        </is>
      </c>
      <c r="C4752" s="2" t="n">
        <v>43227</v>
      </c>
      <c r="D4752" t="inlineStr">
        <is>
          <t>NON-NIL</t>
        </is>
      </c>
      <c r="E4752" t="n">
        <v>2451</v>
      </c>
    </row>
    <row r="4753">
      <c r="A4753" t="inlineStr">
        <is>
          <t>27BBBBB04753Z5</t>
        </is>
      </c>
      <c r="B4753" t="inlineStr">
        <is>
          <t>Aug-2018</t>
        </is>
      </c>
      <c r="C4753" s="2" t="n">
        <v>44503</v>
      </c>
      <c r="D4753" t="inlineStr">
        <is>
          <t>NON-NIL</t>
        </is>
      </c>
      <c r="E4753" t="n">
        <v>1822</v>
      </c>
    </row>
    <row r="4754">
      <c r="A4754" t="inlineStr">
        <is>
          <t>27BBBBB04754Z5</t>
        </is>
      </c>
      <c r="B4754" t="inlineStr">
        <is>
          <t>Feb-2018</t>
        </is>
      </c>
      <c r="C4754" s="2" t="n">
        <v>43488</v>
      </c>
      <c r="D4754" t="inlineStr">
        <is>
          <t>NON-NIL</t>
        </is>
      </c>
      <c r="E4754" t="n">
        <v>2138</v>
      </c>
    </row>
    <row r="4755">
      <c r="A4755" t="inlineStr">
        <is>
          <t>27BBBBB04755Z5</t>
        </is>
      </c>
      <c r="B4755" t="inlineStr">
        <is>
          <t>Jul-2020</t>
        </is>
      </c>
      <c r="C4755" s="2" t="n">
        <v>44724</v>
      </c>
      <c r="D4755" t="inlineStr">
        <is>
          <t>NIL</t>
        </is>
      </c>
      <c r="E4755" t="n">
        <v>365</v>
      </c>
    </row>
    <row r="4756">
      <c r="A4756" t="inlineStr">
        <is>
          <t>27BBBBB04756Z5</t>
        </is>
      </c>
      <c r="B4756" t="inlineStr">
        <is>
          <t>Jan-2021</t>
        </is>
      </c>
      <c r="C4756" s="2" t="n">
        <v>44796</v>
      </c>
      <c r="D4756" t="inlineStr">
        <is>
          <t>NIL</t>
        </is>
      </c>
      <c r="E4756" t="n">
        <v>183</v>
      </c>
    </row>
    <row r="4757">
      <c r="A4757" t="inlineStr">
        <is>
          <t>27BBBBB04757Z5</t>
        </is>
      </c>
      <c r="B4757" t="inlineStr">
        <is>
          <t>Nov-2018</t>
        </is>
      </c>
      <c r="C4757" s="2" t="n">
        <v>43678</v>
      </c>
      <c r="D4757" t="inlineStr">
        <is>
          <t>NON-NIL</t>
        </is>
      </c>
      <c r="E4757" t="n">
        <v>1110</v>
      </c>
    </row>
    <row r="4758">
      <c r="A4758" t="inlineStr">
        <is>
          <t>27BBBBB04758Z5</t>
        </is>
      </c>
      <c r="B4758" t="inlineStr">
        <is>
          <t>Mar-2020</t>
        </is>
      </c>
      <c r="C4758" s="2" t="n">
        <v>43969</v>
      </c>
      <c r="D4758" t="inlineStr">
        <is>
          <t>NON-NIL</t>
        </is>
      </c>
      <c r="E4758" t="n">
        <v>2825</v>
      </c>
    </row>
    <row r="4759">
      <c r="A4759" t="inlineStr">
        <is>
          <t>27BBBBB04759Z5</t>
        </is>
      </c>
      <c r="B4759" t="inlineStr">
        <is>
          <t>Jul-2018</t>
        </is>
      </c>
      <c r="C4759" s="2" t="n">
        <v>43634</v>
      </c>
      <c r="D4759" t="inlineStr">
        <is>
          <t>NIL</t>
        </is>
      </c>
      <c r="E4759" t="n">
        <v>1788</v>
      </c>
    </row>
    <row r="4760">
      <c r="A4760" t="inlineStr">
        <is>
          <t>27BBBBB04760Z5</t>
        </is>
      </c>
      <c r="B4760" t="inlineStr">
        <is>
          <t>Oct-2018</t>
        </is>
      </c>
      <c r="C4760" s="2" t="n">
        <v>44530</v>
      </c>
      <c r="D4760" t="inlineStr">
        <is>
          <t>NIL</t>
        </is>
      </c>
      <c r="E4760" t="n">
        <v>452</v>
      </c>
    </row>
    <row r="4761">
      <c r="A4761" t="inlineStr">
        <is>
          <t>27BBBBB04761Z5</t>
        </is>
      </c>
      <c r="B4761" t="inlineStr">
        <is>
          <t>Nov-2017</t>
        </is>
      </c>
      <c r="C4761" s="2" t="n">
        <v>43820</v>
      </c>
      <c r="D4761" t="inlineStr">
        <is>
          <t>NIL</t>
        </is>
      </c>
      <c r="E4761" t="n">
        <v>2947</v>
      </c>
    </row>
    <row r="4762">
      <c r="A4762" t="inlineStr">
        <is>
          <t>27BBBBB04762Z5</t>
        </is>
      </c>
      <c r="B4762" t="inlineStr">
        <is>
          <t>Apr-2020</t>
        </is>
      </c>
      <c r="C4762" s="2" t="n">
        <v>44486</v>
      </c>
      <c r="D4762" t="inlineStr">
        <is>
          <t>NIL</t>
        </is>
      </c>
      <c r="E4762" t="n">
        <v>1662</v>
      </c>
    </row>
    <row r="4763">
      <c r="A4763" t="inlineStr">
        <is>
          <t>27BBBBB04763Z5</t>
        </is>
      </c>
      <c r="B4763" t="inlineStr">
        <is>
          <t>Sep-2017</t>
        </is>
      </c>
      <c r="C4763" s="2" t="n">
        <v>43906</v>
      </c>
      <c r="D4763" t="inlineStr">
        <is>
          <t>NIL</t>
        </is>
      </c>
      <c r="E4763" t="n">
        <v>2102</v>
      </c>
    </row>
    <row r="4764">
      <c r="A4764" t="inlineStr">
        <is>
          <t>27BBBBB04764Z5</t>
        </is>
      </c>
      <c r="B4764" t="inlineStr">
        <is>
          <t>Aug-2018</t>
        </is>
      </c>
      <c r="C4764" s="2" t="n">
        <v>43880</v>
      </c>
      <c r="D4764" t="inlineStr">
        <is>
          <t>NIL</t>
        </is>
      </c>
      <c r="E4764" t="n">
        <v>2727</v>
      </c>
    </row>
    <row r="4765">
      <c r="A4765" t="inlineStr">
        <is>
          <t>27BBBBB04765Z5</t>
        </is>
      </c>
      <c r="B4765" t="inlineStr">
        <is>
          <t>Mar-2020</t>
        </is>
      </c>
      <c r="C4765" s="2" t="n">
        <v>44712</v>
      </c>
      <c r="D4765" t="inlineStr">
        <is>
          <t>NIL</t>
        </is>
      </c>
      <c r="E4765" t="n">
        <v>2861</v>
      </c>
    </row>
    <row r="4766">
      <c r="A4766" t="inlineStr">
        <is>
          <t>27BBBBB04766Z5</t>
        </is>
      </c>
      <c r="B4766" t="inlineStr">
        <is>
          <t>Jul-2020</t>
        </is>
      </c>
      <c r="C4766" s="2" t="n">
        <v>44802</v>
      </c>
      <c r="D4766" t="inlineStr">
        <is>
          <t>NIL</t>
        </is>
      </c>
      <c r="E4766" t="n">
        <v>110</v>
      </c>
    </row>
    <row r="4767">
      <c r="A4767" t="inlineStr">
        <is>
          <t>27BBBBB04767Z5</t>
        </is>
      </c>
      <c r="B4767" t="inlineStr">
        <is>
          <t>Sep-2017</t>
        </is>
      </c>
      <c r="C4767" s="2" t="n">
        <v>44497</v>
      </c>
      <c r="D4767" t="inlineStr">
        <is>
          <t>NON-NIL</t>
        </is>
      </c>
      <c r="E4767" t="n">
        <v>1045</v>
      </c>
    </row>
    <row r="4768">
      <c r="A4768" t="inlineStr">
        <is>
          <t>27BBBBB04768Z5</t>
        </is>
      </c>
      <c r="B4768" t="inlineStr">
        <is>
          <t>Dec-2018</t>
        </is>
      </c>
      <c r="C4768" s="2" t="n">
        <v>44252</v>
      </c>
      <c r="D4768" t="inlineStr">
        <is>
          <t>NON-NIL</t>
        </is>
      </c>
      <c r="E4768" t="n">
        <v>1063</v>
      </c>
    </row>
    <row r="4769">
      <c r="A4769" t="inlineStr">
        <is>
          <t>27BBBBB04769Z5</t>
        </is>
      </c>
      <c r="B4769" t="inlineStr">
        <is>
          <t>Sep-2018</t>
        </is>
      </c>
      <c r="C4769" s="2" t="n">
        <v>43077</v>
      </c>
      <c r="D4769" t="inlineStr">
        <is>
          <t>NIL</t>
        </is>
      </c>
      <c r="E4769" t="n">
        <v>896</v>
      </c>
    </row>
    <row r="4770">
      <c r="A4770" t="inlineStr">
        <is>
          <t>27BBBBB04770Z5</t>
        </is>
      </c>
      <c r="B4770" t="inlineStr">
        <is>
          <t>Nov-2017</t>
        </is>
      </c>
      <c r="C4770" s="2" t="n">
        <v>44280</v>
      </c>
      <c r="D4770" t="inlineStr">
        <is>
          <t>NON-NIL</t>
        </is>
      </c>
      <c r="E4770" t="n">
        <v>2268</v>
      </c>
    </row>
    <row r="4771">
      <c r="A4771" t="inlineStr">
        <is>
          <t>27BBBBB04771Z5</t>
        </is>
      </c>
      <c r="B4771" t="inlineStr">
        <is>
          <t>Sep-2017</t>
        </is>
      </c>
      <c r="C4771" s="2" t="n">
        <v>44352</v>
      </c>
      <c r="D4771" t="inlineStr">
        <is>
          <t>NON-NIL</t>
        </is>
      </c>
      <c r="E4771" t="n">
        <v>855</v>
      </c>
    </row>
    <row r="4772">
      <c r="A4772" t="inlineStr">
        <is>
          <t>27BBBBB04772Z5</t>
        </is>
      </c>
      <c r="B4772" t="inlineStr">
        <is>
          <t>Mar-2018</t>
        </is>
      </c>
      <c r="C4772" s="2" t="n">
        <v>44052</v>
      </c>
      <c r="D4772" t="inlineStr">
        <is>
          <t>NIL</t>
        </is>
      </c>
      <c r="E4772" t="n">
        <v>934</v>
      </c>
    </row>
    <row r="4773">
      <c r="A4773" t="inlineStr">
        <is>
          <t>27BBBBB04773Z5</t>
        </is>
      </c>
      <c r="B4773" t="inlineStr">
        <is>
          <t>Jul-2017</t>
        </is>
      </c>
      <c r="C4773" s="2" t="n">
        <v>42989</v>
      </c>
      <c r="D4773" t="inlineStr">
        <is>
          <t>NON-NIL</t>
        </is>
      </c>
      <c r="E4773" t="n">
        <v>2786</v>
      </c>
    </row>
    <row r="4774">
      <c r="A4774" t="inlineStr">
        <is>
          <t>27BBBBB04774Z5</t>
        </is>
      </c>
      <c r="B4774" t="inlineStr">
        <is>
          <t>Feb-2018</t>
        </is>
      </c>
      <c r="C4774" s="2" t="n">
        <v>43703</v>
      </c>
      <c r="D4774" t="inlineStr">
        <is>
          <t>NIL</t>
        </is>
      </c>
      <c r="E4774" t="n">
        <v>1523</v>
      </c>
    </row>
    <row r="4775">
      <c r="A4775" t="inlineStr">
        <is>
          <t>27BBBBB04775Z5</t>
        </is>
      </c>
      <c r="B4775" t="inlineStr">
        <is>
          <t>May-2020</t>
        </is>
      </c>
      <c r="C4775" s="2" t="n">
        <v>44631</v>
      </c>
      <c r="D4775" t="inlineStr">
        <is>
          <t>NIL</t>
        </is>
      </c>
      <c r="E4775" t="n">
        <v>2736</v>
      </c>
    </row>
    <row r="4776">
      <c r="A4776" t="inlineStr">
        <is>
          <t>27BBBBB04776Z5</t>
        </is>
      </c>
      <c r="B4776" t="inlineStr">
        <is>
          <t>May-2018</t>
        </is>
      </c>
      <c r="C4776" s="2" t="n">
        <v>43420</v>
      </c>
      <c r="D4776" t="inlineStr">
        <is>
          <t>NIL</t>
        </is>
      </c>
      <c r="E4776" t="n">
        <v>31</v>
      </c>
    </row>
    <row r="4777">
      <c r="A4777" t="inlineStr">
        <is>
          <t>27BBBBB04777Z5</t>
        </is>
      </c>
      <c r="B4777" t="inlineStr">
        <is>
          <t>May-2018</t>
        </is>
      </c>
      <c r="C4777" s="2" t="n">
        <v>44056</v>
      </c>
      <c r="D4777" t="inlineStr">
        <is>
          <t>NIL</t>
        </is>
      </c>
      <c r="E4777" t="n">
        <v>2207</v>
      </c>
    </row>
    <row r="4778">
      <c r="A4778" t="inlineStr">
        <is>
          <t>27BBBBB04778Z5</t>
        </is>
      </c>
      <c r="B4778" t="inlineStr">
        <is>
          <t>Oct-2018</t>
        </is>
      </c>
      <c r="C4778" s="2" t="n">
        <v>44336</v>
      </c>
      <c r="D4778" t="inlineStr">
        <is>
          <t>NON-NIL</t>
        </is>
      </c>
      <c r="E4778" t="n">
        <v>677</v>
      </c>
    </row>
    <row r="4779">
      <c r="A4779" t="inlineStr">
        <is>
          <t>27BBBBB04779Z5</t>
        </is>
      </c>
      <c r="B4779" t="inlineStr">
        <is>
          <t>Apr-2018</t>
        </is>
      </c>
      <c r="C4779" s="2" t="n">
        <v>42923</v>
      </c>
      <c r="D4779" t="inlineStr">
        <is>
          <t>NON-NIL</t>
        </is>
      </c>
      <c r="E4779" t="n">
        <v>1755</v>
      </c>
    </row>
    <row r="4780">
      <c r="A4780" t="inlineStr">
        <is>
          <t>27BBBBB04780Z5</t>
        </is>
      </c>
      <c r="B4780" t="inlineStr">
        <is>
          <t>Jul-2018</t>
        </is>
      </c>
      <c r="C4780" s="2" t="n">
        <v>43106</v>
      </c>
      <c r="D4780" t="inlineStr">
        <is>
          <t>NIL</t>
        </is>
      </c>
      <c r="E4780" t="n">
        <v>260</v>
      </c>
    </row>
    <row r="4781">
      <c r="A4781" t="inlineStr">
        <is>
          <t>27BBBBB04781Z5</t>
        </is>
      </c>
      <c r="B4781" t="inlineStr">
        <is>
          <t>Aug-2017</t>
        </is>
      </c>
      <c r="C4781" s="2" t="n">
        <v>43807</v>
      </c>
      <c r="D4781" t="inlineStr">
        <is>
          <t>NIL</t>
        </is>
      </c>
      <c r="E4781" t="n">
        <v>2345</v>
      </c>
    </row>
    <row r="4782">
      <c r="A4782" t="inlineStr">
        <is>
          <t>27BBBBB04782Z5</t>
        </is>
      </c>
      <c r="B4782" t="inlineStr">
        <is>
          <t>Jun-2018</t>
        </is>
      </c>
      <c r="C4782" s="2" t="n">
        <v>44439</v>
      </c>
      <c r="D4782" t="inlineStr">
        <is>
          <t>NIL</t>
        </is>
      </c>
      <c r="E4782" t="n">
        <v>1539</v>
      </c>
    </row>
    <row r="4783">
      <c r="A4783" t="inlineStr">
        <is>
          <t>27BBBBB04783Z5</t>
        </is>
      </c>
      <c r="B4783" t="inlineStr">
        <is>
          <t>Sep-2017</t>
        </is>
      </c>
      <c r="C4783" s="2" t="n">
        <v>44000</v>
      </c>
      <c r="D4783" t="inlineStr">
        <is>
          <t>NIL</t>
        </is>
      </c>
      <c r="E4783" t="n">
        <v>2931</v>
      </c>
    </row>
    <row r="4784">
      <c r="A4784" t="inlineStr">
        <is>
          <t>27BBBBB04784Z5</t>
        </is>
      </c>
      <c r="B4784" t="inlineStr">
        <is>
          <t>Nov-2017</t>
        </is>
      </c>
      <c r="C4784" s="2" t="n">
        <v>44092</v>
      </c>
      <c r="D4784" t="inlineStr">
        <is>
          <t>NON-NIL</t>
        </is>
      </c>
      <c r="E4784" t="n">
        <v>1328</v>
      </c>
    </row>
    <row r="4785">
      <c r="A4785" t="inlineStr">
        <is>
          <t>27BBBBB04785Z5</t>
        </is>
      </c>
      <c r="B4785" t="inlineStr">
        <is>
          <t>Jan-2018</t>
        </is>
      </c>
      <c r="C4785" s="2" t="n">
        <v>43793</v>
      </c>
      <c r="D4785" t="inlineStr">
        <is>
          <t>NON-NIL</t>
        </is>
      </c>
      <c r="E4785" t="n">
        <v>462</v>
      </c>
    </row>
    <row r="4786">
      <c r="A4786" t="inlineStr">
        <is>
          <t>27BBBBB04786Z5</t>
        </is>
      </c>
      <c r="B4786" t="inlineStr">
        <is>
          <t>Apr-2018</t>
        </is>
      </c>
      <c r="C4786" s="2" t="n">
        <v>43647</v>
      </c>
      <c r="D4786" t="inlineStr">
        <is>
          <t>NIL</t>
        </is>
      </c>
      <c r="E4786" t="n">
        <v>2744</v>
      </c>
    </row>
    <row r="4787">
      <c r="A4787" t="inlineStr">
        <is>
          <t>27BBBBB04787Z5</t>
        </is>
      </c>
      <c r="B4787" t="inlineStr">
        <is>
          <t>Sep-2017</t>
        </is>
      </c>
      <c r="C4787" s="2" t="n">
        <v>44050</v>
      </c>
      <c r="D4787" t="inlineStr">
        <is>
          <t>NIL</t>
        </is>
      </c>
      <c r="E4787" t="n">
        <v>2299</v>
      </c>
    </row>
    <row r="4788">
      <c r="A4788" t="inlineStr">
        <is>
          <t>27BBBBB04788Z5</t>
        </is>
      </c>
      <c r="B4788" t="inlineStr">
        <is>
          <t>Oct-2018</t>
        </is>
      </c>
      <c r="C4788" s="2" t="n">
        <v>44062</v>
      </c>
      <c r="D4788" t="inlineStr">
        <is>
          <t>NON-NIL</t>
        </is>
      </c>
      <c r="E4788" t="n">
        <v>233</v>
      </c>
    </row>
    <row r="4789">
      <c r="A4789" t="inlineStr">
        <is>
          <t>27BBBBB04789Z5</t>
        </is>
      </c>
      <c r="B4789" t="inlineStr">
        <is>
          <t>Feb-2018</t>
        </is>
      </c>
      <c r="C4789" s="2" t="n">
        <v>43867</v>
      </c>
      <c r="D4789" t="inlineStr">
        <is>
          <t>NON-NIL</t>
        </is>
      </c>
      <c r="E4789" t="n">
        <v>2921</v>
      </c>
    </row>
    <row r="4790">
      <c r="A4790" t="inlineStr">
        <is>
          <t>27BBBBB04790Z5</t>
        </is>
      </c>
      <c r="B4790" t="inlineStr">
        <is>
          <t>Jan-2018</t>
        </is>
      </c>
      <c r="C4790" s="2" t="n">
        <v>43705</v>
      </c>
      <c r="D4790" t="inlineStr">
        <is>
          <t>NIL</t>
        </is>
      </c>
      <c r="E4790" t="n">
        <v>724</v>
      </c>
    </row>
    <row r="4791">
      <c r="A4791" t="inlineStr">
        <is>
          <t>27BBBBB04791Z5</t>
        </is>
      </c>
      <c r="B4791" t="inlineStr">
        <is>
          <t>May-2018</t>
        </is>
      </c>
      <c r="C4791" s="2" t="n">
        <v>43051</v>
      </c>
      <c r="D4791" t="inlineStr">
        <is>
          <t>NON-NIL</t>
        </is>
      </c>
      <c r="E4791" t="n">
        <v>680</v>
      </c>
    </row>
    <row r="4792">
      <c r="A4792" t="inlineStr">
        <is>
          <t>27BBBBB04792Z5</t>
        </is>
      </c>
      <c r="B4792" t="inlineStr">
        <is>
          <t>Mar-2021</t>
        </is>
      </c>
      <c r="C4792" s="2" t="n">
        <v>45051</v>
      </c>
      <c r="D4792" t="inlineStr">
        <is>
          <t>NIL</t>
        </is>
      </c>
      <c r="E4792" t="n">
        <v>2152</v>
      </c>
    </row>
    <row r="4793">
      <c r="A4793" t="inlineStr">
        <is>
          <t>27BBBBB04793Z5</t>
        </is>
      </c>
      <c r="B4793" t="inlineStr">
        <is>
          <t>Apr-2020</t>
        </is>
      </c>
      <c r="C4793" s="2" t="n">
        <v>43993</v>
      </c>
      <c r="D4793" t="inlineStr">
        <is>
          <t>NIL</t>
        </is>
      </c>
      <c r="E4793" t="n">
        <v>1276</v>
      </c>
    </row>
    <row r="4794">
      <c r="A4794" t="inlineStr">
        <is>
          <t>27BBBBB04794Z5</t>
        </is>
      </c>
      <c r="B4794" t="inlineStr">
        <is>
          <t>Sep-2017</t>
        </is>
      </c>
      <c r="C4794" s="2" t="n">
        <v>43588</v>
      </c>
      <c r="D4794" t="inlineStr">
        <is>
          <t>NIL</t>
        </is>
      </c>
      <c r="E4794" t="n">
        <v>273</v>
      </c>
    </row>
    <row r="4795">
      <c r="A4795" t="inlineStr">
        <is>
          <t>27BBBBB04795Z5</t>
        </is>
      </c>
      <c r="B4795" t="inlineStr">
        <is>
          <t>Nov-2017</t>
        </is>
      </c>
      <c r="C4795" s="2" t="n">
        <v>43082</v>
      </c>
      <c r="D4795" t="inlineStr">
        <is>
          <t>NIL</t>
        </is>
      </c>
      <c r="E4795" t="n">
        <v>869</v>
      </c>
    </row>
    <row r="4796">
      <c r="A4796" t="inlineStr">
        <is>
          <t>27BBBBB04796Z5</t>
        </is>
      </c>
      <c r="B4796" t="inlineStr">
        <is>
          <t>Dec-2018</t>
        </is>
      </c>
      <c r="C4796" s="2" t="n">
        <v>43848</v>
      </c>
      <c r="D4796" t="inlineStr">
        <is>
          <t>NIL</t>
        </is>
      </c>
      <c r="E4796" t="n">
        <v>70</v>
      </c>
    </row>
    <row r="4797">
      <c r="A4797" t="inlineStr">
        <is>
          <t>27BBBBB04797Z5</t>
        </is>
      </c>
      <c r="B4797" t="inlineStr">
        <is>
          <t>Aug-2017</t>
        </is>
      </c>
      <c r="C4797" s="2" t="n">
        <v>44315</v>
      </c>
      <c r="D4797" t="inlineStr">
        <is>
          <t>NON-NIL</t>
        </is>
      </c>
      <c r="E4797" t="n">
        <v>159</v>
      </c>
    </row>
    <row r="4798">
      <c r="A4798" t="inlineStr">
        <is>
          <t>27BBBBB04798Z5</t>
        </is>
      </c>
      <c r="B4798" t="inlineStr">
        <is>
          <t>Dec-2022</t>
        </is>
      </c>
      <c r="C4798" s="2" t="n">
        <v>44428</v>
      </c>
      <c r="D4798" t="inlineStr">
        <is>
          <t>NIL</t>
        </is>
      </c>
      <c r="E4798" t="n">
        <v>2071</v>
      </c>
    </row>
    <row r="4799">
      <c r="A4799" t="inlineStr">
        <is>
          <t>27BBBBB04799Z5</t>
        </is>
      </c>
      <c r="B4799" t="inlineStr">
        <is>
          <t>Mar-2020</t>
        </is>
      </c>
      <c r="C4799" s="2" t="n">
        <v>44740</v>
      </c>
      <c r="D4799" t="inlineStr">
        <is>
          <t>NON-NIL</t>
        </is>
      </c>
      <c r="E4799" t="n">
        <v>1888</v>
      </c>
    </row>
    <row r="4800">
      <c r="A4800" t="inlineStr">
        <is>
          <t>27BBBBB04800Z5</t>
        </is>
      </c>
      <c r="B4800" t="inlineStr">
        <is>
          <t>Feb-2018</t>
        </is>
      </c>
      <c r="C4800" s="2" t="n">
        <v>43875</v>
      </c>
      <c r="D4800" t="inlineStr">
        <is>
          <t>NON-NIL</t>
        </is>
      </c>
      <c r="E4800" t="n">
        <v>1505</v>
      </c>
    </row>
    <row r="4801">
      <c r="A4801" t="inlineStr">
        <is>
          <t>27BBBBB04801Z5</t>
        </is>
      </c>
      <c r="B4801" t="inlineStr">
        <is>
          <t>Aug-2018</t>
        </is>
      </c>
      <c r="C4801" s="2" t="n">
        <v>44436</v>
      </c>
      <c r="D4801" t="inlineStr">
        <is>
          <t>NON-NIL</t>
        </is>
      </c>
      <c r="E4801" t="n">
        <v>2635</v>
      </c>
    </row>
    <row r="4802">
      <c r="A4802" t="inlineStr">
        <is>
          <t>27BBBBB04802Z5</t>
        </is>
      </c>
      <c r="B4802" t="inlineStr">
        <is>
          <t>Oct-2017</t>
        </is>
      </c>
      <c r="C4802" s="2" t="n">
        <v>42961</v>
      </c>
      <c r="D4802" t="inlineStr">
        <is>
          <t>NON-NIL</t>
        </is>
      </c>
      <c r="E4802" t="n">
        <v>1515</v>
      </c>
    </row>
    <row r="4803">
      <c r="A4803" t="inlineStr">
        <is>
          <t>27BBBBB04803Z5</t>
        </is>
      </c>
      <c r="B4803" t="inlineStr">
        <is>
          <t>Nov-2017</t>
        </is>
      </c>
      <c r="C4803" s="2" t="n">
        <v>42981</v>
      </c>
      <c r="D4803" t="inlineStr">
        <is>
          <t>NON-NIL</t>
        </is>
      </c>
      <c r="E4803" t="n">
        <v>517</v>
      </c>
    </row>
    <row r="4804">
      <c r="A4804" t="inlineStr">
        <is>
          <t>27BBBBB04804Z5</t>
        </is>
      </c>
      <c r="B4804" t="inlineStr">
        <is>
          <t>Mar-2021</t>
        </is>
      </c>
      <c r="C4804" s="2" t="n">
        <v>44848</v>
      </c>
      <c r="D4804" t="inlineStr">
        <is>
          <t>NON-NIL</t>
        </is>
      </c>
      <c r="E4804" t="n">
        <v>25</v>
      </c>
    </row>
    <row r="4805">
      <c r="A4805" t="inlineStr">
        <is>
          <t>27BBBBB04805Z5</t>
        </is>
      </c>
      <c r="B4805" t="inlineStr">
        <is>
          <t>Jan-2018</t>
        </is>
      </c>
      <c r="C4805" s="2" t="n">
        <v>43931</v>
      </c>
      <c r="D4805" t="inlineStr">
        <is>
          <t>NON-NIL</t>
        </is>
      </c>
      <c r="E4805" t="n">
        <v>1073</v>
      </c>
    </row>
    <row r="4806">
      <c r="A4806" t="inlineStr">
        <is>
          <t>27BBBBB04806Z5</t>
        </is>
      </c>
      <c r="B4806" t="inlineStr">
        <is>
          <t>Mar-2020</t>
        </is>
      </c>
      <c r="C4806" s="2" t="n">
        <v>44443</v>
      </c>
      <c r="D4806" t="inlineStr">
        <is>
          <t>NIL</t>
        </is>
      </c>
      <c r="E4806" t="n">
        <v>791</v>
      </c>
    </row>
    <row r="4807">
      <c r="A4807" t="inlineStr">
        <is>
          <t>27BBBBB04807Z5</t>
        </is>
      </c>
      <c r="B4807" t="inlineStr">
        <is>
          <t>Feb-2018</t>
        </is>
      </c>
      <c r="C4807" s="2" t="n">
        <v>42964</v>
      </c>
      <c r="D4807" t="inlineStr">
        <is>
          <t>NON-NIL</t>
        </is>
      </c>
      <c r="E4807" t="n">
        <v>2998</v>
      </c>
    </row>
    <row r="4808">
      <c r="A4808" t="inlineStr">
        <is>
          <t>27BBBBB04808Z5</t>
        </is>
      </c>
      <c r="B4808" t="inlineStr">
        <is>
          <t>May-2018</t>
        </is>
      </c>
      <c r="C4808" s="2" t="n">
        <v>43656</v>
      </c>
      <c r="D4808" t="inlineStr">
        <is>
          <t>NIL</t>
        </is>
      </c>
      <c r="E4808" t="n">
        <v>2924</v>
      </c>
    </row>
    <row r="4809">
      <c r="A4809" t="inlineStr">
        <is>
          <t>27BBBBB04809Z5</t>
        </is>
      </c>
      <c r="B4809" t="inlineStr">
        <is>
          <t>Nov-2017</t>
        </is>
      </c>
      <c r="C4809" s="2" t="n">
        <v>43683</v>
      </c>
      <c r="D4809" t="inlineStr">
        <is>
          <t>NON-NIL</t>
        </is>
      </c>
      <c r="E4809" t="n">
        <v>1189</v>
      </c>
    </row>
    <row r="4810">
      <c r="A4810" t="inlineStr">
        <is>
          <t>27BBBBB04810Z5</t>
        </is>
      </c>
      <c r="B4810" t="inlineStr">
        <is>
          <t>Dec-2024</t>
        </is>
      </c>
      <c r="C4810" s="2" t="n">
        <v>44513</v>
      </c>
      <c r="D4810" t="inlineStr">
        <is>
          <t>NIL</t>
        </is>
      </c>
      <c r="E4810" t="n">
        <v>692</v>
      </c>
    </row>
    <row r="4811">
      <c r="A4811" t="inlineStr">
        <is>
          <t>27BBBBB04811Z5</t>
        </is>
      </c>
      <c r="B4811" t="inlineStr">
        <is>
          <t>Nov-2018</t>
        </is>
      </c>
      <c r="C4811" s="2" t="n">
        <v>43615</v>
      </c>
      <c r="D4811" t="inlineStr">
        <is>
          <t>NIL</t>
        </is>
      </c>
      <c r="E4811" t="n">
        <v>1061</v>
      </c>
    </row>
    <row r="4812">
      <c r="A4812" t="inlineStr">
        <is>
          <t>27BBBBB04812Z5</t>
        </is>
      </c>
      <c r="B4812" t="inlineStr">
        <is>
          <t>Sep-2017</t>
        </is>
      </c>
      <c r="C4812" s="2" t="n">
        <v>43398</v>
      </c>
      <c r="D4812" t="inlineStr">
        <is>
          <t>NON-NIL</t>
        </is>
      </c>
      <c r="E4812" t="n">
        <v>830</v>
      </c>
    </row>
    <row r="4813">
      <c r="A4813" t="inlineStr">
        <is>
          <t>27BBBBB04813Z5</t>
        </is>
      </c>
      <c r="B4813" t="inlineStr">
        <is>
          <t>Nov-2017</t>
        </is>
      </c>
      <c r="C4813" s="2" t="n">
        <v>43636</v>
      </c>
      <c r="D4813" t="inlineStr">
        <is>
          <t>NON-NIL</t>
        </is>
      </c>
      <c r="E4813" t="n">
        <v>2162</v>
      </c>
    </row>
    <row r="4814">
      <c r="A4814" t="inlineStr">
        <is>
          <t>27BBBBB04814Z5</t>
        </is>
      </c>
      <c r="B4814" t="inlineStr">
        <is>
          <t>Mar-2021</t>
        </is>
      </c>
      <c r="C4814" s="2" t="n">
        <v>45232</v>
      </c>
      <c r="D4814" t="inlineStr">
        <is>
          <t>NIL</t>
        </is>
      </c>
      <c r="E4814" t="n">
        <v>963</v>
      </c>
    </row>
    <row r="4815">
      <c r="A4815" t="inlineStr">
        <is>
          <t>27BBBBB04815Z5</t>
        </is>
      </c>
      <c r="B4815" t="inlineStr">
        <is>
          <t>Jan-2018</t>
        </is>
      </c>
      <c r="C4815" s="2" t="n">
        <v>44421</v>
      </c>
      <c r="D4815" t="inlineStr">
        <is>
          <t>NIL</t>
        </is>
      </c>
      <c r="E4815" t="n">
        <v>2672</v>
      </c>
    </row>
    <row r="4816">
      <c r="A4816" t="inlineStr">
        <is>
          <t>27BBBBB04816Z5</t>
        </is>
      </c>
      <c r="B4816" t="inlineStr">
        <is>
          <t>Jan-2018</t>
        </is>
      </c>
      <c r="C4816" s="2" t="n">
        <v>42939</v>
      </c>
      <c r="D4816" t="inlineStr">
        <is>
          <t>NON-NIL</t>
        </is>
      </c>
      <c r="E4816" t="n">
        <v>1751</v>
      </c>
    </row>
    <row r="4817">
      <c r="A4817" t="inlineStr">
        <is>
          <t>27BBBBB04817Z5</t>
        </is>
      </c>
      <c r="B4817" t="inlineStr">
        <is>
          <t>Oct-2017</t>
        </is>
      </c>
      <c r="C4817" s="2" t="n">
        <v>44204</v>
      </c>
      <c r="D4817" t="inlineStr">
        <is>
          <t>NIL</t>
        </is>
      </c>
      <c r="E4817" t="n">
        <v>441</v>
      </c>
    </row>
    <row r="4818">
      <c r="A4818" t="inlineStr">
        <is>
          <t>27BBBBB04818Z5</t>
        </is>
      </c>
      <c r="B4818" t="inlineStr">
        <is>
          <t>Sep-2017</t>
        </is>
      </c>
      <c r="C4818" s="2" t="n">
        <v>43170</v>
      </c>
      <c r="D4818" t="inlineStr">
        <is>
          <t>NIL</t>
        </is>
      </c>
      <c r="E4818" t="n">
        <v>2017</v>
      </c>
    </row>
    <row r="4819">
      <c r="A4819" t="inlineStr">
        <is>
          <t>27BBBBB04819Z5</t>
        </is>
      </c>
      <c r="B4819" t="inlineStr">
        <is>
          <t>Nov-2017</t>
        </is>
      </c>
      <c r="C4819" s="2" t="n">
        <v>43340</v>
      </c>
      <c r="D4819" t="inlineStr">
        <is>
          <t>NON-NIL</t>
        </is>
      </c>
      <c r="E4819" t="n">
        <v>1922</v>
      </c>
    </row>
    <row r="4820">
      <c r="A4820" t="inlineStr">
        <is>
          <t>27BBBBB04820Z5</t>
        </is>
      </c>
      <c r="B4820" t="inlineStr">
        <is>
          <t>Jul-2020</t>
        </is>
      </c>
      <c r="C4820" s="2" t="n">
        <v>43941</v>
      </c>
      <c r="D4820" t="inlineStr">
        <is>
          <t>NIL</t>
        </is>
      </c>
      <c r="E4820" t="n">
        <v>510</v>
      </c>
    </row>
    <row r="4821">
      <c r="A4821" t="inlineStr">
        <is>
          <t>27BBBBB04821Z5</t>
        </is>
      </c>
      <c r="B4821" t="inlineStr">
        <is>
          <t>Jan-2018</t>
        </is>
      </c>
      <c r="C4821" s="2" t="n">
        <v>44435</v>
      </c>
      <c r="D4821" t="inlineStr">
        <is>
          <t>NON-NIL</t>
        </is>
      </c>
      <c r="E4821" t="n">
        <v>2974</v>
      </c>
    </row>
    <row r="4822">
      <c r="A4822" t="inlineStr">
        <is>
          <t>27BBBBB04822Z5</t>
        </is>
      </c>
      <c r="B4822" t="inlineStr">
        <is>
          <t>May-2020</t>
        </is>
      </c>
      <c r="C4822" s="2" t="n">
        <v>44191</v>
      </c>
      <c r="D4822" t="inlineStr">
        <is>
          <t>NIL</t>
        </is>
      </c>
      <c r="E4822" t="n">
        <v>312</v>
      </c>
    </row>
    <row r="4823">
      <c r="A4823" t="inlineStr">
        <is>
          <t>27BBBBB04823Z5</t>
        </is>
      </c>
      <c r="B4823" t="inlineStr">
        <is>
          <t>Mar-2023</t>
        </is>
      </c>
      <c r="C4823" s="2" t="n">
        <v>43946</v>
      </c>
      <c r="D4823" t="inlineStr">
        <is>
          <t>NIL</t>
        </is>
      </c>
      <c r="E4823" t="n">
        <v>425</v>
      </c>
    </row>
    <row r="4824">
      <c r="A4824" t="inlineStr">
        <is>
          <t>27BBBBB04824Z5</t>
        </is>
      </c>
      <c r="B4824" t="inlineStr">
        <is>
          <t>Nov-2018</t>
        </is>
      </c>
      <c r="C4824" s="2" t="n">
        <v>44116</v>
      </c>
      <c r="D4824" t="inlineStr">
        <is>
          <t>NIL</t>
        </is>
      </c>
      <c r="E4824" t="n">
        <v>2344</v>
      </c>
    </row>
    <row r="4825">
      <c r="A4825" t="inlineStr">
        <is>
          <t>27BBBBB04825Z5</t>
        </is>
      </c>
      <c r="B4825" t="inlineStr">
        <is>
          <t>Dec-2018</t>
        </is>
      </c>
      <c r="C4825" s="2" t="n">
        <v>43359</v>
      </c>
      <c r="D4825" t="inlineStr">
        <is>
          <t>NIL</t>
        </is>
      </c>
      <c r="E4825" t="n">
        <v>2078</v>
      </c>
    </row>
    <row r="4826">
      <c r="A4826" t="inlineStr">
        <is>
          <t>27BBBBB04826Z5</t>
        </is>
      </c>
      <c r="B4826" t="inlineStr">
        <is>
          <t>Oct-2018</t>
        </is>
      </c>
      <c r="C4826" s="2" t="n">
        <v>44114</v>
      </c>
      <c r="D4826" t="inlineStr">
        <is>
          <t>NIL</t>
        </is>
      </c>
      <c r="E4826" t="n">
        <v>896</v>
      </c>
    </row>
    <row r="4827">
      <c r="A4827" t="inlineStr">
        <is>
          <t>27BBBBB04827Z5</t>
        </is>
      </c>
      <c r="B4827" t="inlineStr">
        <is>
          <t>Jan-2018</t>
        </is>
      </c>
      <c r="C4827" s="2" t="n">
        <v>43012</v>
      </c>
      <c r="D4827" t="inlineStr">
        <is>
          <t>NIL</t>
        </is>
      </c>
      <c r="E4827" t="n">
        <v>771</v>
      </c>
    </row>
    <row r="4828">
      <c r="A4828" t="inlineStr">
        <is>
          <t>27BBBBB04828Z5</t>
        </is>
      </c>
      <c r="B4828" t="inlineStr">
        <is>
          <t>Nov-2018</t>
        </is>
      </c>
      <c r="C4828" s="2" t="n">
        <v>44246</v>
      </c>
      <c r="D4828" t="inlineStr">
        <is>
          <t>NIL</t>
        </is>
      </c>
      <c r="E4828" t="n">
        <v>2581</v>
      </c>
    </row>
    <row r="4829">
      <c r="A4829" t="inlineStr">
        <is>
          <t>27BBBBB04829Z5</t>
        </is>
      </c>
      <c r="B4829" t="inlineStr">
        <is>
          <t>May-2020</t>
        </is>
      </c>
      <c r="C4829" s="2" t="n">
        <v>44696</v>
      </c>
      <c r="D4829" t="inlineStr">
        <is>
          <t>NIL</t>
        </is>
      </c>
      <c r="E4829" t="n">
        <v>662</v>
      </c>
    </row>
    <row r="4830">
      <c r="A4830" t="inlineStr">
        <is>
          <t>27BBBBB04830Z5</t>
        </is>
      </c>
      <c r="B4830" t="inlineStr">
        <is>
          <t>Jul-2017</t>
        </is>
      </c>
      <c r="C4830" s="2" t="n">
        <v>44469</v>
      </c>
      <c r="D4830" t="inlineStr">
        <is>
          <t>NIL</t>
        </is>
      </c>
      <c r="E4830" t="n">
        <v>2301</v>
      </c>
    </row>
    <row r="4831">
      <c r="A4831" t="inlineStr">
        <is>
          <t>27BBBBB04831Z5</t>
        </is>
      </c>
      <c r="B4831" t="inlineStr">
        <is>
          <t>Mar-2020</t>
        </is>
      </c>
      <c r="C4831" s="2" t="n">
        <v>44664</v>
      </c>
      <c r="D4831" t="inlineStr">
        <is>
          <t>NIL</t>
        </is>
      </c>
      <c r="E4831" t="n">
        <v>2234</v>
      </c>
    </row>
    <row r="4832">
      <c r="A4832" t="inlineStr">
        <is>
          <t>27BBBBB04832Z5</t>
        </is>
      </c>
      <c r="B4832" t="inlineStr">
        <is>
          <t>Oct-2017</t>
        </is>
      </c>
      <c r="C4832" s="2" t="n">
        <v>43461</v>
      </c>
      <c r="D4832" t="inlineStr">
        <is>
          <t>NIL</t>
        </is>
      </c>
      <c r="E4832" t="n">
        <v>835</v>
      </c>
    </row>
    <row r="4833">
      <c r="A4833" t="inlineStr">
        <is>
          <t>27BBBBB04833Z5</t>
        </is>
      </c>
      <c r="B4833" t="inlineStr">
        <is>
          <t>Mar-2021</t>
        </is>
      </c>
      <c r="C4833" s="2" t="n">
        <v>44767</v>
      </c>
      <c r="D4833" t="inlineStr">
        <is>
          <t>NON-NIL</t>
        </is>
      </c>
      <c r="E4833" t="n">
        <v>734</v>
      </c>
    </row>
    <row r="4834">
      <c r="A4834" t="inlineStr">
        <is>
          <t>27BBBBB04834Z5</t>
        </is>
      </c>
      <c r="B4834" t="inlineStr">
        <is>
          <t>Dec-2018</t>
        </is>
      </c>
      <c r="C4834" s="2" t="n">
        <v>43425</v>
      </c>
      <c r="D4834" t="inlineStr">
        <is>
          <t>NON-NIL</t>
        </is>
      </c>
      <c r="E4834" t="n">
        <v>2070</v>
      </c>
    </row>
    <row r="4835">
      <c r="A4835" t="inlineStr">
        <is>
          <t>27BBBBB04835Z5</t>
        </is>
      </c>
      <c r="B4835" t="inlineStr">
        <is>
          <t>Jul-2020</t>
        </is>
      </c>
      <c r="C4835" s="2" t="n">
        <v>43848</v>
      </c>
      <c r="D4835" t="inlineStr">
        <is>
          <t>NON-NIL</t>
        </is>
      </c>
      <c r="E4835" t="n">
        <v>2223</v>
      </c>
    </row>
    <row r="4836">
      <c r="A4836" t="inlineStr">
        <is>
          <t>27BBBBB04836Z5</t>
        </is>
      </c>
      <c r="B4836" t="inlineStr">
        <is>
          <t>Nov-2018</t>
        </is>
      </c>
      <c r="C4836" s="2" t="n">
        <v>44501</v>
      </c>
      <c r="D4836" t="inlineStr">
        <is>
          <t>NON-NIL</t>
        </is>
      </c>
      <c r="E4836" t="n">
        <v>1990</v>
      </c>
    </row>
    <row r="4837">
      <c r="A4837" t="inlineStr">
        <is>
          <t>27BBBBB04837Z5</t>
        </is>
      </c>
      <c r="B4837" t="inlineStr">
        <is>
          <t>Jun-2020</t>
        </is>
      </c>
      <c r="C4837" s="2" t="n">
        <v>44723</v>
      </c>
      <c r="D4837" t="inlineStr">
        <is>
          <t>NIL</t>
        </is>
      </c>
      <c r="E4837" t="n">
        <v>1873</v>
      </c>
    </row>
    <row r="4838">
      <c r="A4838" t="inlineStr">
        <is>
          <t>27BBBBB04838Z5</t>
        </is>
      </c>
      <c r="B4838" t="inlineStr">
        <is>
          <t>Aug-2018</t>
        </is>
      </c>
      <c r="C4838" s="2" t="n">
        <v>44056</v>
      </c>
      <c r="D4838" t="inlineStr">
        <is>
          <t>NON-NIL</t>
        </is>
      </c>
      <c r="E4838" t="n">
        <v>2330</v>
      </c>
    </row>
    <row r="4839">
      <c r="A4839" t="inlineStr">
        <is>
          <t>27BBBBB04839Z5</t>
        </is>
      </c>
      <c r="B4839" t="inlineStr">
        <is>
          <t>Aug-2017</t>
        </is>
      </c>
      <c r="C4839" s="2" t="n">
        <v>43282</v>
      </c>
      <c r="D4839" t="inlineStr">
        <is>
          <t>NON-NIL</t>
        </is>
      </c>
      <c r="E4839" t="n">
        <v>1162</v>
      </c>
    </row>
    <row r="4840">
      <c r="A4840" t="inlineStr">
        <is>
          <t>27BBBBB04840Z5</t>
        </is>
      </c>
      <c r="B4840" t="inlineStr">
        <is>
          <t>Aug-2018</t>
        </is>
      </c>
      <c r="C4840" s="2" t="n">
        <v>43452</v>
      </c>
      <c r="D4840" t="inlineStr">
        <is>
          <t>NON-NIL</t>
        </is>
      </c>
      <c r="E4840" t="n">
        <v>649</v>
      </c>
    </row>
    <row r="4841">
      <c r="A4841" t="inlineStr">
        <is>
          <t>27BBBBB04841Z5</t>
        </is>
      </c>
      <c r="B4841" t="inlineStr">
        <is>
          <t>Jan-2018</t>
        </is>
      </c>
      <c r="C4841" s="2" t="n">
        <v>44260</v>
      </c>
      <c r="D4841" t="inlineStr">
        <is>
          <t>NON-NIL</t>
        </is>
      </c>
      <c r="E4841" t="n">
        <v>2354</v>
      </c>
    </row>
    <row r="4842">
      <c r="A4842" t="inlineStr">
        <is>
          <t>27BBBBB04842Z5</t>
        </is>
      </c>
      <c r="B4842" t="inlineStr">
        <is>
          <t>Nov-2018</t>
        </is>
      </c>
      <c r="C4842" s="2" t="n">
        <v>44396</v>
      </c>
      <c r="D4842" t="inlineStr">
        <is>
          <t>NON-NIL</t>
        </is>
      </c>
      <c r="E4842" t="n">
        <v>1113</v>
      </c>
    </row>
    <row r="4843">
      <c r="A4843" t="inlineStr">
        <is>
          <t>27BBBBB04843Z5</t>
        </is>
      </c>
      <c r="B4843" t="inlineStr">
        <is>
          <t>Nov-2018</t>
        </is>
      </c>
      <c r="C4843" s="2" t="n">
        <v>43476</v>
      </c>
      <c r="D4843" t="inlineStr">
        <is>
          <t>NIL</t>
        </is>
      </c>
      <c r="E4843" t="n">
        <v>2828</v>
      </c>
    </row>
    <row r="4844">
      <c r="A4844" t="inlineStr">
        <is>
          <t>27BBBBB04844Z5</t>
        </is>
      </c>
      <c r="B4844" t="inlineStr">
        <is>
          <t>Jan-2021</t>
        </is>
      </c>
      <c r="C4844" s="2" t="n">
        <v>44226</v>
      </c>
      <c r="D4844" t="inlineStr">
        <is>
          <t>NON-NIL</t>
        </is>
      </c>
      <c r="E4844" t="n">
        <v>119</v>
      </c>
    </row>
    <row r="4845">
      <c r="A4845" t="inlineStr">
        <is>
          <t>27BBBBB04845Z5</t>
        </is>
      </c>
      <c r="B4845" t="inlineStr">
        <is>
          <t>Nov-2017</t>
        </is>
      </c>
      <c r="C4845" s="2" t="n">
        <v>44098</v>
      </c>
      <c r="D4845" t="inlineStr">
        <is>
          <t>NIL</t>
        </is>
      </c>
      <c r="E4845" t="n">
        <v>1984</v>
      </c>
    </row>
    <row r="4846">
      <c r="A4846" t="inlineStr">
        <is>
          <t>27BBBBB04846Z5</t>
        </is>
      </c>
      <c r="B4846" t="inlineStr">
        <is>
          <t>Jun-2018</t>
        </is>
      </c>
      <c r="C4846" s="2" t="n">
        <v>43440</v>
      </c>
      <c r="D4846" t="inlineStr">
        <is>
          <t>NIL</t>
        </is>
      </c>
      <c r="E4846" t="n">
        <v>626</v>
      </c>
    </row>
    <row r="4847">
      <c r="A4847" t="inlineStr">
        <is>
          <t>27BBBBB04847Z5</t>
        </is>
      </c>
      <c r="B4847" t="inlineStr">
        <is>
          <t>May-2020</t>
        </is>
      </c>
      <c r="C4847" s="2" t="n">
        <v>44370</v>
      </c>
      <c r="D4847" t="inlineStr">
        <is>
          <t>NIL</t>
        </is>
      </c>
      <c r="E4847" t="n">
        <v>371</v>
      </c>
    </row>
    <row r="4848">
      <c r="A4848" t="inlineStr">
        <is>
          <t>27BBBBB04848Z5</t>
        </is>
      </c>
      <c r="B4848" t="inlineStr">
        <is>
          <t>Apr-2018</t>
        </is>
      </c>
      <c r="C4848" s="2" t="n">
        <v>43866</v>
      </c>
      <c r="D4848" t="inlineStr">
        <is>
          <t>NON-NIL</t>
        </is>
      </c>
      <c r="E4848" t="n">
        <v>2215</v>
      </c>
    </row>
    <row r="4849">
      <c r="A4849" t="inlineStr">
        <is>
          <t>27BBBBB04849Z5</t>
        </is>
      </c>
      <c r="B4849" t="inlineStr">
        <is>
          <t>Mar-2020</t>
        </is>
      </c>
      <c r="C4849" s="2" t="n">
        <v>44255</v>
      </c>
      <c r="D4849" t="inlineStr">
        <is>
          <t>NON-NIL</t>
        </is>
      </c>
      <c r="E4849" t="n">
        <v>779</v>
      </c>
    </row>
    <row r="4850">
      <c r="A4850" t="inlineStr">
        <is>
          <t>27BBBBB04850Z5</t>
        </is>
      </c>
      <c r="B4850" t="inlineStr">
        <is>
          <t>May-2020</t>
        </is>
      </c>
      <c r="C4850" s="2" t="n">
        <v>44051</v>
      </c>
      <c r="D4850" t="inlineStr">
        <is>
          <t>NON-NIL</t>
        </is>
      </c>
      <c r="E4850" t="n">
        <v>2551</v>
      </c>
    </row>
    <row r="4851">
      <c r="A4851" t="inlineStr">
        <is>
          <t>27BBBBB04851Z5</t>
        </is>
      </c>
      <c r="B4851" t="inlineStr">
        <is>
          <t>Jul-2018</t>
        </is>
      </c>
      <c r="C4851" s="2" t="n">
        <v>43648</v>
      </c>
      <c r="D4851" t="inlineStr">
        <is>
          <t>NON-NIL</t>
        </is>
      </c>
      <c r="E4851" t="n">
        <v>1706</v>
      </c>
    </row>
    <row r="4852">
      <c r="A4852" t="inlineStr">
        <is>
          <t>27BBBBB04852Z5</t>
        </is>
      </c>
      <c r="B4852" t="inlineStr">
        <is>
          <t>Jun-2020</t>
        </is>
      </c>
      <c r="C4852" s="2" t="n">
        <v>44905</v>
      </c>
      <c r="D4852" t="inlineStr">
        <is>
          <t>NIL</t>
        </is>
      </c>
      <c r="E4852" t="n">
        <v>1118</v>
      </c>
    </row>
    <row r="4853">
      <c r="A4853" t="inlineStr">
        <is>
          <t>27BBBBB04853Z5</t>
        </is>
      </c>
      <c r="B4853" t="inlineStr">
        <is>
          <t>Aug-2017</t>
        </is>
      </c>
      <c r="C4853" s="2" t="n">
        <v>44514</v>
      </c>
      <c r="D4853" t="inlineStr">
        <is>
          <t>NIL</t>
        </is>
      </c>
      <c r="E4853" t="n">
        <v>1110</v>
      </c>
    </row>
    <row r="4854">
      <c r="A4854" t="inlineStr">
        <is>
          <t>27BBBBB04854Z5</t>
        </is>
      </c>
      <c r="B4854" t="inlineStr">
        <is>
          <t>Dec-2018</t>
        </is>
      </c>
      <c r="C4854" s="2" t="n">
        <v>43433</v>
      </c>
      <c r="D4854" t="inlineStr">
        <is>
          <t>NON-NIL</t>
        </is>
      </c>
      <c r="E4854" t="n">
        <v>1135</v>
      </c>
    </row>
    <row r="4855">
      <c r="A4855" t="inlineStr">
        <is>
          <t>27BBBBB04855Z5</t>
        </is>
      </c>
      <c r="B4855" t="inlineStr">
        <is>
          <t>May-2018</t>
        </is>
      </c>
      <c r="C4855" s="2" t="n">
        <v>43411</v>
      </c>
      <c r="D4855" t="inlineStr">
        <is>
          <t>NON-NIL</t>
        </is>
      </c>
      <c r="E4855" t="n">
        <v>1862</v>
      </c>
    </row>
    <row r="4856">
      <c r="A4856" t="inlineStr">
        <is>
          <t>27BBBBB04856Z5</t>
        </is>
      </c>
      <c r="B4856" t="inlineStr">
        <is>
          <t>Mar-2020</t>
        </is>
      </c>
      <c r="C4856" s="2" t="n">
        <v>44216</v>
      </c>
      <c r="D4856" t="inlineStr">
        <is>
          <t>NIL</t>
        </is>
      </c>
      <c r="E4856" t="n">
        <v>1706</v>
      </c>
    </row>
    <row r="4857">
      <c r="A4857" t="inlineStr">
        <is>
          <t>27BBBBB04857Z5</t>
        </is>
      </c>
      <c r="B4857" t="inlineStr">
        <is>
          <t>Jan-2018</t>
        </is>
      </c>
      <c r="C4857" s="2" t="n">
        <v>43363</v>
      </c>
      <c r="D4857" t="inlineStr">
        <is>
          <t>NON-NIL</t>
        </is>
      </c>
      <c r="E4857" t="n">
        <v>1411</v>
      </c>
    </row>
    <row r="4858">
      <c r="A4858" t="inlineStr">
        <is>
          <t>27BBBBB04858Z5</t>
        </is>
      </c>
      <c r="B4858" t="inlineStr">
        <is>
          <t>Jun-2020</t>
        </is>
      </c>
      <c r="C4858" s="2" t="n">
        <v>44742</v>
      </c>
      <c r="D4858" t="inlineStr">
        <is>
          <t>NIL</t>
        </is>
      </c>
      <c r="E4858" t="n">
        <v>2075</v>
      </c>
    </row>
    <row r="4859">
      <c r="A4859" t="inlineStr">
        <is>
          <t>27BBBBB04859Z5</t>
        </is>
      </c>
      <c r="B4859" t="inlineStr">
        <is>
          <t>Jun-2020</t>
        </is>
      </c>
      <c r="C4859" s="2" t="n">
        <v>43975</v>
      </c>
      <c r="D4859" t="inlineStr">
        <is>
          <t>NIL</t>
        </is>
      </c>
      <c r="E4859" t="n">
        <v>1941</v>
      </c>
    </row>
    <row r="4860">
      <c r="A4860" t="inlineStr">
        <is>
          <t>27BBBBB04860Z5</t>
        </is>
      </c>
      <c r="B4860" t="inlineStr">
        <is>
          <t>Jun-2018</t>
        </is>
      </c>
      <c r="C4860" s="2" t="n">
        <v>44131</v>
      </c>
      <c r="D4860" t="inlineStr">
        <is>
          <t>NON-NIL</t>
        </is>
      </c>
      <c r="E4860" t="n">
        <v>1671</v>
      </c>
    </row>
    <row r="4861">
      <c r="A4861" t="inlineStr">
        <is>
          <t>27BBBBB04861Z5</t>
        </is>
      </c>
      <c r="B4861" t="inlineStr">
        <is>
          <t>Dec-2022</t>
        </is>
      </c>
      <c r="C4861" s="2" t="n">
        <v>43821</v>
      </c>
      <c r="D4861" t="inlineStr">
        <is>
          <t>NON-NIL</t>
        </is>
      </c>
      <c r="E4861" t="n">
        <v>1252</v>
      </c>
    </row>
    <row r="4862">
      <c r="A4862" t="inlineStr">
        <is>
          <t>27BBBBB04862Z5</t>
        </is>
      </c>
      <c r="B4862" t="inlineStr">
        <is>
          <t>Jun-2020</t>
        </is>
      </c>
      <c r="C4862" s="2" t="n">
        <v>44699</v>
      </c>
      <c r="D4862" t="inlineStr">
        <is>
          <t>NON-NIL</t>
        </is>
      </c>
      <c r="E4862" t="n">
        <v>1528</v>
      </c>
    </row>
    <row r="4863">
      <c r="A4863" t="inlineStr">
        <is>
          <t>27BBBBB04863Z5</t>
        </is>
      </c>
      <c r="B4863" t="inlineStr">
        <is>
          <t>Nov-2018</t>
        </is>
      </c>
      <c r="C4863" s="2" t="n">
        <v>44283</v>
      </c>
      <c r="D4863" t="inlineStr">
        <is>
          <t>NON-NIL</t>
        </is>
      </c>
      <c r="E4863" t="n">
        <v>2397</v>
      </c>
    </row>
    <row r="4864">
      <c r="A4864" t="inlineStr">
        <is>
          <t>27BBBBB04864Z5</t>
        </is>
      </c>
      <c r="B4864" t="inlineStr">
        <is>
          <t>Aug-2017</t>
        </is>
      </c>
      <c r="C4864" s="2" t="n">
        <v>43991</v>
      </c>
      <c r="D4864" t="inlineStr">
        <is>
          <t>NON-NIL</t>
        </is>
      </c>
      <c r="E4864" t="n">
        <v>1927</v>
      </c>
    </row>
    <row r="4865">
      <c r="A4865" t="inlineStr">
        <is>
          <t>27BBBBB04865Z5</t>
        </is>
      </c>
      <c r="B4865" t="inlineStr">
        <is>
          <t>Oct-2017</t>
        </is>
      </c>
      <c r="C4865" s="2" t="n">
        <v>43017</v>
      </c>
      <c r="D4865" t="inlineStr">
        <is>
          <t>NON-NIL</t>
        </is>
      </c>
      <c r="E4865" t="n">
        <v>177</v>
      </c>
    </row>
    <row r="4866">
      <c r="A4866" t="inlineStr">
        <is>
          <t>27BBBBB04866Z5</t>
        </is>
      </c>
      <c r="B4866" t="inlineStr">
        <is>
          <t>Jul-2018</t>
        </is>
      </c>
      <c r="C4866" s="2" t="n">
        <v>43155</v>
      </c>
      <c r="D4866" t="inlineStr">
        <is>
          <t>NIL</t>
        </is>
      </c>
      <c r="E4866" t="n">
        <v>1051</v>
      </c>
    </row>
    <row r="4867">
      <c r="A4867" t="inlineStr">
        <is>
          <t>27BBBBB04867Z5</t>
        </is>
      </c>
      <c r="B4867" t="inlineStr">
        <is>
          <t>Dec-2024</t>
        </is>
      </c>
      <c r="C4867" s="2" t="n">
        <v>43524</v>
      </c>
      <c r="D4867" t="inlineStr">
        <is>
          <t>NIL</t>
        </is>
      </c>
      <c r="E4867" t="n">
        <v>683</v>
      </c>
    </row>
    <row r="4868">
      <c r="A4868" t="inlineStr">
        <is>
          <t>27BBBBB04868Z5</t>
        </is>
      </c>
      <c r="B4868" t="inlineStr">
        <is>
          <t>Jun-2020</t>
        </is>
      </c>
      <c r="C4868" s="2" t="n">
        <v>44269</v>
      </c>
      <c r="D4868" t="inlineStr">
        <is>
          <t>NON-NIL</t>
        </is>
      </c>
      <c r="E4868" t="n">
        <v>2413</v>
      </c>
    </row>
    <row r="4869">
      <c r="A4869" t="inlineStr">
        <is>
          <t>27BBBBB04869Z5</t>
        </is>
      </c>
      <c r="B4869" t="inlineStr">
        <is>
          <t>Aug-2018</t>
        </is>
      </c>
      <c r="C4869" s="2" t="n">
        <v>42940</v>
      </c>
      <c r="D4869" t="inlineStr">
        <is>
          <t>NON-NIL</t>
        </is>
      </c>
      <c r="E4869" t="n">
        <v>1436</v>
      </c>
    </row>
    <row r="4870">
      <c r="A4870" t="inlineStr">
        <is>
          <t>27BBBBB04870Z5</t>
        </is>
      </c>
      <c r="B4870" t="inlineStr">
        <is>
          <t>Nov-2018</t>
        </is>
      </c>
      <c r="C4870" s="2" t="n">
        <v>43602</v>
      </c>
      <c r="D4870" t="inlineStr">
        <is>
          <t>NON-NIL</t>
        </is>
      </c>
      <c r="E4870" t="n">
        <v>711</v>
      </c>
    </row>
    <row r="4871">
      <c r="A4871" t="inlineStr">
        <is>
          <t>27BBBBB04871Z5</t>
        </is>
      </c>
      <c r="B4871" t="inlineStr">
        <is>
          <t>Dec-2017</t>
        </is>
      </c>
      <c r="C4871" s="2" t="n">
        <v>44474</v>
      </c>
      <c r="D4871" t="inlineStr">
        <is>
          <t>NON-NIL</t>
        </is>
      </c>
      <c r="E4871" t="n">
        <v>93</v>
      </c>
    </row>
    <row r="4872">
      <c r="A4872" t="inlineStr">
        <is>
          <t>27BBBBB04872Z5</t>
        </is>
      </c>
      <c r="B4872" t="inlineStr">
        <is>
          <t>Apr-2020</t>
        </is>
      </c>
      <c r="C4872" s="2" t="n">
        <v>44447</v>
      </c>
      <c r="D4872" t="inlineStr">
        <is>
          <t>NON-NIL</t>
        </is>
      </c>
      <c r="E4872" t="n">
        <v>878</v>
      </c>
    </row>
    <row r="4873">
      <c r="A4873" t="inlineStr">
        <is>
          <t>27BBBBB04873Z5</t>
        </is>
      </c>
      <c r="B4873" t="inlineStr">
        <is>
          <t>Aug-2018</t>
        </is>
      </c>
      <c r="C4873" s="2" t="n">
        <v>42955</v>
      </c>
      <c r="D4873" t="inlineStr">
        <is>
          <t>NON-NIL</t>
        </is>
      </c>
      <c r="E4873" t="n">
        <v>2187</v>
      </c>
    </row>
    <row r="4874">
      <c r="A4874" t="inlineStr">
        <is>
          <t>27BBBBB04874Z5</t>
        </is>
      </c>
      <c r="B4874" t="inlineStr">
        <is>
          <t>Nov-2018</t>
        </is>
      </c>
      <c r="C4874" s="2" t="n">
        <v>43506</v>
      </c>
      <c r="D4874" t="inlineStr">
        <is>
          <t>NON-NIL</t>
        </is>
      </c>
      <c r="E4874" t="n">
        <v>2948</v>
      </c>
    </row>
    <row r="4875">
      <c r="A4875" t="inlineStr">
        <is>
          <t>27BBBBB04875Z5</t>
        </is>
      </c>
      <c r="B4875" t="inlineStr">
        <is>
          <t>Mar-2021</t>
        </is>
      </c>
      <c r="C4875" s="2" t="n">
        <v>43737</v>
      </c>
      <c r="D4875" t="inlineStr">
        <is>
          <t>NIL</t>
        </is>
      </c>
      <c r="E4875" t="n">
        <v>2030</v>
      </c>
    </row>
    <row r="4876">
      <c r="A4876" t="inlineStr">
        <is>
          <t>27BBBBB04876Z5</t>
        </is>
      </c>
      <c r="B4876" t="inlineStr">
        <is>
          <t>Apr-2018</t>
        </is>
      </c>
      <c r="C4876" s="2" t="n">
        <v>43578</v>
      </c>
      <c r="D4876" t="inlineStr">
        <is>
          <t>NON-NIL</t>
        </is>
      </c>
      <c r="E4876" t="n">
        <v>1295</v>
      </c>
    </row>
    <row r="4877">
      <c r="A4877" t="inlineStr">
        <is>
          <t>27BBBBB04877Z5</t>
        </is>
      </c>
      <c r="B4877" t="inlineStr">
        <is>
          <t>Sep-2018</t>
        </is>
      </c>
      <c r="C4877" s="2" t="n">
        <v>43741</v>
      </c>
      <c r="D4877" t="inlineStr">
        <is>
          <t>NIL</t>
        </is>
      </c>
      <c r="E4877" t="n">
        <v>1770</v>
      </c>
    </row>
    <row r="4878">
      <c r="A4878" t="inlineStr">
        <is>
          <t>27BBBBB04878Z5</t>
        </is>
      </c>
      <c r="B4878" t="inlineStr">
        <is>
          <t>May-2020</t>
        </is>
      </c>
      <c r="C4878" s="2" t="n">
        <v>44268</v>
      </c>
      <c r="D4878" t="inlineStr">
        <is>
          <t>NON-NIL</t>
        </is>
      </c>
      <c r="E4878" t="n">
        <v>2451</v>
      </c>
    </row>
    <row r="4879">
      <c r="A4879" t="inlineStr">
        <is>
          <t>27BBBBB04879Z5</t>
        </is>
      </c>
      <c r="B4879" t="inlineStr">
        <is>
          <t>Jul-2020</t>
        </is>
      </c>
      <c r="C4879" s="2" t="n">
        <v>43855</v>
      </c>
      <c r="D4879" t="inlineStr">
        <is>
          <t>NIL</t>
        </is>
      </c>
      <c r="E4879" t="n">
        <v>2077</v>
      </c>
    </row>
    <row r="4880">
      <c r="A4880" t="inlineStr">
        <is>
          <t>27BBBBB04880Z5</t>
        </is>
      </c>
      <c r="B4880" t="inlineStr">
        <is>
          <t>Mar-2020</t>
        </is>
      </c>
      <c r="C4880" s="2" t="n">
        <v>44806</v>
      </c>
      <c r="D4880" t="inlineStr">
        <is>
          <t>NIL</t>
        </is>
      </c>
      <c r="E4880" t="n">
        <v>2655</v>
      </c>
    </row>
    <row r="4881">
      <c r="A4881" t="inlineStr">
        <is>
          <t>27BBBBB04881Z5</t>
        </is>
      </c>
      <c r="B4881" t="inlineStr">
        <is>
          <t>Dec-2022</t>
        </is>
      </c>
      <c r="C4881" s="2" t="n">
        <v>43659</v>
      </c>
      <c r="D4881" t="inlineStr">
        <is>
          <t>NIL</t>
        </is>
      </c>
      <c r="E4881" t="n">
        <v>1736</v>
      </c>
    </row>
    <row r="4882">
      <c r="A4882" t="inlineStr">
        <is>
          <t>27BBBBB04882Z5</t>
        </is>
      </c>
      <c r="B4882" t="inlineStr">
        <is>
          <t>Jun-2018</t>
        </is>
      </c>
      <c r="C4882" s="2" t="n">
        <v>44178</v>
      </c>
      <c r="D4882" t="inlineStr">
        <is>
          <t>NIL</t>
        </is>
      </c>
      <c r="E4882" t="n">
        <v>1905</v>
      </c>
    </row>
    <row r="4883">
      <c r="A4883" t="inlineStr">
        <is>
          <t>27BBBBB04883Z5</t>
        </is>
      </c>
      <c r="B4883" t="inlineStr">
        <is>
          <t>Sep-2018</t>
        </is>
      </c>
      <c r="C4883" s="2" t="n">
        <v>43480</v>
      </c>
      <c r="D4883" t="inlineStr">
        <is>
          <t>NON-NIL</t>
        </is>
      </c>
      <c r="E4883" t="n">
        <v>1792</v>
      </c>
    </row>
    <row r="4884">
      <c r="A4884" t="inlineStr">
        <is>
          <t>27BBBBB04884Z5</t>
        </is>
      </c>
      <c r="B4884" t="inlineStr">
        <is>
          <t>Dec-2022</t>
        </is>
      </c>
      <c r="C4884" s="2" t="n">
        <v>44493</v>
      </c>
      <c r="D4884" t="inlineStr">
        <is>
          <t>NIL</t>
        </is>
      </c>
      <c r="E4884" t="n">
        <v>799</v>
      </c>
    </row>
    <row r="4885">
      <c r="A4885" t="inlineStr">
        <is>
          <t>27BBBBB04885Z5</t>
        </is>
      </c>
      <c r="B4885" t="inlineStr">
        <is>
          <t>Apr-2018</t>
        </is>
      </c>
      <c r="C4885" s="2" t="n">
        <v>42930</v>
      </c>
      <c r="D4885" t="inlineStr">
        <is>
          <t>NON-NIL</t>
        </is>
      </c>
      <c r="E4885" t="n">
        <v>219</v>
      </c>
    </row>
    <row r="4886">
      <c r="A4886" t="inlineStr">
        <is>
          <t>27BBBBB04886Z5</t>
        </is>
      </c>
      <c r="B4886" t="inlineStr">
        <is>
          <t>May-2018</t>
        </is>
      </c>
      <c r="C4886" s="2" t="n">
        <v>43609</v>
      </c>
      <c r="D4886" t="inlineStr">
        <is>
          <t>NON-NIL</t>
        </is>
      </c>
      <c r="E4886" t="n">
        <v>121</v>
      </c>
    </row>
    <row r="4887">
      <c r="A4887" t="inlineStr">
        <is>
          <t>27BBBBB04887Z5</t>
        </is>
      </c>
      <c r="B4887" t="inlineStr">
        <is>
          <t>Oct-2017</t>
        </is>
      </c>
      <c r="C4887" s="2" t="n">
        <v>44340</v>
      </c>
      <c r="D4887" t="inlineStr">
        <is>
          <t>NIL</t>
        </is>
      </c>
      <c r="E4887" t="n">
        <v>846</v>
      </c>
    </row>
    <row r="4888">
      <c r="A4888" t="inlineStr">
        <is>
          <t>27BBBBB04888Z5</t>
        </is>
      </c>
      <c r="B4888" t="inlineStr">
        <is>
          <t>Jan-2018</t>
        </is>
      </c>
      <c r="C4888" s="2" t="n">
        <v>44504</v>
      </c>
      <c r="D4888" t="inlineStr">
        <is>
          <t>NON-NIL</t>
        </is>
      </c>
      <c r="E4888" t="n">
        <v>931</v>
      </c>
    </row>
    <row r="4889">
      <c r="A4889" t="inlineStr">
        <is>
          <t>27BBBBB04889Z5</t>
        </is>
      </c>
      <c r="B4889" t="inlineStr">
        <is>
          <t>Jan-2021</t>
        </is>
      </c>
      <c r="C4889" s="2" t="n">
        <v>43831</v>
      </c>
      <c r="D4889" t="inlineStr">
        <is>
          <t>NON-NIL</t>
        </is>
      </c>
      <c r="E4889" t="n">
        <v>2970</v>
      </c>
    </row>
    <row r="4890">
      <c r="A4890" t="inlineStr">
        <is>
          <t>27BBBBB04890Z5</t>
        </is>
      </c>
      <c r="B4890" t="inlineStr">
        <is>
          <t>Nov-2017</t>
        </is>
      </c>
      <c r="C4890" s="2" t="n">
        <v>44318</v>
      </c>
      <c r="D4890" t="inlineStr">
        <is>
          <t>NON-NIL</t>
        </is>
      </c>
      <c r="E4890" t="n">
        <v>2865</v>
      </c>
    </row>
    <row r="4891">
      <c r="A4891" t="inlineStr">
        <is>
          <t>27BBBBB04891Z5</t>
        </is>
      </c>
      <c r="B4891" t="inlineStr">
        <is>
          <t>Apr-2018</t>
        </is>
      </c>
      <c r="C4891" s="2" t="n">
        <v>44191</v>
      </c>
      <c r="D4891" t="inlineStr">
        <is>
          <t>NON-NIL</t>
        </is>
      </c>
      <c r="E4891" t="n">
        <v>2848</v>
      </c>
    </row>
    <row r="4892">
      <c r="A4892" t="inlineStr">
        <is>
          <t>27BBBBB04892Z5</t>
        </is>
      </c>
      <c r="B4892" t="inlineStr">
        <is>
          <t>Feb-2018</t>
        </is>
      </c>
      <c r="C4892" s="2" t="n">
        <v>43114</v>
      </c>
      <c r="D4892" t="inlineStr">
        <is>
          <t>NON-NIL</t>
        </is>
      </c>
      <c r="E4892" t="n">
        <v>960</v>
      </c>
    </row>
    <row r="4893">
      <c r="A4893" t="inlineStr">
        <is>
          <t>27BBBBB04893Z5</t>
        </is>
      </c>
      <c r="B4893" t="inlineStr">
        <is>
          <t>Jan-2021</t>
        </is>
      </c>
      <c r="C4893" s="2" t="n">
        <v>44520</v>
      </c>
      <c r="D4893" t="inlineStr">
        <is>
          <t>NIL</t>
        </is>
      </c>
      <c r="E4893" t="n">
        <v>595</v>
      </c>
    </row>
    <row r="4894">
      <c r="A4894" t="inlineStr">
        <is>
          <t>27BBBBB04894Z5</t>
        </is>
      </c>
      <c r="B4894" t="inlineStr">
        <is>
          <t>Jul-2018</t>
        </is>
      </c>
      <c r="C4894" s="2" t="n">
        <v>43171</v>
      </c>
      <c r="D4894" t="inlineStr">
        <is>
          <t>NIL</t>
        </is>
      </c>
      <c r="E4894" t="n">
        <v>501</v>
      </c>
    </row>
    <row r="4895">
      <c r="A4895" t="inlineStr">
        <is>
          <t>27BBBBB04895Z5</t>
        </is>
      </c>
      <c r="B4895" t="inlineStr">
        <is>
          <t>May-2018</t>
        </is>
      </c>
      <c r="C4895" s="2" t="n">
        <v>44443</v>
      </c>
      <c r="D4895" t="inlineStr">
        <is>
          <t>NON-NIL</t>
        </is>
      </c>
      <c r="E4895" t="n">
        <v>623</v>
      </c>
    </row>
    <row r="4896">
      <c r="A4896" t="inlineStr">
        <is>
          <t>27BBBBB04896Z5</t>
        </is>
      </c>
      <c r="B4896" t="inlineStr">
        <is>
          <t>Jul-2018</t>
        </is>
      </c>
      <c r="C4896" s="2" t="n">
        <v>43342</v>
      </c>
      <c r="D4896" t="inlineStr">
        <is>
          <t>NIL</t>
        </is>
      </c>
      <c r="E4896" t="n">
        <v>852</v>
      </c>
    </row>
    <row r="4897">
      <c r="A4897" t="inlineStr">
        <is>
          <t>27BBBBB04897Z5</t>
        </is>
      </c>
      <c r="B4897" t="inlineStr">
        <is>
          <t>Sep-2017</t>
        </is>
      </c>
      <c r="C4897" s="2" t="n">
        <v>43011</v>
      </c>
      <c r="D4897" t="inlineStr">
        <is>
          <t>NON-NIL</t>
        </is>
      </c>
      <c r="E4897" t="n">
        <v>2878</v>
      </c>
    </row>
    <row r="4898">
      <c r="A4898" t="inlineStr">
        <is>
          <t>27BBBBB04898Z5</t>
        </is>
      </c>
      <c r="B4898" t="inlineStr">
        <is>
          <t>Dec-2022</t>
        </is>
      </c>
      <c r="C4898" s="2" t="n">
        <v>45596</v>
      </c>
      <c r="D4898" t="inlineStr">
        <is>
          <t>NON-NIL</t>
        </is>
      </c>
      <c r="E4898" t="n">
        <v>1923</v>
      </c>
    </row>
    <row r="4899">
      <c r="A4899" t="inlineStr">
        <is>
          <t>27BBBBB04899Z5</t>
        </is>
      </c>
      <c r="B4899" t="inlineStr">
        <is>
          <t>Oct-2018</t>
        </is>
      </c>
      <c r="C4899" s="2" t="n">
        <v>43970</v>
      </c>
      <c r="D4899" t="inlineStr">
        <is>
          <t>NON-NIL</t>
        </is>
      </c>
      <c r="E4899" t="n">
        <v>1715</v>
      </c>
    </row>
    <row r="4900">
      <c r="A4900" t="inlineStr">
        <is>
          <t>27BBBBB04900Z5</t>
        </is>
      </c>
      <c r="B4900" t="inlineStr">
        <is>
          <t>Nov-2017</t>
        </is>
      </c>
      <c r="C4900" s="2" t="n">
        <v>42982</v>
      </c>
      <c r="D4900" t="inlineStr">
        <is>
          <t>NON-NIL</t>
        </is>
      </c>
      <c r="E4900" t="n">
        <v>1189</v>
      </c>
    </row>
    <row r="4901">
      <c r="A4901" t="inlineStr">
        <is>
          <t>27BBBBB04901Z5</t>
        </is>
      </c>
      <c r="B4901" t="inlineStr">
        <is>
          <t>Nov-2017</t>
        </is>
      </c>
      <c r="C4901" s="2" t="n">
        <v>42954</v>
      </c>
      <c r="D4901" t="inlineStr">
        <is>
          <t>NIL</t>
        </is>
      </c>
      <c r="E4901" t="n">
        <v>369</v>
      </c>
    </row>
    <row r="4902">
      <c r="A4902" t="inlineStr">
        <is>
          <t>27BBBBB04902Z5</t>
        </is>
      </c>
      <c r="B4902" t="inlineStr">
        <is>
          <t>Nov-2018</t>
        </is>
      </c>
      <c r="C4902" s="2" t="n">
        <v>43776</v>
      </c>
      <c r="D4902" t="inlineStr">
        <is>
          <t>NON-NIL</t>
        </is>
      </c>
      <c r="E4902" t="n">
        <v>2091</v>
      </c>
    </row>
    <row r="4903">
      <c r="A4903" t="inlineStr">
        <is>
          <t>27BBBBB04903Z5</t>
        </is>
      </c>
      <c r="B4903" t="inlineStr">
        <is>
          <t>Dec-2017</t>
        </is>
      </c>
      <c r="C4903" s="2" t="n">
        <v>43879</v>
      </c>
      <c r="D4903" t="inlineStr">
        <is>
          <t>NIL</t>
        </is>
      </c>
      <c r="E4903" t="n">
        <v>1635</v>
      </c>
    </row>
    <row r="4904">
      <c r="A4904" t="inlineStr">
        <is>
          <t>27BBBBB04904Z5</t>
        </is>
      </c>
      <c r="B4904" t="inlineStr">
        <is>
          <t>Feb-2018</t>
        </is>
      </c>
      <c r="C4904" s="2" t="n">
        <v>44438</v>
      </c>
      <c r="D4904" t="inlineStr">
        <is>
          <t>NON-NIL</t>
        </is>
      </c>
      <c r="E4904" t="n">
        <v>189</v>
      </c>
    </row>
    <row r="4905">
      <c r="A4905" t="inlineStr">
        <is>
          <t>27BBBBB04905Z5</t>
        </is>
      </c>
      <c r="B4905" t="inlineStr">
        <is>
          <t>Sep-2017</t>
        </is>
      </c>
      <c r="C4905" s="2" t="n">
        <v>44515</v>
      </c>
      <c r="D4905" t="inlineStr">
        <is>
          <t>NIL</t>
        </is>
      </c>
      <c r="E4905" t="n">
        <v>1158</v>
      </c>
    </row>
    <row r="4906">
      <c r="A4906" t="inlineStr">
        <is>
          <t>27BBBBB04906Z5</t>
        </is>
      </c>
      <c r="B4906" t="inlineStr">
        <is>
          <t>Mar-2020</t>
        </is>
      </c>
      <c r="C4906" s="2" t="n">
        <v>44728</v>
      </c>
      <c r="D4906" t="inlineStr">
        <is>
          <t>NON-NIL</t>
        </is>
      </c>
      <c r="E4906" t="n">
        <v>2961</v>
      </c>
    </row>
    <row r="4907">
      <c r="A4907" t="inlineStr">
        <is>
          <t>27BBBBB04907Z5</t>
        </is>
      </c>
      <c r="B4907" t="inlineStr">
        <is>
          <t>Mar-2018</t>
        </is>
      </c>
      <c r="C4907" s="2" t="n">
        <v>43138</v>
      </c>
      <c r="D4907" t="inlineStr">
        <is>
          <t>NIL</t>
        </is>
      </c>
      <c r="E4907" t="n">
        <v>2060</v>
      </c>
    </row>
    <row r="4908">
      <c r="A4908" t="inlineStr">
        <is>
          <t>27BBBBB04908Z5</t>
        </is>
      </c>
      <c r="B4908" t="inlineStr">
        <is>
          <t>Jul-2020</t>
        </is>
      </c>
      <c r="C4908" s="2" t="n">
        <v>44089</v>
      </c>
      <c r="D4908" t="inlineStr">
        <is>
          <t>NON-NIL</t>
        </is>
      </c>
      <c r="E4908" t="n">
        <v>325</v>
      </c>
    </row>
    <row r="4909">
      <c r="A4909" t="inlineStr">
        <is>
          <t>27BBBBB04909Z5</t>
        </is>
      </c>
      <c r="B4909" t="inlineStr">
        <is>
          <t>May-2020</t>
        </is>
      </c>
      <c r="C4909" s="2" t="n">
        <v>44559</v>
      </c>
      <c r="D4909" t="inlineStr">
        <is>
          <t>NIL</t>
        </is>
      </c>
      <c r="E4909" t="n">
        <v>792</v>
      </c>
    </row>
    <row r="4910">
      <c r="A4910" t="inlineStr">
        <is>
          <t>27BBBBB04910Z5</t>
        </is>
      </c>
      <c r="B4910" t="inlineStr">
        <is>
          <t>Mar-2021</t>
        </is>
      </c>
      <c r="C4910" s="2" t="n">
        <v>43916</v>
      </c>
      <c r="D4910" t="inlineStr">
        <is>
          <t>NON-NIL</t>
        </is>
      </c>
      <c r="E4910" t="n">
        <v>2153</v>
      </c>
    </row>
    <row r="4911">
      <c r="A4911" t="inlineStr">
        <is>
          <t>27BBBBB04911Z5</t>
        </is>
      </c>
      <c r="B4911" t="inlineStr">
        <is>
          <t>Dec-2017</t>
        </is>
      </c>
      <c r="C4911" s="2" t="n">
        <v>44432</v>
      </c>
      <c r="D4911" t="inlineStr">
        <is>
          <t>NIL</t>
        </is>
      </c>
      <c r="E4911" t="n">
        <v>1912</v>
      </c>
    </row>
    <row r="4912">
      <c r="A4912" t="inlineStr">
        <is>
          <t>27BBBBB04912Z5</t>
        </is>
      </c>
      <c r="B4912" t="inlineStr">
        <is>
          <t>Aug-2018</t>
        </is>
      </c>
      <c r="C4912" s="2" t="n">
        <v>44347</v>
      </c>
      <c r="D4912" t="inlineStr">
        <is>
          <t>NIL</t>
        </is>
      </c>
      <c r="E4912" t="n">
        <v>1106</v>
      </c>
    </row>
    <row r="4913">
      <c r="A4913" t="inlineStr">
        <is>
          <t>27BBBBB04913Z5</t>
        </is>
      </c>
      <c r="B4913" t="inlineStr">
        <is>
          <t>Jan-2018</t>
        </is>
      </c>
      <c r="C4913" s="2" t="n">
        <v>44545</v>
      </c>
      <c r="D4913" t="inlineStr">
        <is>
          <t>NON-NIL</t>
        </is>
      </c>
      <c r="E4913" t="n">
        <v>1770</v>
      </c>
    </row>
    <row r="4914">
      <c r="A4914" t="inlineStr">
        <is>
          <t>27BBBBB04914Z5</t>
        </is>
      </c>
      <c r="B4914" t="inlineStr">
        <is>
          <t>Feb-2018</t>
        </is>
      </c>
      <c r="C4914" s="2" t="n">
        <v>43677</v>
      </c>
      <c r="D4914" t="inlineStr">
        <is>
          <t>NON-NIL</t>
        </is>
      </c>
      <c r="E4914" t="n">
        <v>427</v>
      </c>
    </row>
    <row r="4915">
      <c r="A4915" t="inlineStr">
        <is>
          <t>27BBBBB04915Z5</t>
        </is>
      </c>
      <c r="B4915" t="inlineStr">
        <is>
          <t>Dec-2018</t>
        </is>
      </c>
      <c r="C4915" s="2" t="n">
        <v>44551</v>
      </c>
      <c r="D4915" t="inlineStr">
        <is>
          <t>NON-NIL</t>
        </is>
      </c>
      <c r="E4915" t="n">
        <v>2608</v>
      </c>
    </row>
    <row r="4916">
      <c r="A4916" t="inlineStr">
        <is>
          <t>27BBBBB04916Z5</t>
        </is>
      </c>
      <c r="B4916" t="inlineStr">
        <is>
          <t>Dec-2018</t>
        </is>
      </c>
      <c r="C4916" s="2" t="n">
        <v>44471</v>
      </c>
      <c r="D4916" t="inlineStr">
        <is>
          <t>NIL</t>
        </is>
      </c>
      <c r="E4916" t="n">
        <v>1299</v>
      </c>
    </row>
    <row r="4917">
      <c r="A4917" t="inlineStr">
        <is>
          <t>27BBBBB04917Z5</t>
        </is>
      </c>
      <c r="B4917" t="inlineStr">
        <is>
          <t>Mar-2018</t>
        </is>
      </c>
      <c r="C4917" s="2" t="n">
        <v>43884</v>
      </c>
      <c r="D4917" t="inlineStr">
        <is>
          <t>NIL</t>
        </is>
      </c>
      <c r="E4917" t="n">
        <v>1911</v>
      </c>
    </row>
    <row r="4918">
      <c r="A4918" t="inlineStr">
        <is>
          <t>27BBBBB04918Z5</t>
        </is>
      </c>
      <c r="B4918" t="inlineStr">
        <is>
          <t>Apr-2018</t>
        </is>
      </c>
      <c r="C4918" s="2" t="n">
        <v>43598</v>
      </c>
      <c r="D4918" t="inlineStr">
        <is>
          <t>NON-NIL</t>
        </is>
      </c>
      <c r="E4918" t="n">
        <v>454</v>
      </c>
    </row>
    <row r="4919">
      <c r="A4919" t="inlineStr">
        <is>
          <t>27BBBBB04919Z5</t>
        </is>
      </c>
      <c r="B4919" t="inlineStr">
        <is>
          <t>Apr-2018</t>
        </is>
      </c>
      <c r="C4919" s="2" t="n">
        <v>44334</v>
      </c>
      <c r="D4919" t="inlineStr">
        <is>
          <t>NON-NIL</t>
        </is>
      </c>
      <c r="E4919" t="n">
        <v>757</v>
      </c>
    </row>
    <row r="4920">
      <c r="A4920" t="inlineStr">
        <is>
          <t>27BBBBB04920Z5</t>
        </is>
      </c>
      <c r="B4920" t="inlineStr">
        <is>
          <t>Sep-2018</t>
        </is>
      </c>
      <c r="C4920" s="2" t="n">
        <v>43457</v>
      </c>
      <c r="D4920" t="inlineStr">
        <is>
          <t>NON-NIL</t>
        </is>
      </c>
      <c r="E4920" t="n">
        <v>2439</v>
      </c>
    </row>
    <row r="4921">
      <c r="A4921" t="inlineStr">
        <is>
          <t>27BBBBB04921Z5</t>
        </is>
      </c>
      <c r="B4921" t="inlineStr">
        <is>
          <t>Jan-2018</t>
        </is>
      </c>
      <c r="C4921" s="2" t="n">
        <v>43170</v>
      </c>
      <c r="D4921" t="inlineStr">
        <is>
          <t>NIL</t>
        </is>
      </c>
      <c r="E4921" t="n">
        <v>1811</v>
      </c>
    </row>
    <row r="4922">
      <c r="A4922" t="inlineStr">
        <is>
          <t>27BBBBB04922Z5</t>
        </is>
      </c>
      <c r="B4922" t="inlineStr">
        <is>
          <t>Sep-2017</t>
        </is>
      </c>
      <c r="C4922" s="2" t="n">
        <v>43179</v>
      </c>
      <c r="D4922" t="inlineStr">
        <is>
          <t>NIL</t>
        </is>
      </c>
      <c r="E4922" t="n">
        <v>778</v>
      </c>
    </row>
    <row r="4923">
      <c r="A4923" t="inlineStr">
        <is>
          <t>27BBBBB04923Z5</t>
        </is>
      </c>
      <c r="B4923" t="inlineStr">
        <is>
          <t>Aug-2018</t>
        </is>
      </c>
      <c r="C4923" s="2" t="n">
        <v>43824</v>
      </c>
      <c r="D4923" t="inlineStr">
        <is>
          <t>NIL</t>
        </is>
      </c>
      <c r="E4923" t="n">
        <v>2800</v>
      </c>
    </row>
    <row r="4924">
      <c r="A4924" t="inlineStr">
        <is>
          <t>27BBBBB04924Z5</t>
        </is>
      </c>
      <c r="B4924" t="inlineStr">
        <is>
          <t>Nov-2017</t>
        </is>
      </c>
      <c r="C4924" s="2" t="n">
        <v>44399</v>
      </c>
      <c r="D4924" t="inlineStr">
        <is>
          <t>NIL</t>
        </is>
      </c>
      <c r="E4924" t="n">
        <v>1358</v>
      </c>
    </row>
    <row r="4925">
      <c r="A4925" t="inlineStr">
        <is>
          <t>27BBBBB04925Z5</t>
        </is>
      </c>
      <c r="B4925" t="inlineStr">
        <is>
          <t>Jun-2018</t>
        </is>
      </c>
      <c r="C4925" s="2" t="n">
        <v>43470</v>
      </c>
      <c r="D4925" t="inlineStr">
        <is>
          <t>NIL</t>
        </is>
      </c>
      <c r="E4925" t="n">
        <v>898</v>
      </c>
    </row>
    <row r="4926">
      <c r="A4926" t="inlineStr">
        <is>
          <t>27BBBBB04926Z5</t>
        </is>
      </c>
      <c r="B4926" t="inlineStr">
        <is>
          <t>Sep-2018</t>
        </is>
      </c>
      <c r="C4926" s="2" t="n">
        <v>43419</v>
      </c>
      <c r="D4926" t="inlineStr">
        <is>
          <t>NON-NIL</t>
        </is>
      </c>
      <c r="E4926" t="n">
        <v>1851</v>
      </c>
    </row>
    <row r="4927">
      <c r="A4927" t="inlineStr">
        <is>
          <t>27BBBBB04927Z5</t>
        </is>
      </c>
      <c r="B4927" t="inlineStr">
        <is>
          <t>Jun-2020</t>
        </is>
      </c>
      <c r="C4927" s="2" t="n">
        <v>43872</v>
      </c>
      <c r="D4927" t="inlineStr">
        <is>
          <t>NON-NIL</t>
        </is>
      </c>
      <c r="E4927" t="n">
        <v>2777</v>
      </c>
    </row>
    <row r="4928">
      <c r="A4928" t="inlineStr">
        <is>
          <t>27BBBBB04928Z5</t>
        </is>
      </c>
      <c r="B4928" t="inlineStr">
        <is>
          <t>Oct-2017</t>
        </is>
      </c>
      <c r="C4928" s="2" t="n">
        <v>43429</v>
      </c>
      <c r="D4928" t="inlineStr">
        <is>
          <t>NON-NIL</t>
        </is>
      </c>
      <c r="E4928" t="n">
        <v>2213</v>
      </c>
    </row>
    <row r="4929">
      <c r="A4929" t="inlineStr">
        <is>
          <t>27BBBBB04929Z5</t>
        </is>
      </c>
      <c r="B4929" t="inlineStr">
        <is>
          <t>Dec-2018</t>
        </is>
      </c>
      <c r="C4929" s="2" t="n">
        <v>43764</v>
      </c>
      <c r="D4929" t="inlineStr">
        <is>
          <t>NIL</t>
        </is>
      </c>
      <c r="E4929" t="n">
        <v>887</v>
      </c>
    </row>
    <row r="4930">
      <c r="A4930" t="inlineStr">
        <is>
          <t>27BBBBB04930Z5</t>
        </is>
      </c>
      <c r="B4930" t="inlineStr">
        <is>
          <t>Jul-2018</t>
        </is>
      </c>
      <c r="C4930" s="2" t="n">
        <v>43469</v>
      </c>
      <c r="D4930" t="inlineStr">
        <is>
          <t>NIL</t>
        </is>
      </c>
      <c r="E4930" t="n">
        <v>617</v>
      </c>
    </row>
    <row r="4931">
      <c r="A4931" t="inlineStr">
        <is>
          <t>27BBBBB04931Z5</t>
        </is>
      </c>
      <c r="B4931" t="inlineStr">
        <is>
          <t>Feb-2018</t>
        </is>
      </c>
      <c r="C4931" s="2" t="n">
        <v>43670</v>
      </c>
      <c r="D4931" t="inlineStr">
        <is>
          <t>NIL</t>
        </is>
      </c>
      <c r="E4931" t="n">
        <v>1632</v>
      </c>
    </row>
    <row r="4932">
      <c r="A4932" t="inlineStr">
        <is>
          <t>27BBBBB04932Z5</t>
        </is>
      </c>
      <c r="B4932" t="inlineStr">
        <is>
          <t>Feb-2018</t>
        </is>
      </c>
      <c r="C4932" s="2" t="n">
        <v>43178</v>
      </c>
      <c r="D4932" t="inlineStr">
        <is>
          <t>NON-NIL</t>
        </is>
      </c>
      <c r="E4932" t="n">
        <v>1850</v>
      </c>
    </row>
    <row r="4933">
      <c r="A4933" t="inlineStr">
        <is>
          <t>27BBBBB04933Z5</t>
        </is>
      </c>
      <c r="B4933" t="inlineStr">
        <is>
          <t>May-2018</t>
        </is>
      </c>
      <c r="C4933" s="2" t="n">
        <v>44468</v>
      </c>
      <c r="D4933" t="inlineStr">
        <is>
          <t>NON-NIL</t>
        </is>
      </c>
      <c r="E4933" t="n">
        <v>1065</v>
      </c>
    </row>
    <row r="4934">
      <c r="A4934" t="inlineStr">
        <is>
          <t>27BBBBB04934Z5</t>
        </is>
      </c>
      <c r="B4934" t="inlineStr">
        <is>
          <t>Jan-2021</t>
        </is>
      </c>
      <c r="C4934" s="2" t="n">
        <v>45518</v>
      </c>
      <c r="D4934" t="inlineStr">
        <is>
          <t>NON-NIL</t>
        </is>
      </c>
      <c r="E4934" t="n">
        <v>153</v>
      </c>
    </row>
    <row r="4935">
      <c r="A4935" t="inlineStr">
        <is>
          <t>27BBBBB04935Z5</t>
        </is>
      </c>
      <c r="B4935" t="inlineStr">
        <is>
          <t>Mar-2023</t>
        </is>
      </c>
      <c r="C4935" s="2" t="n">
        <v>43529</v>
      </c>
      <c r="D4935" t="inlineStr">
        <is>
          <t>NON-NIL</t>
        </is>
      </c>
      <c r="E4935" t="n">
        <v>614</v>
      </c>
    </row>
    <row r="4936">
      <c r="A4936" t="inlineStr">
        <is>
          <t>27BBBBB04936Z5</t>
        </is>
      </c>
      <c r="B4936" t="inlineStr">
        <is>
          <t>Sep-2017</t>
        </is>
      </c>
      <c r="C4936" s="2" t="n">
        <v>42924</v>
      </c>
      <c r="D4936" t="inlineStr">
        <is>
          <t>NON-NIL</t>
        </is>
      </c>
      <c r="E4936" t="n">
        <v>2419</v>
      </c>
    </row>
    <row r="4937">
      <c r="A4937" t="inlineStr">
        <is>
          <t>27BBBBB04937Z5</t>
        </is>
      </c>
      <c r="B4937" t="inlineStr">
        <is>
          <t>Jul-2020</t>
        </is>
      </c>
      <c r="C4937" s="2" t="n">
        <v>44895</v>
      </c>
      <c r="D4937" t="inlineStr">
        <is>
          <t>NON-NIL</t>
        </is>
      </c>
      <c r="E4937" t="n">
        <v>1880</v>
      </c>
    </row>
    <row r="4938">
      <c r="A4938" t="inlineStr">
        <is>
          <t>27BBBBB04938Z5</t>
        </is>
      </c>
      <c r="B4938" t="inlineStr">
        <is>
          <t>Aug-2018</t>
        </is>
      </c>
      <c r="C4938" s="2" t="n">
        <v>44371</v>
      </c>
      <c r="D4938" t="inlineStr">
        <is>
          <t>NIL</t>
        </is>
      </c>
      <c r="E4938" t="n">
        <v>282</v>
      </c>
    </row>
    <row r="4939">
      <c r="A4939" t="inlineStr">
        <is>
          <t>27BBBBB04939Z5</t>
        </is>
      </c>
      <c r="B4939" t="inlineStr">
        <is>
          <t>Jun-2020</t>
        </is>
      </c>
      <c r="C4939" s="2" t="n">
        <v>44662</v>
      </c>
      <c r="D4939" t="inlineStr">
        <is>
          <t>NON-NIL</t>
        </is>
      </c>
      <c r="E4939" t="n">
        <v>2701</v>
      </c>
    </row>
    <row r="4940">
      <c r="A4940" t="inlineStr">
        <is>
          <t>27BBBBB04940Z5</t>
        </is>
      </c>
      <c r="B4940" t="inlineStr">
        <is>
          <t>Jul-2018</t>
        </is>
      </c>
      <c r="C4940" s="2" t="n">
        <v>44324</v>
      </c>
      <c r="D4940" t="inlineStr">
        <is>
          <t>NON-NIL</t>
        </is>
      </c>
      <c r="E4940" t="n">
        <v>2344</v>
      </c>
    </row>
    <row r="4941">
      <c r="A4941" t="inlineStr">
        <is>
          <t>27BBBBB04941Z5</t>
        </is>
      </c>
      <c r="B4941" t="inlineStr">
        <is>
          <t>Jan-2018</t>
        </is>
      </c>
      <c r="C4941" s="2" t="n">
        <v>44107</v>
      </c>
      <c r="D4941" t="inlineStr">
        <is>
          <t>NIL</t>
        </is>
      </c>
      <c r="E4941" t="n">
        <v>2021</v>
      </c>
    </row>
    <row r="4942">
      <c r="A4942" t="inlineStr">
        <is>
          <t>27BBBBB04942Z5</t>
        </is>
      </c>
      <c r="B4942" t="inlineStr">
        <is>
          <t>Dec-2018</t>
        </is>
      </c>
      <c r="C4942" s="2" t="n">
        <v>44295</v>
      </c>
      <c r="D4942" t="inlineStr">
        <is>
          <t>NIL</t>
        </is>
      </c>
      <c r="E4942" t="n">
        <v>1591</v>
      </c>
    </row>
    <row r="4943">
      <c r="A4943" t="inlineStr">
        <is>
          <t>27BBBBB04943Z5</t>
        </is>
      </c>
      <c r="B4943" t="inlineStr">
        <is>
          <t>May-2020</t>
        </is>
      </c>
      <c r="C4943" s="2" t="n">
        <v>43896</v>
      </c>
      <c r="D4943" t="inlineStr">
        <is>
          <t>NON-NIL</t>
        </is>
      </c>
      <c r="E4943" t="n">
        <v>2382</v>
      </c>
    </row>
    <row r="4944">
      <c r="A4944" t="inlineStr">
        <is>
          <t>27BBBBB04944Z5</t>
        </is>
      </c>
      <c r="B4944" t="inlineStr">
        <is>
          <t>Nov-2018</t>
        </is>
      </c>
      <c r="C4944" s="2" t="n">
        <v>44140</v>
      </c>
      <c r="D4944" t="inlineStr">
        <is>
          <t>NIL</t>
        </is>
      </c>
      <c r="E4944" t="n">
        <v>2926</v>
      </c>
    </row>
    <row r="4945">
      <c r="A4945" t="inlineStr">
        <is>
          <t>27BBBBB04945Z5</t>
        </is>
      </c>
      <c r="B4945" t="inlineStr">
        <is>
          <t>Dec-2024</t>
        </is>
      </c>
      <c r="C4945" s="2" t="n">
        <v>45788</v>
      </c>
      <c r="D4945" t="inlineStr">
        <is>
          <t>NON-NIL</t>
        </is>
      </c>
      <c r="E4945" t="n">
        <v>2785</v>
      </c>
    </row>
    <row r="4946">
      <c r="A4946" t="inlineStr">
        <is>
          <t>27BBBBB04946Z5</t>
        </is>
      </c>
      <c r="B4946" t="inlineStr">
        <is>
          <t>Dec-2018</t>
        </is>
      </c>
      <c r="C4946" s="2" t="n">
        <v>44144</v>
      </c>
      <c r="D4946" t="inlineStr">
        <is>
          <t>NIL</t>
        </is>
      </c>
      <c r="E4946" t="n">
        <v>67</v>
      </c>
    </row>
    <row r="4947">
      <c r="A4947" t="inlineStr">
        <is>
          <t>27BBBBB04947Z5</t>
        </is>
      </c>
      <c r="B4947" t="inlineStr">
        <is>
          <t>Oct-2018</t>
        </is>
      </c>
      <c r="C4947" s="2" t="n">
        <v>44266</v>
      </c>
      <c r="D4947" t="inlineStr">
        <is>
          <t>NIL</t>
        </is>
      </c>
      <c r="E4947" t="n">
        <v>2865</v>
      </c>
    </row>
    <row r="4948">
      <c r="A4948" t="inlineStr">
        <is>
          <t>27BBBBB04948Z5</t>
        </is>
      </c>
      <c r="B4948" t="inlineStr">
        <is>
          <t>Feb-2018</t>
        </is>
      </c>
      <c r="C4948" s="2" t="n">
        <v>43982</v>
      </c>
      <c r="D4948" t="inlineStr">
        <is>
          <t>NIL</t>
        </is>
      </c>
      <c r="E4948" t="n">
        <v>53</v>
      </c>
    </row>
    <row r="4949">
      <c r="A4949" t="inlineStr">
        <is>
          <t>27BBBBB04949Z5</t>
        </is>
      </c>
      <c r="B4949" t="inlineStr">
        <is>
          <t>Oct-2017</t>
        </is>
      </c>
      <c r="C4949" s="2" t="n">
        <v>44467</v>
      </c>
      <c r="D4949" t="inlineStr">
        <is>
          <t>NIL</t>
        </is>
      </c>
      <c r="E4949" t="n">
        <v>1654</v>
      </c>
    </row>
    <row r="4950">
      <c r="A4950" t="inlineStr">
        <is>
          <t>27BBBBB04950Z5</t>
        </is>
      </c>
      <c r="B4950" t="inlineStr">
        <is>
          <t>Nov-2017</t>
        </is>
      </c>
      <c r="C4950" s="2" t="n">
        <v>43491</v>
      </c>
      <c r="D4950" t="inlineStr">
        <is>
          <t>NIL</t>
        </is>
      </c>
      <c r="E4950" t="n">
        <v>2077</v>
      </c>
    </row>
    <row r="4951">
      <c r="A4951" t="inlineStr">
        <is>
          <t>27BBBBB04951Z5</t>
        </is>
      </c>
      <c r="B4951" t="inlineStr">
        <is>
          <t>Jan-2021</t>
        </is>
      </c>
      <c r="C4951" s="2" t="n">
        <v>44248</v>
      </c>
      <c r="D4951" t="inlineStr">
        <is>
          <t>NIL</t>
        </is>
      </c>
      <c r="E4951" t="n">
        <v>2496</v>
      </c>
    </row>
    <row r="4952">
      <c r="A4952" t="inlineStr">
        <is>
          <t>27BBBBB04952Z5</t>
        </is>
      </c>
      <c r="B4952" t="inlineStr">
        <is>
          <t>May-2018</t>
        </is>
      </c>
      <c r="C4952" s="2" t="n">
        <v>44535</v>
      </c>
      <c r="D4952" t="inlineStr">
        <is>
          <t>NIL</t>
        </is>
      </c>
      <c r="E4952" t="n">
        <v>2930</v>
      </c>
    </row>
    <row r="4953">
      <c r="A4953" t="inlineStr">
        <is>
          <t>27BBBBB04953Z5</t>
        </is>
      </c>
      <c r="B4953" t="inlineStr">
        <is>
          <t>Jul-2020</t>
        </is>
      </c>
      <c r="C4953" s="2" t="n">
        <v>44606</v>
      </c>
      <c r="D4953" t="inlineStr">
        <is>
          <t>NON-NIL</t>
        </is>
      </c>
      <c r="E4953" t="n">
        <v>1618</v>
      </c>
    </row>
    <row r="4954">
      <c r="A4954" t="inlineStr">
        <is>
          <t>27BBBBB04954Z5</t>
        </is>
      </c>
      <c r="B4954" t="inlineStr">
        <is>
          <t>Oct-2018</t>
        </is>
      </c>
      <c r="C4954" s="2" t="n">
        <v>43502</v>
      </c>
      <c r="D4954" t="inlineStr">
        <is>
          <t>NON-NIL</t>
        </is>
      </c>
      <c r="E4954" t="n">
        <v>1316</v>
      </c>
    </row>
    <row r="4955">
      <c r="A4955" t="inlineStr">
        <is>
          <t>27BBBBB04955Z5</t>
        </is>
      </c>
      <c r="B4955" t="inlineStr">
        <is>
          <t>Aug-2018</t>
        </is>
      </c>
      <c r="C4955" s="2" t="n">
        <v>44332</v>
      </c>
      <c r="D4955" t="inlineStr">
        <is>
          <t>NIL</t>
        </is>
      </c>
      <c r="E4955" t="n">
        <v>2979</v>
      </c>
    </row>
    <row r="4956">
      <c r="A4956" t="inlineStr">
        <is>
          <t>27BBBBB04956Z5</t>
        </is>
      </c>
      <c r="B4956" t="inlineStr">
        <is>
          <t>Jan-2021</t>
        </is>
      </c>
      <c r="C4956" s="2" t="n">
        <v>44195</v>
      </c>
      <c r="D4956" t="inlineStr">
        <is>
          <t>NIL</t>
        </is>
      </c>
      <c r="E4956" t="n">
        <v>2639</v>
      </c>
    </row>
    <row r="4957">
      <c r="A4957" t="inlineStr">
        <is>
          <t>27BBBBB04957Z5</t>
        </is>
      </c>
      <c r="B4957" t="inlineStr">
        <is>
          <t>Jan-2021</t>
        </is>
      </c>
      <c r="C4957" s="2" t="n">
        <v>44813</v>
      </c>
      <c r="D4957" t="inlineStr">
        <is>
          <t>NIL</t>
        </is>
      </c>
      <c r="E4957" t="n">
        <v>1496</v>
      </c>
    </row>
    <row r="4958">
      <c r="A4958" t="inlineStr">
        <is>
          <t>27BBBBB04958Z5</t>
        </is>
      </c>
      <c r="B4958" t="inlineStr">
        <is>
          <t>Apr-2018</t>
        </is>
      </c>
      <c r="C4958" s="2" t="n">
        <v>44245</v>
      </c>
      <c r="D4958" t="inlineStr">
        <is>
          <t>NON-NIL</t>
        </is>
      </c>
      <c r="E4958" t="n">
        <v>1908</v>
      </c>
    </row>
    <row r="4959">
      <c r="A4959" t="inlineStr">
        <is>
          <t>27BBBBB04959Z5</t>
        </is>
      </c>
      <c r="B4959" t="inlineStr">
        <is>
          <t>Jan-2021</t>
        </is>
      </c>
      <c r="C4959" s="2" t="n">
        <v>45605</v>
      </c>
      <c r="D4959" t="inlineStr">
        <is>
          <t>NON-NIL</t>
        </is>
      </c>
      <c r="E4959" t="n">
        <v>2051</v>
      </c>
    </row>
    <row r="4960">
      <c r="A4960" t="inlineStr">
        <is>
          <t>27BBBBB04960Z5</t>
        </is>
      </c>
      <c r="B4960" t="inlineStr">
        <is>
          <t>Dec-2024</t>
        </is>
      </c>
      <c r="C4960" s="2" t="n">
        <v>45742</v>
      </c>
      <c r="D4960" t="inlineStr">
        <is>
          <t>NIL</t>
        </is>
      </c>
      <c r="E4960" t="n">
        <v>1533</v>
      </c>
    </row>
    <row r="4961">
      <c r="A4961" t="inlineStr">
        <is>
          <t>27BBBBB04961Z5</t>
        </is>
      </c>
      <c r="B4961" t="inlineStr">
        <is>
          <t>Mar-2020</t>
        </is>
      </c>
      <c r="C4961" s="2" t="n">
        <v>44509</v>
      </c>
      <c r="D4961" t="inlineStr">
        <is>
          <t>NON-NIL</t>
        </is>
      </c>
      <c r="E4961" t="n">
        <v>1962</v>
      </c>
    </row>
    <row r="4962">
      <c r="A4962" t="inlineStr">
        <is>
          <t>27BBBBB04962Z5</t>
        </is>
      </c>
      <c r="B4962" t="inlineStr">
        <is>
          <t>Apr-2018</t>
        </is>
      </c>
      <c r="C4962" s="2" t="n">
        <v>43287</v>
      </c>
      <c r="D4962" t="inlineStr">
        <is>
          <t>NIL</t>
        </is>
      </c>
      <c r="E4962" t="n">
        <v>116</v>
      </c>
    </row>
    <row r="4963">
      <c r="A4963" t="inlineStr">
        <is>
          <t>27BBBBB04963Z5</t>
        </is>
      </c>
      <c r="B4963" t="inlineStr">
        <is>
          <t>Nov-2017</t>
        </is>
      </c>
      <c r="C4963" s="2" t="n">
        <v>44008</v>
      </c>
      <c r="D4963" t="inlineStr">
        <is>
          <t>NIL</t>
        </is>
      </c>
      <c r="E4963" t="n">
        <v>919</v>
      </c>
    </row>
    <row r="4964">
      <c r="A4964" t="inlineStr">
        <is>
          <t>27BBBBB04964Z5</t>
        </is>
      </c>
      <c r="B4964" t="inlineStr">
        <is>
          <t>Apr-2018</t>
        </is>
      </c>
      <c r="C4964" s="2" t="n">
        <v>44551</v>
      </c>
      <c r="D4964" t="inlineStr">
        <is>
          <t>NIL</t>
        </is>
      </c>
      <c r="E4964" t="n">
        <v>2710</v>
      </c>
    </row>
    <row r="4965">
      <c r="A4965" t="inlineStr">
        <is>
          <t>27BBBBB04965Z5</t>
        </is>
      </c>
      <c r="B4965" t="inlineStr">
        <is>
          <t>Sep-2018</t>
        </is>
      </c>
      <c r="C4965" s="2" t="n">
        <v>43109</v>
      </c>
      <c r="D4965" t="inlineStr">
        <is>
          <t>NON-NIL</t>
        </is>
      </c>
      <c r="E4965" t="n">
        <v>719</v>
      </c>
    </row>
    <row r="4966">
      <c r="A4966" t="inlineStr">
        <is>
          <t>27BBBBB04966Z5</t>
        </is>
      </c>
      <c r="B4966" t="inlineStr">
        <is>
          <t>Dec-2024</t>
        </is>
      </c>
      <c r="C4966" s="2" t="n">
        <v>44630</v>
      </c>
      <c r="D4966" t="inlineStr">
        <is>
          <t>NIL</t>
        </is>
      </c>
      <c r="E4966" t="n">
        <v>2769</v>
      </c>
    </row>
    <row r="4967">
      <c r="A4967" t="inlineStr">
        <is>
          <t>27BBBBB04967Z5</t>
        </is>
      </c>
      <c r="B4967" t="inlineStr">
        <is>
          <t>Nov-2018</t>
        </is>
      </c>
      <c r="C4967" s="2" t="n">
        <v>44267</v>
      </c>
      <c r="D4967" t="inlineStr">
        <is>
          <t>NIL</t>
        </is>
      </c>
      <c r="E4967" t="n">
        <v>502</v>
      </c>
    </row>
    <row r="4968">
      <c r="A4968" t="inlineStr">
        <is>
          <t>27BBBBB04968Z5</t>
        </is>
      </c>
      <c r="B4968" t="inlineStr">
        <is>
          <t>Feb-2018</t>
        </is>
      </c>
      <c r="C4968" s="2" t="n">
        <v>44392</v>
      </c>
      <c r="D4968" t="inlineStr">
        <is>
          <t>NON-NIL</t>
        </is>
      </c>
      <c r="E4968" t="n">
        <v>729</v>
      </c>
    </row>
    <row r="4969">
      <c r="A4969" t="inlineStr">
        <is>
          <t>27BBBBB04969Z5</t>
        </is>
      </c>
      <c r="B4969" t="inlineStr">
        <is>
          <t>Jun-2020</t>
        </is>
      </c>
      <c r="C4969" s="2" t="n">
        <v>44389</v>
      </c>
      <c r="D4969" t="inlineStr">
        <is>
          <t>NIL</t>
        </is>
      </c>
      <c r="E4969" t="n">
        <v>2193</v>
      </c>
    </row>
    <row r="4970">
      <c r="A4970" t="inlineStr">
        <is>
          <t>27BBBBB04970Z5</t>
        </is>
      </c>
      <c r="B4970" t="inlineStr">
        <is>
          <t>Dec-2018</t>
        </is>
      </c>
      <c r="C4970" s="2" t="n">
        <v>43523</v>
      </c>
      <c r="D4970" t="inlineStr">
        <is>
          <t>NIL</t>
        </is>
      </c>
      <c r="E4970" t="n">
        <v>2341</v>
      </c>
    </row>
    <row r="4971">
      <c r="A4971" t="inlineStr">
        <is>
          <t>27BBBBB04971Z5</t>
        </is>
      </c>
      <c r="B4971" t="inlineStr">
        <is>
          <t>Jul-2018</t>
        </is>
      </c>
      <c r="C4971" s="2" t="n">
        <v>44159</v>
      </c>
      <c r="D4971" t="inlineStr">
        <is>
          <t>NON-NIL</t>
        </is>
      </c>
      <c r="E4971" t="n">
        <v>1296</v>
      </c>
    </row>
    <row r="4972">
      <c r="A4972" t="inlineStr">
        <is>
          <t>27BBBBB04972Z5</t>
        </is>
      </c>
      <c r="B4972" t="inlineStr">
        <is>
          <t>Oct-2018</t>
        </is>
      </c>
      <c r="C4972" s="2" t="n">
        <v>43373</v>
      </c>
      <c r="D4972" t="inlineStr">
        <is>
          <t>NON-NIL</t>
        </is>
      </c>
      <c r="E4972" t="n">
        <v>957</v>
      </c>
    </row>
    <row r="4973">
      <c r="A4973" t="inlineStr">
        <is>
          <t>27BBBBB04973Z5</t>
        </is>
      </c>
      <c r="B4973" t="inlineStr">
        <is>
          <t>May-2020</t>
        </is>
      </c>
      <c r="C4973" s="2" t="n">
        <v>44784</v>
      </c>
      <c r="D4973" t="inlineStr">
        <is>
          <t>NON-NIL</t>
        </is>
      </c>
      <c r="E4973" t="n">
        <v>446</v>
      </c>
    </row>
    <row r="4974">
      <c r="A4974" t="inlineStr">
        <is>
          <t>27BBBBB04974Z5</t>
        </is>
      </c>
      <c r="B4974" t="inlineStr">
        <is>
          <t>Dec-2017</t>
        </is>
      </c>
      <c r="C4974" s="2" t="n">
        <v>43226</v>
      </c>
      <c r="D4974" t="inlineStr">
        <is>
          <t>NIL</t>
        </is>
      </c>
      <c r="E4974" t="n">
        <v>1985</v>
      </c>
    </row>
    <row r="4975">
      <c r="A4975" t="inlineStr">
        <is>
          <t>27BBBBB04975Z5</t>
        </is>
      </c>
      <c r="B4975" t="inlineStr">
        <is>
          <t>Nov-2017</t>
        </is>
      </c>
      <c r="C4975" s="2" t="n">
        <v>43092</v>
      </c>
      <c r="D4975" t="inlineStr">
        <is>
          <t>NON-NIL</t>
        </is>
      </c>
      <c r="E4975" t="n">
        <v>2336</v>
      </c>
    </row>
    <row r="4976">
      <c r="A4976" t="inlineStr">
        <is>
          <t>27BBBBB04976Z5</t>
        </is>
      </c>
      <c r="B4976" t="inlineStr">
        <is>
          <t>Jun-2020</t>
        </is>
      </c>
      <c r="C4976" s="2" t="n">
        <v>43928</v>
      </c>
      <c r="D4976" t="inlineStr">
        <is>
          <t>NON-NIL</t>
        </is>
      </c>
      <c r="E4976" t="n">
        <v>1573</v>
      </c>
    </row>
    <row r="4977">
      <c r="A4977" t="inlineStr">
        <is>
          <t>27BBBBB04977Z5</t>
        </is>
      </c>
      <c r="B4977" t="inlineStr">
        <is>
          <t>Jul-2017</t>
        </is>
      </c>
      <c r="C4977" s="2" t="n">
        <v>43280</v>
      </c>
      <c r="D4977" t="inlineStr">
        <is>
          <t>NIL</t>
        </is>
      </c>
      <c r="E4977" t="n">
        <v>614</v>
      </c>
    </row>
    <row r="4978">
      <c r="A4978" t="inlineStr">
        <is>
          <t>27BBBBB04978Z5</t>
        </is>
      </c>
      <c r="B4978" t="inlineStr">
        <is>
          <t>Mar-2018</t>
        </is>
      </c>
      <c r="C4978" s="2" t="n">
        <v>43932</v>
      </c>
      <c r="D4978" t="inlineStr">
        <is>
          <t>NIL</t>
        </is>
      </c>
      <c r="E4978" t="n">
        <v>945</v>
      </c>
    </row>
    <row r="4979">
      <c r="A4979" t="inlineStr">
        <is>
          <t>27BBBBB04979Z5</t>
        </is>
      </c>
      <c r="B4979" t="inlineStr">
        <is>
          <t>Dec-2017</t>
        </is>
      </c>
      <c r="C4979" s="2" t="n">
        <v>44229</v>
      </c>
      <c r="D4979" t="inlineStr">
        <is>
          <t>NIL</t>
        </is>
      </c>
      <c r="E4979" t="n">
        <v>969</v>
      </c>
    </row>
    <row r="4980">
      <c r="A4980" t="inlineStr">
        <is>
          <t>27BBBBB04980Z5</t>
        </is>
      </c>
      <c r="B4980" t="inlineStr">
        <is>
          <t>Dec-2022</t>
        </is>
      </c>
      <c r="C4980" s="2" t="n">
        <v>44247</v>
      </c>
      <c r="D4980" t="inlineStr">
        <is>
          <t>NON-NIL</t>
        </is>
      </c>
      <c r="E4980" t="n">
        <v>2189</v>
      </c>
    </row>
    <row r="4981">
      <c r="A4981" t="inlineStr">
        <is>
          <t>27BBBBB04981Z5</t>
        </is>
      </c>
      <c r="B4981" t="inlineStr">
        <is>
          <t>Jul-2017</t>
        </is>
      </c>
      <c r="C4981" s="2" t="n">
        <v>43038</v>
      </c>
      <c r="D4981" t="inlineStr">
        <is>
          <t>NON-NIL</t>
        </is>
      </c>
      <c r="E4981" t="n">
        <v>2201</v>
      </c>
    </row>
    <row r="4982">
      <c r="A4982" t="inlineStr">
        <is>
          <t>27BBBBB04982Z5</t>
        </is>
      </c>
      <c r="B4982" t="inlineStr">
        <is>
          <t>Apr-2018</t>
        </is>
      </c>
      <c r="C4982" s="2" t="n">
        <v>42938</v>
      </c>
      <c r="D4982" t="inlineStr">
        <is>
          <t>NON-NIL</t>
        </is>
      </c>
      <c r="E4982" t="n">
        <v>1137</v>
      </c>
    </row>
    <row r="4983">
      <c r="A4983" t="inlineStr">
        <is>
          <t>27BBBBB04983Z5</t>
        </is>
      </c>
      <c r="B4983" t="inlineStr">
        <is>
          <t>Nov-2017</t>
        </is>
      </c>
      <c r="C4983" s="2" t="n">
        <v>44089</v>
      </c>
      <c r="D4983" t="inlineStr">
        <is>
          <t>NIL</t>
        </is>
      </c>
      <c r="E4983" t="n">
        <v>2295</v>
      </c>
    </row>
    <row r="4984">
      <c r="A4984" t="inlineStr">
        <is>
          <t>27BBBBB04984Z5</t>
        </is>
      </c>
      <c r="B4984" t="inlineStr">
        <is>
          <t>Dec-2024</t>
        </is>
      </c>
      <c r="C4984" s="2" t="n">
        <v>44949</v>
      </c>
      <c r="D4984" t="inlineStr">
        <is>
          <t>NON-NIL</t>
        </is>
      </c>
      <c r="E4984" t="n">
        <v>1500</v>
      </c>
    </row>
    <row r="4985">
      <c r="A4985" t="inlineStr">
        <is>
          <t>27BBBBB04985Z5</t>
        </is>
      </c>
      <c r="B4985" t="inlineStr">
        <is>
          <t>Aug-2017</t>
        </is>
      </c>
      <c r="C4985" s="2" t="n">
        <v>43815</v>
      </c>
      <c r="D4985" t="inlineStr">
        <is>
          <t>NIL</t>
        </is>
      </c>
      <c r="E4985" t="n">
        <v>717</v>
      </c>
    </row>
    <row r="4986">
      <c r="A4986" t="inlineStr">
        <is>
          <t>27BBBBB04986Z5</t>
        </is>
      </c>
      <c r="B4986" t="inlineStr">
        <is>
          <t>Mar-2021</t>
        </is>
      </c>
      <c r="C4986" s="2" t="n">
        <v>43496</v>
      </c>
      <c r="D4986" t="inlineStr">
        <is>
          <t>NIL</t>
        </is>
      </c>
      <c r="E4986" t="n">
        <v>2821</v>
      </c>
    </row>
    <row r="4987">
      <c r="A4987" t="inlineStr">
        <is>
          <t>27BBBBB04987Z5</t>
        </is>
      </c>
      <c r="B4987" t="inlineStr">
        <is>
          <t>Jul-2020</t>
        </is>
      </c>
      <c r="C4987" s="2" t="n">
        <v>44916</v>
      </c>
      <c r="D4987" t="inlineStr">
        <is>
          <t>NIL</t>
        </is>
      </c>
      <c r="E4987" t="n">
        <v>2695</v>
      </c>
    </row>
    <row r="4988">
      <c r="A4988" t="inlineStr">
        <is>
          <t>27BBBBB04988Z5</t>
        </is>
      </c>
      <c r="B4988" t="inlineStr">
        <is>
          <t>Nov-2017</t>
        </is>
      </c>
      <c r="C4988" s="2" t="n">
        <v>44557</v>
      </c>
      <c r="D4988" t="inlineStr">
        <is>
          <t>NON-NIL</t>
        </is>
      </c>
      <c r="E4988" t="n">
        <v>1095</v>
      </c>
    </row>
    <row r="4989">
      <c r="A4989" t="inlineStr">
        <is>
          <t>27BBBBB04989Z5</t>
        </is>
      </c>
      <c r="B4989" t="inlineStr">
        <is>
          <t>Jun-2020</t>
        </is>
      </c>
      <c r="C4989" s="2" t="n">
        <v>44079</v>
      </c>
      <c r="D4989" t="inlineStr">
        <is>
          <t>NIL</t>
        </is>
      </c>
      <c r="E4989" t="n">
        <v>161</v>
      </c>
    </row>
    <row r="4990">
      <c r="A4990" t="inlineStr">
        <is>
          <t>27BBBBB04990Z5</t>
        </is>
      </c>
      <c r="B4990" t="inlineStr">
        <is>
          <t>May-2020</t>
        </is>
      </c>
      <c r="C4990" s="2" t="n">
        <v>44616</v>
      </c>
      <c r="D4990" t="inlineStr">
        <is>
          <t>NIL</t>
        </is>
      </c>
      <c r="E4990" t="n">
        <v>0</v>
      </c>
    </row>
    <row r="4991">
      <c r="A4991" t="inlineStr">
        <is>
          <t>27BBBBB04991Z5</t>
        </is>
      </c>
      <c r="B4991" t="inlineStr">
        <is>
          <t>Nov-2018</t>
        </is>
      </c>
      <c r="C4991" s="2" t="n">
        <v>43676</v>
      </c>
      <c r="D4991" t="inlineStr">
        <is>
          <t>NON-NIL</t>
        </is>
      </c>
      <c r="E4991" t="n">
        <v>2688</v>
      </c>
    </row>
    <row r="4992">
      <c r="A4992" t="inlineStr">
        <is>
          <t>27BBBBB04992Z5</t>
        </is>
      </c>
      <c r="B4992" t="inlineStr">
        <is>
          <t>Dec-2022</t>
        </is>
      </c>
      <c r="C4992" s="2" t="n">
        <v>45456</v>
      </c>
      <c r="D4992" t="inlineStr">
        <is>
          <t>NIL</t>
        </is>
      </c>
      <c r="E4992" t="n">
        <v>1144</v>
      </c>
    </row>
    <row r="4993">
      <c r="A4993" t="inlineStr">
        <is>
          <t>27BBBBB04993Z5</t>
        </is>
      </c>
      <c r="B4993" t="inlineStr">
        <is>
          <t>Oct-2017</t>
        </is>
      </c>
      <c r="C4993" s="2" t="n">
        <v>44102</v>
      </c>
      <c r="D4993" t="inlineStr">
        <is>
          <t>NIL</t>
        </is>
      </c>
      <c r="E4993" t="n">
        <v>1669</v>
      </c>
    </row>
    <row r="4994">
      <c r="A4994" t="inlineStr">
        <is>
          <t>27BBBBB04994Z5</t>
        </is>
      </c>
      <c r="B4994" t="inlineStr">
        <is>
          <t>Mar-2018</t>
        </is>
      </c>
      <c r="C4994" s="2" t="n">
        <v>42920</v>
      </c>
      <c r="D4994" t="inlineStr">
        <is>
          <t>NON-NIL</t>
        </is>
      </c>
      <c r="E4994" t="n">
        <v>1122</v>
      </c>
    </row>
    <row r="4995">
      <c r="A4995" t="inlineStr">
        <is>
          <t>27BBBBB04995Z5</t>
        </is>
      </c>
      <c r="B4995" t="inlineStr">
        <is>
          <t>Oct-2017</t>
        </is>
      </c>
      <c r="C4995" s="2" t="n">
        <v>43684</v>
      </c>
      <c r="D4995" t="inlineStr">
        <is>
          <t>NIL</t>
        </is>
      </c>
      <c r="E4995" t="n">
        <v>507</v>
      </c>
    </row>
    <row r="4996">
      <c r="A4996" t="inlineStr">
        <is>
          <t>27BBBBB04996Z5</t>
        </is>
      </c>
      <c r="B4996" t="inlineStr">
        <is>
          <t>Nov-2018</t>
        </is>
      </c>
      <c r="C4996" s="2" t="n">
        <v>43196</v>
      </c>
      <c r="D4996" t="inlineStr">
        <is>
          <t>NIL</t>
        </is>
      </c>
      <c r="E4996" t="n">
        <v>696</v>
      </c>
    </row>
    <row r="4997">
      <c r="A4997" t="inlineStr">
        <is>
          <t>27BBBBB04997Z5</t>
        </is>
      </c>
      <c r="B4997" t="inlineStr">
        <is>
          <t>Apr-2018</t>
        </is>
      </c>
      <c r="C4997" s="2" t="n">
        <v>43147</v>
      </c>
      <c r="D4997" t="inlineStr">
        <is>
          <t>NIL</t>
        </is>
      </c>
      <c r="E4997" t="n">
        <v>2747</v>
      </c>
    </row>
    <row r="4998">
      <c r="A4998" t="inlineStr">
        <is>
          <t>27BBBBB04998Z5</t>
        </is>
      </c>
      <c r="B4998" t="inlineStr">
        <is>
          <t>Jul-2020</t>
        </is>
      </c>
      <c r="C4998" s="2" t="n">
        <v>44169</v>
      </c>
      <c r="D4998" t="inlineStr">
        <is>
          <t>NON-NIL</t>
        </is>
      </c>
      <c r="E4998" t="n">
        <v>252</v>
      </c>
    </row>
    <row r="4999">
      <c r="A4999" t="inlineStr">
        <is>
          <t>27BBBBB04999Z5</t>
        </is>
      </c>
      <c r="B4999" t="inlineStr">
        <is>
          <t>Sep-2017</t>
        </is>
      </c>
      <c r="C4999" s="2" t="n">
        <v>42969</v>
      </c>
      <c r="D4999" t="inlineStr">
        <is>
          <t>NIL</t>
        </is>
      </c>
      <c r="E4999" t="n">
        <v>1002</v>
      </c>
    </row>
    <row r="5000">
      <c r="A5000" t="inlineStr">
        <is>
          <t>27BBBBB05000Z5</t>
        </is>
      </c>
      <c r="B5000" t="inlineStr">
        <is>
          <t>Dec-2017</t>
        </is>
      </c>
      <c r="C5000" s="2" t="n">
        <v>43315</v>
      </c>
      <c r="D5000" t="inlineStr">
        <is>
          <t>NIL</t>
        </is>
      </c>
      <c r="E5000" t="n">
        <v>2954</v>
      </c>
    </row>
    <row r="5001">
      <c r="A5001" t="inlineStr">
        <is>
          <t>27BBBBB05001Z5</t>
        </is>
      </c>
      <c r="B5001" t="inlineStr">
        <is>
          <t>Mar-2021</t>
        </is>
      </c>
      <c r="C5001" s="2" t="n">
        <v>43961</v>
      </c>
      <c r="D5001" t="inlineStr">
        <is>
          <t>NIL</t>
        </is>
      </c>
      <c r="E5001" t="n">
        <v>2330</v>
      </c>
    </row>
    <row r="5002">
      <c r="A5002" t="inlineStr">
        <is>
          <t>27BBBBB05002Z5</t>
        </is>
      </c>
      <c r="B5002" t="inlineStr">
        <is>
          <t>Mar-2020</t>
        </is>
      </c>
      <c r="C5002" s="2" t="n">
        <v>44109</v>
      </c>
      <c r="D5002" t="inlineStr">
        <is>
          <t>NON-NIL</t>
        </is>
      </c>
      <c r="E5002" t="n">
        <v>2077</v>
      </c>
    </row>
    <row r="5003">
      <c r="A5003" t="inlineStr">
        <is>
          <t>27BBBBB05003Z5</t>
        </is>
      </c>
      <c r="B5003" t="inlineStr">
        <is>
          <t>Oct-2017</t>
        </is>
      </c>
      <c r="C5003" s="2" t="n">
        <v>43496</v>
      </c>
      <c r="D5003" t="inlineStr">
        <is>
          <t>NIL</t>
        </is>
      </c>
      <c r="E5003" t="n">
        <v>2027</v>
      </c>
    </row>
    <row r="5004">
      <c r="A5004" t="inlineStr">
        <is>
          <t>27BBBBB05004Z5</t>
        </is>
      </c>
      <c r="B5004" t="inlineStr">
        <is>
          <t>Feb-2018</t>
        </is>
      </c>
      <c r="C5004" s="2" t="n">
        <v>43566</v>
      </c>
      <c r="D5004" t="inlineStr">
        <is>
          <t>NIL</t>
        </is>
      </c>
      <c r="E5004" t="n">
        <v>704</v>
      </c>
    </row>
    <row r="5005">
      <c r="A5005" t="inlineStr">
        <is>
          <t>27BBBBB05005Z5</t>
        </is>
      </c>
      <c r="B5005" t="inlineStr">
        <is>
          <t>Nov-2017</t>
        </is>
      </c>
      <c r="C5005" s="2" t="n">
        <v>43121</v>
      </c>
      <c r="D5005" t="inlineStr">
        <is>
          <t>NON-NIL</t>
        </is>
      </c>
      <c r="E5005" t="n">
        <v>2529</v>
      </c>
    </row>
    <row r="5006">
      <c r="A5006" t="inlineStr">
        <is>
          <t>27BBBBB05006Z5</t>
        </is>
      </c>
      <c r="B5006" t="inlineStr">
        <is>
          <t>Sep-2017</t>
        </is>
      </c>
      <c r="C5006" s="2" t="n">
        <v>43720</v>
      </c>
      <c r="D5006" t="inlineStr">
        <is>
          <t>NIL</t>
        </is>
      </c>
      <c r="E5006" t="n">
        <v>214</v>
      </c>
    </row>
    <row r="5007">
      <c r="A5007" t="inlineStr">
        <is>
          <t>27BBBBB05007Z5</t>
        </is>
      </c>
      <c r="B5007" t="inlineStr">
        <is>
          <t>Jul-2020</t>
        </is>
      </c>
      <c r="C5007" s="2" t="n">
        <v>44003</v>
      </c>
      <c r="D5007" t="inlineStr">
        <is>
          <t>NON-NIL</t>
        </is>
      </c>
      <c r="E5007" t="n">
        <v>916</v>
      </c>
    </row>
    <row r="5008">
      <c r="A5008" t="inlineStr">
        <is>
          <t>27BBBBB05008Z5</t>
        </is>
      </c>
      <c r="B5008" t="inlineStr">
        <is>
          <t>Jun-2020</t>
        </is>
      </c>
      <c r="C5008" s="2" t="n">
        <v>44121</v>
      </c>
      <c r="D5008" t="inlineStr">
        <is>
          <t>NIL</t>
        </is>
      </c>
      <c r="E5008" t="n">
        <v>0</v>
      </c>
    </row>
    <row r="5009">
      <c r="A5009" t="inlineStr">
        <is>
          <t>27BBBBB05009Z5</t>
        </is>
      </c>
      <c r="B5009" t="inlineStr">
        <is>
          <t>May-2018</t>
        </is>
      </c>
      <c r="C5009" s="2" t="n">
        <v>44167</v>
      </c>
      <c r="D5009" t="inlineStr">
        <is>
          <t>NON-NIL</t>
        </is>
      </c>
      <c r="E5009" t="n">
        <v>2057</v>
      </c>
    </row>
    <row r="5010">
      <c r="A5010" t="inlineStr">
        <is>
          <t>27BBBBB05010Z5</t>
        </is>
      </c>
      <c r="B5010" t="inlineStr">
        <is>
          <t>May-2020</t>
        </is>
      </c>
      <c r="C5010" s="2" t="n">
        <v>44439</v>
      </c>
      <c r="D5010" t="inlineStr">
        <is>
          <t>NIL</t>
        </is>
      </c>
      <c r="E5010" t="n">
        <v>2711</v>
      </c>
    </row>
    <row r="5011">
      <c r="A5011" t="inlineStr">
        <is>
          <t>27BBBBB05011Z5</t>
        </is>
      </c>
      <c r="B5011" t="inlineStr">
        <is>
          <t>Dec-2018</t>
        </is>
      </c>
      <c r="C5011" s="2" t="n">
        <v>43098</v>
      </c>
      <c r="D5011" t="inlineStr">
        <is>
          <t>NON-NIL</t>
        </is>
      </c>
      <c r="E5011" t="n">
        <v>2674</v>
      </c>
    </row>
    <row r="5012">
      <c r="A5012" t="inlineStr">
        <is>
          <t>27BBBBB05012Z5</t>
        </is>
      </c>
      <c r="B5012" t="inlineStr">
        <is>
          <t>Dec-2024</t>
        </is>
      </c>
      <c r="C5012" s="2" t="n">
        <v>44476</v>
      </c>
      <c r="D5012" t="inlineStr">
        <is>
          <t>NON-NIL</t>
        </is>
      </c>
      <c r="E5012" t="n">
        <v>493</v>
      </c>
    </row>
    <row r="5013">
      <c r="A5013" t="inlineStr">
        <is>
          <t>27BBBBB05013Z5</t>
        </is>
      </c>
      <c r="B5013" t="inlineStr">
        <is>
          <t>Jul-2020</t>
        </is>
      </c>
      <c r="C5013" s="2" t="n">
        <v>44454</v>
      </c>
      <c r="D5013" t="inlineStr">
        <is>
          <t>NIL</t>
        </is>
      </c>
      <c r="E5013" t="n">
        <v>2559</v>
      </c>
    </row>
    <row r="5014">
      <c r="A5014" t="inlineStr">
        <is>
          <t>27BBBBB05014Z5</t>
        </is>
      </c>
      <c r="B5014" t="inlineStr">
        <is>
          <t>Dec-2024</t>
        </is>
      </c>
      <c r="C5014" s="2" t="n">
        <v>45804</v>
      </c>
      <c r="D5014" t="inlineStr">
        <is>
          <t>NON-NIL</t>
        </is>
      </c>
      <c r="E5014" t="n">
        <v>2483</v>
      </c>
    </row>
    <row r="5015">
      <c r="A5015" t="inlineStr">
        <is>
          <t>27BBBBB05015Z5</t>
        </is>
      </c>
      <c r="B5015" t="inlineStr">
        <is>
          <t>Dec-2022</t>
        </is>
      </c>
      <c r="C5015" s="2" t="n">
        <v>45666</v>
      </c>
      <c r="D5015" t="inlineStr">
        <is>
          <t>NIL</t>
        </is>
      </c>
      <c r="E5015" t="n">
        <v>1988</v>
      </c>
    </row>
    <row r="5016">
      <c r="A5016" t="inlineStr">
        <is>
          <t>27BBBBB05016Z5</t>
        </is>
      </c>
      <c r="B5016" t="inlineStr">
        <is>
          <t>Aug-2018</t>
        </is>
      </c>
      <c r="C5016" s="2" t="n">
        <v>43411</v>
      </c>
      <c r="D5016" t="inlineStr">
        <is>
          <t>NIL</t>
        </is>
      </c>
      <c r="E5016" t="n">
        <v>2722</v>
      </c>
    </row>
    <row r="5017">
      <c r="A5017" t="inlineStr">
        <is>
          <t>27BBBBB05017Z5</t>
        </is>
      </c>
      <c r="B5017" t="inlineStr">
        <is>
          <t>Oct-2017</t>
        </is>
      </c>
      <c r="C5017" s="2" t="n">
        <v>44134</v>
      </c>
      <c r="D5017" t="inlineStr">
        <is>
          <t>NIL</t>
        </is>
      </c>
      <c r="E5017" t="n">
        <v>442</v>
      </c>
    </row>
    <row r="5018">
      <c r="A5018" t="inlineStr">
        <is>
          <t>27BBBBB05018Z5</t>
        </is>
      </c>
      <c r="B5018" t="inlineStr">
        <is>
          <t>Jun-2018</t>
        </is>
      </c>
      <c r="C5018" s="2" t="n">
        <v>43482</v>
      </c>
      <c r="D5018" t="inlineStr">
        <is>
          <t>NIL</t>
        </is>
      </c>
      <c r="E5018" t="n">
        <v>2996</v>
      </c>
    </row>
    <row r="5019">
      <c r="A5019" t="inlineStr">
        <is>
          <t>27BBBBB05019Z5</t>
        </is>
      </c>
      <c r="B5019" t="inlineStr">
        <is>
          <t>Oct-2017</t>
        </is>
      </c>
      <c r="C5019" s="2" t="n">
        <v>43807</v>
      </c>
      <c r="D5019" t="inlineStr">
        <is>
          <t>NON-NIL</t>
        </is>
      </c>
      <c r="E5019" t="n">
        <v>212</v>
      </c>
    </row>
    <row r="5020">
      <c r="A5020" t="inlineStr">
        <is>
          <t>27BBBBB05020Z5</t>
        </is>
      </c>
      <c r="B5020" t="inlineStr">
        <is>
          <t>Sep-2017</t>
        </is>
      </c>
      <c r="C5020" s="2" t="n">
        <v>44284</v>
      </c>
      <c r="D5020" t="inlineStr">
        <is>
          <t>NON-NIL</t>
        </is>
      </c>
      <c r="E5020" t="n">
        <v>449</v>
      </c>
    </row>
    <row r="5021">
      <c r="A5021" t="inlineStr">
        <is>
          <t>27BBBBB05021Z5</t>
        </is>
      </c>
      <c r="B5021" t="inlineStr">
        <is>
          <t>Jul-2017</t>
        </is>
      </c>
      <c r="C5021" s="2" t="n">
        <v>43534</v>
      </c>
      <c r="D5021" t="inlineStr">
        <is>
          <t>NIL</t>
        </is>
      </c>
      <c r="E5021" t="n">
        <v>112</v>
      </c>
    </row>
    <row r="5022">
      <c r="A5022" t="inlineStr">
        <is>
          <t>27BBBBB05022Z5</t>
        </is>
      </c>
      <c r="B5022" t="inlineStr">
        <is>
          <t>Aug-2018</t>
        </is>
      </c>
      <c r="C5022" s="2" t="n">
        <v>43454</v>
      </c>
      <c r="D5022" t="inlineStr">
        <is>
          <t>NON-NIL</t>
        </is>
      </c>
      <c r="E5022" t="n">
        <v>1558</v>
      </c>
    </row>
    <row r="5023">
      <c r="A5023" t="inlineStr">
        <is>
          <t>27BBBBB05023Z5</t>
        </is>
      </c>
      <c r="B5023" t="inlineStr">
        <is>
          <t>Nov-2017</t>
        </is>
      </c>
      <c r="C5023" s="2" t="n">
        <v>44243</v>
      </c>
      <c r="D5023" t="inlineStr">
        <is>
          <t>NIL</t>
        </is>
      </c>
      <c r="E5023" t="n">
        <v>2579</v>
      </c>
    </row>
    <row r="5024">
      <c r="A5024" t="inlineStr">
        <is>
          <t>27BBBBB05024Z5</t>
        </is>
      </c>
      <c r="B5024" t="inlineStr">
        <is>
          <t>Jul-2017</t>
        </is>
      </c>
      <c r="C5024" s="2" t="n">
        <v>44178</v>
      </c>
      <c r="D5024" t="inlineStr">
        <is>
          <t>NIL</t>
        </is>
      </c>
      <c r="E5024" t="n">
        <v>2588</v>
      </c>
    </row>
    <row r="5025">
      <c r="A5025" t="inlineStr">
        <is>
          <t>27BBBBB05025Z5</t>
        </is>
      </c>
      <c r="B5025" t="inlineStr">
        <is>
          <t>Dec-2017</t>
        </is>
      </c>
      <c r="C5025" s="2" t="n">
        <v>44361</v>
      </c>
      <c r="D5025" t="inlineStr">
        <is>
          <t>NON-NIL</t>
        </is>
      </c>
      <c r="E5025" t="n">
        <v>780</v>
      </c>
    </row>
    <row r="5026">
      <c r="A5026" t="inlineStr">
        <is>
          <t>27BBBBB05026Z5</t>
        </is>
      </c>
      <c r="B5026" t="inlineStr">
        <is>
          <t>Aug-2018</t>
        </is>
      </c>
      <c r="C5026" s="2" t="n">
        <v>44487</v>
      </c>
      <c r="D5026" t="inlineStr">
        <is>
          <t>NON-NIL</t>
        </is>
      </c>
      <c r="E5026" t="n">
        <v>594</v>
      </c>
    </row>
    <row r="5027">
      <c r="A5027" t="inlineStr">
        <is>
          <t>27BBBBB05027Z5</t>
        </is>
      </c>
      <c r="B5027" t="inlineStr">
        <is>
          <t>May-2020</t>
        </is>
      </c>
      <c r="C5027" s="2" t="n">
        <v>44249</v>
      </c>
      <c r="D5027" t="inlineStr">
        <is>
          <t>NON-NIL</t>
        </is>
      </c>
      <c r="E5027" t="n">
        <v>535</v>
      </c>
    </row>
    <row r="5028">
      <c r="A5028" t="inlineStr">
        <is>
          <t>27BBBBB05028Z5</t>
        </is>
      </c>
      <c r="B5028" t="inlineStr">
        <is>
          <t>Jun-2018</t>
        </is>
      </c>
      <c r="C5028" s="2" t="n">
        <v>44223</v>
      </c>
      <c r="D5028" t="inlineStr">
        <is>
          <t>NIL</t>
        </is>
      </c>
      <c r="E5028" t="n">
        <v>210</v>
      </c>
    </row>
    <row r="5029">
      <c r="A5029" t="inlineStr">
        <is>
          <t>27BBBBB05029Z5</t>
        </is>
      </c>
      <c r="B5029" t="inlineStr">
        <is>
          <t>Jan-2021</t>
        </is>
      </c>
      <c r="C5029" s="2" t="n">
        <v>44757</v>
      </c>
      <c r="D5029" t="inlineStr">
        <is>
          <t>NON-NIL</t>
        </is>
      </c>
      <c r="E5029" t="n">
        <v>1436</v>
      </c>
    </row>
    <row r="5030">
      <c r="A5030" t="inlineStr">
        <is>
          <t>27BBBBB05030Z5</t>
        </is>
      </c>
      <c r="B5030" t="inlineStr">
        <is>
          <t>Aug-2018</t>
        </is>
      </c>
      <c r="C5030" s="2" t="n">
        <v>44325</v>
      </c>
      <c r="D5030" t="inlineStr">
        <is>
          <t>NON-NIL</t>
        </is>
      </c>
      <c r="E5030" t="n">
        <v>2534</v>
      </c>
    </row>
    <row r="5031">
      <c r="A5031" t="inlineStr">
        <is>
          <t>27BBBBB05031Z5</t>
        </is>
      </c>
      <c r="B5031" t="inlineStr">
        <is>
          <t>Jul-2020</t>
        </is>
      </c>
      <c r="C5031" s="2" t="n">
        <v>44024</v>
      </c>
      <c r="D5031" t="inlineStr">
        <is>
          <t>NON-NIL</t>
        </is>
      </c>
      <c r="E5031" t="n">
        <v>1821</v>
      </c>
    </row>
    <row r="5032">
      <c r="A5032" t="inlineStr">
        <is>
          <t>27BBBBB05032Z5</t>
        </is>
      </c>
      <c r="B5032" t="inlineStr">
        <is>
          <t>Mar-2023</t>
        </is>
      </c>
      <c r="C5032" s="2" t="n">
        <v>43759</v>
      </c>
      <c r="D5032" t="inlineStr">
        <is>
          <t>NIL</t>
        </is>
      </c>
      <c r="E5032" t="n">
        <v>1900</v>
      </c>
    </row>
    <row r="5033">
      <c r="A5033" t="inlineStr">
        <is>
          <t>27BBBBB05033Z5</t>
        </is>
      </c>
      <c r="B5033" t="inlineStr">
        <is>
          <t>Mar-2023</t>
        </is>
      </c>
      <c r="C5033" s="2" t="n">
        <v>44738</v>
      </c>
      <c r="D5033" t="inlineStr">
        <is>
          <t>NON-NIL</t>
        </is>
      </c>
      <c r="E5033" t="n">
        <v>2888</v>
      </c>
    </row>
    <row r="5034">
      <c r="A5034" t="inlineStr">
        <is>
          <t>27BBBBB05034Z5</t>
        </is>
      </c>
      <c r="B5034" t="inlineStr">
        <is>
          <t>Jul-2017</t>
        </is>
      </c>
      <c r="C5034" s="2" t="n">
        <v>43115</v>
      </c>
      <c r="D5034" t="inlineStr">
        <is>
          <t>NIL</t>
        </is>
      </c>
      <c r="E5034" t="n">
        <v>89</v>
      </c>
    </row>
    <row r="5035">
      <c r="A5035" t="inlineStr">
        <is>
          <t>27BBBBB05035Z5</t>
        </is>
      </c>
      <c r="B5035" t="inlineStr">
        <is>
          <t>Jun-2018</t>
        </is>
      </c>
      <c r="C5035" s="2" t="n">
        <v>44097</v>
      </c>
      <c r="D5035" t="inlineStr">
        <is>
          <t>NON-NIL</t>
        </is>
      </c>
      <c r="E5035" t="n">
        <v>534</v>
      </c>
    </row>
    <row r="5036">
      <c r="A5036" t="inlineStr">
        <is>
          <t>27BBBBB05036Z5</t>
        </is>
      </c>
      <c r="B5036" t="inlineStr">
        <is>
          <t>May-2018</t>
        </is>
      </c>
      <c r="C5036" s="2" t="n">
        <v>44550</v>
      </c>
      <c r="D5036" t="inlineStr">
        <is>
          <t>NIL</t>
        </is>
      </c>
      <c r="E5036" t="n">
        <v>1016</v>
      </c>
    </row>
    <row r="5037">
      <c r="A5037" t="inlineStr">
        <is>
          <t>27BBBBB05037Z5</t>
        </is>
      </c>
      <c r="B5037" t="inlineStr">
        <is>
          <t>May-2020</t>
        </is>
      </c>
      <c r="C5037" s="2" t="n">
        <v>44169</v>
      </c>
      <c r="D5037" t="inlineStr">
        <is>
          <t>NON-NIL</t>
        </is>
      </c>
      <c r="E5037" t="n">
        <v>2580</v>
      </c>
    </row>
    <row r="5038">
      <c r="A5038" t="inlineStr">
        <is>
          <t>27BBBBB05038Z5</t>
        </is>
      </c>
      <c r="B5038" t="inlineStr">
        <is>
          <t>Mar-2020</t>
        </is>
      </c>
      <c r="C5038" s="2" t="n">
        <v>44762</v>
      </c>
      <c r="D5038" t="inlineStr">
        <is>
          <t>NIL</t>
        </is>
      </c>
      <c r="E5038" t="n">
        <v>1876</v>
      </c>
    </row>
    <row r="5039">
      <c r="A5039" t="inlineStr">
        <is>
          <t>27BBBBB05039Z5</t>
        </is>
      </c>
      <c r="B5039" t="inlineStr">
        <is>
          <t>Jun-2020</t>
        </is>
      </c>
      <c r="C5039" s="2" t="n">
        <v>44235</v>
      </c>
      <c r="D5039" t="inlineStr">
        <is>
          <t>NIL</t>
        </is>
      </c>
      <c r="E5039" t="n">
        <v>1622</v>
      </c>
    </row>
    <row r="5040">
      <c r="A5040" t="inlineStr">
        <is>
          <t>27BBBBB05040Z5</t>
        </is>
      </c>
      <c r="B5040" t="inlineStr">
        <is>
          <t>Dec-2018</t>
        </is>
      </c>
      <c r="C5040" s="2" t="n">
        <v>43788</v>
      </c>
      <c r="D5040" t="inlineStr">
        <is>
          <t>NON-NIL</t>
        </is>
      </c>
      <c r="E5040" t="n">
        <v>2257</v>
      </c>
    </row>
    <row r="5041">
      <c r="A5041" t="inlineStr">
        <is>
          <t>27BBBBB05041Z5</t>
        </is>
      </c>
      <c r="B5041" t="inlineStr">
        <is>
          <t>Mar-2023</t>
        </is>
      </c>
      <c r="C5041" s="2" t="n">
        <v>45255</v>
      </c>
      <c r="D5041" t="inlineStr">
        <is>
          <t>NIL</t>
        </is>
      </c>
      <c r="E5041" t="n">
        <v>2352</v>
      </c>
    </row>
    <row r="5042">
      <c r="A5042" t="inlineStr">
        <is>
          <t>27BBBBB05042Z5</t>
        </is>
      </c>
      <c r="B5042" t="inlineStr">
        <is>
          <t>Dec-2017</t>
        </is>
      </c>
      <c r="C5042" s="2" t="n">
        <v>43041</v>
      </c>
      <c r="D5042" t="inlineStr">
        <is>
          <t>NIL</t>
        </is>
      </c>
      <c r="E5042" t="n">
        <v>2845</v>
      </c>
    </row>
    <row r="5043">
      <c r="A5043" t="inlineStr">
        <is>
          <t>27BBBBB05043Z5</t>
        </is>
      </c>
      <c r="B5043" t="inlineStr">
        <is>
          <t>Nov-2017</t>
        </is>
      </c>
      <c r="C5043" s="2" t="n">
        <v>44029</v>
      </c>
      <c r="D5043" t="inlineStr">
        <is>
          <t>NON-NIL</t>
        </is>
      </c>
      <c r="E5043" t="n">
        <v>1183</v>
      </c>
    </row>
    <row r="5044">
      <c r="A5044" t="inlineStr">
        <is>
          <t>27BBBBB05044Z5</t>
        </is>
      </c>
      <c r="B5044" t="inlineStr">
        <is>
          <t>Aug-2017</t>
        </is>
      </c>
      <c r="C5044" s="2" t="n">
        <v>43466</v>
      </c>
      <c r="D5044" t="inlineStr">
        <is>
          <t>NIL</t>
        </is>
      </c>
      <c r="E5044" t="n">
        <v>579</v>
      </c>
    </row>
    <row r="5045">
      <c r="A5045" t="inlineStr">
        <is>
          <t>27BBBBB05045Z5</t>
        </is>
      </c>
      <c r="B5045" t="inlineStr">
        <is>
          <t>Jul-2018</t>
        </is>
      </c>
      <c r="C5045" s="2" t="n">
        <v>44453</v>
      </c>
      <c r="D5045" t="inlineStr">
        <is>
          <t>NIL</t>
        </is>
      </c>
      <c r="E5045" t="n">
        <v>1755</v>
      </c>
    </row>
    <row r="5046">
      <c r="A5046" t="inlineStr">
        <is>
          <t>27BBBBB05046Z5</t>
        </is>
      </c>
      <c r="B5046" t="inlineStr">
        <is>
          <t>Dec-2024</t>
        </is>
      </c>
      <c r="C5046" s="2" t="n">
        <v>45064</v>
      </c>
      <c r="D5046" t="inlineStr">
        <is>
          <t>NON-NIL</t>
        </is>
      </c>
      <c r="E5046" t="n">
        <v>1309</v>
      </c>
    </row>
    <row r="5047">
      <c r="A5047" t="inlineStr">
        <is>
          <t>27BBBBB05047Z5</t>
        </is>
      </c>
      <c r="B5047" t="inlineStr">
        <is>
          <t>Jun-2020</t>
        </is>
      </c>
      <c r="C5047" s="2" t="n">
        <v>43955</v>
      </c>
      <c r="D5047" t="inlineStr">
        <is>
          <t>NIL</t>
        </is>
      </c>
      <c r="E5047" t="n">
        <v>1307</v>
      </c>
    </row>
    <row r="5048">
      <c r="A5048" t="inlineStr">
        <is>
          <t>27BBBBB05048Z5</t>
        </is>
      </c>
      <c r="B5048" t="inlineStr">
        <is>
          <t>Dec-2022</t>
        </is>
      </c>
      <c r="C5048" s="2" t="n">
        <v>45234</v>
      </c>
      <c r="D5048" t="inlineStr">
        <is>
          <t>NIL</t>
        </is>
      </c>
      <c r="E5048" t="n">
        <v>679</v>
      </c>
    </row>
    <row r="5049">
      <c r="A5049" t="inlineStr">
        <is>
          <t>27BBBBB05049Z5</t>
        </is>
      </c>
      <c r="B5049" t="inlineStr">
        <is>
          <t>May-2018</t>
        </is>
      </c>
      <c r="C5049" s="2" t="n">
        <v>44549</v>
      </c>
      <c r="D5049" t="inlineStr">
        <is>
          <t>NON-NIL</t>
        </is>
      </c>
      <c r="E5049" t="n">
        <v>2123</v>
      </c>
    </row>
    <row r="5050">
      <c r="A5050" t="inlineStr">
        <is>
          <t>27BBBBB05050Z5</t>
        </is>
      </c>
      <c r="B5050" t="inlineStr">
        <is>
          <t>Oct-2017</t>
        </is>
      </c>
      <c r="C5050" s="2" t="n">
        <v>44192</v>
      </c>
      <c r="D5050" t="inlineStr">
        <is>
          <t>NIL</t>
        </is>
      </c>
      <c r="E5050" t="n">
        <v>1669</v>
      </c>
    </row>
    <row r="5051">
      <c r="A5051" t="inlineStr">
        <is>
          <t>27BBBBB05051Z5</t>
        </is>
      </c>
      <c r="B5051" t="inlineStr">
        <is>
          <t>Jul-2017</t>
        </is>
      </c>
      <c r="C5051" s="2" t="n">
        <v>43511</v>
      </c>
      <c r="D5051" t="inlineStr">
        <is>
          <t>NON-NIL</t>
        </is>
      </c>
      <c r="E5051" t="n">
        <v>2641</v>
      </c>
    </row>
    <row r="5052">
      <c r="A5052" t="inlineStr">
        <is>
          <t>27BBBBB05052Z5</t>
        </is>
      </c>
      <c r="B5052" t="inlineStr">
        <is>
          <t>Jan-2021</t>
        </is>
      </c>
      <c r="C5052" s="2" t="n">
        <v>45691</v>
      </c>
      <c r="D5052" t="inlineStr">
        <is>
          <t>NIL</t>
        </is>
      </c>
      <c r="E5052" t="n">
        <v>2893</v>
      </c>
    </row>
    <row r="5053">
      <c r="A5053" t="inlineStr">
        <is>
          <t>27BBBBB05053Z5</t>
        </is>
      </c>
      <c r="B5053" t="inlineStr">
        <is>
          <t>Sep-2018</t>
        </is>
      </c>
      <c r="C5053" s="2" t="n">
        <v>44041</v>
      </c>
      <c r="D5053" t="inlineStr">
        <is>
          <t>NIL</t>
        </is>
      </c>
      <c r="E5053" t="n">
        <v>1159</v>
      </c>
    </row>
    <row r="5054">
      <c r="A5054" t="inlineStr">
        <is>
          <t>27BBBBB05054Z5</t>
        </is>
      </c>
      <c r="B5054" t="inlineStr">
        <is>
          <t>Oct-2018</t>
        </is>
      </c>
      <c r="C5054" s="2" t="n">
        <v>42989</v>
      </c>
      <c r="D5054" t="inlineStr">
        <is>
          <t>NON-NIL</t>
        </is>
      </c>
      <c r="E5054" t="n">
        <v>2718</v>
      </c>
    </row>
    <row r="5055">
      <c r="A5055" t="inlineStr">
        <is>
          <t>27BBBBB05055Z5</t>
        </is>
      </c>
      <c r="B5055" t="inlineStr">
        <is>
          <t>Jan-2021</t>
        </is>
      </c>
      <c r="C5055" s="2" t="n">
        <v>45245</v>
      </c>
      <c r="D5055" t="inlineStr">
        <is>
          <t>NON-NIL</t>
        </is>
      </c>
      <c r="E5055" t="n">
        <v>2509</v>
      </c>
    </row>
    <row r="5056">
      <c r="A5056" t="inlineStr">
        <is>
          <t>27BBBBB05056Z5</t>
        </is>
      </c>
      <c r="B5056" t="inlineStr">
        <is>
          <t>Mar-2021</t>
        </is>
      </c>
      <c r="C5056" s="2" t="n">
        <v>45354</v>
      </c>
      <c r="D5056" t="inlineStr">
        <is>
          <t>NIL</t>
        </is>
      </c>
      <c r="E5056" t="n">
        <v>1981</v>
      </c>
    </row>
    <row r="5057">
      <c r="A5057" t="inlineStr">
        <is>
          <t>27BBBBB05057Z5</t>
        </is>
      </c>
      <c r="B5057" t="inlineStr">
        <is>
          <t>Nov-2017</t>
        </is>
      </c>
      <c r="C5057" s="2" t="n">
        <v>44108</v>
      </c>
      <c r="D5057" t="inlineStr">
        <is>
          <t>NIL</t>
        </is>
      </c>
      <c r="E5057" t="n">
        <v>697</v>
      </c>
    </row>
    <row r="5058">
      <c r="A5058" t="inlineStr">
        <is>
          <t>27BBBBB05058Z5</t>
        </is>
      </c>
      <c r="B5058" t="inlineStr">
        <is>
          <t>Jul-2018</t>
        </is>
      </c>
      <c r="C5058" s="2" t="n">
        <v>44070</v>
      </c>
      <c r="D5058" t="inlineStr">
        <is>
          <t>NIL</t>
        </is>
      </c>
      <c r="E5058" t="n">
        <v>1284</v>
      </c>
    </row>
    <row r="5059">
      <c r="A5059" t="inlineStr">
        <is>
          <t>27BBBBB05059Z5</t>
        </is>
      </c>
      <c r="B5059" t="inlineStr">
        <is>
          <t>Mar-2023</t>
        </is>
      </c>
      <c r="C5059" s="2" t="n">
        <v>44464</v>
      </c>
      <c r="D5059" t="inlineStr">
        <is>
          <t>NIL</t>
        </is>
      </c>
      <c r="E5059" t="n">
        <v>1108</v>
      </c>
    </row>
    <row r="5060">
      <c r="A5060" t="inlineStr">
        <is>
          <t>27BBBBB05060Z5</t>
        </is>
      </c>
      <c r="B5060" t="inlineStr">
        <is>
          <t>Jun-2018</t>
        </is>
      </c>
      <c r="C5060" s="2" t="n">
        <v>43378</v>
      </c>
      <c r="D5060" t="inlineStr">
        <is>
          <t>NIL</t>
        </is>
      </c>
      <c r="E5060" t="n">
        <v>2229</v>
      </c>
    </row>
    <row r="5061">
      <c r="A5061" t="inlineStr">
        <is>
          <t>27BBBBB05061Z5</t>
        </is>
      </c>
      <c r="B5061" t="inlineStr">
        <is>
          <t>Apr-2018</t>
        </is>
      </c>
      <c r="C5061" s="2" t="n">
        <v>43343</v>
      </c>
      <c r="D5061" t="inlineStr">
        <is>
          <t>NIL</t>
        </is>
      </c>
      <c r="E5061" t="n">
        <v>2504</v>
      </c>
    </row>
    <row r="5062">
      <c r="A5062" t="inlineStr">
        <is>
          <t>27BBBBB05062Z5</t>
        </is>
      </c>
      <c r="B5062" t="inlineStr">
        <is>
          <t>May-2020</t>
        </is>
      </c>
      <c r="C5062" s="2" t="n">
        <v>44114</v>
      </c>
      <c r="D5062" t="inlineStr">
        <is>
          <t>NON-NIL</t>
        </is>
      </c>
      <c r="E5062" t="n">
        <v>2463</v>
      </c>
    </row>
    <row r="5063">
      <c r="A5063" t="inlineStr">
        <is>
          <t>27BBBBB05063Z5</t>
        </is>
      </c>
      <c r="B5063" t="inlineStr">
        <is>
          <t>Sep-2018</t>
        </is>
      </c>
      <c r="C5063" s="2" t="n">
        <v>43951</v>
      </c>
      <c r="D5063" t="inlineStr">
        <is>
          <t>NIL</t>
        </is>
      </c>
      <c r="E5063" t="n">
        <v>857</v>
      </c>
    </row>
    <row r="5064">
      <c r="A5064" t="inlineStr">
        <is>
          <t>27BBBBB05064Z5</t>
        </is>
      </c>
      <c r="B5064" t="inlineStr">
        <is>
          <t>Oct-2017</t>
        </is>
      </c>
      <c r="C5064" s="2" t="n">
        <v>43020</v>
      </c>
      <c r="D5064" t="inlineStr">
        <is>
          <t>NIL</t>
        </is>
      </c>
      <c r="E5064" t="n">
        <v>204</v>
      </c>
    </row>
    <row r="5065">
      <c r="A5065" t="inlineStr">
        <is>
          <t>27BBBBB05065Z5</t>
        </is>
      </c>
      <c r="B5065" t="inlineStr">
        <is>
          <t>Nov-2018</t>
        </is>
      </c>
      <c r="C5065" s="2" t="n">
        <v>43615</v>
      </c>
      <c r="D5065" t="inlineStr">
        <is>
          <t>NIL</t>
        </is>
      </c>
      <c r="E5065" t="n">
        <v>177</v>
      </c>
    </row>
    <row r="5066">
      <c r="A5066" t="inlineStr">
        <is>
          <t>27BBBBB05066Z5</t>
        </is>
      </c>
      <c r="B5066" t="inlineStr">
        <is>
          <t>May-2020</t>
        </is>
      </c>
      <c r="C5066" s="2" t="n">
        <v>44574</v>
      </c>
      <c r="D5066" t="inlineStr">
        <is>
          <t>NON-NIL</t>
        </is>
      </c>
      <c r="E5066" t="n">
        <v>1059</v>
      </c>
    </row>
    <row r="5067">
      <c r="A5067" t="inlineStr">
        <is>
          <t>27BBBBB05067Z5</t>
        </is>
      </c>
      <c r="B5067" t="inlineStr">
        <is>
          <t>May-2018</t>
        </is>
      </c>
      <c r="C5067" s="2" t="n">
        <v>44175</v>
      </c>
      <c r="D5067" t="inlineStr">
        <is>
          <t>NIL</t>
        </is>
      </c>
      <c r="E5067" t="n">
        <v>774</v>
      </c>
    </row>
    <row r="5068">
      <c r="A5068" t="inlineStr">
        <is>
          <t>27BBBBB05068Z5</t>
        </is>
      </c>
      <c r="B5068" t="inlineStr">
        <is>
          <t>Mar-2018</t>
        </is>
      </c>
      <c r="C5068" s="2" t="n">
        <v>43440</v>
      </c>
      <c r="D5068" t="inlineStr">
        <is>
          <t>NIL</t>
        </is>
      </c>
      <c r="E5068" t="n">
        <v>1395</v>
      </c>
    </row>
    <row r="5069">
      <c r="A5069" t="inlineStr">
        <is>
          <t>27BBBBB05069Z5</t>
        </is>
      </c>
      <c r="B5069" t="inlineStr">
        <is>
          <t>Dec-2018</t>
        </is>
      </c>
      <c r="C5069" s="2" t="n">
        <v>43650</v>
      </c>
      <c r="D5069" t="inlineStr">
        <is>
          <t>NON-NIL</t>
        </is>
      </c>
      <c r="E5069" t="n">
        <v>1460</v>
      </c>
    </row>
    <row r="5070">
      <c r="A5070" t="inlineStr">
        <is>
          <t>27BBBBB05070Z5</t>
        </is>
      </c>
      <c r="B5070" t="inlineStr">
        <is>
          <t>Jan-2021</t>
        </is>
      </c>
      <c r="C5070" s="2" t="n">
        <v>44959</v>
      </c>
      <c r="D5070" t="inlineStr">
        <is>
          <t>NIL</t>
        </is>
      </c>
      <c r="E5070" t="n">
        <v>2391</v>
      </c>
    </row>
    <row r="5071">
      <c r="A5071" t="inlineStr">
        <is>
          <t>27BBBBB05071Z5</t>
        </is>
      </c>
      <c r="B5071" t="inlineStr">
        <is>
          <t>Mar-2023</t>
        </is>
      </c>
      <c r="C5071" s="2" t="n">
        <v>45394</v>
      </c>
      <c r="D5071" t="inlineStr">
        <is>
          <t>NON-NIL</t>
        </is>
      </c>
      <c r="E5071" t="n">
        <v>2862</v>
      </c>
    </row>
    <row r="5072">
      <c r="A5072" t="inlineStr">
        <is>
          <t>27BBBBB05072Z5</t>
        </is>
      </c>
      <c r="B5072" t="inlineStr">
        <is>
          <t>Feb-2018</t>
        </is>
      </c>
      <c r="C5072" s="2" t="n">
        <v>44506</v>
      </c>
      <c r="D5072" t="inlineStr">
        <is>
          <t>NON-NIL</t>
        </is>
      </c>
      <c r="E5072" t="n">
        <v>142</v>
      </c>
    </row>
    <row r="5073">
      <c r="A5073" t="inlineStr">
        <is>
          <t>27BBBBB05073Z5</t>
        </is>
      </c>
      <c r="B5073" t="inlineStr">
        <is>
          <t>Mar-2018</t>
        </is>
      </c>
      <c r="C5073" s="2" t="n">
        <v>43524</v>
      </c>
      <c r="D5073" t="inlineStr">
        <is>
          <t>NON-NIL</t>
        </is>
      </c>
      <c r="E5073" t="n">
        <v>2885</v>
      </c>
    </row>
    <row r="5074">
      <c r="A5074" t="inlineStr">
        <is>
          <t>27BBBBB05074Z5</t>
        </is>
      </c>
      <c r="B5074" t="inlineStr">
        <is>
          <t>Jul-2020</t>
        </is>
      </c>
      <c r="C5074" s="2" t="n">
        <v>44117</v>
      </c>
      <c r="D5074" t="inlineStr">
        <is>
          <t>NIL</t>
        </is>
      </c>
      <c r="E5074" t="n">
        <v>2428</v>
      </c>
    </row>
    <row r="5075">
      <c r="A5075" t="inlineStr">
        <is>
          <t>27BBBBB05075Z5</t>
        </is>
      </c>
      <c r="B5075" t="inlineStr">
        <is>
          <t>Jun-2018</t>
        </is>
      </c>
      <c r="C5075" s="2" t="n">
        <v>43490</v>
      </c>
      <c r="D5075" t="inlineStr">
        <is>
          <t>NON-NIL</t>
        </is>
      </c>
      <c r="E5075" t="n">
        <v>1496</v>
      </c>
    </row>
    <row r="5076">
      <c r="A5076" t="inlineStr">
        <is>
          <t>27BBBBB05076Z5</t>
        </is>
      </c>
      <c r="B5076" t="inlineStr">
        <is>
          <t>Mar-2018</t>
        </is>
      </c>
      <c r="C5076" s="2" t="n">
        <v>44151</v>
      </c>
      <c r="D5076" t="inlineStr">
        <is>
          <t>NIL</t>
        </is>
      </c>
      <c r="E5076" t="n">
        <v>747</v>
      </c>
    </row>
    <row r="5077">
      <c r="A5077" t="inlineStr">
        <is>
          <t>27BBBBB05077Z5</t>
        </is>
      </c>
      <c r="B5077" t="inlineStr">
        <is>
          <t>Mar-2021</t>
        </is>
      </c>
      <c r="C5077" s="2" t="n">
        <v>45621</v>
      </c>
      <c r="D5077" t="inlineStr">
        <is>
          <t>NIL</t>
        </is>
      </c>
      <c r="E5077" t="n">
        <v>296</v>
      </c>
    </row>
    <row r="5078">
      <c r="A5078" t="inlineStr">
        <is>
          <t>27BBBBB05078Z5</t>
        </is>
      </c>
      <c r="B5078" t="inlineStr">
        <is>
          <t>Mar-2023</t>
        </is>
      </c>
      <c r="C5078" s="2" t="n">
        <v>43866</v>
      </c>
      <c r="D5078" t="inlineStr">
        <is>
          <t>NON-NIL</t>
        </is>
      </c>
      <c r="E5078" t="n">
        <v>2854</v>
      </c>
    </row>
    <row r="5079">
      <c r="A5079" t="inlineStr">
        <is>
          <t>27BBBBB05079Z5</t>
        </is>
      </c>
      <c r="B5079" t="inlineStr">
        <is>
          <t>Mar-2020</t>
        </is>
      </c>
      <c r="C5079" s="2" t="n">
        <v>44414</v>
      </c>
      <c r="D5079" t="inlineStr">
        <is>
          <t>NON-NIL</t>
        </is>
      </c>
      <c r="E5079" t="n">
        <v>1105</v>
      </c>
    </row>
    <row r="5080">
      <c r="A5080" t="inlineStr">
        <is>
          <t>27BBBBB05080Z5</t>
        </is>
      </c>
      <c r="B5080" t="inlineStr">
        <is>
          <t>Nov-2017</t>
        </is>
      </c>
      <c r="C5080" s="2" t="n">
        <v>43293</v>
      </c>
      <c r="D5080" t="inlineStr">
        <is>
          <t>NIL</t>
        </is>
      </c>
      <c r="E5080" t="n">
        <v>576</v>
      </c>
    </row>
    <row r="5081">
      <c r="A5081" t="inlineStr">
        <is>
          <t>27BBBBB05081Z5</t>
        </is>
      </c>
      <c r="B5081" t="inlineStr">
        <is>
          <t>Apr-2020</t>
        </is>
      </c>
      <c r="C5081" s="2" t="n">
        <v>44517</v>
      </c>
      <c r="D5081" t="inlineStr">
        <is>
          <t>NON-NIL</t>
        </is>
      </c>
      <c r="E5081" t="n">
        <v>1212</v>
      </c>
    </row>
    <row r="5082">
      <c r="A5082" t="inlineStr">
        <is>
          <t>27BBBBB05082Z5</t>
        </is>
      </c>
      <c r="B5082" t="inlineStr">
        <is>
          <t>Nov-2017</t>
        </is>
      </c>
      <c r="C5082" s="2" t="n">
        <v>43814</v>
      </c>
      <c r="D5082" t="inlineStr">
        <is>
          <t>NON-NIL</t>
        </is>
      </c>
      <c r="E5082" t="n">
        <v>899</v>
      </c>
    </row>
    <row r="5083">
      <c r="A5083" t="inlineStr">
        <is>
          <t>27BBBBB05083Z5</t>
        </is>
      </c>
      <c r="B5083" t="inlineStr">
        <is>
          <t>Jul-2017</t>
        </is>
      </c>
      <c r="C5083" s="2" t="n">
        <v>43486</v>
      </c>
      <c r="D5083" t="inlineStr">
        <is>
          <t>NON-NIL</t>
        </is>
      </c>
      <c r="E5083" t="n">
        <v>2648</v>
      </c>
    </row>
    <row r="5084">
      <c r="A5084" t="inlineStr">
        <is>
          <t>27BBBBB05084Z5</t>
        </is>
      </c>
      <c r="B5084" t="inlineStr">
        <is>
          <t>May-2018</t>
        </is>
      </c>
      <c r="C5084" s="2" t="n">
        <v>42964</v>
      </c>
      <c r="D5084" t="inlineStr">
        <is>
          <t>NON-NIL</t>
        </is>
      </c>
      <c r="E5084" t="n">
        <v>1808</v>
      </c>
    </row>
    <row r="5085">
      <c r="A5085" t="inlineStr">
        <is>
          <t>27BBBBB05085Z5</t>
        </is>
      </c>
      <c r="B5085" t="inlineStr">
        <is>
          <t>Dec-2018</t>
        </is>
      </c>
      <c r="C5085" s="2" t="n">
        <v>44252</v>
      </c>
      <c r="D5085" t="inlineStr">
        <is>
          <t>NON-NIL</t>
        </is>
      </c>
      <c r="E5085" t="n">
        <v>2908</v>
      </c>
    </row>
    <row r="5086">
      <c r="A5086" t="inlineStr">
        <is>
          <t>27BBBBB05086Z5</t>
        </is>
      </c>
      <c r="B5086" t="inlineStr">
        <is>
          <t>Apr-2018</t>
        </is>
      </c>
      <c r="C5086" s="2" t="n">
        <v>43054</v>
      </c>
      <c r="D5086" t="inlineStr">
        <is>
          <t>NON-NIL</t>
        </is>
      </c>
      <c r="E5086" t="n">
        <v>807</v>
      </c>
    </row>
    <row r="5087">
      <c r="A5087" t="inlineStr">
        <is>
          <t>27BBBBB05087Z5</t>
        </is>
      </c>
      <c r="B5087" t="inlineStr">
        <is>
          <t>Dec-2018</t>
        </is>
      </c>
      <c r="C5087" s="2" t="n">
        <v>44049</v>
      </c>
      <c r="D5087" t="inlineStr">
        <is>
          <t>NIL</t>
        </is>
      </c>
      <c r="E5087" t="n">
        <v>2073</v>
      </c>
    </row>
    <row r="5088">
      <c r="A5088" t="inlineStr">
        <is>
          <t>27BBBBB05088Z5</t>
        </is>
      </c>
      <c r="B5088" t="inlineStr">
        <is>
          <t>Jun-2020</t>
        </is>
      </c>
      <c r="C5088" s="2" t="n">
        <v>43961</v>
      </c>
      <c r="D5088" t="inlineStr">
        <is>
          <t>NIL</t>
        </is>
      </c>
      <c r="E5088" t="n">
        <v>2953</v>
      </c>
    </row>
    <row r="5089">
      <c r="A5089" t="inlineStr">
        <is>
          <t>27BBBBB05089Z5</t>
        </is>
      </c>
      <c r="B5089" t="inlineStr">
        <is>
          <t>May-2018</t>
        </is>
      </c>
      <c r="C5089" s="2" t="n">
        <v>44391</v>
      </c>
      <c r="D5089" t="inlineStr">
        <is>
          <t>NIL</t>
        </is>
      </c>
      <c r="E5089" t="n">
        <v>1424</v>
      </c>
    </row>
    <row r="5090">
      <c r="A5090" t="inlineStr">
        <is>
          <t>27BBBBB05090Z5</t>
        </is>
      </c>
      <c r="B5090" t="inlineStr">
        <is>
          <t>Oct-2017</t>
        </is>
      </c>
      <c r="C5090" s="2" t="n">
        <v>43253</v>
      </c>
      <c r="D5090" t="inlineStr">
        <is>
          <t>NIL</t>
        </is>
      </c>
      <c r="E5090" t="n">
        <v>492</v>
      </c>
    </row>
    <row r="5091">
      <c r="A5091" t="inlineStr">
        <is>
          <t>27BBBBB05091Z5</t>
        </is>
      </c>
      <c r="B5091" t="inlineStr">
        <is>
          <t>Dec-2024</t>
        </is>
      </c>
      <c r="C5091" s="2" t="n">
        <v>45530</v>
      </c>
      <c r="D5091" t="inlineStr">
        <is>
          <t>NON-NIL</t>
        </is>
      </c>
      <c r="E5091" t="n">
        <v>1561</v>
      </c>
    </row>
    <row r="5092">
      <c r="A5092" t="inlineStr">
        <is>
          <t>27BBBBB05092Z5</t>
        </is>
      </c>
      <c r="B5092" t="inlineStr">
        <is>
          <t>Dec-2017</t>
        </is>
      </c>
      <c r="C5092" s="2" t="n">
        <v>43418</v>
      </c>
      <c r="D5092" t="inlineStr">
        <is>
          <t>NIL</t>
        </is>
      </c>
      <c r="E5092" t="n">
        <v>342</v>
      </c>
    </row>
    <row r="5093">
      <c r="A5093" t="inlineStr">
        <is>
          <t>27BBBBB05093Z5</t>
        </is>
      </c>
      <c r="B5093" t="inlineStr">
        <is>
          <t>Aug-2018</t>
        </is>
      </c>
      <c r="C5093" s="2" t="n">
        <v>43687</v>
      </c>
      <c r="D5093" t="inlineStr">
        <is>
          <t>NON-NIL</t>
        </is>
      </c>
      <c r="E5093" t="n">
        <v>1510</v>
      </c>
    </row>
    <row r="5094">
      <c r="A5094" t="inlineStr">
        <is>
          <t>27BBBBB05094Z5</t>
        </is>
      </c>
      <c r="B5094" t="inlineStr">
        <is>
          <t>Jul-2018</t>
        </is>
      </c>
      <c r="C5094" s="2" t="n">
        <v>43373</v>
      </c>
      <c r="D5094" t="inlineStr">
        <is>
          <t>NON-NIL</t>
        </is>
      </c>
      <c r="E5094" t="n">
        <v>911</v>
      </c>
    </row>
    <row r="5095">
      <c r="A5095" t="inlineStr">
        <is>
          <t>27BBBBB05095Z5</t>
        </is>
      </c>
      <c r="B5095" t="inlineStr">
        <is>
          <t>Jul-2017</t>
        </is>
      </c>
      <c r="C5095" s="2" t="n">
        <v>43016</v>
      </c>
      <c r="D5095" t="inlineStr">
        <is>
          <t>NON-NIL</t>
        </is>
      </c>
      <c r="E5095" t="n">
        <v>2781</v>
      </c>
    </row>
    <row r="5096">
      <c r="A5096" t="inlineStr">
        <is>
          <t>27BBBBB05096Z5</t>
        </is>
      </c>
      <c r="B5096" t="inlineStr">
        <is>
          <t>Mar-2023</t>
        </is>
      </c>
      <c r="C5096" s="2" t="n">
        <v>44257</v>
      </c>
      <c r="D5096" t="inlineStr">
        <is>
          <t>NIL</t>
        </is>
      </c>
      <c r="E5096" t="n">
        <v>1309</v>
      </c>
    </row>
    <row r="5097">
      <c r="A5097" t="inlineStr">
        <is>
          <t>27BBBBB05097Z5</t>
        </is>
      </c>
      <c r="B5097" t="inlineStr">
        <is>
          <t>Mar-2020</t>
        </is>
      </c>
      <c r="C5097" s="2" t="n">
        <v>43914</v>
      </c>
      <c r="D5097" t="inlineStr">
        <is>
          <t>NIL</t>
        </is>
      </c>
      <c r="E5097" t="n">
        <v>1427</v>
      </c>
    </row>
    <row r="5098">
      <c r="A5098" t="inlineStr">
        <is>
          <t>27BBBBB05098Z5</t>
        </is>
      </c>
      <c r="B5098" t="inlineStr">
        <is>
          <t>Jul-2018</t>
        </is>
      </c>
      <c r="C5098" s="2" t="n">
        <v>43521</v>
      </c>
      <c r="D5098" t="inlineStr">
        <is>
          <t>NIL</t>
        </is>
      </c>
      <c r="E5098" t="n">
        <v>1877</v>
      </c>
    </row>
    <row r="5099">
      <c r="A5099" t="inlineStr">
        <is>
          <t>27BBBBB05099Z5</t>
        </is>
      </c>
      <c r="B5099" t="inlineStr">
        <is>
          <t>Jun-2020</t>
        </is>
      </c>
      <c r="C5099" s="2" t="n">
        <v>44578</v>
      </c>
      <c r="D5099" t="inlineStr">
        <is>
          <t>NON-NIL</t>
        </is>
      </c>
      <c r="E5099" t="n">
        <v>2941</v>
      </c>
    </row>
    <row r="5100">
      <c r="A5100" t="inlineStr">
        <is>
          <t>27BBBBB05100Z5</t>
        </is>
      </c>
      <c r="B5100" t="inlineStr">
        <is>
          <t>Jul-2018</t>
        </is>
      </c>
      <c r="C5100" s="2" t="n">
        <v>44078</v>
      </c>
      <c r="D5100" t="inlineStr">
        <is>
          <t>NON-NIL</t>
        </is>
      </c>
      <c r="E5100" t="n">
        <v>375</v>
      </c>
    </row>
    <row r="5101">
      <c r="A5101" t="inlineStr">
        <is>
          <t>27BBBBB05101Z5</t>
        </is>
      </c>
      <c r="B5101" t="inlineStr">
        <is>
          <t>Mar-2018</t>
        </is>
      </c>
      <c r="C5101" s="2" t="n">
        <v>43715</v>
      </c>
      <c r="D5101" t="inlineStr">
        <is>
          <t>NON-NIL</t>
        </is>
      </c>
      <c r="E5101" t="n">
        <v>862</v>
      </c>
    </row>
    <row r="5102">
      <c r="A5102" t="inlineStr">
        <is>
          <t>27BBBBB05102Z5</t>
        </is>
      </c>
      <c r="B5102" t="inlineStr">
        <is>
          <t>May-2018</t>
        </is>
      </c>
      <c r="C5102" s="2" t="n">
        <v>44184</v>
      </c>
      <c r="D5102" t="inlineStr">
        <is>
          <t>NIL</t>
        </is>
      </c>
      <c r="E5102" t="n">
        <v>2826</v>
      </c>
    </row>
    <row r="5103">
      <c r="A5103" t="inlineStr">
        <is>
          <t>27BBBBB05103Z5</t>
        </is>
      </c>
      <c r="B5103" t="inlineStr">
        <is>
          <t>Nov-2018</t>
        </is>
      </c>
      <c r="C5103" s="2" t="n">
        <v>43316</v>
      </c>
      <c r="D5103" t="inlineStr">
        <is>
          <t>NON-NIL</t>
        </is>
      </c>
      <c r="E5103" t="n">
        <v>608</v>
      </c>
    </row>
    <row r="5104">
      <c r="A5104" t="inlineStr">
        <is>
          <t>27BBBBB05104Z5</t>
        </is>
      </c>
      <c r="B5104" t="inlineStr">
        <is>
          <t>Jun-2018</t>
        </is>
      </c>
      <c r="C5104" s="2" t="n">
        <v>44462</v>
      </c>
      <c r="D5104" t="inlineStr">
        <is>
          <t>NON-NIL</t>
        </is>
      </c>
      <c r="E5104" t="n">
        <v>1872</v>
      </c>
    </row>
    <row r="5105">
      <c r="A5105" t="inlineStr">
        <is>
          <t>27BBBBB05105Z5</t>
        </is>
      </c>
      <c r="B5105" t="inlineStr">
        <is>
          <t>Mar-2018</t>
        </is>
      </c>
      <c r="C5105" s="2" t="n">
        <v>44350</v>
      </c>
      <c r="D5105" t="inlineStr">
        <is>
          <t>NIL</t>
        </is>
      </c>
      <c r="E5105" t="n">
        <v>2689</v>
      </c>
    </row>
    <row r="5106">
      <c r="A5106" t="inlineStr">
        <is>
          <t>27BBBBB05106Z5</t>
        </is>
      </c>
      <c r="B5106" t="inlineStr">
        <is>
          <t>Jul-2018</t>
        </is>
      </c>
      <c r="C5106" s="2" t="n">
        <v>43167</v>
      </c>
      <c r="D5106" t="inlineStr">
        <is>
          <t>NON-NIL</t>
        </is>
      </c>
      <c r="E5106" t="n">
        <v>1490</v>
      </c>
    </row>
    <row r="5107">
      <c r="A5107" t="inlineStr">
        <is>
          <t>27BBBBB05107Z5</t>
        </is>
      </c>
      <c r="B5107" t="inlineStr">
        <is>
          <t>Aug-2018</t>
        </is>
      </c>
      <c r="C5107" s="2" t="n">
        <v>44324</v>
      </c>
      <c r="D5107" t="inlineStr">
        <is>
          <t>NON-NIL</t>
        </is>
      </c>
      <c r="E5107" t="n">
        <v>1292</v>
      </c>
    </row>
    <row r="5108">
      <c r="A5108" t="inlineStr">
        <is>
          <t>27BBBBB05108Z5</t>
        </is>
      </c>
      <c r="B5108" t="inlineStr">
        <is>
          <t>Sep-2018</t>
        </is>
      </c>
      <c r="C5108" s="2" t="n">
        <v>43740</v>
      </c>
      <c r="D5108" t="inlineStr">
        <is>
          <t>NON-NIL</t>
        </is>
      </c>
      <c r="E5108" t="n">
        <v>55</v>
      </c>
    </row>
    <row r="5109">
      <c r="A5109" t="inlineStr">
        <is>
          <t>27BBBBB05109Z5</t>
        </is>
      </c>
      <c r="B5109" t="inlineStr">
        <is>
          <t>Jul-2018</t>
        </is>
      </c>
      <c r="C5109" s="2" t="n">
        <v>43352</v>
      </c>
      <c r="D5109" t="inlineStr">
        <is>
          <t>NIL</t>
        </is>
      </c>
      <c r="E5109" t="n">
        <v>1568</v>
      </c>
    </row>
    <row r="5110">
      <c r="A5110" t="inlineStr">
        <is>
          <t>27BBBBB05110Z5</t>
        </is>
      </c>
      <c r="B5110" t="inlineStr">
        <is>
          <t>Jun-2018</t>
        </is>
      </c>
      <c r="C5110" s="2" t="n">
        <v>43613</v>
      </c>
      <c r="D5110" t="inlineStr">
        <is>
          <t>NON-NIL</t>
        </is>
      </c>
      <c r="E5110" t="n">
        <v>469</v>
      </c>
    </row>
    <row r="5111">
      <c r="A5111" t="inlineStr">
        <is>
          <t>27BBBBB05111Z5</t>
        </is>
      </c>
      <c r="B5111" t="inlineStr">
        <is>
          <t>Sep-2018</t>
        </is>
      </c>
      <c r="C5111" s="2" t="n">
        <v>43154</v>
      </c>
      <c r="D5111" t="inlineStr">
        <is>
          <t>NIL</t>
        </is>
      </c>
      <c r="E5111" t="n">
        <v>228</v>
      </c>
    </row>
    <row r="5112">
      <c r="A5112" t="inlineStr">
        <is>
          <t>27BBBBB05112Z5</t>
        </is>
      </c>
      <c r="B5112" t="inlineStr">
        <is>
          <t>Aug-2018</t>
        </is>
      </c>
      <c r="C5112" s="2" t="n">
        <v>44085</v>
      </c>
      <c r="D5112" t="inlineStr">
        <is>
          <t>NON-NIL</t>
        </is>
      </c>
      <c r="E5112" t="n">
        <v>1882</v>
      </c>
    </row>
    <row r="5113">
      <c r="A5113" t="inlineStr">
        <is>
          <t>27BBBBB05113Z5</t>
        </is>
      </c>
      <c r="B5113" t="inlineStr">
        <is>
          <t>Mar-2020</t>
        </is>
      </c>
      <c r="C5113" s="2" t="n">
        <v>44630</v>
      </c>
      <c r="D5113" t="inlineStr">
        <is>
          <t>NIL</t>
        </is>
      </c>
      <c r="E5113" t="n">
        <v>2522</v>
      </c>
    </row>
    <row r="5114">
      <c r="A5114" t="inlineStr">
        <is>
          <t>27BBBBB05114Z5</t>
        </is>
      </c>
      <c r="B5114" t="inlineStr">
        <is>
          <t>Dec-2017</t>
        </is>
      </c>
      <c r="C5114" s="2" t="n">
        <v>43491</v>
      </c>
      <c r="D5114" t="inlineStr">
        <is>
          <t>NON-NIL</t>
        </is>
      </c>
      <c r="E5114" t="n">
        <v>632</v>
      </c>
    </row>
    <row r="5115">
      <c r="A5115" t="inlineStr">
        <is>
          <t>27BBBBB05115Z5</t>
        </is>
      </c>
      <c r="B5115" t="inlineStr">
        <is>
          <t>Feb-2018</t>
        </is>
      </c>
      <c r="C5115" s="2" t="n">
        <v>43554</v>
      </c>
      <c r="D5115" t="inlineStr">
        <is>
          <t>NON-NIL</t>
        </is>
      </c>
      <c r="E5115" t="n">
        <v>822</v>
      </c>
    </row>
    <row r="5116">
      <c r="A5116" t="inlineStr">
        <is>
          <t>27BBBBB05116Z5</t>
        </is>
      </c>
      <c r="B5116" t="inlineStr">
        <is>
          <t>Aug-2018</t>
        </is>
      </c>
      <c r="C5116" s="2" t="n">
        <v>44147</v>
      </c>
      <c r="D5116" t="inlineStr">
        <is>
          <t>NIL</t>
        </is>
      </c>
      <c r="E5116" t="n">
        <v>2061</v>
      </c>
    </row>
    <row r="5117">
      <c r="A5117" t="inlineStr">
        <is>
          <t>27BBBBB05117Z5</t>
        </is>
      </c>
      <c r="B5117" t="inlineStr">
        <is>
          <t>May-2018</t>
        </is>
      </c>
      <c r="C5117" s="2" t="n">
        <v>43088</v>
      </c>
      <c r="D5117" t="inlineStr">
        <is>
          <t>NON-NIL</t>
        </is>
      </c>
      <c r="E5117" t="n">
        <v>1702</v>
      </c>
    </row>
    <row r="5118">
      <c r="A5118" t="inlineStr">
        <is>
          <t>27BBBBB05118Z5</t>
        </is>
      </c>
      <c r="B5118" t="inlineStr">
        <is>
          <t>Dec-2017</t>
        </is>
      </c>
      <c r="C5118" s="2" t="n">
        <v>44377</v>
      </c>
      <c r="D5118" t="inlineStr">
        <is>
          <t>NIL</t>
        </is>
      </c>
      <c r="E5118" t="n">
        <v>2034</v>
      </c>
    </row>
    <row r="5119">
      <c r="A5119" t="inlineStr">
        <is>
          <t>27BBBBB05119Z5</t>
        </is>
      </c>
      <c r="B5119" t="inlineStr">
        <is>
          <t>Apr-2020</t>
        </is>
      </c>
      <c r="C5119" s="2" t="n">
        <v>44413</v>
      </c>
      <c r="D5119" t="inlineStr">
        <is>
          <t>NON-NIL</t>
        </is>
      </c>
      <c r="E5119" t="n">
        <v>1832</v>
      </c>
    </row>
    <row r="5120">
      <c r="A5120" t="inlineStr">
        <is>
          <t>27BBBBB05120Z5</t>
        </is>
      </c>
      <c r="B5120" t="inlineStr">
        <is>
          <t>May-2020</t>
        </is>
      </c>
      <c r="C5120" s="2" t="n">
        <v>44424</v>
      </c>
      <c r="D5120" t="inlineStr">
        <is>
          <t>NIL</t>
        </is>
      </c>
      <c r="E5120" t="n">
        <v>2046</v>
      </c>
    </row>
    <row r="5121">
      <c r="A5121" t="inlineStr">
        <is>
          <t>27BBBBB05121Z5</t>
        </is>
      </c>
      <c r="B5121" t="inlineStr">
        <is>
          <t>Jan-2021</t>
        </is>
      </c>
      <c r="C5121" s="2" t="n">
        <v>44349</v>
      </c>
      <c r="D5121" t="inlineStr">
        <is>
          <t>NIL</t>
        </is>
      </c>
      <c r="E5121" t="n">
        <v>2865</v>
      </c>
    </row>
    <row r="5122">
      <c r="A5122" t="inlineStr">
        <is>
          <t>27BBBBB05122Z5</t>
        </is>
      </c>
      <c r="B5122" t="inlineStr">
        <is>
          <t>Feb-2018</t>
        </is>
      </c>
      <c r="C5122" s="2" t="n">
        <v>43766</v>
      </c>
      <c r="D5122" t="inlineStr">
        <is>
          <t>NIL</t>
        </is>
      </c>
      <c r="E5122" t="n">
        <v>474</v>
      </c>
    </row>
    <row r="5123">
      <c r="A5123" t="inlineStr">
        <is>
          <t>27BBBBB05123Z5</t>
        </is>
      </c>
      <c r="B5123" t="inlineStr">
        <is>
          <t>Aug-2017</t>
        </is>
      </c>
      <c r="C5123" s="2" t="n">
        <v>43879</v>
      </c>
      <c r="D5123" t="inlineStr">
        <is>
          <t>NON-NIL</t>
        </is>
      </c>
      <c r="E5123" t="n">
        <v>1957</v>
      </c>
    </row>
    <row r="5124">
      <c r="A5124" t="inlineStr">
        <is>
          <t>27BBBBB05124Z5</t>
        </is>
      </c>
      <c r="B5124" t="inlineStr">
        <is>
          <t>Jul-2018</t>
        </is>
      </c>
      <c r="C5124" s="2" t="n">
        <v>44499</v>
      </c>
      <c r="D5124" t="inlineStr">
        <is>
          <t>NIL</t>
        </is>
      </c>
      <c r="E5124" t="n">
        <v>1506</v>
      </c>
    </row>
    <row r="5125">
      <c r="A5125" t="inlineStr">
        <is>
          <t>27BBBBB05125Z5</t>
        </is>
      </c>
      <c r="B5125" t="inlineStr">
        <is>
          <t>Jan-2018</t>
        </is>
      </c>
      <c r="C5125" s="2" t="n">
        <v>43496</v>
      </c>
      <c r="D5125" t="inlineStr">
        <is>
          <t>NON-NIL</t>
        </is>
      </c>
      <c r="E5125" t="n">
        <v>149</v>
      </c>
    </row>
    <row r="5126">
      <c r="A5126" t="inlineStr">
        <is>
          <t>27BBBBB05126Z5</t>
        </is>
      </c>
      <c r="B5126" t="inlineStr">
        <is>
          <t>Jan-2018</t>
        </is>
      </c>
      <c r="C5126" s="2" t="n">
        <v>43589</v>
      </c>
      <c r="D5126" t="inlineStr">
        <is>
          <t>NIL</t>
        </is>
      </c>
      <c r="E5126" t="n">
        <v>1753</v>
      </c>
    </row>
    <row r="5127">
      <c r="A5127" t="inlineStr">
        <is>
          <t>27BBBBB05127Z5</t>
        </is>
      </c>
      <c r="B5127" t="inlineStr">
        <is>
          <t>Jun-2020</t>
        </is>
      </c>
      <c r="C5127" s="2" t="n">
        <v>44573</v>
      </c>
      <c r="D5127" t="inlineStr">
        <is>
          <t>NON-NIL</t>
        </is>
      </c>
      <c r="E5127" t="n">
        <v>2502</v>
      </c>
    </row>
    <row r="5128">
      <c r="A5128" t="inlineStr">
        <is>
          <t>27BBBBB05128Z5</t>
        </is>
      </c>
      <c r="B5128" t="inlineStr">
        <is>
          <t>Jan-2021</t>
        </is>
      </c>
      <c r="C5128" s="2" t="n">
        <v>45678</v>
      </c>
      <c r="D5128" t="inlineStr">
        <is>
          <t>NIL</t>
        </is>
      </c>
      <c r="E5128" t="n">
        <v>2570</v>
      </c>
    </row>
    <row r="5129">
      <c r="A5129" t="inlineStr">
        <is>
          <t>27BBBBB05129Z5</t>
        </is>
      </c>
      <c r="B5129" t="inlineStr">
        <is>
          <t>Jun-2020</t>
        </is>
      </c>
      <c r="C5129" s="2" t="n">
        <v>44635</v>
      </c>
      <c r="D5129" t="inlineStr">
        <is>
          <t>NIL</t>
        </is>
      </c>
      <c r="E5129" t="n">
        <v>2094</v>
      </c>
    </row>
    <row r="5130">
      <c r="A5130" t="inlineStr">
        <is>
          <t>27BBBBB05130Z5</t>
        </is>
      </c>
      <c r="B5130" t="inlineStr">
        <is>
          <t>Dec-2024</t>
        </is>
      </c>
      <c r="C5130" s="2" t="n">
        <v>44742</v>
      </c>
      <c r="D5130" t="inlineStr">
        <is>
          <t>NON-NIL</t>
        </is>
      </c>
      <c r="E5130" t="n">
        <v>1235</v>
      </c>
    </row>
    <row r="5131">
      <c r="A5131" t="inlineStr">
        <is>
          <t>27BBBBB05131Z5</t>
        </is>
      </c>
      <c r="B5131" t="inlineStr">
        <is>
          <t>Dec-2018</t>
        </is>
      </c>
      <c r="C5131" s="2" t="n">
        <v>44531</v>
      </c>
      <c r="D5131" t="inlineStr">
        <is>
          <t>NON-NIL</t>
        </is>
      </c>
      <c r="E5131" t="n">
        <v>1541</v>
      </c>
    </row>
    <row r="5132">
      <c r="A5132" t="inlineStr">
        <is>
          <t>27BBBBB05132Z5</t>
        </is>
      </c>
      <c r="B5132" t="inlineStr">
        <is>
          <t>Jul-2017</t>
        </is>
      </c>
      <c r="C5132" s="2" t="n">
        <v>43988</v>
      </c>
      <c r="D5132" t="inlineStr">
        <is>
          <t>NON-NIL</t>
        </is>
      </c>
      <c r="E5132" t="n">
        <v>1850</v>
      </c>
    </row>
    <row r="5133">
      <c r="A5133" t="inlineStr">
        <is>
          <t>27BBBBB05133Z5</t>
        </is>
      </c>
      <c r="B5133" t="inlineStr">
        <is>
          <t>Jul-2018</t>
        </is>
      </c>
      <c r="C5133" s="2" t="n">
        <v>43543</v>
      </c>
      <c r="D5133" t="inlineStr">
        <is>
          <t>NON-NIL</t>
        </is>
      </c>
      <c r="E5133" t="n">
        <v>105</v>
      </c>
    </row>
    <row r="5134">
      <c r="A5134" t="inlineStr">
        <is>
          <t>27BBBBB05134Z5</t>
        </is>
      </c>
      <c r="B5134" t="inlineStr">
        <is>
          <t>Jan-2018</t>
        </is>
      </c>
      <c r="C5134" s="2" t="n">
        <v>43686</v>
      </c>
      <c r="D5134" t="inlineStr">
        <is>
          <t>NIL</t>
        </is>
      </c>
      <c r="E5134" t="n">
        <v>2708</v>
      </c>
    </row>
    <row r="5135">
      <c r="A5135" t="inlineStr">
        <is>
          <t>27BBBBB05135Z5</t>
        </is>
      </c>
      <c r="B5135" t="inlineStr">
        <is>
          <t>Dec-2017</t>
        </is>
      </c>
      <c r="C5135" s="2" t="n">
        <v>43496</v>
      </c>
      <c r="D5135" t="inlineStr">
        <is>
          <t>NIL</t>
        </is>
      </c>
      <c r="E5135" t="n">
        <v>2201</v>
      </c>
    </row>
    <row r="5136">
      <c r="A5136" t="inlineStr">
        <is>
          <t>27BBBBB05136Z5</t>
        </is>
      </c>
      <c r="B5136" t="inlineStr">
        <is>
          <t>Mar-2021</t>
        </is>
      </c>
      <c r="C5136" s="2" t="n">
        <v>45231</v>
      </c>
      <c r="D5136" t="inlineStr">
        <is>
          <t>NON-NIL</t>
        </is>
      </c>
      <c r="E5136" t="n">
        <v>731</v>
      </c>
    </row>
    <row r="5137">
      <c r="A5137" t="inlineStr">
        <is>
          <t>27BBBBB05137Z5</t>
        </is>
      </c>
      <c r="B5137" t="inlineStr">
        <is>
          <t>Nov-2017</t>
        </is>
      </c>
      <c r="C5137" s="2" t="n">
        <v>43939</v>
      </c>
      <c r="D5137" t="inlineStr">
        <is>
          <t>NIL</t>
        </is>
      </c>
      <c r="E5137" t="n">
        <v>2546</v>
      </c>
    </row>
    <row r="5138">
      <c r="A5138" t="inlineStr">
        <is>
          <t>27BBBBB05138Z5</t>
        </is>
      </c>
      <c r="B5138" t="inlineStr">
        <is>
          <t>May-2020</t>
        </is>
      </c>
      <c r="C5138" s="2" t="n">
        <v>44121</v>
      </c>
      <c r="D5138" t="inlineStr">
        <is>
          <t>NIL</t>
        </is>
      </c>
      <c r="E5138" t="n">
        <v>1870</v>
      </c>
    </row>
    <row r="5139">
      <c r="A5139" t="inlineStr">
        <is>
          <t>27BBBBB05139Z5</t>
        </is>
      </c>
      <c r="B5139" t="inlineStr">
        <is>
          <t>Feb-2018</t>
        </is>
      </c>
      <c r="C5139" s="2" t="n">
        <v>43756</v>
      </c>
      <c r="D5139" t="inlineStr">
        <is>
          <t>NON-NIL</t>
        </is>
      </c>
      <c r="E5139" t="n">
        <v>1378</v>
      </c>
    </row>
    <row r="5140">
      <c r="A5140" t="inlineStr">
        <is>
          <t>27BBBBB05140Z5</t>
        </is>
      </c>
      <c r="B5140" t="inlineStr">
        <is>
          <t>Aug-2018</t>
        </is>
      </c>
      <c r="C5140" s="2" t="n">
        <v>43774</v>
      </c>
      <c r="D5140" t="inlineStr">
        <is>
          <t>NON-NIL</t>
        </is>
      </c>
      <c r="E5140" t="n">
        <v>948</v>
      </c>
    </row>
    <row r="5141">
      <c r="A5141" t="inlineStr">
        <is>
          <t>27BBBBB05141Z5</t>
        </is>
      </c>
      <c r="B5141" t="inlineStr">
        <is>
          <t>Apr-2020</t>
        </is>
      </c>
      <c r="C5141" s="2" t="n">
        <v>43945</v>
      </c>
      <c r="D5141" t="inlineStr">
        <is>
          <t>NON-NIL</t>
        </is>
      </c>
      <c r="E5141" t="n">
        <v>2786</v>
      </c>
    </row>
    <row r="5142">
      <c r="A5142" t="inlineStr">
        <is>
          <t>27BBBBB05142Z5</t>
        </is>
      </c>
      <c r="B5142" t="inlineStr">
        <is>
          <t>Mar-2021</t>
        </is>
      </c>
      <c r="C5142" s="2" t="n">
        <v>43647</v>
      </c>
      <c r="D5142" t="inlineStr">
        <is>
          <t>NON-NIL</t>
        </is>
      </c>
      <c r="E5142" t="n">
        <v>650</v>
      </c>
    </row>
    <row r="5143">
      <c r="A5143" t="inlineStr">
        <is>
          <t>27BBBBB05143Z5</t>
        </is>
      </c>
      <c r="B5143" t="inlineStr">
        <is>
          <t>Oct-2018</t>
        </is>
      </c>
      <c r="C5143" s="2" t="n">
        <v>44310</v>
      </c>
      <c r="D5143" t="inlineStr">
        <is>
          <t>NON-NIL</t>
        </is>
      </c>
      <c r="E5143" t="n">
        <v>668</v>
      </c>
    </row>
    <row r="5144">
      <c r="A5144" t="inlineStr">
        <is>
          <t>27BBBBB05144Z5</t>
        </is>
      </c>
      <c r="B5144" t="inlineStr">
        <is>
          <t>Dec-2022</t>
        </is>
      </c>
      <c r="C5144" s="2" t="n">
        <v>44265</v>
      </c>
      <c r="D5144" t="inlineStr">
        <is>
          <t>NON-NIL</t>
        </is>
      </c>
      <c r="E5144" t="n">
        <v>1529</v>
      </c>
    </row>
    <row r="5145">
      <c r="A5145" t="inlineStr">
        <is>
          <t>27BBBBB05145Z5</t>
        </is>
      </c>
      <c r="B5145" t="inlineStr">
        <is>
          <t>Jul-2020</t>
        </is>
      </c>
      <c r="C5145" s="2" t="n">
        <v>44744</v>
      </c>
      <c r="D5145" t="inlineStr">
        <is>
          <t>NON-NIL</t>
        </is>
      </c>
      <c r="E5145" t="n">
        <v>307</v>
      </c>
    </row>
    <row r="5146">
      <c r="A5146" t="inlineStr">
        <is>
          <t>27BBBBB05146Z5</t>
        </is>
      </c>
      <c r="B5146" t="inlineStr">
        <is>
          <t>Mar-2018</t>
        </is>
      </c>
      <c r="C5146" s="2" t="n">
        <v>43858</v>
      </c>
      <c r="D5146" t="inlineStr">
        <is>
          <t>NON-NIL</t>
        </is>
      </c>
      <c r="E5146" t="n">
        <v>1684</v>
      </c>
    </row>
    <row r="5147">
      <c r="A5147" t="inlineStr">
        <is>
          <t>27BBBBB05147Z5</t>
        </is>
      </c>
      <c r="B5147" t="inlineStr">
        <is>
          <t>Jun-2018</t>
        </is>
      </c>
      <c r="C5147" s="2" t="n">
        <v>44336</v>
      </c>
      <c r="D5147" t="inlineStr">
        <is>
          <t>NON-NIL</t>
        </is>
      </c>
      <c r="E5147" t="n">
        <v>2575</v>
      </c>
    </row>
    <row r="5148">
      <c r="A5148" t="inlineStr">
        <is>
          <t>27BBBBB05148Z5</t>
        </is>
      </c>
      <c r="B5148" t="inlineStr">
        <is>
          <t>Oct-2017</t>
        </is>
      </c>
      <c r="C5148" s="2" t="n">
        <v>43770</v>
      </c>
      <c r="D5148" t="inlineStr">
        <is>
          <t>NON-NIL</t>
        </is>
      </c>
      <c r="E5148" t="n">
        <v>114</v>
      </c>
    </row>
    <row r="5149">
      <c r="A5149" t="inlineStr">
        <is>
          <t>27BBBBB05149Z5</t>
        </is>
      </c>
      <c r="B5149" t="inlineStr">
        <is>
          <t>Dec-2017</t>
        </is>
      </c>
      <c r="C5149" s="2" t="n">
        <v>43240</v>
      </c>
      <c r="D5149" t="inlineStr">
        <is>
          <t>NON-NIL</t>
        </is>
      </c>
      <c r="E5149" t="n">
        <v>450</v>
      </c>
    </row>
    <row r="5150">
      <c r="A5150" t="inlineStr">
        <is>
          <t>27BBBBB05150Z5</t>
        </is>
      </c>
      <c r="B5150" t="inlineStr">
        <is>
          <t>Jul-2020</t>
        </is>
      </c>
      <c r="C5150" s="2" t="n">
        <v>44091</v>
      </c>
      <c r="D5150" t="inlineStr">
        <is>
          <t>NIL</t>
        </is>
      </c>
      <c r="E5150" t="n">
        <v>1046</v>
      </c>
    </row>
    <row r="5151">
      <c r="A5151" t="inlineStr">
        <is>
          <t>27BBBBB05151Z5</t>
        </is>
      </c>
      <c r="B5151" t="inlineStr">
        <is>
          <t>Dec-2024</t>
        </is>
      </c>
      <c r="C5151" s="2" t="n">
        <v>44511</v>
      </c>
      <c r="D5151" t="inlineStr">
        <is>
          <t>NON-NIL</t>
        </is>
      </c>
      <c r="E5151" t="n">
        <v>2977</v>
      </c>
    </row>
    <row r="5152">
      <c r="A5152" t="inlineStr">
        <is>
          <t>27BBBBB05152Z5</t>
        </is>
      </c>
      <c r="B5152" t="inlineStr">
        <is>
          <t>Sep-2018</t>
        </is>
      </c>
      <c r="C5152" s="2" t="n">
        <v>43273</v>
      </c>
      <c r="D5152" t="inlineStr">
        <is>
          <t>NON-NIL</t>
        </is>
      </c>
      <c r="E5152" t="n">
        <v>2822</v>
      </c>
    </row>
    <row r="5153">
      <c r="A5153" t="inlineStr">
        <is>
          <t>27BBBBB05153Z5</t>
        </is>
      </c>
      <c r="B5153" t="inlineStr">
        <is>
          <t>Mar-2018</t>
        </is>
      </c>
      <c r="C5153" s="2" t="n">
        <v>44134</v>
      </c>
      <c r="D5153" t="inlineStr">
        <is>
          <t>NIL</t>
        </is>
      </c>
      <c r="E5153" t="n">
        <v>1865</v>
      </c>
    </row>
    <row r="5154">
      <c r="A5154" t="inlineStr">
        <is>
          <t>27BBBBB05154Z5</t>
        </is>
      </c>
      <c r="B5154" t="inlineStr">
        <is>
          <t>Aug-2018</t>
        </is>
      </c>
      <c r="C5154" s="2" t="n">
        <v>43471</v>
      </c>
      <c r="D5154" t="inlineStr">
        <is>
          <t>NIL</t>
        </is>
      </c>
      <c r="E5154" t="n">
        <v>1731</v>
      </c>
    </row>
    <row r="5155">
      <c r="A5155" t="inlineStr">
        <is>
          <t>27BBBBB05155Z5</t>
        </is>
      </c>
      <c r="B5155" t="inlineStr">
        <is>
          <t>Oct-2017</t>
        </is>
      </c>
      <c r="C5155" s="2" t="n">
        <v>43533</v>
      </c>
      <c r="D5155" t="inlineStr">
        <is>
          <t>NIL</t>
        </is>
      </c>
      <c r="E5155" t="n">
        <v>105</v>
      </c>
    </row>
    <row r="5156">
      <c r="A5156" t="inlineStr">
        <is>
          <t>27BBBBB05156Z5</t>
        </is>
      </c>
      <c r="B5156" t="inlineStr">
        <is>
          <t>Mar-2020</t>
        </is>
      </c>
      <c r="C5156" s="2" t="n">
        <v>44527</v>
      </c>
      <c r="D5156" t="inlineStr">
        <is>
          <t>NON-NIL</t>
        </is>
      </c>
      <c r="E5156" t="n">
        <v>2100</v>
      </c>
    </row>
    <row r="5157">
      <c r="A5157" t="inlineStr">
        <is>
          <t>27BBBBB05157Z5</t>
        </is>
      </c>
      <c r="B5157" t="inlineStr">
        <is>
          <t>Dec-2022</t>
        </is>
      </c>
      <c r="C5157" s="2" t="n">
        <v>43756</v>
      </c>
      <c r="D5157" t="inlineStr">
        <is>
          <t>NIL</t>
        </is>
      </c>
      <c r="E5157" t="n">
        <v>834</v>
      </c>
    </row>
    <row r="5158">
      <c r="A5158" t="inlineStr">
        <is>
          <t>27BBBBB05158Z5</t>
        </is>
      </c>
      <c r="B5158" t="inlineStr">
        <is>
          <t>Nov-2018</t>
        </is>
      </c>
      <c r="C5158" s="2" t="n">
        <v>44223</v>
      </c>
      <c r="D5158" t="inlineStr">
        <is>
          <t>NIL</t>
        </is>
      </c>
      <c r="E5158" t="n">
        <v>2011</v>
      </c>
    </row>
    <row r="5159">
      <c r="A5159" t="inlineStr">
        <is>
          <t>27BBBBB05159Z5</t>
        </is>
      </c>
      <c r="B5159" t="inlineStr">
        <is>
          <t>Jul-2017</t>
        </is>
      </c>
      <c r="C5159" s="2" t="n">
        <v>43369</v>
      </c>
      <c r="D5159" t="inlineStr">
        <is>
          <t>NIL</t>
        </is>
      </c>
      <c r="E5159" t="n">
        <v>474</v>
      </c>
    </row>
    <row r="5160">
      <c r="A5160" t="inlineStr">
        <is>
          <t>27BBBBB05160Z5</t>
        </is>
      </c>
      <c r="B5160" t="inlineStr">
        <is>
          <t>Jun-2018</t>
        </is>
      </c>
      <c r="C5160" s="2" t="n">
        <v>43723</v>
      </c>
      <c r="D5160" t="inlineStr">
        <is>
          <t>NON-NIL</t>
        </is>
      </c>
      <c r="E5160" t="n">
        <v>1979</v>
      </c>
    </row>
    <row r="5161">
      <c r="A5161" t="inlineStr">
        <is>
          <t>27BBBBB05161Z5</t>
        </is>
      </c>
      <c r="B5161" t="inlineStr">
        <is>
          <t>Jul-2017</t>
        </is>
      </c>
      <c r="C5161" s="2" t="n">
        <v>43613</v>
      </c>
      <c r="D5161" t="inlineStr">
        <is>
          <t>NIL</t>
        </is>
      </c>
      <c r="E5161" t="n">
        <v>1017</v>
      </c>
    </row>
    <row r="5162">
      <c r="A5162" t="inlineStr">
        <is>
          <t>27BBBBB05162Z5</t>
        </is>
      </c>
      <c r="B5162" t="inlineStr">
        <is>
          <t>May-2020</t>
        </is>
      </c>
      <c r="C5162" s="2" t="n">
        <v>43913</v>
      </c>
      <c r="D5162" t="inlineStr">
        <is>
          <t>NON-NIL</t>
        </is>
      </c>
      <c r="E5162" t="n">
        <v>354</v>
      </c>
    </row>
    <row r="5163">
      <c r="A5163" t="inlineStr">
        <is>
          <t>27BBBBB05163Z5</t>
        </is>
      </c>
      <c r="B5163" t="inlineStr">
        <is>
          <t>Apr-2020</t>
        </is>
      </c>
      <c r="C5163" s="2" t="n">
        <v>44239</v>
      </c>
      <c r="D5163" t="inlineStr">
        <is>
          <t>NON-NIL</t>
        </is>
      </c>
      <c r="E5163" t="n">
        <v>235</v>
      </c>
    </row>
    <row r="5164">
      <c r="A5164" t="inlineStr">
        <is>
          <t>27BBBBB05164Z5</t>
        </is>
      </c>
      <c r="B5164" t="inlineStr">
        <is>
          <t>Jul-2018</t>
        </is>
      </c>
      <c r="C5164" s="2" t="n">
        <v>44081</v>
      </c>
      <c r="D5164" t="inlineStr">
        <is>
          <t>NON-NIL</t>
        </is>
      </c>
      <c r="E5164" t="n">
        <v>2825</v>
      </c>
    </row>
    <row r="5165">
      <c r="A5165" t="inlineStr">
        <is>
          <t>27BBBBB05165Z5</t>
        </is>
      </c>
      <c r="B5165" t="inlineStr">
        <is>
          <t>Dec-2017</t>
        </is>
      </c>
      <c r="C5165" s="2" t="n">
        <v>43546</v>
      </c>
      <c r="D5165" t="inlineStr">
        <is>
          <t>NON-NIL</t>
        </is>
      </c>
      <c r="E5165" t="n">
        <v>1706</v>
      </c>
    </row>
    <row r="5166">
      <c r="A5166" t="inlineStr">
        <is>
          <t>27BBBBB05166Z5</t>
        </is>
      </c>
      <c r="B5166" t="inlineStr">
        <is>
          <t>Jan-2021</t>
        </is>
      </c>
      <c r="C5166" s="2" t="n">
        <v>45808</v>
      </c>
      <c r="D5166" t="inlineStr">
        <is>
          <t>NIL</t>
        </is>
      </c>
      <c r="E5166" t="n">
        <v>260</v>
      </c>
    </row>
    <row r="5167">
      <c r="A5167" t="inlineStr">
        <is>
          <t>27BBBBB05167Z5</t>
        </is>
      </c>
      <c r="B5167" t="inlineStr">
        <is>
          <t>Aug-2017</t>
        </is>
      </c>
      <c r="C5167" s="2" t="n">
        <v>43314</v>
      </c>
      <c r="D5167" t="inlineStr">
        <is>
          <t>NIL</t>
        </is>
      </c>
      <c r="E5167" t="n">
        <v>2222</v>
      </c>
    </row>
    <row r="5168">
      <c r="A5168" t="inlineStr">
        <is>
          <t>27BBBBB05168Z5</t>
        </is>
      </c>
      <c r="B5168" t="inlineStr">
        <is>
          <t>Mar-2023</t>
        </is>
      </c>
      <c r="C5168" s="2" t="n">
        <v>45271</v>
      </c>
      <c r="D5168" t="inlineStr">
        <is>
          <t>NON-NIL</t>
        </is>
      </c>
      <c r="E5168" t="n">
        <v>2162</v>
      </c>
    </row>
    <row r="5169">
      <c r="A5169" t="inlineStr">
        <is>
          <t>27BBBBB05169Z5</t>
        </is>
      </c>
      <c r="B5169" t="inlineStr">
        <is>
          <t>Jul-2018</t>
        </is>
      </c>
      <c r="C5169" s="2" t="n">
        <v>43353</v>
      </c>
      <c r="D5169" t="inlineStr">
        <is>
          <t>NIL</t>
        </is>
      </c>
      <c r="E5169" t="n">
        <v>1059</v>
      </c>
    </row>
    <row r="5170">
      <c r="A5170" t="inlineStr">
        <is>
          <t>27BBBBB05170Z5</t>
        </is>
      </c>
      <c r="B5170" t="inlineStr">
        <is>
          <t>Aug-2017</t>
        </is>
      </c>
      <c r="C5170" s="2" t="n">
        <v>43524</v>
      </c>
      <c r="D5170" t="inlineStr">
        <is>
          <t>NON-NIL</t>
        </is>
      </c>
      <c r="E5170" t="n">
        <v>400</v>
      </c>
    </row>
    <row r="5171">
      <c r="A5171" t="inlineStr">
        <is>
          <t>27BBBBB05171Z5</t>
        </is>
      </c>
      <c r="B5171" t="inlineStr">
        <is>
          <t>Jul-2018</t>
        </is>
      </c>
      <c r="C5171" s="2" t="n">
        <v>43069</v>
      </c>
      <c r="D5171" t="inlineStr">
        <is>
          <t>NON-NIL</t>
        </is>
      </c>
      <c r="E5171" t="n">
        <v>1662</v>
      </c>
    </row>
    <row r="5172">
      <c r="A5172" t="inlineStr">
        <is>
          <t>27BBBBB05172Z5</t>
        </is>
      </c>
      <c r="B5172" t="inlineStr">
        <is>
          <t>May-2020</t>
        </is>
      </c>
      <c r="C5172" s="2" t="n">
        <v>44031</v>
      </c>
      <c r="D5172" t="inlineStr">
        <is>
          <t>NIL</t>
        </is>
      </c>
      <c r="E5172" t="n">
        <v>14</v>
      </c>
    </row>
    <row r="5173">
      <c r="A5173" t="inlineStr">
        <is>
          <t>27BBBBB05173Z5</t>
        </is>
      </c>
      <c r="B5173" t="inlineStr">
        <is>
          <t>Jul-2018</t>
        </is>
      </c>
      <c r="C5173" s="2" t="n">
        <v>43328</v>
      </c>
      <c r="D5173" t="inlineStr">
        <is>
          <t>NON-NIL</t>
        </is>
      </c>
      <c r="E5173" t="n">
        <v>1163</v>
      </c>
    </row>
    <row r="5174">
      <c r="A5174" t="inlineStr">
        <is>
          <t>27BBBBB05174Z5</t>
        </is>
      </c>
      <c r="B5174" t="inlineStr">
        <is>
          <t>Nov-2018</t>
        </is>
      </c>
      <c r="C5174" s="2" t="n">
        <v>43632</v>
      </c>
      <c r="D5174" t="inlineStr">
        <is>
          <t>NIL</t>
        </is>
      </c>
      <c r="E5174" t="n">
        <v>2348</v>
      </c>
    </row>
    <row r="5175">
      <c r="A5175" t="inlineStr">
        <is>
          <t>27BBBBB05175Z5</t>
        </is>
      </c>
      <c r="B5175" t="inlineStr">
        <is>
          <t>Aug-2018</t>
        </is>
      </c>
      <c r="C5175" s="2" t="n">
        <v>43097</v>
      </c>
      <c r="D5175" t="inlineStr">
        <is>
          <t>NIL</t>
        </is>
      </c>
      <c r="E5175" t="n">
        <v>1190</v>
      </c>
    </row>
    <row r="5176">
      <c r="A5176" t="inlineStr">
        <is>
          <t>27BBBBB05176Z5</t>
        </is>
      </c>
      <c r="B5176" t="inlineStr">
        <is>
          <t>Dec-2022</t>
        </is>
      </c>
      <c r="C5176" s="2" t="n">
        <v>45575</v>
      </c>
      <c r="D5176" t="inlineStr">
        <is>
          <t>NIL</t>
        </is>
      </c>
      <c r="E5176" t="n">
        <v>2109</v>
      </c>
    </row>
    <row r="5177">
      <c r="A5177" t="inlineStr">
        <is>
          <t>27BBBBB05177Z5</t>
        </is>
      </c>
      <c r="B5177" t="inlineStr">
        <is>
          <t>Dec-2018</t>
        </is>
      </c>
      <c r="C5177" s="2" t="n">
        <v>42929</v>
      </c>
      <c r="D5177" t="inlineStr">
        <is>
          <t>NON-NIL</t>
        </is>
      </c>
      <c r="E5177" t="n">
        <v>2672</v>
      </c>
    </row>
    <row r="5178">
      <c r="A5178" t="inlineStr">
        <is>
          <t>27BBBBB05178Z5</t>
        </is>
      </c>
      <c r="B5178" t="inlineStr">
        <is>
          <t>Oct-2018</t>
        </is>
      </c>
      <c r="C5178" s="2" t="n">
        <v>43453</v>
      </c>
      <c r="D5178" t="inlineStr">
        <is>
          <t>NON-NIL</t>
        </is>
      </c>
      <c r="E5178" t="n">
        <v>1475</v>
      </c>
    </row>
    <row r="5179">
      <c r="A5179" t="inlineStr">
        <is>
          <t>27BBBBB05179Z5</t>
        </is>
      </c>
      <c r="B5179" t="inlineStr">
        <is>
          <t>Nov-2018</t>
        </is>
      </c>
      <c r="C5179" s="2" t="n">
        <v>44367</v>
      </c>
      <c r="D5179" t="inlineStr">
        <is>
          <t>NON-NIL</t>
        </is>
      </c>
      <c r="E5179" t="n">
        <v>2952</v>
      </c>
    </row>
    <row r="5180">
      <c r="A5180" t="inlineStr">
        <is>
          <t>27BBBBB05180Z5</t>
        </is>
      </c>
      <c r="B5180" t="inlineStr">
        <is>
          <t>Dec-2024</t>
        </is>
      </c>
      <c r="C5180" s="2" t="n">
        <v>43685</v>
      </c>
      <c r="D5180" t="inlineStr">
        <is>
          <t>NIL</t>
        </is>
      </c>
      <c r="E5180" t="n">
        <v>1229</v>
      </c>
    </row>
    <row r="5181">
      <c r="A5181" t="inlineStr">
        <is>
          <t>27BBBBB05181Z5</t>
        </is>
      </c>
      <c r="B5181" t="inlineStr">
        <is>
          <t>Mar-2021</t>
        </is>
      </c>
      <c r="C5181" s="2" t="n">
        <v>44464</v>
      </c>
      <c r="D5181" t="inlineStr">
        <is>
          <t>NON-NIL</t>
        </is>
      </c>
      <c r="E5181" t="n">
        <v>272</v>
      </c>
    </row>
    <row r="5182">
      <c r="A5182" t="inlineStr">
        <is>
          <t>27BBBBB05182Z5</t>
        </is>
      </c>
      <c r="B5182" t="inlineStr">
        <is>
          <t>Mar-2023</t>
        </is>
      </c>
      <c r="C5182" s="2" t="n">
        <v>44348</v>
      </c>
      <c r="D5182" t="inlineStr">
        <is>
          <t>NIL</t>
        </is>
      </c>
      <c r="E5182" t="n">
        <v>1877</v>
      </c>
    </row>
    <row r="5183">
      <c r="A5183" t="inlineStr">
        <is>
          <t>27BBBBB05183Z5</t>
        </is>
      </c>
      <c r="B5183" t="inlineStr">
        <is>
          <t>Mar-2020</t>
        </is>
      </c>
      <c r="C5183" s="2" t="n">
        <v>44301</v>
      </c>
      <c r="D5183" t="inlineStr">
        <is>
          <t>NON-NIL</t>
        </is>
      </c>
      <c r="E5183" t="n">
        <v>2741</v>
      </c>
    </row>
    <row r="5184">
      <c r="A5184" t="inlineStr">
        <is>
          <t>27BBBBB05184Z5</t>
        </is>
      </c>
      <c r="B5184" t="inlineStr">
        <is>
          <t>Apr-2018</t>
        </is>
      </c>
      <c r="C5184" s="2" t="n">
        <v>44465</v>
      </c>
      <c r="D5184" t="inlineStr">
        <is>
          <t>NON-NIL</t>
        </is>
      </c>
      <c r="E5184" t="n">
        <v>2810</v>
      </c>
    </row>
    <row r="5185">
      <c r="A5185" t="inlineStr">
        <is>
          <t>27BBBBB05185Z5</t>
        </is>
      </c>
      <c r="B5185" t="inlineStr">
        <is>
          <t>Mar-2018</t>
        </is>
      </c>
      <c r="C5185" s="2" t="n">
        <v>43606</v>
      </c>
      <c r="D5185" t="inlineStr">
        <is>
          <t>NIL</t>
        </is>
      </c>
      <c r="E5185" t="n">
        <v>1400</v>
      </c>
    </row>
    <row r="5186">
      <c r="A5186" t="inlineStr">
        <is>
          <t>27BBBBB05186Z5</t>
        </is>
      </c>
      <c r="B5186" t="inlineStr">
        <is>
          <t>Dec-2024</t>
        </is>
      </c>
      <c r="C5186" s="2" t="n">
        <v>45258</v>
      </c>
      <c r="D5186" t="inlineStr">
        <is>
          <t>NIL</t>
        </is>
      </c>
      <c r="E5186" t="n">
        <v>2670</v>
      </c>
    </row>
    <row r="5187">
      <c r="A5187" t="inlineStr">
        <is>
          <t>27BBBBB05187Z5</t>
        </is>
      </c>
      <c r="B5187" t="inlineStr">
        <is>
          <t>Aug-2017</t>
        </is>
      </c>
      <c r="C5187" s="2" t="n">
        <v>43172</v>
      </c>
      <c r="D5187" t="inlineStr">
        <is>
          <t>NON-NIL</t>
        </is>
      </c>
      <c r="E5187" t="n">
        <v>541</v>
      </c>
    </row>
    <row r="5188">
      <c r="A5188" t="inlineStr">
        <is>
          <t>27BBBBB05188Z5</t>
        </is>
      </c>
      <c r="B5188" t="inlineStr">
        <is>
          <t>Jul-2018</t>
        </is>
      </c>
      <c r="C5188" s="2" t="n">
        <v>43070</v>
      </c>
      <c r="D5188" t="inlineStr">
        <is>
          <t>NON-NIL</t>
        </is>
      </c>
      <c r="E5188" t="n">
        <v>2867</v>
      </c>
    </row>
    <row r="5189">
      <c r="A5189" t="inlineStr">
        <is>
          <t>27BBBBB05189Z5</t>
        </is>
      </c>
      <c r="B5189" t="inlineStr">
        <is>
          <t>Jun-2018</t>
        </is>
      </c>
      <c r="C5189" s="2" t="n">
        <v>44541</v>
      </c>
      <c r="D5189" t="inlineStr">
        <is>
          <t>NON-NIL</t>
        </is>
      </c>
      <c r="E5189" t="n">
        <v>2621</v>
      </c>
    </row>
    <row r="5190">
      <c r="A5190" t="inlineStr">
        <is>
          <t>27BBBBB05190Z5</t>
        </is>
      </c>
      <c r="B5190" t="inlineStr">
        <is>
          <t>Nov-2018</t>
        </is>
      </c>
      <c r="C5190" s="2" t="n">
        <v>43266</v>
      </c>
      <c r="D5190" t="inlineStr">
        <is>
          <t>NON-NIL</t>
        </is>
      </c>
      <c r="E5190" t="n">
        <v>1506</v>
      </c>
    </row>
    <row r="5191">
      <c r="A5191" t="inlineStr">
        <is>
          <t>27BBBBB05191Z5</t>
        </is>
      </c>
      <c r="B5191" t="inlineStr">
        <is>
          <t>Jan-2021</t>
        </is>
      </c>
      <c r="C5191" s="2" t="n">
        <v>45111</v>
      </c>
      <c r="D5191" t="inlineStr">
        <is>
          <t>NON-NIL</t>
        </is>
      </c>
      <c r="E5191" t="n">
        <v>935</v>
      </c>
    </row>
    <row r="5192">
      <c r="A5192" t="inlineStr">
        <is>
          <t>27BBBBB05192Z5</t>
        </is>
      </c>
      <c r="B5192" t="inlineStr">
        <is>
          <t>Aug-2018</t>
        </is>
      </c>
      <c r="C5192" s="2" t="n">
        <v>43355</v>
      </c>
      <c r="D5192" t="inlineStr">
        <is>
          <t>NIL</t>
        </is>
      </c>
      <c r="E5192" t="n">
        <v>1469</v>
      </c>
    </row>
    <row r="5193">
      <c r="A5193" t="inlineStr">
        <is>
          <t>27BBBBB05193Z5</t>
        </is>
      </c>
      <c r="B5193" t="inlineStr">
        <is>
          <t>Oct-2017</t>
        </is>
      </c>
      <c r="C5193" s="2" t="n">
        <v>43200</v>
      </c>
      <c r="D5193" t="inlineStr">
        <is>
          <t>NIL</t>
        </is>
      </c>
      <c r="E5193" t="n">
        <v>1684</v>
      </c>
    </row>
    <row r="5194">
      <c r="A5194" t="inlineStr">
        <is>
          <t>27BBBBB05194Z5</t>
        </is>
      </c>
      <c r="B5194" t="inlineStr">
        <is>
          <t>Jan-2018</t>
        </is>
      </c>
      <c r="C5194" s="2" t="n">
        <v>43813</v>
      </c>
      <c r="D5194" t="inlineStr">
        <is>
          <t>NON-NIL</t>
        </is>
      </c>
      <c r="E5194" t="n">
        <v>936</v>
      </c>
    </row>
    <row r="5195">
      <c r="A5195" t="inlineStr">
        <is>
          <t>27BBBBB05195Z5</t>
        </is>
      </c>
      <c r="B5195" t="inlineStr">
        <is>
          <t>Sep-2017</t>
        </is>
      </c>
      <c r="C5195" s="2" t="n">
        <v>43860</v>
      </c>
      <c r="D5195" t="inlineStr">
        <is>
          <t>NIL</t>
        </is>
      </c>
      <c r="E5195" t="n">
        <v>806</v>
      </c>
    </row>
    <row r="5196">
      <c r="A5196" t="inlineStr">
        <is>
          <t>27BBBBB05196Z5</t>
        </is>
      </c>
      <c r="B5196" t="inlineStr">
        <is>
          <t>Mar-2021</t>
        </is>
      </c>
      <c r="C5196" s="2" t="n">
        <v>44279</v>
      </c>
      <c r="D5196" t="inlineStr">
        <is>
          <t>NON-NIL</t>
        </is>
      </c>
      <c r="E5196" t="n">
        <v>1621</v>
      </c>
    </row>
    <row r="5197">
      <c r="A5197" t="inlineStr">
        <is>
          <t>27BBBBB05197Z5</t>
        </is>
      </c>
      <c r="B5197" t="inlineStr">
        <is>
          <t>Dec-2018</t>
        </is>
      </c>
      <c r="C5197" s="2" t="n">
        <v>44205</v>
      </c>
      <c r="D5197" t="inlineStr">
        <is>
          <t>NIL</t>
        </is>
      </c>
      <c r="E5197" t="n">
        <v>1615</v>
      </c>
    </row>
    <row r="5198">
      <c r="A5198" t="inlineStr">
        <is>
          <t>27BBBBB05198Z5</t>
        </is>
      </c>
      <c r="B5198" t="inlineStr">
        <is>
          <t>Mar-2020</t>
        </is>
      </c>
      <c r="C5198" s="2" t="n">
        <v>44513</v>
      </c>
      <c r="D5198" t="inlineStr">
        <is>
          <t>NON-NIL</t>
        </is>
      </c>
      <c r="E5198" t="n">
        <v>162</v>
      </c>
    </row>
    <row r="5199">
      <c r="A5199" t="inlineStr">
        <is>
          <t>27BBBBB05199Z5</t>
        </is>
      </c>
      <c r="B5199" t="inlineStr">
        <is>
          <t>Jan-2021</t>
        </is>
      </c>
      <c r="C5199" s="2" t="n">
        <v>43711</v>
      </c>
      <c r="D5199" t="inlineStr">
        <is>
          <t>NIL</t>
        </is>
      </c>
      <c r="E5199" t="n">
        <v>1348</v>
      </c>
    </row>
    <row r="5200">
      <c r="A5200" t="inlineStr">
        <is>
          <t>27BBBBB05200Z5</t>
        </is>
      </c>
      <c r="B5200" t="inlineStr">
        <is>
          <t>Jun-2020</t>
        </is>
      </c>
      <c r="C5200" s="2" t="n">
        <v>43900</v>
      </c>
      <c r="D5200" t="inlineStr">
        <is>
          <t>NIL</t>
        </is>
      </c>
      <c r="E5200" t="n">
        <v>1107</v>
      </c>
    </row>
    <row r="5201">
      <c r="A5201" t="inlineStr">
        <is>
          <t>27BBBBB05201Z5</t>
        </is>
      </c>
      <c r="B5201" t="inlineStr">
        <is>
          <t>Jan-2018</t>
        </is>
      </c>
      <c r="C5201" s="2" t="n">
        <v>43161</v>
      </c>
      <c r="D5201" t="inlineStr">
        <is>
          <t>NON-NIL</t>
        </is>
      </c>
      <c r="E5201" t="n">
        <v>628</v>
      </c>
    </row>
    <row r="5202">
      <c r="A5202" t="inlineStr">
        <is>
          <t>27BBBBB05202Z5</t>
        </is>
      </c>
      <c r="B5202" t="inlineStr">
        <is>
          <t>Apr-2020</t>
        </is>
      </c>
      <c r="C5202" s="2" t="n">
        <v>44193</v>
      </c>
      <c r="D5202" t="inlineStr">
        <is>
          <t>NIL</t>
        </is>
      </c>
      <c r="E5202" t="n">
        <v>2977</v>
      </c>
    </row>
    <row r="5203">
      <c r="A5203" t="inlineStr">
        <is>
          <t>27BBBBB05203Z5</t>
        </is>
      </c>
      <c r="B5203" t="inlineStr">
        <is>
          <t>May-2018</t>
        </is>
      </c>
      <c r="C5203" s="2" t="n">
        <v>43746</v>
      </c>
      <c r="D5203" t="inlineStr">
        <is>
          <t>NIL</t>
        </is>
      </c>
      <c r="E5203" t="n">
        <v>506</v>
      </c>
    </row>
    <row r="5204">
      <c r="A5204" t="inlineStr">
        <is>
          <t>27BBBBB05204Z5</t>
        </is>
      </c>
      <c r="B5204" t="inlineStr">
        <is>
          <t>Dec-2024</t>
        </is>
      </c>
      <c r="C5204" s="2" t="n">
        <v>44443</v>
      </c>
      <c r="D5204" t="inlineStr">
        <is>
          <t>NON-NIL</t>
        </is>
      </c>
      <c r="E5204" t="n">
        <v>796</v>
      </c>
    </row>
    <row r="5205">
      <c r="A5205" t="inlineStr">
        <is>
          <t>27BBBBB05205Z5</t>
        </is>
      </c>
      <c r="B5205" t="inlineStr">
        <is>
          <t>Feb-2018</t>
        </is>
      </c>
      <c r="C5205" s="2" t="n">
        <v>43674</v>
      </c>
      <c r="D5205" t="inlineStr">
        <is>
          <t>NON-NIL</t>
        </is>
      </c>
      <c r="E5205" t="n">
        <v>362</v>
      </c>
    </row>
    <row r="5206">
      <c r="A5206" t="inlineStr">
        <is>
          <t>27BBBBB05206Z5</t>
        </is>
      </c>
      <c r="B5206" t="inlineStr">
        <is>
          <t>Mar-2021</t>
        </is>
      </c>
      <c r="C5206" s="2" t="n">
        <v>44174</v>
      </c>
      <c r="D5206" t="inlineStr">
        <is>
          <t>NIL</t>
        </is>
      </c>
      <c r="E5206" t="n">
        <v>1321</v>
      </c>
    </row>
    <row r="5207">
      <c r="A5207" t="inlineStr">
        <is>
          <t>27BBBBB05207Z5</t>
        </is>
      </c>
      <c r="B5207" t="inlineStr">
        <is>
          <t>Oct-2018</t>
        </is>
      </c>
      <c r="C5207" s="2" t="n">
        <v>43552</v>
      </c>
      <c r="D5207" t="inlineStr">
        <is>
          <t>NIL</t>
        </is>
      </c>
      <c r="E5207" t="n">
        <v>282</v>
      </c>
    </row>
    <row r="5208">
      <c r="A5208" t="inlineStr">
        <is>
          <t>27BBBBB05208Z5</t>
        </is>
      </c>
      <c r="B5208" t="inlineStr">
        <is>
          <t>Feb-2018</t>
        </is>
      </c>
      <c r="C5208" s="2" t="n">
        <v>44227</v>
      </c>
      <c r="D5208" t="inlineStr">
        <is>
          <t>NON-NIL</t>
        </is>
      </c>
      <c r="E5208" t="n">
        <v>10</v>
      </c>
    </row>
    <row r="5209">
      <c r="A5209" t="inlineStr">
        <is>
          <t>27BBBBB05209Z5</t>
        </is>
      </c>
      <c r="B5209" t="inlineStr">
        <is>
          <t>Jul-2018</t>
        </is>
      </c>
      <c r="C5209" s="2" t="n">
        <v>43949</v>
      </c>
      <c r="D5209" t="inlineStr">
        <is>
          <t>NIL</t>
        </is>
      </c>
      <c r="E5209" t="n">
        <v>2173</v>
      </c>
    </row>
    <row r="5210">
      <c r="A5210" t="inlineStr">
        <is>
          <t>27BBBBB05210Z5</t>
        </is>
      </c>
      <c r="B5210" t="inlineStr">
        <is>
          <t>Apr-2020</t>
        </is>
      </c>
      <c r="C5210" s="2" t="n">
        <v>44754</v>
      </c>
      <c r="D5210" t="inlineStr">
        <is>
          <t>NIL</t>
        </is>
      </c>
      <c r="E5210" t="n">
        <v>2731</v>
      </c>
    </row>
    <row r="5211">
      <c r="A5211" t="inlineStr">
        <is>
          <t>27BBBBB05211Z5</t>
        </is>
      </c>
      <c r="B5211" t="inlineStr">
        <is>
          <t>Jun-2020</t>
        </is>
      </c>
      <c r="C5211" s="2" t="n">
        <v>44877</v>
      </c>
      <c r="D5211" t="inlineStr">
        <is>
          <t>NON-NIL</t>
        </is>
      </c>
      <c r="E5211" t="n">
        <v>136</v>
      </c>
    </row>
    <row r="5212">
      <c r="A5212" t="inlineStr">
        <is>
          <t>27BBBBB05212Z5</t>
        </is>
      </c>
      <c r="B5212" t="inlineStr">
        <is>
          <t>Nov-2017</t>
        </is>
      </c>
      <c r="C5212" s="2" t="n">
        <v>43433</v>
      </c>
      <c r="D5212" t="inlineStr">
        <is>
          <t>NON-NIL</t>
        </is>
      </c>
      <c r="E5212" t="n">
        <v>1644</v>
      </c>
    </row>
    <row r="5213">
      <c r="A5213" t="inlineStr">
        <is>
          <t>27BBBBB05213Z5</t>
        </is>
      </c>
      <c r="B5213" t="inlineStr">
        <is>
          <t>Apr-2018</t>
        </is>
      </c>
      <c r="C5213" s="2" t="n">
        <v>44552</v>
      </c>
      <c r="D5213" t="inlineStr">
        <is>
          <t>NON-NIL</t>
        </is>
      </c>
      <c r="E5213" t="n">
        <v>955</v>
      </c>
    </row>
    <row r="5214">
      <c r="A5214" t="inlineStr">
        <is>
          <t>27BBBBB05214Z5</t>
        </is>
      </c>
      <c r="B5214" t="inlineStr">
        <is>
          <t>Oct-2017</t>
        </is>
      </c>
      <c r="C5214" s="2" t="n">
        <v>44300</v>
      </c>
      <c r="D5214" t="inlineStr">
        <is>
          <t>NIL</t>
        </is>
      </c>
      <c r="E5214" t="n">
        <v>1926</v>
      </c>
    </row>
    <row r="5215">
      <c r="A5215" t="inlineStr">
        <is>
          <t>27BBBBB05215Z5</t>
        </is>
      </c>
      <c r="B5215" t="inlineStr">
        <is>
          <t>Jul-2018</t>
        </is>
      </c>
      <c r="C5215" s="2" t="n">
        <v>44226</v>
      </c>
      <c r="D5215" t="inlineStr">
        <is>
          <t>NIL</t>
        </is>
      </c>
      <c r="E5215" t="n">
        <v>1956</v>
      </c>
    </row>
    <row r="5216">
      <c r="A5216" t="inlineStr">
        <is>
          <t>27BBBBB05216Z5</t>
        </is>
      </c>
      <c r="B5216" t="inlineStr">
        <is>
          <t>Jul-2017</t>
        </is>
      </c>
      <c r="C5216" s="2" t="n">
        <v>42947</v>
      </c>
      <c r="D5216" t="inlineStr">
        <is>
          <t>NON-NIL</t>
        </is>
      </c>
      <c r="E5216" t="n">
        <v>166</v>
      </c>
    </row>
    <row r="5217">
      <c r="A5217" t="inlineStr">
        <is>
          <t>27BBBBB05217Z5</t>
        </is>
      </c>
      <c r="B5217" t="inlineStr">
        <is>
          <t>Dec-2018</t>
        </is>
      </c>
      <c r="C5217" s="2" t="n">
        <v>44092</v>
      </c>
      <c r="D5217" t="inlineStr">
        <is>
          <t>NON-NIL</t>
        </is>
      </c>
      <c r="E5217" t="n">
        <v>1904</v>
      </c>
    </row>
    <row r="5218">
      <c r="A5218" t="inlineStr">
        <is>
          <t>27BBBBB05218Z5</t>
        </is>
      </c>
      <c r="B5218" t="inlineStr">
        <is>
          <t>Apr-2018</t>
        </is>
      </c>
      <c r="C5218" s="2" t="n">
        <v>43457</v>
      </c>
      <c r="D5218" t="inlineStr">
        <is>
          <t>NIL</t>
        </is>
      </c>
      <c r="E5218" t="n">
        <v>2639</v>
      </c>
    </row>
    <row r="5219">
      <c r="A5219" t="inlineStr">
        <is>
          <t>27BBBBB05219Z5</t>
        </is>
      </c>
      <c r="B5219" t="inlineStr">
        <is>
          <t>May-2018</t>
        </is>
      </c>
      <c r="C5219" s="2" t="n">
        <v>44117</v>
      </c>
      <c r="D5219" t="inlineStr">
        <is>
          <t>NIL</t>
        </is>
      </c>
      <c r="E5219" t="n">
        <v>1137</v>
      </c>
    </row>
    <row r="5220">
      <c r="A5220" t="inlineStr">
        <is>
          <t>27BBBBB05220Z5</t>
        </is>
      </c>
      <c r="B5220" t="inlineStr">
        <is>
          <t>Jun-2018</t>
        </is>
      </c>
      <c r="C5220" s="2" t="n">
        <v>44258</v>
      </c>
      <c r="D5220" t="inlineStr">
        <is>
          <t>NON-NIL</t>
        </is>
      </c>
      <c r="E5220" t="n">
        <v>290</v>
      </c>
    </row>
    <row r="5221">
      <c r="A5221" t="inlineStr">
        <is>
          <t>27BBBBB05221Z5</t>
        </is>
      </c>
      <c r="B5221" t="inlineStr">
        <is>
          <t>Aug-2018</t>
        </is>
      </c>
      <c r="C5221" s="2" t="n">
        <v>44352</v>
      </c>
      <c r="D5221" t="inlineStr">
        <is>
          <t>NIL</t>
        </is>
      </c>
      <c r="E5221" t="n">
        <v>1485</v>
      </c>
    </row>
    <row r="5222">
      <c r="A5222" t="inlineStr">
        <is>
          <t>27BBBBB05222Z5</t>
        </is>
      </c>
      <c r="B5222" t="inlineStr">
        <is>
          <t>May-2020</t>
        </is>
      </c>
      <c r="C5222" s="2" t="n">
        <v>44702</v>
      </c>
      <c r="D5222" t="inlineStr">
        <is>
          <t>NIL</t>
        </is>
      </c>
      <c r="E5222" t="n">
        <v>1007</v>
      </c>
    </row>
    <row r="5223">
      <c r="A5223" t="inlineStr">
        <is>
          <t>27BBBBB05223Z5</t>
        </is>
      </c>
      <c r="B5223" t="inlineStr">
        <is>
          <t>Jul-2018</t>
        </is>
      </c>
      <c r="C5223" s="2" t="n">
        <v>42955</v>
      </c>
      <c r="D5223" t="inlineStr">
        <is>
          <t>NON-NIL</t>
        </is>
      </c>
      <c r="E5223" t="n">
        <v>2780</v>
      </c>
    </row>
    <row r="5224">
      <c r="A5224" t="inlineStr">
        <is>
          <t>27BBBBB05224Z5</t>
        </is>
      </c>
      <c r="B5224" t="inlineStr">
        <is>
          <t>Sep-2017</t>
        </is>
      </c>
      <c r="C5224" s="2" t="n">
        <v>42952</v>
      </c>
      <c r="D5224" t="inlineStr">
        <is>
          <t>NIL</t>
        </is>
      </c>
      <c r="E5224" t="n">
        <v>993</v>
      </c>
    </row>
    <row r="5225">
      <c r="A5225" t="inlineStr">
        <is>
          <t>27BBBBB05225Z5</t>
        </is>
      </c>
      <c r="B5225" t="inlineStr">
        <is>
          <t>Jun-2020</t>
        </is>
      </c>
      <c r="C5225" s="2" t="n">
        <v>44166</v>
      </c>
      <c r="D5225" t="inlineStr">
        <is>
          <t>NIL</t>
        </is>
      </c>
      <c r="E5225" t="n">
        <v>284</v>
      </c>
    </row>
    <row r="5226">
      <c r="A5226" t="inlineStr">
        <is>
          <t>27BBBBB05226Z5</t>
        </is>
      </c>
      <c r="B5226" t="inlineStr">
        <is>
          <t>Dec-2017</t>
        </is>
      </c>
      <c r="C5226" s="2" t="n">
        <v>43305</v>
      </c>
      <c r="D5226" t="inlineStr">
        <is>
          <t>NIL</t>
        </is>
      </c>
      <c r="E5226" t="n">
        <v>933</v>
      </c>
    </row>
    <row r="5227">
      <c r="A5227" t="inlineStr">
        <is>
          <t>27BBBBB05227Z5</t>
        </is>
      </c>
      <c r="B5227" t="inlineStr">
        <is>
          <t>Jul-2018</t>
        </is>
      </c>
      <c r="C5227" s="2" t="n">
        <v>43934</v>
      </c>
      <c r="D5227" t="inlineStr">
        <is>
          <t>NIL</t>
        </is>
      </c>
      <c r="E5227" t="n">
        <v>1750</v>
      </c>
    </row>
    <row r="5228">
      <c r="A5228" t="inlineStr">
        <is>
          <t>27BBBBB05228Z5</t>
        </is>
      </c>
      <c r="B5228" t="inlineStr">
        <is>
          <t>Nov-2018</t>
        </is>
      </c>
      <c r="C5228" s="2" t="n">
        <v>43496</v>
      </c>
      <c r="D5228" t="inlineStr">
        <is>
          <t>NON-NIL</t>
        </is>
      </c>
      <c r="E5228" t="n">
        <v>937</v>
      </c>
    </row>
    <row r="5229">
      <c r="A5229" t="inlineStr">
        <is>
          <t>27BBBBB05229Z5</t>
        </is>
      </c>
      <c r="B5229" t="inlineStr">
        <is>
          <t>Aug-2017</t>
        </is>
      </c>
      <c r="C5229" s="2" t="n">
        <v>44028</v>
      </c>
      <c r="D5229" t="inlineStr">
        <is>
          <t>NIL</t>
        </is>
      </c>
      <c r="E5229" t="n">
        <v>1683</v>
      </c>
    </row>
    <row r="5230">
      <c r="A5230" t="inlineStr">
        <is>
          <t>27BBBBB05230Z5</t>
        </is>
      </c>
      <c r="B5230" t="inlineStr">
        <is>
          <t>Apr-2020</t>
        </is>
      </c>
      <c r="C5230" s="2" t="n">
        <v>43917</v>
      </c>
      <c r="D5230" t="inlineStr">
        <is>
          <t>NIL</t>
        </is>
      </c>
      <c r="E5230" t="n">
        <v>1403</v>
      </c>
    </row>
    <row r="5231">
      <c r="A5231" t="inlineStr">
        <is>
          <t>27BBBBB05231Z5</t>
        </is>
      </c>
      <c r="B5231" t="inlineStr">
        <is>
          <t>Jul-2017</t>
        </is>
      </c>
      <c r="C5231" s="2" t="n">
        <v>43341</v>
      </c>
      <c r="D5231" t="inlineStr">
        <is>
          <t>NON-NIL</t>
        </is>
      </c>
      <c r="E5231" t="n">
        <v>524</v>
      </c>
    </row>
    <row r="5232">
      <c r="A5232" t="inlineStr">
        <is>
          <t>27BBBBB05232Z5</t>
        </is>
      </c>
      <c r="B5232" t="inlineStr">
        <is>
          <t>Aug-2017</t>
        </is>
      </c>
      <c r="C5232" s="2" t="n">
        <v>43736</v>
      </c>
      <c r="D5232" t="inlineStr">
        <is>
          <t>NIL</t>
        </is>
      </c>
      <c r="E5232" t="n">
        <v>2079</v>
      </c>
    </row>
    <row r="5233">
      <c r="A5233" t="inlineStr">
        <is>
          <t>27BBBBB05233Z5</t>
        </is>
      </c>
      <c r="B5233" t="inlineStr">
        <is>
          <t>Jan-2021</t>
        </is>
      </c>
      <c r="C5233" s="2" t="n">
        <v>44872</v>
      </c>
      <c r="D5233" t="inlineStr">
        <is>
          <t>NIL</t>
        </is>
      </c>
      <c r="E5233" t="n">
        <v>1124</v>
      </c>
    </row>
    <row r="5234">
      <c r="A5234" t="inlineStr">
        <is>
          <t>27BBBBB05234Z5</t>
        </is>
      </c>
      <c r="B5234" t="inlineStr">
        <is>
          <t>Nov-2017</t>
        </is>
      </c>
      <c r="C5234" s="2" t="n">
        <v>43514</v>
      </c>
      <c r="D5234" t="inlineStr">
        <is>
          <t>NON-NIL</t>
        </is>
      </c>
      <c r="E5234" t="n">
        <v>408</v>
      </c>
    </row>
    <row r="5235">
      <c r="A5235" t="inlineStr">
        <is>
          <t>27BBBBB05235Z5</t>
        </is>
      </c>
      <c r="B5235" t="inlineStr">
        <is>
          <t>May-2020</t>
        </is>
      </c>
      <c r="C5235" s="2" t="n">
        <v>43988</v>
      </c>
      <c r="D5235" t="inlineStr">
        <is>
          <t>NON-NIL</t>
        </is>
      </c>
      <c r="E5235" t="n">
        <v>2152</v>
      </c>
    </row>
    <row r="5236">
      <c r="A5236" t="inlineStr">
        <is>
          <t>27BBBBB05236Z5</t>
        </is>
      </c>
      <c r="B5236" t="inlineStr">
        <is>
          <t>Jan-2021</t>
        </is>
      </c>
      <c r="C5236" s="2" t="n">
        <v>45752</v>
      </c>
      <c r="D5236" t="inlineStr">
        <is>
          <t>NIL</t>
        </is>
      </c>
      <c r="E5236" t="n">
        <v>2395</v>
      </c>
    </row>
    <row r="5237">
      <c r="A5237" t="inlineStr">
        <is>
          <t>27BBBBB05237Z5</t>
        </is>
      </c>
      <c r="B5237" t="inlineStr">
        <is>
          <t>Dec-2017</t>
        </is>
      </c>
      <c r="C5237" s="2" t="n">
        <v>43066</v>
      </c>
      <c r="D5237" t="inlineStr">
        <is>
          <t>NIL</t>
        </is>
      </c>
      <c r="E5237" t="n">
        <v>1279</v>
      </c>
    </row>
    <row r="5238">
      <c r="A5238" t="inlineStr">
        <is>
          <t>27BBBBB05238Z5</t>
        </is>
      </c>
      <c r="B5238" t="inlineStr">
        <is>
          <t>Dec-2022</t>
        </is>
      </c>
      <c r="C5238" s="2" t="n">
        <v>44475</v>
      </c>
      <c r="D5238" t="inlineStr">
        <is>
          <t>NON-NIL</t>
        </is>
      </c>
      <c r="E5238" t="n">
        <v>2029</v>
      </c>
    </row>
    <row r="5239">
      <c r="A5239" t="inlineStr">
        <is>
          <t>27BBBBB05239Z5</t>
        </is>
      </c>
      <c r="B5239" t="inlineStr">
        <is>
          <t>Dec-2018</t>
        </is>
      </c>
      <c r="C5239" s="2" t="n">
        <v>43625</v>
      </c>
      <c r="D5239" t="inlineStr">
        <is>
          <t>NON-NIL</t>
        </is>
      </c>
      <c r="E5239" t="n">
        <v>957</v>
      </c>
    </row>
    <row r="5240">
      <c r="A5240" t="inlineStr">
        <is>
          <t>27BBBBB05240Z5</t>
        </is>
      </c>
      <c r="B5240" t="inlineStr">
        <is>
          <t>Jan-2018</t>
        </is>
      </c>
      <c r="C5240" s="2" t="n">
        <v>44560</v>
      </c>
      <c r="D5240" t="inlineStr">
        <is>
          <t>NON-NIL</t>
        </is>
      </c>
      <c r="E5240" t="n">
        <v>1583</v>
      </c>
    </row>
    <row r="5241">
      <c r="A5241" t="inlineStr">
        <is>
          <t>27BBBBB05241Z5</t>
        </is>
      </c>
      <c r="B5241" t="inlineStr">
        <is>
          <t>Jul-2018</t>
        </is>
      </c>
      <c r="C5241" s="2" t="n">
        <v>43905</v>
      </c>
      <c r="D5241" t="inlineStr">
        <is>
          <t>NON-NIL</t>
        </is>
      </c>
      <c r="E5241" t="n">
        <v>1635</v>
      </c>
    </row>
    <row r="5242">
      <c r="A5242" t="inlineStr">
        <is>
          <t>27BBBBB05242Z5</t>
        </is>
      </c>
      <c r="B5242" t="inlineStr">
        <is>
          <t>Nov-2018</t>
        </is>
      </c>
      <c r="C5242" s="2" t="n">
        <v>43180</v>
      </c>
      <c r="D5242" t="inlineStr">
        <is>
          <t>NIL</t>
        </is>
      </c>
      <c r="E5242" t="n">
        <v>223</v>
      </c>
    </row>
    <row r="5243">
      <c r="A5243" t="inlineStr">
        <is>
          <t>27BBBBB05243Z5</t>
        </is>
      </c>
      <c r="B5243" t="inlineStr">
        <is>
          <t>Jul-2017</t>
        </is>
      </c>
      <c r="C5243" s="2" t="n">
        <v>44432</v>
      </c>
      <c r="D5243" t="inlineStr">
        <is>
          <t>NON-NIL</t>
        </is>
      </c>
      <c r="E5243" t="n">
        <v>855</v>
      </c>
    </row>
    <row r="5244">
      <c r="A5244" t="inlineStr">
        <is>
          <t>27BBBBB05244Z5</t>
        </is>
      </c>
      <c r="B5244" t="inlineStr">
        <is>
          <t>Oct-2018</t>
        </is>
      </c>
      <c r="C5244" s="2" t="n">
        <v>42946</v>
      </c>
      <c r="D5244" t="inlineStr">
        <is>
          <t>NIL</t>
        </is>
      </c>
      <c r="E5244" t="n">
        <v>2068</v>
      </c>
    </row>
    <row r="5245">
      <c r="A5245" t="inlineStr">
        <is>
          <t>27BBBBB05245Z5</t>
        </is>
      </c>
      <c r="B5245" t="inlineStr">
        <is>
          <t>Sep-2018</t>
        </is>
      </c>
      <c r="C5245" s="2" t="n">
        <v>44545</v>
      </c>
      <c r="D5245" t="inlineStr">
        <is>
          <t>NON-NIL</t>
        </is>
      </c>
      <c r="E5245" t="n">
        <v>1190</v>
      </c>
    </row>
    <row r="5246">
      <c r="A5246" t="inlineStr">
        <is>
          <t>27BBBBB05246Z5</t>
        </is>
      </c>
      <c r="B5246" t="inlineStr">
        <is>
          <t>Dec-2024</t>
        </is>
      </c>
      <c r="C5246" s="2" t="n">
        <v>45237</v>
      </c>
      <c r="D5246" t="inlineStr">
        <is>
          <t>NON-NIL</t>
        </is>
      </c>
      <c r="E5246" t="n">
        <v>951</v>
      </c>
    </row>
    <row r="5247">
      <c r="A5247" t="inlineStr">
        <is>
          <t>27BBBBB05247Z5</t>
        </is>
      </c>
      <c r="B5247" t="inlineStr">
        <is>
          <t>Nov-2018</t>
        </is>
      </c>
      <c r="C5247" s="2" t="n">
        <v>44276</v>
      </c>
      <c r="D5247" t="inlineStr">
        <is>
          <t>NON-NIL</t>
        </is>
      </c>
      <c r="E5247" t="n">
        <v>69</v>
      </c>
    </row>
    <row r="5248">
      <c r="A5248" t="inlineStr">
        <is>
          <t>27BBBBB05248Z5</t>
        </is>
      </c>
      <c r="B5248" t="inlineStr">
        <is>
          <t>Nov-2018</t>
        </is>
      </c>
      <c r="C5248" s="2" t="n">
        <v>43978</v>
      </c>
      <c r="D5248" t="inlineStr">
        <is>
          <t>NIL</t>
        </is>
      </c>
      <c r="E5248" t="n">
        <v>1523</v>
      </c>
    </row>
    <row r="5249">
      <c r="A5249" t="inlineStr">
        <is>
          <t>27BBBBB05249Z5</t>
        </is>
      </c>
      <c r="B5249" t="inlineStr">
        <is>
          <t>Jun-2020</t>
        </is>
      </c>
      <c r="C5249" s="2" t="n">
        <v>44754</v>
      </c>
      <c r="D5249" t="inlineStr">
        <is>
          <t>NIL</t>
        </is>
      </c>
      <c r="E5249" t="n">
        <v>1157</v>
      </c>
    </row>
    <row r="5250">
      <c r="A5250" t="inlineStr">
        <is>
          <t>27BBBBB05250Z5</t>
        </is>
      </c>
      <c r="B5250" t="inlineStr">
        <is>
          <t>Mar-2018</t>
        </is>
      </c>
      <c r="C5250" s="2" t="n">
        <v>44422</v>
      </c>
      <c r="D5250" t="inlineStr">
        <is>
          <t>NON-NIL</t>
        </is>
      </c>
      <c r="E5250" t="n">
        <v>1426</v>
      </c>
    </row>
    <row r="5251">
      <c r="A5251" t="inlineStr">
        <is>
          <t>27BBBBB05251Z5</t>
        </is>
      </c>
      <c r="B5251" t="inlineStr">
        <is>
          <t>Mar-2018</t>
        </is>
      </c>
      <c r="C5251" s="2" t="n">
        <v>43252</v>
      </c>
      <c r="D5251" t="inlineStr">
        <is>
          <t>NIL</t>
        </is>
      </c>
      <c r="E5251" t="n">
        <v>1504</v>
      </c>
    </row>
    <row r="5252">
      <c r="A5252" t="inlineStr">
        <is>
          <t>27BBBBB05252Z5</t>
        </is>
      </c>
      <c r="B5252" t="inlineStr">
        <is>
          <t>May-2020</t>
        </is>
      </c>
      <c r="C5252" s="2" t="n">
        <v>44879</v>
      </c>
      <c r="D5252" t="inlineStr">
        <is>
          <t>NON-NIL</t>
        </is>
      </c>
      <c r="E5252" t="n">
        <v>2575</v>
      </c>
    </row>
    <row r="5253">
      <c r="A5253" t="inlineStr">
        <is>
          <t>27BBBBB05253Z5</t>
        </is>
      </c>
      <c r="B5253" t="inlineStr">
        <is>
          <t>Mar-2018</t>
        </is>
      </c>
      <c r="C5253" s="2" t="n">
        <v>43269</v>
      </c>
      <c r="D5253" t="inlineStr">
        <is>
          <t>NIL</t>
        </is>
      </c>
      <c r="E5253" t="n">
        <v>192</v>
      </c>
    </row>
    <row r="5254">
      <c r="A5254" t="inlineStr">
        <is>
          <t>27BBBBB05254Z5</t>
        </is>
      </c>
      <c r="B5254" t="inlineStr">
        <is>
          <t>Mar-2020</t>
        </is>
      </c>
      <c r="C5254" s="2" t="n">
        <v>44376</v>
      </c>
      <c r="D5254" t="inlineStr">
        <is>
          <t>NIL</t>
        </is>
      </c>
      <c r="E5254" t="n">
        <v>2227</v>
      </c>
    </row>
    <row r="5255">
      <c r="A5255" t="inlineStr">
        <is>
          <t>27BBBBB05255Z5</t>
        </is>
      </c>
      <c r="B5255" t="inlineStr">
        <is>
          <t>Aug-2017</t>
        </is>
      </c>
      <c r="C5255" s="2" t="n">
        <v>43630</v>
      </c>
      <c r="D5255" t="inlineStr">
        <is>
          <t>NON-NIL</t>
        </is>
      </c>
      <c r="E5255" t="n">
        <v>2810</v>
      </c>
    </row>
    <row r="5256">
      <c r="A5256" t="inlineStr">
        <is>
          <t>27BBBBB05256Z5</t>
        </is>
      </c>
      <c r="B5256" t="inlineStr">
        <is>
          <t>Dec-2022</t>
        </is>
      </c>
      <c r="C5256" s="2" t="n">
        <v>45330</v>
      </c>
      <c r="D5256" t="inlineStr">
        <is>
          <t>NON-NIL</t>
        </is>
      </c>
      <c r="E5256" t="n">
        <v>2092</v>
      </c>
    </row>
    <row r="5257">
      <c r="A5257" t="inlineStr">
        <is>
          <t>27BBBBB05257Z5</t>
        </is>
      </c>
      <c r="B5257" t="inlineStr">
        <is>
          <t>Mar-2020</t>
        </is>
      </c>
      <c r="C5257" s="2" t="n">
        <v>44877</v>
      </c>
      <c r="D5257" t="inlineStr">
        <is>
          <t>NIL</t>
        </is>
      </c>
      <c r="E5257" t="n">
        <v>27</v>
      </c>
    </row>
    <row r="5258">
      <c r="A5258" t="inlineStr">
        <is>
          <t>27BBBBB05258Z5</t>
        </is>
      </c>
      <c r="B5258" t="inlineStr">
        <is>
          <t>Oct-2017</t>
        </is>
      </c>
      <c r="C5258" s="2" t="n">
        <v>43984</v>
      </c>
      <c r="D5258" t="inlineStr">
        <is>
          <t>NON-NIL</t>
        </is>
      </c>
      <c r="E5258" t="n">
        <v>202</v>
      </c>
    </row>
    <row r="5259">
      <c r="A5259" t="inlineStr">
        <is>
          <t>27BBBBB05259Z5</t>
        </is>
      </c>
      <c r="B5259" t="inlineStr">
        <is>
          <t>Dec-2018</t>
        </is>
      </c>
      <c r="C5259" s="2" t="n">
        <v>42975</v>
      </c>
      <c r="D5259" t="inlineStr">
        <is>
          <t>NON-NIL</t>
        </is>
      </c>
      <c r="E5259" t="n">
        <v>1505</v>
      </c>
    </row>
    <row r="5260">
      <c r="A5260" t="inlineStr">
        <is>
          <t>27BBBBB05260Z5</t>
        </is>
      </c>
      <c r="B5260" t="inlineStr">
        <is>
          <t>Dec-2022</t>
        </is>
      </c>
      <c r="C5260" s="2" t="n">
        <v>44367</v>
      </c>
      <c r="D5260" t="inlineStr">
        <is>
          <t>NIL</t>
        </is>
      </c>
      <c r="E5260" t="n">
        <v>2701</v>
      </c>
    </row>
    <row r="5261">
      <c r="A5261" t="inlineStr">
        <is>
          <t>27BBBBB05261Z5</t>
        </is>
      </c>
      <c r="B5261" t="inlineStr">
        <is>
          <t>Jul-2020</t>
        </is>
      </c>
      <c r="C5261" s="2" t="n">
        <v>44569</v>
      </c>
      <c r="D5261" t="inlineStr">
        <is>
          <t>NON-NIL</t>
        </is>
      </c>
      <c r="E5261" t="n">
        <v>1849</v>
      </c>
    </row>
    <row r="5262">
      <c r="A5262" t="inlineStr">
        <is>
          <t>27BBBBB05262Z5</t>
        </is>
      </c>
      <c r="B5262" t="inlineStr">
        <is>
          <t>Mar-2021</t>
        </is>
      </c>
      <c r="C5262" s="2" t="n">
        <v>45201</v>
      </c>
      <c r="D5262" t="inlineStr">
        <is>
          <t>NIL</t>
        </is>
      </c>
      <c r="E5262" t="n">
        <v>118</v>
      </c>
    </row>
    <row r="5263">
      <c r="A5263" t="inlineStr">
        <is>
          <t>27BBBBB05263Z5</t>
        </is>
      </c>
      <c r="B5263" t="inlineStr">
        <is>
          <t>Dec-2024</t>
        </is>
      </c>
      <c r="C5263" s="2" t="n">
        <v>44498</v>
      </c>
      <c r="D5263" t="inlineStr">
        <is>
          <t>NIL</t>
        </is>
      </c>
      <c r="E5263" t="n">
        <v>1962</v>
      </c>
    </row>
    <row r="5264">
      <c r="A5264" t="inlineStr">
        <is>
          <t>27BBBBB05264Z5</t>
        </is>
      </c>
      <c r="B5264" t="inlineStr">
        <is>
          <t>Aug-2017</t>
        </is>
      </c>
      <c r="C5264" s="2" t="n">
        <v>44125</v>
      </c>
      <c r="D5264" t="inlineStr">
        <is>
          <t>NIL</t>
        </is>
      </c>
      <c r="E5264" t="n">
        <v>2466</v>
      </c>
    </row>
    <row r="5265">
      <c r="A5265" t="inlineStr">
        <is>
          <t>27BBBBB05265Z5</t>
        </is>
      </c>
      <c r="B5265" t="inlineStr">
        <is>
          <t>Aug-2018</t>
        </is>
      </c>
      <c r="C5265" s="2" t="n">
        <v>44453</v>
      </c>
      <c r="D5265" t="inlineStr">
        <is>
          <t>NON-NIL</t>
        </is>
      </c>
      <c r="E5265" t="n">
        <v>1194</v>
      </c>
    </row>
    <row r="5266">
      <c r="A5266" t="inlineStr">
        <is>
          <t>27BBBBB05266Z5</t>
        </is>
      </c>
      <c r="B5266" t="inlineStr">
        <is>
          <t>Jan-2021</t>
        </is>
      </c>
      <c r="C5266" s="2" t="n">
        <v>45618</v>
      </c>
      <c r="D5266" t="inlineStr">
        <is>
          <t>NON-NIL</t>
        </is>
      </c>
      <c r="E5266" t="n">
        <v>2588</v>
      </c>
    </row>
    <row r="5267">
      <c r="A5267" t="inlineStr">
        <is>
          <t>27BBBBB05267Z5</t>
        </is>
      </c>
      <c r="B5267" t="inlineStr">
        <is>
          <t>Jan-2018</t>
        </is>
      </c>
      <c r="C5267" s="2" t="n">
        <v>44313</v>
      </c>
      <c r="D5267" t="inlineStr">
        <is>
          <t>NIL</t>
        </is>
      </c>
      <c r="E5267" t="n">
        <v>2104</v>
      </c>
    </row>
    <row r="5268">
      <c r="A5268" t="inlineStr">
        <is>
          <t>27BBBBB05268Z5</t>
        </is>
      </c>
      <c r="B5268" t="inlineStr">
        <is>
          <t>May-2020</t>
        </is>
      </c>
      <c r="C5268" s="2" t="n">
        <v>43847</v>
      </c>
      <c r="D5268" t="inlineStr">
        <is>
          <t>NON-NIL</t>
        </is>
      </c>
      <c r="E5268" t="n">
        <v>889</v>
      </c>
    </row>
    <row r="5269">
      <c r="A5269" t="inlineStr">
        <is>
          <t>27BBBBB05269Z5</t>
        </is>
      </c>
      <c r="B5269" t="inlineStr">
        <is>
          <t>Aug-2018</t>
        </is>
      </c>
      <c r="C5269" s="2" t="n">
        <v>43390</v>
      </c>
      <c r="D5269" t="inlineStr">
        <is>
          <t>NON-NIL</t>
        </is>
      </c>
      <c r="E5269" t="n">
        <v>1817</v>
      </c>
    </row>
    <row r="5270">
      <c r="A5270" t="inlineStr">
        <is>
          <t>27BBBBB05270Z5</t>
        </is>
      </c>
      <c r="B5270" t="inlineStr">
        <is>
          <t>Dec-2022</t>
        </is>
      </c>
      <c r="C5270" s="2" t="n">
        <v>43791</v>
      </c>
      <c r="D5270" t="inlineStr">
        <is>
          <t>NON-NIL</t>
        </is>
      </c>
      <c r="E5270" t="n">
        <v>2029</v>
      </c>
    </row>
    <row r="5271">
      <c r="A5271" t="inlineStr">
        <is>
          <t>27BBBBB05271Z5</t>
        </is>
      </c>
      <c r="B5271" t="inlineStr">
        <is>
          <t>Nov-2018</t>
        </is>
      </c>
      <c r="C5271" s="2" t="n">
        <v>43000</v>
      </c>
      <c r="D5271" t="inlineStr">
        <is>
          <t>NON-NIL</t>
        </is>
      </c>
      <c r="E5271" t="n">
        <v>1818</v>
      </c>
    </row>
    <row r="5272">
      <c r="A5272" t="inlineStr">
        <is>
          <t>27BBBBB05272Z5</t>
        </is>
      </c>
      <c r="B5272" t="inlineStr">
        <is>
          <t>May-2020</t>
        </is>
      </c>
      <c r="C5272" s="2" t="n">
        <v>43957</v>
      </c>
      <c r="D5272" t="inlineStr">
        <is>
          <t>NON-NIL</t>
        </is>
      </c>
      <c r="E5272" t="n">
        <v>2581</v>
      </c>
    </row>
    <row r="5273">
      <c r="A5273" t="inlineStr">
        <is>
          <t>27BBBBB05273Z5</t>
        </is>
      </c>
      <c r="B5273" t="inlineStr">
        <is>
          <t>Jun-2020</t>
        </is>
      </c>
      <c r="C5273" s="2" t="n">
        <v>44465</v>
      </c>
      <c r="D5273" t="inlineStr">
        <is>
          <t>NON-NIL</t>
        </is>
      </c>
      <c r="E5273" t="n">
        <v>1425</v>
      </c>
    </row>
    <row r="5274">
      <c r="A5274" t="inlineStr">
        <is>
          <t>27BBBBB05274Z5</t>
        </is>
      </c>
      <c r="B5274" t="inlineStr">
        <is>
          <t>Dec-2022</t>
        </is>
      </c>
      <c r="C5274" s="2" t="n">
        <v>44003</v>
      </c>
      <c r="D5274" t="inlineStr">
        <is>
          <t>NIL</t>
        </is>
      </c>
      <c r="E5274" t="n">
        <v>1518</v>
      </c>
    </row>
    <row r="5275">
      <c r="A5275" t="inlineStr">
        <is>
          <t>27BBBBB05275Z5</t>
        </is>
      </c>
      <c r="B5275" t="inlineStr">
        <is>
          <t>Nov-2018</t>
        </is>
      </c>
      <c r="C5275" s="2" t="n">
        <v>43298</v>
      </c>
      <c r="D5275" t="inlineStr">
        <is>
          <t>NON-NIL</t>
        </is>
      </c>
      <c r="E5275" t="n">
        <v>2377</v>
      </c>
    </row>
    <row r="5276">
      <c r="A5276" t="inlineStr">
        <is>
          <t>27BBBBB05276Z5</t>
        </is>
      </c>
      <c r="B5276" t="inlineStr">
        <is>
          <t>Oct-2017</t>
        </is>
      </c>
      <c r="C5276" s="2" t="n">
        <v>43504</v>
      </c>
      <c r="D5276" t="inlineStr">
        <is>
          <t>NIL</t>
        </is>
      </c>
      <c r="E5276" t="n">
        <v>2287</v>
      </c>
    </row>
    <row r="5277">
      <c r="A5277" t="inlineStr">
        <is>
          <t>27BBBBB05277Z5</t>
        </is>
      </c>
      <c r="B5277" t="inlineStr">
        <is>
          <t>Sep-2018</t>
        </is>
      </c>
      <c r="C5277" s="2" t="n">
        <v>43447</v>
      </c>
      <c r="D5277" t="inlineStr">
        <is>
          <t>NON-NIL</t>
        </is>
      </c>
      <c r="E5277" t="n">
        <v>2342</v>
      </c>
    </row>
    <row r="5278">
      <c r="A5278" t="inlineStr">
        <is>
          <t>27BBBBB05278Z5</t>
        </is>
      </c>
      <c r="B5278" t="inlineStr">
        <is>
          <t>Dec-2017</t>
        </is>
      </c>
      <c r="C5278" s="2" t="n">
        <v>43115</v>
      </c>
      <c r="D5278" t="inlineStr">
        <is>
          <t>NIL</t>
        </is>
      </c>
      <c r="E5278" t="n">
        <v>400</v>
      </c>
    </row>
    <row r="5279">
      <c r="A5279" t="inlineStr">
        <is>
          <t>27BBBBB05279Z5</t>
        </is>
      </c>
      <c r="B5279" t="inlineStr">
        <is>
          <t>Mar-2021</t>
        </is>
      </c>
      <c r="C5279" s="2" t="n">
        <v>43628</v>
      </c>
      <c r="D5279" t="inlineStr">
        <is>
          <t>NON-NIL</t>
        </is>
      </c>
      <c r="E5279" t="n">
        <v>2135</v>
      </c>
    </row>
    <row r="5280">
      <c r="A5280" t="inlineStr">
        <is>
          <t>27BBBBB05280Z5</t>
        </is>
      </c>
      <c r="B5280" t="inlineStr">
        <is>
          <t>Oct-2018</t>
        </is>
      </c>
      <c r="C5280" s="2" t="n">
        <v>43713</v>
      </c>
      <c r="D5280" t="inlineStr">
        <is>
          <t>NON-NIL</t>
        </is>
      </c>
      <c r="E5280" t="n">
        <v>2463</v>
      </c>
    </row>
    <row r="5281">
      <c r="A5281" t="inlineStr">
        <is>
          <t>27BBBBB05281Z5</t>
        </is>
      </c>
      <c r="B5281" t="inlineStr">
        <is>
          <t>Jan-2021</t>
        </is>
      </c>
      <c r="C5281" s="2" t="n">
        <v>44518</v>
      </c>
      <c r="D5281" t="inlineStr">
        <is>
          <t>NON-NIL</t>
        </is>
      </c>
      <c r="E5281" t="n">
        <v>268</v>
      </c>
    </row>
    <row r="5282">
      <c r="A5282" t="inlineStr">
        <is>
          <t>27BBBBB05282Z5</t>
        </is>
      </c>
      <c r="B5282" t="inlineStr">
        <is>
          <t>Dec-2018</t>
        </is>
      </c>
      <c r="C5282" s="2" t="n">
        <v>43489</v>
      </c>
      <c r="D5282" t="inlineStr">
        <is>
          <t>NIL</t>
        </is>
      </c>
      <c r="E5282" t="n">
        <v>1573</v>
      </c>
    </row>
    <row r="5283">
      <c r="A5283" t="inlineStr">
        <is>
          <t>27BBBBB05283Z5</t>
        </is>
      </c>
      <c r="B5283" t="inlineStr">
        <is>
          <t>May-2018</t>
        </is>
      </c>
      <c r="C5283" s="2" t="n">
        <v>44418</v>
      </c>
      <c r="D5283" t="inlineStr">
        <is>
          <t>NON-NIL</t>
        </is>
      </c>
      <c r="E5283" t="n">
        <v>256</v>
      </c>
    </row>
    <row r="5284">
      <c r="A5284" t="inlineStr">
        <is>
          <t>27BBBBB05284Z5</t>
        </is>
      </c>
      <c r="B5284" t="inlineStr">
        <is>
          <t>Mar-2018</t>
        </is>
      </c>
      <c r="C5284" s="2" t="n">
        <v>43129</v>
      </c>
      <c r="D5284" t="inlineStr">
        <is>
          <t>NON-NIL</t>
        </is>
      </c>
      <c r="E5284" t="n">
        <v>2259</v>
      </c>
    </row>
    <row r="5285">
      <c r="A5285" t="inlineStr">
        <is>
          <t>27BBBBB05285Z5</t>
        </is>
      </c>
      <c r="B5285" t="inlineStr">
        <is>
          <t>Jun-2020</t>
        </is>
      </c>
      <c r="C5285" s="2" t="n">
        <v>44757</v>
      </c>
      <c r="D5285" t="inlineStr">
        <is>
          <t>NON-NIL</t>
        </is>
      </c>
      <c r="E5285" t="n">
        <v>2747</v>
      </c>
    </row>
    <row r="5286">
      <c r="A5286" t="inlineStr">
        <is>
          <t>27BBBBB05286Z5</t>
        </is>
      </c>
      <c r="B5286" t="inlineStr">
        <is>
          <t>Jul-2020</t>
        </is>
      </c>
      <c r="C5286" s="2" t="n">
        <v>44073</v>
      </c>
      <c r="D5286" t="inlineStr">
        <is>
          <t>NIL</t>
        </is>
      </c>
      <c r="E5286" t="n">
        <v>1338</v>
      </c>
    </row>
    <row r="5287">
      <c r="A5287" t="inlineStr">
        <is>
          <t>27BBBBB05287Z5</t>
        </is>
      </c>
      <c r="B5287" t="inlineStr">
        <is>
          <t>Jul-2018</t>
        </is>
      </c>
      <c r="C5287" s="2" t="n">
        <v>43759</v>
      </c>
      <c r="D5287" t="inlineStr">
        <is>
          <t>NIL</t>
        </is>
      </c>
      <c r="E5287" t="n">
        <v>531</v>
      </c>
    </row>
    <row r="5288">
      <c r="A5288" t="inlineStr">
        <is>
          <t>27BBBBB05288Z5</t>
        </is>
      </c>
      <c r="B5288" t="inlineStr">
        <is>
          <t>Aug-2018</t>
        </is>
      </c>
      <c r="C5288" s="2" t="n">
        <v>43282</v>
      </c>
      <c r="D5288" t="inlineStr">
        <is>
          <t>NON-NIL</t>
        </is>
      </c>
      <c r="E5288" t="n">
        <v>1732</v>
      </c>
    </row>
    <row r="5289">
      <c r="A5289" t="inlineStr">
        <is>
          <t>27BBBBB05289Z5</t>
        </is>
      </c>
      <c r="B5289" t="inlineStr">
        <is>
          <t>Jan-2018</t>
        </is>
      </c>
      <c r="C5289" s="2" t="n">
        <v>42982</v>
      </c>
      <c r="D5289" t="inlineStr">
        <is>
          <t>NIL</t>
        </is>
      </c>
      <c r="E5289" t="n">
        <v>1393</v>
      </c>
    </row>
    <row r="5290">
      <c r="A5290" t="inlineStr">
        <is>
          <t>27BBBBB05290Z5</t>
        </is>
      </c>
      <c r="B5290" t="inlineStr">
        <is>
          <t>Mar-2021</t>
        </is>
      </c>
      <c r="C5290" s="2" t="n">
        <v>45484</v>
      </c>
      <c r="D5290" t="inlineStr">
        <is>
          <t>NON-NIL</t>
        </is>
      </c>
      <c r="E5290" t="n">
        <v>1380</v>
      </c>
    </row>
    <row r="5291">
      <c r="A5291" t="inlineStr">
        <is>
          <t>27BBBBB05291Z5</t>
        </is>
      </c>
      <c r="B5291" t="inlineStr">
        <is>
          <t>Dec-2024</t>
        </is>
      </c>
      <c r="C5291" s="2" t="n">
        <v>44419</v>
      </c>
      <c r="D5291" t="inlineStr">
        <is>
          <t>NON-NIL</t>
        </is>
      </c>
      <c r="E5291" t="n">
        <v>1968</v>
      </c>
    </row>
    <row r="5292">
      <c r="A5292" t="inlineStr">
        <is>
          <t>27BBBBB05292Z5</t>
        </is>
      </c>
      <c r="B5292" t="inlineStr">
        <is>
          <t>Dec-2018</t>
        </is>
      </c>
      <c r="C5292" s="2" t="n">
        <v>43702</v>
      </c>
      <c r="D5292" t="inlineStr">
        <is>
          <t>NON-NIL</t>
        </is>
      </c>
      <c r="E5292" t="n">
        <v>1601</v>
      </c>
    </row>
    <row r="5293">
      <c r="A5293" t="inlineStr">
        <is>
          <t>27BBBBB05293Z5</t>
        </is>
      </c>
      <c r="B5293" t="inlineStr">
        <is>
          <t>Sep-2018</t>
        </is>
      </c>
      <c r="C5293" s="2" t="n">
        <v>43354</v>
      </c>
      <c r="D5293" t="inlineStr">
        <is>
          <t>NON-NIL</t>
        </is>
      </c>
      <c r="E5293" t="n">
        <v>115</v>
      </c>
    </row>
    <row r="5294">
      <c r="A5294" t="inlineStr">
        <is>
          <t>27BBBBB05294Z5</t>
        </is>
      </c>
      <c r="B5294" t="inlineStr">
        <is>
          <t>Feb-2018</t>
        </is>
      </c>
      <c r="C5294" s="2" t="n">
        <v>43214</v>
      </c>
      <c r="D5294" t="inlineStr">
        <is>
          <t>NIL</t>
        </is>
      </c>
      <c r="E5294" t="n">
        <v>455</v>
      </c>
    </row>
    <row r="5295">
      <c r="A5295" t="inlineStr">
        <is>
          <t>27BBBBB05295Z5</t>
        </is>
      </c>
      <c r="B5295" t="inlineStr">
        <is>
          <t>May-2020</t>
        </is>
      </c>
      <c r="C5295" s="2" t="n">
        <v>44171</v>
      </c>
      <c r="D5295" t="inlineStr">
        <is>
          <t>NON-NIL</t>
        </is>
      </c>
      <c r="E5295" t="n">
        <v>1317</v>
      </c>
    </row>
    <row r="5296">
      <c r="A5296" t="inlineStr">
        <is>
          <t>27BBBBB05296Z5</t>
        </is>
      </c>
      <c r="B5296" t="inlineStr">
        <is>
          <t>Dec-2018</t>
        </is>
      </c>
      <c r="C5296" s="2" t="n">
        <v>43796</v>
      </c>
      <c r="D5296" t="inlineStr">
        <is>
          <t>NIL</t>
        </is>
      </c>
      <c r="E5296" t="n">
        <v>1466</v>
      </c>
    </row>
    <row r="5297">
      <c r="A5297" t="inlineStr">
        <is>
          <t>27BBBBB05297Z5</t>
        </is>
      </c>
      <c r="B5297" t="inlineStr">
        <is>
          <t>Mar-2018</t>
        </is>
      </c>
      <c r="C5297" s="2" t="n">
        <v>43905</v>
      </c>
      <c r="D5297" t="inlineStr">
        <is>
          <t>NON-NIL</t>
        </is>
      </c>
      <c r="E5297" t="n">
        <v>1087</v>
      </c>
    </row>
    <row r="5298">
      <c r="A5298" t="inlineStr">
        <is>
          <t>27BBBBB05298Z5</t>
        </is>
      </c>
      <c r="B5298" t="inlineStr">
        <is>
          <t>Jul-2020</t>
        </is>
      </c>
      <c r="C5298" s="2" t="n">
        <v>44038</v>
      </c>
      <c r="D5298" t="inlineStr">
        <is>
          <t>NON-NIL</t>
        </is>
      </c>
      <c r="E5298" t="n">
        <v>271</v>
      </c>
    </row>
    <row r="5299">
      <c r="A5299" t="inlineStr">
        <is>
          <t>27BBBBB05299Z5</t>
        </is>
      </c>
      <c r="B5299" t="inlineStr">
        <is>
          <t>Apr-2020</t>
        </is>
      </c>
      <c r="C5299" s="2" t="n">
        <v>44672</v>
      </c>
      <c r="D5299" t="inlineStr">
        <is>
          <t>NIL</t>
        </is>
      </c>
      <c r="E5299" t="n">
        <v>2828</v>
      </c>
    </row>
    <row r="5300">
      <c r="A5300" t="inlineStr">
        <is>
          <t>27BBBBB05300Z5</t>
        </is>
      </c>
      <c r="B5300" t="inlineStr">
        <is>
          <t>Dec-2017</t>
        </is>
      </c>
      <c r="C5300" s="2" t="n">
        <v>43901</v>
      </c>
      <c r="D5300" t="inlineStr">
        <is>
          <t>NON-NIL</t>
        </is>
      </c>
      <c r="E5300" t="n">
        <v>578</v>
      </c>
    </row>
    <row r="5301">
      <c r="A5301" t="inlineStr">
        <is>
          <t>27BBBBB05301Z5</t>
        </is>
      </c>
      <c r="B5301" t="inlineStr">
        <is>
          <t>Dec-2022</t>
        </is>
      </c>
      <c r="C5301" s="2" t="n">
        <v>45649</v>
      </c>
      <c r="D5301" t="inlineStr">
        <is>
          <t>NIL</t>
        </is>
      </c>
      <c r="E5301" t="n">
        <v>2093</v>
      </c>
    </row>
    <row r="5302">
      <c r="A5302" t="inlineStr">
        <is>
          <t>27BBBBB05302Z5</t>
        </is>
      </c>
      <c r="B5302" t="inlineStr">
        <is>
          <t>Nov-2017</t>
        </is>
      </c>
      <c r="C5302" s="2" t="n">
        <v>43366</v>
      </c>
      <c r="D5302" t="inlineStr">
        <is>
          <t>NON-NIL</t>
        </is>
      </c>
      <c r="E5302" t="n">
        <v>448</v>
      </c>
    </row>
    <row r="5303">
      <c r="A5303" t="inlineStr">
        <is>
          <t>27BBBBB05303Z5</t>
        </is>
      </c>
      <c r="B5303" t="inlineStr">
        <is>
          <t>Jul-2017</t>
        </is>
      </c>
      <c r="C5303" s="2" t="n">
        <v>43682</v>
      </c>
      <c r="D5303" t="inlineStr">
        <is>
          <t>NON-NIL</t>
        </is>
      </c>
      <c r="E5303" t="n">
        <v>46</v>
      </c>
    </row>
    <row r="5304">
      <c r="A5304" t="inlineStr">
        <is>
          <t>27BBBBB05304Z5</t>
        </is>
      </c>
      <c r="B5304" t="inlineStr">
        <is>
          <t>Dec-2017</t>
        </is>
      </c>
      <c r="C5304" s="2" t="n">
        <v>43321</v>
      </c>
      <c r="D5304" t="inlineStr">
        <is>
          <t>NIL</t>
        </is>
      </c>
      <c r="E5304" t="n">
        <v>2827</v>
      </c>
    </row>
    <row r="5305">
      <c r="A5305" t="inlineStr">
        <is>
          <t>27BBBBB05305Z5</t>
        </is>
      </c>
      <c r="B5305" t="inlineStr">
        <is>
          <t>Apr-2020</t>
        </is>
      </c>
      <c r="C5305" s="2" t="n">
        <v>44874</v>
      </c>
      <c r="D5305" t="inlineStr">
        <is>
          <t>NIL</t>
        </is>
      </c>
      <c r="E5305" t="n">
        <v>1132</v>
      </c>
    </row>
    <row r="5306">
      <c r="A5306" t="inlineStr">
        <is>
          <t>27BBBBB05306Z5</t>
        </is>
      </c>
      <c r="B5306" t="inlineStr">
        <is>
          <t>Sep-2018</t>
        </is>
      </c>
      <c r="C5306" s="2" t="n">
        <v>44367</v>
      </c>
      <c r="D5306" t="inlineStr">
        <is>
          <t>NIL</t>
        </is>
      </c>
      <c r="E5306" t="n">
        <v>623</v>
      </c>
    </row>
    <row r="5307">
      <c r="A5307" t="inlineStr">
        <is>
          <t>27BBBBB05307Z5</t>
        </is>
      </c>
      <c r="B5307" t="inlineStr">
        <is>
          <t>Oct-2018</t>
        </is>
      </c>
      <c r="C5307" s="2" t="n">
        <v>44528</v>
      </c>
      <c r="D5307" t="inlineStr">
        <is>
          <t>NIL</t>
        </is>
      </c>
      <c r="E5307" t="n">
        <v>527</v>
      </c>
    </row>
    <row r="5308">
      <c r="A5308" t="inlineStr">
        <is>
          <t>27BBBBB05308Z5</t>
        </is>
      </c>
      <c r="B5308" t="inlineStr">
        <is>
          <t>Mar-2018</t>
        </is>
      </c>
      <c r="C5308" s="2" t="n">
        <v>43306</v>
      </c>
      <c r="D5308" t="inlineStr">
        <is>
          <t>NON-NIL</t>
        </is>
      </c>
      <c r="E5308" t="n">
        <v>1292</v>
      </c>
    </row>
    <row r="5309">
      <c r="A5309" t="inlineStr">
        <is>
          <t>27BBBBB05309Z5</t>
        </is>
      </c>
      <c r="B5309" t="inlineStr">
        <is>
          <t>Dec-2018</t>
        </is>
      </c>
      <c r="C5309" s="2" t="n">
        <v>44439</v>
      </c>
      <c r="D5309" t="inlineStr">
        <is>
          <t>NIL</t>
        </is>
      </c>
      <c r="E5309" t="n">
        <v>420</v>
      </c>
    </row>
    <row r="5310">
      <c r="A5310" t="inlineStr">
        <is>
          <t>27BBBBB05310Z5</t>
        </is>
      </c>
      <c r="B5310" t="inlineStr">
        <is>
          <t>Aug-2018</t>
        </is>
      </c>
      <c r="C5310" s="2" t="n">
        <v>43191</v>
      </c>
      <c r="D5310" t="inlineStr">
        <is>
          <t>NON-NIL</t>
        </is>
      </c>
      <c r="E5310" t="n">
        <v>2348</v>
      </c>
    </row>
    <row r="5311">
      <c r="A5311" t="inlineStr">
        <is>
          <t>27BBBBB05311Z5</t>
        </is>
      </c>
      <c r="B5311" t="inlineStr">
        <is>
          <t>Jul-2018</t>
        </is>
      </c>
      <c r="C5311" s="2" t="n">
        <v>44441</v>
      </c>
      <c r="D5311" t="inlineStr">
        <is>
          <t>NON-NIL</t>
        </is>
      </c>
      <c r="E5311" t="n">
        <v>264</v>
      </c>
    </row>
    <row r="5312">
      <c r="A5312" t="inlineStr">
        <is>
          <t>27BBBBB05312Z5</t>
        </is>
      </c>
      <c r="B5312" t="inlineStr">
        <is>
          <t>Nov-2018</t>
        </is>
      </c>
      <c r="C5312" s="2" t="n">
        <v>43671</v>
      </c>
      <c r="D5312" t="inlineStr">
        <is>
          <t>NIL</t>
        </is>
      </c>
      <c r="E5312" t="n">
        <v>487</v>
      </c>
    </row>
    <row r="5313">
      <c r="A5313" t="inlineStr">
        <is>
          <t>27BBBBB05313Z5</t>
        </is>
      </c>
      <c r="B5313" t="inlineStr">
        <is>
          <t>Mar-2018</t>
        </is>
      </c>
      <c r="C5313" s="2" t="n">
        <v>44288</v>
      </c>
      <c r="D5313" t="inlineStr">
        <is>
          <t>NON-NIL</t>
        </is>
      </c>
      <c r="E5313" t="n">
        <v>1808</v>
      </c>
    </row>
    <row r="5314">
      <c r="A5314" t="inlineStr">
        <is>
          <t>27BBBBB05314Z5</t>
        </is>
      </c>
      <c r="B5314" t="inlineStr">
        <is>
          <t>Sep-2018</t>
        </is>
      </c>
      <c r="C5314" s="2" t="n">
        <v>43161</v>
      </c>
      <c r="D5314" t="inlineStr">
        <is>
          <t>NON-NIL</t>
        </is>
      </c>
      <c r="E5314" t="n">
        <v>829</v>
      </c>
    </row>
    <row r="5315">
      <c r="A5315" t="inlineStr">
        <is>
          <t>27BBBBB05315Z5</t>
        </is>
      </c>
      <c r="B5315" t="inlineStr">
        <is>
          <t>Oct-2017</t>
        </is>
      </c>
      <c r="C5315" s="2" t="n">
        <v>44325</v>
      </c>
      <c r="D5315" t="inlineStr">
        <is>
          <t>NON-NIL</t>
        </is>
      </c>
      <c r="E5315" t="n">
        <v>2520</v>
      </c>
    </row>
    <row r="5316">
      <c r="A5316" t="inlineStr">
        <is>
          <t>27BBBBB05316Z5</t>
        </is>
      </c>
      <c r="B5316" t="inlineStr">
        <is>
          <t>Jan-2018</t>
        </is>
      </c>
      <c r="C5316" s="2" t="n">
        <v>43989</v>
      </c>
      <c r="D5316" t="inlineStr">
        <is>
          <t>NIL</t>
        </is>
      </c>
      <c r="E5316" t="n">
        <v>2432</v>
      </c>
    </row>
    <row r="5317">
      <c r="A5317" t="inlineStr">
        <is>
          <t>27BBBBB05317Z5</t>
        </is>
      </c>
      <c r="B5317" t="inlineStr">
        <is>
          <t>Dec-2022</t>
        </is>
      </c>
      <c r="C5317" s="2" t="n">
        <v>45110</v>
      </c>
      <c r="D5317" t="inlineStr">
        <is>
          <t>NIL</t>
        </is>
      </c>
      <c r="E5317" t="n">
        <v>2665</v>
      </c>
    </row>
    <row r="5318">
      <c r="A5318" t="inlineStr">
        <is>
          <t>27BBBBB05318Z5</t>
        </is>
      </c>
      <c r="B5318" t="inlineStr">
        <is>
          <t>Jan-2021</t>
        </is>
      </c>
      <c r="C5318" s="2" t="n">
        <v>45369</v>
      </c>
      <c r="D5318" t="inlineStr">
        <is>
          <t>NON-NIL</t>
        </is>
      </c>
      <c r="E5318" t="n">
        <v>455</v>
      </c>
    </row>
    <row r="5319">
      <c r="A5319" t="inlineStr">
        <is>
          <t>27BBBBB05319Z5</t>
        </is>
      </c>
      <c r="B5319" t="inlineStr">
        <is>
          <t>Sep-2017</t>
        </is>
      </c>
      <c r="C5319" s="2" t="n">
        <v>43978</v>
      </c>
      <c r="D5319" t="inlineStr">
        <is>
          <t>NIL</t>
        </is>
      </c>
      <c r="E5319" t="n">
        <v>2318</v>
      </c>
    </row>
    <row r="5320">
      <c r="A5320" t="inlineStr">
        <is>
          <t>27BBBBB05320Z5</t>
        </is>
      </c>
      <c r="B5320" t="inlineStr">
        <is>
          <t>Dec-2017</t>
        </is>
      </c>
      <c r="C5320" s="2" t="n">
        <v>44060</v>
      </c>
      <c r="D5320" t="inlineStr">
        <is>
          <t>NIL</t>
        </is>
      </c>
      <c r="E5320" t="n">
        <v>2811</v>
      </c>
    </row>
    <row r="5321">
      <c r="A5321" t="inlineStr">
        <is>
          <t>27BBBBB05321Z5</t>
        </is>
      </c>
      <c r="B5321" t="inlineStr">
        <is>
          <t>Jul-2020</t>
        </is>
      </c>
      <c r="C5321" s="2" t="n">
        <v>44405</v>
      </c>
      <c r="D5321" t="inlineStr">
        <is>
          <t>NON-NIL</t>
        </is>
      </c>
      <c r="E5321" t="n">
        <v>150</v>
      </c>
    </row>
    <row r="5322">
      <c r="A5322" t="inlineStr">
        <is>
          <t>27BBBBB05322Z5</t>
        </is>
      </c>
      <c r="B5322" t="inlineStr">
        <is>
          <t>Mar-2023</t>
        </is>
      </c>
      <c r="C5322" s="2" t="n">
        <v>44000</v>
      </c>
      <c r="D5322" t="inlineStr">
        <is>
          <t>NON-NIL</t>
        </is>
      </c>
      <c r="E5322" t="n">
        <v>2626</v>
      </c>
    </row>
    <row r="5323">
      <c r="A5323" t="inlineStr">
        <is>
          <t>27BBBBB05323Z5</t>
        </is>
      </c>
      <c r="B5323" t="inlineStr">
        <is>
          <t>Jul-2020</t>
        </is>
      </c>
      <c r="C5323" s="2" t="n">
        <v>43924</v>
      </c>
      <c r="D5323" t="inlineStr">
        <is>
          <t>NIL</t>
        </is>
      </c>
      <c r="E5323" t="n">
        <v>1363</v>
      </c>
    </row>
    <row r="5324">
      <c r="A5324" t="inlineStr">
        <is>
          <t>27BBBBB05324Z5</t>
        </is>
      </c>
      <c r="B5324" t="inlineStr">
        <is>
          <t>Jun-2020</t>
        </is>
      </c>
      <c r="C5324" s="2" t="n">
        <v>44782</v>
      </c>
      <c r="D5324" t="inlineStr">
        <is>
          <t>NON-NIL</t>
        </is>
      </c>
      <c r="E5324" t="n">
        <v>2597</v>
      </c>
    </row>
    <row r="5325">
      <c r="A5325" t="inlineStr">
        <is>
          <t>27BBBBB05325Z5</t>
        </is>
      </c>
      <c r="B5325" t="inlineStr">
        <is>
          <t>May-2020</t>
        </is>
      </c>
      <c r="C5325" s="2" t="n">
        <v>44265</v>
      </c>
      <c r="D5325" t="inlineStr">
        <is>
          <t>NON-NIL</t>
        </is>
      </c>
      <c r="E5325" t="n">
        <v>2644</v>
      </c>
    </row>
    <row r="5326">
      <c r="A5326" t="inlineStr">
        <is>
          <t>27BBBBB05326Z5</t>
        </is>
      </c>
      <c r="B5326" t="inlineStr">
        <is>
          <t>Apr-2018</t>
        </is>
      </c>
      <c r="C5326" s="2" t="n">
        <v>43041</v>
      </c>
      <c r="D5326" t="inlineStr">
        <is>
          <t>NON-NIL</t>
        </is>
      </c>
      <c r="E5326" t="n">
        <v>2247</v>
      </c>
    </row>
    <row r="5327">
      <c r="A5327" t="inlineStr">
        <is>
          <t>27BBBBB05327Z5</t>
        </is>
      </c>
      <c r="B5327" t="inlineStr">
        <is>
          <t>Apr-2018</t>
        </is>
      </c>
      <c r="C5327" s="2" t="n">
        <v>43242</v>
      </c>
      <c r="D5327" t="inlineStr">
        <is>
          <t>NIL</t>
        </is>
      </c>
      <c r="E5327" t="n">
        <v>1226</v>
      </c>
    </row>
    <row r="5328">
      <c r="A5328" t="inlineStr">
        <is>
          <t>27BBBBB05328Z5</t>
        </is>
      </c>
      <c r="B5328" t="inlineStr">
        <is>
          <t>Apr-2020</t>
        </is>
      </c>
      <c r="C5328" s="2" t="n">
        <v>44573</v>
      </c>
      <c r="D5328" t="inlineStr">
        <is>
          <t>NON-NIL</t>
        </is>
      </c>
      <c r="E5328" t="n">
        <v>2526</v>
      </c>
    </row>
    <row r="5329">
      <c r="A5329" t="inlineStr">
        <is>
          <t>27BBBBB05329Z5</t>
        </is>
      </c>
      <c r="B5329" t="inlineStr">
        <is>
          <t>Dec-2017</t>
        </is>
      </c>
      <c r="C5329" s="2" t="n">
        <v>43948</v>
      </c>
      <c r="D5329" t="inlineStr">
        <is>
          <t>NON-NIL</t>
        </is>
      </c>
      <c r="E5329" t="n">
        <v>1591</v>
      </c>
    </row>
    <row r="5330">
      <c r="A5330" t="inlineStr">
        <is>
          <t>27BBBBB05330Z5</t>
        </is>
      </c>
      <c r="B5330" t="inlineStr">
        <is>
          <t>Sep-2018</t>
        </is>
      </c>
      <c r="C5330" s="2" t="n">
        <v>44288</v>
      </c>
      <c r="D5330" t="inlineStr">
        <is>
          <t>NON-NIL</t>
        </is>
      </c>
      <c r="E5330" t="n">
        <v>1775</v>
      </c>
    </row>
    <row r="5331">
      <c r="A5331" t="inlineStr">
        <is>
          <t>27BBBBB05331Z5</t>
        </is>
      </c>
      <c r="B5331" t="inlineStr">
        <is>
          <t>Sep-2018</t>
        </is>
      </c>
      <c r="C5331" s="2" t="n">
        <v>43563</v>
      </c>
      <c r="D5331" t="inlineStr">
        <is>
          <t>NIL</t>
        </is>
      </c>
      <c r="E5331" t="n">
        <v>2132</v>
      </c>
    </row>
    <row r="5332">
      <c r="A5332" t="inlineStr">
        <is>
          <t>27BBBBB05332Z5</t>
        </is>
      </c>
      <c r="B5332" t="inlineStr">
        <is>
          <t>Aug-2018</t>
        </is>
      </c>
      <c r="C5332" s="2" t="n">
        <v>43754</v>
      </c>
      <c r="D5332" t="inlineStr">
        <is>
          <t>NIL</t>
        </is>
      </c>
      <c r="E5332" t="n">
        <v>1277</v>
      </c>
    </row>
    <row r="5333">
      <c r="A5333" t="inlineStr">
        <is>
          <t>27BBBBB05333Z5</t>
        </is>
      </c>
      <c r="B5333" t="inlineStr">
        <is>
          <t>May-2018</t>
        </is>
      </c>
      <c r="C5333" s="2" t="n">
        <v>44238</v>
      </c>
      <c r="D5333" t="inlineStr">
        <is>
          <t>NIL</t>
        </is>
      </c>
      <c r="E5333" t="n">
        <v>2423</v>
      </c>
    </row>
    <row r="5334">
      <c r="A5334" t="inlineStr">
        <is>
          <t>27BBBBB05334Z5</t>
        </is>
      </c>
      <c r="B5334" t="inlineStr">
        <is>
          <t>Mar-2023</t>
        </is>
      </c>
      <c r="C5334" s="2" t="n">
        <v>43998</v>
      </c>
      <c r="D5334" t="inlineStr">
        <is>
          <t>NON-NIL</t>
        </is>
      </c>
      <c r="E5334" t="n">
        <v>356</v>
      </c>
    </row>
    <row r="5335">
      <c r="A5335" t="inlineStr">
        <is>
          <t>27BBBBB05335Z5</t>
        </is>
      </c>
      <c r="B5335" t="inlineStr">
        <is>
          <t>Dec-2024</t>
        </is>
      </c>
      <c r="C5335" s="2" t="n">
        <v>44284</v>
      </c>
      <c r="D5335" t="inlineStr">
        <is>
          <t>NIL</t>
        </is>
      </c>
      <c r="E5335" t="n">
        <v>2000</v>
      </c>
    </row>
    <row r="5336">
      <c r="A5336" t="inlineStr">
        <is>
          <t>27BBBBB05336Z5</t>
        </is>
      </c>
      <c r="B5336" t="inlineStr">
        <is>
          <t>Jan-2018</t>
        </is>
      </c>
      <c r="C5336" s="2" t="n">
        <v>43302</v>
      </c>
      <c r="D5336" t="inlineStr">
        <is>
          <t>NIL</t>
        </is>
      </c>
      <c r="E5336" t="n">
        <v>1618</v>
      </c>
    </row>
    <row r="5337">
      <c r="A5337" t="inlineStr">
        <is>
          <t>27BBBBB05337Z5</t>
        </is>
      </c>
      <c r="B5337" t="inlineStr">
        <is>
          <t>Jun-2020</t>
        </is>
      </c>
      <c r="C5337" s="2" t="n">
        <v>44451</v>
      </c>
      <c r="D5337" t="inlineStr">
        <is>
          <t>NIL</t>
        </is>
      </c>
      <c r="E5337" t="n">
        <v>2131</v>
      </c>
    </row>
    <row r="5338">
      <c r="A5338" t="inlineStr">
        <is>
          <t>27BBBBB05338Z5</t>
        </is>
      </c>
      <c r="B5338" t="inlineStr">
        <is>
          <t>Oct-2017</t>
        </is>
      </c>
      <c r="C5338" s="2" t="n">
        <v>44147</v>
      </c>
      <c r="D5338" t="inlineStr">
        <is>
          <t>NON-NIL</t>
        </is>
      </c>
      <c r="E5338" t="n">
        <v>1270</v>
      </c>
    </row>
    <row r="5339">
      <c r="A5339" t="inlineStr">
        <is>
          <t>27BBBBB05339Z5</t>
        </is>
      </c>
      <c r="B5339" t="inlineStr">
        <is>
          <t>Apr-2018</t>
        </is>
      </c>
      <c r="C5339" s="2" t="n">
        <v>44068</v>
      </c>
      <c r="D5339" t="inlineStr">
        <is>
          <t>NIL</t>
        </is>
      </c>
      <c r="E5339" t="n">
        <v>597</v>
      </c>
    </row>
    <row r="5340">
      <c r="A5340" t="inlineStr">
        <is>
          <t>27BBBBB05340Z5</t>
        </is>
      </c>
      <c r="B5340" t="inlineStr">
        <is>
          <t>Jul-2017</t>
        </is>
      </c>
      <c r="C5340" s="2" t="n">
        <v>43983</v>
      </c>
      <c r="D5340" t="inlineStr">
        <is>
          <t>NON-NIL</t>
        </is>
      </c>
      <c r="E5340" t="n">
        <v>575</v>
      </c>
    </row>
    <row r="5341">
      <c r="A5341" t="inlineStr">
        <is>
          <t>27BBBBB05341Z5</t>
        </is>
      </c>
      <c r="B5341" t="inlineStr">
        <is>
          <t>Dec-2022</t>
        </is>
      </c>
      <c r="C5341" s="2" t="n">
        <v>45381</v>
      </c>
      <c r="D5341" t="inlineStr">
        <is>
          <t>NIL</t>
        </is>
      </c>
      <c r="E5341" t="n">
        <v>1460</v>
      </c>
    </row>
    <row r="5342">
      <c r="A5342" t="inlineStr">
        <is>
          <t>27BBBBB05342Z5</t>
        </is>
      </c>
      <c r="B5342" t="inlineStr">
        <is>
          <t>Apr-2020</t>
        </is>
      </c>
      <c r="C5342" s="2" t="n">
        <v>44054</v>
      </c>
      <c r="D5342" t="inlineStr">
        <is>
          <t>NIL</t>
        </is>
      </c>
      <c r="E5342" t="n">
        <v>381</v>
      </c>
    </row>
    <row r="5343">
      <c r="A5343" t="inlineStr">
        <is>
          <t>27BBBBB05343Z5</t>
        </is>
      </c>
      <c r="B5343" t="inlineStr">
        <is>
          <t>May-2018</t>
        </is>
      </c>
      <c r="C5343" s="2" t="n">
        <v>43892</v>
      </c>
      <c r="D5343" t="inlineStr">
        <is>
          <t>NON-NIL</t>
        </is>
      </c>
      <c r="E5343" t="n">
        <v>1053</v>
      </c>
    </row>
    <row r="5344">
      <c r="A5344" t="inlineStr">
        <is>
          <t>27BBBBB05344Z5</t>
        </is>
      </c>
      <c r="B5344" t="inlineStr">
        <is>
          <t>Jul-2020</t>
        </is>
      </c>
      <c r="C5344" s="2" t="n">
        <v>44396</v>
      </c>
      <c r="D5344" t="inlineStr">
        <is>
          <t>NIL</t>
        </is>
      </c>
      <c r="E5344" t="n">
        <v>2308</v>
      </c>
    </row>
    <row r="5345">
      <c r="A5345" t="inlineStr">
        <is>
          <t>27BBBBB05345Z5</t>
        </is>
      </c>
      <c r="B5345" t="inlineStr">
        <is>
          <t>Aug-2018</t>
        </is>
      </c>
      <c r="C5345" s="2" t="n">
        <v>43079</v>
      </c>
      <c r="D5345" t="inlineStr">
        <is>
          <t>NIL</t>
        </is>
      </c>
      <c r="E5345" t="n">
        <v>51</v>
      </c>
    </row>
    <row r="5346">
      <c r="A5346" t="inlineStr">
        <is>
          <t>27BBBBB05346Z5</t>
        </is>
      </c>
      <c r="B5346" t="inlineStr">
        <is>
          <t>Dec-2022</t>
        </is>
      </c>
      <c r="C5346" s="2" t="n">
        <v>44748</v>
      </c>
      <c r="D5346" t="inlineStr">
        <is>
          <t>NIL</t>
        </is>
      </c>
      <c r="E5346" t="n">
        <v>2764</v>
      </c>
    </row>
    <row r="5347">
      <c r="A5347" t="inlineStr">
        <is>
          <t>27BBBBB05347Z5</t>
        </is>
      </c>
      <c r="B5347" t="inlineStr">
        <is>
          <t>Nov-2018</t>
        </is>
      </c>
      <c r="C5347" s="2" t="n">
        <v>43833</v>
      </c>
      <c r="D5347" t="inlineStr">
        <is>
          <t>NIL</t>
        </is>
      </c>
      <c r="E5347" t="n">
        <v>145</v>
      </c>
    </row>
    <row r="5348">
      <c r="A5348" t="inlineStr">
        <is>
          <t>27BBBBB05348Z5</t>
        </is>
      </c>
      <c r="B5348" t="inlineStr">
        <is>
          <t>Oct-2017</t>
        </is>
      </c>
      <c r="C5348" s="2" t="n">
        <v>44094</v>
      </c>
      <c r="D5348" t="inlineStr">
        <is>
          <t>NIL</t>
        </is>
      </c>
      <c r="E5348" t="n">
        <v>1542</v>
      </c>
    </row>
    <row r="5349">
      <c r="A5349" t="inlineStr">
        <is>
          <t>27BBBBB05349Z5</t>
        </is>
      </c>
      <c r="B5349" t="inlineStr">
        <is>
          <t>Dec-2017</t>
        </is>
      </c>
      <c r="C5349" s="2" t="n">
        <v>43502</v>
      </c>
      <c r="D5349" t="inlineStr">
        <is>
          <t>NON-NIL</t>
        </is>
      </c>
      <c r="E5349" t="n">
        <v>1526</v>
      </c>
    </row>
    <row r="5350">
      <c r="A5350" t="inlineStr">
        <is>
          <t>27BBBBB05350Z5</t>
        </is>
      </c>
      <c r="B5350" t="inlineStr">
        <is>
          <t>Nov-2017</t>
        </is>
      </c>
      <c r="C5350" s="2" t="n">
        <v>43051</v>
      </c>
      <c r="D5350" t="inlineStr">
        <is>
          <t>NIL</t>
        </is>
      </c>
      <c r="E5350" t="n">
        <v>620</v>
      </c>
    </row>
    <row r="5351">
      <c r="A5351" t="inlineStr">
        <is>
          <t>27BBBBB05351Z5</t>
        </is>
      </c>
      <c r="B5351" t="inlineStr">
        <is>
          <t>Jun-2018</t>
        </is>
      </c>
      <c r="C5351" s="2" t="n">
        <v>43747</v>
      </c>
      <c r="D5351" t="inlineStr">
        <is>
          <t>NIL</t>
        </is>
      </c>
      <c r="E5351" t="n">
        <v>1033</v>
      </c>
    </row>
    <row r="5352">
      <c r="A5352" t="inlineStr">
        <is>
          <t>27BBBBB05352Z5</t>
        </is>
      </c>
      <c r="B5352" t="inlineStr">
        <is>
          <t>Apr-2018</t>
        </is>
      </c>
      <c r="C5352" s="2" t="n">
        <v>43365</v>
      </c>
      <c r="D5352" t="inlineStr">
        <is>
          <t>NON-NIL</t>
        </is>
      </c>
      <c r="E5352" t="n">
        <v>1699</v>
      </c>
    </row>
    <row r="5353">
      <c r="A5353" t="inlineStr">
        <is>
          <t>27BBBBB05353Z5</t>
        </is>
      </c>
      <c r="B5353" t="inlineStr">
        <is>
          <t>Dec-2022</t>
        </is>
      </c>
      <c r="C5353" s="2" t="n">
        <v>44093</v>
      </c>
      <c r="D5353" t="inlineStr">
        <is>
          <t>NIL</t>
        </is>
      </c>
      <c r="E5353" t="n">
        <v>2962</v>
      </c>
    </row>
    <row r="5354">
      <c r="A5354" t="inlineStr">
        <is>
          <t>27BBBBB05354Z5</t>
        </is>
      </c>
      <c r="B5354" t="inlineStr">
        <is>
          <t>Aug-2017</t>
        </is>
      </c>
      <c r="C5354" s="2" t="n">
        <v>43785</v>
      </c>
      <c r="D5354" t="inlineStr">
        <is>
          <t>NON-NIL</t>
        </is>
      </c>
      <c r="E5354" t="n">
        <v>1434</v>
      </c>
    </row>
    <row r="5355">
      <c r="A5355" t="inlineStr">
        <is>
          <t>27BBBBB05355Z5</t>
        </is>
      </c>
      <c r="B5355" t="inlineStr">
        <is>
          <t>Mar-2018</t>
        </is>
      </c>
      <c r="C5355" s="2" t="n">
        <v>43668</v>
      </c>
      <c r="D5355" t="inlineStr">
        <is>
          <t>NON-NIL</t>
        </is>
      </c>
      <c r="E5355" t="n">
        <v>2632</v>
      </c>
    </row>
    <row r="5356">
      <c r="A5356" t="inlineStr">
        <is>
          <t>27BBBBB05356Z5</t>
        </is>
      </c>
      <c r="B5356" t="inlineStr">
        <is>
          <t>May-2020</t>
        </is>
      </c>
      <c r="C5356" s="2" t="n">
        <v>44692</v>
      </c>
      <c r="D5356" t="inlineStr">
        <is>
          <t>NON-NIL</t>
        </is>
      </c>
      <c r="E5356" t="n">
        <v>220</v>
      </c>
    </row>
    <row r="5357">
      <c r="A5357" t="inlineStr">
        <is>
          <t>27BBBBB05357Z5</t>
        </is>
      </c>
      <c r="B5357" t="inlineStr">
        <is>
          <t>Jan-2018</t>
        </is>
      </c>
      <c r="C5357" s="2" t="n">
        <v>43818</v>
      </c>
      <c r="D5357" t="inlineStr">
        <is>
          <t>NIL</t>
        </is>
      </c>
      <c r="E5357" t="n">
        <v>1801</v>
      </c>
    </row>
    <row r="5358">
      <c r="A5358" t="inlineStr">
        <is>
          <t>27BBBBB05358Z5</t>
        </is>
      </c>
      <c r="B5358" t="inlineStr">
        <is>
          <t>Aug-2017</t>
        </is>
      </c>
      <c r="C5358" s="2" t="n">
        <v>43054</v>
      </c>
      <c r="D5358" t="inlineStr">
        <is>
          <t>NIL</t>
        </is>
      </c>
      <c r="E5358" t="n">
        <v>2318</v>
      </c>
    </row>
    <row r="5359">
      <c r="A5359" t="inlineStr">
        <is>
          <t>27BBBBB05359Z5</t>
        </is>
      </c>
      <c r="B5359" t="inlineStr">
        <is>
          <t>Jun-2018</t>
        </is>
      </c>
      <c r="C5359" s="2" t="n">
        <v>44383</v>
      </c>
      <c r="D5359" t="inlineStr">
        <is>
          <t>NON-NIL</t>
        </is>
      </c>
      <c r="E5359" t="n">
        <v>1980</v>
      </c>
    </row>
    <row r="5360">
      <c r="A5360" t="inlineStr">
        <is>
          <t>27BBBBB05360Z5</t>
        </is>
      </c>
      <c r="B5360" t="inlineStr">
        <is>
          <t>Mar-2021</t>
        </is>
      </c>
      <c r="C5360" s="2" t="n">
        <v>44913</v>
      </c>
      <c r="D5360" t="inlineStr">
        <is>
          <t>NIL</t>
        </is>
      </c>
      <c r="E5360" t="n">
        <v>2079</v>
      </c>
    </row>
    <row r="5361">
      <c r="A5361" t="inlineStr">
        <is>
          <t>27BBBBB05361Z5</t>
        </is>
      </c>
      <c r="B5361" t="inlineStr">
        <is>
          <t>Nov-2018</t>
        </is>
      </c>
      <c r="C5361" s="2" t="n">
        <v>44404</v>
      </c>
      <c r="D5361" t="inlineStr">
        <is>
          <t>NIL</t>
        </is>
      </c>
      <c r="E5361" t="n">
        <v>1403</v>
      </c>
    </row>
    <row r="5362">
      <c r="A5362" t="inlineStr">
        <is>
          <t>27BBBBB05362Z5</t>
        </is>
      </c>
      <c r="B5362" t="inlineStr">
        <is>
          <t>Mar-2021</t>
        </is>
      </c>
      <c r="C5362" s="2" t="n">
        <v>45321</v>
      </c>
      <c r="D5362" t="inlineStr">
        <is>
          <t>NON-NIL</t>
        </is>
      </c>
      <c r="E5362" t="n">
        <v>2817</v>
      </c>
    </row>
    <row r="5363">
      <c r="A5363" t="inlineStr">
        <is>
          <t>27BBBBB05363Z5</t>
        </is>
      </c>
      <c r="B5363" t="inlineStr">
        <is>
          <t>Jan-2018</t>
        </is>
      </c>
      <c r="C5363" s="2" t="n">
        <v>43856</v>
      </c>
      <c r="D5363" t="inlineStr">
        <is>
          <t>NIL</t>
        </is>
      </c>
      <c r="E5363" t="n">
        <v>421</v>
      </c>
    </row>
    <row r="5364">
      <c r="A5364" t="inlineStr">
        <is>
          <t>27BBBBB05364Z5</t>
        </is>
      </c>
      <c r="B5364" t="inlineStr">
        <is>
          <t>Oct-2018</t>
        </is>
      </c>
      <c r="C5364" s="2" t="n">
        <v>44242</v>
      </c>
      <c r="D5364" t="inlineStr">
        <is>
          <t>NIL</t>
        </is>
      </c>
      <c r="E5364" t="n">
        <v>2770</v>
      </c>
    </row>
    <row r="5365">
      <c r="A5365" t="inlineStr">
        <is>
          <t>27BBBBB05365Z5</t>
        </is>
      </c>
      <c r="B5365" t="inlineStr">
        <is>
          <t>Jul-2020</t>
        </is>
      </c>
      <c r="C5365" s="2" t="n">
        <v>44548</v>
      </c>
      <c r="D5365" t="inlineStr">
        <is>
          <t>NON-NIL</t>
        </is>
      </c>
      <c r="E5365" t="n">
        <v>2530</v>
      </c>
    </row>
    <row r="5366">
      <c r="A5366" t="inlineStr">
        <is>
          <t>27BBBBB05366Z5</t>
        </is>
      </c>
      <c r="B5366" t="inlineStr">
        <is>
          <t>Oct-2017</t>
        </is>
      </c>
      <c r="C5366" s="2" t="n">
        <v>44326</v>
      </c>
      <c r="D5366" t="inlineStr">
        <is>
          <t>NIL</t>
        </is>
      </c>
      <c r="E5366" t="n">
        <v>2940</v>
      </c>
    </row>
    <row r="5367">
      <c r="A5367" t="inlineStr">
        <is>
          <t>27BBBBB05367Z5</t>
        </is>
      </c>
      <c r="B5367" t="inlineStr">
        <is>
          <t>Jan-2021</t>
        </is>
      </c>
      <c r="C5367" s="2" t="n">
        <v>45401</v>
      </c>
      <c r="D5367" t="inlineStr">
        <is>
          <t>NIL</t>
        </is>
      </c>
      <c r="E5367" t="n">
        <v>2053</v>
      </c>
    </row>
    <row r="5368">
      <c r="A5368" t="inlineStr">
        <is>
          <t>27BBBBB05368Z5</t>
        </is>
      </c>
      <c r="B5368" t="inlineStr">
        <is>
          <t>Dec-2018</t>
        </is>
      </c>
      <c r="C5368" s="2" t="n">
        <v>43915</v>
      </c>
      <c r="D5368" t="inlineStr">
        <is>
          <t>NON-NIL</t>
        </is>
      </c>
      <c r="E5368" t="n">
        <v>2068</v>
      </c>
    </row>
    <row r="5369">
      <c r="A5369" t="inlineStr">
        <is>
          <t>27BBBBB05369Z5</t>
        </is>
      </c>
      <c r="B5369" t="inlineStr">
        <is>
          <t>Mar-2021</t>
        </is>
      </c>
      <c r="C5369" s="2" t="n">
        <v>43828</v>
      </c>
      <c r="D5369" t="inlineStr">
        <is>
          <t>NON-NIL</t>
        </is>
      </c>
      <c r="E5369" t="n">
        <v>2252</v>
      </c>
    </row>
    <row r="5370">
      <c r="A5370" t="inlineStr">
        <is>
          <t>27BBBBB05370Z5</t>
        </is>
      </c>
      <c r="B5370" t="inlineStr">
        <is>
          <t>Mar-2020</t>
        </is>
      </c>
      <c r="C5370" s="2" t="n">
        <v>44075</v>
      </c>
      <c r="D5370" t="inlineStr">
        <is>
          <t>NON-NIL</t>
        </is>
      </c>
      <c r="E5370" t="n">
        <v>569</v>
      </c>
    </row>
    <row r="5371">
      <c r="A5371" t="inlineStr">
        <is>
          <t>27BBBBB05371Z5</t>
        </is>
      </c>
      <c r="B5371" t="inlineStr">
        <is>
          <t>Feb-2018</t>
        </is>
      </c>
      <c r="C5371" s="2" t="n">
        <v>44149</v>
      </c>
      <c r="D5371" t="inlineStr">
        <is>
          <t>NIL</t>
        </is>
      </c>
      <c r="E5371" t="n">
        <v>1910</v>
      </c>
    </row>
    <row r="5372">
      <c r="A5372" t="inlineStr">
        <is>
          <t>27BBBBB05372Z5</t>
        </is>
      </c>
      <c r="B5372" t="inlineStr">
        <is>
          <t>Nov-2018</t>
        </is>
      </c>
      <c r="C5372" s="2" t="n">
        <v>43464</v>
      </c>
      <c r="D5372" t="inlineStr">
        <is>
          <t>NIL</t>
        </is>
      </c>
      <c r="E5372" t="n">
        <v>2062</v>
      </c>
    </row>
    <row r="5373">
      <c r="A5373" t="inlineStr">
        <is>
          <t>27BBBBB05373Z5</t>
        </is>
      </c>
      <c r="B5373" t="inlineStr">
        <is>
          <t>May-2020</t>
        </is>
      </c>
      <c r="C5373" s="2" t="n">
        <v>44779</v>
      </c>
      <c r="D5373" t="inlineStr">
        <is>
          <t>NIL</t>
        </is>
      </c>
      <c r="E5373" t="n">
        <v>2355</v>
      </c>
    </row>
    <row r="5374">
      <c r="A5374" t="inlineStr">
        <is>
          <t>27BBBBB05374Z5</t>
        </is>
      </c>
      <c r="B5374" t="inlineStr">
        <is>
          <t>Jun-2018</t>
        </is>
      </c>
      <c r="C5374" s="2" t="n">
        <v>43893</v>
      </c>
      <c r="D5374" t="inlineStr">
        <is>
          <t>NIL</t>
        </is>
      </c>
      <c r="E5374" t="n">
        <v>1411</v>
      </c>
    </row>
    <row r="5375">
      <c r="A5375" t="inlineStr">
        <is>
          <t>27BBBBB05375Z5</t>
        </is>
      </c>
      <c r="B5375" t="inlineStr">
        <is>
          <t>Dec-2024</t>
        </is>
      </c>
      <c r="C5375" s="2" t="n">
        <v>45113</v>
      </c>
      <c r="D5375" t="inlineStr">
        <is>
          <t>NIL</t>
        </is>
      </c>
      <c r="E5375" t="n">
        <v>434</v>
      </c>
    </row>
    <row r="5376">
      <c r="A5376" t="inlineStr">
        <is>
          <t>27BBBBB05376Z5</t>
        </is>
      </c>
      <c r="B5376" t="inlineStr">
        <is>
          <t>Jul-2017</t>
        </is>
      </c>
      <c r="C5376" s="2" t="n">
        <v>43017</v>
      </c>
      <c r="D5376" t="inlineStr">
        <is>
          <t>NIL</t>
        </is>
      </c>
      <c r="E5376" t="n">
        <v>1058</v>
      </c>
    </row>
    <row r="5377">
      <c r="A5377" t="inlineStr">
        <is>
          <t>27BBBBB05377Z5</t>
        </is>
      </c>
      <c r="B5377" t="inlineStr">
        <is>
          <t>Oct-2018</t>
        </is>
      </c>
      <c r="C5377" s="2" t="n">
        <v>44364</v>
      </c>
      <c r="D5377" t="inlineStr">
        <is>
          <t>NIL</t>
        </is>
      </c>
      <c r="E5377" t="n">
        <v>2339</v>
      </c>
    </row>
    <row r="5378">
      <c r="A5378" t="inlineStr">
        <is>
          <t>27BBBBB05378Z5</t>
        </is>
      </c>
      <c r="B5378" t="inlineStr">
        <is>
          <t>Mar-2021</t>
        </is>
      </c>
      <c r="C5378" s="2" t="n">
        <v>44659</v>
      </c>
      <c r="D5378" t="inlineStr">
        <is>
          <t>NIL</t>
        </is>
      </c>
      <c r="E5378" t="n">
        <v>1778</v>
      </c>
    </row>
    <row r="5379">
      <c r="A5379" t="inlineStr">
        <is>
          <t>27BBBBB05379Z5</t>
        </is>
      </c>
      <c r="B5379" t="inlineStr">
        <is>
          <t>May-2020</t>
        </is>
      </c>
      <c r="C5379" s="2" t="n">
        <v>44503</v>
      </c>
      <c r="D5379" t="inlineStr">
        <is>
          <t>NON-NIL</t>
        </is>
      </c>
      <c r="E5379" t="n">
        <v>2113</v>
      </c>
    </row>
    <row r="5380">
      <c r="A5380" t="inlineStr">
        <is>
          <t>27BBBBB05380Z5</t>
        </is>
      </c>
      <c r="B5380" t="inlineStr">
        <is>
          <t>May-2018</t>
        </is>
      </c>
      <c r="C5380" s="2" t="n">
        <v>44128</v>
      </c>
      <c r="D5380" t="inlineStr">
        <is>
          <t>NIL</t>
        </is>
      </c>
      <c r="E5380" t="n">
        <v>225</v>
      </c>
    </row>
    <row r="5381">
      <c r="A5381" t="inlineStr">
        <is>
          <t>27BBBBB05381Z5</t>
        </is>
      </c>
      <c r="B5381" t="inlineStr">
        <is>
          <t>Jan-2018</t>
        </is>
      </c>
      <c r="C5381" s="2" t="n">
        <v>43826</v>
      </c>
      <c r="D5381" t="inlineStr">
        <is>
          <t>NIL</t>
        </is>
      </c>
      <c r="E5381" t="n">
        <v>2219</v>
      </c>
    </row>
    <row r="5382">
      <c r="A5382" t="inlineStr">
        <is>
          <t>27BBBBB05382Z5</t>
        </is>
      </c>
      <c r="B5382" t="inlineStr">
        <is>
          <t>Aug-2018</t>
        </is>
      </c>
      <c r="C5382" s="2" t="n">
        <v>43046</v>
      </c>
      <c r="D5382" t="inlineStr">
        <is>
          <t>NON-NIL</t>
        </is>
      </c>
      <c r="E5382" t="n">
        <v>1732</v>
      </c>
    </row>
    <row r="5383">
      <c r="A5383" t="inlineStr">
        <is>
          <t>27BBBBB05383Z5</t>
        </is>
      </c>
      <c r="B5383" t="inlineStr">
        <is>
          <t>Dec-2024</t>
        </is>
      </c>
      <c r="C5383" s="2" t="n">
        <v>44306</v>
      </c>
      <c r="D5383" t="inlineStr">
        <is>
          <t>NIL</t>
        </is>
      </c>
      <c r="E5383" t="n">
        <v>221</v>
      </c>
    </row>
    <row r="5384">
      <c r="A5384" t="inlineStr">
        <is>
          <t>27BBBBB05384Z5</t>
        </is>
      </c>
      <c r="B5384" t="inlineStr">
        <is>
          <t>Nov-2017</t>
        </is>
      </c>
      <c r="C5384" s="2" t="n">
        <v>44535</v>
      </c>
      <c r="D5384" t="inlineStr">
        <is>
          <t>NON-NIL</t>
        </is>
      </c>
      <c r="E5384" t="n">
        <v>2594</v>
      </c>
    </row>
    <row r="5385">
      <c r="A5385" t="inlineStr">
        <is>
          <t>27BBBBB05385Z5</t>
        </is>
      </c>
      <c r="B5385" t="inlineStr">
        <is>
          <t>Apr-2018</t>
        </is>
      </c>
      <c r="C5385" s="2" t="n">
        <v>43272</v>
      </c>
      <c r="D5385" t="inlineStr">
        <is>
          <t>NIL</t>
        </is>
      </c>
      <c r="E5385" t="n">
        <v>1928</v>
      </c>
    </row>
    <row r="5386">
      <c r="A5386" t="inlineStr">
        <is>
          <t>27BBBBB05386Z5</t>
        </is>
      </c>
      <c r="B5386" t="inlineStr">
        <is>
          <t>Dec-2022</t>
        </is>
      </c>
      <c r="C5386" s="2" t="n">
        <v>45539</v>
      </c>
      <c r="D5386" t="inlineStr">
        <is>
          <t>NIL</t>
        </is>
      </c>
      <c r="E5386" t="n">
        <v>1827</v>
      </c>
    </row>
    <row r="5387">
      <c r="A5387" t="inlineStr">
        <is>
          <t>27BBBBB05387Z5</t>
        </is>
      </c>
      <c r="B5387" t="inlineStr">
        <is>
          <t>May-2020</t>
        </is>
      </c>
      <c r="C5387" s="2" t="n">
        <v>44698</v>
      </c>
      <c r="D5387" t="inlineStr">
        <is>
          <t>NIL</t>
        </is>
      </c>
      <c r="E5387" t="n">
        <v>970</v>
      </c>
    </row>
    <row r="5388">
      <c r="A5388" t="inlineStr">
        <is>
          <t>27BBBBB05388Z5</t>
        </is>
      </c>
      <c r="B5388" t="inlineStr">
        <is>
          <t>Oct-2017</t>
        </is>
      </c>
      <c r="C5388" s="2" t="n">
        <v>44399</v>
      </c>
      <c r="D5388" t="inlineStr">
        <is>
          <t>NON-NIL</t>
        </is>
      </c>
      <c r="E5388" t="n">
        <v>1932</v>
      </c>
    </row>
    <row r="5389">
      <c r="A5389" t="inlineStr">
        <is>
          <t>27BBBBB05389Z5</t>
        </is>
      </c>
      <c r="B5389" t="inlineStr">
        <is>
          <t>Jul-2017</t>
        </is>
      </c>
      <c r="C5389" s="2" t="n">
        <v>43107</v>
      </c>
      <c r="D5389" t="inlineStr">
        <is>
          <t>NIL</t>
        </is>
      </c>
      <c r="E5389" t="n">
        <v>1612</v>
      </c>
    </row>
    <row r="5390">
      <c r="A5390" t="inlineStr">
        <is>
          <t>27BBBBB05390Z5</t>
        </is>
      </c>
      <c r="B5390" t="inlineStr">
        <is>
          <t>Jun-2020</t>
        </is>
      </c>
      <c r="C5390" s="2" t="n">
        <v>43867</v>
      </c>
      <c r="D5390" t="inlineStr">
        <is>
          <t>NON-NIL</t>
        </is>
      </c>
      <c r="E5390" t="n">
        <v>1666</v>
      </c>
    </row>
    <row r="5391">
      <c r="A5391" t="inlineStr">
        <is>
          <t>27BBBBB05391Z5</t>
        </is>
      </c>
      <c r="B5391" t="inlineStr">
        <is>
          <t>Jul-2020</t>
        </is>
      </c>
      <c r="C5391" s="2" t="n">
        <v>44152</v>
      </c>
      <c r="D5391" t="inlineStr">
        <is>
          <t>NIL</t>
        </is>
      </c>
      <c r="E5391" t="n">
        <v>1650</v>
      </c>
    </row>
    <row r="5392">
      <c r="A5392" t="inlineStr">
        <is>
          <t>27BBBBB05392Z5</t>
        </is>
      </c>
      <c r="B5392" t="inlineStr">
        <is>
          <t>Jul-2018</t>
        </is>
      </c>
      <c r="C5392" s="2" t="n">
        <v>44121</v>
      </c>
      <c r="D5392" t="inlineStr">
        <is>
          <t>NIL</t>
        </is>
      </c>
      <c r="E5392" t="n">
        <v>957</v>
      </c>
    </row>
    <row r="5393">
      <c r="A5393" t="inlineStr">
        <is>
          <t>27BBBBB05393Z5</t>
        </is>
      </c>
      <c r="B5393" t="inlineStr">
        <is>
          <t>Jul-2018</t>
        </is>
      </c>
      <c r="C5393" s="2" t="n">
        <v>43191</v>
      </c>
      <c r="D5393" t="inlineStr">
        <is>
          <t>NIL</t>
        </is>
      </c>
      <c r="E5393" t="n">
        <v>384</v>
      </c>
    </row>
    <row r="5394">
      <c r="A5394" t="inlineStr">
        <is>
          <t>27BBBBB05394Z5</t>
        </is>
      </c>
      <c r="B5394" t="inlineStr">
        <is>
          <t>Feb-2018</t>
        </is>
      </c>
      <c r="C5394" s="2" t="n">
        <v>43509</v>
      </c>
      <c r="D5394" t="inlineStr">
        <is>
          <t>NIL</t>
        </is>
      </c>
      <c r="E5394" t="n">
        <v>416</v>
      </c>
    </row>
    <row r="5395">
      <c r="A5395" t="inlineStr">
        <is>
          <t>27BBBBB05395Z5</t>
        </is>
      </c>
      <c r="B5395" t="inlineStr">
        <is>
          <t>Mar-2018</t>
        </is>
      </c>
      <c r="C5395" s="2" t="n">
        <v>44382</v>
      </c>
      <c r="D5395" t="inlineStr">
        <is>
          <t>NON-NIL</t>
        </is>
      </c>
      <c r="E5395" t="n">
        <v>1790</v>
      </c>
    </row>
    <row r="5396">
      <c r="A5396" t="inlineStr">
        <is>
          <t>27BBBBB05396Z5</t>
        </is>
      </c>
      <c r="B5396" t="inlineStr">
        <is>
          <t>Feb-2018</t>
        </is>
      </c>
      <c r="C5396" s="2" t="n">
        <v>42980</v>
      </c>
      <c r="D5396" t="inlineStr">
        <is>
          <t>NIL</t>
        </is>
      </c>
      <c r="E5396" t="n">
        <v>2887</v>
      </c>
    </row>
    <row r="5397">
      <c r="A5397" t="inlineStr">
        <is>
          <t>27BBBBB05397Z5</t>
        </is>
      </c>
      <c r="B5397" t="inlineStr">
        <is>
          <t>Mar-2020</t>
        </is>
      </c>
      <c r="C5397" s="2" t="n">
        <v>44856</v>
      </c>
      <c r="D5397" t="inlineStr">
        <is>
          <t>NON-NIL</t>
        </is>
      </c>
      <c r="E5397" t="n">
        <v>536</v>
      </c>
    </row>
    <row r="5398">
      <c r="A5398" t="inlineStr">
        <is>
          <t>27BBBBB05398Z5</t>
        </is>
      </c>
      <c r="B5398" t="inlineStr">
        <is>
          <t>Nov-2018</t>
        </is>
      </c>
      <c r="C5398" s="2" t="n">
        <v>43141</v>
      </c>
      <c r="D5398" t="inlineStr">
        <is>
          <t>NIL</t>
        </is>
      </c>
      <c r="E5398" t="n">
        <v>2256</v>
      </c>
    </row>
    <row r="5399">
      <c r="A5399" t="inlineStr">
        <is>
          <t>27BBBBB05399Z5</t>
        </is>
      </c>
      <c r="B5399" t="inlineStr">
        <is>
          <t>Jul-2017</t>
        </is>
      </c>
      <c r="C5399" s="2" t="n">
        <v>43330</v>
      </c>
      <c r="D5399" t="inlineStr">
        <is>
          <t>NIL</t>
        </is>
      </c>
      <c r="E5399" t="n">
        <v>2408</v>
      </c>
    </row>
    <row r="5400">
      <c r="A5400" t="inlineStr">
        <is>
          <t>27BBBBB05400Z5</t>
        </is>
      </c>
      <c r="B5400" t="inlineStr">
        <is>
          <t>Jul-2018</t>
        </is>
      </c>
      <c r="C5400" s="2" t="n">
        <v>44325</v>
      </c>
      <c r="D5400" t="inlineStr">
        <is>
          <t>NON-NIL</t>
        </is>
      </c>
      <c r="E5400" t="n">
        <v>786</v>
      </c>
    </row>
    <row r="5401">
      <c r="A5401" t="inlineStr">
        <is>
          <t>27BBBBB05401Z5</t>
        </is>
      </c>
      <c r="B5401" t="inlineStr">
        <is>
          <t>Jun-2018</t>
        </is>
      </c>
      <c r="C5401" s="2" t="n">
        <v>44125</v>
      </c>
      <c r="D5401" t="inlineStr">
        <is>
          <t>NIL</t>
        </is>
      </c>
      <c r="E5401" t="n">
        <v>785</v>
      </c>
    </row>
    <row r="5402">
      <c r="A5402" t="inlineStr">
        <is>
          <t>27BBBBB05402Z5</t>
        </is>
      </c>
      <c r="B5402" t="inlineStr">
        <is>
          <t>Jan-2021</t>
        </is>
      </c>
      <c r="C5402" s="2" t="n">
        <v>44896</v>
      </c>
      <c r="D5402" t="inlineStr">
        <is>
          <t>NIL</t>
        </is>
      </c>
      <c r="E5402" t="n">
        <v>2758</v>
      </c>
    </row>
    <row r="5403">
      <c r="A5403" t="inlineStr">
        <is>
          <t>27BBBBB05403Z5</t>
        </is>
      </c>
      <c r="B5403" t="inlineStr">
        <is>
          <t>Aug-2018</t>
        </is>
      </c>
      <c r="C5403" s="2" t="n">
        <v>43428</v>
      </c>
      <c r="D5403" t="inlineStr">
        <is>
          <t>NON-NIL</t>
        </is>
      </c>
      <c r="E5403" t="n">
        <v>1154</v>
      </c>
    </row>
    <row r="5404">
      <c r="A5404" t="inlineStr">
        <is>
          <t>27BBBBB05404Z5</t>
        </is>
      </c>
      <c r="B5404" t="inlineStr">
        <is>
          <t>Sep-2018</t>
        </is>
      </c>
      <c r="C5404" s="2" t="n">
        <v>43992</v>
      </c>
      <c r="D5404" t="inlineStr">
        <is>
          <t>NIL</t>
        </is>
      </c>
      <c r="E5404" t="n">
        <v>1216</v>
      </c>
    </row>
    <row r="5405">
      <c r="A5405" t="inlineStr">
        <is>
          <t>27BBBBB05405Z5</t>
        </is>
      </c>
      <c r="B5405" t="inlineStr">
        <is>
          <t>May-2018</t>
        </is>
      </c>
      <c r="C5405" s="2" t="n">
        <v>44320</v>
      </c>
      <c r="D5405" t="inlineStr">
        <is>
          <t>NIL</t>
        </is>
      </c>
      <c r="E5405" t="n">
        <v>2489</v>
      </c>
    </row>
    <row r="5406">
      <c r="A5406" t="inlineStr">
        <is>
          <t>27BBBBB05406Z5</t>
        </is>
      </c>
      <c r="B5406" t="inlineStr">
        <is>
          <t>Nov-2018</t>
        </is>
      </c>
      <c r="C5406" s="2" t="n">
        <v>43937</v>
      </c>
      <c r="D5406" t="inlineStr">
        <is>
          <t>NIL</t>
        </is>
      </c>
      <c r="E5406" t="n">
        <v>2964</v>
      </c>
    </row>
    <row r="5407">
      <c r="A5407" t="inlineStr">
        <is>
          <t>27BBBBB05407Z5</t>
        </is>
      </c>
      <c r="B5407" t="inlineStr">
        <is>
          <t>Jan-2018</t>
        </is>
      </c>
      <c r="C5407" s="2" t="n">
        <v>43353</v>
      </c>
      <c r="D5407" t="inlineStr">
        <is>
          <t>NIL</t>
        </is>
      </c>
      <c r="E5407" t="n">
        <v>2013</v>
      </c>
    </row>
    <row r="5408">
      <c r="A5408" t="inlineStr">
        <is>
          <t>27BBBBB05408Z5</t>
        </is>
      </c>
      <c r="B5408" t="inlineStr">
        <is>
          <t>Nov-2017</t>
        </is>
      </c>
      <c r="C5408" s="2" t="n">
        <v>43321</v>
      </c>
      <c r="D5408" t="inlineStr">
        <is>
          <t>NIL</t>
        </is>
      </c>
      <c r="E5408" t="n">
        <v>2267</v>
      </c>
    </row>
    <row r="5409">
      <c r="A5409" t="inlineStr">
        <is>
          <t>27BBBBB05409Z5</t>
        </is>
      </c>
      <c r="B5409" t="inlineStr">
        <is>
          <t>Nov-2018</t>
        </is>
      </c>
      <c r="C5409" s="2" t="n">
        <v>43240</v>
      </c>
      <c r="D5409" t="inlineStr">
        <is>
          <t>NIL</t>
        </is>
      </c>
      <c r="E5409" t="n">
        <v>2534</v>
      </c>
    </row>
    <row r="5410">
      <c r="A5410" t="inlineStr">
        <is>
          <t>27BBBBB05410Z5</t>
        </is>
      </c>
      <c r="B5410" t="inlineStr">
        <is>
          <t>Dec-2017</t>
        </is>
      </c>
      <c r="C5410" s="2" t="n">
        <v>44357</v>
      </c>
      <c r="D5410" t="inlineStr">
        <is>
          <t>NON-NIL</t>
        </is>
      </c>
      <c r="E5410" t="n">
        <v>1309</v>
      </c>
    </row>
    <row r="5411">
      <c r="A5411" t="inlineStr">
        <is>
          <t>27BBBBB05411Z5</t>
        </is>
      </c>
      <c r="B5411" t="inlineStr">
        <is>
          <t>Apr-2018</t>
        </is>
      </c>
      <c r="C5411" s="2" t="n">
        <v>43106</v>
      </c>
      <c r="D5411" t="inlineStr">
        <is>
          <t>NIL</t>
        </is>
      </c>
      <c r="E5411" t="n">
        <v>2170</v>
      </c>
    </row>
    <row r="5412">
      <c r="A5412" t="inlineStr">
        <is>
          <t>27BBBBB05412Z5</t>
        </is>
      </c>
      <c r="B5412" t="inlineStr">
        <is>
          <t>Oct-2018</t>
        </is>
      </c>
      <c r="C5412" s="2" t="n">
        <v>43018</v>
      </c>
      <c r="D5412" t="inlineStr">
        <is>
          <t>NON-NIL</t>
        </is>
      </c>
      <c r="E5412" t="n">
        <v>1306</v>
      </c>
    </row>
    <row r="5413">
      <c r="A5413" t="inlineStr">
        <is>
          <t>27BBBBB05413Z5</t>
        </is>
      </c>
      <c r="B5413" t="inlineStr">
        <is>
          <t>Apr-2018</t>
        </is>
      </c>
      <c r="C5413" s="2" t="n">
        <v>43493</v>
      </c>
      <c r="D5413" t="inlineStr">
        <is>
          <t>NIL</t>
        </is>
      </c>
      <c r="E5413" t="n">
        <v>1374</v>
      </c>
    </row>
    <row r="5414">
      <c r="A5414" t="inlineStr">
        <is>
          <t>27BBBBB05414Z5</t>
        </is>
      </c>
      <c r="B5414" t="inlineStr">
        <is>
          <t>Jul-2020</t>
        </is>
      </c>
      <c r="C5414" s="2" t="n">
        <v>44439</v>
      </c>
      <c r="D5414" t="inlineStr">
        <is>
          <t>NON-NIL</t>
        </is>
      </c>
      <c r="E5414" t="n">
        <v>1322</v>
      </c>
    </row>
    <row r="5415">
      <c r="A5415" t="inlineStr">
        <is>
          <t>27BBBBB05415Z5</t>
        </is>
      </c>
      <c r="B5415" t="inlineStr">
        <is>
          <t>Jun-2018</t>
        </is>
      </c>
      <c r="C5415" s="2" t="n">
        <v>43310</v>
      </c>
      <c r="D5415" t="inlineStr">
        <is>
          <t>NIL</t>
        </is>
      </c>
      <c r="E5415" t="n">
        <v>1208</v>
      </c>
    </row>
    <row r="5416">
      <c r="A5416" t="inlineStr">
        <is>
          <t>27BBBBB05416Z5</t>
        </is>
      </c>
      <c r="B5416" t="inlineStr">
        <is>
          <t>Oct-2017</t>
        </is>
      </c>
      <c r="C5416" s="2" t="n">
        <v>43329</v>
      </c>
      <c r="D5416" t="inlineStr">
        <is>
          <t>NON-NIL</t>
        </is>
      </c>
      <c r="E5416" t="n">
        <v>2537</v>
      </c>
    </row>
    <row r="5417">
      <c r="A5417" t="inlineStr">
        <is>
          <t>27BBBBB05417Z5</t>
        </is>
      </c>
      <c r="B5417" t="inlineStr">
        <is>
          <t>Aug-2017</t>
        </is>
      </c>
      <c r="C5417" s="2" t="n">
        <v>43893</v>
      </c>
      <c r="D5417" t="inlineStr">
        <is>
          <t>NIL</t>
        </is>
      </c>
      <c r="E5417" t="n">
        <v>647</v>
      </c>
    </row>
    <row r="5418">
      <c r="A5418" t="inlineStr">
        <is>
          <t>27BBBBB05418Z5</t>
        </is>
      </c>
      <c r="B5418" t="inlineStr">
        <is>
          <t>Jan-2021</t>
        </is>
      </c>
      <c r="C5418" s="2" t="n">
        <v>44692</v>
      </c>
      <c r="D5418" t="inlineStr">
        <is>
          <t>NIL</t>
        </is>
      </c>
      <c r="E5418" t="n">
        <v>1136</v>
      </c>
    </row>
    <row r="5419">
      <c r="A5419" t="inlineStr">
        <is>
          <t>27BBBBB05419Z5</t>
        </is>
      </c>
      <c r="B5419" t="inlineStr">
        <is>
          <t>Jun-2020</t>
        </is>
      </c>
      <c r="C5419" s="2" t="n">
        <v>44046</v>
      </c>
      <c r="D5419" t="inlineStr">
        <is>
          <t>NIL</t>
        </is>
      </c>
      <c r="E5419" t="n">
        <v>2826</v>
      </c>
    </row>
    <row r="5420">
      <c r="A5420" t="inlineStr">
        <is>
          <t>27BBBBB05420Z5</t>
        </is>
      </c>
      <c r="B5420" t="inlineStr">
        <is>
          <t>Oct-2018</t>
        </is>
      </c>
      <c r="C5420" s="2" t="n">
        <v>43117</v>
      </c>
      <c r="D5420" t="inlineStr">
        <is>
          <t>NON-NIL</t>
        </is>
      </c>
      <c r="E5420" t="n">
        <v>2256</v>
      </c>
    </row>
    <row r="5421">
      <c r="A5421" t="inlineStr">
        <is>
          <t>27BBBBB05421Z5</t>
        </is>
      </c>
      <c r="B5421" t="inlineStr">
        <is>
          <t>Sep-2018</t>
        </is>
      </c>
      <c r="C5421" s="2" t="n">
        <v>43970</v>
      </c>
      <c r="D5421" t="inlineStr">
        <is>
          <t>NON-NIL</t>
        </is>
      </c>
      <c r="E5421" t="n">
        <v>2030</v>
      </c>
    </row>
    <row r="5422">
      <c r="A5422" t="inlineStr">
        <is>
          <t>27BBBBB05422Z5</t>
        </is>
      </c>
      <c r="B5422" t="inlineStr">
        <is>
          <t>Mar-2021</t>
        </is>
      </c>
      <c r="C5422" s="2" t="n">
        <v>44925</v>
      </c>
      <c r="D5422" t="inlineStr">
        <is>
          <t>NIL</t>
        </is>
      </c>
      <c r="E5422" t="n">
        <v>2819</v>
      </c>
    </row>
    <row r="5423">
      <c r="A5423" t="inlineStr">
        <is>
          <t>27BBBBB05423Z5</t>
        </is>
      </c>
      <c r="B5423" t="inlineStr">
        <is>
          <t>Jul-2018</t>
        </is>
      </c>
      <c r="C5423" s="2" t="n">
        <v>42938</v>
      </c>
      <c r="D5423" t="inlineStr">
        <is>
          <t>NIL</t>
        </is>
      </c>
      <c r="E5423" t="n">
        <v>1130</v>
      </c>
    </row>
    <row r="5424">
      <c r="A5424" t="inlineStr">
        <is>
          <t>27BBBBB05424Z5</t>
        </is>
      </c>
      <c r="B5424" t="inlineStr">
        <is>
          <t>Mar-2023</t>
        </is>
      </c>
      <c r="C5424" s="2" t="n">
        <v>44749</v>
      </c>
      <c r="D5424" t="inlineStr">
        <is>
          <t>NON-NIL</t>
        </is>
      </c>
      <c r="E5424" t="n">
        <v>1400</v>
      </c>
    </row>
    <row r="5425">
      <c r="A5425" t="inlineStr">
        <is>
          <t>27BBBBB05425Z5</t>
        </is>
      </c>
      <c r="B5425" t="inlineStr">
        <is>
          <t>Oct-2018</t>
        </is>
      </c>
      <c r="C5425" s="2" t="n">
        <v>44159</v>
      </c>
      <c r="D5425" t="inlineStr">
        <is>
          <t>NON-NIL</t>
        </is>
      </c>
      <c r="E5425" t="n">
        <v>572</v>
      </c>
    </row>
    <row r="5426">
      <c r="A5426" t="inlineStr">
        <is>
          <t>27BBBBB05426Z5</t>
        </is>
      </c>
      <c r="B5426" t="inlineStr">
        <is>
          <t>Oct-2018</t>
        </is>
      </c>
      <c r="C5426" s="2" t="n">
        <v>43674</v>
      </c>
      <c r="D5426" t="inlineStr">
        <is>
          <t>NIL</t>
        </is>
      </c>
      <c r="E5426" t="n">
        <v>1908</v>
      </c>
    </row>
    <row r="5427">
      <c r="A5427" t="inlineStr">
        <is>
          <t>27BBBBB05427Z5</t>
        </is>
      </c>
      <c r="B5427" t="inlineStr">
        <is>
          <t>Jan-2018</t>
        </is>
      </c>
      <c r="C5427" s="2" t="n">
        <v>43848</v>
      </c>
      <c r="D5427" t="inlineStr">
        <is>
          <t>NIL</t>
        </is>
      </c>
      <c r="E5427" t="n">
        <v>680</v>
      </c>
    </row>
    <row r="5428">
      <c r="A5428" t="inlineStr">
        <is>
          <t>27BBBBB05428Z5</t>
        </is>
      </c>
      <c r="B5428" t="inlineStr">
        <is>
          <t>Jul-2018</t>
        </is>
      </c>
      <c r="C5428" s="2" t="n">
        <v>44326</v>
      </c>
      <c r="D5428" t="inlineStr">
        <is>
          <t>NON-NIL</t>
        </is>
      </c>
      <c r="E5428" t="n">
        <v>823</v>
      </c>
    </row>
    <row r="5429">
      <c r="A5429" t="inlineStr">
        <is>
          <t>27BBBBB05429Z5</t>
        </is>
      </c>
      <c r="B5429" t="inlineStr">
        <is>
          <t>Sep-2018</t>
        </is>
      </c>
      <c r="C5429" s="2" t="n">
        <v>43218</v>
      </c>
      <c r="D5429" t="inlineStr">
        <is>
          <t>NON-NIL</t>
        </is>
      </c>
      <c r="E5429" t="n">
        <v>1279</v>
      </c>
    </row>
    <row r="5430">
      <c r="A5430" t="inlineStr">
        <is>
          <t>27BBBBB05430Z5</t>
        </is>
      </c>
      <c r="B5430" t="inlineStr">
        <is>
          <t>Mar-2018</t>
        </is>
      </c>
      <c r="C5430" s="2" t="n">
        <v>44083</v>
      </c>
      <c r="D5430" t="inlineStr">
        <is>
          <t>NON-NIL</t>
        </is>
      </c>
      <c r="E5430" t="n">
        <v>2963</v>
      </c>
    </row>
    <row r="5431">
      <c r="A5431" t="inlineStr">
        <is>
          <t>27BBBBB05431Z5</t>
        </is>
      </c>
      <c r="B5431" t="inlineStr">
        <is>
          <t>Oct-2017</t>
        </is>
      </c>
      <c r="C5431" s="2" t="n">
        <v>43251</v>
      </c>
      <c r="D5431" t="inlineStr">
        <is>
          <t>NIL</t>
        </is>
      </c>
      <c r="E5431" t="n">
        <v>1546</v>
      </c>
    </row>
    <row r="5432">
      <c r="A5432" t="inlineStr">
        <is>
          <t>27BBBBB05432Z5</t>
        </is>
      </c>
      <c r="B5432" t="inlineStr">
        <is>
          <t>Mar-2020</t>
        </is>
      </c>
      <c r="C5432" s="2" t="n">
        <v>44475</v>
      </c>
      <c r="D5432" t="inlineStr">
        <is>
          <t>NIL</t>
        </is>
      </c>
      <c r="E5432" t="n">
        <v>1188</v>
      </c>
    </row>
    <row r="5433">
      <c r="A5433" t="inlineStr">
        <is>
          <t>27BBBBB05433Z5</t>
        </is>
      </c>
      <c r="B5433" t="inlineStr">
        <is>
          <t>May-2020</t>
        </is>
      </c>
      <c r="C5433" s="2" t="n">
        <v>44326</v>
      </c>
      <c r="D5433" t="inlineStr">
        <is>
          <t>NON-NIL</t>
        </is>
      </c>
      <c r="E5433" t="n">
        <v>2447</v>
      </c>
    </row>
    <row r="5434">
      <c r="A5434" t="inlineStr">
        <is>
          <t>27BBBBB05434Z5</t>
        </is>
      </c>
      <c r="B5434" t="inlineStr">
        <is>
          <t>Dec-2017</t>
        </is>
      </c>
      <c r="C5434" s="2" t="n">
        <v>43012</v>
      </c>
      <c r="D5434" t="inlineStr">
        <is>
          <t>NIL</t>
        </is>
      </c>
      <c r="E5434" t="n">
        <v>2374</v>
      </c>
    </row>
    <row r="5435">
      <c r="A5435" t="inlineStr">
        <is>
          <t>27BBBBB05435Z5</t>
        </is>
      </c>
      <c r="B5435" t="inlineStr">
        <is>
          <t>Oct-2017</t>
        </is>
      </c>
      <c r="C5435" s="2" t="n">
        <v>44507</v>
      </c>
      <c r="D5435" t="inlineStr">
        <is>
          <t>NIL</t>
        </is>
      </c>
      <c r="E5435" t="n">
        <v>1416</v>
      </c>
    </row>
    <row r="5436">
      <c r="A5436" t="inlineStr">
        <is>
          <t>27BBBBB05436Z5</t>
        </is>
      </c>
      <c r="B5436" t="inlineStr">
        <is>
          <t>Jul-2020</t>
        </is>
      </c>
      <c r="C5436" s="2" t="n">
        <v>44877</v>
      </c>
      <c r="D5436" t="inlineStr">
        <is>
          <t>NON-NIL</t>
        </is>
      </c>
      <c r="E5436" t="n">
        <v>965</v>
      </c>
    </row>
    <row r="5437">
      <c r="A5437" t="inlineStr">
        <is>
          <t>27BBBBB05437Z5</t>
        </is>
      </c>
      <c r="B5437" t="inlineStr">
        <is>
          <t>Dec-2024</t>
        </is>
      </c>
      <c r="C5437" s="2" t="n">
        <v>44743</v>
      </c>
      <c r="D5437" t="inlineStr">
        <is>
          <t>NIL</t>
        </is>
      </c>
      <c r="E5437" t="n">
        <v>550</v>
      </c>
    </row>
    <row r="5438">
      <c r="A5438" t="inlineStr">
        <is>
          <t>27BBBBB05438Z5</t>
        </is>
      </c>
      <c r="B5438" t="inlineStr">
        <is>
          <t>Apr-2020</t>
        </is>
      </c>
      <c r="C5438" s="2" t="n">
        <v>44823</v>
      </c>
      <c r="D5438" t="inlineStr">
        <is>
          <t>NIL</t>
        </is>
      </c>
      <c r="E5438" t="n">
        <v>2080</v>
      </c>
    </row>
    <row r="5439">
      <c r="A5439" t="inlineStr">
        <is>
          <t>27BBBBB05439Z5</t>
        </is>
      </c>
      <c r="B5439" t="inlineStr">
        <is>
          <t>Mar-2020</t>
        </is>
      </c>
      <c r="C5439" s="2" t="n">
        <v>44557</v>
      </c>
      <c r="D5439" t="inlineStr">
        <is>
          <t>NIL</t>
        </is>
      </c>
      <c r="E5439" t="n">
        <v>2079</v>
      </c>
    </row>
    <row r="5440">
      <c r="A5440" t="inlineStr">
        <is>
          <t>27BBBBB05440Z5</t>
        </is>
      </c>
      <c r="B5440" t="inlineStr">
        <is>
          <t>Dec-2022</t>
        </is>
      </c>
      <c r="C5440" s="2" t="n">
        <v>45399</v>
      </c>
      <c r="D5440" t="inlineStr">
        <is>
          <t>NIL</t>
        </is>
      </c>
      <c r="E5440" t="n">
        <v>1782</v>
      </c>
    </row>
    <row r="5441">
      <c r="A5441" t="inlineStr">
        <is>
          <t>27BBBBB05441Z5</t>
        </is>
      </c>
      <c r="B5441" t="inlineStr">
        <is>
          <t>Jun-2020</t>
        </is>
      </c>
      <c r="C5441" s="2" t="n">
        <v>44363</v>
      </c>
      <c r="D5441" t="inlineStr">
        <is>
          <t>NIL</t>
        </is>
      </c>
      <c r="E5441" t="n">
        <v>313</v>
      </c>
    </row>
    <row r="5442">
      <c r="A5442" t="inlineStr">
        <is>
          <t>27BBBBB05442Z5</t>
        </is>
      </c>
      <c r="B5442" t="inlineStr">
        <is>
          <t>Jan-2018</t>
        </is>
      </c>
      <c r="C5442" s="2" t="n">
        <v>43928</v>
      </c>
      <c r="D5442" t="inlineStr">
        <is>
          <t>NON-NIL</t>
        </is>
      </c>
      <c r="E5442" t="n">
        <v>2270</v>
      </c>
    </row>
    <row r="5443">
      <c r="A5443" t="inlineStr">
        <is>
          <t>27BBBBB05443Z5</t>
        </is>
      </c>
      <c r="B5443" t="inlineStr">
        <is>
          <t>Mar-2020</t>
        </is>
      </c>
      <c r="C5443" s="2" t="n">
        <v>44633</v>
      </c>
      <c r="D5443" t="inlineStr">
        <is>
          <t>NON-NIL</t>
        </is>
      </c>
      <c r="E5443" t="n">
        <v>2280</v>
      </c>
    </row>
    <row r="5444">
      <c r="A5444" t="inlineStr">
        <is>
          <t>27BBBBB05444Z5</t>
        </is>
      </c>
      <c r="B5444" t="inlineStr">
        <is>
          <t>Dec-2022</t>
        </is>
      </c>
      <c r="C5444" s="2" t="n">
        <v>43999</v>
      </c>
      <c r="D5444" t="inlineStr">
        <is>
          <t>NON-NIL</t>
        </is>
      </c>
      <c r="E5444" t="n">
        <v>911</v>
      </c>
    </row>
    <row r="5445">
      <c r="A5445" t="inlineStr">
        <is>
          <t>27BBBBB05445Z5</t>
        </is>
      </c>
      <c r="B5445" t="inlineStr">
        <is>
          <t>Oct-2018</t>
        </is>
      </c>
      <c r="C5445" s="2" t="n">
        <v>43695</v>
      </c>
      <c r="D5445" t="inlineStr">
        <is>
          <t>NIL</t>
        </is>
      </c>
      <c r="E5445" t="n">
        <v>1076</v>
      </c>
    </row>
    <row r="5446">
      <c r="A5446" t="inlineStr">
        <is>
          <t>27BBBBB05446Z5</t>
        </is>
      </c>
      <c r="B5446" t="inlineStr">
        <is>
          <t>Jul-2018</t>
        </is>
      </c>
      <c r="C5446" s="2" t="n">
        <v>43058</v>
      </c>
      <c r="D5446" t="inlineStr">
        <is>
          <t>NIL</t>
        </is>
      </c>
      <c r="E5446" t="n">
        <v>1355</v>
      </c>
    </row>
    <row r="5447">
      <c r="A5447" t="inlineStr">
        <is>
          <t>27BBBBB05447Z5</t>
        </is>
      </c>
      <c r="B5447" t="inlineStr">
        <is>
          <t>Jan-2021</t>
        </is>
      </c>
      <c r="C5447" s="2" t="n">
        <v>45806</v>
      </c>
      <c r="D5447" t="inlineStr">
        <is>
          <t>NIL</t>
        </is>
      </c>
      <c r="E5447" t="n">
        <v>457</v>
      </c>
    </row>
    <row r="5448">
      <c r="A5448" t="inlineStr">
        <is>
          <t>27BBBBB05448Z5</t>
        </is>
      </c>
      <c r="B5448" t="inlineStr">
        <is>
          <t>Dec-2018</t>
        </is>
      </c>
      <c r="C5448" s="2" t="n">
        <v>42964</v>
      </c>
      <c r="D5448" t="inlineStr">
        <is>
          <t>NON-NIL</t>
        </is>
      </c>
      <c r="E5448" t="n">
        <v>2732</v>
      </c>
    </row>
    <row r="5449">
      <c r="A5449" t="inlineStr">
        <is>
          <t>27BBBBB05449Z5</t>
        </is>
      </c>
      <c r="B5449" t="inlineStr">
        <is>
          <t>Apr-2018</t>
        </is>
      </c>
      <c r="C5449" s="2" t="n">
        <v>44507</v>
      </c>
      <c r="D5449" t="inlineStr">
        <is>
          <t>NON-NIL</t>
        </is>
      </c>
      <c r="E5449" t="n">
        <v>2494</v>
      </c>
    </row>
    <row r="5450">
      <c r="A5450" t="inlineStr">
        <is>
          <t>27BBBBB05450Z5</t>
        </is>
      </c>
      <c r="B5450" t="inlineStr">
        <is>
          <t>Apr-2018</t>
        </is>
      </c>
      <c r="C5450" s="2" t="n">
        <v>42969</v>
      </c>
      <c r="D5450" t="inlineStr">
        <is>
          <t>NON-NIL</t>
        </is>
      </c>
      <c r="E5450" t="n">
        <v>155</v>
      </c>
    </row>
    <row r="5451">
      <c r="A5451" t="inlineStr">
        <is>
          <t>27BBBBB05451Z5</t>
        </is>
      </c>
      <c r="B5451" t="inlineStr">
        <is>
          <t>Dec-2022</t>
        </is>
      </c>
      <c r="C5451" s="2" t="n">
        <v>44809</v>
      </c>
      <c r="D5451" t="inlineStr">
        <is>
          <t>NIL</t>
        </is>
      </c>
      <c r="E5451" t="n">
        <v>1365</v>
      </c>
    </row>
    <row r="5452">
      <c r="A5452" t="inlineStr">
        <is>
          <t>27BBBBB05452Z5</t>
        </is>
      </c>
      <c r="B5452" t="inlineStr">
        <is>
          <t>Mar-2020</t>
        </is>
      </c>
      <c r="C5452" s="2" t="n">
        <v>44390</v>
      </c>
      <c r="D5452" t="inlineStr">
        <is>
          <t>NIL</t>
        </is>
      </c>
      <c r="E5452" t="n">
        <v>1675</v>
      </c>
    </row>
    <row r="5453">
      <c r="A5453" t="inlineStr">
        <is>
          <t>27BBBBB05453Z5</t>
        </is>
      </c>
      <c r="B5453" t="inlineStr">
        <is>
          <t>Mar-2021</t>
        </is>
      </c>
      <c r="C5453" s="2" t="n">
        <v>43714</v>
      </c>
      <c r="D5453" t="inlineStr">
        <is>
          <t>NIL</t>
        </is>
      </c>
      <c r="E5453" t="n">
        <v>1352</v>
      </c>
    </row>
    <row r="5454">
      <c r="A5454" t="inlineStr">
        <is>
          <t>27BBBBB05454Z5</t>
        </is>
      </c>
      <c r="B5454" t="inlineStr">
        <is>
          <t>Aug-2018</t>
        </is>
      </c>
      <c r="C5454" s="2" t="n">
        <v>44214</v>
      </c>
      <c r="D5454" t="inlineStr">
        <is>
          <t>NIL</t>
        </is>
      </c>
      <c r="E5454" t="n">
        <v>1889</v>
      </c>
    </row>
    <row r="5455">
      <c r="A5455" t="inlineStr">
        <is>
          <t>27BBBBB05455Z5</t>
        </is>
      </c>
      <c r="B5455" t="inlineStr">
        <is>
          <t>Jul-2017</t>
        </is>
      </c>
      <c r="C5455" s="2" t="n">
        <v>43705</v>
      </c>
      <c r="D5455" t="inlineStr">
        <is>
          <t>NIL</t>
        </is>
      </c>
      <c r="E5455" t="n">
        <v>72</v>
      </c>
    </row>
    <row r="5456">
      <c r="A5456" t="inlineStr">
        <is>
          <t>27BBBBB05456Z5</t>
        </is>
      </c>
      <c r="B5456" t="inlineStr">
        <is>
          <t>Jun-2020</t>
        </is>
      </c>
      <c r="C5456" s="2" t="n">
        <v>44572</v>
      </c>
      <c r="D5456" t="inlineStr">
        <is>
          <t>NIL</t>
        </is>
      </c>
      <c r="E5456" t="n">
        <v>238</v>
      </c>
    </row>
    <row r="5457">
      <c r="A5457" t="inlineStr">
        <is>
          <t>27BBBBB05457Z5</t>
        </is>
      </c>
      <c r="B5457" t="inlineStr">
        <is>
          <t>Mar-2021</t>
        </is>
      </c>
      <c r="C5457" s="2" t="n">
        <v>43871</v>
      </c>
      <c r="D5457" t="inlineStr">
        <is>
          <t>NON-NIL</t>
        </is>
      </c>
      <c r="E5457" t="n">
        <v>429</v>
      </c>
    </row>
    <row r="5458">
      <c r="A5458" t="inlineStr">
        <is>
          <t>27BBBBB05458Z5</t>
        </is>
      </c>
      <c r="B5458" t="inlineStr">
        <is>
          <t>Apr-2020</t>
        </is>
      </c>
      <c r="C5458" s="2" t="n">
        <v>44575</v>
      </c>
      <c r="D5458" t="inlineStr">
        <is>
          <t>NIL</t>
        </is>
      </c>
      <c r="E5458" t="n">
        <v>1805</v>
      </c>
    </row>
    <row r="5459">
      <c r="A5459" t="inlineStr">
        <is>
          <t>27BBBBB05459Z5</t>
        </is>
      </c>
      <c r="B5459" t="inlineStr">
        <is>
          <t>Nov-2017</t>
        </is>
      </c>
      <c r="C5459" s="2" t="n">
        <v>44055</v>
      </c>
      <c r="D5459" t="inlineStr">
        <is>
          <t>NIL</t>
        </is>
      </c>
      <c r="E5459" t="n">
        <v>1889</v>
      </c>
    </row>
    <row r="5460">
      <c r="A5460" t="inlineStr">
        <is>
          <t>27BBBBB05460Z5</t>
        </is>
      </c>
      <c r="B5460" t="inlineStr">
        <is>
          <t>Oct-2018</t>
        </is>
      </c>
      <c r="C5460" s="2" t="n">
        <v>44445</v>
      </c>
      <c r="D5460" t="inlineStr">
        <is>
          <t>NON-NIL</t>
        </is>
      </c>
      <c r="E5460" t="n">
        <v>24</v>
      </c>
    </row>
    <row r="5461">
      <c r="A5461" t="inlineStr">
        <is>
          <t>27BBBBB05461Z5</t>
        </is>
      </c>
      <c r="B5461" t="inlineStr">
        <is>
          <t>Dec-2018</t>
        </is>
      </c>
      <c r="C5461" s="2" t="n">
        <v>44176</v>
      </c>
      <c r="D5461" t="inlineStr">
        <is>
          <t>NON-NIL</t>
        </is>
      </c>
      <c r="E5461" t="n">
        <v>1939</v>
      </c>
    </row>
    <row r="5462">
      <c r="A5462" t="inlineStr">
        <is>
          <t>27BBBBB05462Z5</t>
        </is>
      </c>
      <c r="B5462" t="inlineStr">
        <is>
          <t>Mar-2020</t>
        </is>
      </c>
      <c r="C5462" s="2" t="n">
        <v>44735</v>
      </c>
      <c r="D5462" t="inlineStr">
        <is>
          <t>NON-NIL</t>
        </is>
      </c>
      <c r="E5462" t="n">
        <v>2690</v>
      </c>
    </row>
    <row r="5463">
      <c r="A5463" t="inlineStr">
        <is>
          <t>27BBBBB05463Z5</t>
        </is>
      </c>
      <c r="B5463" t="inlineStr">
        <is>
          <t>Jan-2018</t>
        </is>
      </c>
      <c r="C5463" s="2" t="n">
        <v>43070</v>
      </c>
      <c r="D5463" t="inlineStr">
        <is>
          <t>NIL</t>
        </is>
      </c>
      <c r="E5463" t="n">
        <v>1484</v>
      </c>
    </row>
    <row r="5464">
      <c r="A5464" t="inlineStr">
        <is>
          <t>27BBBBB05464Z5</t>
        </is>
      </c>
      <c r="B5464" t="inlineStr">
        <is>
          <t>Jan-2021</t>
        </is>
      </c>
      <c r="C5464" s="2" t="n">
        <v>44655</v>
      </c>
      <c r="D5464" t="inlineStr">
        <is>
          <t>NON-NIL</t>
        </is>
      </c>
      <c r="E5464" t="n">
        <v>262</v>
      </c>
    </row>
    <row r="5465">
      <c r="A5465" t="inlineStr">
        <is>
          <t>27BBBBB05465Z5</t>
        </is>
      </c>
      <c r="B5465" t="inlineStr">
        <is>
          <t>Aug-2018</t>
        </is>
      </c>
      <c r="C5465" s="2" t="n">
        <v>43529</v>
      </c>
      <c r="D5465" t="inlineStr">
        <is>
          <t>NIL</t>
        </is>
      </c>
      <c r="E5465" t="n">
        <v>999</v>
      </c>
    </row>
    <row r="5466">
      <c r="A5466" t="inlineStr">
        <is>
          <t>27BBBBB05466Z5</t>
        </is>
      </c>
      <c r="B5466" t="inlineStr">
        <is>
          <t>Jul-2020</t>
        </is>
      </c>
      <c r="C5466" s="2" t="n">
        <v>44913</v>
      </c>
      <c r="D5466" t="inlineStr">
        <is>
          <t>NIL</t>
        </is>
      </c>
      <c r="E5466" t="n">
        <v>2128</v>
      </c>
    </row>
    <row r="5467">
      <c r="A5467" t="inlineStr">
        <is>
          <t>27BBBBB05467Z5</t>
        </is>
      </c>
      <c r="B5467" t="inlineStr">
        <is>
          <t>Dec-2018</t>
        </is>
      </c>
      <c r="C5467" s="2" t="n">
        <v>43398</v>
      </c>
      <c r="D5467" t="inlineStr">
        <is>
          <t>NON-NIL</t>
        </is>
      </c>
      <c r="E5467" t="n">
        <v>1891</v>
      </c>
    </row>
    <row r="5468">
      <c r="A5468" t="inlineStr">
        <is>
          <t>27BBBBB05468Z5</t>
        </is>
      </c>
      <c r="B5468" t="inlineStr">
        <is>
          <t>Jul-2017</t>
        </is>
      </c>
      <c r="C5468" s="2" t="n">
        <v>43000</v>
      </c>
      <c r="D5468" t="inlineStr">
        <is>
          <t>NON-NIL</t>
        </is>
      </c>
      <c r="E5468" t="n">
        <v>1032</v>
      </c>
    </row>
    <row r="5469">
      <c r="A5469" t="inlineStr">
        <is>
          <t>27BBBBB05469Z5</t>
        </is>
      </c>
      <c r="B5469" t="inlineStr">
        <is>
          <t>Dec-2024</t>
        </is>
      </c>
      <c r="C5469" s="2" t="n">
        <v>43896</v>
      </c>
      <c r="D5469" t="inlineStr">
        <is>
          <t>NON-NIL</t>
        </is>
      </c>
      <c r="E5469" t="n">
        <v>2258</v>
      </c>
    </row>
    <row r="5470">
      <c r="A5470" t="inlineStr">
        <is>
          <t>27BBBBB05470Z5</t>
        </is>
      </c>
      <c r="B5470" t="inlineStr">
        <is>
          <t>Dec-2022</t>
        </is>
      </c>
      <c r="C5470" s="2" t="n">
        <v>44028</v>
      </c>
      <c r="D5470" t="inlineStr">
        <is>
          <t>NON-NIL</t>
        </is>
      </c>
      <c r="E5470" t="n">
        <v>2991</v>
      </c>
    </row>
    <row r="5471">
      <c r="A5471" t="inlineStr">
        <is>
          <t>27BBBBB05471Z5</t>
        </is>
      </c>
      <c r="B5471" t="inlineStr">
        <is>
          <t>Jun-2018</t>
        </is>
      </c>
      <c r="C5471" s="2" t="n">
        <v>43919</v>
      </c>
      <c r="D5471" t="inlineStr">
        <is>
          <t>NIL</t>
        </is>
      </c>
      <c r="E5471" t="n">
        <v>2406</v>
      </c>
    </row>
    <row r="5472">
      <c r="A5472" t="inlineStr">
        <is>
          <t>27BBBBB05472Z5</t>
        </is>
      </c>
      <c r="B5472" t="inlineStr">
        <is>
          <t>Jun-2020</t>
        </is>
      </c>
      <c r="C5472" s="2" t="n">
        <v>44772</v>
      </c>
      <c r="D5472" t="inlineStr">
        <is>
          <t>NIL</t>
        </is>
      </c>
      <c r="E5472" t="n">
        <v>2596</v>
      </c>
    </row>
    <row r="5473">
      <c r="A5473" t="inlineStr">
        <is>
          <t>27BBBBB05473Z5</t>
        </is>
      </c>
      <c r="B5473" t="inlineStr">
        <is>
          <t>Mar-2021</t>
        </is>
      </c>
      <c r="C5473" s="2" t="n">
        <v>44258</v>
      </c>
      <c r="D5473" t="inlineStr">
        <is>
          <t>NIL</t>
        </is>
      </c>
      <c r="E5473" t="n">
        <v>2813</v>
      </c>
    </row>
    <row r="5474">
      <c r="A5474" t="inlineStr">
        <is>
          <t>27BBBBB05474Z5</t>
        </is>
      </c>
      <c r="B5474" t="inlineStr">
        <is>
          <t>Sep-2018</t>
        </is>
      </c>
      <c r="C5474" s="2" t="n">
        <v>43615</v>
      </c>
      <c r="D5474" t="inlineStr">
        <is>
          <t>NON-NIL</t>
        </is>
      </c>
      <c r="E5474" t="n">
        <v>1938</v>
      </c>
    </row>
    <row r="5475">
      <c r="A5475" t="inlineStr">
        <is>
          <t>27BBBBB05475Z5</t>
        </is>
      </c>
      <c r="B5475" t="inlineStr">
        <is>
          <t>Mar-2023</t>
        </is>
      </c>
      <c r="C5475" s="2" t="n">
        <v>45715</v>
      </c>
      <c r="D5475" t="inlineStr">
        <is>
          <t>NON-NIL</t>
        </is>
      </c>
      <c r="E5475" t="n">
        <v>2663</v>
      </c>
    </row>
    <row r="5476">
      <c r="A5476" t="inlineStr">
        <is>
          <t>27BBBBB05476Z5</t>
        </is>
      </c>
      <c r="B5476" t="inlineStr">
        <is>
          <t>Oct-2017</t>
        </is>
      </c>
      <c r="C5476" s="2" t="n">
        <v>43694</v>
      </c>
      <c r="D5476" t="inlineStr">
        <is>
          <t>NON-NIL</t>
        </is>
      </c>
      <c r="E5476" t="n">
        <v>2270</v>
      </c>
    </row>
    <row r="5477">
      <c r="A5477" t="inlineStr">
        <is>
          <t>27BBBBB05477Z5</t>
        </is>
      </c>
      <c r="B5477" t="inlineStr">
        <is>
          <t>Mar-2018</t>
        </is>
      </c>
      <c r="C5477" s="2" t="n">
        <v>43122</v>
      </c>
      <c r="D5477" t="inlineStr">
        <is>
          <t>NIL</t>
        </is>
      </c>
      <c r="E5477" t="n">
        <v>26</v>
      </c>
    </row>
    <row r="5478">
      <c r="A5478" t="inlineStr">
        <is>
          <t>27BBBBB05478Z5</t>
        </is>
      </c>
      <c r="B5478" t="inlineStr">
        <is>
          <t>Aug-2017</t>
        </is>
      </c>
      <c r="C5478" s="2" t="n">
        <v>44416</v>
      </c>
      <c r="D5478" t="inlineStr">
        <is>
          <t>NIL</t>
        </is>
      </c>
      <c r="E5478" t="n">
        <v>659</v>
      </c>
    </row>
    <row r="5479">
      <c r="A5479" t="inlineStr">
        <is>
          <t>27BBBBB05479Z5</t>
        </is>
      </c>
      <c r="B5479" t="inlineStr">
        <is>
          <t>Dec-2017</t>
        </is>
      </c>
      <c r="C5479" s="2" t="n">
        <v>42961</v>
      </c>
      <c r="D5479" t="inlineStr">
        <is>
          <t>NON-NIL</t>
        </is>
      </c>
      <c r="E5479" t="n">
        <v>1197</v>
      </c>
    </row>
    <row r="5480">
      <c r="A5480" t="inlineStr">
        <is>
          <t>27BBBBB05480Z5</t>
        </is>
      </c>
      <c r="B5480" t="inlineStr">
        <is>
          <t>Jul-2018</t>
        </is>
      </c>
      <c r="C5480" s="2" t="n">
        <v>43281</v>
      </c>
      <c r="D5480" t="inlineStr">
        <is>
          <t>NIL</t>
        </is>
      </c>
      <c r="E5480" t="n">
        <v>1720</v>
      </c>
    </row>
    <row r="5481">
      <c r="A5481" t="inlineStr">
        <is>
          <t>27BBBBB05481Z5</t>
        </is>
      </c>
      <c r="B5481" t="inlineStr">
        <is>
          <t>May-2020</t>
        </is>
      </c>
      <c r="C5481" s="2" t="n">
        <v>44707</v>
      </c>
      <c r="D5481" t="inlineStr">
        <is>
          <t>NON-NIL</t>
        </is>
      </c>
      <c r="E5481" t="n">
        <v>704</v>
      </c>
    </row>
    <row r="5482">
      <c r="A5482" t="inlineStr">
        <is>
          <t>27BBBBB05482Z5</t>
        </is>
      </c>
      <c r="B5482" t="inlineStr">
        <is>
          <t>Apr-2020</t>
        </is>
      </c>
      <c r="C5482" s="2" t="n">
        <v>44857</v>
      </c>
      <c r="D5482" t="inlineStr">
        <is>
          <t>NIL</t>
        </is>
      </c>
      <c r="E5482" t="n">
        <v>1706</v>
      </c>
    </row>
    <row r="5483">
      <c r="A5483" t="inlineStr">
        <is>
          <t>27BBBBB05483Z5</t>
        </is>
      </c>
      <c r="B5483" t="inlineStr">
        <is>
          <t>Mar-2021</t>
        </is>
      </c>
      <c r="C5483" s="2" t="n">
        <v>43813</v>
      </c>
      <c r="D5483" t="inlineStr">
        <is>
          <t>NON-NIL</t>
        </is>
      </c>
      <c r="E5483" t="n">
        <v>2922</v>
      </c>
    </row>
    <row r="5484">
      <c r="A5484" t="inlineStr">
        <is>
          <t>27BBBBB05484Z5</t>
        </is>
      </c>
      <c r="B5484" t="inlineStr">
        <is>
          <t>Sep-2017</t>
        </is>
      </c>
      <c r="C5484" s="2" t="n">
        <v>44398</v>
      </c>
      <c r="D5484" t="inlineStr">
        <is>
          <t>NIL</t>
        </is>
      </c>
      <c r="E5484" t="n">
        <v>743</v>
      </c>
    </row>
    <row r="5485">
      <c r="A5485" t="inlineStr">
        <is>
          <t>27BBBBB05485Z5</t>
        </is>
      </c>
      <c r="B5485" t="inlineStr">
        <is>
          <t>Dec-2024</t>
        </is>
      </c>
      <c r="C5485" s="2" t="n">
        <v>45526</v>
      </c>
      <c r="D5485" t="inlineStr">
        <is>
          <t>NIL</t>
        </is>
      </c>
      <c r="E5485" t="n">
        <v>2444</v>
      </c>
    </row>
    <row r="5486">
      <c r="A5486" t="inlineStr">
        <is>
          <t>27BBBBB05486Z5</t>
        </is>
      </c>
      <c r="B5486" t="inlineStr">
        <is>
          <t>Jul-2018</t>
        </is>
      </c>
      <c r="C5486" s="2" t="n">
        <v>43329</v>
      </c>
      <c r="D5486" t="inlineStr">
        <is>
          <t>NIL</t>
        </is>
      </c>
      <c r="E5486" t="n">
        <v>723</v>
      </c>
    </row>
    <row r="5487">
      <c r="A5487" t="inlineStr">
        <is>
          <t>27BBBBB05487Z5</t>
        </is>
      </c>
      <c r="B5487" t="inlineStr">
        <is>
          <t>Aug-2018</t>
        </is>
      </c>
      <c r="C5487" s="2" t="n">
        <v>43556</v>
      </c>
      <c r="D5487" t="inlineStr">
        <is>
          <t>NIL</t>
        </is>
      </c>
      <c r="E5487" t="n">
        <v>2290</v>
      </c>
    </row>
    <row r="5488">
      <c r="A5488" t="inlineStr">
        <is>
          <t>27BBBBB05488Z5</t>
        </is>
      </c>
      <c r="B5488" t="inlineStr">
        <is>
          <t>Aug-2017</t>
        </is>
      </c>
      <c r="C5488" s="2" t="n">
        <v>43389</v>
      </c>
      <c r="D5488" t="inlineStr">
        <is>
          <t>NIL</t>
        </is>
      </c>
      <c r="E5488" t="n">
        <v>1419</v>
      </c>
    </row>
    <row r="5489">
      <c r="A5489" t="inlineStr">
        <is>
          <t>27BBBBB05489Z5</t>
        </is>
      </c>
      <c r="B5489" t="inlineStr">
        <is>
          <t>Oct-2017</t>
        </is>
      </c>
      <c r="C5489" s="2" t="n">
        <v>44203</v>
      </c>
      <c r="D5489" t="inlineStr">
        <is>
          <t>NIL</t>
        </is>
      </c>
      <c r="E5489" t="n">
        <v>695</v>
      </c>
    </row>
    <row r="5490">
      <c r="A5490" t="inlineStr">
        <is>
          <t>27BBBBB05490Z5</t>
        </is>
      </c>
      <c r="B5490" t="inlineStr">
        <is>
          <t>Jan-2021</t>
        </is>
      </c>
      <c r="C5490" s="2" t="n">
        <v>45230</v>
      </c>
      <c r="D5490" t="inlineStr">
        <is>
          <t>NON-NIL</t>
        </is>
      </c>
      <c r="E5490" t="n">
        <v>2631</v>
      </c>
    </row>
    <row r="5491">
      <c r="A5491" t="inlineStr">
        <is>
          <t>27BBBBB05491Z5</t>
        </is>
      </c>
      <c r="B5491" t="inlineStr">
        <is>
          <t>Dec-2022</t>
        </is>
      </c>
      <c r="C5491" s="2" t="n">
        <v>45621</v>
      </c>
      <c r="D5491" t="inlineStr">
        <is>
          <t>NIL</t>
        </is>
      </c>
      <c r="E5491" t="n">
        <v>2867</v>
      </c>
    </row>
    <row r="5492">
      <c r="A5492" t="inlineStr">
        <is>
          <t>27BBBBB05492Z5</t>
        </is>
      </c>
      <c r="B5492" t="inlineStr">
        <is>
          <t>Dec-2022</t>
        </is>
      </c>
      <c r="C5492" s="2" t="n">
        <v>45275</v>
      </c>
      <c r="D5492" t="inlineStr">
        <is>
          <t>NON-NIL</t>
        </is>
      </c>
      <c r="E5492" t="n">
        <v>715</v>
      </c>
    </row>
    <row r="5493">
      <c r="A5493" t="inlineStr">
        <is>
          <t>27BBBBB05493Z5</t>
        </is>
      </c>
      <c r="B5493" t="inlineStr">
        <is>
          <t>Mar-2020</t>
        </is>
      </c>
      <c r="C5493" s="2" t="n">
        <v>44208</v>
      </c>
      <c r="D5493" t="inlineStr">
        <is>
          <t>NON-NIL</t>
        </is>
      </c>
      <c r="E5493" t="n">
        <v>1917</v>
      </c>
    </row>
    <row r="5494">
      <c r="A5494" t="inlineStr">
        <is>
          <t>27BBBBB05494Z5</t>
        </is>
      </c>
      <c r="B5494" t="inlineStr">
        <is>
          <t>Nov-2018</t>
        </is>
      </c>
      <c r="C5494" s="2" t="n">
        <v>43320</v>
      </c>
      <c r="D5494" t="inlineStr">
        <is>
          <t>NON-NIL</t>
        </is>
      </c>
      <c r="E5494" t="n">
        <v>958</v>
      </c>
    </row>
    <row r="5495">
      <c r="A5495" t="inlineStr">
        <is>
          <t>27BBBBB05495Z5</t>
        </is>
      </c>
      <c r="B5495" t="inlineStr">
        <is>
          <t>Aug-2018</t>
        </is>
      </c>
      <c r="C5495" s="2" t="n">
        <v>44004</v>
      </c>
      <c r="D5495" t="inlineStr">
        <is>
          <t>NIL</t>
        </is>
      </c>
      <c r="E5495" t="n">
        <v>522</v>
      </c>
    </row>
    <row r="5496">
      <c r="A5496" t="inlineStr">
        <is>
          <t>27BBBBB05496Z5</t>
        </is>
      </c>
      <c r="B5496" t="inlineStr">
        <is>
          <t>Feb-2018</t>
        </is>
      </c>
      <c r="C5496" s="2" t="n">
        <v>42952</v>
      </c>
      <c r="D5496" t="inlineStr">
        <is>
          <t>NON-NIL</t>
        </is>
      </c>
      <c r="E5496" t="n">
        <v>2828</v>
      </c>
    </row>
    <row r="5497">
      <c r="A5497" t="inlineStr">
        <is>
          <t>27BBBBB05497Z5</t>
        </is>
      </c>
      <c r="B5497" t="inlineStr">
        <is>
          <t>Feb-2018</t>
        </is>
      </c>
      <c r="C5497" s="2" t="n">
        <v>43221</v>
      </c>
      <c r="D5497" t="inlineStr">
        <is>
          <t>NON-NIL</t>
        </is>
      </c>
      <c r="E5497" t="n">
        <v>566</v>
      </c>
    </row>
    <row r="5498">
      <c r="A5498" t="inlineStr">
        <is>
          <t>27BBBBB05498Z5</t>
        </is>
      </c>
      <c r="B5498" t="inlineStr">
        <is>
          <t>Aug-2018</t>
        </is>
      </c>
      <c r="C5498" s="2" t="n">
        <v>43016</v>
      </c>
      <c r="D5498" t="inlineStr">
        <is>
          <t>NIL</t>
        </is>
      </c>
      <c r="E5498" t="n">
        <v>280</v>
      </c>
    </row>
    <row r="5499">
      <c r="A5499" t="inlineStr">
        <is>
          <t>27BBBBB05499Z5</t>
        </is>
      </c>
      <c r="B5499" t="inlineStr">
        <is>
          <t>May-2020</t>
        </is>
      </c>
      <c r="C5499" s="2" t="n">
        <v>44012</v>
      </c>
      <c r="D5499" t="inlineStr">
        <is>
          <t>NIL</t>
        </is>
      </c>
      <c r="E5499" t="n">
        <v>758</v>
      </c>
    </row>
    <row r="5500">
      <c r="A5500" t="inlineStr">
        <is>
          <t>27BBBBB05500Z5</t>
        </is>
      </c>
      <c r="B5500" t="inlineStr">
        <is>
          <t>Feb-2018</t>
        </is>
      </c>
      <c r="C5500" s="2" t="n">
        <v>42950</v>
      </c>
      <c r="D5500" t="inlineStr">
        <is>
          <t>NON-NIL</t>
        </is>
      </c>
      <c r="E5500" t="n">
        <v>870</v>
      </c>
    </row>
    <row r="5501">
      <c r="A5501" t="inlineStr">
        <is>
          <t>27BBBBB05501Z5</t>
        </is>
      </c>
      <c r="B5501" t="inlineStr">
        <is>
          <t>Nov-2018</t>
        </is>
      </c>
      <c r="C5501" s="2" t="n">
        <v>43994</v>
      </c>
      <c r="D5501" t="inlineStr">
        <is>
          <t>NIL</t>
        </is>
      </c>
      <c r="E5501" t="n">
        <v>313</v>
      </c>
    </row>
    <row r="5502">
      <c r="A5502" t="inlineStr">
        <is>
          <t>27BBBBB05502Z5</t>
        </is>
      </c>
      <c r="B5502" t="inlineStr">
        <is>
          <t>May-2020</t>
        </is>
      </c>
      <c r="C5502" s="2" t="n">
        <v>44121</v>
      </c>
      <c r="D5502" t="inlineStr">
        <is>
          <t>NIL</t>
        </is>
      </c>
      <c r="E5502" t="n">
        <v>357</v>
      </c>
    </row>
    <row r="5503">
      <c r="A5503" t="inlineStr">
        <is>
          <t>27BBBBB05503Z5</t>
        </is>
      </c>
      <c r="B5503" t="inlineStr">
        <is>
          <t>Nov-2017</t>
        </is>
      </c>
      <c r="C5503" s="2" t="n">
        <v>43457</v>
      </c>
      <c r="D5503" t="inlineStr">
        <is>
          <t>NIL</t>
        </is>
      </c>
      <c r="E5503" t="n">
        <v>2794</v>
      </c>
    </row>
    <row r="5504">
      <c r="A5504" t="inlineStr">
        <is>
          <t>27BBBBB05504Z5</t>
        </is>
      </c>
      <c r="B5504" t="inlineStr">
        <is>
          <t>Dec-2022</t>
        </is>
      </c>
      <c r="C5504" s="2" t="n">
        <v>45167</v>
      </c>
      <c r="D5504" t="inlineStr">
        <is>
          <t>NON-NIL</t>
        </is>
      </c>
      <c r="E5504" t="n">
        <v>522</v>
      </c>
    </row>
    <row r="5505">
      <c r="A5505" t="inlineStr">
        <is>
          <t>27BBBBB05505Z5</t>
        </is>
      </c>
      <c r="B5505" t="inlineStr">
        <is>
          <t>Mar-2023</t>
        </is>
      </c>
      <c r="C5505" s="2" t="n">
        <v>43855</v>
      </c>
      <c r="D5505" t="inlineStr">
        <is>
          <t>NIL</t>
        </is>
      </c>
      <c r="E5505" t="n">
        <v>317</v>
      </c>
    </row>
    <row r="5506">
      <c r="A5506" t="inlineStr">
        <is>
          <t>27BBBBB05506Z5</t>
        </is>
      </c>
      <c r="B5506" t="inlineStr">
        <is>
          <t>Aug-2017</t>
        </is>
      </c>
      <c r="C5506" s="2" t="n">
        <v>43824</v>
      </c>
      <c r="D5506" t="inlineStr">
        <is>
          <t>NON-NIL</t>
        </is>
      </c>
      <c r="E5506" t="n">
        <v>1362</v>
      </c>
    </row>
    <row r="5507">
      <c r="A5507" t="inlineStr">
        <is>
          <t>27BBBBB05507Z5</t>
        </is>
      </c>
      <c r="B5507" t="inlineStr">
        <is>
          <t>Dec-2017</t>
        </is>
      </c>
      <c r="C5507" s="2" t="n">
        <v>43013</v>
      </c>
      <c r="D5507" t="inlineStr">
        <is>
          <t>NON-NIL</t>
        </is>
      </c>
      <c r="E5507" t="n">
        <v>2883</v>
      </c>
    </row>
    <row r="5508">
      <c r="A5508" t="inlineStr">
        <is>
          <t>27BBBBB05508Z5</t>
        </is>
      </c>
      <c r="B5508" t="inlineStr">
        <is>
          <t>Aug-2017</t>
        </is>
      </c>
      <c r="C5508" s="2" t="n">
        <v>42987</v>
      </c>
      <c r="D5508" t="inlineStr">
        <is>
          <t>NIL</t>
        </is>
      </c>
      <c r="E5508" t="n">
        <v>273</v>
      </c>
    </row>
    <row r="5509">
      <c r="A5509" t="inlineStr">
        <is>
          <t>27BBBBB05509Z5</t>
        </is>
      </c>
      <c r="B5509" t="inlineStr">
        <is>
          <t>Apr-2020</t>
        </is>
      </c>
      <c r="C5509" s="2" t="n">
        <v>44776</v>
      </c>
      <c r="D5509" t="inlineStr">
        <is>
          <t>NIL</t>
        </is>
      </c>
      <c r="E5509" t="n">
        <v>1317</v>
      </c>
    </row>
    <row r="5510">
      <c r="A5510" t="inlineStr">
        <is>
          <t>27BBBBB05510Z5</t>
        </is>
      </c>
      <c r="B5510" t="inlineStr">
        <is>
          <t>Nov-2018</t>
        </is>
      </c>
      <c r="C5510" s="2" t="n">
        <v>42974</v>
      </c>
      <c r="D5510" t="inlineStr">
        <is>
          <t>NON-NIL</t>
        </is>
      </c>
      <c r="E5510" t="n">
        <v>2571</v>
      </c>
    </row>
    <row r="5511">
      <c r="A5511" t="inlineStr">
        <is>
          <t>27BBBBB05511Z5</t>
        </is>
      </c>
      <c r="B5511" t="inlineStr">
        <is>
          <t>Oct-2017</t>
        </is>
      </c>
      <c r="C5511" s="2" t="n">
        <v>43087</v>
      </c>
      <c r="D5511" t="inlineStr">
        <is>
          <t>NIL</t>
        </is>
      </c>
      <c r="E5511" t="n">
        <v>1322</v>
      </c>
    </row>
    <row r="5512">
      <c r="A5512" t="inlineStr">
        <is>
          <t>27BBBBB05512Z5</t>
        </is>
      </c>
      <c r="B5512" t="inlineStr">
        <is>
          <t>Jul-2017</t>
        </is>
      </c>
      <c r="C5512" s="2" t="n">
        <v>44277</v>
      </c>
      <c r="D5512" t="inlineStr">
        <is>
          <t>NON-NIL</t>
        </is>
      </c>
      <c r="E5512" t="n">
        <v>439</v>
      </c>
    </row>
    <row r="5513">
      <c r="A5513" t="inlineStr">
        <is>
          <t>27BBBBB05513Z5</t>
        </is>
      </c>
      <c r="B5513" t="inlineStr">
        <is>
          <t>Dec-2017</t>
        </is>
      </c>
      <c r="C5513" s="2" t="n">
        <v>43247</v>
      </c>
      <c r="D5513" t="inlineStr">
        <is>
          <t>NON-NIL</t>
        </is>
      </c>
      <c r="E5513" t="n">
        <v>244</v>
      </c>
    </row>
    <row r="5514">
      <c r="A5514" t="inlineStr">
        <is>
          <t>27BBBBB05514Z5</t>
        </is>
      </c>
      <c r="B5514" t="inlineStr">
        <is>
          <t>Mar-2023</t>
        </is>
      </c>
      <c r="C5514" s="2" t="n">
        <v>43776</v>
      </c>
      <c r="D5514" t="inlineStr">
        <is>
          <t>NIL</t>
        </is>
      </c>
      <c r="E5514" t="n">
        <v>682</v>
      </c>
    </row>
    <row r="5515">
      <c r="A5515" t="inlineStr">
        <is>
          <t>27BBBBB05515Z5</t>
        </is>
      </c>
      <c r="B5515" t="inlineStr">
        <is>
          <t>Nov-2018</t>
        </is>
      </c>
      <c r="C5515" s="2" t="n">
        <v>43850</v>
      </c>
      <c r="D5515" t="inlineStr">
        <is>
          <t>NON-NIL</t>
        </is>
      </c>
      <c r="E5515" t="n">
        <v>245</v>
      </c>
    </row>
    <row r="5516">
      <c r="A5516" t="inlineStr">
        <is>
          <t>27BBBBB05516Z5</t>
        </is>
      </c>
      <c r="B5516" t="inlineStr">
        <is>
          <t>Nov-2018</t>
        </is>
      </c>
      <c r="C5516" s="2" t="n">
        <v>43289</v>
      </c>
      <c r="D5516" t="inlineStr">
        <is>
          <t>NON-NIL</t>
        </is>
      </c>
      <c r="E5516" t="n">
        <v>1914</v>
      </c>
    </row>
    <row r="5517">
      <c r="A5517" t="inlineStr">
        <is>
          <t>27BBBBB05517Z5</t>
        </is>
      </c>
      <c r="B5517" t="inlineStr">
        <is>
          <t>Dec-2022</t>
        </is>
      </c>
      <c r="C5517" s="2" t="n">
        <v>43636</v>
      </c>
      <c r="D5517" t="inlineStr">
        <is>
          <t>NIL</t>
        </is>
      </c>
      <c r="E5517" t="n">
        <v>2318</v>
      </c>
    </row>
    <row r="5518">
      <c r="A5518" t="inlineStr">
        <is>
          <t>27BBBBB05518Z5</t>
        </is>
      </c>
      <c r="B5518" t="inlineStr">
        <is>
          <t>Aug-2017</t>
        </is>
      </c>
      <c r="C5518" s="2" t="n">
        <v>44123</v>
      </c>
      <c r="D5518" t="inlineStr">
        <is>
          <t>NON-NIL</t>
        </is>
      </c>
      <c r="E5518" t="n">
        <v>1008</v>
      </c>
    </row>
    <row r="5519">
      <c r="A5519" t="inlineStr">
        <is>
          <t>27BBBBB05519Z5</t>
        </is>
      </c>
      <c r="B5519" t="inlineStr">
        <is>
          <t>Dec-2018</t>
        </is>
      </c>
      <c r="C5519" s="2" t="n">
        <v>42933</v>
      </c>
      <c r="D5519" t="inlineStr">
        <is>
          <t>NON-NIL</t>
        </is>
      </c>
      <c r="E5519" t="n">
        <v>2525</v>
      </c>
    </row>
    <row r="5520">
      <c r="A5520" t="inlineStr">
        <is>
          <t>27BBBBB05520Z5</t>
        </is>
      </c>
      <c r="B5520" t="inlineStr">
        <is>
          <t>Mar-2020</t>
        </is>
      </c>
      <c r="C5520" s="2" t="n">
        <v>44024</v>
      </c>
      <c r="D5520" t="inlineStr">
        <is>
          <t>NON-NIL</t>
        </is>
      </c>
      <c r="E5520" t="n">
        <v>2478</v>
      </c>
    </row>
    <row r="5521">
      <c r="A5521" t="inlineStr">
        <is>
          <t>27BBBBB05521Z5</t>
        </is>
      </c>
      <c r="B5521" t="inlineStr">
        <is>
          <t>Feb-2018</t>
        </is>
      </c>
      <c r="C5521" s="2" t="n">
        <v>43926</v>
      </c>
      <c r="D5521" t="inlineStr">
        <is>
          <t>NIL</t>
        </is>
      </c>
      <c r="E5521" t="n">
        <v>2458</v>
      </c>
    </row>
    <row r="5522">
      <c r="A5522" t="inlineStr">
        <is>
          <t>27BBBBB05522Z5</t>
        </is>
      </c>
      <c r="B5522" t="inlineStr">
        <is>
          <t>Sep-2017</t>
        </is>
      </c>
      <c r="C5522" s="2" t="n">
        <v>42981</v>
      </c>
      <c r="D5522" t="inlineStr">
        <is>
          <t>NON-NIL</t>
        </is>
      </c>
      <c r="E5522" t="n">
        <v>1515</v>
      </c>
    </row>
    <row r="5523">
      <c r="A5523" t="inlineStr">
        <is>
          <t>27BBBBB05523Z5</t>
        </is>
      </c>
      <c r="B5523" t="inlineStr">
        <is>
          <t>Oct-2017</t>
        </is>
      </c>
      <c r="C5523" s="2" t="n">
        <v>43537</v>
      </c>
      <c r="D5523" t="inlineStr">
        <is>
          <t>NIL</t>
        </is>
      </c>
      <c r="E5523" t="n">
        <v>1047</v>
      </c>
    </row>
    <row r="5524">
      <c r="A5524" t="inlineStr">
        <is>
          <t>27BBBBB05524Z5</t>
        </is>
      </c>
      <c r="B5524" t="inlineStr">
        <is>
          <t>Jul-2018</t>
        </is>
      </c>
      <c r="C5524" s="2" t="n">
        <v>44359</v>
      </c>
      <c r="D5524" t="inlineStr">
        <is>
          <t>NIL</t>
        </is>
      </c>
      <c r="E5524" t="n">
        <v>2026</v>
      </c>
    </row>
    <row r="5525">
      <c r="A5525" t="inlineStr">
        <is>
          <t>27BBBBB05525Z5</t>
        </is>
      </c>
      <c r="B5525" t="inlineStr">
        <is>
          <t>May-2018</t>
        </is>
      </c>
      <c r="C5525" s="2" t="n">
        <v>44456</v>
      </c>
      <c r="D5525" t="inlineStr">
        <is>
          <t>NON-NIL</t>
        </is>
      </c>
      <c r="E5525" t="n">
        <v>263</v>
      </c>
    </row>
    <row r="5526">
      <c r="A5526" t="inlineStr">
        <is>
          <t>27BBBBB05526Z5</t>
        </is>
      </c>
      <c r="B5526" t="inlineStr">
        <is>
          <t>Aug-2017</t>
        </is>
      </c>
      <c r="C5526" s="2" t="n">
        <v>44076</v>
      </c>
      <c r="D5526" t="inlineStr">
        <is>
          <t>NON-NIL</t>
        </is>
      </c>
      <c r="E5526" t="n">
        <v>2275</v>
      </c>
    </row>
    <row r="5527">
      <c r="A5527" t="inlineStr">
        <is>
          <t>27BBBBB05527Z5</t>
        </is>
      </c>
      <c r="B5527" t="inlineStr">
        <is>
          <t>Feb-2018</t>
        </is>
      </c>
      <c r="C5527" s="2" t="n">
        <v>44542</v>
      </c>
      <c r="D5527" t="inlineStr">
        <is>
          <t>NON-NIL</t>
        </is>
      </c>
      <c r="E5527" t="n">
        <v>2209</v>
      </c>
    </row>
    <row r="5528">
      <c r="A5528" t="inlineStr">
        <is>
          <t>27BBBBB05528Z5</t>
        </is>
      </c>
      <c r="B5528" t="inlineStr">
        <is>
          <t>Jan-2021</t>
        </is>
      </c>
      <c r="C5528" s="2" t="n">
        <v>44446</v>
      </c>
      <c r="D5528" t="inlineStr">
        <is>
          <t>NON-NIL</t>
        </is>
      </c>
      <c r="E5528" t="n">
        <v>2441</v>
      </c>
    </row>
    <row r="5529">
      <c r="A5529" t="inlineStr">
        <is>
          <t>27BBBBB05529Z5</t>
        </is>
      </c>
      <c r="B5529" t="inlineStr">
        <is>
          <t>Sep-2017</t>
        </is>
      </c>
      <c r="C5529" s="2" t="n">
        <v>43243</v>
      </c>
      <c r="D5529" t="inlineStr">
        <is>
          <t>NON-NIL</t>
        </is>
      </c>
      <c r="E5529" t="n">
        <v>1374</v>
      </c>
    </row>
    <row r="5530">
      <c r="A5530" t="inlineStr">
        <is>
          <t>27BBBBB05530Z5</t>
        </is>
      </c>
      <c r="B5530" t="inlineStr">
        <is>
          <t>Feb-2018</t>
        </is>
      </c>
      <c r="C5530" s="2" t="n">
        <v>43771</v>
      </c>
      <c r="D5530" t="inlineStr">
        <is>
          <t>NIL</t>
        </is>
      </c>
      <c r="E5530" t="n">
        <v>1233</v>
      </c>
    </row>
    <row r="5531">
      <c r="A5531" t="inlineStr">
        <is>
          <t>27BBBBB05531Z5</t>
        </is>
      </c>
      <c r="B5531" t="inlineStr">
        <is>
          <t>Dec-2024</t>
        </is>
      </c>
      <c r="C5531" s="2" t="n">
        <v>45403</v>
      </c>
      <c r="D5531" t="inlineStr">
        <is>
          <t>NIL</t>
        </is>
      </c>
      <c r="E5531" t="n">
        <v>1449</v>
      </c>
    </row>
    <row r="5532">
      <c r="A5532" t="inlineStr">
        <is>
          <t>27BBBBB05532Z5</t>
        </is>
      </c>
      <c r="B5532" t="inlineStr">
        <is>
          <t>Dec-2017</t>
        </is>
      </c>
      <c r="C5532" s="2" t="n">
        <v>44483</v>
      </c>
      <c r="D5532" t="inlineStr">
        <is>
          <t>NIL</t>
        </is>
      </c>
      <c r="E5532" t="n">
        <v>2796</v>
      </c>
    </row>
    <row r="5533">
      <c r="A5533" t="inlineStr">
        <is>
          <t>27BBBBB05533Z5</t>
        </is>
      </c>
      <c r="B5533" t="inlineStr">
        <is>
          <t>Jan-2018</t>
        </is>
      </c>
      <c r="C5533" s="2" t="n">
        <v>44416</v>
      </c>
      <c r="D5533" t="inlineStr">
        <is>
          <t>NON-NIL</t>
        </is>
      </c>
      <c r="E5533" t="n">
        <v>1951</v>
      </c>
    </row>
    <row r="5534">
      <c r="A5534" t="inlineStr">
        <is>
          <t>27BBBBB05534Z5</t>
        </is>
      </c>
      <c r="B5534" t="inlineStr">
        <is>
          <t>May-2018</t>
        </is>
      </c>
      <c r="C5534" s="2" t="n">
        <v>42944</v>
      </c>
      <c r="D5534" t="inlineStr">
        <is>
          <t>NIL</t>
        </is>
      </c>
      <c r="E5534" t="n">
        <v>1982</v>
      </c>
    </row>
    <row r="5535">
      <c r="A5535" t="inlineStr">
        <is>
          <t>27BBBBB05535Z5</t>
        </is>
      </c>
      <c r="B5535" t="inlineStr">
        <is>
          <t>Dec-2018</t>
        </is>
      </c>
      <c r="C5535" s="2" t="n">
        <v>43312</v>
      </c>
      <c r="D5535" t="inlineStr">
        <is>
          <t>NON-NIL</t>
        </is>
      </c>
      <c r="E5535" t="n">
        <v>2994</v>
      </c>
    </row>
    <row r="5536">
      <c r="A5536" t="inlineStr">
        <is>
          <t>27BBBBB05536Z5</t>
        </is>
      </c>
      <c r="B5536" t="inlineStr">
        <is>
          <t>Aug-2018</t>
        </is>
      </c>
      <c r="C5536" s="2" t="n">
        <v>43309</v>
      </c>
      <c r="D5536" t="inlineStr">
        <is>
          <t>NON-NIL</t>
        </is>
      </c>
      <c r="E5536" t="n">
        <v>1106</v>
      </c>
    </row>
    <row r="5537">
      <c r="A5537" t="inlineStr">
        <is>
          <t>27BBBBB05537Z5</t>
        </is>
      </c>
      <c r="B5537" t="inlineStr">
        <is>
          <t>Mar-2023</t>
        </is>
      </c>
      <c r="C5537" s="2" t="n">
        <v>43609</v>
      </c>
      <c r="D5537" t="inlineStr">
        <is>
          <t>NON-NIL</t>
        </is>
      </c>
      <c r="E5537" t="n">
        <v>2160</v>
      </c>
    </row>
    <row r="5538">
      <c r="A5538" t="inlineStr">
        <is>
          <t>27BBBBB05538Z5</t>
        </is>
      </c>
      <c r="B5538" t="inlineStr">
        <is>
          <t>May-2018</t>
        </is>
      </c>
      <c r="C5538" s="2" t="n">
        <v>43953</v>
      </c>
      <c r="D5538" t="inlineStr">
        <is>
          <t>NIL</t>
        </is>
      </c>
      <c r="E5538" t="n">
        <v>411</v>
      </c>
    </row>
    <row r="5539">
      <c r="A5539" t="inlineStr">
        <is>
          <t>27BBBBB05539Z5</t>
        </is>
      </c>
      <c r="B5539" t="inlineStr">
        <is>
          <t>Dec-2018</t>
        </is>
      </c>
      <c r="C5539" s="2" t="n">
        <v>43677</v>
      </c>
      <c r="D5539" t="inlineStr">
        <is>
          <t>NON-NIL</t>
        </is>
      </c>
      <c r="E5539" t="n">
        <v>1844</v>
      </c>
    </row>
    <row r="5540">
      <c r="A5540" t="inlineStr">
        <is>
          <t>27BBBBB05540Z5</t>
        </is>
      </c>
      <c r="B5540" t="inlineStr">
        <is>
          <t>Oct-2018</t>
        </is>
      </c>
      <c r="C5540" s="2" t="n">
        <v>43090</v>
      </c>
      <c r="D5540" t="inlineStr">
        <is>
          <t>NON-NIL</t>
        </is>
      </c>
      <c r="E5540" t="n">
        <v>95</v>
      </c>
    </row>
    <row r="5541">
      <c r="A5541" t="inlineStr">
        <is>
          <t>27BBBBB05541Z5</t>
        </is>
      </c>
      <c r="B5541" t="inlineStr">
        <is>
          <t>Sep-2018</t>
        </is>
      </c>
      <c r="C5541" s="2" t="n">
        <v>43841</v>
      </c>
      <c r="D5541" t="inlineStr">
        <is>
          <t>NON-NIL</t>
        </is>
      </c>
      <c r="E5541" t="n">
        <v>1934</v>
      </c>
    </row>
    <row r="5542">
      <c r="A5542" t="inlineStr">
        <is>
          <t>27BBBBB05542Z5</t>
        </is>
      </c>
      <c r="B5542" t="inlineStr">
        <is>
          <t>Aug-2018</t>
        </is>
      </c>
      <c r="C5542" s="2" t="n">
        <v>43804</v>
      </c>
      <c r="D5542" t="inlineStr">
        <is>
          <t>NIL</t>
        </is>
      </c>
      <c r="E5542" t="n">
        <v>1891</v>
      </c>
    </row>
    <row r="5543">
      <c r="A5543" t="inlineStr">
        <is>
          <t>27BBBBB05543Z5</t>
        </is>
      </c>
      <c r="B5543" t="inlineStr">
        <is>
          <t>Sep-2017</t>
        </is>
      </c>
      <c r="C5543" s="2" t="n">
        <v>43036</v>
      </c>
      <c r="D5543" t="inlineStr">
        <is>
          <t>NON-NIL</t>
        </is>
      </c>
      <c r="E5543" t="n">
        <v>423</v>
      </c>
    </row>
    <row r="5544">
      <c r="A5544" t="inlineStr">
        <is>
          <t>27BBBBB05544Z5</t>
        </is>
      </c>
      <c r="B5544" t="inlineStr">
        <is>
          <t>Aug-2017</t>
        </is>
      </c>
      <c r="C5544" s="2" t="n">
        <v>43500</v>
      </c>
      <c r="D5544" t="inlineStr">
        <is>
          <t>NIL</t>
        </is>
      </c>
      <c r="E5544" t="n">
        <v>135</v>
      </c>
    </row>
    <row r="5545">
      <c r="A5545" t="inlineStr">
        <is>
          <t>27BBBBB05545Z5</t>
        </is>
      </c>
      <c r="B5545" t="inlineStr">
        <is>
          <t>Feb-2018</t>
        </is>
      </c>
      <c r="C5545" s="2" t="n">
        <v>42959</v>
      </c>
      <c r="D5545" t="inlineStr">
        <is>
          <t>NON-NIL</t>
        </is>
      </c>
      <c r="E5545" t="n">
        <v>846</v>
      </c>
    </row>
    <row r="5546">
      <c r="A5546" t="inlineStr">
        <is>
          <t>27BBBBB05546Z5</t>
        </is>
      </c>
      <c r="B5546" t="inlineStr">
        <is>
          <t>Jul-2020</t>
        </is>
      </c>
      <c r="C5546" s="2" t="n">
        <v>44545</v>
      </c>
      <c r="D5546" t="inlineStr">
        <is>
          <t>NIL</t>
        </is>
      </c>
      <c r="E5546" t="n">
        <v>2301</v>
      </c>
    </row>
    <row r="5547">
      <c r="A5547" t="inlineStr">
        <is>
          <t>27BBBBB05547Z5</t>
        </is>
      </c>
      <c r="B5547" t="inlineStr">
        <is>
          <t>Jul-2018</t>
        </is>
      </c>
      <c r="C5547" s="2" t="n">
        <v>44000</v>
      </c>
      <c r="D5547" t="inlineStr">
        <is>
          <t>NIL</t>
        </is>
      </c>
      <c r="E5547" t="n">
        <v>2050</v>
      </c>
    </row>
    <row r="5548">
      <c r="A5548" t="inlineStr">
        <is>
          <t>27BBBBB05548Z5</t>
        </is>
      </c>
      <c r="B5548" t="inlineStr">
        <is>
          <t>Sep-2017</t>
        </is>
      </c>
      <c r="C5548" s="2" t="n">
        <v>43576</v>
      </c>
      <c r="D5548" t="inlineStr">
        <is>
          <t>NON-NIL</t>
        </is>
      </c>
      <c r="E5548" t="n">
        <v>2196</v>
      </c>
    </row>
    <row r="5549">
      <c r="A5549" t="inlineStr">
        <is>
          <t>27BBBBB05549Z5</t>
        </is>
      </c>
      <c r="B5549" t="inlineStr">
        <is>
          <t>Jul-2017</t>
        </is>
      </c>
      <c r="C5549" s="2" t="n">
        <v>42936</v>
      </c>
      <c r="D5549" t="inlineStr">
        <is>
          <t>NON-NIL</t>
        </is>
      </c>
      <c r="E5549" t="n">
        <v>2669</v>
      </c>
    </row>
    <row r="5550">
      <c r="A5550" t="inlineStr">
        <is>
          <t>27BBBBB05550Z5</t>
        </is>
      </c>
      <c r="B5550" t="inlineStr">
        <is>
          <t>Dec-2024</t>
        </is>
      </c>
      <c r="C5550" s="2" t="n">
        <v>45765</v>
      </c>
      <c r="D5550" t="inlineStr">
        <is>
          <t>NON-NIL</t>
        </is>
      </c>
      <c r="E5550" t="n">
        <v>476</v>
      </c>
    </row>
    <row r="5551">
      <c r="A5551" t="inlineStr">
        <is>
          <t>27BBBBB05551Z5</t>
        </is>
      </c>
      <c r="B5551" t="inlineStr">
        <is>
          <t>Aug-2018</t>
        </is>
      </c>
      <c r="C5551" s="2" t="n">
        <v>44155</v>
      </c>
      <c r="D5551" t="inlineStr">
        <is>
          <t>NIL</t>
        </is>
      </c>
      <c r="E5551" t="n">
        <v>254</v>
      </c>
    </row>
    <row r="5552">
      <c r="A5552" t="inlineStr">
        <is>
          <t>27BBBBB05552Z5</t>
        </is>
      </c>
      <c r="B5552" t="inlineStr">
        <is>
          <t>Mar-2023</t>
        </is>
      </c>
      <c r="C5552" s="2" t="n">
        <v>45598</v>
      </c>
      <c r="D5552" t="inlineStr">
        <is>
          <t>NON-NIL</t>
        </is>
      </c>
      <c r="E5552" t="n">
        <v>1005</v>
      </c>
    </row>
    <row r="5553">
      <c r="A5553" t="inlineStr">
        <is>
          <t>27BBBBB05553Z5</t>
        </is>
      </c>
      <c r="B5553" t="inlineStr">
        <is>
          <t>Mar-2018</t>
        </is>
      </c>
      <c r="C5553" s="2" t="n">
        <v>44379</v>
      </c>
      <c r="D5553" t="inlineStr">
        <is>
          <t>NON-NIL</t>
        </is>
      </c>
      <c r="E5553" t="n">
        <v>1340</v>
      </c>
    </row>
    <row r="5554">
      <c r="A5554" t="inlineStr">
        <is>
          <t>27BBBBB05554Z5</t>
        </is>
      </c>
      <c r="B5554" t="inlineStr">
        <is>
          <t>May-2018</t>
        </is>
      </c>
      <c r="C5554" s="2" t="n">
        <v>43041</v>
      </c>
      <c r="D5554" t="inlineStr">
        <is>
          <t>NON-NIL</t>
        </is>
      </c>
      <c r="E5554" t="n">
        <v>1218</v>
      </c>
    </row>
    <row r="5555">
      <c r="A5555" t="inlineStr">
        <is>
          <t>27BBBBB05555Z5</t>
        </is>
      </c>
      <c r="B5555" t="inlineStr">
        <is>
          <t>Nov-2018</t>
        </is>
      </c>
      <c r="C5555" s="2" t="n">
        <v>43120</v>
      </c>
      <c r="D5555" t="inlineStr">
        <is>
          <t>NON-NIL</t>
        </is>
      </c>
      <c r="E5555" t="n">
        <v>1225</v>
      </c>
    </row>
    <row r="5556">
      <c r="A5556" t="inlineStr">
        <is>
          <t>27BBBBB05556Z5</t>
        </is>
      </c>
      <c r="B5556" t="inlineStr">
        <is>
          <t>Apr-2018</t>
        </is>
      </c>
      <c r="C5556" s="2" t="n">
        <v>43402</v>
      </c>
      <c r="D5556" t="inlineStr">
        <is>
          <t>NON-NIL</t>
        </is>
      </c>
      <c r="E5556" t="n">
        <v>1149</v>
      </c>
    </row>
    <row r="5557">
      <c r="A5557" t="inlineStr">
        <is>
          <t>27BBBBB05557Z5</t>
        </is>
      </c>
      <c r="B5557" t="inlineStr">
        <is>
          <t>Aug-2018</t>
        </is>
      </c>
      <c r="C5557" s="2" t="n">
        <v>44443</v>
      </c>
      <c r="D5557" t="inlineStr">
        <is>
          <t>NIL</t>
        </is>
      </c>
      <c r="E5557" t="n">
        <v>1637</v>
      </c>
    </row>
    <row r="5558">
      <c r="A5558" t="inlineStr">
        <is>
          <t>27BBBBB05558Z5</t>
        </is>
      </c>
      <c r="B5558" t="inlineStr">
        <is>
          <t>Jul-2018</t>
        </is>
      </c>
      <c r="C5558" s="2" t="n">
        <v>43274</v>
      </c>
      <c r="D5558" t="inlineStr">
        <is>
          <t>NON-NIL</t>
        </is>
      </c>
      <c r="E5558" t="n">
        <v>887</v>
      </c>
    </row>
    <row r="5559">
      <c r="A5559" t="inlineStr">
        <is>
          <t>27BBBBB05559Z5</t>
        </is>
      </c>
      <c r="B5559" t="inlineStr">
        <is>
          <t>Apr-2020</t>
        </is>
      </c>
      <c r="C5559" s="2" t="n">
        <v>44535</v>
      </c>
      <c r="D5559" t="inlineStr">
        <is>
          <t>NIL</t>
        </is>
      </c>
      <c r="E5559" t="n">
        <v>2396</v>
      </c>
    </row>
    <row r="5560">
      <c r="A5560" t="inlineStr">
        <is>
          <t>27BBBBB05560Z5</t>
        </is>
      </c>
      <c r="B5560" t="inlineStr">
        <is>
          <t>Jul-2020</t>
        </is>
      </c>
      <c r="C5560" s="2" t="n">
        <v>44900</v>
      </c>
      <c r="D5560" t="inlineStr">
        <is>
          <t>NIL</t>
        </is>
      </c>
      <c r="E5560" t="n">
        <v>2926</v>
      </c>
    </row>
    <row r="5561">
      <c r="A5561" t="inlineStr">
        <is>
          <t>27BBBBB05561Z5</t>
        </is>
      </c>
      <c r="B5561" t="inlineStr">
        <is>
          <t>Mar-2023</t>
        </is>
      </c>
      <c r="C5561" s="2" t="n">
        <v>44400</v>
      </c>
      <c r="D5561" t="inlineStr">
        <is>
          <t>NIL</t>
        </is>
      </c>
      <c r="E5561" t="n">
        <v>772</v>
      </c>
    </row>
    <row r="5562">
      <c r="A5562" t="inlineStr">
        <is>
          <t>27BBBBB05562Z5</t>
        </is>
      </c>
      <c r="B5562" t="inlineStr">
        <is>
          <t>Mar-2018</t>
        </is>
      </c>
      <c r="C5562" s="2" t="n">
        <v>44351</v>
      </c>
      <c r="D5562" t="inlineStr">
        <is>
          <t>NON-NIL</t>
        </is>
      </c>
      <c r="E5562" t="n">
        <v>325</v>
      </c>
    </row>
    <row r="5563">
      <c r="A5563" t="inlineStr">
        <is>
          <t>27BBBBB05563Z5</t>
        </is>
      </c>
      <c r="B5563" t="inlineStr">
        <is>
          <t>May-2018</t>
        </is>
      </c>
      <c r="C5563" s="2" t="n">
        <v>43607</v>
      </c>
      <c r="D5563" t="inlineStr">
        <is>
          <t>NIL</t>
        </is>
      </c>
      <c r="E5563" t="n">
        <v>2350</v>
      </c>
    </row>
    <row r="5564">
      <c r="A5564" t="inlineStr">
        <is>
          <t>27BBBBB05564Z5</t>
        </is>
      </c>
      <c r="B5564" t="inlineStr">
        <is>
          <t>Jan-2021</t>
        </is>
      </c>
      <c r="C5564" s="2" t="n">
        <v>44118</v>
      </c>
      <c r="D5564" t="inlineStr">
        <is>
          <t>NON-NIL</t>
        </is>
      </c>
      <c r="E5564" t="n">
        <v>1888</v>
      </c>
    </row>
    <row r="5565">
      <c r="A5565" t="inlineStr">
        <is>
          <t>27BBBBB05565Z5</t>
        </is>
      </c>
      <c r="B5565" t="inlineStr">
        <is>
          <t>Oct-2018</t>
        </is>
      </c>
      <c r="C5565" s="2" t="n">
        <v>44305</v>
      </c>
      <c r="D5565" t="inlineStr">
        <is>
          <t>NON-NIL</t>
        </is>
      </c>
      <c r="E5565" t="n">
        <v>364</v>
      </c>
    </row>
    <row r="5566">
      <c r="A5566" t="inlineStr">
        <is>
          <t>27BBBBB05566Z5</t>
        </is>
      </c>
      <c r="B5566" t="inlineStr">
        <is>
          <t>Jan-2018</t>
        </is>
      </c>
      <c r="C5566" s="2" t="n">
        <v>43673</v>
      </c>
      <c r="D5566" t="inlineStr">
        <is>
          <t>NON-NIL</t>
        </is>
      </c>
      <c r="E5566" t="n">
        <v>480</v>
      </c>
    </row>
    <row r="5567">
      <c r="A5567" t="inlineStr">
        <is>
          <t>27BBBBB05567Z5</t>
        </is>
      </c>
      <c r="B5567" t="inlineStr">
        <is>
          <t>Dec-2022</t>
        </is>
      </c>
      <c r="C5567" s="2" t="n">
        <v>45072</v>
      </c>
      <c r="D5567" t="inlineStr">
        <is>
          <t>NIL</t>
        </is>
      </c>
      <c r="E5567" t="n">
        <v>239</v>
      </c>
    </row>
    <row r="5568">
      <c r="A5568" t="inlineStr">
        <is>
          <t>27BBBBB05568Z5</t>
        </is>
      </c>
      <c r="B5568" t="inlineStr">
        <is>
          <t>Sep-2017</t>
        </is>
      </c>
      <c r="C5568" s="2" t="n">
        <v>43336</v>
      </c>
      <c r="D5568" t="inlineStr">
        <is>
          <t>NIL</t>
        </is>
      </c>
      <c r="E5568" t="n">
        <v>477</v>
      </c>
    </row>
    <row r="5569">
      <c r="A5569" t="inlineStr">
        <is>
          <t>27BBBBB05569Z5</t>
        </is>
      </c>
      <c r="B5569" t="inlineStr">
        <is>
          <t>Feb-2018</t>
        </is>
      </c>
      <c r="C5569" s="2" t="n">
        <v>44522</v>
      </c>
      <c r="D5569" t="inlineStr">
        <is>
          <t>NON-NIL</t>
        </is>
      </c>
      <c r="E5569" t="n">
        <v>2054</v>
      </c>
    </row>
    <row r="5570">
      <c r="A5570" t="inlineStr">
        <is>
          <t>27BBBBB05570Z5</t>
        </is>
      </c>
      <c r="B5570" t="inlineStr">
        <is>
          <t>Sep-2018</t>
        </is>
      </c>
      <c r="C5570" s="2" t="n">
        <v>43055</v>
      </c>
      <c r="D5570" t="inlineStr">
        <is>
          <t>NON-NIL</t>
        </is>
      </c>
      <c r="E5570" t="n">
        <v>2696</v>
      </c>
    </row>
    <row r="5571">
      <c r="A5571" t="inlineStr">
        <is>
          <t>27BBBBB05571Z5</t>
        </is>
      </c>
      <c r="B5571" t="inlineStr">
        <is>
          <t>Apr-2020</t>
        </is>
      </c>
      <c r="C5571" s="2" t="n">
        <v>44775</v>
      </c>
      <c r="D5571" t="inlineStr">
        <is>
          <t>NIL</t>
        </is>
      </c>
      <c r="E5571" t="n">
        <v>2341</v>
      </c>
    </row>
    <row r="5572">
      <c r="A5572" t="inlineStr">
        <is>
          <t>27BBBBB05572Z5</t>
        </is>
      </c>
      <c r="B5572" t="inlineStr">
        <is>
          <t>Dec-2024</t>
        </is>
      </c>
      <c r="C5572" s="2" t="n">
        <v>44455</v>
      </c>
      <c r="D5572" t="inlineStr">
        <is>
          <t>NIL</t>
        </is>
      </c>
      <c r="E5572" t="n">
        <v>2352</v>
      </c>
    </row>
    <row r="5573">
      <c r="A5573" t="inlineStr">
        <is>
          <t>27BBBBB05573Z5</t>
        </is>
      </c>
      <c r="B5573" t="inlineStr">
        <is>
          <t>Aug-2017</t>
        </is>
      </c>
      <c r="C5573" s="2" t="n">
        <v>44512</v>
      </c>
      <c r="D5573" t="inlineStr">
        <is>
          <t>NON-NIL</t>
        </is>
      </c>
      <c r="E5573" t="n">
        <v>1933</v>
      </c>
    </row>
    <row r="5574">
      <c r="A5574" t="inlineStr">
        <is>
          <t>27BBBBB05574Z5</t>
        </is>
      </c>
      <c r="B5574" t="inlineStr">
        <is>
          <t>Nov-2017</t>
        </is>
      </c>
      <c r="C5574" s="2" t="n">
        <v>43571</v>
      </c>
      <c r="D5574" t="inlineStr">
        <is>
          <t>NON-NIL</t>
        </is>
      </c>
      <c r="E5574" t="n">
        <v>199</v>
      </c>
    </row>
    <row r="5575">
      <c r="A5575" t="inlineStr">
        <is>
          <t>27BBBBB05575Z5</t>
        </is>
      </c>
      <c r="B5575" t="inlineStr">
        <is>
          <t>Mar-2023</t>
        </is>
      </c>
      <c r="C5575" s="2" t="n">
        <v>43678</v>
      </c>
      <c r="D5575" t="inlineStr">
        <is>
          <t>NIL</t>
        </is>
      </c>
      <c r="E5575" t="n">
        <v>1698</v>
      </c>
    </row>
    <row r="5576">
      <c r="A5576" t="inlineStr">
        <is>
          <t>27BBBBB05576Z5</t>
        </is>
      </c>
      <c r="B5576" t="inlineStr">
        <is>
          <t>Dec-2017</t>
        </is>
      </c>
      <c r="C5576" s="2" t="n">
        <v>44214</v>
      </c>
      <c r="D5576" t="inlineStr">
        <is>
          <t>NON-NIL</t>
        </is>
      </c>
      <c r="E5576" t="n">
        <v>106</v>
      </c>
    </row>
    <row r="5577">
      <c r="A5577" t="inlineStr">
        <is>
          <t>27BBBBB05577Z5</t>
        </is>
      </c>
      <c r="B5577" t="inlineStr">
        <is>
          <t>Mar-2020</t>
        </is>
      </c>
      <c r="C5577" s="2" t="n">
        <v>44387</v>
      </c>
      <c r="D5577" t="inlineStr">
        <is>
          <t>NON-NIL</t>
        </is>
      </c>
      <c r="E5577" t="n">
        <v>2886</v>
      </c>
    </row>
    <row r="5578">
      <c r="A5578" t="inlineStr">
        <is>
          <t>27BBBBB05578Z5</t>
        </is>
      </c>
      <c r="B5578" t="inlineStr">
        <is>
          <t>Jul-2018</t>
        </is>
      </c>
      <c r="C5578" s="2" t="n">
        <v>44282</v>
      </c>
      <c r="D5578" t="inlineStr">
        <is>
          <t>NON-NIL</t>
        </is>
      </c>
      <c r="E5578" t="n">
        <v>15</v>
      </c>
    </row>
    <row r="5579">
      <c r="A5579" t="inlineStr">
        <is>
          <t>27BBBBB05579Z5</t>
        </is>
      </c>
      <c r="B5579" t="inlineStr">
        <is>
          <t>May-2018</t>
        </is>
      </c>
      <c r="C5579" s="2" t="n">
        <v>42920</v>
      </c>
      <c r="D5579" t="inlineStr">
        <is>
          <t>NON-NIL</t>
        </is>
      </c>
      <c r="E5579" t="n">
        <v>2117</v>
      </c>
    </row>
    <row r="5580">
      <c r="A5580" t="inlineStr">
        <is>
          <t>27BBBBB05580Z5</t>
        </is>
      </c>
      <c r="B5580" t="inlineStr">
        <is>
          <t>Mar-2020</t>
        </is>
      </c>
      <c r="C5580" s="2" t="n">
        <v>43884</v>
      </c>
      <c r="D5580" t="inlineStr">
        <is>
          <t>NIL</t>
        </is>
      </c>
      <c r="E5580" t="n">
        <v>1488</v>
      </c>
    </row>
    <row r="5581">
      <c r="A5581" t="inlineStr">
        <is>
          <t>27BBBBB05581Z5</t>
        </is>
      </c>
      <c r="B5581" t="inlineStr">
        <is>
          <t>Jan-2021</t>
        </is>
      </c>
      <c r="C5581" s="2" t="n">
        <v>44980</v>
      </c>
      <c r="D5581" t="inlineStr">
        <is>
          <t>NIL</t>
        </is>
      </c>
      <c r="E5581" t="n">
        <v>2070</v>
      </c>
    </row>
    <row r="5582">
      <c r="A5582" t="inlineStr">
        <is>
          <t>27BBBBB05582Z5</t>
        </is>
      </c>
      <c r="B5582" t="inlineStr">
        <is>
          <t>Nov-2018</t>
        </is>
      </c>
      <c r="C5582" s="2" t="n">
        <v>44490</v>
      </c>
      <c r="D5582" t="inlineStr">
        <is>
          <t>NON-NIL</t>
        </is>
      </c>
      <c r="E5582" t="n">
        <v>809</v>
      </c>
    </row>
    <row r="5583">
      <c r="A5583" t="inlineStr">
        <is>
          <t>27BBBBB05583Z5</t>
        </is>
      </c>
      <c r="B5583" t="inlineStr">
        <is>
          <t>Sep-2018</t>
        </is>
      </c>
      <c r="C5583" s="2" t="n">
        <v>44224</v>
      </c>
      <c r="D5583" t="inlineStr">
        <is>
          <t>NON-NIL</t>
        </is>
      </c>
      <c r="E5583" t="n">
        <v>104</v>
      </c>
    </row>
    <row r="5584">
      <c r="A5584" t="inlineStr">
        <is>
          <t>27BBBBB05584Z5</t>
        </is>
      </c>
      <c r="B5584" t="inlineStr">
        <is>
          <t>Sep-2018</t>
        </is>
      </c>
      <c r="C5584" s="2" t="n">
        <v>44266</v>
      </c>
      <c r="D5584" t="inlineStr">
        <is>
          <t>NIL</t>
        </is>
      </c>
      <c r="E5584" t="n">
        <v>1077</v>
      </c>
    </row>
    <row r="5585">
      <c r="A5585" t="inlineStr">
        <is>
          <t>27BBBBB05585Z5</t>
        </is>
      </c>
      <c r="B5585" t="inlineStr">
        <is>
          <t>Oct-2017</t>
        </is>
      </c>
      <c r="C5585" s="2" t="n">
        <v>44107</v>
      </c>
      <c r="D5585" t="inlineStr">
        <is>
          <t>NIL</t>
        </is>
      </c>
      <c r="E5585" t="n">
        <v>710</v>
      </c>
    </row>
    <row r="5586">
      <c r="A5586" t="inlineStr">
        <is>
          <t>27BBBBB05586Z5</t>
        </is>
      </c>
      <c r="B5586" t="inlineStr">
        <is>
          <t>Mar-2018</t>
        </is>
      </c>
      <c r="C5586" s="2" t="n">
        <v>43164</v>
      </c>
      <c r="D5586" t="inlineStr">
        <is>
          <t>NON-NIL</t>
        </is>
      </c>
      <c r="E5586" t="n">
        <v>2781</v>
      </c>
    </row>
    <row r="5587">
      <c r="A5587" t="inlineStr">
        <is>
          <t>27BBBBB05587Z5</t>
        </is>
      </c>
      <c r="B5587" t="inlineStr">
        <is>
          <t>Mar-2021</t>
        </is>
      </c>
      <c r="C5587" s="2" t="n">
        <v>43892</v>
      </c>
      <c r="D5587" t="inlineStr">
        <is>
          <t>NON-NIL</t>
        </is>
      </c>
      <c r="E5587" t="n">
        <v>1834</v>
      </c>
    </row>
    <row r="5588">
      <c r="A5588" t="inlineStr">
        <is>
          <t>27BBBBB05588Z5</t>
        </is>
      </c>
      <c r="B5588" t="inlineStr">
        <is>
          <t>Nov-2017</t>
        </is>
      </c>
      <c r="C5588" s="2" t="n">
        <v>43307</v>
      </c>
      <c r="D5588" t="inlineStr">
        <is>
          <t>NON-NIL</t>
        </is>
      </c>
      <c r="E5588" t="n">
        <v>2335</v>
      </c>
    </row>
    <row r="5589">
      <c r="A5589" t="inlineStr">
        <is>
          <t>27BBBBB05589Z5</t>
        </is>
      </c>
      <c r="B5589" t="inlineStr">
        <is>
          <t>May-2020</t>
        </is>
      </c>
      <c r="C5589" s="2" t="n">
        <v>44732</v>
      </c>
      <c r="D5589" t="inlineStr">
        <is>
          <t>NIL</t>
        </is>
      </c>
      <c r="E5589" t="n">
        <v>131</v>
      </c>
    </row>
    <row r="5590">
      <c r="A5590" t="inlineStr">
        <is>
          <t>27BBBBB05590Z5</t>
        </is>
      </c>
      <c r="B5590" t="inlineStr">
        <is>
          <t>Mar-2020</t>
        </is>
      </c>
      <c r="C5590" s="2" t="n">
        <v>43861</v>
      </c>
      <c r="D5590" t="inlineStr">
        <is>
          <t>NON-NIL</t>
        </is>
      </c>
      <c r="E5590" t="n">
        <v>918</v>
      </c>
    </row>
    <row r="5591">
      <c r="A5591" t="inlineStr">
        <is>
          <t>27BBBBB05591Z5</t>
        </is>
      </c>
      <c r="B5591" t="inlineStr">
        <is>
          <t>Dec-2022</t>
        </is>
      </c>
      <c r="C5591" s="2" t="n">
        <v>44263</v>
      </c>
      <c r="D5591" t="inlineStr">
        <is>
          <t>NIL</t>
        </is>
      </c>
      <c r="E5591" t="n">
        <v>474</v>
      </c>
    </row>
    <row r="5592">
      <c r="A5592" t="inlineStr">
        <is>
          <t>27BBBBB05592Z5</t>
        </is>
      </c>
      <c r="B5592" t="inlineStr">
        <is>
          <t>Jun-2020</t>
        </is>
      </c>
      <c r="C5592" s="2" t="n">
        <v>44159</v>
      </c>
      <c r="D5592" t="inlineStr">
        <is>
          <t>NON-NIL</t>
        </is>
      </c>
      <c r="E5592" t="n">
        <v>509</v>
      </c>
    </row>
    <row r="5593">
      <c r="A5593" t="inlineStr">
        <is>
          <t>27BBBBB05593Z5</t>
        </is>
      </c>
      <c r="B5593" t="inlineStr">
        <is>
          <t>Dec-2024</t>
        </is>
      </c>
      <c r="C5593" s="2" t="n">
        <v>45624</v>
      </c>
      <c r="D5593" t="inlineStr">
        <is>
          <t>NON-NIL</t>
        </is>
      </c>
      <c r="E5593" t="n">
        <v>1155</v>
      </c>
    </row>
    <row r="5594">
      <c r="A5594" t="inlineStr">
        <is>
          <t>27BBBBB05594Z5</t>
        </is>
      </c>
      <c r="B5594" t="inlineStr">
        <is>
          <t>Sep-2018</t>
        </is>
      </c>
      <c r="C5594" s="2" t="n">
        <v>42957</v>
      </c>
      <c r="D5594" t="inlineStr">
        <is>
          <t>NON-NIL</t>
        </is>
      </c>
      <c r="E5594" t="n">
        <v>2163</v>
      </c>
    </row>
    <row r="5595">
      <c r="A5595" t="inlineStr">
        <is>
          <t>27BBBBB05595Z5</t>
        </is>
      </c>
      <c r="B5595" t="inlineStr">
        <is>
          <t>Jun-2018</t>
        </is>
      </c>
      <c r="C5595" s="2" t="n">
        <v>44434</v>
      </c>
      <c r="D5595" t="inlineStr">
        <is>
          <t>NON-NIL</t>
        </is>
      </c>
      <c r="E5595" t="n">
        <v>187</v>
      </c>
    </row>
    <row r="5596">
      <c r="A5596" t="inlineStr">
        <is>
          <t>27BBBBB05596Z5</t>
        </is>
      </c>
      <c r="B5596" t="inlineStr">
        <is>
          <t>Dec-2017</t>
        </is>
      </c>
      <c r="C5596" s="2" t="n">
        <v>43335</v>
      </c>
      <c r="D5596" t="inlineStr">
        <is>
          <t>NIL</t>
        </is>
      </c>
      <c r="E5596" t="n">
        <v>1017</v>
      </c>
    </row>
    <row r="5597">
      <c r="A5597" t="inlineStr">
        <is>
          <t>27BBBBB05597Z5</t>
        </is>
      </c>
      <c r="B5597" t="inlineStr">
        <is>
          <t>Mar-2021</t>
        </is>
      </c>
      <c r="C5597" s="2" t="n">
        <v>45308</v>
      </c>
      <c r="D5597" t="inlineStr">
        <is>
          <t>NON-NIL</t>
        </is>
      </c>
      <c r="E5597" t="n">
        <v>2905</v>
      </c>
    </row>
    <row r="5598">
      <c r="A5598" t="inlineStr">
        <is>
          <t>27BBBBB05598Z5</t>
        </is>
      </c>
      <c r="B5598" t="inlineStr">
        <is>
          <t>Mar-2018</t>
        </is>
      </c>
      <c r="C5598" s="2" t="n">
        <v>43917</v>
      </c>
      <c r="D5598" t="inlineStr">
        <is>
          <t>NIL</t>
        </is>
      </c>
      <c r="E5598" t="n">
        <v>1411</v>
      </c>
    </row>
    <row r="5599">
      <c r="A5599" t="inlineStr">
        <is>
          <t>27BBBBB05599Z5</t>
        </is>
      </c>
      <c r="B5599" t="inlineStr">
        <is>
          <t>Jul-2018</t>
        </is>
      </c>
      <c r="C5599" s="2" t="n">
        <v>43650</v>
      </c>
      <c r="D5599" t="inlineStr">
        <is>
          <t>NIL</t>
        </is>
      </c>
      <c r="E5599" t="n">
        <v>893</v>
      </c>
    </row>
    <row r="5600">
      <c r="A5600" t="inlineStr">
        <is>
          <t>27BBBBB05600Z5</t>
        </is>
      </c>
      <c r="B5600" t="inlineStr">
        <is>
          <t>Mar-2023</t>
        </is>
      </c>
      <c r="C5600" s="2" t="n">
        <v>45405</v>
      </c>
      <c r="D5600" t="inlineStr">
        <is>
          <t>NIL</t>
        </is>
      </c>
      <c r="E5600" t="n">
        <v>1324</v>
      </c>
    </row>
    <row r="5601">
      <c r="A5601" t="inlineStr">
        <is>
          <t>27BBBBB05601Z5</t>
        </is>
      </c>
      <c r="B5601" t="inlineStr">
        <is>
          <t>Jan-2021</t>
        </is>
      </c>
      <c r="C5601" s="2" t="n">
        <v>43593</v>
      </c>
      <c r="D5601" t="inlineStr">
        <is>
          <t>NIL</t>
        </is>
      </c>
      <c r="E5601" t="n">
        <v>1983</v>
      </c>
    </row>
    <row r="5602">
      <c r="A5602" t="inlineStr">
        <is>
          <t>27BBBBB05602Z5</t>
        </is>
      </c>
      <c r="B5602" t="inlineStr">
        <is>
          <t>Mar-2018</t>
        </is>
      </c>
      <c r="C5602" s="2" t="n">
        <v>44053</v>
      </c>
      <c r="D5602" t="inlineStr">
        <is>
          <t>NIL</t>
        </is>
      </c>
      <c r="E5602" t="n">
        <v>2091</v>
      </c>
    </row>
    <row r="5603">
      <c r="A5603" t="inlineStr">
        <is>
          <t>27BBBBB05603Z5</t>
        </is>
      </c>
      <c r="B5603" t="inlineStr">
        <is>
          <t>Nov-2017</t>
        </is>
      </c>
      <c r="C5603" s="2" t="n">
        <v>43810</v>
      </c>
      <c r="D5603" t="inlineStr">
        <is>
          <t>NIL</t>
        </is>
      </c>
      <c r="E5603" t="n">
        <v>226</v>
      </c>
    </row>
    <row r="5604">
      <c r="A5604" t="inlineStr">
        <is>
          <t>27BBBBB05604Z5</t>
        </is>
      </c>
      <c r="B5604" t="inlineStr">
        <is>
          <t>Sep-2017</t>
        </is>
      </c>
      <c r="C5604" s="2" t="n">
        <v>43210</v>
      </c>
      <c r="D5604" t="inlineStr">
        <is>
          <t>NIL</t>
        </is>
      </c>
      <c r="E5604" t="n">
        <v>591</v>
      </c>
    </row>
    <row r="5605">
      <c r="A5605" t="inlineStr">
        <is>
          <t>27BBBBB05605Z5</t>
        </is>
      </c>
      <c r="B5605" t="inlineStr">
        <is>
          <t>Jul-2020</t>
        </is>
      </c>
      <c r="C5605" s="2" t="n">
        <v>44051</v>
      </c>
      <c r="D5605" t="inlineStr">
        <is>
          <t>NON-NIL</t>
        </is>
      </c>
      <c r="E5605" t="n">
        <v>586</v>
      </c>
    </row>
    <row r="5606">
      <c r="A5606" t="inlineStr">
        <is>
          <t>27BBBBB05606Z5</t>
        </is>
      </c>
      <c r="B5606" t="inlineStr">
        <is>
          <t>Jul-2018</t>
        </is>
      </c>
      <c r="C5606" s="2" t="n">
        <v>43272</v>
      </c>
      <c r="D5606" t="inlineStr">
        <is>
          <t>NIL</t>
        </is>
      </c>
      <c r="E5606" t="n">
        <v>1981</v>
      </c>
    </row>
    <row r="5607">
      <c r="A5607" t="inlineStr">
        <is>
          <t>27BBBBB05607Z5</t>
        </is>
      </c>
      <c r="B5607" t="inlineStr">
        <is>
          <t>Jun-2020</t>
        </is>
      </c>
      <c r="C5607" s="2" t="n">
        <v>44702</v>
      </c>
      <c r="D5607" t="inlineStr">
        <is>
          <t>NON-NIL</t>
        </is>
      </c>
      <c r="E5607" t="n">
        <v>2345</v>
      </c>
    </row>
    <row r="5608">
      <c r="A5608" t="inlineStr">
        <is>
          <t>27BBBBB05608Z5</t>
        </is>
      </c>
      <c r="B5608" t="inlineStr">
        <is>
          <t>Jun-2018</t>
        </is>
      </c>
      <c r="C5608" s="2" t="n">
        <v>44375</v>
      </c>
      <c r="D5608" t="inlineStr">
        <is>
          <t>NON-NIL</t>
        </is>
      </c>
      <c r="E5608" t="n">
        <v>1282</v>
      </c>
    </row>
    <row r="5609">
      <c r="A5609" t="inlineStr">
        <is>
          <t>27BBBBB05609Z5</t>
        </is>
      </c>
      <c r="B5609" t="inlineStr">
        <is>
          <t>Jun-2020</t>
        </is>
      </c>
      <c r="C5609" s="2" t="n">
        <v>44778</v>
      </c>
      <c r="D5609" t="inlineStr">
        <is>
          <t>NIL</t>
        </is>
      </c>
      <c r="E5609" t="n">
        <v>2990</v>
      </c>
    </row>
    <row r="5610">
      <c r="A5610" t="inlineStr">
        <is>
          <t>27BBBBB05610Z5</t>
        </is>
      </c>
      <c r="B5610" t="inlineStr">
        <is>
          <t>Mar-2021</t>
        </is>
      </c>
      <c r="C5610" s="2" t="n">
        <v>45536</v>
      </c>
      <c r="D5610" t="inlineStr">
        <is>
          <t>NON-NIL</t>
        </is>
      </c>
      <c r="E5610" t="n">
        <v>2456</v>
      </c>
    </row>
    <row r="5611">
      <c r="A5611" t="inlineStr">
        <is>
          <t>27BBBBB05611Z5</t>
        </is>
      </c>
      <c r="B5611" t="inlineStr">
        <is>
          <t>Dec-2022</t>
        </is>
      </c>
      <c r="C5611" s="2" t="n">
        <v>45303</v>
      </c>
      <c r="D5611" t="inlineStr">
        <is>
          <t>NIL</t>
        </is>
      </c>
      <c r="E5611" t="n">
        <v>1504</v>
      </c>
    </row>
    <row r="5612">
      <c r="A5612" t="inlineStr">
        <is>
          <t>27BBBBB05612Z5</t>
        </is>
      </c>
      <c r="B5612" t="inlineStr">
        <is>
          <t>Jul-2017</t>
        </is>
      </c>
      <c r="C5612" s="2" t="n">
        <v>42972</v>
      </c>
      <c r="D5612" t="inlineStr">
        <is>
          <t>NON-NIL</t>
        </is>
      </c>
      <c r="E5612" t="n">
        <v>2438</v>
      </c>
    </row>
    <row r="5613">
      <c r="A5613" t="inlineStr">
        <is>
          <t>27BBBBB05613Z5</t>
        </is>
      </c>
      <c r="B5613" t="inlineStr">
        <is>
          <t>Sep-2018</t>
        </is>
      </c>
      <c r="C5613" s="2" t="n">
        <v>43418</v>
      </c>
      <c r="D5613" t="inlineStr">
        <is>
          <t>NON-NIL</t>
        </is>
      </c>
      <c r="E5613" t="n">
        <v>1403</v>
      </c>
    </row>
    <row r="5614">
      <c r="A5614" t="inlineStr">
        <is>
          <t>27BBBBB05614Z5</t>
        </is>
      </c>
      <c r="B5614" t="inlineStr">
        <is>
          <t>Dec-2022</t>
        </is>
      </c>
      <c r="C5614" s="2" t="n">
        <v>45574</v>
      </c>
      <c r="D5614" t="inlineStr">
        <is>
          <t>NON-NIL</t>
        </is>
      </c>
      <c r="E5614" t="n">
        <v>2938</v>
      </c>
    </row>
    <row r="5615">
      <c r="A5615" t="inlineStr">
        <is>
          <t>27BBBBB05615Z5</t>
        </is>
      </c>
      <c r="B5615" t="inlineStr">
        <is>
          <t>May-2020</t>
        </is>
      </c>
      <c r="C5615" s="2" t="n">
        <v>44365</v>
      </c>
      <c r="D5615" t="inlineStr">
        <is>
          <t>NIL</t>
        </is>
      </c>
      <c r="E5615" t="n">
        <v>2698</v>
      </c>
    </row>
    <row r="5616">
      <c r="A5616" t="inlineStr">
        <is>
          <t>27BBBBB05616Z5</t>
        </is>
      </c>
      <c r="B5616" t="inlineStr">
        <is>
          <t>Jan-2018</t>
        </is>
      </c>
      <c r="C5616" s="2" t="n">
        <v>43161</v>
      </c>
      <c r="D5616" t="inlineStr">
        <is>
          <t>NON-NIL</t>
        </is>
      </c>
      <c r="E5616" t="n">
        <v>443</v>
      </c>
    </row>
    <row r="5617">
      <c r="A5617" t="inlineStr">
        <is>
          <t>27BBBBB05617Z5</t>
        </is>
      </c>
      <c r="B5617" t="inlineStr">
        <is>
          <t>Oct-2017</t>
        </is>
      </c>
      <c r="C5617" s="2" t="n">
        <v>42933</v>
      </c>
      <c r="D5617" t="inlineStr">
        <is>
          <t>NIL</t>
        </is>
      </c>
      <c r="E5617" t="n">
        <v>2021</v>
      </c>
    </row>
    <row r="5618">
      <c r="A5618" t="inlineStr">
        <is>
          <t>27BBBBB05618Z5</t>
        </is>
      </c>
      <c r="B5618" t="inlineStr">
        <is>
          <t>Nov-2018</t>
        </is>
      </c>
      <c r="C5618" s="2" t="n">
        <v>43322</v>
      </c>
      <c r="D5618" t="inlineStr">
        <is>
          <t>NIL</t>
        </is>
      </c>
      <c r="E5618" t="n">
        <v>934</v>
      </c>
    </row>
    <row r="5619">
      <c r="A5619" t="inlineStr">
        <is>
          <t>27BBBBB05619Z5</t>
        </is>
      </c>
      <c r="B5619" t="inlineStr">
        <is>
          <t>May-2018</t>
        </is>
      </c>
      <c r="C5619" s="2" t="n">
        <v>43856</v>
      </c>
      <c r="D5619" t="inlineStr">
        <is>
          <t>NIL</t>
        </is>
      </c>
      <c r="E5619" t="n">
        <v>2534</v>
      </c>
    </row>
    <row r="5620">
      <c r="A5620" t="inlineStr">
        <is>
          <t>27BBBBB05620Z5</t>
        </is>
      </c>
      <c r="B5620" t="inlineStr">
        <is>
          <t>Aug-2017</t>
        </is>
      </c>
      <c r="C5620" s="2" t="n">
        <v>44127</v>
      </c>
      <c r="D5620" t="inlineStr">
        <is>
          <t>NIL</t>
        </is>
      </c>
      <c r="E5620" t="n">
        <v>2836</v>
      </c>
    </row>
    <row r="5621">
      <c r="A5621" t="inlineStr">
        <is>
          <t>27BBBBB05621Z5</t>
        </is>
      </c>
      <c r="B5621" t="inlineStr">
        <is>
          <t>Mar-2021</t>
        </is>
      </c>
      <c r="C5621" s="2" t="n">
        <v>45144</v>
      </c>
      <c r="D5621" t="inlineStr">
        <is>
          <t>NON-NIL</t>
        </is>
      </c>
      <c r="E5621" t="n">
        <v>2945</v>
      </c>
    </row>
    <row r="5622">
      <c r="A5622" t="inlineStr">
        <is>
          <t>27BBBBB05622Z5</t>
        </is>
      </c>
      <c r="B5622" t="inlineStr">
        <is>
          <t>Oct-2017</t>
        </is>
      </c>
      <c r="C5622" s="2" t="n">
        <v>43908</v>
      </c>
      <c r="D5622" t="inlineStr">
        <is>
          <t>NON-NIL</t>
        </is>
      </c>
      <c r="E5622" t="n">
        <v>1476</v>
      </c>
    </row>
    <row r="5623">
      <c r="A5623" t="inlineStr">
        <is>
          <t>27BBBBB05623Z5</t>
        </is>
      </c>
      <c r="B5623" t="inlineStr">
        <is>
          <t>Nov-2018</t>
        </is>
      </c>
      <c r="C5623" s="2" t="n">
        <v>43955</v>
      </c>
      <c r="D5623" t="inlineStr">
        <is>
          <t>NIL</t>
        </is>
      </c>
      <c r="E5623" t="n">
        <v>2153</v>
      </c>
    </row>
    <row r="5624">
      <c r="A5624" t="inlineStr">
        <is>
          <t>27BBBBB05624Z5</t>
        </is>
      </c>
      <c r="B5624" t="inlineStr">
        <is>
          <t>Dec-2022</t>
        </is>
      </c>
      <c r="C5624" s="2" t="n">
        <v>45555</v>
      </c>
      <c r="D5624" t="inlineStr">
        <is>
          <t>NIL</t>
        </is>
      </c>
      <c r="E5624" t="n">
        <v>1906</v>
      </c>
    </row>
    <row r="5625">
      <c r="A5625" t="inlineStr">
        <is>
          <t>27BBBBB05625Z5</t>
        </is>
      </c>
      <c r="B5625" t="inlineStr">
        <is>
          <t>Mar-2023</t>
        </is>
      </c>
      <c r="C5625" s="2" t="n">
        <v>45013</v>
      </c>
      <c r="D5625" t="inlineStr">
        <is>
          <t>NIL</t>
        </is>
      </c>
      <c r="E5625" t="n">
        <v>1724</v>
      </c>
    </row>
    <row r="5626">
      <c r="A5626" t="inlineStr">
        <is>
          <t>27BBBBB05626Z5</t>
        </is>
      </c>
      <c r="B5626" t="inlineStr">
        <is>
          <t>Sep-2017</t>
        </is>
      </c>
      <c r="C5626" s="2" t="n">
        <v>44248</v>
      </c>
      <c r="D5626" t="inlineStr">
        <is>
          <t>NON-NIL</t>
        </is>
      </c>
      <c r="E5626" t="n">
        <v>316</v>
      </c>
    </row>
    <row r="5627">
      <c r="A5627" t="inlineStr">
        <is>
          <t>27BBBBB05627Z5</t>
        </is>
      </c>
      <c r="B5627" t="inlineStr">
        <is>
          <t>Nov-2017</t>
        </is>
      </c>
      <c r="C5627" s="2" t="n">
        <v>43644</v>
      </c>
      <c r="D5627" t="inlineStr">
        <is>
          <t>NON-NIL</t>
        </is>
      </c>
      <c r="E5627" t="n">
        <v>2821</v>
      </c>
    </row>
    <row r="5628">
      <c r="A5628" t="inlineStr">
        <is>
          <t>27BBBBB05628Z5</t>
        </is>
      </c>
      <c r="B5628" t="inlineStr">
        <is>
          <t>Aug-2017</t>
        </is>
      </c>
      <c r="C5628" s="2" t="n">
        <v>43840</v>
      </c>
      <c r="D5628" t="inlineStr">
        <is>
          <t>NON-NIL</t>
        </is>
      </c>
      <c r="E5628" t="n">
        <v>2215</v>
      </c>
    </row>
    <row r="5629">
      <c r="A5629" t="inlineStr">
        <is>
          <t>27BBBBB05629Z5</t>
        </is>
      </c>
      <c r="B5629" t="inlineStr">
        <is>
          <t>Mar-2018</t>
        </is>
      </c>
      <c r="C5629" s="2" t="n">
        <v>44091</v>
      </c>
      <c r="D5629" t="inlineStr">
        <is>
          <t>NIL</t>
        </is>
      </c>
      <c r="E5629" t="n">
        <v>2496</v>
      </c>
    </row>
    <row r="5630">
      <c r="A5630" t="inlineStr">
        <is>
          <t>27BBBBB05630Z5</t>
        </is>
      </c>
      <c r="B5630" t="inlineStr">
        <is>
          <t>Oct-2017</t>
        </is>
      </c>
      <c r="C5630" s="2" t="n">
        <v>44561</v>
      </c>
      <c r="D5630" t="inlineStr">
        <is>
          <t>NON-NIL</t>
        </is>
      </c>
      <c r="E5630" t="n">
        <v>2193</v>
      </c>
    </row>
    <row r="5631">
      <c r="A5631" t="inlineStr">
        <is>
          <t>27BBBBB05631Z5</t>
        </is>
      </c>
      <c r="B5631" t="inlineStr">
        <is>
          <t>Dec-2017</t>
        </is>
      </c>
      <c r="C5631" s="2" t="n">
        <v>43775</v>
      </c>
      <c r="D5631" t="inlineStr">
        <is>
          <t>NON-NIL</t>
        </is>
      </c>
      <c r="E5631" t="n">
        <v>238</v>
      </c>
    </row>
    <row r="5632">
      <c r="A5632" t="inlineStr">
        <is>
          <t>27BBBBB05632Z5</t>
        </is>
      </c>
      <c r="B5632" t="inlineStr">
        <is>
          <t>Dec-2022</t>
        </is>
      </c>
      <c r="C5632" s="2" t="n">
        <v>45706</v>
      </c>
      <c r="D5632" t="inlineStr">
        <is>
          <t>NIL</t>
        </is>
      </c>
      <c r="E5632" t="n">
        <v>1104</v>
      </c>
    </row>
    <row r="5633">
      <c r="A5633" t="inlineStr">
        <is>
          <t>27BBBBB05633Z5</t>
        </is>
      </c>
      <c r="B5633" t="inlineStr">
        <is>
          <t>Jun-2020</t>
        </is>
      </c>
      <c r="C5633" s="2" t="n">
        <v>44390</v>
      </c>
      <c r="D5633" t="inlineStr">
        <is>
          <t>NON-NIL</t>
        </is>
      </c>
      <c r="E5633" t="n">
        <v>848</v>
      </c>
    </row>
    <row r="5634">
      <c r="A5634" t="inlineStr">
        <is>
          <t>27BBBBB05634Z5</t>
        </is>
      </c>
      <c r="B5634" t="inlineStr">
        <is>
          <t>Mar-2018</t>
        </is>
      </c>
      <c r="C5634" s="2" t="n">
        <v>43042</v>
      </c>
      <c r="D5634" t="inlineStr">
        <is>
          <t>NIL</t>
        </is>
      </c>
      <c r="E5634" t="n">
        <v>2119</v>
      </c>
    </row>
    <row r="5635">
      <c r="A5635" t="inlineStr">
        <is>
          <t>27BBBBB05635Z5</t>
        </is>
      </c>
      <c r="B5635" t="inlineStr">
        <is>
          <t>Nov-2018</t>
        </is>
      </c>
      <c r="C5635" s="2" t="n">
        <v>43602</v>
      </c>
      <c r="D5635" t="inlineStr">
        <is>
          <t>NON-NIL</t>
        </is>
      </c>
      <c r="E5635" t="n">
        <v>2431</v>
      </c>
    </row>
    <row r="5636">
      <c r="A5636" t="inlineStr">
        <is>
          <t>27BBBBB05636Z5</t>
        </is>
      </c>
      <c r="B5636" t="inlineStr">
        <is>
          <t>Apr-2020</t>
        </is>
      </c>
      <c r="C5636" s="2" t="n">
        <v>44004</v>
      </c>
      <c r="D5636" t="inlineStr">
        <is>
          <t>NIL</t>
        </is>
      </c>
      <c r="E5636" t="n">
        <v>2093</v>
      </c>
    </row>
    <row r="5637">
      <c r="A5637" t="inlineStr">
        <is>
          <t>27BBBBB05637Z5</t>
        </is>
      </c>
      <c r="B5637" t="inlineStr">
        <is>
          <t>Sep-2018</t>
        </is>
      </c>
      <c r="C5637" s="2" t="n">
        <v>43843</v>
      </c>
      <c r="D5637" t="inlineStr">
        <is>
          <t>NIL</t>
        </is>
      </c>
      <c r="E5637" t="n">
        <v>2000</v>
      </c>
    </row>
    <row r="5638">
      <c r="A5638" t="inlineStr">
        <is>
          <t>27BBBBB05638Z5</t>
        </is>
      </c>
      <c r="B5638" t="inlineStr">
        <is>
          <t>May-2018</t>
        </is>
      </c>
      <c r="C5638" s="2" t="n">
        <v>43811</v>
      </c>
      <c r="D5638" t="inlineStr">
        <is>
          <t>NON-NIL</t>
        </is>
      </c>
      <c r="E5638" t="n">
        <v>2980</v>
      </c>
    </row>
    <row r="5639">
      <c r="A5639" t="inlineStr">
        <is>
          <t>27BBBBB05639Z5</t>
        </is>
      </c>
      <c r="B5639" t="inlineStr">
        <is>
          <t>Jun-2020</t>
        </is>
      </c>
      <c r="C5639" s="2" t="n">
        <v>44336</v>
      </c>
      <c r="D5639" t="inlineStr">
        <is>
          <t>NON-NIL</t>
        </is>
      </c>
      <c r="E5639" t="n">
        <v>2006</v>
      </c>
    </row>
    <row r="5640">
      <c r="A5640" t="inlineStr">
        <is>
          <t>27BBBBB05640Z5</t>
        </is>
      </c>
      <c r="B5640" t="inlineStr">
        <is>
          <t>Mar-2020</t>
        </is>
      </c>
      <c r="C5640" s="2" t="n">
        <v>43833</v>
      </c>
      <c r="D5640" t="inlineStr">
        <is>
          <t>NIL</t>
        </is>
      </c>
      <c r="E5640" t="n">
        <v>2078</v>
      </c>
    </row>
    <row r="5641">
      <c r="A5641" t="inlineStr">
        <is>
          <t>27BBBBB05641Z5</t>
        </is>
      </c>
      <c r="B5641" t="inlineStr">
        <is>
          <t>Sep-2017</t>
        </is>
      </c>
      <c r="C5641" s="2" t="n">
        <v>44020</v>
      </c>
      <c r="D5641" t="inlineStr">
        <is>
          <t>NON-NIL</t>
        </is>
      </c>
      <c r="E5641" t="n">
        <v>2129</v>
      </c>
    </row>
    <row r="5642">
      <c r="A5642" t="inlineStr">
        <is>
          <t>27BBBBB05642Z5</t>
        </is>
      </c>
      <c r="B5642" t="inlineStr">
        <is>
          <t>Jan-2018</t>
        </is>
      </c>
      <c r="C5642" s="2" t="n">
        <v>43247</v>
      </c>
      <c r="D5642" t="inlineStr">
        <is>
          <t>NIL</t>
        </is>
      </c>
      <c r="E5642" t="n">
        <v>39</v>
      </c>
    </row>
    <row r="5643">
      <c r="A5643" t="inlineStr">
        <is>
          <t>27BBBBB05643Z5</t>
        </is>
      </c>
      <c r="B5643" t="inlineStr">
        <is>
          <t>Sep-2018</t>
        </is>
      </c>
      <c r="C5643" s="2" t="n">
        <v>44413</v>
      </c>
      <c r="D5643" t="inlineStr">
        <is>
          <t>NIL</t>
        </is>
      </c>
      <c r="E5643" t="n">
        <v>2267</v>
      </c>
    </row>
    <row r="5644">
      <c r="A5644" t="inlineStr">
        <is>
          <t>27BBBBB05644Z5</t>
        </is>
      </c>
      <c r="B5644" t="inlineStr">
        <is>
          <t>Jan-2021</t>
        </is>
      </c>
      <c r="C5644" s="2" t="n">
        <v>45074</v>
      </c>
      <c r="D5644" t="inlineStr">
        <is>
          <t>NON-NIL</t>
        </is>
      </c>
      <c r="E5644" t="n">
        <v>1187</v>
      </c>
    </row>
    <row r="5645">
      <c r="A5645" t="inlineStr">
        <is>
          <t>27BBBBB05645Z5</t>
        </is>
      </c>
      <c r="B5645" t="inlineStr">
        <is>
          <t>Feb-2018</t>
        </is>
      </c>
      <c r="C5645" s="2" t="n">
        <v>43828</v>
      </c>
      <c r="D5645" t="inlineStr">
        <is>
          <t>NIL</t>
        </is>
      </c>
      <c r="E5645" t="n">
        <v>432</v>
      </c>
    </row>
    <row r="5646">
      <c r="A5646" t="inlineStr">
        <is>
          <t>27BBBBB05646Z5</t>
        </is>
      </c>
      <c r="B5646" t="inlineStr">
        <is>
          <t>Oct-2017</t>
        </is>
      </c>
      <c r="C5646" s="2" t="n">
        <v>43187</v>
      </c>
      <c r="D5646" t="inlineStr">
        <is>
          <t>NON-NIL</t>
        </is>
      </c>
      <c r="E5646" t="n">
        <v>2436</v>
      </c>
    </row>
    <row r="5647">
      <c r="A5647" t="inlineStr">
        <is>
          <t>27BBBBB05647Z5</t>
        </is>
      </c>
      <c r="B5647" t="inlineStr">
        <is>
          <t>Mar-2020</t>
        </is>
      </c>
      <c r="C5647" s="2" t="n">
        <v>44197</v>
      </c>
      <c r="D5647" t="inlineStr">
        <is>
          <t>NON-NIL</t>
        </is>
      </c>
      <c r="E5647" t="n">
        <v>2654</v>
      </c>
    </row>
    <row r="5648">
      <c r="A5648" t="inlineStr">
        <is>
          <t>27BBBBB05648Z5</t>
        </is>
      </c>
      <c r="B5648" t="inlineStr">
        <is>
          <t>Nov-2017</t>
        </is>
      </c>
      <c r="C5648" s="2" t="n">
        <v>43190</v>
      </c>
      <c r="D5648" t="inlineStr">
        <is>
          <t>NON-NIL</t>
        </is>
      </c>
      <c r="E5648" t="n">
        <v>2343</v>
      </c>
    </row>
    <row r="5649">
      <c r="A5649" t="inlineStr">
        <is>
          <t>27BBBBB05649Z5</t>
        </is>
      </c>
      <c r="B5649" t="inlineStr">
        <is>
          <t>Sep-2018</t>
        </is>
      </c>
      <c r="C5649" s="2" t="n">
        <v>43751</v>
      </c>
      <c r="D5649" t="inlineStr">
        <is>
          <t>NIL</t>
        </is>
      </c>
      <c r="E5649" t="n">
        <v>2501</v>
      </c>
    </row>
    <row r="5650">
      <c r="A5650" t="inlineStr">
        <is>
          <t>27BBBBB05650Z5</t>
        </is>
      </c>
      <c r="B5650" t="inlineStr">
        <is>
          <t>Mar-2021</t>
        </is>
      </c>
      <c r="C5650" s="2" t="n">
        <v>44363</v>
      </c>
      <c r="D5650" t="inlineStr">
        <is>
          <t>NON-NIL</t>
        </is>
      </c>
      <c r="E5650" t="n">
        <v>2191</v>
      </c>
    </row>
    <row r="5651">
      <c r="A5651" t="inlineStr">
        <is>
          <t>27BBBBB05651Z5</t>
        </is>
      </c>
      <c r="B5651" t="inlineStr">
        <is>
          <t>Oct-2018</t>
        </is>
      </c>
      <c r="C5651" s="2" t="n">
        <v>43888</v>
      </c>
      <c r="D5651" t="inlineStr">
        <is>
          <t>NON-NIL</t>
        </is>
      </c>
      <c r="E5651" t="n">
        <v>178</v>
      </c>
    </row>
    <row r="5652">
      <c r="A5652" t="inlineStr">
        <is>
          <t>27BBBBB05652Z5</t>
        </is>
      </c>
      <c r="B5652" t="inlineStr">
        <is>
          <t>Oct-2017</t>
        </is>
      </c>
      <c r="C5652" s="2" t="n">
        <v>43371</v>
      </c>
      <c r="D5652" t="inlineStr">
        <is>
          <t>NIL</t>
        </is>
      </c>
      <c r="E5652" t="n">
        <v>91</v>
      </c>
    </row>
    <row r="5653">
      <c r="A5653" t="inlineStr">
        <is>
          <t>27BBBBB05653Z5</t>
        </is>
      </c>
      <c r="B5653" t="inlineStr">
        <is>
          <t>Jul-2020</t>
        </is>
      </c>
      <c r="C5653" s="2" t="n">
        <v>44923</v>
      </c>
      <c r="D5653" t="inlineStr">
        <is>
          <t>NON-NIL</t>
        </is>
      </c>
      <c r="E5653" t="n">
        <v>539</v>
      </c>
    </row>
    <row r="5654">
      <c r="A5654" t="inlineStr">
        <is>
          <t>27BBBBB05654Z5</t>
        </is>
      </c>
      <c r="B5654" t="inlineStr">
        <is>
          <t>Mar-2018</t>
        </is>
      </c>
      <c r="C5654" s="2" t="n">
        <v>43661</v>
      </c>
      <c r="D5654" t="inlineStr">
        <is>
          <t>NIL</t>
        </is>
      </c>
      <c r="E5654" t="n">
        <v>324</v>
      </c>
    </row>
    <row r="5655">
      <c r="A5655" t="inlineStr">
        <is>
          <t>27BBBBB05655Z5</t>
        </is>
      </c>
      <c r="B5655" t="inlineStr">
        <is>
          <t>Oct-2017</t>
        </is>
      </c>
      <c r="C5655" s="2" t="n">
        <v>43560</v>
      </c>
      <c r="D5655" t="inlineStr">
        <is>
          <t>NON-NIL</t>
        </is>
      </c>
      <c r="E5655" t="n">
        <v>435</v>
      </c>
    </row>
    <row r="5656">
      <c r="A5656" t="inlineStr">
        <is>
          <t>27BBBBB05656Z5</t>
        </is>
      </c>
      <c r="B5656" t="inlineStr">
        <is>
          <t>Dec-2018</t>
        </is>
      </c>
      <c r="C5656" s="2" t="n">
        <v>43202</v>
      </c>
      <c r="D5656" t="inlineStr">
        <is>
          <t>NON-NIL</t>
        </is>
      </c>
      <c r="E5656" t="n">
        <v>1374</v>
      </c>
    </row>
    <row r="5657">
      <c r="A5657" t="inlineStr">
        <is>
          <t>27BBBBB05657Z5</t>
        </is>
      </c>
      <c r="B5657" t="inlineStr">
        <is>
          <t>Nov-2017</t>
        </is>
      </c>
      <c r="C5657" s="2" t="n">
        <v>43286</v>
      </c>
      <c r="D5657" t="inlineStr">
        <is>
          <t>NON-NIL</t>
        </is>
      </c>
      <c r="E5657" t="n">
        <v>478</v>
      </c>
    </row>
    <row r="5658">
      <c r="A5658" t="inlineStr">
        <is>
          <t>27BBBBB05658Z5</t>
        </is>
      </c>
      <c r="B5658" t="inlineStr">
        <is>
          <t>Jul-2020</t>
        </is>
      </c>
      <c r="C5658" s="2" t="n">
        <v>43850</v>
      </c>
      <c r="D5658" t="inlineStr">
        <is>
          <t>NON-NIL</t>
        </is>
      </c>
      <c r="E5658" t="n">
        <v>2171</v>
      </c>
    </row>
    <row r="5659">
      <c r="A5659" t="inlineStr">
        <is>
          <t>27BBBBB05659Z5</t>
        </is>
      </c>
      <c r="B5659" t="inlineStr">
        <is>
          <t>Mar-2018</t>
        </is>
      </c>
      <c r="C5659" s="2" t="n">
        <v>43755</v>
      </c>
      <c r="D5659" t="inlineStr">
        <is>
          <t>NON-NIL</t>
        </is>
      </c>
      <c r="E5659" t="n">
        <v>1786</v>
      </c>
    </row>
    <row r="5660">
      <c r="A5660" t="inlineStr">
        <is>
          <t>27BBBBB05660Z5</t>
        </is>
      </c>
      <c r="B5660" t="inlineStr">
        <is>
          <t>Jun-2018</t>
        </is>
      </c>
      <c r="C5660" s="2" t="n">
        <v>43771</v>
      </c>
      <c r="D5660" t="inlineStr">
        <is>
          <t>NON-NIL</t>
        </is>
      </c>
      <c r="E5660" t="n">
        <v>2218</v>
      </c>
    </row>
    <row r="5661">
      <c r="A5661" t="inlineStr">
        <is>
          <t>27BBBBB05661Z5</t>
        </is>
      </c>
      <c r="B5661" t="inlineStr">
        <is>
          <t>Mar-2018</t>
        </is>
      </c>
      <c r="C5661" s="2" t="n">
        <v>42983</v>
      </c>
      <c r="D5661" t="inlineStr">
        <is>
          <t>NON-NIL</t>
        </is>
      </c>
      <c r="E5661" t="n">
        <v>752</v>
      </c>
    </row>
    <row r="5662">
      <c r="A5662" t="inlineStr">
        <is>
          <t>27BBBBB05662Z5</t>
        </is>
      </c>
      <c r="B5662" t="inlineStr">
        <is>
          <t>May-2020</t>
        </is>
      </c>
      <c r="C5662" s="2" t="n">
        <v>44002</v>
      </c>
      <c r="D5662" t="inlineStr">
        <is>
          <t>NIL</t>
        </is>
      </c>
      <c r="E5662" t="n">
        <v>880</v>
      </c>
    </row>
    <row r="5663">
      <c r="A5663" t="inlineStr">
        <is>
          <t>27BBBBB05663Z5</t>
        </is>
      </c>
      <c r="B5663" t="inlineStr">
        <is>
          <t>Mar-2023</t>
        </is>
      </c>
      <c r="C5663" s="2" t="n">
        <v>45278</v>
      </c>
      <c r="D5663" t="inlineStr">
        <is>
          <t>NON-NIL</t>
        </is>
      </c>
      <c r="E5663" t="n">
        <v>2388</v>
      </c>
    </row>
    <row r="5664">
      <c r="A5664" t="inlineStr">
        <is>
          <t>27BBBBB05664Z5</t>
        </is>
      </c>
      <c r="B5664" t="inlineStr">
        <is>
          <t>Sep-2018</t>
        </is>
      </c>
      <c r="C5664" s="2" t="n">
        <v>43313</v>
      </c>
      <c r="D5664" t="inlineStr">
        <is>
          <t>NON-NIL</t>
        </is>
      </c>
      <c r="E5664" t="n">
        <v>1226</v>
      </c>
    </row>
    <row r="5665">
      <c r="A5665" t="inlineStr">
        <is>
          <t>27BBBBB05665Z5</t>
        </is>
      </c>
      <c r="B5665" t="inlineStr">
        <is>
          <t>Jun-2018</t>
        </is>
      </c>
      <c r="C5665" s="2" t="n">
        <v>43766</v>
      </c>
      <c r="D5665" t="inlineStr">
        <is>
          <t>NON-NIL</t>
        </is>
      </c>
      <c r="E5665" t="n">
        <v>301</v>
      </c>
    </row>
    <row r="5666">
      <c r="A5666" t="inlineStr">
        <is>
          <t>27BBBBB05666Z5</t>
        </is>
      </c>
      <c r="B5666" t="inlineStr">
        <is>
          <t>Dec-2017</t>
        </is>
      </c>
      <c r="C5666" s="2" t="n">
        <v>43078</v>
      </c>
      <c r="D5666" t="inlineStr">
        <is>
          <t>NIL</t>
        </is>
      </c>
      <c r="E5666" t="n">
        <v>1226</v>
      </c>
    </row>
    <row r="5667">
      <c r="A5667" t="inlineStr">
        <is>
          <t>27BBBBB05667Z5</t>
        </is>
      </c>
      <c r="B5667" t="inlineStr">
        <is>
          <t>Apr-2020</t>
        </is>
      </c>
      <c r="C5667" s="2" t="n">
        <v>44743</v>
      </c>
      <c r="D5667" t="inlineStr">
        <is>
          <t>NON-NIL</t>
        </is>
      </c>
      <c r="E5667" t="n">
        <v>2621</v>
      </c>
    </row>
    <row r="5668">
      <c r="A5668" t="inlineStr">
        <is>
          <t>27BBBBB05668Z5</t>
        </is>
      </c>
      <c r="B5668" t="inlineStr">
        <is>
          <t>Apr-2018</t>
        </is>
      </c>
      <c r="C5668" s="2" t="n">
        <v>43070</v>
      </c>
      <c r="D5668" t="inlineStr">
        <is>
          <t>NON-NIL</t>
        </is>
      </c>
      <c r="E5668" t="n">
        <v>1440</v>
      </c>
    </row>
    <row r="5669">
      <c r="A5669" t="inlineStr">
        <is>
          <t>27BBBBB05669Z5</t>
        </is>
      </c>
      <c r="B5669" t="inlineStr">
        <is>
          <t>Oct-2018</t>
        </is>
      </c>
      <c r="C5669" s="2" t="n">
        <v>44437</v>
      </c>
      <c r="D5669" t="inlineStr">
        <is>
          <t>NIL</t>
        </is>
      </c>
      <c r="E5669" t="n">
        <v>496</v>
      </c>
    </row>
    <row r="5670">
      <c r="A5670" t="inlineStr">
        <is>
          <t>27BBBBB05670Z5</t>
        </is>
      </c>
      <c r="B5670" t="inlineStr">
        <is>
          <t>Jun-2020</t>
        </is>
      </c>
      <c r="C5670" s="2" t="n">
        <v>44338</v>
      </c>
      <c r="D5670" t="inlineStr">
        <is>
          <t>NIL</t>
        </is>
      </c>
      <c r="E5670" t="n">
        <v>2848</v>
      </c>
    </row>
    <row r="5671">
      <c r="A5671" t="inlineStr">
        <is>
          <t>27BBBBB05671Z5</t>
        </is>
      </c>
      <c r="B5671" t="inlineStr">
        <is>
          <t>Apr-2020</t>
        </is>
      </c>
      <c r="C5671" s="2" t="n">
        <v>44001</v>
      </c>
      <c r="D5671" t="inlineStr">
        <is>
          <t>NIL</t>
        </is>
      </c>
      <c r="E5671" t="n">
        <v>2386</v>
      </c>
    </row>
    <row r="5672">
      <c r="A5672" t="inlineStr">
        <is>
          <t>27BBBBB05672Z5</t>
        </is>
      </c>
      <c r="B5672" t="inlineStr">
        <is>
          <t>Jul-2018</t>
        </is>
      </c>
      <c r="C5672" s="2" t="n">
        <v>43993</v>
      </c>
      <c r="D5672" t="inlineStr">
        <is>
          <t>NIL</t>
        </is>
      </c>
      <c r="E5672" t="n">
        <v>2420</v>
      </c>
    </row>
    <row r="5673">
      <c r="A5673" t="inlineStr">
        <is>
          <t>27BBBBB05673Z5</t>
        </is>
      </c>
      <c r="B5673" t="inlineStr">
        <is>
          <t>Dec-2024</t>
        </is>
      </c>
      <c r="C5673" s="2" t="n">
        <v>43661</v>
      </c>
      <c r="D5673" t="inlineStr">
        <is>
          <t>NIL</t>
        </is>
      </c>
      <c r="E5673" t="n">
        <v>2054</v>
      </c>
    </row>
    <row r="5674">
      <c r="A5674" t="inlineStr">
        <is>
          <t>27BBBBB05674Z5</t>
        </is>
      </c>
      <c r="B5674" t="inlineStr">
        <is>
          <t>Dec-2017</t>
        </is>
      </c>
      <c r="C5674" s="2" t="n">
        <v>44098</v>
      </c>
      <c r="D5674" t="inlineStr">
        <is>
          <t>NON-NIL</t>
        </is>
      </c>
      <c r="E5674" t="n">
        <v>1773</v>
      </c>
    </row>
    <row r="5675">
      <c r="A5675" t="inlineStr">
        <is>
          <t>27BBBBB05675Z5</t>
        </is>
      </c>
      <c r="B5675" t="inlineStr">
        <is>
          <t>Oct-2018</t>
        </is>
      </c>
      <c r="C5675" s="2" t="n">
        <v>44401</v>
      </c>
      <c r="D5675" t="inlineStr">
        <is>
          <t>NIL</t>
        </is>
      </c>
      <c r="E5675" t="n">
        <v>731</v>
      </c>
    </row>
    <row r="5676">
      <c r="A5676" t="inlineStr">
        <is>
          <t>27BBBBB05676Z5</t>
        </is>
      </c>
      <c r="B5676" t="inlineStr">
        <is>
          <t>Mar-2021</t>
        </is>
      </c>
      <c r="C5676" s="2" t="n">
        <v>43532</v>
      </c>
      <c r="D5676" t="inlineStr">
        <is>
          <t>NON-NIL</t>
        </is>
      </c>
      <c r="E5676" t="n">
        <v>345</v>
      </c>
    </row>
    <row r="5677">
      <c r="A5677" t="inlineStr">
        <is>
          <t>27BBBBB05677Z5</t>
        </is>
      </c>
      <c r="B5677" t="inlineStr">
        <is>
          <t>Mar-2021</t>
        </is>
      </c>
      <c r="C5677" s="2" t="n">
        <v>43780</v>
      </c>
      <c r="D5677" t="inlineStr">
        <is>
          <t>NIL</t>
        </is>
      </c>
      <c r="E5677" t="n">
        <v>1498</v>
      </c>
    </row>
    <row r="5678">
      <c r="A5678" t="inlineStr">
        <is>
          <t>27BBBBB05678Z5</t>
        </is>
      </c>
      <c r="B5678" t="inlineStr">
        <is>
          <t>Jul-2017</t>
        </is>
      </c>
      <c r="C5678" s="2" t="n">
        <v>44231</v>
      </c>
      <c r="D5678" t="inlineStr">
        <is>
          <t>NIL</t>
        </is>
      </c>
      <c r="E5678" t="n">
        <v>773</v>
      </c>
    </row>
    <row r="5679">
      <c r="A5679" t="inlineStr">
        <is>
          <t>27BBBBB05679Z5</t>
        </is>
      </c>
      <c r="B5679" t="inlineStr">
        <is>
          <t>Aug-2018</t>
        </is>
      </c>
      <c r="C5679" s="2" t="n">
        <v>43762</v>
      </c>
      <c r="D5679" t="inlineStr">
        <is>
          <t>NON-NIL</t>
        </is>
      </c>
      <c r="E5679" t="n">
        <v>2491</v>
      </c>
    </row>
    <row r="5680">
      <c r="A5680" t="inlineStr">
        <is>
          <t>27BBBBB05680Z5</t>
        </is>
      </c>
      <c r="B5680" t="inlineStr">
        <is>
          <t>Apr-2018</t>
        </is>
      </c>
      <c r="C5680" s="2" t="n">
        <v>44155</v>
      </c>
      <c r="D5680" t="inlineStr">
        <is>
          <t>NIL</t>
        </is>
      </c>
      <c r="E5680" t="n">
        <v>2025</v>
      </c>
    </row>
    <row r="5681">
      <c r="A5681" t="inlineStr">
        <is>
          <t>27BBBBB05681Z5</t>
        </is>
      </c>
      <c r="B5681" t="inlineStr">
        <is>
          <t>Dec-2018</t>
        </is>
      </c>
      <c r="C5681" s="2" t="n">
        <v>43338</v>
      </c>
      <c r="D5681" t="inlineStr">
        <is>
          <t>NON-NIL</t>
        </is>
      </c>
      <c r="E5681" t="n">
        <v>1948</v>
      </c>
    </row>
    <row r="5682">
      <c r="A5682" t="inlineStr">
        <is>
          <t>27BBBBB05682Z5</t>
        </is>
      </c>
      <c r="B5682" t="inlineStr">
        <is>
          <t>Oct-2018</t>
        </is>
      </c>
      <c r="C5682" s="2" t="n">
        <v>43488</v>
      </c>
      <c r="D5682" t="inlineStr">
        <is>
          <t>NON-NIL</t>
        </is>
      </c>
      <c r="E5682" t="n">
        <v>2008</v>
      </c>
    </row>
    <row r="5683">
      <c r="A5683" t="inlineStr">
        <is>
          <t>27BBBBB05683Z5</t>
        </is>
      </c>
      <c r="B5683" t="inlineStr">
        <is>
          <t>Jan-2018</t>
        </is>
      </c>
      <c r="C5683" s="2" t="n">
        <v>43263</v>
      </c>
      <c r="D5683" t="inlineStr">
        <is>
          <t>NON-NIL</t>
        </is>
      </c>
      <c r="E5683" t="n">
        <v>1358</v>
      </c>
    </row>
    <row r="5684">
      <c r="A5684" t="inlineStr">
        <is>
          <t>27BBBBB05684Z5</t>
        </is>
      </c>
      <c r="B5684" t="inlineStr">
        <is>
          <t>Sep-2018</t>
        </is>
      </c>
      <c r="C5684" s="2" t="n">
        <v>43151</v>
      </c>
      <c r="D5684" t="inlineStr">
        <is>
          <t>NON-NIL</t>
        </is>
      </c>
      <c r="E5684" t="n">
        <v>1497</v>
      </c>
    </row>
    <row r="5685">
      <c r="A5685" t="inlineStr">
        <is>
          <t>27BBBBB05685Z5</t>
        </is>
      </c>
      <c r="B5685" t="inlineStr">
        <is>
          <t>Mar-2018</t>
        </is>
      </c>
      <c r="C5685" s="2" t="n">
        <v>44075</v>
      </c>
      <c r="D5685" t="inlineStr">
        <is>
          <t>NON-NIL</t>
        </is>
      </c>
      <c r="E5685" t="n">
        <v>2212</v>
      </c>
    </row>
    <row r="5686">
      <c r="A5686" t="inlineStr">
        <is>
          <t>27BBBBB05686Z5</t>
        </is>
      </c>
      <c r="B5686" t="inlineStr">
        <is>
          <t>Mar-2018</t>
        </is>
      </c>
      <c r="C5686" s="2" t="n">
        <v>43891</v>
      </c>
      <c r="D5686" t="inlineStr">
        <is>
          <t>NIL</t>
        </is>
      </c>
      <c r="E5686" t="n">
        <v>1870</v>
      </c>
    </row>
    <row r="5687">
      <c r="A5687" t="inlineStr">
        <is>
          <t>27BBBBB05687Z5</t>
        </is>
      </c>
      <c r="B5687" t="inlineStr">
        <is>
          <t>Jun-2020</t>
        </is>
      </c>
      <c r="C5687" s="2" t="n">
        <v>44654</v>
      </c>
      <c r="D5687" t="inlineStr">
        <is>
          <t>NIL</t>
        </is>
      </c>
      <c r="E5687" t="n">
        <v>1067</v>
      </c>
    </row>
    <row r="5688">
      <c r="A5688" t="inlineStr">
        <is>
          <t>27BBBBB05688Z5</t>
        </is>
      </c>
      <c r="B5688" t="inlineStr">
        <is>
          <t>Sep-2017</t>
        </is>
      </c>
      <c r="C5688" s="2" t="n">
        <v>44414</v>
      </c>
      <c r="D5688" t="inlineStr">
        <is>
          <t>NIL</t>
        </is>
      </c>
      <c r="E5688" t="n">
        <v>2225</v>
      </c>
    </row>
    <row r="5689">
      <c r="A5689" t="inlineStr">
        <is>
          <t>27BBBBB05689Z5</t>
        </is>
      </c>
      <c r="B5689" t="inlineStr">
        <is>
          <t>Sep-2017</t>
        </is>
      </c>
      <c r="C5689" s="2" t="n">
        <v>43896</v>
      </c>
      <c r="D5689" t="inlineStr">
        <is>
          <t>NON-NIL</t>
        </is>
      </c>
      <c r="E5689" t="n">
        <v>452</v>
      </c>
    </row>
    <row r="5690">
      <c r="A5690" t="inlineStr">
        <is>
          <t>27BBBBB05690Z5</t>
        </is>
      </c>
      <c r="B5690" t="inlineStr">
        <is>
          <t>Oct-2018</t>
        </is>
      </c>
      <c r="C5690" s="2" t="n">
        <v>43101</v>
      </c>
      <c r="D5690" t="inlineStr">
        <is>
          <t>NON-NIL</t>
        </is>
      </c>
      <c r="E5690" t="n">
        <v>2399</v>
      </c>
    </row>
    <row r="5691">
      <c r="A5691" t="inlineStr">
        <is>
          <t>27BBBBB05691Z5</t>
        </is>
      </c>
      <c r="B5691" t="inlineStr">
        <is>
          <t>Mar-2020</t>
        </is>
      </c>
      <c r="C5691" s="2" t="n">
        <v>44418</v>
      </c>
      <c r="D5691" t="inlineStr">
        <is>
          <t>NON-NIL</t>
        </is>
      </c>
      <c r="E5691" t="n">
        <v>1269</v>
      </c>
    </row>
    <row r="5692">
      <c r="A5692" t="inlineStr">
        <is>
          <t>27BBBBB05692Z5</t>
        </is>
      </c>
      <c r="B5692" t="inlineStr">
        <is>
          <t>Dec-2017</t>
        </is>
      </c>
      <c r="C5692" s="2" t="n">
        <v>44240</v>
      </c>
      <c r="D5692" t="inlineStr">
        <is>
          <t>NIL</t>
        </is>
      </c>
      <c r="E5692" t="n">
        <v>2386</v>
      </c>
    </row>
    <row r="5693">
      <c r="A5693" t="inlineStr">
        <is>
          <t>27BBBBB05693Z5</t>
        </is>
      </c>
      <c r="B5693" t="inlineStr">
        <is>
          <t>Jul-2018</t>
        </is>
      </c>
      <c r="C5693" s="2" t="n">
        <v>43353</v>
      </c>
      <c r="D5693" t="inlineStr">
        <is>
          <t>NIL</t>
        </is>
      </c>
      <c r="E5693" t="n">
        <v>1114</v>
      </c>
    </row>
    <row r="5694">
      <c r="A5694" t="inlineStr">
        <is>
          <t>27BBBBB05694Z5</t>
        </is>
      </c>
      <c r="B5694" t="inlineStr">
        <is>
          <t>Oct-2018</t>
        </is>
      </c>
      <c r="C5694" s="2" t="n">
        <v>42999</v>
      </c>
      <c r="D5694" t="inlineStr">
        <is>
          <t>NIL</t>
        </is>
      </c>
      <c r="E5694" t="n">
        <v>1270</v>
      </c>
    </row>
    <row r="5695">
      <c r="A5695" t="inlineStr">
        <is>
          <t>27BBBBB05695Z5</t>
        </is>
      </c>
      <c r="B5695" t="inlineStr">
        <is>
          <t>Dec-2017</t>
        </is>
      </c>
      <c r="C5695" s="2" t="n">
        <v>44114</v>
      </c>
      <c r="D5695" t="inlineStr">
        <is>
          <t>NON-NIL</t>
        </is>
      </c>
      <c r="E5695" t="n">
        <v>1319</v>
      </c>
    </row>
    <row r="5696">
      <c r="A5696" t="inlineStr">
        <is>
          <t>27BBBBB05696Z5</t>
        </is>
      </c>
      <c r="B5696" t="inlineStr">
        <is>
          <t>Jan-2021</t>
        </is>
      </c>
      <c r="C5696" s="2" t="n">
        <v>44576</v>
      </c>
      <c r="D5696" t="inlineStr">
        <is>
          <t>NON-NIL</t>
        </is>
      </c>
      <c r="E5696" t="n">
        <v>472</v>
      </c>
    </row>
    <row r="5697">
      <c r="A5697" t="inlineStr">
        <is>
          <t>27BBBBB05697Z5</t>
        </is>
      </c>
      <c r="B5697" t="inlineStr">
        <is>
          <t>Dec-2017</t>
        </is>
      </c>
      <c r="C5697" s="2" t="n">
        <v>43018</v>
      </c>
      <c r="D5697" t="inlineStr">
        <is>
          <t>NIL</t>
        </is>
      </c>
      <c r="E5697" t="n">
        <v>1806</v>
      </c>
    </row>
    <row r="5698">
      <c r="A5698" t="inlineStr">
        <is>
          <t>27BBBBB05698Z5</t>
        </is>
      </c>
      <c r="B5698" t="inlineStr">
        <is>
          <t>Feb-2018</t>
        </is>
      </c>
      <c r="C5698" s="2" t="n">
        <v>43097</v>
      </c>
      <c r="D5698" t="inlineStr">
        <is>
          <t>NON-NIL</t>
        </is>
      </c>
      <c r="E5698" t="n">
        <v>2275</v>
      </c>
    </row>
    <row r="5699">
      <c r="A5699" t="inlineStr">
        <is>
          <t>27BBBBB05699Z5</t>
        </is>
      </c>
      <c r="B5699" t="inlineStr">
        <is>
          <t>Aug-2017</t>
        </is>
      </c>
      <c r="C5699" s="2" t="n">
        <v>44016</v>
      </c>
      <c r="D5699" t="inlineStr">
        <is>
          <t>NIL</t>
        </is>
      </c>
      <c r="E5699" t="n">
        <v>1559</v>
      </c>
    </row>
    <row r="5700">
      <c r="A5700" t="inlineStr">
        <is>
          <t>27BBBBB05700Z5</t>
        </is>
      </c>
      <c r="B5700" t="inlineStr">
        <is>
          <t>Dec-2022</t>
        </is>
      </c>
      <c r="C5700" s="2" t="n">
        <v>45762</v>
      </c>
      <c r="D5700" t="inlineStr">
        <is>
          <t>NIL</t>
        </is>
      </c>
      <c r="E5700" t="n">
        <v>1105</v>
      </c>
    </row>
    <row r="5701">
      <c r="A5701" t="inlineStr">
        <is>
          <t>27BBBBB05701Z5</t>
        </is>
      </c>
      <c r="B5701" t="inlineStr">
        <is>
          <t>Nov-2017</t>
        </is>
      </c>
      <c r="C5701" s="2" t="n">
        <v>43419</v>
      </c>
      <c r="D5701" t="inlineStr">
        <is>
          <t>NON-NIL</t>
        </is>
      </c>
      <c r="E5701" t="n">
        <v>2615</v>
      </c>
    </row>
    <row r="5702">
      <c r="A5702" t="inlineStr">
        <is>
          <t>27BBBBB05702Z5</t>
        </is>
      </c>
      <c r="B5702" t="inlineStr">
        <is>
          <t>Sep-2018</t>
        </is>
      </c>
      <c r="C5702" s="2" t="n">
        <v>43719</v>
      </c>
      <c r="D5702" t="inlineStr">
        <is>
          <t>NON-NIL</t>
        </is>
      </c>
      <c r="E5702" t="n">
        <v>1310</v>
      </c>
    </row>
    <row r="5703">
      <c r="A5703" t="inlineStr">
        <is>
          <t>27BBBBB05703Z5</t>
        </is>
      </c>
      <c r="B5703" t="inlineStr">
        <is>
          <t>Jan-2018</t>
        </is>
      </c>
      <c r="C5703" s="2" t="n">
        <v>43177</v>
      </c>
      <c r="D5703" t="inlineStr">
        <is>
          <t>NIL</t>
        </is>
      </c>
      <c r="E5703" t="n">
        <v>2365</v>
      </c>
    </row>
    <row r="5704">
      <c r="A5704" t="inlineStr">
        <is>
          <t>27BBBBB05704Z5</t>
        </is>
      </c>
      <c r="B5704" t="inlineStr">
        <is>
          <t>Oct-2017</t>
        </is>
      </c>
      <c r="C5704" s="2" t="n">
        <v>44045</v>
      </c>
      <c r="D5704" t="inlineStr">
        <is>
          <t>NON-NIL</t>
        </is>
      </c>
      <c r="E5704" t="n">
        <v>2872</v>
      </c>
    </row>
    <row r="5705">
      <c r="A5705" t="inlineStr">
        <is>
          <t>27BBBBB05705Z5</t>
        </is>
      </c>
      <c r="B5705" t="inlineStr">
        <is>
          <t>May-2018</t>
        </is>
      </c>
      <c r="C5705" s="2" t="n">
        <v>44160</v>
      </c>
      <c r="D5705" t="inlineStr">
        <is>
          <t>NIL</t>
        </is>
      </c>
      <c r="E5705" t="n">
        <v>1485</v>
      </c>
    </row>
    <row r="5706">
      <c r="A5706" t="inlineStr">
        <is>
          <t>27BBBBB05706Z5</t>
        </is>
      </c>
      <c r="B5706" t="inlineStr">
        <is>
          <t>Nov-2018</t>
        </is>
      </c>
      <c r="C5706" s="2" t="n">
        <v>44001</v>
      </c>
      <c r="D5706" t="inlineStr">
        <is>
          <t>NON-NIL</t>
        </is>
      </c>
      <c r="E5706" t="n">
        <v>479</v>
      </c>
    </row>
    <row r="5707">
      <c r="A5707" t="inlineStr">
        <is>
          <t>27BBBBB05707Z5</t>
        </is>
      </c>
      <c r="B5707" t="inlineStr">
        <is>
          <t>Mar-2020</t>
        </is>
      </c>
      <c r="C5707" s="2" t="n">
        <v>44465</v>
      </c>
      <c r="D5707" t="inlineStr">
        <is>
          <t>NIL</t>
        </is>
      </c>
      <c r="E5707" t="n">
        <v>1129</v>
      </c>
    </row>
    <row r="5708">
      <c r="A5708" t="inlineStr">
        <is>
          <t>27BBBBB05708Z5</t>
        </is>
      </c>
      <c r="B5708" t="inlineStr">
        <is>
          <t>Aug-2018</t>
        </is>
      </c>
      <c r="C5708" s="2" t="n">
        <v>43522</v>
      </c>
      <c r="D5708" t="inlineStr">
        <is>
          <t>NIL</t>
        </is>
      </c>
      <c r="E5708" t="n">
        <v>273</v>
      </c>
    </row>
    <row r="5709">
      <c r="A5709" t="inlineStr">
        <is>
          <t>27BBBBB05709Z5</t>
        </is>
      </c>
      <c r="B5709" t="inlineStr">
        <is>
          <t>Dec-2024</t>
        </is>
      </c>
      <c r="C5709" s="2" t="n">
        <v>45632</v>
      </c>
      <c r="D5709" t="inlineStr">
        <is>
          <t>NIL</t>
        </is>
      </c>
      <c r="E5709" t="n">
        <v>951</v>
      </c>
    </row>
    <row r="5710">
      <c r="A5710" t="inlineStr">
        <is>
          <t>27BBBBB05710Z5</t>
        </is>
      </c>
      <c r="B5710" t="inlineStr">
        <is>
          <t>Jan-2021</t>
        </is>
      </c>
      <c r="C5710" s="2" t="n">
        <v>44570</v>
      </c>
      <c r="D5710" t="inlineStr">
        <is>
          <t>NON-NIL</t>
        </is>
      </c>
      <c r="E5710" t="n">
        <v>1850</v>
      </c>
    </row>
    <row r="5711">
      <c r="A5711" t="inlineStr">
        <is>
          <t>27BBBBB05711Z5</t>
        </is>
      </c>
      <c r="B5711" t="inlineStr">
        <is>
          <t>Aug-2017</t>
        </is>
      </c>
      <c r="C5711" s="2" t="n">
        <v>44355</v>
      </c>
      <c r="D5711" t="inlineStr">
        <is>
          <t>NIL</t>
        </is>
      </c>
      <c r="E5711" t="n">
        <v>1731</v>
      </c>
    </row>
    <row r="5712">
      <c r="A5712" t="inlineStr">
        <is>
          <t>27BBBBB05712Z5</t>
        </is>
      </c>
      <c r="B5712" t="inlineStr">
        <is>
          <t>Oct-2017</t>
        </is>
      </c>
      <c r="C5712" s="2" t="n">
        <v>44455</v>
      </c>
      <c r="D5712" t="inlineStr">
        <is>
          <t>NON-NIL</t>
        </is>
      </c>
      <c r="E5712" t="n">
        <v>2465</v>
      </c>
    </row>
    <row r="5713">
      <c r="A5713" t="inlineStr">
        <is>
          <t>27BBBBB05713Z5</t>
        </is>
      </c>
      <c r="B5713" t="inlineStr">
        <is>
          <t>Jan-2018</t>
        </is>
      </c>
      <c r="C5713" s="2" t="n">
        <v>44022</v>
      </c>
      <c r="D5713" t="inlineStr">
        <is>
          <t>NON-NIL</t>
        </is>
      </c>
      <c r="E5713" t="n">
        <v>2008</v>
      </c>
    </row>
    <row r="5714">
      <c r="A5714" t="inlineStr">
        <is>
          <t>27BBBBB05714Z5</t>
        </is>
      </c>
      <c r="B5714" t="inlineStr">
        <is>
          <t>Feb-2018</t>
        </is>
      </c>
      <c r="C5714" s="2" t="n">
        <v>43963</v>
      </c>
      <c r="D5714" t="inlineStr">
        <is>
          <t>NIL</t>
        </is>
      </c>
      <c r="E5714" t="n">
        <v>120</v>
      </c>
    </row>
    <row r="5715">
      <c r="A5715" t="inlineStr">
        <is>
          <t>27BBBBB05715Z5</t>
        </is>
      </c>
      <c r="B5715" t="inlineStr">
        <is>
          <t>Mar-2021</t>
        </is>
      </c>
      <c r="C5715" s="2" t="n">
        <v>45089</v>
      </c>
      <c r="D5715" t="inlineStr">
        <is>
          <t>NIL</t>
        </is>
      </c>
      <c r="E5715" t="n">
        <v>2040</v>
      </c>
    </row>
    <row r="5716">
      <c r="A5716" t="inlineStr">
        <is>
          <t>27BBBBB05716Z5</t>
        </is>
      </c>
      <c r="B5716" t="inlineStr">
        <is>
          <t>Dec-2024</t>
        </is>
      </c>
      <c r="C5716" s="2" t="n">
        <v>43484</v>
      </c>
      <c r="D5716" t="inlineStr">
        <is>
          <t>NON-NIL</t>
        </is>
      </c>
      <c r="E5716" t="n">
        <v>688</v>
      </c>
    </row>
    <row r="5717">
      <c r="A5717" t="inlineStr">
        <is>
          <t>27BBBBB05717Z5</t>
        </is>
      </c>
      <c r="B5717" t="inlineStr">
        <is>
          <t>Sep-2017</t>
        </is>
      </c>
      <c r="C5717" s="2" t="n">
        <v>44068</v>
      </c>
      <c r="D5717" t="inlineStr">
        <is>
          <t>NON-NIL</t>
        </is>
      </c>
      <c r="E5717" t="n">
        <v>149</v>
      </c>
    </row>
    <row r="5718">
      <c r="A5718" t="inlineStr">
        <is>
          <t>27BBBBB05718Z5</t>
        </is>
      </c>
      <c r="B5718" t="inlineStr">
        <is>
          <t>Dec-2018</t>
        </is>
      </c>
      <c r="C5718" s="2" t="n">
        <v>43178</v>
      </c>
      <c r="D5718" t="inlineStr">
        <is>
          <t>NIL</t>
        </is>
      </c>
      <c r="E5718" t="n">
        <v>1610</v>
      </c>
    </row>
    <row r="5719">
      <c r="A5719" t="inlineStr">
        <is>
          <t>27BBBBB05719Z5</t>
        </is>
      </c>
      <c r="B5719" t="inlineStr">
        <is>
          <t>Sep-2017</t>
        </is>
      </c>
      <c r="C5719" s="2" t="n">
        <v>43735</v>
      </c>
      <c r="D5719" t="inlineStr">
        <is>
          <t>NIL</t>
        </is>
      </c>
      <c r="E5719" t="n">
        <v>1256</v>
      </c>
    </row>
    <row r="5720">
      <c r="A5720" t="inlineStr">
        <is>
          <t>27BBBBB05720Z5</t>
        </is>
      </c>
      <c r="B5720" t="inlineStr">
        <is>
          <t>Aug-2017</t>
        </is>
      </c>
      <c r="C5720" s="2" t="n">
        <v>43620</v>
      </c>
      <c r="D5720" t="inlineStr">
        <is>
          <t>NON-NIL</t>
        </is>
      </c>
      <c r="E5720" t="n">
        <v>1596</v>
      </c>
    </row>
    <row r="5721">
      <c r="A5721" t="inlineStr">
        <is>
          <t>27BBBBB05721Z5</t>
        </is>
      </c>
      <c r="B5721" t="inlineStr">
        <is>
          <t>Apr-2018</t>
        </is>
      </c>
      <c r="C5721" s="2" t="n">
        <v>44169</v>
      </c>
      <c r="D5721" t="inlineStr">
        <is>
          <t>NON-NIL</t>
        </is>
      </c>
      <c r="E5721" t="n">
        <v>2518</v>
      </c>
    </row>
    <row r="5722">
      <c r="A5722" t="inlineStr">
        <is>
          <t>27BBBBB05722Z5</t>
        </is>
      </c>
      <c r="B5722" t="inlineStr">
        <is>
          <t>Jul-2017</t>
        </is>
      </c>
      <c r="C5722" s="2" t="n">
        <v>44463</v>
      </c>
      <c r="D5722" t="inlineStr">
        <is>
          <t>NIL</t>
        </is>
      </c>
      <c r="E5722" t="n">
        <v>1949</v>
      </c>
    </row>
    <row r="5723">
      <c r="A5723" t="inlineStr">
        <is>
          <t>27BBBBB05723Z5</t>
        </is>
      </c>
      <c r="B5723" t="inlineStr">
        <is>
          <t>Jun-2018</t>
        </is>
      </c>
      <c r="C5723" s="2" t="n">
        <v>43266</v>
      </c>
      <c r="D5723" t="inlineStr">
        <is>
          <t>NON-NIL</t>
        </is>
      </c>
      <c r="E5723" t="n">
        <v>250</v>
      </c>
    </row>
    <row r="5724">
      <c r="A5724" t="inlineStr">
        <is>
          <t>27BBBBB05724Z5</t>
        </is>
      </c>
      <c r="B5724" t="inlineStr">
        <is>
          <t>Jul-2020</t>
        </is>
      </c>
      <c r="C5724" s="2" t="n">
        <v>43847</v>
      </c>
      <c r="D5724" t="inlineStr">
        <is>
          <t>NIL</t>
        </is>
      </c>
      <c r="E5724" t="n">
        <v>1860</v>
      </c>
    </row>
    <row r="5725">
      <c r="A5725" t="inlineStr">
        <is>
          <t>27BBBBB05725Z5</t>
        </is>
      </c>
      <c r="B5725" t="inlineStr">
        <is>
          <t>Jun-2018</t>
        </is>
      </c>
      <c r="C5725" s="2" t="n">
        <v>43658</v>
      </c>
      <c r="D5725" t="inlineStr">
        <is>
          <t>NIL</t>
        </is>
      </c>
      <c r="E5725" t="n">
        <v>1199</v>
      </c>
    </row>
    <row r="5726">
      <c r="A5726" t="inlineStr">
        <is>
          <t>27BBBBB05726Z5</t>
        </is>
      </c>
      <c r="B5726" t="inlineStr">
        <is>
          <t>Mar-2020</t>
        </is>
      </c>
      <c r="C5726" s="2" t="n">
        <v>44318</v>
      </c>
      <c r="D5726" t="inlineStr">
        <is>
          <t>NON-NIL</t>
        </is>
      </c>
      <c r="E5726" t="n">
        <v>1842</v>
      </c>
    </row>
    <row r="5727">
      <c r="A5727" t="inlineStr">
        <is>
          <t>27BBBBB05727Z5</t>
        </is>
      </c>
      <c r="B5727" t="inlineStr">
        <is>
          <t>Dec-2018</t>
        </is>
      </c>
      <c r="C5727" s="2" t="n">
        <v>43152</v>
      </c>
      <c r="D5727" t="inlineStr">
        <is>
          <t>NON-NIL</t>
        </is>
      </c>
      <c r="E5727" t="n">
        <v>383</v>
      </c>
    </row>
    <row r="5728">
      <c r="A5728" t="inlineStr">
        <is>
          <t>27BBBBB05728Z5</t>
        </is>
      </c>
      <c r="B5728" t="inlineStr">
        <is>
          <t>Nov-2017</t>
        </is>
      </c>
      <c r="C5728" s="2" t="n">
        <v>43883</v>
      </c>
      <c r="D5728" t="inlineStr">
        <is>
          <t>NON-NIL</t>
        </is>
      </c>
      <c r="E5728" t="n">
        <v>97</v>
      </c>
    </row>
    <row r="5729">
      <c r="A5729" t="inlineStr">
        <is>
          <t>27BBBBB05729Z5</t>
        </is>
      </c>
      <c r="B5729" t="inlineStr">
        <is>
          <t>Sep-2017</t>
        </is>
      </c>
      <c r="C5729" s="2" t="n">
        <v>44544</v>
      </c>
      <c r="D5729" t="inlineStr">
        <is>
          <t>NON-NIL</t>
        </is>
      </c>
      <c r="E5729" t="n">
        <v>981</v>
      </c>
    </row>
    <row r="5730">
      <c r="A5730" t="inlineStr">
        <is>
          <t>27BBBBB05730Z5</t>
        </is>
      </c>
      <c r="B5730" t="inlineStr">
        <is>
          <t>Jan-2018</t>
        </is>
      </c>
      <c r="C5730" s="2" t="n">
        <v>43983</v>
      </c>
      <c r="D5730" t="inlineStr">
        <is>
          <t>NON-NIL</t>
        </is>
      </c>
      <c r="E5730" t="n">
        <v>2447</v>
      </c>
    </row>
    <row r="5731">
      <c r="A5731" t="inlineStr">
        <is>
          <t>27BBBBB05731Z5</t>
        </is>
      </c>
      <c r="B5731" t="inlineStr">
        <is>
          <t>Nov-2017</t>
        </is>
      </c>
      <c r="C5731" s="2" t="n">
        <v>44272</v>
      </c>
      <c r="D5731" t="inlineStr">
        <is>
          <t>NIL</t>
        </is>
      </c>
      <c r="E5731" t="n">
        <v>2401</v>
      </c>
    </row>
    <row r="5732">
      <c r="A5732" t="inlineStr">
        <is>
          <t>27BBBBB05732Z5</t>
        </is>
      </c>
      <c r="B5732" t="inlineStr">
        <is>
          <t>Dec-2017</t>
        </is>
      </c>
      <c r="C5732" s="2" t="n">
        <v>44133</v>
      </c>
      <c r="D5732" t="inlineStr">
        <is>
          <t>NIL</t>
        </is>
      </c>
      <c r="E5732" t="n">
        <v>631</v>
      </c>
    </row>
    <row r="5733">
      <c r="A5733" t="inlineStr">
        <is>
          <t>27BBBBB05733Z5</t>
        </is>
      </c>
      <c r="B5733" t="inlineStr">
        <is>
          <t>Mar-2023</t>
        </is>
      </c>
      <c r="C5733" s="2" t="n">
        <v>44452</v>
      </c>
      <c r="D5733" t="inlineStr">
        <is>
          <t>NIL</t>
        </is>
      </c>
      <c r="E5733" t="n">
        <v>329</v>
      </c>
    </row>
    <row r="5734">
      <c r="A5734" t="inlineStr">
        <is>
          <t>27BBBBB05734Z5</t>
        </is>
      </c>
      <c r="B5734" t="inlineStr">
        <is>
          <t>May-2020</t>
        </is>
      </c>
      <c r="C5734" s="2" t="n">
        <v>44835</v>
      </c>
      <c r="D5734" t="inlineStr">
        <is>
          <t>NON-NIL</t>
        </is>
      </c>
      <c r="E5734" t="n">
        <v>2673</v>
      </c>
    </row>
    <row r="5735">
      <c r="A5735" t="inlineStr">
        <is>
          <t>27BBBBB05735Z5</t>
        </is>
      </c>
      <c r="B5735" t="inlineStr">
        <is>
          <t>Dec-2022</t>
        </is>
      </c>
      <c r="C5735" s="2" t="n">
        <v>43651</v>
      </c>
      <c r="D5735" t="inlineStr">
        <is>
          <t>NIL</t>
        </is>
      </c>
      <c r="E5735" t="n">
        <v>2030</v>
      </c>
    </row>
    <row r="5736">
      <c r="A5736" t="inlineStr">
        <is>
          <t>27BBBBB05736Z5</t>
        </is>
      </c>
      <c r="B5736" t="inlineStr">
        <is>
          <t>Mar-2018</t>
        </is>
      </c>
      <c r="C5736" s="2" t="n">
        <v>43374</v>
      </c>
      <c r="D5736" t="inlineStr">
        <is>
          <t>NIL</t>
        </is>
      </c>
      <c r="E5736" t="n">
        <v>1583</v>
      </c>
    </row>
    <row r="5737">
      <c r="A5737" t="inlineStr">
        <is>
          <t>27BBBBB05737Z5</t>
        </is>
      </c>
      <c r="B5737" t="inlineStr">
        <is>
          <t>Dec-2017</t>
        </is>
      </c>
      <c r="C5737" s="2" t="n">
        <v>44015</v>
      </c>
      <c r="D5737" t="inlineStr">
        <is>
          <t>NON-NIL</t>
        </is>
      </c>
      <c r="E5737" t="n">
        <v>868</v>
      </c>
    </row>
    <row r="5738">
      <c r="A5738" t="inlineStr">
        <is>
          <t>27BBBBB05738Z5</t>
        </is>
      </c>
      <c r="B5738" t="inlineStr">
        <is>
          <t>Dec-2017</t>
        </is>
      </c>
      <c r="C5738" s="2" t="n">
        <v>43375</v>
      </c>
      <c r="D5738" t="inlineStr">
        <is>
          <t>NON-NIL</t>
        </is>
      </c>
      <c r="E5738" t="n">
        <v>1574</v>
      </c>
    </row>
    <row r="5739">
      <c r="A5739" t="inlineStr">
        <is>
          <t>27BBBBB05739Z5</t>
        </is>
      </c>
      <c r="B5739" t="inlineStr">
        <is>
          <t>Aug-2017</t>
        </is>
      </c>
      <c r="C5739" s="2" t="n">
        <v>44405</v>
      </c>
      <c r="D5739" t="inlineStr">
        <is>
          <t>NIL</t>
        </is>
      </c>
      <c r="E5739" t="n">
        <v>1308</v>
      </c>
    </row>
    <row r="5740">
      <c r="A5740" t="inlineStr">
        <is>
          <t>27BBBBB05740Z5</t>
        </is>
      </c>
      <c r="B5740" t="inlineStr">
        <is>
          <t>Jul-2018</t>
        </is>
      </c>
      <c r="C5740" s="2" t="n">
        <v>43887</v>
      </c>
      <c r="D5740" t="inlineStr">
        <is>
          <t>NIL</t>
        </is>
      </c>
      <c r="E5740" t="n">
        <v>2428</v>
      </c>
    </row>
    <row r="5741">
      <c r="A5741" t="inlineStr">
        <is>
          <t>27BBBBB05741Z5</t>
        </is>
      </c>
      <c r="B5741" t="inlineStr">
        <is>
          <t>Mar-2018</t>
        </is>
      </c>
      <c r="C5741" s="2" t="n">
        <v>43477</v>
      </c>
      <c r="D5741" t="inlineStr">
        <is>
          <t>NIL</t>
        </is>
      </c>
      <c r="E5741" t="n">
        <v>1170</v>
      </c>
    </row>
    <row r="5742">
      <c r="A5742" t="inlineStr">
        <is>
          <t>27BBBBB05742Z5</t>
        </is>
      </c>
      <c r="B5742" t="inlineStr">
        <is>
          <t>Mar-2023</t>
        </is>
      </c>
      <c r="C5742" s="2" t="n">
        <v>45437</v>
      </c>
      <c r="D5742" t="inlineStr">
        <is>
          <t>NIL</t>
        </is>
      </c>
      <c r="E5742" t="n">
        <v>566</v>
      </c>
    </row>
    <row r="5743">
      <c r="A5743" t="inlineStr">
        <is>
          <t>27BBBBB05743Z5</t>
        </is>
      </c>
      <c r="B5743" t="inlineStr">
        <is>
          <t>Dec-2017</t>
        </is>
      </c>
      <c r="C5743" s="2" t="n">
        <v>43784</v>
      </c>
      <c r="D5743" t="inlineStr">
        <is>
          <t>NON-NIL</t>
        </is>
      </c>
      <c r="E5743" t="n">
        <v>1961</v>
      </c>
    </row>
    <row r="5744">
      <c r="A5744" t="inlineStr">
        <is>
          <t>27BBBBB05744Z5</t>
        </is>
      </c>
      <c r="B5744" t="inlineStr">
        <is>
          <t>Nov-2017</t>
        </is>
      </c>
      <c r="C5744" s="2" t="n">
        <v>43944</v>
      </c>
      <c r="D5744" t="inlineStr">
        <is>
          <t>NIL</t>
        </is>
      </c>
      <c r="E5744" t="n">
        <v>2628</v>
      </c>
    </row>
    <row r="5745">
      <c r="A5745" t="inlineStr">
        <is>
          <t>27BBBBB05745Z5</t>
        </is>
      </c>
      <c r="B5745" t="inlineStr">
        <is>
          <t>Feb-2018</t>
        </is>
      </c>
      <c r="C5745" s="2" t="n">
        <v>43366</v>
      </c>
      <c r="D5745" t="inlineStr">
        <is>
          <t>NON-NIL</t>
        </is>
      </c>
      <c r="E5745" t="n">
        <v>966</v>
      </c>
    </row>
    <row r="5746">
      <c r="A5746" t="inlineStr">
        <is>
          <t>27BBBBB05746Z5</t>
        </is>
      </c>
      <c r="B5746" t="inlineStr">
        <is>
          <t>Dec-2017</t>
        </is>
      </c>
      <c r="C5746" s="2" t="n">
        <v>44212</v>
      </c>
      <c r="D5746" t="inlineStr">
        <is>
          <t>NON-NIL</t>
        </is>
      </c>
      <c r="E5746" t="n">
        <v>180</v>
      </c>
    </row>
    <row r="5747">
      <c r="A5747" t="inlineStr">
        <is>
          <t>27BBBBB05747Z5</t>
        </is>
      </c>
      <c r="B5747" t="inlineStr">
        <is>
          <t>Mar-2021</t>
        </is>
      </c>
      <c r="C5747" s="2" t="n">
        <v>44354</v>
      </c>
      <c r="D5747" t="inlineStr">
        <is>
          <t>NIL</t>
        </is>
      </c>
      <c r="E5747" t="n">
        <v>557</v>
      </c>
    </row>
    <row r="5748">
      <c r="A5748" t="inlineStr">
        <is>
          <t>27BBBBB05748Z5</t>
        </is>
      </c>
      <c r="B5748" t="inlineStr">
        <is>
          <t>Nov-2017</t>
        </is>
      </c>
      <c r="C5748" s="2" t="n">
        <v>44265</v>
      </c>
      <c r="D5748" t="inlineStr">
        <is>
          <t>NON-NIL</t>
        </is>
      </c>
      <c r="E5748" t="n">
        <v>1352</v>
      </c>
    </row>
    <row r="5749">
      <c r="A5749" t="inlineStr">
        <is>
          <t>27BBBBB05749Z5</t>
        </is>
      </c>
      <c r="B5749" t="inlineStr">
        <is>
          <t>Jul-2018</t>
        </is>
      </c>
      <c r="C5749" s="2" t="n">
        <v>43122</v>
      </c>
      <c r="D5749" t="inlineStr">
        <is>
          <t>NON-NIL</t>
        </is>
      </c>
      <c r="E5749" t="n">
        <v>2664</v>
      </c>
    </row>
    <row r="5750">
      <c r="A5750" t="inlineStr">
        <is>
          <t>27BBBBB05750Z5</t>
        </is>
      </c>
      <c r="B5750" t="inlineStr">
        <is>
          <t>Jun-2018</t>
        </is>
      </c>
      <c r="C5750" s="2" t="n">
        <v>43997</v>
      </c>
      <c r="D5750" t="inlineStr">
        <is>
          <t>NIL</t>
        </is>
      </c>
      <c r="E5750" t="n">
        <v>1250</v>
      </c>
    </row>
    <row r="5751">
      <c r="A5751" t="inlineStr">
        <is>
          <t>27BBBBB05751Z5</t>
        </is>
      </c>
      <c r="B5751" t="inlineStr">
        <is>
          <t>Jun-2020</t>
        </is>
      </c>
      <c r="C5751" s="2" t="n">
        <v>44388</v>
      </c>
      <c r="D5751" t="inlineStr">
        <is>
          <t>NIL</t>
        </is>
      </c>
      <c r="E5751" t="n">
        <v>1869</v>
      </c>
    </row>
    <row r="5752">
      <c r="A5752" t="inlineStr">
        <is>
          <t>27BBBBB05752Z5</t>
        </is>
      </c>
      <c r="B5752" t="inlineStr">
        <is>
          <t>Feb-2018</t>
        </is>
      </c>
      <c r="C5752" s="2" t="n">
        <v>42968</v>
      </c>
      <c r="D5752" t="inlineStr">
        <is>
          <t>NIL</t>
        </is>
      </c>
      <c r="E5752" t="n">
        <v>2993</v>
      </c>
    </row>
    <row r="5753">
      <c r="A5753" t="inlineStr">
        <is>
          <t>27BBBBB05753Z5</t>
        </is>
      </c>
      <c r="B5753" t="inlineStr">
        <is>
          <t>Dec-2022</t>
        </is>
      </c>
      <c r="C5753" s="2" t="n">
        <v>45577</v>
      </c>
      <c r="D5753" t="inlineStr">
        <is>
          <t>NIL</t>
        </is>
      </c>
      <c r="E5753" t="n">
        <v>2942</v>
      </c>
    </row>
    <row r="5754">
      <c r="A5754" t="inlineStr">
        <is>
          <t>27BBBBB05754Z5</t>
        </is>
      </c>
      <c r="B5754" t="inlineStr">
        <is>
          <t>Jan-2021</t>
        </is>
      </c>
      <c r="C5754" s="2" t="n">
        <v>45818</v>
      </c>
      <c r="D5754" t="inlineStr">
        <is>
          <t>NIL</t>
        </is>
      </c>
      <c r="E5754" t="n">
        <v>1183</v>
      </c>
    </row>
    <row r="5755">
      <c r="A5755" t="inlineStr">
        <is>
          <t>27BBBBB05755Z5</t>
        </is>
      </c>
      <c r="B5755" t="inlineStr">
        <is>
          <t>Jan-2021</t>
        </is>
      </c>
      <c r="C5755" s="2" t="n">
        <v>44048</v>
      </c>
      <c r="D5755" t="inlineStr">
        <is>
          <t>NON-NIL</t>
        </is>
      </c>
      <c r="E5755" t="n">
        <v>448</v>
      </c>
    </row>
    <row r="5756">
      <c r="A5756" t="inlineStr">
        <is>
          <t>27BBBBB05756Z5</t>
        </is>
      </c>
      <c r="B5756" t="inlineStr">
        <is>
          <t>Dec-2022</t>
        </is>
      </c>
      <c r="C5756" s="2" t="n">
        <v>44164</v>
      </c>
      <c r="D5756" t="inlineStr">
        <is>
          <t>NON-NIL</t>
        </is>
      </c>
      <c r="E5756" t="n">
        <v>927</v>
      </c>
    </row>
    <row r="5757">
      <c r="A5757" t="inlineStr">
        <is>
          <t>27BBBBB05757Z5</t>
        </is>
      </c>
      <c r="B5757" t="inlineStr">
        <is>
          <t>Jun-2018</t>
        </is>
      </c>
      <c r="C5757" s="2" t="n">
        <v>44150</v>
      </c>
      <c r="D5757" t="inlineStr">
        <is>
          <t>NON-NIL</t>
        </is>
      </c>
      <c r="E5757" t="n">
        <v>1517</v>
      </c>
    </row>
    <row r="5758">
      <c r="A5758" t="inlineStr">
        <is>
          <t>27BBBBB05758Z5</t>
        </is>
      </c>
      <c r="B5758" t="inlineStr">
        <is>
          <t>Dec-2017</t>
        </is>
      </c>
      <c r="C5758" s="2" t="n">
        <v>43198</v>
      </c>
      <c r="D5758" t="inlineStr">
        <is>
          <t>NIL</t>
        </is>
      </c>
      <c r="E5758" t="n">
        <v>610</v>
      </c>
    </row>
    <row r="5759">
      <c r="A5759" t="inlineStr">
        <is>
          <t>27BBBBB05759Z5</t>
        </is>
      </c>
      <c r="B5759" t="inlineStr">
        <is>
          <t>Jul-2017</t>
        </is>
      </c>
      <c r="C5759" s="2" t="n">
        <v>44475</v>
      </c>
      <c r="D5759" t="inlineStr">
        <is>
          <t>NIL</t>
        </is>
      </c>
      <c r="E5759" t="n">
        <v>2411</v>
      </c>
    </row>
    <row r="5760">
      <c r="A5760" t="inlineStr">
        <is>
          <t>27BBBBB05760Z5</t>
        </is>
      </c>
      <c r="B5760" t="inlineStr">
        <is>
          <t>Oct-2018</t>
        </is>
      </c>
      <c r="C5760" s="2" t="n">
        <v>44490</v>
      </c>
      <c r="D5760" t="inlineStr">
        <is>
          <t>NON-NIL</t>
        </is>
      </c>
      <c r="E5760" t="n">
        <v>2530</v>
      </c>
    </row>
    <row r="5761">
      <c r="A5761" t="inlineStr">
        <is>
          <t>27BBBBB05761Z5</t>
        </is>
      </c>
      <c r="B5761" t="inlineStr">
        <is>
          <t>Dec-2018</t>
        </is>
      </c>
      <c r="C5761" s="2" t="n">
        <v>42990</v>
      </c>
      <c r="D5761" t="inlineStr">
        <is>
          <t>NIL</t>
        </is>
      </c>
      <c r="E5761" t="n">
        <v>2482</v>
      </c>
    </row>
    <row r="5762">
      <c r="A5762" t="inlineStr">
        <is>
          <t>27BBBBB05762Z5</t>
        </is>
      </c>
      <c r="B5762" t="inlineStr">
        <is>
          <t>Dec-2017</t>
        </is>
      </c>
      <c r="C5762" s="2" t="n">
        <v>44168</v>
      </c>
      <c r="D5762" t="inlineStr">
        <is>
          <t>NIL</t>
        </is>
      </c>
      <c r="E5762" t="n">
        <v>1669</v>
      </c>
    </row>
    <row r="5763">
      <c r="A5763" t="inlineStr">
        <is>
          <t>27BBBBB05763Z5</t>
        </is>
      </c>
      <c r="B5763" t="inlineStr">
        <is>
          <t>Sep-2018</t>
        </is>
      </c>
      <c r="C5763" s="2" t="n">
        <v>43815</v>
      </c>
      <c r="D5763" t="inlineStr">
        <is>
          <t>NON-NIL</t>
        </is>
      </c>
      <c r="E5763" t="n">
        <v>339</v>
      </c>
    </row>
    <row r="5764">
      <c r="A5764" t="inlineStr">
        <is>
          <t>27BBBBB05764Z5</t>
        </is>
      </c>
      <c r="B5764" t="inlineStr">
        <is>
          <t>Mar-2018</t>
        </is>
      </c>
      <c r="C5764" s="2" t="n">
        <v>43632</v>
      </c>
      <c r="D5764" t="inlineStr">
        <is>
          <t>NON-NIL</t>
        </is>
      </c>
      <c r="E5764" t="n">
        <v>1104</v>
      </c>
    </row>
    <row r="5765">
      <c r="A5765" t="inlineStr">
        <is>
          <t>27BBBBB05765Z5</t>
        </is>
      </c>
      <c r="B5765" t="inlineStr">
        <is>
          <t>Mar-2021</t>
        </is>
      </c>
      <c r="C5765" s="2" t="n">
        <v>44742</v>
      </c>
      <c r="D5765" t="inlineStr">
        <is>
          <t>NON-NIL</t>
        </is>
      </c>
      <c r="E5765" t="n">
        <v>1119</v>
      </c>
    </row>
    <row r="5766">
      <c r="A5766" t="inlineStr">
        <is>
          <t>27BBBBB05766Z5</t>
        </is>
      </c>
      <c r="B5766" t="inlineStr">
        <is>
          <t>Jan-2021</t>
        </is>
      </c>
      <c r="C5766" s="2" t="n">
        <v>44719</v>
      </c>
      <c r="D5766" t="inlineStr">
        <is>
          <t>NIL</t>
        </is>
      </c>
      <c r="E5766" t="n">
        <v>2459</v>
      </c>
    </row>
    <row r="5767">
      <c r="A5767" t="inlineStr">
        <is>
          <t>27BBBBB05767Z5</t>
        </is>
      </c>
      <c r="B5767" t="inlineStr">
        <is>
          <t>May-2020</t>
        </is>
      </c>
      <c r="C5767" s="2" t="n">
        <v>44779</v>
      </c>
      <c r="D5767" t="inlineStr">
        <is>
          <t>NIL</t>
        </is>
      </c>
      <c r="E5767" t="n">
        <v>2003</v>
      </c>
    </row>
    <row r="5768">
      <c r="A5768" t="inlineStr">
        <is>
          <t>27BBBBB05768Z5</t>
        </is>
      </c>
      <c r="B5768" t="inlineStr">
        <is>
          <t>Nov-2017</t>
        </is>
      </c>
      <c r="C5768" s="2" t="n">
        <v>43794</v>
      </c>
      <c r="D5768" t="inlineStr">
        <is>
          <t>NIL</t>
        </is>
      </c>
      <c r="E5768" t="n">
        <v>670</v>
      </c>
    </row>
    <row r="5769">
      <c r="A5769" t="inlineStr">
        <is>
          <t>27BBBBB05769Z5</t>
        </is>
      </c>
      <c r="B5769" t="inlineStr">
        <is>
          <t>Dec-2022</t>
        </is>
      </c>
      <c r="C5769" s="2" t="n">
        <v>44412</v>
      </c>
      <c r="D5769" t="inlineStr">
        <is>
          <t>NIL</t>
        </is>
      </c>
      <c r="E5769" t="n">
        <v>1039</v>
      </c>
    </row>
    <row r="5770">
      <c r="A5770" t="inlineStr">
        <is>
          <t>27BBBBB05770Z5</t>
        </is>
      </c>
      <c r="B5770" t="inlineStr">
        <is>
          <t>Dec-2018</t>
        </is>
      </c>
      <c r="C5770" s="2" t="n">
        <v>43353</v>
      </c>
      <c r="D5770" t="inlineStr">
        <is>
          <t>NIL</t>
        </is>
      </c>
      <c r="E5770" t="n">
        <v>1987</v>
      </c>
    </row>
    <row r="5771">
      <c r="A5771" t="inlineStr">
        <is>
          <t>27BBBBB05771Z5</t>
        </is>
      </c>
      <c r="B5771" t="inlineStr">
        <is>
          <t>Jun-2020</t>
        </is>
      </c>
      <c r="C5771" s="2" t="n">
        <v>44553</v>
      </c>
      <c r="D5771" t="inlineStr">
        <is>
          <t>NON-NIL</t>
        </is>
      </c>
      <c r="E5771" t="n">
        <v>2824</v>
      </c>
    </row>
    <row r="5772">
      <c r="A5772" t="inlineStr">
        <is>
          <t>27BBBBB05772Z5</t>
        </is>
      </c>
      <c r="B5772" t="inlineStr">
        <is>
          <t>Sep-2018</t>
        </is>
      </c>
      <c r="C5772" s="2" t="n">
        <v>44223</v>
      </c>
      <c r="D5772" t="inlineStr">
        <is>
          <t>NIL</t>
        </is>
      </c>
      <c r="E5772" t="n">
        <v>2017</v>
      </c>
    </row>
    <row r="5773">
      <c r="A5773" t="inlineStr">
        <is>
          <t>27BBBBB05773Z5</t>
        </is>
      </c>
      <c r="B5773" t="inlineStr">
        <is>
          <t>Dec-2018</t>
        </is>
      </c>
      <c r="C5773" s="2" t="n">
        <v>43613</v>
      </c>
      <c r="D5773" t="inlineStr">
        <is>
          <t>NIL</t>
        </is>
      </c>
      <c r="E5773" t="n">
        <v>949</v>
      </c>
    </row>
    <row r="5774">
      <c r="A5774" t="inlineStr">
        <is>
          <t>27BBBBB05774Z5</t>
        </is>
      </c>
      <c r="B5774" t="inlineStr">
        <is>
          <t>Apr-2020</t>
        </is>
      </c>
      <c r="C5774" s="2" t="n">
        <v>44232</v>
      </c>
      <c r="D5774" t="inlineStr">
        <is>
          <t>NIL</t>
        </is>
      </c>
      <c r="E5774" t="n">
        <v>438</v>
      </c>
    </row>
    <row r="5775">
      <c r="A5775" t="inlineStr">
        <is>
          <t>27BBBBB05775Z5</t>
        </is>
      </c>
      <c r="B5775" t="inlineStr">
        <is>
          <t>Dec-2024</t>
        </is>
      </c>
      <c r="C5775" s="2" t="n">
        <v>45060</v>
      </c>
      <c r="D5775" t="inlineStr">
        <is>
          <t>NON-NIL</t>
        </is>
      </c>
      <c r="E5775" t="n">
        <v>883</v>
      </c>
    </row>
    <row r="5776">
      <c r="A5776" t="inlineStr">
        <is>
          <t>27BBBBB05776Z5</t>
        </is>
      </c>
      <c r="B5776" t="inlineStr">
        <is>
          <t>Oct-2017</t>
        </is>
      </c>
      <c r="C5776" s="2" t="n">
        <v>43214</v>
      </c>
      <c r="D5776" t="inlineStr">
        <is>
          <t>NON-NIL</t>
        </is>
      </c>
      <c r="E5776" t="n">
        <v>1033</v>
      </c>
    </row>
    <row r="5777">
      <c r="A5777" t="inlineStr">
        <is>
          <t>27BBBBB05777Z5</t>
        </is>
      </c>
      <c r="B5777" t="inlineStr">
        <is>
          <t>Jun-2018</t>
        </is>
      </c>
      <c r="C5777" s="2" t="n">
        <v>43697</v>
      </c>
      <c r="D5777" t="inlineStr">
        <is>
          <t>NON-NIL</t>
        </is>
      </c>
      <c r="E5777" t="n">
        <v>1821</v>
      </c>
    </row>
    <row r="5778">
      <c r="A5778" t="inlineStr">
        <is>
          <t>27BBBBB05778Z5</t>
        </is>
      </c>
      <c r="B5778" t="inlineStr">
        <is>
          <t>Jun-2018</t>
        </is>
      </c>
      <c r="C5778" s="2" t="n">
        <v>43824</v>
      </c>
      <c r="D5778" t="inlineStr">
        <is>
          <t>NIL</t>
        </is>
      </c>
      <c r="E5778" t="n">
        <v>1451</v>
      </c>
    </row>
    <row r="5779">
      <c r="A5779" t="inlineStr">
        <is>
          <t>27BBBBB05779Z5</t>
        </is>
      </c>
      <c r="B5779" t="inlineStr">
        <is>
          <t>Oct-2018</t>
        </is>
      </c>
      <c r="C5779" s="2" t="n">
        <v>43136</v>
      </c>
      <c r="D5779" t="inlineStr">
        <is>
          <t>NON-NIL</t>
        </is>
      </c>
      <c r="E5779" t="n">
        <v>383</v>
      </c>
    </row>
    <row r="5780">
      <c r="A5780" t="inlineStr">
        <is>
          <t>27BBBBB05780Z5</t>
        </is>
      </c>
      <c r="B5780" t="inlineStr">
        <is>
          <t>Jun-2018</t>
        </is>
      </c>
      <c r="C5780" s="2" t="n">
        <v>44191</v>
      </c>
      <c r="D5780" t="inlineStr">
        <is>
          <t>NIL</t>
        </is>
      </c>
      <c r="E5780" t="n">
        <v>2671</v>
      </c>
    </row>
    <row r="5781">
      <c r="A5781" t="inlineStr">
        <is>
          <t>27BBBBB05781Z5</t>
        </is>
      </c>
      <c r="B5781" t="inlineStr">
        <is>
          <t>Dec-2018</t>
        </is>
      </c>
      <c r="C5781" s="2" t="n">
        <v>43373</v>
      </c>
      <c r="D5781" t="inlineStr">
        <is>
          <t>NIL</t>
        </is>
      </c>
      <c r="E5781" t="n">
        <v>927</v>
      </c>
    </row>
    <row r="5782">
      <c r="A5782" t="inlineStr">
        <is>
          <t>27BBBBB05782Z5</t>
        </is>
      </c>
      <c r="B5782" t="inlineStr">
        <is>
          <t>Feb-2018</t>
        </is>
      </c>
      <c r="C5782" s="2" t="n">
        <v>43666</v>
      </c>
      <c r="D5782" t="inlineStr">
        <is>
          <t>NON-NIL</t>
        </is>
      </c>
      <c r="E5782" t="n">
        <v>683</v>
      </c>
    </row>
    <row r="5783">
      <c r="A5783" t="inlineStr">
        <is>
          <t>27BBBBB05783Z5</t>
        </is>
      </c>
      <c r="B5783" t="inlineStr">
        <is>
          <t>Mar-2021</t>
        </is>
      </c>
      <c r="C5783" s="2" t="n">
        <v>44989</v>
      </c>
      <c r="D5783" t="inlineStr">
        <is>
          <t>NON-NIL</t>
        </is>
      </c>
      <c r="E5783" t="n">
        <v>70</v>
      </c>
    </row>
    <row r="5784">
      <c r="A5784" t="inlineStr">
        <is>
          <t>27BBBBB05784Z5</t>
        </is>
      </c>
      <c r="B5784" t="inlineStr">
        <is>
          <t>Oct-2017</t>
        </is>
      </c>
      <c r="C5784" s="2" t="n">
        <v>43338</v>
      </c>
      <c r="D5784" t="inlineStr">
        <is>
          <t>NON-NIL</t>
        </is>
      </c>
      <c r="E5784" t="n">
        <v>2257</v>
      </c>
    </row>
    <row r="5785">
      <c r="A5785" t="inlineStr">
        <is>
          <t>27BBBBB05785Z5</t>
        </is>
      </c>
      <c r="B5785" t="inlineStr">
        <is>
          <t>Apr-2018</t>
        </is>
      </c>
      <c r="C5785" s="2" t="n">
        <v>43148</v>
      </c>
      <c r="D5785" t="inlineStr">
        <is>
          <t>NIL</t>
        </is>
      </c>
      <c r="E5785" t="n">
        <v>2895</v>
      </c>
    </row>
    <row r="5786">
      <c r="A5786" t="inlineStr">
        <is>
          <t>27BBBBB05786Z5</t>
        </is>
      </c>
      <c r="B5786" t="inlineStr">
        <is>
          <t>Jan-2021</t>
        </is>
      </c>
      <c r="C5786" s="2" t="n">
        <v>44460</v>
      </c>
      <c r="D5786" t="inlineStr">
        <is>
          <t>NON-NIL</t>
        </is>
      </c>
      <c r="E5786" t="n">
        <v>340</v>
      </c>
    </row>
    <row r="5787">
      <c r="A5787" t="inlineStr">
        <is>
          <t>27BBBBB05787Z5</t>
        </is>
      </c>
      <c r="B5787" t="inlineStr">
        <is>
          <t>Sep-2017</t>
        </is>
      </c>
      <c r="C5787" s="2" t="n">
        <v>43394</v>
      </c>
      <c r="D5787" t="inlineStr">
        <is>
          <t>NON-NIL</t>
        </is>
      </c>
      <c r="E5787" t="n">
        <v>788</v>
      </c>
    </row>
    <row r="5788">
      <c r="A5788" t="inlineStr">
        <is>
          <t>27BBBBB05788Z5</t>
        </is>
      </c>
      <c r="B5788" t="inlineStr">
        <is>
          <t>Mar-2023</t>
        </is>
      </c>
      <c r="C5788" s="2" t="n">
        <v>44034</v>
      </c>
      <c r="D5788" t="inlineStr">
        <is>
          <t>NIL</t>
        </is>
      </c>
      <c r="E5788" t="n">
        <v>2710</v>
      </c>
    </row>
    <row r="5789">
      <c r="A5789" t="inlineStr">
        <is>
          <t>27BBBBB05789Z5</t>
        </is>
      </c>
      <c r="B5789" t="inlineStr">
        <is>
          <t>May-2020</t>
        </is>
      </c>
      <c r="C5789" s="2" t="n">
        <v>44093</v>
      </c>
      <c r="D5789" t="inlineStr">
        <is>
          <t>NIL</t>
        </is>
      </c>
      <c r="E5789" t="n">
        <v>131</v>
      </c>
    </row>
    <row r="5790">
      <c r="A5790" t="inlineStr">
        <is>
          <t>27BBBBB05790Z5</t>
        </is>
      </c>
      <c r="B5790" t="inlineStr">
        <is>
          <t>Sep-2017</t>
        </is>
      </c>
      <c r="C5790" s="2" t="n">
        <v>43849</v>
      </c>
      <c r="D5790" t="inlineStr">
        <is>
          <t>NIL</t>
        </is>
      </c>
      <c r="E5790" t="n">
        <v>2212</v>
      </c>
    </row>
    <row r="5791">
      <c r="A5791" t="inlineStr">
        <is>
          <t>27BBBBB05791Z5</t>
        </is>
      </c>
      <c r="B5791" t="inlineStr">
        <is>
          <t>Dec-2017</t>
        </is>
      </c>
      <c r="C5791" s="2" t="n">
        <v>43175</v>
      </c>
      <c r="D5791" t="inlineStr">
        <is>
          <t>NON-NIL</t>
        </is>
      </c>
      <c r="E5791" t="n">
        <v>161</v>
      </c>
    </row>
    <row r="5792">
      <c r="A5792" t="inlineStr">
        <is>
          <t>27BBBBB05792Z5</t>
        </is>
      </c>
      <c r="B5792" t="inlineStr">
        <is>
          <t>Dec-2022</t>
        </is>
      </c>
      <c r="C5792" s="2" t="n">
        <v>45091</v>
      </c>
      <c r="D5792" t="inlineStr">
        <is>
          <t>NON-NIL</t>
        </is>
      </c>
      <c r="E5792" t="n">
        <v>2578</v>
      </c>
    </row>
    <row r="5793">
      <c r="A5793" t="inlineStr">
        <is>
          <t>27BBBBB05793Z5</t>
        </is>
      </c>
      <c r="B5793" t="inlineStr">
        <is>
          <t>Dec-2024</t>
        </is>
      </c>
      <c r="C5793" s="2" t="n">
        <v>45744</v>
      </c>
      <c r="D5793" t="inlineStr">
        <is>
          <t>NON-NIL</t>
        </is>
      </c>
      <c r="E5793" t="n">
        <v>1725</v>
      </c>
    </row>
    <row r="5794">
      <c r="A5794" t="inlineStr">
        <is>
          <t>27BBBBB05794Z5</t>
        </is>
      </c>
      <c r="B5794" t="inlineStr">
        <is>
          <t>Feb-2018</t>
        </is>
      </c>
      <c r="C5794" s="2" t="n">
        <v>42918</v>
      </c>
      <c r="D5794" t="inlineStr">
        <is>
          <t>NON-NIL</t>
        </is>
      </c>
      <c r="E5794" t="n">
        <v>67</v>
      </c>
    </row>
    <row r="5795">
      <c r="A5795" t="inlineStr">
        <is>
          <t>27BBBBB05795Z5</t>
        </is>
      </c>
      <c r="B5795" t="inlineStr">
        <is>
          <t>Apr-2020</t>
        </is>
      </c>
      <c r="C5795" s="2" t="n">
        <v>44677</v>
      </c>
      <c r="D5795" t="inlineStr">
        <is>
          <t>NON-NIL</t>
        </is>
      </c>
      <c r="E5795" t="n">
        <v>2227</v>
      </c>
    </row>
    <row r="5796">
      <c r="A5796" t="inlineStr">
        <is>
          <t>27BBBBB05796Z5</t>
        </is>
      </c>
      <c r="B5796" t="inlineStr">
        <is>
          <t>Dec-2018</t>
        </is>
      </c>
      <c r="C5796" s="2" t="n">
        <v>43751</v>
      </c>
      <c r="D5796" t="inlineStr">
        <is>
          <t>NIL</t>
        </is>
      </c>
      <c r="E5796" t="n">
        <v>2436</v>
      </c>
    </row>
    <row r="5797">
      <c r="A5797" t="inlineStr">
        <is>
          <t>27BBBBB05797Z5</t>
        </is>
      </c>
      <c r="B5797" t="inlineStr">
        <is>
          <t>Jan-2021</t>
        </is>
      </c>
      <c r="C5797" s="2" t="n">
        <v>45553</v>
      </c>
      <c r="D5797" t="inlineStr">
        <is>
          <t>NON-NIL</t>
        </is>
      </c>
      <c r="E5797" t="n">
        <v>1281</v>
      </c>
    </row>
    <row r="5798">
      <c r="A5798" t="inlineStr">
        <is>
          <t>27BBBBB05798Z5</t>
        </is>
      </c>
      <c r="B5798" t="inlineStr">
        <is>
          <t>Aug-2018</t>
        </is>
      </c>
      <c r="C5798" s="2" t="n">
        <v>44065</v>
      </c>
      <c r="D5798" t="inlineStr">
        <is>
          <t>NIL</t>
        </is>
      </c>
      <c r="E5798" t="n">
        <v>2359</v>
      </c>
    </row>
    <row r="5799">
      <c r="A5799" t="inlineStr">
        <is>
          <t>27BBBBB05799Z5</t>
        </is>
      </c>
      <c r="B5799" t="inlineStr">
        <is>
          <t>Dec-2017</t>
        </is>
      </c>
      <c r="C5799" s="2" t="n">
        <v>44196</v>
      </c>
      <c r="D5799" t="inlineStr">
        <is>
          <t>NON-NIL</t>
        </is>
      </c>
      <c r="E5799" t="n">
        <v>2351</v>
      </c>
    </row>
    <row r="5800">
      <c r="A5800" t="inlineStr">
        <is>
          <t>27BBBBB05800Z5</t>
        </is>
      </c>
      <c r="B5800" t="inlineStr">
        <is>
          <t>Dec-2022</t>
        </is>
      </c>
      <c r="C5800" s="2" t="n">
        <v>43797</v>
      </c>
      <c r="D5800" t="inlineStr">
        <is>
          <t>NIL</t>
        </is>
      </c>
      <c r="E5800" t="n">
        <v>73</v>
      </c>
    </row>
    <row r="5801">
      <c r="A5801" t="inlineStr">
        <is>
          <t>27BBBBB05801Z5</t>
        </is>
      </c>
      <c r="B5801" t="inlineStr">
        <is>
          <t>Nov-2017</t>
        </is>
      </c>
      <c r="C5801" s="2" t="n">
        <v>44183</v>
      </c>
      <c r="D5801" t="inlineStr">
        <is>
          <t>NON-NIL</t>
        </is>
      </c>
      <c r="E5801" t="n">
        <v>2383</v>
      </c>
    </row>
    <row r="5802">
      <c r="A5802" t="inlineStr">
        <is>
          <t>27BBBBB05802Z5</t>
        </is>
      </c>
      <c r="B5802" t="inlineStr">
        <is>
          <t>May-2020</t>
        </is>
      </c>
      <c r="C5802" s="2" t="n">
        <v>44256</v>
      </c>
      <c r="D5802" t="inlineStr">
        <is>
          <t>NIL</t>
        </is>
      </c>
      <c r="E5802" t="n">
        <v>1310</v>
      </c>
    </row>
    <row r="5803">
      <c r="A5803" t="inlineStr">
        <is>
          <t>27BBBBB05803Z5</t>
        </is>
      </c>
      <c r="B5803" t="inlineStr">
        <is>
          <t>Jul-2017</t>
        </is>
      </c>
      <c r="C5803" s="2" t="n">
        <v>44081</v>
      </c>
      <c r="D5803" t="inlineStr">
        <is>
          <t>NIL</t>
        </is>
      </c>
      <c r="E5803" t="n">
        <v>599</v>
      </c>
    </row>
    <row r="5804">
      <c r="A5804" t="inlineStr">
        <is>
          <t>27BBBBB05804Z5</t>
        </is>
      </c>
      <c r="B5804" t="inlineStr">
        <is>
          <t>Sep-2018</t>
        </is>
      </c>
      <c r="C5804" s="2" t="n">
        <v>43672</v>
      </c>
      <c r="D5804" t="inlineStr">
        <is>
          <t>NIL</t>
        </is>
      </c>
      <c r="E5804" t="n">
        <v>526</v>
      </c>
    </row>
    <row r="5805">
      <c r="A5805" t="inlineStr">
        <is>
          <t>27BBBBB05805Z5</t>
        </is>
      </c>
      <c r="B5805" t="inlineStr">
        <is>
          <t>Apr-2020</t>
        </is>
      </c>
      <c r="C5805" s="2" t="n">
        <v>44626</v>
      </c>
      <c r="D5805" t="inlineStr">
        <is>
          <t>NON-NIL</t>
        </is>
      </c>
      <c r="E5805" t="n">
        <v>2050</v>
      </c>
    </row>
    <row r="5806">
      <c r="A5806" t="inlineStr">
        <is>
          <t>27BBBBB05806Z5</t>
        </is>
      </c>
      <c r="B5806" t="inlineStr">
        <is>
          <t>Jan-2021</t>
        </is>
      </c>
      <c r="C5806" s="2" t="n">
        <v>45089</v>
      </c>
      <c r="D5806" t="inlineStr">
        <is>
          <t>NIL</t>
        </is>
      </c>
      <c r="E5806" t="n">
        <v>2814</v>
      </c>
    </row>
    <row r="5807">
      <c r="A5807" t="inlineStr">
        <is>
          <t>27BBBBB05807Z5</t>
        </is>
      </c>
      <c r="B5807" t="inlineStr">
        <is>
          <t>Jun-2020</t>
        </is>
      </c>
      <c r="C5807" s="2" t="n">
        <v>44088</v>
      </c>
      <c r="D5807" t="inlineStr">
        <is>
          <t>NIL</t>
        </is>
      </c>
      <c r="E5807" t="n">
        <v>2854</v>
      </c>
    </row>
    <row r="5808">
      <c r="A5808" t="inlineStr">
        <is>
          <t>27BBBBB05808Z5</t>
        </is>
      </c>
      <c r="B5808" t="inlineStr">
        <is>
          <t>Sep-2017</t>
        </is>
      </c>
      <c r="C5808" s="2" t="n">
        <v>43413</v>
      </c>
      <c r="D5808" t="inlineStr">
        <is>
          <t>NIL</t>
        </is>
      </c>
      <c r="E5808" t="n">
        <v>1623</v>
      </c>
    </row>
    <row r="5809">
      <c r="A5809" t="inlineStr">
        <is>
          <t>27BBBBB05809Z5</t>
        </is>
      </c>
      <c r="B5809" t="inlineStr">
        <is>
          <t>Mar-2023</t>
        </is>
      </c>
      <c r="C5809" s="2" t="n">
        <v>44788</v>
      </c>
      <c r="D5809" t="inlineStr">
        <is>
          <t>NIL</t>
        </is>
      </c>
      <c r="E5809" t="n">
        <v>825</v>
      </c>
    </row>
    <row r="5810">
      <c r="A5810" t="inlineStr">
        <is>
          <t>27BBBBB05810Z5</t>
        </is>
      </c>
      <c r="B5810" t="inlineStr">
        <is>
          <t>Dec-2017</t>
        </is>
      </c>
      <c r="C5810" s="2" t="n">
        <v>43402</v>
      </c>
      <c r="D5810" t="inlineStr">
        <is>
          <t>NON-NIL</t>
        </is>
      </c>
      <c r="E5810" t="n">
        <v>2494</v>
      </c>
    </row>
    <row r="5811">
      <c r="A5811" t="inlineStr">
        <is>
          <t>27BBBBB05811Z5</t>
        </is>
      </c>
      <c r="B5811" t="inlineStr">
        <is>
          <t>Sep-2017</t>
        </is>
      </c>
      <c r="C5811" s="2" t="n">
        <v>43117</v>
      </c>
      <c r="D5811" t="inlineStr">
        <is>
          <t>NON-NIL</t>
        </is>
      </c>
      <c r="E5811" t="n">
        <v>1557</v>
      </c>
    </row>
    <row r="5812">
      <c r="A5812" t="inlineStr">
        <is>
          <t>27BBBBB05812Z5</t>
        </is>
      </c>
      <c r="B5812" t="inlineStr">
        <is>
          <t>Apr-2018</t>
        </is>
      </c>
      <c r="C5812" s="2" t="n">
        <v>44314</v>
      </c>
      <c r="D5812" t="inlineStr">
        <is>
          <t>NIL</t>
        </is>
      </c>
      <c r="E5812" t="n">
        <v>302</v>
      </c>
    </row>
    <row r="5813">
      <c r="A5813" t="inlineStr">
        <is>
          <t>27BBBBB05813Z5</t>
        </is>
      </c>
      <c r="B5813" t="inlineStr">
        <is>
          <t>May-2018</t>
        </is>
      </c>
      <c r="C5813" s="2" t="n">
        <v>43107</v>
      </c>
      <c r="D5813" t="inlineStr">
        <is>
          <t>NON-NIL</t>
        </is>
      </c>
      <c r="E5813" t="n">
        <v>1201</v>
      </c>
    </row>
    <row r="5814">
      <c r="A5814" t="inlineStr">
        <is>
          <t>27BBBBB05814Z5</t>
        </is>
      </c>
      <c r="B5814" t="inlineStr">
        <is>
          <t>Mar-2023</t>
        </is>
      </c>
      <c r="C5814" s="2" t="n">
        <v>44498</v>
      </c>
      <c r="D5814" t="inlineStr">
        <is>
          <t>NON-NIL</t>
        </is>
      </c>
      <c r="E5814" t="n">
        <v>1364</v>
      </c>
    </row>
    <row r="5815">
      <c r="A5815" t="inlineStr">
        <is>
          <t>27BBBBB05815Z5</t>
        </is>
      </c>
      <c r="B5815" t="inlineStr">
        <is>
          <t>Apr-2020</t>
        </is>
      </c>
      <c r="C5815" s="2" t="n">
        <v>44132</v>
      </c>
      <c r="D5815" t="inlineStr">
        <is>
          <t>NIL</t>
        </is>
      </c>
      <c r="E5815" t="n">
        <v>2547</v>
      </c>
    </row>
    <row r="5816">
      <c r="A5816" t="inlineStr">
        <is>
          <t>27BBBBB05816Z5</t>
        </is>
      </c>
      <c r="B5816" t="inlineStr">
        <is>
          <t>Aug-2018</t>
        </is>
      </c>
      <c r="C5816" s="2" t="n">
        <v>44508</v>
      </c>
      <c r="D5816" t="inlineStr">
        <is>
          <t>NON-NIL</t>
        </is>
      </c>
      <c r="E5816" t="n">
        <v>2436</v>
      </c>
    </row>
    <row r="5817">
      <c r="A5817" t="inlineStr">
        <is>
          <t>27BBBBB05817Z5</t>
        </is>
      </c>
      <c r="B5817" t="inlineStr">
        <is>
          <t>Oct-2018</t>
        </is>
      </c>
      <c r="C5817" s="2" t="n">
        <v>44066</v>
      </c>
      <c r="D5817" t="inlineStr">
        <is>
          <t>NIL</t>
        </is>
      </c>
      <c r="E5817" t="n">
        <v>1771</v>
      </c>
    </row>
    <row r="5818">
      <c r="A5818" t="inlineStr">
        <is>
          <t>27BBBBB05818Z5</t>
        </is>
      </c>
      <c r="B5818" t="inlineStr">
        <is>
          <t>Mar-2020</t>
        </is>
      </c>
      <c r="C5818" s="2" t="n">
        <v>43869</v>
      </c>
      <c r="D5818" t="inlineStr">
        <is>
          <t>NIL</t>
        </is>
      </c>
      <c r="E5818" t="n">
        <v>2158</v>
      </c>
    </row>
    <row r="5819">
      <c r="A5819" t="inlineStr">
        <is>
          <t>27BBBBB05819Z5</t>
        </is>
      </c>
      <c r="B5819" t="inlineStr">
        <is>
          <t>Jul-2017</t>
        </is>
      </c>
      <c r="C5819" s="2" t="n">
        <v>42924</v>
      </c>
      <c r="D5819" t="inlineStr">
        <is>
          <t>NON-NIL</t>
        </is>
      </c>
      <c r="E5819" t="n">
        <v>1865</v>
      </c>
    </row>
    <row r="5820">
      <c r="A5820" t="inlineStr">
        <is>
          <t>27BBBBB05820Z5</t>
        </is>
      </c>
      <c r="B5820" t="inlineStr">
        <is>
          <t>Jul-2017</t>
        </is>
      </c>
      <c r="C5820" s="2" t="n">
        <v>43324</v>
      </c>
      <c r="D5820" t="inlineStr">
        <is>
          <t>NIL</t>
        </is>
      </c>
      <c r="E5820" t="n">
        <v>656</v>
      </c>
    </row>
    <row r="5821">
      <c r="A5821" t="inlineStr">
        <is>
          <t>27BBBBB05821Z5</t>
        </is>
      </c>
      <c r="B5821" t="inlineStr">
        <is>
          <t>Aug-2018</t>
        </is>
      </c>
      <c r="C5821" s="2" t="n">
        <v>42999</v>
      </c>
      <c r="D5821" t="inlineStr">
        <is>
          <t>NIL</t>
        </is>
      </c>
      <c r="E5821" t="n">
        <v>2163</v>
      </c>
    </row>
    <row r="5822">
      <c r="A5822" t="inlineStr">
        <is>
          <t>27BBBBB05822Z5</t>
        </is>
      </c>
      <c r="B5822" t="inlineStr">
        <is>
          <t>Nov-2018</t>
        </is>
      </c>
      <c r="C5822" s="2" t="n">
        <v>44498</v>
      </c>
      <c r="D5822" t="inlineStr">
        <is>
          <t>NON-NIL</t>
        </is>
      </c>
      <c r="E5822" t="n">
        <v>2703</v>
      </c>
    </row>
    <row r="5823">
      <c r="A5823" t="inlineStr">
        <is>
          <t>27BBBBB05823Z5</t>
        </is>
      </c>
      <c r="B5823" t="inlineStr">
        <is>
          <t>Jan-2018</t>
        </is>
      </c>
      <c r="C5823" s="2" t="n">
        <v>44070</v>
      </c>
      <c r="D5823" t="inlineStr">
        <is>
          <t>NIL</t>
        </is>
      </c>
      <c r="E5823" t="n">
        <v>824</v>
      </c>
    </row>
    <row r="5824">
      <c r="A5824" t="inlineStr">
        <is>
          <t>27BBBBB05824Z5</t>
        </is>
      </c>
      <c r="B5824" t="inlineStr">
        <is>
          <t>Jul-2020</t>
        </is>
      </c>
      <c r="C5824" s="2" t="n">
        <v>44378</v>
      </c>
      <c r="D5824" t="inlineStr">
        <is>
          <t>NON-NIL</t>
        </is>
      </c>
      <c r="E5824" t="n">
        <v>1004</v>
      </c>
    </row>
    <row r="5825">
      <c r="A5825" t="inlineStr">
        <is>
          <t>27BBBBB05825Z5</t>
        </is>
      </c>
      <c r="B5825" t="inlineStr">
        <is>
          <t>Oct-2017</t>
        </is>
      </c>
      <c r="C5825" s="2" t="n">
        <v>42960</v>
      </c>
      <c r="D5825" t="inlineStr">
        <is>
          <t>NON-NIL</t>
        </is>
      </c>
      <c r="E5825" t="n">
        <v>871</v>
      </c>
    </row>
    <row r="5826">
      <c r="A5826" t="inlineStr">
        <is>
          <t>27BBBBB05826Z5</t>
        </is>
      </c>
      <c r="B5826" t="inlineStr">
        <is>
          <t>Dec-2018</t>
        </is>
      </c>
      <c r="C5826" s="2" t="n">
        <v>43977</v>
      </c>
      <c r="D5826" t="inlineStr">
        <is>
          <t>NIL</t>
        </is>
      </c>
      <c r="E5826" t="n">
        <v>413</v>
      </c>
    </row>
    <row r="5827">
      <c r="A5827" t="inlineStr">
        <is>
          <t>27BBBBB05827Z5</t>
        </is>
      </c>
      <c r="B5827" t="inlineStr">
        <is>
          <t>Mar-2021</t>
        </is>
      </c>
      <c r="C5827" s="2" t="n">
        <v>44125</v>
      </c>
      <c r="D5827" t="inlineStr">
        <is>
          <t>NIL</t>
        </is>
      </c>
      <c r="E5827" t="n">
        <v>1273</v>
      </c>
    </row>
    <row r="5828">
      <c r="A5828" t="inlineStr">
        <is>
          <t>27BBBBB05828Z5</t>
        </is>
      </c>
      <c r="B5828" t="inlineStr">
        <is>
          <t>Dec-2024</t>
        </is>
      </c>
      <c r="C5828" s="2" t="n">
        <v>44581</v>
      </c>
      <c r="D5828" t="inlineStr">
        <is>
          <t>NIL</t>
        </is>
      </c>
      <c r="E5828" t="n">
        <v>2059</v>
      </c>
    </row>
    <row r="5829">
      <c r="A5829" t="inlineStr">
        <is>
          <t>27BBBBB05829Z5</t>
        </is>
      </c>
      <c r="B5829" t="inlineStr">
        <is>
          <t>Mar-2023</t>
        </is>
      </c>
      <c r="C5829" s="2" t="n">
        <v>44059</v>
      </c>
      <c r="D5829" t="inlineStr">
        <is>
          <t>NIL</t>
        </is>
      </c>
      <c r="E5829" t="n">
        <v>1724</v>
      </c>
    </row>
    <row r="5830">
      <c r="A5830" t="inlineStr">
        <is>
          <t>27BBBBB05830Z5</t>
        </is>
      </c>
      <c r="B5830" t="inlineStr">
        <is>
          <t>Oct-2017</t>
        </is>
      </c>
      <c r="C5830" s="2" t="n">
        <v>43800</v>
      </c>
      <c r="D5830" t="inlineStr">
        <is>
          <t>NIL</t>
        </is>
      </c>
      <c r="E5830" t="n">
        <v>349</v>
      </c>
    </row>
    <row r="5831">
      <c r="A5831" t="inlineStr">
        <is>
          <t>27BBBBB05831Z5</t>
        </is>
      </c>
      <c r="B5831" t="inlineStr">
        <is>
          <t>Jul-2017</t>
        </is>
      </c>
      <c r="C5831" s="2" t="n">
        <v>44276</v>
      </c>
      <c r="D5831" t="inlineStr">
        <is>
          <t>NON-NIL</t>
        </is>
      </c>
      <c r="E5831" t="n">
        <v>607</v>
      </c>
    </row>
    <row r="5832">
      <c r="A5832" t="inlineStr">
        <is>
          <t>27BBBBB05832Z5</t>
        </is>
      </c>
      <c r="B5832" t="inlineStr">
        <is>
          <t>Jan-2021</t>
        </is>
      </c>
      <c r="C5832" s="2" t="n">
        <v>45754</v>
      </c>
      <c r="D5832" t="inlineStr">
        <is>
          <t>NIL</t>
        </is>
      </c>
      <c r="E5832" t="n">
        <v>2918</v>
      </c>
    </row>
    <row r="5833">
      <c r="A5833" t="inlineStr">
        <is>
          <t>27BBBBB05833Z5</t>
        </is>
      </c>
      <c r="B5833" t="inlineStr">
        <is>
          <t>Dec-2018</t>
        </is>
      </c>
      <c r="C5833" s="2" t="n">
        <v>43268</v>
      </c>
      <c r="D5833" t="inlineStr">
        <is>
          <t>NIL</t>
        </is>
      </c>
      <c r="E5833" t="n">
        <v>517</v>
      </c>
    </row>
    <row r="5834">
      <c r="A5834" t="inlineStr">
        <is>
          <t>27BBBBB05834Z5</t>
        </is>
      </c>
      <c r="B5834" t="inlineStr">
        <is>
          <t>Dec-2024</t>
        </is>
      </c>
      <c r="C5834" s="2" t="n">
        <v>43853</v>
      </c>
      <c r="D5834" t="inlineStr">
        <is>
          <t>NIL</t>
        </is>
      </c>
      <c r="E5834" t="n">
        <v>398</v>
      </c>
    </row>
    <row r="5835">
      <c r="A5835" t="inlineStr">
        <is>
          <t>27BBBBB05835Z5</t>
        </is>
      </c>
      <c r="B5835" t="inlineStr">
        <is>
          <t>Jun-2018</t>
        </is>
      </c>
      <c r="C5835" s="2" t="n">
        <v>44467</v>
      </c>
      <c r="D5835" t="inlineStr">
        <is>
          <t>NIL</t>
        </is>
      </c>
      <c r="E5835" t="n">
        <v>23</v>
      </c>
    </row>
    <row r="5836">
      <c r="A5836" t="inlineStr">
        <is>
          <t>27BBBBB05836Z5</t>
        </is>
      </c>
      <c r="B5836" t="inlineStr">
        <is>
          <t>Aug-2018</t>
        </is>
      </c>
      <c r="C5836" s="2" t="n">
        <v>43013</v>
      </c>
      <c r="D5836" t="inlineStr">
        <is>
          <t>NON-NIL</t>
        </is>
      </c>
      <c r="E5836" t="n">
        <v>2108</v>
      </c>
    </row>
    <row r="5837">
      <c r="A5837" t="inlineStr">
        <is>
          <t>27BBBBB05837Z5</t>
        </is>
      </c>
      <c r="B5837" t="inlineStr">
        <is>
          <t>Apr-2018</t>
        </is>
      </c>
      <c r="C5837" s="2" t="n">
        <v>44070</v>
      </c>
      <c r="D5837" t="inlineStr">
        <is>
          <t>NON-NIL</t>
        </is>
      </c>
      <c r="E5837" t="n">
        <v>2770</v>
      </c>
    </row>
    <row r="5838">
      <c r="A5838" t="inlineStr">
        <is>
          <t>27BBBBB05838Z5</t>
        </is>
      </c>
      <c r="B5838" t="inlineStr">
        <is>
          <t>Jul-2017</t>
        </is>
      </c>
      <c r="C5838" s="2" t="n">
        <v>43493</v>
      </c>
      <c r="D5838" t="inlineStr">
        <is>
          <t>NIL</t>
        </is>
      </c>
      <c r="E5838" t="n">
        <v>2865</v>
      </c>
    </row>
    <row r="5839">
      <c r="A5839" t="inlineStr">
        <is>
          <t>27BBBBB05839Z5</t>
        </is>
      </c>
      <c r="B5839" t="inlineStr">
        <is>
          <t>Aug-2017</t>
        </is>
      </c>
      <c r="C5839" s="2" t="n">
        <v>44108</v>
      </c>
      <c r="D5839" t="inlineStr">
        <is>
          <t>NON-NIL</t>
        </is>
      </c>
      <c r="E5839" t="n">
        <v>2757</v>
      </c>
    </row>
    <row r="5840">
      <c r="A5840" t="inlineStr">
        <is>
          <t>27BBBBB05840Z5</t>
        </is>
      </c>
      <c r="B5840" t="inlineStr">
        <is>
          <t>Dec-2024</t>
        </is>
      </c>
      <c r="C5840" s="2" t="n">
        <v>45341</v>
      </c>
      <c r="D5840" t="inlineStr">
        <is>
          <t>NON-NIL</t>
        </is>
      </c>
      <c r="E5840" t="n">
        <v>1747</v>
      </c>
    </row>
    <row r="5841">
      <c r="A5841" t="inlineStr">
        <is>
          <t>27BBBBB05841Z5</t>
        </is>
      </c>
      <c r="B5841" t="inlineStr">
        <is>
          <t>Jun-2020</t>
        </is>
      </c>
      <c r="C5841" s="2" t="n">
        <v>44324</v>
      </c>
      <c r="D5841" t="inlineStr">
        <is>
          <t>NIL</t>
        </is>
      </c>
      <c r="E5841" t="n">
        <v>135</v>
      </c>
    </row>
    <row r="5842">
      <c r="A5842" t="inlineStr">
        <is>
          <t>27BBBBB05842Z5</t>
        </is>
      </c>
      <c r="B5842" t="inlineStr">
        <is>
          <t>Aug-2017</t>
        </is>
      </c>
      <c r="C5842" s="2" t="n">
        <v>44152</v>
      </c>
      <c r="D5842" t="inlineStr">
        <is>
          <t>NON-NIL</t>
        </is>
      </c>
      <c r="E5842" t="n">
        <v>1368</v>
      </c>
    </row>
    <row r="5843">
      <c r="A5843" t="inlineStr">
        <is>
          <t>27BBBBB05843Z5</t>
        </is>
      </c>
      <c r="B5843" t="inlineStr">
        <is>
          <t>Jan-2018</t>
        </is>
      </c>
      <c r="C5843" s="2" t="n">
        <v>43074</v>
      </c>
      <c r="D5843" t="inlineStr">
        <is>
          <t>NON-NIL</t>
        </is>
      </c>
      <c r="E5843" t="n">
        <v>571</v>
      </c>
    </row>
    <row r="5844">
      <c r="A5844" t="inlineStr">
        <is>
          <t>27BBBBB05844Z5</t>
        </is>
      </c>
      <c r="B5844" t="inlineStr">
        <is>
          <t>Nov-2017</t>
        </is>
      </c>
      <c r="C5844" s="2" t="n">
        <v>43356</v>
      </c>
      <c r="D5844" t="inlineStr">
        <is>
          <t>NON-NIL</t>
        </is>
      </c>
      <c r="E5844" t="n">
        <v>1339</v>
      </c>
    </row>
    <row r="5845">
      <c r="A5845" t="inlineStr">
        <is>
          <t>27BBBBB05845Z5</t>
        </is>
      </c>
      <c r="B5845" t="inlineStr">
        <is>
          <t>Jan-2021</t>
        </is>
      </c>
      <c r="C5845" s="2" t="n">
        <v>44442</v>
      </c>
      <c r="D5845" t="inlineStr">
        <is>
          <t>NIL</t>
        </is>
      </c>
      <c r="E5845" t="n">
        <v>1936</v>
      </c>
    </row>
    <row r="5846">
      <c r="A5846" t="inlineStr">
        <is>
          <t>27BBBBB05846Z5</t>
        </is>
      </c>
      <c r="B5846" t="inlineStr">
        <is>
          <t>Sep-2017</t>
        </is>
      </c>
      <c r="C5846" s="2" t="n">
        <v>43446</v>
      </c>
      <c r="D5846" t="inlineStr">
        <is>
          <t>NON-NIL</t>
        </is>
      </c>
      <c r="E5846" t="n">
        <v>2843</v>
      </c>
    </row>
    <row r="5847">
      <c r="A5847" t="inlineStr">
        <is>
          <t>27BBBBB05847Z5</t>
        </is>
      </c>
      <c r="B5847" t="inlineStr">
        <is>
          <t>Dec-2017</t>
        </is>
      </c>
      <c r="C5847" s="2" t="n">
        <v>44235</v>
      </c>
      <c r="D5847" t="inlineStr">
        <is>
          <t>NON-NIL</t>
        </is>
      </c>
      <c r="E5847" t="n">
        <v>53</v>
      </c>
    </row>
    <row r="5848">
      <c r="A5848" t="inlineStr">
        <is>
          <t>27BBBBB05848Z5</t>
        </is>
      </c>
      <c r="B5848" t="inlineStr">
        <is>
          <t>Oct-2018</t>
        </is>
      </c>
      <c r="C5848" s="2" t="n">
        <v>43691</v>
      </c>
      <c r="D5848" t="inlineStr">
        <is>
          <t>NIL</t>
        </is>
      </c>
      <c r="E5848" t="n">
        <v>803</v>
      </c>
    </row>
    <row r="5849">
      <c r="A5849" t="inlineStr">
        <is>
          <t>27BBBBB05849Z5</t>
        </is>
      </c>
      <c r="B5849" t="inlineStr">
        <is>
          <t>Feb-2018</t>
        </is>
      </c>
      <c r="C5849" s="2" t="n">
        <v>43177</v>
      </c>
      <c r="D5849" t="inlineStr">
        <is>
          <t>NON-NIL</t>
        </is>
      </c>
      <c r="E5849" t="n">
        <v>1525</v>
      </c>
    </row>
    <row r="5850">
      <c r="A5850" t="inlineStr">
        <is>
          <t>27BBBBB05850Z5</t>
        </is>
      </c>
      <c r="B5850" t="inlineStr">
        <is>
          <t>Aug-2017</t>
        </is>
      </c>
      <c r="C5850" s="2" t="n">
        <v>44108</v>
      </c>
      <c r="D5850" t="inlineStr">
        <is>
          <t>NON-NIL</t>
        </is>
      </c>
      <c r="E5850" t="n">
        <v>1264</v>
      </c>
    </row>
    <row r="5851">
      <c r="A5851" t="inlineStr">
        <is>
          <t>27BBBBB05851Z5</t>
        </is>
      </c>
      <c r="B5851" t="inlineStr">
        <is>
          <t>Mar-2023</t>
        </is>
      </c>
      <c r="C5851" s="2" t="n">
        <v>44528</v>
      </c>
      <c r="D5851" t="inlineStr">
        <is>
          <t>NIL</t>
        </is>
      </c>
      <c r="E5851" t="n">
        <v>340</v>
      </c>
    </row>
    <row r="5852">
      <c r="A5852" t="inlineStr">
        <is>
          <t>27BBBBB05852Z5</t>
        </is>
      </c>
      <c r="B5852" t="inlineStr">
        <is>
          <t>Oct-2018</t>
        </is>
      </c>
      <c r="C5852" s="2" t="n">
        <v>44513</v>
      </c>
      <c r="D5852" t="inlineStr">
        <is>
          <t>NON-NIL</t>
        </is>
      </c>
      <c r="E5852" t="n">
        <v>2380</v>
      </c>
    </row>
    <row r="5853">
      <c r="A5853" t="inlineStr">
        <is>
          <t>27BBBBB05853Z5</t>
        </is>
      </c>
      <c r="B5853" t="inlineStr">
        <is>
          <t>Dec-2024</t>
        </is>
      </c>
      <c r="C5853" s="2" t="n">
        <v>44343</v>
      </c>
      <c r="D5853" t="inlineStr">
        <is>
          <t>NON-NIL</t>
        </is>
      </c>
      <c r="E5853" t="n">
        <v>37</v>
      </c>
    </row>
    <row r="5854">
      <c r="A5854" t="inlineStr">
        <is>
          <t>27BBBBB05854Z5</t>
        </is>
      </c>
      <c r="B5854" t="inlineStr">
        <is>
          <t>Dec-2022</t>
        </is>
      </c>
      <c r="C5854" s="2" t="n">
        <v>43767</v>
      </c>
      <c r="D5854" t="inlineStr">
        <is>
          <t>NON-NIL</t>
        </is>
      </c>
      <c r="E5854" t="n">
        <v>334</v>
      </c>
    </row>
    <row r="5855">
      <c r="A5855" t="inlineStr">
        <is>
          <t>27BBBBB05855Z5</t>
        </is>
      </c>
      <c r="B5855" t="inlineStr">
        <is>
          <t>Aug-2018</t>
        </is>
      </c>
      <c r="C5855" s="2" t="n">
        <v>44380</v>
      </c>
      <c r="D5855" t="inlineStr">
        <is>
          <t>NON-NIL</t>
        </is>
      </c>
      <c r="E5855" t="n">
        <v>2914</v>
      </c>
    </row>
    <row r="5856">
      <c r="A5856" t="inlineStr">
        <is>
          <t>27BBBBB05856Z5</t>
        </is>
      </c>
      <c r="B5856" t="inlineStr">
        <is>
          <t>Jul-2018</t>
        </is>
      </c>
      <c r="C5856" s="2" t="n">
        <v>43374</v>
      </c>
      <c r="D5856" t="inlineStr">
        <is>
          <t>NIL</t>
        </is>
      </c>
      <c r="E5856" t="n">
        <v>1986</v>
      </c>
    </row>
    <row r="5857">
      <c r="A5857" t="inlineStr">
        <is>
          <t>27BBBBB05857Z5</t>
        </is>
      </c>
      <c r="B5857" t="inlineStr">
        <is>
          <t>Jan-2018</t>
        </is>
      </c>
      <c r="C5857" s="2" t="n">
        <v>43869</v>
      </c>
      <c r="D5857" t="inlineStr">
        <is>
          <t>NIL</t>
        </is>
      </c>
      <c r="E5857" t="n">
        <v>622</v>
      </c>
    </row>
    <row r="5858">
      <c r="A5858" t="inlineStr">
        <is>
          <t>27BBBBB05858Z5</t>
        </is>
      </c>
      <c r="B5858" t="inlineStr">
        <is>
          <t>Mar-2023</t>
        </is>
      </c>
      <c r="C5858" s="2" t="n">
        <v>44760</v>
      </c>
      <c r="D5858" t="inlineStr">
        <is>
          <t>NON-NIL</t>
        </is>
      </c>
      <c r="E5858" t="n">
        <v>1524</v>
      </c>
    </row>
    <row r="5859">
      <c r="A5859" t="inlineStr">
        <is>
          <t>27BBBBB05859Z5</t>
        </is>
      </c>
      <c r="B5859" t="inlineStr">
        <is>
          <t>Dec-2018</t>
        </is>
      </c>
      <c r="C5859" s="2" t="n">
        <v>43452</v>
      </c>
      <c r="D5859" t="inlineStr">
        <is>
          <t>NIL</t>
        </is>
      </c>
      <c r="E5859" t="n">
        <v>1650</v>
      </c>
    </row>
    <row r="5860">
      <c r="A5860" t="inlineStr">
        <is>
          <t>27BBBBB05860Z5</t>
        </is>
      </c>
      <c r="B5860" t="inlineStr">
        <is>
          <t>Jan-2018</t>
        </is>
      </c>
      <c r="C5860" s="2" t="n">
        <v>44145</v>
      </c>
      <c r="D5860" t="inlineStr">
        <is>
          <t>NIL</t>
        </is>
      </c>
      <c r="E5860" t="n">
        <v>1818</v>
      </c>
    </row>
    <row r="5861">
      <c r="A5861" t="inlineStr">
        <is>
          <t>27BBBBB05861Z5</t>
        </is>
      </c>
      <c r="B5861" t="inlineStr">
        <is>
          <t>Mar-2023</t>
        </is>
      </c>
      <c r="C5861" s="2" t="n">
        <v>43599</v>
      </c>
      <c r="D5861" t="inlineStr">
        <is>
          <t>NIL</t>
        </is>
      </c>
      <c r="E5861" t="n">
        <v>867</v>
      </c>
    </row>
    <row r="5862">
      <c r="A5862" t="inlineStr">
        <is>
          <t>27BBBBB05862Z5</t>
        </is>
      </c>
      <c r="B5862" t="inlineStr">
        <is>
          <t>Dec-2022</t>
        </is>
      </c>
      <c r="C5862" s="2" t="n">
        <v>45568</v>
      </c>
      <c r="D5862" t="inlineStr">
        <is>
          <t>NIL</t>
        </is>
      </c>
      <c r="E5862" t="n">
        <v>24</v>
      </c>
    </row>
    <row r="5863">
      <c r="A5863" t="inlineStr">
        <is>
          <t>27BBBBB05863Z5</t>
        </is>
      </c>
      <c r="B5863" t="inlineStr">
        <is>
          <t>Nov-2017</t>
        </is>
      </c>
      <c r="C5863" s="2" t="n">
        <v>44082</v>
      </c>
      <c r="D5863" t="inlineStr">
        <is>
          <t>NON-NIL</t>
        </is>
      </c>
      <c r="E5863" t="n">
        <v>1809</v>
      </c>
    </row>
    <row r="5864">
      <c r="A5864" t="inlineStr">
        <is>
          <t>27BBBBB05864Z5</t>
        </is>
      </c>
      <c r="B5864" t="inlineStr">
        <is>
          <t>Dec-2018</t>
        </is>
      </c>
      <c r="C5864" s="2" t="n">
        <v>43981</v>
      </c>
      <c r="D5864" t="inlineStr">
        <is>
          <t>NIL</t>
        </is>
      </c>
      <c r="E5864" t="n">
        <v>709</v>
      </c>
    </row>
    <row r="5865">
      <c r="A5865" t="inlineStr">
        <is>
          <t>27BBBBB05865Z5</t>
        </is>
      </c>
      <c r="B5865" t="inlineStr">
        <is>
          <t>Jun-2020</t>
        </is>
      </c>
      <c r="C5865" s="2" t="n">
        <v>44258</v>
      </c>
      <c r="D5865" t="inlineStr">
        <is>
          <t>NIL</t>
        </is>
      </c>
      <c r="E5865" t="n">
        <v>2775</v>
      </c>
    </row>
    <row r="5866">
      <c r="A5866" t="inlineStr">
        <is>
          <t>27BBBBB05866Z5</t>
        </is>
      </c>
      <c r="B5866" t="inlineStr">
        <is>
          <t>Dec-2024</t>
        </is>
      </c>
      <c r="C5866" s="2" t="n">
        <v>44845</v>
      </c>
      <c r="D5866" t="inlineStr">
        <is>
          <t>NON-NIL</t>
        </is>
      </c>
      <c r="E5866" t="n">
        <v>558</v>
      </c>
    </row>
    <row r="5867">
      <c r="A5867" t="inlineStr">
        <is>
          <t>27BBBBB05867Z5</t>
        </is>
      </c>
      <c r="B5867" t="inlineStr">
        <is>
          <t>Jan-2018</t>
        </is>
      </c>
      <c r="C5867" s="2" t="n">
        <v>43477</v>
      </c>
      <c r="D5867" t="inlineStr">
        <is>
          <t>NIL</t>
        </is>
      </c>
      <c r="E5867" t="n">
        <v>2689</v>
      </c>
    </row>
    <row r="5868">
      <c r="A5868" t="inlineStr">
        <is>
          <t>27BBBBB05868Z5</t>
        </is>
      </c>
      <c r="B5868" t="inlineStr">
        <is>
          <t>Nov-2017</t>
        </is>
      </c>
      <c r="C5868" s="2" t="n">
        <v>43383</v>
      </c>
      <c r="D5868" t="inlineStr">
        <is>
          <t>NON-NIL</t>
        </is>
      </c>
      <c r="E5868" t="n">
        <v>537</v>
      </c>
    </row>
    <row r="5869">
      <c r="A5869" t="inlineStr">
        <is>
          <t>27BBBBB05869Z5</t>
        </is>
      </c>
      <c r="B5869" t="inlineStr">
        <is>
          <t>Nov-2017</t>
        </is>
      </c>
      <c r="C5869" s="2" t="n">
        <v>43772</v>
      </c>
      <c r="D5869" t="inlineStr">
        <is>
          <t>NON-NIL</t>
        </is>
      </c>
      <c r="E5869" t="n">
        <v>311</v>
      </c>
    </row>
    <row r="5870">
      <c r="A5870" t="inlineStr">
        <is>
          <t>27BBBBB05870Z5</t>
        </is>
      </c>
      <c r="B5870" t="inlineStr">
        <is>
          <t>Jul-2017</t>
        </is>
      </c>
      <c r="C5870" s="2" t="n">
        <v>43166</v>
      </c>
      <c r="D5870" t="inlineStr">
        <is>
          <t>NON-NIL</t>
        </is>
      </c>
      <c r="E5870" t="n">
        <v>2604</v>
      </c>
    </row>
    <row r="5871">
      <c r="A5871" t="inlineStr">
        <is>
          <t>27BBBBB05871Z5</t>
        </is>
      </c>
      <c r="B5871" t="inlineStr">
        <is>
          <t>Mar-2018</t>
        </is>
      </c>
      <c r="C5871" s="2" t="n">
        <v>44555</v>
      </c>
      <c r="D5871" t="inlineStr">
        <is>
          <t>NIL</t>
        </is>
      </c>
      <c r="E5871" t="n">
        <v>787</v>
      </c>
    </row>
    <row r="5872">
      <c r="A5872" t="inlineStr">
        <is>
          <t>27BBBBB05872Z5</t>
        </is>
      </c>
      <c r="B5872" t="inlineStr">
        <is>
          <t>Jul-2017</t>
        </is>
      </c>
      <c r="C5872" s="2" t="n">
        <v>43660</v>
      </c>
      <c r="D5872" t="inlineStr">
        <is>
          <t>NON-NIL</t>
        </is>
      </c>
      <c r="E5872" t="n">
        <v>1599</v>
      </c>
    </row>
    <row r="5873">
      <c r="A5873" t="inlineStr">
        <is>
          <t>27BBBBB05873Z5</t>
        </is>
      </c>
      <c r="B5873" t="inlineStr">
        <is>
          <t>Dec-2022</t>
        </is>
      </c>
      <c r="C5873" s="2" t="n">
        <v>44848</v>
      </c>
      <c r="D5873" t="inlineStr">
        <is>
          <t>NON-NIL</t>
        </is>
      </c>
      <c r="E5873" t="n">
        <v>1851</v>
      </c>
    </row>
    <row r="5874">
      <c r="A5874" t="inlineStr">
        <is>
          <t>27BBBBB05874Z5</t>
        </is>
      </c>
      <c r="B5874" t="inlineStr">
        <is>
          <t>Aug-2018</t>
        </is>
      </c>
      <c r="C5874" s="2" t="n">
        <v>42942</v>
      </c>
      <c r="D5874" t="inlineStr">
        <is>
          <t>NON-NIL</t>
        </is>
      </c>
      <c r="E5874" t="n">
        <v>442</v>
      </c>
    </row>
    <row r="5875">
      <c r="A5875" t="inlineStr">
        <is>
          <t>27BBBBB05875Z5</t>
        </is>
      </c>
      <c r="B5875" t="inlineStr">
        <is>
          <t>May-2020</t>
        </is>
      </c>
      <c r="C5875" s="2" t="n">
        <v>44140</v>
      </c>
      <c r="D5875" t="inlineStr">
        <is>
          <t>NON-NIL</t>
        </is>
      </c>
      <c r="E5875" t="n">
        <v>508</v>
      </c>
    </row>
    <row r="5876">
      <c r="A5876" t="inlineStr">
        <is>
          <t>27BBBBB05876Z5</t>
        </is>
      </c>
      <c r="B5876" t="inlineStr">
        <is>
          <t>Oct-2018</t>
        </is>
      </c>
      <c r="C5876" s="2" t="n">
        <v>43445</v>
      </c>
      <c r="D5876" t="inlineStr">
        <is>
          <t>NIL</t>
        </is>
      </c>
      <c r="E5876" t="n">
        <v>1236</v>
      </c>
    </row>
    <row r="5877">
      <c r="A5877" t="inlineStr">
        <is>
          <t>27BBBBB05877Z5</t>
        </is>
      </c>
      <c r="B5877" t="inlineStr">
        <is>
          <t>Dec-2017</t>
        </is>
      </c>
      <c r="C5877" s="2" t="n">
        <v>43172</v>
      </c>
      <c r="D5877" t="inlineStr">
        <is>
          <t>NIL</t>
        </is>
      </c>
      <c r="E5877" t="n">
        <v>2217</v>
      </c>
    </row>
    <row r="5878">
      <c r="A5878" t="inlineStr">
        <is>
          <t>27BBBBB05878Z5</t>
        </is>
      </c>
      <c r="B5878" t="inlineStr">
        <is>
          <t>Apr-2018</t>
        </is>
      </c>
      <c r="C5878" s="2" t="n">
        <v>43397</v>
      </c>
      <c r="D5878" t="inlineStr">
        <is>
          <t>NIL</t>
        </is>
      </c>
      <c r="E5878" t="n">
        <v>2859</v>
      </c>
    </row>
    <row r="5879">
      <c r="A5879" t="inlineStr">
        <is>
          <t>27BBBBB05879Z5</t>
        </is>
      </c>
      <c r="B5879" t="inlineStr">
        <is>
          <t>Mar-2020</t>
        </is>
      </c>
      <c r="C5879" s="2" t="n">
        <v>43885</v>
      </c>
      <c r="D5879" t="inlineStr">
        <is>
          <t>NIL</t>
        </is>
      </c>
      <c r="E5879" t="n">
        <v>2887</v>
      </c>
    </row>
    <row r="5880">
      <c r="A5880" t="inlineStr">
        <is>
          <t>27BBBBB05880Z5</t>
        </is>
      </c>
      <c r="B5880" t="inlineStr">
        <is>
          <t>Oct-2017</t>
        </is>
      </c>
      <c r="C5880" s="2" t="n">
        <v>43808</v>
      </c>
      <c r="D5880" t="inlineStr">
        <is>
          <t>NON-NIL</t>
        </is>
      </c>
      <c r="E5880" t="n">
        <v>1070</v>
      </c>
    </row>
    <row r="5881">
      <c r="A5881" t="inlineStr">
        <is>
          <t>27BBBBB05881Z5</t>
        </is>
      </c>
      <c r="B5881" t="inlineStr">
        <is>
          <t>Jul-2018</t>
        </is>
      </c>
      <c r="C5881" s="2" t="n">
        <v>43801</v>
      </c>
      <c r="D5881" t="inlineStr">
        <is>
          <t>NIL</t>
        </is>
      </c>
      <c r="E5881" t="n">
        <v>614</v>
      </c>
    </row>
    <row r="5882">
      <c r="A5882" t="inlineStr">
        <is>
          <t>27BBBBB05882Z5</t>
        </is>
      </c>
      <c r="B5882" t="inlineStr">
        <is>
          <t>Mar-2023</t>
        </is>
      </c>
      <c r="C5882" s="2" t="n">
        <v>45073</v>
      </c>
      <c r="D5882" t="inlineStr">
        <is>
          <t>NON-NIL</t>
        </is>
      </c>
      <c r="E5882" t="n">
        <v>1195</v>
      </c>
    </row>
    <row r="5883">
      <c r="A5883" t="inlineStr">
        <is>
          <t>27BBBBB05883Z5</t>
        </is>
      </c>
      <c r="B5883" t="inlineStr">
        <is>
          <t>Jan-2021</t>
        </is>
      </c>
      <c r="C5883" s="2" t="n">
        <v>45757</v>
      </c>
      <c r="D5883" t="inlineStr">
        <is>
          <t>NON-NIL</t>
        </is>
      </c>
      <c r="E5883" t="n">
        <v>454</v>
      </c>
    </row>
    <row r="5884">
      <c r="A5884" t="inlineStr">
        <is>
          <t>27BBBBB05884Z5</t>
        </is>
      </c>
      <c r="B5884" t="inlineStr">
        <is>
          <t>May-2020</t>
        </is>
      </c>
      <c r="C5884" s="2" t="n">
        <v>44041</v>
      </c>
      <c r="D5884" t="inlineStr">
        <is>
          <t>NON-NIL</t>
        </is>
      </c>
      <c r="E5884" t="n">
        <v>1737</v>
      </c>
    </row>
    <row r="5885">
      <c r="A5885" t="inlineStr">
        <is>
          <t>27BBBBB05885Z5</t>
        </is>
      </c>
      <c r="B5885" t="inlineStr">
        <is>
          <t>Jun-2020</t>
        </is>
      </c>
      <c r="C5885" s="2" t="n">
        <v>44705</v>
      </c>
      <c r="D5885" t="inlineStr">
        <is>
          <t>NIL</t>
        </is>
      </c>
      <c r="E5885" t="n">
        <v>603</v>
      </c>
    </row>
    <row r="5886">
      <c r="A5886" t="inlineStr">
        <is>
          <t>27BBBBB05886Z5</t>
        </is>
      </c>
      <c r="B5886" t="inlineStr">
        <is>
          <t>Mar-2018</t>
        </is>
      </c>
      <c r="C5886" s="2" t="n">
        <v>43923</v>
      </c>
      <c r="D5886" t="inlineStr">
        <is>
          <t>NON-NIL</t>
        </is>
      </c>
      <c r="E5886" t="n">
        <v>2630</v>
      </c>
    </row>
    <row r="5887">
      <c r="A5887" t="inlineStr">
        <is>
          <t>27BBBBB05887Z5</t>
        </is>
      </c>
      <c r="B5887" t="inlineStr">
        <is>
          <t>Dec-2018</t>
        </is>
      </c>
      <c r="C5887" s="2" t="n">
        <v>43584</v>
      </c>
      <c r="D5887" t="inlineStr">
        <is>
          <t>NON-NIL</t>
        </is>
      </c>
      <c r="E5887" t="n">
        <v>1548</v>
      </c>
    </row>
    <row r="5888">
      <c r="A5888" t="inlineStr">
        <is>
          <t>27BBBBB05888Z5</t>
        </is>
      </c>
      <c r="B5888" t="inlineStr">
        <is>
          <t>Aug-2018</t>
        </is>
      </c>
      <c r="C5888" s="2" t="n">
        <v>43535</v>
      </c>
      <c r="D5888" t="inlineStr">
        <is>
          <t>NON-NIL</t>
        </is>
      </c>
      <c r="E5888" t="n">
        <v>2308</v>
      </c>
    </row>
    <row r="5889">
      <c r="A5889" t="inlineStr">
        <is>
          <t>27BBBBB05889Z5</t>
        </is>
      </c>
      <c r="B5889" t="inlineStr">
        <is>
          <t>Dec-2017</t>
        </is>
      </c>
      <c r="C5889" s="2" t="n">
        <v>43803</v>
      </c>
      <c r="D5889" t="inlineStr">
        <is>
          <t>NON-NIL</t>
        </is>
      </c>
      <c r="E5889" t="n">
        <v>2449</v>
      </c>
    </row>
    <row r="5890">
      <c r="A5890" t="inlineStr">
        <is>
          <t>27BBBBB05890Z5</t>
        </is>
      </c>
      <c r="B5890" t="inlineStr">
        <is>
          <t>Jun-2020</t>
        </is>
      </c>
      <c r="C5890" s="2" t="n">
        <v>43913</v>
      </c>
      <c r="D5890" t="inlineStr">
        <is>
          <t>NIL</t>
        </is>
      </c>
      <c r="E5890" t="n">
        <v>2253</v>
      </c>
    </row>
    <row r="5891">
      <c r="A5891" t="inlineStr">
        <is>
          <t>27BBBBB05891Z5</t>
        </is>
      </c>
      <c r="B5891" t="inlineStr">
        <is>
          <t>Dec-2017</t>
        </is>
      </c>
      <c r="C5891" s="2" t="n">
        <v>43885</v>
      </c>
      <c r="D5891" t="inlineStr">
        <is>
          <t>NON-NIL</t>
        </is>
      </c>
      <c r="E5891" t="n">
        <v>2860</v>
      </c>
    </row>
    <row r="5892">
      <c r="A5892" t="inlineStr">
        <is>
          <t>27BBBBB05892Z5</t>
        </is>
      </c>
      <c r="B5892" t="inlineStr">
        <is>
          <t>Apr-2018</t>
        </is>
      </c>
      <c r="C5892" s="2" t="n">
        <v>43757</v>
      </c>
      <c r="D5892" t="inlineStr">
        <is>
          <t>NON-NIL</t>
        </is>
      </c>
      <c r="E5892" t="n">
        <v>2929</v>
      </c>
    </row>
    <row r="5893">
      <c r="A5893" t="inlineStr">
        <is>
          <t>27BBBBB05893Z5</t>
        </is>
      </c>
      <c r="B5893" t="inlineStr">
        <is>
          <t>Dec-2018</t>
        </is>
      </c>
      <c r="C5893" s="2" t="n">
        <v>43292</v>
      </c>
      <c r="D5893" t="inlineStr">
        <is>
          <t>NON-NIL</t>
        </is>
      </c>
      <c r="E5893" t="n">
        <v>2924</v>
      </c>
    </row>
    <row r="5894">
      <c r="A5894" t="inlineStr">
        <is>
          <t>27BBBBB05894Z5</t>
        </is>
      </c>
      <c r="B5894" t="inlineStr">
        <is>
          <t>Apr-2018</t>
        </is>
      </c>
      <c r="C5894" s="2" t="n">
        <v>43558</v>
      </c>
      <c r="D5894" t="inlineStr">
        <is>
          <t>NON-NIL</t>
        </is>
      </c>
      <c r="E5894" t="n">
        <v>1552</v>
      </c>
    </row>
    <row r="5895">
      <c r="A5895" t="inlineStr">
        <is>
          <t>27BBBBB05895Z5</t>
        </is>
      </c>
      <c r="B5895" t="inlineStr">
        <is>
          <t>Feb-2018</t>
        </is>
      </c>
      <c r="C5895" s="2" t="n">
        <v>43520</v>
      </c>
      <c r="D5895" t="inlineStr">
        <is>
          <t>NON-NIL</t>
        </is>
      </c>
      <c r="E5895" t="n">
        <v>1852</v>
      </c>
    </row>
    <row r="5896">
      <c r="A5896" t="inlineStr">
        <is>
          <t>27BBBBB05896Z5</t>
        </is>
      </c>
      <c r="B5896" t="inlineStr">
        <is>
          <t>Jun-2020</t>
        </is>
      </c>
      <c r="C5896" s="2" t="n">
        <v>44181</v>
      </c>
      <c r="D5896" t="inlineStr">
        <is>
          <t>NIL</t>
        </is>
      </c>
      <c r="E5896" t="n">
        <v>195</v>
      </c>
    </row>
    <row r="5897">
      <c r="A5897" t="inlineStr">
        <is>
          <t>27BBBBB05897Z5</t>
        </is>
      </c>
      <c r="B5897" t="inlineStr">
        <is>
          <t>Oct-2017</t>
        </is>
      </c>
      <c r="C5897" s="2" t="n">
        <v>43309</v>
      </c>
      <c r="D5897" t="inlineStr">
        <is>
          <t>NON-NIL</t>
        </is>
      </c>
      <c r="E5897" t="n">
        <v>2715</v>
      </c>
    </row>
    <row r="5898">
      <c r="A5898" t="inlineStr">
        <is>
          <t>27BBBBB05898Z5</t>
        </is>
      </c>
      <c r="B5898" t="inlineStr">
        <is>
          <t>Jul-2018</t>
        </is>
      </c>
      <c r="C5898" s="2" t="n">
        <v>43964</v>
      </c>
      <c r="D5898" t="inlineStr">
        <is>
          <t>NIL</t>
        </is>
      </c>
      <c r="E5898" t="n">
        <v>1482</v>
      </c>
    </row>
    <row r="5899">
      <c r="A5899" t="inlineStr">
        <is>
          <t>27BBBBB05899Z5</t>
        </is>
      </c>
      <c r="B5899" t="inlineStr">
        <is>
          <t>Dec-2024</t>
        </is>
      </c>
      <c r="C5899" s="2" t="n">
        <v>44118</v>
      </c>
      <c r="D5899" t="inlineStr">
        <is>
          <t>NIL</t>
        </is>
      </c>
      <c r="E5899" t="n">
        <v>960</v>
      </c>
    </row>
    <row r="5900">
      <c r="A5900" t="inlineStr">
        <is>
          <t>27BBBBB05900Z5</t>
        </is>
      </c>
      <c r="B5900" t="inlineStr">
        <is>
          <t>Oct-2018</t>
        </is>
      </c>
      <c r="C5900" s="2" t="n">
        <v>43181</v>
      </c>
      <c r="D5900" t="inlineStr">
        <is>
          <t>NON-NIL</t>
        </is>
      </c>
      <c r="E5900" t="n">
        <v>708</v>
      </c>
    </row>
    <row r="5901">
      <c r="A5901" t="inlineStr">
        <is>
          <t>27BBBBB05901Z5</t>
        </is>
      </c>
      <c r="B5901" t="inlineStr">
        <is>
          <t>Mar-2021</t>
        </is>
      </c>
      <c r="C5901" s="2" t="n">
        <v>43655</v>
      </c>
      <c r="D5901" t="inlineStr">
        <is>
          <t>NON-NIL</t>
        </is>
      </c>
      <c r="E5901" t="n">
        <v>1718</v>
      </c>
    </row>
    <row r="5902">
      <c r="A5902" t="inlineStr">
        <is>
          <t>27BBBBB05902Z5</t>
        </is>
      </c>
      <c r="B5902" t="inlineStr">
        <is>
          <t>Jan-2021</t>
        </is>
      </c>
      <c r="C5902" s="2" t="n">
        <v>44967</v>
      </c>
      <c r="D5902" t="inlineStr">
        <is>
          <t>NIL</t>
        </is>
      </c>
      <c r="E5902" t="n">
        <v>1282</v>
      </c>
    </row>
    <row r="5903">
      <c r="A5903" t="inlineStr">
        <is>
          <t>27BBBBB05903Z5</t>
        </is>
      </c>
      <c r="B5903" t="inlineStr">
        <is>
          <t>Dec-2017</t>
        </is>
      </c>
      <c r="C5903" s="2" t="n">
        <v>43053</v>
      </c>
      <c r="D5903" t="inlineStr">
        <is>
          <t>NON-NIL</t>
        </is>
      </c>
      <c r="E5903" t="n">
        <v>2606</v>
      </c>
    </row>
    <row r="5904">
      <c r="A5904" t="inlineStr">
        <is>
          <t>27BBBBB05904Z5</t>
        </is>
      </c>
      <c r="B5904" t="inlineStr">
        <is>
          <t>Aug-2017</t>
        </is>
      </c>
      <c r="C5904" s="2" t="n">
        <v>43608</v>
      </c>
      <c r="D5904" t="inlineStr">
        <is>
          <t>NON-NIL</t>
        </is>
      </c>
      <c r="E5904" t="n">
        <v>550</v>
      </c>
    </row>
    <row r="5905">
      <c r="A5905" t="inlineStr">
        <is>
          <t>27BBBBB05905Z5</t>
        </is>
      </c>
      <c r="B5905" t="inlineStr">
        <is>
          <t>Jul-2018</t>
        </is>
      </c>
      <c r="C5905" s="2" t="n">
        <v>44545</v>
      </c>
      <c r="D5905" t="inlineStr">
        <is>
          <t>NON-NIL</t>
        </is>
      </c>
      <c r="E5905" t="n">
        <v>1861</v>
      </c>
    </row>
    <row r="5906">
      <c r="A5906" t="inlineStr">
        <is>
          <t>27BBBBB05906Z5</t>
        </is>
      </c>
      <c r="B5906" t="inlineStr">
        <is>
          <t>Mar-2020</t>
        </is>
      </c>
      <c r="C5906" s="2" t="n">
        <v>44226</v>
      </c>
      <c r="D5906" t="inlineStr">
        <is>
          <t>NIL</t>
        </is>
      </c>
      <c r="E5906" t="n">
        <v>194</v>
      </c>
    </row>
    <row r="5907">
      <c r="A5907" t="inlineStr">
        <is>
          <t>27BBBBB05907Z5</t>
        </is>
      </c>
      <c r="B5907" t="inlineStr">
        <is>
          <t>Nov-2017</t>
        </is>
      </c>
      <c r="C5907" s="2" t="n">
        <v>44394</v>
      </c>
      <c r="D5907" t="inlineStr">
        <is>
          <t>NIL</t>
        </is>
      </c>
      <c r="E5907" t="n">
        <v>787</v>
      </c>
    </row>
    <row r="5908">
      <c r="A5908" t="inlineStr">
        <is>
          <t>27BBBBB05908Z5</t>
        </is>
      </c>
      <c r="B5908" t="inlineStr">
        <is>
          <t>Aug-2017</t>
        </is>
      </c>
      <c r="C5908" s="2" t="n">
        <v>43466</v>
      </c>
      <c r="D5908" t="inlineStr">
        <is>
          <t>NIL</t>
        </is>
      </c>
      <c r="E5908" t="n">
        <v>822</v>
      </c>
    </row>
    <row r="5909">
      <c r="A5909" t="inlineStr">
        <is>
          <t>27BBBBB05909Z5</t>
        </is>
      </c>
      <c r="B5909" t="inlineStr">
        <is>
          <t>Aug-2017</t>
        </is>
      </c>
      <c r="C5909" s="2" t="n">
        <v>44536</v>
      </c>
      <c r="D5909" t="inlineStr">
        <is>
          <t>NON-NIL</t>
        </is>
      </c>
      <c r="E5909" t="n">
        <v>1899</v>
      </c>
    </row>
    <row r="5910">
      <c r="A5910" t="inlineStr">
        <is>
          <t>27BBBBB05910Z5</t>
        </is>
      </c>
      <c r="B5910" t="inlineStr">
        <is>
          <t>Mar-2020</t>
        </is>
      </c>
      <c r="C5910" s="2" t="n">
        <v>43867</v>
      </c>
      <c r="D5910" t="inlineStr">
        <is>
          <t>NIL</t>
        </is>
      </c>
      <c r="E5910" t="n">
        <v>2608</v>
      </c>
    </row>
    <row r="5911">
      <c r="A5911" t="inlineStr">
        <is>
          <t>27BBBBB05911Z5</t>
        </is>
      </c>
      <c r="B5911" t="inlineStr">
        <is>
          <t>Sep-2017</t>
        </is>
      </c>
      <c r="C5911" s="2" t="n">
        <v>43183</v>
      </c>
      <c r="D5911" t="inlineStr">
        <is>
          <t>NIL</t>
        </is>
      </c>
      <c r="E5911" t="n">
        <v>1476</v>
      </c>
    </row>
    <row r="5912">
      <c r="A5912" t="inlineStr">
        <is>
          <t>27BBBBB05912Z5</t>
        </is>
      </c>
      <c r="B5912" t="inlineStr">
        <is>
          <t>Jan-2018</t>
        </is>
      </c>
      <c r="C5912" s="2" t="n">
        <v>43286</v>
      </c>
      <c r="D5912" t="inlineStr">
        <is>
          <t>NIL</t>
        </is>
      </c>
      <c r="E5912" t="n">
        <v>2058</v>
      </c>
    </row>
    <row r="5913">
      <c r="A5913" t="inlineStr">
        <is>
          <t>27BBBBB05913Z5</t>
        </is>
      </c>
      <c r="B5913" t="inlineStr">
        <is>
          <t>Dec-2018</t>
        </is>
      </c>
      <c r="C5913" s="2" t="n">
        <v>43549</v>
      </c>
      <c r="D5913" t="inlineStr">
        <is>
          <t>NIL</t>
        </is>
      </c>
      <c r="E5913" t="n">
        <v>2334</v>
      </c>
    </row>
    <row r="5914">
      <c r="A5914" t="inlineStr">
        <is>
          <t>27BBBBB05914Z5</t>
        </is>
      </c>
      <c r="B5914" t="inlineStr">
        <is>
          <t>Apr-2020</t>
        </is>
      </c>
      <c r="C5914" s="2" t="n">
        <v>44524</v>
      </c>
      <c r="D5914" t="inlineStr">
        <is>
          <t>NON-NIL</t>
        </is>
      </c>
      <c r="E5914" t="n">
        <v>1386</v>
      </c>
    </row>
    <row r="5915">
      <c r="A5915" t="inlineStr">
        <is>
          <t>27BBBBB05915Z5</t>
        </is>
      </c>
      <c r="B5915" t="inlineStr">
        <is>
          <t>Jul-2017</t>
        </is>
      </c>
      <c r="C5915" s="2" t="n">
        <v>44558</v>
      </c>
      <c r="D5915" t="inlineStr">
        <is>
          <t>NON-NIL</t>
        </is>
      </c>
      <c r="E5915" t="n">
        <v>660</v>
      </c>
    </row>
    <row r="5916">
      <c r="A5916" t="inlineStr">
        <is>
          <t>27BBBBB05916Z5</t>
        </is>
      </c>
      <c r="B5916" t="inlineStr">
        <is>
          <t>Oct-2018</t>
        </is>
      </c>
      <c r="C5916" s="2" t="n">
        <v>43168</v>
      </c>
      <c r="D5916" t="inlineStr">
        <is>
          <t>NIL</t>
        </is>
      </c>
      <c r="E5916" t="n">
        <v>208</v>
      </c>
    </row>
    <row r="5917">
      <c r="A5917" t="inlineStr">
        <is>
          <t>27BBBBB05917Z5</t>
        </is>
      </c>
      <c r="B5917" t="inlineStr">
        <is>
          <t>Jul-2018</t>
        </is>
      </c>
      <c r="C5917" s="2" t="n">
        <v>43326</v>
      </c>
      <c r="D5917" t="inlineStr">
        <is>
          <t>NIL</t>
        </is>
      </c>
      <c r="E5917" t="n">
        <v>2440</v>
      </c>
    </row>
    <row r="5918">
      <c r="A5918" t="inlineStr">
        <is>
          <t>27BBBBB05918Z5</t>
        </is>
      </c>
      <c r="B5918" t="inlineStr">
        <is>
          <t>Dec-2018</t>
        </is>
      </c>
      <c r="C5918" s="2" t="n">
        <v>43667</v>
      </c>
      <c r="D5918" t="inlineStr">
        <is>
          <t>NON-NIL</t>
        </is>
      </c>
      <c r="E5918" t="n">
        <v>1129</v>
      </c>
    </row>
    <row r="5919">
      <c r="A5919" t="inlineStr">
        <is>
          <t>27BBBBB05919Z5</t>
        </is>
      </c>
      <c r="B5919" t="inlineStr">
        <is>
          <t>Jan-2021</t>
        </is>
      </c>
      <c r="C5919" s="2" t="n">
        <v>45691</v>
      </c>
      <c r="D5919" t="inlineStr">
        <is>
          <t>NIL</t>
        </is>
      </c>
      <c r="E5919" t="n">
        <v>1769</v>
      </c>
    </row>
    <row r="5920">
      <c r="A5920" t="inlineStr">
        <is>
          <t>27BBBBB05920Z5</t>
        </is>
      </c>
      <c r="B5920" t="inlineStr">
        <is>
          <t>Jul-2018</t>
        </is>
      </c>
      <c r="C5920" s="2" t="n">
        <v>43838</v>
      </c>
      <c r="D5920" t="inlineStr">
        <is>
          <t>NON-NIL</t>
        </is>
      </c>
      <c r="E5920" t="n">
        <v>1109</v>
      </c>
    </row>
    <row r="5921">
      <c r="A5921" t="inlineStr">
        <is>
          <t>27BBBBB05921Z5</t>
        </is>
      </c>
      <c r="B5921" t="inlineStr">
        <is>
          <t>Jul-2020</t>
        </is>
      </c>
      <c r="C5921" s="2" t="n">
        <v>44717</v>
      </c>
      <c r="D5921" t="inlineStr">
        <is>
          <t>NIL</t>
        </is>
      </c>
      <c r="E5921" t="n">
        <v>2606</v>
      </c>
    </row>
    <row r="5922">
      <c r="A5922" t="inlineStr">
        <is>
          <t>27BBBBB05922Z5</t>
        </is>
      </c>
      <c r="B5922" t="inlineStr">
        <is>
          <t>Apr-2020</t>
        </is>
      </c>
      <c r="C5922" s="2" t="n">
        <v>43898</v>
      </c>
      <c r="D5922" t="inlineStr">
        <is>
          <t>NON-NIL</t>
        </is>
      </c>
      <c r="E5922" t="n">
        <v>1321</v>
      </c>
    </row>
    <row r="5923">
      <c r="A5923" t="inlineStr">
        <is>
          <t>27BBBBB05923Z5</t>
        </is>
      </c>
      <c r="B5923" t="inlineStr">
        <is>
          <t>Sep-2017</t>
        </is>
      </c>
      <c r="C5923" s="2" t="n">
        <v>43734</v>
      </c>
      <c r="D5923" t="inlineStr">
        <is>
          <t>NON-NIL</t>
        </is>
      </c>
      <c r="E5923" t="n">
        <v>349</v>
      </c>
    </row>
    <row r="5924">
      <c r="A5924" t="inlineStr">
        <is>
          <t>27BBBBB05924Z5</t>
        </is>
      </c>
      <c r="B5924" t="inlineStr">
        <is>
          <t>Nov-2017</t>
        </is>
      </c>
      <c r="C5924" s="2" t="n">
        <v>43738</v>
      </c>
      <c r="D5924" t="inlineStr">
        <is>
          <t>NON-NIL</t>
        </is>
      </c>
      <c r="E5924" t="n">
        <v>1024</v>
      </c>
    </row>
    <row r="5925">
      <c r="A5925" t="inlineStr">
        <is>
          <t>27BBBBB05925Z5</t>
        </is>
      </c>
      <c r="B5925" t="inlineStr">
        <is>
          <t>Oct-2018</t>
        </is>
      </c>
      <c r="C5925" s="2" t="n">
        <v>43320</v>
      </c>
      <c r="D5925" t="inlineStr">
        <is>
          <t>NON-NIL</t>
        </is>
      </c>
      <c r="E5925" t="n">
        <v>152</v>
      </c>
    </row>
    <row r="5926">
      <c r="A5926" t="inlineStr">
        <is>
          <t>27BBBBB05926Z5</t>
        </is>
      </c>
      <c r="B5926" t="inlineStr">
        <is>
          <t>Mar-2018</t>
        </is>
      </c>
      <c r="C5926" s="2" t="n">
        <v>43253</v>
      </c>
      <c r="D5926" t="inlineStr">
        <is>
          <t>NIL</t>
        </is>
      </c>
      <c r="E5926" t="n">
        <v>1242</v>
      </c>
    </row>
    <row r="5927">
      <c r="A5927" t="inlineStr">
        <is>
          <t>27BBBBB05927Z5</t>
        </is>
      </c>
      <c r="B5927" t="inlineStr">
        <is>
          <t>Oct-2017</t>
        </is>
      </c>
      <c r="C5927" s="2" t="n">
        <v>43661</v>
      </c>
      <c r="D5927" t="inlineStr">
        <is>
          <t>NIL</t>
        </is>
      </c>
      <c r="E5927" t="n">
        <v>964</v>
      </c>
    </row>
    <row r="5928">
      <c r="A5928" t="inlineStr">
        <is>
          <t>27BBBBB05928Z5</t>
        </is>
      </c>
      <c r="B5928" t="inlineStr">
        <is>
          <t>Dec-2018</t>
        </is>
      </c>
      <c r="C5928" s="2" t="n">
        <v>43838</v>
      </c>
      <c r="D5928" t="inlineStr">
        <is>
          <t>NON-NIL</t>
        </is>
      </c>
      <c r="E5928" t="n">
        <v>2165</v>
      </c>
    </row>
    <row r="5929">
      <c r="A5929" t="inlineStr">
        <is>
          <t>27BBBBB05929Z5</t>
        </is>
      </c>
      <c r="B5929" t="inlineStr">
        <is>
          <t>Oct-2018</t>
        </is>
      </c>
      <c r="C5929" s="2" t="n">
        <v>44550</v>
      </c>
      <c r="D5929" t="inlineStr">
        <is>
          <t>NIL</t>
        </is>
      </c>
      <c r="E5929" t="n">
        <v>110</v>
      </c>
    </row>
    <row r="5930">
      <c r="A5930" t="inlineStr">
        <is>
          <t>27BBBBB05930Z5</t>
        </is>
      </c>
      <c r="B5930" t="inlineStr">
        <is>
          <t>Jul-2017</t>
        </is>
      </c>
      <c r="C5930" s="2" t="n">
        <v>44079</v>
      </c>
      <c r="D5930" t="inlineStr">
        <is>
          <t>NON-NIL</t>
        </is>
      </c>
      <c r="E5930" t="n">
        <v>1110</v>
      </c>
    </row>
    <row r="5931">
      <c r="A5931" t="inlineStr">
        <is>
          <t>27BBBBB05931Z5</t>
        </is>
      </c>
      <c r="B5931" t="inlineStr">
        <is>
          <t>Jun-2018</t>
        </is>
      </c>
      <c r="C5931" s="2" t="n">
        <v>43031</v>
      </c>
      <c r="D5931" t="inlineStr">
        <is>
          <t>NON-NIL</t>
        </is>
      </c>
      <c r="E5931" t="n">
        <v>2609</v>
      </c>
    </row>
    <row r="5932">
      <c r="A5932" t="inlineStr">
        <is>
          <t>27BBBBB05932Z5</t>
        </is>
      </c>
      <c r="B5932" t="inlineStr">
        <is>
          <t>Apr-2020</t>
        </is>
      </c>
      <c r="C5932" s="2" t="n">
        <v>44251</v>
      </c>
      <c r="D5932" t="inlineStr">
        <is>
          <t>NON-NIL</t>
        </is>
      </c>
      <c r="E5932" t="n">
        <v>2562</v>
      </c>
    </row>
    <row r="5933">
      <c r="A5933" t="inlineStr">
        <is>
          <t>27BBBBB05933Z5</t>
        </is>
      </c>
      <c r="B5933" t="inlineStr">
        <is>
          <t>Oct-2018</t>
        </is>
      </c>
      <c r="C5933" s="2" t="n">
        <v>43733</v>
      </c>
      <c r="D5933" t="inlineStr">
        <is>
          <t>NIL</t>
        </is>
      </c>
      <c r="E5933" t="n">
        <v>2737</v>
      </c>
    </row>
    <row r="5934">
      <c r="A5934" t="inlineStr">
        <is>
          <t>27BBBBB05934Z5</t>
        </is>
      </c>
      <c r="B5934" t="inlineStr">
        <is>
          <t>Jan-2018</t>
        </is>
      </c>
      <c r="C5934" s="2" t="n">
        <v>43971</v>
      </c>
      <c r="D5934" t="inlineStr">
        <is>
          <t>NIL</t>
        </is>
      </c>
      <c r="E5934" t="n">
        <v>762</v>
      </c>
    </row>
    <row r="5935">
      <c r="A5935" t="inlineStr">
        <is>
          <t>27BBBBB05935Z5</t>
        </is>
      </c>
      <c r="B5935" t="inlineStr">
        <is>
          <t>Jan-2018</t>
        </is>
      </c>
      <c r="C5935" s="2" t="n">
        <v>43580</v>
      </c>
      <c r="D5935" t="inlineStr">
        <is>
          <t>NON-NIL</t>
        </is>
      </c>
      <c r="E5935" t="n">
        <v>2643</v>
      </c>
    </row>
    <row r="5936">
      <c r="A5936" t="inlineStr">
        <is>
          <t>27BBBBB05936Z5</t>
        </is>
      </c>
      <c r="B5936" t="inlineStr">
        <is>
          <t>Jan-2018</t>
        </is>
      </c>
      <c r="C5936" s="2" t="n">
        <v>44253</v>
      </c>
      <c r="D5936" t="inlineStr">
        <is>
          <t>NIL</t>
        </is>
      </c>
      <c r="E5936" t="n">
        <v>1761</v>
      </c>
    </row>
    <row r="5937">
      <c r="A5937" t="inlineStr">
        <is>
          <t>27BBBBB05937Z5</t>
        </is>
      </c>
      <c r="B5937" t="inlineStr">
        <is>
          <t>Aug-2017</t>
        </is>
      </c>
      <c r="C5937" s="2" t="n">
        <v>43721</v>
      </c>
      <c r="D5937" t="inlineStr">
        <is>
          <t>NIL</t>
        </is>
      </c>
      <c r="E5937" t="n">
        <v>23</v>
      </c>
    </row>
    <row r="5938">
      <c r="A5938" t="inlineStr">
        <is>
          <t>27BBBBB05938Z5</t>
        </is>
      </c>
      <c r="B5938" t="inlineStr">
        <is>
          <t>Jan-2018</t>
        </is>
      </c>
      <c r="C5938" s="2" t="n">
        <v>43927</v>
      </c>
      <c r="D5938" t="inlineStr">
        <is>
          <t>NON-NIL</t>
        </is>
      </c>
      <c r="E5938" t="n">
        <v>229</v>
      </c>
    </row>
    <row r="5939">
      <c r="A5939" t="inlineStr">
        <is>
          <t>27BBBBB05939Z5</t>
        </is>
      </c>
      <c r="B5939" t="inlineStr">
        <is>
          <t>Nov-2017</t>
        </is>
      </c>
      <c r="C5939" s="2" t="n">
        <v>44223</v>
      </c>
      <c r="D5939" t="inlineStr">
        <is>
          <t>NIL</t>
        </is>
      </c>
      <c r="E5939" t="n">
        <v>2580</v>
      </c>
    </row>
    <row r="5940">
      <c r="A5940" t="inlineStr">
        <is>
          <t>27BBBBB05940Z5</t>
        </is>
      </c>
      <c r="B5940" t="inlineStr">
        <is>
          <t>Oct-2018</t>
        </is>
      </c>
      <c r="C5940" s="2" t="n">
        <v>42982</v>
      </c>
      <c r="D5940" t="inlineStr">
        <is>
          <t>NON-NIL</t>
        </is>
      </c>
      <c r="E5940" t="n">
        <v>1009</v>
      </c>
    </row>
    <row r="5941">
      <c r="A5941" t="inlineStr">
        <is>
          <t>27BBBBB05941Z5</t>
        </is>
      </c>
      <c r="B5941" t="inlineStr">
        <is>
          <t>Oct-2018</t>
        </is>
      </c>
      <c r="C5941" s="2" t="n">
        <v>43403</v>
      </c>
      <c r="D5941" t="inlineStr">
        <is>
          <t>NON-NIL</t>
        </is>
      </c>
      <c r="E5941" t="n">
        <v>1717</v>
      </c>
    </row>
    <row r="5942">
      <c r="A5942" t="inlineStr">
        <is>
          <t>27BBBBB05942Z5</t>
        </is>
      </c>
      <c r="B5942" t="inlineStr">
        <is>
          <t>Mar-2023</t>
        </is>
      </c>
      <c r="C5942" s="2" t="n">
        <v>45665</v>
      </c>
      <c r="D5942" t="inlineStr">
        <is>
          <t>NIL</t>
        </is>
      </c>
      <c r="E5942" t="n">
        <v>990</v>
      </c>
    </row>
    <row r="5943">
      <c r="A5943" t="inlineStr">
        <is>
          <t>27BBBBB05943Z5</t>
        </is>
      </c>
      <c r="B5943" t="inlineStr">
        <is>
          <t>Sep-2017</t>
        </is>
      </c>
      <c r="C5943" s="2" t="n">
        <v>43806</v>
      </c>
      <c r="D5943" t="inlineStr">
        <is>
          <t>NON-NIL</t>
        </is>
      </c>
      <c r="E5943" t="n">
        <v>1783</v>
      </c>
    </row>
    <row r="5944">
      <c r="A5944" t="inlineStr">
        <is>
          <t>27BBBBB05944Z5</t>
        </is>
      </c>
      <c r="B5944" t="inlineStr">
        <is>
          <t>Jul-2017</t>
        </is>
      </c>
      <c r="C5944" s="2" t="n">
        <v>43836</v>
      </c>
      <c r="D5944" t="inlineStr">
        <is>
          <t>NIL</t>
        </is>
      </c>
      <c r="E5944" t="n">
        <v>1100</v>
      </c>
    </row>
    <row r="5945">
      <c r="A5945" t="inlineStr">
        <is>
          <t>27BBBBB05945Z5</t>
        </is>
      </c>
      <c r="B5945" t="inlineStr">
        <is>
          <t>Jul-2018</t>
        </is>
      </c>
      <c r="C5945" s="2" t="n">
        <v>44235</v>
      </c>
      <c r="D5945" t="inlineStr">
        <is>
          <t>NON-NIL</t>
        </is>
      </c>
      <c r="E5945" t="n">
        <v>89</v>
      </c>
    </row>
    <row r="5946">
      <c r="A5946" t="inlineStr">
        <is>
          <t>27BBBBB05946Z5</t>
        </is>
      </c>
      <c r="B5946" t="inlineStr">
        <is>
          <t>Aug-2017</t>
        </is>
      </c>
      <c r="C5946" s="2" t="n">
        <v>43606</v>
      </c>
      <c r="D5946" t="inlineStr">
        <is>
          <t>NON-NIL</t>
        </is>
      </c>
      <c r="E5946" t="n">
        <v>2423</v>
      </c>
    </row>
    <row r="5947">
      <c r="A5947" t="inlineStr">
        <is>
          <t>27BBBBB05947Z5</t>
        </is>
      </c>
      <c r="B5947" t="inlineStr">
        <is>
          <t>Mar-2021</t>
        </is>
      </c>
      <c r="C5947" s="2" t="n">
        <v>44434</v>
      </c>
      <c r="D5947" t="inlineStr">
        <is>
          <t>NIL</t>
        </is>
      </c>
      <c r="E5947" t="n">
        <v>2391</v>
      </c>
    </row>
    <row r="5948">
      <c r="A5948" t="inlineStr">
        <is>
          <t>27BBBBB05948Z5</t>
        </is>
      </c>
      <c r="B5948" t="inlineStr">
        <is>
          <t>Mar-2020</t>
        </is>
      </c>
      <c r="C5948" s="2" t="n">
        <v>44401</v>
      </c>
      <c r="D5948" t="inlineStr">
        <is>
          <t>NIL</t>
        </is>
      </c>
      <c r="E5948" t="n">
        <v>1121</v>
      </c>
    </row>
    <row r="5949">
      <c r="A5949" t="inlineStr">
        <is>
          <t>27BBBBB05949Z5</t>
        </is>
      </c>
      <c r="B5949" t="inlineStr">
        <is>
          <t>Mar-2018</t>
        </is>
      </c>
      <c r="C5949" s="2" t="n">
        <v>44172</v>
      </c>
      <c r="D5949" t="inlineStr">
        <is>
          <t>NIL</t>
        </is>
      </c>
      <c r="E5949" t="n">
        <v>2674</v>
      </c>
    </row>
    <row r="5950">
      <c r="A5950" t="inlineStr">
        <is>
          <t>27BBBBB05950Z5</t>
        </is>
      </c>
      <c r="B5950" t="inlineStr">
        <is>
          <t>May-2020</t>
        </is>
      </c>
      <c r="C5950" s="2" t="n">
        <v>44627</v>
      </c>
      <c r="D5950" t="inlineStr">
        <is>
          <t>NIL</t>
        </is>
      </c>
      <c r="E5950" t="n">
        <v>1490</v>
      </c>
    </row>
    <row r="5951">
      <c r="A5951" t="inlineStr">
        <is>
          <t>27BBBBB05951Z5</t>
        </is>
      </c>
      <c r="B5951" t="inlineStr">
        <is>
          <t>Apr-2020</t>
        </is>
      </c>
      <c r="C5951" s="2" t="n">
        <v>43920</v>
      </c>
      <c r="D5951" t="inlineStr">
        <is>
          <t>NIL</t>
        </is>
      </c>
      <c r="E5951" t="n">
        <v>2291</v>
      </c>
    </row>
    <row r="5952">
      <c r="A5952" t="inlineStr">
        <is>
          <t>27BBBBB05952Z5</t>
        </is>
      </c>
      <c r="B5952" t="inlineStr">
        <is>
          <t>Sep-2018</t>
        </is>
      </c>
      <c r="C5952" s="2" t="n">
        <v>44165</v>
      </c>
      <c r="D5952" t="inlineStr">
        <is>
          <t>NIL</t>
        </is>
      </c>
      <c r="E5952" t="n">
        <v>1706</v>
      </c>
    </row>
    <row r="5953">
      <c r="A5953" t="inlineStr">
        <is>
          <t>27BBBBB05953Z5</t>
        </is>
      </c>
      <c r="B5953" t="inlineStr">
        <is>
          <t>May-2020</t>
        </is>
      </c>
      <c r="C5953" s="2" t="n">
        <v>44185</v>
      </c>
      <c r="D5953" t="inlineStr">
        <is>
          <t>NIL</t>
        </is>
      </c>
      <c r="E5953" t="n">
        <v>1328</v>
      </c>
    </row>
    <row r="5954">
      <c r="A5954" t="inlineStr">
        <is>
          <t>27BBBBB05954Z5</t>
        </is>
      </c>
      <c r="B5954" t="inlineStr">
        <is>
          <t>May-2018</t>
        </is>
      </c>
      <c r="C5954" s="2" t="n">
        <v>43599</v>
      </c>
      <c r="D5954" t="inlineStr">
        <is>
          <t>NON-NIL</t>
        </is>
      </c>
      <c r="E5954" t="n">
        <v>1247</v>
      </c>
    </row>
    <row r="5955">
      <c r="A5955" t="inlineStr">
        <is>
          <t>27BBBBB05955Z5</t>
        </is>
      </c>
      <c r="B5955" t="inlineStr">
        <is>
          <t>Mar-2021</t>
        </is>
      </c>
      <c r="C5955" s="2" t="n">
        <v>43905</v>
      </c>
      <c r="D5955" t="inlineStr">
        <is>
          <t>NON-NIL</t>
        </is>
      </c>
      <c r="E5955" t="n">
        <v>2945</v>
      </c>
    </row>
    <row r="5956">
      <c r="A5956" t="inlineStr">
        <is>
          <t>27BBBBB05956Z5</t>
        </is>
      </c>
      <c r="B5956" t="inlineStr">
        <is>
          <t>Jun-2018</t>
        </is>
      </c>
      <c r="C5956" s="2" t="n">
        <v>44213</v>
      </c>
      <c r="D5956" t="inlineStr">
        <is>
          <t>NIL</t>
        </is>
      </c>
      <c r="E5956" t="n">
        <v>2135</v>
      </c>
    </row>
    <row r="5957">
      <c r="A5957" t="inlineStr">
        <is>
          <t>27BBBBB05957Z5</t>
        </is>
      </c>
      <c r="B5957" t="inlineStr">
        <is>
          <t>May-2020</t>
        </is>
      </c>
      <c r="C5957" s="2" t="n">
        <v>43909</v>
      </c>
      <c r="D5957" t="inlineStr">
        <is>
          <t>NON-NIL</t>
        </is>
      </c>
      <c r="E5957" t="n">
        <v>1572</v>
      </c>
    </row>
    <row r="5958">
      <c r="A5958" t="inlineStr">
        <is>
          <t>27BBBBB05958Z5</t>
        </is>
      </c>
      <c r="B5958" t="inlineStr">
        <is>
          <t>Jul-2017</t>
        </is>
      </c>
      <c r="C5958" s="2" t="n">
        <v>43392</v>
      </c>
      <c r="D5958" t="inlineStr">
        <is>
          <t>NON-NIL</t>
        </is>
      </c>
      <c r="E5958" t="n">
        <v>954</v>
      </c>
    </row>
    <row r="5959">
      <c r="A5959" t="inlineStr">
        <is>
          <t>27BBBBB05959Z5</t>
        </is>
      </c>
      <c r="B5959" t="inlineStr">
        <is>
          <t>Mar-2018</t>
        </is>
      </c>
      <c r="C5959" s="2" t="n">
        <v>42944</v>
      </c>
      <c r="D5959" t="inlineStr">
        <is>
          <t>NIL</t>
        </is>
      </c>
      <c r="E5959" t="n">
        <v>2906</v>
      </c>
    </row>
    <row r="5960">
      <c r="A5960" t="inlineStr">
        <is>
          <t>27BBBBB05960Z5</t>
        </is>
      </c>
      <c r="B5960" t="inlineStr">
        <is>
          <t>Mar-2021</t>
        </is>
      </c>
      <c r="C5960" s="2" t="n">
        <v>45025</v>
      </c>
      <c r="D5960" t="inlineStr">
        <is>
          <t>NIL</t>
        </is>
      </c>
      <c r="E5960" t="n">
        <v>1704</v>
      </c>
    </row>
    <row r="5961">
      <c r="A5961" t="inlineStr">
        <is>
          <t>27BBBBB05961Z5</t>
        </is>
      </c>
      <c r="B5961" t="inlineStr">
        <is>
          <t>Mar-2020</t>
        </is>
      </c>
      <c r="C5961" s="2" t="n">
        <v>44277</v>
      </c>
      <c r="D5961" t="inlineStr">
        <is>
          <t>NIL</t>
        </is>
      </c>
      <c r="E5961" t="n">
        <v>1005</v>
      </c>
    </row>
    <row r="5962">
      <c r="A5962" t="inlineStr">
        <is>
          <t>27BBBBB05962Z5</t>
        </is>
      </c>
      <c r="B5962" t="inlineStr">
        <is>
          <t>Dec-2024</t>
        </is>
      </c>
      <c r="C5962" s="2" t="n">
        <v>44275</v>
      </c>
      <c r="D5962" t="inlineStr">
        <is>
          <t>NIL</t>
        </is>
      </c>
      <c r="E5962" t="n">
        <v>1547</v>
      </c>
    </row>
    <row r="5963">
      <c r="A5963" t="inlineStr">
        <is>
          <t>27BBBBB05963Z5</t>
        </is>
      </c>
      <c r="B5963" t="inlineStr">
        <is>
          <t>Jan-2018</t>
        </is>
      </c>
      <c r="C5963" s="2" t="n">
        <v>43513</v>
      </c>
      <c r="D5963" t="inlineStr">
        <is>
          <t>NON-NIL</t>
        </is>
      </c>
      <c r="E5963" t="n">
        <v>706</v>
      </c>
    </row>
    <row r="5964">
      <c r="A5964" t="inlineStr">
        <is>
          <t>27BBBBB05964Z5</t>
        </is>
      </c>
      <c r="B5964" t="inlineStr">
        <is>
          <t>Dec-2018</t>
        </is>
      </c>
      <c r="C5964" s="2" t="n">
        <v>42980</v>
      </c>
      <c r="D5964" t="inlineStr">
        <is>
          <t>NON-NIL</t>
        </is>
      </c>
      <c r="E5964" t="n">
        <v>2727</v>
      </c>
    </row>
    <row r="5965">
      <c r="A5965" t="inlineStr">
        <is>
          <t>27BBBBB05965Z5</t>
        </is>
      </c>
      <c r="B5965" t="inlineStr">
        <is>
          <t>Feb-2018</t>
        </is>
      </c>
      <c r="C5965" s="2" t="n">
        <v>43303</v>
      </c>
      <c r="D5965" t="inlineStr">
        <is>
          <t>NIL</t>
        </is>
      </c>
      <c r="E5965" t="n">
        <v>1582</v>
      </c>
    </row>
    <row r="5966">
      <c r="A5966" t="inlineStr">
        <is>
          <t>27BBBBB05966Z5</t>
        </is>
      </c>
      <c r="B5966" t="inlineStr">
        <is>
          <t>Mar-2018</t>
        </is>
      </c>
      <c r="C5966" s="2" t="n">
        <v>43485</v>
      </c>
      <c r="D5966" t="inlineStr">
        <is>
          <t>NON-NIL</t>
        </is>
      </c>
      <c r="E5966" t="n">
        <v>1533</v>
      </c>
    </row>
    <row r="5967">
      <c r="A5967" t="inlineStr">
        <is>
          <t>27BBBBB05967Z5</t>
        </is>
      </c>
      <c r="B5967" t="inlineStr">
        <is>
          <t>Dec-2022</t>
        </is>
      </c>
      <c r="C5967" s="2" t="n">
        <v>45557</v>
      </c>
      <c r="D5967" t="inlineStr">
        <is>
          <t>NIL</t>
        </is>
      </c>
      <c r="E5967" t="n">
        <v>1659</v>
      </c>
    </row>
    <row r="5968">
      <c r="A5968" t="inlineStr">
        <is>
          <t>27BBBBB05968Z5</t>
        </is>
      </c>
      <c r="B5968" t="inlineStr">
        <is>
          <t>Apr-2018</t>
        </is>
      </c>
      <c r="C5968" s="2" t="n">
        <v>44115</v>
      </c>
      <c r="D5968" t="inlineStr">
        <is>
          <t>NON-NIL</t>
        </is>
      </c>
      <c r="E5968" t="n">
        <v>1703</v>
      </c>
    </row>
    <row r="5969">
      <c r="A5969" t="inlineStr">
        <is>
          <t>27BBBBB05969Z5</t>
        </is>
      </c>
      <c r="B5969" t="inlineStr">
        <is>
          <t>Oct-2017</t>
        </is>
      </c>
      <c r="C5969" s="2" t="n">
        <v>44536</v>
      </c>
      <c r="D5969" t="inlineStr">
        <is>
          <t>NON-NIL</t>
        </is>
      </c>
      <c r="E5969" t="n">
        <v>647</v>
      </c>
    </row>
    <row r="5970">
      <c r="A5970" t="inlineStr">
        <is>
          <t>27BBBBB05970Z5</t>
        </is>
      </c>
      <c r="B5970" t="inlineStr">
        <is>
          <t>May-2020</t>
        </is>
      </c>
      <c r="C5970" s="2" t="n">
        <v>44863</v>
      </c>
      <c r="D5970" t="inlineStr">
        <is>
          <t>NON-NIL</t>
        </is>
      </c>
      <c r="E5970" t="n">
        <v>2259</v>
      </c>
    </row>
    <row r="5971">
      <c r="A5971" t="inlineStr">
        <is>
          <t>27BBBBB05971Z5</t>
        </is>
      </c>
      <c r="B5971" t="inlineStr">
        <is>
          <t>Oct-2017</t>
        </is>
      </c>
      <c r="C5971" s="2" t="n">
        <v>43588</v>
      </c>
      <c r="D5971" t="inlineStr">
        <is>
          <t>NIL</t>
        </is>
      </c>
      <c r="E5971" t="n">
        <v>1481</v>
      </c>
    </row>
    <row r="5972">
      <c r="A5972" t="inlineStr">
        <is>
          <t>27BBBBB05972Z5</t>
        </is>
      </c>
      <c r="B5972" t="inlineStr">
        <is>
          <t>Aug-2018</t>
        </is>
      </c>
      <c r="C5972" s="2" t="n">
        <v>43872</v>
      </c>
      <c r="D5972" t="inlineStr">
        <is>
          <t>NON-NIL</t>
        </is>
      </c>
      <c r="E5972" t="n">
        <v>2668</v>
      </c>
    </row>
    <row r="5973">
      <c r="A5973" t="inlineStr">
        <is>
          <t>27BBBBB05973Z5</t>
        </is>
      </c>
      <c r="B5973" t="inlineStr">
        <is>
          <t>Mar-2021</t>
        </is>
      </c>
      <c r="C5973" s="2" t="n">
        <v>43540</v>
      </c>
      <c r="D5973" t="inlineStr">
        <is>
          <t>NON-NIL</t>
        </is>
      </c>
      <c r="E5973" t="n">
        <v>2830</v>
      </c>
    </row>
    <row r="5974">
      <c r="A5974" t="inlineStr">
        <is>
          <t>27BBBBB05974Z5</t>
        </is>
      </c>
      <c r="B5974" t="inlineStr">
        <is>
          <t>Mar-2023</t>
        </is>
      </c>
      <c r="C5974" s="2" t="n">
        <v>44499</v>
      </c>
      <c r="D5974" t="inlineStr">
        <is>
          <t>NIL</t>
        </is>
      </c>
      <c r="E5974" t="n">
        <v>1797</v>
      </c>
    </row>
    <row r="5975">
      <c r="A5975" t="inlineStr">
        <is>
          <t>27BBBBB05975Z5</t>
        </is>
      </c>
      <c r="B5975" t="inlineStr">
        <is>
          <t>May-2020</t>
        </is>
      </c>
      <c r="C5975" s="2" t="n">
        <v>43890</v>
      </c>
      <c r="D5975" t="inlineStr">
        <is>
          <t>NON-NIL</t>
        </is>
      </c>
      <c r="E5975" t="n">
        <v>67</v>
      </c>
    </row>
    <row r="5976">
      <c r="A5976" t="inlineStr">
        <is>
          <t>27BBBBB05976Z5</t>
        </is>
      </c>
      <c r="B5976" t="inlineStr">
        <is>
          <t>Jun-2020</t>
        </is>
      </c>
      <c r="C5976" s="2" t="n">
        <v>44034</v>
      </c>
      <c r="D5976" t="inlineStr">
        <is>
          <t>NIL</t>
        </is>
      </c>
      <c r="E5976" t="n">
        <v>1408</v>
      </c>
    </row>
    <row r="5977">
      <c r="A5977" t="inlineStr">
        <is>
          <t>27BBBBB05977Z5</t>
        </is>
      </c>
      <c r="B5977" t="inlineStr">
        <is>
          <t>Sep-2018</t>
        </is>
      </c>
      <c r="C5977" s="2" t="n">
        <v>43044</v>
      </c>
      <c r="D5977" t="inlineStr">
        <is>
          <t>NON-NIL</t>
        </is>
      </c>
      <c r="E5977" t="n">
        <v>125</v>
      </c>
    </row>
    <row r="5978">
      <c r="A5978" t="inlineStr">
        <is>
          <t>27BBBBB05978Z5</t>
        </is>
      </c>
      <c r="B5978" t="inlineStr">
        <is>
          <t>Nov-2017</t>
        </is>
      </c>
      <c r="C5978" s="2" t="n">
        <v>44342</v>
      </c>
      <c r="D5978" t="inlineStr">
        <is>
          <t>NIL</t>
        </is>
      </c>
      <c r="E5978" t="n">
        <v>605</v>
      </c>
    </row>
    <row r="5979">
      <c r="A5979" t="inlineStr">
        <is>
          <t>27BBBBB05979Z5</t>
        </is>
      </c>
      <c r="B5979" t="inlineStr">
        <is>
          <t>Mar-2018</t>
        </is>
      </c>
      <c r="C5979" s="2" t="n">
        <v>44043</v>
      </c>
      <c r="D5979" t="inlineStr">
        <is>
          <t>NON-NIL</t>
        </is>
      </c>
      <c r="E5979" t="n">
        <v>274</v>
      </c>
    </row>
    <row r="5980">
      <c r="A5980" t="inlineStr">
        <is>
          <t>27BBBBB05980Z5</t>
        </is>
      </c>
      <c r="B5980" t="inlineStr">
        <is>
          <t>Apr-2018</t>
        </is>
      </c>
      <c r="C5980" s="2" t="n">
        <v>43891</v>
      </c>
      <c r="D5980" t="inlineStr">
        <is>
          <t>NIL</t>
        </is>
      </c>
      <c r="E5980" t="n">
        <v>1678</v>
      </c>
    </row>
    <row r="5981">
      <c r="A5981" t="inlineStr">
        <is>
          <t>27BBBBB05981Z5</t>
        </is>
      </c>
      <c r="B5981" t="inlineStr">
        <is>
          <t>Oct-2018</t>
        </is>
      </c>
      <c r="C5981" s="2" t="n">
        <v>43632</v>
      </c>
      <c r="D5981" t="inlineStr">
        <is>
          <t>NON-NIL</t>
        </is>
      </c>
      <c r="E5981" t="n">
        <v>1348</v>
      </c>
    </row>
    <row r="5982">
      <c r="A5982" t="inlineStr">
        <is>
          <t>27BBBBB05982Z5</t>
        </is>
      </c>
      <c r="B5982" t="inlineStr">
        <is>
          <t>Aug-2017</t>
        </is>
      </c>
      <c r="C5982" s="2" t="n">
        <v>44519</v>
      </c>
      <c r="D5982" t="inlineStr">
        <is>
          <t>NIL</t>
        </is>
      </c>
      <c r="E5982" t="n">
        <v>2760</v>
      </c>
    </row>
    <row r="5983">
      <c r="A5983" t="inlineStr">
        <is>
          <t>27BBBBB05983Z5</t>
        </is>
      </c>
      <c r="B5983" t="inlineStr">
        <is>
          <t>Jun-2020</t>
        </is>
      </c>
      <c r="C5983" s="2" t="n">
        <v>43869</v>
      </c>
      <c r="D5983" t="inlineStr">
        <is>
          <t>NIL</t>
        </is>
      </c>
      <c r="E5983" t="n">
        <v>463</v>
      </c>
    </row>
    <row r="5984">
      <c r="A5984" t="inlineStr">
        <is>
          <t>27BBBBB05984Z5</t>
        </is>
      </c>
      <c r="B5984" t="inlineStr">
        <is>
          <t>Jun-2020</t>
        </is>
      </c>
      <c r="C5984" s="2" t="n">
        <v>44754</v>
      </c>
      <c r="D5984" t="inlineStr">
        <is>
          <t>NON-NIL</t>
        </is>
      </c>
      <c r="E5984" t="n">
        <v>2842</v>
      </c>
    </row>
    <row r="5985">
      <c r="A5985" t="inlineStr">
        <is>
          <t>27BBBBB05985Z5</t>
        </is>
      </c>
      <c r="B5985" t="inlineStr">
        <is>
          <t>Aug-2018</t>
        </is>
      </c>
      <c r="C5985" s="2" t="n">
        <v>43538</v>
      </c>
      <c r="D5985" t="inlineStr">
        <is>
          <t>NON-NIL</t>
        </is>
      </c>
      <c r="E5985" t="n">
        <v>28</v>
      </c>
    </row>
    <row r="5986">
      <c r="A5986" t="inlineStr">
        <is>
          <t>27BBBBB05986Z5</t>
        </is>
      </c>
      <c r="B5986" t="inlineStr">
        <is>
          <t>May-2020</t>
        </is>
      </c>
      <c r="C5986" s="2" t="n">
        <v>44466</v>
      </c>
      <c r="D5986" t="inlineStr">
        <is>
          <t>NON-NIL</t>
        </is>
      </c>
      <c r="E5986" t="n">
        <v>2714</v>
      </c>
    </row>
    <row r="5987">
      <c r="A5987" t="inlineStr">
        <is>
          <t>27BBBBB05987Z5</t>
        </is>
      </c>
      <c r="B5987" t="inlineStr">
        <is>
          <t>Jul-2017</t>
        </is>
      </c>
      <c r="C5987" s="2" t="n">
        <v>43085</v>
      </c>
      <c r="D5987" t="inlineStr">
        <is>
          <t>NON-NIL</t>
        </is>
      </c>
      <c r="E5987" t="n">
        <v>1397</v>
      </c>
    </row>
    <row r="5988">
      <c r="A5988" t="inlineStr">
        <is>
          <t>27BBBBB05988Z5</t>
        </is>
      </c>
      <c r="B5988" t="inlineStr">
        <is>
          <t>Jul-2018</t>
        </is>
      </c>
      <c r="C5988" s="2" t="n">
        <v>43059</v>
      </c>
      <c r="D5988" t="inlineStr">
        <is>
          <t>NIL</t>
        </is>
      </c>
      <c r="E5988" t="n">
        <v>1271</v>
      </c>
    </row>
    <row r="5989">
      <c r="A5989" t="inlineStr">
        <is>
          <t>27BBBBB05989Z5</t>
        </is>
      </c>
      <c r="B5989" t="inlineStr">
        <is>
          <t>Aug-2018</t>
        </is>
      </c>
      <c r="C5989" s="2" t="n">
        <v>43760</v>
      </c>
      <c r="D5989" t="inlineStr">
        <is>
          <t>NIL</t>
        </is>
      </c>
      <c r="E5989" t="n">
        <v>1360</v>
      </c>
    </row>
    <row r="5990">
      <c r="A5990" t="inlineStr">
        <is>
          <t>27BBBBB05990Z5</t>
        </is>
      </c>
      <c r="B5990" t="inlineStr">
        <is>
          <t>Aug-2018</t>
        </is>
      </c>
      <c r="C5990" s="2" t="n">
        <v>44108</v>
      </c>
      <c r="D5990" t="inlineStr">
        <is>
          <t>NON-NIL</t>
        </is>
      </c>
      <c r="E5990" t="n">
        <v>263</v>
      </c>
    </row>
    <row r="5991">
      <c r="A5991" t="inlineStr">
        <is>
          <t>27BBBBB05991Z5</t>
        </is>
      </c>
      <c r="B5991" t="inlineStr">
        <is>
          <t>Nov-2017</t>
        </is>
      </c>
      <c r="C5991" s="2" t="n">
        <v>43678</v>
      </c>
      <c r="D5991" t="inlineStr">
        <is>
          <t>NIL</t>
        </is>
      </c>
      <c r="E5991" t="n">
        <v>1728</v>
      </c>
    </row>
    <row r="5992">
      <c r="A5992" t="inlineStr">
        <is>
          <t>27BBBBB05992Z5</t>
        </is>
      </c>
      <c r="B5992" t="inlineStr">
        <is>
          <t>Dec-2022</t>
        </is>
      </c>
      <c r="C5992" s="2" t="n">
        <v>44020</v>
      </c>
      <c r="D5992" t="inlineStr">
        <is>
          <t>NIL</t>
        </is>
      </c>
      <c r="E5992" t="n">
        <v>716</v>
      </c>
    </row>
    <row r="5993">
      <c r="A5993" t="inlineStr">
        <is>
          <t>27BBBBB05993Z5</t>
        </is>
      </c>
      <c r="B5993" t="inlineStr">
        <is>
          <t>Jul-2018</t>
        </is>
      </c>
      <c r="C5993" s="2" t="n">
        <v>43140</v>
      </c>
      <c r="D5993" t="inlineStr">
        <is>
          <t>NON-NIL</t>
        </is>
      </c>
      <c r="E5993" t="n">
        <v>733</v>
      </c>
    </row>
    <row r="5994">
      <c r="A5994" t="inlineStr">
        <is>
          <t>27BBBBB05994Z5</t>
        </is>
      </c>
      <c r="B5994" t="inlineStr">
        <is>
          <t>Nov-2017</t>
        </is>
      </c>
      <c r="C5994" s="2" t="n">
        <v>43993</v>
      </c>
      <c r="D5994" t="inlineStr">
        <is>
          <t>NON-NIL</t>
        </is>
      </c>
      <c r="E5994" t="n">
        <v>2044</v>
      </c>
    </row>
    <row r="5995">
      <c r="A5995" t="inlineStr">
        <is>
          <t>27BBBBB05995Z5</t>
        </is>
      </c>
      <c r="B5995" t="inlineStr">
        <is>
          <t>Apr-2018</t>
        </is>
      </c>
      <c r="C5995" s="2" t="n">
        <v>43704</v>
      </c>
      <c r="D5995" t="inlineStr">
        <is>
          <t>NON-NIL</t>
        </is>
      </c>
      <c r="E5995" t="n">
        <v>2135</v>
      </c>
    </row>
    <row r="5996">
      <c r="A5996" t="inlineStr">
        <is>
          <t>27BBBBB05996Z5</t>
        </is>
      </c>
      <c r="B5996" t="inlineStr">
        <is>
          <t>Jun-2018</t>
        </is>
      </c>
      <c r="C5996" s="2" t="n">
        <v>43167</v>
      </c>
      <c r="D5996" t="inlineStr">
        <is>
          <t>NIL</t>
        </is>
      </c>
      <c r="E5996" t="n">
        <v>1729</v>
      </c>
    </row>
    <row r="5997">
      <c r="A5997" t="inlineStr">
        <is>
          <t>27BBBBB05997Z5</t>
        </is>
      </c>
      <c r="B5997" t="inlineStr">
        <is>
          <t>Nov-2018</t>
        </is>
      </c>
      <c r="C5997" s="2" t="n">
        <v>43067</v>
      </c>
      <c r="D5997" t="inlineStr">
        <is>
          <t>NON-NIL</t>
        </is>
      </c>
      <c r="E5997" t="n">
        <v>2210</v>
      </c>
    </row>
    <row r="5998">
      <c r="A5998" t="inlineStr">
        <is>
          <t>27BBBBB05998Z5</t>
        </is>
      </c>
      <c r="B5998" t="inlineStr">
        <is>
          <t>Jul-2017</t>
        </is>
      </c>
      <c r="C5998" s="2" t="n">
        <v>44230</v>
      </c>
      <c r="D5998" t="inlineStr">
        <is>
          <t>NON-NIL</t>
        </is>
      </c>
      <c r="E5998" t="n">
        <v>1091</v>
      </c>
    </row>
    <row r="5999">
      <c r="A5999" t="inlineStr">
        <is>
          <t>27BBBBB05999Z5</t>
        </is>
      </c>
      <c r="B5999" t="inlineStr">
        <is>
          <t>Jan-2021</t>
        </is>
      </c>
      <c r="C5999" s="2" t="n">
        <v>45006</v>
      </c>
      <c r="D5999" t="inlineStr">
        <is>
          <t>NIL</t>
        </is>
      </c>
      <c r="E5999" t="n">
        <v>1378</v>
      </c>
    </row>
    <row r="6000">
      <c r="A6000" t="inlineStr">
        <is>
          <t>27BBBBB06000Z5</t>
        </is>
      </c>
      <c r="B6000" t="inlineStr">
        <is>
          <t>Jun-2020</t>
        </is>
      </c>
      <c r="C6000" s="2" t="n">
        <v>43910</v>
      </c>
      <c r="D6000" t="inlineStr">
        <is>
          <t>NIL</t>
        </is>
      </c>
      <c r="E6000" t="n">
        <v>2612</v>
      </c>
    </row>
    <row r="6001">
      <c r="A6001" t="inlineStr">
        <is>
          <t>27BBBBB06001Z5</t>
        </is>
      </c>
      <c r="B6001" t="inlineStr">
        <is>
          <t>May-2020</t>
        </is>
      </c>
      <c r="C6001" s="2" t="n">
        <v>44105</v>
      </c>
      <c r="D6001" t="inlineStr">
        <is>
          <t>NON-NIL</t>
        </is>
      </c>
      <c r="E6001" t="n">
        <v>561</v>
      </c>
    </row>
    <row r="6002">
      <c r="A6002" t="inlineStr">
        <is>
          <t>27BBBBB06002Z5</t>
        </is>
      </c>
      <c r="B6002" t="inlineStr">
        <is>
          <t>Apr-2020</t>
        </is>
      </c>
      <c r="C6002" s="2" t="n">
        <v>44022</v>
      </c>
      <c r="D6002" t="inlineStr">
        <is>
          <t>NON-NIL</t>
        </is>
      </c>
      <c r="E6002" t="n">
        <v>416</v>
      </c>
    </row>
    <row r="6003">
      <c r="A6003" t="inlineStr">
        <is>
          <t>27BBBBB06003Z5</t>
        </is>
      </c>
      <c r="B6003" t="inlineStr">
        <is>
          <t>Mar-2018</t>
        </is>
      </c>
      <c r="C6003" s="2" t="n">
        <v>43171</v>
      </c>
      <c r="D6003" t="inlineStr">
        <is>
          <t>NIL</t>
        </is>
      </c>
      <c r="E6003" t="n">
        <v>548</v>
      </c>
    </row>
    <row r="6004">
      <c r="A6004" t="inlineStr">
        <is>
          <t>27BBBBB06004Z5</t>
        </is>
      </c>
      <c r="B6004" t="inlineStr">
        <is>
          <t>Oct-2017</t>
        </is>
      </c>
      <c r="C6004" s="2" t="n">
        <v>43286</v>
      </c>
      <c r="D6004" t="inlineStr">
        <is>
          <t>NIL</t>
        </is>
      </c>
      <c r="E6004" t="n">
        <v>1419</v>
      </c>
    </row>
    <row r="6005">
      <c r="A6005" t="inlineStr">
        <is>
          <t>27BBBBB06005Z5</t>
        </is>
      </c>
      <c r="B6005" t="inlineStr">
        <is>
          <t>Nov-2018</t>
        </is>
      </c>
      <c r="C6005" s="2" t="n">
        <v>43945</v>
      </c>
      <c r="D6005" t="inlineStr">
        <is>
          <t>NON-NIL</t>
        </is>
      </c>
      <c r="E6005" t="n">
        <v>276</v>
      </c>
    </row>
    <row r="6006">
      <c r="A6006" t="inlineStr">
        <is>
          <t>27BBBBB06006Z5</t>
        </is>
      </c>
      <c r="B6006" t="inlineStr">
        <is>
          <t>Mar-2020</t>
        </is>
      </c>
      <c r="C6006" s="2" t="n">
        <v>44232</v>
      </c>
      <c r="D6006" t="inlineStr">
        <is>
          <t>NON-NIL</t>
        </is>
      </c>
      <c r="E6006" t="n">
        <v>2593</v>
      </c>
    </row>
    <row r="6007">
      <c r="A6007" t="inlineStr">
        <is>
          <t>27BBBBB06007Z5</t>
        </is>
      </c>
      <c r="B6007" t="inlineStr">
        <is>
          <t>May-2020</t>
        </is>
      </c>
      <c r="C6007" s="2" t="n">
        <v>44175</v>
      </c>
      <c r="D6007" t="inlineStr">
        <is>
          <t>NON-NIL</t>
        </is>
      </c>
      <c r="E6007" t="n">
        <v>2581</v>
      </c>
    </row>
    <row r="6008">
      <c r="A6008" t="inlineStr">
        <is>
          <t>27BBBBB06008Z5</t>
        </is>
      </c>
      <c r="B6008" t="inlineStr">
        <is>
          <t>Dec-2024</t>
        </is>
      </c>
      <c r="C6008" s="2" t="n">
        <v>44327</v>
      </c>
      <c r="D6008" t="inlineStr">
        <is>
          <t>NIL</t>
        </is>
      </c>
      <c r="E6008" t="n">
        <v>907</v>
      </c>
    </row>
    <row r="6009">
      <c r="A6009" t="inlineStr">
        <is>
          <t>27BBBBB06009Z5</t>
        </is>
      </c>
      <c r="B6009" t="inlineStr">
        <is>
          <t>Jul-2020</t>
        </is>
      </c>
      <c r="C6009" s="2" t="n">
        <v>44448</v>
      </c>
      <c r="D6009" t="inlineStr">
        <is>
          <t>NON-NIL</t>
        </is>
      </c>
      <c r="E6009" t="n">
        <v>1736</v>
      </c>
    </row>
    <row r="6010">
      <c r="A6010" t="inlineStr">
        <is>
          <t>27BBBBB06010Z5</t>
        </is>
      </c>
      <c r="B6010" t="inlineStr">
        <is>
          <t>Jul-2017</t>
        </is>
      </c>
      <c r="C6010" s="2" t="n">
        <v>43871</v>
      </c>
      <c r="D6010" t="inlineStr">
        <is>
          <t>NIL</t>
        </is>
      </c>
      <c r="E6010" t="n">
        <v>2947</v>
      </c>
    </row>
    <row r="6011">
      <c r="A6011" t="inlineStr">
        <is>
          <t>27BBBBB06011Z5</t>
        </is>
      </c>
      <c r="B6011" t="inlineStr">
        <is>
          <t>Nov-2018</t>
        </is>
      </c>
      <c r="C6011" s="2" t="n">
        <v>43244</v>
      </c>
      <c r="D6011" t="inlineStr">
        <is>
          <t>NON-NIL</t>
        </is>
      </c>
      <c r="E6011" t="n">
        <v>524</v>
      </c>
    </row>
    <row r="6012">
      <c r="A6012" t="inlineStr">
        <is>
          <t>27BBBBB06012Z5</t>
        </is>
      </c>
      <c r="B6012" t="inlineStr">
        <is>
          <t>Oct-2017</t>
        </is>
      </c>
      <c r="C6012" s="2" t="n">
        <v>44124</v>
      </c>
      <c r="D6012" t="inlineStr">
        <is>
          <t>NIL</t>
        </is>
      </c>
      <c r="E6012" t="n">
        <v>2228</v>
      </c>
    </row>
    <row r="6013">
      <c r="A6013" t="inlineStr">
        <is>
          <t>27BBBBB06013Z5</t>
        </is>
      </c>
      <c r="B6013" t="inlineStr">
        <is>
          <t>May-2018</t>
        </is>
      </c>
      <c r="C6013" s="2" t="n">
        <v>43252</v>
      </c>
      <c r="D6013" t="inlineStr">
        <is>
          <t>NIL</t>
        </is>
      </c>
      <c r="E6013" t="n">
        <v>680</v>
      </c>
    </row>
    <row r="6014">
      <c r="A6014" t="inlineStr">
        <is>
          <t>27BBBBB06014Z5</t>
        </is>
      </c>
      <c r="B6014" t="inlineStr">
        <is>
          <t>Apr-2020</t>
        </is>
      </c>
      <c r="C6014" s="2" t="n">
        <v>44277</v>
      </c>
      <c r="D6014" t="inlineStr">
        <is>
          <t>NIL</t>
        </is>
      </c>
      <c r="E6014" t="n">
        <v>268</v>
      </c>
    </row>
    <row r="6015">
      <c r="A6015" t="inlineStr">
        <is>
          <t>27BBBBB06015Z5</t>
        </is>
      </c>
      <c r="B6015" t="inlineStr">
        <is>
          <t>Apr-2018</t>
        </is>
      </c>
      <c r="C6015" s="2" t="n">
        <v>43296</v>
      </c>
      <c r="D6015" t="inlineStr">
        <is>
          <t>NIL</t>
        </is>
      </c>
      <c r="E6015" t="n">
        <v>324</v>
      </c>
    </row>
    <row r="6016">
      <c r="A6016" t="inlineStr">
        <is>
          <t>27BBBBB06016Z5</t>
        </is>
      </c>
      <c r="B6016" t="inlineStr">
        <is>
          <t>Sep-2017</t>
        </is>
      </c>
      <c r="C6016" s="2" t="n">
        <v>43659</v>
      </c>
      <c r="D6016" t="inlineStr">
        <is>
          <t>NON-NIL</t>
        </is>
      </c>
      <c r="E6016" t="n">
        <v>1978</v>
      </c>
    </row>
    <row r="6017">
      <c r="A6017" t="inlineStr">
        <is>
          <t>27BBBBB06017Z5</t>
        </is>
      </c>
      <c r="B6017" t="inlineStr">
        <is>
          <t>Mar-2023</t>
        </is>
      </c>
      <c r="C6017" s="2" t="n">
        <v>45317</v>
      </c>
      <c r="D6017" t="inlineStr">
        <is>
          <t>NIL</t>
        </is>
      </c>
      <c r="E6017" t="n">
        <v>1055</v>
      </c>
    </row>
    <row r="6018">
      <c r="A6018" t="inlineStr">
        <is>
          <t>27BBBBB06018Z5</t>
        </is>
      </c>
      <c r="B6018" t="inlineStr">
        <is>
          <t>Dec-2024</t>
        </is>
      </c>
      <c r="C6018" s="2" t="n">
        <v>45806</v>
      </c>
      <c r="D6018" t="inlineStr">
        <is>
          <t>NIL</t>
        </is>
      </c>
      <c r="E6018" t="n">
        <v>320</v>
      </c>
    </row>
    <row r="6019">
      <c r="A6019" t="inlineStr">
        <is>
          <t>27BBBBB06019Z5</t>
        </is>
      </c>
      <c r="B6019" t="inlineStr">
        <is>
          <t>Dec-2022</t>
        </is>
      </c>
      <c r="C6019" s="2" t="n">
        <v>44178</v>
      </c>
      <c r="D6019" t="inlineStr">
        <is>
          <t>NIL</t>
        </is>
      </c>
      <c r="E6019" t="n">
        <v>1551</v>
      </c>
    </row>
    <row r="6020">
      <c r="A6020" t="inlineStr">
        <is>
          <t>27BBBBB06020Z5</t>
        </is>
      </c>
      <c r="B6020" t="inlineStr">
        <is>
          <t>Jun-2020</t>
        </is>
      </c>
      <c r="C6020" s="2" t="n">
        <v>43903</v>
      </c>
      <c r="D6020" t="inlineStr">
        <is>
          <t>NON-NIL</t>
        </is>
      </c>
      <c r="E6020" t="n">
        <v>942</v>
      </c>
    </row>
    <row r="6021">
      <c r="A6021" t="inlineStr">
        <is>
          <t>27BBBBB06021Z5</t>
        </is>
      </c>
      <c r="B6021" t="inlineStr">
        <is>
          <t>Mar-2020</t>
        </is>
      </c>
      <c r="C6021" s="2" t="n">
        <v>44531</v>
      </c>
      <c r="D6021" t="inlineStr">
        <is>
          <t>NON-NIL</t>
        </is>
      </c>
      <c r="E6021" t="n">
        <v>1001</v>
      </c>
    </row>
    <row r="6022">
      <c r="A6022" t="inlineStr">
        <is>
          <t>27BBBBB06022Z5</t>
        </is>
      </c>
      <c r="B6022" t="inlineStr">
        <is>
          <t>Mar-2021</t>
        </is>
      </c>
      <c r="C6022" s="2" t="n">
        <v>44149</v>
      </c>
      <c r="D6022" t="inlineStr">
        <is>
          <t>NON-NIL</t>
        </is>
      </c>
      <c r="E6022" t="n">
        <v>1420</v>
      </c>
    </row>
    <row r="6023">
      <c r="A6023" t="inlineStr">
        <is>
          <t>27BBBBB06023Z5</t>
        </is>
      </c>
      <c r="B6023" t="inlineStr">
        <is>
          <t>Mar-2023</t>
        </is>
      </c>
      <c r="C6023" s="2" t="n">
        <v>43779</v>
      </c>
      <c r="D6023" t="inlineStr">
        <is>
          <t>NIL</t>
        </is>
      </c>
      <c r="E6023" t="n">
        <v>2446</v>
      </c>
    </row>
    <row r="6024">
      <c r="A6024" t="inlineStr">
        <is>
          <t>27BBBBB06024Z5</t>
        </is>
      </c>
      <c r="B6024" t="inlineStr">
        <is>
          <t>Jun-2020</t>
        </is>
      </c>
      <c r="C6024" s="2" t="n">
        <v>44259</v>
      </c>
      <c r="D6024" t="inlineStr">
        <is>
          <t>NON-NIL</t>
        </is>
      </c>
      <c r="E6024" t="n">
        <v>2851</v>
      </c>
    </row>
    <row r="6025">
      <c r="A6025" t="inlineStr">
        <is>
          <t>27BBBBB06025Z5</t>
        </is>
      </c>
      <c r="B6025" t="inlineStr">
        <is>
          <t>Nov-2018</t>
        </is>
      </c>
      <c r="C6025" s="2" t="n">
        <v>43962</v>
      </c>
      <c r="D6025" t="inlineStr">
        <is>
          <t>NON-NIL</t>
        </is>
      </c>
      <c r="E6025" t="n">
        <v>826</v>
      </c>
    </row>
    <row r="6026">
      <c r="A6026" t="inlineStr">
        <is>
          <t>27BBBBB06026Z5</t>
        </is>
      </c>
      <c r="B6026" t="inlineStr">
        <is>
          <t>Sep-2017</t>
        </is>
      </c>
      <c r="C6026" s="2" t="n">
        <v>42923</v>
      </c>
      <c r="D6026" t="inlineStr">
        <is>
          <t>NON-NIL</t>
        </is>
      </c>
      <c r="E6026" t="n">
        <v>1198</v>
      </c>
    </row>
    <row r="6027">
      <c r="A6027" t="inlineStr">
        <is>
          <t>27BBBBB06027Z5</t>
        </is>
      </c>
      <c r="B6027" t="inlineStr">
        <is>
          <t>Mar-2020</t>
        </is>
      </c>
      <c r="C6027" s="2" t="n">
        <v>43995</v>
      </c>
      <c r="D6027" t="inlineStr">
        <is>
          <t>NON-NIL</t>
        </is>
      </c>
      <c r="E6027" t="n">
        <v>2160</v>
      </c>
    </row>
    <row r="6028">
      <c r="A6028" t="inlineStr">
        <is>
          <t>27BBBBB06028Z5</t>
        </is>
      </c>
      <c r="B6028" t="inlineStr">
        <is>
          <t>Sep-2018</t>
        </is>
      </c>
      <c r="C6028" s="2" t="n">
        <v>43766</v>
      </c>
      <c r="D6028" t="inlineStr">
        <is>
          <t>NON-NIL</t>
        </is>
      </c>
      <c r="E6028" t="n">
        <v>731</v>
      </c>
    </row>
    <row r="6029">
      <c r="A6029" t="inlineStr">
        <is>
          <t>27BBBBB06029Z5</t>
        </is>
      </c>
      <c r="B6029" t="inlineStr">
        <is>
          <t>Sep-2018</t>
        </is>
      </c>
      <c r="C6029" s="2" t="n">
        <v>43361</v>
      </c>
      <c r="D6029" t="inlineStr">
        <is>
          <t>NIL</t>
        </is>
      </c>
      <c r="E6029" t="n">
        <v>25</v>
      </c>
    </row>
    <row r="6030">
      <c r="A6030" t="inlineStr">
        <is>
          <t>27BBBBB06030Z5</t>
        </is>
      </c>
      <c r="B6030" t="inlineStr">
        <is>
          <t>Mar-2020</t>
        </is>
      </c>
      <c r="C6030" s="2" t="n">
        <v>44172</v>
      </c>
      <c r="D6030" t="inlineStr">
        <is>
          <t>NIL</t>
        </is>
      </c>
      <c r="E6030" t="n">
        <v>415</v>
      </c>
    </row>
    <row r="6031">
      <c r="A6031" t="inlineStr">
        <is>
          <t>27BBBBB06031Z5</t>
        </is>
      </c>
      <c r="B6031" t="inlineStr">
        <is>
          <t>Dec-2018</t>
        </is>
      </c>
      <c r="C6031" s="2" t="n">
        <v>44066</v>
      </c>
      <c r="D6031" t="inlineStr">
        <is>
          <t>NON-NIL</t>
        </is>
      </c>
      <c r="E6031" t="n">
        <v>249</v>
      </c>
    </row>
    <row r="6032">
      <c r="A6032" t="inlineStr">
        <is>
          <t>27BBBBB06032Z5</t>
        </is>
      </c>
      <c r="B6032" t="inlineStr">
        <is>
          <t>Mar-2021</t>
        </is>
      </c>
      <c r="C6032" s="2" t="n">
        <v>45179</v>
      </c>
      <c r="D6032" t="inlineStr">
        <is>
          <t>NIL</t>
        </is>
      </c>
      <c r="E6032" t="n">
        <v>605</v>
      </c>
    </row>
    <row r="6033">
      <c r="A6033" t="inlineStr">
        <is>
          <t>27BBBBB06033Z5</t>
        </is>
      </c>
      <c r="B6033" t="inlineStr">
        <is>
          <t>Mar-2021</t>
        </is>
      </c>
      <c r="C6033" s="2" t="n">
        <v>45803</v>
      </c>
      <c r="D6033" t="inlineStr">
        <is>
          <t>NIL</t>
        </is>
      </c>
      <c r="E6033" t="n">
        <v>1112</v>
      </c>
    </row>
    <row r="6034">
      <c r="A6034" t="inlineStr">
        <is>
          <t>27BBBBB06034Z5</t>
        </is>
      </c>
      <c r="B6034" t="inlineStr">
        <is>
          <t>Aug-2017</t>
        </is>
      </c>
      <c r="C6034" s="2" t="n">
        <v>43080</v>
      </c>
      <c r="D6034" t="inlineStr">
        <is>
          <t>NIL</t>
        </is>
      </c>
      <c r="E6034" t="n">
        <v>1545</v>
      </c>
    </row>
    <row r="6035">
      <c r="A6035" t="inlineStr">
        <is>
          <t>27BBBBB06035Z5</t>
        </is>
      </c>
      <c r="B6035" t="inlineStr">
        <is>
          <t>Dec-2017</t>
        </is>
      </c>
      <c r="C6035" s="2" t="n">
        <v>43961</v>
      </c>
      <c r="D6035" t="inlineStr">
        <is>
          <t>NIL</t>
        </is>
      </c>
      <c r="E6035" t="n">
        <v>359</v>
      </c>
    </row>
    <row r="6036">
      <c r="A6036" t="inlineStr">
        <is>
          <t>27BBBBB06036Z5</t>
        </is>
      </c>
      <c r="B6036" t="inlineStr">
        <is>
          <t>Mar-2021</t>
        </is>
      </c>
      <c r="C6036" s="2" t="n">
        <v>45167</v>
      </c>
      <c r="D6036" t="inlineStr">
        <is>
          <t>NIL</t>
        </is>
      </c>
      <c r="E6036" t="n">
        <v>1901</v>
      </c>
    </row>
    <row r="6037">
      <c r="A6037" t="inlineStr">
        <is>
          <t>27BBBBB06037Z5</t>
        </is>
      </c>
      <c r="B6037" t="inlineStr">
        <is>
          <t>Feb-2018</t>
        </is>
      </c>
      <c r="C6037" s="2" t="n">
        <v>43268</v>
      </c>
      <c r="D6037" t="inlineStr">
        <is>
          <t>NIL</t>
        </is>
      </c>
      <c r="E6037" t="n">
        <v>2352</v>
      </c>
    </row>
    <row r="6038">
      <c r="A6038" t="inlineStr">
        <is>
          <t>27BBBBB06038Z5</t>
        </is>
      </c>
      <c r="B6038" t="inlineStr">
        <is>
          <t>Sep-2018</t>
        </is>
      </c>
      <c r="C6038" s="2" t="n">
        <v>43668</v>
      </c>
      <c r="D6038" t="inlineStr">
        <is>
          <t>NIL</t>
        </is>
      </c>
      <c r="E6038" t="n">
        <v>1862</v>
      </c>
    </row>
    <row r="6039">
      <c r="A6039" t="inlineStr">
        <is>
          <t>27BBBBB06039Z5</t>
        </is>
      </c>
      <c r="B6039" t="inlineStr">
        <is>
          <t>Oct-2018</t>
        </is>
      </c>
      <c r="C6039" s="2" t="n">
        <v>43224</v>
      </c>
      <c r="D6039" t="inlineStr">
        <is>
          <t>NIL</t>
        </is>
      </c>
      <c r="E6039" t="n">
        <v>2062</v>
      </c>
    </row>
    <row r="6040">
      <c r="A6040" t="inlineStr">
        <is>
          <t>27BBBBB06040Z5</t>
        </is>
      </c>
      <c r="B6040" t="inlineStr">
        <is>
          <t>Mar-2023</t>
        </is>
      </c>
      <c r="C6040" s="2" t="n">
        <v>45745</v>
      </c>
      <c r="D6040" t="inlineStr">
        <is>
          <t>NIL</t>
        </is>
      </c>
      <c r="E6040" t="n">
        <v>1764</v>
      </c>
    </row>
    <row r="6041">
      <c r="A6041" t="inlineStr">
        <is>
          <t>27BBBBB06041Z5</t>
        </is>
      </c>
      <c r="B6041" t="inlineStr">
        <is>
          <t>Aug-2018</t>
        </is>
      </c>
      <c r="C6041" s="2" t="n">
        <v>43634</v>
      </c>
      <c r="D6041" t="inlineStr">
        <is>
          <t>NIL</t>
        </is>
      </c>
      <c r="E6041" t="n">
        <v>2719</v>
      </c>
    </row>
    <row r="6042">
      <c r="A6042" t="inlineStr">
        <is>
          <t>27BBBBB06042Z5</t>
        </is>
      </c>
      <c r="B6042" t="inlineStr">
        <is>
          <t>May-2018</t>
        </is>
      </c>
      <c r="C6042" s="2" t="n">
        <v>43788</v>
      </c>
      <c r="D6042" t="inlineStr">
        <is>
          <t>NON-NIL</t>
        </is>
      </c>
      <c r="E6042" t="n">
        <v>1517</v>
      </c>
    </row>
    <row r="6043">
      <c r="A6043" t="inlineStr">
        <is>
          <t>27BBBBB06043Z5</t>
        </is>
      </c>
      <c r="B6043" t="inlineStr">
        <is>
          <t>Feb-2018</t>
        </is>
      </c>
      <c r="C6043" s="2" t="n">
        <v>43489</v>
      </c>
      <c r="D6043" t="inlineStr">
        <is>
          <t>NIL</t>
        </is>
      </c>
      <c r="E6043" t="n">
        <v>205</v>
      </c>
    </row>
    <row r="6044">
      <c r="A6044" t="inlineStr">
        <is>
          <t>27BBBBB06044Z5</t>
        </is>
      </c>
      <c r="B6044" t="inlineStr">
        <is>
          <t>Dec-2022</t>
        </is>
      </c>
      <c r="C6044" s="2" t="n">
        <v>44080</v>
      </c>
      <c r="D6044" t="inlineStr">
        <is>
          <t>NON-NIL</t>
        </is>
      </c>
      <c r="E6044" t="n">
        <v>2796</v>
      </c>
    </row>
    <row r="6045">
      <c r="A6045" t="inlineStr">
        <is>
          <t>27BBBBB06045Z5</t>
        </is>
      </c>
      <c r="B6045" t="inlineStr">
        <is>
          <t>Oct-2018</t>
        </is>
      </c>
      <c r="C6045" s="2" t="n">
        <v>43086</v>
      </c>
      <c r="D6045" t="inlineStr">
        <is>
          <t>NON-NIL</t>
        </is>
      </c>
      <c r="E6045" t="n">
        <v>281</v>
      </c>
    </row>
    <row r="6046">
      <c r="A6046" t="inlineStr">
        <is>
          <t>27BBBBB06046Z5</t>
        </is>
      </c>
      <c r="B6046" t="inlineStr">
        <is>
          <t>Sep-2018</t>
        </is>
      </c>
      <c r="C6046" s="2" t="n">
        <v>43193</v>
      </c>
      <c r="D6046" t="inlineStr">
        <is>
          <t>NON-NIL</t>
        </is>
      </c>
      <c r="E6046" t="n">
        <v>1822</v>
      </c>
    </row>
    <row r="6047">
      <c r="A6047" t="inlineStr">
        <is>
          <t>27BBBBB06047Z5</t>
        </is>
      </c>
      <c r="B6047" t="inlineStr">
        <is>
          <t>May-2018</t>
        </is>
      </c>
      <c r="C6047" s="2" t="n">
        <v>43396</v>
      </c>
      <c r="D6047" t="inlineStr">
        <is>
          <t>NON-NIL</t>
        </is>
      </c>
      <c r="E6047" t="n">
        <v>1061</v>
      </c>
    </row>
    <row r="6048">
      <c r="A6048" t="inlineStr">
        <is>
          <t>27BBBBB06048Z5</t>
        </is>
      </c>
      <c r="B6048" t="inlineStr">
        <is>
          <t>Jan-2018</t>
        </is>
      </c>
      <c r="C6048" s="2" t="n">
        <v>44307</v>
      </c>
      <c r="D6048" t="inlineStr">
        <is>
          <t>NIL</t>
        </is>
      </c>
      <c r="E6048" t="n">
        <v>2861</v>
      </c>
    </row>
    <row r="6049">
      <c r="A6049" t="inlineStr">
        <is>
          <t>27BBBBB06049Z5</t>
        </is>
      </c>
      <c r="B6049" t="inlineStr">
        <is>
          <t>May-2020</t>
        </is>
      </c>
      <c r="C6049" s="2" t="n">
        <v>44707</v>
      </c>
      <c r="D6049" t="inlineStr">
        <is>
          <t>NIL</t>
        </is>
      </c>
      <c r="E6049" t="n">
        <v>301</v>
      </c>
    </row>
    <row r="6050">
      <c r="A6050" t="inlineStr">
        <is>
          <t>27BBBBB06050Z5</t>
        </is>
      </c>
      <c r="B6050" t="inlineStr">
        <is>
          <t>Dec-2018</t>
        </is>
      </c>
      <c r="C6050" s="2" t="n">
        <v>43750</v>
      </c>
      <c r="D6050" t="inlineStr">
        <is>
          <t>NIL</t>
        </is>
      </c>
      <c r="E6050" t="n">
        <v>1142</v>
      </c>
    </row>
    <row r="6051">
      <c r="A6051" t="inlineStr">
        <is>
          <t>27BBBBB06051Z5</t>
        </is>
      </c>
      <c r="B6051" t="inlineStr">
        <is>
          <t>Mar-2021</t>
        </is>
      </c>
      <c r="C6051" s="2" t="n">
        <v>44171</v>
      </c>
      <c r="D6051" t="inlineStr">
        <is>
          <t>NIL</t>
        </is>
      </c>
      <c r="E6051" t="n">
        <v>2076</v>
      </c>
    </row>
    <row r="6052">
      <c r="A6052" t="inlineStr">
        <is>
          <t>27BBBBB06052Z5</t>
        </is>
      </c>
      <c r="B6052" t="inlineStr">
        <is>
          <t>Jun-2018</t>
        </is>
      </c>
      <c r="C6052" s="2" t="n">
        <v>44097</v>
      </c>
      <c r="D6052" t="inlineStr">
        <is>
          <t>NIL</t>
        </is>
      </c>
      <c r="E6052" t="n">
        <v>2320</v>
      </c>
    </row>
    <row r="6053">
      <c r="A6053" t="inlineStr">
        <is>
          <t>27BBBBB06053Z5</t>
        </is>
      </c>
      <c r="B6053" t="inlineStr">
        <is>
          <t>Feb-2018</t>
        </is>
      </c>
      <c r="C6053" s="2" t="n">
        <v>43022</v>
      </c>
      <c r="D6053" t="inlineStr">
        <is>
          <t>NIL</t>
        </is>
      </c>
      <c r="E6053" t="n">
        <v>1208</v>
      </c>
    </row>
    <row r="6054">
      <c r="A6054" t="inlineStr">
        <is>
          <t>27BBBBB06054Z5</t>
        </is>
      </c>
      <c r="B6054" t="inlineStr">
        <is>
          <t>Jun-2020</t>
        </is>
      </c>
      <c r="C6054" s="2" t="n">
        <v>44393</v>
      </c>
      <c r="D6054" t="inlineStr">
        <is>
          <t>NIL</t>
        </is>
      </c>
      <c r="E6054" t="n">
        <v>642</v>
      </c>
    </row>
    <row r="6055">
      <c r="A6055" t="inlineStr">
        <is>
          <t>27BBBBB06055Z5</t>
        </is>
      </c>
      <c r="B6055" t="inlineStr">
        <is>
          <t>Mar-2020</t>
        </is>
      </c>
      <c r="C6055" s="2" t="n">
        <v>44376</v>
      </c>
      <c r="D6055" t="inlineStr">
        <is>
          <t>NON-NIL</t>
        </is>
      </c>
      <c r="E6055" t="n">
        <v>2258</v>
      </c>
    </row>
    <row r="6056">
      <c r="A6056" t="inlineStr">
        <is>
          <t>27BBBBB06056Z5</t>
        </is>
      </c>
      <c r="B6056" t="inlineStr">
        <is>
          <t>Apr-2020</t>
        </is>
      </c>
      <c r="C6056" s="2" t="n">
        <v>44789</v>
      </c>
      <c r="D6056" t="inlineStr">
        <is>
          <t>NON-NIL</t>
        </is>
      </c>
      <c r="E6056" t="n">
        <v>2577</v>
      </c>
    </row>
    <row r="6057">
      <c r="A6057" t="inlineStr">
        <is>
          <t>27BBBBB06057Z5</t>
        </is>
      </c>
      <c r="B6057" t="inlineStr">
        <is>
          <t>Oct-2017</t>
        </is>
      </c>
      <c r="C6057" s="2" t="n">
        <v>43751</v>
      </c>
      <c r="D6057" t="inlineStr">
        <is>
          <t>NON-NIL</t>
        </is>
      </c>
      <c r="E6057" t="n">
        <v>510</v>
      </c>
    </row>
    <row r="6058">
      <c r="A6058" t="inlineStr">
        <is>
          <t>27BBBBB06058Z5</t>
        </is>
      </c>
      <c r="B6058" t="inlineStr">
        <is>
          <t>Oct-2017</t>
        </is>
      </c>
      <c r="C6058" s="2" t="n">
        <v>44013</v>
      </c>
      <c r="D6058" t="inlineStr">
        <is>
          <t>NON-NIL</t>
        </is>
      </c>
      <c r="E6058" t="n">
        <v>1897</v>
      </c>
    </row>
    <row r="6059">
      <c r="A6059" t="inlineStr">
        <is>
          <t>27BBBBB06059Z5</t>
        </is>
      </c>
      <c r="B6059" t="inlineStr">
        <is>
          <t>Aug-2017</t>
        </is>
      </c>
      <c r="C6059" s="2" t="n">
        <v>44444</v>
      </c>
      <c r="D6059" t="inlineStr">
        <is>
          <t>NIL</t>
        </is>
      </c>
      <c r="E6059" t="n">
        <v>383</v>
      </c>
    </row>
    <row r="6060">
      <c r="A6060" t="inlineStr">
        <is>
          <t>27BBBBB06060Z5</t>
        </is>
      </c>
      <c r="B6060" t="inlineStr">
        <is>
          <t>Mar-2023</t>
        </is>
      </c>
      <c r="C6060" s="2" t="n">
        <v>43549</v>
      </c>
      <c r="D6060" t="inlineStr">
        <is>
          <t>NIL</t>
        </is>
      </c>
      <c r="E6060" t="n">
        <v>245</v>
      </c>
    </row>
    <row r="6061">
      <c r="A6061" t="inlineStr">
        <is>
          <t>27BBBBB06061Z5</t>
        </is>
      </c>
      <c r="B6061" t="inlineStr">
        <is>
          <t>Mar-2023</t>
        </is>
      </c>
      <c r="C6061" s="2" t="n">
        <v>45412</v>
      </c>
      <c r="D6061" t="inlineStr">
        <is>
          <t>NIL</t>
        </is>
      </c>
      <c r="E6061" t="n">
        <v>1814</v>
      </c>
    </row>
    <row r="6062">
      <c r="A6062" t="inlineStr">
        <is>
          <t>27BBBBB06062Z5</t>
        </is>
      </c>
      <c r="B6062" t="inlineStr">
        <is>
          <t>Dec-2018</t>
        </is>
      </c>
      <c r="C6062" s="2" t="n">
        <v>44347</v>
      </c>
      <c r="D6062" t="inlineStr">
        <is>
          <t>NON-NIL</t>
        </is>
      </c>
      <c r="E6062" t="n">
        <v>1645</v>
      </c>
    </row>
    <row r="6063">
      <c r="A6063" t="inlineStr">
        <is>
          <t>27BBBBB06063Z5</t>
        </is>
      </c>
      <c r="B6063" t="inlineStr">
        <is>
          <t>May-2018</t>
        </is>
      </c>
      <c r="C6063" s="2" t="n">
        <v>43652</v>
      </c>
      <c r="D6063" t="inlineStr">
        <is>
          <t>NON-NIL</t>
        </is>
      </c>
      <c r="E6063" t="n">
        <v>472</v>
      </c>
    </row>
    <row r="6064">
      <c r="A6064" t="inlineStr">
        <is>
          <t>27BBBBB06064Z5</t>
        </is>
      </c>
      <c r="B6064" t="inlineStr">
        <is>
          <t>Apr-2020</t>
        </is>
      </c>
      <c r="C6064" s="2" t="n">
        <v>44519</v>
      </c>
      <c r="D6064" t="inlineStr">
        <is>
          <t>NON-NIL</t>
        </is>
      </c>
      <c r="E6064" t="n">
        <v>1976</v>
      </c>
    </row>
    <row r="6065">
      <c r="A6065" t="inlineStr">
        <is>
          <t>27BBBBB06065Z5</t>
        </is>
      </c>
      <c r="B6065" t="inlineStr">
        <is>
          <t>Dec-2017</t>
        </is>
      </c>
      <c r="C6065" s="2" t="n">
        <v>44078</v>
      </c>
      <c r="D6065" t="inlineStr">
        <is>
          <t>NIL</t>
        </is>
      </c>
      <c r="E6065" t="n">
        <v>781</v>
      </c>
    </row>
    <row r="6066">
      <c r="A6066" t="inlineStr">
        <is>
          <t>27BBBBB06066Z5</t>
        </is>
      </c>
      <c r="B6066" t="inlineStr">
        <is>
          <t>Mar-2018</t>
        </is>
      </c>
      <c r="C6066" s="2" t="n">
        <v>43058</v>
      </c>
      <c r="D6066" t="inlineStr">
        <is>
          <t>NIL</t>
        </is>
      </c>
      <c r="E6066" t="n">
        <v>2238</v>
      </c>
    </row>
    <row r="6067">
      <c r="A6067" t="inlineStr">
        <is>
          <t>27BBBBB06067Z5</t>
        </is>
      </c>
      <c r="B6067" t="inlineStr">
        <is>
          <t>Aug-2018</t>
        </is>
      </c>
      <c r="C6067" s="2" t="n">
        <v>43559</v>
      </c>
      <c r="D6067" t="inlineStr">
        <is>
          <t>NIL</t>
        </is>
      </c>
      <c r="E6067" t="n">
        <v>1900</v>
      </c>
    </row>
    <row r="6068">
      <c r="A6068" t="inlineStr">
        <is>
          <t>27BBBBB06068Z5</t>
        </is>
      </c>
      <c r="B6068" t="inlineStr">
        <is>
          <t>Jul-2018</t>
        </is>
      </c>
      <c r="C6068" s="2" t="n">
        <v>43933</v>
      </c>
      <c r="D6068" t="inlineStr">
        <is>
          <t>NIL</t>
        </is>
      </c>
      <c r="E6068" t="n">
        <v>2656</v>
      </c>
    </row>
    <row r="6069">
      <c r="A6069" t="inlineStr">
        <is>
          <t>27BBBBB06069Z5</t>
        </is>
      </c>
      <c r="B6069" t="inlineStr">
        <is>
          <t>Oct-2018</t>
        </is>
      </c>
      <c r="C6069" s="2" t="n">
        <v>43221</v>
      </c>
      <c r="D6069" t="inlineStr">
        <is>
          <t>NON-NIL</t>
        </is>
      </c>
      <c r="E6069" t="n">
        <v>697</v>
      </c>
    </row>
    <row r="6070">
      <c r="A6070" t="inlineStr">
        <is>
          <t>27BBBBB06070Z5</t>
        </is>
      </c>
      <c r="B6070" t="inlineStr">
        <is>
          <t>Jun-2018</t>
        </is>
      </c>
      <c r="C6070" s="2" t="n">
        <v>44124</v>
      </c>
      <c r="D6070" t="inlineStr">
        <is>
          <t>NIL</t>
        </is>
      </c>
      <c r="E6070" t="n">
        <v>1631</v>
      </c>
    </row>
    <row r="6071">
      <c r="A6071" t="inlineStr">
        <is>
          <t>27BBBBB06071Z5</t>
        </is>
      </c>
      <c r="B6071" t="inlineStr">
        <is>
          <t>Jan-2018</t>
        </is>
      </c>
      <c r="C6071" s="2" t="n">
        <v>43622</v>
      </c>
      <c r="D6071" t="inlineStr">
        <is>
          <t>NIL</t>
        </is>
      </c>
      <c r="E6071" t="n">
        <v>495</v>
      </c>
    </row>
    <row r="6072">
      <c r="A6072" t="inlineStr">
        <is>
          <t>27BBBBB06072Z5</t>
        </is>
      </c>
      <c r="B6072" t="inlineStr">
        <is>
          <t>Dec-2017</t>
        </is>
      </c>
      <c r="C6072" s="2" t="n">
        <v>44497</v>
      </c>
      <c r="D6072" t="inlineStr">
        <is>
          <t>NIL</t>
        </is>
      </c>
      <c r="E6072" t="n">
        <v>2858</v>
      </c>
    </row>
    <row r="6073">
      <c r="A6073" t="inlineStr">
        <is>
          <t>27BBBBB06073Z5</t>
        </is>
      </c>
      <c r="B6073" t="inlineStr">
        <is>
          <t>Jun-2018</t>
        </is>
      </c>
      <c r="C6073" s="2" t="n">
        <v>43069</v>
      </c>
      <c r="D6073" t="inlineStr">
        <is>
          <t>NIL</t>
        </is>
      </c>
      <c r="E6073" t="n">
        <v>124</v>
      </c>
    </row>
    <row r="6074">
      <c r="A6074" t="inlineStr">
        <is>
          <t>27BBBBB06074Z5</t>
        </is>
      </c>
      <c r="B6074" t="inlineStr">
        <is>
          <t>Apr-2020</t>
        </is>
      </c>
      <c r="C6074" s="2" t="n">
        <v>44052</v>
      </c>
      <c r="D6074" t="inlineStr">
        <is>
          <t>NIL</t>
        </is>
      </c>
      <c r="E6074" t="n">
        <v>2558</v>
      </c>
    </row>
    <row r="6075">
      <c r="A6075" t="inlineStr">
        <is>
          <t>27BBBBB06075Z5</t>
        </is>
      </c>
      <c r="B6075" t="inlineStr">
        <is>
          <t>Dec-2024</t>
        </is>
      </c>
      <c r="C6075" s="2" t="n">
        <v>45624</v>
      </c>
      <c r="D6075" t="inlineStr">
        <is>
          <t>NIL</t>
        </is>
      </c>
      <c r="E6075" t="n">
        <v>2979</v>
      </c>
    </row>
    <row r="6076">
      <c r="A6076" t="inlineStr">
        <is>
          <t>27BBBBB06076Z5</t>
        </is>
      </c>
      <c r="B6076" t="inlineStr">
        <is>
          <t>Mar-2023</t>
        </is>
      </c>
      <c r="C6076" s="2" t="n">
        <v>44585</v>
      </c>
      <c r="D6076" t="inlineStr">
        <is>
          <t>NON-NIL</t>
        </is>
      </c>
      <c r="E6076" t="n">
        <v>384</v>
      </c>
    </row>
    <row r="6077">
      <c r="A6077" t="inlineStr">
        <is>
          <t>27BBBBB06077Z5</t>
        </is>
      </c>
      <c r="B6077" t="inlineStr">
        <is>
          <t>Jan-2018</t>
        </is>
      </c>
      <c r="C6077" s="2" t="n">
        <v>44318</v>
      </c>
      <c r="D6077" t="inlineStr">
        <is>
          <t>NIL</t>
        </is>
      </c>
      <c r="E6077" t="n">
        <v>397</v>
      </c>
    </row>
    <row r="6078">
      <c r="A6078" t="inlineStr">
        <is>
          <t>27BBBBB06078Z5</t>
        </is>
      </c>
      <c r="B6078" t="inlineStr">
        <is>
          <t>Jul-2017</t>
        </is>
      </c>
      <c r="C6078" s="2" t="n">
        <v>43306</v>
      </c>
      <c r="D6078" t="inlineStr">
        <is>
          <t>NON-NIL</t>
        </is>
      </c>
      <c r="E6078" t="n">
        <v>2129</v>
      </c>
    </row>
    <row r="6079">
      <c r="A6079" t="inlineStr">
        <is>
          <t>27BBBBB06079Z5</t>
        </is>
      </c>
      <c r="B6079" t="inlineStr">
        <is>
          <t>Jul-2017</t>
        </is>
      </c>
      <c r="C6079" s="2" t="n">
        <v>43848</v>
      </c>
      <c r="D6079" t="inlineStr">
        <is>
          <t>NON-NIL</t>
        </is>
      </c>
      <c r="E6079" t="n">
        <v>2817</v>
      </c>
    </row>
    <row r="6080">
      <c r="A6080" t="inlineStr">
        <is>
          <t>27BBBBB06080Z5</t>
        </is>
      </c>
      <c r="B6080" t="inlineStr">
        <is>
          <t>Sep-2017</t>
        </is>
      </c>
      <c r="C6080" s="2" t="n">
        <v>43033</v>
      </c>
      <c r="D6080" t="inlineStr">
        <is>
          <t>NIL</t>
        </is>
      </c>
      <c r="E6080" t="n">
        <v>680</v>
      </c>
    </row>
    <row r="6081">
      <c r="A6081" t="inlineStr">
        <is>
          <t>27BBBBB06081Z5</t>
        </is>
      </c>
      <c r="B6081" t="inlineStr">
        <is>
          <t>Aug-2017</t>
        </is>
      </c>
      <c r="C6081" s="2" t="n">
        <v>44321</v>
      </c>
      <c r="D6081" t="inlineStr">
        <is>
          <t>NON-NIL</t>
        </is>
      </c>
      <c r="E6081" t="n">
        <v>2940</v>
      </c>
    </row>
    <row r="6082">
      <c r="A6082" t="inlineStr">
        <is>
          <t>27BBBBB06082Z5</t>
        </is>
      </c>
      <c r="B6082" t="inlineStr">
        <is>
          <t>May-2018</t>
        </is>
      </c>
      <c r="C6082" s="2" t="n">
        <v>44293</v>
      </c>
      <c r="D6082" t="inlineStr">
        <is>
          <t>NIL</t>
        </is>
      </c>
      <c r="E6082" t="n">
        <v>2094</v>
      </c>
    </row>
    <row r="6083">
      <c r="A6083" t="inlineStr">
        <is>
          <t>27BBBBB06083Z5</t>
        </is>
      </c>
      <c r="B6083" t="inlineStr">
        <is>
          <t>Oct-2018</t>
        </is>
      </c>
      <c r="C6083" s="2" t="n">
        <v>44161</v>
      </c>
      <c r="D6083" t="inlineStr">
        <is>
          <t>NON-NIL</t>
        </is>
      </c>
      <c r="E6083" t="n">
        <v>2495</v>
      </c>
    </row>
    <row r="6084">
      <c r="A6084" t="inlineStr">
        <is>
          <t>27BBBBB06084Z5</t>
        </is>
      </c>
      <c r="B6084" t="inlineStr">
        <is>
          <t>Jul-2018</t>
        </is>
      </c>
      <c r="C6084" s="2" t="n">
        <v>43379</v>
      </c>
      <c r="D6084" t="inlineStr">
        <is>
          <t>NON-NIL</t>
        </is>
      </c>
      <c r="E6084" t="n">
        <v>1319</v>
      </c>
    </row>
    <row r="6085">
      <c r="A6085" t="inlineStr">
        <is>
          <t>27BBBBB06085Z5</t>
        </is>
      </c>
      <c r="B6085" t="inlineStr">
        <is>
          <t>Feb-2018</t>
        </is>
      </c>
      <c r="C6085" s="2" t="n">
        <v>43584</v>
      </c>
      <c r="D6085" t="inlineStr">
        <is>
          <t>NON-NIL</t>
        </is>
      </c>
      <c r="E6085" t="n">
        <v>1601</v>
      </c>
    </row>
    <row r="6086">
      <c r="A6086" t="inlineStr">
        <is>
          <t>27BBBBB06086Z5</t>
        </is>
      </c>
      <c r="B6086" t="inlineStr">
        <is>
          <t>Dec-2018</t>
        </is>
      </c>
      <c r="C6086" s="2" t="n">
        <v>43149</v>
      </c>
      <c r="D6086" t="inlineStr">
        <is>
          <t>NON-NIL</t>
        </is>
      </c>
      <c r="E6086" t="n">
        <v>1573</v>
      </c>
    </row>
    <row r="6087">
      <c r="A6087" t="inlineStr">
        <is>
          <t>27BBBBB06087Z5</t>
        </is>
      </c>
      <c r="B6087" t="inlineStr">
        <is>
          <t>Dec-2017</t>
        </is>
      </c>
      <c r="C6087" s="2" t="n">
        <v>43310</v>
      </c>
      <c r="D6087" t="inlineStr">
        <is>
          <t>NIL</t>
        </is>
      </c>
      <c r="E6087" t="n">
        <v>37</v>
      </c>
    </row>
    <row r="6088">
      <c r="A6088" t="inlineStr">
        <is>
          <t>27BBBBB06088Z5</t>
        </is>
      </c>
      <c r="B6088" t="inlineStr">
        <is>
          <t>Jan-2018</t>
        </is>
      </c>
      <c r="C6088" s="2" t="n">
        <v>43825</v>
      </c>
      <c r="D6088" t="inlineStr">
        <is>
          <t>NIL</t>
        </is>
      </c>
      <c r="E6088" t="n">
        <v>1601</v>
      </c>
    </row>
    <row r="6089">
      <c r="A6089" t="inlineStr">
        <is>
          <t>27BBBBB06089Z5</t>
        </is>
      </c>
      <c r="B6089" t="inlineStr">
        <is>
          <t>Jan-2018</t>
        </is>
      </c>
      <c r="C6089" s="2" t="n">
        <v>43870</v>
      </c>
      <c r="D6089" t="inlineStr">
        <is>
          <t>NON-NIL</t>
        </is>
      </c>
      <c r="E6089" t="n">
        <v>1959</v>
      </c>
    </row>
    <row r="6090">
      <c r="A6090" t="inlineStr">
        <is>
          <t>27BBBBB06090Z5</t>
        </is>
      </c>
      <c r="B6090" t="inlineStr">
        <is>
          <t>Mar-2021</t>
        </is>
      </c>
      <c r="C6090" s="2" t="n">
        <v>43612</v>
      </c>
      <c r="D6090" t="inlineStr">
        <is>
          <t>NIL</t>
        </is>
      </c>
      <c r="E6090" t="n">
        <v>1356</v>
      </c>
    </row>
    <row r="6091">
      <c r="A6091" t="inlineStr">
        <is>
          <t>27BBBBB06091Z5</t>
        </is>
      </c>
      <c r="B6091" t="inlineStr">
        <is>
          <t>Sep-2017</t>
        </is>
      </c>
      <c r="C6091" s="2" t="n">
        <v>44340</v>
      </c>
      <c r="D6091" t="inlineStr">
        <is>
          <t>NIL</t>
        </is>
      </c>
      <c r="E6091" t="n">
        <v>2993</v>
      </c>
    </row>
    <row r="6092">
      <c r="A6092" t="inlineStr">
        <is>
          <t>27BBBBB06092Z5</t>
        </is>
      </c>
      <c r="B6092" t="inlineStr">
        <is>
          <t>Dec-2022</t>
        </is>
      </c>
      <c r="C6092" s="2" t="n">
        <v>45331</v>
      </c>
      <c r="D6092" t="inlineStr">
        <is>
          <t>NON-NIL</t>
        </is>
      </c>
      <c r="E6092" t="n">
        <v>2215</v>
      </c>
    </row>
    <row r="6093">
      <c r="A6093" t="inlineStr">
        <is>
          <t>27BBBBB06093Z5</t>
        </is>
      </c>
      <c r="B6093" t="inlineStr">
        <is>
          <t>Feb-2018</t>
        </is>
      </c>
      <c r="C6093" s="2" t="n">
        <v>43355</v>
      </c>
      <c r="D6093" t="inlineStr">
        <is>
          <t>NON-NIL</t>
        </is>
      </c>
      <c r="E6093" t="n">
        <v>2156</v>
      </c>
    </row>
    <row r="6094">
      <c r="A6094" t="inlineStr">
        <is>
          <t>27BBBBB06094Z5</t>
        </is>
      </c>
      <c r="B6094" t="inlineStr">
        <is>
          <t>Dec-2017</t>
        </is>
      </c>
      <c r="C6094" s="2" t="n">
        <v>43757</v>
      </c>
      <c r="D6094" t="inlineStr">
        <is>
          <t>NIL</t>
        </is>
      </c>
      <c r="E6094" t="n">
        <v>1190</v>
      </c>
    </row>
    <row r="6095">
      <c r="A6095" t="inlineStr">
        <is>
          <t>27BBBBB06095Z5</t>
        </is>
      </c>
      <c r="B6095" t="inlineStr">
        <is>
          <t>Jul-2020</t>
        </is>
      </c>
      <c r="C6095" s="2" t="n">
        <v>44451</v>
      </c>
      <c r="D6095" t="inlineStr">
        <is>
          <t>NON-NIL</t>
        </is>
      </c>
      <c r="E6095" t="n">
        <v>1082</v>
      </c>
    </row>
    <row r="6096">
      <c r="A6096" t="inlineStr">
        <is>
          <t>27BBBBB06096Z5</t>
        </is>
      </c>
      <c r="B6096" t="inlineStr">
        <is>
          <t>Mar-2021</t>
        </is>
      </c>
      <c r="C6096" s="2" t="n">
        <v>44921</v>
      </c>
      <c r="D6096" t="inlineStr">
        <is>
          <t>NON-NIL</t>
        </is>
      </c>
      <c r="E6096" t="n">
        <v>1835</v>
      </c>
    </row>
    <row r="6097">
      <c r="A6097" t="inlineStr">
        <is>
          <t>27BBBBB06097Z5</t>
        </is>
      </c>
      <c r="B6097" t="inlineStr">
        <is>
          <t>Jun-2018</t>
        </is>
      </c>
      <c r="C6097" s="2" t="n">
        <v>43371</v>
      </c>
      <c r="D6097" t="inlineStr">
        <is>
          <t>NIL</t>
        </is>
      </c>
      <c r="E6097" t="n">
        <v>252</v>
      </c>
    </row>
    <row r="6098">
      <c r="A6098" t="inlineStr">
        <is>
          <t>27BBBBB06098Z5</t>
        </is>
      </c>
      <c r="B6098" t="inlineStr">
        <is>
          <t>Aug-2017</t>
        </is>
      </c>
      <c r="C6098" s="2" t="n">
        <v>43195</v>
      </c>
      <c r="D6098" t="inlineStr">
        <is>
          <t>NON-NIL</t>
        </is>
      </c>
      <c r="E6098" t="n">
        <v>1752</v>
      </c>
    </row>
    <row r="6099">
      <c r="A6099" t="inlineStr">
        <is>
          <t>27BBBBB06099Z5</t>
        </is>
      </c>
      <c r="B6099" t="inlineStr">
        <is>
          <t>Dec-2018</t>
        </is>
      </c>
      <c r="C6099" s="2" t="n">
        <v>44164</v>
      </c>
      <c r="D6099" t="inlineStr">
        <is>
          <t>NON-NIL</t>
        </is>
      </c>
      <c r="E6099" t="n">
        <v>1269</v>
      </c>
    </row>
    <row r="6100">
      <c r="A6100" t="inlineStr">
        <is>
          <t>27BBBBB06100Z5</t>
        </is>
      </c>
      <c r="B6100" t="inlineStr">
        <is>
          <t>Dec-2024</t>
        </is>
      </c>
      <c r="C6100" s="2" t="n">
        <v>44214</v>
      </c>
      <c r="D6100" t="inlineStr">
        <is>
          <t>NON-NIL</t>
        </is>
      </c>
      <c r="E6100" t="n">
        <v>1307</v>
      </c>
    </row>
    <row r="6101">
      <c r="A6101" t="inlineStr">
        <is>
          <t>27BBBBB06101Z5</t>
        </is>
      </c>
      <c r="B6101" t="inlineStr">
        <is>
          <t>Sep-2018</t>
        </is>
      </c>
      <c r="C6101" s="2" t="n">
        <v>43062</v>
      </c>
      <c r="D6101" t="inlineStr">
        <is>
          <t>NON-NIL</t>
        </is>
      </c>
      <c r="E6101" t="n">
        <v>2143</v>
      </c>
    </row>
    <row r="6102">
      <c r="A6102" t="inlineStr">
        <is>
          <t>27BBBBB06102Z5</t>
        </is>
      </c>
      <c r="B6102" t="inlineStr">
        <is>
          <t>Apr-2020</t>
        </is>
      </c>
      <c r="C6102" s="2" t="n">
        <v>43959</v>
      </c>
      <c r="D6102" t="inlineStr">
        <is>
          <t>NIL</t>
        </is>
      </c>
      <c r="E6102" t="n">
        <v>1527</v>
      </c>
    </row>
    <row r="6103">
      <c r="A6103" t="inlineStr">
        <is>
          <t>27BBBBB06103Z5</t>
        </is>
      </c>
      <c r="B6103" t="inlineStr">
        <is>
          <t>Jun-2018</t>
        </is>
      </c>
      <c r="C6103" s="2" t="n">
        <v>43186</v>
      </c>
      <c r="D6103" t="inlineStr">
        <is>
          <t>NIL</t>
        </is>
      </c>
      <c r="E6103" t="n">
        <v>2782</v>
      </c>
    </row>
    <row r="6104">
      <c r="A6104" t="inlineStr">
        <is>
          <t>27BBBBB06104Z5</t>
        </is>
      </c>
      <c r="B6104" t="inlineStr">
        <is>
          <t>Jul-2018</t>
        </is>
      </c>
      <c r="C6104" s="2" t="n">
        <v>43623</v>
      </c>
      <c r="D6104" t="inlineStr">
        <is>
          <t>NIL</t>
        </is>
      </c>
      <c r="E6104" t="n">
        <v>2494</v>
      </c>
    </row>
    <row r="6105">
      <c r="A6105" t="inlineStr">
        <is>
          <t>27BBBBB06105Z5</t>
        </is>
      </c>
      <c r="B6105" t="inlineStr">
        <is>
          <t>Mar-2023</t>
        </is>
      </c>
      <c r="C6105" s="2" t="n">
        <v>45495</v>
      </c>
      <c r="D6105" t="inlineStr">
        <is>
          <t>NON-NIL</t>
        </is>
      </c>
      <c r="E6105" t="n">
        <v>1128</v>
      </c>
    </row>
    <row r="6106">
      <c r="A6106" t="inlineStr">
        <is>
          <t>27BBBBB06106Z5</t>
        </is>
      </c>
      <c r="B6106" t="inlineStr">
        <is>
          <t>Sep-2018</t>
        </is>
      </c>
      <c r="C6106" s="2" t="n">
        <v>43432</v>
      </c>
      <c r="D6106" t="inlineStr">
        <is>
          <t>NIL</t>
        </is>
      </c>
      <c r="E6106" t="n">
        <v>269</v>
      </c>
    </row>
    <row r="6107">
      <c r="A6107" t="inlineStr">
        <is>
          <t>27BBBBB06107Z5</t>
        </is>
      </c>
      <c r="B6107" t="inlineStr">
        <is>
          <t>Jun-2020</t>
        </is>
      </c>
      <c r="C6107" s="2" t="n">
        <v>44514</v>
      </c>
      <c r="D6107" t="inlineStr">
        <is>
          <t>NON-NIL</t>
        </is>
      </c>
      <c r="E6107" t="n">
        <v>1708</v>
      </c>
    </row>
    <row r="6108">
      <c r="A6108" t="inlineStr">
        <is>
          <t>27BBBBB06108Z5</t>
        </is>
      </c>
      <c r="B6108" t="inlineStr">
        <is>
          <t>Nov-2018</t>
        </is>
      </c>
      <c r="C6108" s="2" t="n">
        <v>43495</v>
      </c>
      <c r="D6108" t="inlineStr">
        <is>
          <t>NIL</t>
        </is>
      </c>
      <c r="E6108" t="n">
        <v>1821</v>
      </c>
    </row>
    <row r="6109">
      <c r="A6109" t="inlineStr">
        <is>
          <t>27BBBBB06109Z5</t>
        </is>
      </c>
      <c r="B6109" t="inlineStr">
        <is>
          <t>Dec-2022</t>
        </is>
      </c>
      <c r="C6109" s="2" t="n">
        <v>44120</v>
      </c>
      <c r="D6109" t="inlineStr">
        <is>
          <t>NON-NIL</t>
        </is>
      </c>
      <c r="E6109" t="n">
        <v>1049</v>
      </c>
    </row>
    <row r="6110">
      <c r="A6110" t="inlineStr">
        <is>
          <t>27BBBBB06110Z5</t>
        </is>
      </c>
      <c r="B6110" t="inlineStr">
        <is>
          <t>May-2018</t>
        </is>
      </c>
      <c r="C6110" s="2" t="n">
        <v>44507</v>
      </c>
      <c r="D6110" t="inlineStr">
        <is>
          <t>NIL</t>
        </is>
      </c>
      <c r="E6110" t="n">
        <v>2169</v>
      </c>
    </row>
    <row r="6111">
      <c r="A6111" t="inlineStr">
        <is>
          <t>27BBBBB06111Z5</t>
        </is>
      </c>
      <c r="B6111" t="inlineStr">
        <is>
          <t>Jan-2018</t>
        </is>
      </c>
      <c r="C6111" s="2" t="n">
        <v>44399</v>
      </c>
      <c r="D6111" t="inlineStr">
        <is>
          <t>NIL</t>
        </is>
      </c>
      <c r="E6111" t="n">
        <v>1123</v>
      </c>
    </row>
    <row r="6112">
      <c r="A6112" t="inlineStr">
        <is>
          <t>27BBBBB06112Z5</t>
        </is>
      </c>
      <c r="B6112" t="inlineStr">
        <is>
          <t>Jul-2017</t>
        </is>
      </c>
      <c r="C6112" s="2" t="n">
        <v>43200</v>
      </c>
      <c r="D6112" t="inlineStr">
        <is>
          <t>NIL</t>
        </is>
      </c>
      <c r="E6112" t="n">
        <v>132</v>
      </c>
    </row>
    <row r="6113">
      <c r="A6113" t="inlineStr">
        <is>
          <t>27BBBBB06113Z5</t>
        </is>
      </c>
      <c r="B6113" t="inlineStr">
        <is>
          <t>Nov-2018</t>
        </is>
      </c>
      <c r="C6113" s="2" t="n">
        <v>44421</v>
      </c>
      <c r="D6113" t="inlineStr">
        <is>
          <t>NIL</t>
        </is>
      </c>
      <c r="E6113" t="n">
        <v>558</v>
      </c>
    </row>
    <row r="6114">
      <c r="A6114" t="inlineStr">
        <is>
          <t>27BBBBB06114Z5</t>
        </is>
      </c>
      <c r="B6114" t="inlineStr">
        <is>
          <t>Dec-2017</t>
        </is>
      </c>
      <c r="C6114" s="2" t="n">
        <v>44444</v>
      </c>
      <c r="D6114" t="inlineStr">
        <is>
          <t>NON-NIL</t>
        </is>
      </c>
      <c r="E6114" t="n">
        <v>796</v>
      </c>
    </row>
    <row r="6115">
      <c r="A6115" t="inlineStr">
        <is>
          <t>27BBBBB06115Z5</t>
        </is>
      </c>
      <c r="B6115" t="inlineStr">
        <is>
          <t>Apr-2020</t>
        </is>
      </c>
      <c r="C6115" s="2" t="n">
        <v>44732</v>
      </c>
      <c r="D6115" t="inlineStr">
        <is>
          <t>NIL</t>
        </is>
      </c>
      <c r="E6115" t="n">
        <v>1281</v>
      </c>
    </row>
    <row r="6116">
      <c r="A6116" t="inlineStr">
        <is>
          <t>27BBBBB06116Z5</t>
        </is>
      </c>
      <c r="B6116" t="inlineStr">
        <is>
          <t>Aug-2017</t>
        </is>
      </c>
      <c r="C6116" s="2" t="n">
        <v>43136</v>
      </c>
      <c r="D6116" t="inlineStr">
        <is>
          <t>NIL</t>
        </is>
      </c>
      <c r="E6116" t="n">
        <v>608</v>
      </c>
    </row>
    <row r="6117">
      <c r="A6117" t="inlineStr">
        <is>
          <t>27BBBBB06117Z5</t>
        </is>
      </c>
      <c r="B6117" t="inlineStr">
        <is>
          <t>Mar-2023</t>
        </is>
      </c>
      <c r="C6117" s="2" t="n">
        <v>44477</v>
      </c>
      <c r="D6117" t="inlineStr">
        <is>
          <t>NON-NIL</t>
        </is>
      </c>
      <c r="E6117" t="n">
        <v>475</v>
      </c>
    </row>
    <row r="6118">
      <c r="A6118" t="inlineStr">
        <is>
          <t>27BBBBB06118Z5</t>
        </is>
      </c>
      <c r="B6118" t="inlineStr">
        <is>
          <t>Apr-2018</t>
        </is>
      </c>
      <c r="C6118" s="2" t="n">
        <v>44274</v>
      </c>
      <c r="D6118" t="inlineStr">
        <is>
          <t>NIL</t>
        </is>
      </c>
      <c r="E6118" t="n">
        <v>2755</v>
      </c>
    </row>
    <row r="6119">
      <c r="A6119" t="inlineStr">
        <is>
          <t>27BBBBB06119Z5</t>
        </is>
      </c>
      <c r="B6119" t="inlineStr">
        <is>
          <t>Jul-2020</t>
        </is>
      </c>
      <c r="C6119" s="2" t="n">
        <v>43945</v>
      </c>
      <c r="D6119" t="inlineStr">
        <is>
          <t>NIL</t>
        </is>
      </c>
      <c r="E6119" t="n">
        <v>2328</v>
      </c>
    </row>
    <row r="6120">
      <c r="A6120" t="inlineStr">
        <is>
          <t>27BBBBB06120Z5</t>
        </is>
      </c>
      <c r="B6120" t="inlineStr">
        <is>
          <t>Apr-2018</t>
        </is>
      </c>
      <c r="C6120" s="2" t="n">
        <v>42999</v>
      </c>
      <c r="D6120" t="inlineStr">
        <is>
          <t>NIL</t>
        </is>
      </c>
      <c r="E6120" t="n">
        <v>1809</v>
      </c>
    </row>
    <row r="6121">
      <c r="A6121" t="inlineStr">
        <is>
          <t>27BBBBB06121Z5</t>
        </is>
      </c>
      <c r="B6121" t="inlineStr">
        <is>
          <t>Mar-2023</t>
        </is>
      </c>
      <c r="C6121" s="2" t="n">
        <v>45443</v>
      </c>
      <c r="D6121" t="inlineStr">
        <is>
          <t>NON-NIL</t>
        </is>
      </c>
      <c r="E6121" t="n">
        <v>2555</v>
      </c>
    </row>
    <row r="6122">
      <c r="A6122" t="inlineStr">
        <is>
          <t>27BBBBB06122Z5</t>
        </is>
      </c>
      <c r="B6122" t="inlineStr">
        <is>
          <t>May-2020</t>
        </is>
      </c>
      <c r="C6122" s="2" t="n">
        <v>44030</v>
      </c>
      <c r="D6122" t="inlineStr">
        <is>
          <t>NIL</t>
        </is>
      </c>
      <c r="E6122" t="n">
        <v>2086</v>
      </c>
    </row>
    <row r="6123">
      <c r="A6123" t="inlineStr">
        <is>
          <t>27BBBBB06123Z5</t>
        </is>
      </c>
      <c r="B6123" t="inlineStr">
        <is>
          <t>Jan-2018</t>
        </is>
      </c>
      <c r="C6123" s="2" t="n">
        <v>43204</v>
      </c>
      <c r="D6123" t="inlineStr">
        <is>
          <t>NON-NIL</t>
        </is>
      </c>
      <c r="E6123" t="n">
        <v>2319</v>
      </c>
    </row>
    <row r="6124">
      <c r="A6124" t="inlineStr">
        <is>
          <t>27BBBBB06124Z5</t>
        </is>
      </c>
      <c r="B6124" t="inlineStr">
        <is>
          <t>Jun-2018</t>
        </is>
      </c>
      <c r="C6124" s="2" t="n">
        <v>43115</v>
      </c>
      <c r="D6124" t="inlineStr">
        <is>
          <t>NIL</t>
        </is>
      </c>
      <c r="E6124" t="n">
        <v>24</v>
      </c>
    </row>
    <row r="6125">
      <c r="A6125" t="inlineStr">
        <is>
          <t>27BBBBB06125Z5</t>
        </is>
      </c>
      <c r="B6125" t="inlineStr">
        <is>
          <t>Mar-2020</t>
        </is>
      </c>
      <c r="C6125" s="2" t="n">
        <v>44704</v>
      </c>
      <c r="D6125" t="inlineStr">
        <is>
          <t>NON-NIL</t>
        </is>
      </c>
      <c r="E6125" t="n">
        <v>126</v>
      </c>
    </row>
    <row r="6126">
      <c r="A6126" t="inlineStr">
        <is>
          <t>27BBBBB06126Z5</t>
        </is>
      </c>
      <c r="B6126" t="inlineStr">
        <is>
          <t>Jun-2020</t>
        </is>
      </c>
      <c r="C6126" s="2" t="n">
        <v>44193</v>
      </c>
      <c r="D6126" t="inlineStr">
        <is>
          <t>NON-NIL</t>
        </is>
      </c>
      <c r="E6126" t="n">
        <v>2551</v>
      </c>
    </row>
    <row r="6127">
      <c r="A6127" t="inlineStr">
        <is>
          <t>27BBBBB06127Z5</t>
        </is>
      </c>
      <c r="B6127" t="inlineStr">
        <is>
          <t>Sep-2017</t>
        </is>
      </c>
      <c r="C6127" s="2" t="n">
        <v>43067</v>
      </c>
      <c r="D6127" t="inlineStr">
        <is>
          <t>NON-NIL</t>
        </is>
      </c>
      <c r="E6127" t="n">
        <v>2366</v>
      </c>
    </row>
    <row r="6128">
      <c r="A6128" t="inlineStr">
        <is>
          <t>27BBBBB06128Z5</t>
        </is>
      </c>
      <c r="B6128" t="inlineStr">
        <is>
          <t>Dec-2024</t>
        </is>
      </c>
      <c r="C6128" s="2" t="n">
        <v>44380</v>
      </c>
      <c r="D6128" t="inlineStr">
        <is>
          <t>NON-NIL</t>
        </is>
      </c>
      <c r="E6128" t="n">
        <v>2955</v>
      </c>
    </row>
    <row r="6129">
      <c r="A6129" t="inlineStr">
        <is>
          <t>27BBBBB06129Z5</t>
        </is>
      </c>
      <c r="B6129" t="inlineStr">
        <is>
          <t>Sep-2018</t>
        </is>
      </c>
      <c r="C6129" s="2" t="n">
        <v>44235</v>
      </c>
      <c r="D6129" t="inlineStr">
        <is>
          <t>NON-NIL</t>
        </is>
      </c>
      <c r="E6129" t="n">
        <v>1897</v>
      </c>
    </row>
    <row r="6130">
      <c r="A6130" t="inlineStr">
        <is>
          <t>27BBBBB06130Z5</t>
        </is>
      </c>
      <c r="B6130" t="inlineStr">
        <is>
          <t>Aug-2018</t>
        </is>
      </c>
      <c r="C6130" s="2" t="n">
        <v>43209</v>
      </c>
      <c r="D6130" t="inlineStr">
        <is>
          <t>NON-NIL</t>
        </is>
      </c>
      <c r="E6130" t="n">
        <v>1117</v>
      </c>
    </row>
    <row r="6131">
      <c r="A6131" t="inlineStr">
        <is>
          <t>27BBBBB06131Z5</t>
        </is>
      </c>
      <c r="B6131" t="inlineStr">
        <is>
          <t>Jan-2021</t>
        </is>
      </c>
      <c r="C6131" s="2" t="n">
        <v>45060</v>
      </c>
      <c r="D6131" t="inlineStr">
        <is>
          <t>NON-NIL</t>
        </is>
      </c>
      <c r="E6131" t="n">
        <v>2485</v>
      </c>
    </row>
    <row r="6132">
      <c r="A6132" t="inlineStr">
        <is>
          <t>27BBBBB06132Z5</t>
        </is>
      </c>
      <c r="B6132" t="inlineStr">
        <is>
          <t>Jan-2018</t>
        </is>
      </c>
      <c r="C6132" s="2" t="n">
        <v>42921</v>
      </c>
      <c r="D6132" t="inlineStr">
        <is>
          <t>NON-NIL</t>
        </is>
      </c>
      <c r="E6132" t="n">
        <v>601</v>
      </c>
    </row>
    <row r="6133">
      <c r="A6133" t="inlineStr">
        <is>
          <t>27BBBBB06133Z5</t>
        </is>
      </c>
      <c r="B6133" t="inlineStr">
        <is>
          <t>Oct-2017</t>
        </is>
      </c>
      <c r="C6133" s="2" t="n">
        <v>44485</v>
      </c>
      <c r="D6133" t="inlineStr">
        <is>
          <t>NON-NIL</t>
        </is>
      </c>
      <c r="E6133" t="n">
        <v>2271</v>
      </c>
    </row>
    <row r="6134">
      <c r="A6134" t="inlineStr">
        <is>
          <t>27BBBBB06134Z5</t>
        </is>
      </c>
      <c r="B6134" t="inlineStr">
        <is>
          <t>Dec-2017</t>
        </is>
      </c>
      <c r="C6134" s="2" t="n">
        <v>43067</v>
      </c>
      <c r="D6134" t="inlineStr">
        <is>
          <t>NIL</t>
        </is>
      </c>
      <c r="E6134" t="n">
        <v>1981</v>
      </c>
    </row>
    <row r="6135">
      <c r="A6135" t="inlineStr">
        <is>
          <t>27BBBBB06135Z5</t>
        </is>
      </c>
      <c r="B6135" t="inlineStr">
        <is>
          <t>Apr-2020</t>
        </is>
      </c>
      <c r="C6135" s="2" t="n">
        <v>43888</v>
      </c>
      <c r="D6135" t="inlineStr">
        <is>
          <t>NIL</t>
        </is>
      </c>
      <c r="E6135" t="n">
        <v>1656</v>
      </c>
    </row>
    <row r="6136">
      <c r="A6136" t="inlineStr">
        <is>
          <t>27BBBBB06136Z5</t>
        </is>
      </c>
      <c r="B6136" t="inlineStr">
        <is>
          <t>Jan-2021</t>
        </is>
      </c>
      <c r="C6136" s="2" t="n">
        <v>45567</v>
      </c>
      <c r="D6136" t="inlineStr">
        <is>
          <t>NON-NIL</t>
        </is>
      </c>
      <c r="E6136" t="n">
        <v>1611</v>
      </c>
    </row>
    <row r="6137">
      <c r="A6137" t="inlineStr">
        <is>
          <t>27BBBBB06137Z5</t>
        </is>
      </c>
      <c r="B6137" t="inlineStr">
        <is>
          <t>Apr-2018</t>
        </is>
      </c>
      <c r="C6137" s="2" t="n">
        <v>43280</v>
      </c>
      <c r="D6137" t="inlineStr">
        <is>
          <t>NON-NIL</t>
        </is>
      </c>
      <c r="E6137" t="n">
        <v>1015</v>
      </c>
    </row>
    <row r="6138">
      <c r="A6138" t="inlineStr">
        <is>
          <t>27BBBBB06138Z5</t>
        </is>
      </c>
      <c r="B6138" t="inlineStr">
        <is>
          <t>Apr-2018</t>
        </is>
      </c>
      <c r="C6138" s="2" t="n">
        <v>43666</v>
      </c>
      <c r="D6138" t="inlineStr">
        <is>
          <t>NON-NIL</t>
        </is>
      </c>
      <c r="E6138" t="n">
        <v>1585</v>
      </c>
    </row>
    <row r="6139">
      <c r="A6139" t="inlineStr">
        <is>
          <t>27BBBBB06139Z5</t>
        </is>
      </c>
      <c r="B6139" t="inlineStr">
        <is>
          <t>Jan-2018</t>
        </is>
      </c>
      <c r="C6139" s="2" t="n">
        <v>44301</v>
      </c>
      <c r="D6139" t="inlineStr">
        <is>
          <t>NON-NIL</t>
        </is>
      </c>
      <c r="E6139" t="n">
        <v>2100</v>
      </c>
    </row>
    <row r="6140">
      <c r="A6140" t="inlineStr">
        <is>
          <t>27BBBBB06140Z5</t>
        </is>
      </c>
      <c r="B6140" t="inlineStr">
        <is>
          <t>Dec-2024</t>
        </is>
      </c>
      <c r="C6140" s="2" t="n">
        <v>45346</v>
      </c>
      <c r="D6140" t="inlineStr">
        <is>
          <t>NIL</t>
        </is>
      </c>
      <c r="E6140" t="n">
        <v>397</v>
      </c>
    </row>
    <row r="6141">
      <c r="A6141" t="inlineStr">
        <is>
          <t>27BBBBB06141Z5</t>
        </is>
      </c>
      <c r="B6141" t="inlineStr">
        <is>
          <t>Sep-2017</t>
        </is>
      </c>
      <c r="C6141" s="2" t="n">
        <v>43091</v>
      </c>
      <c r="D6141" t="inlineStr">
        <is>
          <t>NIL</t>
        </is>
      </c>
      <c r="E6141" t="n">
        <v>1498</v>
      </c>
    </row>
    <row r="6142">
      <c r="A6142" t="inlineStr">
        <is>
          <t>27BBBBB06142Z5</t>
        </is>
      </c>
      <c r="B6142" t="inlineStr">
        <is>
          <t>Apr-2018</t>
        </is>
      </c>
      <c r="C6142" s="2" t="n">
        <v>44408</v>
      </c>
      <c r="D6142" t="inlineStr">
        <is>
          <t>NIL</t>
        </is>
      </c>
      <c r="E6142" t="n">
        <v>1284</v>
      </c>
    </row>
    <row r="6143">
      <c r="A6143" t="inlineStr">
        <is>
          <t>27BBBBB06143Z5</t>
        </is>
      </c>
      <c r="B6143" t="inlineStr">
        <is>
          <t>Dec-2018</t>
        </is>
      </c>
      <c r="C6143" s="2" t="n">
        <v>43700</v>
      </c>
      <c r="D6143" t="inlineStr">
        <is>
          <t>NON-NIL</t>
        </is>
      </c>
      <c r="E6143" t="n">
        <v>1122</v>
      </c>
    </row>
    <row r="6144">
      <c r="A6144" t="inlineStr">
        <is>
          <t>27BBBBB06144Z5</t>
        </is>
      </c>
      <c r="B6144" t="inlineStr">
        <is>
          <t>May-2018</t>
        </is>
      </c>
      <c r="C6144" s="2" t="n">
        <v>43752</v>
      </c>
      <c r="D6144" t="inlineStr">
        <is>
          <t>NON-NIL</t>
        </is>
      </c>
      <c r="E6144" t="n">
        <v>1279</v>
      </c>
    </row>
    <row r="6145">
      <c r="A6145" t="inlineStr">
        <is>
          <t>27BBBBB06145Z5</t>
        </is>
      </c>
      <c r="B6145" t="inlineStr">
        <is>
          <t>Feb-2018</t>
        </is>
      </c>
      <c r="C6145" s="2" t="n">
        <v>43162</v>
      </c>
      <c r="D6145" t="inlineStr">
        <is>
          <t>NIL</t>
        </is>
      </c>
      <c r="E6145" t="n">
        <v>671</v>
      </c>
    </row>
    <row r="6146">
      <c r="A6146" t="inlineStr">
        <is>
          <t>27BBBBB06146Z5</t>
        </is>
      </c>
      <c r="B6146" t="inlineStr">
        <is>
          <t>Dec-2018</t>
        </is>
      </c>
      <c r="C6146" s="2" t="n">
        <v>43143</v>
      </c>
      <c r="D6146" t="inlineStr">
        <is>
          <t>NON-NIL</t>
        </is>
      </c>
      <c r="E6146" t="n">
        <v>1581</v>
      </c>
    </row>
    <row r="6147">
      <c r="A6147" t="inlineStr">
        <is>
          <t>27BBBBB06147Z5</t>
        </is>
      </c>
      <c r="B6147" t="inlineStr">
        <is>
          <t>Sep-2017</t>
        </is>
      </c>
      <c r="C6147" s="2" t="n">
        <v>43332</v>
      </c>
      <c r="D6147" t="inlineStr">
        <is>
          <t>NON-NIL</t>
        </is>
      </c>
      <c r="E6147" t="n">
        <v>2048</v>
      </c>
    </row>
    <row r="6148">
      <c r="A6148" t="inlineStr">
        <is>
          <t>27BBBBB06148Z5</t>
        </is>
      </c>
      <c r="B6148" t="inlineStr">
        <is>
          <t>Dec-2017</t>
        </is>
      </c>
      <c r="C6148" s="2" t="n">
        <v>43366</v>
      </c>
      <c r="D6148" t="inlineStr">
        <is>
          <t>NIL</t>
        </is>
      </c>
      <c r="E6148" t="n">
        <v>2709</v>
      </c>
    </row>
    <row r="6149">
      <c r="A6149" t="inlineStr">
        <is>
          <t>27BBBBB06149Z5</t>
        </is>
      </c>
      <c r="B6149" t="inlineStr">
        <is>
          <t>Jan-2021</t>
        </is>
      </c>
      <c r="C6149" s="2" t="n">
        <v>44061</v>
      </c>
      <c r="D6149" t="inlineStr">
        <is>
          <t>NIL</t>
        </is>
      </c>
      <c r="E6149" t="n">
        <v>2901</v>
      </c>
    </row>
    <row r="6150">
      <c r="A6150" t="inlineStr">
        <is>
          <t>27BBBBB06150Z5</t>
        </is>
      </c>
      <c r="B6150" t="inlineStr">
        <is>
          <t>Apr-2018</t>
        </is>
      </c>
      <c r="C6150" s="2" t="n">
        <v>43798</v>
      </c>
      <c r="D6150" t="inlineStr">
        <is>
          <t>NIL</t>
        </is>
      </c>
      <c r="E6150" t="n">
        <v>2119</v>
      </c>
    </row>
    <row r="6151">
      <c r="A6151" t="inlineStr">
        <is>
          <t>27BBBBB06151Z5</t>
        </is>
      </c>
      <c r="B6151" t="inlineStr">
        <is>
          <t>Apr-2018</t>
        </is>
      </c>
      <c r="C6151" s="2" t="n">
        <v>43707</v>
      </c>
      <c r="D6151" t="inlineStr">
        <is>
          <t>NON-NIL</t>
        </is>
      </c>
      <c r="E6151" t="n">
        <v>1218</v>
      </c>
    </row>
    <row r="6152">
      <c r="A6152" t="inlineStr">
        <is>
          <t>27BBBBB06152Z5</t>
        </is>
      </c>
      <c r="B6152" t="inlineStr">
        <is>
          <t>Aug-2017</t>
        </is>
      </c>
      <c r="C6152" s="2" t="n">
        <v>43879</v>
      </c>
      <c r="D6152" t="inlineStr">
        <is>
          <t>NIL</t>
        </is>
      </c>
      <c r="E6152" t="n">
        <v>1178</v>
      </c>
    </row>
    <row r="6153">
      <c r="A6153" t="inlineStr">
        <is>
          <t>27BBBBB06153Z5</t>
        </is>
      </c>
      <c r="B6153" t="inlineStr">
        <is>
          <t>Mar-2023</t>
        </is>
      </c>
      <c r="C6153" s="2" t="n">
        <v>45631</v>
      </c>
      <c r="D6153" t="inlineStr">
        <is>
          <t>NIL</t>
        </is>
      </c>
      <c r="E6153" t="n">
        <v>2931</v>
      </c>
    </row>
    <row r="6154">
      <c r="A6154" t="inlineStr">
        <is>
          <t>27BBBBB06154Z5</t>
        </is>
      </c>
      <c r="B6154" t="inlineStr">
        <is>
          <t>Oct-2017</t>
        </is>
      </c>
      <c r="C6154" s="2" t="n">
        <v>43969</v>
      </c>
      <c r="D6154" t="inlineStr">
        <is>
          <t>NON-NIL</t>
        </is>
      </c>
      <c r="E6154" t="n">
        <v>2556</v>
      </c>
    </row>
    <row r="6155">
      <c r="A6155" t="inlineStr">
        <is>
          <t>27BBBBB06155Z5</t>
        </is>
      </c>
      <c r="B6155" t="inlineStr">
        <is>
          <t>Apr-2020</t>
        </is>
      </c>
      <c r="C6155" s="2" t="n">
        <v>44820</v>
      </c>
      <c r="D6155" t="inlineStr">
        <is>
          <t>NIL</t>
        </is>
      </c>
      <c r="E6155" t="n">
        <v>1999</v>
      </c>
    </row>
    <row r="6156">
      <c r="A6156" t="inlineStr">
        <is>
          <t>27BBBBB06156Z5</t>
        </is>
      </c>
      <c r="B6156" t="inlineStr">
        <is>
          <t>Apr-2020</t>
        </is>
      </c>
      <c r="C6156" s="2" t="n">
        <v>43876</v>
      </c>
      <c r="D6156" t="inlineStr">
        <is>
          <t>NON-NIL</t>
        </is>
      </c>
      <c r="E6156" t="n">
        <v>2281</v>
      </c>
    </row>
    <row r="6157">
      <c r="A6157" t="inlineStr">
        <is>
          <t>27BBBBB06157Z5</t>
        </is>
      </c>
      <c r="B6157" t="inlineStr">
        <is>
          <t>Sep-2017</t>
        </is>
      </c>
      <c r="C6157" s="2" t="n">
        <v>43569</v>
      </c>
      <c r="D6157" t="inlineStr">
        <is>
          <t>NIL</t>
        </is>
      </c>
      <c r="E6157" t="n">
        <v>2007</v>
      </c>
    </row>
    <row r="6158">
      <c r="A6158" t="inlineStr">
        <is>
          <t>27BBBBB06158Z5</t>
        </is>
      </c>
      <c r="B6158" t="inlineStr">
        <is>
          <t>Sep-2018</t>
        </is>
      </c>
      <c r="C6158" s="2" t="n">
        <v>44343</v>
      </c>
      <c r="D6158" t="inlineStr">
        <is>
          <t>NIL</t>
        </is>
      </c>
      <c r="E6158" t="n">
        <v>296</v>
      </c>
    </row>
    <row r="6159">
      <c r="A6159" t="inlineStr">
        <is>
          <t>27BBBBB06159Z5</t>
        </is>
      </c>
      <c r="B6159" t="inlineStr">
        <is>
          <t>Jun-2018</t>
        </is>
      </c>
      <c r="C6159" s="2" t="n">
        <v>44422</v>
      </c>
      <c r="D6159" t="inlineStr">
        <is>
          <t>NIL</t>
        </is>
      </c>
      <c r="E6159" t="n">
        <v>2020</v>
      </c>
    </row>
    <row r="6160">
      <c r="A6160" t="inlineStr">
        <is>
          <t>27BBBBB06160Z5</t>
        </is>
      </c>
      <c r="B6160" t="inlineStr">
        <is>
          <t>May-2018</t>
        </is>
      </c>
      <c r="C6160" s="2" t="n">
        <v>44355</v>
      </c>
      <c r="D6160" t="inlineStr">
        <is>
          <t>NIL</t>
        </is>
      </c>
      <c r="E6160" t="n">
        <v>1907</v>
      </c>
    </row>
    <row r="6161">
      <c r="A6161" t="inlineStr">
        <is>
          <t>27BBBBB06161Z5</t>
        </is>
      </c>
      <c r="B6161" t="inlineStr">
        <is>
          <t>May-2020</t>
        </is>
      </c>
      <c r="C6161" s="2" t="n">
        <v>44249</v>
      </c>
      <c r="D6161" t="inlineStr">
        <is>
          <t>NON-NIL</t>
        </is>
      </c>
      <c r="E6161" t="n">
        <v>339</v>
      </c>
    </row>
    <row r="6162">
      <c r="A6162" t="inlineStr">
        <is>
          <t>27BBBBB06162Z5</t>
        </is>
      </c>
      <c r="B6162" t="inlineStr">
        <is>
          <t>Dec-2024</t>
        </is>
      </c>
      <c r="C6162" s="2" t="n">
        <v>44444</v>
      </c>
      <c r="D6162" t="inlineStr">
        <is>
          <t>NIL</t>
        </is>
      </c>
      <c r="E6162" t="n">
        <v>145</v>
      </c>
    </row>
    <row r="6163">
      <c r="A6163" t="inlineStr">
        <is>
          <t>27BBBBB06163Z5</t>
        </is>
      </c>
      <c r="B6163" t="inlineStr">
        <is>
          <t>Apr-2018</t>
        </is>
      </c>
      <c r="C6163" s="2" t="n">
        <v>43033</v>
      </c>
      <c r="D6163" t="inlineStr">
        <is>
          <t>NON-NIL</t>
        </is>
      </c>
      <c r="E6163" t="n">
        <v>1023</v>
      </c>
    </row>
    <row r="6164">
      <c r="A6164" t="inlineStr">
        <is>
          <t>27BBBBB06164Z5</t>
        </is>
      </c>
      <c r="B6164" t="inlineStr">
        <is>
          <t>Mar-2021</t>
        </is>
      </c>
      <c r="C6164" s="2" t="n">
        <v>44132</v>
      </c>
      <c r="D6164" t="inlineStr">
        <is>
          <t>NIL</t>
        </is>
      </c>
      <c r="E6164" t="n">
        <v>794</v>
      </c>
    </row>
    <row r="6165">
      <c r="A6165" t="inlineStr">
        <is>
          <t>27BBBBB06165Z5</t>
        </is>
      </c>
      <c r="B6165" t="inlineStr">
        <is>
          <t>Jul-2018</t>
        </is>
      </c>
      <c r="C6165" s="2" t="n">
        <v>43269</v>
      </c>
      <c r="D6165" t="inlineStr">
        <is>
          <t>NIL</t>
        </is>
      </c>
      <c r="E6165" t="n">
        <v>2630</v>
      </c>
    </row>
    <row r="6166">
      <c r="A6166" t="inlineStr">
        <is>
          <t>27BBBBB06166Z5</t>
        </is>
      </c>
      <c r="B6166" t="inlineStr">
        <is>
          <t>Mar-2023</t>
        </is>
      </c>
      <c r="C6166" s="2" t="n">
        <v>45335</v>
      </c>
      <c r="D6166" t="inlineStr">
        <is>
          <t>NIL</t>
        </is>
      </c>
      <c r="E6166" t="n">
        <v>427</v>
      </c>
    </row>
    <row r="6167">
      <c r="A6167" t="inlineStr">
        <is>
          <t>27BBBBB06167Z5</t>
        </is>
      </c>
      <c r="B6167" t="inlineStr">
        <is>
          <t>Dec-2022</t>
        </is>
      </c>
      <c r="C6167" s="2" t="n">
        <v>43802</v>
      </c>
      <c r="D6167" t="inlineStr">
        <is>
          <t>NIL</t>
        </is>
      </c>
      <c r="E6167" t="n">
        <v>107</v>
      </c>
    </row>
    <row r="6168">
      <c r="A6168" t="inlineStr">
        <is>
          <t>27BBBBB06168Z5</t>
        </is>
      </c>
      <c r="B6168" t="inlineStr">
        <is>
          <t>Oct-2018</t>
        </is>
      </c>
      <c r="C6168" s="2" t="n">
        <v>43386</v>
      </c>
      <c r="D6168" t="inlineStr">
        <is>
          <t>NON-NIL</t>
        </is>
      </c>
      <c r="E6168" t="n">
        <v>1587</v>
      </c>
    </row>
    <row r="6169">
      <c r="A6169" t="inlineStr">
        <is>
          <t>27BBBBB06169Z5</t>
        </is>
      </c>
      <c r="B6169" t="inlineStr">
        <is>
          <t>Sep-2017</t>
        </is>
      </c>
      <c r="C6169" s="2" t="n">
        <v>44551</v>
      </c>
      <c r="D6169" t="inlineStr">
        <is>
          <t>NON-NIL</t>
        </is>
      </c>
      <c r="E6169" t="n">
        <v>1874</v>
      </c>
    </row>
    <row r="6170">
      <c r="A6170" t="inlineStr">
        <is>
          <t>27BBBBB06170Z5</t>
        </is>
      </c>
      <c r="B6170" t="inlineStr">
        <is>
          <t>Oct-2017</t>
        </is>
      </c>
      <c r="C6170" s="2" t="n">
        <v>44101</v>
      </c>
      <c r="D6170" t="inlineStr">
        <is>
          <t>NON-NIL</t>
        </is>
      </c>
      <c r="E6170" t="n">
        <v>2415</v>
      </c>
    </row>
    <row r="6171">
      <c r="A6171" t="inlineStr">
        <is>
          <t>27BBBBB06171Z5</t>
        </is>
      </c>
      <c r="B6171" t="inlineStr">
        <is>
          <t>Aug-2018</t>
        </is>
      </c>
      <c r="C6171" s="2" t="n">
        <v>44528</v>
      </c>
      <c r="D6171" t="inlineStr">
        <is>
          <t>NON-NIL</t>
        </is>
      </c>
      <c r="E6171" t="n">
        <v>2147</v>
      </c>
    </row>
    <row r="6172">
      <c r="A6172" t="inlineStr">
        <is>
          <t>27BBBBB06172Z5</t>
        </is>
      </c>
      <c r="B6172" t="inlineStr">
        <is>
          <t>Sep-2017</t>
        </is>
      </c>
      <c r="C6172" s="2" t="n">
        <v>43696</v>
      </c>
      <c r="D6172" t="inlineStr">
        <is>
          <t>NIL</t>
        </is>
      </c>
      <c r="E6172" t="n">
        <v>1643</v>
      </c>
    </row>
    <row r="6173">
      <c r="A6173" t="inlineStr">
        <is>
          <t>27BBBBB06173Z5</t>
        </is>
      </c>
      <c r="B6173" t="inlineStr">
        <is>
          <t>Jul-2018</t>
        </is>
      </c>
      <c r="C6173" s="2" t="n">
        <v>43919</v>
      </c>
      <c r="D6173" t="inlineStr">
        <is>
          <t>NIL</t>
        </is>
      </c>
      <c r="E6173" t="n">
        <v>1109</v>
      </c>
    </row>
    <row r="6174">
      <c r="A6174" t="inlineStr">
        <is>
          <t>27BBBBB06174Z5</t>
        </is>
      </c>
      <c r="B6174" t="inlineStr">
        <is>
          <t>Sep-2017</t>
        </is>
      </c>
      <c r="C6174" s="2" t="n">
        <v>43804</v>
      </c>
      <c r="D6174" t="inlineStr">
        <is>
          <t>NIL</t>
        </is>
      </c>
      <c r="E6174" t="n">
        <v>1667</v>
      </c>
    </row>
    <row r="6175">
      <c r="A6175" t="inlineStr">
        <is>
          <t>27BBBBB06175Z5</t>
        </is>
      </c>
      <c r="B6175" t="inlineStr">
        <is>
          <t>Jun-2020</t>
        </is>
      </c>
      <c r="C6175" s="2" t="n">
        <v>44575</v>
      </c>
      <c r="D6175" t="inlineStr">
        <is>
          <t>NON-NIL</t>
        </is>
      </c>
      <c r="E6175" t="n">
        <v>168</v>
      </c>
    </row>
    <row r="6176">
      <c r="A6176" t="inlineStr">
        <is>
          <t>27BBBBB06176Z5</t>
        </is>
      </c>
      <c r="B6176" t="inlineStr">
        <is>
          <t>Aug-2017</t>
        </is>
      </c>
      <c r="C6176" s="2" t="n">
        <v>43828</v>
      </c>
      <c r="D6176" t="inlineStr">
        <is>
          <t>NIL</t>
        </is>
      </c>
      <c r="E6176" t="n">
        <v>661</v>
      </c>
    </row>
    <row r="6177">
      <c r="A6177" t="inlineStr">
        <is>
          <t>27BBBBB06177Z5</t>
        </is>
      </c>
      <c r="B6177" t="inlineStr">
        <is>
          <t>Oct-2017</t>
        </is>
      </c>
      <c r="C6177" s="2" t="n">
        <v>43199</v>
      </c>
      <c r="D6177" t="inlineStr">
        <is>
          <t>NON-NIL</t>
        </is>
      </c>
      <c r="E6177" t="n">
        <v>299</v>
      </c>
    </row>
    <row r="6178">
      <c r="A6178" t="inlineStr">
        <is>
          <t>27BBBBB06178Z5</t>
        </is>
      </c>
      <c r="B6178" t="inlineStr">
        <is>
          <t>Jun-2020</t>
        </is>
      </c>
      <c r="C6178" s="2" t="n">
        <v>44118</v>
      </c>
      <c r="D6178" t="inlineStr">
        <is>
          <t>NIL</t>
        </is>
      </c>
      <c r="E6178" t="n">
        <v>1451</v>
      </c>
    </row>
    <row r="6179">
      <c r="A6179" t="inlineStr">
        <is>
          <t>27BBBBB06179Z5</t>
        </is>
      </c>
      <c r="B6179" t="inlineStr">
        <is>
          <t>Oct-2017</t>
        </is>
      </c>
      <c r="C6179" s="2" t="n">
        <v>44500</v>
      </c>
      <c r="D6179" t="inlineStr">
        <is>
          <t>NON-NIL</t>
        </is>
      </c>
      <c r="E6179" t="n">
        <v>2665</v>
      </c>
    </row>
    <row r="6180">
      <c r="A6180" t="inlineStr">
        <is>
          <t>27BBBBB06180Z5</t>
        </is>
      </c>
      <c r="B6180" t="inlineStr">
        <is>
          <t>Jul-2017</t>
        </is>
      </c>
      <c r="C6180" s="2" t="n">
        <v>44159</v>
      </c>
      <c r="D6180" t="inlineStr">
        <is>
          <t>NON-NIL</t>
        </is>
      </c>
      <c r="E6180" t="n">
        <v>629</v>
      </c>
    </row>
    <row r="6181">
      <c r="A6181" t="inlineStr">
        <is>
          <t>27BBBBB06181Z5</t>
        </is>
      </c>
      <c r="B6181" t="inlineStr">
        <is>
          <t>Sep-2018</t>
        </is>
      </c>
      <c r="C6181" s="2" t="n">
        <v>43365</v>
      </c>
      <c r="D6181" t="inlineStr">
        <is>
          <t>NIL</t>
        </is>
      </c>
      <c r="E6181" t="n">
        <v>1756</v>
      </c>
    </row>
    <row r="6182">
      <c r="A6182" t="inlineStr">
        <is>
          <t>27BBBBB06182Z5</t>
        </is>
      </c>
      <c r="B6182" t="inlineStr">
        <is>
          <t>Oct-2018</t>
        </is>
      </c>
      <c r="C6182" s="2" t="n">
        <v>43333</v>
      </c>
      <c r="D6182" t="inlineStr">
        <is>
          <t>NON-NIL</t>
        </is>
      </c>
      <c r="E6182" t="n">
        <v>2324</v>
      </c>
    </row>
    <row r="6183">
      <c r="A6183" t="inlineStr">
        <is>
          <t>27BBBBB06183Z5</t>
        </is>
      </c>
      <c r="B6183" t="inlineStr">
        <is>
          <t>Apr-2020</t>
        </is>
      </c>
      <c r="C6183" s="2" t="n">
        <v>44137</v>
      </c>
      <c r="D6183" t="inlineStr">
        <is>
          <t>NON-NIL</t>
        </is>
      </c>
      <c r="E6183" t="n">
        <v>591</v>
      </c>
    </row>
    <row r="6184">
      <c r="A6184" t="inlineStr">
        <is>
          <t>27BBBBB06184Z5</t>
        </is>
      </c>
      <c r="B6184" t="inlineStr">
        <is>
          <t>Aug-2018</t>
        </is>
      </c>
      <c r="C6184" s="2" t="n">
        <v>43916</v>
      </c>
      <c r="D6184" t="inlineStr">
        <is>
          <t>NON-NIL</t>
        </is>
      </c>
      <c r="E6184" t="n">
        <v>377</v>
      </c>
    </row>
    <row r="6185">
      <c r="A6185" t="inlineStr">
        <is>
          <t>27BBBBB06185Z5</t>
        </is>
      </c>
      <c r="B6185" t="inlineStr">
        <is>
          <t>Mar-2023</t>
        </is>
      </c>
      <c r="C6185" s="2" t="n">
        <v>45298</v>
      </c>
      <c r="D6185" t="inlineStr">
        <is>
          <t>NON-NIL</t>
        </is>
      </c>
      <c r="E6185" t="n">
        <v>38</v>
      </c>
    </row>
    <row r="6186">
      <c r="A6186" t="inlineStr">
        <is>
          <t>27BBBBB06186Z5</t>
        </is>
      </c>
      <c r="B6186" t="inlineStr">
        <is>
          <t>May-2018</t>
        </is>
      </c>
      <c r="C6186" s="2" t="n">
        <v>43531</v>
      </c>
      <c r="D6186" t="inlineStr">
        <is>
          <t>NON-NIL</t>
        </is>
      </c>
      <c r="E6186" t="n">
        <v>2663</v>
      </c>
    </row>
    <row r="6187">
      <c r="A6187" t="inlineStr">
        <is>
          <t>27BBBBB06187Z5</t>
        </is>
      </c>
      <c r="B6187" t="inlineStr">
        <is>
          <t>Oct-2017</t>
        </is>
      </c>
      <c r="C6187" s="2" t="n">
        <v>43179</v>
      </c>
      <c r="D6187" t="inlineStr">
        <is>
          <t>NIL</t>
        </is>
      </c>
      <c r="E6187" t="n">
        <v>1670</v>
      </c>
    </row>
    <row r="6188">
      <c r="A6188" t="inlineStr">
        <is>
          <t>27BBBBB06188Z5</t>
        </is>
      </c>
      <c r="B6188" t="inlineStr">
        <is>
          <t>Oct-2017</t>
        </is>
      </c>
      <c r="C6188" s="2" t="n">
        <v>43176</v>
      </c>
      <c r="D6188" t="inlineStr">
        <is>
          <t>NON-NIL</t>
        </is>
      </c>
      <c r="E6188" t="n">
        <v>2098</v>
      </c>
    </row>
    <row r="6189">
      <c r="A6189" t="inlineStr">
        <is>
          <t>27BBBBB06189Z5</t>
        </is>
      </c>
      <c r="B6189" t="inlineStr">
        <is>
          <t>Mar-2023</t>
        </is>
      </c>
      <c r="C6189" s="2" t="n">
        <v>45416</v>
      </c>
      <c r="D6189" t="inlineStr">
        <is>
          <t>NIL</t>
        </is>
      </c>
      <c r="E6189" t="n">
        <v>1924</v>
      </c>
    </row>
    <row r="6190">
      <c r="A6190" t="inlineStr">
        <is>
          <t>27BBBBB06190Z5</t>
        </is>
      </c>
      <c r="B6190" t="inlineStr">
        <is>
          <t>Jul-2017</t>
        </is>
      </c>
      <c r="C6190" s="2" t="n">
        <v>43134</v>
      </c>
      <c r="D6190" t="inlineStr">
        <is>
          <t>NON-NIL</t>
        </is>
      </c>
      <c r="E6190" t="n">
        <v>1090</v>
      </c>
    </row>
    <row r="6191">
      <c r="A6191" t="inlineStr">
        <is>
          <t>27BBBBB06191Z5</t>
        </is>
      </c>
      <c r="B6191" t="inlineStr">
        <is>
          <t>Apr-2020</t>
        </is>
      </c>
      <c r="C6191" s="2" t="n">
        <v>44859</v>
      </c>
      <c r="D6191" t="inlineStr">
        <is>
          <t>NON-NIL</t>
        </is>
      </c>
      <c r="E6191" t="n">
        <v>1982</v>
      </c>
    </row>
    <row r="6192">
      <c r="A6192" t="inlineStr">
        <is>
          <t>27BBBBB06192Z5</t>
        </is>
      </c>
      <c r="B6192" t="inlineStr">
        <is>
          <t>Oct-2017</t>
        </is>
      </c>
      <c r="C6192" s="2" t="n">
        <v>44352</v>
      </c>
      <c r="D6192" t="inlineStr">
        <is>
          <t>NON-NIL</t>
        </is>
      </c>
      <c r="E6192" t="n">
        <v>2155</v>
      </c>
    </row>
    <row r="6193">
      <c r="A6193" t="inlineStr">
        <is>
          <t>27BBBBB06193Z5</t>
        </is>
      </c>
      <c r="B6193" t="inlineStr">
        <is>
          <t>May-2020</t>
        </is>
      </c>
      <c r="C6193" s="2" t="n">
        <v>44088</v>
      </c>
      <c r="D6193" t="inlineStr">
        <is>
          <t>NON-NIL</t>
        </is>
      </c>
      <c r="E6193" t="n">
        <v>2272</v>
      </c>
    </row>
    <row r="6194">
      <c r="A6194" t="inlineStr">
        <is>
          <t>27BBBBB06194Z5</t>
        </is>
      </c>
      <c r="B6194" t="inlineStr">
        <is>
          <t>Dec-2022</t>
        </is>
      </c>
      <c r="C6194" s="2" t="n">
        <v>43867</v>
      </c>
      <c r="D6194" t="inlineStr">
        <is>
          <t>NIL</t>
        </is>
      </c>
      <c r="E6194" t="n">
        <v>2815</v>
      </c>
    </row>
    <row r="6195">
      <c r="A6195" t="inlineStr">
        <is>
          <t>27BBBBB06195Z5</t>
        </is>
      </c>
      <c r="B6195" t="inlineStr">
        <is>
          <t>Jun-2018</t>
        </is>
      </c>
      <c r="C6195" s="2" t="n">
        <v>44137</v>
      </c>
      <c r="D6195" t="inlineStr">
        <is>
          <t>NIL</t>
        </is>
      </c>
      <c r="E6195" t="n">
        <v>880</v>
      </c>
    </row>
    <row r="6196">
      <c r="A6196" t="inlineStr">
        <is>
          <t>27BBBBB06196Z5</t>
        </is>
      </c>
      <c r="B6196" t="inlineStr">
        <is>
          <t>Jul-2020</t>
        </is>
      </c>
      <c r="C6196" s="2" t="n">
        <v>43988</v>
      </c>
      <c r="D6196" t="inlineStr">
        <is>
          <t>NON-NIL</t>
        </is>
      </c>
      <c r="E6196" t="n">
        <v>2966</v>
      </c>
    </row>
    <row r="6197">
      <c r="A6197" t="inlineStr">
        <is>
          <t>27BBBBB06197Z5</t>
        </is>
      </c>
      <c r="B6197" t="inlineStr">
        <is>
          <t>Jun-2020</t>
        </is>
      </c>
      <c r="C6197" s="2" t="n">
        <v>44269</v>
      </c>
      <c r="D6197" t="inlineStr">
        <is>
          <t>NON-NIL</t>
        </is>
      </c>
      <c r="E6197" t="n">
        <v>2054</v>
      </c>
    </row>
    <row r="6198">
      <c r="A6198" t="inlineStr">
        <is>
          <t>27BBBBB06198Z5</t>
        </is>
      </c>
      <c r="B6198" t="inlineStr">
        <is>
          <t>Aug-2018</t>
        </is>
      </c>
      <c r="C6198" s="2" t="n">
        <v>43461</v>
      </c>
      <c r="D6198" t="inlineStr">
        <is>
          <t>NIL</t>
        </is>
      </c>
      <c r="E6198" t="n">
        <v>481</v>
      </c>
    </row>
    <row r="6199">
      <c r="A6199" t="inlineStr">
        <is>
          <t>27BBBBB06199Z5</t>
        </is>
      </c>
      <c r="B6199" t="inlineStr">
        <is>
          <t>May-2018</t>
        </is>
      </c>
      <c r="C6199" s="2" t="n">
        <v>43055</v>
      </c>
      <c r="D6199" t="inlineStr">
        <is>
          <t>NIL</t>
        </is>
      </c>
      <c r="E6199" t="n">
        <v>2984</v>
      </c>
    </row>
    <row r="6200">
      <c r="A6200" t="inlineStr">
        <is>
          <t>27BBBBB06200Z5</t>
        </is>
      </c>
      <c r="B6200" t="inlineStr">
        <is>
          <t>Nov-2017</t>
        </is>
      </c>
      <c r="C6200" s="2" t="n">
        <v>44365</v>
      </c>
      <c r="D6200" t="inlineStr">
        <is>
          <t>NON-NIL</t>
        </is>
      </c>
      <c r="E6200" t="n">
        <v>272</v>
      </c>
    </row>
    <row r="6201">
      <c r="A6201" t="inlineStr">
        <is>
          <t>27BBBBB06201Z5</t>
        </is>
      </c>
      <c r="B6201" t="inlineStr">
        <is>
          <t>Jul-2017</t>
        </is>
      </c>
      <c r="C6201" s="2" t="n">
        <v>44120</v>
      </c>
      <c r="D6201" t="inlineStr">
        <is>
          <t>NIL</t>
        </is>
      </c>
      <c r="E6201" t="n">
        <v>2964</v>
      </c>
    </row>
    <row r="6202">
      <c r="A6202" t="inlineStr">
        <is>
          <t>27BBBBB06202Z5</t>
        </is>
      </c>
      <c r="B6202" t="inlineStr">
        <is>
          <t>Nov-2017</t>
        </is>
      </c>
      <c r="C6202" s="2" t="n">
        <v>43997</v>
      </c>
      <c r="D6202" t="inlineStr">
        <is>
          <t>NIL</t>
        </is>
      </c>
      <c r="E6202" t="n">
        <v>1962</v>
      </c>
    </row>
    <row r="6203">
      <c r="A6203" t="inlineStr">
        <is>
          <t>27BBBBB06203Z5</t>
        </is>
      </c>
      <c r="B6203" t="inlineStr">
        <is>
          <t>Oct-2018</t>
        </is>
      </c>
      <c r="C6203" s="2" t="n">
        <v>43562</v>
      </c>
      <c r="D6203" t="inlineStr">
        <is>
          <t>NON-NIL</t>
        </is>
      </c>
      <c r="E6203" t="n">
        <v>2696</v>
      </c>
    </row>
    <row r="6204">
      <c r="A6204" t="inlineStr">
        <is>
          <t>27BBBBB06204Z5</t>
        </is>
      </c>
      <c r="B6204" t="inlineStr">
        <is>
          <t>Jun-2018</t>
        </is>
      </c>
      <c r="C6204" s="2" t="n">
        <v>43308</v>
      </c>
      <c r="D6204" t="inlineStr">
        <is>
          <t>NIL</t>
        </is>
      </c>
      <c r="E6204" t="n">
        <v>2010</v>
      </c>
    </row>
    <row r="6205">
      <c r="A6205" t="inlineStr">
        <is>
          <t>27BBBBB06205Z5</t>
        </is>
      </c>
      <c r="B6205" t="inlineStr">
        <is>
          <t>Aug-2018</t>
        </is>
      </c>
      <c r="C6205" s="2" t="n">
        <v>44382</v>
      </c>
      <c r="D6205" t="inlineStr">
        <is>
          <t>NON-NIL</t>
        </is>
      </c>
      <c r="E6205" t="n">
        <v>935</v>
      </c>
    </row>
    <row r="6206">
      <c r="A6206" t="inlineStr">
        <is>
          <t>27BBBBB06206Z5</t>
        </is>
      </c>
      <c r="B6206" t="inlineStr">
        <is>
          <t>Dec-2022</t>
        </is>
      </c>
      <c r="C6206" s="2" t="n">
        <v>44108</v>
      </c>
      <c r="D6206" t="inlineStr">
        <is>
          <t>NON-NIL</t>
        </is>
      </c>
      <c r="E6206" t="n">
        <v>1257</v>
      </c>
    </row>
    <row r="6207">
      <c r="A6207" t="inlineStr">
        <is>
          <t>27BBBBB06207Z5</t>
        </is>
      </c>
      <c r="B6207" t="inlineStr">
        <is>
          <t>Dec-2017</t>
        </is>
      </c>
      <c r="C6207" s="2" t="n">
        <v>43809</v>
      </c>
      <c r="D6207" t="inlineStr">
        <is>
          <t>NON-NIL</t>
        </is>
      </c>
      <c r="E6207" t="n">
        <v>1843</v>
      </c>
    </row>
    <row r="6208">
      <c r="A6208" t="inlineStr">
        <is>
          <t>27BBBBB06208Z5</t>
        </is>
      </c>
      <c r="B6208" t="inlineStr">
        <is>
          <t>Sep-2018</t>
        </is>
      </c>
      <c r="C6208" s="2" t="n">
        <v>43350</v>
      </c>
      <c r="D6208" t="inlineStr">
        <is>
          <t>NIL</t>
        </is>
      </c>
      <c r="E6208" t="n">
        <v>356</v>
      </c>
    </row>
    <row r="6209">
      <c r="A6209" t="inlineStr">
        <is>
          <t>27BBBBB06209Z5</t>
        </is>
      </c>
      <c r="B6209" t="inlineStr">
        <is>
          <t>Mar-2018</t>
        </is>
      </c>
      <c r="C6209" s="2" t="n">
        <v>43189</v>
      </c>
      <c r="D6209" t="inlineStr">
        <is>
          <t>NIL</t>
        </is>
      </c>
      <c r="E6209" t="n">
        <v>1393</v>
      </c>
    </row>
    <row r="6210">
      <c r="A6210" t="inlineStr">
        <is>
          <t>27BBBBB06210Z5</t>
        </is>
      </c>
      <c r="B6210" t="inlineStr">
        <is>
          <t>Jun-2020</t>
        </is>
      </c>
      <c r="C6210" s="2" t="n">
        <v>44111</v>
      </c>
      <c r="D6210" t="inlineStr">
        <is>
          <t>NON-NIL</t>
        </is>
      </c>
      <c r="E6210" t="n">
        <v>2765</v>
      </c>
    </row>
    <row r="6211">
      <c r="A6211" t="inlineStr">
        <is>
          <t>27BBBBB06211Z5</t>
        </is>
      </c>
      <c r="B6211" t="inlineStr">
        <is>
          <t>Apr-2020</t>
        </is>
      </c>
      <c r="C6211" s="2" t="n">
        <v>44379</v>
      </c>
      <c r="D6211" t="inlineStr">
        <is>
          <t>NIL</t>
        </is>
      </c>
      <c r="E6211" t="n">
        <v>1157</v>
      </c>
    </row>
    <row r="6212">
      <c r="A6212" t="inlineStr">
        <is>
          <t>27BBBBB06212Z5</t>
        </is>
      </c>
      <c r="B6212" t="inlineStr">
        <is>
          <t>Aug-2017</t>
        </is>
      </c>
      <c r="C6212" s="2" t="n">
        <v>43854</v>
      </c>
      <c r="D6212" t="inlineStr">
        <is>
          <t>NIL</t>
        </is>
      </c>
      <c r="E6212" t="n">
        <v>2867</v>
      </c>
    </row>
    <row r="6213">
      <c r="A6213" t="inlineStr">
        <is>
          <t>27BBBBB06213Z5</t>
        </is>
      </c>
      <c r="B6213" t="inlineStr">
        <is>
          <t>Jan-2021</t>
        </is>
      </c>
      <c r="C6213" s="2" t="n">
        <v>45129</v>
      </c>
      <c r="D6213" t="inlineStr">
        <is>
          <t>NIL</t>
        </is>
      </c>
      <c r="E6213" t="n">
        <v>2973</v>
      </c>
    </row>
    <row r="6214">
      <c r="A6214" t="inlineStr">
        <is>
          <t>27BBBBB06214Z5</t>
        </is>
      </c>
      <c r="B6214" t="inlineStr">
        <is>
          <t>Oct-2018</t>
        </is>
      </c>
      <c r="C6214" s="2" t="n">
        <v>43737</v>
      </c>
      <c r="D6214" t="inlineStr">
        <is>
          <t>NON-NIL</t>
        </is>
      </c>
      <c r="E6214" t="n">
        <v>1062</v>
      </c>
    </row>
    <row r="6215">
      <c r="A6215" t="inlineStr">
        <is>
          <t>27BBBBB06215Z5</t>
        </is>
      </c>
      <c r="B6215" t="inlineStr">
        <is>
          <t>Oct-2018</t>
        </is>
      </c>
      <c r="C6215" s="2" t="n">
        <v>43999</v>
      </c>
      <c r="D6215" t="inlineStr">
        <is>
          <t>NON-NIL</t>
        </is>
      </c>
      <c r="E6215" t="n">
        <v>2137</v>
      </c>
    </row>
    <row r="6216">
      <c r="A6216" t="inlineStr">
        <is>
          <t>27BBBBB06216Z5</t>
        </is>
      </c>
      <c r="B6216" t="inlineStr">
        <is>
          <t>Aug-2018</t>
        </is>
      </c>
      <c r="C6216" s="2" t="n">
        <v>42974</v>
      </c>
      <c r="D6216" t="inlineStr">
        <is>
          <t>NON-NIL</t>
        </is>
      </c>
      <c r="E6216" t="n">
        <v>1572</v>
      </c>
    </row>
    <row r="6217">
      <c r="A6217" t="inlineStr">
        <is>
          <t>27BBBBB06217Z5</t>
        </is>
      </c>
      <c r="B6217" t="inlineStr">
        <is>
          <t>Mar-2018</t>
        </is>
      </c>
      <c r="C6217" s="2" t="n">
        <v>43158</v>
      </c>
      <c r="D6217" t="inlineStr">
        <is>
          <t>NIL</t>
        </is>
      </c>
      <c r="E6217" t="n">
        <v>326</v>
      </c>
    </row>
    <row r="6218">
      <c r="A6218" t="inlineStr">
        <is>
          <t>27BBBBB06218Z5</t>
        </is>
      </c>
      <c r="B6218" t="inlineStr">
        <is>
          <t>Jul-2020</t>
        </is>
      </c>
      <c r="C6218" s="2" t="n">
        <v>43878</v>
      </c>
      <c r="D6218" t="inlineStr">
        <is>
          <t>NON-NIL</t>
        </is>
      </c>
      <c r="E6218" t="n">
        <v>1645</v>
      </c>
    </row>
    <row r="6219">
      <c r="A6219" t="inlineStr">
        <is>
          <t>27BBBBB06219Z5</t>
        </is>
      </c>
      <c r="B6219" t="inlineStr">
        <is>
          <t>Jul-2018</t>
        </is>
      </c>
      <c r="C6219" s="2" t="n">
        <v>44511</v>
      </c>
      <c r="D6219" t="inlineStr">
        <is>
          <t>NIL</t>
        </is>
      </c>
      <c r="E6219" t="n">
        <v>2966</v>
      </c>
    </row>
    <row r="6220">
      <c r="A6220" t="inlineStr">
        <is>
          <t>27BBBBB06220Z5</t>
        </is>
      </c>
      <c r="B6220" t="inlineStr">
        <is>
          <t>Nov-2017</t>
        </is>
      </c>
      <c r="C6220" s="2" t="n">
        <v>44172</v>
      </c>
      <c r="D6220" t="inlineStr">
        <is>
          <t>NON-NIL</t>
        </is>
      </c>
      <c r="E6220" t="n">
        <v>587</v>
      </c>
    </row>
    <row r="6221">
      <c r="A6221" t="inlineStr">
        <is>
          <t>27BBBBB06221Z5</t>
        </is>
      </c>
      <c r="B6221" t="inlineStr">
        <is>
          <t>Apr-2020</t>
        </is>
      </c>
      <c r="C6221" s="2" t="n">
        <v>44452</v>
      </c>
      <c r="D6221" t="inlineStr">
        <is>
          <t>NON-NIL</t>
        </is>
      </c>
      <c r="E6221" t="n">
        <v>481</v>
      </c>
    </row>
    <row r="6222">
      <c r="A6222" t="inlineStr">
        <is>
          <t>27BBBBB06222Z5</t>
        </is>
      </c>
      <c r="B6222" t="inlineStr">
        <is>
          <t>Jan-2018</t>
        </is>
      </c>
      <c r="C6222" s="2" t="n">
        <v>44406</v>
      </c>
      <c r="D6222" t="inlineStr">
        <is>
          <t>NON-NIL</t>
        </is>
      </c>
      <c r="E6222" t="n">
        <v>1682</v>
      </c>
    </row>
    <row r="6223">
      <c r="A6223" t="inlineStr">
        <is>
          <t>27BBBBB06223Z5</t>
        </is>
      </c>
      <c r="B6223" t="inlineStr">
        <is>
          <t>Jul-2017</t>
        </is>
      </c>
      <c r="C6223" s="2" t="n">
        <v>44147</v>
      </c>
      <c r="D6223" t="inlineStr">
        <is>
          <t>NIL</t>
        </is>
      </c>
      <c r="E6223" t="n">
        <v>311</v>
      </c>
    </row>
    <row r="6224">
      <c r="A6224" t="inlineStr">
        <is>
          <t>27BBBBB06224Z5</t>
        </is>
      </c>
      <c r="B6224" t="inlineStr">
        <is>
          <t>Jun-2020</t>
        </is>
      </c>
      <c r="C6224" s="2" t="n">
        <v>44364</v>
      </c>
      <c r="D6224" t="inlineStr">
        <is>
          <t>NIL</t>
        </is>
      </c>
      <c r="E6224" t="n">
        <v>1647</v>
      </c>
    </row>
    <row r="6225">
      <c r="A6225" t="inlineStr">
        <is>
          <t>27BBBBB06225Z5</t>
        </is>
      </c>
      <c r="B6225" t="inlineStr">
        <is>
          <t>Dec-2018</t>
        </is>
      </c>
      <c r="C6225" s="2" t="n">
        <v>43063</v>
      </c>
      <c r="D6225" t="inlineStr">
        <is>
          <t>NIL</t>
        </is>
      </c>
      <c r="E6225" t="n">
        <v>1757</v>
      </c>
    </row>
    <row r="6226">
      <c r="A6226" t="inlineStr">
        <is>
          <t>27BBBBB06226Z5</t>
        </is>
      </c>
      <c r="B6226" t="inlineStr">
        <is>
          <t>May-2020</t>
        </is>
      </c>
      <c r="C6226" s="2" t="n">
        <v>44524</v>
      </c>
      <c r="D6226" t="inlineStr">
        <is>
          <t>NON-NIL</t>
        </is>
      </c>
      <c r="E6226" t="n">
        <v>2812</v>
      </c>
    </row>
    <row r="6227">
      <c r="A6227" t="inlineStr">
        <is>
          <t>27BBBBB06227Z5</t>
        </is>
      </c>
      <c r="B6227" t="inlineStr">
        <is>
          <t>Jul-2017</t>
        </is>
      </c>
      <c r="C6227" s="2" t="n">
        <v>43334</v>
      </c>
      <c r="D6227" t="inlineStr">
        <is>
          <t>NON-NIL</t>
        </is>
      </c>
      <c r="E6227" t="n">
        <v>890</v>
      </c>
    </row>
    <row r="6228">
      <c r="A6228" t="inlineStr">
        <is>
          <t>27BBBBB06228Z5</t>
        </is>
      </c>
      <c r="B6228" t="inlineStr">
        <is>
          <t>Jun-2020</t>
        </is>
      </c>
      <c r="C6228" s="2" t="n">
        <v>44132</v>
      </c>
      <c r="D6228" t="inlineStr">
        <is>
          <t>NON-NIL</t>
        </is>
      </c>
      <c r="E6228" t="n">
        <v>702</v>
      </c>
    </row>
    <row r="6229">
      <c r="A6229" t="inlineStr">
        <is>
          <t>27BBBBB06229Z5</t>
        </is>
      </c>
      <c r="B6229" t="inlineStr">
        <is>
          <t>Feb-2018</t>
        </is>
      </c>
      <c r="C6229" s="2" t="n">
        <v>43889</v>
      </c>
      <c r="D6229" t="inlineStr">
        <is>
          <t>NON-NIL</t>
        </is>
      </c>
      <c r="E6229" t="n">
        <v>88</v>
      </c>
    </row>
    <row r="6230">
      <c r="A6230" t="inlineStr">
        <is>
          <t>27BBBBB06230Z5</t>
        </is>
      </c>
      <c r="B6230" t="inlineStr">
        <is>
          <t>May-2018</t>
        </is>
      </c>
      <c r="C6230" s="2" t="n">
        <v>44428</v>
      </c>
      <c r="D6230" t="inlineStr">
        <is>
          <t>NON-NIL</t>
        </is>
      </c>
      <c r="E6230" t="n">
        <v>858</v>
      </c>
    </row>
    <row r="6231">
      <c r="A6231" t="inlineStr">
        <is>
          <t>27BBBBB06231Z5</t>
        </is>
      </c>
      <c r="B6231" t="inlineStr">
        <is>
          <t>Nov-2017</t>
        </is>
      </c>
      <c r="C6231" s="2" t="n">
        <v>43295</v>
      </c>
      <c r="D6231" t="inlineStr">
        <is>
          <t>NON-NIL</t>
        </is>
      </c>
      <c r="E6231" t="n">
        <v>41</v>
      </c>
    </row>
    <row r="6232">
      <c r="A6232" t="inlineStr">
        <is>
          <t>27BBBBB06232Z5</t>
        </is>
      </c>
      <c r="B6232" t="inlineStr">
        <is>
          <t>Dec-2017</t>
        </is>
      </c>
      <c r="C6232" s="2" t="n">
        <v>43903</v>
      </c>
      <c r="D6232" t="inlineStr">
        <is>
          <t>NON-NIL</t>
        </is>
      </c>
      <c r="E6232" t="n">
        <v>1593</v>
      </c>
    </row>
    <row r="6233">
      <c r="A6233" t="inlineStr">
        <is>
          <t>27BBBBB06233Z5</t>
        </is>
      </c>
      <c r="B6233" t="inlineStr">
        <is>
          <t>Jul-2020</t>
        </is>
      </c>
      <c r="C6233" s="2" t="n">
        <v>44204</v>
      </c>
      <c r="D6233" t="inlineStr">
        <is>
          <t>NON-NIL</t>
        </is>
      </c>
      <c r="E6233" t="n">
        <v>227</v>
      </c>
    </row>
    <row r="6234">
      <c r="A6234" t="inlineStr">
        <is>
          <t>27BBBBB06234Z5</t>
        </is>
      </c>
      <c r="B6234" t="inlineStr">
        <is>
          <t>Jul-2018</t>
        </is>
      </c>
      <c r="C6234" s="2" t="n">
        <v>44326</v>
      </c>
      <c r="D6234" t="inlineStr">
        <is>
          <t>NIL</t>
        </is>
      </c>
      <c r="E6234" t="n">
        <v>1851</v>
      </c>
    </row>
    <row r="6235">
      <c r="A6235" t="inlineStr">
        <is>
          <t>27BBBBB06235Z5</t>
        </is>
      </c>
      <c r="B6235" t="inlineStr">
        <is>
          <t>Mar-2023</t>
        </is>
      </c>
      <c r="C6235" s="2" t="n">
        <v>44841</v>
      </c>
      <c r="D6235" t="inlineStr">
        <is>
          <t>NON-NIL</t>
        </is>
      </c>
      <c r="E6235" t="n">
        <v>2936</v>
      </c>
    </row>
    <row r="6236">
      <c r="A6236" t="inlineStr">
        <is>
          <t>27BBBBB06236Z5</t>
        </is>
      </c>
      <c r="B6236" t="inlineStr">
        <is>
          <t>Jun-2018</t>
        </is>
      </c>
      <c r="C6236" s="2" t="n">
        <v>43992</v>
      </c>
      <c r="D6236" t="inlineStr">
        <is>
          <t>NON-NIL</t>
        </is>
      </c>
      <c r="E6236" t="n">
        <v>2856</v>
      </c>
    </row>
    <row r="6237">
      <c r="A6237" t="inlineStr">
        <is>
          <t>27BBBBB06237Z5</t>
        </is>
      </c>
      <c r="B6237" t="inlineStr">
        <is>
          <t>Aug-2017</t>
        </is>
      </c>
      <c r="C6237" s="2" t="n">
        <v>44549</v>
      </c>
      <c r="D6237" t="inlineStr">
        <is>
          <t>NIL</t>
        </is>
      </c>
      <c r="E6237" t="n">
        <v>875</v>
      </c>
    </row>
    <row r="6238">
      <c r="A6238" t="inlineStr">
        <is>
          <t>27BBBBB06238Z5</t>
        </is>
      </c>
      <c r="B6238" t="inlineStr">
        <is>
          <t>Mar-2021</t>
        </is>
      </c>
      <c r="C6238" s="2" t="n">
        <v>43540</v>
      </c>
      <c r="D6238" t="inlineStr">
        <is>
          <t>NON-NIL</t>
        </is>
      </c>
      <c r="E6238" t="n">
        <v>2614</v>
      </c>
    </row>
    <row r="6239">
      <c r="A6239" t="inlineStr">
        <is>
          <t>27BBBBB06239Z5</t>
        </is>
      </c>
      <c r="B6239" t="inlineStr">
        <is>
          <t>Dec-2022</t>
        </is>
      </c>
      <c r="C6239" s="2" t="n">
        <v>43732</v>
      </c>
      <c r="D6239" t="inlineStr">
        <is>
          <t>NIL</t>
        </is>
      </c>
      <c r="E6239" t="n">
        <v>1344</v>
      </c>
    </row>
    <row r="6240">
      <c r="A6240" t="inlineStr">
        <is>
          <t>27BBBBB06240Z5</t>
        </is>
      </c>
      <c r="B6240" t="inlineStr">
        <is>
          <t>Jul-2018</t>
        </is>
      </c>
      <c r="C6240" s="2" t="n">
        <v>43543</v>
      </c>
      <c r="D6240" t="inlineStr">
        <is>
          <t>NIL</t>
        </is>
      </c>
      <c r="E6240" t="n">
        <v>91</v>
      </c>
    </row>
    <row r="6241">
      <c r="A6241" t="inlineStr">
        <is>
          <t>27BBBBB06241Z5</t>
        </is>
      </c>
      <c r="B6241" t="inlineStr">
        <is>
          <t>Aug-2018</t>
        </is>
      </c>
      <c r="C6241" s="2" t="n">
        <v>43838</v>
      </c>
      <c r="D6241" t="inlineStr">
        <is>
          <t>NON-NIL</t>
        </is>
      </c>
      <c r="E6241" t="n">
        <v>434</v>
      </c>
    </row>
    <row r="6242">
      <c r="A6242" t="inlineStr">
        <is>
          <t>27BBBBB06242Z5</t>
        </is>
      </c>
      <c r="B6242" t="inlineStr">
        <is>
          <t>Jun-2018</t>
        </is>
      </c>
      <c r="C6242" s="2" t="n">
        <v>43991</v>
      </c>
      <c r="D6242" t="inlineStr">
        <is>
          <t>NON-NIL</t>
        </is>
      </c>
      <c r="E6242" t="n">
        <v>2028</v>
      </c>
    </row>
    <row r="6243">
      <c r="A6243" t="inlineStr">
        <is>
          <t>27BBBBB06243Z5</t>
        </is>
      </c>
      <c r="B6243" t="inlineStr">
        <is>
          <t>Apr-2020</t>
        </is>
      </c>
      <c r="C6243" s="2" t="n">
        <v>44482</v>
      </c>
      <c r="D6243" t="inlineStr">
        <is>
          <t>NIL</t>
        </is>
      </c>
      <c r="E6243" t="n">
        <v>1175</v>
      </c>
    </row>
    <row r="6244">
      <c r="A6244" t="inlineStr">
        <is>
          <t>27BBBBB06244Z5</t>
        </is>
      </c>
      <c r="B6244" t="inlineStr">
        <is>
          <t>Jan-2021</t>
        </is>
      </c>
      <c r="C6244" s="2" t="n">
        <v>43558</v>
      </c>
      <c r="D6244" t="inlineStr">
        <is>
          <t>NON-NIL</t>
        </is>
      </c>
      <c r="E6244" t="n">
        <v>2874</v>
      </c>
    </row>
    <row r="6245">
      <c r="A6245" t="inlineStr">
        <is>
          <t>27BBBBB06245Z5</t>
        </is>
      </c>
      <c r="B6245" t="inlineStr">
        <is>
          <t>Mar-2018</t>
        </is>
      </c>
      <c r="C6245" s="2" t="n">
        <v>43120</v>
      </c>
      <c r="D6245" t="inlineStr">
        <is>
          <t>NON-NIL</t>
        </is>
      </c>
      <c r="E6245" t="n">
        <v>2687</v>
      </c>
    </row>
    <row r="6246">
      <c r="A6246" t="inlineStr">
        <is>
          <t>27BBBBB06246Z5</t>
        </is>
      </c>
      <c r="B6246" t="inlineStr">
        <is>
          <t>Mar-2023</t>
        </is>
      </c>
      <c r="C6246" s="2" t="n">
        <v>44980</v>
      </c>
      <c r="D6246" t="inlineStr">
        <is>
          <t>NIL</t>
        </is>
      </c>
      <c r="E6246" t="n">
        <v>1858</v>
      </c>
    </row>
    <row r="6247">
      <c r="A6247" t="inlineStr">
        <is>
          <t>27BBBBB06247Z5</t>
        </is>
      </c>
      <c r="B6247" t="inlineStr">
        <is>
          <t>May-2018</t>
        </is>
      </c>
      <c r="C6247" s="2" t="n">
        <v>43924</v>
      </c>
      <c r="D6247" t="inlineStr">
        <is>
          <t>NON-NIL</t>
        </is>
      </c>
      <c r="E6247" t="n">
        <v>1059</v>
      </c>
    </row>
    <row r="6248">
      <c r="A6248" t="inlineStr">
        <is>
          <t>27BBBBB06248Z5</t>
        </is>
      </c>
      <c r="B6248" t="inlineStr">
        <is>
          <t>Apr-2018</t>
        </is>
      </c>
      <c r="C6248" s="2" t="n">
        <v>44100</v>
      </c>
      <c r="D6248" t="inlineStr">
        <is>
          <t>NON-NIL</t>
        </is>
      </c>
      <c r="E6248" t="n">
        <v>2564</v>
      </c>
    </row>
    <row r="6249">
      <c r="A6249" t="inlineStr">
        <is>
          <t>27BBBBB06249Z5</t>
        </is>
      </c>
      <c r="B6249" t="inlineStr">
        <is>
          <t>Feb-2018</t>
        </is>
      </c>
      <c r="C6249" s="2" t="n">
        <v>44506</v>
      </c>
      <c r="D6249" t="inlineStr">
        <is>
          <t>NIL</t>
        </is>
      </c>
      <c r="E6249" t="n">
        <v>392</v>
      </c>
    </row>
    <row r="6250">
      <c r="A6250" t="inlineStr">
        <is>
          <t>27BBBBB06250Z5</t>
        </is>
      </c>
      <c r="B6250" t="inlineStr">
        <is>
          <t>Apr-2018</t>
        </is>
      </c>
      <c r="C6250" s="2" t="n">
        <v>44053</v>
      </c>
      <c r="D6250" t="inlineStr">
        <is>
          <t>NIL</t>
        </is>
      </c>
      <c r="E6250" t="n">
        <v>2335</v>
      </c>
    </row>
    <row r="6251">
      <c r="A6251" t="inlineStr">
        <is>
          <t>27BBBBB06251Z5</t>
        </is>
      </c>
      <c r="B6251" t="inlineStr">
        <is>
          <t>Jul-2018</t>
        </is>
      </c>
      <c r="C6251" s="2" t="n">
        <v>43553</v>
      </c>
      <c r="D6251" t="inlineStr">
        <is>
          <t>NIL</t>
        </is>
      </c>
      <c r="E6251" t="n">
        <v>1128</v>
      </c>
    </row>
    <row r="6252">
      <c r="A6252" t="inlineStr">
        <is>
          <t>27BBBBB06252Z5</t>
        </is>
      </c>
      <c r="B6252" t="inlineStr">
        <is>
          <t>Jul-2020</t>
        </is>
      </c>
      <c r="C6252" s="2" t="n">
        <v>43957</v>
      </c>
      <c r="D6252" t="inlineStr">
        <is>
          <t>NON-NIL</t>
        </is>
      </c>
      <c r="E6252" t="n">
        <v>800</v>
      </c>
    </row>
    <row r="6253">
      <c r="A6253" t="inlineStr">
        <is>
          <t>27BBBBB06253Z5</t>
        </is>
      </c>
      <c r="B6253" t="inlineStr">
        <is>
          <t>Jul-2018</t>
        </is>
      </c>
      <c r="C6253" s="2" t="n">
        <v>43666</v>
      </c>
      <c r="D6253" t="inlineStr">
        <is>
          <t>NON-NIL</t>
        </is>
      </c>
      <c r="E6253" t="n">
        <v>1324</v>
      </c>
    </row>
    <row r="6254">
      <c r="A6254" t="inlineStr">
        <is>
          <t>27BBBBB06254Z5</t>
        </is>
      </c>
      <c r="B6254" t="inlineStr">
        <is>
          <t>Sep-2017</t>
        </is>
      </c>
      <c r="C6254" s="2" t="n">
        <v>44126</v>
      </c>
      <c r="D6254" t="inlineStr">
        <is>
          <t>NIL</t>
        </is>
      </c>
      <c r="E6254" t="n">
        <v>2917</v>
      </c>
    </row>
    <row r="6255">
      <c r="A6255" t="inlineStr">
        <is>
          <t>27BBBBB06255Z5</t>
        </is>
      </c>
      <c r="B6255" t="inlineStr">
        <is>
          <t>Dec-2024</t>
        </is>
      </c>
      <c r="C6255" s="2" t="n">
        <v>45211</v>
      </c>
      <c r="D6255" t="inlineStr">
        <is>
          <t>NIL</t>
        </is>
      </c>
      <c r="E6255" t="n">
        <v>206</v>
      </c>
    </row>
    <row r="6256">
      <c r="A6256" t="inlineStr">
        <is>
          <t>27BBBBB06256Z5</t>
        </is>
      </c>
      <c r="B6256" t="inlineStr">
        <is>
          <t>May-2020</t>
        </is>
      </c>
      <c r="C6256" s="2" t="n">
        <v>44193</v>
      </c>
      <c r="D6256" t="inlineStr">
        <is>
          <t>NIL</t>
        </is>
      </c>
      <c r="E6256" t="n">
        <v>621</v>
      </c>
    </row>
    <row r="6257">
      <c r="A6257" t="inlineStr">
        <is>
          <t>27BBBBB06257Z5</t>
        </is>
      </c>
      <c r="B6257" t="inlineStr">
        <is>
          <t>Aug-2018</t>
        </is>
      </c>
      <c r="C6257" s="2" t="n">
        <v>44312</v>
      </c>
      <c r="D6257" t="inlineStr">
        <is>
          <t>NON-NIL</t>
        </is>
      </c>
      <c r="E6257" t="n">
        <v>2915</v>
      </c>
    </row>
    <row r="6258">
      <c r="A6258" t="inlineStr">
        <is>
          <t>27BBBBB06258Z5</t>
        </is>
      </c>
      <c r="B6258" t="inlineStr">
        <is>
          <t>Aug-2018</t>
        </is>
      </c>
      <c r="C6258" s="2" t="n">
        <v>43926</v>
      </c>
      <c r="D6258" t="inlineStr">
        <is>
          <t>NIL</t>
        </is>
      </c>
      <c r="E6258" t="n">
        <v>1720</v>
      </c>
    </row>
    <row r="6259">
      <c r="A6259" t="inlineStr">
        <is>
          <t>27BBBBB06259Z5</t>
        </is>
      </c>
      <c r="B6259" t="inlineStr">
        <is>
          <t>Jul-2018</t>
        </is>
      </c>
      <c r="C6259" s="2" t="n">
        <v>43192</v>
      </c>
      <c r="D6259" t="inlineStr">
        <is>
          <t>NON-NIL</t>
        </is>
      </c>
      <c r="E6259" t="n">
        <v>939</v>
      </c>
    </row>
    <row r="6260">
      <c r="A6260" t="inlineStr">
        <is>
          <t>27BBBBB06260Z5</t>
        </is>
      </c>
      <c r="B6260" t="inlineStr">
        <is>
          <t>Dec-2024</t>
        </is>
      </c>
      <c r="C6260" s="2" t="n">
        <v>44604</v>
      </c>
      <c r="D6260" t="inlineStr">
        <is>
          <t>NIL</t>
        </is>
      </c>
      <c r="E6260" t="n">
        <v>1898</v>
      </c>
    </row>
    <row r="6261">
      <c r="A6261" t="inlineStr">
        <is>
          <t>27BBBBB06261Z5</t>
        </is>
      </c>
      <c r="B6261" t="inlineStr">
        <is>
          <t>Dec-2022</t>
        </is>
      </c>
      <c r="C6261" s="2" t="n">
        <v>45690</v>
      </c>
      <c r="D6261" t="inlineStr">
        <is>
          <t>NIL</t>
        </is>
      </c>
      <c r="E6261" t="n">
        <v>1237</v>
      </c>
    </row>
    <row r="6262">
      <c r="A6262" t="inlineStr">
        <is>
          <t>27BBBBB06262Z5</t>
        </is>
      </c>
      <c r="B6262" t="inlineStr">
        <is>
          <t>Nov-2018</t>
        </is>
      </c>
      <c r="C6262" s="2" t="n">
        <v>44304</v>
      </c>
      <c r="D6262" t="inlineStr">
        <is>
          <t>NIL</t>
        </is>
      </c>
      <c r="E6262" t="n">
        <v>2200</v>
      </c>
    </row>
    <row r="6263">
      <c r="A6263" t="inlineStr">
        <is>
          <t>27BBBBB06263Z5</t>
        </is>
      </c>
      <c r="B6263" t="inlineStr">
        <is>
          <t>Apr-2020</t>
        </is>
      </c>
      <c r="C6263" s="2" t="n">
        <v>44628</v>
      </c>
      <c r="D6263" t="inlineStr">
        <is>
          <t>NON-NIL</t>
        </is>
      </c>
      <c r="E6263" t="n">
        <v>2984</v>
      </c>
    </row>
    <row r="6264">
      <c r="A6264" t="inlineStr">
        <is>
          <t>27BBBBB06264Z5</t>
        </is>
      </c>
      <c r="B6264" t="inlineStr">
        <is>
          <t>May-2020</t>
        </is>
      </c>
      <c r="C6264" s="2" t="n">
        <v>44613</v>
      </c>
      <c r="D6264" t="inlineStr">
        <is>
          <t>NIL</t>
        </is>
      </c>
      <c r="E6264" t="n">
        <v>1223</v>
      </c>
    </row>
    <row r="6265">
      <c r="A6265" t="inlineStr">
        <is>
          <t>27BBBBB06265Z5</t>
        </is>
      </c>
      <c r="B6265" t="inlineStr">
        <is>
          <t>Aug-2018</t>
        </is>
      </c>
      <c r="C6265" s="2" t="n">
        <v>44172</v>
      </c>
      <c r="D6265" t="inlineStr">
        <is>
          <t>NIL</t>
        </is>
      </c>
      <c r="E6265" t="n">
        <v>2690</v>
      </c>
    </row>
    <row r="6266">
      <c r="A6266" t="inlineStr">
        <is>
          <t>27BBBBB06266Z5</t>
        </is>
      </c>
      <c r="B6266" t="inlineStr">
        <is>
          <t>Mar-2023</t>
        </is>
      </c>
      <c r="C6266" s="2" t="n">
        <v>43943</v>
      </c>
      <c r="D6266" t="inlineStr">
        <is>
          <t>NIL</t>
        </is>
      </c>
      <c r="E6266" t="n">
        <v>2386</v>
      </c>
    </row>
    <row r="6267">
      <c r="A6267" t="inlineStr">
        <is>
          <t>27BBBBB06267Z5</t>
        </is>
      </c>
      <c r="B6267" t="inlineStr">
        <is>
          <t>Feb-2018</t>
        </is>
      </c>
      <c r="C6267" s="2" t="n">
        <v>44309</v>
      </c>
      <c r="D6267" t="inlineStr">
        <is>
          <t>NON-NIL</t>
        </is>
      </c>
      <c r="E6267" t="n">
        <v>2204</v>
      </c>
    </row>
    <row r="6268">
      <c r="A6268" t="inlineStr">
        <is>
          <t>27BBBBB06268Z5</t>
        </is>
      </c>
      <c r="B6268" t="inlineStr">
        <is>
          <t>Sep-2018</t>
        </is>
      </c>
      <c r="C6268" s="2" t="n">
        <v>44454</v>
      </c>
      <c r="D6268" t="inlineStr">
        <is>
          <t>NON-NIL</t>
        </is>
      </c>
      <c r="E6268" t="n">
        <v>1961</v>
      </c>
    </row>
    <row r="6269">
      <c r="A6269" t="inlineStr">
        <is>
          <t>27BBBBB06269Z5</t>
        </is>
      </c>
      <c r="B6269" t="inlineStr">
        <is>
          <t>Mar-2018</t>
        </is>
      </c>
      <c r="C6269" s="2" t="n">
        <v>43101</v>
      </c>
      <c r="D6269" t="inlineStr">
        <is>
          <t>NIL</t>
        </is>
      </c>
      <c r="E6269" t="n">
        <v>711</v>
      </c>
    </row>
    <row r="6270">
      <c r="A6270" t="inlineStr">
        <is>
          <t>27BBBBB06270Z5</t>
        </is>
      </c>
      <c r="B6270" t="inlineStr">
        <is>
          <t>Jul-2020</t>
        </is>
      </c>
      <c r="C6270" s="2" t="n">
        <v>44871</v>
      </c>
      <c r="D6270" t="inlineStr">
        <is>
          <t>NON-NIL</t>
        </is>
      </c>
      <c r="E6270" t="n">
        <v>1755</v>
      </c>
    </row>
    <row r="6271">
      <c r="A6271" t="inlineStr">
        <is>
          <t>27BBBBB06271Z5</t>
        </is>
      </c>
      <c r="B6271" t="inlineStr">
        <is>
          <t>Oct-2018</t>
        </is>
      </c>
      <c r="C6271" s="2" t="n">
        <v>42941</v>
      </c>
      <c r="D6271" t="inlineStr">
        <is>
          <t>NON-NIL</t>
        </is>
      </c>
      <c r="E6271" t="n">
        <v>1093</v>
      </c>
    </row>
    <row r="6272">
      <c r="A6272" t="inlineStr">
        <is>
          <t>27BBBBB06272Z5</t>
        </is>
      </c>
      <c r="B6272" t="inlineStr">
        <is>
          <t>Apr-2018</t>
        </is>
      </c>
      <c r="C6272" s="2" t="n">
        <v>43888</v>
      </c>
      <c r="D6272" t="inlineStr">
        <is>
          <t>NIL</t>
        </is>
      </c>
      <c r="E6272" t="n">
        <v>2206</v>
      </c>
    </row>
    <row r="6273">
      <c r="A6273" t="inlineStr">
        <is>
          <t>27BBBBB06273Z5</t>
        </is>
      </c>
      <c r="B6273" t="inlineStr">
        <is>
          <t>Jul-2018</t>
        </is>
      </c>
      <c r="C6273" s="2" t="n">
        <v>44073</v>
      </c>
      <c r="D6273" t="inlineStr">
        <is>
          <t>NON-NIL</t>
        </is>
      </c>
      <c r="E6273" t="n">
        <v>2700</v>
      </c>
    </row>
    <row r="6274">
      <c r="A6274" t="inlineStr">
        <is>
          <t>27BBBBB06274Z5</t>
        </is>
      </c>
      <c r="B6274" t="inlineStr">
        <is>
          <t>Sep-2017</t>
        </is>
      </c>
      <c r="C6274" s="2" t="n">
        <v>43382</v>
      </c>
      <c r="D6274" t="inlineStr">
        <is>
          <t>NIL</t>
        </is>
      </c>
      <c r="E6274" t="n">
        <v>1040</v>
      </c>
    </row>
    <row r="6275">
      <c r="A6275" t="inlineStr">
        <is>
          <t>27BBBBB06275Z5</t>
        </is>
      </c>
      <c r="B6275" t="inlineStr">
        <is>
          <t>Aug-2017</t>
        </is>
      </c>
      <c r="C6275" s="2" t="n">
        <v>44022</v>
      </c>
      <c r="D6275" t="inlineStr">
        <is>
          <t>NIL</t>
        </is>
      </c>
      <c r="E6275" t="n">
        <v>2078</v>
      </c>
    </row>
    <row r="6276">
      <c r="A6276" t="inlineStr">
        <is>
          <t>27BBBBB06276Z5</t>
        </is>
      </c>
      <c r="B6276" t="inlineStr">
        <is>
          <t>Aug-2018</t>
        </is>
      </c>
      <c r="C6276" s="2" t="n">
        <v>43204</v>
      </c>
      <c r="D6276" t="inlineStr">
        <is>
          <t>NIL</t>
        </is>
      </c>
      <c r="E6276" t="n">
        <v>1300</v>
      </c>
    </row>
    <row r="6277">
      <c r="A6277" t="inlineStr">
        <is>
          <t>27BBBBB06277Z5</t>
        </is>
      </c>
      <c r="B6277" t="inlineStr">
        <is>
          <t>Jan-2021</t>
        </is>
      </c>
      <c r="C6277" s="2" t="n">
        <v>44807</v>
      </c>
      <c r="D6277" t="inlineStr">
        <is>
          <t>NON-NIL</t>
        </is>
      </c>
      <c r="E6277" t="n">
        <v>413</v>
      </c>
    </row>
    <row r="6278">
      <c r="A6278" t="inlineStr">
        <is>
          <t>27BBBBB06278Z5</t>
        </is>
      </c>
      <c r="B6278" t="inlineStr">
        <is>
          <t>Apr-2018</t>
        </is>
      </c>
      <c r="C6278" s="2" t="n">
        <v>43293</v>
      </c>
      <c r="D6278" t="inlineStr">
        <is>
          <t>NON-NIL</t>
        </is>
      </c>
      <c r="E6278" t="n">
        <v>129</v>
      </c>
    </row>
    <row r="6279">
      <c r="A6279" t="inlineStr">
        <is>
          <t>27BBBBB06279Z5</t>
        </is>
      </c>
      <c r="B6279" t="inlineStr">
        <is>
          <t>Mar-2020</t>
        </is>
      </c>
      <c r="C6279" s="2" t="n">
        <v>44277</v>
      </c>
      <c r="D6279" t="inlineStr">
        <is>
          <t>NIL</t>
        </is>
      </c>
      <c r="E6279" t="n">
        <v>2439</v>
      </c>
    </row>
    <row r="6280">
      <c r="A6280" t="inlineStr">
        <is>
          <t>27BBBBB06280Z5</t>
        </is>
      </c>
      <c r="B6280" t="inlineStr">
        <is>
          <t>Sep-2017</t>
        </is>
      </c>
      <c r="C6280" s="2" t="n">
        <v>44405</v>
      </c>
      <c r="D6280" t="inlineStr">
        <is>
          <t>NIL</t>
        </is>
      </c>
      <c r="E6280" t="n">
        <v>2887</v>
      </c>
    </row>
    <row r="6281">
      <c r="A6281" t="inlineStr">
        <is>
          <t>27BBBBB06281Z5</t>
        </is>
      </c>
      <c r="B6281" t="inlineStr">
        <is>
          <t>Sep-2017</t>
        </is>
      </c>
      <c r="C6281" s="2" t="n">
        <v>43225</v>
      </c>
      <c r="D6281" t="inlineStr">
        <is>
          <t>NON-NIL</t>
        </is>
      </c>
      <c r="E6281" t="n">
        <v>2686</v>
      </c>
    </row>
    <row r="6282">
      <c r="A6282" t="inlineStr">
        <is>
          <t>27BBBBB06282Z5</t>
        </is>
      </c>
      <c r="B6282" t="inlineStr">
        <is>
          <t>Mar-2020</t>
        </is>
      </c>
      <c r="C6282" s="2" t="n">
        <v>44517</v>
      </c>
      <c r="D6282" t="inlineStr">
        <is>
          <t>NIL</t>
        </is>
      </c>
      <c r="E6282" t="n">
        <v>1372</v>
      </c>
    </row>
    <row r="6283">
      <c r="A6283" t="inlineStr">
        <is>
          <t>27BBBBB06283Z5</t>
        </is>
      </c>
      <c r="B6283" t="inlineStr">
        <is>
          <t>Jan-2018</t>
        </is>
      </c>
      <c r="C6283" s="2" t="n">
        <v>44204</v>
      </c>
      <c r="D6283" t="inlineStr">
        <is>
          <t>NIL</t>
        </is>
      </c>
      <c r="E6283" t="n">
        <v>2947</v>
      </c>
    </row>
    <row r="6284">
      <c r="A6284" t="inlineStr">
        <is>
          <t>27BBBBB06284Z5</t>
        </is>
      </c>
      <c r="B6284" t="inlineStr">
        <is>
          <t>Apr-2018</t>
        </is>
      </c>
      <c r="C6284" s="2" t="n">
        <v>43161</v>
      </c>
      <c r="D6284" t="inlineStr">
        <is>
          <t>NIL</t>
        </is>
      </c>
      <c r="E6284" t="n">
        <v>1736</v>
      </c>
    </row>
    <row r="6285">
      <c r="A6285" t="inlineStr">
        <is>
          <t>27BBBBB06285Z5</t>
        </is>
      </c>
      <c r="B6285" t="inlineStr">
        <is>
          <t>Aug-2018</t>
        </is>
      </c>
      <c r="C6285" s="2" t="n">
        <v>43742</v>
      </c>
      <c r="D6285" t="inlineStr">
        <is>
          <t>NIL</t>
        </is>
      </c>
      <c r="E6285" t="n">
        <v>2691</v>
      </c>
    </row>
    <row r="6286">
      <c r="A6286" t="inlineStr">
        <is>
          <t>27BBBBB06286Z5</t>
        </is>
      </c>
      <c r="B6286" t="inlineStr">
        <is>
          <t>Aug-2017</t>
        </is>
      </c>
      <c r="C6286" s="2" t="n">
        <v>43788</v>
      </c>
      <c r="D6286" t="inlineStr">
        <is>
          <t>NON-NIL</t>
        </is>
      </c>
      <c r="E6286" t="n">
        <v>1605</v>
      </c>
    </row>
    <row r="6287">
      <c r="A6287" t="inlineStr">
        <is>
          <t>27BBBBB06287Z5</t>
        </is>
      </c>
      <c r="B6287" t="inlineStr">
        <is>
          <t>Aug-2018</t>
        </is>
      </c>
      <c r="C6287" s="2" t="n">
        <v>44518</v>
      </c>
      <c r="D6287" t="inlineStr">
        <is>
          <t>NIL</t>
        </is>
      </c>
      <c r="E6287" t="n">
        <v>2512</v>
      </c>
    </row>
    <row r="6288">
      <c r="A6288" t="inlineStr">
        <is>
          <t>27BBBBB06288Z5</t>
        </is>
      </c>
      <c r="B6288" t="inlineStr">
        <is>
          <t>Jul-2017</t>
        </is>
      </c>
      <c r="C6288" s="2" t="n">
        <v>44367</v>
      </c>
      <c r="D6288" t="inlineStr">
        <is>
          <t>NIL</t>
        </is>
      </c>
      <c r="E6288" t="n">
        <v>2109</v>
      </c>
    </row>
    <row r="6289">
      <c r="A6289" t="inlineStr">
        <is>
          <t>27BBBBB06289Z5</t>
        </is>
      </c>
      <c r="B6289" t="inlineStr">
        <is>
          <t>Dec-2018</t>
        </is>
      </c>
      <c r="C6289" s="2" t="n">
        <v>43595</v>
      </c>
      <c r="D6289" t="inlineStr">
        <is>
          <t>NON-NIL</t>
        </is>
      </c>
      <c r="E6289" t="n">
        <v>281</v>
      </c>
    </row>
    <row r="6290">
      <c r="A6290" t="inlineStr">
        <is>
          <t>27BBBBB06290Z5</t>
        </is>
      </c>
      <c r="B6290" t="inlineStr">
        <is>
          <t>Sep-2017</t>
        </is>
      </c>
      <c r="C6290" s="2" t="n">
        <v>43074</v>
      </c>
      <c r="D6290" t="inlineStr">
        <is>
          <t>NIL</t>
        </is>
      </c>
      <c r="E6290" t="n">
        <v>2606</v>
      </c>
    </row>
    <row r="6291">
      <c r="A6291" t="inlineStr">
        <is>
          <t>27BBBBB06291Z5</t>
        </is>
      </c>
      <c r="B6291" t="inlineStr">
        <is>
          <t>Nov-2017</t>
        </is>
      </c>
      <c r="C6291" s="2" t="n">
        <v>42976</v>
      </c>
      <c r="D6291" t="inlineStr">
        <is>
          <t>NIL</t>
        </is>
      </c>
      <c r="E6291" t="n">
        <v>1469</v>
      </c>
    </row>
    <row r="6292">
      <c r="A6292" t="inlineStr">
        <is>
          <t>27BBBBB06292Z5</t>
        </is>
      </c>
      <c r="B6292" t="inlineStr">
        <is>
          <t>Aug-2017</t>
        </is>
      </c>
      <c r="C6292" s="2" t="n">
        <v>43233</v>
      </c>
      <c r="D6292" t="inlineStr">
        <is>
          <t>NON-NIL</t>
        </is>
      </c>
      <c r="E6292" t="n">
        <v>368</v>
      </c>
    </row>
    <row r="6293">
      <c r="A6293" t="inlineStr">
        <is>
          <t>27BBBBB06293Z5</t>
        </is>
      </c>
      <c r="B6293" t="inlineStr">
        <is>
          <t>Dec-2024</t>
        </is>
      </c>
      <c r="C6293" s="2" t="n">
        <v>44839</v>
      </c>
      <c r="D6293" t="inlineStr">
        <is>
          <t>NON-NIL</t>
        </is>
      </c>
      <c r="E6293" t="n">
        <v>1041</v>
      </c>
    </row>
    <row r="6294">
      <c r="A6294" t="inlineStr">
        <is>
          <t>27BBBBB06294Z5</t>
        </is>
      </c>
      <c r="B6294" t="inlineStr">
        <is>
          <t>Jan-2021</t>
        </is>
      </c>
      <c r="C6294" s="2" t="n">
        <v>44085</v>
      </c>
      <c r="D6294" t="inlineStr">
        <is>
          <t>NON-NIL</t>
        </is>
      </c>
      <c r="E6294" t="n">
        <v>2830</v>
      </c>
    </row>
    <row r="6295">
      <c r="A6295" t="inlineStr">
        <is>
          <t>27BBBBB06295Z5</t>
        </is>
      </c>
      <c r="B6295" t="inlineStr">
        <is>
          <t>Sep-2018</t>
        </is>
      </c>
      <c r="C6295" s="2" t="n">
        <v>44290</v>
      </c>
      <c r="D6295" t="inlineStr">
        <is>
          <t>NIL</t>
        </is>
      </c>
      <c r="E6295" t="n">
        <v>2644</v>
      </c>
    </row>
    <row r="6296">
      <c r="A6296" t="inlineStr">
        <is>
          <t>27BBBBB06296Z5</t>
        </is>
      </c>
      <c r="B6296" t="inlineStr">
        <is>
          <t>Mar-2018</t>
        </is>
      </c>
      <c r="C6296" s="2" t="n">
        <v>43049</v>
      </c>
      <c r="D6296" t="inlineStr">
        <is>
          <t>NIL</t>
        </is>
      </c>
      <c r="E6296" t="n">
        <v>1276</v>
      </c>
    </row>
    <row r="6297">
      <c r="A6297" t="inlineStr">
        <is>
          <t>27BBBBB06297Z5</t>
        </is>
      </c>
      <c r="B6297" t="inlineStr">
        <is>
          <t>Jun-2018</t>
        </is>
      </c>
      <c r="C6297" s="2" t="n">
        <v>43196</v>
      </c>
      <c r="D6297" t="inlineStr">
        <is>
          <t>NON-NIL</t>
        </is>
      </c>
      <c r="E6297" t="n">
        <v>1664</v>
      </c>
    </row>
    <row r="6298">
      <c r="A6298" t="inlineStr">
        <is>
          <t>27BBBBB06298Z5</t>
        </is>
      </c>
      <c r="B6298" t="inlineStr">
        <is>
          <t>Apr-2018</t>
        </is>
      </c>
      <c r="C6298" s="2" t="n">
        <v>44414</v>
      </c>
      <c r="D6298" t="inlineStr">
        <is>
          <t>NON-NIL</t>
        </is>
      </c>
      <c r="E6298" t="n">
        <v>2076</v>
      </c>
    </row>
    <row r="6299">
      <c r="A6299" t="inlineStr">
        <is>
          <t>27BBBBB06299Z5</t>
        </is>
      </c>
      <c r="B6299" t="inlineStr">
        <is>
          <t>Nov-2018</t>
        </is>
      </c>
      <c r="C6299" s="2" t="n">
        <v>42960</v>
      </c>
      <c r="D6299" t="inlineStr">
        <is>
          <t>NIL</t>
        </is>
      </c>
      <c r="E6299" t="n">
        <v>2899</v>
      </c>
    </row>
    <row r="6300">
      <c r="A6300" t="inlineStr">
        <is>
          <t>27BBBBB06300Z5</t>
        </is>
      </c>
      <c r="B6300" t="inlineStr">
        <is>
          <t>Jun-2020</t>
        </is>
      </c>
      <c r="C6300" s="2" t="n">
        <v>44347</v>
      </c>
      <c r="D6300" t="inlineStr">
        <is>
          <t>NON-NIL</t>
        </is>
      </c>
      <c r="E6300" t="n">
        <v>639</v>
      </c>
    </row>
    <row r="6301">
      <c r="A6301" t="inlineStr">
        <is>
          <t>27BBBBB06301Z5</t>
        </is>
      </c>
      <c r="B6301" t="inlineStr">
        <is>
          <t>Jul-2018</t>
        </is>
      </c>
      <c r="C6301" s="2" t="n">
        <v>42973</v>
      </c>
      <c r="D6301" t="inlineStr">
        <is>
          <t>NON-NIL</t>
        </is>
      </c>
      <c r="E6301" t="n">
        <v>2881</v>
      </c>
    </row>
    <row r="6302">
      <c r="A6302" t="inlineStr">
        <is>
          <t>27BBBBB06302Z5</t>
        </is>
      </c>
      <c r="B6302" t="inlineStr">
        <is>
          <t>Oct-2017</t>
        </is>
      </c>
      <c r="C6302" s="2" t="n">
        <v>44431</v>
      </c>
      <c r="D6302" t="inlineStr">
        <is>
          <t>NON-NIL</t>
        </is>
      </c>
      <c r="E6302" t="n">
        <v>1201</v>
      </c>
    </row>
    <row r="6303">
      <c r="A6303" t="inlineStr">
        <is>
          <t>27BBBBB06303Z5</t>
        </is>
      </c>
      <c r="B6303" t="inlineStr">
        <is>
          <t>Jan-2021</t>
        </is>
      </c>
      <c r="C6303" s="2" t="n">
        <v>45040</v>
      </c>
      <c r="D6303" t="inlineStr">
        <is>
          <t>NON-NIL</t>
        </is>
      </c>
      <c r="E6303" t="n">
        <v>384</v>
      </c>
    </row>
    <row r="6304">
      <c r="A6304" t="inlineStr">
        <is>
          <t>27BBBBB06304Z5</t>
        </is>
      </c>
      <c r="B6304" t="inlineStr">
        <is>
          <t>Dec-2024</t>
        </is>
      </c>
      <c r="C6304" s="2" t="n">
        <v>44293</v>
      </c>
      <c r="D6304" t="inlineStr">
        <is>
          <t>NON-NIL</t>
        </is>
      </c>
      <c r="E6304" t="n">
        <v>595</v>
      </c>
    </row>
    <row r="6305">
      <c r="A6305" t="inlineStr">
        <is>
          <t>27BBBBB06305Z5</t>
        </is>
      </c>
      <c r="B6305" t="inlineStr">
        <is>
          <t>Mar-2023</t>
        </is>
      </c>
      <c r="C6305" s="2" t="n">
        <v>45756</v>
      </c>
      <c r="D6305" t="inlineStr">
        <is>
          <t>NIL</t>
        </is>
      </c>
      <c r="E6305" t="n">
        <v>432</v>
      </c>
    </row>
    <row r="6306">
      <c r="A6306" t="inlineStr">
        <is>
          <t>27BBBBB06306Z5</t>
        </is>
      </c>
      <c r="B6306" t="inlineStr">
        <is>
          <t>Nov-2017</t>
        </is>
      </c>
      <c r="C6306" s="2" t="n">
        <v>43259</v>
      </c>
      <c r="D6306" t="inlineStr">
        <is>
          <t>NIL</t>
        </is>
      </c>
      <c r="E6306" t="n">
        <v>318</v>
      </c>
    </row>
    <row r="6307">
      <c r="A6307" t="inlineStr">
        <is>
          <t>27BBBBB06307Z5</t>
        </is>
      </c>
      <c r="B6307" t="inlineStr">
        <is>
          <t>Apr-2018</t>
        </is>
      </c>
      <c r="C6307" s="2" t="n">
        <v>43453</v>
      </c>
      <c r="D6307" t="inlineStr">
        <is>
          <t>NON-NIL</t>
        </is>
      </c>
      <c r="E6307" t="n">
        <v>937</v>
      </c>
    </row>
    <row r="6308">
      <c r="A6308" t="inlineStr">
        <is>
          <t>27BBBBB06308Z5</t>
        </is>
      </c>
      <c r="B6308" t="inlineStr">
        <is>
          <t>Aug-2018</t>
        </is>
      </c>
      <c r="C6308" s="2" t="n">
        <v>43783</v>
      </c>
      <c r="D6308" t="inlineStr">
        <is>
          <t>NIL</t>
        </is>
      </c>
      <c r="E6308" t="n">
        <v>717</v>
      </c>
    </row>
    <row r="6309">
      <c r="A6309" t="inlineStr">
        <is>
          <t>27BBBBB06309Z5</t>
        </is>
      </c>
      <c r="B6309" t="inlineStr">
        <is>
          <t>Apr-2020</t>
        </is>
      </c>
      <c r="C6309" s="2" t="n">
        <v>44481</v>
      </c>
      <c r="D6309" t="inlineStr">
        <is>
          <t>NON-NIL</t>
        </is>
      </c>
      <c r="E6309" t="n">
        <v>1097</v>
      </c>
    </row>
    <row r="6310">
      <c r="A6310" t="inlineStr">
        <is>
          <t>27BBBBB06310Z5</t>
        </is>
      </c>
      <c r="B6310" t="inlineStr">
        <is>
          <t>Dec-2018</t>
        </is>
      </c>
      <c r="C6310" s="2" t="n">
        <v>43620</v>
      </c>
      <c r="D6310" t="inlineStr">
        <is>
          <t>NON-NIL</t>
        </is>
      </c>
      <c r="E6310" t="n">
        <v>1348</v>
      </c>
    </row>
    <row r="6311">
      <c r="A6311" t="inlineStr">
        <is>
          <t>27BBBBB06311Z5</t>
        </is>
      </c>
      <c r="B6311" t="inlineStr">
        <is>
          <t>Mar-2023</t>
        </is>
      </c>
      <c r="C6311" s="2" t="n">
        <v>44220</v>
      </c>
      <c r="D6311" t="inlineStr">
        <is>
          <t>NON-NIL</t>
        </is>
      </c>
      <c r="E6311" t="n">
        <v>1419</v>
      </c>
    </row>
    <row r="6312">
      <c r="A6312" t="inlineStr">
        <is>
          <t>27BBBBB06312Z5</t>
        </is>
      </c>
      <c r="B6312" t="inlineStr">
        <is>
          <t>Dec-2024</t>
        </is>
      </c>
      <c r="C6312" s="2" t="n">
        <v>45469</v>
      </c>
      <c r="D6312" t="inlineStr">
        <is>
          <t>NIL</t>
        </is>
      </c>
      <c r="E6312" t="n">
        <v>232</v>
      </c>
    </row>
    <row r="6313">
      <c r="A6313" t="inlineStr">
        <is>
          <t>27BBBBB06313Z5</t>
        </is>
      </c>
      <c r="B6313" t="inlineStr">
        <is>
          <t>Jun-2018</t>
        </is>
      </c>
      <c r="C6313" s="2" t="n">
        <v>43757</v>
      </c>
      <c r="D6313" t="inlineStr">
        <is>
          <t>NIL</t>
        </is>
      </c>
      <c r="E6313" t="n">
        <v>2145</v>
      </c>
    </row>
    <row r="6314">
      <c r="A6314" t="inlineStr">
        <is>
          <t>27BBBBB06314Z5</t>
        </is>
      </c>
      <c r="B6314" t="inlineStr">
        <is>
          <t>Jul-2020</t>
        </is>
      </c>
      <c r="C6314" s="2" t="n">
        <v>44424</v>
      </c>
      <c r="D6314" t="inlineStr">
        <is>
          <t>NON-NIL</t>
        </is>
      </c>
      <c r="E6314" t="n">
        <v>789</v>
      </c>
    </row>
    <row r="6315">
      <c r="A6315" t="inlineStr">
        <is>
          <t>27BBBBB06315Z5</t>
        </is>
      </c>
      <c r="B6315" t="inlineStr">
        <is>
          <t>Dec-2022</t>
        </is>
      </c>
      <c r="C6315" s="2" t="n">
        <v>44064</v>
      </c>
      <c r="D6315" t="inlineStr">
        <is>
          <t>NIL</t>
        </is>
      </c>
      <c r="E6315" t="n">
        <v>2910</v>
      </c>
    </row>
    <row r="6316">
      <c r="A6316" t="inlineStr">
        <is>
          <t>27BBBBB06316Z5</t>
        </is>
      </c>
      <c r="B6316" t="inlineStr">
        <is>
          <t>Dec-2018</t>
        </is>
      </c>
      <c r="C6316" s="2" t="n">
        <v>43097</v>
      </c>
      <c r="D6316" t="inlineStr">
        <is>
          <t>NIL</t>
        </is>
      </c>
      <c r="E6316" t="n">
        <v>1745</v>
      </c>
    </row>
    <row r="6317">
      <c r="A6317" t="inlineStr">
        <is>
          <t>27BBBBB06317Z5</t>
        </is>
      </c>
      <c r="B6317" t="inlineStr">
        <is>
          <t>Aug-2017</t>
        </is>
      </c>
      <c r="C6317" s="2" t="n">
        <v>44377</v>
      </c>
      <c r="D6317" t="inlineStr">
        <is>
          <t>NON-NIL</t>
        </is>
      </c>
      <c r="E6317" t="n">
        <v>729</v>
      </c>
    </row>
    <row r="6318">
      <c r="A6318" t="inlineStr">
        <is>
          <t>27BBBBB06318Z5</t>
        </is>
      </c>
      <c r="B6318" t="inlineStr">
        <is>
          <t>Apr-2020</t>
        </is>
      </c>
      <c r="C6318" s="2" t="n">
        <v>44335</v>
      </c>
      <c r="D6318" t="inlineStr">
        <is>
          <t>NON-NIL</t>
        </is>
      </c>
      <c r="E6318" t="n">
        <v>2981</v>
      </c>
    </row>
    <row r="6319">
      <c r="A6319" t="inlineStr">
        <is>
          <t>27BBBBB06319Z5</t>
        </is>
      </c>
      <c r="B6319" t="inlineStr">
        <is>
          <t>Dec-2022</t>
        </is>
      </c>
      <c r="C6319" s="2" t="n">
        <v>45242</v>
      </c>
      <c r="D6319" t="inlineStr">
        <is>
          <t>NIL</t>
        </is>
      </c>
      <c r="E6319" t="n">
        <v>797</v>
      </c>
    </row>
    <row r="6320">
      <c r="A6320" t="inlineStr">
        <is>
          <t>27BBBBB06320Z5</t>
        </is>
      </c>
      <c r="B6320" t="inlineStr">
        <is>
          <t>Jul-2018</t>
        </is>
      </c>
      <c r="C6320" s="2" t="n">
        <v>43107</v>
      </c>
      <c r="D6320" t="inlineStr">
        <is>
          <t>NON-NIL</t>
        </is>
      </c>
      <c r="E6320" t="n">
        <v>418</v>
      </c>
    </row>
    <row r="6321">
      <c r="A6321" t="inlineStr">
        <is>
          <t>27BBBBB06321Z5</t>
        </is>
      </c>
      <c r="B6321" t="inlineStr">
        <is>
          <t>Jul-2017</t>
        </is>
      </c>
      <c r="C6321" s="2" t="n">
        <v>44490</v>
      </c>
      <c r="D6321" t="inlineStr">
        <is>
          <t>NIL</t>
        </is>
      </c>
      <c r="E6321" t="n">
        <v>833</v>
      </c>
    </row>
    <row r="6322">
      <c r="A6322" t="inlineStr">
        <is>
          <t>27BBBBB06322Z5</t>
        </is>
      </c>
      <c r="B6322" t="inlineStr">
        <is>
          <t>Oct-2018</t>
        </is>
      </c>
      <c r="C6322" s="2" t="n">
        <v>43445</v>
      </c>
      <c r="D6322" t="inlineStr">
        <is>
          <t>NIL</t>
        </is>
      </c>
      <c r="E6322" t="n">
        <v>508</v>
      </c>
    </row>
    <row r="6323">
      <c r="A6323" t="inlineStr">
        <is>
          <t>27BBBBB06323Z5</t>
        </is>
      </c>
      <c r="B6323" t="inlineStr">
        <is>
          <t>Dec-2022</t>
        </is>
      </c>
      <c r="C6323" s="2" t="n">
        <v>44081</v>
      </c>
      <c r="D6323" t="inlineStr">
        <is>
          <t>NIL</t>
        </is>
      </c>
      <c r="E6323" t="n">
        <v>2537</v>
      </c>
    </row>
    <row r="6324">
      <c r="A6324" t="inlineStr">
        <is>
          <t>27BBBBB06324Z5</t>
        </is>
      </c>
      <c r="B6324" t="inlineStr">
        <is>
          <t>Aug-2018</t>
        </is>
      </c>
      <c r="C6324" s="2" t="n">
        <v>44176</v>
      </c>
      <c r="D6324" t="inlineStr">
        <is>
          <t>NON-NIL</t>
        </is>
      </c>
      <c r="E6324" t="n">
        <v>149</v>
      </c>
    </row>
    <row r="6325">
      <c r="A6325" t="inlineStr">
        <is>
          <t>27BBBBB06325Z5</t>
        </is>
      </c>
      <c r="B6325" t="inlineStr">
        <is>
          <t>Aug-2017</t>
        </is>
      </c>
      <c r="C6325" s="2" t="n">
        <v>44337</v>
      </c>
      <c r="D6325" t="inlineStr">
        <is>
          <t>NON-NIL</t>
        </is>
      </c>
      <c r="E6325" t="n">
        <v>1911</v>
      </c>
    </row>
    <row r="6326">
      <c r="A6326" t="inlineStr">
        <is>
          <t>27BBBBB06326Z5</t>
        </is>
      </c>
      <c r="B6326" t="inlineStr">
        <is>
          <t>Dec-2024</t>
        </is>
      </c>
      <c r="C6326" s="2" t="n">
        <v>44809</v>
      </c>
      <c r="D6326" t="inlineStr">
        <is>
          <t>NON-NIL</t>
        </is>
      </c>
      <c r="E6326" t="n">
        <v>381</v>
      </c>
    </row>
    <row r="6327">
      <c r="A6327" t="inlineStr">
        <is>
          <t>27BBBBB06327Z5</t>
        </is>
      </c>
      <c r="B6327" t="inlineStr">
        <is>
          <t>Jun-2018</t>
        </is>
      </c>
      <c r="C6327" s="2" t="n">
        <v>43658</v>
      </c>
      <c r="D6327" t="inlineStr">
        <is>
          <t>NON-NIL</t>
        </is>
      </c>
      <c r="E6327" t="n">
        <v>1579</v>
      </c>
    </row>
    <row r="6328">
      <c r="A6328" t="inlineStr">
        <is>
          <t>27BBBBB06328Z5</t>
        </is>
      </c>
      <c r="B6328" t="inlineStr">
        <is>
          <t>Nov-2017</t>
        </is>
      </c>
      <c r="C6328" s="2" t="n">
        <v>44330</v>
      </c>
      <c r="D6328" t="inlineStr">
        <is>
          <t>NIL</t>
        </is>
      </c>
      <c r="E6328" t="n">
        <v>2356</v>
      </c>
    </row>
    <row r="6329">
      <c r="A6329" t="inlineStr">
        <is>
          <t>27BBBBB06329Z5</t>
        </is>
      </c>
      <c r="B6329" t="inlineStr">
        <is>
          <t>Jun-2020</t>
        </is>
      </c>
      <c r="C6329" s="2" t="n">
        <v>44412</v>
      </c>
      <c r="D6329" t="inlineStr">
        <is>
          <t>NON-NIL</t>
        </is>
      </c>
      <c r="E6329" t="n">
        <v>1704</v>
      </c>
    </row>
    <row r="6330">
      <c r="A6330" t="inlineStr">
        <is>
          <t>27BBBBB06330Z5</t>
        </is>
      </c>
      <c r="B6330" t="inlineStr">
        <is>
          <t>Apr-2018</t>
        </is>
      </c>
      <c r="C6330" s="2" t="n">
        <v>43753</v>
      </c>
      <c r="D6330" t="inlineStr">
        <is>
          <t>NIL</t>
        </is>
      </c>
      <c r="E6330" t="n">
        <v>1155</v>
      </c>
    </row>
    <row r="6331">
      <c r="A6331" t="inlineStr">
        <is>
          <t>27BBBBB06331Z5</t>
        </is>
      </c>
      <c r="B6331" t="inlineStr">
        <is>
          <t>Mar-2023</t>
        </is>
      </c>
      <c r="C6331" s="2" t="n">
        <v>44847</v>
      </c>
      <c r="D6331" t="inlineStr">
        <is>
          <t>NON-NIL</t>
        </is>
      </c>
      <c r="E6331" t="n">
        <v>2089</v>
      </c>
    </row>
    <row r="6332">
      <c r="A6332" t="inlineStr">
        <is>
          <t>27BBBBB06332Z5</t>
        </is>
      </c>
      <c r="B6332" t="inlineStr">
        <is>
          <t>Dec-2022</t>
        </is>
      </c>
      <c r="C6332" s="2" t="n">
        <v>44998</v>
      </c>
      <c r="D6332" t="inlineStr">
        <is>
          <t>NIL</t>
        </is>
      </c>
      <c r="E6332" t="n">
        <v>2373</v>
      </c>
    </row>
    <row r="6333">
      <c r="A6333" t="inlineStr">
        <is>
          <t>27BBBBB06333Z5</t>
        </is>
      </c>
      <c r="B6333" t="inlineStr">
        <is>
          <t>May-2018</t>
        </is>
      </c>
      <c r="C6333" s="2" t="n">
        <v>43162</v>
      </c>
      <c r="D6333" t="inlineStr">
        <is>
          <t>NIL</t>
        </is>
      </c>
      <c r="E6333" t="n">
        <v>2402</v>
      </c>
    </row>
    <row r="6334">
      <c r="A6334" t="inlineStr">
        <is>
          <t>27BBBBB06334Z5</t>
        </is>
      </c>
      <c r="B6334" t="inlineStr">
        <is>
          <t>May-2018</t>
        </is>
      </c>
      <c r="C6334" s="2" t="n">
        <v>44138</v>
      </c>
      <c r="D6334" t="inlineStr">
        <is>
          <t>NIL</t>
        </is>
      </c>
      <c r="E6334" t="n">
        <v>1467</v>
      </c>
    </row>
    <row r="6335">
      <c r="A6335" t="inlineStr">
        <is>
          <t>27BBBBB06335Z5</t>
        </is>
      </c>
      <c r="B6335" t="inlineStr">
        <is>
          <t>Jul-2018</t>
        </is>
      </c>
      <c r="C6335" s="2" t="n">
        <v>42953</v>
      </c>
      <c r="D6335" t="inlineStr">
        <is>
          <t>NIL</t>
        </is>
      </c>
      <c r="E6335" t="n">
        <v>524</v>
      </c>
    </row>
    <row r="6336">
      <c r="A6336" t="inlineStr">
        <is>
          <t>27BBBBB06336Z5</t>
        </is>
      </c>
      <c r="B6336" t="inlineStr">
        <is>
          <t>Jul-2018</t>
        </is>
      </c>
      <c r="C6336" s="2" t="n">
        <v>43748</v>
      </c>
      <c r="D6336" t="inlineStr">
        <is>
          <t>NIL</t>
        </is>
      </c>
      <c r="E6336" t="n">
        <v>2980</v>
      </c>
    </row>
    <row r="6337">
      <c r="A6337" t="inlineStr">
        <is>
          <t>27BBBBB06337Z5</t>
        </is>
      </c>
      <c r="B6337" t="inlineStr">
        <is>
          <t>Jul-2020</t>
        </is>
      </c>
      <c r="C6337" s="2" t="n">
        <v>44527</v>
      </c>
      <c r="D6337" t="inlineStr">
        <is>
          <t>NIL</t>
        </is>
      </c>
      <c r="E6337" t="n">
        <v>224</v>
      </c>
    </row>
    <row r="6338">
      <c r="A6338" t="inlineStr">
        <is>
          <t>27BBBBB06338Z5</t>
        </is>
      </c>
      <c r="B6338" t="inlineStr">
        <is>
          <t>Feb-2018</t>
        </is>
      </c>
      <c r="C6338" s="2" t="n">
        <v>43115</v>
      </c>
      <c r="D6338" t="inlineStr">
        <is>
          <t>NON-NIL</t>
        </is>
      </c>
      <c r="E6338" t="n">
        <v>1016</v>
      </c>
    </row>
    <row r="6339">
      <c r="A6339" t="inlineStr">
        <is>
          <t>27BBBBB06339Z5</t>
        </is>
      </c>
      <c r="B6339" t="inlineStr">
        <is>
          <t>Jul-2017</t>
        </is>
      </c>
      <c r="C6339" s="2" t="n">
        <v>43959</v>
      </c>
      <c r="D6339" t="inlineStr">
        <is>
          <t>NON-NIL</t>
        </is>
      </c>
      <c r="E6339" t="n">
        <v>137</v>
      </c>
    </row>
    <row r="6340">
      <c r="A6340" t="inlineStr">
        <is>
          <t>27BBBBB06340Z5</t>
        </is>
      </c>
      <c r="B6340" t="inlineStr">
        <is>
          <t>Feb-2018</t>
        </is>
      </c>
      <c r="C6340" s="2" t="n">
        <v>43381</v>
      </c>
      <c r="D6340" t="inlineStr">
        <is>
          <t>NIL</t>
        </is>
      </c>
      <c r="E6340" t="n">
        <v>664</v>
      </c>
    </row>
    <row r="6341">
      <c r="A6341" t="inlineStr">
        <is>
          <t>27BBBBB06341Z5</t>
        </is>
      </c>
      <c r="B6341" t="inlineStr">
        <is>
          <t>Mar-2018</t>
        </is>
      </c>
      <c r="C6341" s="2" t="n">
        <v>43757</v>
      </c>
      <c r="D6341" t="inlineStr">
        <is>
          <t>NON-NIL</t>
        </is>
      </c>
      <c r="E6341" t="n">
        <v>1967</v>
      </c>
    </row>
    <row r="6342">
      <c r="A6342" t="inlineStr">
        <is>
          <t>27BBBBB06342Z5</t>
        </is>
      </c>
      <c r="B6342" t="inlineStr">
        <is>
          <t>Aug-2018</t>
        </is>
      </c>
      <c r="C6342" s="2" t="n">
        <v>44277</v>
      </c>
      <c r="D6342" t="inlineStr">
        <is>
          <t>NON-NIL</t>
        </is>
      </c>
      <c r="E6342" t="n">
        <v>2267</v>
      </c>
    </row>
    <row r="6343">
      <c r="A6343" t="inlineStr">
        <is>
          <t>27BBBBB06343Z5</t>
        </is>
      </c>
      <c r="B6343" t="inlineStr">
        <is>
          <t>May-2020</t>
        </is>
      </c>
      <c r="C6343" s="2" t="n">
        <v>44743</v>
      </c>
      <c r="D6343" t="inlineStr">
        <is>
          <t>NIL</t>
        </is>
      </c>
      <c r="E6343" t="n">
        <v>1740</v>
      </c>
    </row>
    <row r="6344">
      <c r="A6344" t="inlineStr">
        <is>
          <t>27BBBBB06344Z5</t>
        </is>
      </c>
      <c r="B6344" t="inlineStr">
        <is>
          <t>Apr-2018</t>
        </is>
      </c>
      <c r="C6344" s="2" t="n">
        <v>43100</v>
      </c>
      <c r="D6344" t="inlineStr">
        <is>
          <t>NIL</t>
        </is>
      </c>
      <c r="E6344" t="n">
        <v>2080</v>
      </c>
    </row>
    <row r="6345">
      <c r="A6345" t="inlineStr">
        <is>
          <t>27BBBBB06345Z5</t>
        </is>
      </c>
      <c r="B6345" t="inlineStr">
        <is>
          <t>Aug-2017</t>
        </is>
      </c>
      <c r="C6345" s="2" t="n">
        <v>44192</v>
      </c>
      <c r="D6345" t="inlineStr">
        <is>
          <t>NIL</t>
        </is>
      </c>
      <c r="E6345" t="n">
        <v>31</v>
      </c>
    </row>
    <row r="6346">
      <c r="A6346" t="inlineStr">
        <is>
          <t>27BBBBB06346Z5</t>
        </is>
      </c>
      <c r="B6346" t="inlineStr">
        <is>
          <t>Oct-2018</t>
        </is>
      </c>
      <c r="C6346" s="2" t="n">
        <v>44260</v>
      </c>
      <c r="D6346" t="inlineStr">
        <is>
          <t>NIL</t>
        </is>
      </c>
      <c r="E6346" t="n">
        <v>2307</v>
      </c>
    </row>
    <row r="6347">
      <c r="A6347" t="inlineStr">
        <is>
          <t>27BBBBB06347Z5</t>
        </is>
      </c>
      <c r="B6347" t="inlineStr">
        <is>
          <t>Apr-2020</t>
        </is>
      </c>
      <c r="C6347" s="2" t="n">
        <v>44719</v>
      </c>
      <c r="D6347" t="inlineStr">
        <is>
          <t>NON-NIL</t>
        </is>
      </c>
      <c r="E6347" t="n">
        <v>700</v>
      </c>
    </row>
    <row r="6348">
      <c r="A6348" t="inlineStr">
        <is>
          <t>27BBBBB06348Z5</t>
        </is>
      </c>
      <c r="B6348" t="inlineStr">
        <is>
          <t>Dec-2017</t>
        </is>
      </c>
      <c r="C6348" s="2" t="n">
        <v>43498</v>
      </c>
      <c r="D6348" t="inlineStr">
        <is>
          <t>NON-NIL</t>
        </is>
      </c>
      <c r="E6348" t="n">
        <v>1438</v>
      </c>
    </row>
    <row r="6349">
      <c r="A6349" t="inlineStr">
        <is>
          <t>27BBBBB06349Z5</t>
        </is>
      </c>
      <c r="B6349" t="inlineStr">
        <is>
          <t>Oct-2017</t>
        </is>
      </c>
      <c r="C6349" s="2" t="n">
        <v>43615</v>
      </c>
      <c r="D6349" t="inlineStr">
        <is>
          <t>NON-NIL</t>
        </is>
      </c>
      <c r="E6349" t="n">
        <v>147</v>
      </c>
    </row>
    <row r="6350">
      <c r="A6350" t="inlineStr">
        <is>
          <t>27BBBBB06350Z5</t>
        </is>
      </c>
      <c r="B6350" t="inlineStr">
        <is>
          <t>Jan-2018</t>
        </is>
      </c>
      <c r="C6350" s="2" t="n">
        <v>43445</v>
      </c>
      <c r="D6350" t="inlineStr">
        <is>
          <t>NIL</t>
        </is>
      </c>
      <c r="E6350" t="n">
        <v>1159</v>
      </c>
    </row>
    <row r="6351">
      <c r="A6351" t="inlineStr">
        <is>
          <t>27BBBBB06351Z5</t>
        </is>
      </c>
      <c r="B6351" t="inlineStr">
        <is>
          <t>Dec-2022</t>
        </is>
      </c>
      <c r="C6351" s="2" t="n">
        <v>45814</v>
      </c>
      <c r="D6351" t="inlineStr">
        <is>
          <t>NIL</t>
        </is>
      </c>
      <c r="E6351" t="n">
        <v>1798</v>
      </c>
    </row>
    <row r="6352">
      <c r="A6352" t="inlineStr">
        <is>
          <t>27BBBBB06352Z5</t>
        </is>
      </c>
      <c r="B6352" t="inlineStr">
        <is>
          <t>Dec-2022</t>
        </is>
      </c>
      <c r="C6352" s="2" t="n">
        <v>43780</v>
      </c>
      <c r="D6352" t="inlineStr">
        <is>
          <t>NIL</t>
        </is>
      </c>
      <c r="E6352" t="n">
        <v>216</v>
      </c>
    </row>
    <row r="6353">
      <c r="A6353" t="inlineStr">
        <is>
          <t>27BBBBB06353Z5</t>
        </is>
      </c>
      <c r="B6353" t="inlineStr">
        <is>
          <t>Feb-2018</t>
        </is>
      </c>
      <c r="C6353" s="2" t="n">
        <v>44253</v>
      </c>
      <c r="D6353" t="inlineStr">
        <is>
          <t>NON-NIL</t>
        </is>
      </c>
      <c r="E6353" t="n">
        <v>2016</v>
      </c>
    </row>
    <row r="6354">
      <c r="A6354" t="inlineStr">
        <is>
          <t>27BBBBB06354Z5</t>
        </is>
      </c>
      <c r="B6354" t="inlineStr">
        <is>
          <t>May-2020</t>
        </is>
      </c>
      <c r="C6354" s="2" t="n">
        <v>43914</v>
      </c>
      <c r="D6354" t="inlineStr">
        <is>
          <t>NON-NIL</t>
        </is>
      </c>
      <c r="E6354" t="n">
        <v>2187</v>
      </c>
    </row>
    <row r="6355">
      <c r="A6355" t="inlineStr">
        <is>
          <t>27BBBBB06355Z5</t>
        </is>
      </c>
      <c r="B6355" t="inlineStr">
        <is>
          <t>Feb-2018</t>
        </is>
      </c>
      <c r="C6355" s="2" t="n">
        <v>44253</v>
      </c>
      <c r="D6355" t="inlineStr">
        <is>
          <t>NIL</t>
        </is>
      </c>
      <c r="E6355" t="n">
        <v>2653</v>
      </c>
    </row>
    <row r="6356">
      <c r="A6356" t="inlineStr">
        <is>
          <t>27BBBBB06356Z5</t>
        </is>
      </c>
      <c r="B6356" t="inlineStr">
        <is>
          <t>Dec-2022</t>
        </is>
      </c>
      <c r="C6356" s="2" t="n">
        <v>44727</v>
      </c>
      <c r="D6356" t="inlineStr">
        <is>
          <t>NON-NIL</t>
        </is>
      </c>
      <c r="E6356" t="n">
        <v>1000</v>
      </c>
    </row>
    <row r="6357">
      <c r="A6357" t="inlineStr">
        <is>
          <t>27BBBBB06357Z5</t>
        </is>
      </c>
      <c r="B6357" t="inlineStr">
        <is>
          <t>May-2020</t>
        </is>
      </c>
      <c r="C6357" s="2" t="n">
        <v>44829</v>
      </c>
      <c r="D6357" t="inlineStr">
        <is>
          <t>NON-NIL</t>
        </is>
      </c>
      <c r="E6357" t="n">
        <v>2009</v>
      </c>
    </row>
    <row r="6358">
      <c r="A6358" t="inlineStr">
        <is>
          <t>27BBBBB06358Z5</t>
        </is>
      </c>
      <c r="B6358" t="inlineStr">
        <is>
          <t>Jun-2018</t>
        </is>
      </c>
      <c r="C6358" s="2" t="n">
        <v>43037</v>
      </c>
      <c r="D6358" t="inlineStr">
        <is>
          <t>NON-NIL</t>
        </is>
      </c>
      <c r="E6358" t="n">
        <v>852</v>
      </c>
    </row>
    <row r="6359">
      <c r="A6359" t="inlineStr">
        <is>
          <t>27BBBBB06359Z5</t>
        </is>
      </c>
      <c r="B6359" t="inlineStr">
        <is>
          <t>Jul-2018</t>
        </is>
      </c>
      <c r="C6359" s="2" t="n">
        <v>44060</v>
      </c>
      <c r="D6359" t="inlineStr">
        <is>
          <t>NON-NIL</t>
        </is>
      </c>
      <c r="E6359" t="n">
        <v>854</v>
      </c>
    </row>
    <row r="6360">
      <c r="A6360" t="inlineStr">
        <is>
          <t>27BBBBB06360Z5</t>
        </is>
      </c>
      <c r="B6360" t="inlineStr">
        <is>
          <t>Mar-2020</t>
        </is>
      </c>
      <c r="C6360" s="2" t="n">
        <v>44207</v>
      </c>
      <c r="D6360" t="inlineStr">
        <is>
          <t>NON-NIL</t>
        </is>
      </c>
      <c r="E6360" t="n">
        <v>2955</v>
      </c>
    </row>
    <row r="6361">
      <c r="A6361" t="inlineStr">
        <is>
          <t>27BBBBB06361Z5</t>
        </is>
      </c>
      <c r="B6361" t="inlineStr">
        <is>
          <t>Jan-2018</t>
        </is>
      </c>
      <c r="C6361" s="2" t="n">
        <v>43686</v>
      </c>
      <c r="D6361" t="inlineStr">
        <is>
          <t>NIL</t>
        </is>
      </c>
      <c r="E6361" t="n">
        <v>1031</v>
      </c>
    </row>
    <row r="6362">
      <c r="A6362" t="inlineStr">
        <is>
          <t>27BBBBB06362Z5</t>
        </is>
      </c>
      <c r="B6362" t="inlineStr">
        <is>
          <t>Jun-2020</t>
        </is>
      </c>
      <c r="C6362" s="2" t="n">
        <v>43994</v>
      </c>
      <c r="D6362" t="inlineStr">
        <is>
          <t>NIL</t>
        </is>
      </c>
      <c r="E6362" t="n">
        <v>1490</v>
      </c>
    </row>
    <row r="6363">
      <c r="A6363" t="inlineStr">
        <is>
          <t>27BBBBB06363Z5</t>
        </is>
      </c>
      <c r="B6363" t="inlineStr">
        <is>
          <t>Nov-2017</t>
        </is>
      </c>
      <c r="C6363" s="2" t="n">
        <v>43646</v>
      </c>
      <c r="D6363" t="inlineStr">
        <is>
          <t>NON-NIL</t>
        </is>
      </c>
      <c r="E6363" t="n">
        <v>1101</v>
      </c>
    </row>
    <row r="6364">
      <c r="A6364" t="inlineStr">
        <is>
          <t>27BBBBB06364Z5</t>
        </is>
      </c>
      <c r="B6364" t="inlineStr">
        <is>
          <t>Dec-2022</t>
        </is>
      </c>
      <c r="C6364" s="2" t="n">
        <v>43881</v>
      </c>
      <c r="D6364" t="inlineStr">
        <is>
          <t>NON-NIL</t>
        </is>
      </c>
      <c r="E6364" t="n">
        <v>1448</v>
      </c>
    </row>
    <row r="6365">
      <c r="A6365" t="inlineStr">
        <is>
          <t>27BBBBB06365Z5</t>
        </is>
      </c>
      <c r="B6365" t="inlineStr">
        <is>
          <t>Aug-2017</t>
        </is>
      </c>
      <c r="C6365" s="2" t="n">
        <v>43800</v>
      </c>
      <c r="D6365" t="inlineStr">
        <is>
          <t>NON-NIL</t>
        </is>
      </c>
      <c r="E6365" t="n">
        <v>866</v>
      </c>
    </row>
    <row r="6366">
      <c r="A6366" t="inlineStr">
        <is>
          <t>27BBBBB06366Z5</t>
        </is>
      </c>
      <c r="B6366" t="inlineStr">
        <is>
          <t>Jul-2020</t>
        </is>
      </c>
      <c r="C6366" s="2" t="n">
        <v>44296</v>
      </c>
      <c r="D6366" t="inlineStr">
        <is>
          <t>NIL</t>
        </is>
      </c>
      <c r="E6366" t="n">
        <v>1414</v>
      </c>
    </row>
    <row r="6367">
      <c r="A6367" t="inlineStr">
        <is>
          <t>27BBBBB06367Z5</t>
        </is>
      </c>
      <c r="B6367" t="inlineStr">
        <is>
          <t>Apr-2018</t>
        </is>
      </c>
      <c r="C6367" s="2" t="n">
        <v>43041</v>
      </c>
      <c r="D6367" t="inlineStr">
        <is>
          <t>NON-NIL</t>
        </is>
      </c>
      <c r="E6367" t="n">
        <v>2334</v>
      </c>
    </row>
    <row r="6368">
      <c r="A6368" t="inlineStr">
        <is>
          <t>27BBBBB06368Z5</t>
        </is>
      </c>
      <c r="B6368" t="inlineStr">
        <is>
          <t>Aug-2018</t>
        </is>
      </c>
      <c r="C6368" s="2" t="n">
        <v>43674</v>
      </c>
      <c r="D6368" t="inlineStr">
        <is>
          <t>NIL</t>
        </is>
      </c>
      <c r="E6368" t="n">
        <v>1130</v>
      </c>
    </row>
    <row r="6369">
      <c r="A6369" t="inlineStr">
        <is>
          <t>27BBBBB06369Z5</t>
        </is>
      </c>
      <c r="B6369" t="inlineStr">
        <is>
          <t>Nov-2018</t>
        </is>
      </c>
      <c r="C6369" s="2" t="n">
        <v>43205</v>
      </c>
      <c r="D6369" t="inlineStr">
        <is>
          <t>NON-NIL</t>
        </is>
      </c>
      <c r="E6369" t="n">
        <v>2285</v>
      </c>
    </row>
    <row r="6370">
      <c r="A6370" t="inlineStr">
        <is>
          <t>27BBBBB06370Z5</t>
        </is>
      </c>
      <c r="B6370" t="inlineStr">
        <is>
          <t>Dec-2017</t>
        </is>
      </c>
      <c r="C6370" s="2" t="n">
        <v>43851</v>
      </c>
      <c r="D6370" t="inlineStr">
        <is>
          <t>NIL</t>
        </is>
      </c>
      <c r="E6370" t="n">
        <v>1388</v>
      </c>
    </row>
    <row r="6371">
      <c r="A6371" t="inlineStr">
        <is>
          <t>27BBBBB06371Z5</t>
        </is>
      </c>
      <c r="B6371" t="inlineStr">
        <is>
          <t>Aug-2018</t>
        </is>
      </c>
      <c r="C6371" s="2" t="n">
        <v>44478</v>
      </c>
      <c r="D6371" t="inlineStr">
        <is>
          <t>NIL</t>
        </is>
      </c>
      <c r="E6371" t="n">
        <v>2558</v>
      </c>
    </row>
    <row r="6372">
      <c r="A6372" t="inlineStr">
        <is>
          <t>27BBBBB06372Z5</t>
        </is>
      </c>
      <c r="B6372" t="inlineStr">
        <is>
          <t>Feb-2018</t>
        </is>
      </c>
      <c r="C6372" s="2" t="n">
        <v>42992</v>
      </c>
      <c r="D6372" t="inlineStr">
        <is>
          <t>NIL</t>
        </is>
      </c>
      <c r="E6372" t="n">
        <v>2380</v>
      </c>
    </row>
    <row r="6373">
      <c r="A6373" t="inlineStr">
        <is>
          <t>27BBBBB06373Z5</t>
        </is>
      </c>
      <c r="B6373" t="inlineStr">
        <is>
          <t>Dec-2022</t>
        </is>
      </c>
      <c r="C6373" s="2" t="n">
        <v>44071</v>
      </c>
      <c r="D6373" t="inlineStr">
        <is>
          <t>NIL</t>
        </is>
      </c>
      <c r="E6373" t="n">
        <v>1140</v>
      </c>
    </row>
    <row r="6374">
      <c r="A6374" t="inlineStr">
        <is>
          <t>27BBBBB06374Z5</t>
        </is>
      </c>
      <c r="B6374" t="inlineStr">
        <is>
          <t>Dec-2024</t>
        </is>
      </c>
      <c r="C6374" s="2" t="n">
        <v>43763</v>
      </c>
      <c r="D6374" t="inlineStr">
        <is>
          <t>NIL</t>
        </is>
      </c>
      <c r="E6374" t="n">
        <v>1942</v>
      </c>
    </row>
    <row r="6375">
      <c r="A6375" t="inlineStr">
        <is>
          <t>27BBBBB06375Z5</t>
        </is>
      </c>
      <c r="B6375" t="inlineStr">
        <is>
          <t>Oct-2018</t>
        </is>
      </c>
      <c r="C6375" s="2" t="n">
        <v>43159</v>
      </c>
      <c r="D6375" t="inlineStr">
        <is>
          <t>NON-NIL</t>
        </is>
      </c>
      <c r="E6375" t="n">
        <v>1441</v>
      </c>
    </row>
    <row r="6376">
      <c r="A6376" t="inlineStr">
        <is>
          <t>27BBBBB06376Z5</t>
        </is>
      </c>
      <c r="B6376" t="inlineStr">
        <is>
          <t>Jul-2020</t>
        </is>
      </c>
      <c r="C6376" s="2" t="n">
        <v>44224</v>
      </c>
      <c r="D6376" t="inlineStr">
        <is>
          <t>NON-NIL</t>
        </is>
      </c>
      <c r="E6376" t="n">
        <v>2009</v>
      </c>
    </row>
    <row r="6377">
      <c r="A6377" t="inlineStr">
        <is>
          <t>27BBBBB06377Z5</t>
        </is>
      </c>
      <c r="B6377" t="inlineStr">
        <is>
          <t>Feb-2018</t>
        </is>
      </c>
      <c r="C6377" s="2" t="n">
        <v>43147</v>
      </c>
      <c r="D6377" t="inlineStr">
        <is>
          <t>NON-NIL</t>
        </is>
      </c>
      <c r="E6377" t="n">
        <v>1191</v>
      </c>
    </row>
    <row r="6378">
      <c r="A6378" t="inlineStr">
        <is>
          <t>27BBBBB06378Z5</t>
        </is>
      </c>
      <c r="B6378" t="inlineStr">
        <is>
          <t>Dec-2017</t>
        </is>
      </c>
      <c r="C6378" s="2" t="n">
        <v>44525</v>
      </c>
      <c r="D6378" t="inlineStr">
        <is>
          <t>NIL</t>
        </is>
      </c>
      <c r="E6378" t="n">
        <v>426</v>
      </c>
    </row>
    <row r="6379">
      <c r="A6379" t="inlineStr">
        <is>
          <t>27BBBBB06379Z5</t>
        </is>
      </c>
      <c r="B6379" t="inlineStr">
        <is>
          <t>May-2018</t>
        </is>
      </c>
      <c r="C6379" s="2" t="n">
        <v>43187</v>
      </c>
      <c r="D6379" t="inlineStr">
        <is>
          <t>NIL</t>
        </is>
      </c>
      <c r="E6379" t="n">
        <v>2845</v>
      </c>
    </row>
    <row r="6380">
      <c r="A6380" t="inlineStr">
        <is>
          <t>27BBBBB06380Z5</t>
        </is>
      </c>
      <c r="B6380" t="inlineStr">
        <is>
          <t>Dec-2022</t>
        </is>
      </c>
      <c r="C6380" s="2" t="n">
        <v>44117</v>
      </c>
      <c r="D6380" t="inlineStr">
        <is>
          <t>NON-NIL</t>
        </is>
      </c>
      <c r="E6380" t="n">
        <v>2463</v>
      </c>
    </row>
    <row r="6381">
      <c r="A6381" t="inlineStr">
        <is>
          <t>27BBBBB06381Z5</t>
        </is>
      </c>
      <c r="B6381" t="inlineStr">
        <is>
          <t>Feb-2018</t>
        </is>
      </c>
      <c r="C6381" s="2" t="n">
        <v>43776</v>
      </c>
      <c r="D6381" t="inlineStr">
        <is>
          <t>NIL</t>
        </is>
      </c>
      <c r="E6381" t="n">
        <v>2366</v>
      </c>
    </row>
    <row r="6382">
      <c r="A6382" t="inlineStr">
        <is>
          <t>27BBBBB06382Z5</t>
        </is>
      </c>
      <c r="B6382" t="inlineStr">
        <is>
          <t>Mar-2020</t>
        </is>
      </c>
      <c r="C6382" s="2" t="n">
        <v>44845</v>
      </c>
      <c r="D6382" t="inlineStr">
        <is>
          <t>NIL</t>
        </is>
      </c>
      <c r="E6382" t="n">
        <v>1925</v>
      </c>
    </row>
    <row r="6383">
      <c r="A6383" t="inlineStr">
        <is>
          <t>27BBBBB06383Z5</t>
        </is>
      </c>
      <c r="B6383" t="inlineStr">
        <is>
          <t>Jan-2018</t>
        </is>
      </c>
      <c r="C6383" s="2" t="n">
        <v>44180</v>
      </c>
      <c r="D6383" t="inlineStr">
        <is>
          <t>NON-NIL</t>
        </is>
      </c>
      <c r="E6383" t="n">
        <v>1490</v>
      </c>
    </row>
    <row r="6384">
      <c r="A6384" t="inlineStr">
        <is>
          <t>27BBBBB06384Z5</t>
        </is>
      </c>
      <c r="B6384" t="inlineStr">
        <is>
          <t>Oct-2017</t>
        </is>
      </c>
      <c r="C6384" s="2" t="n">
        <v>43393</v>
      </c>
      <c r="D6384" t="inlineStr">
        <is>
          <t>NIL</t>
        </is>
      </c>
      <c r="E6384" t="n">
        <v>96</v>
      </c>
    </row>
    <row r="6385">
      <c r="A6385" t="inlineStr">
        <is>
          <t>27BBBBB06385Z5</t>
        </is>
      </c>
      <c r="B6385" t="inlineStr">
        <is>
          <t>Dec-2022</t>
        </is>
      </c>
      <c r="C6385" s="2" t="n">
        <v>44451</v>
      </c>
      <c r="D6385" t="inlineStr">
        <is>
          <t>NON-NIL</t>
        </is>
      </c>
      <c r="E6385" t="n">
        <v>2216</v>
      </c>
    </row>
    <row r="6386">
      <c r="A6386" t="inlineStr">
        <is>
          <t>27BBBBB06386Z5</t>
        </is>
      </c>
      <c r="B6386" t="inlineStr">
        <is>
          <t>Nov-2018</t>
        </is>
      </c>
      <c r="C6386" s="2" t="n">
        <v>44493</v>
      </c>
      <c r="D6386" t="inlineStr">
        <is>
          <t>NON-NIL</t>
        </is>
      </c>
      <c r="E6386" t="n">
        <v>796</v>
      </c>
    </row>
    <row r="6387">
      <c r="A6387" t="inlineStr">
        <is>
          <t>27BBBBB06387Z5</t>
        </is>
      </c>
      <c r="B6387" t="inlineStr">
        <is>
          <t>May-2018</t>
        </is>
      </c>
      <c r="C6387" s="2" t="n">
        <v>44135</v>
      </c>
      <c r="D6387" t="inlineStr">
        <is>
          <t>NON-NIL</t>
        </is>
      </c>
      <c r="E6387" t="n">
        <v>411</v>
      </c>
    </row>
    <row r="6388">
      <c r="A6388" t="inlineStr">
        <is>
          <t>27BBBBB06388Z5</t>
        </is>
      </c>
      <c r="B6388" t="inlineStr">
        <is>
          <t>Nov-2017</t>
        </is>
      </c>
      <c r="C6388" s="2" t="n">
        <v>43378</v>
      </c>
      <c r="D6388" t="inlineStr">
        <is>
          <t>NIL</t>
        </is>
      </c>
      <c r="E6388" t="n">
        <v>2750</v>
      </c>
    </row>
    <row r="6389">
      <c r="A6389" t="inlineStr">
        <is>
          <t>27BBBBB06389Z5</t>
        </is>
      </c>
      <c r="B6389" t="inlineStr">
        <is>
          <t>Dec-2022</t>
        </is>
      </c>
      <c r="C6389" s="2" t="n">
        <v>45400</v>
      </c>
      <c r="D6389" t="inlineStr">
        <is>
          <t>NON-NIL</t>
        </is>
      </c>
      <c r="E6389" t="n">
        <v>1551</v>
      </c>
    </row>
    <row r="6390">
      <c r="A6390" t="inlineStr">
        <is>
          <t>27BBBBB06390Z5</t>
        </is>
      </c>
      <c r="B6390" t="inlineStr">
        <is>
          <t>Mar-2021</t>
        </is>
      </c>
      <c r="C6390" s="2" t="n">
        <v>45306</v>
      </c>
      <c r="D6390" t="inlineStr">
        <is>
          <t>NON-NIL</t>
        </is>
      </c>
      <c r="E6390" t="n">
        <v>1280</v>
      </c>
    </row>
    <row r="6391">
      <c r="A6391" t="inlineStr">
        <is>
          <t>27BBBBB06391Z5</t>
        </is>
      </c>
      <c r="B6391" t="inlineStr">
        <is>
          <t>Feb-2018</t>
        </is>
      </c>
      <c r="C6391" s="2" t="n">
        <v>43870</v>
      </c>
      <c r="D6391" t="inlineStr">
        <is>
          <t>NON-NIL</t>
        </is>
      </c>
      <c r="E6391" t="n">
        <v>147</v>
      </c>
    </row>
    <row r="6392">
      <c r="A6392" t="inlineStr">
        <is>
          <t>27BBBBB06392Z5</t>
        </is>
      </c>
      <c r="B6392" t="inlineStr">
        <is>
          <t>Apr-2020</t>
        </is>
      </c>
      <c r="C6392" s="2" t="n">
        <v>44640</v>
      </c>
      <c r="D6392" t="inlineStr">
        <is>
          <t>NON-NIL</t>
        </is>
      </c>
      <c r="E6392" t="n">
        <v>637</v>
      </c>
    </row>
    <row r="6393">
      <c r="A6393" t="inlineStr">
        <is>
          <t>27BBBBB06393Z5</t>
        </is>
      </c>
      <c r="B6393" t="inlineStr">
        <is>
          <t>Nov-2017</t>
        </is>
      </c>
      <c r="C6393" s="2" t="n">
        <v>43668</v>
      </c>
      <c r="D6393" t="inlineStr">
        <is>
          <t>NON-NIL</t>
        </is>
      </c>
      <c r="E6393" t="n">
        <v>853</v>
      </c>
    </row>
    <row r="6394">
      <c r="A6394" t="inlineStr">
        <is>
          <t>27BBBBB06394Z5</t>
        </is>
      </c>
      <c r="B6394" t="inlineStr">
        <is>
          <t>Nov-2018</t>
        </is>
      </c>
      <c r="C6394" s="2" t="n">
        <v>44505</v>
      </c>
      <c r="D6394" t="inlineStr">
        <is>
          <t>NON-NIL</t>
        </is>
      </c>
      <c r="E6394" t="n">
        <v>278</v>
      </c>
    </row>
    <row r="6395">
      <c r="A6395" t="inlineStr">
        <is>
          <t>27BBBBB06395Z5</t>
        </is>
      </c>
      <c r="B6395" t="inlineStr">
        <is>
          <t>Aug-2018</t>
        </is>
      </c>
      <c r="C6395" s="2" t="n">
        <v>42975</v>
      </c>
      <c r="D6395" t="inlineStr">
        <is>
          <t>NIL</t>
        </is>
      </c>
      <c r="E6395" t="n">
        <v>448</v>
      </c>
    </row>
    <row r="6396">
      <c r="A6396" t="inlineStr">
        <is>
          <t>27BBBBB06396Z5</t>
        </is>
      </c>
      <c r="B6396" t="inlineStr">
        <is>
          <t>Nov-2017</t>
        </is>
      </c>
      <c r="C6396" s="2" t="n">
        <v>43047</v>
      </c>
      <c r="D6396" t="inlineStr">
        <is>
          <t>NIL</t>
        </is>
      </c>
      <c r="E6396" t="n">
        <v>1228</v>
      </c>
    </row>
    <row r="6397">
      <c r="A6397" t="inlineStr">
        <is>
          <t>27BBBBB06397Z5</t>
        </is>
      </c>
      <c r="B6397" t="inlineStr">
        <is>
          <t>Mar-2018</t>
        </is>
      </c>
      <c r="C6397" s="2" t="n">
        <v>43188</v>
      </c>
      <c r="D6397" t="inlineStr">
        <is>
          <t>NIL</t>
        </is>
      </c>
      <c r="E6397" t="n">
        <v>2216</v>
      </c>
    </row>
    <row r="6398">
      <c r="A6398" t="inlineStr">
        <is>
          <t>27BBBBB06398Z5</t>
        </is>
      </c>
      <c r="B6398" t="inlineStr">
        <is>
          <t>Sep-2017</t>
        </is>
      </c>
      <c r="C6398" s="2" t="n">
        <v>43555</v>
      </c>
      <c r="D6398" t="inlineStr">
        <is>
          <t>NON-NIL</t>
        </is>
      </c>
      <c r="E6398" t="n">
        <v>1129</v>
      </c>
    </row>
    <row r="6399">
      <c r="A6399" t="inlineStr">
        <is>
          <t>27BBBBB06399Z5</t>
        </is>
      </c>
      <c r="B6399" t="inlineStr">
        <is>
          <t>Aug-2017</t>
        </is>
      </c>
      <c r="C6399" s="2" t="n">
        <v>43418</v>
      </c>
      <c r="D6399" t="inlineStr">
        <is>
          <t>NIL</t>
        </is>
      </c>
      <c r="E6399" t="n">
        <v>1953</v>
      </c>
    </row>
    <row r="6400">
      <c r="A6400" t="inlineStr">
        <is>
          <t>27BBBBB06400Z5</t>
        </is>
      </c>
      <c r="B6400" t="inlineStr">
        <is>
          <t>Jul-2020</t>
        </is>
      </c>
      <c r="C6400" s="2" t="n">
        <v>44387</v>
      </c>
      <c r="D6400" t="inlineStr">
        <is>
          <t>NIL</t>
        </is>
      </c>
      <c r="E6400" t="n">
        <v>1403</v>
      </c>
    </row>
    <row r="6401">
      <c r="A6401" t="inlineStr">
        <is>
          <t>27BBBBB06401Z5</t>
        </is>
      </c>
      <c r="B6401" t="inlineStr">
        <is>
          <t>Mar-2018</t>
        </is>
      </c>
      <c r="C6401" s="2" t="n">
        <v>43804</v>
      </c>
      <c r="D6401" t="inlineStr">
        <is>
          <t>NON-NIL</t>
        </is>
      </c>
      <c r="E6401" t="n">
        <v>749</v>
      </c>
    </row>
    <row r="6402">
      <c r="A6402" t="inlineStr">
        <is>
          <t>27BBBBB06402Z5</t>
        </is>
      </c>
      <c r="B6402" t="inlineStr">
        <is>
          <t>Nov-2017</t>
        </is>
      </c>
      <c r="C6402" s="2" t="n">
        <v>43662</v>
      </c>
      <c r="D6402" t="inlineStr">
        <is>
          <t>NON-NIL</t>
        </is>
      </c>
      <c r="E6402" t="n">
        <v>2327</v>
      </c>
    </row>
    <row r="6403">
      <c r="A6403" t="inlineStr">
        <is>
          <t>27BBBBB06403Z5</t>
        </is>
      </c>
      <c r="B6403" t="inlineStr">
        <is>
          <t>Nov-2017</t>
        </is>
      </c>
      <c r="C6403" s="2" t="n">
        <v>43196</v>
      </c>
      <c r="D6403" t="inlineStr">
        <is>
          <t>NON-NIL</t>
        </is>
      </c>
      <c r="E6403" t="n">
        <v>303</v>
      </c>
    </row>
    <row r="6404">
      <c r="A6404" t="inlineStr">
        <is>
          <t>27BBBBB06404Z5</t>
        </is>
      </c>
      <c r="B6404" t="inlineStr">
        <is>
          <t>Apr-2020</t>
        </is>
      </c>
      <c r="C6404" s="2" t="n">
        <v>44206</v>
      </c>
      <c r="D6404" t="inlineStr">
        <is>
          <t>NIL</t>
        </is>
      </c>
      <c r="E6404" t="n">
        <v>1926</v>
      </c>
    </row>
    <row r="6405">
      <c r="A6405" t="inlineStr">
        <is>
          <t>27BBBBB06405Z5</t>
        </is>
      </c>
      <c r="B6405" t="inlineStr">
        <is>
          <t>Apr-2018</t>
        </is>
      </c>
      <c r="C6405" s="2" t="n">
        <v>43479</v>
      </c>
      <c r="D6405" t="inlineStr">
        <is>
          <t>NIL</t>
        </is>
      </c>
      <c r="E6405" t="n">
        <v>2747</v>
      </c>
    </row>
    <row r="6406">
      <c r="A6406" t="inlineStr">
        <is>
          <t>27BBBBB06406Z5</t>
        </is>
      </c>
      <c r="B6406" t="inlineStr">
        <is>
          <t>Oct-2017</t>
        </is>
      </c>
      <c r="C6406" s="2" t="n">
        <v>43518</v>
      </c>
      <c r="D6406" t="inlineStr">
        <is>
          <t>NON-NIL</t>
        </is>
      </c>
      <c r="E6406" t="n">
        <v>670</v>
      </c>
    </row>
    <row r="6407">
      <c r="A6407" t="inlineStr">
        <is>
          <t>27BBBBB06407Z5</t>
        </is>
      </c>
      <c r="B6407" t="inlineStr">
        <is>
          <t>Apr-2020</t>
        </is>
      </c>
      <c r="C6407" s="2" t="n">
        <v>44828</v>
      </c>
      <c r="D6407" t="inlineStr">
        <is>
          <t>NIL</t>
        </is>
      </c>
      <c r="E6407" t="n">
        <v>537</v>
      </c>
    </row>
    <row r="6408">
      <c r="A6408" t="inlineStr">
        <is>
          <t>27BBBBB06408Z5</t>
        </is>
      </c>
      <c r="B6408" t="inlineStr">
        <is>
          <t>May-2020</t>
        </is>
      </c>
      <c r="C6408" s="2" t="n">
        <v>44863</v>
      </c>
      <c r="D6408" t="inlineStr">
        <is>
          <t>NON-NIL</t>
        </is>
      </c>
      <c r="E6408" t="n">
        <v>1323</v>
      </c>
    </row>
    <row r="6409">
      <c r="A6409" t="inlineStr">
        <is>
          <t>27BBBBB06409Z5</t>
        </is>
      </c>
      <c r="B6409" t="inlineStr">
        <is>
          <t>Jan-2018</t>
        </is>
      </c>
      <c r="C6409" s="2" t="n">
        <v>43983</v>
      </c>
      <c r="D6409" t="inlineStr">
        <is>
          <t>NIL</t>
        </is>
      </c>
      <c r="E6409" t="n">
        <v>677</v>
      </c>
    </row>
    <row r="6410">
      <c r="A6410" t="inlineStr">
        <is>
          <t>27BBBBB06410Z5</t>
        </is>
      </c>
      <c r="B6410" t="inlineStr">
        <is>
          <t>Mar-2021</t>
        </is>
      </c>
      <c r="C6410" s="2" t="n">
        <v>45809</v>
      </c>
      <c r="D6410" t="inlineStr">
        <is>
          <t>NIL</t>
        </is>
      </c>
      <c r="E6410" t="n">
        <v>2570</v>
      </c>
    </row>
    <row r="6411">
      <c r="A6411" t="inlineStr">
        <is>
          <t>27BBBBB06411Z5</t>
        </is>
      </c>
      <c r="B6411" t="inlineStr">
        <is>
          <t>Aug-2018</t>
        </is>
      </c>
      <c r="C6411" s="2" t="n">
        <v>43805</v>
      </c>
      <c r="D6411" t="inlineStr">
        <is>
          <t>NIL</t>
        </is>
      </c>
      <c r="E6411" t="n">
        <v>1103</v>
      </c>
    </row>
    <row r="6412">
      <c r="A6412" t="inlineStr">
        <is>
          <t>27BBBBB06412Z5</t>
        </is>
      </c>
      <c r="B6412" t="inlineStr">
        <is>
          <t>Jul-2020</t>
        </is>
      </c>
      <c r="C6412" s="2" t="n">
        <v>43855</v>
      </c>
      <c r="D6412" t="inlineStr">
        <is>
          <t>NIL</t>
        </is>
      </c>
      <c r="E6412" t="n">
        <v>2373</v>
      </c>
    </row>
    <row r="6413">
      <c r="A6413" t="inlineStr">
        <is>
          <t>27BBBBB06413Z5</t>
        </is>
      </c>
      <c r="B6413" t="inlineStr">
        <is>
          <t>Dec-2018</t>
        </is>
      </c>
      <c r="C6413" s="2" t="n">
        <v>44113</v>
      </c>
      <c r="D6413" t="inlineStr">
        <is>
          <t>NIL</t>
        </is>
      </c>
      <c r="E6413" t="n">
        <v>1732</v>
      </c>
    </row>
    <row r="6414">
      <c r="A6414" t="inlineStr">
        <is>
          <t>27BBBBB06414Z5</t>
        </is>
      </c>
      <c r="B6414" t="inlineStr">
        <is>
          <t>Dec-2018</t>
        </is>
      </c>
      <c r="C6414" s="2" t="n">
        <v>44420</v>
      </c>
      <c r="D6414" t="inlineStr">
        <is>
          <t>NON-NIL</t>
        </is>
      </c>
      <c r="E6414" t="n">
        <v>171</v>
      </c>
    </row>
    <row r="6415">
      <c r="A6415" t="inlineStr">
        <is>
          <t>27BBBBB06415Z5</t>
        </is>
      </c>
      <c r="B6415" t="inlineStr">
        <is>
          <t>Sep-2017</t>
        </is>
      </c>
      <c r="C6415" s="2" t="n">
        <v>43879</v>
      </c>
      <c r="D6415" t="inlineStr">
        <is>
          <t>NIL</t>
        </is>
      </c>
      <c r="E6415" t="n">
        <v>311</v>
      </c>
    </row>
    <row r="6416">
      <c r="A6416" t="inlineStr">
        <is>
          <t>27BBBBB06416Z5</t>
        </is>
      </c>
      <c r="B6416" t="inlineStr">
        <is>
          <t>Jun-2018</t>
        </is>
      </c>
      <c r="C6416" s="2" t="n">
        <v>44338</v>
      </c>
      <c r="D6416" t="inlineStr">
        <is>
          <t>NIL</t>
        </is>
      </c>
      <c r="E6416" t="n">
        <v>2183</v>
      </c>
    </row>
    <row r="6417">
      <c r="A6417" t="inlineStr">
        <is>
          <t>27BBBBB06417Z5</t>
        </is>
      </c>
      <c r="B6417" t="inlineStr">
        <is>
          <t>Dec-2024</t>
        </is>
      </c>
      <c r="C6417" s="2" t="n">
        <v>44548</v>
      </c>
      <c r="D6417" t="inlineStr">
        <is>
          <t>NON-NIL</t>
        </is>
      </c>
      <c r="E6417" t="n">
        <v>1159</v>
      </c>
    </row>
    <row r="6418">
      <c r="A6418" t="inlineStr">
        <is>
          <t>27BBBBB06418Z5</t>
        </is>
      </c>
      <c r="B6418" t="inlineStr">
        <is>
          <t>Mar-2018</t>
        </is>
      </c>
      <c r="C6418" s="2" t="n">
        <v>44546</v>
      </c>
      <c r="D6418" t="inlineStr">
        <is>
          <t>NIL</t>
        </is>
      </c>
      <c r="E6418" t="n">
        <v>254</v>
      </c>
    </row>
    <row r="6419">
      <c r="A6419" t="inlineStr">
        <is>
          <t>27BBBBB06419Z5</t>
        </is>
      </c>
      <c r="B6419" t="inlineStr">
        <is>
          <t>Aug-2017</t>
        </is>
      </c>
      <c r="C6419" s="2" t="n">
        <v>43567</v>
      </c>
      <c r="D6419" t="inlineStr">
        <is>
          <t>NON-NIL</t>
        </is>
      </c>
      <c r="E6419" t="n">
        <v>2814</v>
      </c>
    </row>
    <row r="6420">
      <c r="A6420" t="inlineStr">
        <is>
          <t>27BBBBB06420Z5</t>
        </is>
      </c>
      <c r="B6420" t="inlineStr">
        <is>
          <t>Feb-2018</t>
        </is>
      </c>
      <c r="C6420" s="2" t="n">
        <v>44232</v>
      </c>
      <c r="D6420" t="inlineStr">
        <is>
          <t>NIL</t>
        </is>
      </c>
      <c r="E6420" t="n">
        <v>2747</v>
      </c>
    </row>
    <row r="6421">
      <c r="A6421" t="inlineStr">
        <is>
          <t>27BBBBB06421Z5</t>
        </is>
      </c>
      <c r="B6421" t="inlineStr">
        <is>
          <t>Dec-2017</t>
        </is>
      </c>
      <c r="C6421" s="2" t="n">
        <v>43177</v>
      </c>
      <c r="D6421" t="inlineStr">
        <is>
          <t>NIL</t>
        </is>
      </c>
      <c r="E6421" t="n">
        <v>2919</v>
      </c>
    </row>
    <row r="6422">
      <c r="A6422" t="inlineStr">
        <is>
          <t>27BBBBB06422Z5</t>
        </is>
      </c>
      <c r="B6422" t="inlineStr">
        <is>
          <t>Mar-2023</t>
        </is>
      </c>
      <c r="C6422" s="2" t="n">
        <v>45175</v>
      </c>
      <c r="D6422" t="inlineStr">
        <is>
          <t>NON-NIL</t>
        </is>
      </c>
      <c r="E6422" t="n">
        <v>2388</v>
      </c>
    </row>
    <row r="6423">
      <c r="A6423" t="inlineStr">
        <is>
          <t>27BBBBB06423Z5</t>
        </is>
      </c>
      <c r="B6423" t="inlineStr">
        <is>
          <t>Dec-2017</t>
        </is>
      </c>
      <c r="C6423" s="2" t="n">
        <v>43370</v>
      </c>
      <c r="D6423" t="inlineStr">
        <is>
          <t>NIL</t>
        </is>
      </c>
      <c r="E6423" t="n">
        <v>1811</v>
      </c>
    </row>
    <row r="6424">
      <c r="A6424" t="inlineStr">
        <is>
          <t>27BBBBB06424Z5</t>
        </is>
      </c>
      <c r="B6424" t="inlineStr">
        <is>
          <t>Dec-2017</t>
        </is>
      </c>
      <c r="C6424" s="2" t="n">
        <v>43525</v>
      </c>
      <c r="D6424" t="inlineStr">
        <is>
          <t>NON-NIL</t>
        </is>
      </c>
      <c r="E6424" t="n">
        <v>2809</v>
      </c>
    </row>
    <row r="6425">
      <c r="A6425" t="inlineStr">
        <is>
          <t>27BBBBB06425Z5</t>
        </is>
      </c>
      <c r="B6425" t="inlineStr">
        <is>
          <t>May-2020</t>
        </is>
      </c>
      <c r="C6425" s="2" t="n">
        <v>44566</v>
      </c>
      <c r="D6425" t="inlineStr">
        <is>
          <t>NIL</t>
        </is>
      </c>
      <c r="E6425" t="n">
        <v>908</v>
      </c>
    </row>
    <row r="6426">
      <c r="A6426" t="inlineStr">
        <is>
          <t>27BBBBB06426Z5</t>
        </is>
      </c>
      <c r="B6426" t="inlineStr">
        <is>
          <t>Nov-2018</t>
        </is>
      </c>
      <c r="C6426" s="2" t="n">
        <v>44100</v>
      </c>
      <c r="D6426" t="inlineStr">
        <is>
          <t>NIL</t>
        </is>
      </c>
      <c r="E6426" t="n">
        <v>1247</v>
      </c>
    </row>
    <row r="6427">
      <c r="A6427" t="inlineStr">
        <is>
          <t>27BBBBB06427Z5</t>
        </is>
      </c>
      <c r="B6427" t="inlineStr">
        <is>
          <t>Oct-2018</t>
        </is>
      </c>
      <c r="C6427" s="2" t="n">
        <v>43786</v>
      </c>
      <c r="D6427" t="inlineStr">
        <is>
          <t>NON-NIL</t>
        </is>
      </c>
      <c r="E6427" t="n">
        <v>2547</v>
      </c>
    </row>
    <row r="6428">
      <c r="A6428" t="inlineStr">
        <is>
          <t>27BBBBB06428Z5</t>
        </is>
      </c>
      <c r="B6428" t="inlineStr">
        <is>
          <t>Mar-2020</t>
        </is>
      </c>
      <c r="C6428" s="2" t="n">
        <v>44487</v>
      </c>
      <c r="D6428" t="inlineStr">
        <is>
          <t>NIL</t>
        </is>
      </c>
      <c r="E6428" t="n">
        <v>2908</v>
      </c>
    </row>
    <row r="6429">
      <c r="A6429" t="inlineStr">
        <is>
          <t>27BBBBB06429Z5</t>
        </is>
      </c>
      <c r="B6429" t="inlineStr">
        <is>
          <t>Jan-2018</t>
        </is>
      </c>
      <c r="C6429" s="2" t="n">
        <v>43226</v>
      </c>
      <c r="D6429" t="inlineStr">
        <is>
          <t>NON-NIL</t>
        </is>
      </c>
      <c r="E6429" t="n">
        <v>816</v>
      </c>
    </row>
    <row r="6430">
      <c r="A6430" t="inlineStr">
        <is>
          <t>27BBBBB06430Z5</t>
        </is>
      </c>
      <c r="B6430" t="inlineStr">
        <is>
          <t>Jan-2021</t>
        </is>
      </c>
      <c r="C6430" s="2" t="n">
        <v>45403</v>
      </c>
      <c r="D6430" t="inlineStr">
        <is>
          <t>NON-NIL</t>
        </is>
      </c>
      <c r="E6430" t="n">
        <v>2644</v>
      </c>
    </row>
    <row r="6431">
      <c r="A6431" t="inlineStr">
        <is>
          <t>27BBBBB06431Z5</t>
        </is>
      </c>
      <c r="B6431" t="inlineStr">
        <is>
          <t>Apr-2018</t>
        </is>
      </c>
      <c r="C6431" s="2" t="n">
        <v>44505</v>
      </c>
      <c r="D6431" t="inlineStr">
        <is>
          <t>NIL</t>
        </is>
      </c>
      <c r="E6431" t="n">
        <v>645</v>
      </c>
    </row>
    <row r="6432">
      <c r="A6432" t="inlineStr">
        <is>
          <t>27BBBBB06432Z5</t>
        </is>
      </c>
      <c r="B6432" t="inlineStr">
        <is>
          <t>May-2020</t>
        </is>
      </c>
      <c r="C6432" s="2" t="n">
        <v>44673</v>
      </c>
      <c r="D6432" t="inlineStr">
        <is>
          <t>NON-NIL</t>
        </is>
      </c>
      <c r="E6432" t="n">
        <v>258</v>
      </c>
    </row>
    <row r="6433">
      <c r="A6433" t="inlineStr">
        <is>
          <t>27BBBBB06433Z5</t>
        </is>
      </c>
      <c r="B6433" t="inlineStr">
        <is>
          <t>Jul-2018</t>
        </is>
      </c>
      <c r="C6433" s="2" t="n">
        <v>43506</v>
      </c>
      <c r="D6433" t="inlineStr">
        <is>
          <t>NON-NIL</t>
        </is>
      </c>
      <c r="E6433" t="n">
        <v>988</v>
      </c>
    </row>
    <row r="6434">
      <c r="A6434" t="inlineStr">
        <is>
          <t>27BBBBB06434Z5</t>
        </is>
      </c>
      <c r="B6434" t="inlineStr">
        <is>
          <t>Mar-2021</t>
        </is>
      </c>
      <c r="C6434" s="2" t="n">
        <v>44874</v>
      </c>
      <c r="D6434" t="inlineStr">
        <is>
          <t>NIL</t>
        </is>
      </c>
      <c r="E6434" t="n">
        <v>1174</v>
      </c>
    </row>
    <row r="6435">
      <c r="A6435" t="inlineStr">
        <is>
          <t>27BBBBB06435Z5</t>
        </is>
      </c>
      <c r="B6435" t="inlineStr">
        <is>
          <t>Jun-2018</t>
        </is>
      </c>
      <c r="C6435" s="2" t="n">
        <v>43503</v>
      </c>
      <c r="D6435" t="inlineStr">
        <is>
          <t>NON-NIL</t>
        </is>
      </c>
      <c r="E6435" t="n">
        <v>550</v>
      </c>
    </row>
    <row r="6436">
      <c r="A6436" t="inlineStr">
        <is>
          <t>27BBBBB06436Z5</t>
        </is>
      </c>
      <c r="B6436" t="inlineStr">
        <is>
          <t>Jul-2018</t>
        </is>
      </c>
      <c r="C6436" s="2" t="n">
        <v>42998</v>
      </c>
      <c r="D6436" t="inlineStr">
        <is>
          <t>NON-NIL</t>
        </is>
      </c>
      <c r="E6436" t="n">
        <v>1404</v>
      </c>
    </row>
    <row r="6437">
      <c r="A6437" t="inlineStr">
        <is>
          <t>27BBBBB06437Z5</t>
        </is>
      </c>
      <c r="B6437" t="inlineStr">
        <is>
          <t>Feb-2018</t>
        </is>
      </c>
      <c r="C6437" s="2" t="n">
        <v>43947</v>
      </c>
      <c r="D6437" t="inlineStr">
        <is>
          <t>NON-NIL</t>
        </is>
      </c>
      <c r="E6437" t="n">
        <v>1454</v>
      </c>
    </row>
    <row r="6438">
      <c r="A6438" t="inlineStr">
        <is>
          <t>27BBBBB06438Z5</t>
        </is>
      </c>
      <c r="B6438" t="inlineStr">
        <is>
          <t>Jun-2018</t>
        </is>
      </c>
      <c r="C6438" s="2" t="n">
        <v>44025</v>
      </c>
      <c r="D6438" t="inlineStr">
        <is>
          <t>NON-NIL</t>
        </is>
      </c>
      <c r="E6438" t="n">
        <v>2341</v>
      </c>
    </row>
    <row r="6439">
      <c r="A6439" t="inlineStr">
        <is>
          <t>27BBBBB06439Z5</t>
        </is>
      </c>
      <c r="B6439" t="inlineStr">
        <is>
          <t>Mar-2020</t>
        </is>
      </c>
      <c r="C6439" s="2" t="n">
        <v>44032</v>
      </c>
      <c r="D6439" t="inlineStr">
        <is>
          <t>NIL</t>
        </is>
      </c>
      <c r="E6439" t="n">
        <v>900</v>
      </c>
    </row>
    <row r="6440">
      <c r="A6440" t="inlineStr">
        <is>
          <t>27BBBBB06440Z5</t>
        </is>
      </c>
      <c r="B6440" t="inlineStr">
        <is>
          <t>Mar-2018</t>
        </is>
      </c>
      <c r="C6440" s="2" t="n">
        <v>43883</v>
      </c>
      <c r="D6440" t="inlineStr">
        <is>
          <t>NON-NIL</t>
        </is>
      </c>
      <c r="E6440" t="n">
        <v>2801</v>
      </c>
    </row>
    <row r="6441">
      <c r="A6441" t="inlineStr">
        <is>
          <t>27BBBBB06441Z5</t>
        </is>
      </c>
      <c r="B6441" t="inlineStr">
        <is>
          <t>Mar-2018</t>
        </is>
      </c>
      <c r="C6441" s="2" t="n">
        <v>43477</v>
      </c>
      <c r="D6441" t="inlineStr">
        <is>
          <t>NON-NIL</t>
        </is>
      </c>
      <c r="E6441" t="n">
        <v>2272</v>
      </c>
    </row>
    <row r="6442">
      <c r="A6442" t="inlineStr">
        <is>
          <t>27BBBBB06442Z5</t>
        </is>
      </c>
      <c r="B6442" t="inlineStr">
        <is>
          <t>May-2018</t>
        </is>
      </c>
      <c r="C6442" s="2" t="n">
        <v>43350</v>
      </c>
      <c r="D6442" t="inlineStr">
        <is>
          <t>NIL</t>
        </is>
      </c>
      <c r="E6442" t="n">
        <v>506</v>
      </c>
    </row>
    <row r="6443">
      <c r="A6443" t="inlineStr">
        <is>
          <t>27BBBBB06443Z5</t>
        </is>
      </c>
      <c r="B6443" t="inlineStr">
        <is>
          <t>Mar-2021</t>
        </is>
      </c>
      <c r="C6443" s="2" t="n">
        <v>43753</v>
      </c>
      <c r="D6443" t="inlineStr">
        <is>
          <t>NIL</t>
        </is>
      </c>
      <c r="E6443" t="n">
        <v>223</v>
      </c>
    </row>
    <row r="6444">
      <c r="A6444" t="inlineStr">
        <is>
          <t>27BBBBB06444Z5</t>
        </is>
      </c>
      <c r="B6444" t="inlineStr">
        <is>
          <t>Dec-2022</t>
        </is>
      </c>
      <c r="C6444" s="2" t="n">
        <v>45648</v>
      </c>
      <c r="D6444" t="inlineStr">
        <is>
          <t>NIL</t>
        </is>
      </c>
      <c r="E6444" t="n">
        <v>593</v>
      </c>
    </row>
    <row r="6445">
      <c r="A6445" t="inlineStr">
        <is>
          <t>27BBBBB06445Z5</t>
        </is>
      </c>
      <c r="B6445" t="inlineStr">
        <is>
          <t>Jan-2021</t>
        </is>
      </c>
      <c r="C6445" s="2" t="n">
        <v>43801</v>
      </c>
      <c r="D6445" t="inlineStr">
        <is>
          <t>NIL</t>
        </is>
      </c>
      <c r="E6445" t="n">
        <v>428</v>
      </c>
    </row>
    <row r="6446">
      <c r="A6446" t="inlineStr">
        <is>
          <t>27BBBBB06446Z5</t>
        </is>
      </c>
      <c r="B6446" t="inlineStr">
        <is>
          <t>Dec-2024</t>
        </is>
      </c>
      <c r="C6446" s="2" t="n">
        <v>45214</v>
      </c>
      <c r="D6446" t="inlineStr">
        <is>
          <t>NIL</t>
        </is>
      </c>
      <c r="E6446" t="n">
        <v>2654</v>
      </c>
    </row>
    <row r="6447">
      <c r="A6447" t="inlineStr">
        <is>
          <t>27BBBBB06447Z5</t>
        </is>
      </c>
      <c r="B6447" t="inlineStr">
        <is>
          <t>Sep-2018</t>
        </is>
      </c>
      <c r="C6447" s="2" t="n">
        <v>43776</v>
      </c>
      <c r="D6447" t="inlineStr">
        <is>
          <t>NIL</t>
        </is>
      </c>
      <c r="E6447" t="n">
        <v>1460</v>
      </c>
    </row>
    <row r="6448">
      <c r="A6448" t="inlineStr">
        <is>
          <t>27BBBBB06448Z5</t>
        </is>
      </c>
      <c r="B6448" t="inlineStr">
        <is>
          <t>Sep-2017</t>
        </is>
      </c>
      <c r="C6448" s="2" t="n">
        <v>44472</v>
      </c>
      <c r="D6448" t="inlineStr">
        <is>
          <t>NON-NIL</t>
        </is>
      </c>
      <c r="E6448" t="n">
        <v>847</v>
      </c>
    </row>
    <row r="6449">
      <c r="A6449" t="inlineStr">
        <is>
          <t>27BBBBB06449Z5</t>
        </is>
      </c>
      <c r="B6449" t="inlineStr">
        <is>
          <t>Mar-2023</t>
        </is>
      </c>
      <c r="C6449" s="2" t="n">
        <v>43875</v>
      </c>
      <c r="D6449" t="inlineStr">
        <is>
          <t>NIL</t>
        </is>
      </c>
      <c r="E6449" t="n">
        <v>606</v>
      </c>
    </row>
    <row r="6450">
      <c r="A6450" t="inlineStr">
        <is>
          <t>27BBBBB06450Z5</t>
        </is>
      </c>
      <c r="B6450" t="inlineStr">
        <is>
          <t>Dec-2022</t>
        </is>
      </c>
      <c r="C6450" s="2" t="n">
        <v>45584</v>
      </c>
      <c r="D6450" t="inlineStr">
        <is>
          <t>NIL</t>
        </is>
      </c>
      <c r="E6450" t="n">
        <v>894</v>
      </c>
    </row>
    <row r="6451">
      <c r="A6451" t="inlineStr">
        <is>
          <t>27BBBBB06451Z5</t>
        </is>
      </c>
      <c r="B6451" t="inlineStr">
        <is>
          <t>Oct-2017</t>
        </is>
      </c>
      <c r="C6451" s="2" t="n">
        <v>43210</v>
      </c>
      <c r="D6451" t="inlineStr">
        <is>
          <t>NON-NIL</t>
        </is>
      </c>
      <c r="E6451" t="n">
        <v>1334</v>
      </c>
    </row>
    <row r="6452">
      <c r="A6452" t="inlineStr">
        <is>
          <t>27BBBBB06452Z5</t>
        </is>
      </c>
      <c r="B6452" t="inlineStr">
        <is>
          <t>Dec-2022</t>
        </is>
      </c>
      <c r="C6452" s="2" t="n">
        <v>44044</v>
      </c>
      <c r="D6452" t="inlineStr">
        <is>
          <t>NIL</t>
        </is>
      </c>
      <c r="E6452" t="n">
        <v>6</v>
      </c>
    </row>
    <row r="6453">
      <c r="A6453" t="inlineStr">
        <is>
          <t>27BBBBB06453Z5</t>
        </is>
      </c>
      <c r="B6453" t="inlineStr">
        <is>
          <t>Aug-2017</t>
        </is>
      </c>
      <c r="C6453" s="2" t="n">
        <v>43827</v>
      </c>
      <c r="D6453" t="inlineStr">
        <is>
          <t>NON-NIL</t>
        </is>
      </c>
      <c r="E6453" t="n">
        <v>2501</v>
      </c>
    </row>
    <row r="6454">
      <c r="A6454" t="inlineStr">
        <is>
          <t>27BBBBB06454Z5</t>
        </is>
      </c>
      <c r="B6454" t="inlineStr">
        <is>
          <t>Dec-2018</t>
        </is>
      </c>
      <c r="C6454" s="2" t="n">
        <v>44040</v>
      </c>
      <c r="D6454" t="inlineStr">
        <is>
          <t>NON-NIL</t>
        </is>
      </c>
      <c r="E6454" t="n">
        <v>309</v>
      </c>
    </row>
    <row r="6455">
      <c r="A6455" t="inlineStr">
        <is>
          <t>27BBBBB06455Z5</t>
        </is>
      </c>
      <c r="B6455" t="inlineStr">
        <is>
          <t>Jul-2017</t>
        </is>
      </c>
      <c r="C6455" s="2" t="n">
        <v>43646</v>
      </c>
      <c r="D6455" t="inlineStr">
        <is>
          <t>NON-NIL</t>
        </is>
      </c>
      <c r="E6455" t="n">
        <v>2141</v>
      </c>
    </row>
    <row r="6456">
      <c r="A6456" t="inlineStr">
        <is>
          <t>27BBBBB06456Z5</t>
        </is>
      </c>
      <c r="B6456" t="inlineStr">
        <is>
          <t>Apr-2018</t>
        </is>
      </c>
      <c r="C6456" s="2" t="n">
        <v>42992</v>
      </c>
      <c r="D6456" t="inlineStr">
        <is>
          <t>NON-NIL</t>
        </is>
      </c>
      <c r="E6456" t="n">
        <v>1007</v>
      </c>
    </row>
    <row r="6457">
      <c r="A6457" t="inlineStr">
        <is>
          <t>27BBBBB06457Z5</t>
        </is>
      </c>
      <c r="B6457" t="inlineStr">
        <is>
          <t>Dec-2024</t>
        </is>
      </c>
      <c r="C6457" s="2" t="n">
        <v>45743</v>
      </c>
      <c r="D6457" t="inlineStr">
        <is>
          <t>NIL</t>
        </is>
      </c>
      <c r="E6457" t="n">
        <v>234</v>
      </c>
    </row>
    <row r="6458">
      <c r="A6458" t="inlineStr">
        <is>
          <t>27BBBBB06458Z5</t>
        </is>
      </c>
      <c r="B6458" t="inlineStr">
        <is>
          <t>Dec-2018</t>
        </is>
      </c>
      <c r="C6458" s="2" t="n">
        <v>43696</v>
      </c>
      <c r="D6458" t="inlineStr">
        <is>
          <t>NON-NIL</t>
        </is>
      </c>
      <c r="E6458" t="n">
        <v>1681</v>
      </c>
    </row>
    <row r="6459">
      <c r="A6459" t="inlineStr">
        <is>
          <t>27BBBBB06459Z5</t>
        </is>
      </c>
      <c r="B6459" t="inlineStr">
        <is>
          <t>May-2018</t>
        </is>
      </c>
      <c r="C6459" s="2" t="n">
        <v>43980</v>
      </c>
      <c r="D6459" t="inlineStr">
        <is>
          <t>NIL</t>
        </is>
      </c>
      <c r="E6459" t="n">
        <v>1288</v>
      </c>
    </row>
    <row r="6460">
      <c r="A6460" t="inlineStr">
        <is>
          <t>27BBBBB06460Z5</t>
        </is>
      </c>
      <c r="B6460" t="inlineStr">
        <is>
          <t>Dec-2024</t>
        </is>
      </c>
      <c r="C6460" s="2" t="n">
        <v>44321</v>
      </c>
      <c r="D6460" t="inlineStr">
        <is>
          <t>NIL</t>
        </is>
      </c>
      <c r="E6460" t="n">
        <v>1548</v>
      </c>
    </row>
    <row r="6461">
      <c r="A6461" t="inlineStr">
        <is>
          <t>27BBBBB06461Z5</t>
        </is>
      </c>
      <c r="B6461" t="inlineStr">
        <is>
          <t>Nov-2017</t>
        </is>
      </c>
      <c r="C6461" s="2" t="n">
        <v>43216</v>
      </c>
      <c r="D6461" t="inlineStr">
        <is>
          <t>NIL</t>
        </is>
      </c>
      <c r="E6461" t="n">
        <v>986</v>
      </c>
    </row>
    <row r="6462">
      <c r="A6462" t="inlineStr">
        <is>
          <t>27BBBBB06462Z5</t>
        </is>
      </c>
      <c r="B6462" t="inlineStr">
        <is>
          <t>Apr-2020</t>
        </is>
      </c>
      <c r="C6462" s="2" t="n">
        <v>44262</v>
      </c>
      <c r="D6462" t="inlineStr">
        <is>
          <t>NON-NIL</t>
        </is>
      </c>
      <c r="E6462" t="n">
        <v>1130</v>
      </c>
    </row>
    <row r="6463">
      <c r="A6463" t="inlineStr">
        <is>
          <t>27BBBBB06463Z5</t>
        </is>
      </c>
      <c r="B6463" t="inlineStr">
        <is>
          <t>Mar-2021</t>
        </is>
      </c>
      <c r="C6463" s="2" t="n">
        <v>45224</v>
      </c>
      <c r="D6463" t="inlineStr">
        <is>
          <t>NON-NIL</t>
        </is>
      </c>
      <c r="E6463" t="n">
        <v>1095</v>
      </c>
    </row>
    <row r="6464">
      <c r="A6464" t="inlineStr">
        <is>
          <t>27BBBBB06464Z5</t>
        </is>
      </c>
      <c r="B6464" t="inlineStr">
        <is>
          <t>Mar-2020</t>
        </is>
      </c>
      <c r="C6464" s="2" t="n">
        <v>44467</v>
      </c>
      <c r="D6464" t="inlineStr">
        <is>
          <t>NON-NIL</t>
        </is>
      </c>
      <c r="E6464" t="n">
        <v>1473</v>
      </c>
    </row>
    <row r="6465">
      <c r="A6465" t="inlineStr">
        <is>
          <t>27BBBBB06465Z5</t>
        </is>
      </c>
      <c r="B6465" t="inlineStr">
        <is>
          <t>Jul-2020</t>
        </is>
      </c>
      <c r="C6465" s="2" t="n">
        <v>44124</v>
      </c>
      <c r="D6465" t="inlineStr">
        <is>
          <t>NIL</t>
        </is>
      </c>
      <c r="E6465" t="n">
        <v>1485</v>
      </c>
    </row>
    <row r="6466">
      <c r="A6466" t="inlineStr">
        <is>
          <t>27BBBBB06466Z5</t>
        </is>
      </c>
      <c r="B6466" t="inlineStr">
        <is>
          <t>Apr-2018</t>
        </is>
      </c>
      <c r="C6466" s="2" t="n">
        <v>43988</v>
      </c>
      <c r="D6466" t="inlineStr">
        <is>
          <t>NON-NIL</t>
        </is>
      </c>
      <c r="E6466" t="n">
        <v>210</v>
      </c>
    </row>
    <row r="6467">
      <c r="A6467" t="inlineStr">
        <is>
          <t>27BBBBB06467Z5</t>
        </is>
      </c>
      <c r="B6467" t="inlineStr">
        <is>
          <t>Sep-2018</t>
        </is>
      </c>
      <c r="C6467" s="2" t="n">
        <v>43351</v>
      </c>
      <c r="D6467" t="inlineStr">
        <is>
          <t>NIL</t>
        </is>
      </c>
      <c r="E6467" t="n">
        <v>1508</v>
      </c>
    </row>
    <row r="6468">
      <c r="A6468" t="inlineStr">
        <is>
          <t>27BBBBB06468Z5</t>
        </is>
      </c>
      <c r="B6468" t="inlineStr">
        <is>
          <t>Sep-2018</t>
        </is>
      </c>
      <c r="C6468" s="2" t="n">
        <v>44148</v>
      </c>
      <c r="D6468" t="inlineStr">
        <is>
          <t>NIL</t>
        </is>
      </c>
      <c r="E6468" t="n">
        <v>1674</v>
      </c>
    </row>
    <row r="6469">
      <c r="A6469" t="inlineStr">
        <is>
          <t>27BBBBB06469Z5</t>
        </is>
      </c>
      <c r="B6469" t="inlineStr">
        <is>
          <t>Dec-2017</t>
        </is>
      </c>
      <c r="C6469" s="2" t="n">
        <v>44271</v>
      </c>
      <c r="D6469" t="inlineStr">
        <is>
          <t>NIL</t>
        </is>
      </c>
      <c r="E6469" t="n">
        <v>1969</v>
      </c>
    </row>
    <row r="6470">
      <c r="A6470" t="inlineStr">
        <is>
          <t>27BBBBB06470Z5</t>
        </is>
      </c>
      <c r="B6470" t="inlineStr">
        <is>
          <t>Oct-2018</t>
        </is>
      </c>
      <c r="C6470" s="2" t="n">
        <v>43256</v>
      </c>
      <c r="D6470" t="inlineStr">
        <is>
          <t>NON-NIL</t>
        </is>
      </c>
      <c r="E6470" t="n">
        <v>2482</v>
      </c>
    </row>
    <row r="6471">
      <c r="A6471" t="inlineStr">
        <is>
          <t>27BBBBB06471Z5</t>
        </is>
      </c>
      <c r="B6471" t="inlineStr">
        <is>
          <t>Nov-2017</t>
        </is>
      </c>
      <c r="C6471" s="2" t="n">
        <v>43663</v>
      </c>
      <c r="D6471" t="inlineStr">
        <is>
          <t>NIL</t>
        </is>
      </c>
      <c r="E6471" t="n">
        <v>860</v>
      </c>
    </row>
    <row r="6472">
      <c r="A6472" t="inlineStr">
        <is>
          <t>27BBBBB06472Z5</t>
        </is>
      </c>
      <c r="B6472" t="inlineStr">
        <is>
          <t>Nov-2017</t>
        </is>
      </c>
      <c r="C6472" s="2" t="n">
        <v>42998</v>
      </c>
      <c r="D6472" t="inlineStr">
        <is>
          <t>NON-NIL</t>
        </is>
      </c>
      <c r="E6472" t="n">
        <v>1711</v>
      </c>
    </row>
    <row r="6473">
      <c r="A6473" t="inlineStr">
        <is>
          <t>27BBBBB06473Z5</t>
        </is>
      </c>
      <c r="B6473" t="inlineStr">
        <is>
          <t>Nov-2017</t>
        </is>
      </c>
      <c r="C6473" s="2" t="n">
        <v>43842</v>
      </c>
      <c r="D6473" t="inlineStr">
        <is>
          <t>NIL</t>
        </is>
      </c>
      <c r="E6473" t="n">
        <v>1392</v>
      </c>
    </row>
    <row r="6474">
      <c r="A6474" t="inlineStr">
        <is>
          <t>27BBBBB06474Z5</t>
        </is>
      </c>
      <c r="B6474" t="inlineStr">
        <is>
          <t>Dec-2022</t>
        </is>
      </c>
      <c r="C6474" s="2" t="n">
        <v>43603</v>
      </c>
      <c r="D6474" t="inlineStr">
        <is>
          <t>NON-NIL</t>
        </is>
      </c>
      <c r="E6474" t="n">
        <v>46</v>
      </c>
    </row>
    <row r="6475">
      <c r="A6475" t="inlineStr">
        <is>
          <t>27BBBBB06475Z5</t>
        </is>
      </c>
      <c r="B6475" t="inlineStr">
        <is>
          <t>Sep-2017</t>
        </is>
      </c>
      <c r="C6475" s="2" t="n">
        <v>43194</v>
      </c>
      <c r="D6475" t="inlineStr">
        <is>
          <t>NIL</t>
        </is>
      </c>
      <c r="E6475" t="n">
        <v>51</v>
      </c>
    </row>
    <row r="6476">
      <c r="A6476" t="inlineStr">
        <is>
          <t>27BBBBB06476Z5</t>
        </is>
      </c>
      <c r="B6476" t="inlineStr">
        <is>
          <t>Dec-2024</t>
        </is>
      </c>
      <c r="C6476" s="2" t="n">
        <v>45718</v>
      </c>
      <c r="D6476" t="inlineStr">
        <is>
          <t>NON-NIL</t>
        </is>
      </c>
      <c r="E6476" t="n">
        <v>187</v>
      </c>
    </row>
    <row r="6477">
      <c r="A6477" t="inlineStr">
        <is>
          <t>27BBBBB06477Z5</t>
        </is>
      </c>
      <c r="B6477" t="inlineStr">
        <is>
          <t>Oct-2018</t>
        </is>
      </c>
      <c r="C6477" s="2" t="n">
        <v>43665</v>
      </c>
      <c r="D6477" t="inlineStr">
        <is>
          <t>NIL</t>
        </is>
      </c>
      <c r="E6477" t="n">
        <v>533</v>
      </c>
    </row>
    <row r="6478">
      <c r="A6478" t="inlineStr">
        <is>
          <t>27BBBBB06478Z5</t>
        </is>
      </c>
      <c r="B6478" t="inlineStr">
        <is>
          <t>Nov-2017</t>
        </is>
      </c>
      <c r="C6478" s="2" t="n">
        <v>43897</v>
      </c>
      <c r="D6478" t="inlineStr">
        <is>
          <t>NIL</t>
        </is>
      </c>
      <c r="E6478" t="n">
        <v>2782</v>
      </c>
    </row>
    <row r="6479">
      <c r="A6479" t="inlineStr">
        <is>
          <t>27BBBBB06479Z5</t>
        </is>
      </c>
      <c r="B6479" t="inlineStr">
        <is>
          <t>Apr-2018</t>
        </is>
      </c>
      <c r="C6479" s="2" t="n">
        <v>43966</v>
      </c>
      <c r="D6479" t="inlineStr">
        <is>
          <t>NON-NIL</t>
        </is>
      </c>
      <c r="E6479" t="n">
        <v>2427</v>
      </c>
    </row>
    <row r="6480">
      <c r="A6480" t="inlineStr">
        <is>
          <t>27BBBBB06480Z5</t>
        </is>
      </c>
      <c r="B6480" t="inlineStr">
        <is>
          <t>Apr-2020</t>
        </is>
      </c>
      <c r="C6480" s="2" t="n">
        <v>44289</v>
      </c>
      <c r="D6480" t="inlineStr">
        <is>
          <t>NIL</t>
        </is>
      </c>
      <c r="E6480" t="n">
        <v>2027</v>
      </c>
    </row>
    <row r="6481">
      <c r="A6481" t="inlineStr">
        <is>
          <t>27BBBBB06481Z5</t>
        </is>
      </c>
      <c r="B6481" t="inlineStr">
        <is>
          <t>Nov-2018</t>
        </is>
      </c>
      <c r="C6481" s="2" t="n">
        <v>43601</v>
      </c>
      <c r="D6481" t="inlineStr">
        <is>
          <t>NON-NIL</t>
        </is>
      </c>
      <c r="E6481" t="n">
        <v>2068</v>
      </c>
    </row>
    <row r="6482">
      <c r="A6482" t="inlineStr">
        <is>
          <t>27BBBBB06482Z5</t>
        </is>
      </c>
      <c r="B6482" t="inlineStr">
        <is>
          <t>Mar-2023</t>
        </is>
      </c>
      <c r="C6482" s="2" t="n">
        <v>45446</v>
      </c>
      <c r="D6482" t="inlineStr">
        <is>
          <t>NIL</t>
        </is>
      </c>
      <c r="E6482" t="n">
        <v>1118</v>
      </c>
    </row>
    <row r="6483">
      <c r="A6483" t="inlineStr">
        <is>
          <t>27BBBBB06483Z5</t>
        </is>
      </c>
      <c r="B6483" t="inlineStr">
        <is>
          <t>Aug-2017</t>
        </is>
      </c>
      <c r="C6483" s="2" t="n">
        <v>43636</v>
      </c>
      <c r="D6483" t="inlineStr">
        <is>
          <t>NIL</t>
        </is>
      </c>
      <c r="E6483" t="n">
        <v>2212</v>
      </c>
    </row>
    <row r="6484">
      <c r="A6484" t="inlineStr">
        <is>
          <t>27BBBBB06484Z5</t>
        </is>
      </c>
      <c r="B6484" t="inlineStr">
        <is>
          <t>Jul-2018</t>
        </is>
      </c>
      <c r="C6484" s="2" t="n">
        <v>43898</v>
      </c>
      <c r="D6484" t="inlineStr">
        <is>
          <t>NON-NIL</t>
        </is>
      </c>
      <c r="E6484" t="n">
        <v>1799</v>
      </c>
    </row>
    <row r="6485">
      <c r="A6485" t="inlineStr">
        <is>
          <t>27BBBBB06485Z5</t>
        </is>
      </c>
      <c r="B6485" t="inlineStr">
        <is>
          <t>Sep-2018</t>
        </is>
      </c>
      <c r="C6485" s="2" t="n">
        <v>42941</v>
      </c>
      <c r="D6485" t="inlineStr">
        <is>
          <t>NIL</t>
        </is>
      </c>
      <c r="E6485" t="n">
        <v>1969</v>
      </c>
    </row>
    <row r="6486">
      <c r="A6486" t="inlineStr">
        <is>
          <t>27BBBBB06486Z5</t>
        </is>
      </c>
      <c r="B6486" t="inlineStr">
        <is>
          <t>May-2020</t>
        </is>
      </c>
      <c r="C6486" s="2" t="n">
        <v>44219</v>
      </c>
      <c r="D6486" t="inlineStr">
        <is>
          <t>NON-NIL</t>
        </is>
      </c>
      <c r="E6486" t="n">
        <v>2316</v>
      </c>
    </row>
    <row r="6487">
      <c r="A6487" t="inlineStr">
        <is>
          <t>27BBBBB06487Z5</t>
        </is>
      </c>
      <c r="B6487" t="inlineStr">
        <is>
          <t>Mar-2023</t>
        </is>
      </c>
      <c r="C6487" s="2" t="n">
        <v>45124</v>
      </c>
      <c r="D6487" t="inlineStr">
        <is>
          <t>NON-NIL</t>
        </is>
      </c>
      <c r="E6487" t="n">
        <v>579</v>
      </c>
    </row>
    <row r="6488">
      <c r="A6488" t="inlineStr">
        <is>
          <t>27BBBBB06488Z5</t>
        </is>
      </c>
      <c r="B6488" t="inlineStr">
        <is>
          <t>Dec-2018</t>
        </is>
      </c>
      <c r="C6488" s="2" t="n">
        <v>42997</v>
      </c>
      <c r="D6488" t="inlineStr">
        <is>
          <t>NIL</t>
        </is>
      </c>
      <c r="E6488" t="n">
        <v>1674</v>
      </c>
    </row>
    <row r="6489">
      <c r="A6489" t="inlineStr">
        <is>
          <t>27BBBBB06489Z5</t>
        </is>
      </c>
      <c r="B6489" t="inlineStr">
        <is>
          <t>Sep-2018</t>
        </is>
      </c>
      <c r="C6489" s="2" t="n">
        <v>43167</v>
      </c>
      <c r="D6489" t="inlineStr">
        <is>
          <t>NON-NIL</t>
        </is>
      </c>
      <c r="E6489" t="n">
        <v>2803</v>
      </c>
    </row>
    <row r="6490">
      <c r="A6490" t="inlineStr">
        <is>
          <t>27BBBBB06490Z5</t>
        </is>
      </c>
      <c r="B6490" t="inlineStr">
        <is>
          <t>Jul-2018</t>
        </is>
      </c>
      <c r="C6490" s="2" t="n">
        <v>44435</v>
      </c>
      <c r="D6490" t="inlineStr">
        <is>
          <t>NON-NIL</t>
        </is>
      </c>
      <c r="E6490" t="n">
        <v>135</v>
      </c>
    </row>
    <row r="6491">
      <c r="A6491" t="inlineStr">
        <is>
          <t>27BBBBB06491Z5</t>
        </is>
      </c>
      <c r="B6491" t="inlineStr">
        <is>
          <t>Sep-2017</t>
        </is>
      </c>
      <c r="C6491" s="2" t="n">
        <v>43298</v>
      </c>
      <c r="D6491" t="inlineStr">
        <is>
          <t>NIL</t>
        </is>
      </c>
      <c r="E6491" t="n">
        <v>1378</v>
      </c>
    </row>
    <row r="6492">
      <c r="A6492" t="inlineStr">
        <is>
          <t>27BBBBB06492Z5</t>
        </is>
      </c>
      <c r="B6492" t="inlineStr">
        <is>
          <t>Oct-2018</t>
        </is>
      </c>
      <c r="C6492" s="2" t="n">
        <v>43994</v>
      </c>
      <c r="D6492" t="inlineStr">
        <is>
          <t>NIL</t>
        </is>
      </c>
      <c r="E6492" t="n">
        <v>714</v>
      </c>
    </row>
    <row r="6493">
      <c r="A6493" t="inlineStr">
        <is>
          <t>27BBBBB06493Z5</t>
        </is>
      </c>
      <c r="B6493" t="inlineStr">
        <is>
          <t>Jan-2018</t>
        </is>
      </c>
      <c r="C6493" s="2" t="n">
        <v>44227</v>
      </c>
      <c r="D6493" t="inlineStr">
        <is>
          <t>NON-NIL</t>
        </is>
      </c>
      <c r="E6493" t="n">
        <v>2505</v>
      </c>
    </row>
    <row r="6494">
      <c r="A6494" t="inlineStr">
        <is>
          <t>27BBBBB06494Z5</t>
        </is>
      </c>
      <c r="B6494" t="inlineStr">
        <is>
          <t>Jan-2021</t>
        </is>
      </c>
      <c r="C6494" s="2" t="n">
        <v>45354</v>
      </c>
      <c r="D6494" t="inlineStr">
        <is>
          <t>NIL</t>
        </is>
      </c>
      <c r="E6494" t="n">
        <v>2220</v>
      </c>
    </row>
    <row r="6495">
      <c r="A6495" t="inlineStr">
        <is>
          <t>27BBBBB06495Z5</t>
        </is>
      </c>
      <c r="B6495" t="inlineStr">
        <is>
          <t>Feb-2018</t>
        </is>
      </c>
      <c r="C6495" s="2" t="n">
        <v>43543</v>
      </c>
      <c r="D6495" t="inlineStr">
        <is>
          <t>NIL</t>
        </is>
      </c>
      <c r="E6495" t="n">
        <v>1780</v>
      </c>
    </row>
    <row r="6496">
      <c r="A6496" t="inlineStr">
        <is>
          <t>27BBBBB06496Z5</t>
        </is>
      </c>
      <c r="B6496" t="inlineStr">
        <is>
          <t>Nov-2017</t>
        </is>
      </c>
      <c r="C6496" s="2" t="n">
        <v>43687</v>
      </c>
      <c r="D6496" t="inlineStr">
        <is>
          <t>NIL</t>
        </is>
      </c>
      <c r="E6496" t="n">
        <v>2557</v>
      </c>
    </row>
    <row r="6497">
      <c r="A6497" t="inlineStr">
        <is>
          <t>27BBBBB06497Z5</t>
        </is>
      </c>
      <c r="B6497" t="inlineStr">
        <is>
          <t>Jun-2018</t>
        </is>
      </c>
      <c r="C6497" s="2" t="n">
        <v>44301</v>
      </c>
      <c r="D6497" t="inlineStr">
        <is>
          <t>NIL</t>
        </is>
      </c>
      <c r="E6497" t="n">
        <v>1623</v>
      </c>
    </row>
    <row r="6498">
      <c r="A6498" t="inlineStr">
        <is>
          <t>27BBBBB06498Z5</t>
        </is>
      </c>
      <c r="B6498" t="inlineStr">
        <is>
          <t>Apr-2018</t>
        </is>
      </c>
      <c r="C6498" s="2" t="n">
        <v>43549</v>
      </c>
      <c r="D6498" t="inlineStr">
        <is>
          <t>NIL</t>
        </is>
      </c>
      <c r="E6498" t="n">
        <v>1110</v>
      </c>
    </row>
    <row r="6499">
      <c r="A6499" t="inlineStr">
        <is>
          <t>27BBBBB06499Z5</t>
        </is>
      </c>
      <c r="B6499" t="inlineStr">
        <is>
          <t>Dec-2018</t>
        </is>
      </c>
      <c r="C6499" s="2" t="n">
        <v>43887</v>
      </c>
      <c r="D6499" t="inlineStr">
        <is>
          <t>NON-NIL</t>
        </is>
      </c>
      <c r="E6499" t="n">
        <v>1802</v>
      </c>
    </row>
    <row r="6500">
      <c r="A6500" t="inlineStr">
        <is>
          <t>27BBBBB06500Z5</t>
        </is>
      </c>
      <c r="B6500" t="inlineStr">
        <is>
          <t>May-2020</t>
        </is>
      </c>
      <c r="C6500" s="2" t="n">
        <v>44431</v>
      </c>
      <c r="D6500" t="inlineStr">
        <is>
          <t>NON-NIL</t>
        </is>
      </c>
      <c r="E6500" t="n">
        <v>2335</v>
      </c>
    </row>
    <row r="6501">
      <c r="A6501" t="inlineStr">
        <is>
          <t>27BBBBB06501Z5</t>
        </is>
      </c>
      <c r="B6501" t="inlineStr">
        <is>
          <t>Jan-2021</t>
        </is>
      </c>
      <c r="C6501" s="2" t="n">
        <v>45785</v>
      </c>
      <c r="D6501" t="inlineStr">
        <is>
          <t>NON-NIL</t>
        </is>
      </c>
      <c r="E6501" t="n">
        <v>497</v>
      </c>
    </row>
    <row r="6502">
      <c r="A6502" t="inlineStr">
        <is>
          <t>27BBBBB06502Z5</t>
        </is>
      </c>
      <c r="B6502" t="inlineStr">
        <is>
          <t>Nov-2018</t>
        </is>
      </c>
      <c r="C6502" s="2" t="n">
        <v>44015</v>
      </c>
      <c r="D6502" t="inlineStr">
        <is>
          <t>NIL</t>
        </is>
      </c>
      <c r="E6502" t="n">
        <v>1552</v>
      </c>
    </row>
    <row r="6503">
      <c r="A6503" t="inlineStr">
        <is>
          <t>27BBBBB06503Z5</t>
        </is>
      </c>
      <c r="B6503" t="inlineStr">
        <is>
          <t>Nov-2018</t>
        </is>
      </c>
      <c r="C6503" s="2" t="n">
        <v>44468</v>
      </c>
      <c r="D6503" t="inlineStr">
        <is>
          <t>NIL</t>
        </is>
      </c>
      <c r="E6503" t="n">
        <v>2218</v>
      </c>
    </row>
    <row r="6504">
      <c r="A6504" t="inlineStr">
        <is>
          <t>27BBBBB06504Z5</t>
        </is>
      </c>
      <c r="B6504" t="inlineStr">
        <is>
          <t>Mar-2020</t>
        </is>
      </c>
      <c r="C6504" s="2" t="n">
        <v>44907</v>
      </c>
      <c r="D6504" t="inlineStr">
        <is>
          <t>NIL</t>
        </is>
      </c>
      <c r="E6504" t="n">
        <v>2400</v>
      </c>
    </row>
    <row r="6505">
      <c r="A6505" t="inlineStr">
        <is>
          <t>27BBBBB06505Z5</t>
        </is>
      </c>
      <c r="B6505" t="inlineStr">
        <is>
          <t>Mar-2021</t>
        </is>
      </c>
      <c r="C6505" s="2" t="n">
        <v>44256</v>
      </c>
      <c r="D6505" t="inlineStr">
        <is>
          <t>NIL</t>
        </is>
      </c>
      <c r="E6505" t="n">
        <v>80</v>
      </c>
    </row>
    <row r="6506">
      <c r="A6506" t="inlineStr">
        <is>
          <t>27BBBBB06506Z5</t>
        </is>
      </c>
      <c r="B6506" t="inlineStr">
        <is>
          <t>Sep-2018</t>
        </is>
      </c>
      <c r="C6506" s="2" t="n">
        <v>44142</v>
      </c>
      <c r="D6506" t="inlineStr">
        <is>
          <t>NON-NIL</t>
        </is>
      </c>
      <c r="E6506" t="n">
        <v>1167</v>
      </c>
    </row>
    <row r="6507">
      <c r="A6507" t="inlineStr">
        <is>
          <t>27BBBBB06507Z5</t>
        </is>
      </c>
      <c r="B6507" t="inlineStr">
        <is>
          <t>Apr-2018</t>
        </is>
      </c>
      <c r="C6507" s="2" t="n">
        <v>44400</v>
      </c>
      <c r="D6507" t="inlineStr">
        <is>
          <t>NIL</t>
        </is>
      </c>
      <c r="E6507" t="n">
        <v>1948</v>
      </c>
    </row>
    <row r="6508">
      <c r="A6508" t="inlineStr">
        <is>
          <t>27BBBBB06508Z5</t>
        </is>
      </c>
      <c r="B6508" t="inlineStr">
        <is>
          <t>Mar-2023</t>
        </is>
      </c>
      <c r="C6508" s="2" t="n">
        <v>44921</v>
      </c>
      <c r="D6508" t="inlineStr">
        <is>
          <t>NON-NIL</t>
        </is>
      </c>
      <c r="E6508" t="n">
        <v>530</v>
      </c>
    </row>
    <row r="6509">
      <c r="A6509" t="inlineStr">
        <is>
          <t>27BBBBB06509Z5</t>
        </is>
      </c>
      <c r="B6509" t="inlineStr">
        <is>
          <t>Mar-2023</t>
        </is>
      </c>
      <c r="C6509" s="2" t="n">
        <v>44840</v>
      </c>
      <c r="D6509" t="inlineStr">
        <is>
          <t>NIL</t>
        </is>
      </c>
      <c r="E6509" t="n">
        <v>2460</v>
      </c>
    </row>
    <row r="6510">
      <c r="A6510" t="inlineStr">
        <is>
          <t>27BBBBB06510Z5</t>
        </is>
      </c>
      <c r="B6510" t="inlineStr">
        <is>
          <t>Sep-2017</t>
        </is>
      </c>
      <c r="C6510" s="2" t="n">
        <v>44199</v>
      </c>
      <c r="D6510" t="inlineStr">
        <is>
          <t>NIL</t>
        </is>
      </c>
      <c r="E6510" t="n">
        <v>1438</v>
      </c>
    </row>
    <row r="6511">
      <c r="A6511" t="inlineStr">
        <is>
          <t>27BBBBB06511Z5</t>
        </is>
      </c>
      <c r="B6511" t="inlineStr">
        <is>
          <t>May-2018</t>
        </is>
      </c>
      <c r="C6511" s="2" t="n">
        <v>43200</v>
      </c>
      <c r="D6511" t="inlineStr">
        <is>
          <t>NON-NIL</t>
        </is>
      </c>
      <c r="E6511" t="n">
        <v>115</v>
      </c>
    </row>
    <row r="6512">
      <c r="A6512" t="inlineStr">
        <is>
          <t>27BBBBB06512Z5</t>
        </is>
      </c>
      <c r="B6512" t="inlineStr">
        <is>
          <t>Jul-2017</t>
        </is>
      </c>
      <c r="C6512" s="2" t="n">
        <v>44471</v>
      </c>
      <c r="D6512" t="inlineStr">
        <is>
          <t>NIL</t>
        </is>
      </c>
      <c r="E6512" t="n">
        <v>208</v>
      </c>
    </row>
    <row r="6513">
      <c r="A6513" t="inlineStr">
        <is>
          <t>27BBBBB06513Z5</t>
        </is>
      </c>
      <c r="B6513" t="inlineStr">
        <is>
          <t>Dec-2018</t>
        </is>
      </c>
      <c r="C6513" s="2" t="n">
        <v>44096</v>
      </c>
      <c r="D6513" t="inlineStr">
        <is>
          <t>NON-NIL</t>
        </is>
      </c>
      <c r="E6513" t="n">
        <v>820</v>
      </c>
    </row>
    <row r="6514">
      <c r="A6514" t="inlineStr">
        <is>
          <t>27BBBBB06514Z5</t>
        </is>
      </c>
      <c r="B6514" t="inlineStr">
        <is>
          <t>Jan-2021</t>
        </is>
      </c>
      <c r="C6514" s="2" t="n">
        <v>45414</v>
      </c>
      <c r="D6514" t="inlineStr">
        <is>
          <t>NON-NIL</t>
        </is>
      </c>
      <c r="E6514" t="n">
        <v>207</v>
      </c>
    </row>
    <row r="6515">
      <c r="A6515" t="inlineStr">
        <is>
          <t>27BBBBB06515Z5</t>
        </is>
      </c>
      <c r="B6515" t="inlineStr">
        <is>
          <t>Jun-2020</t>
        </is>
      </c>
      <c r="C6515" s="2" t="n">
        <v>44188</v>
      </c>
      <c r="D6515" t="inlineStr">
        <is>
          <t>NON-NIL</t>
        </is>
      </c>
      <c r="E6515" t="n">
        <v>2123</v>
      </c>
    </row>
    <row r="6516">
      <c r="A6516" t="inlineStr">
        <is>
          <t>27BBBBB06516Z5</t>
        </is>
      </c>
      <c r="B6516" t="inlineStr">
        <is>
          <t>Oct-2018</t>
        </is>
      </c>
      <c r="C6516" s="2" t="n">
        <v>43031</v>
      </c>
      <c r="D6516" t="inlineStr">
        <is>
          <t>NIL</t>
        </is>
      </c>
      <c r="E6516" t="n">
        <v>1023</v>
      </c>
    </row>
    <row r="6517">
      <c r="A6517" t="inlineStr">
        <is>
          <t>27BBBBB06517Z5</t>
        </is>
      </c>
      <c r="B6517" t="inlineStr">
        <is>
          <t>Nov-2017</t>
        </is>
      </c>
      <c r="C6517" s="2" t="n">
        <v>44537</v>
      </c>
      <c r="D6517" t="inlineStr">
        <is>
          <t>NIL</t>
        </is>
      </c>
      <c r="E6517" t="n">
        <v>2637</v>
      </c>
    </row>
    <row r="6518">
      <c r="A6518" t="inlineStr">
        <is>
          <t>27BBBBB06518Z5</t>
        </is>
      </c>
      <c r="B6518" t="inlineStr">
        <is>
          <t>May-2018</t>
        </is>
      </c>
      <c r="C6518" s="2" t="n">
        <v>43942</v>
      </c>
      <c r="D6518" t="inlineStr">
        <is>
          <t>NIL</t>
        </is>
      </c>
      <c r="E6518" t="n">
        <v>2577</v>
      </c>
    </row>
    <row r="6519">
      <c r="A6519" t="inlineStr">
        <is>
          <t>27BBBBB06519Z5</t>
        </is>
      </c>
      <c r="B6519" t="inlineStr">
        <is>
          <t>Jul-2018</t>
        </is>
      </c>
      <c r="C6519" s="2" t="n">
        <v>43343</v>
      </c>
      <c r="D6519" t="inlineStr">
        <is>
          <t>NIL</t>
        </is>
      </c>
      <c r="E6519" t="n">
        <v>807</v>
      </c>
    </row>
    <row r="6520">
      <c r="A6520" t="inlineStr">
        <is>
          <t>27BBBBB06520Z5</t>
        </is>
      </c>
      <c r="B6520" t="inlineStr">
        <is>
          <t>Jul-2020</t>
        </is>
      </c>
      <c r="C6520" s="2" t="n">
        <v>44088</v>
      </c>
      <c r="D6520" t="inlineStr">
        <is>
          <t>NON-NIL</t>
        </is>
      </c>
      <c r="E6520" t="n">
        <v>2149</v>
      </c>
    </row>
    <row r="6521">
      <c r="A6521" t="inlineStr">
        <is>
          <t>27BBBBB06521Z5</t>
        </is>
      </c>
      <c r="B6521" t="inlineStr">
        <is>
          <t>Jan-2021</t>
        </is>
      </c>
      <c r="C6521" s="2" t="n">
        <v>45223</v>
      </c>
      <c r="D6521" t="inlineStr">
        <is>
          <t>NON-NIL</t>
        </is>
      </c>
      <c r="E6521" t="n">
        <v>1111</v>
      </c>
    </row>
    <row r="6522">
      <c r="A6522" t="inlineStr">
        <is>
          <t>27BBBBB06522Z5</t>
        </is>
      </c>
      <c r="B6522" t="inlineStr">
        <is>
          <t>Feb-2018</t>
        </is>
      </c>
      <c r="C6522" s="2" t="n">
        <v>44205</v>
      </c>
      <c r="D6522" t="inlineStr">
        <is>
          <t>NON-NIL</t>
        </is>
      </c>
      <c r="E6522" t="n">
        <v>92</v>
      </c>
    </row>
    <row r="6523">
      <c r="A6523" t="inlineStr">
        <is>
          <t>27BBBBB06523Z5</t>
        </is>
      </c>
      <c r="B6523" t="inlineStr">
        <is>
          <t>Apr-2018</t>
        </is>
      </c>
      <c r="C6523" s="2" t="n">
        <v>43948</v>
      </c>
      <c r="D6523" t="inlineStr">
        <is>
          <t>NIL</t>
        </is>
      </c>
      <c r="E6523" t="n">
        <v>988</v>
      </c>
    </row>
    <row r="6524">
      <c r="A6524" t="inlineStr">
        <is>
          <t>27BBBBB06524Z5</t>
        </is>
      </c>
      <c r="B6524" t="inlineStr">
        <is>
          <t>Jul-2018</t>
        </is>
      </c>
      <c r="C6524" s="2" t="n">
        <v>43198</v>
      </c>
      <c r="D6524" t="inlineStr">
        <is>
          <t>NIL</t>
        </is>
      </c>
      <c r="E6524" t="n">
        <v>1797</v>
      </c>
    </row>
    <row r="6525">
      <c r="A6525" t="inlineStr">
        <is>
          <t>27BBBBB06525Z5</t>
        </is>
      </c>
      <c r="B6525" t="inlineStr">
        <is>
          <t>Jan-2021</t>
        </is>
      </c>
      <c r="C6525" s="2" t="n">
        <v>44762</v>
      </c>
      <c r="D6525" t="inlineStr">
        <is>
          <t>NIL</t>
        </is>
      </c>
      <c r="E6525" t="n">
        <v>1775</v>
      </c>
    </row>
    <row r="6526">
      <c r="A6526" t="inlineStr">
        <is>
          <t>27BBBBB06526Z5</t>
        </is>
      </c>
      <c r="B6526" t="inlineStr">
        <is>
          <t>Dec-2024</t>
        </is>
      </c>
      <c r="C6526" s="2" t="n">
        <v>43628</v>
      </c>
      <c r="D6526" t="inlineStr">
        <is>
          <t>NON-NIL</t>
        </is>
      </c>
      <c r="E6526" t="n">
        <v>2925</v>
      </c>
    </row>
    <row r="6527">
      <c r="A6527" t="inlineStr">
        <is>
          <t>27BBBBB06527Z5</t>
        </is>
      </c>
      <c r="B6527" t="inlineStr">
        <is>
          <t>Sep-2018</t>
        </is>
      </c>
      <c r="C6527" s="2" t="n">
        <v>43050</v>
      </c>
      <c r="D6527" t="inlineStr">
        <is>
          <t>NIL</t>
        </is>
      </c>
      <c r="E6527" t="n">
        <v>2762</v>
      </c>
    </row>
    <row r="6528">
      <c r="A6528" t="inlineStr">
        <is>
          <t>27BBBBB06528Z5</t>
        </is>
      </c>
      <c r="B6528" t="inlineStr">
        <is>
          <t>Jun-2020</t>
        </is>
      </c>
      <c r="C6528" s="2" t="n">
        <v>44629</v>
      </c>
      <c r="D6528" t="inlineStr">
        <is>
          <t>NON-NIL</t>
        </is>
      </c>
      <c r="E6528" t="n">
        <v>294</v>
      </c>
    </row>
    <row r="6529">
      <c r="A6529" t="inlineStr">
        <is>
          <t>27BBBBB06529Z5</t>
        </is>
      </c>
      <c r="B6529" t="inlineStr">
        <is>
          <t>Dec-2024</t>
        </is>
      </c>
      <c r="C6529" s="2" t="n">
        <v>44418</v>
      </c>
      <c r="D6529" t="inlineStr">
        <is>
          <t>NIL</t>
        </is>
      </c>
      <c r="E6529" t="n">
        <v>2397</v>
      </c>
    </row>
    <row r="6530">
      <c r="A6530" t="inlineStr">
        <is>
          <t>27BBBBB06530Z5</t>
        </is>
      </c>
      <c r="B6530" t="inlineStr">
        <is>
          <t>Oct-2017</t>
        </is>
      </c>
      <c r="C6530" s="2" t="n">
        <v>44492</v>
      </c>
      <c r="D6530" t="inlineStr">
        <is>
          <t>NON-NIL</t>
        </is>
      </c>
      <c r="E6530" t="n">
        <v>669</v>
      </c>
    </row>
    <row r="6531">
      <c r="A6531" t="inlineStr">
        <is>
          <t>27BBBBB06531Z5</t>
        </is>
      </c>
      <c r="B6531" t="inlineStr">
        <is>
          <t>Mar-2020</t>
        </is>
      </c>
      <c r="C6531" s="2" t="n">
        <v>44663</v>
      </c>
      <c r="D6531" t="inlineStr">
        <is>
          <t>NON-NIL</t>
        </is>
      </c>
      <c r="E6531" t="n">
        <v>821</v>
      </c>
    </row>
    <row r="6532">
      <c r="A6532" t="inlineStr">
        <is>
          <t>27BBBBB06532Z5</t>
        </is>
      </c>
      <c r="B6532" t="inlineStr">
        <is>
          <t>Mar-2021</t>
        </is>
      </c>
      <c r="C6532" s="2" t="n">
        <v>43529</v>
      </c>
      <c r="D6532" t="inlineStr">
        <is>
          <t>NON-NIL</t>
        </is>
      </c>
      <c r="E6532" t="n">
        <v>1035</v>
      </c>
    </row>
    <row r="6533">
      <c r="A6533" t="inlineStr">
        <is>
          <t>27BBBBB06533Z5</t>
        </is>
      </c>
      <c r="B6533" t="inlineStr">
        <is>
          <t>Jul-2018</t>
        </is>
      </c>
      <c r="C6533" s="2" t="n">
        <v>44555</v>
      </c>
      <c r="D6533" t="inlineStr">
        <is>
          <t>NON-NIL</t>
        </is>
      </c>
      <c r="E6533" t="n">
        <v>836</v>
      </c>
    </row>
    <row r="6534">
      <c r="A6534" t="inlineStr">
        <is>
          <t>27BBBBB06534Z5</t>
        </is>
      </c>
      <c r="B6534" t="inlineStr">
        <is>
          <t>Dec-2018</t>
        </is>
      </c>
      <c r="C6534" s="2" t="n">
        <v>43690</v>
      </c>
      <c r="D6534" t="inlineStr">
        <is>
          <t>NON-NIL</t>
        </is>
      </c>
      <c r="E6534" t="n">
        <v>1592</v>
      </c>
    </row>
    <row r="6535">
      <c r="A6535" t="inlineStr">
        <is>
          <t>27BBBBB06535Z5</t>
        </is>
      </c>
      <c r="B6535" t="inlineStr">
        <is>
          <t>Mar-2023</t>
        </is>
      </c>
      <c r="C6535" s="2" t="n">
        <v>43779</v>
      </c>
      <c r="D6535" t="inlineStr">
        <is>
          <t>NIL</t>
        </is>
      </c>
      <c r="E6535" t="n">
        <v>1866</v>
      </c>
    </row>
    <row r="6536">
      <c r="A6536" t="inlineStr">
        <is>
          <t>27BBBBB06536Z5</t>
        </is>
      </c>
      <c r="B6536" t="inlineStr">
        <is>
          <t>Dec-2018</t>
        </is>
      </c>
      <c r="C6536" s="2" t="n">
        <v>44330</v>
      </c>
      <c r="D6536" t="inlineStr">
        <is>
          <t>NIL</t>
        </is>
      </c>
      <c r="E6536" t="n">
        <v>703</v>
      </c>
    </row>
    <row r="6537">
      <c r="A6537" t="inlineStr">
        <is>
          <t>27BBBBB06537Z5</t>
        </is>
      </c>
      <c r="B6537" t="inlineStr">
        <is>
          <t>Sep-2018</t>
        </is>
      </c>
      <c r="C6537" s="2" t="n">
        <v>43852</v>
      </c>
      <c r="D6537" t="inlineStr">
        <is>
          <t>NON-NIL</t>
        </is>
      </c>
      <c r="E6537" t="n">
        <v>2538</v>
      </c>
    </row>
    <row r="6538">
      <c r="A6538" t="inlineStr">
        <is>
          <t>27BBBBB06538Z5</t>
        </is>
      </c>
      <c r="B6538" t="inlineStr">
        <is>
          <t>Oct-2017</t>
        </is>
      </c>
      <c r="C6538" s="2" t="n">
        <v>43881</v>
      </c>
      <c r="D6538" t="inlineStr">
        <is>
          <t>NON-NIL</t>
        </is>
      </c>
      <c r="E6538" t="n">
        <v>1332</v>
      </c>
    </row>
    <row r="6539">
      <c r="A6539" t="inlineStr">
        <is>
          <t>27BBBBB06539Z5</t>
        </is>
      </c>
      <c r="B6539" t="inlineStr">
        <is>
          <t>Dec-2024</t>
        </is>
      </c>
      <c r="C6539" s="2" t="n">
        <v>44776</v>
      </c>
      <c r="D6539" t="inlineStr">
        <is>
          <t>NIL</t>
        </is>
      </c>
      <c r="E6539" t="n">
        <v>902</v>
      </c>
    </row>
    <row r="6540">
      <c r="A6540" t="inlineStr">
        <is>
          <t>27BBBBB06540Z5</t>
        </is>
      </c>
      <c r="B6540" t="inlineStr">
        <is>
          <t>Apr-2020</t>
        </is>
      </c>
      <c r="C6540" s="2" t="n">
        <v>43964</v>
      </c>
      <c r="D6540" t="inlineStr">
        <is>
          <t>NON-NIL</t>
        </is>
      </c>
      <c r="E6540" t="n">
        <v>2938</v>
      </c>
    </row>
    <row r="6541">
      <c r="A6541" t="inlineStr">
        <is>
          <t>27BBBBB06541Z5</t>
        </is>
      </c>
      <c r="B6541" t="inlineStr">
        <is>
          <t>Nov-2017</t>
        </is>
      </c>
      <c r="C6541" s="2" t="n">
        <v>43905</v>
      </c>
      <c r="D6541" t="inlineStr">
        <is>
          <t>NIL</t>
        </is>
      </c>
      <c r="E6541" t="n">
        <v>1203</v>
      </c>
    </row>
    <row r="6542">
      <c r="A6542" t="inlineStr">
        <is>
          <t>27BBBBB06542Z5</t>
        </is>
      </c>
      <c r="B6542" t="inlineStr">
        <is>
          <t>Apr-2020</t>
        </is>
      </c>
      <c r="C6542" s="2" t="n">
        <v>44037</v>
      </c>
      <c r="D6542" t="inlineStr">
        <is>
          <t>NON-NIL</t>
        </is>
      </c>
      <c r="E6542" t="n">
        <v>2625</v>
      </c>
    </row>
    <row r="6543">
      <c r="A6543" t="inlineStr">
        <is>
          <t>27BBBBB06543Z5</t>
        </is>
      </c>
      <c r="B6543" t="inlineStr">
        <is>
          <t>Oct-2017</t>
        </is>
      </c>
      <c r="C6543" s="2" t="n">
        <v>43985</v>
      </c>
      <c r="D6543" t="inlineStr">
        <is>
          <t>NON-NIL</t>
        </is>
      </c>
      <c r="E6543" t="n">
        <v>1704</v>
      </c>
    </row>
    <row r="6544">
      <c r="A6544" t="inlineStr">
        <is>
          <t>27BBBBB06544Z5</t>
        </is>
      </c>
      <c r="B6544" t="inlineStr">
        <is>
          <t>Dec-2024</t>
        </is>
      </c>
      <c r="C6544" s="2" t="n">
        <v>43989</v>
      </c>
      <c r="D6544" t="inlineStr">
        <is>
          <t>NIL</t>
        </is>
      </c>
      <c r="E6544" t="n">
        <v>970</v>
      </c>
    </row>
    <row r="6545">
      <c r="A6545" t="inlineStr">
        <is>
          <t>27BBBBB06545Z5</t>
        </is>
      </c>
      <c r="B6545" t="inlineStr">
        <is>
          <t>Jan-2018</t>
        </is>
      </c>
      <c r="C6545" s="2" t="n">
        <v>44006</v>
      </c>
      <c r="D6545" t="inlineStr">
        <is>
          <t>NIL</t>
        </is>
      </c>
      <c r="E6545" t="n">
        <v>450</v>
      </c>
    </row>
    <row r="6546">
      <c r="A6546" t="inlineStr">
        <is>
          <t>27BBBBB06546Z5</t>
        </is>
      </c>
      <c r="B6546" t="inlineStr">
        <is>
          <t>Jul-2018</t>
        </is>
      </c>
      <c r="C6546" s="2" t="n">
        <v>43938</v>
      </c>
      <c r="D6546" t="inlineStr">
        <is>
          <t>NIL</t>
        </is>
      </c>
      <c r="E6546" t="n">
        <v>2379</v>
      </c>
    </row>
    <row r="6547">
      <c r="A6547" t="inlineStr">
        <is>
          <t>27BBBBB06547Z5</t>
        </is>
      </c>
      <c r="B6547" t="inlineStr">
        <is>
          <t>Aug-2017</t>
        </is>
      </c>
      <c r="C6547" s="2" t="n">
        <v>42988</v>
      </c>
      <c r="D6547" t="inlineStr">
        <is>
          <t>NIL</t>
        </is>
      </c>
      <c r="E6547" t="n">
        <v>1852</v>
      </c>
    </row>
    <row r="6548">
      <c r="A6548" t="inlineStr">
        <is>
          <t>27BBBBB06548Z5</t>
        </is>
      </c>
      <c r="B6548" t="inlineStr">
        <is>
          <t>Nov-2017</t>
        </is>
      </c>
      <c r="C6548" s="2" t="n">
        <v>44309</v>
      </c>
      <c r="D6548" t="inlineStr">
        <is>
          <t>NON-NIL</t>
        </is>
      </c>
      <c r="E6548" t="n">
        <v>2628</v>
      </c>
    </row>
    <row r="6549">
      <c r="A6549" t="inlineStr">
        <is>
          <t>27BBBBB06549Z5</t>
        </is>
      </c>
      <c r="B6549" t="inlineStr">
        <is>
          <t>Oct-2018</t>
        </is>
      </c>
      <c r="C6549" s="2" t="n">
        <v>43037</v>
      </c>
      <c r="D6549" t="inlineStr">
        <is>
          <t>NON-NIL</t>
        </is>
      </c>
      <c r="E6549" t="n">
        <v>487</v>
      </c>
    </row>
    <row r="6550">
      <c r="A6550" t="inlineStr">
        <is>
          <t>27BBBBB06550Z5</t>
        </is>
      </c>
      <c r="B6550" t="inlineStr">
        <is>
          <t>Jan-2021</t>
        </is>
      </c>
      <c r="C6550" s="2" t="n">
        <v>44931</v>
      </c>
      <c r="D6550" t="inlineStr">
        <is>
          <t>NIL</t>
        </is>
      </c>
      <c r="E6550" t="n">
        <v>801</v>
      </c>
    </row>
    <row r="6551">
      <c r="A6551" t="inlineStr">
        <is>
          <t>27BBBBB06551Z5</t>
        </is>
      </c>
      <c r="B6551" t="inlineStr">
        <is>
          <t>Aug-2017</t>
        </is>
      </c>
      <c r="C6551" s="2" t="n">
        <v>43917</v>
      </c>
      <c r="D6551" t="inlineStr">
        <is>
          <t>NON-NIL</t>
        </is>
      </c>
      <c r="E6551" t="n">
        <v>1340</v>
      </c>
    </row>
    <row r="6552">
      <c r="A6552" t="inlineStr">
        <is>
          <t>27BBBBB06552Z5</t>
        </is>
      </c>
      <c r="B6552" t="inlineStr">
        <is>
          <t>Jun-2018</t>
        </is>
      </c>
      <c r="C6552" s="2" t="n">
        <v>43218</v>
      </c>
      <c r="D6552" t="inlineStr">
        <is>
          <t>NIL</t>
        </is>
      </c>
      <c r="E6552" t="n">
        <v>2600</v>
      </c>
    </row>
    <row r="6553">
      <c r="A6553" t="inlineStr">
        <is>
          <t>27BBBBB06553Z5</t>
        </is>
      </c>
      <c r="B6553" t="inlineStr">
        <is>
          <t>Jul-2017</t>
        </is>
      </c>
      <c r="C6553" s="2" t="n">
        <v>43322</v>
      </c>
      <c r="D6553" t="inlineStr">
        <is>
          <t>NON-NIL</t>
        </is>
      </c>
      <c r="E6553" t="n">
        <v>2515</v>
      </c>
    </row>
    <row r="6554">
      <c r="A6554" t="inlineStr">
        <is>
          <t>27BBBBB06554Z5</t>
        </is>
      </c>
      <c r="B6554" t="inlineStr">
        <is>
          <t>Dec-2024</t>
        </is>
      </c>
      <c r="C6554" s="2" t="n">
        <v>44158</v>
      </c>
      <c r="D6554" t="inlineStr">
        <is>
          <t>NIL</t>
        </is>
      </c>
      <c r="E6554" t="n">
        <v>1501</v>
      </c>
    </row>
    <row r="6555">
      <c r="A6555" t="inlineStr">
        <is>
          <t>27BBBBB06555Z5</t>
        </is>
      </c>
      <c r="B6555" t="inlineStr">
        <is>
          <t>Oct-2018</t>
        </is>
      </c>
      <c r="C6555" s="2" t="n">
        <v>44241</v>
      </c>
      <c r="D6555" t="inlineStr">
        <is>
          <t>NIL</t>
        </is>
      </c>
      <c r="E6555" t="n">
        <v>2267</v>
      </c>
    </row>
    <row r="6556">
      <c r="A6556" t="inlineStr">
        <is>
          <t>27BBBBB06556Z5</t>
        </is>
      </c>
      <c r="B6556" t="inlineStr">
        <is>
          <t>Jan-2018</t>
        </is>
      </c>
      <c r="C6556" s="2" t="n">
        <v>44107</v>
      </c>
      <c r="D6556" t="inlineStr">
        <is>
          <t>NIL</t>
        </is>
      </c>
      <c r="E6556" t="n">
        <v>2697</v>
      </c>
    </row>
    <row r="6557">
      <c r="A6557" t="inlineStr">
        <is>
          <t>27BBBBB06557Z5</t>
        </is>
      </c>
      <c r="B6557" t="inlineStr">
        <is>
          <t>Nov-2017</t>
        </is>
      </c>
      <c r="C6557" s="2" t="n">
        <v>43768</v>
      </c>
      <c r="D6557" t="inlineStr">
        <is>
          <t>NIL</t>
        </is>
      </c>
      <c r="E6557" t="n">
        <v>2974</v>
      </c>
    </row>
    <row r="6558">
      <c r="A6558" t="inlineStr">
        <is>
          <t>27BBBBB06558Z5</t>
        </is>
      </c>
      <c r="B6558" t="inlineStr">
        <is>
          <t>Jul-2017</t>
        </is>
      </c>
      <c r="C6558" s="2" t="n">
        <v>43338</v>
      </c>
      <c r="D6558" t="inlineStr">
        <is>
          <t>NIL</t>
        </is>
      </c>
      <c r="E6558" t="n">
        <v>2034</v>
      </c>
    </row>
    <row r="6559">
      <c r="A6559" t="inlineStr">
        <is>
          <t>27BBBBB06559Z5</t>
        </is>
      </c>
      <c r="B6559" t="inlineStr">
        <is>
          <t>Nov-2018</t>
        </is>
      </c>
      <c r="C6559" s="2" t="n">
        <v>44459</v>
      </c>
      <c r="D6559" t="inlineStr">
        <is>
          <t>NIL</t>
        </is>
      </c>
      <c r="E6559" t="n">
        <v>2566</v>
      </c>
    </row>
    <row r="6560">
      <c r="A6560" t="inlineStr">
        <is>
          <t>27BBBBB06560Z5</t>
        </is>
      </c>
      <c r="B6560" t="inlineStr">
        <is>
          <t>Oct-2018</t>
        </is>
      </c>
      <c r="C6560" s="2" t="n">
        <v>43052</v>
      </c>
      <c r="D6560" t="inlineStr">
        <is>
          <t>NON-NIL</t>
        </is>
      </c>
      <c r="E6560" t="n">
        <v>1065</v>
      </c>
    </row>
    <row r="6561">
      <c r="A6561" t="inlineStr">
        <is>
          <t>27BBBBB06561Z5</t>
        </is>
      </c>
      <c r="B6561" t="inlineStr">
        <is>
          <t>Nov-2017</t>
        </is>
      </c>
      <c r="C6561" s="2" t="n">
        <v>44406</v>
      </c>
      <c r="D6561" t="inlineStr">
        <is>
          <t>NON-NIL</t>
        </is>
      </c>
      <c r="E6561" t="n">
        <v>2991</v>
      </c>
    </row>
    <row r="6562">
      <c r="A6562" t="inlineStr">
        <is>
          <t>27BBBBB06562Z5</t>
        </is>
      </c>
      <c r="B6562" t="inlineStr">
        <is>
          <t>Jul-2018</t>
        </is>
      </c>
      <c r="C6562" s="2" t="n">
        <v>43123</v>
      </c>
      <c r="D6562" t="inlineStr">
        <is>
          <t>NIL</t>
        </is>
      </c>
      <c r="E6562" t="n">
        <v>2583</v>
      </c>
    </row>
    <row r="6563">
      <c r="A6563" t="inlineStr">
        <is>
          <t>27BBBBB06563Z5</t>
        </is>
      </c>
      <c r="B6563" t="inlineStr">
        <is>
          <t>Jun-2018</t>
        </is>
      </c>
      <c r="C6563" s="2" t="n">
        <v>44240</v>
      </c>
      <c r="D6563" t="inlineStr">
        <is>
          <t>NON-NIL</t>
        </is>
      </c>
      <c r="E6563" t="n">
        <v>2498</v>
      </c>
    </row>
    <row r="6564">
      <c r="A6564" t="inlineStr">
        <is>
          <t>27BBBBB06564Z5</t>
        </is>
      </c>
      <c r="B6564" t="inlineStr">
        <is>
          <t>Dec-2018</t>
        </is>
      </c>
      <c r="C6564" s="2" t="n">
        <v>44276</v>
      </c>
      <c r="D6564" t="inlineStr">
        <is>
          <t>NIL</t>
        </is>
      </c>
      <c r="E6564" t="n">
        <v>2845</v>
      </c>
    </row>
    <row r="6565">
      <c r="A6565" t="inlineStr">
        <is>
          <t>27BBBBB06565Z5</t>
        </is>
      </c>
      <c r="B6565" t="inlineStr">
        <is>
          <t>Dec-2017</t>
        </is>
      </c>
      <c r="C6565" s="2" t="n">
        <v>43303</v>
      </c>
      <c r="D6565" t="inlineStr">
        <is>
          <t>NIL</t>
        </is>
      </c>
      <c r="E6565" t="n">
        <v>480</v>
      </c>
    </row>
    <row r="6566">
      <c r="A6566" t="inlineStr">
        <is>
          <t>27BBBBB06566Z5</t>
        </is>
      </c>
      <c r="B6566" t="inlineStr">
        <is>
          <t>Jun-2020</t>
        </is>
      </c>
      <c r="C6566" s="2" t="n">
        <v>44694</v>
      </c>
      <c r="D6566" t="inlineStr">
        <is>
          <t>NIL</t>
        </is>
      </c>
      <c r="E6566" t="n">
        <v>815</v>
      </c>
    </row>
    <row r="6567">
      <c r="A6567" t="inlineStr">
        <is>
          <t>27BBBBB06567Z5</t>
        </is>
      </c>
      <c r="B6567" t="inlineStr">
        <is>
          <t>Aug-2017</t>
        </is>
      </c>
      <c r="C6567" s="2" t="n">
        <v>44021</v>
      </c>
      <c r="D6567" t="inlineStr">
        <is>
          <t>NIL</t>
        </is>
      </c>
      <c r="E6567" t="n">
        <v>2780</v>
      </c>
    </row>
    <row r="6568">
      <c r="A6568" t="inlineStr">
        <is>
          <t>27BBBBB06568Z5</t>
        </is>
      </c>
      <c r="B6568" t="inlineStr">
        <is>
          <t>Mar-2021</t>
        </is>
      </c>
      <c r="C6568" s="2" t="n">
        <v>44988</v>
      </c>
      <c r="D6568" t="inlineStr">
        <is>
          <t>NON-NIL</t>
        </is>
      </c>
      <c r="E6568" t="n">
        <v>985</v>
      </c>
    </row>
    <row r="6569">
      <c r="A6569" t="inlineStr">
        <is>
          <t>27BBBBB06569Z5</t>
        </is>
      </c>
      <c r="B6569" t="inlineStr">
        <is>
          <t>Jun-2020</t>
        </is>
      </c>
      <c r="C6569" s="2" t="n">
        <v>43994</v>
      </c>
      <c r="D6569" t="inlineStr">
        <is>
          <t>NIL</t>
        </is>
      </c>
      <c r="E6569" t="n">
        <v>1195</v>
      </c>
    </row>
    <row r="6570">
      <c r="A6570" t="inlineStr">
        <is>
          <t>27BBBBB06570Z5</t>
        </is>
      </c>
      <c r="B6570" t="inlineStr">
        <is>
          <t>Jul-2017</t>
        </is>
      </c>
      <c r="C6570" s="2" t="n">
        <v>43265</v>
      </c>
      <c r="D6570" t="inlineStr">
        <is>
          <t>NIL</t>
        </is>
      </c>
      <c r="E6570" t="n">
        <v>1432</v>
      </c>
    </row>
    <row r="6571">
      <c r="A6571" t="inlineStr">
        <is>
          <t>27BBBBB06571Z5</t>
        </is>
      </c>
      <c r="B6571" t="inlineStr">
        <is>
          <t>Jan-2018</t>
        </is>
      </c>
      <c r="C6571" s="2" t="n">
        <v>43019</v>
      </c>
      <c r="D6571" t="inlineStr">
        <is>
          <t>NIL</t>
        </is>
      </c>
      <c r="E6571" t="n">
        <v>1158</v>
      </c>
    </row>
    <row r="6572">
      <c r="A6572" t="inlineStr">
        <is>
          <t>27BBBBB06572Z5</t>
        </is>
      </c>
      <c r="B6572" t="inlineStr">
        <is>
          <t>Aug-2017</t>
        </is>
      </c>
      <c r="C6572" s="2" t="n">
        <v>43245</v>
      </c>
      <c r="D6572" t="inlineStr">
        <is>
          <t>NON-NIL</t>
        </is>
      </c>
      <c r="E6572" t="n">
        <v>1690</v>
      </c>
    </row>
    <row r="6573">
      <c r="A6573" t="inlineStr">
        <is>
          <t>27BBBBB06573Z5</t>
        </is>
      </c>
      <c r="B6573" t="inlineStr">
        <is>
          <t>Sep-2017</t>
        </is>
      </c>
      <c r="C6573" s="2" t="n">
        <v>43872</v>
      </c>
      <c r="D6573" t="inlineStr">
        <is>
          <t>NON-NIL</t>
        </is>
      </c>
      <c r="E6573" t="n">
        <v>2235</v>
      </c>
    </row>
    <row r="6574">
      <c r="A6574" t="inlineStr">
        <is>
          <t>27BBBBB06574Z5</t>
        </is>
      </c>
      <c r="B6574" t="inlineStr">
        <is>
          <t>Oct-2017</t>
        </is>
      </c>
      <c r="C6574" s="2" t="n">
        <v>43262</v>
      </c>
      <c r="D6574" t="inlineStr">
        <is>
          <t>NIL</t>
        </is>
      </c>
      <c r="E6574" t="n">
        <v>1005</v>
      </c>
    </row>
    <row r="6575">
      <c r="A6575" t="inlineStr">
        <is>
          <t>27BBBBB06575Z5</t>
        </is>
      </c>
      <c r="B6575" t="inlineStr">
        <is>
          <t>Nov-2017</t>
        </is>
      </c>
      <c r="C6575" s="2" t="n">
        <v>43365</v>
      </c>
      <c r="D6575" t="inlineStr">
        <is>
          <t>NON-NIL</t>
        </is>
      </c>
      <c r="E6575" t="n">
        <v>1528</v>
      </c>
    </row>
    <row r="6576">
      <c r="A6576" t="inlineStr">
        <is>
          <t>27BBBBB06576Z5</t>
        </is>
      </c>
      <c r="B6576" t="inlineStr">
        <is>
          <t>Mar-2018</t>
        </is>
      </c>
      <c r="C6576" s="2" t="n">
        <v>43198</v>
      </c>
      <c r="D6576" t="inlineStr">
        <is>
          <t>NIL</t>
        </is>
      </c>
      <c r="E6576" t="n">
        <v>841</v>
      </c>
    </row>
    <row r="6577">
      <c r="A6577" t="inlineStr">
        <is>
          <t>27BBBBB06577Z5</t>
        </is>
      </c>
      <c r="B6577" t="inlineStr">
        <is>
          <t>Jun-2020</t>
        </is>
      </c>
      <c r="C6577" s="2" t="n">
        <v>44005</v>
      </c>
      <c r="D6577" t="inlineStr">
        <is>
          <t>NON-NIL</t>
        </is>
      </c>
      <c r="E6577" t="n">
        <v>2786</v>
      </c>
    </row>
    <row r="6578">
      <c r="A6578" t="inlineStr">
        <is>
          <t>27BBBBB06578Z5</t>
        </is>
      </c>
      <c r="B6578" t="inlineStr">
        <is>
          <t>Oct-2018</t>
        </is>
      </c>
      <c r="C6578" s="2" t="n">
        <v>43975</v>
      </c>
      <c r="D6578" t="inlineStr">
        <is>
          <t>NIL</t>
        </is>
      </c>
      <c r="E6578" t="n">
        <v>1590</v>
      </c>
    </row>
    <row r="6579">
      <c r="A6579" t="inlineStr">
        <is>
          <t>27BBBBB06579Z5</t>
        </is>
      </c>
      <c r="B6579" t="inlineStr">
        <is>
          <t>Dec-2017</t>
        </is>
      </c>
      <c r="C6579" s="2" t="n">
        <v>44554</v>
      </c>
      <c r="D6579" t="inlineStr">
        <is>
          <t>NIL</t>
        </is>
      </c>
      <c r="E6579" t="n">
        <v>2985</v>
      </c>
    </row>
    <row r="6580">
      <c r="A6580" t="inlineStr">
        <is>
          <t>27BBBBB06580Z5</t>
        </is>
      </c>
      <c r="B6580" t="inlineStr">
        <is>
          <t>Mar-2018</t>
        </is>
      </c>
      <c r="C6580" s="2" t="n">
        <v>43244</v>
      </c>
      <c r="D6580" t="inlineStr">
        <is>
          <t>NON-NIL</t>
        </is>
      </c>
      <c r="E6580" t="n">
        <v>1700</v>
      </c>
    </row>
    <row r="6581">
      <c r="A6581" t="inlineStr">
        <is>
          <t>27BBBBB06581Z5</t>
        </is>
      </c>
      <c r="B6581" t="inlineStr">
        <is>
          <t>Jun-2018</t>
        </is>
      </c>
      <c r="C6581" s="2" t="n">
        <v>44251</v>
      </c>
      <c r="D6581" t="inlineStr">
        <is>
          <t>NON-NIL</t>
        </is>
      </c>
      <c r="E6581" t="n">
        <v>1386</v>
      </c>
    </row>
    <row r="6582">
      <c r="A6582" t="inlineStr">
        <is>
          <t>27BBBBB06582Z5</t>
        </is>
      </c>
      <c r="B6582" t="inlineStr">
        <is>
          <t>Sep-2018</t>
        </is>
      </c>
      <c r="C6582" s="2" t="n">
        <v>42961</v>
      </c>
      <c r="D6582" t="inlineStr">
        <is>
          <t>NON-NIL</t>
        </is>
      </c>
      <c r="E6582" t="n">
        <v>1737</v>
      </c>
    </row>
    <row r="6583">
      <c r="A6583" t="inlineStr">
        <is>
          <t>27BBBBB06583Z5</t>
        </is>
      </c>
      <c r="B6583" t="inlineStr">
        <is>
          <t>Nov-2017</t>
        </is>
      </c>
      <c r="C6583" s="2" t="n">
        <v>43055</v>
      </c>
      <c r="D6583" t="inlineStr">
        <is>
          <t>NON-NIL</t>
        </is>
      </c>
      <c r="E6583" t="n">
        <v>494</v>
      </c>
    </row>
    <row r="6584">
      <c r="A6584" t="inlineStr">
        <is>
          <t>27BBBBB06584Z5</t>
        </is>
      </c>
      <c r="B6584" t="inlineStr">
        <is>
          <t>Aug-2018</t>
        </is>
      </c>
      <c r="C6584" s="2" t="n">
        <v>43364</v>
      </c>
      <c r="D6584" t="inlineStr">
        <is>
          <t>NON-NIL</t>
        </is>
      </c>
      <c r="E6584" t="n">
        <v>225</v>
      </c>
    </row>
    <row r="6585">
      <c r="A6585" t="inlineStr">
        <is>
          <t>27BBBBB06585Z5</t>
        </is>
      </c>
      <c r="B6585" t="inlineStr">
        <is>
          <t>Jun-2020</t>
        </is>
      </c>
      <c r="C6585" s="2" t="n">
        <v>44115</v>
      </c>
      <c r="D6585" t="inlineStr">
        <is>
          <t>NIL</t>
        </is>
      </c>
      <c r="E6585" t="n">
        <v>1162</v>
      </c>
    </row>
    <row r="6586">
      <c r="A6586" t="inlineStr">
        <is>
          <t>27BBBBB06586Z5</t>
        </is>
      </c>
      <c r="B6586" t="inlineStr">
        <is>
          <t>Dec-2017</t>
        </is>
      </c>
      <c r="C6586" s="2" t="n">
        <v>43085</v>
      </c>
      <c r="D6586" t="inlineStr">
        <is>
          <t>NIL</t>
        </is>
      </c>
      <c r="E6586" t="n">
        <v>1545</v>
      </c>
    </row>
    <row r="6587">
      <c r="A6587" t="inlineStr">
        <is>
          <t>27BBBBB06587Z5</t>
        </is>
      </c>
      <c r="B6587" t="inlineStr">
        <is>
          <t>May-2020</t>
        </is>
      </c>
      <c r="C6587" s="2" t="n">
        <v>44077</v>
      </c>
      <c r="D6587" t="inlineStr">
        <is>
          <t>NIL</t>
        </is>
      </c>
      <c r="E6587" t="n">
        <v>1079</v>
      </c>
    </row>
    <row r="6588">
      <c r="A6588" t="inlineStr">
        <is>
          <t>27BBBBB06588Z5</t>
        </is>
      </c>
      <c r="B6588" t="inlineStr">
        <is>
          <t>Sep-2017</t>
        </is>
      </c>
      <c r="C6588" s="2" t="n">
        <v>43012</v>
      </c>
      <c r="D6588" t="inlineStr">
        <is>
          <t>NON-NIL</t>
        </is>
      </c>
      <c r="E6588" t="n">
        <v>1159</v>
      </c>
    </row>
    <row r="6589">
      <c r="A6589" t="inlineStr">
        <is>
          <t>27BBBBB06589Z5</t>
        </is>
      </c>
      <c r="B6589" t="inlineStr">
        <is>
          <t>May-2018</t>
        </is>
      </c>
      <c r="C6589" s="2" t="n">
        <v>43608</v>
      </c>
      <c r="D6589" t="inlineStr">
        <is>
          <t>NIL</t>
        </is>
      </c>
      <c r="E6589" t="n">
        <v>26</v>
      </c>
    </row>
    <row r="6590">
      <c r="A6590" t="inlineStr">
        <is>
          <t>27BBBBB06590Z5</t>
        </is>
      </c>
      <c r="B6590" t="inlineStr">
        <is>
          <t>Jul-2017</t>
        </is>
      </c>
      <c r="C6590" s="2" t="n">
        <v>44315</v>
      </c>
      <c r="D6590" t="inlineStr">
        <is>
          <t>NON-NIL</t>
        </is>
      </c>
      <c r="E6590" t="n">
        <v>263</v>
      </c>
    </row>
    <row r="6591">
      <c r="A6591" t="inlineStr">
        <is>
          <t>27BBBBB06591Z5</t>
        </is>
      </c>
      <c r="B6591" t="inlineStr">
        <is>
          <t>Jul-2020</t>
        </is>
      </c>
      <c r="C6591" s="2" t="n">
        <v>44091</v>
      </c>
      <c r="D6591" t="inlineStr">
        <is>
          <t>NON-NIL</t>
        </is>
      </c>
      <c r="E6591" t="n">
        <v>1038</v>
      </c>
    </row>
    <row r="6592">
      <c r="A6592" t="inlineStr">
        <is>
          <t>27BBBBB06592Z5</t>
        </is>
      </c>
      <c r="B6592" t="inlineStr">
        <is>
          <t>Jun-2018</t>
        </is>
      </c>
      <c r="C6592" s="2" t="n">
        <v>43171</v>
      </c>
      <c r="D6592" t="inlineStr">
        <is>
          <t>NON-NIL</t>
        </is>
      </c>
      <c r="E6592" t="n">
        <v>396</v>
      </c>
    </row>
    <row r="6593">
      <c r="A6593" t="inlineStr">
        <is>
          <t>27BBBBB06593Z5</t>
        </is>
      </c>
      <c r="B6593" t="inlineStr">
        <is>
          <t>Apr-2020</t>
        </is>
      </c>
      <c r="C6593" s="2" t="n">
        <v>44460</v>
      </c>
      <c r="D6593" t="inlineStr">
        <is>
          <t>NON-NIL</t>
        </is>
      </c>
      <c r="E6593" t="n">
        <v>1362</v>
      </c>
    </row>
    <row r="6594">
      <c r="A6594" t="inlineStr">
        <is>
          <t>27BBBBB06594Z5</t>
        </is>
      </c>
      <c r="B6594" t="inlineStr">
        <is>
          <t>Feb-2018</t>
        </is>
      </c>
      <c r="C6594" s="2" t="n">
        <v>44520</v>
      </c>
      <c r="D6594" t="inlineStr">
        <is>
          <t>NON-NIL</t>
        </is>
      </c>
      <c r="E6594" t="n">
        <v>10</v>
      </c>
    </row>
    <row r="6595">
      <c r="A6595" t="inlineStr">
        <is>
          <t>27BBBBB06595Z5</t>
        </is>
      </c>
      <c r="B6595" t="inlineStr">
        <is>
          <t>Apr-2020</t>
        </is>
      </c>
      <c r="C6595" s="2" t="n">
        <v>44142</v>
      </c>
      <c r="D6595" t="inlineStr">
        <is>
          <t>NIL</t>
        </is>
      </c>
      <c r="E6595" t="n">
        <v>2095</v>
      </c>
    </row>
    <row r="6596">
      <c r="A6596" t="inlineStr">
        <is>
          <t>27BBBBB06596Z5</t>
        </is>
      </c>
      <c r="B6596" t="inlineStr">
        <is>
          <t>Jun-2020</t>
        </is>
      </c>
      <c r="C6596" s="2" t="n">
        <v>44795</v>
      </c>
      <c r="D6596" t="inlineStr">
        <is>
          <t>NIL</t>
        </is>
      </c>
      <c r="E6596" t="n">
        <v>749</v>
      </c>
    </row>
    <row r="6597">
      <c r="A6597" t="inlineStr">
        <is>
          <t>27BBBBB06597Z5</t>
        </is>
      </c>
      <c r="B6597" t="inlineStr">
        <is>
          <t>May-2020</t>
        </is>
      </c>
      <c r="C6597" s="2" t="n">
        <v>44287</v>
      </c>
      <c r="D6597" t="inlineStr">
        <is>
          <t>NIL</t>
        </is>
      </c>
      <c r="E6597" t="n">
        <v>998</v>
      </c>
    </row>
    <row r="6598">
      <c r="A6598" t="inlineStr">
        <is>
          <t>27BBBBB06598Z5</t>
        </is>
      </c>
      <c r="B6598" t="inlineStr">
        <is>
          <t>Jul-2020</t>
        </is>
      </c>
      <c r="C6598" s="2" t="n">
        <v>44610</v>
      </c>
      <c r="D6598" t="inlineStr">
        <is>
          <t>NON-NIL</t>
        </is>
      </c>
      <c r="E6598" t="n">
        <v>1800</v>
      </c>
    </row>
    <row r="6599">
      <c r="A6599" t="inlineStr">
        <is>
          <t>27BBBBB06599Z5</t>
        </is>
      </c>
      <c r="B6599" t="inlineStr">
        <is>
          <t>Mar-2023</t>
        </is>
      </c>
      <c r="C6599" s="2" t="n">
        <v>43566</v>
      </c>
      <c r="D6599" t="inlineStr">
        <is>
          <t>NON-NIL</t>
        </is>
      </c>
      <c r="E6599" t="n">
        <v>834</v>
      </c>
    </row>
    <row r="6600">
      <c r="A6600" t="inlineStr">
        <is>
          <t>27BBBBB06600Z5</t>
        </is>
      </c>
      <c r="B6600" t="inlineStr">
        <is>
          <t>Dec-2024</t>
        </is>
      </c>
      <c r="C6600" s="2" t="n">
        <v>44687</v>
      </c>
      <c r="D6600" t="inlineStr">
        <is>
          <t>NIL</t>
        </is>
      </c>
      <c r="E6600" t="n">
        <v>1450</v>
      </c>
    </row>
    <row r="6601">
      <c r="A6601" t="inlineStr">
        <is>
          <t>27BBBBB06601Z5</t>
        </is>
      </c>
      <c r="B6601" t="inlineStr">
        <is>
          <t>Jul-2020</t>
        </is>
      </c>
      <c r="C6601" s="2" t="n">
        <v>43966</v>
      </c>
      <c r="D6601" t="inlineStr">
        <is>
          <t>NON-NIL</t>
        </is>
      </c>
      <c r="E6601" t="n">
        <v>245</v>
      </c>
    </row>
    <row r="6602">
      <c r="A6602" t="inlineStr">
        <is>
          <t>27BBBBB06602Z5</t>
        </is>
      </c>
      <c r="B6602" t="inlineStr">
        <is>
          <t>Oct-2017</t>
        </is>
      </c>
      <c r="C6602" s="2" t="n">
        <v>43310</v>
      </c>
      <c r="D6602" t="inlineStr">
        <is>
          <t>NON-NIL</t>
        </is>
      </c>
      <c r="E6602" t="n">
        <v>2050</v>
      </c>
    </row>
    <row r="6603">
      <c r="A6603" t="inlineStr">
        <is>
          <t>27BBBBB06603Z5</t>
        </is>
      </c>
      <c r="B6603" t="inlineStr">
        <is>
          <t>Dec-2018</t>
        </is>
      </c>
      <c r="C6603" s="2" t="n">
        <v>43103</v>
      </c>
      <c r="D6603" t="inlineStr">
        <is>
          <t>NIL</t>
        </is>
      </c>
      <c r="E6603" t="n">
        <v>494</v>
      </c>
    </row>
    <row r="6604">
      <c r="A6604" t="inlineStr">
        <is>
          <t>27BBBBB06604Z5</t>
        </is>
      </c>
      <c r="B6604" t="inlineStr">
        <is>
          <t>Jun-2018</t>
        </is>
      </c>
      <c r="C6604" s="2" t="n">
        <v>43683</v>
      </c>
      <c r="D6604" t="inlineStr">
        <is>
          <t>NON-NIL</t>
        </is>
      </c>
      <c r="E6604" t="n">
        <v>551</v>
      </c>
    </row>
    <row r="6605">
      <c r="A6605" t="inlineStr">
        <is>
          <t>27BBBBB06605Z5</t>
        </is>
      </c>
      <c r="B6605" t="inlineStr">
        <is>
          <t>Mar-2018</t>
        </is>
      </c>
      <c r="C6605" s="2" t="n">
        <v>44062</v>
      </c>
      <c r="D6605" t="inlineStr">
        <is>
          <t>NIL</t>
        </is>
      </c>
      <c r="E6605" t="n">
        <v>5</v>
      </c>
    </row>
    <row r="6606">
      <c r="A6606" t="inlineStr">
        <is>
          <t>27BBBBB06606Z5</t>
        </is>
      </c>
      <c r="B6606" t="inlineStr">
        <is>
          <t>Mar-2021</t>
        </is>
      </c>
      <c r="C6606" s="2" t="n">
        <v>45534</v>
      </c>
      <c r="D6606" t="inlineStr">
        <is>
          <t>NON-NIL</t>
        </is>
      </c>
      <c r="E6606" t="n">
        <v>504</v>
      </c>
    </row>
    <row r="6607">
      <c r="A6607" t="inlineStr">
        <is>
          <t>27BBBBB06607Z5</t>
        </is>
      </c>
      <c r="B6607" t="inlineStr">
        <is>
          <t>Jan-2018</t>
        </is>
      </c>
      <c r="C6607" s="2" t="n">
        <v>42943</v>
      </c>
      <c r="D6607" t="inlineStr">
        <is>
          <t>NIL</t>
        </is>
      </c>
      <c r="E6607" t="n">
        <v>1655</v>
      </c>
    </row>
    <row r="6608">
      <c r="A6608" t="inlineStr">
        <is>
          <t>27BBBBB06608Z5</t>
        </is>
      </c>
      <c r="B6608" t="inlineStr">
        <is>
          <t>Sep-2017</t>
        </is>
      </c>
      <c r="C6608" s="2" t="n">
        <v>44055</v>
      </c>
      <c r="D6608" t="inlineStr">
        <is>
          <t>NIL</t>
        </is>
      </c>
      <c r="E6608" t="n">
        <v>1264</v>
      </c>
    </row>
    <row r="6609">
      <c r="A6609" t="inlineStr">
        <is>
          <t>27BBBBB06609Z5</t>
        </is>
      </c>
      <c r="B6609" t="inlineStr">
        <is>
          <t>Mar-2021</t>
        </is>
      </c>
      <c r="C6609" s="2" t="n">
        <v>43747</v>
      </c>
      <c r="D6609" t="inlineStr">
        <is>
          <t>NIL</t>
        </is>
      </c>
      <c r="E6609" t="n">
        <v>2879</v>
      </c>
    </row>
    <row r="6610">
      <c r="A6610" t="inlineStr">
        <is>
          <t>27BBBBB06610Z5</t>
        </is>
      </c>
      <c r="B6610" t="inlineStr">
        <is>
          <t>Dec-2017</t>
        </is>
      </c>
      <c r="C6610" s="2" t="n">
        <v>43051</v>
      </c>
      <c r="D6610" t="inlineStr">
        <is>
          <t>NIL</t>
        </is>
      </c>
      <c r="E6610" t="n">
        <v>1577</v>
      </c>
    </row>
    <row r="6611">
      <c r="A6611" t="inlineStr">
        <is>
          <t>27BBBBB06611Z5</t>
        </is>
      </c>
      <c r="B6611" t="inlineStr">
        <is>
          <t>Oct-2017</t>
        </is>
      </c>
      <c r="C6611" s="2" t="n">
        <v>43019</v>
      </c>
      <c r="D6611" t="inlineStr">
        <is>
          <t>NIL</t>
        </is>
      </c>
      <c r="E6611" t="n">
        <v>1741</v>
      </c>
    </row>
    <row r="6612">
      <c r="A6612" t="inlineStr">
        <is>
          <t>27BBBBB06612Z5</t>
        </is>
      </c>
      <c r="B6612" t="inlineStr">
        <is>
          <t>Jul-2020</t>
        </is>
      </c>
      <c r="C6612" s="2" t="n">
        <v>44073</v>
      </c>
      <c r="D6612" t="inlineStr">
        <is>
          <t>NIL</t>
        </is>
      </c>
      <c r="E6612" t="n">
        <v>2897</v>
      </c>
    </row>
    <row r="6613">
      <c r="A6613" t="inlineStr">
        <is>
          <t>27BBBBB06613Z5</t>
        </is>
      </c>
      <c r="B6613" t="inlineStr">
        <is>
          <t>Dec-2022</t>
        </is>
      </c>
      <c r="C6613" s="2" t="n">
        <v>44026</v>
      </c>
      <c r="D6613" t="inlineStr">
        <is>
          <t>NON-NIL</t>
        </is>
      </c>
      <c r="E6613" t="n">
        <v>1931</v>
      </c>
    </row>
    <row r="6614">
      <c r="A6614" t="inlineStr">
        <is>
          <t>27BBBBB06614Z5</t>
        </is>
      </c>
      <c r="B6614" t="inlineStr">
        <is>
          <t>Mar-2018</t>
        </is>
      </c>
      <c r="C6614" s="2" t="n">
        <v>43773</v>
      </c>
      <c r="D6614" t="inlineStr">
        <is>
          <t>NON-NIL</t>
        </is>
      </c>
      <c r="E6614" t="n">
        <v>1797</v>
      </c>
    </row>
    <row r="6615">
      <c r="A6615" t="inlineStr">
        <is>
          <t>27BBBBB06615Z5</t>
        </is>
      </c>
      <c r="B6615" t="inlineStr">
        <is>
          <t>Nov-2018</t>
        </is>
      </c>
      <c r="C6615" s="2" t="n">
        <v>42968</v>
      </c>
      <c r="D6615" t="inlineStr">
        <is>
          <t>NIL</t>
        </is>
      </c>
      <c r="E6615" t="n">
        <v>1164</v>
      </c>
    </row>
    <row r="6616">
      <c r="A6616" t="inlineStr">
        <is>
          <t>27BBBBB06616Z5</t>
        </is>
      </c>
      <c r="B6616" t="inlineStr">
        <is>
          <t>Mar-2020</t>
        </is>
      </c>
      <c r="C6616" s="2" t="n">
        <v>44229</v>
      </c>
      <c r="D6616" t="inlineStr">
        <is>
          <t>NIL</t>
        </is>
      </c>
      <c r="E6616" t="n">
        <v>1784</v>
      </c>
    </row>
    <row r="6617">
      <c r="A6617" t="inlineStr">
        <is>
          <t>27BBBBB06617Z5</t>
        </is>
      </c>
      <c r="B6617" t="inlineStr">
        <is>
          <t>Dec-2022</t>
        </is>
      </c>
      <c r="C6617" s="2" t="n">
        <v>44419</v>
      </c>
      <c r="D6617" t="inlineStr">
        <is>
          <t>NIL</t>
        </is>
      </c>
      <c r="E6617" t="n">
        <v>2848</v>
      </c>
    </row>
    <row r="6618">
      <c r="A6618" t="inlineStr">
        <is>
          <t>27BBBBB06618Z5</t>
        </is>
      </c>
      <c r="B6618" t="inlineStr">
        <is>
          <t>Mar-2023</t>
        </is>
      </c>
      <c r="C6618" s="2" t="n">
        <v>44710</v>
      </c>
      <c r="D6618" t="inlineStr">
        <is>
          <t>NIL</t>
        </is>
      </c>
      <c r="E6618" t="n">
        <v>1500</v>
      </c>
    </row>
    <row r="6619">
      <c r="A6619" t="inlineStr">
        <is>
          <t>27BBBBB06619Z5</t>
        </is>
      </c>
      <c r="B6619" t="inlineStr">
        <is>
          <t>Jun-2018</t>
        </is>
      </c>
      <c r="C6619" s="2" t="n">
        <v>43821</v>
      </c>
      <c r="D6619" t="inlineStr">
        <is>
          <t>NON-NIL</t>
        </is>
      </c>
      <c r="E6619" t="n">
        <v>2360</v>
      </c>
    </row>
    <row r="6620">
      <c r="A6620" t="inlineStr">
        <is>
          <t>27BBBBB06620Z5</t>
        </is>
      </c>
      <c r="B6620" t="inlineStr">
        <is>
          <t>Jul-2017</t>
        </is>
      </c>
      <c r="C6620" s="2" t="n">
        <v>44026</v>
      </c>
      <c r="D6620" t="inlineStr">
        <is>
          <t>NON-NIL</t>
        </is>
      </c>
      <c r="E6620" t="n">
        <v>1801</v>
      </c>
    </row>
    <row r="6621">
      <c r="A6621" t="inlineStr">
        <is>
          <t>27BBBBB06621Z5</t>
        </is>
      </c>
      <c r="B6621" t="inlineStr">
        <is>
          <t>Apr-2018</t>
        </is>
      </c>
      <c r="C6621" s="2" t="n">
        <v>43915</v>
      </c>
      <c r="D6621" t="inlineStr">
        <is>
          <t>NIL</t>
        </is>
      </c>
      <c r="E6621" t="n">
        <v>2011</v>
      </c>
    </row>
    <row r="6622">
      <c r="A6622" t="inlineStr">
        <is>
          <t>27BBBBB06622Z5</t>
        </is>
      </c>
      <c r="B6622" t="inlineStr">
        <is>
          <t>Sep-2018</t>
        </is>
      </c>
      <c r="C6622" s="2" t="n">
        <v>43136</v>
      </c>
      <c r="D6622" t="inlineStr">
        <is>
          <t>NON-NIL</t>
        </is>
      </c>
      <c r="E6622" t="n">
        <v>1369</v>
      </c>
    </row>
    <row r="6623">
      <c r="A6623" t="inlineStr">
        <is>
          <t>27BBBBB06623Z5</t>
        </is>
      </c>
      <c r="B6623" t="inlineStr">
        <is>
          <t>Aug-2018</t>
        </is>
      </c>
      <c r="C6623" s="2" t="n">
        <v>43514</v>
      </c>
      <c r="D6623" t="inlineStr">
        <is>
          <t>NON-NIL</t>
        </is>
      </c>
      <c r="E6623" t="n">
        <v>1035</v>
      </c>
    </row>
    <row r="6624">
      <c r="A6624" t="inlineStr">
        <is>
          <t>27BBBBB06624Z5</t>
        </is>
      </c>
      <c r="B6624" t="inlineStr">
        <is>
          <t>Feb-2018</t>
        </is>
      </c>
      <c r="C6624" s="2" t="n">
        <v>43229</v>
      </c>
      <c r="D6624" t="inlineStr">
        <is>
          <t>NIL</t>
        </is>
      </c>
      <c r="E6624" t="n">
        <v>2921</v>
      </c>
    </row>
    <row r="6625">
      <c r="A6625" t="inlineStr">
        <is>
          <t>27BBBBB06625Z5</t>
        </is>
      </c>
      <c r="B6625" t="inlineStr">
        <is>
          <t>Mar-2018</t>
        </is>
      </c>
      <c r="C6625" s="2" t="n">
        <v>44512</v>
      </c>
      <c r="D6625" t="inlineStr">
        <is>
          <t>NON-NIL</t>
        </is>
      </c>
      <c r="E6625" t="n">
        <v>2405</v>
      </c>
    </row>
    <row r="6626">
      <c r="A6626" t="inlineStr">
        <is>
          <t>27BBBBB06626Z5</t>
        </is>
      </c>
      <c r="B6626" t="inlineStr">
        <is>
          <t>Jul-2018</t>
        </is>
      </c>
      <c r="C6626" s="2" t="n">
        <v>43393</v>
      </c>
      <c r="D6626" t="inlineStr">
        <is>
          <t>NIL</t>
        </is>
      </c>
      <c r="E6626" t="n">
        <v>2187</v>
      </c>
    </row>
    <row r="6627">
      <c r="A6627" t="inlineStr">
        <is>
          <t>27BBBBB06627Z5</t>
        </is>
      </c>
      <c r="B6627" t="inlineStr">
        <is>
          <t>May-2020</t>
        </is>
      </c>
      <c r="C6627" s="2" t="n">
        <v>44037</v>
      </c>
      <c r="D6627" t="inlineStr">
        <is>
          <t>NON-NIL</t>
        </is>
      </c>
      <c r="E6627" t="n">
        <v>2183</v>
      </c>
    </row>
    <row r="6628">
      <c r="A6628" t="inlineStr">
        <is>
          <t>27BBBBB06628Z5</t>
        </is>
      </c>
      <c r="B6628" t="inlineStr">
        <is>
          <t>Apr-2020</t>
        </is>
      </c>
      <c r="C6628" s="2" t="n">
        <v>44692</v>
      </c>
      <c r="D6628" t="inlineStr">
        <is>
          <t>NIL</t>
        </is>
      </c>
      <c r="E6628" t="n">
        <v>2402</v>
      </c>
    </row>
    <row r="6629">
      <c r="A6629" t="inlineStr">
        <is>
          <t>27BBBBB06629Z5</t>
        </is>
      </c>
      <c r="B6629" t="inlineStr">
        <is>
          <t>Apr-2020</t>
        </is>
      </c>
      <c r="C6629" s="2" t="n">
        <v>44234</v>
      </c>
      <c r="D6629" t="inlineStr">
        <is>
          <t>NIL</t>
        </is>
      </c>
      <c r="E6629" t="n">
        <v>1589</v>
      </c>
    </row>
    <row r="6630">
      <c r="A6630" t="inlineStr">
        <is>
          <t>27BBBBB06630Z5</t>
        </is>
      </c>
      <c r="B6630" t="inlineStr">
        <is>
          <t>Jan-2018</t>
        </is>
      </c>
      <c r="C6630" s="2" t="n">
        <v>43432</v>
      </c>
      <c r="D6630" t="inlineStr">
        <is>
          <t>NIL</t>
        </is>
      </c>
      <c r="E6630" t="n">
        <v>213</v>
      </c>
    </row>
    <row r="6631">
      <c r="A6631" t="inlineStr">
        <is>
          <t>27BBBBB06631Z5</t>
        </is>
      </c>
      <c r="B6631" t="inlineStr">
        <is>
          <t>Apr-2020</t>
        </is>
      </c>
      <c r="C6631" s="2" t="n">
        <v>44137</v>
      </c>
      <c r="D6631" t="inlineStr">
        <is>
          <t>NON-NIL</t>
        </is>
      </c>
      <c r="E6631" t="n">
        <v>645</v>
      </c>
    </row>
    <row r="6632">
      <c r="A6632" t="inlineStr">
        <is>
          <t>27BBBBB06632Z5</t>
        </is>
      </c>
      <c r="B6632" t="inlineStr">
        <is>
          <t>Jul-2017</t>
        </is>
      </c>
      <c r="C6632" s="2" t="n">
        <v>43496</v>
      </c>
      <c r="D6632" t="inlineStr">
        <is>
          <t>NIL</t>
        </is>
      </c>
      <c r="E6632" t="n">
        <v>1030</v>
      </c>
    </row>
    <row r="6633">
      <c r="A6633" t="inlineStr">
        <is>
          <t>27BBBBB06633Z5</t>
        </is>
      </c>
      <c r="B6633" t="inlineStr">
        <is>
          <t>Jul-2017</t>
        </is>
      </c>
      <c r="C6633" s="2" t="n">
        <v>43145</v>
      </c>
      <c r="D6633" t="inlineStr">
        <is>
          <t>NON-NIL</t>
        </is>
      </c>
      <c r="E6633" t="n">
        <v>595</v>
      </c>
    </row>
    <row r="6634">
      <c r="A6634" t="inlineStr">
        <is>
          <t>27BBBBB06634Z5</t>
        </is>
      </c>
      <c r="B6634" t="inlineStr">
        <is>
          <t>Sep-2017</t>
        </is>
      </c>
      <c r="C6634" s="2" t="n">
        <v>43839</v>
      </c>
      <c r="D6634" t="inlineStr">
        <is>
          <t>NIL</t>
        </is>
      </c>
      <c r="E6634" t="n">
        <v>2210</v>
      </c>
    </row>
    <row r="6635">
      <c r="A6635" t="inlineStr">
        <is>
          <t>27BBBBB06635Z5</t>
        </is>
      </c>
      <c r="B6635" t="inlineStr">
        <is>
          <t>Oct-2017</t>
        </is>
      </c>
      <c r="C6635" s="2" t="n">
        <v>43020</v>
      </c>
      <c r="D6635" t="inlineStr">
        <is>
          <t>NIL</t>
        </is>
      </c>
      <c r="E6635" t="n">
        <v>2698</v>
      </c>
    </row>
    <row r="6636">
      <c r="A6636" t="inlineStr">
        <is>
          <t>27BBBBB06636Z5</t>
        </is>
      </c>
      <c r="B6636" t="inlineStr">
        <is>
          <t>Nov-2018</t>
        </is>
      </c>
      <c r="C6636" s="2" t="n">
        <v>44175</v>
      </c>
      <c r="D6636" t="inlineStr">
        <is>
          <t>NON-NIL</t>
        </is>
      </c>
      <c r="E6636" t="n">
        <v>976</v>
      </c>
    </row>
    <row r="6637">
      <c r="A6637" t="inlineStr">
        <is>
          <t>27BBBBB06637Z5</t>
        </is>
      </c>
      <c r="B6637" t="inlineStr">
        <is>
          <t>Jan-2021</t>
        </is>
      </c>
      <c r="C6637" s="2" t="n">
        <v>44308</v>
      </c>
      <c r="D6637" t="inlineStr">
        <is>
          <t>NIL</t>
        </is>
      </c>
      <c r="E6637" t="n">
        <v>1166</v>
      </c>
    </row>
    <row r="6638">
      <c r="A6638" t="inlineStr">
        <is>
          <t>27BBBBB06638Z5</t>
        </is>
      </c>
      <c r="B6638" t="inlineStr">
        <is>
          <t>Dec-2022</t>
        </is>
      </c>
      <c r="C6638" s="2" t="n">
        <v>45420</v>
      </c>
      <c r="D6638" t="inlineStr">
        <is>
          <t>NIL</t>
        </is>
      </c>
      <c r="E6638" t="n">
        <v>1401</v>
      </c>
    </row>
    <row r="6639">
      <c r="A6639" t="inlineStr">
        <is>
          <t>27BBBBB06639Z5</t>
        </is>
      </c>
      <c r="B6639" t="inlineStr">
        <is>
          <t>Jun-2020</t>
        </is>
      </c>
      <c r="C6639" s="2" t="n">
        <v>44163</v>
      </c>
      <c r="D6639" t="inlineStr">
        <is>
          <t>NON-NIL</t>
        </is>
      </c>
      <c r="E6639" t="n">
        <v>2281</v>
      </c>
    </row>
    <row r="6640">
      <c r="A6640" t="inlineStr">
        <is>
          <t>27BBBBB06640Z5</t>
        </is>
      </c>
      <c r="B6640" t="inlineStr">
        <is>
          <t>Dec-2024</t>
        </is>
      </c>
      <c r="C6640" s="2" t="n">
        <v>45098</v>
      </c>
      <c r="D6640" t="inlineStr">
        <is>
          <t>NON-NIL</t>
        </is>
      </c>
      <c r="E6640" t="n">
        <v>958</v>
      </c>
    </row>
    <row r="6641">
      <c r="A6641" t="inlineStr">
        <is>
          <t>27BBBBB06641Z5</t>
        </is>
      </c>
      <c r="B6641" t="inlineStr">
        <is>
          <t>Apr-2020</t>
        </is>
      </c>
      <c r="C6641" s="2" t="n">
        <v>43954</v>
      </c>
      <c r="D6641" t="inlineStr">
        <is>
          <t>NIL</t>
        </is>
      </c>
      <c r="E6641" t="n">
        <v>422</v>
      </c>
    </row>
    <row r="6642">
      <c r="A6642" t="inlineStr">
        <is>
          <t>27BBBBB06642Z5</t>
        </is>
      </c>
      <c r="B6642" t="inlineStr">
        <is>
          <t>Mar-2021</t>
        </is>
      </c>
      <c r="C6642" s="2" t="n">
        <v>45054</v>
      </c>
      <c r="D6642" t="inlineStr">
        <is>
          <t>NON-NIL</t>
        </is>
      </c>
      <c r="E6642" t="n">
        <v>722</v>
      </c>
    </row>
    <row r="6643">
      <c r="A6643" t="inlineStr">
        <is>
          <t>27BBBBB06643Z5</t>
        </is>
      </c>
      <c r="B6643" t="inlineStr">
        <is>
          <t>Mar-2023</t>
        </is>
      </c>
      <c r="C6643" s="2" t="n">
        <v>45596</v>
      </c>
      <c r="D6643" t="inlineStr">
        <is>
          <t>NIL</t>
        </is>
      </c>
      <c r="E6643" t="n">
        <v>2209</v>
      </c>
    </row>
    <row r="6644">
      <c r="A6644" t="inlineStr">
        <is>
          <t>27BBBBB06644Z5</t>
        </is>
      </c>
      <c r="B6644" t="inlineStr">
        <is>
          <t>Mar-2021</t>
        </is>
      </c>
      <c r="C6644" s="2" t="n">
        <v>45555</v>
      </c>
      <c r="D6644" t="inlineStr">
        <is>
          <t>NON-NIL</t>
        </is>
      </c>
      <c r="E6644" t="n">
        <v>2639</v>
      </c>
    </row>
    <row r="6645">
      <c r="A6645" t="inlineStr">
        <is>
          <t>27BBBBB06645Z5</t>
        </is>
      </c>
      <c r="B6645" t="inlineStr">
        <is>
          <t>Dec-2024</t>
        </is>
      </c>
      <c r="C6645" s="2" t="n">
        <v>45653</v>
      </c>
      <c r="D6645" t="inlineStr">
        <is>
          <t>NON-NIL</t>
        </is>
      </c>
      <c r="E6645" t="n">
        <v>152</v>
      </c>
    </row>
    <row r="6646">
      <c r="A6646" t="inlineStr">
        <is>
          <t>27BBBBB06646Z5</t>
        </is>
      </c>
      <c r="B6646" t="inlineStr">
        <is>
          <t>Sep-2018</t>
        </is>
      </c>
      <c r="C6646" s="2" t="n">
        <v>43412</v>
      </c>
      <c r="D6646" t="inlineStr">
        <is>
          <t>NON-NIL</t>
        </is>
      </c>
      <c r="E6646" t="n">
        <v>937</v>
      </c>
    </row>
    <row r="6647">
      <c r="A6647" t="inlineStr">
        <is>
          <t>27BBBBB06647Z5</t>
        </is>
      </c>
      <c r="B6647" t="inlineStr">
        <is>
          <t>Sep-2017</t>
        </is>
      </c>
      <c r="C6647" s="2" t="n">
        <v>44087</v>
      </c>
      <c r="D6647" t="inlineStr">
        <is>
          <t>NIL</t>
        </is>
      </c>
      <c r="E6647" t="n">
        <v>2791</v>
      </c>
    </row>
    <row r="6648">
      <c r="A6648" t="inlineStr">
        <is>
          <t>27BBBBB06648Z5</t>
        </is>
      </c>
      <c r="B6648" t="inlineStr">
        <is>
          <t>Dec-2018</t>
        </is>
      </c>
      <c r="C6648" s="2" t="n">
        <v>43643</v>
      </c>
      <c r="D6648" t="inlineStr">
        <is>
          <t>NON-NIL</t>
        </is>
      </c>
      <c r="E6648" t="n">
        <v>2868</v>
      </c>
    </row>
    <row r="6649">
      <c r="A6649" t="inlineStr">
        <is>
          <t>27BBBBB06649Z5</t>
        </is>
      </c>
      <c r="B6649" t="inlineStr">
        <is>
          <t>Jan-2018</t>
        </is>
      </c>
      <c r="C6649" s="2" t="n">
        <v>43482</v>
      </c>
      <c r="D6649" t="inlineStr">
        <is>
          <t>NON-NIL</t>
        </is>
      </c>
      <c r="E6649" t="n">
        <v>2534</v>
      </c>
    </row>
    <row r="6650">
      <c r="A6650" t="inlineStr">
        <is>
          <t>27BBBBB06650Z5</t>
        </is>
      </c>
      <c r="B6650" t="inlineStr">
        <is>
          <t>Mar-2021</t>
        </is>
      </c>
      <c r="C6650" s="2" t="n">
        <v>45578</v>
      </c>
      <c r="D6650" t="inlineStr">
        <is>
          <t>NON-NIL</t>
        </is>
      </c>
      <c r="E6650" t="n">
        <v>2897</v>
      </c>
    </row>
    <row r="6651">
      <c r="A6651" t="inlineStr">
        <is>
          <t>27BBBBB06651Z5</t>
        </is>
      </c>
      <c r="B6651" t="inlineStr">
        <is>
          <t>Sep-2018</t>
        </is>
      </c>
      <c r="C6651" s="2" t="n">
        <v>43612</v>
      </c>
      <c r="D6651" t="inlineStr">
        <is>
          <t>NON-NIL</t>
        </is>
      </c>
      <c r="E6651" t="n">
        <v>248</v>
      </c>
    </row>
    <row r="6652">
      <c r="A6652" t="inlineStr">
        <is>
          <t>27BBBBB06652Z5</t>
        </is>
      </c>
      <c r="B6652" t="inlineStr">
        <is>
          <t>Sep-2017</t>
        </is>
      </c>
      <c r="C6652" s="2" t="n">
        <v>43592</v>
      </c>
      <c r="D6652" t="inlineStr">
        <is>
          <t>NON-NIL</t>
        </is>
      </c>
      <c r="E6652" t="n">
        <v>622</v>
      </c>
    </row>
    <row r="6653">
      <c r="A6653" t="inlineStr">
        <is>
          <t>27BBBBB06653Z5</t>
        </is>
      </c>
      <c r="B6653" t="inlineStr">
        <is>
          <t>Jun-2020</t>
        </is>
      </c>
      <c r="C6653" s="2" t="n">
        <v>44103</v>
      </c>
      <c r="D6653" t="inlineStr">
        <is>
          <t>NON-NIL</t>
        </is>
      </c>
      <c r="E6653" t="n">
        <v>162</v>
      </c>
    </row>
    <row r="6654">
      <c r="A6654" t="inlineStr">
        <is>
          <t>27BBBBB06654Z5</t>
        </is>
      </c>
      <c r="B6654" t="inlineStr">
        <is>
          <t>Apr-2020</t>
        </is>
      </c>
      <c r="C6654" s="2" t="n">
        <v>44584</v>
      </c>
      <c r="D6654" t="inlineStr">
        <is>
          <t>NON-NIL</t>
        </is>
      </c>
      <c r="E6654" t="n">
        <v>1948</v>
      </c>
    </row>
    <row r="6655">
      <c r="A6655" t="inlineStr">
        <is>
          <t>27BBBBB06655Z5</t>
        </is>
      </c>
      <c r="B6655" t="inlineStr">
        <is>
          <t>Sep-2018</t>
        </is>
      </c>
      <c r="C6655" s="2" t="n">
        <v>44251</v>
      </c>
      <c r="D6655" t="inlineStr">
        <is>
          <t>NIL</t>
        </is>
      </c>
      <c r="E6655" t="n">
        <v>142</v>
      </c>
    </row>
    <row r="6656">
      <c r="A6656" t="inlineStr">
        <is>
          <t>27BBBBB06656Z5</t>
        </is>
      </c>
      <c r="B6656" t="inlineStr">
        <is>
          <t>Dec-2024</t>
        </is>
      </c>
      <c r="C6656" s="2" t="n">
        <v>43658</v>
      </c>
      <c r="D6656" t="inlineStr">
        <is>
          <t>NON-NIL</t>
        </is>
      </c>
      <c r="E6656" t="n">
        <v>2845</v>
      </c>
    </row>
    <row r="6657">
      <c r="A6657" t="inlineStr">
        <is>
          <t>27BBBBB06657Z5</t>
        </is>
      </c>
      <c r="B6657" t="inlineStr">
        <is>
          <t>Feb-2018</t>
        </is>
      </c>
      <c r="C6657" s="2" t="n">
        <v>43766</v>
      </c>
      <c r="D6657" t="inlineStr">
        <is>
          <t>NIL</t>
        </is>
      </c>
      <c r="E6657" t="n">
        <v>2269</v>
      </c>
    </row>
    <row r="6658">
      <c r="A6658" t="inlineStr">
        <is>
          <t>27BBBBB06658Z5</t>
        </is>
      </c>
      <c r="B6658" t="inlineStr">
        <is>
          <t>Mar-2020</t>
        </is>
      </c>
      <c r="C6658" s="2" t="n">
        <v>44716</v>
      </c>
      <c r="D6658" t="inlineStr">
        <is>
          <t>NON-NIL</t>
        </is>
      </c>
      <c r="E6658" t="n">
        <v>903</v>
      </c>
    </row>
    <row r="6659">
      <c r="A6659" t="inlineStr">
        <is>
          <t>27BBBBB06659Z5</t>
        </is>
      </c>
      <c r="B6659" t="inlineStr">
        <is>
          <t>May-2018</t>
        </is>
      </c>
      <c r="C6659" s="2" t="n">
        <v>44380</v>
      </c>
      <c r="D6659" t="inlineStr">
        <is>
          <t>NIL</t>
        </is>
      </c>
      <c r="E6659" t="n">
        <v>2231</v>
      </c>
    </row>
    <row r="6660">
      <c r="A6660" t="inlineStr">
        <is>
          <t>27BBBBB06660Z5</t>
        </is>
      </c>
      <c r="B6660" t="inlineStr">
        <is>
          <t>Dec-2017</t>
        </is>
      </c>
      <c r="C6660" s="2" t="n">
        <v>42982</v>
      </c>
      <c r="D6660" t="inlineStr">
        <is>
          <t>NIL</t>
        </is>
      </c>
      <c r="E6660" t="n">
        <v>2209</v>
      </c>
    </row>
    <row r="6661">
      <c r="A6661" t="inlineStr">
        <is>
          <t>27BBBBB06661Z5</t>
        </is>
      </c>
      <c r="B6661" t="inlineStr">
        <is>
          <t>Oct-2018</t>
        </is>
      </c>
      <c r="C6661" s="2" t="n">
        <v>43918</v>
      </c>
      <c r="D6661" t="inlineStr">
        <is>
          <t>NON-NIL</t>
        </is>
      </c>
      <c r="E6661" t="n">
        <v>1850</v>
      </c>
    </row>
    <row r="6662">
      <c r="A6662" t="inlineStr">
        <is>
          <t>27BBBBB06662Z5</t>
        </is>
      </c>
      <c r="B6662" t="inlineStr">
        <is>
          <t>Jul-2020</t>
        </is>
      </c>
      <c r="C6662" s="2" t="n">
        <v>43993</v>
      </c>
      <c r="D6662" t="inlineStr">
        <is>
          <t>NIL</t>
        </is>
      </c>
      <c r="E6662" t="n">
        <v>2341</v>
      </c>
    </row>
    <row r="6663">
      <c r="A6663" t="inlineStr">
        <is>
          <t>27BBBBB06663Z5</t>
        </is>
      </c>
      <c r="B6663" t="inlineStr">
        <is>
          <t>Mar-2018</t>
        </is>
      </c>
      <c r="C6663" s="2" t="n">
        <v>44252</v>
      </c>
      <c r="D6663" t="inlineStr">
        <is>
          <t>NON-NIL</t>
        </is>
      </c>
      <c r="E6663" t="n">
        <v>2988</v>
      </c>
    </row>
    <row r="6664">
      <c r="A6664" t="inlineStr">
        <is>
          <t>27BBBBB06664Z5</t>
        </is>
      </c>
      <c r="B6664" t="inlineStr">
        <is>
          <t>Sep-2017</t>
        </is>
      </c>
      <c r="C6664" s="2" t="n">
        <v>43059</v>
      </c>
      <c r="D6664" t="inlineStr">
        <is>
          <t>NON-NIL</t>
        </is>
      </c>
      <c r="E6664" t="n">
        <v>904</v>
      </c>
    </row>
    <row r="6665">
      <c r="A6665" t="inlineStr">
        <is>
          <t>27BBBBB06665Z5</t>
        </is>
      </c>
      <c r="B6665" t="inlineStr">
        <is>
          <t>May-2020</t>
        </is>
      </c>
      <c r="C6665" s="2" t="n">
        <v>43835</v>
      </c>
      <c r="D6665" t="inlineStr">
        <is>
          <t>NIL</t>
        </is>
      </c>
      <c r="E6665" t="n">
        <v>613</v>
      </c>
    </row>
    <row r="6666">
      <c r="A6666" t="inlineStr">
        <is>
          <t>27BBBBB06666Z5</t>
        </is>
      </c>
      <c r="B6666" t="inlineStr">
        <is>
          <t>Jul-2020</t>
        </is>
      </c>
      <c r="C6666" s="2" t="n">
        <v>44842</v>
      </c>
      <c r="D6666" t="inlineStr">
        <is>
          <t>NIL</t>
        </is>
      </c>
      <c r="E6666" t="n">
        <v>1821</v>
      </c>
    </row>
    <row r="6667">
      <c r="A6667" t="inlineStr">
        <is>
          <t>27BBBBB06667Z5</t>
        </is>
      </c>
      <c r="B6667" t="inlineStr">
        <is>
          <t>Jan-2018</t>
        </is>
      </c>
      <c r="C6667" s="2" t="n">
        <v>43706</v>
      </c>
      <c r="D6667" t="inlineStr">
        <is>
          <t>NON-NIL</t>
        </is>
      </c>
      <c r="E6667" t="n">
        <v>731</v>
      </c>
    </row>
    <row r="6668">
      <c r="A6668" t="inlineStr">
        <is>
          <t>27BBBBB06668Z5</t>
        </is>
      </c>
      <c r="B6668" t="inlineStr">
        <is>
          <t>Aug-2017</t>
        </is>
      </c>
      <c r="C6668" s="2" t="n">
        <v>43755</v>
      </c>
      <c r="D6668" t="inlineStr">
        <is>
          <t>NIL</t>
        </is>
      </c>
      <c r="E6668" t="n">
        <v>2034</v>
      </c>
    </row>
    <row r="6669">
      <c r="A6669" t="inlineStr">
        <is>
          <t>27BBBBB06669Z5</t>
        </is>
      </c>
      <c r="B6669" t="inlineStr">
        <is>
          <t>Nov-2017</t>
        </is>
      </c>
      <c r="C6669" s="2" t="n">
        <v>43446</v>
      </c>
      <c r="D6669" t="inlineStr">
        <is>
          <t>NON-NIL</t>
        </is>
      </c>
      <c r="E6669" t="n">
        <v>1860</v>
      </c>
    </row>
    <row r="6670">
      <c r="A6670" t="inlineStr">
        <is>
          <t>27BBBBB06670Z5</t>
        </is>
      </c>
      <c r="B6670" t="inlineStr">
        <is>
          <t>Jul-2017</t>
        </is>
      </c>
      <c r="C6670" s="2" t="n">
        <v>44077</v>
      </c>
      <c r="D6670" t="inlineStr">
        <is>
          <t>NON-NIL</t>
        </is>
      </c>
      <c r="E6670" t="n">
        <v>1927</v>
      </c>
    </row>
    <row r="6671">
      <c r="A6671" t="inlineStr">
        <is>
          <t>27BBBBB06671Z5</t>
        </is>
      </c>
      <c r="B6671" t="inlineStr">
        <is>
          <t>Mar-2018</t>
        </is>
      </c>
      <c r="C6671" s="2" t="n">
        <v>43663</v>
      </c>
      <c r="D6671" t="inlineStr">
        <is>
          <t>NIL</t>
        </is>
      </c>
      <c r="E6671" t="n">
        <v>1857</v>
      </c>
    </row>
    <row r="6672">
      <c r="A6672" t="inlineStr">
        <is>
          <t>27BBBBB06672Z5</t>
        </is>
      </c>
      <c r="B6672" t="inlineStr">
        <is>
          <t>Sep-2017</t>
        </is>
      </c>
      <c r="C6672" s="2" t="n">
        <v>43801</v>
      </c>
      <c r="D6672" t="inlineStr">
        <is>
          <t>NIL</t>
        </is>
      </c>
      <c r="E6672" t="n">
        <v>953</v>
      </c>
    </row>
    <row r="6673">
      <c r="A6673" t="inlineStr">
        <is>
          <t>27BBBBB06673Z5</t>
        </is>
      </c>
      <c r="B6673" t="inlineStr">
        <is>
          <t>Mar-2020</t>
        </is>
      </c>
      <c r="C6673" s="2" t="n">
        <v>44148</v>
      </c>
      <c r="D6673" t="inlineStr">
        <is>
          <t>NON-NIL</t>
        </is>
      </c>
      <c r="E6673" t="n">
        <v>545</v>
      </c>
    </row>
    <row r="6674">
      <c r="A6674" t="inlineStr">
        <is>
          <t>27BBBBB06674Z5</t>
        </is>
      </c>
      <c r="B6674" t="inlineStr">
        <is>
          <t>Aug-2018</t>
        </is>
      </c>
      <c r="C6674" s="2" t="n">
        <v>44301</v>
      </c>
      <c r="D6674" t="inlineStr">
        <is>
          <t>NON-NIL</t>
        </is>
      </c>
      <c r="E6674" t="n">
        <v>2761</v>
      </c>
    </row>
    <row r="6675">
      <c r="A6675" t="inlineStr">
        <is>
          <t>27BBBBB06675Z5</t>
        </is>
      </c>
      <c r="B6675" t="inlineStr">
        <is>
          <t>Dec-2022</t>
        </is>
      </c>
      <c r="C6675" s="2" t="n">
        <v>44959</v>
      </c>
      <c r="D6675" t="inlineStr">
        <is>
          <t>NON-NIL</t>
        </is>
      </c>
      <c r="E6675" t="n">
        <v>2833</v>
      </c>
    </row>
    <row r="6676">
      <c r="A6676" t="inlineStr">
        <is>
          <t>27BBBBB06676Z5</t>
        </is>
      </c>
      <c r="B6676" t="inlineStr">
        <is>
          <t>May-2020</t>
        </is>
      </c>
      <c r="C6676" s="2" t="n">
        <v>44740</v>
      </c>
      <c r="D6676" t="inlineStr">
        <is>
          <t>NON-NIL</t>
        </is>
      </c>
      <c r="E6676" t="n">
        <v>1818</v>
      </c>
    </row>
    <row r="6677">
      <c r="A6677" t="inlineStr">
        <is>
          <t>27BBBBB06677Z5</t>
        </is>
      </c>
      <c r="B6677" t="inlineStr">
        <is>
          <t>Aug-2018</t>
        </is>
      </c>
      <c r="C6677" s="2" t="n">
        <v>44278</v>
      </c>
      <c r="D6677" t="inlineStr">
        <is>
          <t>NIL</t>
        </is>
      </c>
      <c r="E6677" t="n">
        <v>454</v>
      </c>
    </row>
    <row r="6678">
      <c r="A6678" t="inlineStr">
        <is>
          <t>27BBBBB06678Z5</t>
        </is>
      </c>
      <c r="B6678" t="inlineStr">
        <is>
          <t>Dec-2017</t>
        </is>
      </c>
      <c r="C6678" s="2" t="n">
        <v>42932</v>
      </c>
      <c r="D6678" t="inlineStr">
        <is>
          <t>NIL</t>
        </is>
      </c>
      <c r="E6678" t="n">
        <v>1465</v>
      </c>
    </row>
    <row r="6679">
      <c r="A6679" t="inlineStr">
        <is>
          <t>27BBBBB06679Z5</t>
        </is>
      </c>
      <c r="B6679" t="inlineStr">
        <is>
          <t>Aug-2018</t>
        </is>
      </c>
      <c r="C6679" s="2" t="n">
        <v>43573</v>
      </c>
      <c r="D6679" t="inlineStr">
        <is>
          <t>NON-NIL</t>
        </is>
      </c>
      <c r="E6679" t="n">
        <v>1416</v>
      </c>
    </row>
    <row r="6680">
      <c r="A6680" t="inlineStr">
        <is>
          <t>27BBBBB06680Z5</t>
        </is>
      </c>
      <c r="B6680" t="inlineStr">
        <is>
          <t>Feb-2018</t>
        </is>
      </c>
      <c r="C6680" s="2" t="n">
        <v>43016</v>
      </c>
      <c r="D6680" t="inlineStr">
        <is>
          <t>NON-NIL</t>
        </is>
      </c>
      <c r="E6680" t="n">
        <v>83</v>
      </c>
    </row>
    <row r="6681">
      <c r="A6681" t="inlineStr">
        <is>
          <t>27BBBBB06681Z5</t>
        </is>
      </c>
      <c r="B6681" t="inlineStr">
        <is>
          <t>Oct-2018</t>
        </is>
      </c>
      <c r="C6681" s="2" t="n">
        <v>44551</v>
      </c>
      <c r="D6681" t="inlineStr">
        <is>
          <t>NON-NIL</t>
        </is>
      </c>
      <c r="E6681" t="n">
        <v>815</v>
      </c>
    </row>
    <row r="6682">
      <c r="A6682" t="inlineStr">
        <is>
          <t>27BBBBB06682Z5</t>
        </is>
      </c>
      <c r="B6682" t="inlineStr">
        <is>
          <t>May-2020</t>
        </is>
      </c>
      <c r="C6682" s="2" t="n">
        <v>44248</v>
      </c>
      <c r="D6682" t="inlineStr">
        <is>
          <t>NON-NIL</t>
        </is>
      </c>
      <c r="E6682" t="n">
        <v>646</v>
      </c>
    </row>
    <row r="6683">
      <c r="A6683" t="inlineStr">
        <is>
          <t>27BBBBB06683Z5</t>
        </is>
      </c>
      <c r="B6683" t="inlineStr">
        <is>
          <t>Jun-2020</t>
        </is>
      </c>
      <c r="C6683" s="2" t="n">
        <v>44751</v>
      </c>
      <c r="D6683" t="inlineStr">
        <is>
          <t>NIL</t>
        </is>
      </c>
      <c r="E6683" t="n">
        <v>1947</v>
      </c>
    </row>
    <row r="6684">
      <c r="A6684" t="inlineStr">
        <is>
          <t>27BBBBB06684Z5</t>
        </is>
      </c>
      <c r="B6684" t="inlineStr">
        <is>
          <t>May-2020</t>
        </is>
      </c>
      <c r="C6684" s="2" t="n">
        <v>44571</v>
      </c>
      <c r="D6684" t="inlineStr">
        <is>
          <t>NIL</t>
        </is>
      </c>
      <c r="E6684" t="n">
        <v>930</v>
      </c>
    </row>
    <row r="6685">
      <c r="A6685" t="inlineStr">
        <is>
          <t>27BBBBB06685Z5</t>
        </is>
      </c>
      <c r="B6685" t="inlineStr">
        <is>
          <t>Jun-2018</t>
        </is>
      </c>
      <c r="C6685" s="2" t="n">
        <v>44185</v>
      </c>
      <c r="D6685" t="inlineStr">
        <is>
          <t>NIL</t>
        </is>
      </c>
      <c r="E6685" t="n">
        <v>1171</v>
      </c>
    </row>
    <row r="6686">
      <c r="A6686" t="inlineStr">
        <is>
          <t>27BBBBB06686Z5</t>
        </is>
      </c>
      <c r="B6686" t="inlineStr">
        <is>
          <t>Dec-2017</t>
        </is>
      </c>
      <c r="C6686" s="2" t="n">
        <v>43316</v>
      </c>
      <c r="D6686" t="inlineStr">
        <is>
          <t>NON-NIL</t>
        </is>
      </c>
      <c r="E6686" t="n">
        <v>1026</v>
      </c>
    </row>
    <row r="6687">
      <c r="A6687" t="inlineStr">
        <is>
          <t>27BBBBB06687Z5</t>
        </is>
      </c>
      <c r="B6687" t="inlineStr">
        <is>
          <t>Dec-2018</t>
        </is>
      </c>
      <c r="C6687" s="2" t="n">
        <v>43182</v>
      </c>
      <c r="D6687" t="inlineStr">
        <is>
          <t>NIL</t>
        </is>
      </c>
      <c r="E6687" t="n">
        <v>2819</v>
      </c>
    </row>
    <row r="6688">
      <c r="A6688" t="inlineStr">
        <is>
          <t>27BBBBB06688Z5</t>
        </is>
      </c>
      <c r="B6688" t="inlineStr">
        <is>
          <t>Nov-2017</t>
        </is>
      </c>
      <c r="C6688" s="2" t="n">
        <v>44032</v>
      </c>
      <c r="D6688" t="inlineStr">
        <is>
          <t>NIL</t>
        </is>
      </c>
      <c r="E6688" t="n">
        <v>397</v>
      </c>
    </row>
    <row r="6689">
      <c r="A6689" t="inlineStr">
        <is>
          <t>27BBBBB06689Z5</t>
        </is>
      </c>
      <c r="B6689" t="inlineStr">
        <is>
          <t>Jan-2021</t>
        </is>
      </c>
      <c r="C6689" s="2" t="n">
        <v>45397</v>
      </c>
      <c r="D6689" t="inlineStr">
        <is>
          <t>NIL</t>
        </is>
      </c>
      <c r="E6689" t="n">
        <v>150</v>
      </c>
    </row>
    <row r="6690">
      <c r="A6690" t="inlineStr">
        <is>
          <t>27BBBBB06690Z5</t>
        </is>
      </c>
      <c r="B6690" t="inlineStr">
        <is>
          <t>Jul-2018</t>
        </is>
      </c>
      <c r="C6690" s="2" t="n">
        <v>43329</v>
      </c>
      <c r="D6690" t="inlineStr">
        <is>
          <t>NON-NIL</t>
        </is>
      </c>
      <c r="E6690" t="n">
        <v>2150</v>
      </c>
    </row>
    <row r="6691">
      <c r="A6691" t="inlineStr">
        <is>
          <t>27BBBBB06691Z5</t>
        </is>
      </c>
      <c r="B6691" t="inlineStr">
        <is>
          <t>Sep-2017</t>
        </is>
      </c>
      <c r="C6691" s="2" t="n">
        <v>44328</v>
      </c>
      <c r="D6691" t="inlineStr">
        <is>
          <t>NIL</t>
        </is>
      </c>
      <c r="E6691" t="n">
        <v>2234</v>
      </c>
    </row>
    <row r="6692">
      <c r="A6692" t="inlineStr">
        <is>
          <t>27BBBBB06692Z5</t>
        </is>
      </c>
      <c r="B6692" t="inlineStr">
        <is>
          <t>Aug-2018</t>
        </is>
      </c>
      <c r="C6692" s="2" t="n">
        <v>43986</v>
      </c>
      <c r="D6692" t="inlineStr">
        <is>
          <t>NIL</t>
        </is>
      </c>
      <c r="E6692" t="n">
        <v>2226</v>
      </c>
    </row>
    <row r="6693">
      <c r="A6693" t="inlineStr">
        <is>
          <t>27BBBBB06693Z5</t>
        </is>
      </c>
      <c r="B6693" t="inlineStr">
        <is>
          <t>Jan-2018</t>
        </is>
      </c>
      <c r="C6693" s="2" t="n">
        <v>44113</v>
      </c>
      <c r="D6693" t="inlineStr">
        <is>
          <t>NON-NIL</t>
        </is>
      </c>
      <c r="E6693" t="n">
        <v>1066</v>
      </c>
    </row>
    <row r="6694">
      <c r="A6694" t="inlineStr">
        <is>
          <t>27BBBBB06694Z5</t>
        </is>
      </c>
      <c r="B6694" t="inlineStr">
        <is>
          <t>Jan-2018</t>
        </is>
      </c>
      <c r="C6694" s="2" t="n">
        <v>43484</v>
      </c>
      <c r="D6694" t="inlineStr">
        <is>
          <t>NON-NIL</t>
        </is>
      </c>
      <c r="E6694" t="n">
        <v>2044</v>
      </c>
    </row>
    <row r="6695">
      <c r="A6695" t="inlineStr">
        <is>
          <t>27BBBBB06695Z5</t>
        </is>
      </c>
      <c r="B6695" t="inlineStr">
        <is>
          <t>Jul-2020</t>
        </is>
      </c>
      <c r="C6695" s="2" t="n">
        <v>43990</v>
      </c>
      <c r="D6695" t="inlineStr">
        <is>
          <t>NIL</t>
        </is>
      </c>
      <c r="E6695" t="n">
        <v>2288</v>
      </c>
    </row>
    <row r="6696">
      <c r="A6696" t="inlineStr">
        <is>
          <t>27BBBBB06696Z5</t>
        </is>
      </c>
      <c r="B6696" t="inlineStr">
        <is>
          <t>Apr-2018</t>
        </is>
      </c>
      <c r="C6696" s="2" t="n">
        <v>43030</v>
      </c>
      <c r="D6696" t="inlineStr">
        <is>
          <t>NIL</t>
        </is>
      </c>
      <c r="E6696" t="n">
        <v>2077</v>
      </c>
    </row>
    <row r="6697">
      <c r="A6697" t="inlineStr">
        <is>
          <t>27BBBBB06697Z5</t>
        </is>
      </c>
      <c r="B6697" t="inlineStr">
        <is>
          <t>Mar-2018</t>
        </is>
      </c>
      <c r="C6697" s="2" t="n">
        <v>44461</v>
      </c>
      <c r="D6697" t="inlineStr">
        <is>
          <t>NIL</t>
        </is>
      </c>
      <c r="E6697" t="n">
        <v>1507</v>
      </c>
    </row>
    <row r="6698">
      <c r="A6698" t="inlineStr">
        <is>
          <t>27BBBBB06698Z5</t>
        </is>
      </c>
      <c r="B6698" t="inlineStr">
        <is>
          <t>Dec-2018</t>
        </is>
      </c>
      <c r="C6698" s="2" t="n">
        <v>44002</v>
      </c>
      <c r="D6698" t="inlineStr">
        <is>
          <t>NON-NIL</t>
        </is>
      </c>
      <c r="E6698" t="n">
        <v>26</v>
      </c>
    </row>
    <row r="6699">
      <c r="A6699" t="inlineStr">
        <is>
          <t>27BBBBB06699Z5</t>
        </is>
      </c>
      <c r="B6699" t="inlineStr">
        <is>
          <t>Mar-2018</t>
        </is>
      </c>
      <c r="C6699" s="2" t="n">
        <v>44173</v>
      </c>
      <c r="D6699" t="inlineStr">
        <is>
          <t>NIL</t>
        </is>
      </c>
      <c r="E6699" t="n">
        <v>2324</v>
      </c>
    </row>
    <row r="6700">
      <c r="A6700" t="inlineStr">
        <is>
          <t>27BBBBB06700Z5</t>
        </is>
      </c>
      <c r="B6700" t="inlineStr">
        <is>
          <t>Jan-2018</t>
        </is>
      </c>
      <c r="C6700" s="2" t="n">
        <v>43150</v>
      </c>
      <c r="D6700" t="inlineStr">
        <is>
          <t>NON-NIL</t>
        </is>
      </c>
      <c r="E6700" t="n">
        <v>897</v>
      </c>
    </row>
    <row r="6701">
      <c r="A6701" t="inlineStr">
        <is>
          <t>27BBBBB06701Z5</t>
        </is>
      </c>
      <c r="B6701" t="inlineStr">
        <is>
          <t>Nov-2017</t>
        </is>
      </c>
      <c r="C6701" s="2" t="n">
        <v>43394</v>
      </c>
      <c r="D6701" t="inlineStr">
        <is>
          <t>NIL</t>
        </is>
      </c>
      <c r="E6701" t="n">
        <v>1338</v>
      </c>
    </row>
    <row r="6702">
      <c r="A6702" t="inlineStr">
        <is>
          <t>27BBBBB06702Z5</t>
        </is>
      </c>
      <c r="B6702" t="inlineStr">
        <is>
          <t>Oct-2017</t>
        </is>
      </c>
      <c r="C6702" s="2" t="n">
        <v>44078</v>
      </c>
      <c r="D6702" t="inlineStr">
        <is>
          <t>NON-NIL</t>
        </is>
      </c>
      <c r="E6702" t="n">
        <v>212</v>
      </c>
    </row>
    <row r="6703">
      <c r="A6703" t="inlineStr">
        <is>
          <t>27BBBBB06703Z5</t>
        </is>
      </c>
      <c r="B6703" t="inlineStr">
        <is>
          <t>Apr-2020</t>
        </is>
      </c>
      <c r="C6703" s="2" t="n">
        <v>44679</v>
      </c>
      <c r="D6703" t="inlineStr">
        <is>
          <t>NIL</t>
        </is>
      </c>
      <c r="E6703" t="n">
        <v>774</v>
      </c>
    </row>
    <row r="6704">
      <c r="A6704" t="inlineStr">
        <is>
          <t>27BBBBB06704Z5</t>
        </is>
      </c>
      <c r="B6704" t="inlineStr">
        <is>
          <t>Mar-2023</t>
        </is>
      </c>
      <c r="C6704" s="2" t="n">
        <v>44475</v>
      </c>
      <c r="D6704" t="inlineStr">
        <is>
          <t>NON-NIL</t>
        </is>
      </c>
      <c r="E6704" t="n">
        <v>1119</v>
      </c>
    </row>
    <row r="6705">
      <c r="A6705" t="inlineStr">
        <is>
          <t>27BBBBB06705Z5</t>
        </is>
      </c>
      <c r="B6705" t="inlineStr">
        <is>
          <t>Jul-2017</t>
        </is>
      </c>
      <c r="C6705" s="2" t="n">
        <v>44299</v>
      </c>
      <c r="D6705" t="inlineStr">
        <is>
          <t>NON-NIL</t>
        </is>
      </c>
      <c r="E6705" t="n">
        <v>2982</v>
      </c>
    </row>
    <row r="6706">
      <c r="A6706" t="inlineStr">
        <is>
          <t>27BBBBB06706Z5</t>
        </is>
      </c>
      <c r="B6706" t="inlineStr">
        <is>
          <t>Mar-2020</t>
        </is>
      </c>
      <c r="C6706" s="2" t="n">
        <v>44331</v>
      </c>
      <c r="D6706" t="inlineStr">
        <is>
          <t>NIL</t>
        </is>
      </c>
      <c r="E6706" t="n">
        <v>995</v>
      </c>
    </row>
    <row r="6707">
      <c r="A6707" t="inlineStr">
        <is>
          <t>27BBBBB06707Z5</t>
        </is>
      </c>
      <c r="B6707" t="inlineStr">
        <is>
          <t>Jan-2018</t>
        </is>
      </c>
      <c r="C6707" s="2" t="n">
        <v>43347</v>
      </c>
      <c r="D6707" t="inlineStr">
        <is>
          <t>NON-NIL</t>
        </is>
      </c>
      <c r="E6707" t="n">
        <v>2783</v>
      </c>
    </row>
    <row r="6708">
      <c r="A6708" t="inlineStr">
        <is>
          <t>27BBBBB06708Z5</t>
        </is>
      </c>
      <c r="B6708" t="inlineStr">
        <is>
          <t>Nov-2018</t>
        </is>
      </c>
      <c r="C6708" s="2" t="n">
        <v>43913</v>
      </c>
      <c r="D6708" t="inlineStr">
        <is>
          <t>NIL</t>
        </is>
      </c>
      <c r="E6708" t="n">
        <v>2738</v>
      </c>
    </row>
    <row r="6709">
      <c r="A6709" t="inlineStr">
        <is>
          <t>27BBBBB06709Z5</t>
        </is>
      </c>
      <c r="B6709" t="inlineStr">
        <is>
          <t>Jun-2020</t>
        </is>
      </c>
      <c r="C6709" s="2" t="n">
        <v>44301</v>
      </c>
      <c r="D6709" t="inlineStr">
        <is>
          <t>NON-NIL</t>
        </is>
      </c>
      <c r="E6709" t="n">
        <v>2147</v>
      </c>
    </row>
    <row r="6710">
      <c r="A6710" t="inlineStr">
        <is>
          <t>27BBBBB06710Z5</t>
        </is>
      </c>
      <c r="B6710" t="inlineStr">
        <is>
          <t>Aug-2017</t>
        </is>
      </c>
      <c r="C6710" s="2" t="n">
        <v>43585</v>
      </c>
      <c r="D6710" t="inlineStr">
        <is>
          <t>NIL</t>
        </is>
      </c>
      <c r="E6710" t="n">
        <v>2508</v>
      </c>
    </row>
    <row r="6711">
      <c r="A6711" t="inlineStr">
        <is>
          <t>27BBBBB06711Z5</t>
        </is>
      </c>
      <c r="B6711" t="inlineStr">
        <is>
          <t>May-2020</t>
        </is>
      </c>
      <c r="C6711" s="2" t="n">
        <v>44918</v>
      </c>
      <c r="D6711" t="inlineStr">
        <is>
          <t>NON-NIL</t>
        </is>
      </c>
      <c r="E6711" t="n">
        <v>2328</v>
      </c>
    </row>
    <row r="6712">
      <c r="A6712" t="inlineStr">
        <is>
          <t>27BBBBB06712Z5</t>
        </is>
      </c>
      <c r="B6712" t="inlineStr">
        <is>
          <t>Jan-2021</t>
        </is>
      </c>
      <c r="C6712" s="2" t="n">
        <v>45529</v>
      </c>
      <c r="D6712" t="inlineStr">
        <is>
          <t>NIL</t>
        </is>
      </c>
      <c r="E6712" t="n">
        <v>1159</v>
      </c>
    </row>
    <row r="6713">
      <c r="A6713" t="inlineStr">
        <is>
          <t>27BBBBB06713Z5</t>
        </is>
      </c>
      <c r="B6713" t="inlineStr">
        <is>
          <t>Nov-2018</t>
        </is>
      </c>
      <c r="C6713" s="2" t="n">
        <v>44015</v>
      </c>
      <c r="D6713" t="inlineStr">
        <is>
          <t>NIL</t>
        </is>
      </c>
      <c r="E6713" t="n">
        <v>1324</v>
      </c>
    </row>
    <row r="6714">
      <c r="A6714" t="inlineStr">
        <is>
          <t>27BBBBB06714Z5</t>
        </is>
      </c>
      <c r="B6714" t="inlineStr">
        <is>
          <t>Apr-2020</t>
        </is>
      </c>
      <c r="C6714" s="2" t="n">
        <v>44515</v>
      </c>
      <c r="D6714" t="inlineStr">
        <is>
          <t>NIL</t>
        </is>
      </c>
      <c r="E6714" t="n">
        <v>1433</v>
      </c>
    </row>
    <row r="6715">
      <c r="A6715" t="inlineStr">
        <is>
          <t>27BBBBB06715Z5</t>
        </is>
      </c>
      <c r="B6715" t="inlineStr">
        <is>
          <t>May-2018</t>
        </is>
      </c>
      <c r="C6715" s="2" t="n">
        <v>43757</v>
      </c>
      <c r="D6715" t="inlineStr">
        <is>
          <t>NON-NIL</t>
        </is>
      </c>
      <c r="E6715" t="n">
        <v>1123</v>
      </c>
    </row>
    <row r="6716">
      <c r="A6716" t="inlineStr">
        <is>
          <t>27BBBBB06716Z5</t>
        </is>
      </c>
      <c r="B6716" t="inlineStr">
        <is>
          <t>Jul-2018</t>
        </is>
      </c>
      <c r="C6716" s="2" t="n">
        <v>43533</v>
      </c>
      <c r="D6716" t="inlineStr">
        <is>
          <t>NIL</t>
        </is>
      </c>
      <c r="E6716" t="n">
        <v>749</v>
      </c>
    </row>
    <row r="6717">
      <c r="A6717" t="inlineStr">
        <is>
          <t>27BBBBB06717Z5</t>
        </is>
      </c>
      <c r="B6717" t="inlineStr">
        <is>
          <t>Sep-2018</t>
        </is>
      </c>
      <c r="C6717" s="2" t="n">
        <v>43324</v>
      </c>
      <c r="D6717" t="inlineStr">
        <is>
          <t>NIL</t>
        </is>
      </c>
      <c r="E6717" t="n">
        <v>152</v>
      </c>
    </row>
    <row r="6718">
      <c r="A6718" t="inlineStr">
        <is>
          <t>27BBBBB06718Z5</t>
        </is>
      </c>
      <c r="B6718" t="inlineStr">
        <is>
          <t>Aug-2018</t>
        </is>
      </c>
      <c r="C6718" s="2" t="n">
        <v>43407</v>
      </c>
      <c r="D6718" t="inlineStr">
        <is>
          <t>NON-NIL</t>
        </is>
      </c>
      <c r="E6718" t="n">
        <v>1200</v>
      </c>
    </row>
    <row r="6719">
      <c r="A6719" t="inlineStr">
        <is>
          <t>27BBBBB06719Z5</t>
        </is>
      </c>
      <c r="B6719" t="inlineStr">
        <is>
          <t>Sep-2018</t>
        </is>
      </c>
      <c r="C6719" s="2" t="n">
        <v>42995</v>
      </c>
      <c r="D6719" t="inlineStr">
        <is>
          <t>NON-NIL</t>
        </is>
      </c>
      <c r="E6719" t="n">
        <v>2146</v>
      </c>
    </row>
    <row r="6720">
      <c r="A6720" t="inlineStr">
        <is>
          <t>27BBBBB06720Z5</t>
        </is>
      </c>
      <c r="B6720" t="inlineStr">
        <is>
          <t>Oct-2018</t>
        </is>
      </c>
      <c r="C6720" s="2" t="n">
        <v>43039</v>
      </c>
      <c r="D6720" t="inlineStr">
        <is>
          <t>NON-NIL</t>
        </is>
      </c>
      <c r="E6720" t="n">
        <v>575</v>
      </c>
    </row>
    <row r="6721">
      <c r="A6721" t="inlineStr">
        <is>
          <t>27BBBBB06721Z5</t>
        </is>
      </c>
      <c r="B6721" t="inlineStr">
        <is>
          <t>Nov-2018</t>
        </is>
      </c>
      <c r="C6721" s="2" t="n">
        <v>44199</v>
      </c>
      <c r="D6721" t="inlineStr">
        <is>
          <t>NIL</t>
        </is>
      </c>
      <c r="E6721" t="n">
        <v>1110</v>
      </c>
    </row>
    <row r="6722">
      <c r="A6722" t="inlineStr">
        <is>
          <t>27BBBBB06722Z5</t>
        </is>
      </c>
      <c r="B6722" t="inlineStr">
        <is>
          <t>Jun-2020</t>
        </is>
      </c>
      <c r="C6722" s="2" t="n">
        <v>44053</v>
      </c>
      <c r="D6722" t="inlineStr">
        <is>
          <t>NIL</t>
        </is>
      </c>
      <c r="E6722" t="n">
        <v>2541</v>
      </c>
    </row>
    <row r="6723">
      <c r="A6723" t="inlineStr">
        <is>
          <t>27BBBBB06723Z5</t>
        </is>
      </c>
      <c r="B6723" t="inlineStr">
        <is>
          <t>Apr-2018</t>
        </is>
      </c>
      <c r="C6723" s="2" t="n">
        <v>44206</v>
      </c>
      <c r="D6723" t="inlineStr">
        <is>
          <t>NON-NIL</t>
        </is>
      </c>
      <c r="E6723" t="n">
        <v>1814</v>
      </c>
    </row>
    <row r="6724">
      <c r="A6724" t="inlineStr">
        <is>
          <t>27BBBBB06724Z5</t>
        </is>
      </c>
      <c r="B6724" t="inlineStr">
        <is>
          <t>Aug-2018</t>
        </is>
      </c>
      <c r="C6724" s="2" t="n">
        <v>43356</v>
      </c>
      <c r="D6724" t="inlineStr">
        <is>
          <t>NIL</t>
        </is>
      </c>
      <c r="E6724" t="n">
        <v>2603</v>
      </c>
    </row>
    <row r="6725">
      <c r="A6725" t="inlineStr">
        <is>
          <t>27BBBBB06725Z5</t>
        </is>
      </c>
      <c r="B6725" t="inlineStr">
        <is>
          <t>Jun-2020</t>
        </is>
      </c>
      <c r="C6725" s="2" t="n">
        <v>44763</v>
      </c>
      <c r="D6725" t="inlineStr">
        <is>
          <t>NON-NIL</t>
        </is>
      </c>
      <c r="E6725" t="n">
        <v>2467</v>
      </c>
    </row>
    <row r="6726">
      <c r="A6726" t="inlineStr">
        <is>
          <t>27BBBBB06726Z5</t>
        </is>
      </c>
      <c r="B6726" t="inlineStr">
        <is>
          <t>Mar-2020</t>
        </is>
      </c>
      <c r="C6726" s="2" t="n">
        <v>44321</v>
      </c>
      <c r="D6726" t="inlineStr">
        <is>
          <t>NIL</t>
        </is>
      </c>
      <c r="E6726" t="n">
        <v>1041</v>
      </c>
    </row>
    <row r="6727">
      <c r="A6727" t="inlineStr">
        <is>
          <t>27BBBBB06727Z5</t>
        </is>
      </c>
      <c r="B6727" t="inlineStr">
        <is>
          <t>Mar-2021</t>
        </is>
      </c>
      <c r="C6727" s="2" t="n">
        <v>45302</v>
      </c>
      <c r="D6727" t="inlineStr">
        <is>
          <t>NIL</t>
        </is>
      </c>
      <c r="E6727" t="n">
        <v>464</v>
      </c>
    </row>
    <row r="6728">
      <c r="A6728" t="inlineStr">
        <is>
          <t>27BBBBB06728Z5</t>
        </is>
      </c>
      <c r="B6728" t="inlineStr">
        <is>
          <t>Feb-2018</t>
        </is>
      </c>
      <c r="C6728" s="2" t="n">
        <v>42935</v>
      </c>
      <c r="D6728" t="inlineStr">
        <is>
          <t>NIL</t>
        </is>
      </c>
      <c r="E6728" t="n">
        <v>1858</v>
      </c>
    </row>
    <row r="6729">
      <c r="A6729" t="inlineStr">
        <is>
          <t>27BBBBB06729Z5</t>
        </is>
      </c>
      <c r="B6729" t="inlineStr">
        <is>
          <t>Aug-2018</t>
        </is>
      </c>
      <c r="C6729" s="2" t="n">
        <v>42939</v>
      </c>
      <c r="D6729" t="inlineStr">
        <is>
          <t>NON-NIL</t>
        </is>
      </c>
      <c r="E6729" t="n">
        <v>2425</v>
      </c>
    </row>
    <row r="6730">
      <c r="A6730" t="inlineStr">
        <is>
          <t>27BBBBB06730Z5</t>
        </is>
      </c>
      <c r="B6730" t="inlineStr">
        <is>
          <t>Oct-2017</t>
        </is>
      </c>
      <c r="C6730" s="2" t="n">
        <v>44117</v>
      </c>
      <c r="D6730" t="inlineStr">
        <is>
          <t>NIL</t>
        </is>
      </c>
      <c r="E6730" t="n">
        <v>2019</v>
      </c>
    </row>
    <row r="6731">
      <c r="A6731" t="inlineStr">
        <is>
          <t>27BBBBB06731Z5</t>
        </is>
      </c>
      <c r="B6731" t="inlineStr">
        <is>
          <t>Apr-2020</t>
        </is>
      </c>
      <c r="C6731" s="2" t="n">
        <v>44789</v>
      </c>
      <c r="D6731" t="inlineStr">
        <is>
          <t>NIL</t>
        </is>
      </c>
      <c r="E6731" t="n">
        <v>1358</v>
      </c>
    </row>
    <row r="6732">
      <c r="A6732" t="inlineStr">
        <is>
          <t>27BBBBB06732Z5</t>
        </is>
      </c>
      <c r="B6732" t="inlineStr">
        <is>
          <t>Sep-2018</t>
        </is>
      </c>
      <c r="C6732" s="2" t="n">
        <v>44103</v>
      </c>
      <c r="D6732" t="inlineStr">
        <is>
          <t>NON-NIL</t>
        </is>
      </c>
      <c r="E6732" t="n">
        <v>886</v>
      </c>
    </row>
    <row r="6733">
      <c r="A6733" t="inlineStr">
        <is>
          <t>27BBBBB06733Z5</t>
        </is>
      </c>
      <c r="B6733" t="inlineStr">
        <is>
          <t>Oct-2017</t>
        </is>
      </c>
      <c r="C6733" s="2" t="n">
        <v>42958</v>
      </c>
      <c r="D6733" t="inlineStr">
        <is>
          <t>NIL</t>
        </is>
      </c>
      <c r="E6733" t="n">
        <v>2996</v>
      </c>
    </row>
    <row r="6734">
      <c r="A6734" t="inlineStr">
        <is>
          <t>27BBBBB06734Z5</t>
        </is>
      </c>
      <c r="B6734" t="inlineStr">
        <is>
          <t>Dec-2017</t>
        </is>
      </c>
      <c r="C6734" s="2" t="n">
        <v>43916</v>
      </c>
      <c r="D6734" t="inlineStr">
        <is>
          <t>NIL</t>
        </is>
      </c>
      <c r="E6734" t="n">
        <v>934</v>
      </c>
    </row>
    <row r="6735">
      <c r="A6735" t="inlineStr">
        <is>
          <t>27BBBBB06735Z5</t>
        </is>
      </c>
      <c r="B6735" t="inlineStr">
        <is>
          <t>Aug-2018</t>
        </is>
      </c>
      <c r="C6735" s="2" t="n">
        <v>43257</v>
      </c>
      <c r="D6735" t="inlineStr">
        <is>
          <t>NIL</t>
        </is>
      </c>
      <c r="E6735" t="n">
        <v>1300</v>
      </c>
    </row>
    <row r="6736">
      <c r="A6736" t="inlineStr">
        <is>
          <t>27BBBBB06736Z5</t>
        </is>
      </c>
      <c r="B6736" t="inlineStr">
        <is>
          <t>Jun-2018</t>
        </is>
      </c>
      <c r="C6736" s="2" t="n">
        <v>43912</v>
      </c>
      <c r="D6736" t="inlineStr">
        <is>
          <t>NON-NIL</t>
        </is>
      </c>
      <c r="E6736" t="n">
        <v>294</v>
      </c>
    </row>
    <row r="6737">
      <c r="A6737" t="inlineStr">
        <is>
          <t>27BBBBB06737Z5</t>
        </is>
      </c>
      <c r="B6737" t="inlineStr">
        <is>
          <t>Mar-2020</t>
        </is>
      </c>
      <c r="C6737" s="2" t="n">
        <v>43849</v>
      </c>
      <c r="D6737" t="inlineStr">
        <is>
          <t>NIL</t>
        </is>
      </c>
      <c r="E6737" t="n">
        <v>608</v>
      </c>
    </row>
    <row r="6738">
      <c r="A6738" t="inlineStr">
        <is>
          <t>27BBBBB06738Z5</t>
        </is>
      </c>
      <c r="B6738" t="inlineStr">
        <is>
          <t>Nov-2017</t>
        </is>
      </c>
      <c r="C6738" s="2" t="n">
        <v>43191</v>
      </c>
      <c r="D6738" t="inlineStr">
        <is>
          <t>NIL</t>
        </is>
      </c>
      <c r="E6738" t="n">
        <v>478</v>
      </c>
    </row>
    <row r="6739">
      <c r="A6739" t="inlineStr">
        <is>
          <t>27BBBBB06739Z5</t>
        </is>
      </c>
      <c r="B6739" t="inlineStr">
        <is>
          <t>Feb-2018</t>
        </is>
      </c>
      <c r="C6739" s="2" t="n">
        <v>44345</v>
      </c>
      <c r="D6739" t="inlineStr">
        <is>
          <t>NON-NIL</t>
        </is>
      </c>
      <c r="E6739" t="n">
        <v>2524</v>
      </c>
    </row>
    <row r="6740">
      <c r="A6740" t="inlineStr">
        <is>
          <t>27BBBBB06740Z5</t>
        </is>
      </c>
      <c r="B6740" t="inlineStr">
        <is>
          <t>May-2020</t>
        </is>
      </c>
      <c r="C6740" s="2" t="n">
        <v>43970</v>
      </c>
      <c r="D6740" t="inlineStr">
        <is>
          <t>NON-NIL</t>
        </is>
      </c>
      <c r="E6740" t="n">
        <v>1775</v>
      </c>
    </row>
    <row r="6741">
      <c r="A6741" t="inlineStr">
        <is>
          <t>27BBBBB06741Z5</t>
        </is>
      </c>
      <c r="B6741" t="inlineStr">
        <is>
          <t>Dec-2024</t>
        </is>
      </c>
      <c r="C6741" s="2" t="n">
        <v>43589</v>
      </c>
      <c r="D6741" t="inlineStr">
        <is>
          <t>NON-NIL</t>
        </is>
      </c>
      <c r="E6741" t="n">
        <v>59</v>
      </c>
    </row>
    <row r="6742">
      <c r="A6742" t="inlineStr">
        <is>
          <t>27BBBBB06742Z5</t>
        </is>
      </c>
      <c r="B6742" t="inlineStr">
        <is>
          <t>Apr-2020</t>
        </is>
      </c>
      <c r="C6742" s="2" t="n">
        <v>44462</v>
      </c>
      <c r="D6742" t="inlineStr">
        <is>
          <t>NIL</t>
        </is>
      </c>
      <c r="E6742" t="n">
        <v>2830</v>
      </c>
    </row>
    <row r="6743">
      <c r="A6743" t="inlineStr">
        <is>
          <t>27BBBBB06743Z5</t>
        </is>
      </c>
      <c r="B6743" t="inlineStr">
        <is>
          <t>Mar-2021</t>
        </is>
      </c>
      <c r="C6743" s="2" t="n">
        <v>44784</v>
      </c>
      <c r="D6743" t="inlineStr">
        <is>
          <t>NON-NIL</t>
        </is>
      </c>
      <c r="E6743" t="n">
        <v>653</v>
      </c>
    </row>
    <row r="6744">
      <c r="A6744" t="inlineStr">
        <is>
          <t>27BBBBB06744Z5</t>
        </is>
      </c>
      <c r="B6744" t="inlineStr">
        <is>
          <t>Mar-2021</t>
        </is>
      </c>
      <c r="C6744" s="2" t="n">
        <v>44501</v>
      </c>
      <c r="D6744" t="inlineStr">
        <is>
          <t>NIL</t>
        </is>
      </c>
      <c r="E6744" t="n">
        <v>1683</v>
      </c>
    </row>
    <row r="6745">
      <c r="A6745" t="inlineStr">
        <is>
          <t>27BBBBB06745Z5</t>
        </is>
      </c>
      <c r="B6745" t="inlineStr">
        <is>
          <t>Dec-2018</t>
        </is>
      </c>
      <c r="C6745" s="2" t="n">
        <v>43614</v>
      </c>
      <c r="D6745" t="inlineStr">
        <is>
          <t>NON-NIL</t>
        </is>
      </c>
      <c r="E6745" t="n">
        <v>1434</v>
      </c>
    </row>
    <row r="6746">
      <c r="A6746" t="inlineStr">
        <is>
          <t>27BBBBB06746Z5</t>
        </is>
      </c>
      <c r="B6746" t="inlineStr">
        <is>
          <t>Jul-2020</t>
        </is>
      </c>
      <c r="C6746" s="2" t="n">
        <v>44258</v>
      </c>
      <c r="D6746" t="inlineStr">
        <is>
          <t>NON-NIL</t>
        </is>
      </c>
      <c r="E6746" t="n">
        <v>2320</v>
      </c>
    </row>
    <row r="6747">
      <c r="A6747" t="inlineStr">
        <is>
          <t>27BBBBB06747Z5</t>
        </is>
      </c>
      <c r="B6747" t="inlineStr">
        <is>
          <t>Nov-2018</t>
        </is>
      </c>
      <c r="C6747" s="2" t="n">
        <v>44270</v>
      </c>
      <c r="D6747" t="inlineStr">
        <is>
          <t>NIL</t>
        </is>
      </c>
      <c r="E6747" t="n">
        <v>2563</v>
      </c>
    </row>
    <row r="6748">
      <c r="A6748" t="inlineStr">
        <is>
          <t>27BBBBB06748Z5</t>
        </is>
      </c>
      <c r="B6748" t="inlineStr">
        <is>
          <t>Aug-2017</t>
        </is>
      </c>
      <c r="C6748" s="2" t="n">
        <v>43632</v>
      </c>
      <c r="D6748" t="inlineStr">
        <is>
          <t>NIL</t>
        </is>
      </c>
      <c r="E6748" t="n">
        <v>2989</v>
      </c>
    </row>
    <row r="6749">
      <c r="A6749" t="inlineStr">
        <is>
          <t>27BBBBB06749Z5</t>
        </is>
      </c>
      <c r="B6749" t="inlineStr">
        <is>
          <t>Dec-2024</t>
        </is>
      </c>
      <c r="C6749" s="2" t="n">
        <v>44732</v>
      </c>
      <c r="D6749" t="inlineStr">
        <is>
          <t>NIL</t>
        </is>
      </c>
      <c r="E6749" t="n">
        <v>1489</v>
      </c>
    </row>
    <row r="6750">
      <c r="A6750" t="inlineStr">
        <is>
          <t>27BBBBB06750Z5</t>
        </is>
      </c>
      <c r="B6750" t="inlineStr">
        <is>
          <t>Feb-2018</t>
        </is>
      </c>
      <c r="C6750" s="2" t="n">
        <v>43518</v>
      </c>
      <c r="D6750" t="inlineStr">
        <is>
          <t>NON-NIL</t>
        </is>
      </c>
      <c r="E6750" t="n">
        <v>1171</v>
      </c>
    </row>
    <row r="6751">
      <c r="A6751" t="inlineStr">
        <is>
          <t>27BBBBB06751Z5</t>
        </is>
      </c>
      <c r="B6751" t="inlineStr">
        <is>
          <t>Mar-2020</t>
        </is>
      </c>
      <c r="C6751" s="2" t="n">
        <v>44205</v>
      </c>
      <c r="D6751" t="inlineStr">
        <is>
          <t>NIL</t>
        </is>
      </c>
      <c r="E6751" t="n">
        <v>170</v>
      </c>
    </row>
    <row r="6752">
      <c r="A6752" t="inlineStr">
        <is>
          <t>27BBBBB06752Z5</t>
        </is>
      </c>
      <c r="B6752" t="inlineStr">
        <is>
          <t>Jun-2020</t>
        </is>
      </c>
      <c r="C6752" s="2" t="n">
        <v>43966</v>
      </c>
      <c r="D6752" t="inlineStr">
        <is>
          <t>NIL</t>
        </is>
      </c>
      <c r="E6752" t="n">
        <v>1929</v>
      </c>
    </row>
    <row r="6753">
      <c r="A6753" t="inlineStr">
        <is>
          <t>27BBBBB06753Z5</t>
        </is>
      </c>
      <c r="B6753" t="inlineStr">
        <is>
          <t>Jan-2021</t>
        </is>
      </c>
      <c r="C6753" s="2" t="n">
        <v>44417</v>
      </c>
      <c r="D6753" t="inlineStr">
        <is>
          <t>NON-NIL</t>
        </is>
      </c>
      <c r="E6753" t="n">
        <v>1450</v>
      </c>
    </row>
    <row r="6754">
      <c r="A6754" t="inlineStr">
        <is>
          <t>27BBBBB06754Z5</t>
        </is>
      </c>
      <c r="B6754" t="inlineStr">
        <is>
          <t>Jul-2018</t>
        </is>
      </c>
      <c r="C6754" s="2" t="n">
        <v>43649</v>
      </c>
      <c r="D6754" t="inlineStr">
        <is>
          <t>NIL</t>
        </is>
      </c>
      <c r="E6754" t="n">
        <v>919</v>
      </c>
    </row>
    <row r="6755">
      <c r="A6755" t="inlineStr">
        <is>
          <t>27BBBBB06755Z5</t>
        </is>
      </c>
      <c r="B6755" t="inlineStr">
        <is>
          <t>Mar-2020</t>
        </is>
      </c>
      <c r="C6755" s="2" t="n">
        <v>43885</v>
      </c>
      <c r="D6755" t="inlineStr">
        <is>
          <t>NON-NIL</t>
        </is>
      </c>
      <c r="E6755" t="n">
        <v>2733</v>
      </c>
    </row>
    <row r="6756">
      <c r="A6756" t="inlineStr">
        <is>
          <t>27BBBBB06756Z5</t>
        </is>
      </c>
      <c r="B6756" t="inlineStr">
        <is>
          <t>Dec-2017</t>
        </is>
      </c>
      <c r="C6756" s="2" t="n">
        <v>43712</v>
      </c>
      <c r="D6756" t="inlineStr">
        <is>
          <t>NON-NIL</t>
        </is>
      </c>
      <c r="E6756" t="n">
        <v>1230</v>
      </c>
    </row>
    <row r="6757">
      <c r="A6757" t="inlineStr">
        <is>
          <t>27BBBBB06757Z5</t>
        </is>
      </c>
      <c r="B6757" t="inlineStr">
        <is>
          <t>Dec-2024</t>
        </is>
      </c>
      <c r="C6757" s="2" t="n">
        <v>44786</v>
      </c>
      <c r="D6757" t="inlineStr">
        <is>
          <t>NIL</t>
        </is>
      </c>
      <c r="E6757" t="n">
        <v>2998</v>
      </c>
    </row>
    <row r="6758">
      <c r="A6758" t="inlineStr">
        <is>
          <t>27BBBBB06758Z5</t>
        </is>
      </c>
      <c r="B6758" t="inlineStr">
        <is>
          <t>Feb-2018</t>
        </is>
      </c>
      <c r="C6758" s="2" t="n">
        <v>44176</v>
      </c>
      <c r="D6758" t="inlineStr">
        <is>
          <t>NON-NIL</t>
        </is>
      </c>
      <c r="E6758" t="n">
        <v>539</v>
      </c>
    </row>
    <row r="6759">
      <c r="A6759" t="inlineStr">
        <is>
          <t>27BBBBB06759Z5</t>
        </is>
      </c>
      <c r="B6759" t="inlineStr">
        <is>
          <t>May-2018</t>
        </is>
      </c>
      <c r="C6759" s="2" t="n">
        <v>44406</v>
      </c>
      <c r="D6759" t="inlineStr">
        <is>
          <t>NIL</t>
        </is>
      </c>
      <c r="E6759" t="n">
        <v>1805</v>
      </c>
    </row>
    <row r="6760">
      <c r="A6760" t="inlineStr">
        <is>
          <t>27BBBBB06760Z5</t>
        </is>
      </c>
      <c r="B6760" t="inlineStr">
        <is>
          <t>Dec-2024</t>
        </is>
      </c>
      <c r="C6760" s="2" t="n">
        <v>45719</v>
      </c>
      <c r="D6760" t="inlineStr">
        <is>
          <t>NIL</t>
        </is>
      </c>
      <c r="E6760" t="n">
        <v>2676</v>
      </c>
    </row>
    <row r="6761">
      <c r="A6761" t="inlineStr">
        <is>
          <t>27BBBBB06761Z5</t>
        </is>
      </c>
      <c r="B6761" t="inlineStr">
        <is>
          <t>Jul-2020</t>
        </is>
      </c>
      <c r="C6761" s="2" t="n">
        <v>44204</v>
      </c>
      <c r="D6761" t="inlineStr">
        <is>
          <t>NON-NIL</t>
        </is>
      </c>
      <c r="E6761" t="n">
        <v>403</v>
      </c>
    </row>
    <row r="6762">
      <c r="A6762" t="inlineStr">
        <is>
          <t>27BBBBB06762Z5</t>
        </is>
      </c>
      <c r="B6762" t="inlineStr">
        <is>
          <t>May-2018</t>
        </is>
      </c>
      <c r="C6762" s="2" t="n">
        <v>43297</v>
      </c>
      <c r="D6762" t="inlineStr">
        <is>
          <t>NIL</t>
        </is>
      </c>
      <c r="E6762" t="n">
        <v>1853</v>
      </c>
    </row>
    <row r="6763">
      <c r="A6763" t="inlineStr">
        <is>
          <t>27BBBBB06763Z5</t>
        </is>
      </c>
      <c r="B6763" t="inlineStr">
        <is>
          <t>Feb-2018</t>
        </is>
      </c>
      <c r="C6763" s="2" t="n">
        <v>43903</v>
      </c>
      <c r="D6763" t="inlineStr">
        <is>
          <t>NIL</t>
        </is>
      </c>
      <c r="E6763" t="n">
        <v>2992</v>
      </c>
    </row>
    <row r="6764">
      <c r="A6764" t="inlineStr">
        <is>
          <t>27BBBBB06764Z5</t>
        </is>
      </c>
      <c r="B6764" t="inlineStr">
        <is>
          <t>Nov-2017</t>
        </is>
      </c>
      <c r="C6764" s="2" t="n">
        <v>43764</v>
      </c>
      <c r="D6764" t="inlineStr">
        <is>
          <t>NIL</t>
        </is>
      </c>
      <c r="E6764" t="n">
        <v>2162</v>
      </c>
    </row>
    <row r="6765">
      <c r="A6765" t="inlineStr">
        <is>
          <t>27BBBBB06765Z5</t>
        </is>
      </c>
      <c r="B6765" t="inlineStr">
        <is>
          <t>Aug-2018</t>
        </is>
      </c>
      <c r="C6765" s="2" t="n">
        <v>43145</v>
      </c>
      <c r="D6765" t="inlineStr">
        <is>
          <t>NON-NIL</t>
        </is>
      </c>
      <c r="E6765" t="n">
        <v>451</v>
      </c>
    </row>
    <row r="6766">
      <c r="A6766" t="inlineStr">
        <is>
          <t>27BBBBB06766Z5</t>
        </is>
      </c>
      <c r="B6766" t="inlineStr">
        <is>
          <t>Jul-2018</t>
        </is>
      </c>
      <c r="C6766" s="2" t="n">
        <v>44068</v>
      </c>
      <c r="D6766" t="inlineStr">
        <is>
          <t>NIL</t>
        </is>
      </c>
      <c r="E6766" t="n">
        <v>789</v>
      </c>
    </row>
    <row r="6767">
      <c r="A6767" t="inlineStr">
        <is>
          <t>27BBBBB06767Z5</t>
        </is>
      </c>
      <c r="B6767" t="inlineStr">
        <is>
          <t>Mar-2021</t>
        </is>
      </c>
      <c r="C6767" s="2" t="n">
        <v>45712</v>
      </c>
      <c r="D6767" t="inlineStr">
        <is>
          <t>NIL</t>
        </is>
      </c>
      <c r="E6767" t="n">
        <v>1389</v>
      </c>
    </row>
    <row r="6768">
      <c r="A6768" t="inlineStr">
        <is>
          <t>27BBBBB06768Z5</t>
        </is>
      </c>
      <c r="B6768" t="inlineStr">
        <is>
          <t>Nov-2018</t>
        </is>
      </c>
      <c r="C6768" s="2" t="n">
        <v>43129</v>
      </c>
      <c r="D6768" t="inlineStr">
        <is>
          <t>NON-NIL</t>
        </is>
      </c>
      <c r="E6768" t="n">
        <v>2076</v>
      </c>
    </row>
    <row r="6769">
      <c r="A6769" t="inlineStr">
        <is>
          <t>27BBBBB06769Z5</t>
        </is>
      </c>
      <c r="B6769" t="inlineStr">
        <is>
          <t>Oct-2017</t>
        </is>
      </c>
      <c r="C6769" s="2" t="n">
        <v>42976</v>
      </c>
      <c r="D6769" t="inlineStr">
        <is>
          <t>NON-NIL</t>
        </is>
      </c>
      <c r="E6769" t="n">
        <v>628</v>
      </c>
    </row>
    <row r="6770">
      <c r="A6770" t="inlineStr">
        <is>
          <t>27BBBBB06770Z5</t>
        </is>
      </c>
      <c r="B6770" t="inlineStr">
        <is>
          <t>Apr-2018</t>
        </is>
      </c>
      <c r="C6770" s="2" t="n">
        <v>44235</v>
      </c>
      <c r="D6770" t="inlineStr">
        <is>
          <t>NON-NIL</t>
        </is>
      </c>
      <c r="E6770" t="n">
        <v>50</v>
      </c>
    </row>
    <row r="6771">
      <c r="A6771" t="inlineStr">
        <is>
          <t>27BBBBB06771Z5</t>
        </is>
      </c>
      <c r="B6771" t="inlineStr">
        <is>
          <t>Jan-2018</t>
        </is>
      </c>
      <c r="C6771" s="2" t="n">
        <v>43560</v>
      </c>
      <c r="D6771" t="inlineStr">
        <is>
          <t>NON-NIL</t>
        </is>
      </c>
      <c r="E6771" t="n">
        <v>2635</v>
      </c>
    </row>
    <row r="6772">
      <c r="A6772" t="inlineStr">
        <is>
          <t>27BBBBB06772Z5</t>
        </is>
      </c>
      <c r="B6772" t="inlineStr">
        <is>
          <t>Dec-2018</t>
        </is>
      </c>
      <c r="C6772" s="2" t="n">
        <v>43350</v>
      </c>
      <c r="D6772" t="inlineStr">
        <is>
          <t>NON-NIL</t>
        </is>
      </c>
      <c r="E6772" t="n">
        <v>1272</v>
      </c>
    </row>
    <row r="6773">
      <c r="A6773" t="inlineStr">
        <is>
          <t>27BBBBB06773Z5</t>
        </is>
      </c>
      <c r="B6773" t="inlineStr">
        <is>
          <t>Dec-2017</t>
        </is>
      </c>
      <c r="C6773" s="2" t="n">
        <v>43063</v>
      </c>
      <c r="D6773" t="inlineStr">
        <is>
          <t>NIL</t>
        </is>
      </c>
      <c r="E6773" t="n">
        <v>2885</v>
      </c>
    </row>
    <row r="6774">
      <c r="A6774" t="inlineStr">
        <is>
          <t>27BBBBB06774Z5</t>
        </is>
      </c>
      <c r="B6774" t="inlineStr">
        <is>
          <t>Dec-2024</t>
        </is>
      </c>
      <c r="C6774" s="2" t="n">
        <v>44285</v>
      </c>
      <c r="D6774" t="inlineStr">
        <is>
          <t>NON-NIL</t>
        </is>
      </c>
      <c r="E6774" t="n">
        <v>1939</v>
      </c>
    </row>
    <row r="6775">
      <c r="A6775" t="inlineStr">
        <is>
          <t>27BBBBB06775Z5</t>
        </is>
      </c>
      <c r="B6775" t="inlineStr">
        <is>
          <t>Apr-2020</t>
        </is>
      </c>
      <c r="C6775" s="2" t="n">
        <v>44639</v>
      </c>
      <c r="D6775" t="inlineStr">
        <is>
          <t>NIL</t>
        </is>
      </c>
      <c r="E6775" t="n">
        <v>1269</v>
      </c>
    </row>
    <row r="6776">
      <c r="A6776" t="inlineStr">
        <is>
          <t>27BBBBB06776Z5</t>
        </is>
      </c>
      <c r="B6776" t="inlineStr">
        <is>
          <t>Mar-2018</t>
        </is>
      </c>
      <c r="C6776" s="2" t="n">
        <v>43524</v>
      </c>
      <c r="D6776" t="inlineStr">
        <is>
          <t>NIL</t>
        </is>
      </c>
      <c r="E6776" t="n">
        <v>247</v>
      </c>
    </row>
    <row r="6777">
      <c r="A6777" t="inlineStr">
        <is>
          <t>27BBBBB06777Z5</t>
        </is>
      </c>
      <c r="B6777" t="inlineStr">
        <is>
          <t>May-2018</t>
        </is>
      </c>
      <c r="C6777" s="2" t="n">
        <v>43854</v>
      </c>
      <c r="D6777" t="inlineStr">
        <is>
          <t>NON-NIL</t>
        </is>
      </c>
      <c r="E6777" t="n">
        <v>2476</v>
      </c>
    </row>
    <row r="6778">
      <c r="A6778" t="inlineStr">
        <is>
          <t>27BBBBB06778Z5</t>
        </is>
      </c>
      <c r="B6778" t="inlineStr">
        <is>
          <t>Dec-2018</t>
        </is>
      </c>
      <c r="C6778" s="2" t="n">
        <v>43537</v>
      </c>
      <c r="D6778" t="inlineStr">
        <is>
          <t>NIL</t>
        </is>
      </c>
      <c r="E6778" t="n">
        <v>339</v>
      </c>
    </row>
    <row r="6779">
      <c r="A6779" t="inlineStr">
        <is>
          <t>27BBBBB06779Z5</t>
        </is>
      </c>
      <c r="B6779" t="inlineStr">
        <is>
          <t>May-2018</t>
        </is>
      </c>
      <c r="C6779" s="2" t="n">
        <v>43268</v>
      </c>
      <c r="D6779" t="inlineStr">
        <is>
          <t>NIL</t>
        </is>
      </c>
      <c r="E6779" t="n">
        <v>1987</v>
      </c>
    </row>
    <row r="6780">
      <c r="A6780" t="inlineStr">
        <is>
          <t>27BBBBB06780Z5</t>
        </is>
      </c>
      <c r="B6780" t="inlineStr">
        <is>
          <t>Jul-2020</t>
        </is>
      </c>
      <c r="C6780" s="2" t="n">
        <v>44003</v>
      </c>
      <c r="D6780" t="inlineStr">
        <is>
          <t>NIL</t>
        </is>
      </c>
      <c r="E6780" t="n">
        <v>53</v>
      </c>
    </row>
    <row r="6781">
      <c r="A6781" t="inlineStr">
        <is>
          <t>27BBBBB06781Z5</t>
        </is>
      </c>
      <c r="B6781" t="inlineStr">
        <is>
          <t>Jun-2020</t>
        </is>
      </c>
      <c r="C6781" s="2" t="n">
        <v>44785</v>
      </c>
      <c r="D6781" t="inlineStr">
        <is>
          <t>NON-NIL</t>
        </is>
      </c>
      <c r="E6781" t="n">
        <v>1781</v>
      </c>
    </row>
    <row r="6782">
      <c r="A6782" t="inlineStr">
        <is>
          <t>27BBBBB06782Z5</t>
        </is>
      </c>
      <c r="B6782" t="inlineStr">
        <is>
          <t>Jun-2018</t>
        </is>
      </c>
      <c r="C6782" s="2" t="n">
        <v>43615</v>
      </c>
      <c r="D6782" t="inlineStr">
        <is>
          <t>NIL</t>
        </is>
      </c>
      <c r="E6782" t="n">
        <v>1662</v>
      </c>
    </row>
    <row r="6783">
      <c r="A6783" t="inlineStr">
        <is>
          <t>27BBBBB06783Z5</t>
        </is>
      </c>
      <c r="B6783" t="inlineStr">
        <is>
          <t>Jun-2018</t>
        </is>
      </c>
      <c r="C6783" s="2" t="n">
        <v>44480</v>
      </c>
      <c r="D6783" t="inlineStr">
        <is>
          <t>NIL</t>
        </is>
      </c>
      <c r="E6783" t="n">
        <v>39</v>
      </c>
    </row>
    <row r="6784">
      <c r="A6784" t="inlineStr">
        <is>
          <t>27BBBBB06784Z5</t>
        </is>
      </c>
      <c r="B6784" t="inlineStr">
        <is>
          <t>Dec-2017</t>
        </is>
      </c>
      <c r="C6784" s="2" t="n">
        <v>44256</v>
      </c>
      <c r="D6784" t="inlineStr">
        <is>
          <t>NIL</t>
        </is>
      </c>
      <c r="E6784" t="n">
        <v>104</v>
      </c>
    </row>
    <row r="6785">
      <c r="A6785" t="inlineStr">
        <is>
          <t>27BBBBB06785Z5</t>
        </is>
      </c>
      <c r="B6785" t="inlineStr">
        <is>
          <t>Aug-2018</t>
        </is>
      </c>
      <c r="C6785" s="2" t="n">
        <v>44017</v>
      </c>
      <c r="D6785" t="inlineStr">
        <is>
          <t>NON-NIL</t>
        </is>
      </c>
      <c r="E6785" t="n">
        <v>1421</v>
      </c>
    </row>
    <row r="6786">
      <c r="A6786" t="inlineStr">
        <is>
          <t>27BBBBB06786Z5</t>
        </is>
      </c>
      <c r="B6786" t="inlineStr">
        <is>
          <t>May-2020</t>
        </is>
      </c>
      <c r="C6786" s="2" t="n">
        <v>44164</v>
      </c>
      <c r="D6786" t="inlineStr">
        <is>
          <t>NIL</t>
        </is>
      </c>
      <c r="E6786" t="n">
        <v>640</v>
      </c>
    </row>
    <row r="6787">
      <c r="A6787" t="inlineStr">
        <is>
          <t>27BBBBB06787Z5</t>
        </is>
      </c>
      <c r="B6787" t="inlineStr">
        <is>
          <t>Aug-2017</t>
        </is>
      </c>
      <c r="C6787" s="2" t="n">
        <v>43538</v>
      </c>
      <c r="D6787" t="inlineStr">
        <is>
          <t>NIL</t>
        </is>
      </c>
      <c r="E6787" t="n">
        <v>90</v>
      </c>
    </row>
    <row r="6788">
      <c r="A6788" t="inlineStr">
        <is>
          <t>27BBBBB06788Z5</t>
        </is>
      </c>
      <c r="B6788" t="inlineStr">
        <is>
          <t>May-2020</t>
        </is>
      </c>
      <c r="C6788" s="2" t="n">
        <v>44422</v>
      </c>
      <c r="D6788" t="inlineStr">
        <is>
          <t>NIL</t>
        </is>
      </c>
      <c r="E6788" t="n">
        <v>606</v>
      </c>
    </row>
    <row r="6789">
      <c r="A6789" t="inlineStr">
        <is>
          <t>27BBBBB06789Z5</t>
        </is>
      </c>
      <c r="B6789" t="inlineStr">
        <is>
          <t>Mar-2018</t>
        </is>
      </c>
      <c r="C6789" s="2" t="n">
        <v>43869</v>
      </c>
      <c r="D6789" t="inlineStr">
        <is>
          <t>NIL</t>
        </is>
      </c>
      <c r="E6789" t="n">
        <v>1071</v>
      </c>
    </row>
    <row r="6790">
      <c r="A6790" t="inlineStr">
        <is>
          <t>27BBBBB06790Z5</t>
        </is>
      </c>
      <c r="B6790" t="inlineStr">
        <is>
          <t>Dec-2017</t>
        </is>
      </c>
      <c r="C6790" s="2" t="n">
        <v>43985</v>
      </c>
      <c r="D6790" t="inlineStr">
        <is>
          <t>NON-NIL</t>
        </is>
      </c>
      <c r="E6790" t="n">
        <v>2052</v>
      </c>
    </row>
    <row r="6791">
      <c r="A6791" t="inlineStr">
        <is>
          <t>27BBBBB06791Z5</t>
        </is>
      </c>
      <c r="B6791" t="inlineStr">
        <is>
          <t>May-2018</t>
        </is>
      </c>
      <c r="C6791" s="2" t="n">
        <v>43016</v>
      </c>
      <c r="D6791" t="inlineStr">
        <is>
          <t>NIL</t>
        </is>
      </c>
      <c r="E6791" t="n">
        <v>823</v>
      </c>
    </row>
    <row r="6792">
      <c r="A6792" t="inlineStr">
        <is>
          <t>27BBBBB06792Z5</t>
        </is>
      </c>
      <c r="B6792" t="inlineStr">
        <is>
          <t>Jul-2018</t>
        </is>
      </c>
      <c r="C6792" s="2" t="n">
        <v>43905</v>
      </c>
      <c r="D6792" t="inlineStr">
        <is>
          <t>NIL</t>
        </is>
      </c>
      <c r="E6792" t="n">
        <v>1211</v>
      </c>
    </row>
    <row r="6793">
      <c r="A6793" t="inlineStr">
        <is>
          <t>27BBBBB06793Z5</t>
        </is>
      </c>
      <c r="B6793" t="inlineStr">
        <is>
          <t>May-2018</t>
        </is>
      </c>
      <c r="C6793" s="2" t="n">
        <v>42957</v>
      </c>
      <c r="D6793" t="inlineStr">
        <is>
          <t>NIL</t>
        </is>
      </c>
      <c r="E6793" t="n">
        <v>576</v>
      </c>
    </row>
    <row r="6794">
      <c r="A6794" t="inlineStr">
        <is>
          <t>27BBBBB06794Z5</t>
        </is>
      </c>
      <c r="B6794" t="inlineStr">
        <is>
          <t>Jan-2021</t>
        </is>
      </c>
      <c r="C6794" s="2" t="n">
        <v>43684</v>
      </c>
      <c r="D6794" t="inlineStr">
        <is>
          <t>NIL</t>
        </is>
      </c>
      <c r="E6794" t="n">
        <v>2162</v>
      </c>
    </row>
    <row r="6795">
      <c r="A6795" t="inlineStr">
        <is>
          <t>27BBBBB06795Z5</t>
        </is>
      </c>
      <c r="B6795" t="inlineStr">
        <is>
          <t>May-2018</t>
        </is>
      </c>
      <c r="C6795" s="2" t="n">
        <v>44435</v>
      </c>
      <c r="D6795" t="inlineStr">
        <is>
          <t>NON-NIL</t>
        </is>
      </c>
      <c r="E6795" t="n">
        <v>1323</v>
      </c>
    </row>
    <row r="6796">
      <c r="A6796" t="inlineStr">
        <is>
          <t>27BBBBB06796Z5</t>
        </is>
      </c>
      <c r="B6796" t="inlineStr">
        <is>
          <t>Nov-2017</t>
        </is>
      </c>
      <c r="C6796" s="2" t="n">
        <v>43049</v>
      </c>
      <c r="D6796" t="inlineStr">
        <is>
          <t>NIL</t>
        </is>
      </c>
      <c r="E6796" t="n">
        <v>655</v>
      </c>
    </row>
    <row r="6797">
      <c r="A6797" t="inlineStr">
        <is>
          <t>27BBBBB06797Z5</t>
        </is>
      </c>
      <c r="B6797" t="inlineStr">
        <is>
          <t>Jul-2018</t>
        </is>
      </c>
      <c r="C6797" s="2" t="n">
        <v>44158</v>
      </c>
      <c r="D6797" t="inlineStr">
        <is>
          <t>NON-NIL</t>
        </is>
      </c>
      <c r="E6797" t="n">
        <v>1133</v>
      </c>
    </row>
    <row r="6798">
      <c r="A6798" t="inlineStr">
        <is>
          <t>27BBBBB06798Z5</t>
        </is>
      </c>
      <c r="B6798" t="inlineStr">
        <is>
          <t>Jun-2020</t>
        </is>
      </c>
      <c r="C6798" s="2" t="n">
        <v>44599</v>
      </c>
      <c r="D6798" t="inlineStr">
        <is>
          <t>NON-NIL</t>
        </is>
      </c>
      <c r="E6798" t="n">
        <v>899</v>
      </c>
    </row>
    <row r="6799">
      <c r="A6799" t="inlineStr">
        <is>
          <t>27BBBBB06799Z5</t>
        </is>
      </c>
      <c r="B6799" t="inlineStr">
        <is>
          <t>Oct-2017</t>
        </is>
      </c>
      <c r="C6799" s="2" t="n">
        <v>42957</v>
      </c>
      <c r="D6799" t="inlineStr">
        <is>
          <t>NIL</t>
        </is>
      </c>
      <c r="E6799" t="n">
        <v>2410</v>
      </c>
    </row>
    <row r="6800">
      <c r="A6800" t="inlineStr">
        <is>
          <t>27BBBBB06800Z5</t>
        </is>
      </c>
      <c r="B6800" t="inlineStr">
        <is>
          <t>Oct-2017</t>
        </is>
      </c>
      <c r="C6800" s="2" t="n">
        <v>44429</v>
      </c>
      <c r="D6800" t="inlineStr">
        <is>
          <t>NIL</t>
        </is>
      </c>
      <c r="E6800" t="n">
        <v>110</v>
      </c>
    </row>
    <row r="6801">
      <c r="A6801" t="inlineStr">
        <is>
          <t>27BBBBB06801Z5</t>
        </is>
      </c>
      <c r="B6801" t="inlineStr">
        <is>
          <t>Mar-2020</t>
        </is>
      </c>
      <c r="C6801" s="2" t="n">
        <v>44833</v>
      </c>
      <c r="D6801" t="inlineStr">
        <is>
          <t>NON-NIL</t>
        </is>
      </c>
      <c r="E6801" t="n">
        <v>2674</v>
      </c>
    </row>
    <row r="6802">
      <c r="A6802" t="inlineStr">
        <is>
          <t>27BBBBB06802Z5</t>
        </is>
      </c>
      <c r="B6802" t="inlineStr">
        <is>
          <t>May-2018</t>
        </is>
      </c>
      <c r="C6802" s="2" t="n">
        <v>43981</v>
      </c>
      <c r="D6802" t="inlineStr">
        <is>
          <t>NIL</t>
        </is>
      </c>
      <c r="E6802" t="n">
        <v>2581</v>
      </c>
    </row>
    <row r="6803">
      <c r="A6803" t="inlineStr">
        <is>
          <t>27BBBBB06803Z5</t>
        </is>
      </c>
      <c r="B6803" t="inlineStr">
        <is>
          <t>Jun-2018</t>
        </is>
      </c>
      <c r="C6803" s="2" t="n">
        <v>43926</v>
      </c>
      <c r="D6803" t="inlineStr">
        <is>
          <t>NIL</t>
        </is>
      </c>
      <c r="E6803" t="n">
        <v>2637</v>
      </c>
    </row>
    <row r="6804">
      <c r="A6804" t="inlineStr">
        <is>
          <t>27BBBBB06804Z5</t>
        </is>
      </c>
      <c r="B6804" t="inlineStr">
        <is>
          <t>Jul-2020</t>
        </is>
      </c>
      <c r="C6804" s="2" t="n">
        <v>44793</v>
      </c>
      <c r="D6804" t="inlineStr">
        <is>
          <t>NON-NIL</t>
        </is>
      </c>
      <c r="E6804" t="n">
        <v>557</v>
      </c>
    </row>
    <row r="6805">
      <c r="A6805" t="inlineStr">
        <is>
          <t>27BBBBB06805Z5</t>
        </is>
      </c>
      <c r="B6805" t="inlineStr">
        <is>
          <t>Jul-2017</t>
        </is>
      </c>
      <c r="C6805" s="2" t="n">
        <v>43983</v>
      </c>
      <c r="D6805" t="inlineStr">
        <is>
          <t>NIL</t>
        </is>
      </c>
      <c r="E6805" t="n">
        <v>1872</v>
      </c>
    </row>
    <row r="6806">
      <c r="A6806" t="inlineStr">
        <is>
          <t>27BBBBB06806Z5</t>
        </is>
      </c>
      <c r="B6806" t="inlineStr">
        <is>
          <t>Mar-2020</t>
        </is>
      </c>
      <c r="C6806" s="2" t="n">
        <v>44844</v>
      </c>
      <c r="D6806" t="inlineStr">
        <is>
          <t>NIL</t>
        </is>
      </c>
      <c r="E6806" t="n">
        <v>1027</v>
      </c>
    </row>
    <row r="6807">
      <c r="A6807" t="inlineStr">
        <is>
          <t>27BBBBB06807Z5</t>
        </is>
      </c>
      <c r="B6807" t="inlineStr">
        <is>
          <t>Dec-2018</t>
        </is>
      </c>
      <c r="C6807" s="2" t="n">
        <v>43353</v>
      </c>
      <c r="D6807" t="inlineStr">
        <is>
          <t>NIL</t>
        </is>
      </c>
      <c r="E6807" t="n">
        <v>2335</v>
      </c>
    </row>
    <row r="6808">
      <c r="A6808" t="inlineStr">
        <is>
          <t>27BBBBB06808Z5</t>
        </is>
      </c>
      <c r="B6808" t="inlineStr">
        <is>
          <t>Mar-2018</t>
        </is>
      </c>
      <c r="C6808" s="2" t="n">
        <v>43981</v>
      </c>
      <c r="D6808" t="inlineStr">
        <is>
          <t>NIL</t>
        </is>
      </c>
      <c r="E6808" t="n">
        <v>2016</v>
      </c>
    </row>
    <row r="6809">
      <c r="A6809" t="inlineStr">
        <is>
          <t>27BBBBB06809Z5</t>
        </is>
      </c>
      <c r="B6809" t="inlineStr">
        <is>
          <t>Mar-2018</t>
        </is>
      </c>
      <c r="C6809" s="2" t="n">
        <v>43205</v>
      </c>
      <c r="D6809" t="inlineStr">
        <is>
          <t>NON-NIL</t>
        </is>
      </c>
      <c r="E6809" t="n">
        <v>2059</v>
      </c>
    </row>
    <row r="6810">
      <c r="A6810" t="inlineStr">
        <is>
          <t>27BBBBB06810Z5</t>
        </is>
      </c>
      <c r="B6810" t="inlineStr">
        <is>
          <t>Apr-2020</t>
        </is>
      </c>
      <c r="C6810" s="2" t="n">
        <v>43849</v>
      </c>
      <c r="D6810" t="inlineStr">
        <is>
          <t>NIL</t>
        </is>
      </c>
      <c r="E6810" t="n">
        <v>1832</v>
      </c>
    </row>
    <row r="6811">
      <c r="A6811" t="inlineStr">
        <is>
          <t>27BBBBB06811Z5</t>
        </is>
      </c>
      <c r="B6811" t="inlineStr">
        <is>
          <t>Jun-2018</t>
        </is>
      </c>
      <c r="C6811" s="2" t="n">
        <v>43041</v>
      </c>
      <c r="D6811" t="inlineStr">
        <is>
          <t>NIL</t>
        </is>
      </c>
      <c r="E6811" t="n">
        <v>1909</v>
      </c>
    </row>
    <row r="6812">
      <c r="A6812" t="inlineStr">
        <is>
          <t>27BBBBB06812Z5</t>
        </is>
      </c>
      <c r="B6812" t="inlineStr">
        <is>
          <t>Oct-2018</t>
        </is>
      </c>
      <c r="C6812" s="2" t="n">
        <v>43630</v>
      </c>
      <c r="D6812" t="inlineStr">
        <is>
          <t>NON-NIL</t>
        </is>
      </c>
      <c r="E6812" t="n">
        <v>1849</v>
      </c>
    </row>
    <row r="6813">
      <c r="A6813" t="inlineStr">
        <is>
          <t>27BBBBB06813Z5</t>
        </is>
      </c>
      <c r="B6813" t="inlineStr">
        <is>
          <t>Dec-2024</t>
        </is>
      </c>
      <c r="C6813" s="2" t="n">
        <v>44890</v>
      </c>
      <c r="D6813" t="inlineStr">
        <is>
          <t>NIL</t>
        </is>
      </c>
      <c r="E6813" t="n">
        <v>902</v>
      </c>
    </row>
    <row r="6814">
      <c r="A6814" t="inlineStr">
        <is>
          <t>27BBBBB06814Z5</t>
        </is>
      </c>
      <c r="B6814" t="inlineStr">
        <is>
          <t>May-2020</t>
        </is>
      </c>
      <c r="C6814" s="2" t="n">
        <v>43986</v>
      </c>
      <c r="D6814" t="inlineStr">
        <is>
          <t>NON-NIL</t>
        </is>
      </c>
      <c r="E6814" t="n">
        <v>2591</v>
      </c>
    </row>
    <row r="6815">
      <c r="A6815" t="inlineStr">
        <is>
          <t>27BBBBB06815Z5</t>
        </is>
      </c>
      <c r="B6815" t="inlineStr">
        <is>
          <t>Dec-2022</t>
        </is>
      </c>
      <c r="C6815" s="2" t="n">
        <v>45575</v>
      </c>
      <c r="D6815" t="inlineStr">
        <is>
          <t>NIL</t>
        </is>
      </c>
      <c r="E6815" t="n">
        <v>1465</v>
      </c>
    </row>
    <row r="6816">
      <c r="A6816" t="inlineStr">
        <is>
          <t>27BBBBB06816Z5</t>
        </is>
      </c>
      <c r="B6816" t="inlineStr">
        <is>
          <t>Sep-2018</t>
        </is>
      </c>
      <c r="C6816" s="2" t="n">
        <v>43308</v>
      </c>
      <c r="D6816" t="inlineStr">
        <is>
          <t>NON-NIL</t>
        </is>
      </c>
      <c r="E6816" t="n">
        <v>1754</v>
      </c>
    </row>
    <row r="6817">
      <c r="A6817" t="inlineStr">
        <is>
          <t>27BBBBB06817Z5</t>
        </is>
      </c>
      <c r="B6817" t="inlineStr">
        <is>
          <t>Apr-2018</t>
        </is>
      </c>
      <c r="C6817" s="2" t="n">
        <v>44404</v>
      </c>
      <c r="D6817" t="inlineStr">
        <is>
          <t>NIL</t>
        </is>
      </c>
      <c r="E6817" t="n">
        <v>2742</v>
      </c>
    </row>
    <row r="6818">
      <c r="A6818" t="inlineStr">
        <is>
          <t>27BBBBB06818Z5</t>
        </is>
      </c>
      <c r="B6818" t="inlineStr">
        <is>
          <t>Apr-2020</t>
        </is>
      </c>
      <c r="C6818" s="2" t="n">
        <v>44685</v>
      </c>
      <c r="D6818" t="inlineStr">
        <is>
          <t>NIL</t>
        </is>
      </c>
      <c r="E6818" t="n">
        <v>474</v>
      </c>
    </row>
    <row r="6819">
      <c r="A6819" t="inlineStr">
        <is>
          <t>27BBBBB06819Z5</t>
        </is>
      </c>
      <c r="B6819" t="inlineStr">
        <is>
          <t>Dec-2017</t>
        </is>
      </c>
      <c r="C6819" s="2" t="n">
        <v>42970</v>
      </c>
      <c r="D6819" t="inlineStr">
        <is>
          <t>NIL</t>
        </is>
      </c>
      <c r="E6819" t="n">
        <v>861</v>
      </c>
    </row>
    <row r="6820">
      <c r="A6820" t="inlineStr">
        <is>
          <t>27BBBBB06820Z5</t>
        </is>
      </c>
      <c r="B6820" t="inlineStr">
        <is>
          <t>Mar-2020</t>
        </is>
      </c>
      <c r="C6820" s="2" t="n">
        <v>43873</v>
      </c>
      <c r="D6820" t="inlineStr">
        <is>
          <t>NIL</t>
        </is>
      </c>
      <c r="E6820" t="n">
        <v>2875</v>
      </c>
    </row>
    <row r="6821">
      <c r="A6821" t="inlineStr">
        <is>
          <t>27BBBBB06821Z5</t>
        </is>
      </c>
      <c r="B6821" t="inlineStr">
        <is>
          <t>Apr-2020</t>
        </is>
      </c>
      <c r="C6821" s="2" t="n">
        <v>44774</v>
      </c>
      <c r="D6821" t="inlineStr">
        <is>
          <t>NIL</t>
        </is>
      </c>
      <c r="E6821" t="n">
        <v>2748</v>
      </c>
    </row>
    <row r="6822">
      <c r="A6822" t="inlineStr">
        <is>
          <t>27BBBBB06822Z5</t>
        </is>
      </c>
      <c r="B6822" t="inlineStr">
        <is>
          <t>Apr-2018</t>
        </is>
      </c>
      <c r="C6822" s="2" t="n">
        <v>43824</v>
      </c>
      <c r="D6822" t="inlineStr">
        <is>
          <t>NON-NIL</t>
        </is>
      </c>
      <c r="E6822" t="n">
        <v>1387</v>
      </c>
    </row>
    <row r="6823">
      <c r="A6823" t="inlineStr">
        <is>
          <t>27BBBBB06823Z5</t>
        </is>
      </c>
      <c r="B6823" t="inlineStr">
        <is>
          <t>Apr-2020</t>
        </is>
      </c>
      <c r="C6823" s="2" t="n">
        <v>44511</v>
      </c>
      <c r="D6823" t="inlineStr">
        <is>
          <t>NON-NIL</t>
        </is>
      </c>
      <c r="E6823" t="n">
        <v>1183</v>
      </c>
    </row>
    <row r="6824">
      <c r="A6824" t="inlineStr">
        <is>
          <t>27BBBBB06824Z5</t>
        </is>
      </c>
      <c r="B6824" t="inlineStr">
        <is>
          <t>Aug-2017</t>
        </is>
      </c>
      <c r="C6824" s="2" t="n">
        <v>44061</v>
      </c>
      <c r="D6824" t="inlineStr">
        <is>
          <t>NON-NIL</t>
        </is>
      </c>
      <c r="E6824" t="n">
        <v>44</v>
      </c>
    </row>
    <row r="6825">
      <c r="A6825" t="inlineStr">
        <is>
          <t>27BBBBB06825Z5</t>
        </is>
      </c>
      <c r="B6825" t="inlineStr">
        <is>
          <t>Jan-2018</t>
        </is>
      </c>
      <c r="C6825" s="2" t="n">
        <v>44560</v>
      </c>
      <c r="D6825" t="inlineStr">
        <is>
          <t>NON-NIL</t>
        </is>
      </c>
      <c r="E6825" t="n">
        <v>665</v>
      </c>
    </row>
    <row r="6826">
      <c r="A6826" t="inlineStr">
        <is>
          <t>27BBBBB06826Z5</t>
        </is>
      </c>
      <c r="B6826" t="inlineStr">
        <is>
          <t>Sep-2017</t>
        </is>
      </c>
      <c r="C6826" s="2" t="n">
        <v>44552</v>
      </c>
      <c r="D6826" t="inlineStr">
        <is>
          <t>NIL</t>
        </is>
      </c>
      <c r="E6826" t="n">
        <v>110</v>
      </c>
    </row>
    <row r="6827">
      <c r="A6827" t="inlineStr">
        <is>
          <t>27BBBBB06827Z5</t>
        </is>
      </c>
      <c r="B6827" t="inlineStr">
        <is>
          <t>Apr-2018</t>
        </is>
      </c>
      <c r="C6827" s="2" t="n">
        <v>43105</v>
      </c>
      <c r="D6827" t="inlineStr">
        <is>
          <t>NIL</t>
        </is>
      </c>
      <c r="E6827" t="n">
        <v>2129</v>
      </c>
    </row>
    <row r="6828">
      <c r="A6828" t="inlineStr">
        <is>
          <t>27BBBBB06828Z5</t>
        </is>
      </c>
      <c r="B6828" t="inlineStr">
        <is>
          <t>May-2020</t>
        </is>
      </c>
      <c r="C6828" s="2" t="n">
        <v>44442</v>
      </c>
      <c r="D6828" t="inlineStr">
        <is>
          <t>NIL</t>
        </is>
      </c>
      <c r="E6828" t="n">
        <v>2400</v>
      </c>
    </row>
    <row r="6829">
      <c r="A6829" t="inlineStr">
        <is>
          <t>27BBBBB06829Z5</t>
        </is>
      </c>
      <c r="B6829" t="inlineStr">
        <is>
          <t>Mar-2021</t>
        </is>
      </c>
      <c r="C6829" s="2" t="n">
        <v>45136</v>
      </c>
      <c r="D6829" t="inlineStr">
        <is>
          <t>NIL</t>
        </is>
      </c>
      <c r="E6829" t="n">
        <v>2921</v>
      </c>
    </row>
    <row r="6830">
      <c r="A6830" t="inlineStr">
        <is>
          <t>27BBBBB06830Z5</t>
        </is>
      </c>
      <c r="B6830" t="inlineStr">
        <is>
          <t>Jul-2020</t>
        </is>
      </c>
      <c r="C6830" s="2" t="n">
        <v>44414</v>
      </c>
      <c r="D6830" t="inlineStr">
        <is>
          <t>NON-NIL</t>
        </is>
      </c>
      <c r="E6830" t="n">
        <v>642</v>
      </c>
    </row>
    <row r="6831">
      <c r="A6831" t="inlineStr">
        <is>
          <t>27BBBBB06831Z5</t>
        </is>
      </c>
      <c r="B6831" t="inlineStr">
        <is>
          <t>Aug-2017</t>
        </is>
      </c>
      <c r="C6831" s="2" t="n">
        <v>44517</v>
      </c>
      <c r="D6831" t="inlineStr">
        <is>
          <t>NON-NIL</t>
        </is>
      </c>
      <c r="E6831" t="n">
        <v>950</v>
      </c>
    </row>
    <row r="6832">
      <c r="A6832" t="inlineStr">
        <is>
          <t>27BBBBB06832Z5</t>
        </is>
      </c>
      <c r="B6832" t="inlineStr">
        <is>
          <t>Dec-2024</t>
        </is>
      </c>
      <c r="C6832" s="2" t="n">
        <v>45720</v>
      </c>
      <c r="D6832" t="inlineStr">
        <is>
          <t>NON-NIL</t>
        </is>
      </c>
      <c r="E6832" t="n">
        <v>903</v>
      </c>
    </row>
    <row r="6833">
      <c r="A6833" t="inlineStr">
        <is>
          <t>27BBBBB06833Z5</t>
        </is>
      </c>
      <c r="B6833" t="inlineStr">
        <is>
          <t>Nov-2017</t>
        </is>
      </c>
      <c r="C6833" s="2" t="n">
        <v>43260</v>
      </c>
      <c r="D6833" t="inlineStr">
        <is>
          <t>NIL</t>
        </is>
      </c>
      <c r="E6833" t="n">
        <v>1500</v>
      </c>
    </row>
    <row r="6834">
      <c r="A6834" t="inlineStr">
        <is>
          <t>27BBBBB06834Z5</t>
        </is>
      </c>
      <c r="B6834" t="inlineStr">
        <is>
          <t>Mar-2021</t>
        </is>
      </c>
      <c r="C6834" s="2" t="n">
        <v>45068</v>
      </c>
      <c r="D6834" t="inlineStr">
        <is>
          <t>NIL</t>
        </is>
      </c>
      <c r="E6834" t="n">
        <v>1214</v>
      </c>
    </row>
    <row r="6835">
      <c r="A6835" t="inlineStr">
        <is>
          <t>27BBBBB06835Z5</t>
        </is>
      </c>
      <c r="B6835" t="inlineStr">
        <is>
          <t>Jan-2018</t>
        </is>
      </c>
      <c r="C6835" s="2" t="n">
        <v>44155</v>
      </c>
      <c r="D6835" t="inlineStr">
        <is>
          <t>NON-NIL</t>
        </is>
      </c>
      <c r="E6835" t="n">
        <v>1723</v>
      </c>
    </row>
    <row r="6836">
      <c r="A6836" t="inlineStr">
        <is>
          <t>27BBBBB06836Z5</t>
        </is>
      </c>
      <c r="B6836" t="inlineStr">
        <is>
          <t>Dec-2024</t>
        </is>
      </c>
      <c r="C6836" s="2" t="n">
        <v>45529</v>
      </c>
      <c r="D6836" t="inlineStr">
        <is>
          <t>NIL</t>
        </is>
      </c>
      <c r="E6836" t="n">
        <v>2574</v>
      </c>
    </row>
    <row r="6837">
      <c r="A6837" t="inlineStr">
        <is>
          <t>27BBBBB06837Z5</t>
        </is>
      </c>
      <c r="B6837" t="inlineStr">
        <is>
          <t>Jun-2018</t>
        </is>
      </c>
      <c r="C6837" s="2" t="n">
        <v>43179</v>
      </c>
      <c r="D6837" t="inlineStr">
        <is>
          <t>NIL</t>
        </is>
      </c>
      <c r="E6837" t="n">
        <v>2076</v>
      </c>
    </row>
    <row r="6838">
      <c r="A6838" t="inlineStr">
        <is>
          <t>27BBBBB06838Z5</t>
        </is>
      </c>
      <c r="B6838" t="inlineStr">
        <is>
          <t>Oct-2017</t>
        </is>
      </c>
      <c r="C6838" s="2" t="n">
        <v>43619</v>
      </c>
      <c r="D6838" t="inlineStr">
        <is>
          <t>NON-NIL</t>
        </is>
      </c>
      <c r="E6838" t="n">
        <v>1938</v>
      </c>
    </row>
    <row r="6839">
      <c r="A6839" t="inlineStr">
        <is>
          <t>27BBBBB06839Z5</t>
        </is>
      </c>
      <c r="B6839" t="inlineStr">
        <is>
          <t>Apr-2018</t>
        </is>
      </c>
      <c r="C6839" s="2" t="n">
        <v>43346</v>
      </c>
      <c r="D6839" t="inlineStr">
        <is>
          <t>NIL</t>
        </is>
      </c>
      <c r="E6839" t="n">
        <v>2640</v>
      </c>
    </row>
    <row r="6840">
      <c r="A6840" t="inlineStr">
        <is>
          <t>27BBBBB06840Z5</t>
        </is>
      </c>
      <c r="B6840" t="inlineStr">
        <is>
          <t>Apr-2020</t>
        </is>
      </c>
      <c r="C6840" s="2" t="n">
        <v>44560</v>
      </c>
      <c r="D6840" t="inlineStr">
        <is>
          <t>NON-NIL</t>
        </is>
      </c>
      <c r="E6840" t="n">
        <v>1833</v>
      </c>
    </row>
    <row r="6841">
      <c r="A6841" t="inlineStr">
        <is>
          <t>27BBBBB06841Z5</t>
        </is>
      </c>
      <c r="B6841" t="inlineStr">
        <is>
          <t>Jun-2018</t>
        </is>
      </c>
      <c r="C6841" s="2" t="n">
        <v>43557</v>
      </c>
      <c r="D6841" t="inlineStr">
        <is>
          <t>NIL</t>
        </is>
      </c>
      <c r="E6841" t="n">
        <v>2167</v>
      </c>
    </row>
    <row r="6842">
      <c r="A6842" t="inlineStr">
        <is>
          <t>27BBBBB06842Z5</t>
        </is>
      </c>
      <c r="B6842" t="inlineStr">
        <is>
          <t>Feb-2018</t>
        </is>
      </c>
      <c r="C6842" s="2" t="n">
        <v>43659</v>
      </c>
      <c r="D6842" t="inlineStr">
        <is>
          <t>NIL</t>
        </is>
      </c>
      <c r="E6842" t="n">
        <v>1784</v>
      </c>
    </row>
    <row r="6843">
      <c r="A6843" t="inlineStr">
        <is>
          <t>27BBBBB06843Z5</t>
        </is>
      </c>
      <c r="B6843" t="inlineStr">
        <is>
          <t>Jun-2018</t>
        </is>
      </c>
      <c r="C6843" s="2" t="n">
        <v>44339</v>
      </c>
      <c r="D6843" t="inlineStr">
        <is>
          <t>NON-NIL</t>
        </is>
      </c>
      <c r="E6843" t="n">
        <v>294</v>
      </c>
    </row>
    <row r="6844">
      <c r="A6844" t="inlineStr">
        <is>
          <t>27BBBBB06844Z5</t>
        </is>
      </c>
      <c r="B6844" t="inlineStr">
        <is>
          <t>Jan-2018</t>
        </is>
      </c>
      <c r="C6844" s="2" t="n">
        <v>44539</v>
      </c>
      <c r="D6844" t="inlineStr">
        <is>
          <t>NIL</t>
        </is>
      </c>
      <c r="E6844" t="n">
        <v>1931</v>
      </c>
    </row>
    <row r="6845">
      <c r="A6845" t="inlineStr">
        <is>
          <t>27BBBBB06845Z5</t>
        </is>
      </c>
      <c r="B6845" t="inlineStr">
        <is>
          <t>May-2020</t>
        </is>
      </c>
      <c r="C6845" s="2" t="n">
        <v>44392</v>
      </c>
      <c r="D6845" t="inlineStr">
        <is>
          <t>NON-NIL</t>
        </is>
      </c>
      <c r="E6845" t="n">
        <v>1017</v>
      </c>
    </row>
    <row r="6846">
      <c r="A6846" t="inlineStr">
        <is>
          <t>27BBBBB06846Z5</t>
        </is>
      </c>
      <c r="B6846" t="inlineStr">
        <is>
          <t>Nov-2017</t>
        </is>
      </c>
      <c r="C6846" s="2" t="n">
        <v>44086</v>
      </c>
      <c r="D6846" t="inlineStr">
        <is>
          <t>NON-NIL</t>
        </is>
      </c>
      <c r="E6846" t="n">
        <v>2329</v>
      </c>
    </row>
    <row r="6847">
      <c r="A6847" t="inlineStr">
        <is>
          <t>27BBBBB06847Z5</t>
        </is>
      </c>
      <c r="B6847" t="inlineStr">
        <is>
          <t>Nov-2017</t>
        </is>
      </c>
      <c r="C6847" s="2" t="n">
        <v>44330</v>
      </c>
      <c r="D6847" t="inlineStr">
        <is>
          <t>NIL</t>
        </is>
      </c>
      <c r="E6847" t="n">
        <v>760</v>
      </c>
    </row>
    <row r="6848">
      <c r="A6848" t="inlineStr">
        <is>
          <t>27BBBBB06848Z5</t>
        </is>
      </c>
      <c r="B6848" t="inlineStr">
        <is>
          <t>Mar-2021</t>
        </is>
      </c>
      <c r="C6848" s="2" t="n">
        <v>44026</v>
      </c>
      <c r="D6848" t="inlineStr">
        <is>
          <t>NIL</t>
        </is>
      </c>
      <c r="E6848" t="n">
        <v>505</v>
      </c>
    </row>
    <row r="6849">
      <c r="A6849" t="inlineStr">
        <is>
          <t>27BBBBB06849Z5</t>
        </is>
      </c>
      <c r="B6849" t="inlineStr">
        <is>
          <t>Mar-2021</t>
        </is>
      </c>
      <c r="C6849" s="2" t="n">
        <v>44057</v>
      </c>
      <c r="D6849" t="inlineStr">
        <is>
          <t>NIL</t>
        </is>
      </c>
      <c r="E6849" t="n">
        <v>2778</v>
      </c>
    </row>
    <row r="6850">
      <c r="A6850" t="inlineStr">
        <is>
          <t>27BBBBB06850Z5</t>
        </is>
      </c>
      <c r="B6850" t="inlineStr">
        <is>
          <t>Jan-2021</t>
        </is>
      </c>
      <c r="C6850" s="2" t="n">
        <v>45320</v>
      </c>
      <c r="D6850" t="inlineStr">
        <is>
          <t>NIL</t>
        </is>
      </c>
      <c r="E6850" t="n">
        <v>2692</v>
      </c>
    </row>
    <row r="6851">
      <c r="A6851" t="inlineStr">
        <is>
          <t>27BBBBB06851Z5</t>
        </is>
      </c>
      <c r="B6851" t="inlineStr">
        <is>
          <t>Feb-2018</t>
        </is>
      </c>
      <c r="C6851" s="2" t="n">
        <v>43236</v>
      </c>
      <c r="D6851" t="inlineStr">
        <is>
          <t>NIL</t>
        </is>
      </c>
      <c r="E6851" t="n">
        <v>2151</v>
      </c>
    </row>
    <row r="6852">
      <c r="A6852" t="inlineStr">
        <is>
          <t>27BBBBB06852Z5</t>
        </is>
      </c>
      <c r="B6852" t="inlineStr">
        <is>
          <t>Nov-2018</t>
        </is>
      </c>
      <c r="C6852" s="2" t="n">
        <v>44010</v>
      </c>
      <c r="D6852" t="inlineStr">
        <is>
          <t>NON-NIL</t>
        </is>
      </c>
      <c r="E6852" t="n">
        <v>242</v>
      </c>
    </row>
    <row r="6853">
      <c r="A6853" t="inlineStr">
        <is>
          <t>27BBBBB06853Z5</t>
        </is>
      </c>
      <c r="B6853" t="inlineStr">
        <is>
          <t>Jun-2020</t>
        </is>
      </c>
      <c r="C6853" s="2" t="n">
        <v>44201</v>
      </c>
      <c r="D6853" t="inlineStr">
        <is>
          <t>NON-NIL</t>
        </is>
      </c>
      <c r="E6853" t="n">
        <v>124</v>
      </c>
    </row>
    <row r="6854">
      <c r="A6854" t="inlineStr">
        <is>
          <t>27BBBBB06854Z5</t>
        </is>
      </c>
      <c r="B6854" t="inlineStr">
        <is>
          <t>Aug-2017</t>
        </is>
      </c>
      <c r="C6854" s="2" t="n">
        <v>44217</v>
      </c>
      <c r="D6854" t="inlineStr">
        <is>
          <t>NON-NIL</t>
        </is>
      </c>
      <c r="E6854" t="n">
        <v>569</v>
      </c>
    </row>
    <row r="6855">
      <c r="A6855" t="inlineStr">
        <is>
          <t>27BBBBB06855Z5</t>
        </is>
      </c>
      <c r="B6855" t="inlineStr">
        <is>
          <t>Aug-2017</t>
        </is>
      </c>
      <c r="C6855" s="2" t="n">
        <v>43784</v>
      </c>
      <c r="D6855" t="inlineStr">
        <is>
          <t>NIL</t>
        </is>
      </c>
      <c r="E6855" t="n">
        <v>124</v>
      </c>
    </row>
    <row r="6856">
      <c r="A6856" t="inlineStr">
        <is>
          <t>27BBBBB06856Z5</t>
        </is>
      </c>
      <c r="B6856" t="inlineStr">
        <is>
          <t>Mar-2021</t>
        </is>
      </c>
      <c r="C6856" s="2" t="n">
        <v>45613</v>
      </c>
      <c r="D6856" t="inlineStr">
        <is>
          <t>NON-NIL</t>
        </is>
      </c>
      <c r="E6856" t="n">
        <v>447</v>
      </c>
    </row>
    <row r="6857">
      <c r="A6857" t="inlineStr">
        <is>
          <t>27BBBBB06857Z5</t>
        </is>
      </c>
      <c r="B6857" t="inlineStr">
        <is>
          <t>Jul-2017</t>
        </is>
      </c>
      <c r="C6857" s="2" t="n">
        <v>43707</v>
      </c>
      <c r="D6857" t="inlineStr">
        <is>
          <t>NON-NIL</t>
        </is>
      </c>
      <c r="E6857" t="n">
        <v>1941</v>
      </c>
    </row>
    <row r="6858">
      <c r="A6858" t="inlineStr">
        <is>
          <t>27BBBBB06858Z5</t>
        </is>
      </c>
      <c r="B6858" t="inlineStr">
        <is>
          <t>Jun-2020</t>
        </is>
      </c>
      <c r="C6858" s="2" t="n">
        <v>44777</v>
      </c>
      <c r="D6858" t="inlineStr">
        <is>
          <t>NON-NIL</t>
        </is>
      </c>
      <c r="E6858" t="n">
        <v>770</v>
      </c>
    </row>
    <row r="6859">
      <c r="A6859" t="inlineStr">
        <is>
          <t>27BBBBB06859Z5</t>
        </is>
      </c>
      <c r="B6859" t="inlineStr">
        <is>
          <t>Nov-2017</t>
        </is>
      </c>
      <c r="C6859" s="2" t="n">
        <v>43413</v>
      </c>
      <c r="D6859" t="inlineStr">
        <is>
          <t>NON-NIL</t>
        </is>
      </c>
      <c r="E6859" t="n">
        <v>785</v>
      </c>
    </row>
    <row r="6860">
      <c r="A6860" t="inlineStr">
        <is>
          <t>27BBBBB06860Z5</t>
        </is>
      </c>
      <c r="B6860" t="inlineStr">
        <is>
          <t>Jun-2020</t>
        </is>
      </c>
      <c r="C6860" s="2" t="n">
        <v>44822</v>
      </c>
      <c r="D6860" t="inlineStr">
        <is>
          <t>NON-NIL</t>
        </is>
      </c>
      <c r="E6860" t="n">
        <v>841</v>
      </c>
    </row>
    <row r="6861">
      <c r="A6861" t="inlineStr">
        <is>
          <t>27BBBBB06861Z5</t>
        </is>
      </c>
      <c r="B6861" t="inlineStr">
        <is>
          <t>Jul-2018</t>
        </is>
      </c>
      <c r="C6861" s="2" t="n">
        <v>44414</v>
      </c>
      <c r="D6861" t="inlineStr">
        <is>
          <t>NON-NIL</t>
        </is>
      </c>
      <c r="E6861" t="n">
        <v>595</v>
      </c>
    </row>
    <row r="6862">
      <c r="A6862" t="inlineStr">
        <is>
          <t>27BBBBB06862Z5</t>
        </is>
      </c>
      <c r="B6862" t="inlineStr">
        <is>
          <t>Oct-2017</t>
        </is>
      </c>
      <c r="C6862" s="2" t="n">
        <v>43822</v>
      </c>
      <c r="D6862" t="inlineStr">
        <is>
          <t>NON-NIL</t>
        </is>
      </c>
      <c r="E6862" t="n">
        <v>2918</v>
      </c>
    </row>
    <row r="6863">
      <c r="A6863" t="inlineStr">
        <is>
          <t>27BBBBB06863Z5</t>
        </is>
      </c>
      <c r="B6863" t="inlineStr">
        <is>
          <t>Dec-2024</t>
        </is>
      </c>
      <c r="C6863" s="2" t="n">
        <v>45396</v>
      </c>
      <c r="D6863" t="inlineStr">
        <is>
          <t>NIL</t>
        </is>
      </c>
      <c r="E6863" t="n">
        <v>693</v>
      </c>
    </row>
    <row r="6864">
      <c r="A6864" t="inlineStr">
        <is>
          <t>27BBBBB06864Z5</t>
        </is>
      </c>
      <c r="B6864" t="inlineStr">
        <is>
          <t>Nov-2018</t>
        </is>
      </c>
      <c r="C6864" s="2" t="n">
        <v>44390</v>
      </c>
      <c r="D6864" t="inlineStr">
        <is>
          <t>NIL</t>
        </is>
      </c>
      <c r="E6864" t="n">
        <v>2962</v>
      </c>
    </row>
    <row r="6865">
      <c r="A6865" t="inlineStr">
        <is>
          <t>27BBBBB06865Z5</t>
        </is>
      </c>
      <c r="B6865" t="inlineStr">
        <is>
          <t>Mar-2018</t>
        </is>
      </c>
      <c r="C6865" s="2" t="n">
        <v>44359</v>
      </c>
      <c r="D6865" t="inlineStr">
        <is>
          <t>NIL</t>
        </is>
      </c>
      <c r="E6865" t="n">
        <v>1622</v>
      </c>
    </row>
    <row r="6866">
      <c r="A6866" t="inlineStr">
        <is>
          <t>27BBBBB06866Z5</t>
        </is>
      </c>
      <c r="B6866" t="inlineStr">
        <is>
          <t>Apr-2020</t>
        </is>
      </c>
      <c r="C6866" s="2" t="n">
        <v>44014</v>
      </c>
      <c r="D6866" t="inlineStr">
        <is>
          <t>NON-NIL</t>
        </is>
      </c>
      <c r="E6866" t="n">
        <v>1207</v>
      </c>
    </row>
    <row r="6867">
      <c r="A6867" t="inlineStr">
        <is>
          <t>27BBBBB06867Z5</t>
        </is>
      </c>
      <c r="B6867" t="inlineStr">
        <is>
          <t>Mar-2023</t>
        </is>
      </c>
      <c r="C6867" s="2" t="n">
        <v>44232</v>
      </c>
      <c r="D6867" t="inlineStr">
        <is>
          <t>NIL</t>
        </is>
      </c>
      <c r="E6867" t="n">
        <v>2270</v>
      </c>
    </row>
    <row r="6868">
      <c r="A6868" t="inlineStr">
        <is>
          <t>27BBBBB06868Z5</t>
        </is>
      </c>
      <c r="B6868" t="inlineStr">
        <is>
          <t>Aug-2017</t>
        </is>
      </c>
      <c r="C6868" s="2" t="n">
        <v>44470</v>
      </c>
      <c r="D6868" t="inlineStr">
        <is>
          <t>NON-NIL</t>
        </is>
      </c>
      <c r="E6868" t="n">
        <v>2468</v>
      </c>
    </row>
    <row r="6869">
      <c r="A6869" t="inlineStr">
        <is>
          <t>27BBBBB06869Z5</t>
        </is>
      </c>
      <c r="B6869" t="inlineStr">
        <is>
          <t>Sep-2017</t>
        </is>
      </c>
      <c r="C6869" s="2" t="n">
        <v>44107</v>
      </c>
      <c r="D6869" t="inlineStr">
        <is>
          <t>NIL</t>
        </is>
      </c>
      <c r="E6869" t="n">
        <v>2140</v>
      </c>
    </row>
    <row r="6870">
      <c r="A6870" t="inlineStr">
        <is>
          <t>27BBBBB06870Z5</t>
        </is>
      </c>
      <c r="B6870" t="inlineStr">
        <is>
          <t>Aug-2017</t>
        </is>
      </c>
      <c r="C6870" s="2" t="n">
        <v>44091</v>
      </c>
      <c r="D6870" t="inlineStr">
        <is>
          <t>NIL</t>
        </is>
      </c>
      <c r="E6870" t="n">
        <v>1943</v>
      </c>
    </row>
    <row r="6871">
      <c r="A6871" t="inlineStr">
        <is>
          <t>27BBBBB06871Z5</t>
        </is>
      </c>
      <c r="B6871" t="inlineStr">
        <is>
          <t>Apr-2018</t>
        </is>
      </c>
      <c r="C6871" s="2" t="n">
        <v>43570</v>
      </c>
      <c r="D6871" t="inlineStr">
        <is>
          <t>NON-NIL</t>
        </is>
      </c>
      <c r="E6871" t="n">
        <v>2874</v>
      </c>
    </row>
    <row r="6872">
      <c r="A6872" t="inlineStr">
        <is>
          <t>27BBBBB06872Z5</t>
        </is>
      </c>
      <c r="B6872" t="inlineStr">
        <is>
          <t>Nov-2017</t>
        </is>
      </c>
      <c r="C6872" s="2" t="n">
        <v>44379</v>
      </c>
      <c r="D6872" t="inlineStr">
        <is>
          <t>NON-NIL</t>
        </is>
      </c>
      <c r="E6872" t="n">
        <v>1310</v>
      </c>
    </row>
    <row r="6873">
      <c r="A6873" t="inlineStr">
        <is>
          <t>27BBBBB06873Z5</t>
        </is>
      </c>
      <c r="B6873" t="inlineStr">
        <is>
          <t>May-2020</t>
        </is>
      </c>
      <c r="C6873" s="2" t="n">
        <v>44238</v>
      </c>
      <c r="D6873" t="inlineStr">
        <is>
          <t>NON-NIL</t>
        </is>
      </c>
      <c r="E6873" t="n">
        <v>39</v>
      </c>
    </row>
    <row r="6874">
      <c r="A6874" t="inlineStr">
        <is>
          <t>27BBBBB06874Z5</t>
        </is>
      </c>
      <c r="B6874" t="inlineStr">
        <is>
          <t>Jul-2017</t>
        </is>
      </c>
      <c r="C6874" s="2" t="n">
        <v>43431</v>
      </c>
      <c r="D6874" t="inlineStr">
        <is>
          <t>NIL</t>
        </is>
      </c>
      <c r="E6874" t="n">
        <v>138</v>
      </c>
    </row>
    <row r="6875">
      <c r="A6875" t="inlineStr">
        <is>
          <t>27BBBBB06875Z5</t>
        </is>
      </c>
      <c r="B6875" t="inlineStr">
        <is>
          <t>Dec-2017</t>
        </is>
      </c>
      <c r="C6875" s="2" t="n">
        <v>44421</v>
      </c>
      <c r="D6875" t="inlineStr">
        <is>
          <t>NIL</t>
        </is>
      </c>
      <c r="E6875" t="n">
        <v>897</v>
      </c>
    </row>
    <row r="6876">
      <c r="A6876" t="inlineStr">
        <is>
          <t>27BBBBB06876Z5</t>
        </is>
      </c>
      <c r="B6876" t="inlineStr">
        <is>
          <t>Dec-2024</t>
        </is>
      </c>
      <c r="C6876" s="2" t="n">
        <v>45049</v>
      </c>
      <c r="D6876" t="inlineStr">
        <is>
          <t>NIL</t>
        </is>
      </c>
      <c r="E6876" t="n">
        <v>2299</v>
      </c>
    </row>
    <row r="6877">
      <c r="A6877" t="inlineStr">
        <is>
          <t>27BBBBB06877Z5</t>
        </is>
      </c>
      <c r="B6877" t="inlineStr">
        <is>
          <t>Jul-2018</t>
        </is>
      </c>
      <c r="C6877" s="2" t="n">
        <v>43503</v>
      </c>
      <c r="D6877" t="inlineStr">
        <is>
          <t>NIL</t>
        </is>
      </c>
      <c r="E6877" t="n">
        <v>281</v>
      </c>
    </row>
    <row r="6878">
      <c r="A6878" t="inlineStr">
        <is>
          <t>27BBBBB06878Z5</t>
        </is>
      </c>
      <c r="B6878" t="inlineStr">
        <is>
          <t>Jul-2018</t>
        </is>
      </c>
      <c r="C6878" s="2" t="n">
        <v>44153</v>
      </c>
      <c r="D6878" t="inlineStr">
        <is>
          <t>NIL</t>
        </is>
      </c>
      <c r="E6878" t="n">
        <v>2010</v>
      </c>
    </row>
    <row r="6879">
      <c r="A6879" t="inlineStr">
        <is>
          <t>27BBBBB06879Z5</t>
        </is>
      </c>
      <c r="B6879" t="inlineStr">
        <is>
          <t>Oct-2018</t>
        </is>
      </c>
      <c r="C6879" s="2" t="n">
        <v>44252</v>
      </c>
      <c r="D6879" t="inlineStr">
        <is>
          <t>NIL</t>
        </is>
      </c>
      <c r="E6879" t="n">
        <v>999</v>
      </c>
    </row>
    <row r="6880">
      <c r="A6880" t="inlineStr">
        <is>
          <t>27BBBBB06880Z5</t>
        </is>
      </c>
      <c r="B6880" t="inlineStr">
        <is>
          <t>Dec-2018</t>
        </is>
      </c>
      <c r="C6880" s="2" t="n">
        <v>44134</v>
      </c>
      <c r="D6880" t="inlineStr">
        <is>
          <t>NIL</t>
        </is>
      </c>
      <c r="E6880" t="n">
        <v>2776</v>
      </c>
    </row>
    <row r="6881">
      <c r="A6881" t="inlineStr">
        <is>
          <t>27BBBBB06881Z5</t>
        </is>
      </c>
      <c r="B6881" t="inlineStr">
        <is>
          <t>Jan-2021</t>
        </is>
      </c>
      <c r="C6881" s="2" t="n">
        <v>43756</v>
      </c>
      <c r="D6881" t="inlineStr">
        <is>
          <t>NIL</t>
        </is>
      </c>
      <c r="E6881" t="n">
        <v>2853</v>
      </c>
    </row>
    <row r="6882">
      <c r="A6882" t="inlineStr">
        <is>
          <t>27BBBBB06882Z5</t>
        </is>
      </c>
      <c r="B6882" t="inlineStr">
        <is>
          <t>Jun-2020</t>
        </is>
      </c>
      <c r="C6882" s="2" t="n">
        <v>44706</v>
      </c>
      <c r="D6882" t="inlineStr">
        <is>
          <t>NON-NIL</t>
        </is>
      </c>
      <c r="E6882" t="n">
        <v>2383</v>
      </c>
    </row>
    <row r="6883">
      <c r="A6883" t="inlineStr">
        <is>
          <t>27BBBBB06883Z5</t>
        </is>
      </c>
      <c r="B6883" t="inlineStr">
        <is>
          <t>Jul-2017</t>
        </is>
      </c>
      <c r="C6883" s="2" t="n">
        <v>43416</v>
      </c>
      <c r="D6883" t="inlineStr">
        <is>
          <t>NON-NIL</t>
        </is>
      </c>
      <c r="E6883" t="n">
        <v>2916</v>
      </c>
    </row>
    <row r="6884">
      <c r="A6884" t="inlineStr">
        <is>
          <t>27BBBBB06884Z5</t>
        </is>
      </c>
      <c r="B6884" t="inlineStr">
        <is>
          <t>May-2018</t>
        </is>
      </c>
      <c r="C6884" s="2" t="n">
        <v>43839</v>
      </c>
      <c r="D6884" t="inlineStr">
        <is>
          <t>NIL</t>
        </is>
      </c>
      <c r="E6884" t="n">
        <v>1734</v>
      </c>
    </row>
    <row r="6885">
      <c r="A6885" t="inlineStr">
        <is>
          <t>27BBBBB06885Z5</t>
        </is>
      </c>
      <c r="B6885" t="inlineStr">
        <is>
          <t>Nov-2018</t>
        </is>
      </c>
      <c r="C6885" s="2" t="n">
        <v>43980</v>
      </c>
      <c r="D6885" t="inlineStr">
        <is>
          <t>NON-NIL</t>
        </is>
      </c>
      <c r="E6885" t="n">
        <v>604</v>
      </c>
    </row>
    <row r="6886">
      <c r="A6886" t="inlineStr">
        <is>
          <t>27BBBBB06886Z5</t>
        </is>
      </c>
      <c r="B6886" t="inlineStr">
        <is>
          <t>Mar-2020</t>
        </is>
      </c>
      <c r="C6886" s="2" t="n">
        <v>44284</v>
      </c>
      <c r="D6886" t="inlineStr">
        <is>
          <t>NIL</t>
        </is>
      </c>
      <c r="E6886" t="n">
        <v>2460</v>
      </c>
    </row>
    <row r="6887">
      <c r="A6887" t="inlineStr">
        <is>
          <t>27BBBBB06887Z5</t>
        </is>
      </c>
      <c r="B6887" t="inlineStr">
        <is>
          <t>Jul-2017</t>
        </is>
      </c>
      <c r="C6887" s="2" t="n">
        <v>43071</v>
      </c>
      <c r="D6887" t="inlineStr">
        <is>
          <t>NIL</t>
        </is>
      </c>
      <c r="E6887" t="n">
        <v>341</v>
      </c>
    </row>
    <row r="6888">
      <c r="A6888" t="inlineStr">
        <is>
          <t>27BBBBB06888Z5</t>
        </is>
      </c>
      <c r="B6888" t="inlineStr">
        <is>
          <t>Dec-2018</t>
        </is>
      </c>
      <c r="C6888" s="2" t="n">
        <v>43631</v>
      </c>
      <c r="D6888" t="inlineStr">
        <is>
          <t>NON-NIL</t>
        </is>
      </c>
      <c r="E6888" t="n">
        <v>1112</v>
      </c>
    </row>
    <row r="6889">
      <c r="A6889" t="inlineStr">
        <is>
          <t>27BBBBB06889Z5</t>
        </is>
      </c>
      <c r="B6889" t="inlineStr">
        <is>
          <t>Jul-2017</t>
        </is>
      </c>
      <c r="C6889" s="2" t="n">
        <v>43684</v>
      </c>
      <c r="D6889" t="inlineStr">
        <is>
          <t>NON-NIL</t>
        </is>
      </c>
      <c r="E6889" t="n">
        <v>1062</v>
      </c>
    </row>
    <row r="6890">
      <c r="A6890" t="inlineStr">
        <is>
          <t>27BBBBB06890Z5</t>
        </is>
      </c>
      <c r="B6890" t="inlineStr">
        <is>
          <t>Apr-2018</t>
        </is>
      </c>
      <c r="C6890" s="2" t="n">
        <v>43973</v>
      </c>
      <c r="D6890" t="inlineStr">
        <is>
          <t>NON-NIL</t>
        </is>
      </c>
      <c r="E6890" t="n">
        <v>93</v>
      </c>
    </row>
    <row r="6891">
      <c r="A6891" t="inlineStr">
        <is>
          <t>27BBBBB06891Z5</t>
        </is>
      </c>
      <c r="B6891" t="inlineStr">
        <is>
          <t>Feb-2018</t>
        </is>
      </c>
      <c r="C6891" s="2" t="n">
        <v>44054</v>
      </c>
      <c r="D6891" t="inlineStr">
        <is>
          <t>NIL</t>
        </is>
      </c>
      <c r="E6891" t="n">
        <v>2847</v>
      </c>
    </row>
    <row r="6892">
      <c r="A6892" t="inlineStr">
        <is>
          <t>27BBBBB06892Z5</t>
        </is>
      </c>
      <c r="B6892" t="inlineStr">
        <is>
          <t>Oct-2018</t>
        </is>
      </c>
      <c r="C6892" s="2" t="n">
        <v>43116</v>
      </c>
      <c r="D6892" t="inlineStr">
        <is>
          <t>NON-NIL</t>
        </is>
      </c>
      <c r="E6892" t="n">
        <v>1096</v>
      </c>
    </row>
    <row r="6893">
      <c r="A6893" t="inlineStr">
        <is>
          <t>27BBBBB06893Z5</t>
        </is>
      </c>
      <c r="B6893" t="inlineStr">
        <is>
          <t>Oct-2018</t>
        </is>
      </c>
      <c r="C6893" s="2" t="n">
        <v>43512</v>
      </c>
      <c r="D6893" t="inlineStr">
        <is>
          <t>NIL</t>
        </is>
      </c>
      <c r="E6893" t="n">
        <v>1942</v>
      </c>
    </row>
    <row r="6894">
      <c r="A6894" t="inlineStr">
        <is>
          <t>27BBBBB06894Z5</t>
        </is>
      </c>
      <c r="B6894" t="inlineStr">
        <is>
          <t>Apr-2020</t>
        </is>
      </c>
      <c r="C6894" s="2" t="n">
        <v>44204</v>
      </c>
      <c r="D6894" t="inlineStr">
        <is>
          <t>NIL</t>
        </is>
      </c>
      <c r="E6894" t="n">
        <v>583</v>
      </c>
    </row>
    <row r="6895">
      <c r="A6895" t="inlineStr">
        <is>
          <t>27BBBBB06895Z5</t>
        </is>
      </c>
      <c r="B6895" t="inlineStr">
        <is>
          <t>Nov-2018</t>
        </is>
      </c>
      <c r="C6895" s="2" t="n">
        <v>43674</v>
      </c>
      <c r="D6895" t="inlineStr">
        <is>
          <t>NIL</t>
        </is>
      </c>
      <c r="E6895" t="n">
        <v>961</v>
      </c>
    </row>
    <row r="6896">
      <c r="A6896" t="inlineStr">
        <is>
          <t>27BBBBB06896Z5</t>
        </is>
      </c>
      <c r="B6896" t="inlineStr">
        <is>
          <t>Oct-2018</t>
        </is>
      </c>
      <c r="C6896" s="2" t="n">
        <v>43425</v>
      </c>
      <c r="D6896" t="inlineStr">
        <is>
          <t>NON-NIL</t>
        </is>
      </c>
      <c r="E6896" t="n">
        <v>599</v>
      </c>
    </row>
    <row r="6897">
      <c r="A6897" t="inlineStr">
        <is>
          <t>27BBBBB06897Z5</t>
        </is>
      </c>
      <c r="B6897" t="inlineStr">
        <is>
          <t>Jan-2018</t>
        </is>
      </c>
      <c r="C6897" s="2" t="n">
        <v>42967</v>
      </c>
      <c r="D6897" t="inlineStr">
        <is>
          <t>NON-NIL</t>
        </is>
      </c>
      <c r="E6897" t="n">
        <v>1821</v>
      </c>
    </row>
    <row r="6898">
      <c r="A6898" t="inlineStr">
        <is>
          <t>27BBBBB06898Z5</t>
        </is>
      </c>
      <c r="B6898" t="inlineStr">
        <is>
          <t>Jul-2018</t>
        </is>
      </c>
      <c r="C6898" s="2" t="n">
        <v>43226</v>
      </c>
      <c r="D6898" t="inlineStr">
        <is>
          <t>NIL</t>
        </is>
      </c>
      <c r="E6898" t="n">
        <v>2879</v>
      </c>
    </row>
    <row r="6899">
      <c r="A6899" t="inlineStr">
        <is>
          <t>27BBBBB06899Z5</t>
        </is>
      </c>
      <c r="B6899" t="inlineStr">
        <is>
          <t>Dec-2024</t>
        </is>
      </c>
      <c r="C6899" s="2" t="n">
        <v>45358</v>
      </c>
      <c r="D6899" t="inlineStr">
        <is>
          <t>NIL</t>
        </is>
      </c>
      <c r="E6899" t="n">
        <v>1580</v>
      </c>
    </row>
    <row r="6900">
      <c r="A6900" t="inlineStr">
        <is>
          <t>27BBBBB06900Z5</t>
        </is>
      </c>
      <c r="B6900" t="inlineStr">
        <is>
          <t>Aug-2018</t>
        </is>
      </c>
      <c r="C6900" s="2" t="n">
        <v>44152</v>
      </c>
      <c r="D6900" t="inlineStr">
        <is>
          <t>NIL</t>
        </is>
      </c>
      <c r="E6900" t="n">
        <v>500</v>
      </c>
    </row>
    <row r="6901">
      <c r="A6901" t="inlineStr">
        <is>
          <t>27BBBBB06901Z5</t>
        </is>
      </c>
      <c r="B6901" t="inlineStr">
        <is>
          <t>Dec-2018</t>
        </is>
      </c>
      <c r="C6901" s="2" t="n">
        <v>44385</v>
      </c>
      <c r="D6901" t="inlineStr">
        <is>
          <t>NON-NIL</t>
        </is>
      </c>
      <c r="E6901" t="n">
        <v>2050</v>
      </c>
    </row>
    <row r="6902">
      <c r="A6902" t="inlineStr">
        <is>
          <t>27BBBBB06902Z5</t>
        </is>
      </c>
      <c r="B6902" t="inlineStr">
        <is>
          <t>Mar-2021</t>
        </is>
      </c>
      <c r="C6902" s="2" t="n">
        <v>44856</v>
      </c>
      <c r="D6902" t="inlineStr">
        <is>
          <t>NIL</t>
        </is>
      </c>
      <c r="E6902" t="n">
        <v>2880</v>
      </c>
    </row>
    <row r="6903">
      <c r="A6903" t="inlineStr">
        <is>
          <t>27BBBBB06903Z5</t>
        </is>
      </c>
      <c r="B6903" t="inlineStr">
        <is>
          <t>May-2020</t>
        </is>
      </c>
      <c r="C6903" s="2" t="n">
        <v>44038</v>
      </c>
      <c r="D6903" t="inlineStr">
        <is>
          <t>NON-NIL</t>
        </is>
      </c>
      <c r="E6903" t="n">
        <v>581</v>
      </c>
    </row>
    <row r="6904">
      <c r="A6904" t="inlineStr">
        <is>
          <t>27BBBBB06904Z5</t>
        </is>
      </c>
      <c r="B6904" t="inlineStr">
        <is>
          <t>Jun-2018</t>
        </is>
      </c>
      <c r="C6904" s="2" t="n">
        <v>43371</v>
      </c>
      <c r="D6904" t="inlineStr">
        <is>
          <t>NON-NIL</t>
        </is>
      </c>
      <c r="E6904" t="n">
        <v>1597</v>
      </c>
    </row>
    <row r="6905">
      <c r="A6905" t="inlineStr">
        <is>
          <t>27BBBBB06905Z5</t>
        </is>
      </c>
      <c r="B6905" t="inlineStr">
        <is>
          <t>Jan-2018</t>
        </is>
      </c>
      <c r="C6905" s="2" t="n">
        <v>44106</v>
      </c>
      <c r="D6905" t="inlineStr">
        <is>
          <t>NON-NIL</t>
        </is>
      </c>
      <c r="E6905" t="n">
        <v>2783</v>
      </c>
    </row>
    <row r="6906">
      <c r="A6906" t="inlineStr">
        <is>
          <t>27BBBBB06906Z5</t>
        </is>
      </c>
      <c r="B6906" t="inlineStr">
        <is>
          <t>Dec-2018</t>
        </is>
      </c>
      <c r="C6906" s="2" t="n">
        <v>43924</v>
      </c>
      <c r="D6906" t="inlineStr">
        <is>
          <t>NON-NIL</t>
        </is>
      </c>
      <c r="E6906" t="n">
        <v>761</v>
      </c>
    </row>
    <row r="6907">
      <c r="A6907" t="inlineStr">
        <is>
          <t>27BBBBB06907Z5</t>
        </is>
      </c>
      <c r="B6907" t="inlineStr">
        <is>
          <t>Nov-2017</t>
        </is>
      </c>
      <c r="C6907" s="2" t="n">
        <v>43437</v>
      </c>
      <c r="D6907" t="inlineStr">
        <is>
          <t>NIL</t>
        </is>
      </c>
      <c r="E6907" t="n">
        <v>2984</v>
      </c>
    </row>
    <row r="6908">
      <c r="A6908" t="inlineStr">
        <is>
          <t>27BBBBB06908Z5</t>
        </is>
      </c>
      <c r="B6908" t="inlineStr">
        <is>
          <t>Apr-2018</t>
        </is>
      </c>
      <c r="C6908" s="2" t="n">
        <v>44116</v>
      </c>
      <c r="D6908" t="inlineStr">
        <is>
          <t>NIL</t>
        </is>
      </c>
      <c r="E6908" t="n">
        <v>2416</v>
      </c>
    </row>
    <row r="6909">
      <c r="A6909" t="inlineStr">
        <is>
          <t>27BBBBB06909Z5</t>
        </is>
      </c>
      <c r="B6909" t="inlineStr">
        <is>
          <t>Mar-2023</t>
        </is>
      </c>
      <c r="C6909" s="2" t="n">
        <v>44288</v>
      </c>
      <c r="D6909" t="inlineStr">
        <is>
          <t>NON-NIL</t>
        </is>
      </c>
      <c r="E6909" t="n">
        <v>583</v>
      </c>
    </row>
    <row r="6910">
      <c r="A6910" t="inlineStr">
        <is>
          <t>27BBBBB06910Z5</t>
        </is>
      </c>
      <c r="B6910" t="inlineStr">
        <is>
          <t>Jul-2018</t>
        </is>
      </c>
      <c r="C6910" s="2" t="n">
        <v>44463</v>
      </c>
      <c r="D6910" t="inlineStr">
        <is>
          <t>NIL</t>
        </is>
      </c>
      <c r="E6910" t="n">
        <v>1676</v>
      </c>
    </row>
    <row r="6911">
      <c r="A6911" t="inlineStr">
        <is>
          <t>27BBBBB06911Z5</t>
        </is>
      </c>
      <c r="B6911" t="inlineStr">
        <is>
          <t>Feb-2018</t>
        </is>
      </c>
      <c r="C6911" s="2" t="n">
        <v>43545</v>
      </c>
      <c r="D6911" t="inlineStr">
        <is>
          <t>NON-NIL</t>
        </is>
      </c>
      <c r="E6911" t="n">
        <v>1226</v>
      </c>
    </row>
    <row r="6912">
      <c r="A6912" t="inlineStr">
        <is>
          <t>27BBBBB06912Z5</t>
        </is>
      </c>
      <c r="B6912" t="inlineStr">
        <is>
          <t>Dec-2018</t>
        </is>
      </c>
      <c r="C6912" s="2" t="n">
        <v>43347</v>
      </c>
      <c r="D6912" t="inlineStr">
        <is>
          <t>NIL</t>
        </is>
      </c>
      <c r="E6912" t="n">
        <v>1028</v>
      </c>
    </row>
    <row r="6913">
      <c r="A6913" t="inlineStr">
        <is>
          <t>27BBBBB06913Z5</t>
        </is>
      </c>
      <c r="B6913" t="inlineStr">
        <is>
          <t>Oct-2017</t>
        </is>
      </c>
      <c r="C6913" s="2" t="n">
        <v>42954</v>
      </c>
      <c r="D6913" t="inlineStr">
        <is>
          <t>NON-NIL</t>
        </is>
      </c>
      <c r="E6913" t="n">
        <v>1262</v>
      </c>
    </row>
    <row r="6914">
      <c r="A6914" t="inlineStr">
        <is>
          <t>27BBBBB06914Z5</t>
        </is>
      </c>
      <c r="B6914" t="inlineStr">
        <is>
          <t>May-2018</t>
        </is>
      </c>
      <c r="C6914" s="2" t="n">
        <v>44259</v>
      </c>
      <c r="D6914" t="inlineStr">
        <is>
          <t>NON-NIL</t>
        </is>
      </c>
      <c r="E6914" t="n">
        <v>44</v>
      </c>
    </row>
    <row r="6915">
      <c r="A6915" t="inlineStr">
        <is>
          <t>27BBBBB06915Z5</t>
        </is>
      </c>
      <c r="B6915" t="inlineStr">
        <is>
          <t>Sep-2017</t>
        </is>
      </c>
      <c r="C6915" s="2" t="n">
        <v>44136</v>
      </c>
      <c r="D6915" t="inlineStr">
        <is>
          <t>NIL</t>
        </is>
      </c>
      <c r="E6915" t="n">
        <v>2608</v>
      </c>
    </row>
    <row r="6916">
      <c r="A6916" t="inlineStr">
        <is>
          <t>27BBBBB06916Z5</t>
        </is>
      </c>
      <c r="B6916" t="inlineStr">
        <is>
          <t>Sep-2018</t>
        </is>
      </c>
      <c r="C6916" s="2" t="n">
        <v>43921</v>
      </c>
      <c r="D6916" t="inlineStr">
        <is>
          <t>NIL</t>
        </is>
      </c>
      <c r="E6916" t="n">
        <v>2257</v>
      </c>
    </row>
    <row r="6917">
      <c r="A6917" t="inlineStr">
        <is>
          <t>27BBBBB06917Z5</t>
        </is>
      </c>
      <c r="B6917" t="inlineStr">
        <is>
          <t>Jul-2018</t>
        </is>
      </c>
      <c r="C6917" s="2" t="n">
        <v>43939</v>
      </c>
      <c r="D6917" t="inlineStr">
        <is>
          <t>NON-NIL</t>
        </is>
      </c>
      <c r="E6917" t="n">
        <v>2629</v>
      </c>
    </row>
    <row r="6918">
      <c r="A6918" t="inlineStr">
        <is>
          <t>27BBBBB06918Z5</t>
        </is>
      </c>
      <c r="B6918" t="inlineStr">
        <is>
          <t>Mar-2021</t>
        </is>
      </c>
      <c r="C6918" s="2" t="n">
        <v>45243</v>
      </c>
      <c r="D6918" t="inlineStr">
        <is>
          <t>NON-NIL</t>
        </is>
      </c>
      <c r="E6918" t="n">
        <v>2200</v>
      </c>
    </row>
    <row r="6919">
      <c r="A6919" t="inlineStr">
        <is>
          <t>27BBBBB06919Z5</t>
        </is>
      </c>
      <c r="B6919" t="inlineStr">
        <is>
          <t>Jul-2017</t>
        </is>
      </c>
      <c r="C6919" s="2" t="n">
        <v>44533</v>
      </c>
      <c r="D6919" t="inlineStr">
        <is>
          <t>NON-NIL</t>
        </is>
      </c>
      <c r="E6919" t="n">
        <v>797</v>
      </c>
    </row>
    <row r="6920">
      <c r="A6920" t="inlineStr">
        <is>
          <t>27BBBBB06920Z5</t>
        </is>
      </c>
      <c r="B6920" t="inlineStr">
        <is>
          <t>Apr-2018</t>
        </is>
      </c>
      <c r="C6920" s="2" t="n">
        <v>43610</v>
      </c>
      <c r="D6920" t="inlineStr">
        <is>
          <t>NON-NIL</t>
        </is>
      </c>
      <c r="E6920" t="n">
        <v>509</v>
      </c>
    </row>
    <row r="6921">
      <c r="A6921" t="inlineStr">
        <is>
          <t>27BBBBB06921Z5</t>
        </is>
      </c>
      <c r="B6921" t="inlineStr">
        <is>
          <t>Jul-2017</t>
        </is>
      </c>
      <c r="C6921" s="2" t="n">
        <v>43867</v>
      </c>
      <c r="D6921" t="inlineStr">
        <is>
          <t>NIL</t>
        </is>
      </c>
      <c r="E6921" t="n">
        <v>1876</v>
      </c>
    </row>
    <row r="6922">
      <c r="A6922" t="inlineStr">
        <is>
          <t>27BBBBB06922Z5</t>
        </is>
      </c>
      <c r="B6922" t="inlineStr">
        <is>
          <t>Nov-2018</t>
        </is>
      </c>
      <c r="C6922" s="2" t="n">
        <v>42962</v>
      </c>
      <c r="D6922" t="inlineStr">
        <is>
          <t>NON-NIL</t>
        </is>
      </c>
      <c r="E6922" t="n">
        <v>1440</v>
      </c>
    </row>
    <row r="6923">
      <c r="A6923" t="inlineStr">
        <is>
          <t>27BBBBB06923Z5</t>
        </is>
      </c>
      <c r="B6923" t="inlineStr">
        <is>
          <t>May-2018</t>
        </is>
      </c>
      <c r="C6923" s="2" t="n">
        <v>42993</v>
      </c>
      <c r="D6923" t="inlineStr">
        <is>
          <t>NIL</t>
        </is>
      </c>
      <c r="E6923" t="n">
        <v>1750</v>
      </c>
    </row>
    <row r="6924">
      <c r="A6924" t="inlineStr">
        <is>
          <t>27BBBBB06924Z5</t>
        </is>
      </c>
      <c r="B6924" t="inlineStr">
        <is>
          <t>Apr-2018</t>
        </is>
      </c>
      <c r="C6924" s="2" t="n">
        <v>43892</v>
      </c>
      <c r="D6924" t="inlineStr">
        <is>
          <t>NIL</t>
        </is>
      </c>
      <c r="E6924" t="n">
        <v>546</v>
      </c>
    </row>
    <row r="6925">
      <c r="A6925" t="inlineStr">
        <is>
          <t>27BBBBB06925Z5</t>
        </is>
      </c>
      <c r="B6925" t="inlineStr">
        <is>
          <t>Jan-2018</t>
        </is>
      </c>
      <c r="C6925" s="2" t="n">
        <v>43074</v>
      </c>
      <c r="D6925" t="inlineStr">
        <is>
          <t>NON-NIL</t>
        </is>
      </c>
      <c r="E6925" t="n">
        <v>1688</v>
      </c>
    </row>
    <row r="6926">
      <c r="A6926" t="inlineStr">
        <is>
          <t>27BBBBB06926Z5</t>
        </is>
      </c>
      <c r="B6926" t="inlineStr">
        <is>
          <t>Jun-2020</t>
        </is>
      </c>
      <c r="C6926" s="2" t="n">
        <v>44431</v>
      </c>
      <c r="D6926" t="inlineStr">
        <is>
          <t>NIL</t>
        </is>
      </c>
      <c r="E6926" t="n">
        <v>188</v>
      </c>
    </row>
    <row r="6927">
      <c r="A6927" t="inlineStr">
        <is>
          <t>27BBBBB06927Z5</t>
        </is>
      </c>
      <c r="B6927" t="inlineStr">
        <is>
          <t>Nov-2017</t>
        </is>
      </c>
      <c r="C6927" s="2" t="n">
        <v>42943</v>
      </c>
      <c r="D6927" t="inlineStr">
        <is>
          <t>NON-NIL</t>
        </is>
      </c>
      <c r="E6927" t="n">
        <v>1616</v>
      </c>
    </row>
    <row r="6928">
      <c r="A6928" t="inlineStr">
        <is>
          <t>27BBBBB06928Z5</t>
        </is>
      </c>
      <c r="B6928" t="inlineStr">
        <is>
          <t>Jun-2018</t>
        </is>
      </c>
      <c r="C6928" s="2" t="n">
        <v>43915</v>
      </c>
      <c r="D6928" t="inlineStr">
        <is>
          <t>NON-NIL</t>
        </is>
      </c>
      <c r="E6928" t="n">
        <v>1616</v>
      </c>
    </row>
    <row r="6929">
      <c r="A6929" t="inlineStr">
        <is>
          <t>27BBBBB06929Z5</t>
        </is>
      </c>
      <c r="B6929" t="inlineStr">
        <is>
          <t>Mar-2021</t>
        </is>
      </c>
      <c r="C6929" s="2" t="n">
        <v>45330</v>
      </c>
      <c r="D6929" t="inlineStr">
        <is>
          <t>NON-NIL</t>
        </is>
      </c>
      <c r="E6929" t="n">
        <v>2138</v>
      </c>
    </row>
    <row r="6930">
      <c r="A6930" t="inlineStr">
        <is>
          <t>27BBBBB06930Z5</t>
        </is>
      </c>
      <c r="B6930" t="inlineStr">
        <is>
          <t>Sep-2017</t>
        </is>
      </c>
      <c r="C6930" s="2" t="n">
        <v>44331</v>
      </c>
      <c r="D6930" t="inlineStr">
        <is>
          <t>NIL</t>
        </is>
      </c>
      <c r="E6930" t="n">
        <v>1226</v>
      </c>
    </row>
    <row r="6931">
      <c r="A6931" t="inlineStr">
        <is>
          <t>27BBBBB06931Z5</t>
        </is>
      </c>
      <c r="B6931" t="inlineStr">
        <is>
          <t>Feb-2018</t>
        </is>
      </c>
      <c r="C6931" s="2" t="n">
        <v>44485</v>
      </c>
      <c r="D6931" t="inlineStr">
        <is>
          <t>NON-NIL</t>
        </is>
      </c>
      <c r="E6931" t="n">
        <v>2839</v>
      </c>
    </row>
    <row r="6932">
      <c r="A6932" t="inlineStr">
        <is>
          <t>27BBBBB06932Z5</t>
        </is>
      </c>
      <c r="B6932" t="inlineStr">
        <is>
          <t>Mar-2018</t>
        </is>
      </c>
      <c r="C6932" s="2" t="n">
        <v>43866</v>
      </c>
      <c r="D6932" t="inlineStr">
        <is>
          <t>NON-NIL</t>
        </is>
      </c>
      <c r="E6932" t="n">
        <v>1557</v>
      </c>
    </row>
    <row r="6933">
      <c r="A6933" t="inlineStr">
        <is>
          <t>27BBBBB06933Z5</t>
        </is>
      </c>
      <c r="B6933" t="inlineStr">
        <is>
          <t>Jan-2021</t>
        </is>
      </c>
      <c r="C6933" s="2" t="n">
        <v>44155</v>
      </c>
      <c r="D6933" t="inlineStr">
        <is>
          <t>NIL</t>
        </is>
      </c>
      <c r="E6933" t="n">
        <v>1625</v>
      </c>
    </row>
    <row r="6934">
      <c r="A6934" t="inlineStr">
        <is>
          <t>27BBBBB06934Z5</t>
        </is>
      </c>
      <c r="B6934" t="inlineStr">
        <is>
          <t>Jul-2020</t>
        </is>
      </c>
      <c r="C6934" s="2" t="n">
        <v>44619</v>
      </c>
      <c r="D6934" t="inlineStr">
        <is>
          <t>NON-NIL</t>
        </is>
      </c>
      <c r="E6934" t="n">
        <v>2757</v>
      </c>
    </row>
    <row r="6935">
      <c r="A6935" t="inlineStr">
        <is>
          <t>27BBBBB06935Z5</t>
        </is>
      </c>
      <c r="B6935" t="inlineStr">
        <is>
          <t>Feb-2018</t>
        </is>
      </c>
      <c r="C6935" s="2" t="n">
        <v>43831</v>
      </c>
      <c r="D6935" t="inlineStr">
        <is>
          <t>NON-NIL</t>
        </is>
      </c>
      <c r="E6935" t="n">
        <v>490</v>
      </c>
    </row>
    <row r="6936">
      <c r="A6936" t="inlineStr">
        <is>
          <t>27BBBBB06936Z5</t>
        </is>
      </c>
      <c r="B6936" t="inlineStr">
        <is>
          <t>Dec-2017</t>
        </is>
      </c>
      <c r="C6936" s="2" t="n">
        <v>42927</v>
      </c>
      <c r="D6936" t="inlineStr">
        <is>
          <t>NON-NIL</t>
        </is>
      </c>
      <c r="E6936" t="n">
        <v>1447</v>
      </c>
    </row>
    <row r="6937">
      <c r="A6937" t="inlineStr">
        <is>
          <t>27BBBBB06937Z5</t>
        </is>
      </c>
      <c r="B6937" t="inlineStr">
        <is>
          <t>Apr-2020</t>
        </is>
      </c>
      <c r="C6937" s="2" t="n">
        <v>44841</v>
      </c>
      <c r="D6937" t="inlineStr">
        <is>
          <t>NON-NIL</t>
        </is>
      </c>
      <c r="E6937" t="n">
        <v>1679</v>
      </c>
    </row>
    <row r="6938">
      <c r="A6938" t="inlineStr">
        <is>
          <t>27BBBBB06938Z5</t>
        </is>
      </c>
      <c r="B6938" t="inlineStr">
        <is>
          <t>Oct-2018</t>
        </is>
      </c>
      <c r="C6938" s="2" t="n">
        <v>44394</v>
      </c>
      <c r="D6938" t="inlineStr">
        <is>
          <t>NON-NIL</t>
        </is>
      </c>
      <c r="E6938" t="n">
        <v>233</v>
      </c>
    </row>
    <row r="6939">
      <c r="A6939" t="inlineStr">
        <is>
          <t>27BBBBB06939Z5</t>
        </is>
      </c>
      <c r="B6939" t="inlineStr">
        <is>
          <t>Mar-2018</t>
        </is>
      </c>
      <c r="C6939" s="2" t="n">
        <v>44185</v>
      </c>
      <c r="D6939" t="inlineStr">
        <is>
          <t>NON-NIL</t>
        </is>
      </c>
      <c r="E6939" t="n">
        <v>124</v>
      </c>
    </row>
    <row r="6940">
      <c r="A6940" t="inlineStr">
        <is>
          <t>27BBBBB06940Z5</t>
        </is>
      </c>
      <c r="B6940" t="inlineStr">
        <is>
          <t>Jul-2018</t>
        </is>
      </c>
      <c r="C6940" s="2" t="n">
        <v>44531</v>
      </c>
      <c r="D6940" t="inlineStr">
        <is>
          <t>NIL</t>
        </is>
      </c>
      <c r="E6940" t="n">
        <v>1429</v>
      </c>
    </row>
    <row r="6941">
      <c r="A6941" t="inlineStr">
        <is>
          <t>27BBBBB06941Z5</t>
        </is>
      </c>
      <c r="B6941" t="inlineStr">
        <is>
          <t>Mar-2023</t>
        </is>
      </c>
      <c r="C6941" s="2" t="n">
        <v>43814</v>
      </c>
      <c r="D6941" t="inlineStr">
        <is>
          <t>NIL</t>
        </is>
      </c>
      <c r="E6941" t="n">
        <v>355</v>
      </c>
    </row>
    <row r="6942">
      <c r="A6942" t="inlineStr">
        <is>
          <t>27BBBBB06942Z5</t>
        </is>
      </c>
      <c r="B6942" t="inlineStr">
        <is>
          <t>Jun-2018</t>
        </is>
      </c>
      <c r="C6942" s="2" t="n">
        <v>44269</v>
      </c>
      <c r="D6942" t="inlineStr">
        <is>
          <t>NON-NIL</t>
        </is>
      </c>
      <c r="E6942" t="n">
        <v>1756</v>
      </c>
    </row>
    <row r="6943">
      <c r="A6943" t="inlineStr">
        <is>
          <t>27BBBBB06943Z5</t>
        </is>
      </c>
      <c r="B6943" t="inlineStr">
        <is>
          <t>May-2018</t>
        </is>
      </c>
      <c r="C6943" s="2" t="n">
        <v>44545</v>
      </c>
      <c r="D6943" t="inlineStr">
        <is>
          <t>NIL</t>
        </is>
      </c>
      <c r="E6943" t="n">
        <v>2524</v>
      </c>
    </row>
    <row r="6944">
      <c r="A6944" t="inlineStr">
        <is>
          <t>27BBBBB06944Z5</t>
        </is>
      </c>
      <c r="B6944" t="inlineStr">
        <is>
          <t>Dec-2024</t>
        </is>
      </c>
      <c r="C6944" s="2" t="n">
        <v>44042</v>
      </c>
      <c r="D6944" t="inlineStr">
        <is>
          <t>NON-NIL</t>
        </is>
      </c>
      <c r="E6944" t="n">
        <v>2738</v>
      </c>
    </row>
    <row r="6945">
      <c r="A6945" t="inlineStr">
        <is>
          <t>27BBBBB06945Z5</t>
        </is>
      </c>
      <c r="B6945" t="inlineStr">
        <is>
          <t>Dec-2018</t>
        </is>
      </c>
      <c r="C6945" s="2" t="n">
        <v>43171</v>
      </c>
      <c r="D6945" t="inlineStr">
        <is>
          <t>NIL</t>
        </is>
      </c>
      <c r="E6945" t="n">
        <v>1659</v>
      </c>
    </row>
    <row r="6946">
      <c r="A6946" t="inlineStr">
        <is>
          <t>27BBBBB06946Z5</t>
        </is>
      </c>
      <c r="B6946" t="inlineStr">
        <is>
          <t>Nov-2017</t>
        </is>
      </c>
      <c r="C6946" s="2" t="n">
        <v>43446</v>
      </c>
      <c r="D6946" t="inlineStr">
        <is>
          <t>NIL</t>
        </is>
      </c>
      <c r="E6946" t="n">
        <v>2896</v>
      </c>
    </row>
    <row r="6947">
      <c r="A6947" t="inlineStr">
        <is>
          <t>27BBBBB06947Z5</t>
        </is>
      </c>
      <c r="B6947" t="inlineStr">
        <is>
          <t>Mar-2018</t>
        </is>
      </c>
      <c r="C6947" s="2" t="n">
        <v>43804</v>
      </c>
      <c r="D6947" t="inlineStr">
        <is>
          <t>NON-NIL</t>
        </is>
      </c>
      <c r="E6947" t="n">
        <v>1923</v>
      </c>
    </row>
    <row r="6948">
      <c r="A6948" t="inlineStr">
        <is>
          <t>27BBBBB06948Z5</t>
        </is>
      </c>
      <c r="B6948" t="inlineStr">
        <is>
          <t>Apr-2020</t>
        </is>
      </c>
      <c r="C6948" s="2" t="n">
        <v>44279</v>
      </c>
      <c r="D6948" t="inlineStr">
        <is>
          <t>NIL</t>
        </is>
      </c>
      <c r="E6948" t="n">
        <v>2277</v>
      </c>
    </row>
    <row r="6949">
      <c r="A6949" t="inlineStr">
        <is>
          <t>27BBBBB06949Z5</t>
        </is>
      </c>
      <c r="B6949" t="inlineStr">
        <is>
          <t>Feb-2018</t>
        </is>
      </c>
      <c r="C6949" s="2" t="n">
        <v>44111</v>
      </c>
      <c r="D6949" t="inlineStr">
        <is>
          <t>NON-NIL</t>
        </is>
      </c>
      <c r="E6949" t="n">
        <v>2990</v>
      </c>
    </row>
    <row r="6950">
      <c r="A6950" t="inlineStr">
        <is>
          <t>27BBBBB06950Z5</t>
        </is>
      </c>
      <c r="B6950" t="inlineStr">
        <is>
          <t>Aug-2017</t>
        </is>
      </c>
      <c r="C6950" s="2" t="n">
        <v>43226</v>
      </c>
      <c r="D6950" t="inlineStr">
        <is>
          <t>NON-NIL</t>
        </is>
      </c>
      <c r="E6950" t="n">
        <v>2295</v>
      </c>
    </row>
    <row r="6951">
      <c r="A6951" t="inlineStr">
        <is>
          <t>27BBBBB06951Z5</t>
        </is>
      </c>
      <c r="B6951" t="inlineStr">
        <is>
          <t>Jul-2018</t>
        </is>
      </c>
      <c r="C6951" s="2" t="n">
        <v>44271</v>
      </c>
      <c r="D6951" t="inlineStr">
        <is>
          <t>NIL</t>
        </is>
      </c>
      <c r="E6951" t="n">
        <v>2766</v>
      </c>
    </row>
    <row r="6952">
      <c r="A6952" t="inlineStr">
        <is>
          <t>27BBBBB06952Z5</t>
        </is>
      </c>
      <c r="B6952" t="inlineStr">
        <is>
          <t>Jul-2018</t>
        </is>
      </c>
      <c r="C6952" s="2" t="n">
        <v>43330</v>
      </c>
      <c r="D6952" t="inlineStr">
        <is>
          <t>NIL</t>
        </is>
      </c>
      <c r="E6952" t="n">
        <v>1082</v>
      </c>
    </row>
    <row r="6953">
      <c r="A6953" t="inlineStr">
        <is>
          <t>27BBBBB06953Z5</t>
        </is>
      </c>
      <c r="B6953" t="inlineStr">
        <is>
          <t>Sep-2017</t>
        </is>
      </c>
      <c r="C6953" s="2" t="n">
        <v>43384</v>
      </c>
      <c r="D6953" t="inlineStr">
        <is>
          <t>NON-NIL</t>
        </is>
      </c>
      <c r="E6953" t="n">
        <v>139</v>
      </c>
    </row>
    <row r="6954">
      <c r="A6954" t="inlineStr">
        <is>
          <t>27BBBBB06954Z5</t>
        </is>
      </c>
      <c r="B6954" t="inlineStr">
        <is>
          <t>Jan-2018</t>
        </is>
      </c>
      <c r="C6954" s="2" t="n">
        <v>44328</v>
      </c>
      <c r="D6954" t="inlineStr">
        <is>
          <t>NON-NIL</t>
        </is>
      </c>
      <c r="E6954" t="n">
        <v>2145</v>
      </c>
    </row>
    <row r="6955">
      <c r="A6955" t="inlineStr">
        <is>
          <t>27BBBBB06955Z5</t>
        </is>
      </c>
      <c r="B6955" t="inlineStr">
        <is>
          <t>Dec-2024</t>
        </is>
      </c>
      <c r="C6955" s="2" t="n">
        <v>44749</v>
      </c>
      <c r="D6955" t="inlineStr">
        <is>
          <t>NIL</t>
        </is>
      </c>
      <c r="E6955" t="n">
        <v>1227</v>
      </c>
    </row>
    <row r="6956">
      <c r="A6956" t="inlineStr">
        <is>
          <t>27BBBBB06956Z5</t>
        </is>
      </c>
      <c r="B6956" t="inlineStr">
        <is>
          <t>Mar-2023</t>
        </is>
      </c>
      <c r="C6956" s="2" t="n">
        <v>43756</v>
      </c>
      <c r="D6956" t="inlineStr">
        <is>
          <t>NIL</t>
        </is>
      </c>
      <c r="E6956" t="n">
        <v>64</v>
      </c>
    </row>
    <row r="6957">
      <c r="A6957" t="inlineStr">
        <is>
          <t>27BBBBB06957Z5</t>
        </is>
      </c>
      <c r="B6957" t="inlineStr">
        <is>
          <t>Mar-2023</t>
        </is>
      </c>
      <c r="C6957" s="2" t="n">
        <v>43739</v>
      </c>
      <c r="D6957" t="inlineStr">
        <is>
          <t>NIL</t>
        </is>
      </c>
      <c r="E6957" t="n">
        <v>2383</v>
      </c>
    </row>
    <row r="6958">
      <c r="A6958" t="inlineStr">
        <is>
          <t>27BBBBB06958Z5</t>
        </is>
      </c>
      <c r="B6958" t="inlineStr">
        <is>
          <t>Jul-2017</t>
        </is>
      </c>
      <c r="C6958" s="2" t="n">
        <v>43705</v>
      </c>
      <c r="D6958" t="inlineStr">
        <is>
          <t>NON-NIL</t>
        </is>
      </c>
      <c r="E6958" t="n">
        <v>1992</v>
      </c>
    </row>
    <row r="6959">
      <c r="A6959" t="inlineStr">
        <is>
          <t>27BBBBB06959Z5</t>
        </is>
      </c>
      <c r="B6959" t="inlineStr">
        <is>
          <t>Feb-2018</t>
        </is>
      </c>
      <c r="C6959" s="2" t="n">
        <v>43772</v>
      </c>
      <c r="D6959" t="inlineStr">
        <is>
          <t>NON-NIL</t>
        </is>
      </c>
      <c r="E6959" t="n">
        <v>716</v>
      </c>
    </row>
    <row r="6960">
      <c r="A6960" t="inlineStr">
        <is>
          <t>27BBBBB06960Z5</t>
        </is>
      </c>
      <c r="B6960" t="inlineStr">
        <is>
          <t>Jun-2020</t>
        </is>
      </c>
      <c r="C6960" s="2" t="n">
        <v>44313</v>
      </c>
      <c r="D6960" t="inlineStr">
        <is>
          <t>NON-NIL</t>
        </is>
      </c>
      <c r="E6960" t="n">
        <v>2629</v>
      </c>
    </row>
    <row r="6961">
      <c r="A6961" t="inlineStr">
        <is>
          <t>27BBBBB06961Z5</t>
        </is>
      </c>
      <c r="B6961" t="inlineStr">
        <is>
          <t>Apr-2018</t>
        </is>
      </c>
      <c r="C6961" s="2" t="n">
        <v>43867</v>
      </c>
      <c r="D6961" t="inlineStr">
        <is>
          <t>NON-NIL</t>
        </is>
      </c>
      <c r="E6961" t="n">
        <v>499</v>
      </c>
    </row>
    <row r="6962">
      <c r="A6962" t="inlineStr">
        <is>
          <t>27BBBBB06962Z5</t>
        </is>
      </c>
      <c r="B6962" t="inlineStr">
        <is>
          <t>Oct-2017</t>
        </is>
      </c>
      <c r="C6962" s="2" t="n">
        <v>43601</v>
      </c>
      <c r="D6962" t="inlineStr">
        <is>
          <t>NON-NIL</t>
        </is>
      </c>
      <c r="E6962" t="n">
        <v>2176</v>
      </c>
    </row>
    <row r="6963">
      <c r="A6963" t="inlineStr">
        <is>
          <t>27BBBBB06963Z5</t>
        </is>
      </c>
      <c r="B6963" t="inlineStr">
        <is>
          <t>Jan-2021</t>
        </is>
      </c>
      <c r="C6963" s="2" t="n">
        <v>44625</v>
      </c>
      <c r="D6963" t="inlineStr">
        <is>
          <t>NON-NIL</t>
        </is>
      </c>
      <c r="E6963" t="n">
        <v>781</v>
      </c>
    </row>
    <row r="6964">
      <c r="A6964" t="inlineStr">
        <is>
          <t>27BBBBB06964Z5</t>
        </is>
      </c>
      <c r="B6964" t="inlineStr">
        <is>
          <t>Nov-2018</t>
        </is>
      </c>
      <c r="C6964" s="2" t="n">
        <v>43538</v>
      </c>
      <c r="D6964" t="inlineStr">
        <is>
          <t>NIL</t>
        </is>
      </c>
      <c r="E6964" t="n">
        <v>13</v>
      </c>
    </row>
    <row r="6965">
      <c r="A6965" t="inlineStr">
        <is>
          <t>27BBBBB06965Z5</t>
        </is>
      </c>
      <c r="B6965" t="inlineStr">
        <is>
          <t>Nov-2018</t>
        </is>
      </c>
      <c r="C6965" s="2" t="n">
        <v>43144</v>
      </c>
      <c r="D6965" t="inlineStr">
        <is>
          <t>NIL</t>
        </is>
      </c>
      <c r="E6965" t="n">
        <v>254</v>
      </c>
    </row>
    <row r="6966">
      <c r="A6966" t="inlineStr">
        <is>
          <t>27BBBBB06966Z5</t>
        </is>
      </c>
      <c r="B6966" t="inlineStr">
        <is>
          <t>Jun-2018</t>
        </is>
      </c>
      <c r="C6966" s="2" t="n">
        <v>43206</v>
      </c>
      <c r="D6966" t="inlineStr">
        <is>
          <t>NIL</t>
        </is>
      </c>
      <c r="E6966" t="n">
        <v>687</v>
      </c>
    </row>
    <row r="6967">
      <c r="A6967" t="inlineStr">
        <is>
          <t>27BBBBB06967Z5</t>
        </is>
      </c>
      <c r="B6967" t="inlineStr">
        <is>
          <t>Mar-2018</t>
        </is>
      </c>
      <c r="C6967" s="2" t="n">
        <v>42959</v>
      </c>
      <c r="D6967" t="inlineStr">
        <is>
          <t>NON-NIL</t>
        </is>
      </c>
      <c r="E6967" t="n">
        <v>1733</v>
      </c>
    </row>
    <row r="6968">
      <c r="A6968" t="inlineStr">
        <is>
          <t>27BBBBB06968Z5</t>
        </is>
      </c>
      <c r="B6968" t="inlineStr">
        <is>
          <t>Jan-2021</t>
        </is>
      </c>
      <c r="C6968" s="2" t="n">
        <v>45155</v>
      </c>
      <c r="D6968" t="inlineStr">
        <is>
          <t>NON-NIL</t>
        </is>
      </c>
      <c r="E6968" t="n">
        <v>2141</v>
      </c>
    </row>
    <row r="6969">
      <c r="A6969" t="inlineStr">
        <is>
          <t>27BBBBB06969Z5</t>
        </is>
      </c>
      <c r="B6969" t="inlineStr">
        <is>
          <t>Jul-2018</t>
        </is>
      </c>
      <c r="C6969" s="2" t="n">
        <v>44353</v>
      </c>
      <c r="D6969" t="inlineStr">
        <is>
          <t>NIL</t>
        </is>
      </c>
      <c r="E6969" t="n">
        <v>2514</v>
      </c>
    </row>
    <row r="6970">
      <c r="A6970" t="inlineStr">
        <is>
          <t>27BBBBB06970Z5</t>
        </is>
      </c>
      <c r="B6970" t="inlineStr">
        <is>
          <t>Dec-2018</t>
        </is>
      </c>
      <c r="C6970" s="2" t="n">
        <v>43713</v>
      </c>
      <c r="D6970" t="inlineStr">
        <is>
          <t>NON-NIL</t>
        </is>
      </c>
      <c r="E6970" t="n">
        <v>1186</v>
      </c>
    </row>
    <row r="6971">
      <c r="A6971" t="inlineStr">
        <is>
          <t>27BBBBB06971Z5</t>
        </is>
      </c>
      <c r="B6971" t="inlineStr">
        <is>
          <t>Jun-2018</t>
        </is>
      </c>
      <c r="C6971" s="2" t="n">
        <v>43329</v>
      </c>
      <c r="D6971" t="inlineStr">
        <is>
          <t>NIL</t>
        </is>
      </c>
      <c r="E6971" t="n">
        <v>2117</v>
      </c>
    </row>
    <row r="6972">
      <c r="A6972" t="inlineStr">
        <is>
          <t>27BBBBB06972Z5</t>
        </is>
      </c>
      <c r="B6972" t="inlineStr">
        <is>
          <t>Jan-2018</t>
        </is>
      </c>
      <c r="C6972" s="2" t="n">
        <v>43850</v>
      </c>
      <c r="D6972" t="inlineStr">
        <is>
          <t>NIL</t>
        </is>
      </c>
      <c r="E6972" t="n">
        <v>835</v>
      </c>
    </row>
    <row r="6973">
      <c r="A6973" t="inlineStr">
        <is>
          <t>27BBBBB06973Z5</t>
        </is>
      </c>
      <c r="B6973" t="inlineStr">
        <is>
          <t>Oct-2017</t>
        </is>
      </c>
      <c r="C6973" s="2" t="n">
        <v>43010</v>
      </c>
      <c r="D6973" t="inlineStr">
        <is>
          <t>NON-NIL</t>
        </is>
      </c>
      <c r="E6973" t="n">
        <v>2577</v>
      </c>
    </row>
    <row r="6974">
      <c r="A6974" t="inlineStr">
        <is>
          <t>27BBBBB06974Z5</t>
        </is>
      </c>
      <c r="B6974" t="inlineStr">
        <is>
          <t>Mar-2023</t>
        </is>
      </c>
      <c r="C6974" s="2" t="n">
        <v>44701</v>
      </c>
      <c r="D6974" t="inlineStr">
        <is>
          <t>NON-NIL</t>
        </is>
      </c>
      <c r="E6974" t="n">
        <v>1638</v>
      </c>
    </row>
    <row r="6975">
      <c r="A6975" t="inlineStr">
        <is>
          <t>27BBBBB06975Z5</t>
        </is>
      </c>
      <c r="B6975" t="inlineStr">
        <is>
          <t>Jul-2017</t>
        </is>
      </c>
      <c r="C6975" s="2" t="n">
        <v>43312</v>
      </c>
      <c r="D6975" t="inlineStr">
        <is>
          <t>NIL</t>
        </is>
      </c>
      <c r="E6975" t="n">
        <v>163</v>
      </c>
    </row>
    <row r="6976">
      <c r="A6976" t="inlineStr">
        <is>
          <t>27BBBBB06976Z5</t>
        </is>
      </c>
      <c r="B6976" t="inlineStr">
        <is>
          <t>Oct-2018</t>
        </is>
      </c>
      <c r="C6976" s="2" t="n">
        <v>43825</v>
      </c>
      <c r="D6976" t="inlineStr">
        <is>
          <t>NON-NIL</t>
        </is>
      </c>
      <c r="E6976" t="n">
        <v>780</v>
      </c>
    </row>
    <row r="6977">
      <c r="A6977" t="inlineStr">
        <is>
          <t>27BBBBB06977Z5</t>
        </is>
      </c>
      <c r="B6977" t="inlineStr">
        <is>
          <t>May-2020</t>
        </is>
      </c>
      <c r="C6977" s="2" t="n">
        <v>44583</v>
      </c>
      <c r="D6977" t="inlineStr">
        <is>
          <t>NIL</t>
        </is>
      </c>
      <c r="E6977" t="n">
        <v>965</v>
      </c>
    </row>
    <row r="6978">
      <c r="A6978" t="inlineStr">
        <is>
          <t>27BBBBB06978Z5</t>
        </is>
      </c>
      <c r="B6978" t="inlineStr">
        <is>
          <t>Mar-2020</t>
        </is>
      </c>
      <c r="C6978" s="2" t="n">
        <v>44669</v>
      </c>
      <c r="D6978" t="inlineStr">
        <is>
          <t>NON-NIL</t>
        </is>
      </c>
      <c r="E6978" t="n">
        <v>324</v>
      </c>
    </row>
    <row r="6979">
      <c r="A6979" t="inlineStr">
        <is>
          <t>27BBBBB06979Z5</t>
        </is>
      </c>
      <c r="B6979" t="inlineStr">
        <is>
          <t>Mar-2018</t>
        </is>
      </c>
      <c r="C6979" s="2" t="n">
        <v>43549</v>
      </c>
      <c r="D6979" t="inlineStr">
        <is>
          <t>NIL</t>
        </is>
      </c>
      <c r="E6979" t="n">
        <v>674</v>
      </c>
    </row>
    <row r="6980">
      <c r="A6980" t="inlineStr">
        <is>
          <t>27BBBBB06980Z5</t>
        </is>
      </c>
      <c r="B6980" t="inlineStr">
        <is>
          <t>Oct-2018</t>
        </is>
      </c>
      <c r="C6980" s="2" t="n">
        <v>44536</v>
      </c>
      <c r="D6980" t="inlineStr">
        <is>
          <t>NON-NIL</t>
        </is>
      </c>
      <c r="E6980" t="n">
        <v>1965</v>
      </c>
    </row>
    <row r="6981">
      <c r="A6981" t="inlineStr">
        <is>
          <t>27BBBBB06981Z5</t>
        </is>
      </c>
      <c r="B6981" t="inlineStr">
        <is>
          <t>Mar-2023</t>
        </is>
      </c>
      <c r="C6981" s="2" t="n">
        <v>45795</v>
      </c>
      <c r="D6981" t="inlineStr">
        <is>
          <t>NIL</t>
        </is>
      </c>
      <c r="E6981" t="n">
        <v>718</v>
      </c>
    </row>
    <row r="6982">
      <c r="A6982" t="inlineStr">
        <is>
          <t>27BBBBB06982Z5</t>
        </is>
      </c>
      <c r="B6982" t="inlineStr">
        <is>
          <t>Sep-2018</t>
        </is>
      </c>
      <c r="C6982" s="2" t="n">
        <v>44460</v>
      </c>
      <c r="D6982" t="inlineStr">
        <is>
          <t>NIL</t>
        </is>
      </c>
      <c r="E6982" t="n">
        <v>233</v>
      </c>
    </row>
    <row r="6983">
      <c r="A6983" t="inlineStr">
        <is>
          <t>27BBBBB06983Z5</t>
        </is>
      </c>
      <c r="B6983" t="inlineStr">
        <is>
          <t>Apr-2020</t>
        </is>
      </c>
      <c r="C6983" s="2" t="n">
        <v>44234</v>
      </c>
      <c r="D6983" t="inlineStr">
        <is>
          <t>NON-NIL</t>
        </is>
      </c>
      <c r="E6983" t="n">
        <v>671</v>
      </c>
    </row>
    <row r="6984">
      <c r="A6984" t="inlineStr">
        <is>
          <t>27BBBBB06984Z5</t>
        </is>
      </c>
      <c r="B6984" t="inlineStr">
        <is>
          <t>Jun-2018</t>
        </is>
      </c>
      <c r="C6984" s="2" t="n">
        <v>43064</v>
      </c>
      <c r="D6984" t="inlineStr">
        <is>
          <t>NIL</t>
        </is>
      </c>
      <c r="E6984" t="n">
        <v>3</v>
      </c>
    </row>
    <row r="6985">
      <c r="A6985" t="inlineStr">
        <is>
          <t>27BBBBB06985Z5</t>
        </is>
      </c>
      <c r="B6985" t="inlineStr">
        <is>
          <t>Apr-2020</t>
        </is>
      </c>
      <c r="C6985" s="2" t="n">
        <v>44917</v>
      </c>
      <c r="D6985" t="inlineStr">
        <is>
          <t>NON-NIL</t>
        </is>
      </c>
      <c r="E6985" t="n">
        <v>1467</v>
      </c>
    </row>
    <row r="6986">
      <c r="A6986" t="inlineStr">
        <is>
          <t>27BBBBB06986Z5</t>
        </is>
      </c>
      <c r="B6986" t="inlineStr">
        <is>
          <t>May-2018</t>
        </is>
      </c>
      <c r="C6986" s="2" t="n">
        <v>43556</v>
      </c>
      <c r="D6986" t="inlineStr">
        <is>
          <t>NON-NIL</t>
        </is>
      </c>
      <c r="E6986" t="n">
        <v>2042</v>
      </c>
    </row>
    <row r="6987">
      <c r="A6987" t="inlineStr">
        <is>
          <t>27BBBBB06987Z5</t>
        </is>
      </c>
      <c r="B6987" t="inlineStr">
        <is>
          <t>Dec-2024</t>
        </is>
      </c>
      <c r="C6987" s="2" t="n">
        <v>43696</v>
      </c>
      <c r="D6987" t="inlineStr">
        <is>
          <t>NIL</t>
        </is>
      </c>
      <c r="E6987" t="n">
        <v>1172</v>
      </c>
    </row>
    <row r="6988">
      <c r="A6988" t="inlineStr">
        <is>
          <t>27BBBBB06988Z5</t>
        </is>
      </c>
      <c r="B6988" t="inlineStr">
        <is>
          <t>Oct-2018</t>
        </is>
      </c>
      <c r="C6988" s="2" t="n">
        <v>43641</v>
      </c>
      <c r="D6988" t="inlineStr">
        <is>
          <t>NON-NIL</t>
        </is>
      </c>
      <c r="E6988" t="n">
        <v>177</v>
      </c>
    </row>
    <row r="6989">
      <c r="A6989" t="inlineStr">
        <is>
          <t>27BBBBB06989Z5</t>
        </is>
      </c>
      <c r="B6989" t="inlineStr">
        <is>
          <t>Mar-2023</t>
        </is>
      </c>
      <c r="C6989" s="2" t="n">
        <v>43872</v>
      </c>
      <c r="D6989" t="inlineStr">
        <is>
          <t>NIL</t>
        </is>
      </c>
      <c r="E6989" t="n">
        <v>2125</v>
      </c>
    </row>
    <row r="6990">
      <c r="A6990" t="inlineStr">
        <is>
          <t>27BBBBB06990Z5</t>
        </is>
      </c>
      <c r="B6990" t="inlineStr">
        <is>
          <t>Jul-2017</t>
        </is>
      </c>
      <c r="C6990" s="2" t="n">
        <v>44067</v>
      </c>
      <c r="D6990" t="inlineStr">
        <is>
          <t>NON-NIL</t>
        </is>
      </c>
      <c r="E6990" t="n">
        <v>133</v>
      </c>
    </row>
    <row r="6991">
      <c r="A6991" t="inlineStr">
        <is>
          <t>27BBBBB06991Z5</t>
        </is>
      </c>
      <c r="B6991" t="inlineStr">
        <is>
          <t>Jan-2018</t>
        </is>
      </c>
      <c r="C6991" s="2" t="n">
        <v>43478</v>
      </c>
      <c r="D6991" t="inlineStr">
        <is>
          <t>NIL</t>
        </is>
      </c>
      <c r="E6991" t="n">
        <v>493</v>
      </c>
    </row>
    <row r="6992">
      <c r="A6992" t="inlineStr">
        <is>
          <t>27BBBBB06992Z5</t>
        </is>
      </c>
      <c r="B6992" t="inlineStr">
        <is>
          <t>Jul-2018</t>
        </is>
      </c>
      <c r="C6992" s="2" t="n">
        <v>43318</v>
      </c>
      <c r="D6992" t="inlineStr">
        <is>
          <t>NON-NIL</t>
        </is>
      </c>
      <c r="E6992" t="n">
        <v>302</v>
      </c>
    </row>
    <row r="6993">
      <c r="A6993" t="inlineStr">
        <is>
          <t>27BBBBB06993Z5</t>
        </is>
      </c>
      <c r="B6993" t="inlineStr">
        <is>
          <t>Aug-2017</t>
        </is>
      </c>
      <c r="C6993" s="2" t="n">
        <v>43103</v>
      </c>
      <c r="D6993" t="inlineStr">
        <is>
          <t>NIL</t>
        </is>
      </c>
      <c r="E6993" t="n">
        <v>2170</v>
      </c>
    </row>
    <row r="6994">
      <c r="A6994" t="inlineStr">
        <is>
          <t>27BBBBB06994Z5</t>
        </is>
      </c>
      <c r="B6994" t="inlineStr">
        <is>
          <t>Jan-2018</t>
        </is>
      </c>
      <c r="C6994" s="2" t="n">
        <v>43026</v>
      </c>
      <c r="D6994" t="inlineStr">
        <is>
          <t>NIL</t>
        </is>
      </c>
      <c r="E6994" t="n">
        <v>1521</v>
      </c>
    </row>
    <row r="6995">
      <c r="A6995" t="inlineStr">
        <is>
          <t>27BBBBB06995Z5</t>
        </is>
      </c>
      <c r="B6995" t="inlineStr">
        <is>
          <t>Jan-2018</t>
        </is>
      </c>
      <c r="C6995" s="2" t="n">
        <v>43619</v>
      </c>
      <c r="D6995" t="inlineStr">
        <is>
          <t>NIL</t>
        </is>
      </c>
      <c r="E6995" t="n">
        <v>1838</v>
      </c>
    </row>
    <row r="6996">
      <c r="A6996" t="inlineStr">
        <is>
          <t>27BBBBB06996Z5</t>
        </is>
      </c>
      <c r="B6996" t="inlineStr">
        <is>
          <t>Dec-2018</t>
        </is>
      </c>
      <c r="C6996" s="2" t="n">
        <v>42961</v>
      </c>
      <c r="D6996" t="inlineStr">
        <is>
          <t>NIL</t>
        </is>
      </c>
      <c r="E6996" t="n">
        <v>2977</v>
      </c>
    </row>
    <row r="6997">
      <c r="A6997" t="inlineStr">
        <is>
          <t>27BBBBB06997Z5</t>
        </is>
      </c>
      <c r="B6997" t="inlineStr">
        <is>
          <t>May-2018</t>
        </is>
      </c>
      <c r="C6997" s="2" t="n">
        <v>43753</v>
      </c>
      <c r="D6997" t="inlineStr">
        <is>
          <t>NIL</t>
        </is>
      </c>
      <c r="E6997" t="n">
        <v>2084</v>
      </c>
    </row>
    <row r="6998">
      <c r="A6998" t="inlineStr">
        <is>
          <t>27BBBBB06998Z5</t>
        </is>
      </c>
      <c r="B6998" t="inlineStr">
        <is>
          <t>Dec-2018</t>
        </is>
      </c>
      <c r="C6998" s="2" t="n">
        <v>43752</v>
      </c>
      <c r="D6998" t="inlineStr">
        <is>
          <t>NIL</t>
        </is>
      </c>
      <c r="E6998" t="n">
        <v>2284</v>
      </c>
    </row>
    <row r="6999">
      <c r="A6999" t="inlineStr">
        <is>
          <t>27BBBBB06999Z5</t>
        </is>
      </c>
      <c r="B6999" t="inlineStr">
        <is>
          <t>Jun-2020</t>
        </is>
      </c>
      <c r="C6999" s="2" t="n">
        <v>44421</v>
      </c>
      <c r="D6999" t="inlineStr">
        <is>
          <t>NIL</t>
        </is>
      </c>
      <c r="E6999" t="n">
        <v>2462</v>
      </c>
    </row>
    <row r="7000">
      <c r="A7000" t="inlineStr">
        <is>
          <t>27BBBBB07000Z5</t>
        </is>
      </c>
      <c r="B7000" t="inlineStr">
        <is>
          <t>Jul-2018</t>
        </is>
      </c>
      <c r="C7000" s="2" t="n">
        <v>43204</v>
      </c>
      <c r="D7000" t="inlineStr">
        <is>
          <t>NON-NIL</t>
        </is>
      </c>
      <c r="E7000" t="n">
        <v>433</v>
      </c>
    </row>
    <row r="7001">
      <c r="A7001" t="inlineStr">
        <is>
          <t>27BBBBB07001Z5</t>
        </is>
      </c>
      <c r="B7001" t="inlineStr">
        <is>
          <t>Dec-2022</t>
        </is>
      </c>
      <c r="C7001" s="2" t="n">
        <v>44537</v>
      </c>
      <c r="D7001" t="inlineStr">
        <is>
          <t>NON-NIL</t>
        </is>
      </c>
      <c r="E7001" t="n">
        <v>1796</v>
      </c>
    </row>
    <row r="7002">
      <c r="A7002" t="inlineStr">
        <is>
          <t>27BBBBB07002Z5</t>
        </is>
      </c>
      <c r="B7002" t="inlineStr">
        <is>
          <t>Apr-2018</t>
        </is>
      </c>
      <c r="C7002" s="2" t="n">
        <v>43713</v>
      </c>
      <c r="D7002" t="inlineStr">
        <is>
          <t>NIL</t>
        </is>
      </c>
      <c r="E7002" t="n">
        <v>2960</v>
      </c>
    </row>
    <row r="7003">
      <c r="A7003" t="inlineStr">
        <is>
          <t>27BBBBB07003Z5</t>
        </is>
      </c>
      <c r="B7003" t="inlineStr">
        <is>
          <t>Jun-2018</t>
        </is>
      </c>
      <c r="C7003" s="2" t="n">
        <v>43931</v>
      </c>
      <c r="D7003" t="inlineStr">
        <is>
          <t>NIL</t>
        </is>
      </c>
      <c r="E7003" t="n">
        <v>1018</v>
      </c>
    </row>
    <row r="7004">
      <c r="A7004" t="inlineStr">
        <is>
          <t>27BBBBB07004Z5</t>
        </is>
      </c>
      <c r="B7004" t="inlineStr">
        <is>
          <t>Dec-2017</t>
        </is>
      </c>
      <c r="C7004" s="2" t="n">
        <v>44274</v>
      </c>
      <c r="D7004" t="inlineStr">
        <is>
          <t>NIL</t>
        </is>
      </c>
      <c r="E7004" t="n">
        <v>2221</v>
      </c>
    </row>
    <row r="7005">
      <c r="A7005" t="inlineStr">
        <is>
          <t>27BBBBB07005Z5</t>
        </is>
      </c>
      <c r="B7005" t="inlineStr">
        <is>
          <t>Jan-2018</t>
        </is>
      </c>
      <c r="C7005" s="2" t="n">
        <v>44087</v>
      </c>
      <c r="D7005" t="inlineStr">
        <is>
          <t>NON-NIL</t>
        </is>
      </c>
      <c r="E7005" t="n">
        <v>1969</v>
      </c>
    </row>
    <row r="7006">
      <c r="A7006" t="inlineStr">
        <is>
          <t>27BBBBB07006Z5</t>
        </is>
      </c>
      <c r="B7006" t="inlineStr">
        <is>
          <t>Aug-2018</t>
        </is>
      </c>
      <c r="C7006" s="2" t="n">
        <v>44359</v>
      </c>
      <c r="D7006" t="inlineStr">
        <is>
          <t>NON-NIL</t>
        </is>
      </c>
      <c r="E7006" t="n">
        <v>804</v>
      </c>
    </row>
    <row r="7007">
      <c r="A7007" t="inlineStr">
        <is>
          <t>27BBBBB07007Z5</t>
        </is>
      </c>
      <c r="B7007" t="inlineStr">
        <is>
          <t>Nov-2018</t>
        </is>
      </c>
      <c r="C7007" s="2" t="n">
        <v>44158</v>
      </c>
      <c r="D7007" t="inlineStr">
        <is>
          <t>NIL</t>
        </is>
      </c>
      <c r="E7007" t="n">
        <v>776</v>
      </c>
    </row>
    <row r="7008">
      <c r="A7008" t="inlineStr">
        <is>
          <t>27BBBBB07008Z5</t>
        </is>
      </c>
      <c r="B7008" t="inlineStr">
        <is>
          <t>May-2018</t>
        </is>
      </c>
      <c r="C7008" s="2" t="n">
        <v>43685</v>
      </c>
      <c r="D7008" t="inlineStr">
        <is>
          <t>NIL</t>
        </is>
      </c>
      <c r="E7008" t="n">
        <v>2864</v>
      </c>
    </row>
    <row r="7009">
      <c r="A7009" t="inlineStr">
        <is>
          <t>27BBBBB07009Z5</t>
        </is>
      </c>
      <c r="B7009" t="inlineStr">
        <is>
          <t>Mar-2018</t>
        </is>
      </c>
      <c r="C7009" s="2" t="n">
        <v>43147</v>
      </c>
      <c r="D7009" t="inlineStr">
        <is>
          <t>NON-NIL</t>
        </is>
      </c>
      <c r="E7009" t="n">
        <v>338</v>
      </c>
    </row>
    <row r="7010">
      <c r="A7010" t="inlineStr">
        <is>
          <t>27BBBBB07010Z5</t>
        </is>
      </c>
      <c r="B7010" t="inlineStr">
        <is>
          <t>Sep-2018</t>
        </is>
      </c>
      <c r="C7010" s="2" t="n">
        <v>44483</v>
      </c>
      <c r="D7010" t="inlineStr">
        <is>
          <t>NON-NIL</t>
        </is>
      </c>
      <c r="E7010" t="n">
        <v>961</v>
      </c>
    </row>
    <row r="7011">
      <c r="A7011" t="inlineStr">
        <is>
          <t>27BBBBB07011Z5</t>
        </is>
      </c>
      <c r="B7011" t="inlineStr">
        <is>
          <t>Oct-2017</t>
        </is>
      </c>
      <c r="C7011" s="2" t="n">
        <v>44030</v>
      </c>
      <c r="D7011" t="inlineStr">
        <is>
          <t>NIL</t>
        </is>
      </c>
      <c r="E7011" t="n">
        <v>1896</v>
      </c>
    </row>
    <row r="7012">
      <c r="A7012" t="inlineStr">
        <is>
          <t>27BBBBB07012Z5</t>
        </is>
      </c>
      <c r="B7012" t="inlineStr">
        <is>
          <t>Nov-2018</t>
        </is>
      </c>
      <c r="C7012" s="2" t="n">
        <v>43695</v>
      </c>
      <c r="D7012" t="inlineStr">
        <is>
          <t>NON-NIL</t>
        </is>
      </c>
      <c r="E7012" t="n">
        <v>1689</v>
      </c>
    </row>
    <row r="7013">
      <c r="A7013" t="inlineStr">
        <is>
          <t>27BBBBB07013Z5</t>
        </is>
      </c>
      <c r="B7013" t="inlineStr">
        <is>
          <t>Nov-2018</t>
        </is>
      </c>
      <c r="C7013" s="2" t="n">
        <v>43877</v>
      </c>
      <c r="D7013" t="inlineStr">
        <is>
          <t>NON-NIL</t>
        </is>
      </c>
      <c r="E7013" t="n">
        <v>2841</v>
      </c>
    </row>
    <row r="7014">
      <c r="A7014" t="inlineStr">
        <is>
          <t>27BBBBB07014Z5</t>
        </is>
      </c>
      <c r="B7014" t="inlineStr">
        <is>
          <t>Sep-2018</t>
        </is>
      </c>
      <c r="C7014" s="2" t="n">
        <v>44354</v>
      </c>
      <c r="D7014" t="inlineStr">
        <is>
          <t>NIL</t>
        </is>
      </c>
      <c r="E7014" t="n">
        <v>1905</v>
      </c>
    </row>
    <row r="7015">
      <c r="A7015" t="inlineStr">
        <is>
          <t>27BBBBB07015Z5</t>
        </is>
      </c>
      <c r="B7015" t="inlineStr">
        <is>
          <t>Jul-2020</t>
        </is>
      </c>
      <c r="C7015" s="2" t="n">
        <v>44573</v>
      </c>
      <c r="D7015" t="inlineStr">
        <is>
          <t>NON-NIL</t>
        </is>
      </c>
      <c r="E7015" t="n">
        <v>2189</v>
      </c>
    </row>
    <row r="7016">
      <c r="A7016" t="inlineStr">
        <is>
          <t>27BBBBB07016Z5</t>
        </is>
      </c>
      <c r="B7016" t="inlineStr">
        <is>
          <t>Nov-2018</t>
        </is>
      </c>
      <c r="C7016" s="2" t="n">
        <v>42983</v>
      </c>
      <c r="D7016" t="inlineStr">
        <is>
          <t>NON-NIL</t>
        </is>
      </c>
      <c r="E7016" t="n">
        <v>2818</v>
      </c>
    </row>
    <row r="7017">
      <c r="A7017" t="inlineStr">
        <is>
          <t>27BBBBB07017Z5</t>
        </is>
      </c>
      <c r="B7017" t="inlineStr">
        <is>
          <t>Apr-2020</t>
        </is>
      </c>
      <c r="C7017" s="2" t="n">
        <v>44666</v>
      </c>
      <c r="D7017" t="inlineStr">
        <is>
          <t>NON-NIL</t>
        </is>
      </c>
      <c r="E7017" t="n">
        <v>1428</v>
      </c>
    </row>
    <row r="7018">
      <c r="A7018" t="inlineStr">
        <is>
          <t>27BBBBB07018Z5</t>
        </is>
      </c>
      <c r="B7018" t="inlineStr">
        <is>
          <t>Nov-2017</t>
        </is>
      </c>
      <c r="C7018" s="2" t="n">
        <v>43159</v>
      </c>
      <c r="D7018" t="inlineStr">
        <is>
          <t>NON-NIL</t>
        </is>
      </c>
      <c r="E7018" t="n">
        <v>894</v>
      </c>
    </row>
    <row r="7019">
      <c r="A7019" t="inlineStr">
        <is>
          <t>27BBBBB07019Z5</t>
        </is>
      </c>
      <c r="B7019" t="inlineStr">
        <is>
          <t>Jul-2020</t>
        </is>
      </c>
      <c r="C7019" s="2" t="n">
        <v>44453</v>
      </c>
      <c r="D7019" t="inlineStr">
        <is>
          <t>NON-NIL</t>
        </is>
      </c>
      <c r="E7019" t="n">
        <v>2262</v>
      </c>
    </row>
    <row r="7020">
      <c r="A7020" t="inlineStr">
        <is>
          <t>27BBBBB07020Z5</t>
        </is>
      </c>
      <c r="B7020" t="inlineStr">
        <is>
          <t>Mar-2023</t>
        </is>
      </c>
      <c r="C7020" s="2" t="n">
        <v>45016</v>
      </c>
      <c r="D7020" t="inlineStr">
        <is>
          <t>NON-NIL</t>
        </is>
      </c>
      <c r="E7020" t="n">
        <v>2135</v>
      </c>
    </row>
    <row r="7021">
      <c r="A7021" t="inlineStr">
        <is>
          <t>27BBBBB07021Z5</t>
        </is>
      </c>
      <c r="B7021" t="inlineStr">
        <is>
          <t>Jul-2017</t>
        </is>
      </c>
      <c r="C7021" s="2" t="n">
        <v>43172</v>
      </c>
      <c r="D7021" t="inlineStr">
        <is>
          <t>NIL</t>
        </is>
      </c>
      <c r="E7021" t="n">
        <v>1350</v>
      </c>
    </row>
    <row r="7022">
      <c r="A7022" t="inlineStr">
        <is>
          <t>27BBBBB07022Z5</t>
        </is>
      </c>
      <c r="B7022" t="inlineStr">
        <is>
          <t>Oct-2017</t>
        </is>
      </c>
      <c r="C7022" s="2" t="n">
        <v>44247</v>
      </c>
      <c r="D7022" t="inlineStr">
        <is>
          <t>NIL</t>
        </is>
      </c>
      <c r="E7022" t="n">
        <v>2071</v>
      </c>
    </row>
    <row r="7023">
      <c r="A7023" t="inlineStr">
        <is>
          <t>27BBBBB07023Z5</t>
        </is>
      </c>
      <c r="B7023" t="inlineStr">
        <is>
          <t>Apr-2018</t>
        </is>
      </c>
      <c r="C7023" s="2" t="n">
        <v>44555</v>
      </c>
      <c r="D7023" t="inlineStr">
        <is>
          <t>NIL</t>
        </is>
      </c>
      <c r="E7023" t="n">
        <v>2709</v>
      </c>
    </row>
    <row r="7024">
      <c r="A7024" t="inlineStr">
        <is>
          <t>27BBBBB07024Z5</t>
        </is>
      </c>
      <c r="B7024" t="inlineStr">
        <is>
          <t>Jan-2021</t>
        </is>
      </c>
      <c r="C7024" s="2" t="n">
        <v>45002</v>
      </c>
      <c r="D7024" t="inlineStr">
        <is>
          <t>NON-NIL</t>
        </is>
      </c>
      <c r="E7024" t="n">
        <v>506</v>
      </c>
    </row>
    <row r="7025">
      <c r="A7025" t="inlineStr">
        <is>
          <t>27BBBBB07025Z5</t>
        </is>
      </c>
      <c r="B7025" t="inlineStr">
        <is>
          <t>Jan-2021</t>
        </is>
      </c>
      <c r="C7025" s="2" t="n">
        <v>43485</v>
      </c>
      <c r="D7025" t="inlineStr">
        <is>
          <t>NIL</t>
        </is>
      </c>
      <c r="E7025" t="n">
        <v>599</v>
      </c>
    </row>
    <row r="7026">
      <c r="A7026" t="inlineStr">
        <is>
          <t>27BBBBB07026Z5</t>
        </is>
      </c>
      <c r="B7026" t="inlineStr">
        <is>
          <t>Dec-2022</t>
        </is>
      </c>
      <c r="C7026" s="2" t="n">
        <v>43672</v>
      </c>
      <c r="D7026" t="inlineStr">
        <is>
          <t>NON-NIL</t>
        </is>
      </c>
      <c r="E7026" t="n">
        <v>2189</v>
      </c>
    </row>
    <row r="7027">
      <c r="A7027" t="inlineStr">
        <is>
          <t>27BBBBB07027Z5</t>
        </is>
      </c>
      <c r="B7027" t="inlineStr">
        <is>
          <t>Feb-2018</t>
        </is>
      </c>
      <c r="C7027" s="2" t="n">
        <v>43576</v>
      </c>
      <c r="D7027" t="inlineStr">
        <is>
          <t>NON-NIL</t>
        </is>
      </c>
      <c r="E7027" t="n">
        <v>2604</v>
      </c>
    </row>
    <row r="7028">
      <c r="A7028" t="inlineStr">
        <is>
          <t>27BBBBB07028Z5</t>
        </is>
      </c>
      <c r="B7028" t="inlineStr">
        <is>
          <t>Oct-2018</t>
        </is>
      </c>
      <c r="C7028" s="2" t="n">
        <v>44497</v>
      </c>
      <c r="D7028" t="inlineStr">
        <is>
          <t>NIL</t>
        </is>
      </c>
      <c r="E7028" t="n">
        <v>2849</v>
      </c>
    </row>
    <row r="7029">
      <c r="A7029" t="inlineStr">
        <is>
          <t>27BBBBB07029Z5</t>
        </is>
      </c>
      <c r="B7029" t="inlineStr">
        <is>
          <t>Dec-2018</t>
        </is>
      </c>
      <c r="C7029" s="2" t="n">
        <v>43374</v>
      </c>
      <c r="D7029" t="inlineStr">
        <is>
          <t>NON-NIL</t>
        </is>
      </c>
      <c r="E7029" t="n">
        <v>549</v>
      </c>
    </row>
    <row r="7030">
      <c r="A7030" t="inlineStr">
        <is>
          <t>27BBBBB07030Z5</t>
        </is>
      </c>
      <c r="B7030" t="inlineStr">
        <is>
          <t>Jul-2018</t>
        </is>
      </c>
      <c r="C7030" s="2" t="n">
        <v>43271</v>
      </c>
      <c r="D7030" t="inlineStr">
        <is>
          <t>NON-NIL</t>
        </is>
      </c>
      <c r="E7030" t="n">
        <v>1000</v>
      </c>
    </row>
    <row r="7031">
      <c r="A7031" t="inlineStr">
        <is>
          <t>27BBBBB07031Z5</t>
        </is>
      </c>
      <c r="B7031" t="inlineStr">
        <is>
          <t>Jun-2020</t>
        </is>
      </c>
      <c r="C7031" s="2" t="n">
        <v>44200</v>
      </c>
      <c r="D7031" t="inlineStr">
        <is>
          <t>NON-NIL</t>
        </is>
      </c>
      <c r="E7031" t="n">
        <v>1623</v>
      </c>
    </row>
    <row r="7032">
      <c r="A7032" t="inlineStr">
        <is>
          <t>27BBBBB07032Z5</t>
        </is>
      </c>
      <c r="B7032" t="inlineStr">
        <is>
          <t>Mar-2023</t>
        </is>
      </c>
      <c r="C7032" s="2" t="n">
        <v>43532</v>
      </c>
      <c r="D7032" t="inlineStr">
        <is>
          <t>NON-NIL</t>
        </is>
      </c>
      <c r="E7032" t="n">
        <v>2908</v>
      </c>
    </row>
    <row r="7033">
      <c r="A7033" t="inlineStr">
        <is>
          <t>27BBBBB07033Z5</t>
        </is>
      </c>
      <c r="B7033" t="inlineStr">
        <is>
          <t>Jul-2020</t>
        </is>
      </c>
      <c r="C7033" s="2" t="n">
        <v>44764</v>
      </c>
      <c r="D7033" t="inlineStr">
        <is>
          <t>NIL</t>
        </is>
      </c>
      <c r="E7033" t="n">
        <v>1629</v>
      </c>
    </row>
    <row r="7034">
      <c r="A7034" t="inlineStr">
        <is>
          <t>27BBBBB07034Z5</t>
        </is>
      </c>
      <c r="B7034" t="inlineStr">
        <is>
          <t>Nov-2017</t>
        </is>
      </c>
      <c r="C7034" s="2" t="n">
        <v>43666</v>
      </c>
      <c r="D7034" t="inlineStr">
        <is>
          <t>NIL</t>
        </is>
      </c>
      <c r="E7034" t="n">
        <v>2534</v>
      </c>
    </row>
    <row r="7035">
      <c r="A7035" t="inlineStr">
        <is>
          <t>27BBBBB07035Z5</t>
        </is>
      </c>
      <c r="B7035" t="inlineStr">
        <is>
          <t>Sep-2017</t>
        </is>
      </c>
      <c r="C7035" s="2" t="n">
        <v>44289</v>
      </c>
      <c r="D7035" t="inlineStr">
        <is>
          <t>NON-NIL</t>
        </is>
      </c>
      <c r="E7035" t="n">
        <v>2988</v>
      </c>
    </row>
    <row r="7036">
      <c r="A7036" t="inlineStr">
        <is>
          <t>27BBBBB07036Z5</t>
        </is>
      </c>
      <c r="B7036" t="inlineStr">
        <is>
          <t>May-2020</t>
        </is>
      </c>
      <c r="C7036" s="2" t="n">
        <v>44174</v>
      </c>
      <c r="D7036" t="inlineStr">
        <is>
          <t>NON-NIL</t>
        </is>
      </c>
      <c r="E7036" t="n">
        <v>403</v>
      </c>
    </row>
    <row r="7037">
      <c r="A7037" t="inlineStr">
        <is>
          <t>27BBBBB07037Z5</t>
        </is>
      </c>
      <c r="B7037" t="inlineStr">
        <is>
          <t>Oct-2017</t>
        </is>
      </c>
      <c r="C7037" s="2" t="n">
        <v>44183</v>
      </c>
      <c r="D7037" t="inlineStr">
        <is>
          <t>NIL</t>
        </is>
      </c>
      <c r="E7037" t="n">
        <v>2494</v>
      </c>
    </row>
    <row r="7038">
      <c r="A7038" t="inlineStr">
        <is>
          <t>27BBBBB07038Z5</t>
        </is>
      </c>
      <c r="B7038" t="inlineStr">
        <is>
          <t>Dec-2022</t>
        </is>
      </c>
      <c r="C7038" s="2" t="n">
        <v>44800</v>
      </c>
      <c r="D7038" t="inlineStr">
        <is>
          <t>NON-NIL</t>
        </is>
      </c>
      <c r="E7038" t="n">
        <v>2879</v>
      </c>
    </row>
    <row r="7039">
      <c r="A7039" t="inlineStr">
        <is>
          <t>27BBBBB07039Z5</t>
        </is>
      </c>
      <c r="B7039" t="inlineStr">
        <is>
          <t>Aug-2017</t>
        </is>
      </c>
      <c r="C7039" s="2" t="n">
        <v>44529</v>
      </c>
      <c r="D7039" t="inlineStr">
        <is>
          <t>NON-NIL</t>
        </is>
      </c>
      <c r="E7039" t="n">
        <v>2654</v>
      </c>
    </row>
    <row r="7040">
      <c r="A7040" t="inlineStr">
        <is>
          <t>27BBBBB07040Z5</t>
        </is>
      </c>
      <c r="B7040" t="inlineStr">
        <is>
          <t>Mar-2020</t>
        </is>
      </c>
      <c r="C7040" s="2" t="n">
        <v>44317</v>
      </c>
      <c r="D7040" t="inlineStr">
        <is>
          <t>NIL</t>
        </is>
      </c>
      <c r="E7040" t="n">
        <v>1003</v>
      </c>
    </row>
    <row r="7041">
      <c r="A7041" t="inlineStr">
        <is>
          <t>27BBBBB07041Z5</t>
        </is>
      </c>
      <c r="B7041" t="inlineStr">
        <is>
          <t>Nov-2017</t>
        </is>
      </c>
      <c r="C7041" s="2" t="n">
        <v>44423</v>
      </c>
      <c r="D7041" t="inlineStr">
        <is>
          <t>NIL</t>
        </is>
      </c>
      <c r="E7041" t="n">
        <v>1766</v>
      </c>
    </row>
    <row r="7042">
      <c r="A7042" t="inlineStr">
        <is>
          <t>27BBBBB07042Z5</t>
        </is>
      </c>
      <c r="B7042" t="inlineStr">
        <is>
          <t>Oct-2018</t>
        </is>
      </c>
      <c r="C7042" s="2" t="n">
        <v>44336</v>
      </c>
      <c r="D7042" t="inlineStr">
        <is>
          <t>NIL</t>
        </is>
      </c>
      <c r="E7042" t="n">
        <v>1637</v>
      </c>
    </row>
    <row r="7043">
      <c r="A7043" t="inlineStr">
        <is>
          <t>27BBBBB07043Z5</t>
        </is>
      </c>
      <c r="B7043" t="inlineStr">
        <is>
          <t>Jul-2020</t>
        </is>
      </c>
      <c r="C7043" s="2" t="n">
        <v>44527</v>
      </c>
      <c r="D7043" t="inlineStr">
        <is>
          <t>NON-NIL</t>
        </is>
      </c>
      <c r="E7043" t="n">
        <v>2954</v>
      </c>
    </row>
    <row r="7044">
      <c r="A7044" t="inlineStr">
        <is>
          <t>27BBBBB07044Z5</t>
        </is>
      </c>
      <c r="B7044" t="inlineStr">
        <is>
          <t>Aug-2017</t>
        </is>
      </c>
      <c r="C7044" s="2" t="n">
        <v>43084</v>
      </c>
      <c r="D7044" t="inlineStr">
        <is>
          <t>NON-NIL</t>
        </is>
      </c>
      <c r="E7044" t="n">
        <v>876</v>
      </c>
    </row>
    <row r="7045">
      <c r="A7045" t="inlineStr">
        <is>
          <t>27BBBBB07045Z5</t>
        </is>
      </c>
      <c r="B7045" t="inlineStr">
        <is>
          <t>Oct-2017</t>
        </is>
      </c>
      <c r="C7045" s="2" t="n">
        <v>43059</v>
      </c>
      <c r="D7045" t="inlineStr">
        <is>
          <t>NIL</t>
        </is>
      </c>
      <c r="E7045" t="n">
        <v>696</v>
      </c>
    </row>
    <row r="7046">
      <c r="A7046" t="inlineStr">
        <is>
          <t>27BBBBB07046Z5</t>
        </is>
      </c>
      <c r="B7046" t="inlineStr">
        <is>
          <t>Jul-2017</t>
        </is>
      </c>
      <c r="C7046" s="2" t="n">
        <v>44416</v>
      </c>
      <c r="D7046" t="inlineStr">
        <is>
          <t>NIL</t>
        </is>
      </c>
      <c r="E7046" t="n">
        <v>1901</v>
      </c>
    </row>
    <row r="7047">
      <c r="A7047" t="inlineStr">
        <is>
          <t>27BBBBB07047Z5</t>
        </is>
      </c>
      <c r="B7047" t="inlineStr">
        <is>
          <t>Dec-2017</t>
        </is>
      </c>
      <c r="C7047" s="2" t="n">
        <v>43281</v>
      </c>
      <c r="D7047" t="inlineStr">
        <is>
          <t>NIL</t>
        </is>
      </c>
      <c r="E7047" t="n">
        <v>1615</v>
      </c>
    </row>
    <row r="7048">
      <c r="A7048" t="inlineStr">
        <is>
          <t>27BBBBB07048Z5</t>
        </is>
      </c>
      <c r="B7048" t="inlineStr">
        <is>
          <t>Feb-2018</t>
        </is>
      </c>
      <c r="C7048" s="2" t="n">
        <v>43054</v>
      </c>
      <c r="D7048" t="inlineStr">
        <is>
          <t>NON-NIL</t>
        </is>
      </c>
      <c r="E7048" t="n">
        <v>1209</v>
      </c>
    </row>
    <row r="7049">
      <c r="A7049" t="inlineStr">
        <is>
          <t>27BBBBB07049Z5</t>
        </is>
      </c>
      <c r="B7049" t="inlineStr">
        <is>
          <t>Jun-2020</t>
        </is>
      </c>
      <c r="C7049" s="2" t="n">
        <v>44026</v>
      </c>
      <c r="D7049" t="inlineStr">
        <is>
          <t>NIL</t>
        </is>
      </c>
      <c r="E7049" t="n">
        <v>2243</v>
      </c>
    </row>
    <row r="7050">
      <c r="A7050" t="inlineStr">
        <is>
          <t>27BBBBB07050Z5</t>
        </is>
      </c>
      <c r="B7050" t="inlineStr">
        <is>
          <t>Mar-2020</t>
        </is>
      </c>
      <c r="C7050" s="2" t="n">
        <v>44093</v>
      </c>
      <c r="D7050" t="inlineStr">
        <is>
          <t>NON-NIL</t>
        </is>
      </c>
      <c r="E7050" t="n">
        <v>993</v>
      </c>
    </row>
    <row r="7051">
      <c r="A7051" t="inlineStr">
        <is>
          <t>27BBBBB07051Z5</t>
        </is>
      </c>
      <c r="B7051" t="inlineStr">
        <is>
          <t>Feb-2018</t>
        </is>
      </c>
      <c r="C7051" s="2" t="n">
        <v>43488</v>
      </c>
      <c r="D7051" t="inlineStr">
        <is>
          <t>NIL</t>
        </is>
      </c>
      <c r="E7051" t="n">
        <v>2482</v>
      </c>
    </row>
    <row r="7052">
      <c r="A7052" t="inlineStr">
        <is>
          <t>27BBBBB07052Z5</t>
        </is>
      </c>
      <c r="B7052" t="inlineStr">
        <is>
          <t>Jul-2020</t>
        </is>
      </c>
      <c r="C7052" s="2" t="n">
        <v>44518</v>
      </c>
      <c r="D7052" t="inlineStr">
        <is>
          <t>NON-NIL</t>
        </is>
      </c>
      <c r="E7052" t="n">
        <v>1001</v>
      </c>
    </row>
    <row r="7053">
      <c r="A7053" t="inlineStr">
        <is>
          <t>27BBBBB07053Z5</t>
        </is>
      </c>
      <c r="B7053" t="inlineStr">
        <is>
          <t>May-2018</t>
        </is>
      </c>
      <c r="C7053" s="2" t="n">
        <v>43512</v>
      </c>
      <c r="D7053" t="inlineStr">
        <is>
          <t>NON-NIL</t>
        </is>
      </c>
      <c r="E7053" t="n">
        <v>2398</v>
      </c>
    </row>
    <row r="7054">
      <c r="A7054" t="inlineStr">
        <is>
          <t>27BBBBB07054Z5</t>
        </is>
      </c>
      <c r="B7054" t="inlineStr">
        <is>
          <t>Dec-2017</t>
        </is>
      </c>
      <c r="C7054" s="2" t="n">
        <v>43428</v>
      </c>
      <c r="D7054" t="inlineStr">
        <is>
          <t>NIL</t>
        </is>
      </c>
      <c r="E7054" t="n">
        <v>1570</v>
      </c>
    </row>
    <row r="7055">
      <c r="A7055" t="inlineStr">
        <is>
          <t>27BBBBB07055Z5</t>
        </is>
      </c>
      <c r="B7055" t="inlineStr">
        <is>
          <t>Mar-2021</t>
        </is>
      </c>
      <c r="C7055" s="2" t="n">
        <v>45224</v>
      </c>
      <c r="D7055" t="inlineStr">
        <is>
          <t>NIL</t>
        </is>
      </c>
      <c r="E7055" t="n">
        <v>1055</v>
      </c>
    </row>
    <row r="7056">
      <c r="A7056" t="inlineStr">
        <is>
          <t>27BBBBB07056Z5</t>
        </is>
      </c>
      <c r="B7056" t="inlineStr">
        <is>
          <t>Nov-2017</t>
        </is>
      </c>
      <c r="C7056" s="2" t="n">
        <v>44107</v>
      </c>
      <c r="D7056" t="inlineStr">
        <is>
          <t>NON-NIL</t>
        </is>
      </c>
      <c r="E7056" t="n">
        <v>1541</v>
      </c>
    </row>
    <row r="7057">
      <c r="A7057" t="inlineStr">
        <is>
          <t>27BBBBB07057Z5</t>
        </is>
      </c>
      <c r="B7057" t="inlineStr">
        <is>
          <t>Mar-2023</t>
        </is>
      </c>
      <c r="C7057" s="2" t="n">
        <v>44379</v>
      </c>
      <c r="D7057" t="inlineStr">
        <is>
          <t>NIL</t>
        </is>
      </c>
      <c r="E7057" t="n">
        <v>1836</v>
      </c>
    </row>
    <row r="7058">
      <c r="A7058" t="inlineStr">
        <is>
          <t>27BBBBB07058Z5</t>
        </is>
      </c>
      <c r="B7058" t="inlineStr">
        <is>
          <t>Mar-2018</t>
        </is>
      </c>
      <c r="C7058" s="2" t="n">
        <v>43186</v>
      </c>
      <c r="D7058" t="inlineStr">
        <is>
          <t>NON-NIL</t>
        </is>
      </c>
      <c r="E7058" t="n">
        <v>1733</v>
      </c>
    </row>
    <row r="7059">
      <c r="A7059" t="inlineStr">
        <is>
          <t>27BBBBB07059Z5</t>
        </is>
      </c>
      <c r="B7059" t="inlineStr">
        <is>
          <t>Jan-2018</t>
        </is>
      </c>
      <c r="C7059" s="2" t="n">
        <v>43348</v>
      </c>
      <c r="D7059" t="inlineStr">
        <is>
          <t>NIL</t>
        </is>
      </c>
      <c r="E7059" t="n">
        <v>714</v>
      </c>
    </row>
    <row r="7060">
      <c r="A7060" t="inlineStr">
        <is>
          <t>27BBBBB07060Z5</t>
        </is>
      </c>
      <c r="B7060" t="inlineStr">
        <is>
          <t>Nov-2017</t>
        </is>
      </c>
      <c r="C7060" s="2" t="n">
        <v>43997</v>
      </c>
      <c r="D7060" t="inlineStr">
        <is>
          <t>NIL</t>
        </is>
      </c>
      <c r="E7060" t="n">
        <v>38</v>
      </c>
    </row>
    <row r="7061">
      <c r="A7061" t="inlineStr">
        <is>
          <t>27BBBBB07061Z5</t>
        </is>
      </c>
      <c r="B7061" t="inlineStr">
        <is>
          <t>Dec-2017</t>
        </is>
      </c>
      <c r="C7061" s="2" t="n">
        <v>43372</v>
      </c>
      <c r="D7061" t="inlineStr">
        <is>
          <t>NON-NIL</t>
        </is>
      </c>
      <c r="E7061" t="n">
        <v>225</v>
      </c>
    </row>
    <row r="7062">
      <c r="A7062" t="inlineStr">
        <is>
          <t>27BBBBB07062Z5</t>
        </is>
      </c>
      <c r="B7062" t="inlineStr">
        <is>
          <t>May-2020</t>
        </is>
      </c>
      <c r="C7062" s="2" t="n">
        <v>44670</v>
      </c>
      <c r="D7062" t="inlineStr">
        <is>
          <t>NIL</t>
        </is>
      </c>
      <c r="E7062" t="n">
        <v>2556</v>
      </c>
    </row>
    <row r="7063">
      <c r="A7063" t="inlineStr">
        <is>
          <t>27BBBBB07063Z5</t>
        </is>
      </c>
      <c r="B7063" t="inlineStr">
        <is>
          <t>Dec-2022</t>
        </is>
      </c>
      <c r="C7063" s="2" t="n">
        <v>44266</v>
      </c>
      <c r="D7063" t="inlineStr">
        <is>
          <t>NIL</t>
        </is>
      </c>
      <c r="E7063" t="n">
        <v>1170</v>
      </c>
    </row>
    <row r="7064">
      <c r="A7064" t="inlineStr">
        <is>
          <t>27BBBBB07064Z5</t>
        </is>
      </c>
      <c r="B7064" t="inlineStr">
        <is>
          <t>Sep-2017</t>
        </is>
      </c>
      <c r="C7064" s="2" t="n">
        <v>43855</v>
      </c>
      <c r="D7064" t="inlineStr">
        <is>
          <t>NIL</t>
        </is>
      </c>
      <c r="E7064" t="n">
        <v>2827</v>
      </c>
    </row>
    <row r="7065">
      <c r="A7065" t="inlineStr">
        <is>
          <t>27BBBBB07065Z5</t>
        </is>
      </c>
      <c r="B7065" t="inlineStr">
        <is>
          <t>Dec-2024</t>
        </is>
      </c>
      <c r="C7065" s="2" t="n">
        <v>44485</v>
      </c>
      <c r="D7065" t="inlineStr">
        <is>
          <t>NON-NIL</t>
        </is>
      </c>
      <c r="E7065" t="n">
        <v>461</v>
      </c>
    </row>
    <row r="7066">
      <c r="A7066" t="inlineStr">
        <is>
          <t>27BBBBB07066Z5</t>
        </is>
      </c>
      <c r="B7066" t="inlineStr">
        <is>
          <t>Dec-2017</t>
        </is>
      </c>
      <c r="C7066" s="2" t="n">
        <v>43396</v>
      </c>
      <c r="D7066" t="inlineStr">
        <is>
          <t>NIL</t>
        </is>
      </c>
      <c r="E7066" t="n">
        <v>826</v>
      </c>
    </row>
    <row r="7067">
      <c r="A7067" t="inlineStr">
        <is>
          <t>27BBBBB07067Z5</t>
        </is>
      </c>
      <c r="B7067" t="inlineStr">
        <is>
          <t>Dec-2018</t>
        </is>
      </c>
      <c r="C7067" s="2" t="n">
        <v>43103</v>
      </c>
      <c r="D7067" t="inlineStr">
        <is>
          <t>NON-NIL</t>
        </is>
      </c>
      <c r="E7067" t="n">
        <v>1406</v>
      </c>
    </row>
    <row r="7068">
      <c r="A7068" t="inlineStr">
        <is>
          <t>27BBBBB07068Z5</t>
        </is>
      </c>
      <c r="B7068" t="inlineStr">
        <is>
          <t>May-2020</t>
        </is>
      </c>
      <c r="C7068" s="2" t="n">
        <v>44403</v>
      </c>
      <c r="D7068" t="inlineStr">
        <is>
          <t>NON-NIL</t>
        </is>
      </c>
      <c r="E7068" t="n">
        <v>1438</v>
      </c>
    </row>
    <row r="7069">
      <c r="A7069" t="inlineStr">
        <is>
          <t>27BBBBB07069Z5</t>
        </is>
      </c>
      <c r="B7069" t="inlineStr">
        <is>
          <t>Mar-2023</t>
        </is>
      </c>
      <c r="C7069" s="2" t="n">
        <v>43798</v>
      </c>
      <c r="D7069" t="inlineStr">
        <is>
          <t>NON-NIL</t>
        </is>
      </c>
      <c r="E7069" t="n">
        <v>646</v>
      </c>
    </row>
    <row r="7070">
      <c r="A7070" t="inlineStr">
        <is>
          <t>27BBBBB07070Z5</t>
        </is>
      </c>
      <c r="B7070" t="inlineStr">
        <is>
          <t>Feb-2018</t>
        </is>
      </c>
      <c r="C7070" s="2" t="n">
        <v>44499</v>
      </c>
      <c r="D7070" t="inlineStr">
        <is>
          <t>NON-NIL</t>
        </is>
      </c>
      <c r="E7070" t="n">
        <v>2297</v>
      </c>
    </row>
    <row r="7071">
      <c r="A7071" t="inlineStr">
        <is>
          <t>27BBBBB07071Z5</t>
        </is>
      </c>
      <c r="B7071" t="inlineStr">
        <is>
          <t>Mar-2020</t>
        </is>
      </c>
      <c r="C7071" s="2" t="n">
        <v>44730</v>
      </c>
      <c r="D7071" t="inlineStr">
        <is>
          <t>NIL</t>
        </is>
      </c>
      <c r="E7071" t="n">
        <v>1425</v>
      </c>
    </row>
    <row r="7072">
      <c r="A7072" t="inlineStr">
        <is>
          <t>27BBBBB07072Z5</t>
        </is>
      </c>
      <c r="B7072" t="inlineStr">
        <is>
          <t>Jul-2017</t>
        </is>
      </c>
      <c r="C7072" s="2" t="n">
        <v>44537</v>
      </c>
      <c r="D7072" t="inlineStr">
        <is>
          <t>NON-NIL</t>
        </is>
      </c>
      <c r="E7072" t="n">
        <v>1871</v>
      </c>
    </row>
    <row r="7073">
      <c r="A7073" t="inlineStr">
        <is>
          <t>27BBBBB07073Z5</t>
        </is>
      </c>
      <c r="B7073" t="inlineStr">
        <is>
          <t>Jul-2020</t>
        </is>
      </c>
      <c r="C7073" s="2" t="n">
        <v>43986</v>
      </c>
      <c r="D7073" t="inlineStr">
        <is>
          <t>NIL</t>
        </is>
      </c>
      <c r="E7073" t="n">
        <v>580</v>
      </c>
    </row>
    <row r="7074">
      <c r="A7074" t="inlineStr">
        <is>
          <t>27BBBBB07074Z5</t>
        </is>
      </c>
      <c r="B7074" t="inlineStr">
        <is>
          <t>Nov-2017</t>
        </is>
      </c>
      <c r="C7074" s="2" t="n">
        <v>44313</v>
      </c>
      <c r="D7074" t="inlineStr">
        <is>
          <t>NIL</t>
        </is>
      </c>
      <c r="E7074" t="n">
        <v>1845</v>
      </c>
    </row>
    <row r="7075">
      <c r="A7075" t="inlineStr">
        <is>
          <t>27BBBBB07075Z5</t>
        </is>
      </c>
      <c r="B7075" t="inlineStr">
        <is>
          <t>Mar-2023</t>
        </is>
      </c>
      <c r="C7075" s="2" t="n">
        <v>43531</v>
      </c>
      <c r="D7075" t="inlineStr">
        <is>
          <t>NIL</t>
        </is>
      </c>
      <c r="E7075" t="n">
        <v>975</v>
      </c>
    </row>
    <row r="7076">
      <c r="A7076" t="inlineStr">
        <is>
          <t>27BBBBB07076Z5</t>
        </is>
      </c>
      <c r="B7076" t="inlineStr">
        <is>
          <t>Oct-2017</t>
        </is>
      </c>
      <c r="C7076" s="2" t="n">
        <v>43408</v>
      </c>
      <c r="D7076" t="inlineStr">
        <is>
          <t>NON-NIL</t>
        </is>
      </c>
      <c r="E7076" t="n">
        <v>1603</v>
      </c>
    </row>
    <row r="7077">
      <c r="A7077" t="inlineStr">
        <is>
          <t>27BBBBB07077Z5</t>
        </is>
      </c>
      <c r="B7077" t="inlineStr">
        <is>
          <t>Apr-2018</t>
        </is>
      </c>
      <c r="C7077" s="2" t="n">
        <v>43514</v>
      </c>
      <c r="D7077" t="inlineStr">
        <is>
          <t>NIL</t>
        </is>
      </c>
      <c r="E7077" t="n">
        <v>2472</v>
      </c>
    </row>
    <row r="7078">
      <c r="A7078" t="inlineStr">
        <is>
          <t>27BBBBB07078Z5</t>
        </is>
      </c>
      <c r="B7078" t="inlineStr">
        <is>
          <t>Jul-2017</t>
        </is>
      </c>
      <c r="C7078" s="2" t="n">
        <v>44355</v>
      </c>
      <c r="D7078" t="inlineStr">
        <is>
          <t>NIL</t>
        </is>
      </c>
      <c r="E7078" t="n">
        <v>1347</v>
      </c>
    </row>
    <row r="7079">
      <c r="A7079" t="inlineStr">
        <is>
          <t>27BBBBB07079Z5</t>
        </is>
      </c>
      <c r="B7079" t="inlineStr">
        <is>
          <t>Jun-2020</t>
        </is>
      </c>
      <c r="C7079" s="2" t="n">
        <v>44295</v>
      </c>
      <c r="D7079" t="inlineStr">
        <is>
          <t>NIL</t>
        </is>
      </c>
      <c r="E7079" t="n">
        <v>2367</v>
      </c>
    </row>
    <row r="7080">
      <c r="A7080" t="inlineStr">
        <is>
          <t>27BBBBB07080Z5</t>
        </is>
      </c>
      <c r="B7080" t="inlineStr">
        <is>
          <t>May-2018</t>
        </is>
      </c>
      <c r="C7080" s="2" t="n">
        <v>44064</v>
      </c>
      <c r="D7080" t="inlineStr">
        <is>
          <t>NIL</t>
        </is>
      </c>
      <c r="E7080" t="n">
        <v>774</v>
      </c>
    </row>
    <row r="7081">
      <c r="A7081" t="inlineStr">
        <is>
          <t>27BBBBB07081Z5</t>
        </is>
      </c>
      <c r="B7081" t="inlineStr">
        <is>
          <t>Jul-2020</t>
        </is>
      </c>
      <c r="C7081" s="2" t="n">
        <v>44104</v>
      </c>
      <c r="D7081" t="inlineStr">
        <is>
          <t>NON-NIL</t>
        </is>
      </c>
      <c r="E7081" t="n">
        <v>1477</v>
      </c>
    </row>
    <row r="7082">
      <c r="A7082" t="inlineStr">
        <is>
          <t>27BBBBB07082Z5</t>
        </is>
      </c>
      <c r="B7082" t="inlineStr">
        <is>
          <t>Aug-2017</t>
        </is>
      </c>
      <c r="C7082" s="2" t="n">
        <v>44173</v>
      </c>
      <c r="D7082" t="inlineStr">
        <is>
          <t>NIL</t>
        </is>
      </c>
      <c r="E7082" t="n">
        <v>483</v>
      </c>
    </row>
    <row r="7083">
      <c r="A7083" t="inlineStr">
        <is>
          <t>27BBBBB07083Z5</t>
        </is>
      </c>
      <c r="B7083" t="inlineStr">
        <is>
          <t>Dec-2017</t>
        </is>
      </c>
      <c r="C7083" s="2" t="n">
        <v>43997</v>
      </c>
      <c r="D7083" t="inlineStr">
        <is>
          <t>NIL</t>
        </is>
      </c>
      <c r="E7083" t="n">
        <v>2069</v>
      </c>
    </row>
    <row r="7084">
      <c r="A7084" t="inlineStr">
        <is>
          <t>27BBBBB07084Z5</t>
        </is>
      </c>
      <c r="B7084" t="inlineStr">
        <is>
          <t>Apr-2018</t>
        </is>
      </c>
      <c r="C7084" s="2" t="n">
        <v>44252</v>
      </c>
      <c r="D7084" t="inlineStr">
        <is>
          <t>NIL</t>
        </is>
      </c>
      <c r="E7084" t="n">
        <v>2606</v>
      </c>
    </row>
    <row r="7085">
      <c r="A7085" t="inlineStr">
        <is>
          <t>27BBBBB07085Z5</t>
        </is>
      </c>
      <c r="B7085" t="inlineStr">
        <is>
          <t>Jul-2018</t>
        </is>
      </c>
      <c r="C7085" s="2" t="n">
        <v>43530</v>
      </c>
      <c r="D7085" t="inlineStr">
        <is>
          <t>NON-NIL</t>
        </is>
      </c>
      <c r="E7085" t="n">
        <v>2460</v>
      </c>
    </row>
    <row r="7086">
      <c r="A7086" t="inlineStr">
        <is>
          <t>27BBBBB07086Z5</t>
        </is>
      </c>
      <c r="B7086" t="inlineStr">
        <is>
          <t>Dec-2024</t>
        </is>
      </c>
      <c r="C7086" s="2" t="n">
        <v>43721</v>
      </c>
      <c r="D7086" t="inlineStr">
        <is>
          <t>NIL</t>
        </is>
      </c>
      <c r="E7086" t="n">
        <v>2766</v>
      </c>
    </row>
    <row r="7087">
      <c r="A7087" t="inlineStr">
        <is>
          <t>27BBBBB07087Z5</t>
        </is>
      </c>
      <c r="B7087" t="inlineStr">
        <is>
          <t>Aug-2017</t>
        </is>
      </c>
      <c r="C7087" s="2" t="n">
        <v>44483</v>
      </c>
      <c r="D7087" t="inlineStr">
        <is>
          <t>NIL</t>
        </is>
      </c>
      <c r="E7087" t="n">
        <v>1587</v>
      </c>
    </row>
    <row r="7088">
      <c r="A7088" t="inlineStr">
        <is>
          <t>27BBBBB07088Z5</t>
        </is>
      </c>
      <c r="B7088" t="inlineStr">
        <is>
          <t>Sep-2018</t>
        </is>
      </c>
      <c r="C7088" s="2" t="n">
        <v>44517</v>
      </c>
      <c r="D7088" t="inlineStr">
        <is>
          <t>NIL</t>
        </is>
      </c>
      <c r="E7088" t="n">
        <v>2672</v>
      </c>
    </row>
    <row r="7089">
      <c r="A7089" t="inlineStr">
        <is>
          <t>27BBBBB07089Z5</t>
        </is>
      </c>
      <c r="B7089" t="inlineStr">
        <is>
          <t>Jan-2018</t>
        </is>
      </c>
      <c r="C7089" s="2" t="n">
        <v>43498</v>
      </c>
      <c r="D7089" t="inlineStr">
        <is>
          <t>NON-NIL</t>
        </is>
      </c>
      <c r="E7089" t="n">
        <v>2289</v>
      </c>
    </row>
    <row r="7090">
      <c r="A7090" t="inlineStr">
        <is>
          <t>27BBBBB07090Z5</t>
        </is>
      </c>
      <c r="B7090" t="inlineStr">
        <is>
          <t>Jan-2021</t>
        </is>
      </c>
      <c r="C7090" s="2" t="n">
        <v>43627</v>
      </c>
      <c r="D7090" t="inlineStr">
        <is>
          <t>NON-NIL</t>
        </is>
      </c>
      <c r="E7090" t="n">
        <v>2571</v>
      </c>
    </row>
    <row r="7091">
      <c r="A7091" t="inlineStr">
        <is>
          <t>27BBBBB07091Z5</t>
        </is>
      </c>
      <c r="B7091" t="inlineStr">
        <is>
          <t>Dec-2022</t>
        </is>
      </c>
      <c r="C7091" s="2" t="n">
        <v>43578</v>
      </c>
      <c r="D7091" t="inlineStr">
        <is>
          <t>NON-NIL</t>
        </is>
      </c>
      <c r="E7091" t="n">
        <v>1420</v>
      </c>
    </row>
    <row r="7092">
      <c r="A7092" t="inlineStr">
        <is>
          <t>27BBBBB07092Z5</t>
        </is>
      </c>
      <c r="B7092" t="inlineStr">
        <is>
          <t>Jul-2018</t>
        </is>
      </c>
      <c r="C7092" s="2" t="n">
        <v>43049</v>
      </c>
      <c r="D7092" t="inlineStr">
        <is>
          <t>NIL</t>
        </is>
      </c>
      <c r="E7092" t="n">
        <v>459</v>
      </c>
    </row>
    <row r="7093">
      <c r="A7093" t="inlineStr">
        <is>
          <t>27BBBBB07093Z5</t>
        </is>
      </c>
      <c r="B7093" t="inlineStr">
        <is>
          <t>Jun-2020</t>
        </is>
      </c>
      <c r="C7093" s="2" t="n">
        <v>44840</v>
      </c>
      <c r="D7093" t="inlineStr">
        <is>
          <t>NON-NIL</t>
        </is>
      </c>
      <c r="E7093" t="n">
        <v>1933</v>
      </c>
    </row>
    <row r="7094">
      <c r="A7094" t="inlineStr">
        <is>
          <t>27BBBBB07094Z5</t>
        </is>
      </c>
      <c r="B7094" t="inlineStr">
        <is>
          <t>Nov-2017</t>
        </is>
      </c>
      <c r="C7094" s="2" t="n">
        <v>43762</v>
      </c>
      <c r="D7094" t="inlineStr">
        <is>
          <t>NON-NIL</t>
        </is>
      </c>
      <c r="E7094" t="n">
        <v>736</v>
      </c>
    </row>
    <row r="7095">
      <c r="A7095" t="inlineStr">
        <is>
          <t>27BBBBB07095Z5</t>
        </is>
      </c>
      <c r="B7095" t="inlineStr">
        <is>
          <t>Jan-2018</t>
        </is>
      </c>
      <c r="C7095" s="2" t="n">
        <v>43539</v>
      </c>
      <c r="D7095" t="inlineStr">
        <is>
          <t>NIL</t>
        </is>
      </c>
      <c r="E7095" t="n">
        <v>1778</v>
      </c>
    </row>
    <row r="7096">
      <c r="A7096" t="inlineStr">
        <is>
          <t>27BBBBB07096Z5</t>
        </is>
      </c>
      <c r="B7096" t="inlineStr">
        <is>
          <t>Dec-2018</t>
        </is>
      </c>
      <c r="C7096" s="2" t="n">
        <v>44036</v>
      </c>
      <c r="D7096" t="inlineStr">
        <is>
          <t>NON-NIL</t>
        </is>
      </c>
      <c r="E7096" t="n">
        <v>2032</v>
      </c>
    </row>
    <row r="7097">
      <c r="A7097" t="inlineStr">
        <is>
          <t>27BBBBB07097Z5</t>
        </is>
      </c>
      <c r="B7097" t="inlineStr">
        <is>
          <t>Nov-2017</t>
        </is>
      </c>
      <c r="C7097" s="2" t="n">
        <v>43902</v>
      </c>
      <c r="D7097" t="inlineStr">
        <is>
          <t>NON-NIL</t>
        </is>
      </c>
      <c r="E7097" t="n">
        <v>2623</v>
      </c>
    </row>
    <row r="7098">
      <c r="A7098" t="inlineStr">
        <is>
          <t>27BBBBB07098Z5</t>
        </is>
      </c>
      <c r="B7098" t="inlineStr">
        <is>
          <t>Jan-2018</t>
        </is>
      </c>
      <c r="C7098" s="2" t="n">
        <v>44039</v>
      </c>
      <c r="D7098" t="inlineStr">
        <is>
          <t>NON-NIL</t>
        </is>
      </c>
      <c r="E7098" t="n">
        <v>1595</v>
      </c>
    </row>
    <row r="7099">
      <c r="A7099" t="inlineStr">
        <is>
          <t>27BBBBB07099Z5</t>
        </is>
      </c>
      <c r="B7099" t="inlineStr">
        <is>
          <t>Dec-2018</t>
        </is>
      </c>
      <c r="C7099" s="2" t="n">
        <v>44135</v>
      </c>
      <c r="D7099" t="inlineStr">
        <is>
          <t>NON-NIL</t>
        </is>
      </c>
      <c r="E7099" t="n">
        <v>2897</v>
      </c>
    </row>
    <row r="7100">
      <c r="A7100" t="inlineStr">
        <is>
          <t>27BBBBB07100Z5</t>
        </is>
      </c>
      <c r="B7100" t="inlineStr">
        <is>
          <t>Aug-2017</t>
        </is>
      </c>
      <c r="C7100" s="2" t="n">
        <v>43827</v>
      </c>
      <c r="D7100" t="inlineStr">
        <is>
          <t>NIL</t>
        </is>
      </c>
      <c r="E7100" t="n">
        <v>2984</v>
      </c>
    </row>
    <row r="7101">
      <c r="A7101" t="inlineStr">
        <is>
          <t>27BBBBB07101Z5</t>
        </is>
      </c>
      <c r="B7101" t="inlineStr">
        <is>
          <t>Apr-2018</t>
        </is>
      </c>
      <c r="C7101" s="2" t="n">
        <v>44241</v>
      </c>
      <c r="D7101" t="inlineStr">
        <is>
          <t>NIL</t>
        </is>
      </c>
      <c r="E7101" t="n">
        <v>418</v>
      </c>
    </row>
    <row r="7102">
      <c r="A7102" t="inlineStr">
        <is>
          <t>27BBBBB07102Z5</t>
        </is>
      </c>
      <c r="B7102" t="inlineStr">
        <is>
          <t>Dec-2018</t>
        </is>
      </c>
      <c r="C7102" s="2" t="n">
        <v>42950</v>
      </c>
      <c r="D7102" t="inlineStr">
        <is>
          <t>NIL</t>
        </is>
      </c>
      <c r="E7102" t="n">
        <v>445</v>
      </c>
    </row>
    <row r="7103">
      <c r="A7103" t="inlineStr">
        <is>
          <t>27BBBBB07103Z5</t>
        </is>
      </c>
      <c r="B7103" t="inlineStr">
        <is>
          <t>Jul-2018</t>
        </is>
      </c>
      <c r="C7103" s="2" t="n">
        <v>44156</v>
      </c>
      <c r="D7103" t="inlineStr">
        <is>
          <t>NIL</t>
        </is>
      </c>
      <c r="E7103" t="n">
        <v>816</v>
      </c>
    </row>
    <row r="7104">
      <c r="A7104" t="inlineStr">
        <is>
          <t>27BBBBB07104Z5</t>
        </is>
      </c>
      <c r="B7104" t="inlineStr">
        <is>
          <t>Jan-2021</t>
        </is>
      </c>
      <c r="C7104" s="2" t="n">
        <v>45507</v>
      </c>
      <c r="D7104" t="inlineStr">
        <is>
          <t>NON-NIL</t>
        </is>
      </c>
      <c r="E7104" t="n">
        <v>1001</v>
      </c>
    </row>
    <row r="7105">
      <c r="A7105" t="inlineStr">
        <is>
          <t>27BBBBB07105Z5</t>
        </is>
      </c>
      <c r="B7105" t="inlineStr">
        <is>
          <t>Jul-2020</t>
        </is>
      </c>
      <c r="C7105" s="2" t="n">
        <v>44448</v>
      </c>
      <c r="D7105" t="inlineStr">
        <is>
          <t>NIL</t>
        </is>
      </c>
      <c r="E7105" t="n">
        <v>2784</v>
      </c>
    </row>
    <row r="7106">
      <c r="A7106" t="inlineStr">
        <is>
          <t>27BBBBB07106Z5</t>
        </is>
      </c>
      <c r="B7106" t="inlineStr">
        <is>
          <t>May-2020</t>
        </is>
      </c>
      <c r="C7106" s="2" t="n">
        <v>43890</v>
      </c>
      <c r="D7106" t="inlineStr">
        <is>
          <t>NON-NIL</t>
        </is>
      </c>
      <c r="E7106" t="n">
        <v>1682</v>
      </c>
    </row>
    <row r="7107">
      <c r="A7107" t="inlineStr">
        <is>
          <t>27BBBBB07107Z5</t>
        </is>
      </c>
      <c r="B7107" t="inlineStr">
        <is>
          <t>Jul-2018</t>
        </is>
      </c>
      <c r="C7107" s="2" t="n">
        <v>43946</v>
      </c>
      <c r="D7107" t="inlineStr">
        <is>
          <t>NIL</t>
        </is>
      </c>
      <c r="E7107" t="n">
        <v>1869</v>
      </c>
    </row>
    <row r="7108">
      <c r="A7108" t="inlineStr">
        <is>
          <t>27BBBBB07108Z5</t>
        </is>
      </c>
      <c r="B7108" t="inlineStr">
        <is>
          <t>Feb-2018</t>
        </is>
      </c>
      <c r="C7108" s="2" t="n">
        <v>43651</v>
      </c>
      <c r="D7108" t="inlineStr">
        <is>
          <t>NIL</t>
        </is>
      </c>
      <c r="E7108" t="n">
        <v>1622</v>
      </c>
    </row>
    <row r="7109">
      <c r="A7109" t="inlineStr">
        <is>
          <t>27BBBBB07109Z5</t>
        </is>
      </c>
      <c r="B7109" t="inlineStr">
        <is>
          <t>Sep-2018</t>
        </is>
      </c>
      <c r="C7109" s="2" t="n">
        <v>43566</v>
      </c>
      <c r="D7109" t="inlineStr">
        <is>
          <t>NON-NIL</t>
        </is>
      </c>
      <c r="E7109" t="n">
        <v>1444</v>
      </c>
    </row>
    <row r="7110">
      <c r="A7110" t="inlineStr">
        <is>
          <t>27BBBBB07110Z5</t>
        </is>
      </c>
      <c r="B7110" t="inlineStr">
        <is>
          <t>Dec-2017</t>
        </is>
      </c>
      <c r="C7110" s="2" t="n">
        <v>44189</v>
      </c>
      <c r="D7110" t="inlineStr">
        <is>
          <t>NIL</t>
        </is>
      </c>
      <c r="E7110" t="n">
        <v>1532</v>
      </c>
    </row>
    <row r="7111">
      <c r="A7111" t="inlineStr">
        <is>
          <t>27BBBBB07111Z5</t>
        </is>
      </c>
      <c r="B7111" t="inlineStr">
        <is>
          <t>Feb-2018</t>
        </is>
      </c>
      <c r="C7111" s="2" t="n">
        <v>44248</v>
      </c>
      <c r="D7111" t="inlineStr">
        <is>
          <t>NIL</t>
        </is>
      </c>
      <c r="E7111" t="n">
        <v>796</v>
      </c>
    </row>
    <row r="7112">
      <c r="A7112" t="inlineStr">
        <is>
          <t>27BBBBB07112Z5</t>
        </is>
      </c>
      <c r="B7112" t="inlineStr">
        <is>
          <t>Jul-2018</t>
        </is>
      </c>
      <c r="C7112" s="2" t="n">
        <v>43159</v>
      </c>
      <c r="D7112" t="inlineStr">
        <is>
          <t>NIL</t>
        </is>
      </c>
      <c r="E7112" t="n">
        <v>67</v>
      </c>
    </row>
    <row r="7113">
      <c r="A7113" t="inlineStr">
        <is>
          <t>27BBBBB07113Z5</t>
        </is>
      </c>
      <c r="B7113" t="inlineStr">
        <is>
          <t>Mar-2018</t>
        </is>
      </c>
      <c r="C7113" s="2" t="n">
        <v>44200</v>
      </c>
      <c r="D7113" t="inlineStr">
        <is>
          <t>NON-NIL</t>
        </is>
      </c>
      <c r="E7113" t="n">
        <v>2591</v>
      </c>
    </row>
    <row r="7114">
      <c r="A7114" t="inlineStr">
        <is>
          <t>27BBBBB07114Z5</t>
        </is>
      </c>
      <c r="B7114" t="inlineStr">
        <is>
          <t>Jul-2017</t>
        </is>
      </c>
      <c r="C7114" s="2" t="n">
        <v>44418</v>
      </c>
      <c r="D7114" t="inlineStr">
        <is>
          <t>NON-NIL</t>
        </is>
      </c>
      <c r="E7114" t="n">
        <v>446</v>
      </c>
    </row>
    <row r="7115">
      <c r="A7115" t="inlineStr">
        <is>
          <t>27BBBBB07115Z5</t>
        </is>
      </c>
      <c r="B7115" t="inlineStr">
        <is>
          <t>Jul-2017</t>
        </is>
      </c>
      <c r="C7115" s="2" t="n">
        <v>42964</v>
      </c>
      <c r="D7115" t="inlineStr">
        <is>
          <t>NIL</t>
        </is>
      </c>
      <c r="E7115" t="n">
        <v>2309</v>
      </c>
    </row>
    <row r="7116">
      <c r="A7116" t="inlineStr">
        <is>
          <t>27BBBBB07116Z5</t>
        </is>
      </c>
      <c r="B7116" t="inlineStr">
        <is>
          <t>Jul-2020</t>
        </is>
      </c>
      <c r="C7116" s="2" t="n">
        <v>44530</v>
      </c>
      <c r="D7116" t="inlineStr">
        <is>
          <t>NIL</t>
        </is>
      </c>
      <c r="E7116" t="n">
        <v>190</v>
      </c>
    </row>
    <row r="7117">
      <c r="A7117" t="inlineStr">
        <is>
          <t>27BBBBB07117Z5</t>
        </is>
      </c>
      <c r="B7117" t="inlineStr">
        <is>
          <t>Apr-2020</t>
        </is>
      </c>
      <c r="C7117" s="2" t="n">
        <v>44792</v>
      </c>
      <c r="D7117" t="inlineStr">
        <is>
          <t>NIL</t>
        </is>
      </c>
      <c r="E7117" t="n">
        <v>1619</v>
      </c>
    </row>
    <row r="7118">
      <c r="A7118" t="inlineStr">
        <is>
          <t>27BBBBB07118Z5</t>
        </is>
      </c>
      <c r="B7118" t="inlineStr">
        <is>
          <t>Mar-2018</t>
        </is>
      </c>
      <c r="C7118" s="2" t="n">
        <v>43774</v>
      </c>
      <c r="D7118" t="inlineStr">
        <is>
          <t>NIL</t>
        </is>
      </c>
      <c r="E7118" t="n">
        <v>1841</v>
      </c>
    </row>
    <row r="7119">
      <c r="A7119" t="inlineStr">
        <is>
          <t>27BBBBB07119Z5</t>
        </is>
      </c>
      <c r="B7119" t="inlineStr">
        <is>
          <t>Oct-2017</t>
        </is>
      </c>
      <c r="C7119" s="2" t="n">
        <v>43772</v>
      </c>
      <c r="D7119" t="inlineStr">
        <is>
          <t>NON-NIL</t>
        </is>
      </c>
      <c r="E7119" t="n">
        <v>1437</v>
      </c>
    </row>
    <row r="7120">
      <c r="A7120" t="inlineStr">
        <is>
          <t>27BBBBB07120Z5</t>
        </is>
      </c>
      <c r="B7120" t="inlineStr">
        <is>
          <t>Dec-2022</t>
        </is>
      </c>
      <c r="C7120" s="2" t="n">
        <v>43998</v>
      </c>
      <c r="D7120" t="inlineStr">
        <is>
          <t>NIL</t>
        </is>
      </c>
      <c r="E7120" t="n">
        <v>1479</v>
      </c>
    </row>
    <row r="7121">
      <c r="A7121" t="inlineStr">
        <is>
          <t>27BBBBB07121Z5</t>
        </is>
      </c>
      <c r="B7121" t="inlineStr">
        <is>
          <t>Mar-2020</t>
        </is>
      </c>
      <c r="C7121" s="2" t="n">
        <v>44332</v>
      </c>
      <c r="D7121" t="inlineStr">
        <is>
          <t>NON-NIL</t>
        </is>
      </c>
      <c r="E7121" t="n">
        <v>1076</v>
      </c>
    </row>
    <row r="7122">
      <c r="A7122" t="inlineStr">
        <is>
          <t>27BBBBB07122Z5</t>
        </is>
      </c>
      <c r="B7122" t="inlineStr">
        <is>
          <t>Sep-2017</t>
        </is>
      </c>
      <c r="C7122" s="2" t="n">
        <v>43673</v>
      </c>
      <c r="D7122" t="inlineStr">
        <is>
          <t>NON-NIL</t>
        </is>
      </c>
      <c r="E7122" t="n">
        <v>2994</v>
      </c>
    </row>
    <row r="7123">
      <c r="A7123" t="inlineStr">
        <is>
          <t>27BBBBB07123Z5</t>
        </is>
      </c>
      <c r="B7123" t="inlineStr">
        <is>
          <t>Dec-2017</t>
        </is>
      </c>
      <c r="C7123" s="2" t="n">
        <v>43398</v>
      </c>
      <c r="D7123" t="inlineStr">
        <is>
          <t>NON-NIL</t>
        </is>
      </c>
      <c r="E7123" t="n">
        <v>1064</v>
      </c>
    </row>
    <row r="7124">
      <c r="A7124" t="inlineStr">
        <is>
          <t>27BBBBB07124Z5</t>
        </is>
      </c>
      <c r="B7124" t="inlineStr">
        <is>
          <t>Dec-2017</t>
        </is>
      </c>
      <c r="C7124" s="2" t="n">
        <v>43432</v>
      </c>
      <c r="D7124" t="inlineStr">
        <is>
          <t>NON-NIL</t>
        </is>
      </c>
      <c r="E7124" t="n">
        <v>1159</v>
      </c>
    </row>
    <row r="7125">
      <c r="A7125" t="inlineStr">
        <is>
          <t>27BBBBB07125Z5</t>
        </is>
      </c>
      <c r="B7125" t="inlineStr">
        <is>
          <t>Nov-2017</t>
        </is>
      </c>
      <c r="C7125" s="2" t="n">
        <v>44248</v>
      </c>
      <c r="D7125" t="inlineStr">
        <is>
          <t>NON-NIL</t>
        </is>
      </c>
      <c r="E7125" t="n">
        <v>2215</v>
      </c>
    </row>
    <row r="7126">
      <c r="A7126" t="inlineStr">
        <is>
          <t>27BBBBB07126Z5</t>
        </is>
      </c>
      <c r="B7126" t="inlineStr">
        <is>
          <t>Mar-2020</t>
        </is>
      </c>
      <c r="C7126" s="2" t="n">
        <v>44027</v>
      </c>
      <c r="D7126" t="inlineStr">
        <is>
          <t>NON-NIL</t>
        </is>
      </c>
      <c r="E7126" t="n">
        <v>2517</v>
      </c>
    </row>
    <row r="7127">
      <c r="A7127" t="inlineStr">
        <is>
          <t>27BBBBB07127Z5</t>
        </is>
      </c>
      <c r="B7127" t="inlineStr">
        <is>
          <t>Oct-2018</t>
        </is>
      </c>
      <c r="C7127" s="2" t="n">
        <v>44461</v>
      </c>
      <c r="D7127" t="inlineStr">
        <is>
          <t>NON-NIL</t>
        </is>
      </c>
      <c r="E7127" t="n">
        <v>1755</v>
      </c>
    </row>
    <row r="7128">
      <c r="A7128" t="inlineStr">
        <is>
          <t>27BBBBB07128Z5</t>
        </is>
      </c>
      <c r="B7128" t="inlineStr">
        <is>
          <t>May-2018</t>
        </is>
      </c>
      <c r="C7128" s="2" t="n">
        <v>43100</v>
      </c>
      <c r="D7128" t="inlineStr">
        <is>
          <t>NON-NIL</t>
        </is>
      </c>
      <c r="E7128" t="n">
        <v>1734</v>
      </c>
    </row>
    <row r="7129">
      <c r="A7129" t="inlineStr">
        <is>
          <t>27BBBBB07129Z5</t>
        </is>
      </c>
      <c r="B7129" t="inlineStr">
        <is>
          <t>Jun-2020</t>
        </is>
      </c>
      <c r="C7129" s="2" t="n">
        <v>44597</v>
      </c>
      <c r="D7129" t="inlineStr">
        <is>
          <t>NON-NIL</t>
        </is>
      </c>
      <c r="E7129" t="n">
        <v>865</v>
      </c>
    </row>
    <row r="7130">
      <c r="A7130" t="inlineStr">
        <is>
          <t>27BBBBB07130Z5</t>
        </is>
      </c>
      <c r="B7130" t="inlineStr">
        <is>
          <t>Jan-2021</t>
        </is>
      </c>
      <c r="C7130" s="2" t="n">
        <v>43917</v>
      </c>
      <c r="D7130" t="inlineStr">
        <is>
          <t>NON-NIL</t>
        </is>
      </c>
      <c r="E7130" t="n">
        <v>121</v>
      </c>
    </row>
    <row r="7131">
      <c r="A7131" t="inlineStr">
        <is>
          <t>27BBBBB07131Z5</t>
        </is>
      </c>
      <c r="B7131" t="inlineStr">
        <is>
          <t>Dec-2022</t>
        </is>
      </c>
      <c r="C7131" s="2" t="n">
        <v>44300</v>
      </c>
      <c r="D7131" t="inlineStr">
        <is>
          <t>NIL</t>
        </is>
      </c>
      <c r="E7131" t="n">
        <v>2633</v>
      </c>
    </row>
    <row r="7132">
      <c r="A7132" t="inlineStr">
        <is>
          <t>27BBBBB07132Z5</t>
        </is>
      </c>
      <c r="B7132" t="inlineStr">
        <is>
          <t>Dec-2018</t>
        </is>
      </c>
      <c r="C7132" s="2" t="n">
        <v>44272</v>
      </c>
      <c r="D7132" t="inlineStr">
        <is>
          <t>NON-NIL</t>
        </is>
      </c>
      <c r="E7132" t="n">
        <v>2748</v>
      </c>
    </row>
    <row r="7133">
      <c r="A7133" t="inlineStr">
        <is>
          <t>27BBBBB07133Z5</t>
        </is>
      </c>
      <c r="B7133" t="inlineStr">
        <is>
          <t>Dec-2018</t>
        </is>
      </c>
      <c r="C7133" s="2" t="n">
        <v>44089</v>
      </c>
      <c r="D7133" t="inlineStr">
        <is>
          <t>NON-NIL</t>
        </is>
      </c>
      <c r="E7133" t="n">
        <v>2285</v>
      </c>
    </row>
    <row r="7134">
      <c r="A7134" t="inlineStr">
        <is>
          <t>27BBBBB07134Z5</t>
        </is>
      </c>
      <c r="B7134" t="inlineStr">
        <is>
          <t>Mar-2023</t>
        </is>
      </c>
      <c r="C7134" s="2" t="n">
        <v>44706</v>
      </c>
      <c r="D7134" t="inlineStr">
        <is>
          <t>NIL</t>
        </is>
      </c>
      <c r="E7134" t="n">
        <v>2842</v>
      </c>
    </row>
    <row r="7135">
      <c r="A7135" t="inlineStr">
        <is>
          <t>27BBBBB07135Z5</t>
        </is>
      </c>
      <c r="B7135" t="inlineStr">
        <is>
          <t>Dec-2024</t>
        </is>
      </c>
      <c r="C7135" s="2" t="n">
        <v>45488</v>
      </c>
      <c r="D7135" t="inlineStr">
        <is>
          <t>NIL</t>
        </is>
      </c>
      <c r="E7135" t="n">
        <v>1763</v>
      </c>
    </row>
    <row r="7136">
      <c r="A7136" t="inlineStr">
        <is>
          <t>27BBBBB07136Z5</t>
        </is>
      </c>
      <c r="B7136" t="inlineStr">
        <is>
          <t>Mar-2021</t>
        </is>
      </c>
      <c r="C7136" s="2" t="n">
        <v>44393</v>
      </c>
      <c r="D7136" t="inlineStr">
        <is>
          <t>NON-NIL</t>
        </is>
      </c>
      <c r="E7136" t="n">
        <v>547</v>
      </c>
    </row>
    <row r="7137">
      <c r="A7137" t="inlineStr">
        <is>
          <t>27BBBBB07137Z5</t>
        </is>
      </c>
      <c r="B7137" t="inlineStr">
        <is>
          <t>Nov-2018</t>
        </is>
      </c>
      <c r="C7137" s="2" t="n">
        <v>44045</v>
      </c>
      <c r="D7137" t="inlineStr">
        <is>
          <t>NIL</t>
        </is>
      </c>
      <c r="E7137" t="n">
        <v>2056</v>
      </c>
    </row>
    <row r="7138">
      <c r="A7138" t="inlineStr">
        <is>
          <t>27BBBBB07138Z5</t>
        </is>
      </c>
      <c r="B7138" t="inlineStr">
        <is>
          <t>Jul-2017</t>
        </is>
      </c>
      <c r="C7138" s="2" t="n">
        <v>44307</v>
      </c>
      <c r="D7138" t="inlineStr">
        <is>
          <t>NIL</t>
        </is>
      </c>
      <c r="E7138" t="n">
        <v>879</v>
      </c>
    </row>
    <row r="7139">
      <c r="A7139" t="inlineStr">
        <is>
          <t>27BBBBB07139Z5</t>
        </is>
      </c>
      <c r="B7139" t="inlineStr">
        <is>
          <t>Oct-2017</t>
        </is>
      </c>
      <c r="C7139" s="2" t="n">
        <v>43556</v>
      </c>
      <c r="D7139" t="inlineStr">
        <is>
          <t>NIL</t>
        </is>
      </c>
      <c r="E7139" t="n">
        <v>2712</v>
      </c>
    </row>
    <row r="7140">
      <c r="A7140" t="inlineStr">
        <is>
          <t>27BBBBB07140Z5</t>
        </is>
      </c>
      <c r="B7140" t="inlineStr">
        <is>
          <t>Dec-2024</t>
        </is>
      </c>
      <c r="C7140" s="2" t="n">
        <v>43622</v>
      </c>
      <c r="D7140" t="inlineStr">
        <is>
          <t>NIL</t>
        </is>
      </c>
      <c r="E7140" t="n">
        <v>1430</v>
      </c>
    </row>
    <row r="7141">
      <c r="A7141" t="inlineStr">
        <is>
          <t>27BBBBB07141Z5</t>
        </is>
      </c>
      <c r="B7141" t="inlineStr">
        <is>
          <t>Nov-2017</t>
        </is>
      </c>
      <c r="C7141" s="2" t="n">
        <v>42998</v>
      </c>
      <c r="D7141" t="inlineStr">
        <is>
          <t>NIL</t>
        </is>
      </c>
      <c r="E7141" t="n">
        <v>2675</v>
      </c>
    </row>
    <row r="7142">
      <c r="A7142" t="inlineStr">
        <is>
          <t>27BBBBB07142Z5</t>
        </is>
      </c>
      <c r="B7142" t="inlineStr">
        <is>
          <t>Nov-2017</t>
        </is>
      </c>
      <c r="C7142" s="2" t="n">
        <v>44505</v>
      </c>
      <c r="D7142" t="inlineStr">
        <is>
          <t>NIL</t>
        </is>
      </c>
      <c r="E7142" t="n">
        <v>1187</v>
      </c>
    </row>
    <row r="7143">
      <c r="A7143" t="inlineStr">
        <is>
          <t>27BBBBB07143Z5</t>
        </is>
      </c>
      <c r="B7143" t="inlineStr">
        <is>
          <t>Dec-2017</t>
        </is>
      </c>
      <c r="C7143" s="2" t="n">
        <v>44289</v>
      </c>
      <c r="D7143" t="inlineStr">
        <is>
          <t>NON-NIL</t>
        </is>
      </c>
      <c r="E7143" t="n">
        <v>2350</v>
      </c>
    </row>
    <row r="7144">
      <c r="A7144" t="inlineStr">
        <is>
          <t>27BBBBB07144Z5</t>
        </is>
      </c>
      <c r="B7144" t="inlineStr">
        <is>
          <t>Jul-2020</t>
        </is>
      </c>
      <c r="C7144" s="2" t="n">
        <v>43923</v>
      </c>
      <c r="D7144" t="inlineStr">
        <is>
          <t>NON-NIL</t>
        </is>
      </c>
      <c r="E7144" t="n">
        <v>2225</v>
      </c>
    </row>
    <row r="7145">
      <c r="A7145" t="inlineStr">
        <is>
          <t>27BBBBB07145Z5</t>
        </is>
      </c>
      <c r="B7145" t="inlineStr">
        <is>
          <t>Dec-2017</t>
        </is>
      </c>
      <c r="C7145" s="2" t="n">
        <v>43564</v>
      </c>
      <c r="D7145" t="inlineStr">
        <is>
          <t>NIL</t>
        </is>
      </c>
      <c r="E7145" t="n">
        <v>1070</v>
      </c>
    </row>
    <row r="7146">
      <c r="A7146" t="inlineStr">
        <is>
          <t>27BBBBB07146Z5</t>
        </is>
      </c>
      <c r="B7146" t="inlineStr">
        <is>
          <t>Jul-2018</t>
        </is>
      </c>
      <c r="C7146" s="2" t="n">
        <v>43931</v>
      </c>
      <c r="D7146" t="inlineStr">
        <is>
          <t>NIL</t>
        </is>
      </c>
      <c r="E7146" t="n">
        <v>2402</v>
      </c>
    </row>
    <row r="7147">
      <c r="A7147" t="inlineStr">
        <is>
          <t>27BBBBB07147Z5</t>
        </is>
      </c>
      <c r="B7147" t="inlineStr">
        <is>
          <t>Mar-2020</t>
        </is>
      </c>
      <c r="C7147" s="2" t="n">
        <v>44739</v>
      </c>
      <c r="D7147" t="inlineStr">
        <is>
          <t>NON-NIL</t>
        </is>
      </c>
      <c r="E7147" t="n">
        <v>2663</v>
      </c>
    </row>
    <row r="7148">
      <c r="A7148" t="inlineStr">
        <is>
          <t>27BBBBB07148Z5</t>
        </is>
      </c>
      <c r="B7148" t="inlineStr">
        <is>
          <t>Aug-2017</t>
        </is>
      </c>
      <c r="C7148" s="2" t="n">
        <v>44461</v>
      </c>
      <c r="D7148" t="inlineStr">
        <is>
          <t>NON-NIL</t>
        </is>
      </c>
      <c r="E7148" t="n">
        <v>289</v>
      </c>
    </row>
    <row r="7149">
      <c r="A7149" t="inlineStr">
        <is>
          <t>27BBBBB07149Z5</t>
        </is>
      </c>
      <c r="B7149" t="inlineStr">
        <is>
          <t>Jul-2018</t>
        </is>
      </c>
      <c r="C7149" s="2" t="n">
        <v>43054</v>
      </c>
      <c r="D7149" t="inlineStr">
        <is>
          <t>NIL</t>
        </is>
      </c>
      <c r="E7149" t="n">
        <v>482</v>
      </c>
    </row>
    <row r="7150">
      <c r="A7150" t="inlineStr">
        <is>
          <t>27BBBBB07150Z5</t>
        </is>
      </c>
      <c r="B7150" t="inlineStr">
        <is>
          <t>May-2020</t>
        </is>
      </c>
      <c r="C7150" s="2" t="n">
        <v>44140</v>
      </c>
      <c r="D7150" t="inlineStr">
        <is>
          <t>NIL</t>
        </is>
      </c>
      <c r="E7150" t="n">
        <v>1881</v>
      </c>
    </row>
    <row r="7151">
      <c r="A7151" t="inlineStr">
        <is>
          <t>27BBBBB07151Z5</t>
        </is>
      </c>
      <c r="B7151" t="inlineStr">
        <is>
          <t>Nov-2018</t>
        </is>
      </c>
      <c r="C7151" s="2" t="n">
        <v>44010</v>
      </c>
      <c r="D7151" t="inlineStr">
        <is>
          <t>NIL</t>
        </is>
      </c>
      <c r="E7151" t="n">
        <v>1779</v>
      </c>
    </row>
    <row r="7152">
      <c r="A7152" t="inlineStr">
        <is>
          <t>27BBBBB07152Z5</t>
        </is>
      </c>
      <c r="B7152" t="inlineStr">
        <is>
          <t>May-2020</t>
        </is>
      </c>
      <c r="C7152" s="2" t="n">
        <v>44207</v>
      </c>
      <c r="D7152" t="inlineStr">
        <is>
          <t>NON-NIL</t>
        </is>
      </c>
      <c r="E7152" t="n">
        <v>1730</v>
      </c>
    </row>
    <row r="7153">
      <c r="A7153" t="inlineStr">
        <is>
          <t>27BBBBB07153Z5</t>
        </is>
      </c>
      <c r="B7153" t="inlineStr">
        <is>
          <t>Jul-2018</t>
        </is>
      </c>
      <c r="C7153" s="2" t="n">
        <v>44169</v>
      </c>
      <c r="D7153" t="inlineStr">
        <is>
          <t>NON-NIL</t>
        </is>
      </c>
      <c r="E7153" t="n">
        <v>1099</v>
      </c>
    </row>
    <row r="7154">
      <c r="A7154" t="inlineStr">
        <is>
          <t>27BBBBB07154Z5</t>
        </is>
      </c>
      <c r="B7154" t="inlineStr">
        <is>
          <t>Mar-2021</t>
        </is>
      </c>
      <c r="C7154" s="2" t="n">
        <v>44039</v>
      </c>
      <c r="D7154" t="inlineStr">
        <is>
          <t>NIL</t>
        </is>
      </c>
      <c r="E7154" t="n">
        <v>968</v>
      </c>
    </row>
    <row r="7155">
      <c r="A7155" t="inlineStr">
        <is>
          <t>27BBBBB07155Z5</t>
        </is>
      </c>
      <c r="B7155" t="inlineStr">
        <is>
          <t>Dec-2024</t>
        </is>
      </c>
      <c r="C7155" s="2" t="n">
        <v>44398</v>
      </c>
      <c r="D7155" t="inlineStr">
        <is>
          <t>NON-NIL</t>
        </is>
      </c>
      <c r="E7155" t="n">
        <v>1247</v>
      </c>
    </row>
    <row r="7156">
      <c r="A7156" t="inlineStr">
        <is>
          <t>27BBBBB07156Z5</t>
        </is>
      </c>
      <c r="B7156" t="inlineStr">
        <is>
          <t>Apr-2018</t>
        </is>
      </c>
      <c r="C7156" s="2" t="n">
        <v>43735</v>
      </c>
      <c r="D7156" t="inlineStr">
        <is>
          <t>NIL</t>
        </is>
      </c>
      <c r="E7156" t="n">
        <v>373</v>
      </c>
    </row>
    <row r="7157">
      <c r="A7157" t="inlineStr">
        <is>
          <t>27BBBBB07157Z5</t>
        </is>
      </c>
      <c r="B7157" t="inlineStr">
        <is>
          <t>Sep-2018</t>
        </is>
      </c>
      <c r="C7157" s="2" t="n">
        <v>44080</v>
      </c>
      <c r="D7157" t="inlineStr">
        <is>
          <t>NON-NIL</t>
        </is>
      </c>
      <c r="E7157" t="n">
        <v>1236</v>
      </c>
    </row>
    <row r="7158">
      <c r="A7158" t="inlineStr">
        <is>
          <t>27BBBBB07158Z5</t>
        </is>
      </c>
      <c r="B7158" t="inlineStr">
        <is>
          <t>Apr-2020</t>
        </is>
      </c>
      <c r="C7158" s="2" t="n">
        <v>44584</v>
      </c>
      <c r="D7158" t="inlineStr">
        <is>
          <t>NON-NIL</t>
        </is>
      </c>
      <c r="E7158" t="n">
        <v>275</v>
      </c>
    </row>
    <row r="7159">
      <c r="A7159" t="inlineStr">
        <is>
          <t>27BBBBB07159Z5</t>
        </is>
      </c>
      <c r="B7159" t="inlineStr">
        <is>
          <t>Jun-2020</t>
        </is>
      </c>
      <c r="C7159" s="2" t="n">
        <v>44001</v>
      </c>
      <c r="D7159" t="inlineStr">
        <is>
          <t>NON-NIL</t>
        </is>
      </c>
      <c r="E7159" t="n">
        <v>42</v>
      </c>
    </row>
    <row r="7160">
      <c r="A7160" t="inlineStr">
        <is>
          <t>27BBBBB07160Z5</t>
        </is>
      </c>
      <c r="B7160" t="inlineStr">
        <is>
          <t>Apr-2018</t>
        </is>
      </c>
      <c r="C7160" s="2" t="n">
        <v>44178</v>
      </c>
      <c r="D7160" t="inlineStr">
        <is>
          <t>NON-NIL</t>
        </is>
      </c>
      <c r="E7160" t="n">
        <v>2636</v>
      </c>
    </row>
    <row r="7161">
      <c r="A7161" t="inlineStr">
        <is>
          <t>27BBBBB07161Z5</t>
        </is>
      </c>
      <c r="B7161" t="inlineStr">
        <is>
          <t>Jul-2020</t>
        </is>
      </c>
      <c r="C7161" s="2" t="n">
        <v>44464</v>
      </c>
      <c r="D7161" t="inlineStr">
        <is>
          <t>NIL</t>
        </is>
      </c>
      <c r="E7161" t="n">
        <v>1488</v>
      </c>
    </row>
    <row r="7162">
      <c r="A7162" t="inlineStr">
        <is>
          <t>27BBBBB07162Z5</t>
        </is>
      </c>
      <c r="B7162" t="inlineStr">
        <is>
          <t>Jan-2018</t>
        </is>
      </c>
      <c r="C7162" s="2" t="n">
        <v>43707</v>
      </c>
      <c r="D7162" t="inlineStr">
        <is>
          <t>NIL</t>
        </is>
      </c>
      <c r="E7162" t="n">
        <v>1055</v>
      </c>
    </row>
    <row r="7163">
      <c r="A7163" t="inlineStr">
        <is>
          <t>27BBBBB07163Z5</t>
        </is>
      </c>
      <c r="B7163" t="inlineStr">
        <is>
          <t>May-2018</t>
        </is>
      </c>
      <c r="C7163" s="2" t="n">
        <v>43064</v>
      </c>
      <c r="D7163" t="inlineStr">
        <is>
          <t>NIL</t>
        </is>
      </c>
      <c r="E7163" t="n">
        <v>303</v>
      </c>
    </row>
    <row r="7164">
      <c r="A7164" t="inlineStr">
        <is>
          <t>27BBBBB07164Z5</t>
        </is>
      </c>
      <c r="B7164" t="inlineStr">
        <is>
          <t>Mar-2023</t>
        </is>
      </c>
      <c r="C7164" s="2" t="n">
        <v>44404</v>
      </c>
      <c r="D7164" t="inlineStr">
        <is>
          <t>NIL</t>
        </is>
      </c>
      <c r="E7164" t="n">
        <v>387</v>
      </c>
    </row>
    <row r="7165">
      <c r="A7165" t="inlineStr">
        <is>
          <t>27BBBBB07165Z5</t>
        </is>
      </c>
      <c r="B7165" t="inlineStr">
        <is>
          <t>Mar-2023</t>
        </is>
      </c>
      <c r="C7165" s="2" t="n">
        <v>45623</v>
      </c>
      <c r="D7165" t="inlineStr">
        <is>
          <t>NIL</t>
        </is>
      </c>
      <c r="E7165" t="n">
        <v>2865</v>
      </c>
    </row>
    <row r="7166">
      <c r="A7166" t="inlineStr">
        <is>
          <t>27BBBBB07166Z5</t>
        </is>
      </c>
      <c r="B7166" t="inlineStr">
        <is>
          <t>Jul-2018</t>
        </is>
      </c>
      <c r="C7166" s="2" t="n">
        <v>44561</v>
      </c>
      <c r="D7166" t="inlineStr">
        <is>
          <t>NON-NIL</t>
        </is>
      </c>
      <c r="E7166" t="n">
        <v>162</v>
      </c>
    </row>
    <row r="7167">
      <c r="A7167" t="inlineStr">
        <is>
          <t>27BBBBB07167Z5</t>
        </is>
      </c>
      <c r="B7167" t="inlineStr">
        <is>
          <t>Apr-2018</t>
        </is>
      </c>
      <c r="C7167" s="2" t="n">
        <v>44111</v>
      </c>
      <c r="D7167" t="inlineStr">
        <is>
          <t>NIL</t>
        </is>
      </c>
      <c r="E7167" t="n">
        <v>1472</v>
      </c>
    </row>
    <row r="7168">
      <c r="A7168" t="inlineStr">
        <is>
          <t>27BBBBB07168Z5</t>
        </is>
      </c>
      <c r="B7168" t="inlineStr">
        <is>
          <t>Jul-2018</t>
        </is>
      </c>
      <c r="C7168" s="2" t="n">
        <v>43139</v>
      </c>
      <c r="D7168" t="inlineStr">
        <is>
          <t>NIL</t>
        </is>
      </c>
      <c r="E7168" t="n">
        <v>239</v>
      </c>
    </row>
    <row r="7169">
      <c r="A7169" t="inlineStr">
        <is>
          <t>27BBBBB07169Z5</t>
        </is>
      </c>
      <c r="B7169" t="inlineStr">
        <is>
          <t>Oct-2018</t>
        </is>
      </c>
      <c r="C7169" s="2" t="n">
        <v>43178</v>
      </c>
      <c r="D7169" t="inlineStr">
        <is>
          <t>NON-NIL</t>
        </is>
      </c>
      <c r="E7169" t="n">
        <v>253</v>
      </c>
    </row>
    <row r="7170">
      <c r="A7170" t="inlineStr">
        <is>
          <t>27BBBBB07170Z5</t>
        </is>
      </c>
      <c r="B7170" t="inlineStr">
        <is>
          <t>Sep-2018</t>
        </is>
      </c>
      <c r="C7170" s="2" t="n">
        <v>43696</v>
      </c>
      <c r="D7170" t="inlineStr">
        <is>
          <t>NON-NIL</t>
        </is>
      </c>
      <c r="E7170" t="n">
        <v>289</v>
      </c>
    </row>
    <row r="7171">
      <c r="A7171" t="inlineStr">
        <is>
          <t>27BBBBB07171Z5</t>
        </is>
      </c>
      <c r="B7171" t="inlineStr">
        <is>
          <t>Aug-2018</t>
        </is>
      </c>
      <c r="C7171" s="2" t="n">
        <v>43513</v>
      </c>
      <c r="D7171" t="inlineStr">
        <is>
          <t>NIL</t>
        </is>
      </c>
      <c r="E7171" t="n">
        <v>2624</v>
      </c>
    </row>
    <row r="7172">
      <c r="A7172" t="inlineStr">
        <is>
          <t>27BBBBB07172Z5</t>
        </is>
      </c>
      <c r="B7172" t="inlineStr">
        <is>
          <t>Mar-2023</t>
        </is>
      </c>
      <c r="C7172" s="2" t="n">
        <v>45206</v>
      </c>
      <c r="D7172" t="inlineStr">
        <is>
          <t>NON-NIL</t>
        </is>
      </c>
      <c r="E7172" t="n">
        <v>136</v>
      </c>
    </row>
    <row r="7173">
      <c r="A7173" t="inlineStr">
        <is>
          <t>27BBBBB07173Z5</t>
        </is>
      </c>
      <c r="B7173" t="inlineStr">
        <is>
          <t>Aug-2017</t>
        </is>
      </c>
      <c r="C7173" s="2" t="n">
        <v>43606</v>
      </c>
      <c r="D7173" t="inlineStr">
        <is>
          <t>NON-NIL</t>
        </is>
      </c>
      <c r="E7173" t="n">
        <v>1205</v>
      </c>
    </row>
    <row r="7174">
      <c r="A7174" t="inlineStr">
        <is>
          <t>27BBBBB07174Z5</t>
        </is>
      </c>
      <c r="B7174" t="inlineStr">
        <is>
          <t>Jun-2018</t>
        </is>
      </c>
      <c r="C7174" s="2" t="n">
        <v>43128</v>
      </c>
      <c r="D7174" t="inlineStr">
        <is>
          <t>NIL</t>
        </is>
      </c>
      <c r="E7174" t="n">
        <v>2058</v>
      </c>
    </row>
    <row r="7175">
      <c r="A7175" t="inlineStr">
        <is>
          <t>27BBBBB07175Z5</t>
        </is>
      </c>
      <c r="B7175" t="inlineStr">
        <is>
          <t>Dec-2017</t>
        </is>
      </c>
      <c r="C7175" s="2" t="n">
        <v>43904</v>
      </c>
      <c r="D7175" t="inlineStr">
        <is>
          <t>NIL</t>
        </is>
      </c>
      <c r="E7175" t="n">
        <v>2547</v>
      </c>
    </row>
    <row r="7176">
      <c r="A7176" t="inlineStr">
        <is>
          <t>27BBBBB07176Z5</t>
        </is>
      </c>
      <c r="B7176" t="inlineStr">
        <is>
          <t>Mar-2018</t>
        </is>
      </c>
      <c r="C7176" s="2" t="n">
        <v>44541</v>
      </c>
      <c r="D7176" t="inlineStr">
        <is>
          <t>NIL</t>
        </is>
      </c>
      <c r="E7176" t="n">
        <v>2192</v>
      </c>
    </row>
    <row r="7177">
      <c r="A7177" t="inlineStr">
        <is>
          <t>27BBBBB07177Z5</t>
        </is>
      </c>
      <c r="B7177" t="inlineStr">
        <is>
          <t>Apr-2020</t>
        </is>
      </c>
      <c r="C7177" s="2" t="n">
        <v>43985</v>
      </c>
      <c r="D7177" t="inlineStr">
        <is>
          <t>NIL</t>
        </is>
      </c>
      <c r="E7177" t="n">
        <v>1731</v>
      </c>
    </row>
    <row r="7178">
      <c r="A7178" t="inlineStr">
        <is>
          <t>27BBBBB07178Z5</t>
        </is>
      </c>
      <c r="B7178" t="inlineStr">
        <is>
          <t>Aug-2018</t>
        </is>
      </c>
      <c r="C7178" s="2" t="n">
        <v>44478</v>
      </c>
      <c r="D7178" t="inlineStr">
        <is>
          <t>NON-NIL</t>
        </is>
      </c>
      <c r="E7178" t="n">
        <v>2446</v>
      </c>
    </row>
    <row r="7179">
      <c r="A7179" t="inlineStr">
        <is>
          <t>27BBBBB07179Z5</t>
        </is>
      </c>
      <c r="B7179" t="inlineStr">
        <is>
          <t>Oct-2018</t>
        </is>
      </c>
      <c r="C7179" s="2" t="n">
        <v>43249</v>
      </c>
      <c r="D7179" t="inlineStr">
        <is>
          <t>NON-NIL</t>
        </is>
      </c>
      <c r="E7179" t="n">
        <v>2149</v>
      </c>
    </row>
    <row r="7180">
      <c r="A7180" t="inlineStr">
        <is>
          <t>27BBBBB07180Z5</t>
        </is>
      </c>
      <c r="B7180" t="inlineStr">
        <is>
          <t>Jan-2021</t>
        </is>
      </c>
      <c r="C7180" s="2" t="n">
        <v>44475</v>
      </c>
      <c r="D7180" t="inlineStr">
        <is>
          <t>NIL</t>
        </is>
      </c>
      <c r="E7180" t="n">
        <v>1292</v>
      </c>
    </row>
    <row r="7181">
      <c r="A7181" t="inlineStr">
        <is>
          <t>27BBBBB07181Z5</t>
        </is>
      </c>
      <c r="B7181" t="inlineStr">
        <is>
          <t>Dec-2022</t>
        </is>
      </c>
      <c r="C7181" s="2" t="n">
        <v>44783</v>
      </c>
      <c r="D7181" t="inlineStr">
        <is>
          <t>NON-NIL</t>
        </is>
      </c>
      <c r="E7181" t="n">
        <v>1229</v>
      </c>
    </row>
    <row r="7182">
      <c r="A7182" t="inlineStr">
        <is>
          <t>27BBBBB07182Z5</t>
        </is>
      </c>
      <c r="B7182" t="inlineStr">
        <is>
          <t>Jul-2020</t>
        </is>
      </c>
      <c r="C7182" s="2" t="n">
        <v>44580</v>
      </c>
      <c r="D7182" t="inlineStr">
        <is>
          <t>NIL</t>
        </is>
      </c>
      <c r="E7182" t="n">
        <v>896</v>
      </c>
    </row>
    <row r="7183">
      <c r="A7183" t="inlineStr">
        <is>
          <t>27BBBBB07183Z5</t>
        </is>
      </c>
      <c r="B7183" t="inlineStr">
        <is>
          <t>Jan-2018</t>
        </is>
      </c>
      <c r="C7183" s="2" t="n">
        <v>43939</v>
      </c>
      <c r="D7183" t="inlineStr">
        <is>
          <t>NON-NIL</t>
        </is>
      </c>
      <c r="E7183" t="n">
        <v>2379</v>
      </c>
    </row>
    <row r="7184">
      <c r="A7184" t="inlineStr">
        <is>
          <t>27BBBBB07184Z5</t>
        </is>
      </c>
      <c r="B7184" t="inlineStr">
        <is>
          <t>Mar-2020</t>
        </is>
      </c>
      <c r="C7184" s="2" t="n">
        <v>44237</v>
      </c>
      <c r="D7184" t="inlineStr">
        <is>
          <t>NIL</t>
        </is>
      </c>
      <c r="E7184" t="n">
        <v>1047</v>
      </c>
    </row>
    <row r="7185">
      <c r="A7185" t="inlineStr">
        <is>
          <t>27BBBBB07185Z5</t>
        </is>
      </c>
      <c r="B7185" t="inlineStr">
        <is>
          <t>Jun-2018</t>
        </is>
      </c>
      <c r="C7185" s="2" t="n">
        <v>44529</v>
      </c>
      <c r="D7185" t="inlineStr">
        <is>
          <t>NIL</t>
        </is>
      </c>
      <c r="E7185" t="n">
        <v>848</v>
      </c>
    </row>
    <row r="7186">
      <c r="A7186" t="inlineStr">
        <is>
          <t>27BBBBB07186Z5</t>
        </is>
      </c>
      <c r="B7186" t="inlineStr">
        <is>
          <t>Dec-2018</t>
        </is>
      </c>
      <c r="C7186" s="2" t="n">
        <v>44008</v>
      </c>
      <c r="D7186" t="inlineStr">
        <is>
          <t>NIL</t>
        </is>
      </c>
      <c r="E7186" t="n">
        <v>2056</v>
      </c>
    </row>
    <row r="7187">
      <c r="A7187" t="inlineStr">
        <is>
          <t>27BBBBB07187Z5</t>
        </is>
      </c>
      <c r="B7187" t="inlineStr">
        <is>
          <t>Oct-2018</t>
        </is>
      </c>
      <c r="C7187" s="2" t="n">
        <v>43145</v>
      </c>
      <c r="D7187" t="inlineStr">
        <is>
          <t>NON-NIL</t>
        </is>
      </c>
      <c r="E7187" t="n">
        <v>2420</v>
      </c>
    </row>
    <row r="7188">
      <c r="A7188" t="inlineStr">
        <is>
          <t>27BBBBB07188Z5</t>
        </is>
      </c>
      <c r="B7188" t="inlineStr">
        <is>
          <t>Mar-2018</t>
        </is>
      </c>
      <c r="C7188" s="2" t="n">
        <v>43701</v>
      </c>
      <c r="D7188" t="inlineStr">
        <is>
          <t>NON-NIL</t>
        </is>
      </c>
      <c r="E7188" t="n">
        <v>1411</v>
      </c>
    </row>
    <row r="7189">
      <c r="A7189" t="inlineStr">
        <is>
          <t>27BBBBB07189Z5</t>
        </is>
      </c>
      <c r="B7189" t="inlineStr">
        <is>
          <t>Aug-2018</t>
        </is>
      </c>
      <c r="C7189" s="2" t="n">
        <v>44067</v>
      </c>
      <c r="D7189" t="inlineStr">
        <is>
          <t>NIL</t>
        </is>
      </c>
      <c r="E7189" t="n">
        <v>2473</v>
      </c>
    </row>
    <row r="7190">
      <c r="A7190" t="inlineStr">
        <is>
          <t>27BBBBB07190Z5</t>
        </is>
      </c>
      <c r="B7190" t="inlineStr">
        <is>
          <t>May-2020</t>
        </is>
      </c>
      <c r="C7190" s="2" t="n">
        <v>44203</v>
      </c>
      <c r="D7190" t="inlineStr">
        <is>
          <t>NON-NIL</t>
        </is>
      </c>
      <c r="E7190" t="n">
        <v>2648</v>
      </c>
    </row>
    <row r="7191">
      <c r="A7191" t="inlineStr">
        <is>
          <t>27BBBBB07191Z5</t>
        </is>
      </c>
      <c r="B7191" t="inlineStr">
        <is>
          <t>Dec-2022</t>
        </is>
      </c>
      <c r="C7191" s="2" t="n">
        <v>45334</v>
      </c>
      <c r="D7191" t="inlineStr">
        <is>
          <t>NON-NIL</t>
        </is>
      </c>
      <c r="E7191" t="n">
        <v>2126</v>
      </c>
    </row>
    <row r="7192">
      <c r="A7192" t="inlineStr">
        <is>
          <t>27BBBBB07192Z5</t>
        </is>
      </c>
      <c r="B7192" t="inlineStr">
        <is>
          <t>Aug-2017</t>
        </is>
      </c>
      <c r="C7192" s="2" t="n">
        <v>43884</v>
      </c>
      <c r="D7192" t="inlineStr">
        <is>
          <t>NIL</t>
        </is>
      </c>
      <c r="E7192" t="n">
        <v>1350</v>
      </c>
    </row>
    <row r="7193">
      <c r="A7193" t="inlineStr">
        <is>
          <t>27BBBBB07193Z5</t>
        </is>
      </c>
      <c r="B7193" t="inlineStr">
        <is>
          <t>Oct-2018</t>
        </is>
      </c>
      <c r="C7193" s="2" t="n">
        <v>44273</v>
      </c>
      <c r="D7193" t="inlineStr">
        <is>
          <t>NON-NIL</t>
        </is>
      </c>
      <c r="E7193" t="n">
        <v>1460</v>
      </c>
    </row>
    <row r="7194">
      <c r="A7194" t="inlineStr">
        <is>
          <t>27BBBBB07194Z5</t>
        </is>
      </c>
      <c r="B7194" t="inlineStr">
        <is>
          <t>Mar-2023</t>
        </is>
      </c>
      <c r="C7194" s="2" t="n">
        <v>43764</v>
      </c>
      <c r="D7194" t="inlineStr">
        <is>
          <t>NIL</t>
        </is>
      </c>
      <c r="E7194" t="n">
        <v>380</v>
      </c>
    </row>
    <row r="7195">
      <c r="A7195" t="inlineStr">
        <is>
          <t>27BBBBB07195Z5</t>
        </is>
      </c>
      <c r="B7195" t="inlineStr">
        <is>
          <t>May-2018</t>
        </is>
      </c>
      <c r="C7195" s="2" t="n">
        <v>44444</v>
      </c>
      <c r="D7195" t="inlineStr">
        <is>
          <t>NON-NIL</t>
        </is>
      </c>
      <c r="E7195" t="n">
        <v>1713</v>
      </c>
    </row>
    <row r="7196">
      <c r="A7196" t="inlineStr">
        <is>
          <t>27BBBBB07196Z5</t>
        </is>
      </c>
      <c r="B7196" t="inlineStr">
        <is>
          <t>Jan-2018</t>
        </is>
      </c>
      <c r="C7196" s="2" t="n">
        <v>43783</v>
      </c>
      <c r="D7196" t="inlineStr">
        <is>
          <t>NON-NIL</t>
        </is>
      </c>
      <c r="E7196" t="n">
        <v>2684</v>
      </c>
    </row>
    <row r="7197">
      <c r="A7197" t="inlineStr">
        <is>
          <t>27BBBBB07197Z5</t>
        </is>
      </c>
      <c r="B7197" t="inlineStr">
        <is>
          <t>Aug-2018</t>
        </is>
      </c>
      <c r="C7197" s="2" t="n">
        <v>43226</v>
      </c>
      <c r="D7197" t="inlineStr">
        <is>
          <t>NIL</t>
        </is>
      </c>
      <c r="E7197" t="n">
        <v>889</v>
      </c>
    </row>
    <row r="7198">
      <c r="A7198" t="inlineStr">
        <is>
          <t>27BBBBB07198Z5</t>
        </is>
      </c>
      <c r="B7198" t="inlineStr">
        <is>
          <t>Jun-2020</t>
        </is>
      </c>
      <c r="C7198" s="2" t="n">
        <v>44719</v>
      </c>
      <c r="D7198" t="inlineStr">
        <is>
          <t>NIL</t>
        </is>
      </c>
      <c r="E7198" t="n">
        <v>1774</v>
      </c>
    </row>
    <row r="7199">
      <c r="A7199" t="inlineStr">
        <is>
          <t>27BBBBB07199Z5</t>
        </is>
      </c>
      <c r="B7199" t="inlineStr">
        <is>
          <t>Nov-2017</t>
        </is>
      </c>
      <c r="C7199" s="2" t="n">
        <v>44178</v>
      </c>
      <c r="D7199" t="inlineStr">
        <is>
          <t>NON-NIL</t>
        </is>
      </c>
      <c r="E7199" t="n">
        <v>2897</v>
      </c>
    </row>
    <row r="7200">
      <c r="A7200" t="inlineStr">
        <is>
          <t>27BBBBB07200Z5</t>
        </is>
      </c>
      <c r="B7200" t="inlineStr">
        <is>
          <t>Mar-2020</t>
        </is>
      </c>
      <c r="C7200" s="2" t="n">
        <v>44395</v>
      </c>
      <c r="D7200" t="inlineStr">
        <is>
          <t>NON-NIL</t>
        </is>
      </c>
      <c r="E7200" t="n">
        <v>1905</v>
      </c>
    </row>
    <row r="7201">
      <c r="A7201" t="inlineStr">
        <is>
          <t>27BBBBB07201Z5</t>
        </is>
      </c>
      <c r="B7201" t="inlineStr">
        <is>
          <t>May-2020</t>
        </is>
      </c>
      <c r="C7201" s="2" t="n">
        <v>44206</v>
      </c>
      <c r="D7201" t="inlineStr">
        <is>
          <t>NON-NIL</t>
        </is>
      </c>
      <c r="E7201" t="n">
        <v>553</v>
      </c>
    </row>
    <row r="7202">
      <c r="A7202" t="inlineStr">
        <is>
          <t>27BBBBB07202Z5</t>
        </is>
      </c>
      <c r="B7202" t="inlineStr">
        <is>
          <t>Apr-2018</t>
        </is>
      </c>
      <c r="C7202" s="2" t="n">
        <v>43643</v>
      </c>
      <c r="D7202" t="inlineStr">
        <is>
          <t>NON-NIL</t>
        </is>
      </c>
      <c r="E7202" t="n">
        <v>2731</v>
      </c>
    </row>
    <row r="7203">
      <c r="A7203" t="inlineStr">
        <is>
          <t>27BBBBB07203Z5</t>
        </is>
      </c>
      <c r="B7203" t="inlineStr">
        <is>
          <t>Oct-2018</t>
        </is>
      </c>
      <c r="C7203" s="2" t="n">
        <v>43715</v>
      </c>
      <c r="D7203" t="inlineStr">
        <is>
          <t>NON-NIL</t>
        </is>
      </c>
      <c r="E7203" t="n">
        <v>1280</v>
      </c>
    </row>
    <row r="7204">
      <c r="A7204" t="inlineStr">
        <is>
          <t>27BBBBB07204Z5</t>
        </is>
      </c>
      <c r="B7204" t="inlineStr">
        <is>
          <t>Sep-2017</t>
        </is>
      </c>
      <c r="C7204" s="2" t="n">
        <v>43131</v>
      </c>
      <c r="D7204" t="inlineStr">
        <is>
          <t>NON-NIL</t>
        </is>
      </c>
      <c r="E7204" t="n">
        <v>2164</v>
      </c>
    </row>
    <row r="7205">
      <c r="A7205" t="inlineStr">
        <is>
          <t>27BBBBB07205Z5</t>
        </is>
      </c>
      <c r="B7205" t="inlineStr">
        <is>
          <t>Mar-2020</t>
        </is>
      </c>
      <c r="C7205" s="2" t="n">
        <v>44342</v>
      </c>
      <c r="D7205" t="inlineStr">
        <is>
          <t>NIL</t>
        </is>
      </c>
      <c r="E7205" t="n">
        <v>2939</v>
      </c>
    </row>
    <row r="7206">
      <c r="A7206" t="inlineStr">
        <is>
          <t>27BBBBB07206Z5</t>
        </is>
      </c>
      <c r="B7206" t="inlineStr">
        <is>
          <t>Feb-2018</t>
        </is>
      </c>
      <c r="C7206" s="2" t="n">
        <v>43731</v>
      </c>
      <c r="D7206" t="inlineStr">
        <is>
          <t>NIL</t>
        </is>
      </c>
      <c r="E7206" t="n">
        <v>2527</v>
      </c>
    </row>
    <row r="7207">
      <c r="A7207" t="inlineStr">
        <is>
          <t>27BBBBB07207Z5</t>
        </is>
      </c>
      <c r="B7207" t="inlineStr">
        <is>
          <t>Mar-2020</t>
        </is>
      </c>
      <c r="C7207" s="2" t="n">
        <v>44714</v>
      </c>
      <c r="D7207" t="inlineStr">
        <is>
          <t>NIL</t>
        </is>
      </c>
      <c r="E7207" t="n">
        <v>274</v>
      </c>
    </row>
    <row r="7208">
      <c r="A7208" t="inlineStr">
        <is>
          <t>27BBBBB07208Z5</t>
        </is>
      </c>
      <c r="B7208" t="inlineStr">
        <is>
          <t>Apr-2018</t>
        </is>
      </c>
      <c r="C7208" s="2" t="n">
        <v>43473</v>
      </c>
      <c r="D7208" t="inlineStr">
        <is>
          <t>NON-NIL</t>
        </is>
      </c>
      <c r="E7208" t="n">
        <v>464</v>
      </c>
    </row>
    <row r="7209">
      <c r="A7209" t="inlineStr">
        <is>
          <t>27BBBBB07209Z5</t>
        </is>
      </c>
      <c r="B7209" t="inlineStr">
        <is>
          <t>Jun-2018</t>
        </is>
      </c>
      <c r="C7209" s="2" t="n">
        <v>44320</v>
      </c>
      <c r="D7209" t="inlineStr">
        <is>
          <t>NON-NIL</t>
        </is>
      </c>
      <c r="E7209" t="n">
        <v>2030</v>
      </c>
    </row>
    <row r="7210">
      <c r="A7210" t="inlineStr">
        <is>
          <t>27BBBBB07210Z5</t>
        </is>
      </c>
      <c r="B7210" t="inlineStr">
        <is>
          <t>Jun-2020</t>
        </is>
      </c>
      <c r="C7210" s="2" t="n">
        <v>43985</v>
      </c>
      <c r="D7210" t="inlineStr">
        <is>
          <t>NON-NIL</t>
        </is>
      </c>
      <c r="E7210" t="n">
        <v>2577</v>
      </c>
    </row>
    <row r="7211">
      <c r="A7211" t="inlineStr">
        <is>
          <t>27BBBBB07211Z5</t>
        </is>
      </c>
      <c r="B7211" t="inlineStr">
        <is>
          <t>Mar-2018</t>
        </is>
      </c>
      <c r="C7211" s="2" t="n">
        <v>43589</v>
      </c>
      <c r="D7211" t="inlineStr">
        <is>
          <t>NON-NIL</t>
        </is>
      </c>
      <c r="E7211" t="n">
        <v>2852</v>
      </c>
    </row>
    <row r="7212">
      <c r="A7212" t="inlineStr">
        <is>
          <t>27BBBBB07212Z5</t>
        </is>
      </c>
      <c r="B7212" t="inlineStr">
        <is>
          <t>Apr-2020</t>
        </is>
      </c>
      <c r="C7212" s="2" t="n">
        <v>44635</v>
      </c>
      <c r="D7212" t="inlineStr">
        <is>
          <t>NIL</t>
        </is>
      </c>
      <c r="E7212" t="n">
        <v>1078</v>
      </c>
    </row>
    <row r="7213">
      <c r="A7213" t="inlineStr">
        <is>
          <t>27BBBBB07213Z5</t>
        </is>
      </c>
      <c r="B7213" t="inlineStr">
        <is>
          <t>Aug-2017</t>
        </is>
      </c>
      <c r="C7213" s="2" t="n">
        <v>44173</v>
      </c>
      <c r="D7213" t="inlineStr">
        <is>
          <t>NON-NIL</t>
        </is>
      </c>
      <c r="E7213" t="n">
        <v>1858</v>
      </c>
    </row>
    <row r="7214">
      <c r="A7214" t="inlineStr">
        <is>
          <t>27BBBBB07214Z5</t>
        </is>
      </c>
      <c r="B7214" t="inlineStr">
        <is>
          <t>Mar-2023</t>
        </is>
      </c>
      <c r="C7214" s="2" t="n">
        <v>44731</v>
      </c>
      <c r="D7214" t="inlineStr">
        <is>
          <t>NIL</t>
        </is>
      </c>
      <c r="E7214" t="n">
        <v>2081</v>
      </c>
    </row>
    <row r="7215">
      <c r="A7215" t="inlineStr">
        <is>
          <t>27BBBBB07215Z5</t>
        </is>
      </c>
      <c r="B7215" t="inlineStr">
        <is>
          <t>Apr-2018</t>
        </is>
      </c>
      <c r="C7215" s="2" t="n">
        <v>43128</v>
      </c>
      <c r="D7215" t="inlineStr">
        <is>
          <t>NIL</t>
        </is>
      </c>
      <c r="E7215" t="n">
        <v>1558</v>
      </c>
    </row>
    <row r="7216">
      <c r="A7216" t="inlineStr">
        <is>
          <t>27BBBBB07216Z5</t>
        </is>
      </c>
      <c r="B7216" t="inlineStr">
        <is>
          <t>Mar-2018</t>
        </is>
      </c>
      <c r="C7216" s="2" t="n">
        <v>42976</v>
      </c>
      <c r="D7216" t="inlineStr">
        <is>
          <t>NON-NIL</t>
        </is>
      </c>
      <c r="E7216" t="n">
        <v>1011</v>
      </c>
    </row>
    <row r="7217">
      <c r="A7217" t="inlineStr">
        <is>
          <t>27BBBBB07217Z5</t>
        </is>
      </c>
      <c r="B7217" t="inlineStr">
        <is>
          <t>Jun-2018</t>
        </is>
      </c>
      <c r="C7217" s="2" t="n">
        <v>43193</v>
      </c>
      <c r="D7217" t="inlineStr">
        <is>
          <t>NIL</t>
        </is>
      </c>
      <c r="E7217" t="n">
        <v>713</v>
      </c>
    </row>
    <row r="7218">
      <c r="A7218" t="inlineStr">
        <is>
          <t>27BBBBB07218Z5</t>
        </is>
      </c>
      <c r="B7218" t="inlineStr">
        <is>
          <t>Nov-2017</t>
        </is>
      </c>
      <c r="C7218" s="2" t="n">
        <v>43864</v>
      </c>
      <c r="D7218" t="inlineStr">
        <is>
          <t>NON-NIL</t>
        </is>
      </c>
      <c r="E7218" t="n">
        <v>2404</v>
      </c>
    </row>
    <row r="7219">
      <c r="A7219" t="inlineStr">
        <is>
          <t>27BBBBB07219Z5</t>
        </is>
      </c>
      <c r="B7219" t="inlineStr">
        <is>
          <t>Jul-2020</t>
        </is>
      </c>
      <c r="C7219" s="2" t="n">
        <v>44825</v>
      </c>
      <c r="D7219" t="inlineStr">
        <is>
          <t>NIL</t>
        </is>
      </c>
      <c r="E7219" t="n">
        <v>2849</v>
      </c>
    </row>
    <row r="7220">
      <c r="A7220" t="inlineStr">
        <is>
          <t>27BBBBB07220Z5</t>
        </is>
      </c>
      <c r="B7220" t="inlineStr">
        <is>
          <t>Jun-2020</t>
        </is>
      </c>
      <c r="C7220" s="2" t="n">
        <v>43951</v>
      </c>
      <c r="D7220" t="inlineStr">
        <is>
          <t>NON-NIL</t>
        </is>
      </c>
      <c r="E7220" t="n">
        <v>1863</v>
      </c>
    </row>
    <row r="7221">
      <c r="A7221" t="inlineStr">
        <is>
          <t>27BBBBB07221Z5</t>
        </is>
      </c>
      <c r="B7221" t="inlineStr">
        <is>
          <t>Dec-2017</t>
        </is>
      </c>
      <c r="C7221" s="2" t="n">
        <v>43161</v>
      </c>
      <c r="D7221" t="inlineStr">
        <is>
          <t>NON-NIL</t>
        </is>
      </c>
      <c r="E7221" t="n">
        <v>1142</v>
      </c>
    </row>
    <row r="7222">
      <c r="A7222" t="inlineStr">
        <is>
          <t>27BBBBB07222Z5</t>
        </is>
      </c>
      <c r="B7222" t="inlineStr">
        <is>
          <t>May-2018</t>
        </is>
      </c>
      <c r="C7222" s="2" t="n">
        <v>44307</v>
      </c>
      <c r="D7222" t="inlineStr">
        <is>
          <t>NIL</t>
        </is>
      </c>
      <c r="E7222" t="n">
        <v>530</v>
      </c>
    </row>
    <row r="7223">
      <c r="A7223" t="inlineStr">
        <is>
          <t>27BBBBB07223Z5</t>
        </is>
      </c>
      <c r="B7223" t="inlineStr">
        <is>
          <t>Jun-2020</t>
        </is>
      </c>
      <c r="C7223" s="2" t="n">
        <v>44722</v>
      </c>
      <c r="D7223" t="inlineStr">
        <is>
          <t>NIL</t>
        </is>
      </c>
      <c r="E7223" t="n">
        <v>1646</v>
      </c>
    </row>
    <row r="7224">
      <c r="A7224" t="inlineStr">
        <is>
          <t>27BBBBB07224Z5</t>
        </is>
      </c>
      <c r="B7224" t="inlineStr">
        <is>
          <t>Apr-2020</t>
        </is>
      </c>
      <c r="C7224" s="2" t="n">
        <v>43987</v>
      </c>
      <c r="D7224" t="inlineStr">
        <is>
          <t>NON-NIL</t>
        </is>
      </c>
      <c r="E7224" t="n">
        <v>1055</v>
      </c>
    </row>
    <row r="7225">
      <c r="A7225" t="inlineStr">
        <is>
          <t>27BBBBB07225Z5</t>
        </is>
      </c>
      <c r="B7225" t="inlineStr">
        <is>
          <t>Mar-2020</t>
        </is>
      </c>
      <c r="C7225" s="2" t="n">
        <v>44285</v>
      </c>
      <c r="D7225" t="inlineStr">
        <is>
          <t>NON-NIL</t>
        </is>
      </c>
      <c r="E7225" t="n">
        <v>1413</v>
      </c>
    </row>
    <row r="7226">
      <c r="A7226" t="inlineStr">
        <is>
          <t>27BBBBB07226Z5</t>
        </is>
      </c>
      <c r="B7226" t="inlineStr">
        <is>
          <t>May-2020</t>
        </is>
      </c>
      <c r="C7226" s="2" t="n">
        <v>44164</v>
      </c>
      <c r="D7226" t="inlineStr">
        <is>
          <t>NIL</t>
        </is>
      </c>
      <c r="E7226" t="n">
        <v>1830</v>
      </c>
    </row>
    <row r="7227">
      <c r="A7227" t="inlineStr">
        <is>
          <t>27BBBBB07227Z5</t>
        </is>
      </c>
      <c r="B7227" t="inlineStr">
        <is>
          <t>Jul-2020</t>
        </is>
      </c>
      <c r="C7227" s="2" t="n">
        <v>44035</v>
      </c>
      <c r="D7227" t="inlineStr">
        <is>
          <t>NIL</t>
        </is>
      </c>
      <c r="E7227" t="n">
        <v>1451</v>
      </c>
    </row>
    <row r="7228">
      <c r="A7228" t="inlineStr">
        <is>
          <t>27BBBBB07228Z5</t>
        </is>
      </c>
      <c r="B7228" t="inlineStr">
        <is>
          <t>May-2018</t>
        </is>
      </c>
      <c r="C7228" s="2" t="n">
        <v>44526</v>
      </c>
      <c r="D7228" t="inlineStr">
        <is>
          <t>NON-NIL</t>
        </is>
      </c>
      <c r="E7228" t="n">
        <v>2012</v>
      </c>
    </row>
    <row r="7229">
      <c r="A7229" t="inlineStr">
        <is>
          <t>27BBBBB07229Z5</t>
        </is>
      </c>
      <c r="B7229" t="inlineStr">
        <is>
          <t>Aug-2017</t>
        </is>
      </c>
      <c r="C7229" s="2" t="n">
        <v>43030</v>
      </c>
      <c r="D7229" t="inlineStr">
        <is>
          <t>NON-NIL</t>
        </is>
      </c>
      <c r="E7229" t="n">
        <v>2288</v>
      </c>
    </row>
    <row r="7230">
      <c r="A7230" t="inlineStr">
        <is>
          <t>27BBBBB07230Z5</t>
        </is>
      </c>
      <c r="B7230" t="inlineStr">
        <is>
          <t>Nov-2018</t>
        </is>
      </c>
      <c r="C7230" s="2" t="n">
        <v>43909</v>
      </c>
      <c r="D7230" t="inlineStr">
        <is>
          <t>NIL</t>
        </is>
      </c>
      <c r="E7230" t="n">
        <v>2943</v>
      </c>
    </row>
    <row r="7231">
      <c r="A7231" t="inlineStr">
        <is>
          <t>27BBBBB07231Z5</t>
        </is>
      </c>
      <c r="B7231" t="inlineStr">
        <is>
          <t>Jul-2017</t>
        </is>
      </c>
      <c r="C7231" s="2" t="n">
        <v>44197</v>
      </c>
      <c r="D7231" t="inlineStr">
        <is>
          <t>NIL</t>
        </is>
      </c>
      <c r="E7231" t="n">
        <v>2304</v>
      </c>
    </row>
    <row r="7232">
      <c r="A7232" t="inlineStr">
        <is>
          <t>27BBBBB07232Z5</t>
        </is>
      </c>
      <c r="B7232" t="inlineStr">
        <is>
          <t>Aug-2018</t>
        </is>
      </c>
      <c r="C7232" s="2" t="n">
        <v>44254</v>
      </c>
      <c r="D7232" t="inlineStr">
        <is>
          <t>NIL</t>
        </is>
      </c>
      <c r="E7232" t="n">
        <v>101</v>
      </c>
    </row>
    <row r="7233">
      <c r="A7233" t="inlineStr">
        <is>
          <t>27BBBBB07233Z5</t>
        </is>
      </c>
      <c r="B7233" t="inlineStr">
        <is>
          <t>Mar-2023</t>
        </is>
      </c>
      <c r="C7233" s="2" t="n">
        <v>44880</v>
      </c>
      <c r="D7233" t="inlineStr">
        <is>
          <t>NON-NIL</t>
        </is>
      </c>
      <c r="E7233" t="n">
        <v>2652</v>
      </c>
    </row>
    <row r="7234">
      <c r="A7234" t="inlineStr">
        <is>
          <t>27BBBBB07234Z5</t>
        </is>
      </c>
      <c r="B7234" t="inlineStr">
        <is>
          <t>Feb-2018</t>
        </is>
      </c>
      <c r="C7234" s="2" t="n">
        <v>43393</v>
      </c>
      <c r="D7234" t="inlineStr">
        <is>
          <t>NON-NIL</t>
        </is>
      </c>
      <c r="E7234" t="n">
        <v>1060</v>
      </c>
    </row>
    <row r="7235">
      <c r="A7235" t="inlineStr">
        <is>
          <t>27BBBBB07235Z5</t>
        </is>
      </c>
      <c r="B7235" t="inlineStr">
        <is>
          <t>Aug-2017</t>
        </is>
      </c>
      <c r="C7235" s="2" t="n">
        <v>44497</v>
      </c>
      <c r="D7235" t="inlineStr">
        <is>
          <t>NON-NIL</t>
        </is>
      </c>
      <c r="E7235" t="n">
        <v>1671</v>
      </c>
    </row>
    <row r="7236">
      <c r="A7236" t="inlineStr">
        <is>
          <t>27BBBBB07236Z5</t>
        </is>
      </c>
      <c r="B7236" t="inlineStr">
        <is>
          <t>Nov-2017</t>
        </is>
      </c>
      <c r="C7236" s="2" t="n">
        <v>44457</v>
      </c>
      <c r="D7236" t="inlineStr">
        <is>
          <t>NIL</t>
        </is>
      </c>
      <c r="E7236" t="n">
        <v>1815</v>
      </c>
    </row>
    <row r="7237">
      <c r="A7237" t="inlineStr">
        <is>
          <t>27BBBBB07237Z5</t>
        </is>
      </c>
      <c r="B7237" t="inlineStr">
        <is>
          <t>Sep-2017</t>
        </is>
      </c>
      <c r="C7237" s="2" t="n">
        <v>44269</v>
      </c>
      <c r="D7237" t="inlineStr">
        <is>
          <t>NIL</t>
        </is>
      </c>
      <c r="E7237" t="n">
        <v>2284</v>
      </c>
    </row>
    <row r="7238">
      <c r="A7238" t="inlineStr">
        <is>
          <t>27BBBBB07238Z5</t>
        </is>
      </c>
      <c r="B7238" t="inlineStr">
        <is>
          <t>Dec-2018</t>
        </is>
      </c>
      <c r="C7238" s="2" t="n">
        <v>43277</v>
      </c>
      <c r="D7238" t="inlineStr">
        <is>
          <t>NON-NIL</t>
        </is>
      </c>
      <c r="E7238" t="n">
        <v>1002</v>
      </c>
    </row>
    <row r="7239">
      <c r="A7239" t="inlineStr">
        <is>
          <t>27BBBBB07239Z5</t>
        </is>
      </c>
      <c r="B7239" t="inlineStr">
        <is>
          <t>Oct-2017</t>
        </is>
      </c>
      <c r="C7239" s="2" t="n">
        <v>42957</v>
      </c>
      <c r="D7239" t="inlineStr">
        <is>
          <t>NON-NIL</t>
        </is>
      </c>
      <c r="E7239" t="n">
        <v>2236</v>
      </c>
    </row>
    <row r="7240">
      <c r="A7240" t="inlineStr">
        <is>
          <t>27BBBBB07240Z5</t>
        </is>
      </c>
      <c r="B7240" t="inlineStr">
        <is>
          <t>Sep-2018</t>
        </is>
      </c>
      <c r="C7240" s="2" t="n">
        <v>43270</v>
      </c>
      <c r="D7240" t="inlineStr">
        <is>
          <t>NON-NIL</t>
        </is>
      </c>
      <c r="E7240" t="n">
        <v>1227</v>
      </c>
    </row>
    <row r="7241">
      <c r="A7241" t="inlineStr">
        <is>
          <t>27BBBBB07241Z5</t>
        </is>
      </c>
      <c r="B7241" t="inlineStr">
        <is>
          <t>Aug-2017</t>
        </is>
      </c>
      <c r="C7241" s="2" t="n">
        <v>43818</v>
      </c>
      <c r="D7241" t="inlineStr">
        <is>
          <t>NON-NIL</t>
        </is>
      </c>
      <c r="E7241" t="n">
        <v>1033</v>
      </c>
    </row>
    <row r="7242">
      <c r="A7242" t="inlineStr">
        <is>
          <t>27BBBBB07242Z5</t>
        </is>
      </c>
      <c r="B7242" t="inlineStr">
        <is>
          <t>Dec-2018</t>
        </is>
      </c>
      <c r="C7242" s="2" t="n">
        <v>44002</v>
      </c>
      <c r="D7242" t="inlineStr">
        <is>
          <t>NIL</t>
        </is>
      </c>
      <c r="E7242" t="n">
        <v>1701</v>
      </c>
    </row>
    <row r="7243">
      <c r="A7243" t="inlineStr">
        <is>
          <t>27BBBBB07243Z5</t>
        </is>
      </c>
      <c r="B7243" t="inlineStr">
        <is>
          <t>Dec-2024</t>
        </is>
      </c>
      <c r="C7243" s="2" t="n">
        <v>45545</v>
      </c>
      <c r="D7243" t="inlineStr">
        <is>
          <t>NIL</t>
        </is>
      </c>
      <c r="E7243" t="n">
        <v>43</v>
      </c>
    </row>
    <row r="7244">
      <c r="A7244" t="inlineStr">
        <is>
          <t>27BBBBB07244Z5</t>
        </is>
      </c>
      <c r="B7244" t="inlineStr">
        <is>
          <t>Mar-2018</t>
        </is>
      </c>
      <c r="C7244" s="2" t="n">
        <v>43359</v>
      </c>
      <c r="D7244" t="inlineStr">
        <is>
          <t>NIL</t>
        </is>
      </c>
      <c r="E7244" t="n">
        <v>2125</v>
      </c>
    </row>
    <row r="7245">
      <c r="A7245" t="inlineStr">
        <is>
          <t>27BBBBB07245Z5</t>
        </is>
      </c>
      <c r="B7245" t="inlineStr">
        <is>
          <t>Sep-2017</t>
        </is>
      </c>
      <c r="C7245" s="2" t="n">
        <v>43193</v>
      </c>
      <c r="D7245" t="inlineStr">
        <is>
          <t>NON-NIL</t>
        </is>
      </c>
      <c r="E7245" t="n">
        <v>1987</v>
      </c>
    </row>
    <row r="7246">
      <c r="A7246" t="inlineStr">
        <is>
          <t>27BBBBB07246Z5</t>
        </is>
      </c>
      <c r="B7246" t="inlineStr">
        <is>
          <t>Jan-2018</t>
        </is>
      </c>
      <c r="C7246" s="2" t="n">
        <v>43148</v>
      </c>
      <c r="D7246" t="inlineStr">
        <is>
          <t>NON-NIL</t>
        </is>
      </c>
      <c r="E7246" t="n">
        <v>1899</v>
      </c>
    </row>
    <row r="7247">
      <c r="A7247" t="inlineStr">
        <is>
          <t>27BBBBB07247Z5</t>
        </is>
      </c>
      <c r="B7247" t="inlineStr">
        <is>
          <t>Apr-2018</t>
        </is>
      </c>
      <c r="C7247" s="2" t="n">
        <v>44307</v>
      </c>
      <c r="D7247" t="inlineStr">
        <is>
          <t>NIL</t>
        </is>
      </c>
      <c r="E7247" t="n">
        <v>2776</v>
      </c>
    </row>
    <row r="7248">
      <c r="A7248" t="inlineStr">
        <is>
          <t>27BBBBB07248Z5</t>
        </is>
      </c>
      <c r="B7248" t="inlineStr">
        <is>
          <t>Oct-2018</t>
        </is>
      </c>
      <c r="C7248" s="2" t="n">
        <v>44014</v>
      </c>
      <c r="D7248" t="inlineStr">
        <is>
          <t>NON-NIL</t>
        </is>
      </c>
      <c r="E7248" t="n">
        <v>775</v>
      </c>
    </row>
    <row r="7249">
      <c r="A7249" t="inlineStr">
        <is>
          <t>27BBBBB07249Z5</t>
        </is>
      </c>
      <c r="B7249" t="inlineStr">
        <is>
          <t>Oct-2018</t>
        </is>
      </c>
      <c r="C7249" s="2" t="n">
        <v>44032</v>
      </c>
      <c r="D7249" t="inlineStr">
        <is>
          <t>NON-NIL</t>
        </is>
      </c>
      <c r="E7249" t="n">
        <v>655</v>
      </c>
    </row>
    <row r="7250">
      <c r="A7250" t="inlineStr">
        <is>
          <t>27BBBBB07250Z5</t>
        </is>
      </c>
      <c r="B7250" t="inlineStr">
        <is>
          <t>Mar-2018</t>
        </is>
      </c>
      <c r="C7250" s="2" t="n">
        <v>43200</v>
      </c>
      <c r="D7250" t="inlineStr">
        <is>
          <t>NON-NIL</t>
        </is>
      </c>
      <c r="E7250" t="n">
        <v>1430</v>
      </c>
    </row>
    <row r="7251">
      <c r="A7251" t="inlineStr">
        <is>
          <t>27BBBBB07251Z5</t>
        </is>
      </c>
      <c r="B7251" t="inlineStr">
        <is>
          <t>Nov-2018</t>
        </is>
      </c>
      <c r="C7251" s="2" t="n">
        <v>44517</v>
      </c>
      <c r="D7251" t="inlineStr">
        <is>
          <t>NIL</t>
        </is>
      </c>
      <c r="E7251" t="n">
        <v>1117</v>
      </c>
    </row>
    <row r="7252">
      <c r="A7252" t="inlineStr">
        <is>
          <t>27BBBBB07252Z5</t>
        </is>
      </c>
      <c r="B7252" t="inlineStr">
        <is>
          <t>Jul-2017</t>
        </is>
      </c>
      <c r="C7252" s="2" t="n">
        <v>44337</v>
      </c>
      <c r="D7252" t="inlineStr">
        <is>
          <t>NON-NIL</t>
        </is>
      </c>
      <c r="E7252" t="n">
        <v>1342</v>
      </c>
    </row>
    <row r="7253">
      <c r="A7253" t="inlineStr">
        <is>
          <t>27BBBBB07253Z5</t>
        </is>
      </c>
      <c r="B7253" t="inlineStr">
        <is>
          <t>Mar-2023</t>
        </is>
      </c>
      <c r="C7253" s="2" t="n">
        <v>43700</v>
      </c>
      <c r="D7253" t="inlineStr">
        <is>
          <t>NON-NIL</t>
        </is>
      </c>
      <c r="E7253" t="n">
        <v>2236</v>
      </c>
    </row>
    <row r="7254">
      <c r="A7254" t="inlineStr">
        <is>
          <t>27BBBBB07254Z5</t>
        </is>
      </c>
      <c r="B7254" t="inlineStr">
        <is>
          <t>Jul-2017</t>
        </is>
      </c>
      <c r="C7254" s="2" t="n">
        <v>44393</v>
      </c>
      <c r="D7254" t="inlineStr">
        <is>
          <t>NON-NIL</t>
        </is>
      </c>
      <c r="E7254" t="n">
        <v>878</v>
      </c>
    </row>
    <row r="7255">
      <c r="A7255" t="inlineStr">
        <is>
          <t>27BBBBB07255Z5</t>
        </is>
      </c>
      <c r="B7255" t="inlineStr">
        <is>
          <t>Oct-2017</t>
        </is>
      </c>
      <c r="C7255" s="2" t="n">
        <v>43792</v>
      </c>
      <c r="D7255" t="inlineStr">
        <is>
          <t>NON-NIL</t>
        </is>
      </c>
      <c r="E7255" t="n">
        <v>1807</v>
      </c>
    </row>
    <row r="7256">
      <c r="A7256" t="inlineStr">
        <is>
          <t>27BBBBB07256Z5</t>
        </is>
      </c>
      <c r="B7256" t="inlineStr">
        <is>
          <t>Aug-2017</t>
        </is>
      </c>
      <c r="C7256" s="2" t="n">
        <v>43682</v>
      </c>
      <c r="D7256" t="inlineStr">
        <is>
          <t>NON-NIL</t>
        </is>
      </c>
      <c r="E7256" t="n">
        <v>2252</v>
      </c>
    </row>
    <row r="7257">
      <c r="A7257" t="inlineStr">
        <is>
          <t>27BBBBB07257Z5</t>
        </is>
      </c>
      <c r="B7257" t="inlineStr">
        <is>
          <t>Dec-2022</t>
        </is>
      </c>
      <c r="C7257" s="2" t="n">
        <v>45740</v>
      </c>
      <c r="D7257" t="inlineStr">
        <is>
          <t>NON-NIL</t>
        </is>
      </c>
      <c r="E7257" t="n">
        <v>1385</v>
      </c>
    </row>
    <row r="7258">
      <c r="A7258" t="inlineStr">
        <is>
          <t>27BBBBB07258Z5</t>
        </is>
      </c>
      <c r="B7258" t="inlineStr">
        <is>
          <t>Jan-2018</t>
        </is>
      </c>
      <c r="C7258" s="2" t="n">
        <v>44354</v>
      </c>
      <c r="D7258" t="inlineStr">
        <is>
          <t>NON-NIL</t>
        </is>
      </c>
      <c r="E7258" t="n">
        <v>147</v>
      </c>
    </row>
    <row r="7259">
      <c r="A7259" t="inlineStr">
        <is>
          <t>27BBBBB07259Z5</t>
        </is>
      </c>
      <c r="B7259" t="inlineStr">
        <is>
          <t>Oct-2018</t>
        </is>
      </c>
      <c r="C7259" s="2" t="n">
        <v>44238</v>
      </c>
      <c r="D7259" t="inlineStr">
        <is>
          <t>NIL</t>
        </is>
      </c>
      <c r="E7259" t="n">
        <v>737</v>
      </c>
    </row>
    <row r="7260">
      <c r="A7260" t="inlineStr">
        <is>
          <t>27BBBBB07260Z5</t>
        </is>
      </c>
      <c r="B7260" t="inlineStr">
        <is>
          <t>Dec-2018</t>
        </is>
      </c>
      <c r="C7260" s="2" t="n">
        <v>44218</v>
      </c>
      <c r="D7260" t="inlineStr">
        <is>
          <t>NON-NIL</t>
        </is>
      </c>
      <c r="E7260" t="n">
        <v>1412</v>
      </c>
    </row>
    <row r="7261">
      <c r="A7261" t="inlineStr">
        <is>
          <t>27BBBBB07261Z5</t>
        </is>
      </c>
      <c r="B7261" t="inlineStr">
        <is>
          <t>Jul-2018</t>
        </is>
      </c>
      <c r="C7261" s="2" t="n">
        <v>44029</v>
      </c>
      <c r="D7261" t="inlineStr">
        <is>
          <t>NIL</t>
        </is>
      </c>
      <c r="E7261" t="n">
        <v>588</v>
      </c>
    </row>
    <row r="7262">
      <c r="A7262" t="inlineStr">
        <is>
          <t>27BBBBB07262Z5</t>
        </is>
      </c>
      <c r="B7262" t="inlineStr">
        <is>
          <t>Nov-2017</t>
        </is>
      </c>
      <c r="C7262" s="2" t="n">
        <v>43991</v>
      </c>
      <c r="D7262" t="inlineStr">
        <is>
          <t>NIL</t>
        </is>
      </c>
      <c r="E7262" t="n">
        <v>2610</v>
      </c>
    </row>
    <row r="7263">
      <c r="A7263" t="inlineStr">
        <is>
          <t>27BBBBB07263Z5</t>
        </is>
      </c>
      <c r="B7263" t="inlineStr">
        <is>
          <t>Oct-2018</t>
        </is>
      </c>
      <c r="C7263" s="2" t="n">
        <v>43095</v>
      </c>
      <c r="D7263" t="inlineStr">
        <is>
          <t>NIL</t>
        </is>
      </c>
      <c r="E7263" t="n">
        <v>2247</v>
      </c>
    </row>
    <row r="7264">
      <c r="A7264" t="inlineStr">
        <is>
          <t>27BBBBB07264Z5</t>
        </is>
      </c>
      <c r="B7264" t="inlineStr">
        <is>
          <t>Dec-2017</t>
        </is>
      </c>
      <c r="C7264" s="2" t="n">
        <v>43209</v>
      </c>
      <c r="D7264" t="inlineStr">
        <is>
          <t>NIL</t>
        </is>
      </c>
      <c r="E7264" t="n">
        <v>2316</v>
      </c>
    </row>
    <row r="7265">
      <c r="A7265" t="inlineStr">
        <is>
          <t>27BBBBB07265Z5</t>
        </is>
      </c>
      <c r="B7265" t="inlineStr">
        <is>
          <t>Mar-2018</t>
        </is>
      </c>
      <c r="C7265" s="2" t="n">
        <v>43031</v>
      </c>
      <c r="D7265" t="inlineStr">
        <is>
          <t>NIL</t>
        </is>
      </c>
      <c r="E7265" t="n">
        <v>831</v>
      </c>
    </row>
    <row r="7266">
      <c r="A7266" t="inlineStr">
        <is>
          <t>27BBBBB07266Z5</t>
        </is>
      </c>
      <c r="B7266" t="inlineStr">
        <is>
          <t>Mar-2018</t>
        </is>
      </c>
      <c r="C7266" s="2" t="n">
        <v>44081</v>
      </c>
      <c r="D7266" t="inlineStr">
        <is>
          <t>NON-NIL</t>
        </is>
      </c>
      <c r="E7266" t="n">
        <v>1873</v>
      </c>
    </row>
    <row r="7267">
      <c r="A7267" t="inlineStr">
        <is>
          <t>27BBBBB07267Z5</t>
        </is>
      </c>
      <c r="B7267" t="inlineStr">
        <is>
          <t>Jun-2018</t>
        </is>
      </c>
      <c r="C7267" s="2" t="n">
        <v>44223</v>
      </c>
      <c r="D7267" t="inlineStr">
        <is>
          <t>NIL</t>
        </is>
      </c>
      <c r="E7267" t="n">
        <v>864</v>
      </c>
    </row>
    <row r="7268">
      <c r="A7268" t="inlineStr">
        <is>
          <t>27BBBBB07268Z5</t>
        </is>
      </c>
      <c r="B7268" t="inlineStr">
        <is>
          <t>Jul-2018</t>
        </is>
      </c>
      <c r="C7268" s="2" t="n">
        <v>43823</v>
      </c>
      <c r="D7268" t="inlineStr">
        <is>
          <t>NIL</t>
        </is>
      </c>
      <c r="E7268" t="n">
        <v>1462</v>
      </c>
    </row>
    <row r="7269">
      <c r="A7269" t="inlineStr">
        <is>
          <t>27BBBBB07269Z5</t>
        </is>
      </c>
      <c r="B7269" t="inlineStr">
        <is>
          <t>Nov-2018</t>
        </is>
      </c>
      <c r="C7269" s="2" t="n">
        <v>44045</v>
      </c>
      <c r="D7269" t="inlineStr">
        <is>
          <t>NON-NIL</t>
        </is>
      </c>
      <c r="E7269" t="n">
        <v>1397</v>
      </c>
    </row>
    <row r="7270">
      <c r="A7270" t="inlineStr">
        <is>
          <t>27BBBBB07270Z5</t>
        </is>
      </c>
      <c r="B7270" t="inlineStr">
        <is>
          <t>Mar-2018</t>
        </is>
      </c>
      <c r="C7270" s="2" t="n">
        <v>44107</v>
      </c>
      <c r="D7270" t="inlineStr">
        <is>
          <t>NIL</t>
        </is>
      </c>
      <c r="E7270" t="n">
        <v>2755</v>
      </c>
    </row>
    <row r="7271">
      <c r="A7271" t="inlineStr">
        <is>
          <t>27BBBBB07271Z5</t>
        </is>
      </c>
      <c r="B7271" t="inlineStr">
        <is>
          <t>Dec-2018</t>
        </is>
      </c>
      <c r="C7271" s="2" t="n">
        <v>43756</v>
      </c>
      <c r="D7271" t="inlineStr">
        <is>
          <t>NON-NIL</t>
        </is>
      </c>
      <c r="E7271" t="n">
        <v>2595</v>
      </c>
    </row>
    <row r="7272">
      <c r="A7272" t="inlineStr">
        <is>
          <t>27BBBBB07272Z5</t>
        </is>
      </c>
      <c r="B7272" t="inlineStr">
        <is>
          <t>Dec-2024</t>
        </is>
      </c>
      <c r="C7272" s="2" t="n">
        <v>45616</v>
      </c>
      <c r="D7272" t="inlineStr">
        <is>
          <t>NIL</t>
        </is>
      </c>
      <c r="E7272" t="n">
        <v>858</v>
      </c>
    </row>
    <row r="7273">
      <c r="A7273" t="inlineStr">
        <is>
          <t>27BBBBB07273Z5</t>
        </is>
      </c>
      <c r="B7273" t="inlineStr">
        <is>
          <t>Nov-2018</t>
        </is>
      </c>
      <c r="C7273" s="2" t="n">
        <v>44300</v>
      </c>
      <c r="D7273" t="inlineStr">
        <is>
          <t>NIL</t>
        </is>
      </c>
      <c r="E7273" t="n">
        <v>951</v>
      </c>
    </row>
    <row r="7274">
      <c r="A7274" t="inlineStr">
        <is>
          <t>27BBBBB07274Z5</t>
        </is>
      </c>
      <c r="B7274" t="inlineStr">
        <is>
          <t>Jul-2020</t>
        </is>
      </c>
      <c r="C7274" s="2" t="n">
        <v>44045</v>
      </c>
      <c r="D7274" t="inlineStr">
        <is>
          <t>NIL</t>
        </is>
      </c>
      <c r="E7274" t="n">
        <v>2507</v>
      </c>
    </row>
    <row r="7275">
      <c r="A7275" t="inlineStr">
        <is>
          <t>27BBBBB07275Z5</t>
        </is>
      </c>
      <c r="B7275" t="inlineStr">
        <is>
          <t>Aug-2018</t>
        </is>
      </c>
      <c r="C7275" s="2" t="n">
        <v>44379</v>
      </c>
      <c r="D7275" t="inlineStr">
        <is>
          <t>NON-NIL</t>
        </is>
      </c>
      <c r="E7275" t="n">
        <v>2912</v>
      </c>
    </row>
    <row r="7276">
      <c r="A7276" t="inlineStr">
        <is>
          <t>27BBBBB07276Z5</t>
        </is>
      </c>
      <c r="B7276" t="inlineStr">
        <is>
          <t>Jul-2018</t>
        </is>
      </c>
      <c r="C7276" s="2" t="n">
        <v>44292</v>
      </c>
      <c r="D7276" t="inlineStr">
        <is>
          <t>NON-NIL</t>
        </is>
      </c>
      <c r="E7276" t="n">
        <v>1851</v>
      </c>
    </row>
    <row r="7277">
      <c r="A7277" t="inlineStr">
        <is>
          <t>27BBBBB07277Z5</t>
        </is>
      </c>
      <c r="B7277" t="inlineStr">
        <is>
          <t>May-2018</t>
        </is>
      </c>
      <c r="C7277" s="2" t="n">
        <v>44281</v>
      </c>
      <c r="D7277" t="inlineStr">
        <is>
          <t>NIL</t>
        </is>
      </c>
      <c r="E7277" t="n">
        <v>997</v>
      </c>
    </row>
    <row r="7278">
      <c r="A7278" t="inlineStr">
        <is>
          <t>27BBBBB07278Z5</t>
        </is>
      </c>
      <c r="B7278" t="inlineStr">
        <is>
          <t>Jun-2018</t>
        </is>
      </c>
      <c r="C7278" s="2" t="n">
        <v>43690</v>
      </c>
      <c r="D7278" t="inlineStr">
        <is>
          <t>NON-NIL</t>
        </is>
      </c>
      <c r="E7278" t="n">
        <v>1008</v>
      </c>
    </row>
    <row r="7279">
      <c r="A7279" t="inlineStr">
        <is>
          <t>27BBBBB07279Z5</t>
        </is>
      </c>
      <c r="B7279" t="inlineStr">
        <is>
          <t>Nov-2018</t>
        </is>
      </c>
      <c r="C7279" s="2" t="n">
        <v>43973</v>
      </c>
      <c r="D7279" t="inlineStr">
        <is>
          <t>NIL</t>
        </is>
      </c>
      <c r="E7279" t="n">
        <v>2089</v>
      </c>
    </row>
    <row r="7280">
      <c r="A7280" t="inlineStr">
        <is>
          <t>27BBBBB07280Z5</t>
        </is>
      </c>
      <c r="B7280" t="inlineStr">
        <is>
          <t>Dec-2017</t>
        </is>
      </c>
      <c r="C7280" s="2" t="n">
        <v>43287</v>
      </c>
      <c r="D7280" t="inlineStr">
        <is>
          <t>NON-NIL</t>
        </is>
      </c>
      <c r="E7280" t="n">
        <v>36</v>
      </c>
    </row>
    <row r="7281">
      <c r="A7281" t="inlineStr">
        <is>
          <t>27BBBBB07281Z5</t>
        </is>
      </c>
      <c r="B7281" t="inlineStr">
        <is>
          <t>Jul-2018</t>
        </is>
      </c>
      <c r="C7281" s="2" t="n">
        <v>44306</v>
      </c>
      <c r="D7281" t="inlineStr">
        <is>
          <t>NON-NIL</t>
        </is>
      </c>
      <c r="E7281" t="n">
        <v>2044</v>
      </c>
    </row>
    <row r="7282">
      <c r="A7282" t="inlineStr">
        <is>
          <t>27BBBBB07282Z5</t>
        </is>
      </c>
      <c r="B7282" t="inlineStr">
        <is>
          <t>Sep-2018</t>
        </is>
      </c>
      <c r="C7282" s="2" t="n">
        <v>43911</v>
      </c>
      <c r="D7282" t="inlineStr">
        <is>
          <t>NIL</t>
        </is>
      </c>
      <c r="E7282" t="n">
        <v>135</v>
      </c>
    </row>
    <row r="7283">
      <c r="A7283" t="inlineStr">
        <is>
          <t>27BBBBB07283Z5</t>
        </is>
      </c>
      <c r="B7283" t="inlineStr">
        <is>
          <t>Dec-2018</t>
        </is>
      </c>
      <c r="C7283" s="2" t="n">
        <v>43556</v>
      </c>
      <c r="D7283" t="inlineStr">
        <is>
          <t>NIL</t>
        </is>
      </c>
      <c r="E7283" t="n">
        <v>2371</v>
      </c>
    </row>
    <row r="7284">
      <c r="A7284" t="inlineStr">
        <is>
          <t>27BBBBB07284Z5</t>
        </is>
      </c>
      <c r="B7284" t="inlineStr">
        <is>
          <t>Dec-2022</t>
        </is>
      </c>
      <c r="C7284" s="2" t="n">
        <v>45537</v>
      </c>
      <c r="D7284" t="inlineStr">
        <is>
          <t>NON-NIL</t>
        </is>
      </c>
      <c r="E7284" t="n">
        <v>247</v>
      </c>
    </row>
    <row r="7285">
      <c r="A7285" t="inlineStr">
        <is>
          <t>27BBBBB07285Z5</t>
        </is>
      </c>
      <c r="B7285" t="inlineStr">
        <is>
          <t>Sep-2018</t>
        </is>
      </c>
      <c r="C7285" s="2" t="n">
        <v>43813</v>
      </c>
      <c r="D7285" t="inlineStr">
        <is>
          <t>NIL</t>
        </is>
      </c>
      <c r="E7285" t="n">
        <v>2606</v>
      </c>
    </row>
    <row r="7286">
      <c r="A7286" t="inlineStr">
        <is>
          <t>27BBBBB07286Z5</t>
        </is>
      </c>
      <c r="B7286" t="inlineStr">
        <is>
          <t>Nov-2017</t>
        </is>
      </c>
      <c r="C7286" s="2" t="n">
        <v>43351</v>
      </c>
      <c r="D7286" t="inlineStr">
        <is>
          <t>NON-NIL</t>
        </is>
      </c>
      <c r="E7286" t="n">
        <v>2208</v>
      </c>
    </row>
    <row r="7287">
      <c r="A7287" t="inlineStr">
        <is>
          <t>27BBBBB07287Z5</t>
        </is>
      </c>
      <c r="B7287" t="inlineStr">
        <is>
          <t>Sep-2017</t>
        </is>
      </c>
      <c r="C7287" s="2" t="n">
        <v>44293</v>
      </c>
      <c r="D7287" t="inlineStr">
        <is>
          <t>NIL</t>
        </is>
      </c>
      <c r="E7287" t="n">
        <v>2949</v>
      </c>
    </row>
    <row r="7288">
      <c r="A7288" t="inlineStr">
        <is>
          <t>27BBBBB07288Z5</t>
        </is>
      </c>
      <c r="B7288" t="inlineStr">
        <is>
          <t>Jun-2020</t>
        </is>
      </c>
      <c r="C7288" s="2" t="n">
        <v>44361</v>
      </c>
      <c r="D7288" t="inlineStr">
        <is>
          <t>NON-NIL</t>
        </is>
      </c>
      <c r="E7288" t="n">
        <v>947</v>
      </c>
    </row>
    <row r="7289">
      <c r="A7289" t="inlineStr">
        <is>
          <t>27BBBBB07289Z5</t>
        </is>
      </c>
      <c r="B7289" t="inlineStr">
        <is>
          <t>Jul-2018</t>
        </is>
      </c>
      <c r="C7289" s="2" t="n">
        <v>44284</v>
      </c>
      <c r="D7289" t="inlineStr">
        <is>
          <t>NIL</t>
        </is>
      </c>
      <c r="E7289" t="n">
        <v>579</v>
      </c>
    </row>
    <row r="7290">
      <c r="A7290" t="inlineStr">
        <is>
          <t>27BBBBB07290Z5</t>
        </is>
      </c>
      <c r="B7290" t="inlineStr">
        <is>
          <t>Jan-2021</t>
        </is>
      </c>
      <c r="C7290" s="2" t="n">
        <v>43544</v>
      </c>
      <c r="D7290" t="inlineStr">
        <is>
          <t>NIL</t>
        </is>
      </c>
      <c r="E7290" t="n">
        <v>1410</v>
      </c>
    </row>
    <row r="7291">
      <c r="A7291" t="inlineStr">
        <is>
          <t>27BBBBB07291Z5</t>
        </is>
      </c>
      <c r="B7291" t="inlineStr">
        <is>
          <t>Mar-2023</t>
        </is>
      </c>
      <c r="C7291" s="2" t="n">
        <v>44691</v>
      </c>
      <c r="D7291" t="inlineStr">
        <is>
          <t>NON-NIL</t>
        </is>
      </c>
      <c r="E7291" t="n">
        <v>291</v>
      </c>
    </row>
    <row r="7292">
      <c r="A7292" t="inlineStr">
        <is>
          <t>27BBBBB07292Z5</t>
        </is>
      </c>
      <c r="B7292" t="inlineStr">
        <is>
          <t>Nov-2017</t>
        </is>
      </c>
      <c r="C7292" s="2" t="n">
        <v>43065</v>
      </c>
      <c r="D7292" t="inlineStr">
        <is>
          <t>NON-NIL</t>
        </is>
      </c>
      <c r="E7292" t="n">
        <v>2995</v>
      </c>
    </row>
    <row r="7293">
      <c r="A7293" t="inlineStr">
        <is>
          <t>27BBBBB07293Z5</t>
        </is>
      </c>
      <c r="B7293" t="inlineStr">
        <is>
          <t>Mar-2020</t>
        </is>
      </c>
      <c r="C7293" s="2" t="n">
        <v>44017</v>
      </c>
      <c r="D7293" t="inlineStr">
        <is>
          <t>NIL</t>
        </is>
      </c>
      <c r="E7293" t="n">
        <v>2620</v>
      </c>
    </row>
    <row r="7294">
      <c r="A7294" t="inlineStr">
        <is>
          <t>27BBBBB07294Z5</t>
        </is>
      </c>
      <c r="B7294" t="inlineStr">
        <is>
          <t>Dec-2017</t>
        </is>
      </c>
      <c r="C7294" s="2" t="n">
        <v>44015</v>
      </c>
      <c r="D7294" t="inlineStr">
        <is>
          <t>NON-NIL</t>
        </is>
      </c>
      <c r="E7294" t="n">
        <v>2772</v>
      </c>
    </row>
    <row r="7295">
      <c r="A7295" t="inlineStr">
        <is>
          <t>27BBBBB07295Z5</t>
        </is>
      </c>
      <c r="B7295" t="inlineStr">
        <is>
          <t>Sep-2018</t>
        </is>
      </c>
      <c r="C7295" s="2" t="n">
        <v>43304</v>
      </c>
      <c r="D7295" t="inlineStr">
        <is>
          <t>NIL</t>
        </is>
      </c>
      <c r="E7295" t="n">
        <v>2718</v>
      </c>
    </row>
    <row r="7296">
      <c r="A7296" t="inlineStr">
        <is>
          <t>27BBBBB07296Z5</t>
        </is>
      </c>
      <c r="B7296" t="inlineStr">
        <is>
          <t>Mar-2020</t>
        </is>
      </c>
      <c r="C7296" s="2" t="n">
        <v>44363</v>
      </c>
      <c r="D7296" t="inlineStr">
        <is>
          <t>NIL</t>
        </is>
      </c>
      <c r="E7296" t="n">
        <v>2623</v>
      </c>
    </row>
    <row r="7297">
      <c r="A7297" t="inlineStr">
        <is>
          <t>27BBBBB07297Z5</t>
        </is>
      </c>
      <c r="B7297" t="inlineStr">
        <is>
          <t>May-2020</t>
        </is>
      </c>
      <c r="C7297" s="2" t="n">
        <v>44355</v>
      </c>
      <c r="D7297" t="inlineStr">
        <is>
          <t>NIL</t>
        </is>
      </c>
      <c r="E7297" t="n">
        <v>2640</v>
      </c>
    </row>
    <row r="7298">
      <c r="A7298" t="inlineStr">
        <is>
          <t>27BBBBB07298Z5</t>
        </is>
      </c>
      <c r="B7298" t="inlineStr">
        <is>
          <t>Aug-2018</t>
        </is>
      </c>
      <c r="C7298" s="2" t="n">
        <v>44413</v>
      </c>
      <c r="D7298" t="inlineStr">
        <is>
          <t>NON-NIL</t>
        </is>
      </c>
      <c r="E7298" t="n">
        <v>2782</v>
      </c>
    </row>
    <row r="7299">
      <c r="A7299" t="inlineStr">
        <is>
          <t>27BBBBB07299Z5</t>
        </is>
      </c>
      <c r="B7299" t="inlineStr">
        <is>
          <t>Oct-2017</t>
        </is>
      </c>
      <c r="C7299" s="2" t="n">
        <v>43158</v>
      </c>
      <c r="D7299" t="inlineStr">
        <is>
          <t>NON-NIL</t>
        </is>
      </c>
      <c r="E7299" t="n">
        <v>2865</v>
      </c>
    </row>
    <row r="7300">
      <c r="A7300" t="inlineStr">
        <is>
          <t>27BBBBB07300Z5</t>
        </is>
      </c>
      <c r="B7300" t="inlineStr">
        <is>
          <t>Nov-2018</t>
        </is>
      </c>
      <c r="C7300" s="2" t="n">
        <v>43030</v>
      </c>
      <c r="D7300" t="inlineStr">
        <is>
          <t>NIL</t>
        </is>
      </c>
      <c r="E7300" t="n">
        <v>25</v>
      </c>
    </row>
    <row r="7301">
      <c r="A7301" t="inlineStr">
        <is>
          <t>27BBBBB07301Z5</t>
        </is>
      </c>
      <c r="B7301" t="inlineStr">
        <is>
          <t>Dec-2017</t>
        </is>
      </c>
      <c r="C7301" s="2" t="n">
        <v>44246</v>
      </c>
      <c r="D7301" t="inlineStr">
        <is>
          <t>NIL</t>
        </is>
      </c>
      <c r="E7301" t="n">
        <v>377</v>
      </c>
    </row>
    <row r="7302">
      <c r="A7302" t="inlineStr">
        <is>
          <t>27BBBBB07302Z5</t>
        </is>
      </c>
      <c r="B7302" t="inlineStr">
        <is>
          <t>May-2018</t>
        </is>
      </c>
      <c r="C7302" s="2" t="n">
        <v>44209</v>
      </c>
      <c r="D7302" t="inlineStr">
        <is>
          <t>NIL</t>
        </is>
      </c>
      <c r="E7302" t="n">
        <v>415</v>
      </c>
    </row>
    <row r="7303">
      <c r="A7303" t="inlineStr">
        <is>
          <t>27BBBBB07303Z5</t>
        </is>
      </c>
      <c r="B7303" t="inlineStr">
        <is>
          <t>Jun-2020</t>
        </is>
      </c>
      <c r="C7303" s="2" t="n">
        <v>43857</v>
      </c>
      <c r="D7303" t="inlineStr">
        <is>
          <t>NON-NIL</t>
        </is>
      </c>
      <c r="E7303" t="n">
        <v>286</v>
      </c>
    </row>
    <row r="7304">
      <c r="A7304" t="inlineStr">
        <is>
          <t>27BBBBB07304Z5</t>
        </is>
      </c>
      <c r="B7304" t="inlineStr">
        <is>
          <t>Nov-2017</t>
        </is>
      </c>
      <c r="C7304" s="2" t="n">
        <v>43552</v>
      </c>
      <c r="D7304" t="inlineStr">
        <is>
          <t>NIL</t>
        </is>
      </c>
      <c r="E7304" t="n">
        <v>252</v>
      </c>
    </row>
    <row r="7305">
      <c r="A7305" t="inlineStr">
        <is>
          <t>27BBBBB07305Z5</t>
        </is>
      </c>
      <c r="B7305" t="inlineStr">
        <is>
          <t>Oct-2017</t>
        </is>
      </c>
      <c r="C7305" s="2" t="n">
        <v>44042</v>
      </c>
      <c r="D7305" t="inlineStr">
        <is>
          <t>NON-NIL</t>
        </is>
      </c>
      <c r="E7305" t="n">
        <v>947</v>
      </c>
    </row>
    <row r="7306">
      <c r="A7306" t="inlineStr">
        <is>
          <t>27BBBBB07306Z5</t>
        </is>
      </c>
      <c r="B7306" t="inlineStr">
        <is>
          <t>May-2018</t>
        </is>
      </c>
      <c r="C7306" s="2" t="n">
        <v>44420</v>
      </c>
      <c r="D7306" t="inlineStr">
        <is>
          <t>NON-NIL</t>
        </is>
      </c>
      <c r="E7306" t="n">
        <v>919</v>
      </c>
    </row>
    <row r="7307">
      <c r="A7307" t="inlineStr">
        <is>
          <t>27BBBBB07307Z5</t>
        </is>
      </c>
      <c r="B7307" t="inlineStr">
        <is>
          <t>Jul-2017</t>
        </is>
      </c>
      <c r="C7307" s="2" t="n">
        <v>44498</v>
      </c>
      <c r="D7307" t="inlineStr">
        <is>
          <t>NIL</t>
        </is>
      </c>
      <c r="E7307" t="n">
        <v>1678</v>
      </c>
    </row>
    <row r="7308">
      <c r="A7308" t="inlineStr">
        <is>
          <t>27BBBBB07308Z5</t>
        </is>
      </c>
      <c r="B7308" t="inlineStr">
        <is>
          <t>May-2018</t>
        </is>
      </c>
      <c r="C7308" s="2" t="n">
        <v>43881</v>
      </c>
      <c r="D7308" t="inlineStr">
        <is>
          <t>NIL</t>
        </is>
      </c>
      <c r="E7308" t="n">
        <v>1977</v>
      </c>
    </row>
    <row r="7309">
      <c r="A7309" t="inlineStr">
        <is>
          <t>27BBBBB07309Z5</t>
        </is>
      </c>
      <c r="B7309" t="inlineStr">
        <is>
          <t>Jan-2018</t>
        </is>
      </c>
      <c r="C7309" s="2" t="n">
        <v>43981</v>
      </c>
      <c r="D7309" t="inlineStr">
        <is>
          <t>NIL</t>
        </is>
      </c>
      <c r="E7309" t="n">
        <v>423</v>
      </c>
    </row>
    <row r="7310">
      <c r="A7310" t="inlineStr">
        <is>
          <t>27BBBBB07310Z5</t>
        </is>
      </c>
      <c r="B7310" t="inlineStr">
        <is>
          <t>Aug-2018</t>
        </is>
      </c>
      <c r="C7310" s="2" t="n">
        <v>44345</v>
      </c>
      <c r="D7310" t="inlineStr">
        <is>
          <t>NON-NIL</t>
        </is>
      </c>
      <c r="E7310" t="n">
        <v>2263</v>
      </c>
    </row>
    <row r="7311">
      <c r="A7311" t="inlineStr">
        <is>
          <t>27BBBBB07311Z5</t>
        </is>
      </c>
      <c r="B7311" t="inlineStr">
        <is>
          <t>Apr-2018</t>
        </is>
      </c>
      <c r="C7311" s="2" t="n">
        <v>43657</v>
      </c>
      <c r="D7311" t="inlineStr">
        <is>
          <t>NON-NIL</t>
        </is>
      </c>
      <c r="E7311" t="n">
        <v>795</v>
      </c>
    </row>
    <row r="7312">
      <c r="A7312" t="inlineStr">
        <is>
          <t>27BBBBB07312Z5</t>
        </is>
      </c>
      <c r="B7312" t="inlineStr">
        <is>
          <t>Dec-2017</t>
        </is>
      </c>
      <c r="C7312" s="2" t="n">
        <v>44315</v>
      </c>
      <c r="D7312" t="inlineStr">
        <is>
          <t>NON-NIL</t>
        </is>
      </c>
      <c r="E7312" t="n">
        <v>1417</v>
      </c>
    </row>
    <row r="7313">
      <c r="A7313" t="inlineStr">
        <is>
          <t>27BBBBB07313Z5</t>
        </is>
      </c>
      <c r="B7313" t="inlineStr">
        <is>
          <t>Apr-2018</t>
        </is>
      </c>
      <c r="C7313" s="2" t="n">
        <v>44439</v>
      </c>
      <c r="D7313" t="inlineStr">
        <is>
          <t>NIL</t>
        </is>
      </c>
      <c r="E7313" t="n">
        <v>1472</v>
      </c>
    </row>
    <row r="7314">
      <c r="A7314" t="inlineStr">
        <is>
          <t>27BBBBB07314Z5</t>
        </is>
      </c>
      <c r="B7314" t="inlineStr">
        <is>
          <t>Feb-2018</t>
        </is>
      </c>
      <c r="C7314" s="2" t="n">
        <v>43801</v>
      </c>
      <c r="D7314" t="inlineStr">
        <is>
          <t>NIL</t>
        </is>
      </c>
      <c r="E7314" t="n">
        <v>1637</v>
      </c>
    </row>
    <row r="7315">
      <c r="A7315" t="inlineStr">
        <is>
          <t>27BBBBB07315Z5</t>
        </is>
      </c>
      <c r="B7315" t="inlineStr">
        <is>
          <t>May-2018</t>
        </is>
      </c>
      <c r="C7315" s="2" t="n">
        <v>43781</v>
      </c>
      <c r="D7315" t="inlineStr">
        <is>
          <t>NIL</t>
        </is>
      </c>
      <c r="E7315" t="n">
        <v>1314</v>
      </c>
    </row>
    <row r="7316">
      <c r="A7316" t="inlineStr">
        <is>
          <t>27BBBBB07316Z5</t>
        </is>
      </c>
      <c r="B7316" t="inlineStr">
        <is>
          <t>Mar-2018</t>
        </is>
      </c>
      <c r="C7316" s="2" t="n">
        <v>44198</v>
      </c>
      <c r="D7316" t="inlineStr">
        <is>
          <t>NIL</t>
        </is>
      </c>
      <c r="E7316" t="n">
        <v>2463</v>
      </c>
    </row>
    <row r="7317">
      <c r="A7317" t="inlineStr">
        <is>
          <t>27BBBBB07317Z5</t>
        </is>
      </c>
      <c r="B7317" t="inlineStr">
        <is>
          <t>Nov-2018</t>
        </is>
      </c>
      <c r="C7317" s="2" t="n">
        <v>44509</v>
      </c>
      <c r="D7317" t="inlineStr">
        <is>
          <t>NON-NIL</t>
        </is>
      </c>
      <c r="E7317" t="n">
        <v>2802</v>
      </c>
    </row>
    <row r="7318">
      <c r="A7318" t="inlineStr">
        <is>
          <t>27BBBBB07318Z5</t>
        </is>
      </c>
      <c r="B7318" t="inlineStr">
        <is>
          <t>Dec-2017</t>
        </is>
      </c>
      <c r="C7318" s="2" t="n">
        <v>43114</v>
      </c>
      <c r="D7318" t="inlineStr">
        <is>
          <t>NON-NIL</t>
        </is>
      </c>
      <c r="E7318" t="n">
        <v>2880</v>
      </c>
    </row>
    <row r="7319">
      <c r="A7319" t="inlineStr">
        <is>
          <t>27BBBBB07319Z5</t>
        </is>
      </c>
      <c r="B7319" t="inlineStr">
        <is>
          <t>Oct-2018</t>
        </is>
      </c>
      <c r="C7319" s="2" t="n">
        <v>43289</v>
      </c>
      <c r="D7319" t="inlineStr">
        <is>
          <t>NON-NIL</t>
        </is>
      </c>
      <c r="E7319" t="n">
        <v>532</v>
      </c>
    </row>
    <row r="7320">
      <c r="A7320" t="inlineStr">
        <is>
          <t>27BBBBB07320Z5</t>
        </is>
      </c>
      <c r="B7320" t="inlineStr">
        <is>
          <t>Nov-2017</t>
        </is>
      </c>
      <c r="C7320" s="2" t="n">
        <v>44101</v>
      </c>
      <c r="D7320" t="inlineStr">
        <is>
          <t>NIL</t>
        </is>
      </c>
      <c r="E7320" t="n">
        <v>929</v>
      </c>
    </row>
    <row r="7321">
      <c r="A7321" t="inlineStr">
        <is>
          <t>27BBBBB07321Z5</t>
        </is>
      </c>
      <c r="B7321" t="inlineStr">
        <is>
          <t>Jan-2021</t>
        </is>
      </c>
      <c r="C7321" s="2" t="n">
        <v>44625</v>
      </c>
      <c r="D7321" t="inlineStr">
        <is>
          <t>NON-NIL</t>
        </is>
      </c>
      <c r="E7321" t="n">
        <v>1968</v>
      </c>
    </row>
    <row r="7322">
      <c r="A7322" t="inlineStr">
        <is>
          <t>27BBBBB07322Z5</t>
        </is>
      </c>
      <c r="B7322" t="inlineStr">
        <is>
          <t>Oct-2017</t>
        </is>
      </c>
      <c r="C7322" s="2" t="n">
        <v>44021</v>
      </c>
      <c r="D7322" t="inlineStr">
        <is>
          <t>NON-NIL</t>
        </is>
      </c>
      <c r="E7322" t="n">
        <v>1114</v>
      </c>
    </row>
    <row r="7323">
      <c r="A7323" t="inlineStr">
        <is>
          <t>27BBBBB07323Z5</t>
        </is>
      </c>
      <c r="B7323" t="inlineStr">
        <is>
          <t>Aug-2018</t>
        </is>
      </c>
      <c r="C7323" s="2" t="n">
        <v>43069</v>
      </c>
      <c r="D7323" t="inlineStr">
        <is>
          <t>NON-NIL</t>
        </is>
      </c>
      <c r="E7323" t="n">
        <v>776</v>
      </c>
    </row>
    <row r="7324">
      <c r="A7324" t="inlineStr">
        <is>
          <t>27BBBBB07324Z5</t>
        </is>
      </c>
      <c r="B7324" t="inlineStr">
        <is>
          <t>Nov-2017</t>
        </is>
      </c>
      <c r="C7324" s="2" t="n">
        <v>43843</v>
      </c>
      <c r="D7324" t="inlineStr">
        <is>
          <t>NON-NIL</t>
        </is>
      </c>
      <c r="E7324" t="n">
        <v>996</v>
      </c>
    </row>
    <row r="7325">
      <c r="A7325" t="inlineStr">
        <is>
          <t>27BBBBB07325Z5</t>
        </is>
      </c>
      <c r="B7325" t="inlineStr">
        <is>
          <t>Jul-2017</t>
        </is>
      </c>
      <c r="C7325" s="2" t="n">
        <v>44266</v>
      </c>
      <c r="D7325" t="inlineStr">
        <is>
          <t>NON-NIL</t>
        </is>
      </c>
      <c r="E7325" t="n">
        <v>1615</v>
      </c>
    </row>
    <row r="7326">
      <c r="A7326" t="inlineStr">
        <is>
          <t>27BBBBB07326Z5</t>
        </is>
      </c>
      <c r="B7326" t="inlineStr">
        <is>
          <t>Jan-2021</t>
        </is>
      </c>
      <c r="C7326" s="2" t="n">
        <v>45038</v>
      </c>
      <c r="D7326" t="inlineStr">
        <is>
          <t>NON-NIL</t>
        </is>
      </c>
      <c r="E7326" t="n">
        <v>2677</v>
      </c>
    </row>
    <row r="7327">
      <c r="A7327" t="inlineStr">
        <is>
          <t>27BBBBB07327Z5</t>
        </is>
      </c>
      <c r="B7327" t="inlineStr">
        <is>
          <t>Mar-2018</t>
        </is>
      </c>
      <c r="C7327" s="2" t="n">
        <v>44208</v>
      </c>
      <c r="D7327" t="inlineStr">
        <is>
          <t>NIL</t>
        </is>
      </c>
      <c r="E7327" t="n">
        <v>52</v>
      </c>
    </row>
    <row r="7328">
      <c r="A7328" t="inlineStr">
        <is>
          <t>27BBBBB07328Z5</t>
        </is>
      </c>
      <c r="B7328" t="inlineStr">
        <is>
          <t>Oct-2017</t>
        </is>
      </c>
      <c r="C7328" s="2" t="n">
        <v>44216</v>
      </c>
      <c r="D7328" t="inlineStr">
        <is>
          <t>NON-NIL</t>
        </is>
      </c>
      <c r="E7328" t="n">
        <v>1901</v>
      </c>
    </row>
    <row r="7329">
      <c r="A7329" t="inlineStr">
        <is>
          <t>27BBBBB07329Z5</t>
        </is>
      </c>
      <c r="B7329" t="inlineStr">
        <is>
          <t>Dec-2022</t>
        </is>
      </c>
      <c r="C7329" s="2" t="n">
        <v>45213</v>
      </c>
      <c r="D7329" t="inlineStr">
        <is>
          <t>NON-NIL</t>
        </is>
      </c>
      <c r="E7329" t="n">
        <v>2399</v>
      </c>
    </row>
    <row r="7330">
      <c r="A7330" t="inlineStr">
        <is>
          <t>27BBBBB07330Z5</t>
        </is>
      </c>
      <c r="B7330" t="inlineStr">
        <is>
          <t>Apr-2020</t>
        </is>
      </c>
      <c r="C7330" s="2" t="n">
        <v>44579</v>
      </c>
      <c r="D7330" t="inlineStr">
        <is>
          <t>NIL</t>
        </is>
      </c>
      <c r="E7330" t="n">
        <v>1410</v>
      </c>
    </row>
    <row r="7331">
      <c r="A7331" t="inlineStr">
        <is>
          <t>27BBBBB07331Z5</t>
        </is>
      </c>
      <c r="B7331" t="inlineStr">
        <is>
          <t>Mar-2020</t>
        </is>
      </c>
      <c r="C7331" s="2" t="n">
        <v>44600</v>
      </c>
      <c r="D7331" t="inlineStr">
        <is>
          <t>NIL</t>
        </is>
      </c>
      <c r="E7331" t="n">
        <v>1817</v>
      </c>
    </row>
    <row r="7332">
      <c r="A7332" t="inlineStr">
        <is>
          <t>27BBBBB07332Z5</t>
        </is>
      </c>
      <c r="B7332" t="inlineStr">
        <is>
          <t>Sep-2017</t>
        </is>
      </c>
      <c r="C7332" s="2" t="n">
        <v>43215</v>
      </c>
      <c r="D7332" t="inlineStr">
        <is>
          <t>NON-NIL</t>
        </is>
      </c>
      <c r="E7332" t="n">
        <v>218</v>
      </c>
    </row>
    <row r="7333">
      <c r="A7333" t="inlineStr">
        <is>
          <t>27BBBBB07333Z5</t>
        </is>
      </c>
      <c r="B7333" t="inlineStr">
        <is>
          <t>Dec-2018</t>
        </is>
      </c>
      <c r="C7333" s="2" t="n">
        <v>43431</v>
      </c>
      <c r="D7333" t="inlineStr">
        <is>
          <t>NON-NIL</t>
        </is>
      </c>
      <c r="E7333" t="n">
        <v>1567</v>
      </c>
    </row>
    <row r="7334">
      <c r="A7334" t="inlineStr">
        <is>
          <t>27BBBBB07334Z5</t>
        </is>
      </c>
      <c r="B7334" t="inlineStr">
        <is>
          <t>Jun-2018</t>
        </is>
      </c>
      <c r="C7334" s="2" t="n">
        <v>44351</v>
      </c>
      <c r="D7334" t="inlineStr">
        <is>
          <t>NIL</t>
        </is>
      </c>
      <c r="E7334" t="n">
        <v>118</v>
      </c>
    </row>
    <row r="7335">
      <c r="A7335" t="inlineStr">
        <is>
          <t>27BBBBB07335Z5</t>
        </is>
      </c>
      <c r="B7335" t="inlineStr">
        <is>
          <t>Mar-2021</t>
        </is>
      </c>
      <c r="C7335" s="2" t="n">
        <v>44887</v>
      </c>
      <c r="D7335" t="inlineStr">
        <is>
          <t>NON-NIL</t>
        </is>
      </c>
      <c r="E7335" t="n">
        <v>713</v>
      </c>
    </row>
    <row r="7336">
      <c r="A7336" t="inlineStr">
        <is>
          <t>27BBBBB07336Z5</t>
        </is>
      </c>
      <c r="B7336" t="inlineStr">
        <is>
          <t>Dec-2017</t>
        </is>
      </c>
      <c r="C7336" s="2" t="n">
        <v>44322</v>
      </c>
      <c r="D7336" t="inlineStr">
        <is>
          <t>NON-NIL</t>
        </is>
      </c>
      <c r="E7336" t="n">
        <v>1859</v>
      </c>
    </row>
    <row r="7337">
      <c r="A7337" t="inlineStr">
        <is>
          <t>27BBBBB07337Z5</t>
        </is>
      </c>
      <c r="B7337" t="inlineStr">
        <is>
          <t>Oct-2017</t>
        </is>
      </c>
      <c r="C7337" s="2" t="n">
        <v>44007</v>
      </c>
      <c r="D7337" t="inlineStr">
        <is>
          <t>NIL</t>
        </is>
      </c>
      <c r="E7337" t="n">
        <v>768</v>
      </c>
    </row>
    <row r="7338">
      <c r="A7338" t="inlineStr">
        <is>
          <t>27BBBBB07338Z5</t>
        </is>
      </c>
      <c r="B7338" t="inlineStr">
        <is>
          <t>May-2020</t>
        </is>
      </c>
      <c r="C7338" s="2" t="n">
        <v>44887</v>
      </c>
      <c r="D7338" t="inlineStr">
        <is>
          <t>NIL</t>
        </is>
      </c>
      <c r="E7338" t="n">
        <v>2575</v>
      </c>
    </row>
    <row r="7339">
      <c r="A7339" t="inlineStr">
        <is>
          <t>27BBBBB07339Z5</t>
        </is>
      </c>
      <c r="B7339" t="inlineStr">
        <is>
          <t>Mar-2023</t>
        </is>
      </c>
      <c r="C7339" s="2" t="n">
        <v>44657</v>
      </c>
      <c r="D7339" t="inlineStr">
        <is>
          <t>NIL</t>
        </is>
      </c>
      <c r="E7339" t="n">
        <v>1868</v>
      </c>
    </row>
    <row r="7340">
      <c r="A7340" t="inlineStr">
        <is>
          <t>27BBBBB07340Z5</t>
        </is>
      </c>
      <c r="B7340" t="inlineStr">
        <is>
          <t>Oct-2017</t>
        </is>
      </c>
      <c r="C7340" s="2" t="n">
        <v>43040</v>
      </c>
      <c r="D7340" t="inlineStr">
        <is>
          <t>NON-NIL</t>
        </is>
      </c>
      <c r="E7340" t="n">
        <v>2936</v>
      </c>
    </row>
    <row r="7341">
      <c r="A7341" t="inlineStr">
        <is>
          <t>27BBBBB07341Z5</t>
        </is>
      </c>
      <c r="B7341" t="inlineStr">
        <is>
          <t>May-2018</t>
        </is>
      </c>
      <c r="C7341" s="2" t="n">
        <v>44233</v>
      </c>
      <c r="D7341" t="inlineStr">
        <is>
          <t>NIL</t>
        </is>
      </c>
      <c r="E7341" t="n">
        <v>1555</v>
      </c>
    </row>
    <row r="7342">
      <c r="A7342" t="inlineStr">
        <is>
          <t>27BBBBB07342Z5</t>
        </is>
      </c>
      <c r="B7342" t="inlineStr">
        <is>
          <t>Aug-2017</t>
        </is>
      </c>
      <c r="C7342" s="2" t="n">
        <v>44128</v>
      </c>
      <c r="D7342" t="inlineStr">
        <is>
          <t>NON-NIL</t>
        </is>
      </c>
      <c r="E7342" t="n">
        <v>146</v>
      </c>
    </row>
    <row r="7343">
      <c r="A7343" t="inlineStr">
        <is>
          <t>27BBBBB07343Z5</t>
        </is>
      </c>
      <c r="B7343" t="inlineStr">
        <is>
          <t>Jul-2017</t>
        </is>
      </c>
      <c r="C7343" s="2" t="n">
        <v>44407</v>
      </c>
      <c r="D7343" t="inlineStr">
        <is>
          <t>NON-NIL</t>
        </is>
      </c>
      <c r="E7343" t="n">
        <v>1291</v>
      </c>
    </row>
    <row r="7344">
      <c r="A7344" t="inlineStr">
        <is>
          <t>27BBBBB07344Z5</t>
        </is>
      </c>
      <c r="B7344" t="inlineStr">
        <is>
          <t>Aug-2017</t>
        </is>
      </c>
      <c r="C7344" s="2" t="n">
        <v>43858</v>
      </c>
      <c r="D7344" t="inlineStr">
        <is>
          <t>NON-NIL</t>
        </is>
      </c>
      <c r="E7344" t="n">
        <v>1376</v>
      </c>
    </row>
    <row r="7345">
      <c r="A7345" t="inlineStr">
        <is>
          <t>27BBBBB07345Z5</t>
        </is>
      </c>
      <c r="B7345" t="inlineStr">
        <is>
          <t>Mar-2021</t>
        </is>
      </c>
      <c r="C7345" s="2" t="n">
        <v>44059</v>
      </c>
      <c r="D7345" t="inlineStr">
        <is>
          <t>NIL</t>
        </is>
      </c>
      <c r="E7345" t="n">
        <v>303</v>
      </c>
    </row>
    <row r="7346">
      <c r="A7346" t="inlineStr">
        <is>
          <t>27BBBBB07346Z5</t>
        </is>
      </c>
      <c r="B7346" t="inlineStr">
        <is>
          <t>Sep-2018</t>
        </is>
      </c>
      <c r="C7346" s="2" t="n">
        <v>43954</v>
      </c>
      <c r="D7346" t="inlineStr">
        <is>
          <t>NIL</t>
        </is>
      </c>
      <c r="E7346" t="n">
        <v>1690</v>
      </c>
    </row>
    <row r="7347">
      <c r="A7347" t="inlineStr">
        <is>
          <t>27BBBBB07347Z5</t>
        </is>
      </c>
      <c r="B7347" t="inlineStr">
        <is>
          <t>Aug-2018</t>
        </is>
      </c>
      <c r="C7347" s="2" t="n">
        <v>43928</v>
      </c>
      <c r="D7347" t="inlineStr">
        <is>
          <t>NON-NIL</t>
        </is>
      </c>
      <c r="E7347" t="n">
        <v>1246</v>
      </c>
    </row>
    <row r="7348">
      <c r="A7348" t="inlineStr">
        <is>
          <t>27BBBBB07348Z5</t>
        </is>
      </c>
      <c r="B7348" t="inlineStr">
        <is>
          <t>Dec-2024</t>
        </is>
      </c>
      <c r="C7348" s="2" t="n">
        <v>45517</v>
      </c>
      <c r="D7348" t="inlineStr">
        <is>
          <t>NIL</t>
        </is>
      </c>
      <c r="E7348" t="n">
        <v>2095</v>
      </c>
    </row>
    <row r="7349">
      <c r="A7349" t="inlineStr">
        <is>
          <t>27BBBBB07349Z5</t>
        </is>
      </c>
      <c r="B7349" t="inlineStr">
        <is>
          <t>Mar-2020</t>
        </is>
      </c>
      <c r="C7349" s="2" t="n">
        <v>44240</v>
      </c>
      <c r="D7349" t="inlineStr">
        <is>
          <t>NIL</t>
        </is>
      </c>
      <c r="E7349" t="n">
        <v>2895</v>
      </c>
    </row>
    <row r="7350">
      <c r="A7350" t="inlineStr">
        <is>
          <t>27BBBBB07350Z5</t>
        </is>
      </c>
      <c r="B7350" t="inlineStr">
        <is>
          <t>May-2020</t>
        </is>
      </c>
      <c r="C7350" s="2" t="n">
        <v>43968</v>
      </c>
      <c r="D7350" t="inlineStr">
        <is>
          <t>NON-NIL</t>
        </is>
      </c>
      <c r="E7350" t="n">
        <v>830</v>
      </c>
    </row>
    <row r="7351">
      <c r="A7351" t="inlineStr">
        <is>
          <t>27BBBBB07351Z5</t>
        </is>
      </c>
      <c r="B7351" t="inlineStr">
        <is>
          <t>Jul-2020</t>
        </is>
      </c>
      <c r="C7351" s="2" t="n">
        <v>44713</v>
      </c>
      <c r="D7351" t="inlineStr">
        <is>
          <t>NON-NIL</t>
        </is>
      </c>
      <c r="E7351" t="n">
        <v>513</v>
      </c>
    </row>
    <row r="7352">
      <c r="A7352" t="inlineStr">
        <is>
          <t>27BBBBB07352Z5</t>
        </is>
      </c>
      <c r="B7352" t="inlineStr">
        <is>
          <t>Dec-2024</t>
        </is>
      </c>
      <c r="C7352" s="2" t="n">
        <v>45204</v>
      </c>
      <c r="D7352" t="inlineStr">
        <is>
          <t>NIL</t>
        </is>
      </c>
      <c r="E7352" t="n">
        <v>867</v>
      </c>
    </row>
    <row r="7353">
      <c r="A7353" t="inlineStr">
        <is>
          <t>27BBBBB07353Z5</t>
        </is>
      </c>
      <c r="B7353" t="inlineStr">
        <is>
          <t>Aug-2018</t>
        </is>
      </c>
      <c r="C7353" s="2" t="n">
        <v>43084</v>
      </c>
      <c r="D7353" t="inlineStr">
        <is>
          <t>NIL</t>
        </is>
      </c>
      <c r="E7353" t="n">
        <v>975</v>
      </c>
    </row>
    <row r="7354">
      <c r="A7354" t="inlineStr">
        <is>
          <t>27BBBBB07354Z5</t>
        </is>
      </c>
      <c r="B7354" t="inlineStr">
        <is>
          <t>May-2018</t>
        </is>
      </c>
      <c r="C7354" s="2" t="n">
        <v>43614</v>
      </c>
      <c r="D7354" t="inlineStr">
        <is>
          <t>NON-NIL</t>
        </is>
      </c>
      <c r="E7354" t="n">
        <v>1490</v>
      </c>
    </row>
    <row r="7355">
      <c r="A7355" t="inlineStr">
        <is>
          <t>27BBBBB07355Z5</t>
        </is>
      </c>
      <c r="B7355" t="inlineStr">
        <is>
          <t>Sep-2018</t>
        </is>
      </c>
      <c r="C7355" s="2" t="n">
        <v>43249</v>
      </c>
      <c r="D7355" t="inlineStr">
        <is>
          <t>NON-NIL</t>
        </is>
      </c>
      <c r="E7355" t="n">
        <v>592</v>
      </c>
    </row>
    <row r="7356">
      <c r="A7356" t="inlineStr">
        <is>
          <t>27BBBBB07356Z5</t>
        </is>
      </c>
      <c r="B7356" t="inlineStr">
        <is>
          <t>Dec-2018</t>
        </is>
      </c>
      <c r="C7356" s="2" t="n">
        <v>43925</v>
      </c>
      <c r="D7356" t="inlineStr">
        <is>
          <t>NIL</t>
        </is>
      </c>
      <c r="E7356" t="n">
        <v>2691</v>
      </c>
    </row>
    <row r="7357">
      <c r="A7357" t="inlineStr">
        <is>
          <t>27BBBBB07357Z5</t>
        </is>
      </c>
      <c r="B7357" t="inlineStr">
        <is>
          <t>Jan-2021</t>
        </is>
      </c>
      <c r="C7357" s="2" t="n">
        <v>45531</v>
      </c>
      <c r="D7357" t="inlineStr">
        <is>
          <t>NON-NIL</t>
        </is>
      </c>
      <c r="E7357" t="n">
        <v>2761</v>
      </c>
    </row>
    <row r="7358">
      <c r="A7358" t="inlineStr">
        <is>
          <t>27BBBBB07358Z5</t>
        </is>
      </c>
      <c r="B7358" t="inlineStr">
        <is>
          <t>Oct-2017</t>
        </is>
      </c>
      <c r="C7358" s="2" t="n">
        <v>44399</v>
      </c>
      <c r="D7358" t="inlineStr">
        <is>
          <t>NON-NIL</t>
        </is>
      </c>
      <c r="E7358" t="n">
        <v>1900</v>
      </c>
    </row>
    <row r="7359">
      <c r="A7359" t="inlineStr">
        <is>
          <t>27BBBBB07359Z5</t>
        </is>
      </c>
      <c r="B7359" t="inlineStr">
        <is>
          <t>Jul-2018</t>
        </is>
      </c>
      <c r="C7359" s="2" t="n">
        <v>43295</v>
      </c>
      <c r="D7359" t="inlineStr">
        <is>
          <t>NIL</t>
        </is>
      </c>
      <c r="E7359" t="n">
        <v>2086</v>
      </c>
    </row>
    <row r="7360">
      <c r="A7360" t="inlineStr">
        <is>
          <t>27BBBBB07360Z5</t>
        </is>
      </c>
      <c r="B7360" t="inlineStr">
        <is>
          <t>Aug-2017</t>
        </is>
      </c>
      <c r="C7360" s="2" t="n">
        <v>43240</v>
      </c>
      <c r="D7360" t="inlineStr">
        <is>
          <t>NON-NIL</t>
        </is>
      </c>
      <c r="E7360" t="n">
        <v>2000</v>
      </c>
    </row>
    <row r="7361">
      <c r="A7361" t="inlineStr">
        <is>
          <t>27BBBBB07361Z5</t>
        </is>
      </c>
      <c r="B7361" t="inlineStr">
        <is>
          <t>Aug-2017</t>
        </is>
      </c>
      <c r="C7361" s="2" t="n">
        <v>44521</v>
      </c>
      <c r="D7361" t="inlineStr">
        <is>
          <t>NON-NIL</t>
        </is>
      </c>
      <c r="E7361" t="n">
        <v>1667</v>
      </c>
    </row>
    <row r="7362">
      <c r="A7362" t="inlineStr">
        <is>
          <t>27BBBBB07362Z5</t>
        </is>
      </c>
      <c r="B7362" t="inlineStr">
        <is>
          <t>Sep-2017</t>
        </is>
      </c>
      <c r="C7362" s="2" t="n">
        <v>44058</v>
      </c>
      <c r="D7362" t="inlineStr">
        <is>
          <t>NON-NIL</t>
        </is>
      </c>
      <c r="E7362" t="n">
        <v>1893</v>
      </c>
    </row>
    <row r="7363">
      <c r="A7363" t="inlineStr">
        <is>
          <t>27BBBBB07363Z5</t>
        </is>
      </c>
      <c r="B7363" t="inlineStr">
        <is>
          <t>Jun-2020</t>
        </is>
      </c>
      <c r="C7363" s="2" t="n">
        <v>44821</v>
      </c>
      <c r="D7363" t="inlineStr">
        <is>
          <t>NIL</t>
        </is>
      </c>
      <c r="E7363" t="n">
        <v>1667</v>
      </c>
    </row>
    <row r="7364">
      <c r="A7364" t="inlineStr">
        <is>
          <t>27BBBBB07364Z5</t>
        </is>
      </c>
      <c r="B7364" t="inlineStr">
        <is>
          <t>Mar-2021</t>
        </is>
      </c>
      <c r="C7364" s="2" t="n">
        <v>44606</v>
      </c>
      <c r="D7364" t="inlineStr">
        <is>
          <t>NIL</t>
        </is>
      </c>
      <c r="E7364" t="n">
        <v>2125</v>
      </c>
    </row>
    <row r="7365">
      <c r="A7365" t="inlineStr">
        <is>
          <t>27BBBBB07365Z5</t>
        </is>
      </c>
      <c r="B7365" t="inlineStr">
        <is>
          <t>Oct-2017</t>
        </is>
      </c>
      <c r="C7365" s="2" t="n">
        <v>43455</v>
      </c>
      <c r="D7365" t="inlineStr">
        <is>
          <t>NON-NIL</t>
        </is>
      </c>
      <c r="E7365" t="n">
        <v>212</v>
      </c>
    </row>
    <row r="7366">
      <c r="A7366" t="inlineStr">
        <is>
          <t>27BBBBB07366Z5</t>
        </is>
      </c>
      <c r="B7366" t="inlineStr">
        <is>
          <t>Mar-2018</t>
        </is>
      </c>
      <c r="C7366" s="2" t="n">
        <v>44272</v>
      </c>
      <c r="D7366" t="inlineStr">
        <is>
          <t>NIL</t>
        </is>
      </c>
      <c r="E7366" t="n">
        <v>619</v>
      </c>
    </row>
    <row r="7367">
      <c r="A7367" t="inlineStr">
        <is>
          <t>27BBBBB07367Z5</t>
        </is>
      </c>
      <c r="B7367" t="inlineStr">
        <is>
          <t>Mar-2020</t>
        </is>
      </c>
      <c r="C7367" s="2" t="n">
        <v>44286</v>
      </c>
      <c r="D7367" t="inlineStr">
        <is>
          <t>NON-NIL</t>
        </is>
      </c>
      <c r="E7367" t="n">
        <v>819</v>
      </c>
    </row>
    <row r="7368">
      <c r="A7368" t="inlineStr">
        <is>
          <t>27BBBBB07368Z5</t>
        </is>
      </c>
      <c r="B7368" t="inlineStr">
        <is>
          <t>Mar-2021</t>
        </is>
      </c>
      <c r="C7368" s="2" t="n">
        <v>44060</v>
      </c>
      <c r="D7368" t="inlineStr">
        <is>
          <t>NIL</t>
        </is>
      </c>
      <c r="E7368" t="n">
        <v>2124</v>
      </c>
    </row>
    <row r="7369">
      <c r="A7369" t="inlineStr">
        <is>
          <t>27BBBBB07369Z5</t>
        </is>
      </c>
      <c r="B7369" t="inlineStr">
        <is>
          <t>Jul-2017</t>
        </is>
      </c>
      <c r="C7369" s="2" t="n">
        <v>44426</v>
      </c>
      <c r="D7369" t="inlineStr">
        <is>
          <t>NIL</t>
        </is>
      </c>
      <c r="E7369" t="n">
        <v>2485</v>
      </c>
    </row>
    <row r="7370">
      <c r="A7370" t="inlineStr">
        <is>
          <t>27BBBBB07370Z5</t>
        </is>
      </c>
      <c r="B7370" t="inlineStr">
        <is>
          <t>Sep-2018</t>
        </is>
      </c>
      <c r="C7370" s="2" t="n">
        <v>44147</v>
      </c>
      <c r="D7370" t="inlineStr">
        <is>
          <t>NIL</t>
        </is>
      </c>
      <c r="E7370" t="n">
        <v>299</v>
      </c>
    </row>
    <row r="7371">
      <c r="A7371" t="inlineStr">
        <is>
          <t>27BBBBB07371Z5</t>
        </is>
      </c>
      <c r="B7371" t="inlineStr">
        <is>
          <t>Jan-2018</t>
        </is>
      </c>
      <c r="C7371" s="2" t="n">
        <v>44478</v>
      </c>
      <c r="D7371" t="inlineStr">
        <is>
          <t>NON-NIL</t>
        </is>
      </c>
      <c r="E7371" t="n">
        <v>1989</v>
      </c>
    </row>
    <row r="7372">
      <c r="A7372" t="inlineStr">
        <is>
          <t>27BBBBB07372Z5</t>
        </is>
      </c>
      <c r="B7372" t="inlineStr">
        <is>
          <t>Nov-2017</t>
        </is>
      </c>
      <c r="C7372" s="2" t="n">
        <v>44447</v>
      </c>
      <c r="D7372" t="inlineStr">
        <is>
          <t>NIL</t>
        </is>
      </c>
      <c r="E7372" t="n">
        <v>2313</v>
      </c>
    </row>
    <row r="7373">
      <c r="A7373" t="inlineStr">
        <is>
          <t>27BBBBB07373Z5</t>
        </is>
      </c>
      <c r="B7373" t="inlineStr">
        <is>
          <t>Aug-2018</t>
        </is>
      </c>
      <c r="C7373" s="2" t="n">
        <v>43920</v>
      </c>
      <c r="D7373" t="inlineStr">
        <is>
          <t>NIL</t>
        </is>
      </c>
      <c r="E7373" t="n">
        <v>2204</v>
      </c>
    </row>
    <row r="7374">
      <c r="A7374" t="inlineStr">
        <is>
          <t>27BBBBB07374Z5</t>
        </is>
      </c>
      <c r="B7374" t="inlineStr">
        <is>
          <t>Jan-2021</t>
        </is>
      </c>
      <c r="C7374" s="2" t="n">
        <v>45194</v>
      </c>
      <c r="D7374" t="inlineStr">
        <is>
          <t>NON-NIL</t>
        </is>
      </c>
      <c r="E7374" t="n">
        <v>1977</v>
      </c>
    </row>
    <row r="7375">
      <c r="A7375" t="inlineStr">
        <is>
          <t>27BBBBB07375Z5</t>
        </is>
      </c>
      <c r="B7375" t="inlineStr">
        <is>
          <t>Jun-2018</t>
        </is>
      </c>
      <c r="C7375" s="2" t="n">
        <v>43055</v>
      </c>
      <c r="D7375" t="inlineStr">
        <is>
          <t>NON-NIL</t>
        </is>
      </c>
      <c r="E7375" t="n">
        <v>1533</v>
      </c>
    </row>
    <row r="7376">
      <c r="A7376" t="inlineStr">
        <is>
          <t>27BBBBB07376Z5</t>
        </is>
      </c>
      <c r="B7376" t="inlineStr">
        <is>
          <t>Jan-2018</t>
        </is>
      </c>
      <c r="C7376" s="2" t="n">
        <v>43825</v>
      </c>
      <c r="D7376" t="inlineStr">
        <is>
          <t>NON-NIL</t>
        </is>
      </c>
      <c r="E7376" t="n">
        <v>1873</v>
      </c>
    </row>
    <row r="7377">
      <c r="A7377" t="inlineStr">
        <is>
          <t>27BBBBB07377Z5</t>
        </is>
      </c>
      <c r="B7377" t="inlineStr">
        <is>
          <t>Jul-2017</t>
        </is>
      </c>
      <c r="C7377" s="2" t="n">
        <v>43413</v>
      </c>
      <c r="D7377" t="inlineStr">
        <is>
          <t>NIL</t>
        </is>
      </c>
      <c r="E7377" t="n">
        <v>1970</v>
      </c>
    </row>
    <row r="7378">
      <c r="A7378" t="inlineStr">
        <is>
          <t>27BBBBB07378Z5</t>
        </is>
      </c>
      <c r="B7378" t="inlineStr">
        <is>
          <t>Apr-2018</t>
        </is>
      </c>
      <c r="C7378" s="2" t="n">
        <v>44188</v>
      </c>
      <c r="D7378" t="inlineStr">
        <is>
          <t>NIL</t>
        </is>
      </c>
      <c r="E7378" t="n">
        <v>1216</v>
      </c>
    </row>
    <row r="7379">
      <c r="A7379" t="inlineStr">
        <is>
          <t>27BBBBB07379Z5</t>
        </is>
      </c>
      <c r="B7379" t="inlineStr">
        <is>
          <t>Feb-2018</t>
        </is>
      </c>
      <c r="C7379" s="2" t="n">
        <v>44032</v>
      </c>
      <c r="D7379" t="inlineStr">
        <is>
          <t>NIL</t>
        </is>
      </c>
      <c r="E7379" t="n">
        <v>2527</v>
      </c>
    </row>
    <row r="7380">
      <c r="A7380" t="inlineStr">
        <is>
          <t>27BBBBB07380Z5</t>
        </is>
      </c>
      <c r="B7380" t="inlineStr">
        <is>
          <t>Sep-2018</t>
        </is>
      </c>
      <c r="C7380" s="2" t="n">
        <v>44297</v>
      </c>
      <c r="D7380" t="inlineStr">
        <is>
          <t>NON-NIL</t>
        </is>
      </c>
      <c r="E7380" t="n">
        <v>3</v>
      </c>
    </row>
    <row r="7381">
      <c r="A7381" t="inlineStr">
        <is>
          <t>27BBBBB07381Z5</t>
        </is>
      </c>
      <c r="B7381" t="inlineStr">
        <is>
          <t>May-2018</t>
        </is>
      </c>
      <c r="C7381" s="2" t="n">
        <v>43366</v>
      </c>
      <c r="D7381" t="inlineStr">
        <is>
          <t>NIL</t>
        </is>
      </c>
      <c r="E7381" t="n">
        <v>2254</v>
      </c>
    </row>
    <row r="7382">
      <c r="A7382" t="inlineStr">
        <is>
          <t>27BBBBB07382Z5</t>
        </is>
      </c>
      <c r="B7382" t="inlineStr">
        <is>
          <t>May-2020</t>
        </is>
      </c>
      <c r="C7382" s="2" t="n">
        <v>44224</v>
      </c>
      <c r="D7382" t="inlineStr">
        <is>
          <t>NIL</t>
        </is>
      </c>
      <c r="E7382" t="n">
        <v>1539</v>
      </c>
    </row>
    <row r="7383">
      <c r="A7383" t="inlineStr">
        <is>
          <t>27BBBBB07383Z5</t>
        </is>
      </c>
      <c r="B7383" t="inlineStr">
        <is>
          <t>Mar-2021</t>
        </is>
      </c>
      <c r="C7383" s="2" t="n">
        <v>43617</v>
      </c>
      <c r="D7383" t="inlineStr">
        <is>
          <t>NIL</t>
        </is>
      </c>
      <c r="E7383" t="n">
        <v>1200</v>
      </c>
    </row>
    <row r="7384">
      <c r="A7384" t="inlineStr">
        <is>
          <t>27BBBBB07384Z5</t>
        </is>
      </c>
      <c r="B7384" t="inlineStr">
        <is>
          <t>Aug-2018</t>
        </is>
      </c>
      <c r="C7384" s="2" t="n">
        <v>43920</v>
      </c>
      <c r="D7384" t="inlineStr">
        <is>
          <t>NIL</t>
        </is>
      </c>
      <c r="E7384" t="n">
        <v>1435</v>
      </c>
    </row>
    <row r="7385">
      <c r="A7385" t="inlineStr">
        <is>
          <t>27BBBBB07385Z5</t>
        </is>
      </c>
      <c r="B7385" t="inlineStr">
        <is>
          <t>Sep-2017</t>
        </is>
      </c>
      <c r="C7385" s="2" t="n">
        <v>43086</v>
      </c>
      <c r="D7385" t="inlineStr">
        <is>
          <t>NIL</t>
        </is>
      </c>
      <c r="E7385" t="n">
        <v>1999</v>
      </c>
    </row>
    <row r="7386">
      <c r="A7386" t="inlineStr">
        <is>
          <t>27BBBBB07386Z5</t>
        </is>
      </c>
      <c r="B7386" t="inlineStr">
        <is>
          <t>Aug-2017</t>
        </is>
      </c>
      <c r="C7386" s="2" t="n">
        <v>43410</v>
      </c>
      <c r="D7386" t="inlineStr">
        <is>
          <t>NIL</t>
        </is>
      </c>
      <c r="E7386" t="n">
        <v>695</v>
      </c>
    </row>
    <row r="7387">
      <c r="A7387" t="inlineStr">
        <is>
          <t>27BBBBB07387Z5</t>
        </is>
      </c>
      <c r="B7387" t="inlineStr">
        <is>
          <t>Apr-2018</t>
        </is>
      </c>
      <c r="C7387" s="2" t="n">
        <v>44395</v>
      </c>
      <c r="D7387" t="inlineStr">
        <is>
          <t>NIL</t>
        </is>
      </c>
      <c r="E7387" t="n">
        <v>969</v>
      </c>
    </row>
    <row r="7388">
      <c r="A7388" t="inlineStr">
        <is>
          <t>27BBBBB07388Z5</t>
        </is>
      </c>
      <c r="B7388" t="inlineStr">
        <is>
          <t>Jul-2018</t>
        </is>
      </c>
      <c r="C7388" s="2" t="n">
        <v>42996</v>
      </c>
      <c r="D7388" t="inlineStr">
        <is>
          <t>NON-NIL</t>
        </is>
      </c>
      <c r="E7388" t="n">
        <v>799</v>
      </c>
    </row>
    <row r="7389">
      <c r="A7389" t="inlineStr">
        <is>
          <t>27BBBBB07389Z5</t>
        </is>
      </c>
      <c r="B7389" t="inlineStr">
        <is>
          <t>Sep-2018</t>
        </is>
      </c>
      <c r="C7389" s="2" t="n">
        <v>43465</v>
      </c>
      <c r="D7389" t="inlineStr">
        <is>
          <t>NON-NIL</t>
        </is>
      </c>
      <c r="E7389" t="n">
        <v>1512</v>
      </c>
    </row>
    <row r="7390">
      <c r="A7390" t="inlineStr">
        <is>
          <t>27BBBBB07390Z5</t>
        </is>
      </c>
      <c r="B7390" t="inlineStr">
        <is>
          <t>Sep-2018</t>
        </is>
      </c>
      <c r="C7390" s="2" t="n">
        <v>44237</v>
      </c>
      <c r="D7390" t="inlineStr">
        <is>
          <t>NON-NIL</t>
        </is>
      </c>
      <c r="E7390" t="n">
        <v>1787</v>
      </c>
    </row>
    <row r="7391">
      <c r="A7391" t="inlineStr">
        <is>
          <t>27BBBBB07391Z5</t>
        </is>
      </c>
      <c r="B7391" t="inlineStr">
        <is>
          <t>Mar-2021</t>
        </is>
      </c>
      <c r="C7391" s="2" t="n">
        <v>44478</v>
      </c>
      <c r="D7391" t="inlineStr">
        <is>
          <t>NON-NIL</t>
        </is>
      </c>
      <c r="E7391" t="n">
        <v>72</v>
      </c>
    </row>
    <row r="7392">
      <c r="A7392" t="inlineStr">
        <is>
          <t>27BBBBB07392Z5</t>
        </is>
      </c>
      <c r="B7392" t="inlineStr">
        <is>
          <t>Dec-2018</t>
        </is>
      </c>
      <c r="C7392" s="2" t="n">
        <v>43091</v>
      </c>
      <c r="D7392" t="inlineStr">
        <is>
          <t>NIL</t>
        </is>
      </c>
      <c r="E7392" t="n">
        <v>2034</v>
      </c>
    </row>
    <row r="7393">
      <c r="A7393" t="inlineStr">
        <is>
          <t>27BBBBB07393Z5</t>
        </is>
      </c>
      <c r="B7393" t="inlineStr">
        <is>
          <t>May-2018</t>
        </is>
      </c>
      <c r="C7393" s="2" t="n">
        <v>43955</v>
      </c>
      <c r="D7393" t="inlineStr">
        <is>
          <t>NON-NIL</t>
        </is>
      </c>
      <c r="E7393" t="n">
        <v>2903</v>
      </c>
    </row>
    <row r="7394">
      <c r="A7394" t="inlineStr">
        <is>
          <t>27BBBBB07394Z5</t>
        </is>
      </c>
      <c r="B7394" t="inlineStr">
        <is>
          <t>Nov-2018</t>
        </is>
      </c>
      <c r="C7394" s="2" t="n">
        <v>43238</v>
      </c>
      <c r="D7394" t="inlineStr">
        <is>
          <t>NON-NIL</t>
        </is>
      </c>
      <c r="E7394" t="n">
        <v>1805</v>
      </c>
    </row>
    <row r="7395">
      <c r="A7395" t="inlineStr">
        <is>
          <t>27BBBBB07395Z5</t>
        </is>
      </c>
      <c r="B7395" t="inlineStr">
        <is>
          <t>Jun-2018</t>
        </is>
      </c>
      <c r="C7395" s="2" t="n">
        <v>44131</v>
      </c>
      <c r="D7395" t="inlineStr">
        <is>
          <t>NON-NIL</t>
        </is>
      </c>
      <c r="E7395" t="n">
        <v>1850</v>
      </c>
    </row>
    <row r="7396">
      <c r="A7396" t="inlineStr">
        <is>
          <t>27BBBBB07396Z5</t>
        </is>
      </c>
      <c r="B7396" t="inlineStr">
        <is>
          <t>Apr-2020</t>
        </is>
      </c>
      <c r="C7396" s="2" t="n">
        <v>44211</v>
      </c>
      <c r="D7396" t="inlineStr">
        <is>
          <t>NIL</t>
        </is>
      </c>
      <c r="E7396" t="n">
        <v>1901</v>
      </c>
    </row>
    <row r="7397">
      <c r="A7397" t="inlineStr">
        <is>
          <t>27BBBBB07397Z5</t>
        </is>
      </c>
      <c r="B7397" t="inlineStr">
        <is>
          <t>Jun-2020</t>
        </is>
      </c>
      <c r="C7397" s="2" t="n">
        <v>43937</v>
      </c>
      <c r="D7397" t="inlineStr">
        <is>
          <t>NIL</t>
        </is>
      </c>
      <c r="E7397" t="n">
        <v>2420</v>
      </c>
    </row>
    <row r="7398">
      <c r="A7398" t="inlineStr">
        <is>
          <t>27BBBBB07398Z5</t>
        </is>
      </c>
      <c r="B7398" t="inlineStr">
        <is>
          <t>Nov-2017</t>
        </is>
      </c>
      <c r="C7398" s="2" t="n">
        <v>43439</v>
      </c>
      <c r="D7398" t="inlineStr">
        <is>
          <t>NON-NIL</t>
        </is>
      </c>
      <c r="E7398" t="n">
        <v>1897</v>
      </c>
    </row>
    <row r="7399">
      <c r="A7399" t="inlineStr">
        <is>
          <t>27BBBBB07399Z5</t>
        </is>
      </c>
      <c r="B7399" t="inlineStr">
        <is>
          <t>Jun-2018</t>
        </is>
      </c>
      <c r="C7399" s="2" t="n">
        <v>44170</v>
      </c>
      <c r="D7399" t="inlineStr">
        <is>
          <t>NON-NIL</t>
        </is>
      </c>
      <c r="E7399" t="n">
        <v>1982</v>
      </c>
    </row>
    <row r="7400">
      <c r="A7400" t="inlineStr">
        <is>
          <t>27BBBBB07400Z5</t>
        </is>
      </c>
      <c r="B7400" t="inlineStr">
        <is>
          <t>Mar-2023</t>
        </is>
      </c>
      <c r="C7400" s="2" t="n">
        <v>45034</v>
      </c>
      <c r="D7400" t="inlineStr">
        <is>
          <t>NIL</t>
        </is>
      </c>
      <c r="E7400" t="n">
        <v>1007</v>
      </c>
    </row>
    <row r="7401">
      <c r="A7401" t="inlineStr">
        <is>
          <t>27BBBBB07401Z5</t>
        </is>
      </c>
      <c r="B7401" t="inlineStr">
        <is>
          <t>Oct-2018</t>
        </is>
      </c>
      <c r="C7401" s="2" t="n">
        <v>43162</v>
      </c>
      <c r="D7401" t="inlineStr">
        <is>
          <t>NIL</t>
        </is>
      </c>
      <c r="E7401" t="n">
        <v>2460</v>
      </c>
    </row>
    <row r="7402">
      <c r="A7402" t="inlineStr">
        <is>
          <t>27BBBBB07402Z5</t>
        </is>
      </c>
      <c r="B7402" t="inlineStr">
        <is>
          <t>Jan-2018</t>
        </is>
      </c>
      <c r="C7402" s="2" t="n">
        <v>43570</v>
      </c>
      <c r="D7402" t="inlineStr">
        <is>
          <t>NIL</t>
        </is>
      </c>
      <c r="E7402" t="n">
        <v>1899</v>
      </c>
    </row>
    <row r="7403">
      <c r="A7403" t="inlineStr">
        <is>
          <t>27BBBBB07403Z5</t>
        </is>
      </c>
      <c r="B7403" t="inlineStr">
        <is>
          <t>Jul-2017</t>
        </is>
      </c>
      <c r="C7403" s="2" t="n">
        <v>44048</v>
      </c>
      <c r="D7403" t="inlineStr">
        <is>
          <t>NON-NIL</t>
        </is>
      </c>
      <c r="E7403" t="n">
        <v>453</v>
      </c>
    </row>
    <row r="7404">
      <c r="A7404" t="inlineStr">
        <is>
          <t>27BBBBB07404Z5</t>
        </is>
      </c>
      <c r="B7404" t="inlineStr">
        <is>
          <t>Aug-2018</t>
        </is>
      </c>
      <c r="C7404" s="2" t="n">
        <v>43558</v>
      </c>
      <c r="D7404" t="inlineStr">
        <is>
          <t>NIL</t>
        </is>
      </c>
      <c r="E7404" t="n">
        <v>2163</v>
      </c>
    </row>
    <row r="7405">
      <c r="A7405" t="inlineStr">
        <is>
          <t>27BBBBB07405Z5</t>
        </is>
      </c>
      <c r="B7405" t="inlineStr">
        <is>
          <t>Dec-2022</t>
        </is>
      </c>
      <c r="C7405" s="2" t="n">
        <v>43915</v>
      </c>
      <c r="D7405" t="inlineStr">
        <is>
          <t>NON-NIL</t>
        </is>
      </c>
      <c r="E7405" t="n">
        <v>202</v>
      </c>
    </row>
    <row r="7406">
      <c r="A7406" t="inlineStr">
        <is>
          <t>27BBBBB07406Z5</t>
        </is>
      </c>
      <c r="B7406" t="inlineStr">
        <is>
          <t>Jan-2018</t>
        </is>
      </c>
      <c r="C7406" s="2" t="n">
        <v>44560</v>
      </c>
      <c r="D7406" t="inlineStr">
        <is>
          <t>NON-NIL</t>
        </is>
      </c>
      <c r="E7406" t="n">
        <v>1619</v>
      </c>
    </row>
    <row r="7407">
      <c r="A7407" t="inlineStr">
        <is>
          <t>27BBBBB07407Z5</t>
        </is>
      </c>
      <c r="B7407" t="inlineStr">
        <is>
          <t>Sep-2017</t>
        </is>
      </c>
      <c r="C7407" s="2" t="n">
        <v>43361</v>
      </c>
      <c r="D7407" t="inlineStr">
        <is>
          <t>NON-NIL</t>
        </is>
      </c>
      <c r="E7407" t="n">
        <v>667</v>
      </c>
    </row>
    <row r="7408">
      <c r="A7408" t="inlineStr">
        <is>
          <t>27BBBBB07408Z5</t>
        </is>
      </c>
      <c r="B7408" t="inlineStr">
        <is>
          <t>Apr-2018</t>
        </is>
      </c>
      <c r="C7408" s="2" t="n">
        <v>43229</v>
      </c>
      <c r="D7408" t="inlineStr">
        <is>
          <t>NIL</t>
        </is>
      </c>
      <c r="E7408" t="n">
        <v>1753</v>
      </c>
    </row>
    <row r="7409">
      <c r="A7409" t="inlineStr">
        <is>
          <t>27BBBBB07409Z5</t>
        </is>
      </c>
      <c r="B7409" t="inlineStr">
        <is>
          <t>Mar-2020</t>
        </is>
      </c>
      <c r="C7409" s="2" t="n">
        <v>44394</v>
      </c>
      <c r="D7409" t="inlineStr">
        <is>
          <t>NON-NIL</t>
        </is>
      </c>
      <c r="E7409" t="n">
        <v>984</v>
      </c>
    </row>
    <row r="7410">
      <c r="A7410" t="inlineStr">
        <is>
          <t>27BBBBB07410Z5</t>
        </is>
      </c>
      <c r="B7410" t="inlineStr">
        <is>
          <t>Dec-2022</t>
        </is>
      </c>
      <c r="C7410" s="2" t="n">
        <v>45693</v>
      </c>
      <c r="D7410" t="inlineStr">
        <is>
          <t>NON-NIL</t>
        </is>
      </c>
      <c r="E7410" t="n">
        <v>1288</v>
      </c>
    </row>
    <row r="7411">
      <c r="A7411" t="inlineStr">
        <is>
          <t>27BBBBB07411Z5</t>
        </is>
      </c>
      <c r="B7411" t="inlineStr">
        <is>
          <t>May-2018</t>
        </is>
      </c>
      <c r="C7411" s="2" t="n">
        <v>43526</v>
      </c>
      <c r="D7411" t="inlineStr">
        <is>
          <t>NIL</t>
        </is>
      </c>
      <c r="E7411" t="n">
        <v>2603</v>
      </c>
    </row>
    <row r="7412">
      <c r="A7412" t="inlineStr">
        <is>
          <t>27BBBBB07412Z5</t>
        </is>
      </c>
      <c r="B7412" t="inlineStr">
        <is>
          <t>May-2020</t>
        </is>
      </c>
      <c r="C7412" s="2" t="n">
        <v>44782</v>
      </c>
      <c r="D7412" t="inlineStr">
        <is>
          <t>NIL</t>
        </is>
      </c>
      <c r="E7412" t="n">
        <v>1140</v>
      </c>
    </row>
    <row r="7413">
      <c r="A7413" t="inlineStr">
        <is>
          <t>27BBBBB07413Z5</t>
        </is>
      </c>
      <c r="B7413" t="inlineStr">
        <is>
          <t>Mar-2018</t>
        </is>
      </c>
      <c r="C7413" s="2" t="n">
        <v>44226</v>
      </c>
      <c r="D7413" t="inlineStr">
        <is>
          <t>NON-NIL</t>
        </is>
      </c>
      <c r="E7413" t="n">
        <v>1416</v>
      </c>
    </row>
    <row r="7414">
      <c r="A7414" t="inlineStr">
        <is>
          <t>27BBBBB07414Z5</t>
        </is>
      </c>
      <c r="B7414" t="inlineStr">
        <is>
          <t>Mar-2021</t>
        </is>
      </c>
      <c r="C7414" s="2" t="n">
        <v>44296</v>
      </c>
      <c r="D7414" t="inlineStr">
        <is>
          <t>NON-NIL</t>
        </is>
      </c>
      <c r="E7414" t="n">
        <v>2580</v>
      </c>
    </row>
    <row r="7415">
      <c r="A7415" t="inlineStr">
        <is>
          <t>27BBBBB07415Z5</t>
        </is>
      </c>
      <c r="B7415" t="inlineStr">
        <is>
          <t>May-2020</t>
        </is>
      </c>
      <c r="C7415" s="2" t="n">
        <v>44103</v>
      </c>
      <c r="D7415" t="inlineStr">
        <is>
          <t>NIL</t>
        </is>
      </c>
      <c r="E7415" t="n">
        <v>367</v>
      </c>
    </row>
    <row r="7416">
      <c r="A7416" t="inlineStr">
        <is>
          <t>27BBBBB07416Z5</t>
        </is>
      </c>
      <c r="B7416" t="inlineStr">
        <is>
          <t>Apr-2018</t>
        </is>
      </c>
      <c r="C7416" s="2" t="n">
        <v>43977</v>
      </c>
      <c r="D7416" t="inlineStr">
        <is>
          <t>NIL</t>
        </is>
      </c>
      <c r="E7416" t="n">
        <v>2506</v>
      </c>
    </row>
    <row r="7417">
      <c r="A7417" t="inlineStr">
        <is>
          <t>27BBBBB07417Z5</t>
        </is>
      </c>
      <c r="B7417" t="inlineStr">
        <is>
          <t>Dec-2017</t>
        </is>
      </c>
      <c r="C7417" s="2" t="n">
        <v>43324</v>
      </c>
      <c r="D7417" t="inlineStr">
        <is>
          <t>NON-NIL</t>
        </is>
      </c>
      <c r="E7417" t="n">
        <v>2500</v>
      </c>
    </row>
    <row r="7418">
      <c r="A7418" t="inlineStr">
        <is>
          <t>27BBBBB07418Z5</t>
        </is>
      </c>
      <c r="B7418" t="inlineStr">
        <is>
          <t>Mar-2023</t>
        </is>
      </c>
      <c r="C7418" s="2" t="n">
        <v>44203</v>
      </c>
      <c r="D7418" t="inlineStr">
        <is>
          <t>NON-NIL</t>
        </is>
      </c>
      <c r="E7418" t="n">
        <v>2774</v>
      </c>
    </row>
    <row r="7419">
      <c r="A7419" t="inlineStr">
        <is>
          <t>27BBBBB07419Z5</t>
        </is>
      </c>
      <c r="B7419" t="inlineStr">
        <is>
          <t>Mar-2020</t>
        </is>
      </c>
      <c r="C7419" s="2" t="n">
        <v>44611</v>
      </c>
      <c r="D7419" t="inlineStr">
        <is>
          <t>NON-NIL</t>
        </is>
      </c>
      <c r="E7419" t="n">
        <v>2731</v>
      </c>
    </row>
    <row r="7420">
      <c r="A7420" t="inlineStr">
        <is>
          <t>27BBBBB07420Z5</t>
        </is>
      </c>
      <c r="B7420" t="inlineStr">
        <is>
          <t>May-2018</t>
        </is>
      </c>
      <c r="C7420" s="2" t="n">
        <v>42934</v>
      </c>
      <c r="D7420" t="inlineStr">
        <is>
          <t>NON-NIL</t>
        </is>
      </c>
      <c r="E7420" t="n">
        <v>1709</v>
      </c>
    </row>
    <row r="7421">
      <c r="A7421" t="inlineStr">
        <is>
          <t>27BBBBB07421Z5</t>
        </is>
      </c>
      <c r="B7421" t="inlineStr">
        <is>
          <t>Jul-2017</t>
        </is>
      </c>
      <c r="C7421" s="2" t="n">
        <v>43164</v>
      </c>
      <c r="D7421" t="inlineStr">
        <is>
          <t>NIL</t>
        </is>
      </c>
      <c r="E7421" t="n">
        <v>1646</v>
      </c>
    </row>
    <row r="7422">
      <c r="A7422" t="inlineStr">
        <is>
          <t>27BBBBB07422Z5</t>
        </is>
      </c>
      <c r="B7422" t="inlineStr">
        <is>
          <t>Jun-2018</t>
        </is>
      </c>
      <c r="C7422" s="2" t="n">
        <v>43606</v>
      </c>
      <c r="D7422" t="inlineStr">
        <is>
          <t>NON-NIL</t>
        </is>
      </c>
      <c r="E7422" t="n">
        <v>1449</v>
      </c>
    </row>
    <row r="7423">
      <c r="A7423" t="inlineStr">
        <is>
          <t>27BBBBB07423Z5</t>
        </is>
      </c>
      <c r="B7423" t="inlineStr">
        <is>
          <t>Oct-2017</t>
        </is>
      </c>
      <c r="C7423" s="2" t="n">
        <v>43084</v>
      </c>
      <c r="D7423" t="inlineStr">
        <is>
          <t>NON-NIL</t>
        </is>
      </c>
      <c r="E7423" t="n">
        <v>119</v>
      </c>
    </row>
    <row r="7424">
      <c r="A7424" t="inlineStr">
        <is>
          <t>27BBBBB07424Z5</t>
        </is>
      </c>
      <c r="B7424" t="inlineStr">
        <is>
          <t>Feb-2018</t>
        </is>
      </c>
      <c r="C7424" s="2" t="n">
        <v>43580</v>
      </c>
      <c r="D7424" t="inlineStr">
        <is>
          <t>NON-NIL</t>
        </is>
      </c>
      <c r="E7424" t="n">
        <v>1515</v>
      </c>
    </row>
    <row r="7425">
      <c r="A7425" t="inlineStr">
        <is>
          <t>27BBBBB07425Z5</t>
        </is>
      </c>
      <c r="B7425" t="inlineStr">
        <is>
          <t>Dec-2018</t>
        </is>
      </c>
      <c r="C7425" s="2" t="n">
        <v>43127</v>
      </c>
      <c r="D7425" t="inlineStr">
        <is>
          <t>NIL</t>
        </is>
      </c>
      <c r="E7425" t="n">
        <v>2759</v>
      </c>
    </row>
    <row r="7426">
      <c r="A7426" t="inlineStr">
        <is>
          <t>27BBBBB07426Z5</t>
        </is>
      </c>
      <c r="B7426" t="inlineStr">
        <is>
          <t>Jun-2020</t>
        </is>
      </c>
      <c r="C7426" s="2" t="n">
        <v>43935</v>
      </c>
      <c r="D7426" t="inlineStr">
        <is>
          <t>NON-NIL</t>
        </is>
      </c>
      <c r="E7426" t="n">
        <v>1637</v>
      </c>
    </row>
    <row r="7427">
      <c r="A7427" t="inlineStr">
        <is>
          <t>27BBBBB07427Z5</t>
        </is>
      </c>
      <c r="B7427" t="inlineStr">
        <is>
          <t>May-2020</t>
        </is>
      </c>
      <c r="C7427" s="2" t="n">
        <v>43891</v>
      </c>
      <c r="D7427" t="inlineStr">
        <is>
          <t>NON-NIL</t>
        </is>
      </c>
      <c r="E7427" t="n">
        <v>1734</v>
      </c>
    </row>
    <row r="7428">
      <c r="A7428" t="inlineStr">
        <is>
          <t>27BBBBB07428Z5</t>
        </is>
      </c>
      <c r="B7428" t="inlineStr">
        <is>
          <t>Dec-2024</t>
        </is>
      </c>
      <c r="C7428" s="2" t="n">
        <v>45446</v>
      </c>
      <c r="D7428" t="inlineStr">
        <is>
          <t>NON-NIL</t>
        </is>
      </c>
      <c r="E7428" t="n">
        <v>2696</v>
      </c>
    </row>
    <row r="7429">
      <c r="A7429" t="inlineStr">
        <is>
          <t>27BBBBB07429Z5</t>
        </is>
      </c>
      <c r="B7429" t="inlineStr">
        <is>
          <t>Dec-2022</t>
        </is>
      </c>
      <c r="C7429" s="2" t="n">
        <v>44226</v>
      </c>
      <c r="D7429" t="inlineStr">
        <is>
          <t>NIL</t>
        </is>
      </c>
      <c r="E7429" t="n">
        <v>769</v>
      </c>
    </row>
    <row r="7430">
      <c r="A7430" t="inlineStr">
        <is>
          <t>27BBBBB07430Z5</t>
        </is>
      </c>
      <c r="B7430" t="inlineStr">
        <is>
          <t>Aug-2018</t>
        </is>
      </c>
      <c r="C7430" s="2" t="n">
        <v>42953</v>
      </c>
      <c r="D7430" t="inlineStr">
        <is>
          <t>NIL</t>
        </is>
      </c>
      <c r="E7430" t="n">
        <v>2201</v>
      </c>
    </row>
    <row r="7431">
      <c r="A7431" t="inlineStr">
        <is>
          <t>27BBBBB07431Z5</t>
        </is>
      </c>
      <c r="B7431" t="inlineStr">
        <is>
          <t>Dec-2022</t>
        </is>
      </c>
      <c r="C7431" s="2" t="n">
        <v>44585</v>
      </c>
      <c r="D7431" t="inlineStr">
        <is>
          <t>NIL</t>
        </is>
      </c>
      <c r="E7431" t="n">
        <v>2211</v>
      </c>
    </row>
    <row r="7432">
      <c r="A7432" t="inlineStr">
        <is>
          <t>27BBBBB07432Z5</t>
        </is>
      </c>
      <c r="B7432" t="inlineStr">
        <is>
          <t>Aug-2017</t>
        </is>
      </c>
      <c r="C7432" s="2" t="n">
        <v>42966</v>
      </c>
      <c r="D7432" t="inlineStr">
        <is>
          <t>NON-NIL</t>
        </is>
      </c>
      <c r="E7432" t="n">
        <v>1006</v>
      </c>
    </row>
    <row r="7433">
      <c r="A7433" t="inlineStr">
        <is>
          <t>27BBBBB07433Z5</t>
        </is>
      </c>
      <c r="B7433" t="inlineStr">
        <is>
          <t>Jan-2021</t>
        </is>
      </c>
      <c r="C7433" s="2" t="n">
        <v>44424</v>
      </c>
      <c r="D7433" t="inlineStr">
        <is>
          <t>NON-NIL</t>
        </is>
      </c>
      <c r="E7433" t="n">
        <v>2169</v>
      </c>
    </row>
    <row r="7434">
      <c r="A7434" t="inlineStr">
        <is>
          <t>27BBBBB07434Z5</t>
        </is>
      </c>
      <c r="B7434" t="inlineStr">
        <is>
          <t>Nov-2017</t>
        </is>
      </c>
      <c r="C7434" s="2" t="n">
        <v>44511</v>
      </c>
      <c r="D7434" t="inlineStr">
        <is>
          <t>NIL</t>
        </is>
      </c>
      <c r="E7434" t="n">
        <v>1728</v>
      </c>
    </row>
    <row r="7435">
      <c r="A7435" t="inlineStr">
        <is>
          <t>27BBBBB07435Z5</t>
        </is>
      </c>
      <c r="B7435" t="inlineStr">
        <is>
          <t>Mar-2020</t>
        </is>
      </c>
      <c r="C7435" s="2" t="n">
        <v>44064</v>
      </c>
      <c r="D7435" t="inlineStr">
        <is>
          <t>NIL</t>
        </is>
      </c>
      <c r="E7435" t="n">
        <v>2471</v>
      </c>
    </row>
    <row r="7436">
      <c r="A7436" t="inlineStr">
        <is>
          <t>27BBBBB07436Z5</t>
        </is>
      </c>
      <c r="B7436" t="inlineStr">
        <is>
          <t>Jun-2020</t>
        </is>
      </c>
      <c r="C7436" s="2" t="n">
        <v>44853</v>
      </c>
      <c r="D7436" t="inlineStr">
        <is>
          <t>NON-NIL</t>
        </is>
      </c>
      <c r="E7436" t="n">
        <v>691</v>
      </c>
    </row>
    <row r="7437">
      <c r="A7437" t="inlineStr">
        <is>
          <t>27BBBBB07437Z5</t>
        </is>
      </c>
      <c r="B7437" t="inlineStr">
        <is>
          <t>Mar-2023</t>
        </is>
      </c>
      <c r="C7437" s="2" t="n">
        <v>43731</v>
      </c>
      <c r="D7437" t="inlineStr">
        <is>
          <t>NIL</t>
        </is>
      </c>
      <c r="E7437" t="n">
        <v>1570</v>
      </c>
    </row>
    <row r="7438">
      <c r="A7438" t="inlineStr">
        <is>
          <t>27BBBBB07438Z5</t>
        </is>
      </c>
      <c r="B7438" t="inlineStr">
        <is>
          <t>Jan-2018</t>
        </is>
      </c>
      <c r="C7438" s="2" t="n">
        <v>44288</v>
      </c>
      <c r="D7438" t="inlineStr">
        <is>
          <t>NIL</t>
        </is>
      </c>
      <c r="E7438" t="n">
        <v>2818</v>
      </c>
    </row>
    <row r="7439">
      <c r="A7439" t="inlineStr">
        <is>
          <t>27BBBBB07439Z5</t>
        </is>
      </c>
      <c r="B7439" t="inlineStr">
        <is>
          <t>Jun-2020</t>
        </is>
      </c>
      <c r="C7439" s="2" t="n">
        <v>44056</v>
      </c>
      <c r="D7439" t="inlineStr">
        <is>
          <t>NON-NIL</t>
        </is>
      </c>
      <c r="E7439" t="n">
        <v>1353</v>
      </c>
    </row>
    <row r="7440">
      <c r="A7440" t="inlineStr">
        <is>
          <t>27BBBBB07440Z5</t>
        </is>
      </c>
      <c r="B7440" t="inlineStr">
        <is>
          <t>Sep-2017</t>
        </is>
      </c>
      <c r="C7440" s="2" t="n">
        <v>43775</v>
      </c>
      <c r="D7440" t="inlineStr">
        <is>
          <t>NIL</t>
        </is>
      </c>
      <c r="E7440" t="n">
        <v>127</v>
      </c>
    </row>
    <row r="7441">
      <c r="A7441" t="inlineStr">
        <is>
          <t>27BBBBB07441Z5</t>
        </is>
      </c>
      <c r="B7441" t="inlineStr">
        <is>
          <t>Mar-2018</t>
        </is>
      </c>
      <c r="C7441" s="2" t="n">
        <v>43903</v>
      </c>
      <c r="D7441" t="inlineStr">
        <is>
          <t>NIL</t>
        </is>
      </c>
      <c r="E7441" t="n">
        <v>416</v>
      </c>
    </row>
    <row r="7442">
      <c r="A7442" t="inlineStr">
        <is>
          <t>27BBBBB07442Z5</t>
        </is>
      </c>
      <c r="B7442" t="inlineStr">
        <is>
          <t>May-2018</t>
        </is>
      </c>
      <c r="C7442" s="2" t="n">
        <v>43324</v>
      </c>
      <c r="D7442" t="inlineStr">
        <is>
          <t>NON-NIL</t>
        </is>
      </c>
      <c r="E7442" t="n">
        <v>1932</v>
      </c>
    </row>
    <row r="7443">
      <c r="A7443" t="inlineStr">
        <is>
          <t>27BBBBB07443Z5</t>
        </is>
      </c>
      <c r="B7443" t="inlineStr">
        <is>
          <t>Jun-2020</t>
        </is>
      </c>
      <c r="C7443" s="2" t="n">
        <v>43896</v>
      </c>
      <c r="D7443" t="inlineStr">
        <is>
          <t>NIL</t>
        </is>
      </c>
      <c r="E7443" t="n">
        <v>2510</v>
      </c>
    </row>
    <row r="7444">
      <c r="A7444" t="inlineStr">
        <is>
          <t>27BBBBB07444Z5</t>
        </is>
      </c>
      <c r="B7444" t="inlineStr">
        <is>
          <t>Jan-2018</t>
        </is>
      </c>
      <c r="C7444" s="2" t="n">
        <v>43593</v>
      </c>
      <c r="D7444" t="inlineStr">
        <is>
          <t>NON-NIL</t>
        </is>
      </c>
      <c r="E7444" t="n">
        <v>329</v>
      </c>
    </row>
    <row r="7445">
      <c r="A7445" t="inlineStr">
        <is>
          <t>27BBBBB07445Z5</t>
        </is>
      </c>
      <c r="B7445" t="inlineStr">
        <is>
          <t>Oct-2018</t>
        </is>
      </c>
      <c r="C7445" s="2" t="n">
        <v>43037</v>
      </c>
      <c r="D7445" t="inlineStr">
        <is>
          <t>NIL</t>
        </is>
      </c>
      <c r="E7445" t="n">
        <v>40</v>
      </c>
    </row>
    <row r="7446">
      <c r="A7446" t="inlineStr">
        <is>
          <t>27BBBBB07446Z5</t>
        </is>
      </c>
      <c r="B7446" t="inlineStr">
        <is>
          <t>Aug-2017</t>
        </is>
      </c>
      <c r="C7446" s="2" t="n">
        <v>44269</v>
      </c>
      <c r="D7446" t="inlineStr">
        <is>
          <t>NON-NIL</t>
        </is>
      </c>
      <c r="E7446" t="n">
        <v>1341</v>
      </c>
    </row>
    <row r="7447">
      <c r="A7447" t="inlineStr">
        <is>
          <t>27BBBBB07447Z5</t>
        </is>
      </c>
      <c r="B7447" t="inlineStr">
        <is>
          <t>Jun-2020</t>
        </is>
      </c>
      <c r="C7447" s="2" t="n">
        <v>44578</v>
      </c>
      <c r="D7447" t="inlineStr">
        <is>
          <t>NIL</t>
        </is>
      </c>
      <c r="E7447" t="n">
        <v>2673</v>
      </c>
    </row>
    <row r="7448">
      <c r="A7448" t="inlineStr">
        <is>
          <t>27BBBBB07448Z5</t>
        </is>
      </c>
      <c r="B7448" t="inlineStr">
        <is>
          <t>Oct-2017</t>
        </is>
      </c>
      <c r="C7448" s="2" t="n">
        <v>44452</v>
      </c>
      <c r="D7448" t="inlineStr">
        <is>
          <t>NON-NIL</t>
        </is>
      </c>
      <c r="E7448" t="n">
        <v>2166</v>
      </c>
    </row>
    <row r="7449">
      <c r="A7449" t="inlineStr">
        <is>
          <t>27BBBBB07449Z5</t>
        </is>
      </c>
      <c r="B7449" t="inlineStr">
        <is>
          <t>Mar-2020</t>
        </is>
      </c>
      <c r="C7449" s="2" t="n">
        <v>43855</v>
      </c>
      <c r="D7449" t="inlineStr">
        <is>
          <t>NIL</t>
        </is>
      </c>
      <c r="E7449" t="n">
        <v>2672</v>
      </c>
    </row>
    <row r="7450">
      <c r="A7450" t="inlineStr">
        <is>
          <t>27BBBBB07450Z5</t>
        </is>
      </c>
      <c r="B7450" t="inlineStr">
        <is>
          <t>May-2018</t>
        </is>
      </c>
      <c r="C7450" s="2" t="n">
        <v>43300</v>
      </c>
      <c r="D7450" t="inlineStr">
        <is>
          <t>NON-NIL</t>
        </is>
      </c>
      <c r="E7450" t="n">
        <v>591</v>
      </c>
    </row>
    <row r="7451">
      <c r="A7451" t="inlineStr">
        <is>
          <t>27BBBBB07451Z5</t>
        </is>
      </c>
      <c r="B7451" t="inlineStr">
        <is>
          <t>Feb-2018</t>
        </is>
      </c>
      <c r="C7451" s="2" t="n">
        <v>43185</v>
      </c>
      <c r="D7451" t="inlineStr">
        <is>
          <t>NON-NIL</t>
        </is>
      </c>
      <c r="E7451" t="n">
        <v>1417</v>
      </c>
    </row>
    <row r="7452">
      <c r="A7452" t="inlineStr">
        <is>
          <t>27BBBBB07452Z5</t>
        </is>
      </c>
      <c r="B7452" t="inlineStr">
        <is>
          <t>Jun-2020</t>
        </is>
      </c>
      <c r="C7452" s="2" t="n">
        <v>44373</v>
      </c>
      <c r="D7452" t="inlineStr">
        <is>
          <t>NIL</t>
        </is>
      </c>
      <c r="E7452" t="n">
        <v>2647</v>
      </c>
    </row>
    <row r="7453">
      <c r="A7453" t="inlineStr">
        <is>
          <t>27BBBBB07453Z5</t>
        </is>
      </c>
      <c r="B7453" t="inlineStr">
        <is>
          <t>Jan-2018</t>
        </is>
      </c>
      <c r="C7453" s="2" t="n">
        <v>43444</v>
      </c>
      <c r="D7453" t="inlineStr">
        <is>
          <t>NIL</t>
        </is>
      </c>
      <c r="E7453" t="n">
        <v>2811</v>
      </c>
    </row>
    <row r="7454">
      <c r="A7454" t="inlineStr">
        <is>
          <t>27BBBBB07454Z5</t>
        </is>
      </c>
      <c r="B7454" t="inlineStr">
        <is>
          <t>Mar-2021</t>
        </is>
      </c>
      <c r="C7454" s="2" t="n">
        <v>44328</v>
      </c>
      <c r="D7454" t="inlineStr">
        <is>
          <t>NIL</t>
        </is>
      </c>
      <c r="E7454" t="n">
        <v>2641</v>
      </c>
    </row>
    <row r="7455">
      <c r="A7455" t="inlineStr">
        <is>
          <t>27BBBBB07455Z5</t>
        </is>
      </c>
      <c r="B7455" t="inlineStr">
        <is>
          <t>Dec-2022</t>
        </is>
      </c>
      <c r="C7455" s="2" t="n">
        <v>43809</v>
      </c>
      <c r="D7455" t="inlineStr">
        <is>
          <t>NIL</t>
        </is>
      </c>
      <c r="E7455" t="n">
        <v>2773</v>
      </c>
    </row>
    <row r="7456">
      <c r="A7456" t="inlineStr">
        <is>
          <t>27BBBBB07456Z5</t>
        </is>
      </c>
      <c r="B7456" t="inlineStr">
        <is>
          <t>Apr-2018</t>
        </is>
      </c>
      <c r="C7456" s="2" t="n">
        <v>43324</v>
      </c>
      <c r="D7456" t="inlineStr">
        <is>
          <t>NIL</t>
        </is>
      </c>
      <c r="E7456" t="n">
        <v>577</v>
      </c>
    </row>
    <row r="7457">
      <c r="A7457" t="inlineStr">
        <is>
          <t>27BBBBB07457Z5</t>
        </is>
      </c>
      <c r="B7457" t="inlineStr">
        <is>
          <t>May-2018</t>
        </is>
      </c>
      <c r="C7457" s="2" t="n">
        <v>43972</v>
      </c>
      <c r="D7457" t="inlineStr">
        <is>
          <t>NIL</t>
        </is>
      </c>
      <c r="E7457" t="n">
        <v>1008</v>
      </c>
    </row>
    <row r="7458">
      <c r="A7458" t="inlineStr">
        <is>
          <t>27BBBBB07458Z5</t>
        </is>
      </c>
      <c r="B7458" t="inlineStr">
        <is>
          <t>Jul-2020</t>
        </is>
      </c>
      <c r="C7458" s="2" t="n">
        <v>43864</v>
      </c>
      <c r="D7458" t="inlineStr">
        <is>
          <t>NIL</t>
        </is>
      </c>
      <c r="E7458" t="n">
        <v>1637</v>
      </c>
    </row>
    <row r="7459">
      <c r="A7459" t="inlineStr">
        <is>
          <t>27BBBBB07459Z5</t>
        </is>
      </c>
      <c r="B7459" t="inlineStr">
        <is>
          <t>May-2020</t>
        </is>
      </c>
      <c r="C7459" s="2" t="n">
        <v>43980</v>
      </c>
      <c r="D7459" t="inlineStr">
        <is>
          <t>NIL</t>
        </is>
      </c>
      <c r="E7459" t="n">
        <v>553</v>
      </c>
    </row>
    <row r="7460">
      <c r="A7460" t="inlineStr">
        <is>
          <t>27BBBBB07460Z5</t>
        </is>
      </c>
      <c r="B7460" t="inlineStr">
        <is>
          <t>Nov-2017</t>
        </is>
      </c>
      <c r="C7460" s="2" t="n">
        <v>43923</v>
      </c>
      <c r="D7460" t="inlineStr">
        <is>
          <t>NON-NIL</t>
        </is>
      </c>
      <c r="E7460" t="n">
        <v>2374</v>
      </c>
    </row>
    <row r="7461">
      <c r="A7461" t="inlineStr">
        <is>
          <t>27BBBBB07461Z5</t>
        </is>
      </c>
      <c r="B7461" t="inlineStr">
        <is>
          <t>Jul-2017</t>
        </is>
      </c>
      <c r="C7461" s="2" t="n">
        <v>43439</v>
      </c>
      <c r="D7461" t="inlineStr">
        <is>
          <t>NON-NIL</t>
        </is>
      </c>
      <c r="E7461" t="n">
        <v>2682</v>
      </c>
    </row>
    <row r="7462">
      <c r="A7462" t="inlineStr">
        <is>
          <t>27BBBBB07462Z5</t>
        </is>
      </c>
      <c r="B7462" t="inlineStr">
        <is>
          <t>Mar-2018</t>
        </is>
      </c>
      <c r="C7462" s="2" t="n">
        <v>43527</v>
      </c>
      <c r="D7462" t="inlineStr">
        <is>
          <t>NON-NIL</t>
        </is>
      </c>
      <c r="E7462" t="n">
        <v>2680</v>
      </c>
    </row>
    <row r="7463">
      <c r="A7463" t="inlineStr">
        <is>
          <t>27BBBBB07463Z5</t>
        </is>
      </c>
      <c r="B7463" t="inlineStr">
        <is>
          <t>Dec-2024</t>
        </is>
      </c>
      <c r="C7463" s="2" t="n">
        <v>44407</v>
      </c>
      <c r="D7463" t="inlineStr">
        <is>
          <t>NIL</t>
        </is>
      </c>
      <c r="E7463" t="n">
        <v>2478</v>
      </c>
    </row>
    <row r="7464">
      <c r="A7464" t="inlineStr">
        <is>
          <t>27BBBBB07464Z5</t>
        </is>
      </c>
      <c r="B7464" t="inlineStr">
        <is>
          <t>May-2020</t>
        </is>
      </c>
      <c r="C7464" s="2" t="n">
        <v>44882</v>
      </c>
      <c r="D7464" t="inlineStr">
        <is>
          <t>NIL</t>
        </is>
      </c>
      <c r="E7464" t="n">
        <v>495</v>
      </c>
    </row>
    <row r="7465">
      <c r="A7465" t="inlineStr">
        <is>
          <t>27BBBBB07465Z5</t>
        </is>
      </c>
      <c r="B7465" t="inlineStr">
        <is>
          <t>Mar-2023</t>
        </is>
      </c>
      <c r="C7465" s="2" t="n">
        <v>43591</v>
      </c>
      <c r="D7465" t="inlineStr">
        <is>
          <t>NON-NIL</t>
        </is>
      </c>
      <c r="E7465" t="n">
        <v>2622</v>
      </c>
    </row>
    <row r="7466">
      <c r="A7466" t="inlineStr">
        <is>
          <t>27BBBBB07466Z5</t>
        </is>
      </c>
      <c r="B7466" t="inlineStr">
        <is>
          <t>Jan-2021</t>
        </is>
      </c>
      <c r="C7466" s="2" t="n">
        <v>45744</v>
      </c>
      <c r="D7466" t="inlineStr">
        <is>
          <t>NIL</t>
        </is>
      </c>
      <c r="E7466" t="n">
        <v>2982</v>
      </c>
    </row>
    <row r="7467">
      <c r="A7467" t="inlineStr">
        <is>
          <t>27BBBBB07467Z5</t>
        </is>
      </c>
      <c r="B7467" t="inlineStr">
        <is>
          <t>Mar-2023</t>
        </is>
      </c>
      <c r="C7467" s="2" t="n">
        <v>45753</v>
      </c>
      <c r="D7467" t="inlineStr">
        <is>
          <t>NON-NIL</t>
        </is>
      </c>
      <c r="E7467" t="n">
        <v>1717</v>
      </c>
    </row>
    <row r="7468">
      <c r="A7468" t="inlineStr">
        <is>
          <t>27BBBBB07468Z5</t>
        </is>
      </c>
      <c r="B7468" t="inlineStr">
        <is>
          <t>Mar-2023</t>
        </is>
      </c>
      <c r="C7468" s="2" t="n">
        <v>45025</v>
      </c>
      <c r="D7468" t="inlineStr">
        <is>
          <t>NON-NIL</t>
        </is>
      </c>
      <c r="E7468" t="n">
        <v>2161</v>
      </c>
    </row>
    <row r="7469">
      <c r="A7469" t="inlineStr">
        <is>
          <t>27BBBBB07469Z5</t>
        </is>
      </c>
      <c r="B7469" t="inlineStr">
        <is>
          <t>Apr-2018</t>
        </is>
      </c>
      <c r="C7469" s="2" t="n">
        <v>43612</v>
      </c>
      <c r="D7469" t="inlineStr">
        <is>
          <t>NIL</t>
        </is>
      </c>
      <c r="E7469" t="n">
        <v>811</v>
      </c>
    </row>
    <row r="7470">
      <c r="A7470" t="inlineStr">
        <is>
          <t>27BBBBB07470Z5</t>
        </is>
      </c>
      <c r="B7470" t="inlineStr">
        <is>
          <t>Apr-2018</t>
        </is>
      </c>
      <c r="C7470" s="2" t="n">
        <v>44223</v>
      </c>
      <c r="D7470" t="inlineStr">
        <is>
          <t>NIL</t>
        </is>
      </c>
      <c r="E7470" t="n">
        <v>2986</v>
      </c>
    </row>
    <row r="7471">
      <c r="A7471" t="inlineStr">
        <is>
          <t>27BBBBB07471Z5</t>
        </is>
      </c>
      <c r="B7471" t="inlineStr">
        <is>
          <t>Feb-2018</t>
        </is>
      </c>
      <c r="C7471" s="2" t="n">
        <v>43635</v>
      </c>
      <c r="D7471" t="inlineStr">
        <is>
          <t>NON-NIL</t>
        </is>
      </c>
      <c r="E7471" t="n">
        <v>2098</v>
      </c>
    </row>
    <row r="7472">
      <c r="A7472" t="inlineStr">
        <is>
          <t>27BBBBB07472Z5</t>
        </is>
      </c>
      <c r="B7472" t="inlineStr">
        <is>
          <t>Apr-2018</t>
        </is>
      </c>
      <c r="C7472" s="2" t="n">
        <v>43365</v>
      </c>
      <c r="D7472" t="inlineStr">
        <is>
          <t>NON-NIL</t>
        </is>
      </c>
      <c r="E7472" t="n">
        <v>161</v>
      </c>
    </row>
    <row r="7473">
      <c r="A7473" t="inlineStr">
        <is>
          <t>27BBBBB07473Z5</t>
        </is>
      </c>
      <c r="B7473" t="inlineStr">
        <is>
          <t>Mar-2021</t>
        </is>
      </c>
      <c r="C7473" s="2" t="n">
        <v>43751</v>
      </c>
      <c r="D7473" t="inlineStr">
        <is>
          <t>NIL</t>
        </is>
      </c>
      <c r="E7473" t="n">
        <v>2078</v>
      </c>
    </row>
    <row r="7474">
      <c r="A7474" t="inlineStr">
        <is>
          <t>27BBBBB07474Z5</t>
        </is>
      </c>
      <c r="B7474" t="inlineStr">
        <is>
          <t>Mar-2021</t>
        </is>
      </c>
      <c r="C7474" s="2" t="n">
        <v>43653</v>
      </c>
      <c r="D7474" t="inlineStr">
        <is>
          <t>NIL</t>
        </is>
      </c>
      <c r="E7474" t="n">
        <v>810</v>
      </c>
    </row>
    <row r="7475">
      <c r="A7475" t="inlineStr">
        <is>
          <t>27BBBBB07475Z5</t>
        </is>
      </c>
      <c r="B7475" t="inlineStr">
        <is>
          <t>Jan-2021</t>
        </is>
      </c>
      <c r="C7475" s="2" t="n">
        <v>45099</v>
      </c>
      <c r="D7475" t="inlineStr">
        <is>
          <t>NIL</t>
        </is>
      </c>
      <c r="E7475" t="n">
        <v>838</v>
      </c>
    </row>
    <row r="7476">
      <c r="A7476" t="inlineStr">
        <is>
          <t>27BBBBB07476Z5</t>
        </is>
      </c>
      <c r="B7476" t="inlineStr">
        <is>
          <t>Jul-2018</t>
        </is>
      </c>
      <c r="C7476" s="2" t="n">
        <v>43352</v>
      </c>
      <c r="D7476" t="inlineStr">
        <is>
          <t>NON-NIL</t>
        </is>
      </c>
      <c r="E7476" t="n">
        <v>2889</v>
      </c>
    </row>
    <row r="7477">
      <c r="A7477" t="inlineStr">
        <is>
          <t>27BBBBB07477Z5</t>
        </is>
      </c>
      <c r="B7477" t="inlineStr">
        <is>
          <t>May-2018</t>
        </is>
      </c>
      <c r="C7477" s="2" t="n">
        <v>42966</v>
      </c>
      <c r="D7477" t="inlineStr">
        <is>
          <t>NON-NIL</t>
        </is>
      </c>
      <c r="E7477" t="n">
        <v>89</v>
      </c>
    </row>
    <row r="7478">
      <c r="A7478" t="inlineStr">
        <is>
          <t>27BBBBB07478Z5</t>
        </is>
      </c>
      <c r="B7478" t="inlineStr">
        <is>
          <t>May-2018</t>
        </is>
      </c>
      <c r="C7478" s="2" t="n">
        <v>43040</v>
      </c>
      <c r="D7478" t="inlineStr">
        <is>
          <t>NIL</t>
        </is>
      </c>
      <c r="E7478" t="n">
        <v>996</v>
      </c>
    </row>
    <row r="7479">
      <c r="A7479" t="inlineStr">
        <is>
          <t>27BBBBB07479Z5</t>
        </is>
      </c>
      <c r="B7479" t="inlineStr">
        <is>
          <t>Jan-2021</t>
        </is>
      </c>
      <c r="C7479" s="2" t="n">
        <v>44998</v>
      </c>
      <c r="D7479" t="inlineStr">
        <is>
          <t>NIL</t>
        </is>
      </c>
      <c r="E7479" t="n">
        <v>461</v>
      </c>
    </row>
    <row r="7480">
      <c r="A7480" t="inlineStr">
        <is>
          <t>27BBBBB07480Z5</t>
        </is>
      </c>
      <c r="B7480" t="inlineStr">
        <is>
          <t>Jul-2018</t>
        </is>
      </c>
      <c r="C7480" s="2" t="n">
        <v>43400</v>
      </c>
      <c r="D7480" t="inlineStr">
        <is>
          <t>NON-NIL</t>
        </is>
      </c>
      <c r="E7480" t="n">
        <v>2278</v>
      </c>
    </row>
    <row r="7481">
      <c r="A7481" t="inlineStr">
        <is>
          <t>27BBBBB07481Z5</t>
        </is>
      </c>
      <c r="B7481" t="inlineStr">
        <is>
          <t>Mar-2021</t>
        </is>
      </c>
      <c r="C7481" s="2" t="n">
        <v>44644</v>
      </c>
      <c r="D7481" t="inlineStr">
        <is>
          <t>NON-NIL</t>
        </is>
      </c>
      <c r="E7481" t="n">
        <v>2787</v>
      </c>
    </row>
    <row r="7482">
      <c r="A7482" t="inlineStr">
        <is>
          <t>27BBBBB07482Z5</t>
        </is>
      </c>
      <c r="B7482" t="inlineStr">
        <is>
          <t>Sep-2018</t>
        </is>
      </c>
      <c r="C7482" s="2" t="n">
        <v>44197</v>
      </c>
      <c r="D7482" t="inlineStr">
        <is>
          <t>NIL</t>
        </is>
      </c>
      <c r="E7482" t="n">
        <v>1689</v>
      </c>
    </row>
    <row r="7483">
      <c r="A7483" t="inlineStr">
        <is>
          <t>27BBBBB07483Z5</t>
        </is>
      </c>
      <c r="B7483" t="inlineStr">
        <is>
          <t>Dec-2022</t>
        </is>
      </c>
      <c r="C7483" s="2" t="n">
        <v>44154</v>
      </c>
      <c r="D7483" t="inlineStr">
        <is>
          <t>NON-NIL</t>
        </is>
      </c>
      <c r="E7483" t="n">
        <v>987</v>
      </c>
    </row>
    <row r="7484">
      <c r="A7484" t="inlineStr">
        <is>
          <t>27BBBBB07484Z5</t>
        </is>
      </c>
      <c r="B7484" t="inlineStr">
        <is>
          <t>Jul-2017</t>
        </is>
      </c>
      <c r="C7484" s="2" t="n">
        <v>43418</v>
      </c>
      <c r="D7484" t="inlineStr">
        <is>
          <t>NON-NIL</t>
        </is>
      </c>
      <c r="E7484" t="n">
        <v>2712</v>
      </c>
    </row>
    <row r="7485">
      <c r="A7485" t="inlineStr">
        <is>
          <t>27BBBBB07485Z5</t>
        </is>
      </c>
      <c r="B7485" t="inlineStr">
        <is>
          <t>May-2020</t>
        </is>
      </c>
      <c r="C7485" s="2" t="n">
        <v>44088</v>
      </c>
      <c r="D7485" t="inlineStr">
        <is>
          <t>NON-NIL</t>
        </is>
      </c>
      <c r="E7485" t="n">
        <v>15</v>
      </c>
    </row>
    <row r="7486">
      <c r="A7486" t="inlineStr">
        <is>
          <t>27BBBBB07486Z5</t>
        </is>
      </c>
      <c r="B7486" t="inlineStr">
        <is>
          <t>Dec-2017</t>
        </is>
      </c>
      <c r="C7486" s="2" t="n">
        <v>43819</v>
      </c>
      <c r="D7486" t="inlineStr">
        <is>
          <t>NIL</t>
        </is>
      </c>
      <c r="E7486" t="n">
        <v>764</v>
      </c>
    </row>
    <row r="7487">
      <c r="A7487" t="inlineStr">
        <is>
          <t>27BBBBB07487Z5</t>
        </is>
      </c>
      <c r="B7487" t="inlineStr">
        <is>
          <t>Nov-2017</t>
        </is>
      </c>
      <c r="C7487" s="2" t="n">
        <v>43739</v>
      </c>
      <c r="D7487" t="inlineStr">
        <is>
          <t>NIL</t>
        </is>
      </c>
      <c r="E7487" t="n">
        <v>1844</v>
      </c>
    </row>
    <row r="7488">
      <c r="A7488" t="inlineStr">
        <is>
          <t>27BBBBB07488Z5</t>
        </is>
      </c>
      <c r="B7488" t="inlineStr">
        <is>
          <t>Nov-2017</t>
        </is>
      </c>
      <c r="C7488" s="2" t="n">
        <v>44220</v>
      </c>
      <c r="D7488" t="inlineStr">
        <is>
          <t>NON-NIL</t>
        </is>
      </c>
      <c r="E7488" t="n">
        <v>106</v>
      </c>
    </row>
    <row r="7489">
      <c r="A7489" t="inlineStr">
        <is>
          <t>27BBBBB07489Z5</t>
        </is>
      </c>
      <c r="B7489" t="inlineStr">
        <is>
          <t>Nov-2017</t>
        </is>
      </c>
      <c r="C7489" s="2" t="n">
        <v>43294</v>
      </c>
      <c r="D7489" t="inlineStr">
        <is>
          <t>NON-NIL</t>
        </is>
      </c>
      <c r="E7489" t="n">
        <v>57</v>
      </c>
    </row>
    <row r="7490">
      <c r="A7490" t="inlineStr">
        <is>
          <t>27BBBBB07490Z5</t>
        </is>
      </c>
      <c r="B7490" t="inlineStr">
        <is>
          <t>Jul-2017</t>
        </is>
      </c>
      <c r="C7490" s="2" t="n">
        <v>44120</v>
      </c>
      <c r="D7490" t="inlineStr">
        <is>
          <t>NON-NIL</t>
        </is>
      </c>
      <c r="E7490" t="n">
        <v>1352</v>
      </c>
    </row>
    <row r="7491">
      <c r="A7491" t="inlineStr">
        <is>
          <t>27BBBBB07491Z5</t>
        </is>
      </c>
      <c r="B7491" t="inlineStr">
        <is>
          <t>Sep-2017</t>
        </is>
      </c>
      <c r="C7491" s="2" t="n">
        <v>43059</v>
      </c>
      <c r="D7491" t="inlineStr">
        <is>
          <t>NIL</t>
        </is>
      </c>
      <c r="E7491" t="n">
        <v>763</v>
      </c>
    </row>
    <row r="7492">
      <c r="A7492" t="inlineStr">
        <is>
          <t>27BBBBB07492Z5</t>
        </is>
      </c>
      <c r="B7492" t="inlineStr">
        <is>
          <t>Mar-2020</t>
        </is>
      </c>
      <c r="C7492" s="2" t="n">
        <v>44316</v>
      </c>
      <c r="D7492" t="inlineStr">
        <is>
          <t>NON-NIL</t>
        </is>
      </c>
      <c r="E7492" t="n">
        <v>46</v>
      </c>
    </row>
    <row r="7493">
      <c r="A7493" t="inlineStr">
        <is>
          <t>27BBBBB07493Z5</t>
        </is>
      </c>
      <c r="B7493" t="inlineStr">
        <is>
          <t>Mar-2020</t>
        </is>
      </c>
      <c r="C7493" s="2" t="n">
        <v>44676</v>
      </c>
      <c r="D7493" t="inlineStr">
        <is>
          <t>NON-NIL</t>
        </is>
      </c>
      <c r="E7493" t="n">
        <v>1712</v>
      </c>
    </row>
    <row r="7494">
      <c r="A7494" t="inlineStr">
        <is>
          <t>27BBBBB07494Z5</t>
        </is>
      </c>
      <c r="B7494" t="inlineStr">
        <is>
          <t>Sep-2018</t>
        </is>
      </c>
      <c r="C7494" s="2" t="n">
        <v>44058</v>
      </c>
      <c r="D7494" t="inlineStr">
        <is>
          <t>NON-NIL</t>
        </is>
      </c>
      <c r="E7494" t="n">
        <v>2587</v>
      </c>
    </row>
    <row r="7495">
      <c r="A7495" t="inlineStr">
        <is>
          <t>27BBBBB07495Z5</t>
        </is>
      </c>
      <c r="B7495" t="inlineStr">
        <is>
          <t>Jul-2018</t>
        </is>
      </c>
      <c r="C7495" s="2" t="n">
        <v>43479</v>
      </c>
      <c r="D7495" t="inlineStr">
        <is>
          <t>NON-NIL</t>
        </is>
      </c>
      <c r="E7495" t="n">
        <v>2483</v>
      </c>
    </row>
    <row r="7496">
      <c r="A7496" t="inlineStr">
        <is>
          <t>27BBBBB07496Z5</t>
        </is>
      </c>
      <c r="B7496" t="inlineStr">
        <is>
          <t>Jun-2020</t>
        </is>
      </c>
      <c r="C7496" s="2" t="n">
        <v>44904</v>
      </c>
      <c r="D7496" t="inlineStr">
        <is>
          <t>NIL</t>
        </is>
      </c>
      <c r="E7496" t="n">
        <v>1809</v>
      </c>
    </row>
    <row r="7497">
      <c r="A7497" t="inlineStr">
        <is>
          <t>27BBBBB07497Z5</t>
        </is>
      </c>
      <c r="B7497" t="inlineStr">
        <is>
          <t>Sep-2017</t>
        </is>
      </c>
      <c r="C7497" s="2" t="n">
        <v>43348</v>
      </c>
      <c r="D7497" t="inlineStr">
        <is>
          <t>NIL</t>
        </is>
      </c>
      <c r="E7497" t="n">
        <v>910</v>
      </c>
    </row>
    <row r="7498">
      <c r="A7498" t="inlineStr">
        <is>
          <t>27BBBBB07498Z5</t>
        </is>
      </c>
      <c r="B7498" t="inlineStr">
        <is>
          <t>Dec-2017</t>
        </is>
      </c>
      <c r="C7498" s="2" t="n">
        <v>44131</v>
      </c>
      <c r="D7498" t="inlineStr">
        <is>
          <t>NIL</t>
        </is>
      </c>
      <c r="E7498" t="n">
        <v>2297</v>
      </c>
    </row>
    <row r="7499">
      <c r="A7499" t="inlineStr">
        <is>
          <t>27BBBBB07499Z5</t>
        </is>
      </c>
      <c r="B7499" t="inlineStr">
        <is>
          <t>Apr-2018</t>
        </is>
      </c>
      <c r="C7499" s="2" t="n">
        <v>43527</v>
      </c>
      <c r="D7499" t="inlineStr">
        <is>
          <t>NIL</t>
        </is>
      </c>
      <c r="E7499" t="n">
        <v>2949</v>
      </c>
    </row>
    <row r="7500">
      <c r="A7500" t="inlineStr">
        <is>
          <t>27BBBBB07500Z5</t>
        </is>
      </c>
      <c r="B7500" t="inlineStr">
        <is>
          <t>Dec-2017</t>
        </is>
      </c>
      <c r="C7500" s="2" t="n">
        <v>43136</v>
      </c>
      <c r="D7500" t="inlineStr">
        <is>
          <t>NIL</t>
        </is>
      </c>
      <c r="E7500" t="n">
        <v>2231</v>
      </c>
    </row>
    <row r="7501">
      <c r="A7501" t="inlineStr">
        <is>
          <t>27BBBBB07501Z5</t>
        </is>
      </c>
      <c r="B7501" t="inlineStr">
        <is>
          <t>Apr-2018</t>
        </is>
      </c>
      <c r="C7501" s="2" t="n">
        <v>44425</v>
      </c>
      <c r="D7501" t="inlineStr">
        <is>
          <t>NIL</t>
        </is>
      </c>
      <c r="E7501" t="n">
        <v>891</v>
      </c>
    </row>
    <row r="7502">
      <c r="A7502" t="inlineStr">
        <is>
          <t>27BBBBB07502Z5</t>
        </is>
      </c>
      <c r="B7502" t="inlineStr">
        <is>
          <t>Nov-2017</t>
        </is>
      </c>
      <c r="C7502" s="2" t="n">
        <v>43108</v>
      </c>
      <c r="D7502" t="inlineStr">
        <is>
          <t>NIL</t>
        </is>
      </c>
      <c r="E7502" t="n">
        <v>943</v>
      </c>
    </row>
    <row r="7503">
      <c r="A7503" t="inlineStr">
        <is>
          <t>27BBBBB07503Z5</t>
        </is>
      </c>
      <c r="B7503" t="inlineStr">
        <is>
          <t>Mar-2021</t>
        </is>
      </c>
      <c r="C7503" s="2" t="n">
        <v>43618</v>
      </c>
      <c r="D7503" t="inlineStr">
        <is>
          <t>NIL</t>
        </is>
      </c>
      <c r="E7503" t="n">
        <v>2648</v>
      </c>
    </row>
    <row r="7504">
      <c r="A7504" t="inlineStr">
        <is>
          <t>27BBBBB07504Z5</t>
        </is>
      </c>
      <c r="B7504" t="inlineStr">
        <is>
          <t>Aug-2017</t>
        </is>
      </c>
      <c r="C7504" s="2" t="n">
        <v>43509</v>
      </c>
      <c r="D7504" t="inlineStr">
        <is>
          <t>NIL</t>
        </is>
      </c>
      <c r="E7504" t="n">
        <v>2544</v>
      </c>
    </row>
    <row r="7505">
      <c r="A7505" t="inlineStr">
        <is>
          <t>27BBBBB07505Z5</t>
        </is>
      </c>
      <c r="B7505" t="inlineStr">
        <is>
          <t>May-2018</t>
        </is>
      </c>
      <c r="C7505" s="2" t="n">
        <v>43685</v>
      </c>
      <c r="D7505" t="inlineStr">
        <is>
          <t>NIL</t>
        </is>
      </c>
      <c r="E7505" t="n">
        <v>777</v>
      </c>
    </row>
    <row r="7506">
      <c r="A7506" t="inlineStr">
        <is>
          <t>27BBBBB07506Z5</t>
        </is>
      </c>
      <c r="B7506" t="inlineStr">
        <is>
          <t>Jul-2017</t>
        </is>
      </c>
      <c r="C7506" s="2" t="n">
        <v>44457</v>
      </c>
      <c r="D7506" t="inlineStr">
        <is>
          <t>NIL</t>
        </is>
      </c>
      <c r="E7506" t="n">
        <v>2442</v>
      </c>
    </row>
    <row r="7507">
      <c r="A7507" t="inlineStr">
        <is>
          <t>27BBBBB07507Z5</t>
        </is>
      </c>
      <c r="B7507" t="inlineStr">
        <is>
          <t>Jan-2018</t>
        </is>
      </c>
      <c r="C7507" s="2" t="n">
        <v>44314</v>
      </c>
      <c r="D7507" t="inlineStr">
        <is>
          <t>NIL</t>
        </is>
      </c>
      <c r="E7507" t="n">
        <v>2381</v>
      </c>
    </row>
    <row r="7508">
      <c r="A7508" t="inlineStr">
        <is>
          <t>27BBBBB07508Z5</t>
        </is>
      </c>
      <c r="B7508" t="inlineStr">
        <is>
          <t>May-2018</t>
        </is>
      </c>
      <c r="C7508" s="2" t="n">
        <v>43948</v>
      </c>
      <c r="D7508" t="inlineStr">
        <is>
          <t>NON-NIL</t>
        </is>
      </c>
      <c r="E7508" t="n">
        <v>2630</v>
      </c>
    </row>
    <row r="7509">
      <c r="A7509" t="inlineStr">
        <is>
          <t>27BBBBB07509Z5</t>
        </is>
      </c>
      <c r="B7509" t="inlineStr">
        <is>
          <t>Dec-2017</t>
        </is>
      </c>
      <c r="C7509" s="2" t="n">
        <v>42971</v>
      </c>
      <c r="D7509" t="inlineStr">
        <is>
          <t>NIL</t>
        </is>
      </c>
      <c r="E7509" t="n">
        <v>97</v>
      </c>
    </row>
    <row r="7510">
      <c r="A7510" t="inlineStr">
        <is>
          <t>27BBBBB07510Z5</t>
        </is>
      </c>
      <c r="B7510" t="inlineStr">
        <is>
          <t>Mar-2021</t>
        </is>
      </c>
      <c r="C7510" s="2" t="n">
        <v>45321</v>
      </c>
      <c r="D7510" t="inlineStr">
        <is>
          <t>NON-NIL</t>
        </is>
      </c>
      <c r="E7510" t="n">
        <v>627</v>
      </c>
    </row>
    <row r="7511">
      <c r="A7511" t="inlineStr">
        <is>
          <t>27BBBBB07511Z5</t>
        </is>
      </c>
      <c r="B7511" t="inlineStr">
        <is>
          <t>Aug-2017</t>
        </is>
      </c>
      <c r="C7511" s="2" t="n">
        <v>42957</v>
      </c>
      <c r="D7511" t="inlineStr">
        <is>
          <t>NIL</t>
        </is>
      </c>
      <c r="E7511" t="n">
        <v>1333</v>
      </c>
    </row>
    <row r="7512">
      <c r="A7512" t="inlineStr">
        <is>
          <t>27BBBBB07512Z5</t>
        </is>
      </c>
      <c r="B7512" t="inlineStr">
        <is>
          <t>Jun-2018</t>
        </is>
      </c>
      <c r="C7512" s="2" t="n">
        <v>43721</v>
      </c>
      <c r="D7512" t="inlineStr">
        <is>
          <t>NIL</t>
        </is>
      </c>
      <c r="E7512" t="n">
        <v>343</v>
      </c>
    </row>
    <row r="7513">
      <c r="A7513" t="inlineStr">
        <is>
          <t>27BBBBB07513Z5</t>
        </is>
      </c>
      <c r="B7513" t="inlineStr">
        <is>
          <t>Nov-2018</t>
        </is>
      </c>
      <c r="C7513" s="2" t="n">
        <v>43802</v>
      </c>
      <c r="D7513" t="inlineStr">
        <is>
          <t>NIL</t>
        </is>
      </c>
      <c r="E7513" t="n">
        <v>1782</v>
      </c>
    </row>
    <row r="7514">
      <c r="A7514" t="inlineStr">
        <is>
          <t>27BBBBB07514Z5</t>
        </is>
      </c>
      <c r="B7514" t="inlineStr">
        <is>
          <t>Jul-2020</t>
        </is>
      </c>
      <c r="C7514" s="2" t="n">
        <v>44162</v>
      </c>
      <c r="D7514" t="inlineStr">
        <is>
          <t>NIL</t>
        </is>
      </c>
      <c r="E7514" t="n">
        <v>2612</v>
      </c>
    </row>
    <row r="7515">
      <c r="A7515" t="inlineStr">
        <is>
          <t>27BBBBB07515Z5</t>
        </is>
      </c>
      <c r="B7515" t="inlineStr">
        <is>
          <t>Dec-2022</t>
        </is>
      </c>
      <c r="C7515" s="2" t="n">
        <v>43945</v>
      </c>
      <c r="D7515" t="inlineStr">
        <is>
          <t>NON-NIL</t>
        </is>
      </c>
      <c r="E7515" t="n">
        <v>990</v>
      </c>
    </row>
    <row r="7516">
      <c r="A7516" t="inlineStr">
        <is>
          <t>27BBBBB07516Z5</t>
        </is>
      </c>
      <c r="B7516" t="inlineStr">
        <is>
          <t>Nov-2018</t>
        </is>
      </c>
      <c r="C7516" s="2" t="n">
        <v>43899</v>
      </c>
      <c r="D7516" t="inlineStr">
        <is>
          <t>NON-NIL</t>
        </is>
      </c>
      <c r="E7516" t="n">
        <v>1235</v>
      </c>
    </row>
    <row r="7517">
      <c r="A7517" t="inlineStr">
        <is>
          <t>27BBBBB07517Z5</t>
        </is>
      </c>
      <c r="B7517" t="inlineStr">
        <is>
          <t>Feb-2018</t>
        </is>
      </c>
      <c r="C7517" s="2" t="n">
        <v>43927</v>
      </c>
      <c r="D7517" t="inlineStr">
        <is>
          <t>NIL</t>
        </is>
      </c>
      <c r="E7517" t="n">
        <v>28</v>
      </c>
    </row>
    <row r="7518">
      <c r="A7518" t="inlineStr">
        <is>
          <t>27BBBBB07518Z5</t>
        </is>
      </c>
      <c r="B7518" t="inlineStr">
        <is>
          <t>Jun-2018</t>
        </is>
      </c>
      <c r="C7518" s="2" t="n">
        <v>43383</v>
      </c>
      <c r="D7518" t="inlineStr">
        <is>
          <t>NON-NIL</t>
        </is>
      </c>
      <c r="E7518" t="n">
        <v>2522</v>
      </c>
    </row>
    <row r="7519">
      <c r="A7519" t="inlineStr">
        <is>
          <t>27BBBBB07519Z5</t>
        </is>
      </c>
      <c r="B7519" t="inlineStr">
        <is>
          <t>Aug-2018</t>
        </is>
      </c>
      <c r="C7519" s="2" t="n">
        <v>43187</v>
      </c>
      <c r="D7519" t="inlineStr">
        <is>
          <t>NON-NIL</t>
        </is>
      </c>
      <c r="E7519" t="n">
        <v>1694</v>
      </c>
    </row>
    <row r="7520">
      <c r="A7520" t="inlineStr">
        <is>
          <t>27BBBBB07520Z5</t>
        </is>
      </c>
      <c r="B7520" t="inlineStr">
        <is>
          <t>Feb-2018</t>
        </is>
      </c>
      <c r="C7520" s="2" t="n">
        <v>42946</v>
      </c>
      <c r="D7520" t="inlineStr">
        <is>
          <t>NIL</t>
        </is>
      </c>
      <c r="E7520" t="n">
        <v>2403</v>
      </c>
    </row>
    <row r="7521">
      <c r="A7521" t="inlineStr">
        <is>
          <t>27BBBBB07521Z5</t>
        </is>
      </c>
      <c r="B7521" t="inlineStr">
        <is>
          <t>Oct-2018</t>
        </is>
      </c>
      <c r="C7521" s="2" t="n">
        <v>43699</v>
      </c>
      <c r="D7521" t="inlineStr">
        <is>
          <t>NIL</t>
        </is>
      </c>
      <c r="E7521" t="n">
        <v>2599</v>
      </c>
    </row>
    <row r="7522">
      <c r="A7522" t="inlineStr">
        <is>
          <t>27BBBBB07522Z5</t>
        </is>
      </c>
      <c r="B7522" t="inlineStr">
        <is>
          <t>Dec-2017</t>
        </is>
      </c>
      <c r="C7522" s="2" t="n">
        <v>43583</v>
      </c>
      <c r="D7522" t="inlineStr">
        <is>
          <t>NIL</t>
        </is>
      </c>
      <c r="E7522" t="n">
        <v>1875</v>
      </c>
    </row>
    <row r="7523">
      <c r="A7523" t="inlineStr">
        <is>
          <t>27BBBBB07523Z5</t>
        </is>
      </c>
      <c r="B7523" t="inlineStr">
        <is>
          <t>Jun-2020</t>
        </is>
      </c>
      <c r="C7523" s="2" t="n">
        <v>44331</v>
      </c>
      <c r="D7523" t="inlineStr">
        <is>
          <t>NON-NIL</t>
        </is>
      </c>
      <c r="E7523" t="n">
        <v>1580</v>
      </c>
    </row>
    <row r="7524">
      <c r="A7524" t="inlineStr">
        <is>
          <t>27BBBBB07524Z5</t>
        </is>
      </c>
      <c r="B7524" t="inlineStr">
        <is>
          <t>Oct-2018</t>
        </is>
      </c>
      <c r="C7524" s="2" t="n">
        <v>44494</v>
      </c>
      <c r="D7524" t="inlineStr">
        <is>
          <t>NON-NIL</t>
        </is>
      </c>
      <c r="E7524" t="n">
        <v>2250</v>
      </c>
    </row>
    <row r="7525">
      <c r="A7525" t="inlineStr">
        <is>
          <t>27BBBBB07525Z5</t>
        </is>
      </c>
      <c r="B7525" t="inlineStr">
        <is>
          <t>Dec-2018</t>
        </is>
      </c>
      <c r="C7525" s="2" t="n">
        <v>43098</v>
      </c>
      <c r="D7525" t="inlineStr">
        <is>
          <t>NIL</t>
        </is>
      </c>
      <c r="E7525" t="n">
        <v>2368</v>
      </c>
    </row>
    <row r="7526">
      <c r="A7526" t="inlineStr">
        <is>
          <t>27BBBBB07526Z5</t>
        </is>
      </c>
      <c r="B7526" t="inlineStr">
        <is>
          <t>Oct-2017</t>
        </is>
      </c>
      <c r="C7526" s="2" t="n">
        <v>43478</v>
      </c>
      <c r="D7526" t="inlineStr">
        <is>
          <t>NIL</t>
        </is>
      </c>
      <c r="E7526" t="n">
        <v>32</v>
      </c>
    </row>
    <row r="7527">
      <c r="A7527" t="inlineStr">
        <is>
          <t>27BBBBB07527Z5</t>
        </is>
      </c>
      <c r="B7527" t="inlineStr">
        <is>
          <t>Feb-2018</t>
        </is>
      </c>
      <c r="C7527" s="2" t="n">
        <v>43938</v>
      </c>
      <c r="D7527" t="inlineStr">
        <is>
          <t>NON-NIL</t>
        </is>
      </c>
      <c r="E7527" t="n">
        <v>1609</v>
      </c>
    </row>
    <row r="7528">
      <c r="A7528" t="inlineStr">
        <is>
          <t>27BBBBB07528Z5</t>
        </is>
      </c>
      <c r="B7528" t="inlineStr">
        <is>
          <t>Apr-2020</t>
        </is>
      </c>
      <c r="C7528" s="2" t="n">
        <v>44466</v>
      </c>
      <c r="D7528" t="inlineStr">
        <is>
          <t>NIL</t>
        </is>
      </c>
      <c r="E7528" t="n">
        <v>1266</v>
      </c>
    </row>
    <row r="7529">
      <c r="A7529" t="inlineStr">
        <is>
          <t>27BBBBB07529Z5</t>
        </is>
      </c>
      <c r="B7529" t="inlineStr">
        <is>
          <t>Feb-2018</t>
        </is>
      </c>
      <c r="C7529" s="2" t="n">
        <v>43060</v>
      </c>
      <c r="D7529" t="inlineStr">
        <is>
          <t>NON-NIL</t>
        </is>
      </c>
      <c r="E7529" t="n">
        <v>118</v>
      </c>
    </row>
    <row r="7530">
      <c r="A7530" t="inlineStr">
        <is>
          <t>27BBBBB07530Z5</t>
        </is>
      </c>
      <c r="B7530" t="inlineStr">
        <is>
          <t>Oct-2017</t>
        </is>
      </c>
      <c r="C7530" s="2" t="n">
        <v>43397</v>
      </c>
      <c r="D7530" t="inlineStr">
        <is>
          <t>NON-NIL</t>
        </is>
      </c>
      <c r="E7530" t="n">
        <v>2862</v>
      </c>
    </row>
    <row r="7531">
      <c r="A7531" t="inlineStr">
        <is>
          <t>27BBBBB07531Z5</t>
        </is>
      </c>
      <c r="B7531" t="inlineStr">
        <is>
          <t>Dec-2018</t>
        </is>
      </c>
      <c r="C7531" s="2" t="n">
        <v>43549</v>
      </c>
      <c r="D7531" t="inlineStr">
        <is>
          <t>NIL</t>
        </is>
      </c>
      <c r="E7531" t="n">
        <v>2507</v>
      </c>
    </row>
    <row r="7532">
      <c r="A7532" t="inlineStr">
        <is>
          <t>27BBBBB07532Z5</t>
        </is>
      </c>
      <c r="B7532" t="inlineStr">
        <is>
          <t>Jun-2018</t>
        </is>
      </c>
      <c r="C7532" s="2" t="n">
        <v>43410</v>
      </c>
      <c r="D7532" t="inlineStr">
        <is>
          <t>NIL</t>
        </is>
      </c>
      <c r="E7532" t="n">
        <v>2951</v>
      </c>
    </row>
    <row r="7533">
      <c r="A7533" t="inlineStr">
        <is>
          <t>27BBBBB07533Z5</t>
        </is>
      </c>
      <c r="B7533" t="inlineStr">
        <is>
          <t>Sep-2018</t>
        </is>
      </c>
      <c r="C7533" s="2" t="n">
        <v>43128</v>
      </c>
      <c r="D7533" t="inlineStr">
        <is>
          <t>NON-NIL</t>
        </is>
      </c>
      <c r="E7533" t="n">
        <v>767</v>
      </c>
    </row>
    <row r="7534">
      <c r="A7534" t="inlineStr">
        <is>
          <t>27BBBBB07534Z5</t>
        </is>
      </c>
      <c r="B7534" t="inlineStr">
        <is>
          <t>Dec-2018</t>
        </is>
      </c>
      <c r="C7534" s="2" t="n">
        <v>43494</v>
      </c>
      <c r="D7534" t="inlineStr">
        <is>
          <t>NIL</t>
        </is>
      </c>
      <c r="E7534" t="n">
        <v>2198</v>
      </c>
    </row>
    <row r="7535">
      <c r="A7535" t="inlineStr">
        <is>
          <t>27BBBBB07535Z5</t>
        </is>
      </c>
      <c r="B7535" t="inlineStr">
        <is>
          <t>Jul-2020</t>
        </is>
      </c>
      <c r="C7535" s="2" t="n">
        <v>44922</v>
      </c>
      <c r="D7535" t="inlineStr">
        <is>
          <t>NON-NIL</t>
        </is>
      </c>
      <c r="E7535" t="n">
        <v>1685</v>
      </c>
    </row>
    <row r="7536">
      <c r="A7536" t="inlineStr">
        <is>
          <t>27BBBBB07536Z5</t>
        </is>
      </c>
      <c r="B7536" t="inlineStr">
        <is>
          <t>Jun-2020</t>
        </is>
      </c>
      <c r="C7536" s="2" t="n">
        <v>44285</v>
      </c>
      <c r="D7536" t="inlineStr">
        <is>
          <t>NIL</t>
        </is>
      </c>
      <c r="E7536" t="n">
        <v>749</v>
      </c>
    </row>
    <row r="7537">
      <c r="A7537" t="inlineStr">
        <is>
          <t>27BBBBB07537Z5</t>
        </is>
      </c>
      <c r="B7537" t="inlineStr">
        <is>
          <t>Jun-2020</t>
        </is>
      </c>
      <c r="C7537" s="2" t="n">
        <v>44518</v>
      </c>
      <c r="D7537" t="inlineStr">
        <is>
          <t>NIL</t>
        </is>
      </c>
      <c r="E7537" t="n">
        <v>282</v>
      </c>
    </row>
    <row r="7538">
      <c r="A7538" t="inlineStr">
        <is>
          <t>27BBBBB07538Z5</t>
        </is>
      </c>
      <c r="B7538" t="inlineStr">
        <is>
          <t>Nov-2017</t>
        </is>
      </c>
      <c r="C7538" s="2" t="n">
        <v>44472</v>
      </c>
      <c r="D7538" t="inlineStr">
        <is>
          <t>NIL</t>
        </is>
      </c>
      <c r="E7538" t="n">
        <v>200</v>
      </c>
    </row>
    <row r="7539">
      <c r="A7539" t="inlineStr">
        <is>
          <t>27BBBBB07539Z5</t>
        </is>
      </c>
      <c r="B7539" t="inlineStr">
        <is>
          <t>Mar-2023</t>
        </is>
      </c>
      <c r="C7539" s="2" t="n">
        <v>44640</v>
      </c>
      <c r="D7539" t="inlineStr">
        <is>
          <t>NIL</t>
        </is>
      </c>
      <c r="E7539" t="n">
        <v>1655</v>
      </c>
    </row>
    <row r="7540">
      <c r="A7540" t="inlineStr">
        <is>
          <t>27BBBBB07540Z5</t>
        </is>
      </c>
      <c r="B7540" t="inlineStr">
        <is>
          <t>Mar-2018</t>
        </is>
      </c>
      <c r="C7540" s="2" t="n">
        <v>44052</v>
      </c>
      <c r="D7540" t="inlineStr">
        <is>
          <t>NON-NIL</t>
        </is>
      </c>
      <c r="E7540" t="n">
        <v>2904</v>
      </c>
    </row>
    <row r="7541">
      <c r="A7541" t="inlineStr">
        <is>
          <t>27BBBBB07541Z5</t>
        </is>
      </c>
      <c r="B7541" t="inlineStr">
        <is>
          <t>Sep-2017</t>
        </is>
      </c>
      <c r="C7541" s="2" t="n">
        <v>43670</v>
      </c>
      <c r="D7541" t="inlineStr">
        <is>
          <t>NON-NIL</t>
        </is>
      </c>
      <c r="E7541" t="n">
        <v>2324</v>
      </c>
    </row>
    <row r="7542">
      <c r="A7542" t="inlineStr">
        <is>
          <t>27BBBBB07542Z5</t>
        </is>
      </c>
      <c r="B7542" t="inlineStr">
        <is>
          <t>Dec-2024</t>
        </is>
      </c>
      <c r="C7542" s="2" t="n">
        <v>45126</v>
      </c>
      <c r="D7542" t="inlineStr">
        <is>
          <t>NON-NIL</t>
        </is>
      </c>
      <c r="E7542" t="n">
        <v>2213</v>
      </c>
    </row>
    <row r="7543">
      <c r="A7543" t="inlineStr">
        <is>
          <t>27BBBBB07543Z5</t>
        </is>
      </c>
      <c r="B7543" t="inlineStr">
        <is>
          <t>Oct-2018</t>
        </is>
      </c>
      <c r="C7543" s="2" t="n">
        <v>42981</v>
      </c>
      <c r="D7543" t="inlineStr">
        <is>
          <t>NIL</t>
        </is>
      </c>
      <c r="E7543" t="n">
        <v>554</v>
      </c>
    </row>
    <row r="7544">
      <c r="A7544" t="inlineStr">
        <is>
          <t>27BBBBB07544Z5</t>
        </is>
      </c>
      <c r="B7544" t="inlineStr">
        <is>
          <t>Oct-2017</t>
        </is>
      </c>
      <c r="C7544" s="2" t="n">
        <v>43977</v>
      </c>
      <c r="D7544" t="inlineStr">
        <is>
          <t>NON-NIL</t>
        </is>
      </c>
      <c r="E7544" t="n">
        <v>61</v>
      </c>
    </row>
    <row r="7545">
      <c r="A7545" t="inlineStr">
        <is>
          <t>27BBBBB07545Z5</t>
        </is>
      </c>
      <c r="B7545" t="inlineStr">
        <is>
          <t>Feb-2018</t>
        </is>
      </c>
      <c r="C7545" s="2" t="n">
        <v>44173</v>
      </c>
      <c r="D7545" t="inlineStr">
        <is>
          <t>NON-NIL</t>
        </is>
      </c>
      <c r="E7545" t="n">
        <v>2980</v>
      </c>
    </row>
    <row r="7546">
      <c r="A7546" t="inlineStr">
        <is>
          <t>27BBBBB07546Z5</t>
        </is>
      </c>
      <c r="B7546" t="inlineStr">
        <is>
          <t>Aug-2017</t>
        </is>
      </c>
      <c r="C7546" s="2" t="n">
        <v>44404</v>
      </c>
      <c r="D7546" t="inlineStr">
        <is>
          <t>NON-NIL</t>
        </is>
      </c>
      <c r="E7546" t="n">
        <v>674</v>
      </c>
    </row>
    <row r="7547">
      <c r="A7547" t="inlineStr">
        <is>
          <t>27BBBBB07547Z5</t>
        </is>
      </c>
      <c r="B7547" t="inlineStr">
        <is>
          <t>Dec-2022</t>
        </is>
      </c>
      <c r="C7547" s="2" t="n">
        <v>44415</v>
      </c>
      <c r="D7547" t="inlineStr">
        <is>
          <t>NON-NIL</t>
        </is>
      </c>
      <c r="E7547" t="n">
        <v>2530</v>
      </c>
    </row>
    <row r="7548">
      <c r="A7548" t="inlineStr">
        <is>
          <t>27BBBBB07548Z5</t>
        </is>
      </c>
      <c r="B7548" t="inlineStr">
        <is>
          <t>Mar-2018</t>
        </is>
      </c>
      <c r="C7548" s="2" t="n">
        <v>42934</v>
      </c>
      <c r="D7548" t="inlineStr">
        <is>
          <t>NIL</t>
        </is>
      </c>
      <c r="E7548" t="n">
        <v>283</v>
      </c>
    </row>
    <row r="7549">
      <c r="A7549" t="inlineStr">
        <is>
          <t>27BBBBB07549Z5</t>
        </is>
      </c>
      <c r="B7549" t="inlineStr">
        <is>
          <t>Aug-2018</t>
        </is>
      </c>
      <c r="C7549" s="2" t="n">
        <v>44095</v>
      </c>
      <c r="D7549" t="inlineStr">
        <is>
          <t>NIL</t>
        </is>
      </c>
      <c r="E7549" t="n">
        <v>1743</v>
      </c>
    </row>
    <row r="7550">
      <c r="A7550" t="inlineStr">
        <is>
          <t>27BBBBB07550Z5</t>
        </is>
      </c>
      <c r="B7550" t="inlineStr">
        <is>
          <t>Dec-2018</t>
        </is>
      </c>
      <c r="C7550" s="2" t="n">
        <v>43059</v>
      </c>
      <c r="D7550" t="inlineStr">
        <is>
          <t>NIL</t>
        </is>
      </c>
      <c r="E7550" t="n">
        <v>1402</v>
      </c>
    </row>
    <row r="7551">
      <c r="A7551" t="inlineStr">
        <is>
          <t>27BBBBB07551Z5</t>
        </is>
      </c>
      <c r="B7551" t="inlineStr">
        <is>
          <t>May-2020</t>
        </is>
      </c>
      <c r="C7551" s="2" t="n">
        <v>44628</v>
      </c>
      <c r="D7551" t="inlineStr">
        <is>
          <t>NIL</t>
        </is>
      </c>
      <c r="E7551" t="n">
        <v>2804</v>
      </c>
    </row>
    <row r="7552">
      <c r="A7552" t="inlineStr">
        <is>
          <t>27BBBBB07552Z5</t>
        </is>
      </c>
      <c r="B7552" t="inlineStr">
        <is>
          <t>Jul-2020</t>
        </is>
      </c>
      <c r="C7552" s="2" t="n">
        <v>44617</v>
      </c>
      <c r="D7552" t="inlineStr">
        <is>
          <t>NIL</t>
        </is>
      </c>
      <c r="E7552" t="n">
        <v>585</v>
      </c>
    </row>
    <row r="7553">
      <c r="A7553" t="inlineStr">
        <is>
          <t>27BBBBB07553Z5</t>
        </is>
      </c>
      <c r="B7553" t="inlineStr">
        <is>
          <t>Mar-2018</t>
        </is>
      </c>
      <c r="C7553" s="2" t="n">
        <v>44319</v>
      </c>
      <c r="D7553" t="inlineStr">
        <is>
          <t>NON-NIL</t>
        </is>
      </c>
      <c r="E7553" t="n">
        <v>1772</v>
      </c>
    </row>
    <row r="7554">
      <c r="A7554" t="inlineStr">
        <is>
          <t>27BBBBB07554Z5</t>
        </is>
      </c>
      <c r="B7554" t="inlineStr">
        <is>
          <t>Mar-2021</t>
        </is>
      </c>
      <c r="C7554" s="2" t="n">
        <v>44218</v>
      </c>
      <c r="D7554" t="inlineStr">
        <is>
          <t>NON-NIL</t>
        </is>
      </c>
      <c r="E7554" t="n">
        <v>1366</v>
      </c>
    </row>
    <row r="7555">
      <c r="A7555" t="inlineStr">
        <is>
          <t>27BBBBB07555Z5</t>
        </is>
      </c>
      <c r="B7555" t="inlineStr">
        <is>
          <t>Jun-2018</t>
        </is>
      </c>
      <c r="C7555" s="2" t="n">
        <v>43759</v>
      </c>
      <c r="D7555" t="inlineStr">
        <is>
          <t>NIL</t>
        </is>
      </c>
      <c r="E7555" t="n">
        <v>1494</v>
      </c>
    </row>
    <row r="7556">
      <c r="A7556" t="inlineStr">
        <is>
          <t>27BBBBB07556Z5</t>
        </is>
      </c>
      <c r="B7556" t="inlineStr">
        <is>
          <t>Jun-2020</t>
        </is>
      </c>
      <c r="C7556" s="2" t="n">
        <v>44836</v>
      </c>
      <c r="D7556" t="inlineStr">
        <is>
          <t>NON-NIL</t>
        </is>
      </c>
      <c r="E7556" t="n">
        <v>525</v>
      </c>
    </row>
    <row r="7557">
      <c r="A7557" t="inlineStr">
        <is>
          <t>27BBBBB07557Z5</t>
        </is>
      </c>
      <c r="B7557" t="inlineStr">
        <is>
          <t>Mar-2023</t>
        </is>
      </c>
      <c r="C7557" s="2" t="n">
        <v>44404</v>
      </c>
      <c r="D7557" t="inlineStr">
        <is>
          <t>NON-NIL</t>
        </is>
      </c>
      <c r="E7557" t="n">
        <v>2700</v>
      </c>
    </row>
    <row r="7558">
      <c r="A7558" t="inlineStr">
        <is>
          <t>27BBBBB07558Z5</t>
        </is>
      </c>
      <c r="B7558" t="inlineStr">
        <is>
          <t>Jun-2018</t>
        </is>
      </c>
      <c r="C7558" s="2" t="n">
        <v>43089</v>
      </c>
      <c r="D7558" t="inlineStr">
        <is>
          <t>NON-NIL</t>
        </is>
      </c>
      <c r="E7558" t="n">
        <v>541</v>
      </c>
    </row>
    <row r="7559">
      <c r="A7559" t="inlineStr">
        <is>
          <t>27BBBBB07559Z5</t>
        </is>
      </c>
      <c r="B7559" t="inlineStr">
        <is>
          <t>Sep-2018</t>
        </is>
      </c>
      <c r="C7559" s="2" t="n">
        <v>43491</v>
      </c>
      <c r="D7559" t="inlineStr">
        <is>
          <t>NON-NIL</t>
        </is>
      </c>
      <c r="E7559" t="n">
        <v>1865</v>
      </c>
    </row>
    <row r="7560">
      <c r="A7560" t="inlineStr">
        <is>
          <t>27BBBBB07560Z5</t>
        </is>
      </c>
      <c r="B7560" t="inlineStr">
        <is>
          <t>Apr-2020</t>
        </is>
      </c>
      <c r="C7560" s="2" t="n">
        <v>44211</v>
      </c>
      <c r="D7560" t="inlineStr">
        <is>
          <t>NON-NIL</t>
        </is>
      </c>
      <c r="E7560" t="n">
        <v>175</v>
      </c>
    </row>
    <row r="7561">
      <c r="A7561" t="inlineStr">
        <is>
          <t>27BBBBB07561Z5</t>
        </is>
      </c>
      <c r="B7561" t="inlineStr">
        <is>
          <t>Jun-2018</t>
        </is>
      </c>
      <c r="C7561" s="2" t="n">
        <v>44102</v>
      </c>
      <c r="D7561" t="inlineStr">
        <is>
          <t>NON-NIL</t>
        </is>
      </c>
      <c r="E7561" t="n">
        <v>1139</v>
      </c>
    </row>
    <row r="7562">
      <c r="A7562" t="inlineStr">
        <is>
          <t>27BBBBB07562Z5</t>
        </is>
      </c>
      <c r="B7562" t="inlineStr">
        <is>
          <t>Jul-2018</t>
        </is>
      </c>
      <c r="C7562" s="2" t="n">
        <v>43118</v>
      </c>
      <c r="D7562" t="inlineStr">
        <is>
          <t>NON-NIL</t>
        </is>
      </c>
      <c r="E7562" t="n">
        <v>916</v>
      </c>
    </row>
    <row r="7563">
      <c r="A7563" t="inlineStr">
        <is>
          <t>27BBBBB07563Z5</t>
        </is>
      </c>
      <c r="B7563" t="inlineStr">
        <is>
          <t>May-2018</t>
        </is>
      </c>
      <c r="C7563" s="2" t="n">
        <v>43380</v>
      </c>
      <c r="D7563" t="inlineStr">
        <is>
          <t>NON-NIL</t>
        </is>
      </c>
      <c r="E7563" t="n">
        <v>229</v>
      </c>
    </row>
    <row r="7564">
      <c r="A7564" t="inlineStr">
        <is>
          <t>27BBBBB07564Z5</t>
        </is>
      </c>
      <c r="B7564" t="inlineStr">
        <is>
          <t>Aug-2018</t>
        </is>
      </c>
      <c r="C7564" s="2" t="n">
        <v>44363</v>
      </c>
      <c r="D7564" t="inlineStr">
        <is>
          <t>NON-NIL</t>
        </is>
      </c>
      <c r="E7564" t="n">
        <v>1190</v>
      </c>
    </row>
    <row r="7565">
      <c r="A7565" t="inlineStr">
        <is>
          <t>27BBBBB07565Z5</t>
        </is>
      </c>
      <c r="B7565" t="inlineStr">
        <is>
          <t>Oct-2018</t>
        </is>
      </c>
      <c r="C7565" s="2" t="n">
        <v>44419</v>
      </c>
      <c r="D7565" t="inlineStr">
        <is>
          <t>NIL</t>
        </is>
      </c>
      <c r="E7565" t="n">
        <v>1729</v>
      </c>
    </row>
    <row r="7566">
      <c r="A7566" t="inlineStr">
        <is>
          <t>27BBBBB07566Z5</t>
        </is>
      </c>
      <c r="B7566" t="inlineStr">
        <is>
          <t>Jan-2021</t>
        </is>
      </c>
      <c r="C7566" s="2" t="n">
        <v>45470</v>
      </c>
      <c r="D7566" t="inlineStr">
        <is>
          <t>NON-NIL</t>
        </is>
      </c>
      <c r="E7566" t="n">
        <v>19</v>
      </c>
    </row>
    <row r="7567">
      <c r="A7567" t="inlineStr">
        <is>
          <t>27BBBBB07567Z5</t>
        </is>
      </c>
      <c r="B7567" t="inlineStr">
        <is>
          <t>Apr-2020</t>
        </is>
      </c>
      <c r="C7567" s="2" t="n">
        <v>43960</v>
      </c>
      <c r="D7567" t="inlineStr">
        <is>
          <t>NIL</t>
        </is>
      </c>
      <c r="E7567" t="n">
        <v>1579</v>
      </c>
    </row>
    <row r="7568">
      <c r="A7568" t="inlineStr">
        <is>
          <t>27BBBBB07568Z5</t>
        </is>
      </c>
      <c r="B7568" t="inlineStr">
        <is>
          <t>Jul-2017</t>
        </is>
      </c>
      <c r="C7568" s="2" t="n">
        <v>43231</v>
      </c>
      <c r="D7568" t="inlineStr">
        <is>
          <t>NON-NIL</t>
        </is>
      </c>
      <c r="E7568" t="n">
        <v>2612</v>
      </c>
    </row>
    <row r="7569">
      <c r="A7569" t="inlineStr">
        <is>
          <t>27BBBBB07569Z5</t>
        </is>
      </c>
      <c r="B7569" t="inlineStr">
        <is>
          <t>Aug-2017</t>
        </is>
      </c>
      <c r="C7569" s="2" t="n">
        <v>42964</v>
      </c>
      <c r="D7569" t="inlineStr">
        <is>
          <t>NON-NIL</t>
        </is>
      </c>
      <c r="E7569" t="n">
        <v>266</v>
      </c>
    </row>
    <row r="7570">
      <c r="A7570" t="inlineStr">
        <is>
          <t>27BBBBB07570Z5</t>
        </is>
      </c>
      <c r="B7570" t="inlineStr">
        <is>
          <t>Oct-2017</t>
        </is>
      </c>
      <c r="C7570" s="2" t="n">
        <v>42969</v>
      </c>
      <c r="D7570" t="inlineStr">
        <is>
          <t>NON-NIL</t>
        </is>
      </c>
      <c r="E7570" t="n">
        <v>1213</v>
      </c>
    </row>
    <row r="7571">
      <c r="A7571" t="inlineStr">
        <is>
          <t>27BBBBB07571Z5</t>
        </is>
      </c>
      <c r="B7571" t="inlineStr">
        <is>
          <t>Nov-2018</t>
        </is>
      </c>
      <c r="C7571" s="2" t="n">
        <v>43025</v>
      </c>
      <c r="D7571" t="inlineStr">
        <is>
          <t>NIL</t>
        </is>
      </c>
      <c r="E7571" t="n">
        <v>796</v>
      </c>
    </row>
    <row r="7572">
      <c r="A7572" t="inlineStr">
        <is>
          <t>27BBBBB07572Z5</t>
        </is>
      </c>
      <c r="B7572" t="inlineStr">
        <is>
          <t>Nov-2017</t>
        </is>
      </c>
      <c r="C7572" s="2" t="n">
        <v>43647</v>
      </c>
      <c r="D7572" t="inlineStr">
        <is>
          <t>NON-NIL</t>
        </is>
      </c>
      <c r="E7572" t="n">
        <v>2306</v>
      </c>
    </row>
    <row r="7573">
      <c r="A7573" t="inlineStr">
        <is>
          <t>27BBBBB07573Z5</t>
        </is>
      </c>
      <c r="B7573" t="inlineStr">
        <is>
          <t>Apr-2020</t>
        </is>
      </c>
      <c r="C7573" s="2" t="n">
        <v>44875</v>
      </c>
      <c r="D7573" t="inlineStr">
        <is>
          <t>NIL</t>
        </is>
      </c>
      <c r="E7573" t="n">
        <v>253</v>
      </c>
    </row>
    <row r="7574">
      <c r="A7574" t="inlineStr">
        <is>
          <t>27BBBBB07574Z5</t>
        </is>
      </c>
      <c r="B7574" t="inlineStr">
        <is>
          <t>Mar-2021</t>
        </is>
      </c>
      <c r="C7574" s="2" t="n">
        <v>45687</v>
      </c>
      <c r="D7574" t="inlineStr">
        <is>
          <t>NIL</t>
        </is>
      </c>
      <c r="E7574" t="n">
        <v>1165</v>
      </c>
    </row>
    <row r="7575">
      <c r="A7575" t="inlineStr">
        <is>
          <t>27BBBBB07575Z5</t>
        </is>
      </c>
      <c r="B7575" t="inlineStr">
        <is>
          <t>Nov-2018</t>
        </is>
      </c>
      <c r="C7575" s="2" t="n">
        <v>43532</v>
      </c>
      <c r="D7575" t="inlineStr">
        <is>
          <t>NON-NIL</t>
        </is>
      </c>
      <c r="E7575" t="n">
        <v>1586</v>
      </c>
    </row>
    <row r="7576">
      <c r="A7576" t="inlineStr">
        <is>
          <t>27BBBBB07576Z5</t>
        </is>
      </c>
      <c r="B7576" t="inlineStr">
        <is>
          <t>Jun-2020</t>
        </is>
      </c>
      <c r="C7576" s="2" t="n">
        <v>44504</v>
      </c>
      <c r="D7576" t="inlineStr">
        <is>
          <t>NON-NIL</t>
        </is>
      </c>
      <c r="E7576" t="n">
        <v>301</v>
      </c>
    </row>
    <row r="7577">
      <c r="A7577" t="inlineStr">
        <is>
          <t>27BBBBB07577Z5</t>
        </is>
      </c>
      <c r="B7577" t="inlineStr">
        <is>
          <t>Jul-2020</t>
        </is>
      </c>
      <c r="C7577" s="2" t="n">
        <v>43970</v>
      </c>
      <c r="D7577" t="inlineStr">
        <is>
          <t>NIL</t>
        </is>
      </c>
      <c r="E7577" t="n">
        <v>1135</v>
      </c>
    </row>
    <row r="7578">
      <c r="A7578" t="inlineStr">
        <is>
          <t>27BBBBB07578Z5</t>
        </is>
      </c>
      <c r="B7578" t="inlineStr">
        <is>
          <t>Jul-2020</t>
        </is>
      </c>
      <c r="C7578" s="2" t="n">
        <v>44188</v>
      </c>
      <c r="D7578" t="inlineStr">
        <is>
          <t>NIL</t>
        </is>
      </c>
      <c r="E7578" t="n">
        <v>2451</v>
      </c>
    </row>
    <row r="7579">
      <c r="A7579" t="inlineStr">
        <is>
          <t>27BBBBB07579Z5</t>
        </is>
      </c>
      <c r="B7579" t="inlineStr">
        <is>
          <t>Aug-2018</t>
        </is>
      </c>
      <c r="C7579" s="2" t="n">
        <v>43038</v>
      </c>
      <c r="D7579" t="inlineStr">
        <is>
          <t>NON-NIL</t>
        </is>
      </c>
      <c r="E7579" t="n">
        <v>2540</v>
      </c>
    </row>
    <row r="7580">
      <c r="A7580" t="inlineStr">
        <is>
          <t>27BBBBB07580Z5</t>
        </is>
      </c>
      <c r="B7580" t="inlineStr">
        <is>
          <t>Sep-2017</t>
        </is>
      </c>
      <c r="C7580" s="2" t="n">
        <v>43428</v>
      </c>
      <c r="D7580" t="inlineStr">
        <is>
          <t>NIL</t>
        </is>
      </c>
      <c r="E7580" t="n">
        <v>2993</v>
      </c>
    </row>
    <row r="7581">
      <c r="A7581" t="inlineStr">
        <is>
          <t>27BBBBB07581Z5</t>
        </is>
      </c>
      <c r="B7581" t="inlineStr">
        <is>
          <t>Oct-2017</t>
        </is>
      </c>
      <c r="C7581" s="2" t="n">
        <v>43887</v>
      </c>
      <c r="D7581" t="inlineStr">
        <is>
          <t>NIL</t>
        </is>
      </c>
      <c r="E7581" t="n">
        <v>2557</v>
      </c>
    </row>
    <row r="7582">
      <c r="A7582" t="inlineStr">
        <is>
          <t>27BBBBB07582Z5</t>
        </is>
      </c>
      <c r="B7582" t="inlineStr">
        <is>
          <t>May-2018</t>
        </is>
      </c>
      <c r="C7582" s="2" t="n">
        <v>43212</v>
      </c>
      <c r="D7582" t="inlineStr">
        <is>
          <t>NIL</t>
        </is>
      </c>
      <c r="E7582" t="n">
        <v>2287</v>
      </c>
    </row>
    <row r="7583">
      <c r="A7583" t="inlineStr">
        <is>
          <t>27BBBBB07583Z5</t>
        </is>
      </c>
      <c r="B7583" t="inlineStr">
        <is>
          <t>Aug-2018</t>
        </is>
      </c>
      <c r="C7583" s="2" t="n">
        <v>43798</v>
      </c>
      <c r="D7583" t="inlineStr">
        <is>
          <t>NON-NIL</t>
        </is>
      </c>
      <c r="E7583" t="n">
        <v>2118</v>
      </c>
    </row>
    <row r="7584">
      <c r="A7584" t="inlineStr">
        <is>
          <t>27BBBBB07584Z5</t>
        </is>
      </c>
      <c r="B7584" t="inlineStr">
        <is>
          <t>Dec-2024</t>
        </is>
      </c>
      <c r="C7584" s="2" t="n">
        <v>44053</v>
      </c>
      <c r="D7584" t="inlineStr">
        <is>
          <t>NIL</t>
        </is>
      </c>
      <c r="E7584" t="n">
        <v>2701</v>
      </c>
    </row>
    <row r="7585">
      <c r="A7585" t="inlineStr">
        <is>
          <t>27BBBBB07585Z5</t>
        </is>
      </c>
      <c r="B7585" t="inlineStr">
        <is>
          <t>Mar-2020</t>
        </is>
      </c>
      <c r="C7585" s="2" t="n">
        <v>44663</v>
      </c>
      <c r="D7585" t="inlineStr">
        <is>
          <t>NON-NIL</t>
        </is>
      </c>
      <c r="E7585" t="n">
        <v>1323</v>
      </c>
    </row>
    <row r="7586">
      <c r="A7586" t="inlineStr">
        <is>
          <t>27BBBBB07586Z5</t>
        </is>
      </c>
      <c r="B7586" t="inlineStr">
        <is>
          <t>Aug-2018</t>
        </is>
      </c>
      <c r="C7586" s="2" t="n">
        <v>44390</v>
      </c>
      <c r="D7586" t="inlineStr">
        <is>
          <t>NON-NIL</t>
        </is>
      </c>
      <c r="E7586" t="n">
        <v>1687</v>
      </c>
    </row>
    <row r="7587">
      <c r="A7587" t="inlineStr">
        <is>
          <t>27BBBBB07587Z5</t>
        </is>
      </c>
      <c r="B7587" t="inlineStr">
        <is>
          <t>Jul-2020</t>
        </is>
      </c>
      <c r="C7587" s="2" t="n">
        <v>44590</v>
      </c>
      <c r="D7587" t="inlineStr">
        <is>
          <t>NON-NIL</t>
        </is>
      </c>
      <c r="E7587" t="n">
        <v>2805</v>
      </c>
    </row>
    <row r="7588">
      <c r="A7588" t="inlineStr">
        <is>
          <t>27BBBBB07588Z5</t>
        </is>
      </c>
      <c r="B7588" t="inlineStr">
        <is>
          <t>Dec-2018</t>
        </is>
      </c>
      <c r="C7588" s="2" t="n">
        <v>43730</v>
      </c>
      <c r="D7588" t="inlineStr">
        <is>
          <t>NIL</t>
        </is>
      </c>
      <c r="E7588" t="n">
        <v>1842</v>
      </c>
    </row>
    <row r="7589">
      <c r="A7589" t="inlineStr">
        <is>
          <t>27BBBBB07589Z5</t>
        </is>
      </c>
      <c r="B7589" t="inlineStr">
        <is>
          <t>Dec-2018</t>
        </is>
      </c>
      <c r="C7589" s="2" t="n">
        <v>43884</v>
      </c>
      <c r="D7589" t="inlineStr">
        <is>
          <t>NON-NIL</t>
        </is>
      </c>
      <c r="E7589" t="n">
        <v>1368</v>
      </c>
    </row>
    <row r="7590">
      <c r="A7590" t="inlineStr">
        <is>
          <t>27BBBBB07590Z5</t>
        </is>
      </c>
      <c r="B7590" t="inlineStr">
        <is>
          <t>Mar-2020</t>
        </is>
      </c>
      <c r="C7590" s="2" t="n">
        <v>44741</v>
      </c>
      <c r="D7590" t="inlineStr">
        <is>
          <t>NIL</t>
        </is>
      </c>
      <c r="E7590" t="n">
        <v>329</v>
      </c>
    </row>
    <row r="7591">
      <c r="A7591" t="inlineStr">
        <is>
          <t>27BBBBB07591Z5</t>
        </is>
      </c>
      <c r="B7591" t="inlineStr">
        <is>
          <t>Mar-2021</t>
        </is>
      </c>
      <c r="C7591" s="2" t="n">
        <v>45602</v>
      </c>
      <c r="D7591" t="inlineStr">
        <is>
          <t>NON-NIL</t>
        </is>
      </c>
      <c r="E7591" t="n">
        <v>2847</v>
      </c>
    </row>
    <row r="7592">
      <c r="A7592" t="inlineStr">
        <is>
          <t>27BBBBB07592Z5</t>
        </is>
      </c>
      <c r="B7592" t="inlineStr">
        <is>
          <t>Nov-2017</t>
        </is>
      </c>
      <c r="C7592" s="2" t="n">
        <v>43495</v>
      </c>
      <c r="D7592" t="inlineStr">
        <is>
          <t>NIL</t>
        </is>
      </c>
      <c r="E7592" t="n">
        <v>2171</v>
      </c>
    </row>
    <row r="7593">
      <c r="A7593" t="inlineStr">
        <is>
          <t>27BBBBB07593Z5</t>
        </is>
      </c>
      <c r="B7593" t="inlineStr">
        <is>
          <t>Jan-2021</t>
        </is>
      </c>
      <c r="C7593" s="2" t="n">
        <v>45283</v>
      </c>
      <c r="D7593" t="inlineStr">
        <is>
          <t>NIL</t>
        </is>
      </c>
      <c r="E7593" t="n">
        <v>1775</v>
      </c>
    </row>
    <row r="7594">
      <c r="A7594" t="inlineStr">
        <is>
          <t>27BBBBB07594Z5</t>
        </is>
      </c>
      <c r="B7594" t="inlineStr">
        <is>
          <t>Jan-2018</t>
        </is>
      </c>
      <c r="C7594" s="2" t="n">
        <v>43362</v>
      </c>
      <c r="D7594" t="inlineStr">
        <is>
          <t>NON-NIL</t>
        </is>
      </c>
      <c r="E7594" t="n">
        <v>2578</v>
      </c>
    </row>
    <row r="7595">
      <c r="A7595" t="inlineStr">
        <is>
          <t>27BBBBB07595Z5</t>
        </is>
      </c>
      <c r="B7595" t="inlineStr">
        <is>
          <t>Dec-2018</t>
        </is>
      </c>
      <c r="C7595" s="2" t="n">
        <v>43850</v>
      </c>
      <c r="D7595" t="inlineStr">
        <is>
          <t>NON-NIL</t>
        </is>
      </c>
      <c r="E7595" t="n">
        <v>1821</v>
      </c>
    </row>
    <row r="7596">
      <c r="A7596" t="inlineStr">
        <is>
          <t>27BBBBB07596Z5</t>
        </is>
      </c>
      <c r="B7596" t="inlineStr">
        <is>
          <t>Nov-2017</t>
        </is>
      </c>
      <c r="C7596" s="2" t="n">
        <v>44368</v>
      </c>
      <c r="D7596" t="inlineStr">
        <is>
          <t>NON-NIL</t>
        </is>
      </c>
      <c r="E7596" t="n">
        <v>1813</v>
      </c>
    </row>
    <row r="7597">
      <c r="A7597" t="inlineStr">
        <is>
          <t>27BBBBB07597Z5</t>
        </is>
      </c>
      <c r="B7597" t="inlineStr">
        <is>
          <t>Jan-2021</t>
        </is>
      </c>
      <c r="C7597" s="2" t="n">
        <v>44333</v>
      </c>
      <c r="D7597" t="inlineStr">
        <is>
          <t>NIL</t>
        </is>
      </c>
      <c r="E7597" t="n">
        <v>1578</v>
      </c>
    </row>
    <row r="7598">
      <c r="A7598" t="inlineStr">
        <is>
          <t>27BBBBB07598Z5</t>
        </is>
      </c>
      <c r="B7598" t="inlineStr">
        <is>
          <t>Jan-2021</t>
        </is>
      </c>
      <c r="C7598" s="2" t="n">
        <v>45591</v>
      </c>
      <c r="D7598" t="inlineStr">
        <is>
          <t>NIL</t>
        </is>
      </c>
      <c r="E7598" t="n">
        <v>959</v>
      </c>
    </row>
    <row r="7599">
      <c r="A7599" t="inlineStr">
        <is>
          <t>27BBBBB07599Z5</t>
        </is>
      </c>
      <c r="B7599" t="inlineStr">
        <is>
          <t>Aug-2018</t>
        </is>
      </c>
      <c r="C7599" s="2" t="n">
        <v>43051</v>
      </c>
      <c r="D7599" t="inlineStr">
        <is>
          <t>NON-NIL</t>
        </is>
      </c>
      <c r="E7599" t="n">
        <v>2693</v>
      </c>
    </row>
    <row r="7600">
      <c r="A7600" t="inlineStr">
        <is>
          <t>27BBBBB07600Z5</t>
        </is>
      </c>
      <c r="B7600" t="inlineStr">
        <is>
          <t>Jan-2021</t>
        </is>
      </c>
      <c r="C7600" s="2" t="n">
        <v>44376</v>
      </c>
      <c r="D7600" t="inlineStr">
        <is>
          <t>NON-NIL</t>
        </is>
      </c>
      <c r="E7600" t="n">
        <v>1263</v>
      </c>
    </row>
    <row r="7601">
      <c r="A7601" t="inlineStr">
        <is>
          <t>27BBBBB07601Z5</t>
        </is>
      </c>
      <c r="B7601" t="inlineStr">
        <is>
          <t>Aug-2017</t>
        </is>
      </c>
      <c r="C7601" s="2" t="n">
        <v>43906</v>
      </c>
      <c r="D7601" t="inlineStr">
        <is>
          <t>NON-NIL</t>
        </is>
      </c>
      <c r="E7601" t="n">
        <v>546</v>
      </c>
    </row>
    <row r="7602">
      <c r="A7602" t="inlineStr">
        <is>
          <t>27BBBBB07602Z5</t>
        </is>
      </c>
      <c r="B7602" t="inlineStr">
        <is>
          <t>Aug-2017</t>
        </is>
      </c>
      <c r="C7602" s="2" t="n">
        <v>44348</v>
      </c>
      <c r="D7602" t="inlineStr">
        <is>
          <t>NIL</t>
        </is>
      </c>
      <c r="E7602" t="n">
        <v>2754</v>
      </c>
    </row>
    <row r="7603">
      <c r="A7603" t="inlineStr">
        <is>
          <t>27BBBBB07603Z5</t>
        </is>
      </c>
      <c r="B7603" t="inlineStr">
        <is>
          <t>Dec-2018</t>
        </is>
      </c>
      <c r="C7603" s="2" t="n">
        <v>43233</v>
      </c>
      <c r="D7603" t="inlineStr">
        <is>
          <t>NIL</t>
        </is>
      </c>
      <c r="E7603" t="n">
        <v>1972</v>
      </c>
    </row>
    <row r="7604">
      <c r="A7604" t="inlineStr">
        <is>
          <t>27BBBBB07604Z5</t>
        </is>
      </c>
      <c r="B7604" t="inlineStr">
        <is>
          <t>Apr-2018</t>
        </is>
      </c>
      <c r="C7604" s="2" t="n">
        <v>44205</v>
      </c>
      <c r="D7604" t="inlineStr">
        <is>
          <t>NON-NIL</t>
        </is>
      </c>
      <c r="E7604" t="n">
        <v>2908</v>
      </c>
    </row>
    <row r="7605">
      <c r="A7605" t="inlineStr">
        <is>
          <t>27BBBBB07605Z5</t>
        </is>
      </c>
      <c r="B7605" t="inlineStr">
        <is>
          <t>Apr-2020</t>
        </is>
      </c>
      <c r="C7605" s="2" t="n">
        <v>44667</v>
      </c>
      <c r="D7605" t="inlineStr">
        <is>
          <t>NIL</t>
        </is>
      </c>
      <c r="E7605" t="n">
        <v>1141</v>
      </c>
    </row>
    <row r="7606">
      <c r="A7606" t="inlineStr">
        <is>
          <t>27BBBBB07606Z5</t>
        </is>
      </c>
      <c r="B7606" t="inlineStr">
        <is>
          <t>Sep-2017</t>
        </is>
      </c>
      <c r="C7606" s="2" t="n">
        <v>44229</v>
      </c>
      <c r="D7606" t="inlineStr">
        <is>
          <t>NIL</t>
        </is>
      </c>
      <c r="E7606" t="n">
        <v>585</v>
      </c>
    </row>
    <row r="7607">
      <c r="A7607" t="inlineStr">
        <is>
          <t>27BBBBB07607Z5</t>
        </is>
      </c>
      <c r="B7607" t="inlineStr">
        <is>
          <t>Mar-2018</t>
        </is>
      </c>
      <c r="C7607" s="2" t="n">
        <v>43620</v>
      </c>
      <c r="D7607" t="inlineStr">
        <is>
          <t>NIL</t>
        </is>
      </c>
      <c r="E7607" t="n">
        <v>2971</v>
      </c>
    </row>
    <row r="7608">
      <c r="A7608" t="inlineStr">
        <is>
          <t>27BBBBB07608Z5</t>
        </is>
      </c>
      <c r="B7608" t="inlineStr">
        <is>
          <t>Nov-2017</t>
        </is>
      </c>
      <c r="C7608" s="2" t="n">
        <v>43408</v>
      </c>
      <c r="D7608" t="inlineStr">
        <is>
          <t>NIL</t>
        </is>
      </c>
      <c r="E7608" t="n">
        <v>1169</v>
      </c>
    </row>
    <row r="7609">
      <c r="A7609" t="inlineStr">
        <is>
          <t>27BBBBB07609Z5</t>
        </is>
      </c>
      <c r="B7609" t="inlineStr">
        <is>
          <t>Jun-2020</t>
        </is>
      </c>
      <c r="C7609" s="2" t="n">
        <v>44002</v>
      </c>
      <c r="D7609" t="inlineStr">
        <is>
          <t>NON-NIL</t>
        </is>
      </c>
      <c r="E7609" t="n">
        <v>693</v>
      </c>
    </row>
    <row r="7610">
      <c r="A7610" t="inlineStr">
        <is>
          <t>27BBBBB07610Z5</t>
        </is>
      </c>
      <c r="B7610" t="inlineStr">
        <is>
          <t>Sep-2017</t>
        </is>
      </c>
      <c r="C7610" s="2" t="n">
        <v>43636</v>
      </c>
      <c r="D7610" t="inlineStr">
        <is>
          <t>NIL</t>
        </is>
      </c>
      <c r="E7610" t="n">
        <v>1403</v>
      </c>
    </row>
    <row r="7611">
      <c r="A7611" t="inlineStr">
        <is>
          <t>27BBBBB07611Z5</t>
        </is>
      </c>
      <c r="B7611" t="inlineStr">
        <is>
          <t>Dec-2024</t>
        </is>
      </c>
      <c r="C7611" s="2" t="n">
        <v>44511</v>
      </c>
      <c r="D7611" t="inlineStr">
        <is>
          <t>NON-NIL</t>
        </is>
      </c>
      <c r="E7611" t="n">
        <v>2806</v>
      </c>
    </row>
    <row r="7612">
      <c r="A7612" t="inlineStr">
        <is>
          <t>27BBBBB07612Z5</t>
        </is>
      </c>
      <c r="B7612" t="inlineStr">
        <is>
          <t>Dec-2022</t>
        </is>
      </c>
      <c r="C7612" s="2" t="n">
        <v>43946</v>
      </c>
      <c r="D7612" t="inlineStr">
        <is>
          <t>NON-NIL</t>
        </is>
      </c>
      <c r="E7612" t="n">
        <v>897</v>
      </c>
    </row>
    <row r="7613">
      <c r="A7613" t="inlineStr">
        <is>
          <t>27BBBBB07613Z5</t>
        </is>
      </c>
      <c r="B7613" t="inlineStr">
        <is>
          <t>Apr-2018</t>
        </is>
      </c>
      <c r="C7613" s="2" t="n">
        <v>43363</v>
      </c>
      <c r="D7613" t="inlineStr">
        <is>
          <t>NIL</t>
        </is>
      </c>
      <c r="E7613" t="n">
        <v>1414</v>
      </c>
    </row>
    <row r="7614">
      <c r="A7614" t="inlineStr">
        <is>
          <t>27BBBBB07614Z5</t>
        </is>
      </c>
      <c r="B7614" t="inlineStr">
        <is>
          <t>Aug-2017</t>
        </is>
      </c>
      <c r="C7614" s="2" t="n">
        <v>43032</v>
      </c>
      <c r="D7614" t="inlineStr">
        <is>
          <t>NON-NIL</t>
        </is>
      </c>
      <c r="E7614" t="n">
        <v>2754</v>
      </c>
    </row>
    <row r="7615">
      <c r="A7615" t="inlineStr">
        <is>
          <t>27BBBBB07615Z5</t>
        </is>
      </c>
      <c r="B7615" t="inlineStr">
        <is>
          <t>Apr-2020</t>
        </is>
      </c>
      <c r="C7615" s="2" t="n">
        <v>44090</v>
      </c>
      <c r="D7615" t="inlineStr">
        <is>
          <t>NIL</t>
        </is>
      </c>
      <c r="E7615" t="n">
        <v>1428</v>
      </c>
    </row>
    <row r="7616">
      <c r="A7616" t="inlineStr">
        <is>
          <t>27BBBBB07616Z5</t>
        </is>
      </c>
      <c r="B7616" t="inlineStr">
        <is>
          <t>Sep-2017</t>
        </is>
      </c>
      <c r="C7616" s="2" t="n">
        <v>43039</v>
      </c>
      <c r="D7616" t="inlineStr">
        <is>
          <t>NIL</t>
        </is>
      </c>
      <c r="E7616" t="n">
        <v>1028</v>
      </c>
    </row>
    <row r="7617">
      <c r="A7617" t="inlineStr">
        <is>
          <t>27BBBBB07617Z5</t>
        </is>
      </c>
      <c r="B7617" t="inlineStr">
        <is>
          <t>Jul-2020</t>
        </is>
      </c>
      <c r="C7617" s="2" t="n">
        <v>43984</v>
      </c>
      <c r="D7617" t="inlineStr">
        <is>
          <t>NON-NIL</t>
        </is>
      </c>
      <c r="E7617" t="n">
        <v>2425</v>
      </c>
    </row>
    <row r="7618">
      <c r="A7618" t="inlineStr">
        <is>
          <t>27BBBBB07618Z5</t>
        </is>
      </c>
      <c r="B7618" t="inlineStr">
        <is>
          <t>Apr-2018</t>
        </is>
      </c>
      <c r="C7618" s="2" t="n">
        <v>44456</v>
      </c>
      <c r="D7618" t="inlineStr">
        <is>
          <t>NIL</t>
        </is>
      </c>
      <c r="E7618" t="n">
        <v>2941</v>
      </c>
    </row>
    <row r="7619">
      <c r="A7619" t="inlineStr">
        <is>
          <t>27BBBBB07619Z5</t>
        </is>
      </c>
      <c r="B7619" t="inlineStr">
        <is>
          <t>Dec-2018</t>
        </is>
      </c>
      <c r="C7619" s="2" t="n">
        <v>43301</v>
      </c>
      <c r="D7619" t="inlineStr">
        <is>
          <t>NON-NIL</t>
        </is>
      </c>
      <c r="E7619" t="n">
        <v>2375</v>
      </c>
    </row>
    <row r="7620">
      <c r="A7620" t="inlineStr">
        <is>
          <t>27BBBBB07620Z5</t>
        </is>
      </c>
      <c r="B7620" t="inlineStr">
        <is>
          <t>Apr-2018</t>
        </is>
      </c>
      <c r="C7620" s="2" t="n">
        <v>43228</v>
      </c>
      <c r="D7620" t="inlineStr">
        <is>
          <t>NIL</t>
        </is>
      </c>
      <c r="E7620" t="n">
        <v>1444</v>
      </c>
    </row>
    <row r="7621">
      <c r="A7621" t="inlineStr">
        <is>
          <t>27BBBBB07621Z5</t>
        </is>
      </c>
      <c r="B7621" t="inlineStr">
        <is>
          <t>Mar-2023</t>
        </is>
      </c>
      <c r="C7621" s="2" t="n">
        <v>44020</v>
      </c>
      <c r="D7621" t="inlineStr">
        <is>
          <t>NON-NIL</t>
        </is>
      </c>
      <c r="E7621" t="n">
        <v>248</v>
      </c>
    </row>
    <row r="7622">
      <c r="A7622" t="inlineStr">
        <is>
          <t>27BBBBB07622Z5</t>
        </is>
      </c>
      <c r="B7622" t="inlineStr">
        <is>
          <t>Aug-2018</t>
        </is>
      </c>
      <c r="C7622" s="2" t="n">
        <v>42939</v>
      </c>
      <c r="D7622" t="inlineStr">
        <is>
          <t>NON-NIL</t>
        </is>
      </c>
      <c r="E7622" t="n">
        <v>1975</v>
      </c>
    </row>
    <row r="7623">
      <c r="A7623" t="inlineStr">
        <is>
          <t>27BBBBB07623Z5</t>
        </is>
      </c>
      <c r="B7623" t="inlineStr">
        <is>
          <t>May-2020</t>
        </is>
      </c>
      <c r="C7623" s="2" t="n">
        <v>43983</v>
      </c>
      <c r="D7623" t="inlineStr">
        <is>
          <t>NON-NIL</t>
        </is>
      </c>
      <c r="E7623" t="n">
        <v>2459</v>
      </c>
    </row>
    <row r="7624">
      <c r="A7624" t="inlineStr">
        <is>
          <t>27BBBBB07624Z5</t>
        </is>
      </c>
      <c r="B7624" t="inlineStr">
        <is>
          <t>Mar-2023</t>
        </is>
      </c>
      <c r="C7624" s="2" t="n">
        <v>45426</v>
      </c>
      <c r="D7624" t="inlineStr">
        <is>
          <t>NON-NIL</t>
        </is>
      </c>
      <c r="E7624" t="n">
        <v>1193</v>
      </c>
    </row>
    <row r="7625">
      <c r="A7625" t="inlineStr">
        <is>
          <t>27BBBBB07625Z5</t>
        </is>
      </c>
      <c r="B7625" t="inlineStr">
        <is>
          <t>Nov-2017</t>
        </is>
      </c>
      <c r="C7625" s="2" t="n">
        <v>43391</v>
      </c>
      <c r="D7625" t="inlineStr">
        <is>
          <t>NON-NIL</t>
        </is>
      </c>
      <c r="E7625" t="n">
        <v>2511</v>
      </c>
    </row>
    <row r="7626">
      <c r="A7626" t="inlineStr">
        <is>
          <t>27BBBBB07626Z5</t>
        </is>
      </c>
      <c r="B7626" t="inlineStr">
        <is>
          <t>Oct-2017</t>
        </is>
      </c>
      <c r="C7626" s="2" t="n">
        <v>43926</v>
      </c>
      <c r="D7626" t="inlineStr">
        <is>
          <t>NIL</t>
        </is>
      </c>
      <c r="E7626" t="n">
        <v>960</v>
      </c>
    </row>
    <row r="7627">
      <c r="A7627" t="inlineStr">
        <is>
          <t>27BBBBB07627Z5</t>
        </is>
      </c>
      <c r="B7627" t="inlineStr">
        <is>
          <t>Mar-2021</t>
        </is>
      </c>
      <c r="C7627" s="2" t="n">
        <v>44005</v>
      </c>
      <c r="D7627" t="inlineStr">
        <is>
          <t>NON-NIL</t>
        </is>
      </c>
      <c r="E7627" t="n">
        <v>709</v>
      </c>
    </row>
    <row r="7628">
      <c r="A7628" t="inlineStr">
        <is>
          <t>27BBBBB07628Z5</t>
        </is>
      </c>
      <c r="B7628" t="inlineStr">
        <is>
          <t>Dec-2017</t>
        </is>
      </c>
      <c r="C7628" s="2" t="n">
        <v>43381</v>
      </c>
      <c r="D7628" t="inlineStr">
        <is>
          <t>NON-NIL</t>
        </is>
      </c>
      <c r="E7628" t="n">
        <v>284</v>
      </c>
    </row>
    <row r="7629">
      <c r="A7629" t="inlineStr">
        <is>
          <t>27BBBBB07629Z5</t>
        </is>
      </c>
      <c r="B7629" t="inlineStr">
        <is>
          <t>Sep-2018</t>
        </is>
      </c>
      <c r="C7629" s="2" t="n">
        <v>44256</v>
      </c>
      <c r="D7629" t="inlineStr">
        <is>
          <t>NON-NIL</t>
        </is>
      </c>
      <c r="E7629" t="n">
        <v>2405</v>
      </c>
    </row>
    <row r="7630">
      <c r="A7630" t="inlineStr">
        <is>
          <t>27BBBBB07630Z5</t>
        </is>
      </c>
      <c r="B7630" t="inlineStr">
        <is>
          <t>Jul-2020</t>
        </is>
      </c>
      <c r="C7630" s="2" t="n">
        <v>44142</v>
      </c>
      <c r="D7630" t="inlineStr">
        <is>
          <t>NIL</t>
        </is>
      </c>
      <c r="E7630" t="n">
        <v>2767</v>
      </c>
    </row>
    <row r="7631">
      <c r="A7631" t="inlineStr">
        <is>
          <t>27BBBBB07631Z5</t>
        </is>
      </c>
      <c r="B7631" t="inlineStr">
        <is>
          <t>Oct-2017</t>
        </is>
      </c>
      <c r="C7631" s="2" t="n">
        <v>43854</v>
      </c>
      <c r="D7631" t="inlineStr">
        <is>
          <t>NIL</t>
        </is>
      </c>
      <c r="E7631" t="n">
        <v>147</v>
      </c>
    </row>
    <row r="7632">
      <c r="A7632" t="inlineStr">
        <is>
          <t>27BBBBB07632Z5</t>
        </is>
      </c>
      <c r="B7632" t="inlineStr">
        <is>
          <t>Jun-2018</t>
        </is>
      </c>
      <c r="C7632" s="2" t="n">
        <v>43250</v>
      </c>
      <c r="D7632" t="inlineStr">
        <is>
          <t>NON-NIL</t>
        </is>
      </c>
      <c r="E7632" t="n">
        <v>1287</v>
      </c>
    </row>
    <row r="7633">
      <c r="A7633" t="inlineStr">
        <is>
          <t>27BBBBB07633Z5</t>
        </is>
      </c>
      <c r="B7633" t="inlineStr">
        <is>
          <t>Dec-2024</t>
        </is>
      </c>
      <c r="C7633" s="2" t="n">
        <v>45077</v>
      </c>
      <c r="D7633" t="inlineStr">
        <is>
          <t>NIL</t>
        </is>
      </c>
      <c r="E7633" t="n">
        <v>2544</v>
      </c>
    </row>
    <row r="7634">
      <c r="A7634" t="inlineStr">
        <is>
          <t>27BBBBB07634Z5</t>
        </is>
      </c>
      <c r="B7634" t="inlineStr">
        <is>
          <t>Jul-2017</t>
        </is>
      </c>
      <c r="C7634" s="2" t="n">
        <v>43110</v>
      </c>
      <c r="D7634" t="inlineStr">
        <is>
          <t>NIL</t>
        </is>
      </c>
      <c r="E7634" t="n">
        <v>1932</v>
      </c>
    </row>
    <row r="7635">
      <c r="A7635" t="inlineStr">
        <is>
          <t>27BBBBB07635Z5</t>
        </is>
      </c>
      <c r="B7635" t="inlineStr">
        <is>
          <t>Dec-2024</t>
        </is>
      </c>
      <c r="C7635" s="2" t="n">
        <v>43961</v>
      </c>
      <c r="D7635" t="inlineStr">
        <is>
          <t>NON-NIL</t>
        </is>
      </c>
      <c r="E7635" t="n">
        <v>696</v>
      </c>
    </row>
    <row r="7636">
      <c r="A7636" t="inlineStr">
        <is>
          <t>27BBBBB07636Z5</t>
        </is>
      </c>
      <c r="B7636" t="inlineStr">
        <is>
          <t>Mar-2023</t>
        </is>
      </c>
      <c r="C7636" s="2" t="n">
        <v>43621</v>
      </c>
      <c r="D7636" t="inlineStr">
        <is>
          <t>NON-NIL</t>
        </is>
      </c>
      <c r="E7636" t="n">
        <v>66</v>
      </c>
    </row>
    <row r="7637">
      <c r="A7637" t="inlineStr">
        <is>
          <t>27BBBBB07637Z5</t>
        </is>
      </c>
      <c r="B7637" t="inlineStr">
        <is>
          <t>Dec-2017</t>
        </is>
      </c>
      <c r="C7637" s="2" t="n">
        <v>43827</v>
      </c>
      <c r="D7637" t="inlineStr">
        <is>
          <t>NIL</t>
        </is>
      </c>
      <c r="E7637" t="n">
        <v>2633</v>
      </c>
    </row>
    <row r="7638">
      <c r="A7638" t="inlineStr">
        <is>
          <t>27BBBBB07638Z5</t>
        </is>
      </c>
      <c r="B7638" t="inlineStr">
        <is>
          <t>Mar-2020</t>
        </is>
      </c>
      <c r="C7638" s="2" t="n">
        <v>44386</v>
      </c>
      <c r="D7638" t="inlineStr">
        <is>
          <t>NIL</t>
        </is>
      </c>
      <c r="E7638" t="n">
        <v>372</v>
      </c>
    </row>
    <row r="7639">
      <c r="A7639" t="inlineStr">
        <is>
          <t>27BBBBB07639Z5</t>
        </is>
      </c>
      <c r="B7639" t="inlineStr">
        <is>
          <t>Jun-2018</t>
        </is>
      </c>
      <c r="C7639" s="2" t="n">
        <v>43265</v>
      </c>
      <c r="D7639" t="inlineStr">
        <is>
          <t>NIL</t>
        </is>
      </c>
      <c r="E7639" t="n">
        <v>378</v>
      </c>
    </row>
    <row r="7640">
      <c r="A7640" t="inlineStr">
        <is>
          <t>27BBBBB07640Z5</t>
        </is>
      </c>
      <c r="B7640" t="inlineStr">
        <is>
          <t>Mar-2021</t>
        </is>
      </c>
      <c r="C7640" s="2" t="n">
        <v>45472</v>
      </c>
      <c r="D7640" t="inlineStr">
        <is>
          <t>NIL</t>
        </is>
      </c>
      <c r="E7640" t="n">
        <v>1934</v>
      </c>
    </row>
    <row r="7641">
      <c r="A7641" t="inlineStr">
        <is>
          <t>27BBBBB07641Z5</t>
        </is>
      </c>
      <c r="B7641" t="inlineStr">
        <is>
          <t>Nov-2018</t>
        </is>
      </c>
      <c r="C7641" s="2" t="n">
        <v>43770</v>
      </c>
      <c r="D7641" t="inlineStr">
        <is>
          <t>NIL</t>
        </is>
      </c>
      <c r="E7641" t="n">
        <v>1413</v>
      </c>
    </row>
    <row r="7642">
      <c r="A7642" t="inlineStr">
        <is>
          <t>27BBBBB07642Z5</t>
        </is>
      </c>
      <c r="B7642" t="inlineStr">
        <is>
          <t>May-2020</t>
        </is>
      </c>
      <c r="C7642" s="2" t="n">
        <v>44654</v>
      </c>
      <c r="D7642" t="inlineStr">
        <is>
          <t>NIL</t>
        </is>
      </c>
      <c r="E7642" t="n">
        <v>1507</v>
      </c>
    </row>
    <row r="7643">
      <c r="A7643" t="inlineStr">
        <is>
          <t>27BBBBB07643Z5</t>
        </is>
      </c>
      <c r="B7643" t="inlineStr">
        <is>
          <t>Aug-2018</t>
        </is>
      </c>
      <c r="C7643" s="2" t="n">
        <v>43410</v>
      </c>
      <c r="D7643" t="inlineStr">
        <is>
          <t>NON-NIL</t>
        </is>
      </c>
      <c r="E7643" t="n">
        <v>2274</v>
      </c>
    </row>
    <row r="7644">
      <c r="A7644" t="inlineStr">
        <is>
          <t>27BBBBB07644Z5</t>
        </is>
      </c>
      <c r="B7644" t="inlineStr">
        <is>
          <t>Dec-2018</t>
        </is>
      </c>
      <c r="C7644" s="2" t="n">
        <v>43733</v>
      </c>
      <c r="D7644" t="inlineStr">
        <is>
          <t>NON-NIL</t>
        </is>
      </c>
      <c r="E7644" t="n">
        <v>2740</v>
      </c>
    </row>
    <row r="7645">
      <c r="A7645" t="inlineStr">
        <is>
          <t>27BBBBB07645Z5</t>
        </is>
      </c>
      <c r="B7645" t="inlineStr">
        <is>
          <t>Jul-2018</t>
        </is>
      </c>
      <c r="C7645" s="2" t="n">
        <v>44218</v>
      </c>
      <c r="D7645" t="inlineStr">
        <is>
          <t>NON-NIL</t>
        </is>
      </c>
      <c r="E7645" t="n">
        <v>2651</v>
      </c>
    </row>
    <row r="7646">
      <c r="A7646" t="inlineStr">
        <is>
          <t>27BBBBB07646Z5</t>
        </is>
      </c>
      <c r="B7646" t="inlineStr">
        <is>
          <t>Jul-2017</t>
        </is>
      </c>
      <c r="C7646" s="2" t="n">
        <v>43499</v>
      </c>
      <c r="D7646" t="inlineStr">
        <is>
          <t>NON-NIL</t>
        </is>
      </c>
      <c r="E7646" t="n">
        <v>1538</v>
      </c>
    </row>
    <row r="7647">
      <c r="A7647" t="inlineStr">
        <is>
          <t>27BBBBB07647Z5</t>
        </is>
      </c>
      <c r="B7647" t="inlineStr">
        <is>
          <t>Mar-2020</t>
        </is>
      </c>
      <c r="C7647" s="2" t="n">
        <v>44623</v>
      </c>
      <c r="D7647" t="inlineStr">
        <is>
          <t>NIL</t>
        </is>
      </c>
      <c r="E7647" t="n">
        <v>1698</v>
      </c>
    </row>
    <row r="7648">
      <c r="A7648" t="inlineStr">
        <is>
          <t>27BBBBB07648Z5</t>
        </is>
      </c>
      <c r="B7648" t="inlineStr">
        <is>
          <t>Dec-2017</t>
        </is>
      </c>
      <c r="C7648" s="2" t="n">
        <v>43977</v>
      </c>
      <c r="D7648" t="inlineStr">
        <is>
          <t>NON-NIL</t>
        </is>
      </c>
      <c r="E7648" t="n">
        <v>933</v>
      </c>
    </row>
    <row r="7649">
      <c r="A7649" t="inlineStr">
        <is>
          <t>27BBBBB07649Z5</t>
        </is>
      </c>
      <c r="B7649" t="inlineStr">
        <is>
          <t>Jul-2018</t>
        </is>
      </c>
      <c r="C7649" s="2" t="n">
        <v>44466</v>
      </c>
      <c r="D7649" t="inlineStr">
        <is>
          <t>NON-NIL</t>
        </is>
      </c>
      <c r="E7649" t="n">
        <v>1267</v>
      </c>
    </row>
    <row r="7650">
      <c r="A7650" t="inlineStr">
        <is>
          <t>27BBBBB07650Z5</t>
        </is>
      </c>
      <c r="B7650" t="inlineStr">
        <is>
          <t>Apr-2020</t>
        </is>
      </c>
      <c r="C7650" s="2" t="n">
        <v>44179</v>
      </c>
      <c r="D7650" t="inlineStr">
        <is>
          <t>NIL</t>
        </is>
      </c>
      <c r="E7650" t="n">
        <v>2165</v>
      </c>
    </row>
    <row r="7651">
      <c r="A7651" t="inlineStr">
        <is>
          <t>27BBBBB07651Z5</t>
        </is>
      </c>
      <c r="B7651" t="inlineStr">
        <is>
          <t>Oct-2018</t>
        </is>
      </c>
      <c r="C7651" s="2" t="n">
        <v>43073</v>
      </c>
      <c r="D7651" t="inlineStr">
        <is>
          <t>NIL</t>
        </is>
      </c>
      <c r="E7651" t="n">
        <v>2847</v>
      </c>
    </row>
    <row r="7652">
      <c r="A7652" t="inlineStr">
        <is>
          <t>27BBBBB07652Z5</t>
        </is>
      </c>
      <c r="B7652" t="inlineStr">
        <is>
          <t>Jan-2018</t>
        </is>
      </c>
      <c r="C7652" s="2" t="n">
        <v>44366</v>
      </c>
      <c r="D7652" t="inlineStr">
        <is>
          <t>NON-NIL</t>
        </is>
      </c>
      <c r="E7652" t="n">
        <v>956</v>
      </c>
    </row>
    <row r="7653">
      <c r="A7653" t="inlineStr">
        <is>
          <t>27BBBBB07653Z5</t>
        </is>
      </c>
      <c r="B7653" t="inlineStr">
        <is>
          <t>Jun-2018</t>
        </is>
      </c>
      <c r="C7653" s="2" t="n">
        <v>44494</v>
      </c>
      <c r="D7653" t="inlineStr">
        <is>
          <t>NON-NIL</t>
        </is>
      </c>
      <c r="E7653" t="n">
        <v>782</v>
      </c>
    </row>
    <row r="7654">
      <c r="A7654" t="inlineStr">
        <is>
          <t>27BBBBB07654Z5</t>
        </is>
      </c>
      <c r="B7654" t="inlineStr">
        <is>
          <t>Oct-2017</t>
        </is>
      </c>
      <c r="C7654" s="2" t="n">
        <v>43393</v>
      </c>
      <c r="D7654" t="inlineStr">
        <is>
          <t>NIL</t>
        </is>
      </c>
      <c r="E7654" t="n">
        <v>481</v>
      </c>
    </row>
    <row r="7655">
      <c r="A7655" t="inlineStr">
        <is>
          <t>27BBBBB07655Z5</t>
        </is>
      </c>
      <c r="B7655" t="inlineStr">
        <is>
          <t>Sep-2017</t>
        </is>
      </c>
      <c r="C7655" s="2" t="n">
        <v>44339</v>
      </c>
      <c r="D7655" t="inlineStr">
        <is>
          <t>NIL</t>
        </is>
      </c>
      <c r="E7655" t="n">
        <v>2813</v>
      </c>
    </row>
    <row r="7656">
      <c r="A7656" t="inlineStr">
        <is>
          <t>27BBBBB07656Z5</t>
        </is>
      </c>
      <c r="B7656" t="inlineStr">
        <is>
          <t>Oct-2018</t>
        </is>
      </c>
      <c r="C7656" s="2" t="n">
        <v>44443</v>
      </c>
      <c r="D7656" t="inlineStr">
        <is>
          <t>NIL</t>
        </is>
      </c>
      <c r="E7656" t="n">
        <v>1789</v>
      </c>
    </row>
    <row r="7657">
      <c r="A7657" t="inlineStr">
        <is>
          <t>27BBBBB07657Z5</t>
        </is>
      </c>
      <c r="B7657" t="inlineStr">
        <is>
          <t>Jan-2021</t>
        </is>
      </c>
      <c r="C7657" s="2" t="n">
        <v>44637</v>
      </c>
      <c r="D7657" t="inlineStr">
        <is>
          <t>NON-NIL</t>
        </is>
      </c>
      <c r="E7657" t="n">
        <v>1268</v>
      </c>
    </row>
    <row r="7658">
      <c r="A7658" t="inlineStr">
        <is>
          <t>27BBBBB07658Z5</t>
        </is>
      </c>
      <c r="B7658" t="inlineStr">
        <is>
          <t>Oct-2018</t>
        </is>
      </c>
      <c r="C7658" s="2" t="n">
        <v>43999</v>
      </c>
      <c r="D7658" t="inlineStr">
        <is>
          <t>NIL</t>
        </is>
      </c>
      <c r="E7658" t="n">
        <v>2339</v>
      </c>
    </row>
    <row r="7659">
      <c r="A7659" t="inlineStr">
        <is>
          <t>27BBBBB07659Z5</t>
        </is>
      </c>
      <c r="B7659" t="inlineStr">
        <is>
          <t>Jan-2021</t>
        </is>
      </c>
      <c r="C7659" s="2" t="n">
        <v>45787</v>
      </c>
      <c r="D7659" t="inlineStr">
        <is>
          <t>NIL</t>
        </is>
      </c>
      <c r="E7659" t="n">
        <v>1143</v>
      </c>
    </row>
    <row r="7660">
      <c r="A7660" t="inlineStr">
        <is>
          <t>27BBBBB07660Z5</t>
        </is>
      </c>
      <c r="B7660" t="inlineStr">
        <is>
          <t>Dec-2024</t>
        </is>
      </c>
      <c r="C7660" s="2" t="n">
        <v>45836</v>
      </c>
      <c r="D7660" t="inlineStr">
        <is>
          <t>NON-NIL</t>
        </is>
      </c>
      <c r="E7660" t="n">
        <v>2486</v>
      </c>
    </row>
    <row r="7661">
      <c r="A7661" t="inlineStr">
        <is>
          <t>27BBBBB07661Z5</t>
        </is>
      </c>
      <c r="B7661" t="inlineStr">
        <is>
          <t>Jul-2020</t>
        </is>
      </c>
      <c r="C7661" s="2" t="n">
        <v>44014</v>
      </c>
      <c r="D7661" t="inlineStr">
        <is>
          <t>NIL</t>
        </is>
      </c>
      <c r="E7661" t="n">
        <v>979</v>
      </c>
    </row>
    <row r="7662">
      <c r="A7662" t="inlineStr">
        <is>
          <t>27BBBBB07662Z5</t>
        </is>
      </c>
      <c r="B7662" t="inlineStr">
        <is>
          <t>Aug-2017</t>
        </is>
      </c>
      <c r="C7662" s="2" t="n">
        <v>44414</v>
      </c>
      <c r="D7662" t="inlineStr">
        <is>
          <t>NIL</t>
        </is>
      </c>
      <c r="E7662" t="n">
        <v>924</v>
      </c>
    </row>
    <row r="7663">
      <c r="A7663" t="inlineStr">
        <is>
          <t>27BBBBB07663Z5</t>
        </is>
      </c>
      <c r="B7663" t="inlineStr">
        <is>
          <t>Mar-2023</t>
        </is>
      </c>
      <c r="C7663" s="2" t="n">
        <v>45410</v>
      </c>
      <c r="D7663" t="inlineStr">
        <is>
          <t>NIL</t>
        </is>
      </c>
      <c r="E7663" t="n">
        <v>1657</v>
      </c>
    </row>
    <row r="7664">
      <c r="A7664" t="inlineStr">
        <is>
          <t>27BBBBB07664Z5</t>
        </is>
      </c>
      <c r="B7664" t="inlineStr">
        <is>
          <t>Sep-2017</t>
        </is>
      </c>
      <c r="C7664" s="2" t="n">
        <v>43968</v>
      </c>
      <c r="D7664" t="inlineStr">
        <is>
          <t>NON-NIL</t>
        </is>
      </c>
      <c r="E7664" t="n">
        <v>2933</v>
      </c>
    </row>
    <row r="7665">
      <c r="A7665" t="inlineStr">
        <is>
          <t>27BBBBB07665Z5</t>
        </is>
      </c>
      <c r="B7665" t="inlineStr">
        <is>
          <t>Jul-2017</t>
        </is>
      </c>
      <c r="C7665" s="2" t="n">
        <v>43246</v>
      </c>
      <c r="D7665" t="inlineStr">
        <is>
          <t>NON-NIL</t>
        </is>
      </c>
      <c r="E7665" t="n">
        <v>1633</v>
      </c>
    </row>
    <row r="7666">
      <c r="A7666" t="inlineStr">
        <is>
          <t>27BBBBB07666Z5</t>
        </is>
      </c>
      <c r="B7666" t="inlineStr">
        <is>
          <t>Sep-2018</t>
        </is>
      </c>
      <c r="C7666" s="2" t="n">
        <v>43024</v>
      </c>
      <c r="D7666" t="inlineStr">
        <is>
          <t>NON-NIL</t>
        </is>
      </c>
      <c r="E7666" t="n">
        <v>1054</v>
      </c>
    </row>
    <row r="7667">
      <c r="A7667" t="inlineStr">
        <is>
          <t>27BBBBB07667Z5</t>
        </is>
      </c>
      <c r="B7667" t="inlineStr">
        <is>
          <t>Apr-2018</t>
        </is>
      </c>
      <c r="C7667" s="2" t="n">
        <v>42929</v>
      </c>
      <c r="D7667" t="inlineStr">
        <is>
          <t>NIL</t>
        </is>
      </c>
      <c r="E7667" t="n">
        <v>121</v>
      </c>
    </row>
    <row r="7668">
      <c r="A7668" t="inlineStr">
        <is>
          <t>27BBBBB07668Z5</t>
        </is>
      </c>
      <c r="B7668" t="inlineStr">
        <is>
          <t>Jul-2020</t>
        </is>
      </c>
      <c r="C7668" s="2" t="n">
        <v>44486</v>
      </c>
      <c r="D7668" t="inlineStr">
        <is>
          <t>NON-NIL</t>
        </is>
      </c>
      <c r="E7668" t="n">
        <v>1802</v>
      </c>
    </row>
    <row r="7669">
      <c r="A7669" t="inlineStr">
        <is>
          <t>27BBBBB07669Z5</t>
        </is>
      </c>
      <c r="B7669" t="inlineStr">
        <is>
          <t>Aug-2018</t>
        </is>
      </c>
      <c r="C7669" s="2" t="n">
        <v>44382</v>
      </c>
      <c r="D7669" t="inlineStr">
        <is>
          <t>NIL</t>
        </is>
      </c>
      <c r="E7669" t="n">
        <v>1191</v>
      </c>
    </row>
    <row r="7670">
      <c r="A7670" t="inlineStr">
        <is>
          <t>27BBBBB07670Z5</t>
        </is>
      </c>
      <c r="B7670" t="inlineStr">
        <is>
          <t>Jul-2017</t>
        </is>
      </c>
      <c r="C7670" s="2" t="n">
        <v>43701</v>
      </c>
      <c r="D7670" t="inlineStr">
        <is>
          <t>NIL</t>
        </is>
      </c>
      <c r="E7670" t="n">
        <v>1604</v>
      </c>
    </row>
    <row r="7671">
      <c r="A7671" t="inlineStr">
        <is>
          <t>27BBBBB07671Z5</t>
        </is>
      </c>
      <c r="B7671" t="inlineStr">
        <is>
          <t>Jul-2017</t>
        </is>
      </c>
      <c r="C7671" s="2" t="n">
        <v>43006</v>
      </c>
      <c r="D7671" t="inlineStr">
        <is>
          <t>NON-NIL</t>
        </is>
      </c>
      <c r="E7671" t="n">
        <v>1164</v>
      </c>
    </row>
    <row r="7672">
      <c r="A7672" t="inlineStr">
        <is>
          <t>27BBBBB07672Z5</t>
        </is>
      </c>
      <c r="B7672" t="inlineStr">
        <is>
          <t>Nov-2017</t>
        </is>
      </c>
      <c r="C7672" s="2" t="n">
        <v>44059</v>
      </c>
      <c r="D7672" t="inlineStr">
        <is>
          <t>NON-NIL</t>
        </is>
      </c>
      <c r="E7672" t="n">
        <v>880</v>
      </c>
    </row>
    <row r="7673">
      <c r="A7673" t="inlineStr">
        <is>
          <t>27BBBBB07673Z5</t>
        </is>
      </c>
      <c r="B7673" t="inlineStr">
        <is>
          <t>Jun-2018</t>
        </is>
      </c>
      <c r="C7673" s="2" t="n">
        <v>43917</v>
      </c>
      <c r="D7673" t="inlineStr">
        <is>
          <t>NON-NIL</t>
        </is>
      </c>
      <c r="E7673" t="n">
        <v>156</v>
      </c>
    </row>
    <row r="7674">
      <c r="A7674" t="inlineStr">
        <is>
          <t>27BBBBB07674Z5</t>
        </is>
      </c>
      <c r="B7674" t="inlineStr">
        <is>
          <t>Mar-2023</t>
        </is>
      </c>
      <c r="C7674" s="2" t="n">
        <v>45749</v>
      </c>
      <c r="D7674" t="inlineStr">
        <is>
          <t>NON-NIL</t>
        </is>
      </c>
      <c r="E7674" t="n">
        <v>437</v>
      </c>
    </row>
    <row r="7675">
      <c r="A7675" t="inlineStr">
        <is>
          <t>27BBBBB07675Z5</t>
        </is>
      </c>
      <c r="B7675" t="inlineStr">
        <is>
          <t>Sep-2018</t>
        </is>
      </c>
      <c r="C7675" s="2" t="n">
        <v>43546</v>
      </c>
      <c r="D7675" t="inlineStr">
        <is>
          <t>NON-NIL</t>
        </is>
      </c>
      <c r="E7675" t="n">
        <v>1216</v>
      </c>
    </row>
    <row r="7676">
      <c r="A7676" t="inlineStr">
        <is>
          <t>27BBBBB07676Z5</t>
        </is>
      </c>
      <c r="B7676" t="inlineStr">
        <is>
          <t>Apr-2018</t>
        </is>
      </c>
      <c r="C7676" s="2" t="n">
        <v>43070</v>
      </c>
      <c r="D7676" t="inlineStr">
        <is>
          <t>NIL</t>
        </is>
      </c>
      <c r="E7676" t="n">
        <v>2158</v>
      </c>
    </row>
    <row r="7677">
      <c r="A7677" t="inlineStr">
        <is>
          <t>27BBBBB07677Z5</t>
        </is>
      </c>
      <c r="B7677" t="inlineStr">
        <is>
          <t>Dec-2018</t>
        </is>
      </c>
      <c r="C7677" s="2" t="n">
        <v>43182</v>
      </c>
      <c r="D7677" t="inlineStr">
        <is>
          <t>NON-NIL</t>
        </is>
      </c>
      <c r="E7677" t="n">
        <v>2215</v>
      </c>
    </row>
    <row r="7678">
      <c r="A7678" t="inlineStr">
        <is>
          <t>27BBBBB07678Z5</t>
        </is>
      </c>
      <c r="B7678" t="inlineStr">
        <is>
          <t>May-2020</t>
        </is>
      </c>
      <c r="C7678" s="2" t="n">
        <v>44201</v>
      </c>
      <c r="D7678" t="inlineStr">
        <is>
          <t>NIL</t>
        </is>
      </c>
      <c r="E7678" t="n">
        <v>2707</v>
      </c>
    </row>
    <row r="7679">
      <c r="A7679" t="inlineStr">
        <is>
          <t>27BBBBB07679Z5</t>
        </is>
      </c>
      <c r="B7679" t="inlineStr">
        <is>
          <t>Jun-2018</t>
        </is>
      </c>
      <c r="C7679" s="2" t="n">
        <v>43620</v>
      </c>
      <c r="D7679" t="inlineStr">
        <is>
          <t>NIL</t>
        </is>
      </c>
      <c r="E7679" t="n">
        <v>1607</v>
      </c>
    </row>
    <row r="7680">
      <c r="A7680" t="inlineStr">
        <is>
          <t>27BBBBB07680Z5</t>
        </is>
      </c>
      <c r="B7680" t="inlineStr">
        <is>
          <t>Feb-2018</t>
        </is>
      </c>
      <c r="C7680" s="2" t="n">
        <v>43858</v>
      </c>
      <c r="D7680" t="inlineStr">
        <is>
          <t>NIL</t>
        </is>
      </c>
      <c r="E7680" t="n">
        <v>1004</v>
      </c>
    </row>
    <row r="7681">
      <c r="A7681" t="inlineStr">
        <is>
          <t>27BBBBB07681Z5</t>
        </is>
      </c>
      <c r="B7681" t="inlineStr">
        <is>
          <t>Dec-2018</t>
        </is>
      </c>
      <c r="C7681" s="2" t="n">
        <v>44485</v>
      </c>
      <c r="D7681" t="inlineStr">
        <is>
          <t>NIL</t>
        </is>
      </c>
      <c r="E7681" t="n">
        <v>1570</v>
      </c>
    </row>
    <row r="7682">
      <c r="A7682" t="inlineStr">
        <is>
          <t>27BBBBB07682Z5</t>
        </is>
      </c>
      <c r="B7682" t="inlineStr">
        <is>
          <t>Mar-2021</t>
        </is>
      </c>
      <c r="C7682" s="2" t="n">
        <v>43876</v>
      </c>
      <c r="D7682" t="inlineStr">
        <is>
          <t>NON-NIL</t>
        </is>
      </c>
      <c r="E7682" t="n">
        <v>1961</v>
      </c>
    </row>
    <row r="7683">
      <c r="A7683" t="inlineStr">
        <is>
          <t>27BBBBB07683Z5</t>
        </is>
      </c>
      <c r="B7683" t="inlineStr">
        <is>
          <t>Apr-2020</t>
        </is>
      </c>
      <c r="C7683" s="2" t="n">
        <v>44880</v>
      </c>
      <c r="D7683" t="inlineStr">
        <is>
          <t>NIL</t>
        </is>
      </c>
      <c r="E7683" t="n">
        <v>1156</v>
      </c>
    </row>
    <row r="7684">
      <c r="A7684" t="inlineStr">
        <is>
          <t>27BBBBB07684Z5</t>
        </is>
      </c>
      <c r="B7684" t="inlineStr">
        <is>
          <t>Dec-2024</t>
        </is>
      </c>
      <c r="C7684" s="2" t="n">
        <v>44321</v>
      </c>
      <c r="D7684" t="inlineStr">
        <is>
          <t>NIL</t>
        </is>
      </c>
      <c r="E7684" t="n">
        <v>216</v>
      </c>
    </row>
    <row r="7685">
      <c r="A7685" t="inlineStr">
        <is>
          <t>27BBBBB07685Z5</t>
        </is>
      </c>
      <c r="B7685" t="inlineStr">
        <is>
          <t>Jul-2017</t>
        </is>
      </c>
      <c r="C7685" s="2" t="n">
        <v>43729</v>
      </c>
      <c r="D7685" t="inlineStr">
        <is>
          <t>NIL</t>
        </is>
      </c>
      <c r="E7685" t="n">
        <v>440</v>
      </c>
    </row>
    <row r="7686">
      <c r="A7686" t="inlineStr">
        <is>
          <t>27BBBBB07686Z5</t>
        </is>
      </c>
      <c r="B7686" t="inlineStr">
        <is>
          <t>Jul-2017</t>
        </is>
      </c>
      <c r="C7686" s="2" t="n">
        <v>43562</v>
      </c>
      <c r="D7686" t="inlineStr">
        <is>
          <t>NON-NIL</t>
        </is>
      </c>
      <c r="E7686" t="n">
        <v>114</v>
      </c>
    </row>
    <row r="7687">
      <c r="A7687" t="inlineStr">
        <is>
          <t>27BBBBB07687Z5</t>
        </is>
      </c>
      <c r="B7687" t="inlineStr">
        <is>
          <t>Sep-2018</t>
        </is>
      </c>
      <c r="C7687" s="2" t="n">
        <v>44518</v>
      </c>
      <c r="D7687" t="inlineStr">
        <is>
          <t>NON-NIL</t>
        </is>
      </c>
      <c r="E7687" t="n">
        <v>509</v>
      </c>
    </row>
    <row r="7688">
      <c r="A7688" t="inlineStr">
        <is>
          <t>27BBBBB07688Z5</t>
        </is>
      </c>
      <c r="B7688" t="inlineStr">
        <is>
          <t>Mar-2018</t>
        </is>
      </c>
      <c r="C7688" s="2" t="n">
        <v>42926</v>
      </c>
      <c r="D7688" t="inlineStr">
        <is>
          <t>NON-NIL</t>
        </is>
      </c>
      <c r="E7688" t="n">
        <v>2107</v>
      </c>
    </row>
    <row r="7689">
      <c r="A7689" t="inlineStr">
        <is>
          <t>27BBBBB07689Z5</t>
        </is>
      </c>
      <c r="B7689" t="inlineStr">
        <is>
          <t>Aug-2018</t>
        </is>
      </c>
      <c r="C7689" s="2" t="n">
        <v>43953</v>
      </c>
      <c r="D7689" t="inlineStr">
        <is>
          <t>NON-NIL</t>
        </is>
      </c>
      <c r="E7689" t="n">
        <v>462</v>
      </c>
    </row>
    <row r="7690">
      <c r="A7690" t="inlineStr">
        <is>
          <t>27BBBBB07690Z5</t>
        </is>
      </c>
      <c r="B7690" t="inlineStr">
        <is>
          <t>Dec-2024</t>
        </is>
      </c>
      <c r="C7690" s="2" t="n">
        <v>45242</v>
      </c>
      <c r="D7690" t="inlineStr">
        <is>
          <t>NIL</t>
        </is>
      </c>
      <c r="E7690" t="n">
        <v>1971</v>
      </c>
    </row>
    <row r="7691">
      <c r="A7691" t="inlineStr">
        <is>
          <t>27BBBBB07691Z5</t>
        </is>
      </c>
      <c r="B7691" t="inlineStr">
        <is>
          <t>Dec-2022</t>
        </is>
      </c>
      <c r="C7691" s="2" t="n">
        <v>44454</v>
      </c>
      <c r="D7691" t="inlineStr">
        <is>
          <t>NIL</t>
        </is>
      </c>
      <c r="E7691" t="n">
        <v>2278</v>
      </c>
    </row>
    <row r="7692">
      <c r="A7692" t="inlineStr">
        <is>
          <t>27BBBBB07692Z5</t>
        </is>
      </c>
      <c r="B7692" t="inlineStr">
        <is>
          <t>Nov-2017</t>
        </is>
      </c>
      <c r="C7692" s="2" t="n">
        <v>44555</v>
      </c>
      <c r="D7692" t="inlineStr">
        <is>
          <t>NIL</t>
        </is>
      </c>
      <c r="E7692" t="n">
        <v>233</v>
      </c>
    </row>
    <row r="7693">
      <c r="A7693" t="inlineStr">
        <is>
          <t>27BBBBB07693Z5</t>
        </is>
      </c>
      <c r="B7693" t="inlineStr">
        <is>
          <t>Apr-2020</t>
        </is>
      </c>
      <c r="C7693" s="2" t="n">
        <v>44203</v>
      </c>
      <c r="D7693" t="inlineStr">
        <is>
          <t>NIL</t>
        </is>
      </c>
      <c r="E7693" t="n">
        <v>188</v>
      </c>
    </row>
    <row r="7694">
      <c r="A7694" t="inlineStr">
        <is>
          <t>27BBBBB07694Z5</t>
        </is>
      </c>
      <c r="B7694" t="inlineStr">
        <is>
          <t>Apr-2020</t>
        </is>
      </c>
      <c r="C7694" s="2" t="n">
        <v>44051</v>
      </c>
      <c r="D7694" t="inlineStr">
        <is>
          <t>NIL</t>
        </is>
      </c>
      <c r="E7694" t="n">
        <v>1142</v>
      </c>
    </row>
    <row r="7695">
      <c r="A7695" t="inlineStr">
        <is>
          <t>27BBBBB07695Z5</t>
        </is>
      </c>
      <c r="B7695" t="inlineStr">
        <is>
          <t>Apr-2020</t>
        </is>
      </c>
      <c r="C7695" s="2" t="n">
        <v>44907</v>
      </c>
      <c r="D7695" t="inlineStr">
        <is>
          <t>NIL</t>
        </is>
      </c>
      <c r="E7695" t="n">
        <v>479</v>
      </c>
    </row>
    <row r="7696">
      <c r="A7696" t="inlineStr">
        <is>
          <t>27BBBBB07696Z5</t>
        </is>
      </c>
      <c r="B7696" t="inlineStr">
        <is>
          <t>Jun-2020</t>
        </is>
      </c>
      <c r="C7696" s="2" t="n">
        <v>44613</v>
      </c>
      <c r="D7696" t="inlineStr">
        <is>
          <t>NON-NIL</t>
        </is>
      </c>
      <c r="E7696" t="n">
        <v>92</v>
      </c>
    </row>
    <row r="7697">
      <c r="A7697" t="inlineStr">
        <is>
          <t>27BBBBB07697Z5</t>
        </is>
      </c>
      <c r="B7697" t="inlineStr">
        <is>
          <t>Mar-2020</t>
        </is>
      </c>
      <c r="C7697" s="2" t="n">
        <v>44878</v>
      </c>
      <c r="D7697" t="inlineStr">
        <is>
          <t>NON-NIL</t>
        </is>
      </c>
      <c r="E7697" t="n">
        <v>1895</v>
      </c>
    </row>
    <row r="7698">
      <c r="A7698" t="inlineStr">
        <is>
          <t>27BBBBB07698Z5</t>
        </is>
      </c>
      <c r="B7698" t="inlineStr">
        <is>
          <t>Apr-2020</t>
        </is>
      </c>
      <c r="C7698" s="2" t="n">
        <v>44226</v>
      </c>
      <c r="D7698" t="inlineStr">
        <is>
          <t>NIL</t>
        </is>
      </c>
      <c r="E7698" t="n">
        <v>2751</v>
      </c>
    </row>
    <row r="7699">
      <c r="A7699" t="inlineStr">
        <is>
          <t>27BBBBB07699Z5</t>
        </is>
      </c>
      <c r="B7699" t="inlineStr">
        <is>
          <t>Jul-2018</t>
        </is>
      </c>
      <c r="C7699" s="2" t="n">
        <v>43443</v>
      </c>
      <c r="D7699" t="inlineStr">
        <is>
          <t>NON-NIL</t>
        </is>
      </c>
      <c r="E7699" t="n">
        <v>2465</v>
      </c>
    </row>
    <row r="7700">
      <c r="A7700" t="inlineStr">
        <is>
          <t>27BBBBB07700Z5</t>
        </is>
      </c>
      <c r="B7700" t="inlineStr">
        <is>
          <t>Jul-2017</t>
        </is>
      </c>
      <c r="C7700" s="2" t="n">
        <v>44204</v>
      </c>
      <c r="D7700" t="inlineStr">
        <is>
          <t>NON-NIL</t>
        </is>
      </c>
      <c r="E7700" t="n">
        <v>2598</v>
      </c>
    </row>
    <row r="7701">
      <c r="A7701" t="inlineStr">
        <is>
          <t>27BBBBB07701Z5</t>
        </is>
      </c>
      <c r="B7701" t="inlineStr">
        <is>
          <t>Oct-2017</t>
        </is>
      </c>
      <c r="C7701" s="2" t="n">
        <v>42945</v>
      </c>
      <c r="D7701" t="inlineStr">
        <is>
          <t>NON-NIL</t>
        </is>
      </c>
      <c r="E7701" t="n">
        <v>145</v>
      </c>
    </row>
    <row r="7702">
      <c r="A7702" t="inlineStr">
        <is>
          <t>27BBBBB07702Z5</t>
        </is>
      </c>
      <c r="B7702" t="inlineStr">
        <is>
          <t>Feb-2018</t>
        </is>
      </c>
      <c r="C7702" s="2" t="n">
        <v>43396</v>
      </c>
      <c r="D7702" t="inlineStr">
        <is>
          <t>NIL</t>
        </is>
      </c>
      <c r="E7702" t="n">
        <v>604</v>
      </c>
    </row>
    <row r="7703">
      <c r="A7703" t="inlineStr">
        <is>
          <t>27BBBBB07703Z5</t>
        </is>
      </c>
      <c r="B7703" t="inlineStr">
        <is>
          <t>Jun-2020</t>
        </is>
      </c>
      <c r="C7703" s="2" t="n">
        <v>44260</v>
      </c>
      <c r="D7703" t="inlineStr">
        <is>
          <t>NIL</t>
        </is>
      </c>
      <c r="E7703" t="n">
        <v>748</v>
      </c>
    </row>
    <row r="7704">
      <c r="A7704" t="inlineStr">
        <is>
          <t>27BBBBB07704Z5</t>
        </is>
      </c>
      <c r="B7704" t="inlineStr">
        <is>
          <t>Feb-2018</t>
        </is>
      </c>
      <c r="C7704" s="2" t="n">
        <v>43682</v>
      </c>
      <c r="D7704" t="inlineStr">
        <is>
          <t>NIL</t>
        </is>
      </c>
      <c r="E7704" t="n">
        <v>1877</v>
      </c>
    </row>
    <row r="7705">
      <c r="A7705" t="inlineStr">
        <is>
          <t>27BBBBB07705Z5</t>
        </is>
      </c>
      <c r="B7705" t="inlineStr">
        <is>
          <t>May-2018</t>
        </is>
      </c>
      <c r="C7705" s="2" t="n">
        <v>43584</v>
      </c>
      <c r="D7705" t="inlineStr">
        <is>
          <t>NON-NIL</t>
        </is>
      </c>
      <c r="E7705" t="n">
        <v>556</v>
      </c>
    </row>
    <row r="7706">
      <c r="A7706" t="inlineStr">
        <is>
          <t>27BBBBB07706Z5</t>
        </is>
      </c>
      <c r="B7706" t="inlineStr">
        <is>
          <t>Sep-2018</t>
        </is>
      </c>
      <c r="C7706" s="2" t="n">
        <v>44334</v>
      </c>
      <c r="D7706" t="inlineStr">
        <is>
          <t>NIL</t>
        </is>
      </c>
      <c r="E7706" t="n">
        <v>1364</v>
      </c>
    </row>
    <row r="7707">
      <c r="A7707" t="inlineStr">
        <is>
          <t>27BBBBB07707Z5</t>
        </is>
      </c>
      <c r="B7707" t="inlineStr">
        <is>
          <t>Apr-2020</t>
        </is>
      </c>
      <c r="C7707" s="2" t="n">
        <v>44101</v>
      </c>
      <c r="D7707" t="inlineStr">
        <is>
          <t>NON-NIL</t>
        </is>
      </c>
      <c r="E7707" t="n">
        <v>115</v>
      </c>
    </row>
    <row r="7708">
      <c r="A7708" t="inlineStr">
        <is>
          <t>27BBBBB07708Z5</t>
        </is>
      </c>
      <c r="B7708" t="inlineStr">
        <is>
          <t>May-2020</t>
        </is>
      </c>
      <c r="C7708" s="2" t="n">
        <v>43963</v>
      </c>
      <c r="D7708" t="inlineStr">
        <is>
          <t>NON-NIL</t>
        </is>
      </c>
      <c r="E7708" t="n">
        <v>621</v>
      </c>
    </row>
    <row r="7709">
      <c r="A7709" t="inlineStr">
        <is>
          <t>27BBBBB07709Z5</t>
        </is>
      </c>
      <c r="B7709" t="inlineStr">
        <is>
          <t>Aug-2017</t>
        </is>
      </c>
      <c r="C7709" s="2" t="n">
        <v>43755</v>
      </c>
      <c r="D7709" t="inlineStr">
        <is>
          <t>NON-NIL</t>
        </is>
      </c>
      <c r="E7709" t="n">
        <v>1474</v>
      </c>
    </row>
    <row r="7710">
      <c r="A7710" t="inlineStr">
        <is>
          <t>27BBBBB07710Z5</t>
        </is>
      </c>
      <c r="B7710" t="inlineStr">
        <is>
          <t>Dec-2024</t>
        </is>
      </c>
      <c r="C7710" s="2" t="n">
        <v>45273</v>
      </c>
      <c r="D7710" t="inlineStr">
        <is>
          <t>NON-NIL</t>
        </is>
      </c>
      <c r="E7710" t="n">
        <v>1663</v>
      </c>
    </row>
    <row r="7711">
      <c r="A7711" t="inlineStr">
        <is>
          <t>27BBBBB07711Z5</t>
        </is>
      </c>
      <c r="B7711" t="inlineStr">
        <is>
          <t>Oct-2018</t>
        </is>
      </c>
      <c r="C7711" s="2" t="n">
        <v>44407</v>
      </c>
      <c r="D7711" t="inlineStr">
        <is>
          <t>NON-NIL</t>
        </is>
      </c>
      <c r="E7711" t="n">
        <v>2239</v>
      </c>
    </row>
    <row r="7712">
      <c r="A7712" t="inlineStr">
        <is>
          <t>27BBBBB07712Z5</t>
        </is>
      </c>
      <c r="B7712" t="inlineStr">
        <is>
          <t>Dec-2022</t>
        </is>
      </c>
      <c r="C7712" s="2" t="n">
        <v>45532</v>
      </c>
      <c r="D7712" t="inlineStr">
        <is>
          <t>NON-NIL</t>
        </is>
      </c>
      <c r="E7712" t="n">
        <v>503</v>
      </c>
    </row>
    <row r="7713">
      <c r="A7713" t="inlineStr">
        <is>
          <t>27BBBBB07713Z5</t>
        </is>
      </c>
      <c r="B7713" t="inlineStr">
        <is>
          <t>Jan-2018</t>
        </is>
      </c>
      <c r="C7713" s="2" t="n">
        <v>42937</v>
      </c>
      <c r="D7713" t="inlineStr">
        <is>
          <t>NON-NIL</t>
        </is>
      </c>
      <c r="E7713" t="n">
        <v>2058</v>
      </c>
    </row>
    <row r="7714">
      <c r="A7714" t="inlineStr">
        <is>
          <t>27BBBBB07714Z5</t>
        </is>
      </c>
      <c r="B7714" t="inlineStr">
        <is>
          <t>Jan-2018</t>
        </is>
      </c>
      <c r="C7714" s="2" t="n">
        <v>44151</v>
      </c>
      <c r="D7714" t="inlineStr">
        <is>
          <t>NON-NIL</t>
        </is>
      </c>
      <c r="E7714" t="n">
        <v>536</v>
      </c>
    </row>
    <row r="7715">
      <c r="A7715" t="inlineStr">
        <is>
          <t>27BBBBB07715Z5</t>
        </is>
      </c>
      <c r="B7715" t="inlineStr">
        <is>
          <t>Jul-2017</t>
        </is>
      </c>
      <c r="C7715" s="2" t="n">
        <v>42997</v>
      </c>
      <c r="D7715" t="inlineStr">
        <is>
          <t>NON-NIL</t>
        </is>
      </c>
      <c r="E7715" t="n">
        <v>2880</v>
      </c>
    </row>
    <row r="7716">
      <c r="A7716" t="inlineStr">
        <is>
          <t>27BBBBB07716Z5</t>
        </is>
      </c>
      <c r="B7716" t="inlineStr">
        <is>
          <t>Aug-2018</t>
        </is>
      </c>
      <c r="C7716" s="2" t="n">
        <v>43352</v>
      </c>
      <c r="D7716" t="inlineStr">
        <is>
          <t>NIL</t>
        </is>
      </c>
      <c r="E7716" t="n">
        <v>2528</v>
      </c>
    </row>
    <row r="7717">
      <c r="A7717" t="inlineStr">
        <is>
          <t>27BBBBB07717Z5</t>
        </is>
      </c>
      <c r="B7717" t="inlineStr">
        <is>
          <t>May-2018</t>
        </is>
      </c>
      <c r="C7717" s="2" t="n">
        <v>43792</v>
      </c>
      <c r="D7717" t="inlineStr">
        <is>
          <t>NON-NIL</t>
        </is>
      </c>
      <c r="E7717" t="n">
        <v>1449</v>
      </c>
    </row>
    <row r="7718">
      <c r="A7718" t="inlineStr">
        <is>
          <t>27BBBBB07718Z5</t>
        </is>
      </c>
      <c r="B7718" t="inlineStr">
        <is>
          <t>Sep-2018</t>
        </is>
      </c>
      <c r="C7718" s="2" t="n">
        <v>43552</v>
      </c>
      <c r="D7718" t="inlineStr">
        <is>
          <t>NIL</t>
        </is>
      </c>
      <c r="E7718" t="n">
        <v>1641</v>
      </c>
    </row>
    <row r="7719">
      <c r="A7719" t="inlineStr">
        <is>
          <t>27BBBBB07719Z5</t>
        </is>
      </c>
      <c r="B7719" t="inlineStr">
        <is>
          <t>Sep-2018</t>
        </is>
      </c>
      <c r="C7719" s="2" t="n">
        <v>44225</v>
      </c>
      <c r="D7719" t="inlineStr">
        <is>
          <t>NIL</t>
        </is>
      </c>
      <c r="E7719" t="n">
        <v>1767</v>
      </c>
    </row>
    <row r="7720">
      <c r="A7720" t="inlineStr">
        <is>
          <t>27BBBBB07720Z5</t>
        </is>
      </c>
      <c r="B7720" t="inlineStr">
        <is>
          <t>Jan-2021</t>
        </is>
      </c>
      <c r="C7720" s="2" t="n">
        <v>43734</v>
      </c>
      <c r="D7720" t="inlineStr">
        <is>
          <t>NON-NIL</t>
        </is>
      </c>
      <c r="E7720" t="n">
        <v>1466</v>
      </c>
    </row>
    <row r="7721">
      <c r="A7721" t="inlineStr">
        <is>
          <t>27BBBBB07721Z5</t>
        </is>
      </c>
      <c r="B7721" t="inlineStr">
        <is>
          <t>Jul-2017</t>
        </is>
      </c>
      <c r="C7721" s="2" t="n">
        <v>42921</v>
      </c>
      <c r="D7721" t="inlineStr">
        <is>
          <t>NIL</t>
        </is>
      </c>
      <c r="E7721" t="n">
        <v>2146</v>
      </c>
    </row>
    <row r="7722">
      <c r="A7722" t="inlineStr">
        <is>
          <t>27BBBBB07722Z5</t>
        </is>
      </c>
      <c r="B7722" t="inlineStr">
        <is>
          <t>Sep-2017</t>
        </is>
      </c>
      <c r="C7722" s="2" t="n">
        <v>44391</v>
      </c>
      <c r="D7722" t="inlineStr">
        <is>
          <t>NON-NIL</t>
        </is>
      </c>
      <c r="E7722" t="n">
        <v>2654</v>
      </c>
    </row>
    <row r="7723">
      <c r="A7723" t="inlineStr">
        <is>
          <t>27BBBBB07723Z5</t>
        </is>
      </c>
      <c r="B7723" t="inlineStr">
        <is>
          <t>Aug-2017</t>
        </is>
      </c>
      <c r="C7723" s="2" t="n">
        <v>43444</v>
      </c>
      <c r="D7723" t="inlineStr">
        <is>
          <t>NIL</t>
        </is>
      </c>
      <c r="E7723" t="n">
        <v>2286</v>
      </c>
    </row>
    <row r="7724">
      <c r="A7724" t="inlineStr">
        <is>
          <t>27BBBBB07724Z5</t>
        </is>
      </c>
      <c r="B7724" t="inlineStr">
        <is>
          <t>Dec-2018</t>
        </is>
      </c>
      <c r="C7724" s="2" t="n">
        <v>42922</v>
      </c>
      <c r="D7724" t="inlineStr">
        <is>
          <t>NIL</t>
        </is>
      </c>
      <c r="E7724" t="n">
        <v>1448</v>
      </c>
    </row>
    <row r="7725">
      <c r="A7725" t="inlineStr">
        <is>
          <t>27BBBBB07725Z5</t>
        </is>
      </c>
      <c r="B7725" t="inlineStr">
        <is>
          <t>Dec-2024</t>
        </is>
      </c>
      <c r="C7725" s="2" t="n">
        <v>44303</v>
      </c>
      <c r="D7725" t="inlineStr">
        <is>
          <t>NIL</t>
        </is>
      </c>
      <c r="E7725" t="n">
        <v>1446</v>
      </c>
    </row>
    <row r="7726">
      <c r="A7726" t="inlineStr">
        <is>
          <t>27BBBBB07726Z5</t>
        </is>
      </c>
      <c r="B7726" t="inlineStr">
        <is>
          <t>Jul-2017</t>
        </is>
      </c>
      <c r="C7726" s="2" t="n">
        <v>42938</v>
      </c>
      <c r="D7726" t="inlineStr">
        <is>
          <t>NON-NIL</t>
        </is>
      </c>
      <c r="E7726" t="n">
        <v>2841</v>
      </c>
    </row>
    <row r="7727">
      <c r="A7727" t="inlineStr">
        <is>
          <t>27BBBBB07727Z5</t>
        </is>
      </c>
      <c r="B7727" t="inlineStr">
        <is>
          <t>Dec-2018</t>
        </is>
      </c>
      <c r="C7727" s="2" t="n">
        <v>43347</v>
      </c>
      <c r="D7727" t="inlineStr">
        <is>
          <t>NON-NIL</t>
        </is>
      </c>
      <c r="E7727" t="n">
        <v>2745</v>
      </c>
    </row>
    <row r="7728">
      <c r="A7728" t="inlineStr">
        <is>
          <t>27BBBBB07728Z5</t>
        </is>
      </c>
      <c r="B7728" t="inlineStr">
        <is>
          <t>Jan-2018</t>
        </is>
      </c>
      <c r="C7728" s="2" t="n">
        <v>43536</v>
      </c>
      <c r="D7728" t="inlineStr">
        <is>
          <t>NON-NIL</t>
        </is>
      </c>
      <c r="E7728" t="n">
        <v>2673</v>
      </c>
    </row>
    <row r="7729">
      <c r="A7729" t="inlineStr">
        <is>
          <t>27BBBBB07729Z5</t>
        </is>
      </c>
      <c r="B7729" t="inlineStr">
        <is>
          <t>Dec-2018</t>
        </is>
      </c>
      <c r="C7729" s="2" t="n">
        <v>43517</v>
      </c>
      <c r="D7729" t="inlineStr">
        <is>
          <t>NIL</t>
        </is>
      </c>
      <c r="E7729" t="n">
        <v>1353</v>
      </c>
    </row>
    <row r="7730">
      <c r="A7730" t="inlineStr">
        <is>
          <t>27BBBBB07730Z5</t>
        </is>
      </c>
      <c r="B7730" t="inlineStr">
        <is>
          <t>May-2018</t>
        </is>
      </c>
      <c r="C7730" s="2" t="n">
        <v>43731</v>
      </c>
      <c r="D7730" t="inlineStr">
        <is>
          <t>NIL</t>
        </is>
      </c>
      <c r="E7730" t="n">
        <v>1128</v>
      </c>
    </row>
    <row r="7731">
      <c r="A7731" t="inlineStr">
        <is>
          <t>27BBBBB07731Z5</t>
        </is>
      </c>
      <c r="B7731" t="inlineStr">
        <is>
          <t>Sep-2017</t>
        </is>
      </c>
      <c r="C7731" s="2" t="n">
        <v>44421</v>
      </c>
      <c r="D7731" t="inlineStr">
        <is>
          <t>NON-NIL</t>
        </is>
      </c>
      <c r="E7731" t="n">
        <v>2132</v>
      </c>
    </row>
    <row r="7732">
      <c r="A7732" t="inlineStr">
        <is>
          <t>27BBBBB07732Z5</t>
        </is>
      </c>
      <c r="B7732" t="inlineStr">
        <is>
          <t>Apr-2018</t>
        </is>
      </c>
      <c r="C7732" s="2" t="n">
        <v>43364</v>
      </c>
      <c r="D7732" t="inlineStr">
        <is>
          <t>NON-NIL</t>
        </is>
      </c>
      <c r="E7732" t="n">
        <v>1597</v>
      </c>
    </row>
    <row r="7733">
      <c r="A7733" t="inlineStr">
        <is>
          <t>27BBBBB07733Z5</t>
        </is>
      </c>
      <c r="B7733" t="inlineStr">
        <is>
          <t>Jul-2017</t>
        </is>
      </c>
      <c r="C7733" s="2" t="n">
        <v>43117</v>
      </c>
      <c r="D7733" t="inlineStr">
        <is>
          <t>NIL</t>
        </is>
      </c>
      <c r="E7733" t="n">
        <v>765</v>
      </c>
    </row>
    <row r="7734">
      <c r="A7734" t="inlineStr">
        <is>
          <t>27BBBBB07734Z5</t>
        </is>
      </c>
      <c r="B7734" t="inlineStr">
        <is>
          <t>Mar-2021</t>
        </is>
      </c>
      <c r="C7734" s="2" t="n">
        <v>44936</v>
      </c>
      <c r="D7734" t="inlineStr">
        <is>
          <t>NON-NIL</t>
        </is>
      </c>
      <c r="E7734" t="n">
        <v>2782</v>
      </c>
    </row>
    <row r="7735">
      <c r="A7735" t="inlineStr">
        <is>
          <t>27BBBBB07735Z5</t>
        </is>
      </c>
      <c r="B7735" t="inlineStr">
        <is>
          <t>Mar-2020</t>
        </is>
      </c>
      <c r="C7735" s="2" t="n">
        <v>44878</v>
      </c>
      <c r="D7735" t="inlineStr">
        <is>
          <t>NIL</t>
        </is>
      </c>
      <c r="E7735" t="n">
        <v>2868</v>
      </c>
    </row>
    <row r="7736">
      <c r="A7736" t="inlineStr">
        <is>
          <t>27BBBBB07736Z5</t>
        </is>
      </c>
      <c r="B7736" t="inlineStr">
        <is>
          <t>Jul-2018</t>
        </is>
      </c>
      <c r="C7736" s="2" t="n">
        <v>44138</v>
      </c>
      <c r="D7736" t="inlineStr">
        <is>
          <t>NON-NIL</t>
        </is>
      </c>
      <c r="E7736" t="n">
        <v>2851</v>
      </c>
    </row>
    <row r="7737">
      <c r="A7737" t="inlineStr">
        <is>
          <t>27BBBBB07737Z5</t>
        </is>
      </c>
      <c r="B7737" t="inlineStr">
        <is>
          <t>Jun-2020</t>
        </is>
      </c>
      <c r="C7737" s="2" t="n">
        <v>44304</v>
      </c>
      <c r="D7737" t="inlineStr">
        <is>
          <t>NON-NIL</t>
        </is>
      </c>
      <c r="E7737" t="n">
        <v>612</v>
      </c>
    </row>
    <row r="7738">
      <c r="A7738" t="inlineStr">
        <is>
          <t>27BBBBB07738Z5</t>
        </is>
      </c>
      <c r="B7738" t="inlineStr">
        <is>
          <t>Mar-2018</t>
        </is>
      </c>
      <c r="C7738" s="2" t="n">
        <v>44297</v>
      </c>
      <c r="D7738" t="inlineStr">
        <is>
          <t>NON-NIL</t>
        </is>
      </c>
      <c r="E7738" t="n">
        <v>2429</v>
      </c>
    </row>
    <row r="7739">
      <c r="A7739" t="inlineStr">
        <is>
          <t>27BBBBB07739Z5</t>
        </is>
      </c>
      <c r="B7739" t="inlineStr">
        <is>
          <t>Jan-2018</t>
        </is>
      </c>
      <c r="C7739" s="2" t="n">
        <v>44466</v>
      </c>
      <c r="D7739" t="inlineStr">
        <is>
          <t>NON-NIL</t>
        </is>
      </c>
      <c r="E7739" t="n">
        <v>211</v>
      </c>
    </row>
    <row r="7740">
      <c r="A7740" t="inlineStr">
        <is>
          <t>27BBBBB07740Z5</t>
        </is>
      </c>
      <c r="B7740" t="inlineStr">
        <is>
          <t>Mar-2018</t>
        </is>
      </c>
      <c r="C7740" s="2" t="n">
        <v>44473</v>
      </c>
      <c r="D7740" t="inlineStr">
        <is>
          <t>NIL</t>
        </is>
      </c>
      <c r="E7740" t="n">
        <v>1343</v>
      </c>
    </row>
    <row r="7741">
      <c r="A7741" t="inlineStr">
        <is>
          <t>27BBBBB07741Z5</t>
        </is>
      </c>
      <c r="B7741" t="inlineStr">
        <is>
          <t>Mar-2020</t>
        </is>
      </c>
      <c r="C7741" s="2" t="n">
        <v>43874</v>
      </c>
      <c r="D7741" t="inlineStr">
        <is>
          <t>NON-NIL</t>
        </is>
      </c>
      <c r="E7741" t="n">
        <v>2788</v>
      </c>
    </row>
    <row r="7742">
      <c r="A7742" t="inlineStr">
        <is>
          <t>27BBBBB07742Z5</t>
        </is>
      </c>
      <c r="B7742" t="inlineStr">
        <is>
          <t>Jun-2020</t>
        </is>
      </c>
      <c r="C7742" s="2" t="n">
        <v>43845</v>
      </c>
      <c r="D7742" t="inlineStr">
        <is>
          <t>NIL</t>
        </is>
      </c>
      <c r="E7742" t="n">
        <v>2516</v>
      </c>
    </row>
    <row r="7743">
      <c r="A7743" t="inlineStr">
        <is>
          <t>27BBBBB07743Z5</t>
        </is>
      </c>
      <c r="B7743" t="inlineStr">
        <is>
          <t>Feb-2018</t>
        </is>
      </c>
      <c r="C7743" s="2" t="n">
        <v>44091</v>
      </c>
      <c r="D7743" t="inlineStr">
        <is>
          <t>NON-NIL</t>
        </is>
      </c>
      <c r="E7743" t="n">
        <v>2977</v>
      </c>
    </row>
    <row r="7744">
      <c r="A7744" t="inlineStr">
        <is>
          <t>27BBBBB07744Z5</t>
        </is>
      </c>
      <c r="B7744" t="inlineStr">
        <is>
          <t>Dec-2022</t>
        </is>
      </c>
      <c r="C7744" s="2" t="n">
        <v>45760</v>
      </c>
      <c r="D7744" t="inlineStr">
        <is>
          <t>NIL</t>
        </is>
      </c>
      <c r="E7744" t="n">
        <v>2895</v>
      </c>
    </row>
    <row r="7745">
      <c r="A7745" t="inlineStr">
        <is>
          <t>27BBBBB07745Z5</t>
        </is>
      </c>
      <c r="B7745" t="inlineStr">
        <is>
          <t>Jan-2021</t>
        </is>
      </c>
      <c r="C7745" s="2" t="n">
        <v>45550</v>
      </c>
      <c r="D7745" t="inlineStr">
        <is>
          <t>NON-NIL</t>
        </is>
      </c>
      <c r="E7745" t="n">
        <v>966</v>
      </c>
    </row>
    <row r="7746">
      <c r="A7746" t="inlineStr">
        <is>
          <t>27BBBBB07746Z5</t>
        </is>
      </c>
      <c r="B7746" t="inlineStr">
        <is>
          <t>Jul-2020</t>
        </is>
      </c>
      <c r="C7746" s="2" t="n">
        <v>44212</v>
      </c>
      <c r="D7746" t="inlineStr">
        <is>
          <t>NON-NIL</t>
        </is>
      </c>
      <c r="E7746" t="n">
        <v>1259</v>
      </c>
    </row>
    <row r="7747">
      <c r="A7747" t="inlineStr">
        <is>
          <t>27BBBBB07747Z5</t>
        </is>
      </c>
      <c r="B7747" t="inlineStr">
        <is>
          <t>Dec-2022</t>
        </is>
      </c>
      <c r="C7747" s="2" t="n">
        <v>44948</v>
      </c>
      <c r="D7747" t="inlineStr">
        <is>
          <t>NON-NIL</t>
        </is>
      </c>
      <c r="E7747" t="n">
        <v>2915</v>
      </c>
    </row>
    <row r="7748">
      <c r="A7748" t="inlineStr">
        <is>
          <t>27BBBBB07748Z5</t>
        </is>
      </c>
      <c r="B7748" t="inlineStr">
        <is>
          <t>Apr-2018</t>
        </is>
      </c>
      <c r="C7748" s="2" t="n">
        <v>43396</v>
      </c>
      <c r="D7748" t="inlineStr">
        <is>
          <t>NON-NIL</t>
        </is>
      </c>
      <c r="E7748" t="n">
        <v>2659</v>
      </c>
    </row>
    <row r="7749">
      <c r="A7749" t="inlineStr">
        <is>
          <t>27BBBBB07749Z5</t>
        </is>
      </c>
      <c r="B7749" t="inlineStr">
        <is>
          <t>Dec-2017</t>
        </is>
      </c>
      <c r="C7749" s="2" t="n">
        <v>43562</v>
      </c>
      <c r="D7749" t="inlineStr">
        <is>
          <t>NON-NIL</t>
        </is>
      </c>
      <c r="E7749" t="n">
        <v>2581</v>
      </c>
    </row>
    <row r="7750">
      <c r="A7750" t="inlineStr">
        <is>
          <t>27BBBBB07750Z5</t>
        </is>
      </c>
      <c r="B7750" t="inlineStr">
        <is>
          <t>Sep-2017</t>
        </is>
      </c>
      <c r="C7750" s="2" t="n">
        <v>43239</v>
      </c>
      <c r="D7750" t="inlineStr">
        <is>
          <t>NIL</t>
        </is>
      </c>
      <c r="E7750" t="n">
        <v>2281</v>
      </c>
    </row>
    <row r="7751">
      <c r="A7751" t="inlineStr">
        <is>
          <t>27BBBBB07751Z5</t>
        </is>
      </c>
      <c r="B7751" t="inlineStr">
        <is>
          <t>Jul-2018</t>
        </is>
      </c>
      <c r="C7751" s="2" t="n">
        <v>44470</v>
      </c>
      <c r="D7751" t="inlineStr">
        <is>
          <t>NON-NIL</t>
        </is>
      </c>
      <c r="E7751" t="n">
        <v>583</v>
      </c>
    </row>
    <row r="7752">
      <c r="A7752" t="inlineStr">
        <is>
          <t>27BBBBB07752Z5</t>
        </is>
      </c>
      <c r="B7752" t="inlineStr">
        <is>
          <t>Mar-2020</t>
        </is>
      </c>
      <c r="C7752" s="2" t="n">
        <v>44285</v>
      </c>
      <c r="D7752" t="inlineStr">
        <is>
          <t>NIL</t>
        </is>
      </c>
      <c r="E7752" t="n">
        <v>422</v>
      </c>
    </row>
    <row r="7753">
      <c r="A7753" t="inlineStr">
        <is>
          <t>27BBBBB07753Z5</t>
        </is>
      </c>
      <c r="B7753" t="inlineStr">
        <is>
          <t>Aug-2017</t>
        </is>
      </c>
      <c r="C7753" s="2" t="n">
        <v>43808</v>
      </c>
      <c r="D7753" t="inlineStr">
        <is>
          <t>NIL</t>
        </is>
      </c>
      <c r="E7753" t="n">
        <v>2206</v>
      </c>
    </row>
    <row r="7754">
      <c r="A7754" t="inlineStr">
        <is>
          <t>27BBBBB07754Z5</t>
        </is>
      </c>
      <c r="B7754" t="inlineStr">
        <is>
          <t>Jul-2018</t>
        </is>
      </c>
      <c r="C7754" s="2" t="n">
        <v>44048</v>
      </c>
      <c r="D7754" t="inlineStr">
        <is>
          <t>NON-NIL</t>
        </is>
      </c>
      <c r="E7754" t="n">
        <v>555</v>
      </c>
    </row>
    <row r="7755">
      <c r="A7755" t="inlineStr">
        <is>
          <t>27BBBBB07755Z5</t>
        </is>
      </c>
      <c r="B7755" t="inlineStr">
        <is>
          <t>Oct-2017</t>
        </is>
      </c>
      <c r="C7755" s="2" t="n">
        <v>44316</v>
      </c>
      <c r="D7755" t="inlineStr">
        <is>
          <t>NIL</t>
        </is>
      </c>
      <c r="E7755" t="n">
        <v>162</v>
      </c>
    </row>
    <row r="7756">
      <c r="A7756" t="inlineStr">
        <is>
          <t>27BBBBB07756Z5</t>
        </is>
      </c>
      <c r="B7756" t="inlineStr">
        <is>
          <t>Jul-2020</t>
        </is>
      </c>
      <c r="C7756" s="2" t="n">
        <v>44767</v>
      </c>
      <c r="D7756" t="inlineStr">
        <is>
          <t>NIL</t>
        </is>
      </c>
      <c r="E7756" t="n">
        <v>1377</v>
      </c>
    </row>
    <row r="7757">
      <c r="A7757" t="inlineStr">
        <is>
          <t>27BBBBB07757Z5</t>
        </is>
      </c>
      <c r="B7757" t="inlineStr">
        <is>
          <t>Apr-2020</t>
        </is>
      </c>
      <c r="C7757" s="2" t="n">
        <v>43897</v>
      </c>
      <c r="D7757" t="inlineStr">
        <is>
          <t>NIL</t>
        </is>
      </c>
      <c r="E7757" t="n">
        <v>828</v>
      </c>
    </row>
    <row r="7758">
      <c r="A7758" t="inlineStr">
        <is>
          <t>27BBBBB07758Z5</t>
        </is>
      </c>
      <c r="B7758" t="inlineStr">
        <is>
          <t>Dec-2017</t>
        </is>
      </c>
      <c r="C7758" s="2" t="n">
        <v>44417</v>
      </c>
      <c r="D7758" t="inlineStr">
        <is>
          <t>NON-NIL</t>
        </is>
      </c>
      <c r="E7758" t="n">
        <v>1890</v>
      </c>
    </row>
    <row r="7759">
      <c r="A7759" t="inlineStr">
        <is>
          <t>27BBBBB07759Z5</t>
        </is>
      </c>
      <c r="B7759" t="inlineStr">
        <is>
          <t>Jul-2017</t>
        </is>
      </c>
      <c r="C7759" s="2" t="n">
        <v>44240</v>
      </c>
      <c r="D7759" t="inlineStr">
        <is>
          <t>NON-NIL</t>
        </is>
      </c>
      <c r="E7759" t="n">
        <v>1175</v>
      </c>
    </row>
    <row r="7760">
      <c r="A7760" t="inlineStr">
        <is>
          <t>27BBBBB07760Z5</t>
        </is>
      </c>
      <c r="B7760" t="inlineStr">
        <is>
          <t>Dec-2022</t>
        </is>
      </c>
      <c r="C7760" s="2" t="n">
        <v>43812</v>
      </c>
      <c r="D7760" t="inlineStr">
        <is>
          <t>NON-NIL</t>
        </is>
      </c>
      <c r="E7760" t="n">
        <v>2087</v>
      </c>
    </row>
    <row r="7761">
      <c r="A7761" t="inlineStr">
        <is>
          <t>27BBBBB07761Z5</t>
        </is>
      </c>
      <c r="B7761" t="inlineStr">
        <is>
          <t>Nov-2017</t>
        </is>
      </c>
      <c r="C7761" s="2" t="n">
        <v>43221</v>
      </c>
      <c r="D7761" t="inlineStr">
        <is>
          <t>NON-NIL</t>
        </is>
      </c>
      <c r="E7761" t="n">
        <v>857</v>
      </c>
    </row>
    <row r="7762">
      <c r="A7762" t="inlineStr">
        <is>
          <t>27BBBBB07762Z5</t>
        </is>
      </c>
      <c r="B7762" t="inlineStr">
        <is>
          <t>Dec-2022</t>
        </is>
      </c>
      <c r="C7762" s="2" t="n">
        <v>43540</v>
      </c>
      <c r="D7762" t="inlineStr">
        <is>
          <t>NIL</t>
        </is>
      </c>
      <c r="E7762" t="n">
        <v>1389</v>
      </c>
    </row>
    <row r="7763">
      <c r="A7763" t="inlineStr">
        <is>
          <t>27BBBBB07763Z5</t>
        </is>
      </c>
      <c r="B7763" t="inlineStr">
        <is>
          <t>Apr-2020</t>
        </is>
      </c>
      <c r="C7763" s="2" t="n">
        <v>44495</v>
      </c>
      <c r="D7763" t="inlineStr">
        <is>
          <t>NON-NIL</t>
        </is>
      </c>
      <c r="E7763" t="n">
        <v>1334</v>
      </c>
    </row>
    <row r="7764">
      <c r="A7764" t="inlineStr">
        <is>
          <t>27BBBBB07764Z5</t>
        </is>
      </c>
      <c r="B7764" t="inlineStr">
        <is>
          <t>Sep-2018</t>
        </is>
      </c>
      <c r="C7764" s="2" t="n">
        <v>43344</v>
      </c>
      <c r="D7764" t="inlineStr">
        <is>
          <t>NIL</t>
        </is>
      </c>
      <c r="E7764" t="n">
        <v>2480</v>
      </c>
    </row>
    <row r="7765">
      <c r="A7765" t="inlineStr">
        <is>
          <t>27BBBBB07765Z5</t>
        </is>
      </c>
      <c r="B7765" t="inlineStr">
        <is>
          <t>Oct-2018</t>
        </is>
      </c>
      <c r="C7765" s="2" t="n">
        <v>43464</v>
      </c>
      <c r="D7765" t="inlineStr">
        <is>
          <t>NIL</t>
        </is>
      </c>
      <c r="E7765" t="n">
        <v>2620</v>
      </c>
    </row>
    <row r="7766">
      <c r="A7766" t="inlineStr">
        <is>
          <t>27BBBBB07766Z5</t>
        </is>
      </c>
      <c r="B7766" t="inlineStr">
        <is>
          <t>Jul-2018</t>
        </is>
      </c>
      <c r="C7766" s="2" t="n">
        <v>42932</v>
      </c>
      <c r="D7766" t="inlineStr">
        <is>
          <t>NON-NIL</t>
        </is>
      </c>
      <c r="E7766" t="n">
        <v>1453</v>
      </c>
    </row>
    <row r="7767">
      <c r="A7767" t="inlineStr">
        <is>
          <t>27BBBBB07767Z5</t>
        </is>
      </c>
      <c r="B7767" t="inlineStr">
        <is>
          <t>Aug-2017</t>
        </is>
      </c>
      <c r="C7767" s="2" t="n">
        <v>43194</v>
      </c>
      <c r="D7767" t="inlineStr">
        <is>
          <t>NON-NIL</t>
        </is>
      </c>
      <c r="E7767" t="n">
        <v>644</v>
      </c>
    </row>
    <row r="7768">
      <c r="A7768" t="inlineStr">
        <is>
          <t>27BBBBB07768Z5</t>
        </is>
      </c>
      <c r="B7768" t="inlineStr">
        <is>
          <t>Mar-2021</t>
        </is>
      </c>
      <c r="C7768" s="2" t="n">
        <v>45000</v>
      </c>
      <c r="D7768" t="inlineStr">
        <is>
          <t>NIL</t>
        </is>
      </c>
      <c r="E7768" t="n">
        <v>1088</v>
      </c>
    </row>
    <row r="7769">
      <c r="A7769" t="inlineStr">
        <is>
          <t>27BBBBB07769Z5</t>
        </is>
      </c>
      <c r="B7769" t="inlineStr">
        <is>
          <t>Mar-2021</t>
        </is>
      </c>
      <c r="C7769" s="2" t="n">
        <v>44439</v>
      </c>
      <c r="D7769" t="inlineStr">
        <is>
          <t>NON-NIL</t>
        </is>
      </c>
      <c r="E7769" t="n">
        <v>891</v>
      </c>
    </row>
    <row r="7770">
      <c r="A7770" t="inlineStr">
        <is>
          <t>27BBBBB07770Z5</t>
        </is>
      </c>
      <c r="B7770" t="inlineStr">
        <is>
          <t>Dec-2022</t>
        </is>
      </c>
      <c r="C7770" s="2" t="n">
        <v>45807</v>
      </c>
      <c r="D7770" t="inlineStr">
        <is>
          <t>NON-NIL</t>
        </is>
      </c>
      <c r="E7770" t="n">
        <v>2438</v>
      </c>
    </row>
    <row r="7771">
      <c r="A7771" t="inlineStr">
        <is>
          <t>27BBBBB07771Z5</t>
        </is>
      </c>
      <c r="B7771" t="inlineStr">
        <is>
          <t>Dec-2022</t>
        </is>
      </c>
      <c r="C7771" s="2" t="n">
        <v>44770</v>
      </c>
      <c r="D7771" t="inlineStr">
        <is>
          <t>NON-NIL</t>
        </is>
      </c>
      <c r="E7771" t="n">
        <v>2466</v>
      </c>
    </row>
    <row r="7772">
      <c r="A7772" t="inlineStr">
        <is>
          <t>27BBBBB07772Z5</t>
        </is>
      </c>
      <c r="B7772" t="inlineStr">
        <is>
          <t>Mar-2023</t>
        </is>
      </c>
      <c r="C7772" s="2" t="n">
        <v>43964</v>
      </c>
      <c r="D7772" t="inlineStr">
        <is>
          <t>NON-NIL</t>
        </is>
      </c>
      <c r="E7772" t="n">
        <v>662</v>
      </c>
    </row>
    <row r="7773">
      <c r="A7773" t="inlineStr">
        <is>
          <t>27BBBBB07773Z5</t>
        </is>
      </c>
      <c r="B7773" t="inlineStr">
        <is>
          <t>Jul-2017</t>
        </is>
      </c>
      <c r="C7773" s="2" t="n">
        <v>43882</v>
      </c>
      <c r="D7773" t="inlineStr">
        <is>
          <t>NIL</t>
        </is>
      </c>
      <c r="E7773" t="n">
        <v>1012</v>
      </c>
    </row>
    <row r="7774">
      <c r="A7774" t="inlineStr">
        <is>
          <t>27BBBBB07774Z5</t>
        </is>
      </c>
      <c r="B7774" t="inlineStr">
        <is>
          <t>Aug-2018</t>
        </is>
      </c>
      <c r="C7774" s="2" t="n">
        <v>44355</v>
      </c>
      <c r="D7774" t="inlineStr">
        <is>
          <t>NON-NIL</t>
        </is>
      </c>
      <c r="E7774" t="n">
        <v>2532</v>
      </c>
    </row>
    <row r="7775">
      <c r="A7775" t="inlineStr">
        <is>
          <t>27BBBBB07775Z5</t>
        </is>
      </c>
      <c r="B7775" t="inlineStr">
        <is>
          <t>Dec-2018</t>
        </is>
      </c>
      <c r="C7775" s="2" t="n">
        <v>44523</v>
      </c>
      <c r="D7775" t="inlineStr">
        <is>
          <t>NIL</t>
        </is>
      </c>
      <c r="E7775" t="n">
        <v>1942</v>
      </c>
    </row>
    <row r="7776">
      <c r="A7776" t="inlineStr">
        <is>
          <t>27BBBBB07776Z5</t>
        </is>
      </c>
      <c r="B7776" t="inlineStr">
        <is>
          <t>Jan-2018</t>
        </is>
      </c>
      <c r="C7776" s="2" t="n">
        <v>43713</v>
      </c>
      <c r="D7776" t="inlineStr">
        <is>
          <t>NIL</t>
        </is>
      </c>
      <c r="E7776" t="n">
        <v>196</v>
      </c>
    </row>
    <row r="7777">
      <c r="A7777" t="inlineStr">
        <is>
          <t>27BBBBB07777Z5</t>
        </is>
      </c>
      <c r="B7777" t="inlineStr">
        <is>
          <t>Oct-2017</t>
        </is>
      </c>
      <c r="C7777" s="2" t="n">
        <v>43623</v>
      </c>
      <c r="D7777" t="inlineStr">
        <is>
          <t>NIL</t>
        </is>
      </c>
      <c r="E7777" t="n">
        <v>1932</v>
      </c>
    </row>
    <row r="7778">
      <c r="A7778" t="inlineStr">
        <is>
          <t>27BBBBB07778Z5</t>
        </is>
      </c>
      <c r="B7778" t="inlineStr">
        <is>
          <t>Oct-2018</t>
        </is>
      </c>
      <c r="C7778" s="2" t="n">
        <v>43328</v>
      </c>
      <c r="D7778" t="inlineStr">
        <is>
          <t>NON-NIL</t>
        </is>
      </c>
      <c r="E7778" t="n">
        <v>1158</v>
      </c>
    </row>
    <row r="7779">
      <c r="A7779" t="inlineStr">
        <is>
          <t>27BBBBB07779Z5</t>
        </is>
      </c>
      <c r="B7779" t="inlineStr">
        <is>
          <t>Jul-2020</t>
        </is>
      </c>
      <c r="C7779" s="2" t="n">
        <v>44021</v>
      </c>
      <c r="D7779" t="inlineStr">
        <is>
          <t>NIL</t>
        </is>
      </c>
      <c r="E7779" t="n">
        <v>2177</v>
      </c>
    </row>
    <row r="7780">
      <c r="A7780" t="inlineStr">
        <is>
          <t>27BBBBB07780Z5</t>
        </is>
      </c>
      <c r="B7780" t="inlineStr">
        <is>
          <t>Apr-2018</t>
        </is>
      </c>
      <c r="C7780" s="2" t="n">
        <v>43480</v>
      </c>
      <c r="D7780" t="inlineStr">
        <is>
          <t>NON-NIL</t>
        </is>
      </c>
      <c r="E7780" t="n">
        <v>2186</v>
      </c>
    </row>
    <row r="7781">
      <c r="A7781" t="inlineStr">
        <is>
          <t>27BBBBB07781Z5</t>
        </is>
      </c>
      <c r="B7781" t="inlineStr">
        <is>
          <t>Mar-2020</t>
        </is>
      </c>
      <c r="C7781" s="2" t="n">
        <v>43865</v>
      </c>
      <c r="D7781" t="inlineStr">
        <is>
          <t>NON-NIL</t>
        </is>
      </c>
      <c r="E7781" t="n">
        <v>614</v>
      </c>
    </row>
    <row r="7782">
      <c r="A7782" t="inlineStr">
        <is>
          <t>27BBBBB07782Z5</t>
        </is>
      </c>
      <c r="B7782" t="inlineStr">
        <is>
          <t>Mar-2020</t>
        </is>
      </c>
      <c r="C7782" s="2" t="n">
        <v>44037</v>
      </c>
      <c r="D7782" t="inlineStr">
        <is>
          <t>NON-NIL</t>
        </is>
      </c>
      <c r="E7782" t="n">
        <v>1185</v>
      </c>
    </row>
    <row r="7783">
      <c r="A7783" t="inlineStr">
        <is>
          <t>27BBBBB07783Z5</t>
        </is>
      </c>
      <c r="B7783" t="inlineStr">
        <is>
          <t>Aug-2017</t>
        </is>
      </c>
      <c r="C7783" s="2" t="n">
        <v>44082</v>
      </c>
      <c r="D7783" t="inlineStr">
        <is>
          <t>NIL</t>
        </is>
      </c>
      <c r="E7783" t="n">
        <v>250</v>
      </c>
    </row>
    <row r="7784">
      <c r="A7784" t="inlineStr">
        <is>
          <t>27BBBBB07784Z5</t>
        </is>
      </c>
      <c r="B7784" t="inlineStr">
        <is>
          <t>Dec-2024</t>
        </is>
      </c>
      <c r="C7784" s="2" t="n">
        <v>44153</v>
      </c>
      <c r="D7784" t="inlineStr">
        <is>
          <t>NON-NIL</t>
        </is>
      </c>
      <c r="E7784" t="n">
        <v>1316</v>
      </c>
    </row>
    <row r="7785">
      <c r="A7785" t="inlineStr">
        <is>
          <t>27BBBBB07785Z5</t>
        </is>
      </c>
      <c r="B7785" t="inlineStr">
        <is>
          <t>Nov-2018</t>
        </is>
      </c>
      <c r="C7785" s="2" t="n">
        <v>43852</v>
      </c>
      <c r="D7785" t="inlineStr">
        <is>
          <t>NIL</t>
        </is>
      </c>
      <c r="E7785" t="n">
        <v>1327</v>
      </c>
    </row>
    <row r="7786">
      <c r="A7786" t="inlineStr">
        <is>
          <t>27BBBBB07786Z5</t>
        </is>
      </c>
      <c r="B7786" t="inlineStr">
        <is>
          <t>Dec-2024</t>
        </is>
      </c>
      <c r="C7786" s="2" t="n">
        <v>45364</v>
      </c>
      <c r="D7786" t="inlineStr">
        <is>
          <t>NIL</t>
        </is>
      </c>
      <c r="E7786" t="n">
        <v>448</v>
      </c>
    </row>
    <row r="7787">
      <c r="A7787" t="inlineStr">
        <is>
          <t>27BBBBB07787Z5</t>
        </is>
      </c>
      <c r="B7787" t="inlineStr">
        <is>
          <t>Jan-2018</t>
        </is>
      </c>
      <c r="C7787" s="2" t="n">
        <v>42962</v>
      </c>
      <c r="D7787" t="inlineStr">
        <is>
          <t>NIL</t>
        </is>
      </c>
      <c r="E7787" t="n">
        <v>641</v>
      </c>
    </row>
    <row r="7788">
      <c r="A7788" t="inlineStr">
        <is>
          <t>27BBBBB07788Z5</t>
        </is>
      </c>
      <c r="B7788" t="inlineStr">
        <is>
          <t>Dec-2024</t>
        </is>
      </c>
      <c r="C7788" s="2" t="n">
        <v>43593</v>
      </c>
      <c r="D7788" t="inlineStr">
        <is>
          <t>NIL</t>
        </is>
      </c>
      <c r="E7788" t="n">
        <v>1854</v>
      </c>
    </row>
    <row r="7789">
      <c r="A7789" t="inlineStr">
        <is>
          <t>27BBBBB07789Z5</t>
        </is>
      </c>
      <c r="B7789" t="inlineStr">
        <is>
          <t>Mar-2021</t>
        </is>
      </c>
      <c r="C7789" s="2" t="n">
        <v>44473</v>
      </c>
      <c r="D7789" t="inlineStr">
        <is>
          <t>NON-NIL</t>
        </is>
      </c>
      <c r="E7789" t="n">
        <v>1234</v>
      </c>
    </row>
    <row r="7790">
      <c r="A7790" t="inlineStr">
        <is>
          <t>27BBBBB07790Z5</t>
        </is>
      </c>
      <c r="B7790" t="inlineStr">
        <is>
          <t>Aug-2017</t>
        </is>
      </c>
      <c r="C7790" s="2" t="n">
        <v>44517</v>
      </c>
      <c r="D7790" t="inlineStr">
        <is>
          <t>NON-NIL</t>
        </is>
      </c>
      <c r="E7790" t="n">
        <v>2621</v>
      </c>
    </row>
    <row r="7791">
      <c r="A7791" t="inlineStr">
        <is>
          <t>27BBBBB07791Z5</t>
        </is>
      </c>
      <c r="B7791" t="inlineStr">
        <is>
          <t>Feb-2018</t>
        </is>
      </c>
      <c r="C7791" s="2" t="n">
        <v>43328</v>
      </c>
      <c r="D7791" t="inlineStr">
        <is>
          <t>NON-NIL</t>
        </is>
      </c>
      <c r="E7791" t="n">
        <v>0</v>
      </c>
    </row>
    <row r="7792">
      <c r="A7792" t="inlineStr">
        <is>
          <t>27BBBBB07792Z5</t>
        </is>
      </c>
      <c r="B7792" t="inlineStr">
        <is>
          <t>Dec-2022</t>
        </is>
      </c>
      <c r="C7792" s="2" t="n">
        <v>43858</v>
      </c>
      <c r="D7792" t="inlineStr">
        <is>
          <t>NON-NIL</t>
        </is>
      </c>
      <c r="E7792" t="n">
        <v>1138</v>
      </c>
    </row>
    <row r="7793">
      <c r="A7793" t="inlineStr">
        <is>
          <t>27BBBBB07793Z5</t>
        </is>
      </c>
      <c r="B7793" t="inlineStr">
        <is>
          <t>Dec-2022</t>
        </is>
      </c>
      <c r="C7793" s="2" t="n">
        <v>45350</v>
      </c>
      <c r="D7793" t="inlineStr">
        <is>
          <t>NON-NIL</t>
        </is>
      </c>
      <c r="E7793" t="n">
        <v>2721</v>
      </c>
    </row>
    <row r="7794">
      <c r="A7794" t="inlineStr">
        <is>
          <t>27BBBBB07794Z5</t>
        </is>
      </c>
      <c r="B7794" t="inlineStr">
        <is>
          <t>Aug-2017</t>
        </is>
      </c>
      <c r="C7794" s="2" t="n">
        <v>44371</v>
      </c>
      <c r="D7794" t="inlineStr">
        <is>
          <t>NON-NIL</t>
        </is>
      </c>
      <c r="E7794" t="n">
        <v>128</v>
      </c>
    </row>
    <row r="7795">
      <c r="A7795" t="inlineStr">
        <is>
          <t>27BBBBB07795Z5</t>
        </is>
      </c>
      <c r="B7795" t="inlineStr">
        <is>
          <t>Apr-2020</t>
        </is>
      </c>
      <c r="C7795" s="2" t="n">
        <v>44299</v>
      </c>
      <c r="D7795" t="inlineStr">
        <is>
          <t>NIL</t>
        </is>
      </c>
      <c r="E7795" t="n">
        <v>2045</v>
      </c>
    </row>
    <row r="7796">
      <c r="A7796" t="inlineStr">
        <is>
          <t>27BBBBB07796Z5</t>
        </is>
      </c>
      <c r="B7796" t="inlineStr">
        <is>
          <t>Sep-2017</t>
        </is>
      </c>
      <c r="C7796" s="2" t="n">
        <v>44187</v>
      </c>
      <c r="D7796" t="inlineStr">
        <is>
          <t>NON-NIL</t>
        </is>
      </c>
      <c r="E7796" t="n">
        <v>1446</v>
      </c>
    </row>
    <row r="7797">
      <c r="A7797" t="inlineStr">
        <is>
          <t>27BBBBB07797Z5</t>
        </is>
      </c>
      <c r="B7797" t="inlineStr">
        <is>
          <t>Nov-2018</t>
        </is>
      </c>
      <c r="C7797" s="2" t="n">
        <v>43571</v>
      </c>
      <c r="D7797" t="inlineStr">
        <is>
          <t>NIL</t>
        </is>
      </c>
      <c r="E7797" t="n">
        <v>86</v>
      </c>
    </row>
    <row r="7798">
      <c r="A7798" t="inlineStr">
        <is>
          <t>27BBBBB07798Z5</t>
        </is>
      </c>
      <c r="B7798" t="inlineStr">
        <is>
          <t>Nov-2017</t>
        </is>
      </c>
      <c r="C7798" s="2" t="n">
        <v>44371</v>
      </c>
      <c r="D7798" t="inlineStr">
        <is>
          <t>NIL</t>
        </is>
      </c>
      <c r="E7798" t="n">
        <v>1183</v>
      </c>
    </row>
    <row r="7799">
      <c r="A7799" t="inlineStr">
        <is>
          <t>27BBBBB07799Z5</t>
        </is>
      </c>
      <c r="B7799" t="inlineStr">
        <is>
          <t>Jul-2018</t>
        </is>
      </c>
      <c r="C7799" s="2" t="n">
        <v>43577</v>
      </c>
      <c r="D7799" t="inlineStr">
        <is>
          <t>NON-NIL</t>
        </is>
      </c>
      <c r="E7799" t="n">
        <v>2202</v>
      </c>
    </row>
    <row r="7800">
      <c r="A7800" t="inlineStr">
        <is>
          <t>27BBBBB07800Z5</t>
        </is>
      </c>
      <c r="B7800" t="inlineStr">
        <is>
          <t>Oct-2017</t>
        </is>
      </c>
      <c r="C7800" s="2" t="n">
        <v>44071</v>
      </c>
      <c r="D7800" t="inlineStr">
        <is>
          <t>NIL</t>
        </is>
      </c>
      <c r="E7800" t="n">
        <v>710</v>
      </c>
    </row>
    <row r="7801">
      <c r="A7801" t="inlineStr">
        <is>
          <t>27BBBBB07801Z5</t>
        </is>
      </c>
      <c r="B7801" t="inlineStr">
        <is>
          <t>Dec-2022</t>
        </is>
      </c>
      <c r="C7801" s="2" t="n">
        <v>44149</v>
      </c>
      <c r="D7801" t="inlineStr">
        <is>
          <t>NIL</t>
        </is>
      </c>
      <c r="E7801" t="n">
        <v>1603</v>
      </c>
    </row>
    <row r="7802">
      <c r="A7802" t="inlineStr">
        <is>
          <t>27BBBBB07802Z5</t>
        </is>
      </c>
      <c r="B7802" t="inlineStr">
        <is>
          <t>Sep-2017</t>
        </is>
      </c>
      <c r="C7802" s="2" t="n">
        <v>43639</v>
      </c>
      <c r="D7802" t="inlineStr">
        <is>
          <t>NIL</t>
        </is>
      </c>
      <c r="E7802" t="n">
        <v>2803</v>
      </c>
    </row>
    <row r="7803">
      <c r="A7803" t="inlineStr">
        <is>
          <t>27BBBBB07803Z5</t>
        </is>
      </c>
      <c r="B7803" t="inlineStr">
        <is>
          <t>May-2018</t>
        </is>
      </c>
      <c r="C7803" s="2" t="n">
        <v>42977</v>
      </c>
      <c r="D7803" t="inlineStr">
        <is>
          <t>NIL</t>
        </is>
      </c>
      <c r="E7803" t="n">
        <v>2456</v>
      </c>
    </row>
    <row r="7804">
      <c r="A7804" t="inlineStr">
        <is>
          <t>27BBBBB07804Z5</t>
        </is>
      </c>
      <c r="B7804" t="inlineStr">
        <is>
          <t>Dec-2022</t>
        </is>
      </c>
      <c r="C7804" s="2" t="n">
        <v>43789</v>
      </c>
      <c r="D7804" t="inlineStr">
        <is>
          <t>NON-NIL</t>
        </is>
      </c>
      <c r="E7804" t="n">
        <v>1975</v>
      </c>
    </row>
    <row r="7805">
      <c r="A7805" t="inlineStr">
        <is>
          <t>27BBBBB07805Z5</t>
        </is>
      </c>
      <c r="B7805" t="inlineStr">
        <is>
          <t>Apr-2020</t>
        </is>
      </c>
      <c r="C7805" s="2" t="n">
        <v>44875</v>
      </c>
      <c r="D7805" t="inlineStr">
        <is>
          <t>NON-NIL</t>
        </is>
      </c>
      <c r="E7805" t="n">
        <v>2310</v>
      </c>
    </row>
    <row r="7806">
      <c r="A7806" t="inlineStr">
        <is>
          <t>27BBBBB07806Z5</t>
        </is>
      </c>
      <c r="B7806" t="inlineStr">
        <is>
          <t>May-2018</t>
        </is>
      </c>
      <c r="C7806" s="2" t="n">
        <v>42959</v>
      </c>
      <c r="D7806" t="inlineStr">
        <is>
          <t>NON-NIL</t>
        </is>
      </c>
      <c r="E7806" t="n">
        <v>1909</v>
      </c>
    </row>
    <row r="7807">
      <c r="A7807" t="inlineStr">
        <is>
          <t>27BBBBB07807Z5</t>
        </is>
      </c>
      <c r="B7807" t="inlineStr">
        <is>
          <t>May-2020</t>
        </is>
      </c>
      <c r="C7807" s="2" t="n">
        <v>43895</v>
      </c>
      <c r="D7807" t="inlineStr">
        <is>
          <t>NIL</t>
        </is>
      </c>
      <c r="E7807" t="n">
        <v>1639</v>
      </c>
    </row>
    <row r="7808">
      <c r="A7808" t="inlineStr">
        <is>
          <t>27BBBBB07808Z5</t>
        </is>
      </c>
      <c r="B7808" t="inlineStr">
        <is>
          <t>Dec-2017</t>
        </is>
      </c>
      <c r="C7808" s="2" t="n">
        <v>43204</v>
      </c>
      <c r="D7808" t="inlineStr">
        <is>
          <t>NON-NIL</t>
        </is>
      </c>
      <c r="E7808" t="n">
        <v>180</v>
      </c>
    </row>
    <row r="7809">
      <c r="A7809" t="inlineStr">
        <is>
          <t>27BBBBB07809Z5</t>
        </is>
      </c>
      <c r="B7809" t="inlineStr">
        <is>
          <t>Sep-2017</t>
        </is>
      </c>
      <c r="C7809" s="2" t="n">
        <v>43841</v>
      </c>
      <c r="D7809" t="inlineStr">
        <is>
          <t>NON-NIL</t>
        </is>
      </c>
      <c r="E7809" t="n">
        <v>1364</v>
      </c>
    </row>
    <row r="7810">
      <c r="A7810" t="inlineStr">
        <is>
          <t>27BBBBB07810Z5</t>
        </is>
      </c>
      <c r="B7810" t="inlineStr">
        <is>
          <t>Apr-2020</t>
        </is>
      </c>
      <c r="C7810" s="2" t="n">
        <v>43990</v>
      </c>
      <c r="D7810" t="inlineStr">
        <is>
          <t>NON-NIL</t>
        </is>
      </c>
      <c r="E7810" t="n">
        <v>2808</v>
      </c>
    </row>
    <row r="7811">
      <c r="A7811" t="inlineStr">
        <is>
          <t>27BBBBB07811Z5</t>
        </is>
      </c>
      <c r="B7811" t="inlineStr">
        <is>
          <t>Apr-2018</t>
        </is>
      </c>
      <c r="C7811" s="2" t="n">
        <v>44561</v>
      </c>
      <c r="D7811" t="inlineStr">
        <is>
          <t>NIL</t>
        </is>
      </c>
      <c r="E7811" t="n">
        <v>2458</v>
      </c>
    </row>
    <row r="7812">
      <c r="A7812" t="inlineStr">
        <is>
          <t>27BBBBB07812Z5</t>
        </is>
      </c>
      <c r="B7812" t="inlineStr">
        <is>
          <t>Dec-2017</t>
        </is>
      </c>
      <c r="C7812" s="2" t="n">
        <v>43324</v>
      </c>
      <c r="D7812" t="inlineStr">
        <is>
          <t>NIL</t>
        </is>
      </c>
      <c r="E7812" t="n">
        <v>1674</v>
      </c>
    </row>
    <row r="7813">
      <c r="A7813" t="inlineStr">
        <is>
          <t>27BBBBB07813Z5</t>
        </is>
      </c>
      <c r="B7813" t="inlineStr">
        <is>
          <t>Jul-2017</t>
        </is>
      </c>
      <c r="C7813" s="2" t="n">
        <v>44351</v>
      </c>
      <c r="D7813" t="inlineStr">
        <is>
          <t>NON-NIL</t>
        </is>
      </c>
      <c r="E7813" t="n">
        <v>2626</v>
      </c>
    </row>
    <row r="7814">
      <c r="A7814" t="inlineStr">
        <is>
          <t>27BBBBB07814Z5</t>
        </is>
      </c>
      <c r="B7814" t="inlineStr">
        <is>
          <t>Mar-2018</t>
        </is>
      </c>
      <c r="C7814" s="2" t="n">
        <v>43909</v>
      </c>
      <c r="D7814" t="inlineStr">
        <is>
          <t>NIL</t>
        </is>
      </c>
      <c r="E7814" t="n">
        <v>1900</v>
      </c>
    </row>
    <row r="7815">
      <c r="A7815" t="inlineStr">
        <is>
          <t>27BBBBB07815Z5</t>
        </is>
      </c>
      <c r="B7815" t="inlineStr">
        <is>
          <t>Jan-2021</t>
        </is>
      </c>
      <c r="C7815" s="2" t="n">
        <v>43543</v>
      </c>
      <c r="D7815" t="inlineStr">
        <is>
          <t>NON-NIL</t>
        </is>
      </c>
      <c r="E7815" t="n">
        <v>1774</v>
      </c>
    </row>
    <row r="7816">
      <c r="A7816" t="inlineStr">
        <is>
          <t>27BBBBB07816Z5</t>
        </is>
      </c>
      <c r="B7816" t="inlineStr">
        <is>
          <t>Aug-2017</t>
        </is>
      </c>
      <c r="C7816" s="2" t="n">
        <v>44406</v>
      </c>
      <c r="D7816" t="inlineStr">
        <is>
          <t>NON-NIL</t>
        </is>
      </c>
      <c r="E7816" t="n">
        <v>2019</v>
      </c>
    </row>
    <row r="7817">
      <c r="A7817" t="inlineStr">
        <is>
          <t>27BBBBB07817Z5</t>
        </is>
      </c>
      <c r="B7817" t="inlineStr">
        <is>
          <t>Apr-2020</t>
        </is>
      </c>
      <c r="C7817" s="2" t="n">
        <v>44609</v>
      </c>
      <c r="D7817" t="inlineStr">
        <is>
          <t>NON-NIL</t>
        </is>
      </c>
      <c r="E7817" t="n">
        <v>524</v>
      </c>
    </row>
    <row r="7818">
      <c r="A7818" t="inlineStr">
        <is>
          <t>27BBBBB07818Z5</t>
        </is>
      </c>
      <c r="B7818" t="inlineStr">
        <is>
          <t>Oct-2018</t>
        </is>
      </c>
      <c r="C7818" s="2" t="n">
        <v>43338</v>
      </c>
      <c r="D7818" t="inlineStr">
        <is>
          <t>NIL</t>
        </is>
      </c>
      <c r="E7818" t="n">
        <v>289</v>
      </c>
    </row>
    <row r="7819">
      <c r="A7819" t="inlineStr">
        <is>
          <t>27BBBBB07819Z5</t>
        </is>
      </c>
      <c r="B7819" t="inlineStr">
        <is>
          <t>Jan-2021</t>
        </is>
      </c>
      <c r="C7819" s="2" t="n">
        <v>43857</v>
      </c>
      <c r="D7819" t="inlineStr">
        <is>
          <t>NIL</t>
        </is>
      </c>
      <c r="E7819" t="n">
        <v>2996</v>
      </c>
    </row>
    <row r="7820">
      <c r="A7820" t="inlineStr">
        <is>
          <t>27BBBBB07820Z5</t>
        </is>
      </c>
      <c r="B7820" t="inlineStr">
        <is>
          <t>Dec-2024</t>
        </is>
      </c>
      <c r="C7820" s="2" t="n">
        <v>44798</v>
      </c>
      <c r="D7820" t="inlineStr">
        <is>
          <t>NIL</t>
        </is>
      </c>
      <c r="E7820" t="n">
        <v>570</v>
      </c>
    </row>
    <row r="7821">
      <c r="A7821" t="inlineStr">
        <is>
          <t>27BBBBB07821Z5</t>
        </is>
      </c>
      <c r="B7821" t="inlineStr">
        <is>
          <t>Mar-2023</t>
        </is>
      </c>
      <c r="C7821" s="2" t="n">
        <v>43816</v>
      </c>
      <c r="D7821" t="inlineStr">
        <is>
          <t>NON-NIL</t>
        </is>
      </c>
      <c r="E7821" t="n">
        <v>34</v>
      </c>
    </row>
    <row r="7822">
      <c r="A7822" t="inlineStr">
        <is>
          <t>27BBBBB07822Z5</t>
        </is>
      </c>
      <c r="B7822" t="inlineStr">
        <is>
          <t>Oct-2017</t>
        </is>
      </c>
      <c r="C7822" s="2" t="n">
        <v>43801</v>
      </c>
      <c r="D7822" t="inlineStr">
        <is>
          <t>NIL</t>
        </is>
      </c>
      <c r="E7822" t="n">
        <v>2799</v>
      </c>
    </row>
    <row r="7823">
      <c r="A7823" t="inlineStr">
        <is>
          <t>27BBBBB07823Z5</t>
        </is>
      </c>
      <c r="B7823" t="inlineStr">
        <is>
          <t>Apr-2018</t>
        </is>
      </c>
      <c r="C7823" s="2" t="n">
        <v>44318</v>
      </c>
      <c r="D7823" t="inlineStr">
        <is>
          <t>NON-NIL</t>
        </is>
      </c>
      <c r="E7823" t="n">
        <v>1100</v>
      </c>
    </row>
    <row r="7824">
      <c r="A7824" t="inlineStr">
        <is>
          <t>27BBBBB07824Z5</t>
        </is>
      </c>
      <c r="B7824" t="inlineStr">
        <is>
          <t>Jun-2018</t>
        </is>
      </c>
      <c r="C7824" s="2" t="n">
        <v>43061</v>
      </c>
      <c r="D7824" t="inlineStr">
        <is>
          <t>NON-NIL</t>
        </is>
      </c>
      <c r="E7824" t="n">
        <v>2491</v>
      </c>
    </row>
    <row r="7825">
      <c r="A7825" t="inlineStr">
        <is>
          <t>27BBBBB07825Z5</t>
        </is>
      </c>
      <c r="B7825" t="inlineStr">
        <is>
          <t>Aug-2018</t>
        </is>
      </c>
      <c r="C7825" s="2" t="n">
        <v>43085</v>
      </c>
      <c r="D7825" t="inlineStr">
        <is>
          <t>NIL</t>
        </is>
      </c>
      <c r="E7825" t="n">
        <v>2000</v>
      </c>
    </row>
    <row r="7826">
      <c r="A7826" t="inlineStr">
        <is>
          <t>27BBBBB07826Z5</t>
        </is>
      </c>
      <c r="B7826" t="inlineStr">
        <is>
          <t>Jul-2017</t>
        </is>
      </c>
      <c r="C7826" s="2" t="n">
        <v>43416</v>
      </c>
      <c r="D7826" t="inlineStr">
        <is>
          <t>NON-NIL</t>
        </is>
      </c>
      <c r="E7826" t="n">
        <v>121</v>
      </c>
    </row>
    <row r="7827">
      <c r="A7827" t="inlineStr">
        <is>
          <t>27BBBBB07827Z5</t>
        </is>
      </c>
      <c r="B7827" t="inlineStr">
        <is>
          <t>Mar-2023</t>
        </is>
      </c>
      <c r="C7827" s="2" t="n">
        <v>45682</v>
      </c>
      <c r="D7827" t="inlineStr">
        <is>
          <t>NON-NIL</t>
        </is>
      </c>
      <c r="E7827" t="n">
        <v>2480</v>
      </c>
    </row>
    <row r="7828">
      <c r="A7828" t="inlineStr">
        <is>
          <t>27BBBBB07828Z5</t>
        </is>
      </c>
      <c r="B7828" t="inlineStr">
        <is>
          <t>Oct-2018</t>
        </is>
      </c>
      <c r="C7828" s="2" t="n">
        <v>43983</v>
      </c>
      <c r="D7828" t="inlineStr">
        <is>
          <t>NON-NIL</t>
        </is>
      </c>
      <c r="E7828" t="n">
        <v>920</v>
      </c>
    </row>
    <row r="7829">
      <c r="A7829" t="inlineStr">
        <is>
          <t>27BBBBB07829Z5</t>
        </is>
      </c>
      <c r="B7829" t="inlineStr">
        <is>
          <t>Oct-2017</t>
        </is>
      </c>
      <c r="C7829" s="2" t="n">
        <v>43567</v>
      </c>
      <c r="D7829" t="inlineStr">
        <is>
          <t>NIL</t>
        </is>
      </c>
      <c r="E7829" t="n">
        <v>568</v>
      </c>
    </row>
    <row r="7830">
      <c r="A7830" t="inlineStr">
        <is>
          <t>27BBBBB07830Z5</t>
        </is>
      </c>
      <c r="B7830" t="inlineStr">
        <is>
          <t>May-2020</t>
        </is>
      </c>
      <c r="C7830" s="2" t="n">
        <v>44763</v>
      </c>
      <c r="D7830" t="inlineStr">
        <is>
          <t>NON-NIL</t>
        </is>
      </c>
      <c r="E7830" t="n">
        <v>991</v>
      </c>
    </row>
    <row r="7831">
      <c r="A7831" t="inlineStr">
        <is>
          <t>27BBBBB07831Z5</t>
        </is>
      </c>
      <c r="B7831" t="inlineStr">
        <is>
          <t>Mar-2020</t>
        </is>
      </c>
      <c r="C7831" s="2" t="n">
        <v>44330</v>
      </c>
      <c r="D7831" t="inlineStr">
        <is>
          <t>NIL</t>
        </is>
      </c>
      <c r="E7831" t="n">
        <v>2304</v>
      </c>
    </row>
    <row r="7832">
      <c r="A7832" t="inlineStr">
        <is>
          <t>27BBBBB07832Z5</t>
        </is>
      </c>
      <c r="B7832" t="inlineStr">
        <is>
          <t>Oct-2017</t>
        </is>
      </c>
      <c r="C7832" s="2" t="n">
        <v>44317</v>
      </c>
      <c r="D7832" t="inlineStr">
        <is>
          <t>NON-NIL</t>
        </is>
      </c>
      <c r="E7832" t="n">
        <v>1443</v>
      </c>
    </row>
    <row r="7833">
      <c r="A7833" t="inlineStr">
        <is>
          <t>27BBBBB07833Z5</t>
        </is>
      </c>
      <c r="B7833" t="inlineStr">
        <is>
          <t>Mar-2018</t>
        </is>
      </c>
      <c r="C7833" s="2" t="n">
        <v>43562</v>
      </c>
      <c r="D7833" t="inlineStr">
        <is>
          <t>NON-NIL</t>
        </is>
      </c>
      <c r="E7833" t="n">
        <v>2211</v>
      </c>
    </row>
    <row r="7834">
      <c r="A7834" t="inlineStr">
        <is>
          <t>27BBBBB07834Z5</t>
        </is>
      </c>
      <c r="B7834" t="inlineStr">
        <is>
          <t>Jul-2017</t>
        </is>
      </c>
      <c r="C7834" s="2" t="n">
        <v>43757</v>
      </c>
      <c r="D7834" t="inlineStr">
        <is>
          <t>NIL</t>
        </is>
      </c>
      <c r="E7834" t="n">
        <v>224</v>
      </c>
    </row>
    <row r="7835">
      <c r="A7835" t="inlineStr">
        <is>
          <t>27BBBBB07835Z5</t>
        </is>
      </c>
      <c r="B7835" t="inlineStr">
        <is>
          <t>Mar-2020</t>
        </is>
      </c>
      <c r="C7835" s="2" t="n">
        <v>44478</v>
      </c>
      <c r="D7835" t="inlineStr">
        <is>
          <t>NIL</t>
        </is>
      </c>
      <c r="E7835" t="n">
        <v>2026</v>
      </c>
    </row>
    <row r="7836">
      <c r="A7836" t="inlineStr">
        <is>
          <t>27BBBBB07836Z5</t>
        </is>
      </c>
      <c r="B7836" t="inlineStr">
        <is>
          <t>Apr-2020</t>
        </is>
      </c>
      <c r="C7836" s="2" t="n">
        <v>44515</v>
      </c>
      <c r="D7836" t="inlineStr">
        <is>
          <t>NON-NIL</t>
        </is>
      </c>
      <c r="E7836" t="n">
        <v>243</v>
      </c>
    </row>
    <row r="7837">
      <c r="A7837" t="inlineStr">
        <is>
          <t>27BBBBB07837Z5</t>
        </is>
      </c>
      <c r="B7837" t="inlineStr">
        <is>
          <t>Sep-2018</t>
        </is>
      </c>
      <c r="C7837" s="2" t="n">
        <v>43238</v>
      </c>
      <c r="D7837" t="inlineStr">
        <is>
          <t>NON-NIL</t>
        </is>
      </c>
      <c r="E7837" t="n">
        <v>248</v>
      </c>
    </row>
    <row r="7838">
      <c r="A7838" t="inlineStr">
        <is>
          <t>27BBBBB07838Z5</t>
        </is>
      </c>
      <c r="B7838" t="inlineStr">
        <is>
          <t>Mar-2023</t>
        </is>
      </c>
      <c r="C7838" s="2" t="n">
        <v>44244</v>
      </c>
      <c r="D7838" t="inlineStr">
        <is>
          <t>NIL</t>
        </is>
      </c>
      <c r="E7838" t="n">
        <v>2606</v>
      </c>
    </row>
    <row r="7839">
      <c r="A7839" t="inlineStr">
        <is>
          <t>27BBBBB07839Z5</t>
        </is>
      </c>
      <c r="B7839" t="inlineStr">
        <is>
          <t>Jun-2020</t>
        </is>
      </c>
      <c r="C7839" s="2" t="n">
        <v>44280</v>
      </c>
      <c r="D7839" t="inlineStr">
        <is>
          <t>NIL</t>
        </is>
      </c>
      <c r="E7839" t="n">
        <v>607</v>
      </c>
    </row>
    <row r="7840">
      <c r="A7840" t="inlineStr">
        <is>
          <t>27BBBBB07840Z5</t>
        </is>
      </c>
      <c r="B7840" t="inlineStr">
        <is>
          <t>Aug-2017</t>
        </is>
      </c>
      <c r="C7840" s="2" t="n">
        <v>43772</v>
      </c>
      <c r="D7840" t="inlineStr">
        <is>
          <t>NIL</t>
        </is>
      </c>
      <c r="E7840" t="n">
        <v>583</v>
      </c>
    </row>
    <row r="7841">
      <c r="A7841" t="inlineStr">
        <is>
          <t>27BBBBB07841Z5</t>
        </is>
      </c>
      <c r="B7841" t="inlineStr">
        <is>
          <t>Jul-2017</t>
        </is>
      </c>
      <c r="C7841" s="2" t="n">
        <v>43574</v>
      </c>
      <c r="D7841" t="inlineStr">
        <is>
          <t>NIL</t>
        </is>
      </c>
      <c r="E7841" t="n">
        <v>2089</v>
      </c>
    </row>
    <row r="7842">
      <c r="A7842" t="inlineStr">
        <is>
          <t>27BBBBB07842Z5</t>
        </is>
      </c>
      <c r="B7842" t="inlineStr">
        <is>
          <t>Apr-2018</t>
        </is>
      </c>
      <c r="C7842" s="2" t="n">
        <v>43606</v>
      </c>
      <c r="D7842" t="inlineStr">
        <is>
          <t>NIL</t>
        </is>
      </c>
      <c r="E7842" t="n">
        <v>2276</v>
      </c>
    </row>
    <row r="7843">
      <c r="A7843" t="inlineStr">
        <is>
          <t>27BBBBB07843Z5</t>
        </is>
      </c>
      <c r="B7843" t="inlineStr">
        <is>
          <t>Oct-2017</t>
        </is>
      </c>
      <c r="C7843" s="2" t="n">
        <v>43340</v>
      </c>
      <c r="D7843" t="inlineStr">
        <is>
          <t>NON-NIL</t>
        </is>
      </c>
      <c r="E7843" t="n">
        <v>2346</v>
      </c>
    </row>
    <row r="7844">
      <c r="A7844" t="inlineStr">
        <is>
          <t>27BBBBB07844Z5</t>
        </is>
      </c>
      <c r="B7844" t="inlineStr">
        <is>
          <t>Sep-2018</t>
        </is>
      </c>
      <c r="C7844" s="2" t="n">
        <v>43970</v>
      </c>
      <c r="D7844" t="inlineStr">
        <is>
          <t>NON-NIL</t>
        </is>
      </c>
      <c r="E7844" t="n">
        <v>1830</v>
      </c>
    </row>
    <row r="7845">
      <c r="A7845" t="inlineStr">
        <is>
          <t>27BBBBB07845Z5</t>
        </is>
      </c>
      <c r="B7845" t="inlineStr">
        <is>
          <t>May-2018</t>
        </is>
      </c>
      <c r="C7845" s="2" t="n">
        <v>43223</v>
      </c>
      <c r="D7845" t="inlineStr">
        <is>
          <t>NIL</t>
        </is>
      </c>
      <c r="E7845" t="n">
        <v>593</v>
      </c>
    </row>
    <row r="7846">
      <c r="A7846" t="inlineStr">
        <is>
          <t>27BBBBB07846Z5</t>
        </is>
      </c>
      <c r="B7846" t="inlineStr">
        <is>
          <t>Jul-2018</t>
        </is>
      </c>
      <c r="C7846" s="2" t="n">
        <v>43688</v>
      </c>
      <c r="D7846" t="inlineStr">
        <is>
          <t>NIL</t>
        </is>
      </c>
      <c r="E7846" t="n">
        <v>132</v>
      </c>
    </row>
    <row r="7847">
      <c r="A7847" t="inlineStr">
        <is>
          <t>27BBBBB07847Z5</t>
        </is>
      </c>
      <c r="B7847" t="inlineStr">
        <is>
          <t>Jan-2018</t>
        </is>
      </c>
      <c r="C7847" s="2" t="n">
        <v>44043</v>
      </c>
      <c r="D7847" t="inlineStr">
        <is>
          <t>NIL</t>
        </is>
      </c>
      <c r="E7847" t="n">
        <v>462</v>
      </c>
    </row>
    <row r="7848">
      <c r="A7848" t="inlineStr">
        <is>
          <t>27BBBBB07848Z5</t>
        </is>
      </c>
      <c r="B7848" t="inlineStr">
        <is>
          <t>Oct-2017</t>
        </is>
      </c>
      <c r="C7848" s="2" t="n">
        <v>43991</v>
      </c>
      <c r="D7848" t="inlineStr">
        <is>
          <t>NON-NIL</t>
        </is>
      </c>
      <c r="E7848" t="n">
        <v>709</v>
      </c>
    </row>
    <row r="7849">
      <c r="A7849" t="inlineStr">
        <is>
          <t>27BBBBB07849Z5</t>
        </is>
      </c>
      <c r="B7849" t="inlineStr">
        <is>
          <t>Jul-2017</t>
        </is>
      </c>
      <c r="C7849" s="2" t="n">
        <v>44482</v>
      </c>
      <c r="D7849" t="inlineStr">
        <is>
          <t>NON-NIL</t>
        </is>
      </c>
      <c r="E7849" t="n">
        <v>176</v>
      </c>
    </row>
    <row r="7850">
      <c r="A7850" t="inlineStr">
        <is>
          <t>27BBBBB07850Z5</t>
        </is>
      </c>
      <c r="B7850" t="inlineStr">
        <is>
          <t>Jun-2020</t>
        </is>
      </c>
      <c r="C7850" s="2" t="n">
        <v>44093</v>
      </c>
      <c r="D7850" t="inlineStr">
        <is>
          <t>NON-NIL</t>
        </is>
      </c>
      <c r="E7850" t="n">
        <v>1306</v>
      </c>
    </row>
    <row r="7851">
      <c r="A7851" t="inlineStr">
        <is>
          <t>27BBBBB07851Z5</t>
        </is>
      </c>
      <c r="B7851" t="inlineStr">
        <is>
          <t>Sep-2017</t>
        </is>
      </c>
      <c r="C7851" s="2" t="n">
        <v>43413</v>
      </c>
      <c r="D7851" t="inlineStr">
        <is>
          <t>NIL</t>
        </is>
      </c>
      <c r="E7851" t="n">
        <v>2309</v>
      </c>
    </row>
    <row r="7852">
      <c r="A7852" t="inlineStr">
        <is>
          <t>27BBBBB07852Z5</t>
        </is>
      </c>
      <c r="B7852" t="inlineStr">
        <is>
          <t>Mar-2021</t>
        </is>
      </c>
      <c r="C7852" s="2" t="n">
        <v>45072</v>
      </c>
      <c r="D7852" t="inlineStr">
        <is>
          <t>NIL</t>
        </is>
      </c>
      <c r="E7852" t="n">
        <v>2494</v>
      </c>
    </row>
    <row r="7853">
      <c r="A7853" t="inlineStr">
        <is>
          <t>27BBBBB07853Z5</t>
        </is>
      </c>
      <c r="B7853" t="inlineStr">
        <is>
          <t>Apr-2018</t>
        </is>
      </c>
      <c r="C7853" s="2" t="n">
        <v>43285</v>
      </c>
      <c r="D7853" t="inlineStr">
        <is>
          <t>NON-NIL</t>
        </is>
      </c>
      <c r="E7853" t="n">
        <v>1190</v>
      </c>
    </row>
    <row r="7854">
      <c r="A7854" t="inlineStr">
        <is>
          <t>27BBBBB07854Z5</t>
        </is>
      </c>
      <c r="B7854" t="inlineStr">
        <is>
          <t>May-2020</t>
        </is>
      </c>
      <c r="C7854" s="2" t="n">
        <v>44851</v>
      </c>
      <c r="D7854" t="inlineStr">
        <is>
          <t>NON-NIL</t>
        </is>
      </c>
      <c r="E7854" t="n">
        <v>67</v>
      </c>
    </row>
    <row r="7855">
      <c r="A7855" t="inlineStr">
        <is>
          <t>27BBBBB07855Z5</t>
        </is>
      </c>
      <c r="B7855" t="inlineStr">
        <is>
          <t>Oct-2018</t>
        </is>
      </c>
      <c r="C7855" s="2" t="n">
        <v>42958</v>
      </c>
      <c r="D7855" t="inlineStr">
        <is>
          <t>NIL</t>
        </is>
      </c>
      <c r="E7855" t="n">
        <v>1194</v>
      </c>
    </row>
    <row r="7856">
      <c r="A7856" t="inlineStr">
        <is>
          <t>27BBBBB07856Z5</t>
        </is>
      </c>
      <c r="B7856" t="inlineStr">
        <is>
          <t>May-2018</t>
        </is>
      </c>
      <c r="C7856" s="2" t="n">
        <v>43690</v>
      </c>
      <c r="D7856" t="inlineStr">
        <is>
          <t>NIL</t>
        </is>
      </c>
      <c r="E7856" t="n">
        <v>295</v>
      </c>
    </row>
    <row r="7857">
      <c r="A7857" t="inlineStr">
        <is>
          <t>27BBBBB07857Z5</t>
        </is>
      </c>
      <c r="B7857" t="inlineStr">
        <is>
          <t>Jun-2018</t>
        </is>
      </c>
      <c r="C7857" s="2" t="n">
        <v>43652</v>
      </c>
      <c r="D7857" t="inlineStr">
        <is>
          <t>NON-NIL</t>
        </is>
      </c>
      <c r="E7857" t="n">
        <v>559</v>
      </c>
    </row>
    <row r="7858">
      <c r="A7858" t="inlineStr">
        <is>
          <t>27BBBBB07858Z5</t>
        </is>
      </c>
      <c r="B7858" t="inlineStr">
        <is>
          <t>Oct-2018</t>
        </is>
      </c>
      <c r="C7858" s="2" t="n">
        <v>43441</v>
      </c>
      <c r="D7858" t="inlineStr">
        <is>
          <t>NIL</t>
        </is>
      </c>
      <c r="E7858" t="n">
        <v>450</v>
      </c>
    </row>
    <row r="7859">
      <c r="A7859" t="inlineStr">
        <is>
          <t>27BBBBB07859Z5</t>
        </is>
      </c>
      <c r="B7859" t="inlineStr">
        <is>
          <t>Jul-2018</t>
        </is>
      </c>
      <c r="C7859" s="2" t="n">
        <v>44083</v>
      </c>
      <c r="D7859" t="inlineStr">
        <is>
          <t>NIL</t>
        </is>
      </c>
      <c r="E7859" t="n">
        <v>2392</v>
      </c>
    </row>
    <row r="7860">
      <c r="A7860" t="inlineStr">
        <is>
          <t>27BBBBB07860Z5</t>
        </is>
      </c>
      <c r="B7860" t="inlineStr">
        <is>
          <t>Jun-2018</t>
        </is>
      </c>
      <c r="C7860" s="2" t="n">
        <v>44470</v>
      </c>
      <c r="D7860" t="inlineStr">
        <is>
          <t>NON-NIL</t>
        </is>
      </c>
      <c r="E7860" t="n">
        <v>1455</v>
      </c>
    </row>
    <row r="7861">
      <c r="A7861" t="inlineStr">
        <is>
          <t>27BBBBB07861Z5</t>
        </is>
      </c>
      <c r="B7861" t="inlineStr">
        <is>
          <t>Mar-2023</t>
        </is>
      </c>
      <c r="C7861" s="2" t="n">
        <v>45789</v>
      </c>
      <c r="D7861" t="inlineStr">
        <is>
          <t>NON-NIL</t>
        </is>
      </c>
      <c r="E7861" t="n">
        <v>469</v>
      </c>
    </row>
    <row r="7862">
      <c r="A7862" t="inlineStr">
        <is>
          <t>27BBBBB07862Z5</t>
        </is>
      </c>
      <c r="B7862" t="inlineStr">
        <is>
          <t>Jun-2020</t>
        </is>
      </c>
      <c r="C7862" s="2" t="n">
        <v>43862</v>
      </c>
      <c r="D7862" t="inlineStr">
        <is>
          <t>NON-NIL</t>
        </is>
      </c>
      <c r="E7862" t="n">
        <v>1321</v>
      </c>
    </row>
    <row r="7863">
      <c r="A7863" t="inlineStr">
        <is>
          <t>27BBBBB07863Z5</t>
        </is>
      </c>
      <c r="B7863" t="inlineStr">
        <is>
          <t>Mar-2018</t>
        </is>
      </c>
      <c r="C7863" s="2" t="n">
        <v>44093</v>
      </c>
      <c r="D7863" t="inlineStr">
        <is>
          <t>NIL</t>
        </is>
      </c>
      <c r="E7863" t="n">
        <v>1780</v>
      </c>
    </row>
    <row r="7864">
      <c r="A7864" t="inlineStr">
        <is>
          <t>27BBBBB07864Z5</t>
        </is>
      </c>
      <c r="B7864" t="inlineStr">
        <is>
          <t>May-2018</t>
        </is>
      </c>
      <c r="C7864" s="2" t="n">
        <v>43533</v>
      </c>
      <c r="D7864" t="inlineStr">
        <is>
          <t>NON-NIL</t>
        </is>
      </c>
      <c r="E7864" t="n">
        <v>2154</v>
      </c>
    </row>
    <row r="7865">
      <c r="A7865" t="inlineStr">
        <is>
          <t>27BBBBB07865Z5</t>
        </is>
      </c>
      <c r="B7865" t="inlineStr">
        <is>
          <t>Jan-2021</t>
        </is>
      </c>
      <c r="C7865" s="2" t="n">
        <v>44066</v>
      </c>
      <c r="D7865" t="inlineStr">
        <is>
          <t>NIL</t>
        </is>
      </c>
      <c r="E7865" t="n">
        <v>1231</v>
      </c>
    </row>
    <row r="7866">
      <c r="A7866" t="inlineStr">
        <is>
          <t>27BBBBB07866Z5</t>
        </is>
      </c>
      <c r="B7866" t="inlineStr">
        <is>
          <t>Aug-2017</t>
        </is>
      </c>
      <c r="C7866" s="2" t="n">
        <v>44259</v>
      </c>
      <c r="D7866" t="inlineStr">
        <is>
          <t>NON-NIL</t>
        </is>
      </c>
      <c r="E7866" t="n">
        <v>1751</v>
      </c>
    </row>
    <row r="7867">
      <c r="A7867" t="inlineStr">
        <is>
          <t>27BBBBB07867Z5</t>
        </is>
      </c>
      <c r="B7867" t="inlineStr">
        <is>
          <t>Jul-2018</t>
        </is>
      </c>
      <c r="C7867" s="2" t="n">
        <v>43068</v>
      </c>
      <c r="D7867" t="inlineStr">
        <is>
          <t>NIL</t>
        </is>
      </c>
      <c r="E7867" t="n">
        <v>2163</v>
      </c>
    </row>
    <row r="7868">
      <c r="A7868" t="inlineStr">
        <is>
          <t>27BBBBB07868Z5</t>
        </is>
      </c>
      <c r="B7868" t="inlineStr">
        <is>
          <t>Dec-2024</t>
        </is>
      </c>
      <c r="C7868" s="2" t="n">
        <v>45284</v>
      </c>
      <c r="D7868" t="inlineStr">
        <is>
          <t>NIL</t>
        </is>
      </c>
      <c r="E7868" t="n">
        <v>54</v>
      </c>
    </row>
    <row r="7869">
      <c r="A7869" t="inlineStr">
        <is>
          <t>27BBBBB07869Z5</t>
        </is>
      </c>
      <c r="B7869" t="inlineStr">
        <is>
          <t>Sep-2018</t>
        </is>
      </c>
      <c r="C7869" s="2" t="n">
        <v>43468</v>
      </c>
      <c r="D7869" t="inlineStr">
        <is>
          <t>NIL</t>
        </is>
      </c>
      <c r="E7869" t="n">
        <v>54</v>
      </c>
    </row>
    <row r="7870">
      <c r="A7870" t="inlineStr">
        <is>
          <t>27BBBBB07870Z5</t>
        </is>
      </c>
      <c r="B7870" t="inlineStr">
        <is>
          <t>Aug-2018</t>
        </is>
      </c>
      <c r="C7870" s="2" t="n">
        <v>43104</v>
      </c>
      <c r="D7870" t="inlineStr">
        <is>
          <t>NIL</t>
        </is>
      </c>
      <c r="E7870" t="n">
        <v>626</v>
      </c>
    </row>
    <row r="7871">
      <c r="A7871" t="inlineStr">
        <is>
          <t>27BBBBB07871Z5</t>
        </is>
      </c>
      <c r="B7871" t="inlineStr">
        <is>
          <t>Dec-2024</t>
        </is>
      </c>
      <c r="C7871" s="2" t="n">
        <v>43598</v>
      </c>
      <c r="D7871" t="inlineStr">
        <is>
          <t>NIL</t>
        </is>
      </c>
      <c r="E7871" t="n">
        <v>470</v>
      </c>
    </row>
    <row r="7872">
      <c r="A7872" t="inlineStr">
        <is>
          <t>27BBBBB07872Z5</t>
        </is>
      </c>
      <c r="B7872" t="inlineStr">
        <is>
          <t>Jun-2018</t>
        </is>
      </c>
      <c r="C7872" s="2" t="n">
        <v>43674</v>
      </c>
      <c r="D7872" t="inlineStr">
        <is>
          <t>NON-NIL</t>
        </is>
      </c>
      <c r="E7872" t="n">
        <v>1903</v>
      </c>
    </row>
    <row r="7873">
      <c r="A7873" t="inlineStr">
        <is>
          <t>27BBBBB07873Z5</t>
        </is>
      </c>
      <c r="B7873" t="inlineStr">
        <is>
          <t>Sep-2018</t>
        </is>
      </c>
      <c r="C7873" s="2" t="n">
        <v>44555</v>
      </c>
      <c r="D7873" t="inlineStr">
        <is>
          <t>NON-NIL</t>
        </is>
      </c>
      <c r="E7873" t="n">
        <v>760</v>
      </c>
    </row>
    <row r="7874">
      <c r="A7874" t="inlineStr">
        <is>
          <t>27BBBBB07874Z5</t>
        </is>
      </c>
      <c r="B7874" t="inlineStr">
        <is>
          <t>Oct-2017</t>
        </is>
      </c>
      <c r="C7874" s="2" t="n">
        <v>43758</v>
      </c>
      <c r="D7874" t="inlineStr">
        <is>
          <t>NIL</t>
        </is>
      </c>
      <c r="E7874" t="n">
        <v>1505</v>
      </c>
    </row>
    <row r="7875">
      <c r="A7875" t="inlineStr">
        <is>
          <t>27BBBBB07875Z5</t>
        </is>
      </c>
      <c r="B7875" t="inlineStr">
        <is>
          <t>Apr-2020</t>
        </is>
      </c>
      <c r="C7875" s="2" t="n">
        <v>44153</v>
      </c>
      <c r="D7875" t="inlineStr">
        <is>
          <t>NON-NIL</t>
        </is>
      </c>
      <c r="E7875" t="n">
        <v>1147</v>
      </c>
    </row>
    <row r="7876">
      <c r="A7876" t="inlineStr">
        <is>
          <t>27BBBBB07876Z5</t>
        </is>
      </c>
      <c r="B7876" t="inlineStr">
        <is>
          <t>Apr-2018</t>
        </is>
      </c>
      <c r="C7876" s="2" t="n">
        <v>44516</v>
      </c>
      <c r="D7876" t="inlineStr">
        <is>
          <t>NON-NIL</t>
        </is>
      </c>
      <c r="E7876" t="n">
        <v>118</v>
      </c>
    </row>
    <row r="7877">
      <c r="A7877" t="inlineStr">
        <is>
          <t>27BBBBB07877Z5</t>
        </is>
      </c>
      <c r="B7877" t="inlineStr">
        <is>
          <t>Sep-2018</t>
        </is>
      </c>
      <c r="C7877" s="2" t="n">
        <v>43806</v>
      </c>
      <c r="D7877" t="inlineStr">
        <is>
          <t>NON-NIL</t>
        </is>
      </c>
      <c r="E7877" t="n">
        <v>1255</v>
      </c>
    </row>
    <row r="7878">
      <c r="A7878" t="inlineStr">
        <is>
          <t>27BBBBB07878Z5</t>
        </is>
      </c>
      <c r="B7878" t="inlineStr">
        <is>
          <t>Sep-2018</t>
        </is>
      </c>
      <c r="C7878" s="2" t="n">
        <v>43998</v>
      </c>
      <c r="D7878" t="inlineStr">
        <is>
          <t>NIL</t>
        </is>
      </c>
      <c r="E7878" t="n">
        <v>1296</v>
      </c>
    </row>
    <row r="7879">
      <c r="A7879" t="inlineStr">
        <is>
          <t>27BBBBB07879Z5</t>
        </is>
      </c>
      <c r="B7879" t="inlineStr">
        <is>
          <t>Dec-2022</t>
        </is>
      </c>
      <c r="C7879" s="2" t="n">
        <v>44987</v>
      </c>
      <c r="D7879" t="inlineStr">
        <is>
          <t>NIL</t>
        </is>
      </c>
      <c r="E7879" t="n">
        <v>2550</v>
      </c>
    </row>
    <row r="7880">
      <c r="A7880" t="inlineStr">
        <is>
          <t>27BBBBB07880Z5</t>
        </is>
      </c>
      <c r="B7880" t="inlineStr">
        <is>
          <t>Dec-2018</t>
        </is>
      </c>
      <c r="C7880" s="2" t="n">
        <v>44114</v>
      </c>
      <c r="D7880" t="inlineStr">
        <is>
          <t>NON-NIL</t>
        </is>
      </c>
      <c r="E7880" t="n">
        <v>2011</v>
      </c>
    </row>
    <row r="7881">
      <c r="A7881" t="inlineStr">
        <is>
          <t>27BBBBB07881Z5</t>
        </is>
      </c>
      <c r="B7881" t="inlineStr">
        <is>
          <t>Jun-2018</t>
        </is>
      </c>
      <c r="C7881" s="2" t="n">
        <v>44311</v>
      </c>
      <c r="D7881" t="inlineStr">
        <is>
          <t>NIL</t>
        </is>
      </c>
      <c r="E7881" t="n">
        <v>1259</v>
      </c>
    </row>
    <row r="7882">
      <c r="A7882" t="inlineStr">
        <is>
          <t>27BBBBB07882Z5</t>
        </is>
      </c>
      <c r="B7882" t="inlineStr">
        <is>
          <t>Nov-2017</t>
        </is>
      </c>
      <c r="C7882" s="2" t="n">
        <v>43570</v>
      </c>
      <c r="D7882" t="inlineStr">
        <is>
          <t>NIL</t>
        </is>
      </c>
      <c r="E7882" t="n">
        <v>2036</v>
      </c>
    </row>
    <row r="7883">
      <c r="A7883" t="inlineStr">
        <is>
          <t>27BBBBB07883Z5</t>
        </is>
      </c>
      <c r="B7883" t="inlineStr">
        <is>
          <t>Jan-2021</t>
        </is>
      </c>
      <c r="C7883" s="2" t="n">
        <v>44677</v>
      </c>
      <c r="D7883" t="inlineStr">
        <is>
          <t>NIL</t>
        </is>
      </c>
      <c r="E7883" t="n">
        <v>649</v>
      </c>
    </row>
    <row r="7884">
      <c r="A7884" t="inlineStr">
        <is>
          <t>27BBBBB07884Z5</t>
        </is>
      </c>
      <c r="B7884" t="inlineStr">
        <is>
          <t>Oct-2017</t>
        </is>
      </c>
      <c r="C7884" s="2" t="n">
        <v>43247</v>
      </c>
      <c r="D7884" t="inlineStr">
        <is>
          <t>NIL</t>
        </is>
      </c>
      <c r="E7884" t="n">
        <v>786</v>
      </c>
    </row>
    <row r="7885">
      <c r="A7885" t="inlineStr">
        <is>
          <t>27BBBBB07885Z5</t>
        </is>
      </c>
      <c r="B7885" t="inlineStr">
        <is>
          <t>Mar-2021</t>
        </is>
      </c>
      <c r="C7885" s="2" t="n">
        <v>45387</v>
      </c>
      <c r="D7885" t="inlineStr">
        <is>
          <t>NIL</t>
        </is>
      </c>
      <c r="E7885" t="n">
        <v>1693</v>
      </c>
    </row>
    <row r="7886">
      <c r="A7886" t="inlineStr">
        <is>
          <t>27BBBBB07886Z5</t>
        </is>
      </c>
      <c r="B7886" t="inlineStr">
        <is>
          <t>Jul-2017</t>
        </is>
      </c>
      <c r="C7886" s="2" t="n">
        <v>42939</v>
      </c>
      <c r="D7886" t="inlineStr">
        <is>
          <t>NIL</t>
        </is>
      </c>
      <c r="E7886" t="n">
        <v>1236</v>
      </c>
    </row>
    <row r="7887">
      <c r="A7887" t="inlineStr">
        <is>
          <t>27BBBBB07887Z5</t>
        </is>
      </c>
      <c r="B7887" t="inlineStr">
        <is>
          <t>May-2018</t>
        </is>
      </c>
      <c r="C7887" s="2" t="n">
        <v>43299</v>
      </c>
      <c r="D7887" t="inlineStr">
        <is>
          <t>NIL</t>
        </is>
      </c>
      <c r="E7887" t="n">
        <v>724</v>
      </c>
    </row>
    <row r="7888">
      <c r="A7888" t="inlineStr">
        <is>
          <t>27BBBBB07888Z5</t>
        </is>
      </c>
      <c r="B7888" t="inlineStr">
        <is>
          <t>Feb-2018</t>
        </is>
      </c>
      <c r="C7888" s="2" t="n">
        <v>43185</v>
      </c>
      <c r="D7888" t="inlineStr">
        <is>
          <t>NIL</t>
        </is>
      </c>
      <c r="E7888" t="n">
        <v>1180</v>
      </c>
    </row>
    <row r="7889">
      <c r="A7889" t="inlineStr">
        <is>
          <t>27BBBBB07889Z5</t>
        </is>
      </c>
      <c r="B7889" t="inlineStr">
        <is>
          <t>Nov-2017</t>
        </is>
      </c>
      <c r="C7889" s="2" t="n">
        <v>44222</v>
      </c>
      <c r="D7889" t="inlineStr">
        <is>
          <t>NIL</t>
        </is>
      </c>
      <c r="E7889" t="n">
        <v>1081</v>
      </c>
    </row>
    <row r="7890">
      <c r="A7890" t="inlineStr">
        <is>
          <t>27BBBBB07890Z5</t>
        </is>
      </c>
      <c r="B7890" t="inlineStr">
        <is>
          <t>Mar-2021</t>
        </is>
      </c>
      <c r="C7890" s="2" t="n">
        <v>43877</v>
      </c>
      <c r="D7890" t="inlineStr">
        <is>
          <t>NON-NIL</t>
        </is>
      </c>
      <c r="E7890" t="n">
        <v>2409</v>
      </c>
    </row>
    <row r="7891">
      <c r="A7891" t="inlineStr">
        <is>
          <t>27BBBBB07891Z5</t>
        </is>
      </c>
      <c r="B7891" t="inlineStr">
        <is>
          <t>Jan-2018</t>
        </is>
      </c>
      <c r="C7891" s="2" t="n">
        <v>44388</v>
      </c>
      <c r="D7891" t="inlineStr">
        <is>
          <t>NON-NIL</t>
        </is>
      </c>
      <c r="E7891" t="n">
        <v>899</v>
      </c>
    </row>
    <row r="7892">
      <c r="A7892" t="inlineStr">
        <is>
          <t>27BBBBB07892Z5</t>
        </is>
      </c>
      <c r="B7892" t="inlineStr">
        <is>
          <t>Nov-2018</t>
        </is>
      </c>
      <c r="C7892" s="2" t="n">
        <v>43514</v>
      </c>
      <c r="D7892" t="inlineStr">
        <is>
          <t>NIL</t>
        </is>
      </c>
      <c r="E7892" t="n">
        <v>61</v>
      </c>
    </row>
    <row r="7893">
      <c r="A7893" t="inlineStr">
        <is>
          <t>27BBBBB07893Z5</t>
        </is>
      </c>
      <c r="B7893" t="inlineStr">
        <is>
          <t>Oct-2018</t>
        </is>
      </c>
      <c r="C7893" s="2" t="n">
        <v>43061</v>
      </c>
      <c r="D7893" t="inlineStr">
        <is>
          <t>NON-NIL</t>
        </is>
      </c>
      <c r="E7893" t="n">
        <v>1681</v>
      </c>
    </row>
    <row r="7894">
      <c r="A7894" t="inlineStr">
        <is>
          <t>27BBBBB07894Z5</t>
        </is>
      </c>
      <c r="B7894" t="inlineStr">
        <is>
          <t>Aug-2018</t>
        </is>
      </c>
      <c r="C7894" s="2" t="n">
        <v>42940</v>
      </c>
      <c r="D7894" t="inlineStr">
        <is>
          <t>NIL</t>
        </is>
      </c>
      <c r="E7894" t="n">
        <v>998</v>
      </c>
    </row>
    <row r="7895">
      <c r="A7895" t="inlineStr">
        <is>
          <t>27BBBBB07895Z5</t>
        </is>
      </c>
      <c r="B7895" t="inlineStr">
        <is>
          <t>Jul-2020</t>
        </is>
      </c>
      <c r="C7895" s="2" t="n">
        <v>44507</v>
      </c>
      <c r="D7895" t="inlineStr">
        <is>
          <t>NIL</t>
        </is>
      </c>
      <c r="E7895" t="n">
        <v>2658</v>
      </c>
    </row>
    <row r="7896">
      <c r="A7896" t="inlineStr">
        <is>
          <t>27BBBBB07896Z5</t>
        </is>
      </c>
      <c r="B7896" t="inlineStr">
        <is>
          <t>Mar-2018</t>
        </is>
      </c>
      <c r="C7896" s="2" t="n">
        <v>44140</v>
      </c>
      <c r="D7896" t="inlineStr">
        <is>
          <t>NIL</t>
        </is>
      </c>
      <c r="E7896" t="n">
        <v>2679</v>
      </c>
    </row>
    <row r="7897">
      <c r="A7897" t="inlineStr">
        <is>
          <t>27BBBBB07897Z5</t>
        </is>
      </c>
      <c r="B7897" t="inlineStr">
        <is>
          <t>Jan-2018</t>
        </is>
      </c>
      <c r="C7897" s="2" t="n">
        <v>43364</v>
      </c>
      <c r="D7897" t="inlineStr">
        <is>
          <t>NIL</t>
        </is>
      </c>
      <c r="E7897" t="n">
        <v>397</v>
      </c>
    </row>
    <row r="7898">
      <c r="A7898" t="inlineStr">
        <is>
          <t>27BBBBB07898Z5</t>
        </is>
      </c>
      <c r="B7898" t="inlineStr">
        <is>
          <t>Feb-2018</t>
        </is>
      </c>
      <c r="C7898" s="2" t="n">
        <v>44082</v>
      </c>
      <c r="D7898" t="inlineStr">
        <is>
          <t>NIL</t>
        </is>
      </c>
      <c r="E7898" t="n">
        <v>1561</v>
      </c>
    </row>
    <row r="7899">
      <c r="A7899" t="inlineStr">
        <is>
          <t>27BBBBB07899Z5</t>
        </is>
      </c>
      <c r="B7899" t="inlineStr">
        <is>
          <t>Jan-2021</t>
        </is>
      </c>
      <c r="C7899" s="2" t="n">
        <v>43611</v>
      </c>
      <c r="D7899" t="inlineStr">
        <is>
          <t>NON-NIL</t>
        </is>
      </c>
      <c r="E7899" t="n">
        <v>2857</v>
      </c>
    </row>
    <row r="7900">
      <c r="A7900" t="inlineStr">
        <is>
          <t>27BBBBB07900Z5</t>
        </is>
      </c>
      <c r="B7900" t="inlineStr">
        <is>
          <t>Oct-2018</t>
        </is>
      </c>
      <c r="C7900" s="2" t="n">
        <v>43220</v>
      </c>
      <c r="D7900" t="inlineStr">
        <is>
          <t>NIL</t>
        </is>
      </c>
      <c r="E7900" t="n">
        <v>2783</v>
      </c>
    </row>
    <row r="7901">
      <c r="A7901" t="inlineStr">
        <is>
          <t>27BBBBB07901Z5</t>
        </is>
      </c>
      <c r="B7901" t="inlineStr">
        <is>
          <t>Sep-2018</t>
        </is>
      </c>
      <c r="C7901" s="2" t="n">
        <v>43329</v>
      </c>
      <c r="D7901" t="inlineStr">
        <is>
          <t>NIL</t>
        </is>
      </c>
      <c r="E7901" t="n">
        <v>291</v>
      </c>
    </row>
    <row r="7902">
      <c r="A7902" t="inlineStr">
        <is>
          <t>27BBBBB07902Z5</t>
        </is>
      </c>
      <c r="B7902" t="inlineStr">
        <is>
          <t>Jun-2018</t>
        </is>
      </c>
      <c r="C7902" s="2" t="n">
        <v>44293</v>
      </c>
      <c r="D7902" t="inlineStr">
        <is>
          <t>NON-NIL</t>
        </is>
      </c>
      <c r="E7902" t="n">
        <v>2005</v>
      </c>
    </row>
    <row r="7903">
      <c r="A7903" t="inlineStr">
        <is>
          <t>27BBBBB07903Z5</t>
        </is>
      </c>
      <c r="B7903" t="inlineStr">
        <is>
          <t>Dec-2024</t>
        </is>
      </c>
      <c r="C7903" s="2" t="n">
        <v>45155</v>
      </c>
      <c r="D7903" t="inlineStr">
        <is>
          <t>NIL</t>
        </is>
      </c>
      <c r="E7903" t="n">
        <v>974</v>
      </c>
    </row>
    <row r="7904">
      <c r="A7904" t="inlineStr">
        <is>
          <t>27BBBBB07904Z5</t>
        </is>
      </c>
      <c r="B7904" t="inlineStr">
        <is>
          <t>Nov-2018</t>
        </is>
      </c>
      <c r="C7904" s="2" t="n">
        <v>43792</v>
      </c>
      <c r="D7904" t="inlineStr">
        <is>
          <t>NON-NIL</t>
        </is>
      </c>
      <c r="E7904" t="n">
        <v>2178</v>
      </c>
    </row>
    <row r="7905">
      <c r="A7905" t="inlineStr">
        <is>
          <t>27BBBBB07905Z5</t>
        </is>
      </c>
      <c r="B7905" t="inlineStr">
        <is>
          <t>Nov-2017</t>
        </is>
      </c>
      <c r="C7905" s="2" t="n">
        <v>43746</v>
      </c>
      <c r="D7905" t="inlineStr">
        <is>
          <t>NIL</t>
        </is>
      </c>
      <c r="E7905" t="n">
        <v>107</v>
      </c>
    </row>
    <row r="7906">
      <c r="A7906" t="inlineStr">
        <is>
          <t>27BBBBB07906Z5</t>
        </is>
      </c>
      <c r="B7906" t="inlineStr">
        <is>
          <t>Dec-2022</t>
        </is>
      </c>
      <c r="C7906" s="2" t="n">
        <v>43861</v>
      </c>
      <c r="D7906" t="inlineStr">
        <is>
          <t>NON-NIL</t>
        </is>
      </c>
      <c r="E7906" t="n">
        <v>317</v>
      </c>
    </row>
    <row r="7907">
      <c r="A7907" t="inlineStr">
        <is>
          <t>27BBBBB07907Z5</t>
        </is>
      </c>
      <c r="B7907" t="inlineStr">
        <is>
          <t>Nov-2018</t>
        </is>
      </c>
      <c r="C7907" s="2" t="n">
        <v>43032</v>
      </c>
      <c r="D7907" t="inlineStr">
        <is>
          <t>NIL</t>
        </is>
      </c>
      <c r="E7907" t="n">
        <v>140</v>
      </c>
    </row>
    <row r="7908">
      <c r="A7908" t="inlineStr">
        <is>
          <t>27BBBBB07908Z5</t>
        </is>
      </c>
      <c r="B7908" t="inlineStr">
        <is>
          <t>Dec-2022</t>
        </is>
      </c>
      <c r="C7908" s="2" t="n">
        <v>44347</v>
      </c>
      <c r="D7908" t="inlineStr">
        <is>
          <t>NON-NIL</t>
        </is>
      </c>
      <c r="E7908" t="n">
        <v>2378</v>
      </c>
    </row>
    <row r="7909">
      <c r="A7909" t="inlineStr">
        <is>
          <t>27BBBBB07909Z5</t>
        </is>
      </c>
      <c r="B7909" t="inlineStr">
        <is>
          <t>Mar-2021</t>
        </is>
      </c>
      <c r="C7909" s="2" t="n">
        <v>44590</v>
      </c>
      <c r="D7909" t="inlineStr">
        <is>
          <t>NIL</t>
        </is>
      </c>
      <c r="E7909" t="n">
        <v>1629</v>
      </c>
    </row>
    <row r="7910">
      <c r="A7910" t="inlineStr">
        <is>
          <t>27BBBBB07910Z5</t>
        </is>
      </c>
      <c r="B7910" t="inlineStr">
        <is>
          <t>Jan-2018</t>
        </is>
      </c>
      <c r="C7910" s="2" t="n">
        <v>44298</v>
      </c>
      <c r="D7910" t="inlineStr">
        <is>
          <t>NON-NIL</t>
        </is>
      </c>
      <c r="E7910" t="n">
        <v>31</v>
      </c>
    </row>
    <row r="7911">
      <c r="A7911" t="inlineStr">
        <is>
          <t>27BBBBB07911Z5</t>
        </is>
      </c>
      <c r="B7911" t="inlineStr">
        <is>
          <t>Jan-2021</t>
        </is>
      </c>
      <c r="C7911" s="2" t="n">
        <v>44917</v>
      </c>
      <c r="D7911" t="inlineStr">
        <is>
          <t>NON-NIL</t>
        </is>
      </c>
      <c r="E7911" t="n">
        <v>2019</v>
      </c>
    </row>
    <row r="7912">
      <c r="A7912" t="inlineStr">
        <is>
          <t>27BBBBB07912Z5</t>
        </is>
      </c>
      <c r="B7912" t="inlineStr">
        <is>
          <t>Jun-2018</t>
        </is>
      </c>
      <c r="C7912" s="2" t="n">
        <v>43679</v>
      </c>
      <c r="D7912" t="inlineStr">
        <is>
          <t>NIL</t>
        </is>
      </c>
      <c r="E7912" t="n">
        <v>1362</v>
      </c>
    </row>
    <row r="7913">
      <c r="A7913" t="inlineStr">
        <is>
          <t>27BBBBB07913Z5</t>
        </is>
      </c>
      <c r="B7913" t="inlineStr">
        <is>
          <t>Mar-2023</t>
        </is>
      </c>
      <c r="C7913" s="2" t="n">
        <v>45112</v>
      </c>
      <c r="D7913" t="inlineStr">
        <is>
          <t>NIL</t>
        </is>
      </c>
      <c r="E7913" t="n">
        <v>641</v>
      </c>
    </row>
    <row r="7914">
      <c r="A7914" t="inlineStr">
        <is>
          <t>27BBBBB07914Z5</t>
        </is>
      </c>
      <c r="B7914" t="inlineStr">
        <is>
          <t>Dec-2017</t>
        </is>
      </c>
      <c r="C7914" s="2" t="n">
        <v>44164</v>
      </c>
      <c r="D7914" t="inlineStr">
        <is>
          <t>NIL</t>
        </is>
      </c>
      <c r="E7914" t="n">
        <v>2876</v>
      </c>
    </row>
    <row r="7915">
      <c r="A7915" t="inlineStr">
        <is>
          <t>27BBBBB07915Z5</t>
        </is>
      </c>
      <c r="B7915" t="inlineStr">
        <is>
          <t>Dec-2022</t>
        </is>
      </c>
      <c r="C7915" s="2" t="n">
        <v>45708</v>
      </c>
      <c r="D7915" t="inlineStr">
        <is>
          <t>NIL</t>
        </is>
      </c>
      <c r="E7915" t="n">
        <v>667</v>
      </c>
    </row>
    <row r="7916">
      <c r="A7916" t="inlineStr">
        <is>
          <t>27BBBBB07916Z5</t>
        </is>
      </c>
      <c r="B7916" t="inlineStr">
        <is>
          <t>Nov-2018</t>
        </is>
      </c>
      <c r="C7916" s="2" t="n">
        <v>44203</v>
      </c>
      <c r="D7916" t="inlineStr">
        <is>
          <t>NIL</t>
        </is>
      </c>
      <c r="E7916" t="n">
        <v>2492</v>
      </c>
    </row>
    <row r="7917">
      <c r="A7917" t="inlineStr">
        <is>
          <t>27BBBBB07917Z5</t>
        </is>
      </c>
      <c r="B7917" t="inlineStr">
        <is>
          <t>Sep-2017</t>
        </is>
      </c>
      <c r="C7917" s="2" t="n">
        <v>44071</v>
      </c>
      <c r="D7917" t="inlineStr">
        <is>
          <t>NIL</t>
        </is>
      </c>
      <c r="E7917" t="n">
        <v>1918</v>
      </c>
    </row>
    <row r="7918">
      <c r="A7918" t="inlineStr">
        <is>
          <t>27BBBBB07918Z5</t>
        </is>
      </c>
      <c r="B7918" t="inlineStr">
        <is>
          <t>Oct-2018</t>
        </is>
      </c>
      <c r="C7918" s="2" t="n">
        <v>44345</v>
      </c>
      <c r="D7918" t="inlineStr">
        <is>
          <t>NIL</t>
        </is>
      </c>
      <c r="E7918" t="n">
        <v>328</v>
      </c>
    </row>
    <row r="7919">
      <c r="A7919" t="inlineStr">
        <is>
          <t>27BBBBB07919Z5</t>
        </is>
      </c>
      <c r="B7919" t="inlineStr">
        <is>
          <t>Mar-2020</t>
        </is>
      </c>
      <c r="C7919" s="2" t="n">
        <v>44908</v>
      </c>
      <c r="D7919" t="inlineStr">
        <is>
          <t>NIL</t>
        </is>
      </c>
      <c r="E7919" t="n">
        <v>1996</v>
      </c>
    </row>
    <row r="7920">
      <c r="A7920" t="inlineStr">
        <is>
          <t>27BBBBB07920Z5</t>
        </is>
      </c>
      <c r="B7920" t="inlineStr">
        <is>
          <t>Sep-2018</t>
        </is>
      </c>
      <c r="C7920" s="2" t="n">
        <v>44240</v>
      </c>
      <c r="D7920" t="inlineStr">
        <is>
          <t>NIL</t>
        </is>
      </c>
      <c r="E7920" t="n">
        <v>1870</v>
      </c>
    </row>
    <row r="7921">
      <c r="A7921" t="inlineStr">
        <is>
          <t>27BBBBB07921Z5</t>
        </is>
      </c>
      <c r="B7921" t="inlineStr">
        <is>
          <t>Mar-2020</t>
        </is>
      </c>
      <c r="C7921" s="2" t="n">
        <v>44519</v>
      </c>
      <c r="D7921" t="inlineStr">
        <is>
          <t>NON-NIL</t>
        </is>
      </c>
      <c r="E7921" t="n">
        <v>2032</v>
      </c>
    </row>
    <row r="7922">
      <c r="A7922" t="inlineStr">
        <is>
          <t>27BBBBB07922Z5</t>
        </is>
      </c>
      <c r="B7922" t="inlineStr">
        <is>
          <t>Nov-2018</t>
        </is>
      </c>
      <c r="C7922" s="2" t="n">
        <v>43591</v>
      </c>
      <c r="D7922" t="inlineStr">
        <is>
          <t>NON-NIL</t>
        </is>
      </c>
      <c r="E7922" t="n">
        <v>1625</v>
      </c>
    </row>
    <row r="7923">
      <c r="A7923" t="inlineStr">
        <is>
          <t>27BBBBB07923Z5</t>
        </is>
      </c>
      <c r="B7923" t="inlineStr">
        <is>
          <t>Aug-2018</t>
        </is>
      </c>
      <c r="C7923" s="2" t="n">
        <v>43168</v>
      </c>
      <c r="D7923" t="inlineStr">
        <is>
          <t>NIL</t>
        </is>
      </c>
      <c r="E7923" t="n">
        <v>328</v>
      </c>
    </row>
    <row r="7924">
      <c r="A7924" t="inlineStr">
        <is>
          <t>27BBBBB07924Z5</t>
        </is>
      </c>
      <c r="B7924" t="inlineStr">
        <is>
          <t>Jul-2020</t>
        </is>
      </c>
      <c r="C7924" s="2" t="n">
        <v>44753</v>
      </c>
      <c r="D7924" t="inlineStr">
        <is>
          <t>NON-NIL</t>
        </is>
      </c>
      <c r="E7924" t="n">
        <v>2926</v>
      </c>
    </row>
    <row r="7925">
      <c r="A7925" t="inlineStr">
        <is>
          <t>27BBBBB07925Z5</t>
        </is>
      </c>
      <c r="B7925" t="inlineStr">
        <is>
          <t>Jan-2021</t>
        </is>
      </c>
      <c r="C7925" s="2" t="n">
        <v>44624</v>
      </c>
      <c r="D7925" t="inlineStr">
        <is>
          <t>NON-NIL</t>
        </is>
      </c>
      <c r="E7925" t="n">
        <v>1272</v>
      </c>
    </row>
    <row r="7926">
      <c r="A7926" t="inlineStr">
        <is>
          <t>27BBBBB07926Z5</t>
        </is>
      </c>
      <c r="B7926" t="inlineStr">
        <is>
          <t>Oct-2017</t>
        </is>
      </c>
      <c r="C7926" s="2" t="n">
        <v>43624</v>
      </c>
      <c r="D7926" t="inlineStr">
        <is>
          <t>NON-NIL</t>
        </is>
      </c>
      <c r="E7926" t="n">
        <v>1474</v>
      </c>
    </row>
    <row r="7927">
      <c r="A7927" t="inlineStr">
        <is>
          <t>27BBBBB07927Z5</t>
        </is>
      </c>
      <c r="B7927" t="inlineStr">
        <is>
          <t>Sep-2018</t>
        </is>
      </c>
      <c r="C7927" s="2" t="n">
        <v>43502</v>
      </c>
      <c r="D7927" t="inlineStr">
        <is>
          <t>NIL</t>
        </is>
      </c>
      <c r="E7927" t="n">
        <v>1971</v>
      </c>
    </row>
    <row r="7928">
      <c r="A7928" t="inlineStr">
        <is>
          <t>27BBBBB07928Z5</t>
        </is>
      </c>
      <c r="B7928" t="inlineStr">
        <is>
          <t>May-2018</t>
        </is>
      </c>
      <c r="C7928" s="2" t="n">
        <v>44145</v>
      </c>
      <c r="D7928" t="inlineStr">
        <is>
          <t>NIL</t>
        </is>
      </c>
      <c r="E7928" t="n">
        <v>1200</v>
      </c>
    </row>
    <row r="7929">
      <c r="A7929" t="inlineStr">
        <is>
          <t>27BBBBB07929Z5</t>
        </is>
      </c>
      <c r="B7929" t="inlineStr">
        <is>
          <t>Dec-2018</t>
        </is>
      </c>
      <c r="C7929" s="2" t="n">
        <v>43069</v>
      </c>
      <c r="D7929" t="inlineStr">
        <is>
          <t>NIL</t>
        </is>
      </c>
      <c r="E7929" t="n">
        <v>595</v>
      </c>
    </row>
    <row r="7930">
      <c r="A7930" t="inlineStr">
        <is>
          <t>27BBBBB07930Z5</t>
        </is>
      </c>
      <c r="B7930" t="inlineStr">
        <is>
          <t>Dec-2018</t>
        </is>
      </c>
      <c r="C7930" s="2" t="n">
        <v>44531</v>
      </c>
      <c r="D7930" t="inlineStr">
        <is>
          <t>NIL</t>
        </is>
      </c>
      <c r="E7930" t="n">
        <v>2071</v>
      </c>
    </row>
    <row r="7931">
      <c r="A7931" t="inlineStr">
        <is>
          <t>27BBBBB07931Z5</t>
        </is>
      </c>
      <c r="B7931" t="inlineStr">
        <is>
          <t>Jul-2017</t>
        </is>
      </c>
      <c r="C7931" s="2" t="n">
        <v>44521</v>
      </c>
      <c r="D7931" t="inlineStr">
        <is>
          <t>NIL</t>
        </is>
      </c>
      <c r="E7931" t="n">
        <v>741</v>
      </c>
    </row>
    <row r="7932">
      <c r="A7932" t="inlineStr">
        <is>
          <t>27BBBBB07932Z5</t>
        </is>
      </c>
      <c r="B7932" t="inlineStr">
        <is>
          <t>Apr-2020</t>
        </is>
      </c>
      <c r="C7932" s="2" t="n">
        <v>44580</v>
      </c>
      <c r="D7932" t="inlineStr">
        <is>
          <t>NON-NIL</t>
        </is>
      </c>
      <c r="E7932" t="n">
        <v>2056</v>
      </c>
    </row>
    <row r="7933">
      <c r="A7933" t="inlineStr">
        <is>
          <t>27BBBBB07933Z5</t>
        </is>
      </c>
      <c r="B7933" t="inlineStr">
        <is>
          <t>Mar-2018</t>
        </is>
      </c>
      <c r="C7933" s="2" t="n">
        <v>44284</v>
      </c>
      <c r="D7933" t="inlineStr">
        <is>
          <t>NON-NIL</t>
        </is>
      </c>
      <c r="E7933" t="n">
        <v>1297</v>
      </c>
    </row>
    <row r="7934">
      <c r="A7934" t="inlineStr">
        <is>
          <t>27BBBBB07934Z5</t>
        </is>
      </c>
      <c r="B7934" t="inlineStr">
        <is>
          <t>Sep-2018</t>
        </is>
      </c>
      <c r="C7934" s="2" t="n">
        <v>43304</v>
      </c>
      <c r="D7934" t="inlineStr">
        <is>
          <t>NON-NIL</t>
        </is>
      </c>
      <c r="E7934" t="n">
        <v>680</v>
      </c>
    </row>
    <row r="7935">
      <c r="A7935" t="inlineStr">
        <is>
          <t>27BBBBB07935Z5</t>
        </is>
      </c>
      <c r="B7935" t="inlineStr">
        <is>
          <t>Jul-2018</t>
        </is>
      </c>
      <c r="C7935" s="2" t="n">
        <v>43456</v>
      </c>
      <c r="D7935" t="inlineStr">
        <is>
          <t>NIL</t>
        </is>
      </c>
      <c r="E7935" t="n">
        <v>1831</v>
      </c>
    </row>
    <row r="7936">
      <c r="A7936" t="inlineStr">
        <is>
          <t>27BBBBB07936Z5</t>
        </is>
      </c>
      <c r="B7936" t="inlineStr">
        <is>
          <t>Oct-2017</t>
        </is>
      </c>
      <c r="C7936" s="2" t="n">
        <v>44346</v>
      </c>
      <c r="D7936" t="inlineStr">
        <is>
          <t>NON-NIL</t>
        </is>
      </c>
      <c r="E7936" t="n">
        <v>2569</v>
      </c>
    </row>
    <row r="7937">
      <c r="A7937" t="inlineStr">
        <is>
          <t>27BBBBB07937Z5</t>
        </is>
      </c>
      <c r="B7937" t="inlineStr">
        <is>
          <t>Mar-2020</t>
        </is>
      </c>
      <c r="C7937" s="2" t="n">
        <v>44002</v>
      </c>
      <c r="D7937" t="inlineStr">
        <is>
          <t>NIL</t>
        </is>
      </c>
      <c r="E7937" t="n">
        <v>440</v>
      </c>
    </row>
    <row r="7938">
      <c r="A7938" t="inlineStr">
        <is>
          <t>27BBBBB07938Z5</t>
        </is>
      </c>
      <c r="B7938" t="inlineStr">
        <is>
          <t>Aug-2017</t>
        </is>
      </c>
      <c r="C7938" s="2" t="n">
        <v>43459</v>
      </c>
      <c r="D7938" t="inlineStr">
        <is>
          <t>NON-NIL</t>
        </is>
      </c>
      <c r="E7938" t="n">
        <v>2968</v>
      </c>
    </row>
    <row r="7939">
      <c r="A7939" t="inlineStr">
        <is>
          <t>27BBBBB07939Z5</t>
        </is>
      </c>
      <c r="B7939" t="inlineStr">
        <is>
          <t>Jun-2018</t>
        </is>
      </c>
      <c r="C7939" s="2" t="n">
        <v>43210</v>
      </c>
      <c r="D7939" t="inlineStr">
        <is>
          <t>NON-NIL</t>
        </is>
      </c>
      <c r="E7939" t="n">
        <v>1274</v>
      </c>
    </row>
    <row r="7940">
      <c r="A7940" t="inlineStr">
        <is>
          <t>27BBBBB07940Z5</t>
        </is>
      </c>
      <c r="B7940" t="inlineStr">
        <is>
          <t>Aug-2017</t>
        </is>
      </c>
      <c r="C7940" s="2" t="n">
        <v>44408</v>
      </c>
      <c r="D7940" t="inlineStr">
        <is>
          <t>NON-NIL</t>
        </is>
      </c>
      <c r="E7940" t="n">
        <v>1457</v>
      </c>
    </row>
    <row r="7941">
      <c r="A7941" t="inlineStr">
        <is>
          <t>27BBBBB07941Z5</t>
        </is>
      </c>
      <c r="B7941" t="inlineStr">
        <is>
          <t>Aug-2018</t>
        </is>
      </c>
      <c r="C7941" s="2" t="n">
        <v>43431</v>
      </c>
      <c r="D7941" t="inlineStr">
        <is>
          <t>NON-NIL</t>
        </is>
      </c>
      <c r="E7941" t="n">
        <v>1146</v>
      </c>
    </row>
    <row r="7942">
      <c r="A7942" t="inlineStr">
        <is>
          <t>27BBBBB07942Z5</t>
        </is>
      </c>
      <c r="B7942" t="inlineStr">
        <is>
          <t>Dec-2022</t>
        </is>
      </c>
      <c r="C7942" s="2" t="n">
        <v>44330</v>
      </c>
      <c r="D7942" t="inlineStr">
        <is>
          <t>NIL</t>
        </is>
      </c>
      <c r="E7942" t="n">
        <v>2595</v>
      </c>
    </row>
    <row r="7943">
      <c r="A7943" t="inlineStr">
        <is>
          <t>27BBBBB07943Z5</t>
        </is>
      </c>
      <c r="B7943" t="inlineStr">
        <is>
          <t>Dec-2017</t>
        </is>
      </c>
      <c r="C7943" s="2" t="n">
        <v>44094</v>
      </c>
      <c r="D7943" t="inlineStr">
        <is>
          <t>NIL</t>
        </is>
      </c>
      <c r="E7943" t="n">
        <v>974</v>
      </c>
    </row>
    <row r="7944">
      <c r="A7944" t="inlineStr">
        <is>
          <t>27BBBBB07944Z5</t>
        </is>
      </c>
      <c r="B7944" t="inlineStr">
        <is>
          <t>Nov-2018</t>
        </is>
      </c>
      <c r="C7944" s="2" t="n">
        <v>43278</v>
      </c>
      <c r="D7944" t="inlineStr">
        <is>
          <t>NON-NIL</t>
        </is>
      </c>
      <c r="E7944" t="n">
        <v>1307</v>
      </c>
    </row>
    <row r="7945">
      <c r="A7945" t="inlineStr">
        <is>
          <t>27BBBBB07945Z5</t>
        </is>
      </c>
      <c r="B7945" t="inlineStr">
        <is>
          <t>Oct-2017</t>
        </is>
      </c>
      <c r="C7945" s="2" t="n">
        <v>43230</v>
      </c>
      <c r="D7945" t="inlineStr">
        <is>
          <t>NON-NIL</t>
        </is>
      </c>
      <c r="E7945" t="n">
        <v>1846</v>
      </c>
    </row>
    <row r="7946">
      <c r="A7946" t="inlineStr">
        <is>
          <t>27BBBBB07946Z5</t>
        </is>
      </c>
      <c r="B7946" t="inlineStr">
        <is>
          <t>Dec-2017</t>
        </is>
      </c>
      <c r="C7946" s="2" t="n">
        <v>44090</v>
      </c>
      <c r="D7946" t="inlineStr">
        <is>
          <t>NIL</t>
        </is>
      </c>
      <c r="E7946" t="n">
        <v>1660</v>
      </c>
    </row>
    <row r="7947">
      <c r="A7947" t="inlineStr">
        <is>
          <t>27BBBBB07947Z5</t>
        </is>
      </c>
      <c r="B7947" t="inlineStr">
        <is>
          <t>Mar-2021</t>
        </is>
      </c>
      <c r="C7947" s="2" t="n">
        <v>44383</v>
      </c>
      <c r="D7947" t="inlineStr">
        <is>
          <t>NIL</t>
        </is>
      </c>
      <c r="E7947" t="n">
        <v>1841</v>
      </c>
    </row>
    <row r="7948">
      <c r="A7948" t="inlineStr">
        <is>
          <t>27BBBBB07948Z5</t>
        </is>
      </c>
      <c r="B7948" t="inlineStr">
        <is>
          <t>Aug-2017</t>
        </is>
      </c>
      <c r="C7948" s="2" t="n">
        <v>44257</v>
      </c>
      <c r="D7948" t="inlineStr">
        <is>
          <t>NIL</t>
        </is>
      </c>
      <c r="E7948" t="n">
        <v>2453</v>
      </c>
    </row>
    <row r="7949">
      <c r="A7949" t="inlineStr">
        <is>
          <t>27BBBBB07949Z5</t>
        </is>
      </c>
      <c r="B7949" t="inlineStr">
        <is>
          <t>Jun-2018</t>
        </is>
      </c>
      <c r="C7949" s="2" t="n">
        <v>43165</v>
      </c>
      <c r="D7949" t="inlineStr">
        <is>
          <t>NIL</t>
        </is>
      </c>
      <c r="E7949" t="n">
        <v>894</v>
      </c>
    </row>
    <row r="7950">
      <c r="A7950" t="inlineStr">
        <is>
          <t>27BBBBB07950Z5</t>
        </is>
      </c>
      <c r="B7950" t="inlineStr">
        <is>
          <t>Mar-2023</t>
        </is>
      </c>
      <c r="C7950" s="2" t="n">
        <v>43806</v>
      </c>
      <c r="D7950" t="inlineStr">
        <is>
          <t>NIL</t>
        </is>
      </c>
      <c r="E7950" t="n">
        <v>596</v>
      </c>
    </row>
    <row r="7951">
      <c r="A7951" t="inlineStr">
        <is>
          <t>27BBBBB07951Z5</t>
        </is>
      </c>
      <c r="B7951" t="inlineStr">
        <is>
          <t>Nov-2017</t>
        </is>
      </c>
      <c r="C7951" s="2" t="n">
        <v>43818</v>
      </c>
      <c r="D7951" t="inlineStr">
        <is>
          <t>NON-NIL</t>
        </is>
      </c>
      <c r="E7951" t="n">
        <v>404</v>
      </c>
    </row>
    <row r="7952">
      <c r="A7952" t="inlineStr">
        <is>
          <t>27BBBBB07952Z5</t>
        </is>
      </c>
      <c r="B7952" t="inlineStr">
        <is>
          <t>Jun-2018</t>
        </is>
      </c>
      <c r="C7952" s="2" t="n">
        <v>44049</v>
      </c>
      <c r="D7952" t="inlineStr">
        <is>
          <t>NON-NIL</t>
        </is>
      </c>
      <c r="E7952" t="n">
        <v>619</v>
      </c>
    </row>
    <row r="7953">
      <c r="A7953" t="inlineStr">
        <is>
          <t>27BBBBB07953Z5</t>
        </is>
      </c>
      <c r="B7953" t="inlineStr">
        <is>
          <t>Jun-2018</t>
        </is>
      </c>
      <c r="C7953" s="2" t="n">
        <v>44346</v>
      </c>
      <c r="D7953" t="inlineStr">
        <is>
          <t>NIL</t>
        </is>
      </c>
      <c r="E7953" t="n">
        <v>356</v>
      </c>
    </row>
    <row r="7954">
      <c r="A7954" t="inlineStr">
        <is>
          <t>27BBBBB07954Z5</t>
        </is>
      </c>
      <c r="B7954" t="inlineStr">
        <is>
          <t>Dec-2018</t>
        </is>
      </c>
      <c r="C7954" s="2" t="n">
        <v>44455</v>
      </c>
      <c r="D7954" t="inlineStr">
        <is>
          <t>NON-NIL</t>
        </is>
      </c>
      <c r="E7954" t="n">
        <v>2838</v>
      </c>
    </row>
    <row r="7955">
      <c r="A7955" t="inlineStr">
        <is>
          <t>27BBBBB07955Z5</t>
        </is>
      </c>
      <c r="B7955" t="inlineStr">
        <is>
          <t>Apr-2018</t>
        </is>
      </c>
      <c r="C7955" s="2" t="n">
        <v>43288</v>
      </c>
      <c r="D7955" t="inlineStr">
        <is>
          <t>NIL</t>
        </is>
      </c>
      <c r="E7955" t="n">
        <v>977</v>
      </c>
    </row>
    <row r="7956">
      <c r="A7956" t="inlineStr">
        <is>
          <t>27BBBBB07956Z5</t>
        </is>
      </c>
      <c r="B7956" t="inlineStr">
        <is>
          <t>Oct-2017</t>
        </is>
      </c>
      <c r="C7956" s="2" t="n">
        <v>44064</v>
      </c>
      <c r="D7956" t="inlineStr">
        <is>
          <t>NON-NIL</t>
        </is>
      </c>
      <c r="E7956" t="n">
        <v>2077</v>
      </c>
    </row>
    <row r="7957">
      <c r="A7957" t="inlineStr">
        <is>
          <t>27BBBBB07957Z5</t>
        </is>
      </c>
      <c r="B7957" t="inlineStr">
        <is>
          <t>Jan-2018</t>
        </is>
      </c>
      <c r="C7957" s="2" t="n">
        <v>43096</v>
      </c>
      <c r="D7957" t="inlineStr">
        <is>
          <t>NIL</t>
        </is>
      </c>
      <c r="E7957" t="n">
        <v>701</v>
      </c>
    </row>
    <row r="7958">
      <c r="A7958" t="inlineStr">
        <is>
          <t>27BBBBB07958Z5</t>
        </is>
      </c>
      <c r="B7958" t="inlineStr">
        <is>
          <t>Apr-2020</t>
        </is>
      </c>
      <c r="C7958" s="2" t="n">
        <v>44819</v>
      </c>
      <c r="D7958" t="inlineStr">
        <is>
          <t>NON-NIL</t>
        </is>
      </c>
      <c r="E7958" t="n">
        <v>2010</v>
      </c>
    </row>
    <row r="7959">
      <c r="A7959" t="inlineStr">
        <is>
          <t>27BBBBB07959Z5</t>
        </is>
      </c>
      <c r="B7959" t="inlineStr">
        <is>
          <t>Jul-2017</t>
        </is>
      </c>
      <c r="C7959" s="2" t="n">
        <v>43326</v>
      </c>
      <c r="D7959" t="inlineStr">
        <is>
          <t>NON-NIL</t>
        </is>
      </c>
      <c r="E7959" t="n">
        <v>117</v>
      </c>
    </row>
    <row r="7960">
      <c r="A7960" t="inlineStr">
        <is>
          <t>27BBBBB07960Z5</t>
        </is>
      </c>
      <c r="B7960" t="inlineStr">
        <is>
          <t>Apr-2020</t>
        </is>
      </c>
      <c r="C7960" s="2" t="n">
        <v>44737</v>
      </c>
      <c r="D7960" t="inlineStr">
        <is>
          <t>NIL</t>
        </is>
      </c>
      <c r="E7960" t="n">
        <v>2987</v>
      </c>
    </row>
    <row r="7961">
      <c r="A7961" t="inlineStr">
        <is>
          <t>27BBBBB07961Z5</t>
        </is>
      </c>
      <c r="B7961" t="inlineStr">
        <is>
          <t>Dec-2024</t>
        </is>
      </c>
      <c r="C7961" s="2" t="n">
        <v>45659</v>
      </c>
      <c r="D7961" t="inlineStr">
        <is>
          <t>NIL</t>
        </is>
      </c>
      <c r="E7961" t="n">
        <v>1096</v>
      </c>
    </row>
    <row r="7962">
      <c r="A7962" t="inlineStr">
        <is>
          <t>27BBBBB07962Z5</t>
        </is>
      </c>
      <c r="B7962" t="inlineStr">
        <is>
          <t>Mar-2023</t>
        </is>
      </c>
      <c r="C7962" s="2" t="n">
        <v>45656</v>
      </c>
      <c r="D7962" t="inlineStr">
        <is>
          <t>NON-NIL</t>
        </is>
      </c>
      <c r="E7962" t="n">
        <v>1263</v>
      </c>
    </row>
    <row r="7963">
      <c r="A7963" t="inlineStr">
        <is>
          <t>27BBBBB07963Z5</t>
        </is>
      </c>
      <c r="B7963" t="inlineStr">
        <is>
          <t>Feb-2018</t>
        </is>
      </c>
      <c r="C7963" s="2" t="n">
        <v>43740</v>
      </c>
      <c r="D7963" t="inlineStr">
        <is>
          <t>NIL</t>
        </is>
      </c>
      <c r="E7963" t="n">
        <v>2615</v>
      </c>
    </row>
    <row r="7964">
      <c r="A7964" t="inlineStr">
        <is>
          <t>27BBBBB07964Z5</t>
        </is>
      </c>
      <c r="B7964" t="inlineStr">
        <is>
          <t>Mar-2021</t>
        </is>
      </c>
      <c r="C7964" s="2" t="n">
        <v>45266</v>
      </c>
      <c r="D7964" t="inlineStr">
        <is>
          <t>NON-NIL</t>
        </is>
      </c>
      <c r="E7964" t="n">
        <v>2132</v>
      </c>
    </row>
    <row r="7965">
      <c r="A7965" t="inlineStr">
        <is>
          <t>27BBBBB07965Z5</t>
        </is>
      </c>
      <c r="B7965" t="inlineStr">
        <is>
          <t>Dec-2024</t>
        </is>
      </c>
      <c r="C7965" s="2" t="n">
        <v>43900</v>
      </c>
      <c r="D7965" t="inlineStr">
        <is>
          <t>NON-NIL</t>
        </is>
      </c>
      <c r="E7965" t="n">
        <v>776</v>
      </c>
    </row>
    <row r="7966">
      <c r="A7966" t="inlineStr">
        <is>
          <t>27BBBBB07966Z5</t>
        </is>
      </c>
      <c r="B7966" t="inlineStr">
        <is>
          <t>Oct-2017</t>
        </is>
      </c>
      <c r="C7966" s="2" t="n">
        <v>43897</v>
      </c>
      <c r="D7966" t="inlineStr">
        <is>
          <t>NON-NIL</t>
        </is>
      </c>
      <c r="E7966" t="n">
        <v>552</v>
      </c>
    </row>
    <row r="7967">
      <c r="A7967" t="inlineStr">
        <is>
          <t>27BBBBB07967Z5</t>
        </is>
      </c>
      <c r="B7967" t="inlineStr">
        <is>
          <t>Mar-2020</t>
        </is>
      </c>
      <c r="C7967" s="2" t="n">
        <v>44812</v>
      </c>
      <c r="D7967" t="inlineStr">
        <is>
          <t>NON-NIL</t>
        </is>
      </c>
      <c r="E7967" t="n">
        <v>1190</v>
      </c>
    </row>
    <row r="7968">
      <c r="A7968" t="inlineStr">
        <is>
          <t>27BBBBB07968Z5</t>
        </is>
      </c>
      <c r="B7968" t="inlineStr">
        <is>
          <t>Dec-2017</t>
        </is>
      </c>
      <c r="C7968" s="2" t="n">
        <v>43958</v>
      </c>
      <c r="D7968" t="inlineStr">
        <is>
          <t>NON-NIL</t>
        </is>
      </c>
      <c r="E7968" t="n">
        <v>2683</v>
      </c>
    </row>
    <row r="7969">
      <c r="A7969" t="inlineStr">
        <is>
          <t>27BBBBB07969Z5</t>
        </is>
      </c>
      <c r="B7969" t="inlineStr">
        <is>
          <t>Dec-2024</t>
        </is>
      </c>
      <c r="C7969" s="2" t="n">
        <v>45064</v>
      </c>
      <c r="D7969" t="inlineStr">
        <is>
          <t>NON-NIL</t>
        </is>
      </c>
      <c r="E7969" t="n">
        <v>508</v>
      </c>
    </row>
    <row r="7970">
      <c r="A7970" t="inlineStr">
        <is>
          <t>27BBBBB07970Z5</t>
        </is>
      </c>
      <c r="B7970" t="inlineStr">
        <is>
          <t>Mar-2020</t>
        </is>
      </c>
      <c r="C7970" s="2" t="n">
        <v>44144</v>
      </c>
      <c r="D7970" t="inlineStr">
        <is>
          <t>NON-NIL</t>
        </is>
      </c>
      <c r="E7970" t="n">
        <v>269</v>
      </c>
    </row>
    <row r="7971">
      <c r="A7971" t="inlineStr">
        <is>
          <t>27BBBBB07971Z5</t>
        </is>
      </c>
      <c r="B7971" t="inlineStr">
        <is>
          <t>Oct-2018</t>
        </is>
      </c>
      <c r="C7971" s="2" t="n">
        <v>44330</v>
      </c>
      <c r="D7971" t="inlineStr">
        <is>
          <t>NON-NIL</t>
        </is>
      </c>
      <c r="E7971" t="n">
        <v>2810</v>
      </c>
    </row>
    <row r="7972">
      <c r="A7972" t="inlineStr">
        <is>
          <t>27BBBBB07972Z5</t>
        </is>
      </c>
      <c r="B7972" t="inlineStr">
        <is>
          <t>Dec-2018</t>
        </is>
      </c>
      <c r="C7972" s="2" t="n">
        <v>43733</v>
      </c>
      <c r="D7972" t="inlineStr">
        <is>
          <t>NIL</t>
        </is>
      </c>
      <c r="E7972" t="n">
        <v>1845</v>
      </c>
    </row>
    <row r="7973">
      <c r="A7973" t="inlineStr">
        <is>
          <t>27BBBBB07973Z5</t>
        </is>
      </c>
      <c r="B7973" t="inlineStr">
        <is>
          <t>Jul-2020</t>
        </is>
      </c>
      <c r="C7973" s="2" t="n">
        <v>44411</v>
      </c>
      <c r="D7973" t="inlineStr">
        <is>
          <t>NIL</t>
        </is>
      </c>
      <c r="E7973" t="n">
        <v>2693</v>
      </c>
    </row>
    <row r="7974">
      <c r="A7974" t="inlineStr">
        <is>
          <t>27BBBBB07974Z5</t>
        </is>
      </c>
      <c r="B7974" t="inlineStr">
        <is>
          <t>Apr-2020</t>
        </is>
      </c>
      <c r="C7974" s="2" t="n">
        <v>43933</v>
      </c>
      <c r="D7974" t="inlineStr">
        <is>
          <t>NIL</t>
        </is>
      </c>
      <c r="E7974" t="n">
        <v>919</v>
      </c>
    </row>
    <row r="7975">
      <c r="A7975" t="inlineStr">
        <is>
          <t>27BBBBB07975Z5</t>
        </is>
      </c>
      <c r="B7975" t="inlineStr">
        <is>
          <t>Apr-2020</t>
        </is>
      </c>
      <c r="C7975" s="2" t="n">
        <v>44075</v>
      </c>
      <c r="D7975" t="inlineStr">
        <is>
          <t>NON-NIL</t>
        </is>
      </c>
      <c r="E7975" t="n">
        <v>497</v>
      </c>
    </row>
    <row r="7976">
      <c r="A7976" t="inlineStr">
        <is>
          <t>27BBBBB07976Z5</t>
        </is>
      </c>
      <c r="B7976" t="inlineStr">
        <is>
          <t>Aug-2017</t>
        </is>
      </c>
      <c r="C7976" s="2" t="n">
        <v>43199</v>
      </c>
      <c r="D7976" t="inlineStr">
        <is>
          <t>NIL</t>
        </is>
      </c>
      <c r="E7976" t="n">
        <v>443</v>
      </c>
    </row>
    <row r="7977">
      <c r="A7977" t="inlineStr">
        <is>
          <t>27BBBBB07977Z5</t>
        </is>
      </c>
      <c r="B7977" t="inlineStr">
        <is>
          <t>Oct-2017</t>
        </is>
      </c>
      <c r="C7977" s="2" t="n">
        <v>43124</v>
      </c>
      <c r="D7977" t="inlineStr">
        <is>
          <t>NON-NIL</t>
        </is>
      </c>
      <c r="E7977" t="n">
        <v>137</v>
      </c>
    </row>
    <row r="7978">
      <c r="A7978" t="inlineStr">
        <is>
          <t>27BBBBB07978Z5</t>
        </is>
      </c>
      <c r="B7978" t="inlineStr">
        <is>
          <t>Apr-2018</t>
        </is>
      </c>
      <c r="C7978" s="2" t="n">
        <v>42958</v>
      </c>
      <c r="D7978" t="inlineStr">
        <is>
          <t>NON-NIL</t>
        </is>
      </c>
      <c r="E7978" t="n">
        <v>2913</v>
      </c>
    </row>
    <row r="7979">
      <c r="A7979" t="inlineStr">
        <is>
          <t>27BBBBB07979Z5</t>
        </is>
      </c>
      <c r="B7979" t="inlineStr">
        <is>
          <t>Oct-2018</t>
        </is>
      </c>
      <c r="C7979" s="2" t="n">
        <v>44031</v>
      </c>
      <c r="D7979" t="inlineStr">
        <is>
          <t>NON-NIL</t>
        </is>
      </c>
      <c r="E7979" t="n">
        <v>942</v>
      </c>
    </row>
    <row r="7980">
      <c r="A7980" t="inlineStr">
        <is>
          <t>27BBBBB07980Z5</t>
        </is>
      </c>
      <c r="B7980" t="inlineStr">
        <is>
          <t>Oct-2018</t>
        </is>
      </c>
      <c r="C7980" s="2" t="n">
        <v>43529</v>
      </c>
      <c r="D7980" t="inlineStr">
        <is>
          <t>NIL</t>
        </is>
      </c>
      <c r="E7980" t="n">
        <v>1530</v>
      </c>
    </row>
    <row r="7981">
      <c r="A7981" t="inlineStr">
        <is>
          <t>27BBBBB07981Z5</t>
        </is>
      </c>
      <c r="B7981" t="inlineStr">
        <is>
          <t>Nov-2017</t>
        </is>
      </c>
      <c r="C7981" s="2" t="n">
        <v>43158</v>
      </c>
      <c r="D7981" t="inlineStr">
        <is>
          <t>NON-NIL</t>
        </is>
      </c>
      <c r="E7981" t="n">
        <v>2982</v>
      </c>
    </row>
    <row r="7982">
      <c r="A7982" t="inlineStr">
        <is>
          <t>27BBBBB07982Z5</t>
        </is>
      </c>
      <c r="B7982" t="inlineStr">
        <is>
          <t>Jul-2017</t>
        </is>
      </c>
      <c r="C7982" s="2" t="n">
        <v>43179</v>
      </c>
      <c r="D7982" t="inlineStr">
        <is>
          <t>NIL</t>
        </is>
      </c>
      <c r="E7982" t="n">
        <v>2046</v>
      </c>
    </row>
    <row r="7983">
      <c r="A7983" t="inlineStr">
        <is>
          <t>27BBBBB07983Z5</t>
        </is>
      </c>
      <c r="B7983" t="inlineStr">
        <is>
          <t>Feb-2018</t>
        </is>
      </c>
      <c r="C7983" s="2" t="n">
        <v>44074</v>
      </c>
      <c r="D7983" t="inlineStr">
        <is>
          <t>NON-NIL</t>
        </is>
      </c>
      <c r="E7983" t="n">
        <v>230</v>
      </c>
    </row>
    <row r="7984">
      <c r="A7984" t="inlineStr">
        <is>
          <t>27BBBBB07984Z5</t>
        </is>
      </c>
      <c r="B7984" t="inlineStr">
        <is>
          <t>May-2020</t>
        </is>
      </c>
      <c r="C7984" s="2" t="n">
        <v>43994</v>
      </c>
      <c r="D7984" t="inlineStr">
        <is>
          <t>NON-NIL</t>
        </is>
      </c>
      <c r="E7984" t="n">
        <v>2780</v>
      </c>
    </row>
    <row r="7985">
      <c r="A7985" t="inlineStr">
        <is>
          <t>27BBBBB07985Z5</t>
        </is>
      </c>
      <c r="B7985" t="inlineStr">
        <is>
          <t>Feb-2018</t>
        </is>
      </c>
      <c r="C7985" s="2" t="n">
        <v>43172</v>
      </c>
      <c r="D7985" t="inlineStr">
        <is>
          <t>NON-NIL</t>
        </is>
      </c>
      <c r="E7985" t="n">
        <v>531</v>
      </c>
    </row>
    <row r="7986">
      <c r="A7986" t="inlineStr">
        <is>
          <t>27BBBBB07986Z5</t>
        </is>
      </c>
      <c r="B7986" t="inlineStr">
        <is>
          <t>Mar-2020</t>
        </is>
      </c>
      <c r="C7986" s="2" t="n">
        <v>44477</v>
      </c>
      <c r="D7986" t="inlineStr">
        <is>
          <t>NIL</t>
        </is>
      </c>
      <c r="E7986" t="n">
        <v>212</v>
      </c>
    </row>
    <row r="7987">
      <c r="A7987" t="inlineStr">
        <is>
          <t>27BBBBB07987Z5</t>
        </is>
      </c>
      <c r="B7987" t="inlineStr">
        <is>
          <t>Mar-2023</t>
        </is>
      </c>
      <c r="C7987" s="2" t="n">
        <v>45315</v>
      </c>
      <c r="D7987" t="inlineStr">
        <is>
          <t>NON-NIL</t>
        </is>
      </c>
      <c r="E7987" t="n">
        <v>458</v>
      </c>
    </row>
    <row r="7988">
      <c r="A7988" t="inlineStr">
        <is>
          <t>27BBBBB07988Z5</t>
        </is>
      </c>
      <c r="B7988" t="inlineStr">
        <is>
          <t>Mar-2020</t>
        </is>
      </c>
      <c r="C7988" s="2" t="n">
        <v>44641</v>
      </c>
      <c r="D7988" t="inlineStr">
        <is>
          <t>NON-NIL</t>
        </is>
      </c>
      <c r="E7988" t="n">
        <v>1778</v>
      </c>
    </row>
    <row r="7989">
      <c r="A7989" t="inlineStr">
        <is>
          <t>27BBBBB07989Z5</t>
        </is>
      </c>
      <c r="B7989" t="inlineStr">
        <is>
          <t>Oct-2018</t>
        </is>
      </c>
      <c r="C7989" s="2" t="n">
        <v>44447</v>
      </c>
      <c r="D7989" t="inlineStr">
        <is>
          <t>NON-NIL</t>
        </is>
      </c>
      <c r="E7989" t="n">
        <v>271</v>
      </c>
    </row>
    <row r="7990">
      <c r="A7990" t="inlineStr">
        <is>
          <t>27BBBBB07990Z5</t>
        </is>
      </c>
      <c r="B7990" t="inlineStr">
        <is>
          <t>Jun-2020</t>
        </is>
      </c>
      <c r="C7990" s="2" t="n">
        <v>44655</v>
      </c>
      <c r="D7990" t="inlineStr">
        <is>
          <t>NON-NIL</t>
        </is>
      </c>
      <c r="E7990" t="n">
        <v>208</v>
      </c>
    </row>
    <row r="7991">
      <c r="A7991" t="inlineStr">
        <is>
          <t>27BBBBB07991Z5</t>
        </is>
      </c>
      <c r="B7991" t="inlineStr">
        <is>
          <t>Jul-2018</t>
        </is>
      </c>
      <c r="C7991" s="2" t="n">
        <v>43462</v>
      </c>
      <c r="D7991" t="inlineStr">
        <is>
          <t>NON-NIL</t>
        </is>
      </c>
      <c r="E7991" t="n">
        <v>2250</v>
      </c>
    </row>
    <row r="7992">
      <c r="A7992" t="inlineStr">
        <is>
          <t>27BBBBB07992Z5</t>
        </is>
      </c>
      <c r="B7992" t="inlineStr">
        <is>
          <t>Jun-2020</t>
        </is>
      </c>
      <c r="C7992" s="2" t="n">
        <v>44903</v>
      </c>
      <c r="D7992" t="inlineStr">
        <is>
          <t>NON-NIL</t>
        </is>
      </c>
      <c r="E7992" t="n">
        <v>2586</v>
      </c>
    </row>
    <row r="7993">
      <c r="A7993" t="inlineStr">
        <is>
          <t>27BBBBB07993Z5</t>
        </is>
      </c>
      <c r="B7993" t="inlineStr">
        <is>
          <t>Dec-2022</t>
        </is>
      </c>
      <c r="C7993" s="2" t="n">
        <v>44744</v>
      </c>
      <c r="D7993" t="inlineStr">
        <is>
          <t>NON-NIL</t>
        </is>
      </c>
      <c r="E7993" t="n">
        <v>2726</v>
      </c>
    </row>
    <row r="7994">
      <c r="A7994" t="inlineStr">
        <is>
          <t>27BBBBB07994Z5</t>
        </is>
      </c>
      <c r="B7994" t="inlineStr">
        <is>
          <t>Nov-2017</t>
        </is>
      </c>
      <c r="C7994" s="2" t="n">
        <v>43504</v>
      </c>
      <c r="D7994" t="inlineStr">
        <is>
          <t>NON-NIL</t>
        </is>
      </c>
      <c r="E7994" t="n">
        <v>238</v>
      </c>
    </row>
    <row r="7995">
      <c r="A7995" t="inlineStr">
        <is>
          <t>27BBBBB07995Z5</t>
        </is>
      </c>
      <c r="B7995" t="inlineStr">
        <is>
          <t>Mar-2018</t>
        </is>
      </c>
      <c r="C7995" s="2" t="n">
        <v>44418</v>
      </c>
      <c r="D7995" t="inlineStr">
        <is>
          <t>NON-NIL</t>
        </is>
      </c>
      <c r="E7995" t="n">
        <v>1193</v>
      </c>
    </row>
    <row r="7996">
      <c r="A7996" t="inlineStr">
        <is>
          <t>27BBBBB07996Z5</t>
        </is>
      </c>
      <c r="B7996" t="inlineStr">
        <is>
          <t>Dec-2024</t>
        </is>
      </c>
      <c r="C7996" s="2" t="n">
        <v>44916</v>
      </c>
      <c r="D7996" t="inlineStr">
        <is>
          <t>NIL</t>
        </is>
      </c>
      <c r="E7996" t="n">
        <v>2056</v>
      </c>
    </row>
    <row r="7997">
      <c r="A7997" t="inlineStr">
        <is>
          <t>27BBBBB07997Z5</t>
        </is>
      </c>
      <c r="B7997" t="inlineStr">
        <is>
          <t>Aug-2018</t>
        </is>
      </c>
      <c r="C7997" s="2" t="n">
        <v>44061</v>
      </c>
      <c r="D7997" t="inlineStr">
        <is>
          <t>NON-NIL</t>
        </is>
      </c>
      <c r="E7997" t="n">
        <v>1295</v>
      </c>
    </row>
    <row r="7998">
      <c r="A7998" t="inlineStr">
        <is>
          <t>27BBBBB07998Z5</t>
        </is>
      </c>
      <c r="B7998" t="inlineStr">
        <is>
          <t>Oct-2017</t>
        </is>
      </c>
      <c r="C7998" s="2" t="n">
        <v>43269</v>
      </c>
      <c r="D7998" t="inlineStr">
        <is>
          <t>NON-NIL</t>
        </is>
      </c>
      <c r="E7998" t="n">
        <v>1351</v>
      </c>
    </row>
    <row r="7999">
      <c r="A7999" t="inlineStr">
        <is>
          <t>27BBBBB07999Z5</t>
        </is>
      </c>
      <c r="B7999" t="inlineStr">
        <is>
          <t>Dec-2017</t>
        </is>
      </c>
      <c r="C7999" s="2" t="n">
        <v>43927</v>
      </c>
      <c r="D7999" t="inlineStr">
        <is>
          <t>NON-NIL</t>
        </is>
      </c>
      <c r="E7999" t="n">
        <v>1726</v>
      </c>
    </row>
    <row r="8000">
      <c r="A8000" t="inlineStr">
        <is>
          <t>27BBBBB08000Z5</t>
        </is>
      </c>
      <c r="B8000" t="inlineStr">
        <is>
          <t>Sep-2018</t>
        </is>
      </c>
      <c r="C8000" s="2" t="n">
        <v>43403</v>
      </c>
      <c r="D8000" t="inlineStr">
        <is>
          <t>NIL</t>
        </is>
      </c>
      <c r="E8000" t="n">
        <v>1405</v>
      </c>
    </row>
    <row r="8001">
      <c r="A8001" t="inlineStr">
        <is>
          <t>27BBBBB08001Z5</t>
        </is>
      </c>
      <c r="B8001" t="inlineStr">
        <is>
          <t>Jun-2018</t>
        </is>
      </c>
      <c r="C8001" s="2" t="n">
        <v>43269</v>
      </c>
      <c r="D8001" t="inlineStr">
        <is>
          <t>NON-NIL</t>
        </is>
      </c>
      <c r="E8001" t="n">
        <v>1105</v>
      </c>
    </row>
    <row r="8002">
      <c r="A8002" t="inlineStr">
        <is>
          <t>27BBBBB08002Z5</t>
        </is>
      </c>
      <c r="B8002" t="inlineStr">
        <is>
          <t>Sep-2017</t>
        </is>
      </c>
      <c r="C8002" s="2" t="n">
        <v>44340</v>
      </c>
      <c r="D8002" t="inlineStr">
        <is>
          <t>NON-NIL</t>
        </is>
      </c>
      <c r="E8002" t="n">
        <v>2208</v>
      </c>
    </row>
    <row r="8003">
      <c r="A8003" t="inlineStr">
        <is>
          <t>27BBBBB08003Z5</t>
        </is>
      </c>
      <c r="B8003" t="inlineStr">
        <is>
          <t>Jan-2018</t>
        </is>
      </c>
      <c r="C8003" s="2" t="n">
        <v>43290</v>
      </c>
      <c r="D8003" t="inlineStr">
        <is>
          <t>NIL</t>
        </is>
      </c>
      <c r="E8003" t="n">
        <v>322</v>
      </c>
    </row>
    <row r="8004">
      <c r="A8004" t="inlineStr">
        <is>
          <t>27BBBBB08004Z5</t>
        </is>
      </c>
      <c r="B8004" t="inlineStr">
        <is>
          <t>Nov-2017</t>
        </is>
      </c>
      <c r="C8004" s="2" t="n">
        <v>43694</v>
      </c>
      <c r="D8004" t="inlineStr">
        <is>
          <t>NIL</t>
        </is>
      </c>
      <c r="E8004" t="n">
        <v>2264</v>
      </c>
    </row>
    <row r="8005">
      <c r="A8005" t="inlineStr">
        <is>
          <t>27BBBBB08005Z5</t>
        </is>
      </c>
      <c r="B8005" t="inlineStr">
        <is>
          <t>Aug-2018</t>
        </is>
      </c>
      <c r="C8005" s="2" t="n">
        <v>43976</v>
      </c>
      <c r="D8005" t="inlineStr">
        <is>
          <t>NON-NIL</t>
        </is>
      </c>
      <c r="E8005" t="n">
        <v>97</v>
      </c>
    </row>
    <row r="8006">
      <c r="A8006" t="inlineStr">
        <is>
          <t>27BBBBB08006Z5</t>
        </is>
      </c>
      <c r="B8006" t="inlineStr">
        <is>
          <t>Dec-2024</t>
        </is>
      </c>
      <c r="C8006" s="2" t="n">
        <v>45066</v>
      </c>
      <c r="D8006" t="inlineStr">
        <is>
          <t>NIL</t>
        </is>
      </c>
      <c r="E8006" t="n">
        <v>1221</v>
      </c>
    </row>
    <row r="8007">
      <c r="A8007" t="inlineStr">
        <is>
          <t>27BBBBB08007Z5</t>
        </is>
      </c>
      <c r="B8007" t="inlineStr">
        <is>
          <t>May-2018</t>
        </is>
      </c>
      <c r="C8007" s="2" t="n">
        <v>43996</v>
      </c>
      <c r="D8007" t="inlineStr">
        <is>
          <t>NON-NIL</t>
        </is>
      </c>
      <c r="E8007" t="n">
        <v>1706</v>
      </c>
    </row>
    <row r="8008">
      <c r="A8008" t="inlineStr">
        <is>
          <t>27BBBBB08008Z5</t>
        </is>
      </c>
      <c r="B8008" t="inlineStr">
        <is>
          <t>Jan-2021</t>
        </is>
      </c>
      <c r="C8008" s="2" t="n">
        <v>45479</v>
      </c>
      <c r="D8008" t="inlineStr">
        <is>
          <t>NON-NIL</t>
        </is>
      </c>
      <c r="E8008" t="n">
        <v>259</v>
      </c>
    </row>
    <row r="8009">
      <c r="A8009" t="inlineStr">
        <is>
          <t>27BBBBB08009Z5</t>
        </is>
      </c>
      <c r="B8009" t="inlineStr">
        <is>
          <t>Jul-2017</t>
        </is>
      </c>
      <c r="C8009" s="2" t="n">
        <v>43508</v>
      </c>
      <c r="D8009" t="inlineStr">
        <is>
          <t>NON-NIL</t>
        </is>
      </c>
      <c r="E8009" t="n">
        <v>2673</v>
      </c>
    </row>
    <row r="8010">
      <c r="A8010" t="inlineStr">
        <is>
          <t>27BBBBB08010Z5</t>
        </is>
      </c>
      <c r="B8010" t="inlineStr">
        <is>
          <t>Jul-2018</t>
        </is>
      </c>
      <c r="C8010" s="2" t="n">
        <v>43950</v>
      </c>
      <c r="D8010" t="inlineStr">
        <is>
          <t>NIL</t>
        </is>
      </c>
      <c r="E8010" t="n">
        <v>1778</v>
      </c>
    </row>
    <row r="8011">
      <c r="A8011" t="inlineStr">
        <is>
          <t>27BBBBB08011Z5</t>
        </is>
      </c>
      <c r="B8011" t="inlineStr">
        <is>
          <t>Jul-2020</t>
        </is>
      </c>
      <c r="C8011" s="2" t="n">
        <v>44314</v>
      </c>
      <c r="D8011" t="inlineStr">
        <is>
          <t>NON-NIL</t>
        </is>
      </c>
      <c r="E8011" t="n">
        <v>723</v>
      </c>
    </row>
    <row r="8012">
      <c r="A8012" t="inlineStr">
        <is>
          <t>27BBBBB08012Z5</t>
        </is>
      </c>
      <c r="B8012" t="inlineStr">
        <is>
          <t>Mar-2023</t>
        </is>
      </c>
      <c r="C8012" s="2" t="n">
        <v>44710</v>
      </c>
      <c r="D8012" t="inlineStr">
        <is>
          <t>NIL</t>
        </is>
      </c>
      <c r="E8012" t="n">
        <v>843</v>
      </c>
    </row>
    <row r="8013">
      <c r="A8013" t="inlineStr">
        <is>
          <t>27BBBBB08013Z5</t>
        </is>
      </c>
      <c r="B8013" t="inlineStr">
        <is>
          <t>Jun-2018</t>
        </is>
      </c>
      <c r="C8013" s="2" t="n">
        <v>44179</v>
      </c>
      <c r="D8013" t="inlineStr">
        <is>
          <t>NIL</t>
        </is>
      </c>
      <c r="E8013" t="n">
        <v>2172</v>
      </c>
    </row>
    <row r="8014">
      <c r="A8014" t="inlineStr">
        <is>
          <t>27BBBBB08014Z5</t>
        </is>
      </c>
      <c r="B8014" t="inlineStr">
        <is>
          <t>Dec-2024</t>
        </is>
      </c>
      <c r="C8014" s="2" t="n">
        <v>45595</v>
      </c>
      <c r="D8014" t="inlineStr">
        <is>
          <t>NON-NIL</t>
        </is>
      </c>
      <c r="E8014" t="n">
        <v>47</v>
      </c>
    </row>
    <row r="8015">
      <c r="A8015" t="inlineStr">
        <is>
          <t>27BBBBB08015Z5</t>
        </is>
      </c>
      <c r="B8015" t="inlineStr">
        <is>
          <t>Jul-2017</t>
        </is>
      </c>
      <c r="C8015" s="2" t="n">
        <v>43596</v>
      </c>
      <c r="D8015" t="inlineStr">
        <is>
          <t>NIL</t>
        </is>
      </c>
      <c r="E8015" t="n">
        <v>1430</v>
      </c>
    </row>
    <row r="8016">
      <c r="A8016" t="inlineStr">
        <is>
          <t>27BBBBB08016Z5</t>
        </is>
      </c>
      <c r="B8016" t="inlineStr">
        <is>
          <t>Sep-2017</t>
        </is>
      </c>
      <c r="C8016" s="2" t="n">
        <v>44548</v>
      </c>
      <c r="D8016" t="inlineStr">
        <is>
          <t>NIL</t>
        </is>
      </c>
      <c r="E8016" t="n">
        <v>1615</v>
      </c>
    </row>
    <row r="8017">
      <c r="A8017" t="inlineStr">
        <is>
          <t>27BBBBB08017Z5</t>
        </is>
      </c>
      <c r="B8017" t="inlineStr">
        <is>
          <t>Dec-2017</t>
        </is>
      </c>
      <c r="C8017" s="2" t="n">
        <v>43892</v>
      </c>
      <c r="D8017" t="inlineStr">
        <is>
          <t>NIL</t>
        </is>
      </c>
      <c r="E8017" t="n">
        <v>1341</v>
      </c>
    </row>
    <row r="8018">
      <c r="A8018" t="inlineStr">
        <is>
          <t>27BBBBB08018Z5</t>
        </is>
      </c>
      <c r="B8018" t="inlineStr">
        <is>
          <t>Dec-2018</t>
        </is>
      </c>
      <c r="C8018" s="2" t="n">
        <v>43742</v>
      </c>
      <c r="D8018" t="inlineStr">
        <is>
          <t>NIL</t>
        </is>
      </c>
      <c r="E8018" t="n">
        <v>2075</v>
      </c>
    </row>
    <row r="8019">
      <c r="A8019" t="inlineStr">
        <is>
          <t>27BBBBB08019Z5</t>
        </is>
      </c>
      <c r="B8019" t="inlineStr">
        <is>
          <t>Dec-2017</t>
        </is>
      </c>
      <c r="C8019" s="2" t="n">
        <v>43118</v>
      </c>
      <c r="D8019" t="inlineStr">
        <is>
          <t>NIL</t>
        </is>
      </c>
      <c r="E8019" t="n">
        <v>2568</v>
      </c>
    </row>
    <row r="8020">
      <c r="A8020" t="inlineStr">
        <is>
          <t>27BBBBB08020Z5</t>
        </is>
      </c>
      <c r="B8020" t="inlineStr">
        <is>
          <t>Mar-2018</t>
        </is>
      </c>
      <c r="C8020" s="2" t="n">
        <v>42938</v>
      </c>
      <c r="D8020" t="inlineStr">
        <is>
          <t>NON-NIL</t>
        </is>
      </c>
      <c r="E8020" t="n">
        <v>2978</v>
      </c>
    </row>
    <row r="8021">
      <c r="A8021" t="inlineStr">
        <is>
          <t>27BBBBB08021Z5</t>
        </is>
      </c>
      <c r="B8021" t="inlineStr">
        <is>
          <t>Nov-2018</t>
        </is>
      </c>
      <c r="C8021" s="2" t="n">
        <v>43873</v>
      </c>
      <c r="D8021" t="inlineStr">
        <is>
          <t>NON-NIL</t>
        </is>
      </c>
      <c r="E8021" t="n">
        <v>634</v>
      </c>
    </row>
    <row r="8022">
      <c r="A8022" t="inlineStr">
        <is>
          <t>27BBBBB08022Z5</t>
        </is>
      </c>
      <c r="B8022" t="inlineStr">
        <is>
          <t>Aug-2018</t>
        </is>
      </c>
      <c r="C8022" s="2" t="n">
        <v>43149</v>
      </c>
      <c r="D8022" t="inlineStr">
        <is>
          <t>NON-NIL</t>
        </is>
      </c>
      <c r="E8022" t="n">
        <v>2589</v>
      </c>
    </row>
    <row r="8023">
      <c r="A8023" t="inlineStr">
        <is>
          <t>27BBBBB08023Z5</t>
        </is>
      </c>
      <c r="B8023" t="inlineStr">
        <is>
          <t>Dec-2022</t>
        </is>
      </c>
      <c r="C8023" s="2" t="n">
        <v>44742</v>
      </c>
      <c r="D8023" t="inlineStr">
        <is>
          <t>NON-NIL</t>
        </is>
      </c>
      <c r="E8023" t="n">
        <v>478</v>
      </c>
    </row>
    <row r="8024">
      <c r="A8024" t="inlineStr">
        <is>
          <t>27BBBBB08024Z5</t>
        </is>
      </c>
      <c r="B8024" t="inlineStr">
        <is>
          <t>Dec-2022</t>
        </is>
      </c>
      <c r="C8024" s="2" t="n">
        <v>44163</v>
      </c>
      <c r="D8024" t="inlineStr">
        <is>
          <t>NIL</t>
        </is>
      </c>
      <c r="E8024" t="n">
        <v>2987</v>
      </c>
    </row>
    <row r="8025">
      <c r="A8025" t="inlineStr">
        <is>
          <t>27BBBBB08025Z5</t>
        </is>
      </c>
      <c r="B8025" t="inlineStr">
        <is>
          <t>Jul-2018</t>
        </is>
      </c>
      <c r="C8025" s="2" t="n">
        <v>43174</v>
      </c>
      <c r="D8025" t="inlineStr">
        <is>
          <t>NON-NIL</t>
        </is>
      </c>
      <c r="E8025" t="n">
        <v>1532</v>
      </c>
    </row>
    <row r="8026">
      <c r="A8026" t="inlineStr">
        <is>
          <t>27BBBBB08026Z5</t>
        </is>
      </c>
      <c r="B8026" t="inlineStr">
        <is>
          <t>Sep-2018</t>
        </is>
      </c>
      <c r="C8026" s="2" t="n">
        <v>44208</v>
      </c>
      <c r="D8026" t="inlineStr">
        <is>
          <t>NIL</t>
        </is>
      </c>
      <c r="E8026" t="n">
        <v>987</v>
      </c>
    </row>
    <row r="8027">
      <c r="A8027" t="inlineStr">
        <is>
          <t>27BBBBB08027Z5</t>
        </is>
      </c>
      <c r="B8027" t="inlineStr">
        <is>
          <t>Jul-2020</t>
        </is>
      </c>
      <c r="C8027" s="2" t="n">
        <v>44207</v>
      </c>
      <c r="D8027" t="inlineStr">
        <is>
          <t>NIL</t>
        </is>
      </c>
      <c r="E8027" t="n">
        <v>100</v>
      </c>
    </row>
    <row r="8028">
      <c r="A8028" t="inlineStr">
        <is>
          <t>27BBBBB08028Z5</t>
        </is>
      </c>
      <c r="B8028" t="inlineStr">
        <is>
          <t>Aug-2018</t>
        </is>
      </c>
      <c r="C8028" s="2" t="n">
        <v>43111</v>
      </c>
      <c r="D8028" t="inlineStr">
        <is>
          <t>NIL</t>
        </is>
      </c>
      <c r="E8028" t="n">
        <v>2642</v>
      </c>
    </row>
    <row r="8029">
      <c r="A8029" t="inlineStr">
        <is>
          <t>27BBBBB08029Z5</t>
        </is>
      </c>
      <c r="B8029" t="inlineStr">
        <is>
          <t>Jun-2020</t>
        </is>
      </c>
      <c r="C8029" s="2" t="n">
        <v>44288</v>
      </c>
      <c r="D8029" t="inlineStr">
        <is>
          <t>NON-NIL</t>
        </is>
      </c>
      <c r="E8029" t="n">
        <v>2267</v>
      </c>
    </row>
    <row r="8030">
      <c r="A8030" t="inlineStr">
        <is>
          <t>27BBBBB08030Z5</t>
        </is>
      </c>
      <c r="B8030" t="inlineStr">
        <is>
          <t>Apr-2020</t>
        </is>
      </c>
      <c r="C8030" s="2" t="n">
        <v>44538</v>
      </c>
      <c r="D8030" t="inlineStr">
        <is>
          <t>NIL</t>
        </is>
      </c>
      <c r="E8030" t="n">
        <v>2513</v>
      </c>
    </row>
    <row r="8031">
      <c r="A8031" t="inlineStr">
        <is>
          <t>27BBBBB08031Z5</t>
        </is>
      </c>
      <c r="B8031" t="inlineStr">
        <is>
          <t>Jul-2020</t>
        </is>
      </c>
      <c r="C8031" s="2" t="n">
        <v>44792</v>
      </c>
      <c r="D8031" t="inlineStr">
        <is>
          <t>NON-NIL</t>
        </is>
      </c>
      <c r="E8031" t="n">
        <v>2210</v>
      </c>
    </row>
    <row r="8032">
      <c r="A8032" t="inlineStr">
        <is>
          <t>27BBBBB08032Z5</t>
        </is>
      </c>
      <c r="B8032" t="inlineStr">
        <is>
          <t>Jul-2017</t>
        </is>
      </c>
      <c r="C8032" s="2" t="n">
        <v>43262</v>
      </c>
      <c r="D8032" t="inlineStr">
        <is>
          <t>NIL</t>
        </is>
      </c>
      <c r="E8032" t="n">
        <v>946</v>
      </c>
    </row>
    <row r="8033">
      <c r="A8033" t="inlineStr">
        <is>
          <t>27BBBBB08033Z5</t>
        </is>
      </c>
      <c r="B8033" t="inlineStr">
        <is>
          <t>May-2020</t>
        </is>
      </c>
      <c r="C8033" s="2" t="n">
        <v>44565</v>
      </c>
      <c r="D8033" t="inlineStr">
        <is>
          <t>NIL</t>
        </is>
      </c>
      <c r="E8033" t="n">
        <v>982</v>
      </c>
    </row>
    <row r="8034">
      <c r="A8034" t="inlineStr">
        <is>
          <t>27BBBBB08034Z5</t>
        </is>
      </c>
      <c r="B8034" t="inlineStr">
        <is>
          <t>May-2018</t>
        </is>
      </c>
      <c r="C8034" s="2" t="n">
        <v>43974</v>
      </c>
      <c r="D8034" t="inlineStr">
        <is>
          <t>NON-NIL</t>
        </is>
      </c>
      <c r="E8034" t="n">
        <v>2791</v>
      </c>
    </row>
    <row r="8035">
      <c r="A8035" t="inlineStr">
        <is>
          <t>27BBBBB08035Z5</t>
        </is>
      </c>
      <c r="B8035" t="inlineStr">
        <is>
          <t>Jun-2018</t>
        </is>
      </c>
      <c r="C8035" s="2" t="n">
        <v>44140</v>
      </c>
      <c r="D8035" t="inlineStr">
        <is>
          <t>NON-NIL</t>
        </is>
      </c>
      <c r="E8035" t="n">
        <v>964</v>
      </c>
    </row>
    <row r="8036">
      <c r="A8036" t="inlineStr">
        <is>
          <t>27BBBBB08036Z5</t>
        </is>
      </c>
      <c r="B8036" t="inlineStr">
        <is>
          <t>Dec-2022</t>
        </is>
      </c>
      <c r="C8036" s="2" t="n">
        <v>45753</v>
      </c>
      <c r="D8036" t="inlineStr">
        <is>
          <t>NIL</t>
        </is>
      </c>
      <c r="E8036" t="n">
        <v>2727</v>
      </c>
    </row>
    <row r="8037">
      <c r="A8037" t="inlineStr">
        <is>
          <t>27BBBBB08037Z5</t>
        </is>
      </c>
      <c r="B8037" t="inlineStr">
        <is>
          <t>May-2020</t>
        </is>
      </c>
      <c r="C8037" s="2" t="n">
        <v>44887</v>
      </c>
      <c r="D8037" t="inlineStr">
        <is>
          <t>NON-NIL</t>
        </is>
      </c>
      <c r="E8037" t="n">
        <v>1602</v>
      </c>
    </row>
    <row r="8038">
      <c r="A8038" t="inlineStr">
        <is>
          <t>27BBBBB08038Z5</t>
        </is>
      </c>
      <c r="B8038" t="inlineStr">
        <is>
          <t>Aug-2017</t>
        </is>
      </c>
      <c r="C8038" s="2" t="n">
        <v>43839</v>
      </c>
      <c r="D8038" t="inlineStr">
        <is>
          <t>NON-NIL</t>
        </is>
      </c>
      <c r="E8038" t="n">
        <v>2388</v>
      </c>
    </row>
    <row r="8039">
      <c r="A8039" t="inlineStr">
        <is>
          <t>27BBBBB08039Z5</t>
        </is>
      </c>
      <c r="B8039" t="inlineStr">
        <is>
          <t>Sep-2017</t>
        </is>
      </c>
      <c r="C8039" s="2" t="n">
        <v>43722</v>
      </c>
      <c r="D8039" t="inlineStr">
        <is>
          <t>NIL</t>
        </is>
      </c>
      <c r="E8039" t="n">
        <v>1297</v>
      </c>
    </row>
    <row r="8040">
      <c r="A8040" t="inlineStr">
        <is>
          <t>27BBBBB08040Z5</t>
        </is>
      </c>
      <c r="B8040" t="inlineStr">
        <is>
          <t>May-2018</t>
        </is>
      </c>
      <c r="C8040" s="2" t="n">
        <v>43579</v>
      </c>
      <c r="D8040" t="inlineStr">
        <is>
          <t>NON-NIL</t>
        </is>
      </c>
      <c r="E8040" t="n">
        <v>417</v>
      </c>
    </row>
    <row r="8041">
      <c r="A8041" t="inlineStr">
        <is>
          <t>27BBBBB08041Z5</t>
        </is>
      </c>
      <c r="B8041" t="inlineStr">
        <is>
          <t>Jan-2018</t>
        </is>
      </c>
      <c r="C8041" s="2" t="n">
        <v>44538</v>
      </c>
      <c r="D8041" t="inlineStr">
        <is>
          <t>NON-NIL</t>
        </is>
      </c>
      <c r="E8041" t="n">
        <v>2859</v>
      </c>
    </row>
    <row r="8042">
      <c r="A8042" t="inlineStr">
        <is>
          <t>27BBBBB08042Z5</t>
        </is>
      </c>
      <c r="B8042" t="inlineStr">
        <is>
          <t>Aug-2017</t>
        </is>
      </c>
      <c r="C8042" s="2" t="n">
        <v>44543</v>
      </c>
      <c r="D8042" t="inlineStr">
        <is>
          <t>NON-NIL</t>
        </is>
      </c>
      <c r="E8042" t="n">
        <v>1935</v>
      </c>
    </row>
    <row r="8043">
      <c r="A8043" t="inlineStr">
        <is>
          <t>27BBBBB08043Z5</t>
        </is>
      </c>
      <c r="B8043" t="inlineStr">
        <is>
          <t>May-2020</t>
        </is>
      </c>
      <c r="C8043" s="2" t="n">
        <v>44493</v>
      </c>
      <c r="D8043" t="inlineStr">
        <is>
          <t>NIL</t>
        </is>
      </c>
      <c r="E8043" t="n">
        <v>2595</v>
      </c>
    </row>
    <row r="8044">
      <c r="A8044" t="inlineStr">
        <is>
          <t>27BBBBB08044Z5</t>
        </is>
      </c>
      <c r="B8044" t="inlineStr">
        <is>
          <t>Jul-2017</t>
        </is>
      </c>
      <c r="C8044" s="2" t="n">
        <v>43511</v>
      </c>
      <c r="D8044" t="inlineStr">
        <is>
          <t>NIL</t>
        </is>
      </c>
      <c r="E8044" t="n">
        <v>1100</v>
      </c>
    </row>
    <row r="8045">
      <c r="A8045" t="inlineStr">
        <is>
          <t>27BBBBB08045Z5</t>
        </is>
      </c>
      <c r="B8045" t="inlineStr">
        <is>
          <t>Dec-2022</t>
        </is>
      </c>
      <c r="C8045" s="2" t="n">
        <v>44027</v>
      </c>
      <c r="D8045" t="inlineStr">
        <is>
          <t>NON-NIL</t>
        </is>
      </c>
      <c r="E8045" t="n">
        <v>2279</v>
      </c>
    </row>
    <row r="8046">
      <c r="A8046" t="inlineStr">
        <is>
          <t>27BBBBB08046Z5</t>
        </is>
      </c>
      <c r="B8046" t="inlineStr">
        <is>
          <t>Mar-2018</t>
        </is>
      </c>
      <c r="C8046" s="2" t="n">
        <v>43722</v>
      </c>
      <c r="D8046" t="inlineStr">
        <is>
          <t>NON-NIL</t>
        </is>
      </c>
      <c r="E8046" t="n">
        <v>2121</v>
      </c>
    </row>
    <row r="8047">
      <c r="A8047" t="inlineStr">
        <is>
          <t>27BBBBB08047Z5</t>
        </is>
      </c>
      <c r="B8047" t="inlineStr">
        <is>
          <t>Mar-2020</t>
        </is>
      </c>
      <c r="C8047" s="2" t="n">
        <v>44259</v>
      </c>
      <c r="D8047" t="inlineStr">
        <is>
          <t>NIL</t>
        </is>
      </c>
      <c r="E8047" t="n">
        <v>1000</v>
      </c>
    </row>
    <row r="8048">
      <c r="A8048" t="inlineStr">
        <is>
          <t>27BBBBB08048Z5</t>
        </is>
      </c>
      <c r="B8048" t="inlineStr">
        <is>
          <t>Dec-2022</t>
        </is>
      </c>
      <c r="C8048" s="2" t="n">
        <v>44853</v>
      </c>
      <c r="D8048" t="inlineStr">
        <is>
          <t>NON-NIL</t>
        </is>
      </c>
      <c r="E8048" t="n">
        <v>378</v>
      </c>
    </row>
    <row r="8049">
      <c r="A8049" t="inlineStr">
        <is>
          <t>27BBBBB08049Z5</t>
        </is>
      </c>
      <c r="B8049" t="inlineStr">
        <is>
          <t>Sep-2018</t>
        </is>
      </c>
      <c r="C8049" s="2" t="n">
        <v>43803</v>
      </c>
      <c r="D8049" t="inlineStr">
        <is>
          <t>NON-NIL</t>
        </is>
      </c>
      <c r="E8049" t="n">
        <v>787</v>
      </c>
    </row>
    <row r="8050">
      <c r="A8050" t="inlineStr">
        <is>
          <t>27BBBBB08050Z5</t>
        </is>
      </c>
      <c r="B8050" t="inlineStr">
        <is>
          <t>Nov-2018</t>
        </is>
      </c>
      <c r="C8050" s="2" t="n">
        <v>43472</v>
      </c>
      <c r="D8050" t="inlineStr">
        <is>
          <t>NON-NIL</t>
        </is>
      </c>
      <c r="E8050" t="n">
        <v>90</v>
      </c>
    </row>
    <row r="8051">
      <c r="A8051" t="inlineStr">
        <is>
          <t>27BBBBB08051Z5</t>
        </is>
      </c>
      <c r="B8051" t="inlineStr">
        <is>
          <t>Nov-2018</t>
        </is>
      </c>
      <c r="C8051" s="2" t="n">
        <v>44422</v>
      </c>
      <c r="D8051" t="inlineStr">
        <is>
          <t>NON-NIL</t>
        </is>
      </c>
      <c r="E8051" t="n">
        <v>1852</v>
      </c>
    </row>
    <row r="8052">
      <c r="A8052" t="inlineStr">
        <is>
          <t>27BBBBB08052Z5</t>
        </is>
      </c>
      <c r="B8052" t="inlineStr">
        <is>
          <t>Sep-2018</t>
        </is>
      </c>
      <c r="C8052" s="2" t="n">
        <v>43219</v>
      </c>
      <c r="D8052" t="inlineStr">
        <is>
          <t>NON-NIL</t>
        </is>
      </c>
      <c r="E8052" t="n">
        <v>2517</v>
      </c>
    </row>
    <row r="8053">
      <c r="A8053" t="inlineStr">
        <is>
          <t>27BBBBB08053Z5</t>
        </is>
      </c>
      <c r="B8053" t="inlineStr">
        <is>
          <t>Sep-2018</t>
        </is>
      </c>
      <c r="C8053" s="2" t="n">
        <v>43232</v>
      </c>
      <c r="D8053" t="inlineStr">
        <is>
          <t>NIL</t>
        </is>
      </c>
      <c r="E8053" t="n">
        <v>2543</v>
      </c>
    </row>
    <row r="8054">
      <c r="A8054" t="inlineStr">
        <is>
          <t>27BBBBB08054Z5</t>
        </is>
      </c>
      <c r="B8054" t="inlineStr">
        <is>
          <t>Dec-2024</t>
        </is>
      </c>
      <c r="C8054" s="2" t="n">
        <v>44034</v>
      </c>
      <c r="D8054" t="inlineStr">
        <is>
          <t>NON-NIL</t>
        </is>
      </c>
      <c r="E8054" t="n">
        <v>1872</v>
      </c>
    </row>
    <row r="8055">
      <c r="A8055" t="inlineStr">
        <is>
          <t>27BBBBB08055Z5</t>
        </is>
      </c>
      <c r="B8055" t="inlineStr">
        <is>
          <t>Jan-2021</t>
        </is>
      </c>
      <c r="C8055" s="2" t="n">
        <v>43767</v>
      </c>
      <c r="D8055" t="inlineStr">
        <is>
          <t>NON-NIL</t>
        </is>
      </c>
      <c r="E8055" t="n">
        <v>1</v>
      </c>
    </row>
    <row r="8056">
      <c r="A8056" t="inlineStr">
        <is>
          <t>27BBBBB08056Z5</t>
        </is>
      </c>
      <c r="B8056" t="inlineStr">
        <is>
          <t>Jul-2017</t>
        </is>
      </c>
      <c r="C8056" s="2" t="n">
        <v>44317</v>
      </c>
      <c r="D8056" t="inlineStr">
        <is>
          <t>NON-NIL</t>
        </is>
      </c>
      <c r="E8056" t="n">
        <v>1543</v>
      </c>
    </row>
    <row r="8057">
      <c r="A8057" t="inlineStr">
        <is>
          <t>27BBBBB08057Z5</t>
        </is>
      </c>
      <c r="B8057" t="inlineStr">
        <is>
          <t>Mar-2018</t>
        </is>
      </c>
      <c r="C8057" s="2" t="n">
        <v>43024</v>
      </c>
      <c r="D8057" t="inlineStr">
        <is>
          <t>NON-NIL</t>
        </is>
      </c>
      <c r="E8057" t="n">
        <v>2463</v>
      </c>
    </row>
    <row r="8058">
      <c r="A8058" t="inlineStr">
        <is>
          <t>27BBBBB08058Z5</t>
        </is>
      </c>
      <c r="B8058" t="inlineStr">
        <is>
          <t>Dec-2018</t>
        </is>
      </c>
      <c r="C8058" s="2" t="n">
        <v>43122</v>
      </c>
      <c r="D8058" t="inlineStr">
        <is>
          <t>NON-NIL</t>
        </is>
      </c>
      <c r="E8058" t="n">
        <v>966</v>
      </c>
    </row>
    <row r="8059">
      <c r="A8059" t="inlineStr">
        <is>
          <t>27BBBBB08059Z5</t>
        </is>
      </c>
      <c r="B8059" t="inlineStr">
        <is>
          <t>Aug-2018</t>
        </is>
      </c>
      <c r="C8059" s="2" t="n">
        <v>43142</v>
      </c>
      <c r="D8059" t="inlineStr">
        <is>
          <t>NON-NIL</t>
        </is>
      </c>
      <c r="E8059" t="n">
        <v>1843</v>
      </c>
    </row>
    <row r="8060">
      <c r="A8060" t="inlineStr">
        <is>
          <t>27BBBBB08060Z5</t>
        </is>
      </c>
      <c r="B8060" t="inlineStr">
        <is>
          <t>Jan-2021</t>
        </is>
      </c>
      <c r="C8060" s="2" t="n">
        <v>44873</v>
      </c>
      <c r="D8060" t="inlineStr">
        <is>
          <t>NIL</t>
        </is>
      </c>
      <c r="E8060" t="n">
        <v>1108</v>
      </c>
    </row>
    <row r="8061">
      <c r="A8061" t="inlineStr">
        <is>
          <t>27BBBBB08061Z5</t>
        </is>
      </c>
      <c r="B8061" t="inlineStr">
        <is>
          <t>Jun-2018</t>
        </is>
      </c>
      <c r="C8061" s="2" t="n">
        <v>43247</v>
      </c>
      <c r="D8061" t="inlineStr">
        <is>
          <t>NIL</t>
        </is>
      </c>
      <c r="E8061" t="n">
        <v>1599</v>
      </c>
    </row>
    <row r="8062">
      <c r="A8062" t="inlineStr">
        <is>
          <t>27BBBBB08062Z5</t>
        </is>
      </c>
      <c r="B8062" t="inlineStr">
        <is>
          <t>Apr-2018</t>
        </is>
      </c>
      <c r="C8062" s="2" t="n">
        <v>43254</v>
      </c>
      <c r="D8062" t="inlineStr">
        <is>
          <t>NIL</t>
        </is>
      </c>
      <c r="E8062" t="n">
        <v>2837</v>
      </c>
    </row>
    <row r="8063">
      <c r="A8063" t="inlineStr">
        <is>
          <t>27BBBBB08063Z5</t>
        </is>
      </c>
      <c r="B8063" t="inlineStr">
        <is>
          <t>Sep-2017</t>
        </is>
      </c>
      <c r="C8063" s="2" t="n">
        <v>43144</v>
      </c>
      <c r="D8063" t="inlineStr">
        <is>
          <t>NIL</t>
        </is>
      </c>
      <c r="E8063" t="n">
        <v>2151</v>
      </c>
    </row>
    <row r="8064">
      <c r="A8064" t="inlineStr">
        <is>
          <t>27BBBBB08064Z5</t>
        </is>
      </c>
      <c r="B8064" t="inlineStr">
        <is>
          <t>Dec-2017</t>
        </is>
      </c>
      <c r="C8064" s="2" t="n">
        <v>44501</v>
      </c>
      <c r="D8064" t="inlineStr">
        <is>
          <t>NON-NIL</t>
        </is>
      </c>
      <c r="E8064" t="n">
        <v>1032</v>
      </c>
    </row>
    <row r="8065">
      <c r="A8065" t="inlineStr">
        <is>
          <t>27BBBBB08065Z5</t>
        </is>
      </c>
      <c r="B8065" t="inlineStr">
        <is>
          <t>May-2020</t>
        </is>
      </c>
      <c r="C8065" s="2" t="n">
        <v>44483</v>
      </c>
      <c r="D8065" t="inlineStr">
        <is>
          <t>NIL</t>
        </is>
      </c>
      <c r="E8065" t="n">
        <v>343</v>
      </c>
    </row>
    <row r="8066">
      <c r="A8066" t="inlineStr">
        <is>
          <t>27BBBBB08066Z5</t>
        </is>
      </c>
      <c r="B8066" t="inlineStr">
        <is>
          <t>Jan-2021</t>
        </is>
      </c>
      <c r="C8066" s="2" t="n">
        <v>43800</v>
      </c>
      <c r="D8066" t="inlineStr">
        <is>
          <t>NIL</t>
        </is>
      </c>
      <c r="E8066" t="n">
        <v>460</v>
      </c>
    </row>
    <row r="8067">
      <c r="A8067" t="inlineStr">
        <is>
          <t>27BBBBB08067Z5</t>
        </is>
      </c>
      <c r="B8067" t="inlineStr">
        <is>
          <t>Dec-2022</t>
        </is>
      </c>
      <c r="C8067" s="2" t="n">
        <v>44959</v>
      </c>
      <c r="D8067" t="inlineStr">
        <is>
          <t>NON-NIL</t>
        </is>
      </c>
      <c r="E8067" t="n">
        <v>1731</v>
      </c>
    </row>
    <row r="8068">
      <c r="A8068" t="inlineStr">
        <is>
          <t>27BBBBB08068Z5</t>
        </is>
      </c>
      <c r="B8068" t="inlineStr">
        <is>
          <t>Feb-2018</t>
        </is>
      </c>
      <c r="C8068" s="2" t="n">
        <v>43302</v>
      </c>
      <c r="D8068" t="inlineStr">
        <is>
          <t>NIL</t>
        </is>
      </c>
      <c r="E8068" t="n">
        <v>2302</v>
      </c>
    </row>
    <row r="8069">
      <c r="A8069" t="inlineStr">
        <is>
          <t>27BBBBB08069Z5</t>
        </is>
      </c>
      <c r="B8069" t="inlineStr">
        <is>
          <t>Oct-2017</t>
        </is>
      </c>
      <c r="C8069" s="2" t="n">
        <v>44454</v>
      </c>
      <c r="D8069" t="inlineStr">
        <is>
          <t>NON-NIL</t>
        </is>
      </c>
      <c r="E8069" t="n">
        <v>2331</v>
      </c>
    </row>
    <row r="8070">
      <c r="A8070" t="inlineStr">
        <is>
          <t>27BBBBB08070Z5</t>
        </is>
      </c>
      <c r="B8070" t="inlineStr">
        <is>
          <t>Jun-2020</t>
        </is>
      </c>
      <c r="C8070" s="2" t="n">
        <v>44347</v>
      </c>
      <c r="D8070" t="inlineStr">
        <is>
          <t>NIL</t>
        </is>
      </c>
      <c r="E8070" t="n">
        <v>1793</v>
      </c>
    </row>
    <row r="8071">
      <c r="A8071" t="inlineStr">
        <is>
          <t>27BBBBB08071Z5</t>
        </is>
      </c>
      <c r="B8071" t="inlineStr">
        <is>
          <t>Aug-2018</t>
        </is>
      </c>
      <c r="C8071" s="2" t="n">
        <v>44131</v>
      </c>
      <c r="D8071" t="inlineStr">
        <is>
          <t>NIL</t>
        </is>
      </c>
      <c r="E8071" t="n">
        <v>414</v>
      </c>
    </row>
    <row r="8072">
      <c r="A8072" t="inlineStr">
        <is>
          <t>27BBBBB08072Z5</t>
        </is>
      </c>
      <c r="B8072" t="inlineStr">
        <is>
          <t>Sep-2018</t>
        </is>
      </c>
      <c r="C8072" s="2" t="n">
        <v>43873</v>
      </c>
      <c r="D8072" t="inlineStr">
        <is>
          <t>NIL</t>
        </is>
      </c>
      <c r="E8072" t="n">
        <v>1537</v>
      </c>
    </row>
    <row r="8073">
      <c r="A8073" t="inlineStr">
        <is>
          <t>27BBBBB08073Z5</t>
        </is>
      </c>
      <c r="B8073" t="inlineStr">
        <is>
          <t>Apr-2020</t>
        </is>
      </c>
      <c r="C8073" s="2" t="n">
        <v>43937</v>
      </c>
      <c r="D8073" t="inlineStr">
        <is>
          <t>NON-NIL</t>
        </is>
      </c>
      <c r="E8073" t="n">
        <v>937</v>
      </c>
    </row>
    <row r="8074">
      <c r="A8074" t="inlineStr">
        <is>
          <t>27BBBBB08074Z5</t>
        </is>
      </c>
      <c r="B8074" t="inlineStr">
        <is>
          <t>Jan-2018</t>
        </is>
      </c>
      <c r="C8074" s="2" t="n">
        <v>43874</v>
      </c>
      <c r="D8074" t="inlineStr">
        <is>
          <t>NIL</t>
        </is>
      </c>
      <c r="E8074" t="n">
        <v>2807</v>
      </c>
    </row>
    <row r="8075">
      <c r="A8075" t="inlineStr">
        <is>
          <t>27BBBBB08075Z5</t>
        </is>
      </c>
      <c r="B8075" t="inlineStr">
        <is>
          <t>Oct-2017</t>
        </is>
      </c>
      <c r="C8075" s="2" t="n">
        <v>44144</v>
      </c>
      <c r="D8075" t="inlineStr">
        <is>
          <t>NIL</t>
        </is>
      </c>
      <c r="E8075" t="n">
        <v>1553</v>
      </c>
    </row>
    <row r="8076">
      <c r="A8076" t="inlineStr">
        <is>
          <t>27BBBBB08076Z5</t>
        </is>
      </c>
      <c r="B8076" t="inlineStr">
        <is>
          <t>Feb-2018</t>
        </is>
      </c>
      <c r="C8076" s="2" t="n">
        <v>44152</v>
      </c>
      <c r="D8076" t="inlineStr">
        <is>
          <t>NON-NIL</t>
        </is>
      </c>
      <c r="E8076" t="n">
        <v>1389</v>
      </c>
    </row>
    <row r="8077">
      <c r="A8077" t="inlineStr">
        <is>
          <t>27BBBBB08077Z5</t>
        </is>
      </c>
      <c r="B8077" t="inlineStr">
        <is>
          <t>Sep-2017</t>
        </is>
      </c>
      <c r="C8077" s="2" t="n">
        <v>43448</v>
      </c>
      <c r="D8077" t="inlineStr">
        <is>
          <t>NIL</t>
        </is>
      </c>
      <c r="E8077" t="n">
        <v>1671</v>
      </c>
    </row>
    <row r="8078">
      <c r="A8078" t="inlineStr">
        <is>
          <t>27BBBBB08078Z5</t>
        </is>
      </c>
      <c r="B8078" t="inlineStr">
        <is>
          <t>Mar-2018</t>
        </is>
      </c>
      <c r="C8078" s="2" t="n">
        <v>43797</v>
      </c>
      <c r="D8078" t="inlineStr">
        <is>
          <t>NIL</t>
        </is>
      </c>
      <c r="E8078" t="n">
        <v>2328</v>
      </c>
    </row>
    <row r="8079">
      <c r="A8079" t="inlineStr">
        <is>
          <t>27BBBBB08079Z5</t>
        </is>
      </c>
      <c r="B8079" t="inlineStr">
        <is>
          <t>Jul-2018</t>
        </is>
      </c>
      <c r="C8079" s="2" t="n">
        <v>44377</v>
      </c>
      <c r="D8079" t="inlineStr">
        <is>
          <t>NIL</t>
        </is>
      </c>
      <c r="E8079" t="n">
        <v>1412</v>
      </c>
    </row>
    <row r="8080">
      <c r="A8080" t="inlineStr">
        <is>
          <t>27BBBBB08080Z5</t>
        </is>
      </c>
      <c r="B8080" t="inlineStr">
        <is>
          <t>Apr-2018</t>
        </is>
      </c>
      <c r="C8080" s="2" t="n">
        <v>44387</v>
      </c>
      <c r="D8080" t="inlineStr">
        <is>
          <t>NON-NIL</t>
        </is>
      </c>
      <c r="E8080" t="n">
        <v>737</v>
      </c>
    </row>
    <row r="8081">
      <c r="A8081" t="inlineStr">
        <is>
          <t>27BBBBB08081Z5</t>
        </is>
      </c>
      <c r="B8081" t="inlineStr">
        <is>
          <t>Sep-2017</t>
        </is>
      </c>
      <c r="C8081" s="2" t="n">
        <v>44123</v>
      </c>
      <c r="D8081" t="inlineStr">
        <is>
          <t>NIL</t>
        </is>
      </c>
      <c r="E8081" t="n">
        <v>2386</v>
      </c>
    </row>
    <row r="8082">
      <c r="A8082" t="inlineStr">
        <is>
          <t>27BBBBB08082Z5</t>
        </is>
      </c>
      <c r="B8082" t="inlineStr">
        <is>
          <t>Dec-2017</t>
        </is>
      </c>
      <c r="C8082" s="2" t="n">
        <v>43727</v>
      </c>
      <c r="D8082" t="inlineStr">
        <is>
          <t>NON-NIL</t>
        </is>
      </c>
      <c r="E8082" t="n">
        <v>509</v>
      </c>
    </row>
    <row r="8083">
      <c r="A8083" t="inlineStr">
        <is>
          <t>27BBBBB08083Z5</t>
        </is>
      </c>
      <c r="B8083" t="inlineStr">
        <is>
          <t>Dec-2017</t>
        </is>
      </c>
      <c r="C8083" s="2" t="n">
        <v>43570</v>
      </c>
      <c r="D8083" t="inlineStr">
        <is>
          <t>NON-NIL</t>
        </is>
      </c>
      <c r="E8083" t="n">
        <v>46</v>
      </c>
    </row>
    <row r="8084">
      <c r="A8084" t="inlineStr">
        <is>
          <t>27BBBBB08084Z5</t>
        </is>
      </c>
      <c r="B8084" t="inlineStr">
        <is>
          <t>Apr-2018</t>
        </is>
      </c>
      <c r="C8084" s="2" t="n">
        <v>44554</v>
      </c>
      <c r="D8084" t="inlineStr">
        <is>
          <t>NON-NIL</t>
        </is>
      </c>
      <c r="E8084" t="n">
        <v>1698</v>
      </c>
    </row>
    <row r="8085">
      <c r="A8085" t="inlineStr">
        <is>
          <t>27BBBBB08085Z5</t>
        </is>
      </c>
      <c r="B8085" t="inlineStr">
        <is>
          <t>Dec-2022</t>
        </is>
      </c>
      <c r="C8085" s="2" t="n">
        <v>43704</v>
      </c>
      <c r="D8085" t="inlineStr">
        <is>
          <t>NIL</t>
        </is>
      </c>
      <c r="E8085" t="n">
        <v>110</v>
      </c>
    </row>
    <row r="8086">
      <c r="A8086" t="inlineStr">
        <is>
          <t>27BBBBB08086Z5</t>
        </is>
      </c>
      <c r="B8086" t="inlineStr">
        <is>
          <t>Sep-2018</t>
        </is>
      </c>
      <c r="C8086" s="2" t="n">
        <v>43422</v>
      </c>
      <c r="D8086" t="inlineStr">
        <is>
          <t>NON-NIL</t>
        </is>
      </c>
      <c r="E8086" t="n">
        <v>1143</v>
      </c>
    </row>
    <row r="8087">
      <c r="A8087" t="inlineStr">
        <is>
          <t>27BBBBB08087Z5</t>
        </is>
      </c>
      <c r="B8087" t="inlineStr">
        <is>
          <t>Aug-2018</t>
        </is>
      </c>
      <c r="C8087" s="2" t="n">
        <v>43015</v>
      </c>
      <c r="D8087" t="inlineStr">
        <is>
          <t>NIL</t>
        </is>
      </c>
      <c r="E8087" t="n">
        <v>1998</v>
      </c>
    </row>
    <row r="8088">
      <c r="A8088" t="inlineStr">
        <is>
          <t>27BBBBB08088Z5</t>
        </is>
      </c>
      <c r="B8088" t="inlineStr">
        <is>
          <t>Mar-2020</t>
        </is>
      </c>
      <c r="C8088" s="2" t="n">
        <v>44773</v>
      </c>
      <c r="D8088" t="inlineStr">
        <is>
          <t>NON-NIL</t>
        </is>
      </c>
      <c r="E8088" t="n">
        <v>243</v>
      </c>
    </row>
    <row r="8089">
      <c r="A8089" t="inlineStr">
        <is>
          <t>27BBBBB08089Z5</t>
        </is>
      </c>
      <c r="B8089" t="inlineStr">
        <is>
          <t>May-2020</t>
        </is>
      </c>
      <c r="C8089" s="2" t="n">
        <v>44796</v>
      </c>
      <c r="D8089" t="inlineStr">
        <is>
          <t>NON-NIL</t>
        </is>
      </c>
      <c r="E8089" t="n">
        <v>2113</v>
      </c>
    </row>
    <row r="8090">
      <c r="A8090" t="inlineStr">
        <is>
          <t>27BBBBB08090Z5</t>
        </is>
      </c>
      <c r="B8090" t="inlineStr">
        <is>
          <t>Jun-2018</t>
        </is>
      </c>
      <c r="C8090" s="2" t="n">
        <v>44470</v>
      </c>
      <c r="D8090" t="inlineStr">
        <is>
          <t>NON-NIL</t>
        </is>
      </c>
      <c r="E8090" t="n">
        <v>1104</v>
      </c>
    </row>
    <row r="8091">
      <c r="A8091" t="inlineStr">
        <is>
          <t>27BBBBB08091Z5</t>
        </is>
      </c>
      <c r="B8091" t="inlineStr">
        <is>
          <t>Mar-2018</t>
        </is>
      </c>
      <c r="C8091" s="2" t="n">
        <v>44465</v>
      </c>
      <c r="D8091" t="inlineStr">
        <is>
          <t>NIL</t>
        </is>
      </c>
      <c r="E8091" t="n">
        <v>1282</v>
      </c>
    </row>
    <row r="8092">
      <c r="A8092" t="inlineStr">
        <is>
          <t>27BBBBB08092Z5</t>
        </is>
      </c>
      <c r="B8092" t="inlineStr">
        <is>
          <t>Dec-2022</t>
        </is>
      </c>
      <c r="C8092" s="2" t="n">
        <v>44857</v>
      </c>
      <c r="D8092" t="inlineStr">
        <is>
          <t>NIL</t>
        </is>
      </c>
      <c r="E8092" t="n">
        <v>1011</v>
      </c>
    </row>
    <row r="8093">
      <c r="A8093" t="inlineStr">
        <is>
          <t>27BBBBB08093Z5</t>
        </is>
      </c>
      <c r="B8093" t="inlineStr">
        <is>
          <t>Mar-2018</t>
        </is>
      </c>
      <c r="C8093" s="2" t="n">
        <v>44007</v>
      </c>
      <c r="D8093" t="inlineStr">
        <is>
          <t>NON-NIL</t>
        </is>
      </c>
      <c r="E8093" t="n">
        <v>2325</v>
      </c>
    </row>
    <row r="8094">
      <c r="A8094" t="inlineStr">
        <is>
          <t>27BBBBB08094Z5</t>
        </is>
      </c>
      <c r="B8094" t="inlineStr">
        <is>
          <t>May-2018</t>
        </is>
      </c>
      <c r="C8094" s="2" t="n">
        <v>43548</v>
      </c>
      <c r="D8094" t="inlineStr">
        <is>
          <t>NON-NIL</t>
        </is>
      </c>
      <c r="E8094" t="n">
        <v>2238</v>
      </c>
    </row>
    <row r="8095">
      <c r="A8095" t="inlineStr">
        <is>
          <t>27BBBBB08095Z5</t>
        </is>
      </c>
      <c r="B8095" t="inlineStr">
        <is>
          <t>Aug-2017</t>
        </is>
      </c>
      <c r="C8095" s="2" t="n">
        <v>42927</v>
      </c>
      <c r="D8095" t="inlineStr">
        <is>
          <t>NIL</t>
        </is>
      </c>
      <c r="E8095" t="n">
        <v>725</v>
      </c>
    </row>
    <row r="8096">
      <c r="A8096" t="inlineStr">
        <is>
          <t>27BBBBB08096Z5</t>
        </is>
      </c>
      <c r="B8096" t="inlineStr">
        <is>
          <t>Jul-2017</t>
        </is>
      </c>
      <c r="C8096" s="2" t="n">
        <v>44279</v>
      </c>
      <c r="D8096" t="inlineStr">
        <is>
          <t>NON-NIL</t>
        </is>
      </c>
      <c r="E8096" t="n">
        <v>1728</v>
      </c>
    </row>
    <row r="8097">
      <c r="A8097" t="inlineStr">
        <is>
          <t>27BBBBB08097Z5</t>
        </is>
      </c>
      <c r="B8097" t="inlineStr">
        <is>
          <t>Mar-2018</t>
        </is>
      </c>
      <c r="C8097" s="2" t="n">
        <v>43715</v>
      </c>
      <c r="D8097" t="inlineStr">
        <is>
          <t>NON-NIL</t>
        </is>
      </c>
      <c r="E8097" t="n">
        <v>824</v>
      </c>
    </row>
    <row r="8098">
      <c r="A8098" t="inlineStr">
        <is>
          <t>27BBBBB08098Z5</t>
        </is>
      </c>
      <c r="B8098" t="inlineStr">
        <is>
          <t>Sep-2017</t>
        </is>
      </c>
      <c r="C8098" s="2" t="n">
        <v>44367</v>
      </c>
      <c r="D8098" t="inlineStr">
        <is>
          <t>NON-NIL</t>
        </is>
      </c>
      <c r="E8098" t="n">
        <v>2724</v>
      </c>
    </row>
    <row r="8099">
      <c r="A8099" t="inlineStr">
        <is>
          <t>27BBBBB08099Z5</t>
        </is>
      </c>
      <c r="B8099" t="inlineStr">
        <is>
          <t>Jun-2018</t>
        </is>
      </c>
      <c r="C8099" s="2" t="n">
        <v>44325</v>
      </c>
      <c r="D8099" t="inlineStr">
        <is>
          <t>NON-NIL</t>
        </is>
      </c>
      <c r="E8099" t="n">
        <v>2316</v>
      </c>
    </row>
    <row r="8100">
      <c r="A8100" t="inlineStr">
        <is>
          <t>27BBBBB08100Z5</t>
        </is>
      </c>
      <c r="B8100" t="inlineStr">
        <is>
          <t>Aug-2018</t>
        </is>
      </c>
      <c r="C8100" s="2" t="n">
        <v>43189</v>
      </c>
      <c r="D8100" t="inlineStr">
        <is>
          <t>NON-NIL</t>
        </is>
      </c>
      <c r="E8100" t="n">
        <v>1082</v>
      </c>
    </row>
    <row r="8101">
      <c r="A8101" t="inlineStr">
        <is>
          <t>27BBBBB08101Z5</t>
        </is>
      </c>
      <c r="B8101" t="inlineStr">
        <is>
          <t>Nov-2017</t>
        </is>
      </c>
      <c r="C8101" s="2" t="n">
        <v>43359</v>
      </c>
      <c r="D8101" t="inlineStr">
        <is>
          <t>NIL</t>
        </is>
      </c>
      <c r="E8101" t="n">
        <v>1230</v>
      </c>
    </row>
    <row r="8102">
      <c r="A8102" t="inlineStr">
        <is>
          <t>27BBBBB08102Z5</t>
        </is>
      </c>
      <c r="B8102" t="inlineStr">
        <is>
          <t>Jun-2020</t>
        </is>
      </c>
      <c r="C8102" s="2" t="n">
        <v>44081</v>
      </c>
      <c r="D8102" t="inlineStr">
        <is>
          <t>NIL</t>
        </is>
      </c>
      <c r="E8102" t="n">
        <v>2235</v>
      </c>
    </row>
    <row r="8103">
      <c r="A8103" t="inlineStr">
        <is>
          <t>27BBBBB08103Z5</t>
        </is>
      </c>
      <c r="B8103" t="inlineStr">
        <is>
          <t>Jul-2020</t>
        </is>
      </c>
      <c r="C8103" s="2" t="n">
        <v>44323</v>
      </c>
      <c r="D8103" t="inlineStr">
        <is>
          <t>NON-NIL</t>
        </is>
      </c>
      <c r="E8103" t="n">
        <v>975</v>
      </c>
    </row>
    <row r="8104">
      <c r="A8104" t="inlineStr">
        <is>
          <t>27BBBBB08104Z5</t>
        </is>
      </c>
      <c r="B8104" t="inlineStr">
        <is>
          <t>May-2020</t>
        </is>
      </c>
      <c r="C8104" s="2" t="n">
        <v>44794</v>
      </c>
      <c r="D8104" t="inlineStr">
        <is>
          <t>NIL</t>
        </is>
      </c>
      <c r="E8104" t="n">
        <v>987</v>
      </c>
    </row>
    <row r="8105">
      <c r="A8105" t="inlineStr">
        <is>
          <t>27BBBBB08105Z5</t>
        </is>
      </c>
      <c r="B8105" t="inlineStr">
        <is>
          <t>Sep-2018</t>
        </is>
      </c>
      <c r="C8105" s="2" t="n">
        <v>43614</v>
      </c>
      <c r="D8105" t="inlineStr">
        <is>
          <t>NIL</t>
        </is>
      </c>
      <c r="E8105" t="n">
        <v>1607</v>
      </c>
    </row>
    <row r="8106">
      <c r="A8106" t="inlineStr">
        <is>
          <t>27BBBBB08106Z5</t>
        </is>
      </c>
      <c r="B8106" t="inlineStr">
        <is>
          <t>Dec-2024</t>
        </is>
      </c>
      <c r="C8106" s="2" t="n">
        <v>45173</v>
      </c>
      <c r="D8106" t="inlineStr">
        <is>
          <t>NON-NIL</t>
        </is>
      </c>
      <c r="E8106" t="n">
        <v>1956</v>
      </c>
    </row>
    <row r="8107">
      <c r="A8107" t="inlineStr">
        <is>
          <t>27BBBBB08107Z5</t>
        </is>
      </c>
      <c r="B8107" t="inlineStr">
        <is>
          <t>Jun-2018</t>
        </is>
      </c>
      <c r="C8107" s="2" t="n">
        <v>43384</v>
      </c>
      <c r="D8107" t="inlineStr">
        <is>
          <t>NIL</t>
        </is>
      </c>
      <c r="E8107" t="n">
        <v>1567</v>
      </c>
    </row>
    <row r="8108">
      <c r="A8108" t="inlineStr">
        <is>
          <t>27BBBBB08108Z5</t>
        </is>
      </c>
      <c r="B8108" t="inlineStr">
        <is>
          <t>May-2020</t>
        </is>
      </c>
      <c r="C8108" s="2" t="n">
        <v>44043</v>
      </c>
      <c r="D8108" t="inlineStr">
        <is>
          <t>NIL</t>
        </is>
      </c>
      <c r="E8108" t="n">
        <v>2546</v>
      </c>
    </row>
    <row r="8109">
      <c r="A8109" t="inlineStr">
        <is>
          <t>27BBBBB08109Z5</t>
        </is>
      </c>
      <c r="B8109" t="inlineStr">
        <is>
          <t>Mar-2018</t>
        </is>
      </c>
      <c r="C8109" s="2" t="n">
        <v>43694</v>
      </c>
      <c r="D8109" t="inlineStr">
        <is>
          <t>NIL</t>
        </is>
      </c>
      <c r="E8109" t="n">
        <v>963</v>
      </c>
    </row>
    <row r="8110">
      <c r="A8110" t="inlineStr">
        <is>
          <t>27BBBBB08110Z5</t>
        </is>
      </c>
      <c r="B8110" t="inlineStr">
        <is>
          <t>Nov-2017</t>
        </is>
      </c>
      <c r="C8110" s="2" t="n">
        <v>43908</v>
      </c>
      <c r="D8110" t="inlineStr">
        <is>
          <t>NON-NIL</t>
        </is>
      </c>
      <c r="E8110" t="n">
        <v>1625</v>
      </c>
    </row>
    <row r="8111">
      <c r="A8111" t="inlineStr">
        <is>
          <t>27BBBBB08111Z5</t>
        </is>
      </c>
      <c r="B8111" t="inlineStr">
        <is>
          <t>Mar-2023</t>
        </is>
      </c>
      <c r="C8111" s="2" t="n">
        <v>43827</v>
      </c>
      <c r="D8111" t="inlineStr">
        <is>
          <t>NON-NIL</t>
        </is>
      </c>
      <c r="E8111" t="n">
        <v>891</v>
      </c>
    </row>
    <row r="8112">
      <c r="A8112" t="inlineStr">
        <is>
          <t>27BBBBB08112Z5</t>
        </is>
      </c>
      <c r="B8112" t="inlineStr">
        <is>
          <t>Apr-2020</t>
        </is>
      </c>
      <c r="C8112" s="2" t="n">
        <v>44858</v>
      </c>
      <c r="D8112" t="inlineStr">
        <is>
          <t>NON-NIL</t>
        </is>
      </c>
      <c r="E8112" t="n">
        <v>2144</v>
      </c>
    </row>
    <row r="8113">
      <c r="A8113" t="inlineStr">
        <is>
          <t>27BBBBB08113Z5</t>
        </is>
      </c>
      <c r="B8113" t="inlineStr">
        <is>
          <t>Oct-2017</t>
        </is>
      </c>
      <c r="C8113" s="2" t="n">
        <v>44528</v>
      </c>
      <c r="D8113" t="inlineStr">
        <is>
          <t>NIL</t>
        </is>
      </c>
      <c r="E8113" t="n">
        <v>1878</v>
      </c>
    </row>
    <row r="8114">
      <c r="A8114" t="inlineStr">
        <is>
          <t>27BBBBB08114Z5</t>
        </is>
      </c>
      <c r="B8114" t="inlineStr">
        <is>
          <t>Nov-2017</t>
        </is>
      </c>
      <c r="C8114" s="2" t="n">
        <v>44499</v>
      </c>
      <c r="D8114" t="inlineStr">
        <is>
          <t>NIL</t>
        </is>
      </c>
      <c r="E8114" t="n">
        <v>1385</v>
      </c>
    </row>
    <row r="8115">
      <c r="A8115" t="inlineStr">
        <is>
          <t>27BBBBB08115Z5</t>
        </is>
      </c>
      <c r="B8115" t="inlineStr">
        <is>
          <t>Oct-2017</t>
        </is>
      </c>
      <c r="C8115" s="2" t="n">
        <v>43274</v>
      </c>
      <c r="D8115" t="inlineStr">
        <is>
          <t>NON-NIL</t>
        </is>
      </c>
      <c r="E8115" t="n">
        <v>1969</v>
      </c>
    </row>
    <row r="8116">
      <c r="A8116" t="inlineStr">
        <is>
          <t>27BBBBB08116Z5</t>
        </is>
      </c>
      <c r="B8116" t="inlineStr">
        <is>
          <t>Apr-2018</t>
        </is>
      </c>
      <c r="C8116" s="2" t="n">
        <v>43978</v>
      </c>
      <c r="D8116" t="inlineStr">
        <is>
          <t>NIL</t>
        </is>
      </c>
      <c r="E8116" t="n">
        <v>1430</v>
      </c>
    </row>
    <row r="8117">
      <c r="A8117" t="inlineStr">
        <is>
          <t>27BBBBB08117Z5</t>
        </is>
      </c>
      <c r="B8117" t="inlineStr">
        <is>
          <t>Dec-2022</t>
        </is>
      </c>
      <c r="C8117" s="2" t="n">
        <v>44321</v>
      </c>
      <c r="D8117" t="inlineStr">
        <is>
          <t>NIL</t>
        </is>
      </c>
      <c r="E8117" t="n">
        <v>1260</v>
      </c>
    </row>
    <row r="8118">
      <c r="A8118" t="inlineStr">
        <is>
          <t>27BBBBB08118Z5</t>
        </is>
      </c>
      <c r="B8118" t="inlineStr">
        <is>
          <t>Aug-2018</t>
        </is>
      </c>
      <c r="C8118" s="2" t="n">
        <v>44215</v>
      </c>
      <c r="D8118" t="inlineStr">
        <is>
          <t>NIL</t>
        </is>
      </c>
      <c r="E8118" t="n">
        <v>2608</v>
      </c>
    </row>
    <row r="8119">
      <c r="A8119" t="inlineStr">
        <is>
          <t>27BBBBB08119Z5</t>
        </is>
      </c>
      <c r="B8119" t="inlineStr">
        <is>
          <t>Jul-2018</t>
        </is>
      </c>
      <c r="C8119" s="2" t="n">
        <v>43381</v>
      </c>
      <c r="D8119" t="inlineStr">
        <is>
          <t>NIL</t>
        </is>
      </c>
      <c r="E8119" t="n">
        <v>2563</v>
      </c>
    </row>
    <row r="8120">
      <c r="A8120" t="inlineStr">
        <is>
          <t>27BBBBB08120Z5</t>
        </is>
      </c>
      <c r="B8120" t="inlineStr">
        <is>
          <t>Nov-2018</t>
        </is>
      </c>
      <c r="C8120" s="2" t="n">
        <v>42928</v>
      </c>
      <c r="D8120" t="inlineStr">
        <is>
          <t>NON-NIL</t>
        </is>
      </c>
      <c r="E8120" t="n">
        <v>1437</v>
      </c>
    </row>
    <row r="8121">
      <c r="A8121" t="inlineStr">
        <is>
          <t>27BBBBB08121Z5</t>
        </is>
      </c>
      <c r="B8121" t="inlineStr">
        <is>
          <t>Mar-2018</t>
        </is>
      </c>
      <c r="C8121" s="2" t="n">
        <v>43269</v>
      </c>
      <c r="D8121" t="inlineStr">
        <is>
          <t>NIL</t>
        </is>
      </c>
      <c r="E8121" t="n">
        <v>1603</v>
      </c>
    </row>
    <row r="8122">
      <c r="A8122" t="inlineStr">
        <is>
          <t>27BBBBB08122Z5</t>
        </is>
      </c>
      <c r="B8122" t="inlineStr">
        <is>
          <t>Jul-2017</t>
        </is>
      </c>
      <c r="C8122" s="2" t="n">
        <v>44167</v>
      </c>
      <c r="D8122" t="inlineStr">
        <is>
          <t>NIL</t>
        </is>
      </c>
      <c r="E8122" t="n">
        <v>2499</v>
      </c>
    </row>
    <row r="8123">
      <c r="A8123" t="inlineStr">
        <is>
          <t>27BBBBB08123Z5</t>
        </is>
      </c>
      <c r="B8123" t="inlineStr">
        <is>
          <t>Dec-2022</t>
        </is>
      </c>
      <c r="C8123" s="2" t="n">
        <v>45083</v>
      </c>
      <c r="D8123" t="inlineStr">
        <is>
          <t>NIL</t>
        </is>
      </c>
      <c r="E8123" t="n">
        <v>225</v>
      </c>
    </row>
    <row r="8124">
      <c r="A8124" t="inlineStr">
        <is>
          <t>27BBBBB08124Z5</t>
        </is>
      </c>
      <c r="B8124" t="inlineStr">
        <is>
          <t>Jul-2020</t>
        </is>
      </c>
      <c r="C8124" s="2" t="n">
        <v>44825</v>
      </c>
      <c r="D8124" t="inlineStr">
        <is>
          <t>NON-NIL</t>
        </is>
      </c>
      <c r="E8124" t="n">
        <v>2362</v>
      </c>
    </row>
    <row r="8125">
      <c r="A8125" t="inlineStr">
        <is>
          <t>27BBBBB08125Z5</t>
        </is>
      </c>
      <c r="B8125" t="inlineStr">
        <is>
          <t>Mar-2021</t>
        </is>
      </c>
      <c r="C8125" s="2" t="n">
        <v>44344</v>
      </c>
      <c r="D8125" t="inlineStr">
        <is>
          <t>NON-NIL</t>
        </is>
      </c>
      <c r="E8125" t="n">
        <v>26</v>
      </c>
    </row>
    <row r="8126">
      <c r="A8126" t="inlineStr">
        <is>
          <t>27BBBBB08126Z5</t>
        </is>
      </c>
      <c r="B8126" t="inlineStr">
        <is>
          <t>Jul-2018</t>
        </is>
      </c>
      <c r="C8126" s="2" t="n">
        <v>43117</v>
      </c>
      <c r="D8126" t="inlineStr">
        <is>
          <t>NON-NIL</t>
        </is>
      </c>
      <c r="E8126" t="n">
        <v>1856</v>
      </c>
    </row>
    <row r="8127">
      <c r="A8127" t="inlineStr">
        <is>
          <t>27BBBBB08127Z5</t>
        </is>
      </c>
      <c r="B8127" t="inlineStr">
        <is>
          <t>Dec-2017</t>
        </is>
      </c>
      <c r="C8127" s="2" t="n">
        <v>43336</v>
      </c>
      <c r="D8127" t="inlineStr">
        <is>
          <t>NIL</t>
        </is>
      </c>
      <c r="E8127" t="n">
        <v>129</v>
      </c>
    </row>
    <row r="8128">
      <c r="A8128" t="inlineStr">
        <is>
          <t>27BBBBB08128Z5</t>
        </is>
      </c>
      <c r="B8128" t="inlineStr">
        <is>
          <t>Sep-2018</t>
        </is>
      </c>
      <c r="C8128" s="2" t="n">
        <v>43636</v>
      </c>
      <c r="D8128" t="inlineStr">
        <is>
          <t>NIL</t>
        </is>
      </c>
      <c r="E8128" t="n">
        <v>463</v>
      </c>
    </row>
    <row r="8129">
      <c r="A8129" t="inlineStr">
        <is>
          <t>27BBBBB08129Z5</t>
        </is>
      </c>
      <c r="B8129" t="inlineStr">
        <is>
          <t>Feb-2018</t>
        </is>
      </c>
      <c r="C8129" s="2" t="n">
        <v>43531</v>
      </c>
      <c r="D8129" t="inlineStr">
        <is>
          <t>NON-NIL</t>
        </is>
      </c>
      <c r="E8129" t="n">
        <v>1390</v>
      </c>
    </row>
    <row r="8130">
      <c r="A8130" t="inlineStr">
        <is>
          <t>27BBBBB08130Z5</t>
        </is>
      </c>
      <c r="B8130" t="inlineStr">
        <is>
          <t>Sep-2018</t>
        </is>
      </c>
      <c r="C8130" s="2" t="n">
        <v>44127</v>
      </c>
      <c r="D8130" t="inlineStr">
        <is>
          <t>NON-NIL</t>
        </is>
      </c>
      <c r="E8130" t="n">
        <v>2893</v>
      </c>
    </row>
    <row r="8131">
      <c r="A8131" t="inlineStr">
        <is>
          <t>27BBBBB08131Z5</t>
        </is>
      </c>
      <c r="B8131" t="inlineStr">
        <is>
          <t>Dec-2018</t>
        </is>
      </c>
      <c r="C8131" s="2" t="n">
        <v>43147</v>
      </c>
      <c r="D8131" t="inlineStr">
        <is>
          <t>NIL</t>
        </is>
      </c>
      <c r="E8131" t="n">
        <v>997</v>
      </c>
    </row>
    <row r="8132">
      <c r="A8132" t="inlineStr">
        <is>
          <t>27BBBBB08132Z5</t>
        </is>
      </c>
      <c r="B8132" t="inlineStr">
        <is>
          <t>Dec-2017</t>
        </is>
      </c>
      <c r="C8132" s="2" t="n">
        <v>43041</v>
      </c>
      <c r="D8132" t="inlineStr">
        <is>
          <t>NIL</t>
        </is>
      </c>
      <c r="E8132" t="n">
        <v>668</v>
      </c>
    </row>
    <row r="8133">
      <c r="A8133" t="inlineStr">
        <is>
          <t>27BBBBB08133Z5</t>
        </is>
      </c>
      <c r="B8133" t="inlineStr">
        <is>
          <t>Mar-2018</t>
        </is>
      </c>
      <c r="C8133" s="2" t="n">
        <v>42923</v>
      </c>
      <c r="D8133" t="inlineStr">
        <is>
          <t>NIL</t>
        </is>
      </c>
      <c r="E8133" t="n">
        <v>1993</v>
      </c>
    </row>
    <row r="8134">
      <c r="A8134" t="inlineStr">
        <is>
          <t>27BBBBB08134Z5</t>
        </is>
      </c>
      <c r="B8134" t="inlineStr">
        <is>
          <t>Feb-2018</t>
        </is>
      </c>
      <c r="C8134" s="2" t="n">
        <v>44307</v>
      </c>
      <c r="D8134" t="inlineStr">
        <is>
          <t>NIL</t>
        </is>
      </c>
      <c r="E8134" t="n">
        <v>2290</v>
      </c>
    </row>
    <row r="8135">
      <c r="A8135" t="inlineStr">
        <is>
          <t>27BBBBB08135Z5</t>
        </is>
      </c>
      <c r="B8135" t="inlineStr">
        <is>
          <t>Sep-2017</t>
        </is>
      </c>
      <c r="C8135" s="2" t="n">
        <v>43570</v>
      </c>
      <c r="D8135" t="inlineStr">
        <is>
          <t>NON-NIL</t>
        </is>
      </c>
      <c r="E8135" t="n">
        <v>2852</v>
      </c>
    </row>
    <row r="8136">
      <c r="A8136" t="inlineStr">
        <is>
          <t>27BBBBB08136Z5</t>
        </is>
      </c>
      <c r="B8136" t="inlineStr">
        <is>
          <t>Apr-2018</t>
        </is>
      </c>
      <c r="C8136" s="2" t="n">
        <v>43345</v>
      </c>
      <c r="D8136" t="inlineStr">
        <is>
          <t>NIL</t>
        </is>
      </c>
      <c r="E8136" t="n">
        <v>584</v>
      </c>
    </row>
    <row r="8137">
      <c r="A8137" t="inlineStr">
        <is>
          <t>27BBBBB08137Z5</t>
        </is>
      </c>
      <c r="B8137" t="inlineStr">
        <is>
          <t>Mar-2018</t>
        </is>
      </c>
      <c r="C8137" s="2" t="n">
        <v>44215</v>
      </c>
      <c r="D8137" t="inlineStr">
        <is>
          <t>NON-NIL</t>
        </is>
      </c>
      <c r="E8137" t="n">
        <v>2000</v>
      </c>
    </row>
    <row r="8138">
      <c r="A8138" t="inlineStr">
        <is>
          <t>27BBBBB08138Z5</t>
        </is>
      </c>
      <c r="B8138" t="inlineStr">
        <is>
          <t>Mar-2018</t>
        </is>
      </c>
      <c r="C8138" s="2" t="n">
        <v>42936</v>
      </c>
      <c r="D8138" t="inlineStr">
        <is>
          <t>NIL</t>
        </is>
      </c>
      <c r="E8138" t="n">
        <v>2531</v>
      </c>
    </row>
    <row r="8139">
      <c r="A8139" t="inlineStr">
        <is>
          <t>27BBBBB08139Z5</t>
        </is>
      </c>
      <c r="B8139" t="inlineStr">
        <is>
          <t>Apr-2018</t>
        </is>
      </c>
      <c r="C8139" s="2" t="n">
        <v>42930</v>
      </c>
      <c r="D8139" t="inlineStr">
        <is>
          <t>NON-NIL</t>
        </is>
      </c>
      <c r="E8139" t="n">
        <v>999</v>
      </c>
    </row>
    <row r="8140">
      <c r="A8140" t="inlineStr">
        <is>
          <t>27BBBBB08140Z5</t>
        </is>
      </c>
      <c r="B8140" t="inlineStr">
        <is>
          <t>Sep-2018</t>
        </is>
      </c>
      <c r="C8140" s="2" t="n">
        <v>44040</v>
      </c>
      <c r="D8140" t="inlineStr">
        <is>
          <t>NIL</t>
        </is>
      </c>
      <c r="E8140" t="n">
        <v>1166</v>
      </c>
    </row>
    <row r="8141">
      <c r="A8141" t="inlineStr">
        <is>
          <t>27BBBBB08141Z5</t>
        </is>
      </c>
      <c r="B8141" t="inlineStr">
        <is>
          <t>Sep-2017</t>
        </is>
      </c>
      <c r="C8141" s="2" t="n">
        <v>43156</v>
      </c>
      <c r="D8141" t="inlineStr">
        <is>
          <t>NON-NIL</t>
        </is>
      </c>
      <c r="E8141" t="n">
        <v>2165</v>
      </c>
    </row>
    <row r="8142">
      <c r="A8142" t="inlineStr">
        <is>
          <t>27BBBBB08142Z5</t>
        </is>
      </c>
      <c r="B8142" t="inlineStr">
        <is>
          <t>Sep-2018</t>
        </is>
      </c>
      <c r="C8142" s="2" t="n">
        <v>44387</v>
      </c>
      <c r="D8142" t="inlineStr">
        <is>
          <t>NIL</t>
        </is>
      </c>
      <c r="E8142" t="n">
        <v>1717</v>
      </c>
    </row>
    <row r="8143">
      <c r="A8143" t="inlineStr">
        <is>
          <t>27BBBBB08143Z5</t>
        </is>
      </c>
      <c r="B8143" t="inlineStr">
        <is>
          <t>Aug-2017</t>
        </is>
      </c>
      <c r="C8143" s="2" t="n">
        <v>43761</v>
      </c>
      <c r="D8143" t="inlineStr">
        <is>
          <t>NIL</t>
        </is>
      </c>
      <c r="E8143" t="n">
        <v>1082</v>
      </c>
    </row>
    <row r="8144">
      <c r="A8144" t="inlineStr">
        <is>
          <t>27BBBBB08144Z5</t>
        </is>
      </c>
      <c r="B8144" t="inlineStr">
        <is>
          <t>Aug-2017</t>
        </is>
      </c>
      <c r="C8144" s="2" t="n">
        <v>43677</v>
      </c>
      <c r="D8144" t="inlineStr">
        <is>
          <t>NIL</t>
        </is>
      </c>
      <c r="E8144" t="n">
        <v>827</v>
      </c>
    </row>
    <row r="8145">
      <c r="A8145" t="inlineStr">
        <is>
          <t>27BBBBB08145Z5</t>
        </is>
      </c>
      <c r="B8145" t="inlineStr">
        <is>
          <t>Aug-2017</t>
        </is>
      </c>
      <c r="C8145" s="2" t="n">
        <v>43011</v>
      </c>
      <c r="D8145" t="inlineStr">
        <is>
          <t>NON-NIL</t>
        </is>
      </c>
      <c r="E8145" t="n">
        <v>1895</v>
      </c>
    </row>
    <row r="8146">
      <c r="A8146" t="inlineStr">
        <is>
          <t>27BBBBB08146Z5</t>
        </is>
      </c>
      <c r="B8146" t="inlineStr">
        <is>
          <t>Dec-2017</t>
        </is>
      </c>
      <c r="C8146" s="2" t="n">
        <v>43394</v>
      </c>
      <c r="D8146" t="inlineStr">
        <is>
          <t>NON-NIL</t>
        </is>
      </c>
      <c r="E8146" t="n">
        <v>843</v>
      </c>
    </row>
    <row r="8147">
      <c r="A8147" t="inlineStr">
        <is>
          <t>27BBBBB08147Z5</t>
        </is>
      </c>
      <c r="B8147" t="inlineStr">
        <is>
          <t>Dec-2017</t>
        </is>
      </c>
      <c r="C8147" s="2" t="n">
        <v>43843</v>
      </c>
      <c r="D8147" t="inlineStr">
        <is>
          <t>NIL</t>
        </is>
      </c>
      <c r="E8147" t="n">
        <v>2079</v>
      </c>
    </row>
    <row r="8148">
      <c r="A8148" t="inlineStr">
        <is>
          <t>27BBBBB08148Z5</t>
        </is>
      </c>
      <c r="B8148" t="inlineStr">
        <is>
          <t>Dec-2017</t>
        </is>
      </c>
      <c r="C8148" s="2" t="n">
        <v>43381</v>
      </c>
      <c r="D8148" t="inlineStr">
        <is>
          <t>NIL</t>
        </is>
      </c>
      <c r="E8148" t="n">
        <v>505</v>
      </c>
    </row>
    <row r="8149">
      <c r="A8149" t="inlineStr">
        <is>
          <t>27BBBBB08149Z5</t>
        </is>
      </c>
      <c r="B8149" t="inlineStr">
        <is>
          <t>Aug-2018</t>
        </is>
      </c>
      <c r="C8149" s="2" t="n">
        <v>43912</v>
      </c>
      <c r="D8149" t="inlineStr">
        <is>
          <t>NIL</t>
        </is>
      </c>
      <c r="E8149" t="n">
        <v>1714</v>
      </c>
    </row>
    <row r="8150">
      <c r="A8150" t="inlineStr">
        <is>
          <t>27BBBBB08150Z5</t>
        </is>
      </c>
      <c r="B8150" t="inlineStr">
        <is>
          <t>Nov-2017</t>
        </is>
      </c>
      <c r="C8150" s="2" t="n">
        <v>44141</v>
      </c>
      <c r="D8150" t="inlineStr">
        <is>
          <t>NON-NIL</t>
        </is>
      </c>
      <c r="E8150" t="n">
        <v>2854</v>
      </c>
    </row>
    <row r="8151">
      <c r="A8151" t="inlineStr">
        <is>
          <t>27BBBBB08151Z5</t>
        </is>
      </c>
      <c r="B8151" t="inlineStr">
        <is>
          <t>Dec-2018</t>
        </is>
      </c>
      <c r="C8151" s="2" t="n">
        <v>43051</v>
      </c>
      <c r="D8151" t="inlineStr">
        <is>
          <t>NON-NIL</t>
        </is>
      </c>
      <c r="E8151" t="n">
        <v>1365</v>
      </c>
    </row>
    <row r="8152">
      <c r="A8152" t="inlineStr">
        <is>
          <t>27BBBBB08152Z5</t>
        </is>
      </c>
      <c r="B8152" t="inlineStr">
        <is>
          <t>Apr-2018</t>
        </is>
      </c>
      <c r="C8152" s="2" t="n">
        <v>44055</v>
      </c>
      <c r="D8152" t="inlineStr">
        <is>
          <t>NIL</t>
        </is>
      </c>
      <c r="E8152" t="n">
        <v>1176</v>
      </c>
    </row>
    <row r="8153">
      <c r="A8153" t="inlineStr">
        <is>
          <t>27BBBBB08153Z5</t>
        </is>
      </c>
      <c r="B8153" t="inlineStr">
        <is>
          <t>Apr-2018</t>
        </is>
      </c>
      <c r="C8153" s="2" t="n">
        <v>43181</v>
      </c>
      <c r="D8153" t="inlineStr">
        <is>
          <t>NIL</t>
        </is>
      </c>
      <c r="E8153" t="n">
        <v>899</v>
      </c>
    </row>
    <row r="8154">
      <c r="A8154" t="inlineStr">
        <is>
          <t>27BBBBB08154Z5</t>
        </is>
      </c>
      <c r="B8154" t="inlineStr">
        <is>
          <t>Jun-2018</t>
        </is>
      </c>
      <c r="C8154" s="2" t="n">
        <v>43235</v>
      </c>
      <c r="D8154" t="inlineStr">
        <is>
          <t>NIL</t>
        </is>
      </c>
      <c r="E8154" t="n">
        <v>1290</v>
      </c>
    </row>
    <row r="8155">
      <c r="A8155" t="inlineStr">
        <is>
          <t>27BBBBB08155Z5</t>
        </is>
      </c>
      <c r="B8155" t="inlineStr">
        <is>
          <t>Jul-2018</t>
        </is>
      </c>
      <c r="C8155" s="2" t="n">
        <v>43017</v>
      </c>
      <c r="D8155" t="inlineStr">
        <is>
          <t>NIL</t>
        </is>
      </c>
      <c r="E8155" t="n">
        <v>889</v>
      </c>
    </row>
    <row r="8156">
      <c r="A8156" t="inlineStr">
        <is>
          <t>27BBBBB08156Z5</t>
        </is>
      </c>
      <c r="B8156" t="inlineStr">
        <is>
          <t>Jun-2020</t>
        </is>
      </c>
      <c r="C8156" s="2" t="n">
        <v>44175</v>
      </c>
      <c r="D8156" t="inlineStr">
        <is>
          <t>NON-NIL</t>
        </is>
      </c>
      <c r="E8156" t="n">
        <v>2030</v>
      </c>
    </row>
    <row r="8157">
      <c r="A8157" t="inlineStr">
        <is>
          <t>27BBBBB08157Z5</t>
        </is>
      </c>
      <c r="B8157" t="inlineStr">
        <is>
          <t>Apr-2018</t>
        </is>
      </c>
      <c r="C8157" s="2" t="n">
        <v>43728</v>
      </c>
      <c r="D8157" t="inlineStr">
        <is>
          <t>NON-NIL</t>
        </is>
      </c>
      <c r="E8157" t="n">
        <v>2325</v>
      </c>
    </row>
    <row r="8158">
      <c r="A8158" t="inlineStr">
        <is>
          <t>27BBBBB08158Z5</t>
        </is>
      </c>
      <c r="B8158" t="inlineStr">
        <is>
          <t>Nov-2017</t>
        </is>
      </c>
      <c r="C8158" s="2" t="n">
        <v>43928</v>
      </c>
      <c r="D8158" t="inlineStr">
        <is>
          <t>NIL</t>
        </is>
      </c>
      <c r="E8158" t="n">
        <v>2256</v>
      </c>
    </row>
    <row r="8159">
      <c r="A8159" t="inlineStr">
        <is>
          <t>27BBBBB08159Z5</t>
        </is>
      </c>
      <c r="B8159" t="inlineStr">
        <is>
          <t>Jun-2018</t>
        </is>
      </c>
      <c r="C8159" s="2" t="n">
        <v>43642</v>
      </c>
      <c r="D8159" t="inlineStr">
        <is>
          <t>NIL</t>
        </is>
      </c>
      <c r="E8159" t="n">
        <v>941</v>
      </c>
    </row>
    <row r="8160">
      <c r="A8160" t="inlineStr">
        <is>
          <t>27BBBBB08160Z5</t>
        </is>
      </c>
      <c r="B8160" t="inlineStr">
        <is>
          <t>Sep-2018</t>
        </is>
      </c>
      <c r="C8160" s="2" t="n">
        <v>43028</v>
      </c>
      <c r="D8160" t="inlineStr">
        <is>
          <t>NIL</t>
        </is>
      </c>
      <c r="E8160" t="n">
        <v>2878</v>
      </c>
    </row>
    <row r="8161">
      <c r="A8161" t="inlineStr">
        <is>
          <t>27BBBBB08161Z5</t>
        </is>
      </c>
      <c r="B8161" t="inlineStr">
        <is>
          <t>Jun-2018</t>
        </is>
      </c>
      <c r="C8161" s="2" t="n">
        <v>44372</v>
      </c>
      <c r="D8161" t="inlineStr">
        <is>
          <t>NON-NIL</t>
        </is>
      </c>
      <c r="E8161" t="n">
        <v>2455</v>
      </c>
    </row>
    <row r="8162">
      <c r="A8162" t="inlineStr">
        <is>
          <t>27BBBBB08162Z5</t>
        </is>
      </c>
      <c r="B8162" t="inlineStr">
        <is>
          <t>Sep-2018</t>
        </is>
      </c>
      <c r="C8162" s="2" t="n">
        <v>44027</v>
      </c>
      <c r="D8162" t="inlineStr">
        <is>
          <t>NIL</t>
        </is>
      </c>
      <c r="E8162" t="n">
        <v>2288</v>
      </c>
    </row>
    <row r="8163">
      <c r="A8163" t="inlineStr">
        <is>
          <t>27BBBBB08163Z5</t>
        </is>
      </c>
      <c r="B8163" t="inlineStr">
        <is>
          <t>Oct-2018</t>
        </is>
      </c>
      <c r="C8163" s="2" t="n">
        <v>43953</v>
      </c>
      <c r="D8163" t="inlineStr">
        <is>
          <t>NON-NIL</t>
        </is>
      </c>
      <c r="E8163" t="n">
        <v>410</v>
      </c>
    </row>
    <row r="8164">
      <c r="A8164" t="inlineStr">
        <is>
          <t>27BBBBB08164Z5</t>
        </is>
      </c>
      <c r="B8164" t="inlineStr">
        <is>
          <t>Sep-2018</t>
        </is>
      </c>
      <c r="C8164" s="2" t="n">
        <v>43965</v>
      </c>
      <c r="D8164" t="inlineStr">
        <is>
          <t>NON-NIL</t>
        </is>
      </c>
      <c r="E8164" t="n">
        <v>1930</v>
      </c>
    </row>
    <row r="8165">
      <c r="A8165" t="inlineStr">
        <is>
          <t>27BBBBB08165Z5</t>
        </is>
      </c>
      <c r="B8165" t="inlineStr">
        <is>
          <t>Apr-2020</t>
        </is>
      </c>
      <c r="C8165" s="2" t="n">
        <v>44289</v>
      </c>
      <c r="D8165" t="inlineStr">
        <is>
          <t>NIL</t>
        </is>
      </c>
      <c r="E8165" t="n">
        <v>1783</v>
      </c>
    </row>
    <row r="8166">
      <c r="A8166" t="inlineStr">
        <is>
          <t>27BBBBB08166Z5</t>
        </is>
      </c>
      <c r="B8166" t="inlineStr">
        <is>
          <t>Apr-2020</t>
        </is>
      </c>
      <c r="C8166" s="2" t="n">
        <v>44281</v>
      </c>
      <c r="D8166" t="inlineStr">
        <is>
          <t>NON-NIL</t>
        </is>
      </c>
      <c r="E8166" t="n">
        <v>2436</v>
      </c>
    </row>
    <row r="8167">
      <c r="A8167" t="inlineStr">
        <is>
          <t>27BBBBB08167Z5</t>
        </is>
      </c>
      <c r="B8167" t="inlineStr">
        <is>
          <t>Mar-2020</t>
        </is>
      </c>
      <c r="C8167" s="2" t="n">
        <v>44505</v>
      </c>
      <c r="D8167" t="inlineStr">
        <is>
          <t>NON-NIL</t>
        </is>
      </c>
      <c r="E8167" t="n">
        <v>758</v>
      </c>
    </row>
    <row r="8168">
      <c r="A8168" t="inlineStr">
        <is>
          <t>27BBBBB08168Z5</t>
        </is>
      </c>
      <c r="B8168" t="inlineStr">
        <is>
          <t>Jul-2017</t>
        </is>
      </c>
      <c r="C8168" s="2" t="n">
        <v>43185</v>
      </c>
      <c r="D8168" t="inlineStr">
        <is>
          <t>NIL</t>
        </is>
      </c>
      <c r="E8168" t="n">
        <v>843</v>
      </c>
    </row>
    <row r="8169">
      <c r="A8169" t="inlineStr">
        <is>
          <t>27BBBBB08169Z5</t>
        </is>
      </c>
      <c r="B8169" t="inlineStr">
        <is>
          <t>May-2018</t>
        </is>
      </c>
      <c r="C8169" s="2" t="n">
        <v>43251</v>
      </c>
      <c r="D8169" t="inlineStr">
        <is>
          <t>NIL</t>
        </is>
      </c>
      <c r="E8169" t="n">
        <v>253</v>
      </c>
    </row>
    <row r="8170">
      <c r="A8170" t="inlineStr">
        <is>
          <t>27BBBBB08170Z5</t>
        </is>
      </c>
      <c r="B8170" t="inlineStr">
        <is>
          <t>Apr-2018</t>
        </is>
      </c>
      <c r="C8170" s="2" t="n">
        <v>44023</v>
      </c>
      <c r="D8170" t="inlineStr">
        <is>
          <t>NIL</t>
        </is>
      </c>
      <c r="E8170" t="n">
        <v>485</v>
      </c>
    </row>
    <row r="8171">
      <c r="A8171" t="inlineStr">
        <is>
          <t>27BBBBB08171Z5</t>
        </is>
      </c>
      <c r="B8171" t="inlineStr">
        <is>
          <t>Mar-2023</t>
        </is>
      </c>
      <c r="C8171" s="2" t="n">
        <v>44528</v>
      </c>
      <c r="D8171" t="inlineStr">
        <is>
          <t>NON-NIL</t>
        </is>
      </c>
      <c r="E8171" t="n">
        <v>2166</v>
      </c>
    </row>
    <row r="8172">
      <c r="A8172" t="inlineStr">
        <is>
          <t>27BBBBB08172Z5</t>
        </is>
      </c>
      <c r="B8172" t="inlineStr">
        <is>
          <t>May-2020</t>
        </is>
      </c>
      <c r="C8172" s="2" t="n">
        <v>44013</v>
      </c>
      <c r="D8172" t="inlineStr">
        <is>
          <t>NIL</t>
        </is>
      </c>
      <c r="E8172" t="n">
        <v>2186</v>
      </c>
    </row>
    <row r="8173">
      <c r="A8173" t="inlineStr">
        <is>
          <t>27BBBBB08173Z5</t>
        </is>
      </c>
      <c r="B8173" t="inlineStr">
        <is>
          <t>Dec-2024</t>
        </is>
      </c>
      <c r="C8173" s="2" t="n">
        <v>44396</v>
      </c>
      <c r="D8173" t="inlineStr">
        <is>
          <t>NIL</t>
        </is>
      </c>
      <c r="E8173" t="n">
        <v>300</v>
      </c>
    </row>
    <row r="8174">
      <c r="A8174" t="inlineStr">
        <is>
          <t>27BBBBB08174Z5</t>
        </is>
      </c>
      <c r="B8174" t="inlineStr">
        <is>
          <t>Jan-2018</t>
        </is>
      </c>
      <c r="C8174" s="2" t="n">
        <v>43989</v>
      </c>
      <c r="D8174" t="inlineStr">
        <is>
          <t>NON-NIL</t>
        </is>
      </c>
      <c r="E8174" t="n">
        <v>814</v>
      </c>
    </row>
    <row r="8175">
      <c r="A8175" t="inlineStr">
        <is>
          <t>27BBBBB08175Z5</t>
        </is>
      </c>
      <c r="B8175" t="inlineStr">
        <is>
          <t>Jun-2020</t>
        </is>
      </c>
      <c r="C8175" s="2" t="n">
        <v>44422</v>
      </c>
      <c r="D8175" t="inlineStr">
        <is>
          <t>NIL</t>
        </is>
      </c>
      <c r="E8175" t="n">
        <v>881</v>
      </c>
    </row>
    <row r="8176">
      <c r="A8176" t="inlineStr">
        <is>
          <t>27BBBBB08176Z5</t>
        </is>
      </c>
      <c r="B8176" t="inlineStr">
        <is>
          <t>Dec-2022</t>
        </is>
      </c>
      <c r="C8176" s="2" t="n">
        <v>44791</v>
      </c>
      <c r="D8176" t="inlineStr">
        <is>
          <t>NIL</t>
        </is>
      </c>
      <c r="E8176" t="n">
        <v>1141</v>
      </c>
    </row>
    <row r="8177">
      <c r="A8177" t="inlineStr">
        <is>
          <t>27BBBBB08177Z5</t>
        </is>
      </c>
      <c r="B8177" t="inlineStr">
        <is>
          <t>Apr-2020</t>
        </is>
      </c>
      <c r="C8177" s="2" t="n">
        <v>44234</v>
      </c>
      <c r="D8177" t="inlineStr">
        <is>
          <t>NON-NIL</t>
        </is>
      </c>
      <c r="E8177" t="n">
        <v>457</v>
      </c>
    </row>
    <row r="8178">
      <c r="A8178" t="inlineStr">
        <is>
          <t>27BBBBB08178Z5</t>
        </is>
      </c>
      <c r="B8178" t="inlineStr">
        <is>
          <t>Aug-2017</t>
        </is>
      </c>
      <c r="C8178" s="2" t="n">
        <v>43487</v>
      </c>
      <c r="D8178" t="inlineStr">
        <is>
          <t>NIL</t>
        </is>
      </c>
      <c r="E8178" t="n">
        <v>1903</v>
      </c>
    </row>
    <row r="8179">
      <c r="A8179" t="inlineStr">
        <is>
          <t>27BBBBB08179Z5</t>
        </is>
      </c>
      <c r="B8179" t="inlineStr">
        <is>
          <t>Jul-2018</t>
        </is>
      </c>
      <c r="C8179" s="2" t="n">
        <v>43298</v>
      </c>
      <c r="D8179" t="inlineStr">
        <is>
          <t>NON-NIL</t>
        </is>
      </c>
      <c r="E8179" t="n">
        <v>2875</v>
      </c>
    </row>
    <row r="8180">
      <c r="A8180" t="inlineStr">
        <is>
          <t>27BBBBB08180Z5</t>
        </is>
      </c>
      <c r="B8180" t="inlineStr">
        <is>
          <t>Oct-2017</t>
        </is>
      </c>
      <c r="C8180" s="2" t="n">
        <v>42930</v>
      </c>
      <c r="D8180" t="inlineStr">
        <is>
          <t>NIL</t>
        </is>
      </c>
      <c r="E8180" t="n">
        <v>2661</v>
      </c>
    </row>
    <row r="8181">
      <c r="A8181" t="inlineStr">
        <is>
          <t>27BBBBB08181Z5</t>
        </is>
      </c>
      <c r="B8181" t="inlineStr">
        <is>
          <t>Jul-2017</t>
        </is>
      </c>
      <c r="C8181" s="2" t="n">
        <v>44526</v>
      </c>
      <c r="D8181" t="inlineStr">
        <is>
          <t>NIL</t>
        </is>
      </c>
      <c r="E8181" t="n">
        <v>1686</v>
      </c>
    </row>
    <row r="8182">
      <c r="A8182" t="inlineStr">
        <is>
          <t>27BBBBB08182Z5</t>
        </is>
      </c>
      <c r="B8182" t="inlineStr">
        <is>
          <t>Mar-2018</t>
        </is>
      </c>
      <c r="C8182" s="2" t="n">
        <v>43002</v>
      </c>
      <c r="D8182" t="inlineStr">
        <is>
          <t>NON-NIL</t>
        </is>
      </c>
      <c r="E8182" t="n">
        <v>104</v>
      </c>
    </row>
    <row r="8183">
      <c r="A8183" t="inlineStr">
        <is>
          <t>27BBBBB08183Z5</t>
        </is>
      </c>
      <c r="B8183" t="inlineStr">
        <is>
          <t>Feb-2018</t>
        </is>
      </c>
      <c r="C8183" s="2" t="n">
        <v>44173</v>
      </c>
      <c r="D8183" t="inlineStr">
        <is>
          <t>NON-NIL</t>
        </is>
      </c>
      <c r="E8183" t="n">
        <v>2692</v>
      </c>
    </row>
    <row r="8184">
      <c r="A8184" t="inlineStr">
        <is>
          <t>27BBBBB08184Z5</t>
        </is>
      </c>
      <c r="B8184" t="inlineStr">
        <is>
          <t>Jul-2018</t>
        </is>
      </c>
      <c r="C8184" s="2" t="n">
        <v>43182</v>
      </c>
      <c r="D8184" t="inlineStr">
        <is>
          <t>NIL</t>
        </is>
      </c>
      <c r="E8184" t="n">
        <v>452</v>
      </c>
    </row>
    <row r="8185">
      <c r="A8185" t="inlineStr">
        <is>
          <t>27BBBBB08185Z5</t>
        </is>
      </c>
      <c r="B8185" t="inlineStr">
        <is>
          <t>Nov-2018</t>
        </is>
      </c>
      <c r="C8185" s="2" t="n">
        <v>44055</v>
      </c>
      <c r="D8185" t="inlineStr">
        <is>
          <t>NIL</t>
        </is>
      </c>
      <c r="E8185" t="n">
        <v>1788</v>
      </c>
    </row>
    <row r="8186">
      <c r="A8186" t="inlineStr">
        <is>
          <t>27BBBBB08186Z5</t>
        </is>
      </c>
      <c r="B8186" t="inlineStr">
        <is>
          <t>Apr-2020</t>
        </is>
      </c>
      <c r="C8186" s="2" t="n">
        <v>43906</v>
      </c>
      <c r="D8186" t="inlineStr">
        <is>
          <t>NON-NIL</t>
        </is>
      </c>
      <c r="E8186" t="n">
        <v>1001</v>
      </c>
    </row>
    <row r="8187">
      <c r="A8187" t="inlineStr">
        <is>
          <t>27BBBBB08187Z5</t>
        </is>
      </c>
      <c r="B8187" t="inlineStr">
        <is>
          <t>Mar-2023</t>
        </is>
      </c>
      <c r="C8187" s="2" t="n">
        <v>45529</v>
      </c>
      <c r="D8187" t="inlineStr">
        <is>
          <t>NIL</t>
        </is>
      </c>
      <c r="E8187" t="n">
        <v>441</v>
      </c>
    </row>
    <row r="8188">
      <c r="A8188" t="inlineStr">
        <is>
          <t>27BBBBB08188Z5</t>
        </is>
      </c>
      <c r="B8188" t="inlineStr">
        <is>
          <t>Apr-2018</t>
        </is>
      </c>
      <c r="C8188" s="2" t="n">
        <v>44241</v>
      </c>
      <c r="D8188" t="inlineStr">
        <is>
          <t>NIL</t>
        </is>
      </c>
      <c r="E8188" t="n">
        <v>286</v>
      </c>
    </row>
    <row r="8189">
      <c r="A8189" t="inlineStr">
        <is>
          <t>27BBBBB08189Z5</t>
        </is>
      </c>
      <c r="B8189" t="inlineStr">
        <is>
          <t>Apr-2020</t>
        </is>
      </c>
      <c r="C8189" s="2" t="n">
        <v>44060</v>
      </c>
      <c r="D8189" t="inlineStr">
        <is>
          <t>NIL</t>
        </is>
      </c>
      <c r="E8189" t="n">
        <v>0</v>
      </c>
    </row>
    <row r="8190">
      <c r="A8190" t="inlineStr">
        <is>
          <t>27BBBBB08190Z5</t>
        </is>
      </c>
      <c r="B8190" t="inlineStr">
        <is>
          <t>Jul-2018</t>
        </is>
      </c>
      <c r="C8190" s="2" t="n">
        <v>43217</v>
      </c>
      <c r="D8190" t="inlineStr">
        <is>
          <t>NON-NIL</t>
        </is>
      </c>
      <c r="E8190" t="n">
        <v>1176</v>
      </c>
    </row>
    <row r="8191">
      <c r="A8191" t="inlineStr">
        <is>
          <t>27BBBBB08191Z5</t>
        </is>
      </c>
      <c r="B8191" t="inlineStr">
        <is>
          <t>Sep-2017</t>
        </is>
      </c>
      <c r="C8191" s="2" t="n">
        <v>43998</v>
      </c>
      <c r="D8191" t="inlineStr">
        <is>
          <t>NON-NIL</t>
        </is>
      </c>
      <c r="E8191" t="n">
        <v>85</v>
      </c>
    </row>
    <row r="8192">
      <c r="A8192" t="inlineStr">
        <is>
          <t>27BBBBB08192Z5</t>
        </is>
      </c>
      <c r="B8192" t="inlineStr">
        <is>
          <t>Sep-2017</t>
        </is>
      </c>
      <c r="C8192" s="2" t="n">
        <v>44285</v>
      </c>
      <c r="D8192" t="inlineStr">
        <is>
          <t>NON-NIL</t>
        </is>
      </c>
      <c r="E8192" t="n">
        <v>1718</v>
      </c>
    </row>
    <row r="8193">
      <c r="A8193" t="inlineStr">
        <is>
          <t>27BBBBB08193Z5</t>
        </is>
      </c>
      <c r="B8193" t="inlineStr">
        <is>
          <t>Jan-2021</t>
        </is>
      </c>
      <c r="C8193" s="2" t="n">
        <v>44660</v>
      </c>
      <c r="D8193" t="inlineStr">
        <is>
          <t>NIL</t>
        </is>
      </c>
      <c r="E8193" t="n">
        <v>1392</v>
      </c>
    </row>
    <row r="8194">
      <c r="A8194" t="inlineStr">
        <is>
          <t>27BBBBB08194Z5</t>
        </is>
      </c>
      <c r="B8194" t="inlineStr">
        <is>
          <t>Mar-2023</t>
        </is>
      </c>
      <c r="C8194" s="2" t="n">
        <v>43540</v>
      </c>
      <c r="D8194" t="inlineStr">
        <is>
          <t>NON-NIL</t>
        </is>
      </c>
      <c r="E8194" t="n">
        <v>2025</v>
      </c>
    </row>
    <row r="8195">
      <c r="A8195" t="inlineStr">
        <is>
          <t>27BBBBB08195Z5</t>
        </is>
      </c>
      <c r="B8195" t="inlineStr">
        <is>
          <t>Jan-2021</t>
        </is>
      </c>
      <c r="C8195" s="2" t="n">
        <v>44818</v>
      </c>
      <c r="D8195" t="inlineStr">
        <is>
          <t>NON-NIL</t>
        </is>
      </c>
      <c r="E8195" t="n">
        <v>2158</v>
      </c>
    </row>
    <row r="8196">
      <c r="A8196" t="inlineStr">
        <is>
          <t>27BBBBB08196Z5</t>
        </is>
      </c>
      <c r="B8196" t="inlineStr">
        <is>
          <t>Mar-2023</t>
        </is>
      </c>
      <c r="C8196" s="2" t="n">
        <v>43821</v>
      </c>
      <c r="D8196" t="inlineStr">
        <is>
          <t>NIL</t>
        </is>
      </c>
      <c r="E8196" t="n">
        <v>2651</v>
      </c>
    </row>
    <row r="8197">
      <c r="A8197" t="inlineStr">
        <is>
          <t>27BBBBB08197Z5</t>
        </is>
      </c>
      <c r="B8197" t="inlineStr">
        <is>
          <t>Feb-2018</t>
        </is>
      </c>
      <c r="C8197" s="2" t="n">
        <v>43434</v>
      </c>
      <c r="D8197" t="inlineStr">
        <is>
          <t>NIL</t>
        </is>
      </c>
      <c r="E8197" t="n">
        <v>315</v>
      </c>
    </row>
    <row r="8198">
      <c r="A8198" t="inlineStr">
        <is>
          <t>27BBBBB08198Z5</t>
        </is>
      </c>
      <c r="B8198" t="inlineStr">
        <is>
          <t>May-2018</t>
        </is>
      </c>
      <c r="C8198" s="2" t="n">
        <v>43373</v>
      </c>
      <c r="D8198" t="inlineStr">
        <is>
          <t>NIL</t>
        </is>
      </c>
      <c r="E8198" t="n">
        <v>2462</v>
      </c>
    </row>
    <row r="8199">
      <c r="A8199" t="inlineStr">
        <is>
          <t>27BBBBB08199Z5</t>
        </is>
      </c>
      <c r="B8199" t="inlineStr">
        <is>
          <t>Feb-2018</t>
        </is>
      </c>
      <c r="C8199" s="2" t="n">
        <v>43109</v>
      </c>
      <c r="D8199" t="inlineStr">
        <is>
          <t>NON-NIL</t>
        </is>
      </c>
      <c r="E8199" t="n">
        <v>2395</v>
      </c>
    </row>
    <row r="8200">
      <c r="A8200" t="inlineStr">
        <is>
          <t>27BBBBB08200Z5</t>
        </is>
      </c>
      <c r="B8200" t="inlineStr">
        <is>
          <t>Feb-2018</t>
        </is>
      </c>
      <c r="C8200" s="2" t="n">
        <v>44155</v>
      </c>
      <c r="D8200" t="inlineStr">
        <is>
          <t>NIL</t>
        </is>
      </c>
      <c r="E8200" t="n">
        <v>2118</v>
      </c>
    </row>
    <row r="8201">
      <c r="A8201" t="inlineStr">
        <is>
          <t>27BBBBB08201Z5</t>
        </is>
      </c>
      <c r="B8201" t="inlineStr">
        <is>
          <t>May-2020</t>
        </is>
      </c>
      <c r="C8201" s="2" t="n">
        <v>44147</v>
      </c>
      <c r="D8201" t="inlineStr">
        <is>
          <t>NIL</t>
        </is>
      </c>
      <c r="E8201" t="n">
        <v>851</v>
      </c>
    </row>
    <row r="8202">
      <c r="A8202" t="inlineStr">
        <is>
          <t>27BBBBB08202Z5</t>
        </is>
      </c>
      <c r="B8202" t="inlineStr">
        <is>
          <t>Jun-2018</t>
        </is>
      </c>
      <c r="C8202" s="2" t="n">
        <v>44359</v>
      </c>
      <c r="D8202" t="inlineStr">
        <is>
          <t>NON-NIL</t>
        </is>
      </c>
      <c r="E8202" t="n">
        <v>992</v>
      </c>
    </row>
    <row r="8203">
      <c r="A8203" t="inlineStr">
        <is>
          <t>27BBBBB08203Z5</t>
        </is>
      </c>
      <c r="B8203" t="inlineStr">
        <is>
          <t>Mar-2018</t>
        </is>
      </c>
      <c r="C8203" s="2" t="n">
        <v>44373</v>
      </c>
      <c r="D8203" t="inlineStr">
        <is>
          <t>NON-NIL</t>
        </is>
      </c>
      <c r="E8203" t="n">
        <v>684</v>
      </c>
    </row>
    <row r="8204">
      <c r="A8204" t="inlineStr">
        <is>
          <t>27BBBBB08204Z5</t>
        </is>
      </c>
      <c r="B8204" t="inlineStr">
        <is>
          <t>Mar-2021</t>
        </is>
      </c>
      <c r="C8204" s="2" t="n">
        <v>45223</v>
      </c>
      <c r="D8204" t="inlineStr">
        <is>
          <t>NIL</t>
        </is>
      </c>
      <c r="E8204" t="n">
        <v>2991</v>
      </c>
    </row>
    <row r="8205">
      <c r="A8205" t="inlineStr">
        <is>
          <t>27BBBBB08205Z5</t>
        </is>
      </c>
      <c r="B8205" t="inlineStr">
        <is>
          <t>Mar-2018</t>
        </is>
      </c>
      <c r="C8205" s="2" t="n">
        <v>43827</v>
      </c>
      <c r="D8205" t="inlineStr">
        <is>
          <t>NIL</t>
        </is>
      </c>
      <c r="E8205" t="n">
        <v>2433</v>
      </c>
    </row>
    <row r="8206">
      <c r="A8206" t="inlineStr">
        <is>
          <t>27BBBBB08206Z5</t>
        </is>
      </c>
      <c r="B8206" t="inlineStr">
        <is>
          <t>Mar-2021</t>
        </is>
      </c>
      <c r="C8206" s="2" t="n">
        <v>44422</v>
      </c>
      <c r="D8206" t="inlineStr">
        <is>
          <t>NIL</t>
        </is>
      </c>
      <c r="E8206" t="n">
        <v>1722</v>
      </c>
    </row>
    <row r="8207">
      <c r="A8207" t="inlineStr">
        <is>
          <t>27BBBBB08207Z5</t>
        </is>
      </c>
      <c r="B8207" t="inlineStr">
        <is>
          <t>May-2018</t>
        </is>
      </c>
      <c r="C8207" s="2" t="n">
        <v>43257</v>
      </c>
      <c r="D8207" t="inlineStr">
        <is>
          <t>NON-NIL</t>
        </is>
      </c>
      <c r="E8207" t="n">
        <v>2760</v>
      </c>
    </row>
    <row r="8208">
      <c r="A8208" t="inlineStr">
        <is>
          <t>27BBBBB08208Z5</t>
        </is>
      </c>
      <c r="B8208" t="inlineStr">
        <is>
          <t>Sep-2018</t>
        </is>
      </c>
      <c r="C8208" s="2" t="n">
        <v>44446</v>
      </c>
      <c r="D8208" t="inlineStr">
        <is>
          <t>NIL</t>
        </is>
      </c>
      <c r="E8208" t="n">
        <v>22</v>
      </c>
    </row>
    <row r="8209">
      <c r="A8209" t="inlineStr">
        <is>
          <t>27BBBBB08209Z5</t>
        </is>
      </c>
      <c r="B8209" t="inlineStr">
        <is>
          <t>Dec-2018</t>
        </is>
      </c>
      <c r="C8209" s="2" t="n">
        <v>43890</v>
      </c>
      <c r="D8209" t="inlineStr">
        <is>
          <t>NIL</t>
        </is>
      </c>
      <c r="E8209" t="n">
        <v>2766</v>
      </c>
    </row>
    <row r="8210">
      <c r="A8210" t="inlineStr">
        <is>
          <t>27BBBBB08210Z5</t>
        </is>
      </c>
      <c r="B8210" t="inlineStr">
        <is>
          <t>Mar-2018</t>
        </is>
      </c>
      <c r="C8210" s="2" t="n">
        <v>42937</v>
      </c>
      <c r="D8210" t="inlineStr">
        <is>
          <t>NIL</t>
        </is>
      </c>
      <c r="E8210" t="n">
        <v>1622</v>
      </c>
    </row>
    <row r="8211">
      <c r="A8211" t="inlineStr">
        <is>
          <t>27BBBBB08211Z5</t>
        </is>
      </c>
      <c r="B8211" t="inlineStr">
        <is>
          <t>Apr-2018</t>
        </is>
      </c>
      <c r="C8211" s="2" t="n">
        <v>43992</v>
      </c>
      <c r="D8211" t="inlineStr">
        <is>
          <t>NIL</t>
        </is>
      </c>
      <c r="E8211" t="n">
        <v>50</v>
      </c>
    </row>
    <row r="8212">
      <c r="A8212" t="inlineStr">
        <is>
          <t>27BBBBB08212Z5</t>
        </is>
      </c>
      <c r="B8212" t="inlineStr">
        <is>
          <t>Jul-2020</t>
        </is>
      </c>
      <c r="C8212" s="2" t="n">
        <v>44169</v>
      </c>
      <c r="D8212" t="inlineStr">
        <is>
          <t>NON-NIL</t>
        </is>
      </c>
      <c r="E8212" t="n">
        <v>2710</v>
      </c>
    </row>
    <row r="8213">
      <c r="A8213" t="inlineStr">
        <is>
          <t>27BBBBB08213Z5</t>
        </is>
      </c>
      <c r="B8213" t="inlineStr">
        <is>
          <t>Apr-2018</t>
        </is>
      </c>
      <c r="C8213" s="2" t="n">
        <v>42935</v>
      </c>
      <c r="D8213" t="inlineStr">
        <is>
          <t>NON-NIL</t>
        </is>
      </c>
      <c r="E8213" t="n">
        <v>2905</v>
      </c>
    </row>
    <row r="8214">
      <c r="A8214" t="inlineStr">
        <is>
          <t>27BBBBB08214Z5</t>
        </is>
      </c>
      <c r="B8214" t="inlineStr">
        <is>
          <t>Mar-2018</t>
        </is>
      </c>
      <c r="C8214" s="2" t="n">
        <v>44438</v>
      </c>
      <c r="D8214" t="inlineStr">
        <is>
          <t>NON-NIL</t>
        </is>
      </c>
      <c r="E8214" t="n">
        <v>2741</v>
      </c>
    </row>
    <row r="8215">
      <c r="A8215" t="inlineStr">
        <is>
          <t>27BBBBB08215Z5</t>
        </is>
      </c>
      <c r="B8215" t="inlineStr">
        <is>
          <t>Sep-2018</t>
        </is>
      </c>
      <c r="C8215" s="2" t="n">
        <v>43782</v>
      </c>
      <c r="D8215" t="inlineStr">
        <is>
          <t>NON-NIL</t>
        </is>
      </c>
      <c r="E8215" t="n">
        <v>264</v>
      </c>
    </row>
    <row r="8216">
      <c r="A8216" t="inlineStr">
        <is>
          <t>27BBBBB08216Z5</t>
        </is>
      </c>
      <c r="B8216" t="inlineStr">
        <is>
          <t>Oct-2018</t>
        </is>
      </c>
      <c r="C8216" s="2" t="n">
        <v>43215</v>
      </c>
      <c r="D8216" t="inlineStr">
        <is>
          <t>NON-NIL</t>
        </is>
      </c>
      <c r="E8216" t="n">
        <v>2044</v>
      </c>
    </row>
    <row r="8217">
      <c r="A8217" t="inlineStr">
        <is>
          <t>27BBBBB08217Z5</t>
        </is>
      </c>
      <c r="B8217" t="inlineStr">
        <is>
          <t>Jul-2020</t>
        </is>
      </c>
      <c r="C8217" s="2" t="n">
        <v>44472</v>
      </c>
      <c r="D8217" t="inlineStr">
        <is>
          <t>NIL</t>
        </is>
      </c>
      <c r="E8217" t="n">
        <v>643</v>
      </c>
    </row>
    <row r="8218">
      <c r="A8218" t="inlineStr">
        <is>
          <t>27BBBBB08218Z5</t>
        </is>
      </c>
      <c r="B8218" t="inlineStr">
        <is>
          <t>Mar-2020</t>
        </is>
      </c>
      <c r="C8218" s="2" t="n">
        <v>44062</v>
      </c>
      <c r="D8218" t="inlineStr">
        <is>
          <t>NIL</t>
        </is>
      </c>
      <c r="E8218" t="n">
        <v>832</v>
      </c>
    </row>
    <row r="8219">
      <c r="A8219" t="inlineStr">
        <is>
          <t>27BBBBB08219Z5</t>
        </is>
      </c>
      <c r="B8219" t="inlineStr">
        <is>
          <t>May-2020</t>
        </is>
      </c>
      <c r="C8219" s="2" t="n">
        <v>44616</v>
      </c>
      <c r="D8219" t="inlineStr">
        <is>
          <t>NON-NIL</t>
        </is>
      </c>
      <c r="E8219" t="n">
        <v>1360</v>
      </c>
    </row>
    <row r="8220">
      <c r="A8220" t="inlineStr">
        <is>
          <t>27BBBBB08220Z5</t>
        </is>
      </c>
      <c r="B8220" t="inlineStr">
        <is>
          <t>Aug-2018</t>
        </is>
      </c>
      <c r="C8220" s="2" t="n">
        <v>43516</v>
      </c>
      <c r="D8220" t="inlineStr">
        <is>
          <t>NON-NIL</t>
        </is>
      </c>
      <c r="E8220" t="n">
        <v>444</v>
      </c>
    </row>
    <row r="8221">
      <c r="A8221" t="inlineStr">
        <is>
          <t>27BBBBB08221Z5</t>
        </is>
      </c>
      <c r="B8221" t="inlineStr">
        <is>
          <t>Mar-2018</t>
        </is>
      </c>
      <c r="C8221" s="2" t="n">
        <v>44118</v>
      </c>
      <c r="D8221" t="inlineStr">
        <is>
          <t>NIL</t>
        </is>
      </c>
      <c r="E8221" t="n">
        <v>18</v>
      </c>
    </row>
    <row r="8222">
      <c r="A8222" t="inlineStr">
        <is>
          <t>27BBBBB08222Z5</t>
        </is>
      </c>
      <c r="B8222" t="inlineStr">
        <is>
          <t>Jul-2017</t>
        </is>
      </c>
      <c r="C8222" s="2" t="n">
        <v>43065</v>
      </c>
      <c r="D8222" t="inlineStr">
        <is>
          <t>NON-NIL</t>
        </is>
      </c>
      <c r="E8222" t="n">
        <v>2526</v>
      </c>
    </row>
    <row r="8223">
      <c r="A8223" t="inlineStr">
        <is>
          <t>27BBBBB08223Z5</t>
        </is>
      </c>
      <c r="B8223" t="inlineStr">
        <is>
          <t>Jul-2017</t>
        </is>
      </c>
      <c r="C8223" s="2" t="n">
        <v>43364</v>
      </c>
      <c r="D8223" t="inlineStr">
        <is>
          <t>NIL</t>
        </is>
      </c>
      <c r="E8223" t="n">
        <v>1040</v>
      </c>
    </row>
    <row r="8224">
      <c r="A8224" t="inlineStr">
        <is>
          <t>27BBBBB08224Z5</t>
        </is>
      </c>
      <c r="B8224" t="inlineStr">
        <is>
          <t>Jul-2017</t>
        </is>
      </c>
      <c r="C8224" s="2" t="n">
        <v>43404</v>
      </c>
      <c r="D8224" t="inlineStr">
        <is>
          <t>NIL</t>
        </is>
      </c>
      <c r="E8224" t="n">
        <v>2393</v>
      </c>
    </row>
    <row r="8225">
      <c r="A8225" t="inlineStr">
        <is>
          <t>27BBBBB08225Z5</t>
        </is>
      </c>
      <c r="B8225" t="inlineStr">
        <is>
          <t>Dec-2017</t>
        </is>
      </c>
      <c r="C8225" s="2" t="n">
        <v>43199</v>
      </c>
      <c r="D8225" t="inlineStr">
        <is>
          <t>NIL</t>
        </is>
      </c>
      <c r="E8225" t="n">
        <v>1267</v>
      </c>
    </row>
    <row r="8226">
      <c r="A8226" t="inlineStr">
        <is>
          <t>27BBBBB08226Z5</t>
        </is>
      </c>
      <c r="B8226" t="inlineStr">
        <is>
          <t>Jan-2018</t>
        </is>
      </c>
      <c r="C8226" s="2" t="n">
        <v>43707</v>
      </c>
      <c r="D8226" t="inlineStr">
        <is>
          <t>NON-NIL</t>
        </is>
      </c>
      <c r="E8226" t="n">
        <v>1231</v>
      </c>
    </row>
    <row r="8227">
      <c r="A8227" t="inlineStr">
        <is>
          <t>27BBBBB08227Z5</t>
        </is>
      </c>
      <c r="B8227" t="inlineStr">
        <is>
          <t>Jun-2018</t>
        </is>
      </c>
      <c r="C8227" s="2" t="n">
        <v>43702</v>
      </c>
      <c r="D8227" t="inlineStr">
        <is>
          <t>NON-NIL</t>
        </is>
      </c>
      <c r="E8227" t="n">
        <v>820</v>
      </c>
    </row>
    <row r="8228">
      <c r="A8228" t="inlineStr">
        <is>
          <t>27BBBBB08228Z5</t>
        </is>
      </c>
      <c r="B8228" t="inlineStr">
        <is>
          <t>Jul-2017</t>
        </is>
      </c>
      <c r="C8228" s="2" t="n">
        <v>44132</v>
      </c>
      <c r="D8228" t="inlineStr">
        <is>
          <t>NIL</t>
        </is>
      </c>
      <c r="E8228" t="n">
        <v>1551</v>
      </c>
    </row>
    <row r="8229">
      <c r="A8229" t="inlineStr">
        <is>
          <t>27BBBBB08229Z5</t>
        </is>
      </c>
      <c r="B8229" t="inlineStr">
        <is>
          <t>Aug-2018</t>
        </is>
      </c>
      <c r="C8229" s="2" t="n">
        <v>44086</v>
      </c>
      <c r="D8229" t="inlineStr">
        <is>
          <t>NON-NIL</t>
        </is>
      </c>
      <c r="E8229" t="n">
        <v>2250</v>
      </c>
    </row>
    <row r="8230">
      <c r="A8230" t="inlineStr">
        <is>
          <t>27BBBBB08230Z5</t>
        </is>
      </c>
      <c r="B8230" t="inlineStr">
        <is>
          <t>Aug-2017</t>
        </is>
      </c>
      <c r="C8230" s="2" t="n">
        <v>44451</v>
      </c>
      <c r="D8230" t="inlineStr">
        <is>
          <t>NON-NIL</t>
        </is>
      </c>
      <c r="E8230" t="n">
        <v>2506</v>
      </c>
    </row>
    <row r="8231">
      <c r="A8231" t="inlineStr">
        <is>
          <t>27BBBBB08231Z5</t>
        </is>
      </c>
      <c r="B8231" t="inlineStr">
        <is>
          <t>Mar-2018</t>
        </is>
      </c>
      <c r="C8231" s="2" t="n">
        <v>42955</v>
      </c>
      <c r="D8231" t="inlineStr">
        <is>
          <t>NON-NIL</t>
        </is>
      </c>
      <c r="E8231" t="n">
        <v>1665</v>
      </c>
    </row>
    <row r="8232">
      <c r="A8232" t="inlineStr">
        <is>
          <t>27BBBBB08232Z5</t>
        </is>
      </c>
      <c r="B8232" t="inlineStr">
        <is>
          <t>Mar-2023</t>
        </is>
      </c>
      <c r="C8232" s="2" t="n">
        <v>44700</v>
      </c>
      <c r="D8232" t="inlineStr">
        <is>
          <t>NON-NIL</t>
        </is>
      </c>
      <c r="E8232" t="n">
        <v>1671</v>
      </c>
    </row>
    <row r="8233">
      <c r="A8233" t="inlineStr">
        <is>
          <t>27BBBBB08233Z5</t>
        </is>
      </c>
      <c r="B8233" t="inlineStr">
        <is>
          <t>Dec-2024</t>
        </is>
      </c>
      <c r="C8233" s="2" t="n">
        <v>44976</v>
      </c>
      <c r="D8233" t="inlineStr">
        <is>
          <t>NIL</t>
        </is>
      </c>
      <c r="E8233" t="n">
        <v>1357</v>
      </c>
    </row>
    <row r="8234">
      <c r="A8234" t="inlineStr">
        <is>
          <t>27BBBBB08234Z5</t>
        </is>
      </c>
      <c r="B8234" t="inlineStr">
        <is>
          <t>Sep-2018</t>
        </is>
      </c>
      <c r="C8234" s="2" t="n">
        <v>43109</v>
      </c>
      <c r="D8234" t="inlineStr">
        <is>
          <t>NON-NIL</t>
        </is>
      </c>
      <c r="E8234" t="n">
        <v>2715</v>
      </c>
    </row>
    <row r="8235">
      <c r="A8235" t="inlineStr">
        <is>
          <t>27BBBBB08235Z5</t>
        </is>
      </c>
      <c r="B8235" t="inlineStr">
        <is>
          <t>Mar-2020</t>
        </is>
      </c>
      <c r="C8235" s="2" t="n">
        <v>44142</v>
      </c>
      <c r="D8235" t="inlineStr">
        <is>
          <t>NIL</t>
        </is>
      </c>
      <c r="E8235" t="n">
        <v>206</v>
      </c>
    </row>
    <row r="8236">
      <c r="A8236" t="inlineStr">
        <is>
          <t>27BBBBB08236Z5</t>
        </is>
      </c>
      <c r="B8236" t="inlineStr">
        <is>
          <t>Jul-2017</t>
        </is>
      </c>
      <c r="C8236" s="2" t="n">
        <v>43197</v>
      </c>
      <c r="D8236" t="inlineStr">
        <is>
          <t>NIL</t>
        </is>
      </c>
      <c r="E8236" t="n">
        <v>1137</v>
      </c>
    </row>
    <row r="8237">
      <c r="A8237" t="inlineStr">
        <is>
          <t>27BBBBB08237Z5</t>
        </is>
      </c>
      <c r="B8237" t="inlineStr">
        <is>
          <t>Mar-2020</t>
        </is>
      </c>
      <c r="C8237" s="2" t="n">
        <v>44090</v>
      </c>
      <c r="D8237" t="inlineStr">
        <is>
          <t>NON-NIL</t>
        </is>
      </c>
      <c r="E8237" t="n">
        <v>1215</v>
      </c>
    </row>
    <row r="8238">
      <c r="A8238" t="inlineStr">
        <is>
          <t>27BBBBB08238Z5</t>
        </is>
      </c>
      <c r="B8238" t="inlineStr">
        <is>
          <t>May-2018</t>
        </is>
      </c>
      <c r="C8238" s="2" t="n">
        <v>43588</v>
      </c>
      <c r="D8238" t="inlineStr">
        <is>
          <t>NIL</t>
        </is>
      </c>
      <c r="E8238" t="n">
        <v>1946</v>
      </c>
    </row>
    <row r="8239">
      <c r="A8239" t="inlineStr">
        <is>
          <t>27BBBBB08239Z5</t>
        </is>
      </c>
      <c r="B8239" t="inlineStr">
        <is>
          <t>Apr-2018</t>
        </is>
      </c>
      <c r="C8239" s="2" t="n">
        <v>44237</v>
      </c>
      <c r="D8239" t="inlineStr">
        <is>
          <t>NIL</t>
        </is>
      </c>
      <c r="E8239" t="n">
        <v>2531</v>
      </c>
    </row>
    <row r="8240">
      <c r="A8240" t="inlineStr">
        <is>
          <t>27BBBBB08240Z5</t>
        </is>
      </c>
      <c r="B8240" t="inlineStr">
        <is>
          <t>Jun-2020</t>
        </is>
      </c>
      <c r="C8240" s="2" t="n">
        <v>44885</v>
      </c>
      <c r="D8240" t="inlineStr">
        <is>
          <t>NIL</t>
        </is>
      </c>
      <c r="E8240" t="n">
        <v>2231</v>
      </c>
    </row>
    <row r="8241">
      <c r="A8241" t="inlineStr">
        <is>
          <t>27BBBBB08241Z5</t>
        </is>
      </c>
      <c r="B8241" t="inlineStr">
        <is>
          <t>Jul-2017</t>
        </is>
      </c>
      <c r="C8241" s="2" t="n">
        <v>43318</v>
      </c>
      <c r="D8241" t="inlineStr">
        <is>
          <t>NON-NIL</t>
        </is>
      </c>
      <c r="E8241" t="n">
        <v>2377</v>
      </c>
    </row>
    <row r="8242">
      <c r="A8242" t="inlineStr">
        <is>
          <t>27BBBBB08242Z5</t>
        </is>
      </c>
      <c r="B8242" t="inlineStr">
        <is>
          <t>Jun-2020</t>
        </is>
      </c>
      <c r="C8242" s="2" t="n">
        <v>44391</v>
      </c>
      <c r="D8242" t="inlineStr">
        <is>
          <t>NON-NIL</t>
        </is>
      </c>
      <c r="E8242" t="n">
        <v>123</v>
      </c>
    </row>
    <row r="8243">
      <c r="A8243" t="inlineStr">
        <is>
          <t>27BBBBB08243Z5</t>
        </is>
      </c>
      <c r="B8243" t="inlineStr">
        <is>
          <t>Aug-2017</t>
        </is>
      </c>
      <c r="C8243" s="2" t="n">
        <v>42937</v>
      </c>
      <c r="D8243" t="inlineStr">
        <is>
          <t>NIL</t>
        </is>
      </c>
      <c r="E8243" t="n">
        <v>15</v>
      </c>
    </row>
    <row r="8244">
      <c r="A8244" t="inlineStr">
        <is>
          <t>27BBBBB08244Z5</t>
        </is>
      </c>
      <c r="B8244" t="inlineStr">
        <is>
          <t>May-2018</t>
        </is>
      </c>
      <c r="C8244" s="2" t="n">
        <v>43804</v>
      </c>
      <c r="D8244" t="inlineStr">
        <is>
          <t>NON-NIL</t>
        </is>
      </c>
      <c r="E8244" t="n">
        <v>1941</v>
      </c>
    </row>
    <row r="8245">
      <c r="A8245" t="inlineStr">
        <is>
          <t>27BBBBB08245Z5</t>
        </is>
      </c>
      <c r="B8245" t="inlineStr">
        <is>
          <t>Apr-2020</t>
        </is>
      </c>
      <c r="C8245" s="2" t="n">
        <v>43934</v>
      </c>
      <c r="D8245" t="inlineStr">
        <is>
          <t>NIL</t>
        </is>
      </c>
      <c r="E8245" t="n">
        <v>2962</v>
      </c>
    </row>
    <row r="8246">
      <c r="A8246" t="inlineStr">
        <is>
          <t>27BBBBB08246Z5</t>
        </is>
      </c>
      <c r="B8246" t="inlineStr">
        <is>
          <t>Aug-2018</t>
        </is>
      </c>
      <c r="C8246" s="2" t="n">
        <v>43444</v>
      </c>
      <c r="D8246" t="inlineStr">
        <is>
          <t>NON-NIL</t>
        </is>
      </c>
      <c r="E8246" t="n">
        <v>1244</v>
      </c>
    </row>
    <row r="8247">
      <c r="A8247" t="inlineStr">
        <is>
          <t>27BBBBB08247Z5</t>
        </is>
      </c>
      <c r="B8247" t="inlineStr">
        <is>
          <t>Apr-2018</t>
        </is>
      </c>
      <c r="C8247" s="2" t="n">
        <v>43192</v>
      </c>
      <c r="D8247" t="inlineStr">
        <is>
          <t>NIL</t>
        </is>
      </c>
      <c r="E8247" t="n">
        <v>471</v>
      </c>
    </row>
    <row r="8248">
      <c r="A8248" t="inlineStr">
        <is>
          <t>27BBBBB08248Z5</t>
        </is>
      </c>
      <c r="B8248" t="inlineStr">
        <is>
          <t>Mar-2023</t>
        </is>
      </c>
      <c r="C8248" s="2" t="n">
        <v>45115</v>
      </c>
      <c r="D8248" t="inlineStr">
        <is>
          <t>NON-NIL</t>
        </is>
      </c>
      <c r="E8248" t="n">
        <v>2799</v>
      </c>
    </row>
    <row r="8249">
      <c r="A8249" t="inlineStr">
        <is>
          <t>27BBBBB08249Z5</t>
        </is>
      </c>
      <c r="B8249" t="inlineStr">
        <is>
          <t>Nov-2018</t>
        </is>
      </c>
      <c r="C8249" s="2" t="n">
        <v>44159</v>
      </c>
      <c r="D8249" t="inlineStr">
        <is>
          <t>NIL</t>
        </is>
      </c>
      <c r="E8249" t="n">
        <v>2847</v>
      </c>
    </row>
    <row r="8250">
      <c r="A8250" t="inlineStr">
        <is>
          <t>27BBBBB08250Z5</t>
        </is>
      </c>
      <c r="B8250" t="inlineStr">
        <is>
          <t>Nov-2018</t>
        </is>
      </c>
      <c r="C8250" s="2" t="n">
        <v>43802</v>
      </c>
      <c r="D8250" t="inlineStr">
        <is>
          <t>NON-NIL</t>
        </is>
      </c>
      <c r="E8250" t="n">
        <v>2389</v>
      </c>
    </row>
    <row r="8251">
      <c r="A8251" t="inlineStr">
        <is>
          <t>27BBBBB08251Z5</t>
        </is>
      </c>
      <c r="B8251" t="inlineStr">
        <is>
          <t>Dec-2022</t>
        </is>
      </c>
      <c r="C8251" s="2" t="n">
        <v>45324</v>
      </c>
      <c r="D8251" t="inlineStr">
        <is>
          <t>NIL</t>
        </is>
      </c>
      <c r="E8251" t="n">
        <v>1201</v>
      </c>
    </row>
    <row r="8252">
      <c r="A8252" t="inlineStr">
        <is>
          <t>27BBBBB08252Z5</t>
        </is>
      </c>
      <c r="B8252" t="inlineStr">
        <is>
          <t>Nov-2018</t>
        </is>
      </c>
      <c r="C8252" s="2" t="n">
        <v>43571</v>
      </c>
      <c r="D8252" t="inlineStr">
        <is>
          <t>NON-NIL</t>
        </is>
      </c>
      <c r="E8252" t="n">
        <v>768</v>
      </c>
    </row>
    <row r="8253">
      <c r="A8253" t="inlineStr">
        <is>
          <t>27BBBBB08253Z5</t>
        </is>
      </c>
      <c r="B8253" t="inlineStr">
        <is>
          <t>Dec-2024</t>
        </is>
      </c>
      <c r="C8253" s="2" t="n">
        <v>44944</v>
      </c>
      <c r="D8253" t="inlineStr">
        <is>
          <t>NON-NIL</t>
        </is>
      </c>
      <c r="E8253" t="n">
        <v>512</v>
      </c>
    </row>
    <row r="8254">
      <c r="A8254" t="inlineStr">
        <is>
          <t>27BBBBB08254Z5</t>
        </is>
      </c>
      <c r="B8254" t="inlineStr">
        <is>
          <t>Nov-2017</t>
        </is>
      </c>
      <c r="C8254" s="2" t="n">
        <v>44280</v>
      </c>
      <c r="D8254" t="inlineStr">
        <is>
          <t>NIL</t>
        </is>
      </c>
      <c r="E8254" t="n">
        <v>2968</v>
      </c>
    </row>
    <row r="8255">
      <c r="A8255" t="inlineStr">
        <is>
          <t>27BBBBB08255Z5</t>
        </is>
      </c>
      <c r="B8255" t="inlineStr">
        <is>
          <t>Sep-2017</t>
        </is>
      </c>
      <c r="C8255" s="2" t="n">
        <v>43563</v>
      </c>
      <c r="D8255" t="inlineStr">
        <is>
          <t>NIL</t>
        </is>
      </c>
      <c r="E8255" t="n">
        <v>2752</v>
      </c>
    </row>
    <row r="8256">
      <c r="A8256" t="inlineStr">
        <is>
          <t>27BBBBB08256Z5</t>
        </is>
      </c>
      <c r="B8256" t="inlineStr">
        <is>
          <t>Jul-2018</t>
        </is>
      </c>
      <c r="C8256" s="2" t="n">
        <v>42985</v>
      </c>
      <c r="D8256" t="inlineStr">
        <is>
          <t>NON-NIL</t>
        </is>
      </c>
      <c r="E8256" t="n">
        <v>2818</v>
      </c>
    </row>
    <row r="8257">
      <c r="A8257" t="inlineStr">
        <is>
          <t>27BBBBB08257Z5</t>
        </is>
      </c>
      <c r="B8257" t="inlineStr">
        <is>
          <t>Sep-2018</t>
        </is>
      </c>
      <c r="C8257" s="2" t="n">
        <v>44132</v>
      </c>
      <c r="D8257" t="inlineStr">
        <is>
          <t>NON-NIL</t>
        </is>
      </c>
      <c r="E8257" t="n">
        <v>2240</v>
      </c>
    </row>
    <row r="8258">
      <c r="A8258" t="inlineStr">
        <is>
          <t>27BBBBB08258Z5</t>
        </is>
      </c>
      <c r="B8258" t="inlineStr">
        <is>
          <t>Sep-2017</t>
        </is>
      </c>
      <c r="C8258" s="2" t="n">
        <v>43558</v>
      </c>
      <c r="D8258" t="inlineStr">
        <is>
          <t>NON-NIL</t>
        </is>
      </c>
      <c r="E8258" t="n">
        <v>1306</v>
      </c>
    </row>
    <row r="8259">
      <c r="A8259" t="inlineStr">
        <is>
          <t>27BBBBB08259Z5</t>
        </is>
      </c>
      <c r="B8259" t="inlineStr">
        <is>
          <t>Nov-2018</t>
        </is>
      </c>
      <c r="C8259" s="2" t="n">
        <v>43161</v>
      </c>
      <c r="D8259" t="inlineStr">
        <is>
          <t>NIL</t>
        </is>
      </c>
      <c r="E8259" t="n">
        <v>146</v>
      </c>
    </row>
    <row r="8260">
      <c r="A8260" t="inlineStr">
        <is>
          <t>27BBBBB08260Z5</t>
        </is>
      </c>
      <c r="B8260" t="inlineStr">
        <is>
          <t>Sep-2017</t>
        </is>
      </c>
      <c r="C8260" s="2" t="n">
        <v>44447</v>
      </c>
      <c r="D8260" t="inlineStr">
        <is>
          <t>NON-NIL</t>
        </is>
      </c>
      <c r="E8260" t="n">
        <v>1256</v>
      </c>
    </row>
    <row r="8261">
      <c r="A8261" t="inlineStr">
        <is>
          <t>27BBBBB08261Z5</t>
        </is>
      </c>
      <c r="B8261" t="inlineStr">
        <is>
          <t>Apr-2018</t>
        </is>
      </c>
      <c r="C8261" s="2" t="n">
        <v>43857</v>
      </c>
      <c r="D8261" t="inlineStr">
        <is>
          <t>NON-NIL</t>
        </is>
      </c>
      <c r="E8261" t="n">
        <v>260</v>
      </c>
    </row>
    <row r="8262">
      <c r="A8262" t="inlineStr">
        <is>
          <t>27BBBBB08262Z5</t>
        </is>
      </c>
      <c r="B8262" t="inlineStr">
        <is>
          <t>Dec-2017</t>
        </is>
      </c>
      <c r="C8262" s="2" t="n">
        <v>43451</v>
      </c>
      <c r="D8262" t="inlineStr">
        <is>
          <t>NON-NIL</t>
        </is>
      </c>
      <c r="E8262" t="n">
        <v>2008</v>
      </c>
    </row>
    <row r="8263">
      <c r="A8263" t="inlineStr">
        <is>
          <t>27BBBBB08263Z5</t>
        </is>
      </c>
      <c r="B8263" t="inlineStr">
        <is>
          <t>Feb-2018</t>
        </is>
      </c>
      <c r="C8263" s="2" t="n">
        <v>43893</v>
      </c>
      <c r="D8263" t="inlineStr">
        <is>
          <t>NON-NIL</t>
        </is>
      </c>
      <c r="E8263" t="n">
        <v>2093</v>
      </c>
    </row>
    <row r="8264">
      <c r="A8264" t="inlineStr">
        <is>
          <t>27BBBBB08264Z5</t>
        </is>
      </c>
      <c r="B8264" t="inlineStr">
        <is>
          <t>Mar-2023</t>
        </is>
      </c>
      <c r="C8264" s="2" t="n">
        <v>43621</v>
      </c>
      <c r="D8264" t="inlineStr">
        <is>
          <t>NIL</t>
        </is>
      </c>
      <c r="E8264" t="n">
        <v>600</v>
      </c>
    </row>
    <row r="8265">
      <c r="A8265" t="inlineStr">
        <is>
          <t>27BBBBB08265Z5</t>
        </is>
      </c>
      <c r="B8265" t="inlineStr">
        <is>
          <t>Dec-2022</t>
        </is>
      </c>
      <c r="C8265" s="2" t="n">
        <v>43482</v>
      </c>
      <c r="D8265" t="inlineStr">
        <is>
          <t>NIL</t>
        </is>
      </c>
      <c r="E8265" t="n">
        <v>688</v>
      </c>
    </row>
    <row r="8266">
      <c r="A8266" t="inlineStr">
        <is>
          <t>27BBBBB08266Z5</t>
        </is>
      </c>
      <c r="B8266" t="inlineStr">
        <is>
          <t>Dec-2024</t>
        </is>
      </c>
      <c r="C8266" s="2" t="n">
        <v>45589</v>
      </c>
      <c r="D8266" t="inlineStr">
        <is>
          <t>NON-NIL</t>
        </is>
      </c>
      <c r="E8266" t="n">
        <v>2635</v>
      </c>
    </row>
    <row r="8267">
      <c r="A8267" t="inlineStr">
        <is>
          <t>27BBBBB08267Z5</t>
        </is>
      </c>
      <c r="B8267" t="inlineStr">
        <is>
          <t>Mar-2021</t>
        </is>
      </c>
      <c r="C8267" s="2" t="n">
        <v>43677</v>
      </c>
      <c r="D8267" t="inlineStr">
        <is>
          <t>NON-NIL</t>
        </is>
      </c>
      <c r="E8267" t="n">
        <v>2139</v>
      </c>
    </row>
    <row r="8268">
      <c r="A8268" t="inlineStr">
        <is>
          <t>27BBBBB08268Z5</t>
        </is>
      </c>
      <c r="B8268" t="inlineStr">
        <is>
          <t>Mar-2021</t>
        </is>
      </c>
      <c r="C8268" s="2" t="n">
        <v>45833</v>
      </c>
      <c r="D8268" t="inlineStr">
        <is>
          <t>NON-NIL</t>
        </is>
      </c>
      <c r="E8268" t="n">
        <v>2926</v>
      </c>
    </row>
    <row r="8269">
      <c r="A8269" t="inlineStr">
        <is>
          <t>27BBBBB08269Z5</t>
        </is>
      </c>
      <c r="B8269" t="inlineStr">
        <is>
          <t>Sep-2017</t>
        </is>
      </c>
      <c r="C8269" s="2" t="n">
        <v>43897</v>
      </c>
      <c r="D8269" t="inlineStr">
        <is>
          <t>NIL</t>
        </is>
      </c>
      <c r="E8269" t="n">
        <v>614</v>
      </c>
    </row>
    <row r="8270">
      <c r="A8270" t="inlineStr">
        <is>
          <t>27BBBBB08270Z5</t>
        </is>
      </c>
      <c r="B8270" t="inlineStr">
        <is>
          <t>Jun-2020</t>
        </is>
      </c>
      <c r="C8270" s="2" t="n">
        <v>44103</v>
      </c>
      <c r="D8270" t="inlineStr">
        <is>
          <t>NON-NIL</t>
        </is>
      </c>
      <c r="E8270" t="n">
        <v>2725</v>
      </c>
    </row>
    <row r="8271">
      <c r="A8271" t="inlineStr">
        <is>
          <t>27BBBBB08271Z5</t>
        </is>
      </c>
      <c r="B8271" t="inlineStr">
        <is>
          <t>Aug-2017</t>
        </is>
      </c>
      <c r="C8271" s="2" t="n">
        <v>44142</v>
      </c>
      <c r="D8271" t="inlineStr">
        <is>
          <t>NIL</t>
        </is>
      </c>
      <c r="E8271" t="n">
        <v>1508</v>
      </c>
    </row>
    <row r="8272">
      <c r="A8272" t="inlineStr">
        <is>
          <t>27BBBBB08272Z5</t>
        </is>
      </c>
      <c r="B8272" t="inlineStr">
        <is>
          <t>Jan-2021</t>
        </is>
      </c>
      <c r="C8272" s="2" t="n">
        <v>44943</v>
      </c>
      <c r="D8272" t="inlineStr">
        <is>
          <t>NON-NIL</t>
        </is>
      </c>
      <c r="E8272" t="n">
        <v>939</v>
      </c>
    </row>
    <row r="8273">
      <c r="A8273" t="inlineStr">
        <is>
          <t>27BBBBB08273Z5</t>
        </is>
      </c>
      <c r="B8273" t="inlineStr">
        <is>
          <t>Dec-2017</t>
        </is>
      </c>
      <c r="C8273" s="2" t="n">
        <v>43281</v>
      </c>
      <c r="D8273" t="inlineStr">
        <is>
          <t>NIL</t>
        </is>
      </c>
      <c r="E8273" t="n">
        <v>754</v>
      </c>
    </row>
    <row r="8274">
      <c r="A8274" t="inlineStr">
        <is>
          <t>27BBBBB08274Z5</t>
        </is>
      </c>
      <c r="B8274" t="inlineStr">
        <is>
          <t>Feb-2018</t>
        </is>
      </c>
      <c r="C8274" s="2" t="n">
        <v>44356</v>
      </c>
      <c r="D8274" t="inlineStr">
        <is>
          <t>NIL</t>
        </is>
      </c>
      <c r="E8274" t="n">
        <v>1645</v>
      </c>
    </row>
    <row r="8275">
      <c r="A8275" t="inlineStr">
        <is>
          <t>27BBBBB08275Z5</t>
        </is>
      </c>
      <c r="B8275" t="inlineStr">
        <is>
          <t>Aug-2017</t>
        </is>
      </c>
      <c r="C8275" s="2" t="n">
        <v>43101</v>
      </c>
      <c r="D8275" t="inlineStr">
        <is>
          <t>NON-NIL</t>
        </is>
      </c>
      <c r="E8275" t="n">
        <v>1470</v>
      </c>
    </row>
    <row r="8276">
      <c r="A8276" t="inlineStr">
        <is>
          <t>27BBBBB08276Z5</t>
        </is>
      </c>
      <c r="B8276" t="inlineStr">
        <is>
          <t>Apr-2018</t>
        </is>
      </c>
      <c r="C8276" s="2" t="n">
        <v>43211</v>
      </c>
      <c r="D8276" t="inlineStr">
        <is>
          <t>NON-NIL</t>
        </is>
      </c>
      <c r="E8276" t="n">
        <v>2552</v>
      </c>
    </row>
    <row r="8277">
      <c r="A8277" t="inlineStr">
        <is>
          <t>27BBBBB08277Z5</t>
        </is>
      </c>
      <c r="B8277" t="inlineStr">
        <is>
          <t>Jan-2021</t>
        </is>
      </c>
      <c r="C8277" s="2" t="n">
        <v>45640</v>
      </c>
      <c r="D8277" t="inlineStr">
        <is>
          <t>NIL</t>
        </is>
      </c>
      <c r="E8277" t="n">
        <v>684</v>
      </c>
    </row>
    <row r="8278">
      <c r="A8278" t="inlineStr">
        <is>
          <t>27BBBBB08278Z5</t>
        </is>
      </c>
      <c r="B8278" t="inlineStr">
        <is>
          <t>Aug-2017</t>
        </is>
      </c>
      <c r="C8278" s="2" t="n">
        <v>44174</v>
      </c>
      <c r="D8278" t="inlineStr">
        <is>
          <t>NIL</t>
        </is>
      </c>
      <c r="E8278" t="n">
        <v>557</v>
      </c>
    </row>
    <row r="8279">
      <c r="A8279" t="inlineStr">
        <is>
          <t>27BBBBB08279Z5</t>
        </is>
      </c>
      <c r="B8279" t="inlineStr">
        <is>
          <t>Mar-2018</t>
        </is>
      </c>
      <c r="C8279" s="2" t="n">
        <v>43222</v>
      </c>
      <c r="D8279" t="inlineStr">
        <is>
          <t>NIL</t>
        </is>
      </c>
      <c r="E8279" t="n">
        <v>1273</v>
      </c>
    </row>
    <row r="8280">
      <c r="A8280" t="inlineStr">
        <is>
          <t>27BBBBB08280Z5</t>
        </is>
      </c>
      <c r="B8280" t="inlineStr">
        <is>
          <t>Dec-2018</t>
        </is>
      </c>
      <c r="C8280" s="2" t="n">
        <v>43302</v>
      </c>
      <c r="D8280" t="inlineStr">
        <is>
          <t>NIL</t>
        </is>
      </c>
      <c r="E8280" t="n">
        <v>2945</v>
      </c>
    </row>
    <row r="8281">
      <c r="A8281" t="inlineStr">
        <is>
          <t>27BBBBB08281Z5</t>
        </is>
      </c>
      <c r="B8281" t="inlineStr">
        <is>
          <t>Aug-2018</t>
        </is>
      </c>
      <c r="C8281" s="2" t="n">
        <v>43078</v>
      </c>
      <c r="D8281" t="inlineStr">
        <is>
          <t>NON-NIL</t>
        </is>
      </c>
      <c r="E8281" t="n">
        <v>1359</v>
      </c>
    </row>
    <row r="8282">
      <c r="A8282" t="inlineStr">
        <is>
          <t>27BBBBB08282Z5</t>
        </is>
      </c>
      <c r="B8282" t="inlineStr">
        <is>
          <t>Jul-2018</t>
        </is>
      </c>
      <c r="C8282" s="2" t="n">
        <v>44341</v>
      </c>
      <c r="D8282" t="inlineStr">
        <is>
          <t>NON-NIL</t>
        </is>
      </c>
      <c r="E8282" t="n">
        <v>588</v>
      </c>
    </row>
    <row r="8283">
      <c r="A8283" t="inlineStr">
        <is>
          <t>27BBBBB08283Z5</t>
        </is>
      </c>
      <c r="B8283" t="inlineStr">
        <is>
          <t>Sep-2018</t>
        </is>
      </c>
      <c r="C8283" s="2" t="n">
        <v>43963</v>
      </c>
      <c r="D8283" t="inlineStr">
        <is>
          <t>NON-NIL</t>
        </is>
      </c>
      <c r="E8283" t="n">
        <v>1964</v>
      </c>
    </row>
    <row r="8284">
      <c r="A8284" t="inlineStr">
        <is>
          <t>27BBBBB08284Z5</t>
        </is>
      </c>
      <c r="B8284" t="inlineStr">
        <is>
          <t>Jan-2018</t>
        </is>
      </c>
      <c r="C8284" s="2" t="n">
        <v>42964</v>
      </c>
      <c r="D8284" t="inlineStr">
        <is>
          <t>NIL</t>
        </is>
      </c>
      <c r="E8284" t="n">
        <v>2896</v>
      </c>
    </row>
    <row r="8285">
      <c r="A8285" t="inlineStr">
        <is>
          <t>27BBBBB08285Z5</t>
        </is>
      </c>
      <c r="B8285" t="inlineStr">
        <is>
          <t>Jul-2020</t>
        </is>
      </c>
      <c r="C8285" s="2" t="n">
        <v>44261</v>
      </c>
      <c r="D8285" t="inlineStr">
        <is>
          <t>NON-NIL</t>
        </is>
      </c>
      <c r="E8285" t="n">
        <v>2283</v>
      </c>
    </row>
    <row r="8286">
      <c r="A8286" t="inlineStr">
        <is>
          <t>27BBBBB08286Z5</t>
        </is>
      </c>
      <c r="B8286" t="inlineStr">
        <is>
          <t>Apr-2018</t>
        </is>
      </c>
      <c r="C8286" s="2" t="n">
        <v>43900</v>
      </c>
      <c r="D8286" t="inlineStr">
        <is>
          <t>NON-NIL</t>
        </is>
      </c>
      <c r="E8286" t="n">
        <v>325</v>
      </c>
    </row>
    <row r="8287">
      <c r="A8287" t="inlineStr">
        <is>
          <t>27BBBBB08287Z5</t>
        </is>
      </c>
      <c r="B8287" t="inlineStr">
        <is>
          <t>Mar-2018</t>
        </is>
      </c>
      <c r="C8287" s="2" t="n">
        <v>43723</v>
      </c>
      <c r="D8287" t="inlineStr">
        <is>
          <t>NON-NIL</t>
        </is>
      </c>
      <c r="E8287" t="n">
        <v>957</v>
      </c>
    </row>
    <row r="8288">
      <c r="A8288" t="inlineStr">
        <is>
          <t>27BBBBB08288Z5</t>
        </is>
      </c>
      <c r="B8288" t="inlineStr">
        <is>
          <t>Jan-2018</t>
        </is>
      </c>
      <c r="C8288" s="2" t="n">
        <v>44237</v>
      </c>
      <c r="D8288" t="inlineStr">
        <is>
          <t>NIL</t>
        </is>
      </c>
      <c r="E8288" t="n">
        <v>2550</v>
      </c>
    </row>
    <row r="8289">
      <c r="A8289" t="inlineStr">
        <is>
          <t>27BBBBB08289Z5</t>
        </is>
      </c>
      <c r="B8289" t="inlineStr">
        <is>
          <t>Nov-2017</t>
        </is>
      </c>
      <c r="C8289" s="2" t="n">
        <v>43167</v>
      </c>
      <c r="D8289" t="inlineStr">
        <is>
          <t>NIL</t>
        </is>
      </c>
      <c r="E8289" t="n">
        <v>1812</v>
      </c>
    </row>
    <row r="8290">
      <c r="A8290" t="inlineStr">
        <is>
          <t>27BBBBB08290Z5</t>
        </is>
      </c>
      <c r="B8290" t="inlineStr">
        <is>
          <t>Aug-2017</t>
        </is>
      </c>
      <c r="C8290" s="2" t="n">
        <v>43147</v>
      </c>
      <c r="D8290" t="inlineStr">
        <is>
          <t>NIL</t>
        </is>
      </c>
      <c r="E8290" t="n">
        <v>640</v>
      </c>
    </row>
    <row r="8291">
      <c r="A8291" t="inlineStr">
        <is>
          <t>27BBBBB08291Z5</t>
        </is>
      </c>
      <c r="B8291" t="inlineStr">
        <is>
          <t>Oct-2018</t>
        </is>
      </c>
      <c r="C8291" s="2" t="n">
        <v>43454</v>
      </c>
      <c r="D8291" t="inlineStr">
        <is>
          <t>NIL</t>
        </is>
      </c>
      <c r="E8291" t="n">
        <v>793</v>
      </c>
    </row>
    <row r="8292">
      <c r="A8292" t="inlineStr">
        <is>
          <t>27BBBBB08292Z5</t>
        </is>
      </c>
      <c r="B8292" t="inlineStr">
        <is>
          <t>Oct-2017</t>
        </is>
      </c>
      <c r="C8292" s="2" t="n">
        <v>43811</v>
      </c>
      <c r="D8292" t="inlineStr">
        <is>
          <t>NON-NIL</t>
        </is>
      </c>
      <c r="E8292" t="n">
        <v>2616</v>
      </c>
    </row>
    <row r="8293">
      <c r="A8293" t="inlineStr">
        <is>
          <t>27BBBBB08293Z5</t>
        </is>
      </c>
      <c r="B8293" t="inlineStr">
        <is>
          <t>Dec-2024</t>
        </is>
      </c>
      <c r="C8293" s="2" t="n">
        <v>45423</v>
      </c>
      <c r="D8293" t="inlineStr">
        <is>
          <t>NON-NIL</t>
        </is>
      </c>
      <c r="E8293" t="n">
        <v>990</v>
      </c>
    </row>
    <row r="8294">
      <c r="A8294" t="inlineStr">
        <is>
          <t>27BBBBB08294Z5</t>
        </is>
      </c>
      <c r="B8294" t="inlineStr">
        <is>
          <t>Mar-2018</t>
        </is>
      </c>
      <c r="C8294" s="2" t="n">
        <v>43092</v>
      </c>
      <c r="D8294" t="inlineStr">
        <is>
          <t>NIL</t>
        </is>
      </c>
      <c r="E8294" t="n">
        <v>1476</v>
      </c>
    </row>
    <row r="8295">
      <c r="A8295" t="inlineStr">
        <is>
          <t>27BBBBB08295Z5</t>
        </is>
      </c>
      <c r="B8295" t="inlineStr">
        <is>
          <t>Dec-2024</t>
        </is>
      </c>
      <c r="C8295" s="2" t="n">
        <v>45295</v>
      </c>
      <c r="D8295" t="inlineStr">
        <is>
          <t>NON-NIL</t>
        </is>
      </c>
      <c r="E8295" t="n">
        <v>2766</v>
      </c>
    </row>
    <row r="8296">
      <c r="A8296" t="inlineStr">
        <is>
          <t>27BBBBB08296Z5</t>
        </is>
      </c>
      <c r="B8296" t="inlineStr">
        <is>
          <t>Mar-2021</t>
        </is>
      </c>
      <c r="C8296" s="2" t="n">
        <v>44986</v>
      </c>
      <c r="D8296" t="inlineStr">
        <is>
          <t>NIL</t>
        </is>
      </c>
      <c r="E8296" t="n">
        <v>1531</v>
      </c>
    </row>
    <row r="8297">
      <c r="A8297" t="inlineStr">
        <is>
          <t>27BBBBB08297Z5</t>
        </is>
      </c>
      <c r="B8297" t="inlineStr">
        <is>
          <t>Aug-2017</t>
        </is>
      </c>
      <c r="C8297" s="2" t="n">
        <v>43208</v>
      </c>
      <c r="D8297" t="inlineStr">
        <is>
          <t>NIL</t>
        </is>
      </c>
      <c r="E8297" t="n">
        <v>2095</v>
      </c>
    </row>
    <row r="8298">
      <c r="A8298" t="inlineStr">
        <is>
          <t>27BBBBB08298Z5</t>
        </is>
      </c>
      <c r="B8298" t="inlineStr">
        <is>
          <t>Jul-2018</t>
        </is>
      </c>
      <c r="C8298" s="2" t="n">
        <v>43450</v>
      </c>
      <c r="D8298" t="inlineStr">
        <is>
          <t>NON-NIL</t>
        </is>
      </c>
      <c r="E8298" t="n">
        <v>2491</v>
      </c>
    </row>
    <row r="8299">
      <c r="A8299" t="inlineStr">
        <is>
          <t>27BBBBB08299Z5</t>
        </is>
      </c>
      <c r="B8299" t="inlineStr">
        <is>
          <t>Dec-2018</t>
        </is>
      </c>
      <c r="C8299" s="2" t="n">
        <v>43201</v>
      </c>
      <c r="D8299" t="inlineStr">
        <is>
          <t>NIL</t>
        </is>
      </c>
      <c r="E8299" t="n">
        <v>2355</v>
      </c>
    </row>
    <row r="8300">
      <c r="A8300" t="inlineStr">
        <is>
          <t>27BBBBB08300Z5</t>
        </is>
      </c>
      <c r="B8300" t="inlineStr">
        <is>
          <t>Apr-2018</t>
        </is>
      </c>
      <c r="C8300" s="2" t="n">
        <v>43156</v>
      </c>
      <c r="D8300" t="inlineStr">
        <is>
          <t>NON-NIL</t>
        </is>
      </c>
      <c r="E8300" t="n">
        <v>345</v>
      </c>
    </row>
    <row r="8301">
      <c r="A8301" t="inlineStr">
        <is>
          <t>27BBBBB08301Z5</t>
        </is>
      </c>
      <c r="B8301" t="inlineStr">
        <is>
          <t>Oct-2018</t>
        </is>
      </c>
      <c r="C8301" s="2" t="n">
        <v>43753</v>
      </c>
      <c r="D8301" t="inlineStr">
        <is>
          <t>NIL</t>
        </is>
      </c>
      <c r="E8301" t="n">
        <v>2095</v>
      </c>
    </row>
    <row r="8302">
      <c r="A8302" t="inlineStr">
        <is>
          <t>27BBBBB08302Z5</t>
        </is>
      </c>
      <c r="B8302" t="inlineStr">
        <is>
          <t>Aug-2018</t>
        </is>
      </c>
      <c r="C8302" s="2" t="n">
        <v>43098</v>
      </c>
      <c r="D8302" t="inlineStr">
        <is>
          <t>NIL</t>
        </is>
      </c>
      <c r="E8302" t="n">
        <v>2247</v>
      </c>
    </row>
    <row r="8303">
      <c r="A8303" t="inlineStr">
        <is>
          <t>27BBBBB08303Z5</t>
        </is>
      </c>
      <c r="B8303" t="inlineStr">
        <is>
          <t>Jun-2018</t>
        </is>
      </c>
      <c r="C8303" s="2" t="n">
        <v>43533</v>
      </c>
      <c r="D8303" t="inlineStr">
        <is>
          <t>NIL</t>
        </is>
      </c>
      <c r="E8303" t="n">
        <v>2583</v>
      </c>
    </row>
    <row r="8304">
      <c r="A8304" t="inlineStr">
        <is>
          <t>27BBBBB08304Z5</t>
        </is>
      </c>
      <c r="B8304" t="inlineStr">
        <is>
          <t>Dec-2022</t>
        </is>
      </c>
      <c r="C8304" s="2" t="n">
        <v>44379</v>
      </c>
      <c r="D8304" t="inlineStr">
        <is>
          <t>NIL</t>
        </is>
      </c>
      <c r="E8304" t="n">
        <v>797</v>
      </c>
    </row>
    <row r="8305">
      <c r="A8305" t="inlineStr">
        <is>
          <t>27BBBBB08305Z5</t>
        </is>
      </c>
      <c r="B8305" t="inlineStr">
        <is>
          <t>Nov-2017</t>
        </is>
      </c>
      <c r="C8305" s="2" t="n">
        <v>43651</v>
      </c>
      <c r="D8305" t="inlineStr">
        <is>
          <t>NIL</t>
        </is>
      </c>
      <c r="E8305" t="n">
        <v>1515</v>
      </c>
    </row>
    <row r="8306">
      <c r="A8306" t="inlineStr">
        <is>
          <t>27BBBBB08306Z5</t>
        </is>
      </c>
      <c r="B8306" t="inlineStr">
        <is>
          <t>May-2018</t>
        </is>
      </c>
      <c r="C8306" s="2" t="n">
        <v>43592</v>
      </c>
      <c r="D8306" t="inlineStr">
        <is>
          <t>NON-NIL</t>
        </is>
      </c>
      <c r="E8306" t="n">
        <v>802</v>
      </c>
    </row>
    <row r="8307">
      <c r="A8307" t="inlineStr">
        <is>
          <t>27BBBBB08307Z5</t>
        </is>
      </c>
      <c r="B8307" t="inlineStr">
        <is>
          <t>Apr-2020</t>
        </is>
      </c>
      <c r="C8307" s="2" t="n">
        <v>44750</v>
      </c>
      <c r="D8307" t="inlineStr">
        <is>
          <t>NIL</t>
        </is>
      </c>
      <c r="E8307" t="n">
        <v>45</v>
      </c>
    </row>
    <row r="8308">
      <c r="A8308" t="inlineStr">
        <is>
          <t>27BBBBB08308Z5</t>
        </is>
      </c>
      <c r="B8308" t="inlineStr">
        <is>
          <t>Mar-2021</t>
        </is>
      </c>
      <c r="C8308" s="2" t="n">
        <v>44795</v>
      </c>
      <c r="D8308" t="inlineStr">
        <is>
          <t>NON-NIL</t>
        </is>
      </c>
      <c r="E8308" t="n">
        <v>64</v>
      </c>
    </row>
    <row r="8309">
      <c r="A8309" t="inlineStr">
        <is>
          <t>27BBBBB08309Z5</t>
        </is>
      </c>
      <c r="B8309" t="inlineStr">
        <is>
          <t>Jul-2017</t>
        </is>
      </c>
      <c r="C8309" s="2" t="n">
        <v>44219</v>
      </c>
      <c r="D8309" t="inlineStr">
        <is>
          <t>NON-NIL</t>
        </is>
      </c>
      <c r="E8309" t="n">
        <v>2902</v>
      </c>
    </row>
    <row r="8310">
      <c r="A8310" t="inlineStr">
        <is>
          <t>27BBBBB08310Z5</t>
        </is>
      </c>
      <c r="B8310" t="inlineStr">
        <is>
          <t>Mar-2021</t>
        </is>
      </c>
      <c r="C8310" s="2" t="n">
        <v>44669</v>
      </c>
      <c r="D8310" t="inlineStr">
        <is>
          <t>NIL</t>
        </is>
      </c>
      <c r="E8310" t="n">
        <v>9</v>
      </c>
    </row>
    <row r="8311">
      <c r="A8311" t="inlineStr">
        <is>
          <t>27BBBBB08311Z5</t>
        </is>
      </c>
      <c r="B8311" t="inlineStr">
        <is>
          <t>Apr-2020</t>
        </is>
      </c>
      <c r="C8311" s="2" t="n">
        <v>44186</v>
      </c>
      <c r="D8311" t="inlineStr">
        <is>
          <t>NIL</t>
        </is>
      </c>
      <c r="E8311" t="n">
        <v>1484</v>
      </c>
    </row>
    <row r="8312">
      <c r="A8312" t="inlineStr">
        <is>
          <t>27BBBBB08312Z5</t>
        </is>
      </c>
      <c r="B8312" t="inlineStr">
        <is>
          <t>Mar-2020</t>
        </is>
      </c>
      <c r="C8312" s="2" t="n">
        <v>44838</v>
      </c>
      <c r="D8312" t="inlineStr">
        <is>
          <t>NIL</t>
        </is>
      </c>
      <c r="E8312" t="n">
        <v>2531</v>
      </c>
    </row>
    <row r="8313">
      <c r="A8313" t="inlineStr">
        <is>
          <t>27BBBBB08313Z5</t>
        </is>
      </c>
      <c r="B8313" t="inlineStr">
        <is>
          <t>Mar-2023</t>
        </is>
      </c>
      <c r="C8313" s="2" t="n">
        <v>45164</v>
      </c>
      <c r="D8313" t="inlineStr">
        <is>
          <t>NON-NIL</t>
        </is>
      </c>
      <c r="E8313" t="n">
        <v>193</v>
      </c>
    </row>
    <row r="8314">
      <c r="A8314" t="inlineStr">
        <is>
          <t>27BBBBB08314Z5</t>
        </is>
      </c>
      <c r="B8314" t="inlineStr">
        <is>
          <t>Sep-2018</t>
        </is>
      </c>
      <c r="C8314" s="2" t="n">
        <v>44561</v>
      </c>
      <c r="D8314" t="inlineStr">
        <is>
          <t>NIL</t>
        </is>
      </c>
      <c r="E8314" t="n">
        <v>174</v>
      </c>
    </row>
    <row r="8315">
      <c r="A8315" t="inlineStr">
        <is>
          <t>27BBBBB08315Z5</t>
        </is>
      </c>
      <c r="B8315" t="inlineStr">
        <is>
          <t>Jul-2018</t>
        </is>
      </c>
      <c r="C8315" s="2" t="n">
        <v>44363</v>
      </c>
      <c r="D8315" t="inlineStr">
        <is>
          <t>NIL</t>
        </is>
      </c>
      <c r="E8315" t="n">
        <v>408</v>
      </c>
    </row>
    <row r="8316">
      <c r="A8316" t="inlineStr">
        <is>
          <t>27BBBBB08316Z5</t>
        </is>
      </c>
      <c r="B8316" t="inlineStr">
        <is>
          <t>Jan-2021</t>
        </is>
      </c>
      <c r="C8316" s="2" t="n">
        <v>43815</v>
      </c>
      <c r="D8316" t="inlineStr">
        <is>
          <t>NIL</t>
        </is>
      </c>
      <c r="E8316" t="n">
        <v>2585</v>
      </c>
    </row>
    <row r="8317">
      <c r="A8317" t="inlineStr">
        <is>
          <t>27BBBBB08317Z5</t>
        </is>
      </c>
      <c r="B8317" t="inlineStr">
        <is>
          <t>Dec-2022</t>
        </is>
      </c>
      <c r="C8317" s="2" t="n">
        <v>43483</v>
      </c>
      <c r="D8317" t="inlineStr">
        <is>
          <t>NIL</t>
        </is>
      </c>
      <c r="E8317" t="n">
        <v>556</v>
      </c>
    </row>
    <row r="8318">
      <c r="A8318" t="inlineStr">
        <is>
          <t>27BBBBB08318Z5</t>
        </is>
      </c>
      <c r="B8318" t="inlineStr">
        <is>
          <t>Dec-2017</t>
        </is>
      </c>
      <c r="C8318" s="2" t="n">
        <v>43349</v>
      </c>
      <c r="D8318" t="inlineStr">
        <is>
          <t>NIL</t>
        </is>
      </c>
      <c r="E8318" t="n">
        <v>1023</v>
      </c>
    </row>
    <row r="8319">
      <c r="A8319" t="inlineStr">
        <is>
          <t>27BBBBB08319Z5</t>
        </is>
      </c>
      <c r="B8319" t="inlineStr">
        <is>
          <t>Jun-2018</t>
        </is>
      </c>
      <c r="C8319" s="2" t="n">
        <v>44370</v>
      </c>
      <c r="D8319" t="inlineStr">
        <is>
          <t>NON-NIL</t>
        </is>
      </c>
      <c r="E8319" t="n">
        <v>916</v>
      </c>
    </row>
    <row r="8320">
      <c r="A8320" t="inlineStr">
        <is>
          <t>27BBBBB08320Z5</t>
        </is>
      </c>
      <c r="B8320" t="inlineStr">
        <is>
          <t>Jan-2018</t>
        </is>
      </c>
      <c r="C8320" s="2" t="n">
        <v>44326</v>
      </c>
      <c r="D8320" t="inlineStr">
        <is>
          <t>NON-NIL</t>
        </is>
      </c>
      <c r="E8320" t="n">
        <v>2952</v>
      </c>
    </row>
    <row r="8321">
      <c r="A8321" t="inlineStr">
        <is>
          <t>27BBBBB08321Z5</t>
        </is>
      </c>
      <c r="B8321" t="inlineStr">
        <is>
          <t>Mar-2018</t>
        </is>
      </c>
      <c r="C8321" s="2" t="n">
        <v>43569</v>
      </c>
      <c r="D8321" t="inlineStr">
        <is>
          <t>NIL</t>
        </is>
      </c>
      <c r="E8321" t="n">
        <v>1760</v>
      </c>
    </row>
    <row r="8322">
      <c r="A8322" t="inlineStr">
        <is>
          <t>27BBBBB08322Z5</t>
        </is>
      </c>
      <c r="B8322" t="inlineStr">
        <is>
          <t>Jul-2020</t>
        </is>
      </c>
      <c r="C8322" s="2" t="n">
        <v>44517</v>
      </c>
      <c r="D8322" t="inlineStr">
        <is>
          <t>NON-NIL</t>
        </is>
      </c>
      <c r="E8322" t="n">
        <v>154</v>
      </c>
    </row>
    <row r="8323">
      <c r="A8323" t="inlineStr">
        <is>
          <t>27BBBBB08323Z5</t>
        </is>
      </c>
      <c r="B8323" t="inlineStr">
        <is>
          <t>Dec-2022</t>
        </is>
      </c>
      <c r="C8323" s="2" t="n">
        <v>44029</v>
      </c>
      <c r="D8323" t="inlineStr">
        <is>
          <t>NON-NIL</t>
        </is>
      </c>
      <c r="E8323" t="n">
        <v>1947</v>
      </c>
    </row>
    <row r="8324">
      <c r="A8324" t="inlineStr">
        <is>
          <t>27BBBBB08324Z5</t>
        </is>
      </c>
      <c r="B8324" t="inlineStr">
        <is>
          <t>Jul-2020</t>
        </is>
      </c>
      <c r="C8324" s="2" t="n">
        <v>44469</v>
      </c>
      <c r="D8324" t="inlineStr">
        <is>
          <t>NIL</t>
        </is>
      </c>
      <c r="E8324" t="n">
        <v>705</v>
      </c>
    </row>
    <row r="8325">
      <c r="A8325" t="inlineStr">
        <is>
          <t>27BBBBB08325Z5</t>
        </is>
      </c>
      <c r="B8325" t="inlineStr">
        <is>
          <t>Sep-2017</t>
        </is>
      </c>
      <c r="C8325" s="2" t="n">
        <v>43726</v>
      </c>
      <c r="D8325" t="inlineStr">
        <is>
          <t>NIL</t>
        </is>
      </c>
      <c r="E8325" t="n">
        <v>2081</v>
      </c>
    </row>
    <row r="8326">
      <c r="A8326" t="inlineStr">
        <is>
          <t>27BBBBB08326Z5</t>
        </is>
      </c>
      <c r="B8326" t="inlineStr">
        <is>
          <t>Dec-2017</t>
        </is>
      </c>
      <c r="C8326" s="2" t="n">
        <v>43430</v>
      </c>
      <c r="D8326" t="inlineStr">
        <is>
          <t>NON-NIL</t>
        </is>
      </c>
      <c r="E8326" t="n">
        <v>2391</v>
      </c>
    </row>
    <row r="8327">
      <c r="A8327" t="inlineStr">
        <is>
          <t>27BBBBB08327Z5</t>
        </is>
      </c>
      <c r="B8327" t="inlineStr">
        <is>
          <t>Jul-2018</t>
        </is>
      </c>
      <c r="C8327" s="2" t="n">
        <v>43299</v>
      </c>
      <c r="D8327" t="inlineStr">
        <is>
          <t>NIL</t>
        </is>
      </c>
      <c r="E8327" t="n">
        <v>929</v>
      </c>
    </row>
    <row r="8328">
      <c r="A8328" t="inlineStr">
        <is>
          <t>27BBBBB08328Z5</t>
        </is>
      </c>
      <c r="B8328" t="inlineStr">
        <is>
          <t>Apr-2020</t>
        </is>
      </c>
      <c r="C8328" s="2" t="n">
        <v>44829</v>
      </c>
      <c r="D8328" t="inlineStr">
        <is>
          <t>NIL</t>
        </is>
      </c>
      <c r="E8328" t="n">
        <v>1140</v>
      </c>
    </row>
    <row r="8329">
      <c r="A8329" t="inlineStr">
        <is>
          <t>27BBBBB08329Z5</t>
        </is>
      </c>
      <c r="B8329" t="inlineStr">
        <is>
          <t>Jul-2020</t>
        </is>
      </c>
      <c r="C8329" s="2" t="n">
        <v>44368</v>
      </c>
      <c r="D8329" t="inlineStr">
        <is>
          <t>NIL</t>
        </is>
      </c>
      <c r="E8329" t="n">
        <v>2343</v>
      </c>
    </row>
    <row r="8330">
      <c r="A8330" t="inlineStr">
        <is>
          <t>27BBBBB08330Z5</t>
        </is>
      </c>
      <c r="B8330" t="inlineStr">
        <is>
          <t>Aug-2018</t>
        </is>
      </c>
      <c r="C8330" s="2" t="n">
        <v>44398</v>
      </c>
      <c r="D8330" t="inlineStr">
        <is>
          <t>NIL</t>
        </is>
      </c>
      <c r="E8330" t="n">
        <v>2446</v>
      </c>
    </row>
    <row r="8331">
      <c r="A8331" t="inlineStr">
        <is>
          <t>27BBBBB08331Z5</t>
        </is>
      </c>
      <c r="B8331" t="inlineStr">
        <is>
          <t>Mar-2020</t>
        </is>
      </c>
      <c r="C8331" s="2" t="n">
        <v>44609</v>
      </c>
      <c r="D8331" t="inlineStr">
        <is>
          <t>NIL</t>
        </is>
      </c>
      <c r="E8331" t="n">
        <v>1878</v>
      </c>
    </row>
    <row r="8332">
      <c r="A8332" t="inlineStr">
        <is>
          <t>27BBBBB08332Z5</t>
        </is>
      </c>
      <c r="B8332" t="inlineStr">
        <is>
          <t>Mar-2020</t>
        </is>
      </c>
      <c r="C8332" s="2" t="n">
        <v>44220</v>
      </c>
      <c r="D8332" t="inlineStr">
        <is>
          <t>NIL</t>
        </is>
      </c>
      <c r="E8332" t="n">
        <v>16</v>
      </c>
    </row>
    <row r="8333">
      <c r="A8333" t="inlineStr">
        <is>
          <t>27BBBBB08333Z5</t>
        </is>
      </c>
      <c r="B8333" t="inlineStr">
        <is>
          <t>Jun-2018</t>
        </is>
      </c>
      <c r="C8333" s="2" t="n">
        <v>43112</v>
      </c>
      <c r="D8333" t="inlineStr">
        <is>
          <t>NON-NIL</t>
        </is>
      </c>
      <c r="E8333" t="n">
        <v>2580</v>
      </c>
    </row>
    <row r="8334">
      <c r="A8334" t="inlineStr">
        <is>
          <t>27BBBBB08334Z5</t>
        </is>
      </c>
      <c r="B8334" t="inlineStr">
        <is>
          <t>Jul-2017</t>
        </is>
      </c>
      <c r="C8334" s="2" t="n">
        <v>44435</v>
      </c>
      <c r="D8334" t="inlineStr">
        <is>
          <t>NON-NIL</t>
        </is>
      </c>
      <c r="E8334" t="n">
        <v>285</v>
      </c>
    </row>
    <row r="8335">
      <c r="A8335" t="inlineStr">
        <is>
          <t>27BBBBB08335Z5</t>
        </is>
      </c>
      <c r="B8335" t="inlineStr">
        <is>
          <t>May-2020</t>
        </is>
      </c>
      <c r="C8335" s="2" t="n">
        <v>43953</v>
      </c>
      <c r="D8335" t="inlineStr">
        <is>
          <t>NIL</t>
        </is>
      </c>
      <c r="E8335" t="n">
        <v>1688</v>
      </c>
    </row>
    <row r="8336">
      <c r="A8336" t="inlineStr">
        <is>
          <t>27BBBBB08336Z5</t>
        </is>
      </c>
      <c r="B8336" t="inlineStr">
        <is>
          <t>Mar-2021</t>
        </is>
      </c>
      <c r="C8336" s="2" t="n">
        <v>44983</v>
      </c>
      <c r="D8336" t="inlineStr">
        <is>
          <t>NIL</t>
        </is>
      </c>
      <c r="E8336" t="n">
        <v>2831</v>
      </c>
    </row>
    <row r="8337">
      <c r="A8337" t="inlineStr">
        <is>
          <t>27BBBBB08337Z5</t>
        </is>
      </c>
      <c r="B8337" t="inlineStr">
        <is>
          <t>Dec-2024</t>
        </is>
      </c>
      <c r="C8337" s="2" t="n">
        <v>44864</v>
      </c>
      <c r="D8337" t="inlineStr">
        <is>
          <t>NON-NIL</t>
        </is>
      </c>
      <c r="E8337" t="n">
        <v>2994</v>
      </c>
    </row>
    <row r="8338">
      <c r="A8338" t="inlineStr">
        <is>
          <t>27BBBBB08338Z5</t>
        </is>
      </c>
      <c r="B8338" t="inlineStr">
        <is>
          <t>Jun-2020</t>
        </is>
      </c>
      <c r="C8338" s="2" t="n">
        <v>43960</v>
      </c>
      <c r="D8338" t="inlineStr">
        <is>
          <t>NON-NIL</t>
        </is>
      </c>
      <c r="E8338" t="n">
        <v>2635</v>
      </c>
    </row>
    <row r="8339">
      <c r="A8339" t="inlineStr">
        <is>
          <t>27BBBBB08339Z5</t>
        </is>
      </c>
      <c r="B8339" t="inlineStr">
        <is>
          <t>Jan-2018</t>
        </is>
      </c>
      <c r="C8339" s="2" t="n">
        <v>44197</v>
      </c>
      <c r="D8339" t="inlineStr">
        <is>
          <t>NIL</t>
        </is>
      </c>
      <c r="E8339" t="n">
        <v>253</v>
      </c>
    </row>
    <row r="8340">
      <c r="A8340" t="inlineStr">
        <is>
          <t>27BBBBB08340Z5</t>
        </is>
      </c>
      <c r="B8340" t="inlineStr">
        <is>
          <t>Jul-2020</t>
        </is>
      </c>
      <c r="C8340" s="2" t="n">
        <v>44180</v>
      </c>
      <c r="D8340" t="inlineStr">
        <is>
          <t>NIL</t>
        </is>
      </c>
      <c r="E8340" t="n">
        <v>2679</v>
      </c>
    </row>
    <row r="8341">
      <c r="A8341" t="inlineStr">
        <is>
          <t>27BBBBB08341Z5</t>
        </is>
      </c>
      <c r="B8341" t="inlineStr">
        <is>
          <t>Jun-2018</t>
        </is>
      </c>
      <c r="C8341" s="2" t="n">
        <v>43403</v>
      </c>
      <c r="D8341" t="inlineStr">
        <is>
          <t>NON-NIL</t>
        </is>
      </c>
      <c r="E8341" t="n">
        <v>617</v>
      </c>
    </row>
    <row r="8342">
      <c r="A8342" t="inlineStr">
        <is>
          <t>27BBBBB08342Z5</t>
        </is>
      </c>
      <c r="B8342" t="inlineStr">
        <is>
          <t>May-2020</t>
        </is>
      </c>
      <c r="C8342" s="2" t="n">
        <v>44394</v>
      </c>
      <c r="D8342" t="inlineStr">
        <is>
          <t>NON-NIL</t>
        </is>
      </c>
      <c r="E8342" t="n">
        <v>36</v>
      </c>
    </row>
    <row r="8343">
      <c r="A8343" t="inlineStr">
        <is>
          <t>27BBBBB08343Z5</t>
        </is>
      </c>
      <c r="B8343" t="inlineStr">
        <is>
          <t>Jul-2020</t>
        </is>
      </c>
      <c r="C8343" s="2" t="n">
        <v>43994</v>
      </c>
      <c r="D8343" t="inlineStr">
        <is>
          <t>NON-NIL</t>
        </is>
      </c>
      <c r="E8343" t="n">
        <v>697</v>
      </c>
    </row>
    <row r="8344">
      <c r="A8344" t="inlineStr">
        <is>
          <t>27BBBBB08344Z5</t>
        </is>
      </c>
      <c r="B8344" t="inlineStr">
        <is>
          <t>Jul-2020</t>
        </is>
      </c>
      <c r="C8344" s="2" t="n">
        <v>44921</v>
      </c>
      <c r="D8344" t="inlineStr">
        <is>
          <t>NIL</t>
        </is>
      </c>
      <c r="E8344" t="n">
        <v>216</v>
      </c>
    </row>
    <row r="8345">
      <c r="A8345" t="inlineStr">
        <is>
          <t>27BBBBB08345Z5</t>
        </is>
      </c>
      <c r="B8345" t="inlineStr">
        <is>
          <t>Jan-2021</t>
        </is>
      </c>
      <c r="C8345" s="2" t="n">
        <v>45173</v>
      </c>
      <c r="D8345" t="inlineStr">
        <is>
          <t>NON-NIL</t>
        </is>
      </c>
      <c r="E8345" t="n">
        <v>2159</v>
      </c>
    </row>
    <row r="8346">
      <c r="A8346" t="inlineStr">
        <is>
          <t>27BBBBB08346Z5</t>
        </is>
      </c>
      <c r="B8346" t="inlineStr">
        <is>
          <t>Aug-2018</t>
        </is>
      </c>
      <c r="C8346" s="2" t="n">
        <v>43167</v>
      </c>
      <c r="D8346" t="inlineStr">
        <is>
          <t>NON-NIL</t>
        </is>
      </c>
      <c r="E8346" t="n">
        <v>1830</v>
      </c>
    </row>
    <row r="8347">
      <c r="A8347" t="inlineStr">
        <is>
          <t>27BBBBB08347Z5</t>
        </is>
      </c>
      <c r="B8347" t="inlineStr">
        <is>
          <t>Jun-2020</t>
        </is>
      </c>
      <c r="C8347" s="2" t="n">
        <v>44766</v>
      </c>
      <c r="D8347" t="inlineStr">
        <is>
          <t>NIL</t>
        </is>
      </c>
      <c r="E8347" t="n">
        <v>2769</v>
      </c>
    </row>
    <row r="8348">
      <c r="A8348" t="inlineStr">
        <is>
          <t>27BBBBB08348Z5</t>
        </is>
      </c>
      <c r="B8348" t="inlineStr">
        <is>
          <t>Dec-2017</t>
        </is>
      </c>
      <c r="C8348" s="2" t="n">
        <v>43466</v>
      </c>
      <c r="D8348" t="inlineStr">
        <is>
          <t>NON-NIL</t>
        </is>
      </c>
      <c r="E8348" t="n">
        <v>2903</v>
      </c>
    </row>
    <row r="8349">
      <c r="A8349" t="inlineStr">
        <is>
          <t>27BBBBB08349Z5</t>
        </is>
      </c>
      <c r="B8349" t="inlineStr">
        <is>
          <t>Apr-2020</t>
        </is>
      </c>
      <c r="C8349" s="2" t="n">
        <v>44650</v>
      </c>
      <c r="D8349" t="inlineStr">
        <is>
          <t>NON-NIL</t>
        </is>
      </c>
      <c r="E8349" t="n">
        <v>2478</v>
      </c>
    </row>
    <row r="8350">
      <c r="A8350" t="inlineStr">
        <is>
          <t>27BBBBB08350Z5</t>
        </is>
      </c>
      <c r="B8350" t="inlineStr">
        <is>
          <t>Dec-2024</t>
        </is>
      </c>
      <c r="C8350" s="2" t="n">
        <v>44164</v>
      </c>
      <c r="D8350" t="inlineStr">
        <is>
          <t>NON-NIL</t>
        </is>
      </c>
      <c r="E8350" t="n">
        <v>823</v>
      </c>
    </row>
    <row r="8351">
      <c r="A8351" t="inlineStr">
        <is>
          <t>27BBBBB08351Z5</t>
        </is>
      </c>
      <c r="B8351" t="inlineStr">
        <is>
          <t>Mar-2021</t>
        </is>
      </c>
      <c r="C8351" s="2" t="n">
        <v>45629</v>
      </c>
      <c r="D8351" t="inlineStr">
        <is>
          <t>NON-NIL</t>
        </is>
      </c>
      <c r="E8351" t="n">
        <v>2084</v>
      </c>
    </row>
    <row r="8352">
      <c r="A8352" t="inlineStr">
        <is>
          <t>27BBBBB08352Z5</t>
        </is>
      </c>
      <c r="B8352" t="inlineStr">
        <is>
          <t>Jul-2017</t>
        </is>
      </c>
      <c r="C8352" s="2" t="n">
        <v>43128</v>
      </c>
      <c r="D8352" t="inlineStr">
        <is>
          <t>NIL</t>
        </is>
      </c>
      <c r="E8352" t="n">
        <v>2909</v>
      </c>
    </row>
    <row r="8353">
      <c r="A8353" t="inlineStr">
        <is>
          <t>27BBBBB08353Z5</t>
        </is>
      </c>
      <c r="B8353" t="inlineStr">
        <is>
          <t>Aug-2018</t>
        </is>
      </c>
      <c r="C8353" s="2" t="n">
        <v>43689</v>
      </c>
      <c r="D8353" t="inlineStr">
        <is>
          <t>NIL</t>
        </is>
      </c>
      <c r="E8353" t="n">
        <v>221</v>
      </c>
    </row>
    <row r="8354">
      <c r="A8354" t="inlineStr">
        <is>
          <t>27BBBBB08354Z5</t>
        </is>
      </c>
      <c r="B8354" t="inlineStr">
        <is>
          <t>Aug-2017</t>
        </is>
      </c>
      <c r="C8354" s="2" t="n">
        <v>43572</v>
      </c>
      <c r="D8354" t="inlineStr">
        <is>
          <t>NON-NIL</t>
        </is>
      </c>
      <c r="E8354" t="n">
        <v>1827</v>
      </c>
    </row>
    <row r="8355">
      <c r="A8355" t="inlineStr">
        <is>
          <t>27BBBBB08355Z5</t>
        </is>
      </c>
      <c r="B8355" t="inlineStr">
        <is>
          <t>Jul-2018</t>
        </is>
      </c>
      <c r="C8355" s="2" t="n">
        <v>43489</v>
      </c>
      <c r="D8355" t="inlineStr">
        <is>
          <t>NIL</t>
        </is>
      </c>
      <c r="E8355" t="n">
        <v>1179</v>
      </c>
    </row>
    <row r="8356">
      <c r="A8356" t="inlineStr">
        <is>
          <t>27BBBBB08356Z5</t>
        </is>
      </c>
      <c r="B8356" t="inlineStr">
        <is>
          <t>Apr-2020</t>
        </is>
      </c>
      <c r="C8356" s="2" t="n">
        <v>44388</v>
      </c>
      <c r="D8356" t="inlineStr">
        <is>
          <t>NON-NIL</t>
        </is>
      </c>
      <c r="E8356" t="n">
        <v>581</v>
      </c>
    </row>
    <row r="8357">
      <c r="A8357" t="inlineStr">
        <is>
          <t>27BBBBB08357Z5</t>
        </is>
      </c>
      <c r="B8357" t="inlineStr">
        <is>
          <t>Jan-2021</t>
        </is>
      </c>
      <c r="C8357" s="2" t="n">
        <v>45769</v>
      </c>
      <c r="D8357" t="inlineStr">
        <is>
          <t>NIL</t>
        </is>
      </c>
      <c r="E8357" t="n">
        <v>2212</v>
      </c>
    </row>
    <row r="8358">
      <c r="A8358" t="inlineStr">
        <is>
          <t>27BBBBB08358Z5</t>
        </is>
      </c>
      <c r="B8358" t="inlineStr">
        <is>
          <t>Sep-2017</t>
        </is>
      </c>
      <c r="C8358" s="2" t="n">
        <v>43970</v>
      </c>
      <c r="D8358" t="inlineStr">
        <is>
          <t>NIL</t>
        </is>
      </c>
      <c r="E8358" t="n">
        <v>633</v>
      </c>
    </row>
    <row r="8359">
      <c r="A8359" t="inlineStr">
        <is>
          <t>27BBBBB08359Z5</t>
        </is>
      </c>
      <c r="B8359" t="inlineStr">
        <is>
          <t>May-2018</t>
        </is>
      </c>
      <c r="C8359" s="2" t="n">
        <v>43661</v>
      </c>
      <c r="D8359" t="inlineStr">
        <is>
          <t>NIL</t>
        </is>
      </c>
      <c r="E8359" t="n">
        <v>648</v>
      </c>
    </row>
    <row r="8360">
      <c r="A8360" t="inlineStr">
        <is>
          <t>27BBBBB08360Z5</t>
        </is>
      </c>
      <c r="B8360" t="inlineStr">
        <is>
          <t>Jul-2018</t>
        </is>
      </c>
      <c r="C8360" s="2" t="n">
        <v>43726</v>
      </c>
      <c r="D8360" t="inlineStr">
        <is>
          <t>NIL</t>
        </is>
      </c>
      <c r="E8360" t="n">
        <v>1983</v>
      </c>
    </row>
    <row r="8361">
      <c r="A8361" t="inlineStr">
        <is>
          <t>27BBBBB08361Z5</t>
        </is>
      </c>
      <c r="B8361" t="inlineStr">
        <is>
          <t>May-2020</t>
        </is>
      </c>
      <c r="C8361" s="2" t="n">
        <v>44203</v>
      </c>
      <c r="D8361" t="inlineStr">
        <is>
          <t>NON-NIL</t>
        </is>
      </c>
      <c r="E8361" t="n">
        <v>643</v>
      </c>
    </row>
    <row r="8362">
      <c r="A8362" t="inlineStr">
        <is>
          <t>27BBBBB08362Z5</t>
        </is>
      </c>
      <c r="B8362" t="inlineStr">
        <is>
          <t>Apr-2020</t>
        </is>
      </c>
      <c r="C8362" s="2" t="n">
        <v>44770</v>
      </c>
      <c r="D8362" t="inlineStr">
        <is>
          <t>NIL</t>
        </is>
      </c>
      <c r="E8362" t="n">
        <v>460</v>
      </c>
    </row>
    <row r="8363">
      <c r="A8363" t="inlineStr">
        <is>
          <t>27BBBBB08363Z5</t>
        </is>
      </c>
      <c r="B8363" t="inlineStr">
        <is>
          <t>Feb-2018</t>
        </is>
      </c>
      <c r="C8363" s="2" t="n">
        <v>43805</v>
      </c>
      <c r="D8363" t="inlineStr">
        <is>
          <t>NIL</t>
        </is>
      </c>
      <c r="E8363" t="n">
        <v>2281</v>
      </c>
    </row>
    <row r="8364">
      <c r="A8364" t="inlineStr">
        <is>
          <t>27BBBBB08364Z5</t>
        </is>
      </c>
      <c r="B8364" t="inlineStr">
        <is>
          <t>Jul-2018</t>
        </is>
      </c>
      <c r="C8364" s="2" t="n">
        <v>43793</v>
      </c>
      <c r="D8364" t="inlineStr">
        <is>
          <t>NIL</t>
        </is>
      </c>
      <c r="E8364" t="n">
        <v>689</v>
      </c>
    </row>
    <row r="8365">
      <c r="A8365" t="inlineStr">
        <is>
          <t>27BBBBB08365Z5</t>
        </is>
      </c>
      <c r="B8365" t="inlineStr">
        <is>
          <t>Nov-2017</t>
        </is>
      </c>
      <c r="C8365" s="2" t="n">
        <v>44117</v>
      </c>
      <c r="D8365" t="inlineStr">
        <is>
          <t>NON-NIL</t>
        </is>
      </c>
      <c r="E8365" t="n">
        <v>937</v>
      </c>
    </row>
    <row r="8366">
      <c r="A8366" t="inlineStr">
        <is>
          <t>27BBBBB08366Z5</t>
        </is>
      </c>
      <c r="B8366" t="inlineStr">
        <is>
          <t>Sep-2017</t>
        </is>
      </c>
      <c r="C8366" s="2" t="n">
        <v>43757</v>
      </c>
      <c r="D8366" t="inlineStr">
        <is>
          <t>NON-NIL</t>
        </is>
      </c>
      <c r="E8366" t="n">
        <v>196</v>
      </c>
    </row>
    <row r="8367">
      <c r="A8367" t="inlineStr">
        <is>
          <t>27BBBBB08367Z5</t>
        </is>
      </c>
      <c r="B8367" t="inlineStr">
        <is>
          <t>Oct-2017</t>
        </is>
      </c>
      <c r="C8367" s="2" t="n">
        <v>44374</v>
      </c>
      <c r="D8367" t="inlineStr">
        <is>
          <t>NIL</t>
        </is>
      </c>
      <c r="E8367" t="n">
        <v>1126</v>
      </c>
    </row>
    <row r="8368">
      <c r="A8368" t="inlineStr">
        <is>
          <t>27BBBBB08368Z5</t>
        </is>
      </c>
      <c r="B8368" t="inlineStr">
        <is>
          <t>Mar-2023</t>
        </is>
      </c>
      <c r="C8368" s="2" t="n">
        <v>43710</v>
      </c>
      <c r="D8368" t="inlineStr">
        <is>
          <t>NON-NIL</t>
        </is>
      </c>
      <c r="E8368" t="n">
        <v>2722</v>
      </c>
    </row>
    <row r="8369">
      <c r="A8369" t="inlineStr">
        <is>
          <t>27BBBBB08369Z5</t>
        </is>
      </c>
      <c r="B8369" t="inlineStr">
        <is>
          <t>Jul-2017</t>
        </is>
      </c>
      <c r="C8369" s="2" t="n">
        <v>44452</v>
      </c>
      <c r="D8369" t="inlineStr">
        <is>
          <t>NIL</t>
        </is>
      </c>
      <c r="E8369" t="n">
        <v>1278</v>
      </c>
    </row>
    <row r="8370">
      <c r="A8370" t="inlineStr">
        <is>
          <t>27BBBBB08370Z5</t>
        </is>
      </c>
      <c r="B8370" t="inlineStr">
        <is>
          <t>Oct-2017</t>
        </is>
      </c>
      <c r="C8370" s="2" t="n">
        <v>43900</v>
      </c>
      <c r="D8370" t="inlineStr">
        <is>
          <t>NON-NIL</t>
        </is>
      </c>
      <c r="E8370" t="n">
        <v>16</v>
      </c>
    </row>
    <row r="8371">
      <c r="A8371" t="inlineStr">
        <is>
          <t>27BBBBB08371Z5</t>
        </is>
      </c>
      <c r="B8371" t="inlineStr">
        <is>
          <t>Jun-2020</t>
        </is>
      </c>
      <c r="C8371" s="2" t="n">
        <v>44830</v>
      </c>
      <c r="D8371" t="inlineStr">
        <is>
          <t>NIL</t>
        </is>
      </c>
      <c r="E8371" t="n">
        <v>821</v>
      </c>
    </row>
    <row r="8372">
      <c r="A8372" t="inlineStr">
        <is>
          <t>27BBBBB08372Z5</t>
        </is>
      </c>
      <c r="B8372" t="inlineStr">
        <is>
          <t>Oct-2018</t>
        </is>
      </c>
      <c r="C8372" s="2" t="n">
        <v>43894</v>
      </c>
      <c r="D8372" t="inlineStr">
        <is>
          <t>NON-NIL</t>
        </is>
      </c>
      <c r="E8372" t="n">
        <v>2553</v>
      </c>
    </row>
    <row r="8373">
      <c r="A8373" t="inlineStr">
        <is>
          <t>27BBBBB08373Z5</t>
        </is>
      </c>
      <c r="B8373" t="inlineStr">
        <is>
          <t>Jan-2018</t>
        </is>
      </c>
      <c r="C8373" s="2" t="n">
        <v>43981</v>
      </c>
      <c r="D8373" t="inlineStr">
        <is>
          <t>NON-NIL</t>
        </is>
      </c>
      <c r="E8373" t="n">
        <v>1219</v>
      </c>
    </row>
    <row r="8374">
      <c r="A8374" t="inlineStr">
        <is>
          <t>27BBBBB08374Z5</t>
        </is>
      </c>
      <c r="B8374" t="inlineStr">
        <is>
          <t>Jul-2017</t>
        </is>
      </c>
      <c r="C8374" s="2" t="n">
        <v>43453</v>
      </c>
      <c r="D8374" t="inlineStr">
        <is>
          <t>NON-NIL</t>
        </is>
      </c>
      <c r="E8374" t="n">
        <v>125</v>
      </c>
    </row>
    <row r="8375">
      <c r="A8375" t="inlineStr">
        <is>
          <t>27BBBBB08375Z5</t>
        </is>
      </c>
      <c r="B8375" t="inlineStr">
        <is>
          <t>Mar-2018</t>
        </is>
      </c>
      <c r="C8375" s="2" t="n">
        <v>43227</v>
      </c>
      <c r="D8375" t="inlineStr">
        <is>
          <t>NIL</t>
        </is>
      </c>
      <c r="E8375" t="n">
        <v>2704</v>
      </c>
    </row>
    <row r="8376">
      <c r="A8376" t="inlineStr">
        <is>
          <t>27BBBBB08376Z5</t>
        </is>
      </c>
      <c r="B8376" t="inlineStr">
        <is>
          <t>Dec-2018</t>
        </is>
      </c>
      <c r="C8376" s="2" t="n">
        <v>43784</v>
      </c>
      <c r="D8376" t="inlineStr">
        <is>
          <t>NON-NIL</t>
        </is>
      </c>
      <c r="E8376" t="n">
        <v>2953</v>
      </c>
    </row>
    <row r="8377">
      <c r="A8377" t="inlineStr">
        <is>
          <t>27BBBBB08377Z5</t>
        </is>
      </c>
      <c r="B8377" t="inlineStr">
        <is>
          <t>Apr-2018</t>
        </is>
      </c>
      <c r="C8377" s="2" t="n">
        <v>43927</v>
      </c>
      <c r="D8377" t="inlineStr">
        <is>
          <t>NON-NIL</t>
        </is>
      </c>
      <c r="E8377" t="n">
        <v>772</v>
      </c>
    </row>
    <row r="8378">
      <c r="A8378" t="inlineStr">
        <is>
          <t>27BBBBB08378Z5</t>
        </is>
      </c>
      <c r="B8378" t="inlineStr">
        <is>
          <t>Jun-2018</t>
        </is>
      </c>
      <c r="C8378" s="2" t="n">
        <v>44348</v>
      </c>
      <c r="D8378" t="inlineStr">
        <is>
          <t>NON-NIL</t>
        </is>
      </c>
      <c r="E8378" t="n">
        <v>1020</v>
      </c>
    </row>
    <row r="8379">
      <c r="A8379" t="inlineStr">
        <is>
          <t>27BBBBB08379Z5</t>
        </is>
      </c>
      <c r="B8379" t="inlineStr">
        <is>
          <t>Jul-2017</t>
        </is>
      </c>
      <c r="C8379" s="2" t="n">
        <v>44355</v>
      </c>
      <c r="D8379" t="inlineStr">
        <is>
          <t>NIL</t>
        </is>
      </c>
      <c r="E8379" t="n">
        <v>608</v>
      </c>
    </row>
    <row r="8380">
      <c r="A8380" t="inlineStr">
        <is>
          <t>27BBBBB08380Z5</t>
        </is>
      </c>
      <c r="B8380" t="inlineStr">
        <is>
          <t>Nov-2017</t>
        </is>
      </c>
      <c r="C8380" s="2" t="n">
        <v>43710</v>
      </c>
      <c r="D8380" t="inlineStr">
        <is>
          <t>NON-NIL</t>
        </is>
      </c>
      <c r="E8380" t="n">
        <v>482</v>
      </c>
    </row>
    <row r="8381">
      <c r="A8381" t="inlineStr">
        <is>
          <t>27BBBBB08381Z5</t>
        </is>
      </c>
      <c r="B8381" t="inlineStr">
        <is>
          <t>May-2018</t>
        </is>
      </c>
      <c r="C8381" s="2" t="n">
        <v>43416</v>
      </c>
      <c r="D8381" t="inlineStr">
        <is>
          <t>NON-NIL</t>
        </is>
      </c>
      <c r="E8381" t="n">
        <v>1029</v>
      </c>
    </row>
    <row r="8382">
      <c r="A8382" t="inlineStr">
        <is>
          <t>27BBBBB08382Z5</t>
        </is>
      </c>
      <c r="B8382" t="inlineStr">
        <is>
          <t>Mar-2023</t>
        </is>
      </c>
      <c r="C8382" s="2" t="n">
        <v>44277</v>
      </c>
      <c r="D8382" t="inlineStr">
        <is>
          <t>NIL</t>
        </is>
      </c>
      <c r="E8382" t="n">
        <v>2066</v>
      </c>
    </row>
    <row r="8383">
      <c r="A8383" t="inlineStr">
        <is>
          <t>27BBBBB08383Z5</t>
        </is>
      </c>
      <c r="B8383" t="inlineStr">
        <is>
          <t>Oct-2018</t>
        </is>
      </c>
      <c r="C8383" s="2" t="n">
        <v>42943</v>
      </c>
      <c r="D8383" t="inlineStr">
        <is>
          <t>NON-NIL</t>
        </is>
      </c>
      <c r="E8383" t="n">
        <v>164</v>
      </c>
    </row>
    <row r="8384">
      <c r="A8384" t="inlineStr">
        <is>
          <t>27BBBBB08384Z5</t>
        </is>
      </c>
      <c r="B8384" t="inlineStr">
        <is>
          <t>Apr-2020</t>
        </is>
      </c>
      <c r="C8384" s="2" t="n">
        <v>44163</v>
      </c>
      <c r="D8384" t="inlineStr">
        <is>
          <t>NIL</t>
        </is>
      </c>
      <c r="E8384" t="n">
        <v>267</v>
      </c>
    </row>
    <row r="8385">
      <c r="A8385" t="inlineStr">
        <is>
          <t>27BBBBB08385Z5</t>
        </is>
      </c>
      <c r="B8385" t="inlineStr">
        <is>
          <t>Mar-2021</t>
        </is>
      </c>
      <c r="C8385" s="2" t="n">
        <v>45131</v>
      </c>
      <c r="D8385" t="inlineStr">
        <is>
          <t>NIL</t>
        </is>
      </c>
      <c r="E8385" t="n">
        <v>2962</v>
      </c>
    </row>
    <row r="8386">
      <c r="A8386" t="inlineStr">
        <is>
          <t>27BBBBB08386Z5</t>
        </is>
      </c>
      <c r="B8386" t="inlineStr">
        <is>
          <t>Jun-2018</t>
        </is>
      </c>
      <c r="C8386" s="2" t="n">
        <v>44188</v>
      </c>
      <c r="D8386" t="inlineStr">
        <is>
          <t>NIL</t>
        </is>
      </c>
      <c r="E8386" t="n">
        <v>710</v>
      </c>
    </row>
    <row r="8387">
      <c r="A8387" t="inlineStr">
        <is>
          <t>27BBBBB08387Z5</t>
        </is>
      </c>
      <c r="B8387" t="inlineStr">
        <is>
          <t>Dec-2024</t>
        </is>
      </c>
      <c r="C8387" s="2" t="n">
        <v>44206</v>
      </c>
      <c r="D8387" t="inlineStr">
        <is>
          <t>NON-NIL</t>
        </is>
      </c>
      <c r="E8387" t="n">
        <v>35</v>
      </c>
    </row>
    <row r="8388">
      <c r="A8388" t="inlineStr">
        <is>
          <t>27BBBBB08388Z5</t>
        </is>
      </c>
      <c r="B8388" t="inlineStr">
        <is>
          <t>Jul-2020</t>
        </is>
      </c>
      <c r="C8388" s="2" t="n">
        <v>44897</v>
      </c>
      <c r="D8388" t="inlineStr">
        <is>
          <t>NON-NIL</t>
        </is>
      </c>
      <c r="E8388" t="n">
        <v>2599</v>
      </c>
    </row>
    <row r="8389">
      <c r="A8389" t="inlineStr">
        <is>
          <t>27BBBBB08389Z5</t>
        </is>
      </c>
      <c r="B8389" t="inlineStr">
        <is>
          <t>Jul-2017</t>
        </is>
      </c>
      <c r="C8389" s="2" t="n">
        <v>44245</v>
      </c>
      <c r="D8389" t="inlineStr">
        <is>
          <t>NON-NIL</t>
        </is>
      </c>
      <c r="E8389" t="n">
        <v>1206</v>
      </c>
    </row>
    <row r="8390">
      <c r="A8390" t="inlineStr">
        <is>
          <t>27BBBBB08390Z5</t>
        </is>
      </c>
      <c r="B8390" t="inlineStr">
        <is>
          <t>Mar-2020</t>
        </is>
      </c>
      <c r="C8390" s="2" t="n">
        <v>44238</v>
      </c>
      <c r="D8390" t="inlineStr">
        <is>
          <t>NIL</t>
        </is>
      </c>
      <c r="E8390" t="n">
        <v>1085</v>
      </c>
    </row>
    <row r="8391">
      <c r="A8391" t="inlineStr">
        <is>
          <t>27BBBBB08391Z5</t>
        </is>
      </c>
      <c r="B8391" t="inlineStr">
        <is>
          <t>Sep-2017</t>
        </is>
      </c>
      <c r="C8391" s="2" t="n">
        <v>43750</v>
      </c>
      <c r="D8391" t="inlineStr">
        <is>
          <t>NIL</t>
        </is>
      </c>
      <c r="E8391" t="n">
        <v>993</v>
      </c>
    </row>
    <row r="8392">
      <c r="A8392" t="inlineStr">
        <is>
          <t>27BBBBB08392Z5</t>
        </is>
      </c>
      <c r="B8392" t="inlineStr">
        <is>
          <t>Dec-2024</t>
        </is>
      </c>
      <c r="C8392" s="2" t="n">
        <v>44062</v>
      </c>
      <c r="D8392" t="inlineStr">
        <is>
          <t>NON-NIL</t>
        </is>
      </c>
      <c r="E8392" t="n">
        <v>2648</v>
      </c>
    </row>
    <row r="8393">
      <c r="A8393" t="inlineStr">
        <is>
          <t>27BBBBB08393Z5</t>
        </is>
      </c>
      <c r="B8393" t="inlineStr">
        <is>
          <t>Mar-2021</t>
        </is>
      </c>
      <c r="C8393" s="2" t="n">
        <v>44010</v>
      </c>
      <c r="D8393" t="inlineStr">
        <is>
          <t>NON-NIL</t>
        </is>
      </c>
      <c r="E8393" t="n">
        <v>1131</v>
      </c>
    </row>
    <row r="8394">
      <c r="A8394" t="inlineStr">
        <is>
          <t>27BBBBB08394Z5</t>
        </is>
      </c>
      <c r="B8394" t="inlineStr">
        <is>
          <t>Apr-2018</t>
        </is>
      </c>
      <c r="C8394" s="2" t="n">
        <v>42969</v>
      </c>
      <c r="D8394" t="inlineStr">
        <is>
          <t>NIL</t>
        </is>
      </c>
      <c r="E8394" t="n">
        <v>2332</v>
      </c>
    </row>
    <row r="8395">
      <c r="A8395" t="inlineStr">
        <is>
          <t>27BBBBB08395Z5</t>
        </is>
      </c>
      <c r="B8395" t="inlineStr">
        <is>
          <t>Oct-2017</t>
        </is>
      </c>
      <c r="C8395" s="2" t="n">
        <v>43319</v>
      </c>
      <c r="D8395" t="inlineStr">
        <is>
          <t>NIL</t>
        </is>
      </c>
      <c r="E8395" t="n">
        <v>557</v>
      </c>
    </row>
    <row r="8396">
      <c r="A8396" t="inlineStr">
        <is>
          <t>27BBBBB08396Z5</t>
        </is>
      </c>
      <c r="B8396" t="inlineStr">
        <is>
          <t>Nov-2017</t>
        </is>
      </c>
      <c r="C8396" s="2" t="n">
        <v>43897</v>
      </c>
      <c r="D8396" t="inlineStr">
        <is>
          <t>NON-NIL</t>
        </is>
      </c>
      <c r="E8396" t="n">
        <v>83</v>
      </c>
    </row>
    <row r="8397">
      <c r="A8397" t="inlineStr">
        <is>
          <t>27BBBBB08397Z5</t>
        </is>
      </c>
      <c r="B8397" t="inlineStr">
        <is>
          <t>Dec-2024</t>
        </is>
      </c>
      <c r="C8397" s="2" t="n">
        <v>44313</v>
      </c>
      <c r="D8397" t="inlineStr">
        <is>
          <t>NIL</t>
        </is>
      </c>
      <c r="E8397" t="n">
        <v>504</v>
      </c>
    </row>
    <row r="8398">
      <c r="A8398" t="inlineStr">
        <is>
          <t>27BBBBB08398Z5</t>
        </is>
      </c>
      <c r="B8398" t="inlineStr">
        <is>
          <t>Mar-2020</t>
        </is>
      </c>
      <c r="C8398" s="2" t="n">
        <v>44042</v>
      </c>
      <c r="D8398" t="inlineStr">
        <is>
          <t>NON-NIL</t>
        </is>
      </c>
      <c r="E8398" t="n">
        <v>1338</v>
      </c>
    </row>
    <row r="8399">
      <c r="A8399" t="inlineStr">
        <is>
          <t>27BBBBB08399Z5</t>
        </is>
      </c>
      <c r="B8399" t="inlineStr">
        <is>
          <t>Nov-2018</t>
        </is>
      </c>
      <c r="C8399" s="2" t="n">
        <v>44460</v>
      </c>
      <c r="D8399" t="inlineStr">
        <is>
          <t>NIL</t>
        </is>
      </c>
      <c r="E8399" t="n">
        <v>1591</v>
      </c>
    </row>
    <row r="8400">
      <c r="A8400" t="inlineStr">
        <is>
          <t>27BBBBB08400Z5</t>
        </is>
      </c>
      <c r="B8400" t="inlineStr">
        <is>
          <t>Mar-2018</t>
        </is>
      </c>
      <c r="C8400" s="2" t="n">
        <v>43353</v>
      </c>
      <c r="D8400" t="inlineStr">
        <is>
          <t>NON-NIL</t>
        </is>
      </c>
      <c r="E8400" t="n">
        <v>1358</v>
      </c>
    </row>
    <row r="8401">
      <c r="A8401" t="inlineStr">
        <is>
          <t>27BBBBB08401Z5</t>
        </is>
      </c>
      <c r="B8401" t="inlineStr">
        <is>
          <t>Jan-2021</t>
        </is>
      </c>
      <c r="C8401" s="2" t="n">
        <v>43724</v>
      </c>
      <c r="D8401" t="inlineStr">
        <is>
          <t>NIL</t>
        </is>
      </c>
      <c r="E8401" t="n">
        <v>2512</v>
      </c>
    </row>
    <row r="8402">
      <c r="A8402" t="inlineStr">
        <is>
          <t>27BBBBB08402Z5</t>
        </is>
      </c>
      <c r="B8402" t="inlineStr">
        <is>
          <t>Mar-2020</t>
        </is>
      </c>
      <c r="C8402" s="2" t="n">
        <v>44869</v>
      </c>
      <c r="D8402" t="inlineStr">
        <is>
          <t>NON-NIL</t>
        </is>
      </c>
      <c r="E8402" t="n">
        <v>1652</v>
      </c>
    </row>
    <row r="8403">
      <c r="A8403" t="inlineStr">
        <is>
          <t>27BBBBB08403Z5</t>
        </is>
      </c>
      <c r="B8403" t="inlineStr">
        <is>
          <t>Jul-2020</t>
        </is>
      </c>
      <c r="C8403" s="2" t="n">
        <v>44314</v>
      </c>
      <c r="D8403" t="inlineStr">
        <is>
          <t>NIL</t>
        </is>
      </c>
      <c r="E8403" t="n">
        <v>2116</v>
      </c>
    </row>
    <row r="8404">
      <c r="A8404" t="inlineStr">
        <is>
          <t>27BBBBB08404Z5</t>
        </is>
      </c>
      <c r="B8404" t="inlineStr">
        <is>
          <t>Jun-2020</t>
        </is>
      </c>
      <c r="C8404" s="2" t="n">
        <v>43892</v>
      </c>
      <c r="D8404" t="inlineStr">
        <is>
          <t>NON-NIL</t>
        </is>
      </c>
      <c r="E8404" t="n">
        <v>2082</v>
      </c>
    </row>
    <row r="8405">
      <c r="A8405" t="inlineStr">
        <is>
          <t>27BBBBB08405Z5</t>
        </is>
      </c>
      <c r="B8405" t="inlineStr">
        <is>
          <t>Feb-2018</t>
        </is>
      </c>
      <c r="C8405" s="2" t="n">
        <v>44558</v>
      </c>
      <c r="D8405" t="inlineStr">
        <is>
          <t>NIL</t>
        </is>
      </c>
      <c r="E8405" t="n">
        <v>2514</v>
      </c>
    </row>
    <row r="8406">
      <c r="A8406" t="inlineStr">
        <is>
          <t>27BBBBB08406Z5</t>
        </is>
      </c>
      <c r="B8406" t="inlineStr">
        <is>
          <t>Sep-2018</t>
        </is>
      </c>
      <c r="C8406" s="2" t="n">
        <v>43717</v>
      </c>
      <c r="D8406" t="inlineStr">
        <is>
          <t>NIL</t>
        </is>
      </c>
      <c r="E8406" t="n">
        <v>2698</v>
      </c>
    </row>
    <row r="8407">
      <c r="A8407" t="inlineStr">
        <is>
          <t>27BBBBB08407Z5</t>
        </is>
      </c>
      <c r="B8407" t="inlineStr">
        <is>
          <t>Apr-2018</t>
        </is>
      </c>
      <c r="C8407" s="2" t="n">
        <v>43686</v>
      </c>
      <c r="D8407" t="inlineStr">
        <is>
          <t>NIL</t>
        </is>
      </c>
      <c r="E8407" t="n">
        <v>1294</v>
      </c>
    </row>
    <row r="8408">
      <c r="A8408" t="inlineStr">
        <is>
          <t>27BBBBB08408Z5</t>
        </is>
      </c>
      <c r="B8408" t="inlineStr">
        <is>
          <t>Jul-2017</t>
        </is>
      </c>
      <c r="C8408" s="2" t="n">
        <v>43936</v>
      </c>
      <c r="D8408" t="inlineStr">
        <is>
          <t>NON-NIL</t>
        </is>
      </c>
      <c r="E8408" t="n">
        <v>952</v>
      </c>
    </row>
    <row r="8409">
      <c r="A8409" t="inlineStr">
        <is>
          <t>27BBBBB08409Z5</t>
        </is>
      </c>
      <c r="B8409" t="inlineStr">
        <is>
          <t>Jan-2021</t>
        </is>
      </c>
      <c r="C8409" s="2" t="n">
        <v>43913</v>
      </c>
      <c r="D8409" t="inlineStr">
        <is>
          <t>NON-NIL</t>
        </is>
      </c>
      <c r="E8409" t="n">
        <v>2544</v>
      </c>
    </row>
    <row r="8410">
      <c r="A8410" t="inlineStr">
        <is>
          <t>27BBBBB08410Z5</t>
        </is>
      </c>
      <c r="B8410" t="inlineStr">
        <is>
          <t>Feb-2018</t>
        </is>
      </c>
      <c r="C8410" s="2" t="n">
        <v>43875</v>
      </c>
      <c r="D8410" t="inlineStr">
        <is>
          <t>NON-NIL</t>
        </is>
      </c>
      <c r="E8410" t="n">
        <v>1481</v>
      </c>
    </row>
    <row r="8411">
      <c r="A8411" t="inlineStr">
        <is>
          <t>27BBBBB08411Z5</t>
        </is>
      </c>
      <c r="B8411" t="inlineStr">
        <is>
          <t>Feb-2018</t>
        </is>
      </c>
      <c r="C8411" s="2" t="n">
        <v>43363</v>
      </c>
      <c r="D8411" t="inlineStr">
        <is>
          <t>NON-NIL</t>
        </is>
      </c>
      <c r="E8411" t="n">
        <v>2437</v>
      </c>
    </row>
    <row r="8412">
      <c r="A8412" t="inlineStr">
        <is>
          <t>27BBBBB08412Z5</t>
        </is>
      </c>
      <c r="B8412" t="inlineStr">
        <is>
          <t>Jun-2020</t>
        </is>
      </c>
      <c r="C8412" s="2" t="n">
        <v>44358</v>
      </c>
      <c r="D8412" t="inlineStr">
        <is>
          <t>NIL</t>
        </is>
      </c>
      <c r="E8412" t="n">
        <v>2334</v>
      </c>
    </row>
    <row r="8413">
      <c r="A8413" t="inlineStr">
        <is>
          <t>27BBBBB08413Z5</t>
        </is>
      </c>
      <c r="B8413" t="inlineStr">
        <is>
          <t>Dec-2022</t>
        </is>
      </c>
      <c r="C8413" s="2" t="n">
        <v>44756</v>
      </c>
      <c r="D8413" t="inlineStr">
        <is>
          <t>NIL</t>
        </is>
      </c>
      <c r="E8413" t="n">
        <v>791</v>
      </c>
    </row>
    <row r="8414">
      <c r="A8414" t="inlineStr">
        <is>
          <t>27BBBBB08414Z5</t>
        </is>
      </c>
      <c r="B8414" t="inlineStr">
        <is>
          <t>Dec-2017</t>
        </is>
      </c>
      <c r="C8414" s="2" t="n">
        <v>44237</v>
      </c>
      <c r="D8414" t="inlineStr">
        <is>
          <t>NON-NIL</t>
        </is>
      </c>
      <c r="E8414" t="n">
        <v>2782</v>
      </c>
    </row>
    <row r="8415">
      <c r="A8415" t="inlineStr">
        <is>
          <t>27BBBBB08415Z5</t>
        </is>
      </c>
      <c r="B8415" t="inlineStr">
        <is>
          <t>May-2020</t>
        </is>
      </c>
      <c r="C8415" s="2" t="n">
        <v>44338</v>
      </c>
      <c r="D8415" t="inlineStr">
        <is>
          <t>NIL</t>
        </is>
      </c>
      <c r="E8415" t="n">
        <v>2947</v>
      </c>
    </row>
    <row r="8416">
      <c r="A8416" t="inlineStr">
        <is>
          <t>27BBBBB08416Z5</t>
        </is>
      </c>
      <c r="B8416" t="inlineStr">
        <is>
          <t>May-2018</t>
        </is>
      </c>
      <c r="C8416" s="2" t="n">
        <v>42956</v>
      </c>
      <c r="D8416" t="inlineStr">
        <is>
          <t>NON-NIL</t>
        </is>
      </c>
      <c r="E8416" t="n">
        <v>2358</v>
      </c>
    </row>
    <row r="8417">
      <c r="A8417" t="inlineStr">
        <is>
          <t>27BBBBB08417Z5</t>
        </is>
      </c>
      <c r="B8417" t="inlineStr">
        <is>
          <t>Mar-2021</t>
        </is>
      </c>
      <c r="C8417" s="2" t="n">
        <v>45621</v>
      </c>
      <c r="D8417" t="inlineStr">
        <is>
          <t>NON-NIL</t>
        </is>
      </c>
      <c r="E8417" t="n">
        <v>1245</v>
      </c>
    </row>
    <row r="8418">
      <c r="A8418" t="inlineStr">
        <is>
          <t>27BBBBB08418Z5</t>
        </is>
      </c>
      <c r="B8418" t="inlineStr">
        <is>
          <t>Feb-2018</t>
        </is>
      </c>
      <c r="C8418" s="2" t="n">
        <v>43363</v>
      </c>
      <c r="D8418" t="inlineStr">
        <is>
          <t>NIL</t>
        </is>
      </c>
      <c r="E8418" t="n">
        <v>657</v>
      </c>
    </row>
    <row r="8419">
      <c r="A8419" t="inlineStr">
        <is>
          <t>27BBBBB08419Z5</t>
        </is>
      </c>
      <c r="B8419" t="inlineStr">
        <is>
          <t>May-2018</t>
        </is>
      </c>
      <c r="C8419" s="2" t="n">
        <v>43461</v>
      </c>
      <c r="D8419" t="inlineStr">
        <is>
          <t>NON-NIL</t>
        </is>
      </c>
      <c r="E8419" t="n">
        <v>366</v>
      </c>
    </row>
    <row r="8420">
      <c r="A8420" t="inlineStr">
        <is>
          <t>27BBBBB08420Z5</t>
        </is>
      </c>
      <c r="B8420" t="inlineStr">
        <is>
          <t>Jun-2020</t>
        </is>
      </c>
      <c r="C8420" s="2" t="n">
        <v>44191</v>
      </c>
      <c r="D8420" t="inlineStr">
        <is>
          <t>NON-NIL</t>
        </is>
      </c>
      <c r="E8420" t="n">
        <v>2226</v>
      </c>
    </row>
    <row r="8421">
      <c r="A8421" t="inlineStr">
        <is>
          <t>27BBBBB08421Z5</t>
        </is>
      </c>
      <c r="B8421" t="inlineStr">
        <is>
          <t>Jul-2017</t>
        </is>
      </c>
      <c r="C8421" s="2" t="n">
        <v>44525</v>
      </c>
      <c r="D8421" t="inlineStr">
        <is>
          <t>NON-NIL</t>
        </is>
      </c>
      <c r="E8421" t="n">
        <v>1546</v>
      </c>
    </row>
    <row r="8422">
      <c r="A8422" t="inlineStr">
        <is>
          <t>27BBBBB08422Z5</t>
        </is>
      </c>
      <c r="B8422" t="inlineStr">
        <is>
          <t>Mar-2018</t>
        </is>
      </c>
      <c r="C8422" s="2" t="n">
        <v>44460</v>
      </c>
      <c r="D8422" t="inlineStr">
        <is>
          <t>NON-NIL</t>
        </is>
      </c>
      <c r="E8422" t="n">
        <v>2260</v>
      </c>
    </row>
    <row r="8423">
      <c r="A8423" t="inlineStr">
        <is>
          <t>27BBBBB08423Z5</t>
        </is>
      </c>
      <c r="B8423" t="inlineStr">
        <is>
          <t>Jun-2018</t>
        </is>
      </c>
      <c r="C8423" s="2" t="n">
        <v>44232</v>
      </c>
      <c r="D8423" t="inlineStr">
        <is>
          <t>NON-NIL</t>
        </is>
      </c>
      <c r="E8423" t="n">
        <v>1977</v>
      </c>
    </row>
    <row r="8424">
      <c r="A8424" t="inlineStr">
        <is>
          <t>27BBBBB08424Z5</t>
        </is>
      </c>
      <c r="B8424" t="inlineStr">
        <is>
          <t>Dec-2022</t>
        </is>
      </c>
      <c r="C8424" s="2" t="n">
        <v>45706</v>
      </c>
      <c r="D8424" t="inlineStr">
        <is>
          <t>NON-NIL</t>
        </is>
      </c>
      <c r="E8424" t="n">
        <v>2110</v>
      </c>
    </row>
    <row r="8425">
      <c r="A8425" t="inlineStr">
        <is>
          <t>27BBBBB08425Z5</t>
        </is>
      </c>
      <c r="B8425" t="inlineStr">
        <is>
          <t>Apr-2020</t>
        </is>
      </c>
      <c r="C8425" s="2" t="n">
        <v>44180</v>
      </c>
      <c r="D8425" t="inlineStr">
        <is>
          <t>NON-NIL</t>
        </is>
      </c>
      <c r="E8425" t="n">
        <v>2049</v>
      </c>
    </row>
    <row r="8426">
      <c r="A8426" t="inlineStr">
        <is>
          <t>27BBBBB08426Z5</t>
        </is>
      </c>
      <c r="B8426" t="inlineStr">
        <is>
          <t>Jun-2018</t>
        </is>
      </c>
      <c r="C8426" s="2" t="n">
        <v>44381</v>
      </c>
      <c r="D8426" t="inlineStr">
        <is>
          <t>NON-NIL</t>
        </is>
      </c>
      <c r="E8426" t="n">
        <v>451</v>
      </c>
    </row>
    <row r="8427">
      <c r="A8427" t="inlineStr">
        <is>
          <t>27BBBBB08427Z5</t>
        </is>
      </c>
      <c r="B8427" t="inlineStr">
        <is>
          <t>Nov-2017</t>
        </is>
      </c>
      <c r="C8427" s="2" t="n">
        <v>43900</v>
      </c>
      <c r="D8427" t="inlineStr">
        <is>
          <t>NIL</t>
        </is>
      </c>
      <c r="E8427" t="n">
        <v>390</v>
      </c>
    </row>
    <row r="8428">
      <c r="A8428" t="inlineStr">
        <is>
          <t>27BBBBB08428Z5</t>
        </is>
      </c>
      <c r="B8428" t="inlineStr">
        <is>
          <t>Oct-2017</t>
        </is>
      </c>
      <c r="C8428" s="2" t="n">
        <v>43997</v>
      </c>
      <c r="D8428" t="inlineStr">
        <is>
          <t>NIL</t>
        </is>
      </c>
      <c r="E8428" t="n">
        <v>1724</v>
      </c>
    </row>
    <row r="8429">
      <c r="A8429" t="inlineStr">
        <is>
          <t>27BBBBB08429Z5</t>
        </is>
      </c>
      <c r="B8429" t="inlineStr">
        <is>
          <t>Aug-2017</t>
        </is>
      </c>
      <c r="C8429" s="2" t="n">
        <v>43726</v>
      </c>
      <c r="D8429" t="inlineStr">
        <is>
          <t>NIL</t>
        </is>
      </c>
      <c r="E8429" t="n">
        <v>2967</v>
      </c>
    </row>
    <row r="8430">
      <c r="A8430" t="inlineStr">
        <is>
          <t>27BBBBB08430Z5</t>
        </is>
      </c>
      <c r="B8430" t="inlineStr">
        <is>
          <t>Oct-2018</t>
        </is>
      </c>
      <c r="C8430" s="2" t="n">
        <v>42941</v>
      </c>
      <c r="D8430" t="inlineStr">
        <is>
          <t>NON-NIL</t>
        </is>
      </c>
      <c r="E8430" t="n">
        <v>1379</v>
      </c>
    </row>
    <row r="8431">
      <c r="A8431" t="inlineStr">
        <is>
          <t>27BBBBB08431Z5</t>
        </is>
      </c>
      <c r="B8431" t="inlineStr">
        <is>
          <t>Apr-2018</t>
        </is>
      </c>
      <c r="C8431" s="2" t="n">
        <v>43648</v>
      </c>
      <c r="D8431" t="inlineStr">
        <is>
          <t>NON-NIL</t>
        </is>
      </c>
      <c r="E8431" t="n">
        <v>2911</v>
      </c>
    </row>
    <row r="8432">
      <c r="A8432" t="inlineStr">
        <is>
          <t>27BBBBB08432Z5</t>
        </is>
      </c>
      <c r="B8432" t="inlineStr">
        <is>
          <t>May-2018</t>
        </is>
      </c>
      <c r="C8432" s="2" t="n">
        <v>43129</v>
      </c>
      <c r="D8432" t="inlineStr">
        <is>
          <t>NON-NIL</t>
        </is>
      </c>
      <c r="E8432" t="n">
        <v>1117</v>
      </c>
    </row>
    <row r="8433">
      <c r="A8433" t="inlineStr">
        <is>
          <t>27BBBBB08433Z5</t>
        </is>
      </c>
      <c r="B8433" t="inlineStr">
        <is>
          <t>May-2020</t>
        </is>
      </c>
      <c r="C8433" s="2" t="n">
        <v>44013</v>
      </c>
      <c r="D8433" t="inlineStr">
        <is>
          <t>NON-NIL</t>
        </is>
      </c>
      <c r="E8433" t="n">
        <v>720</v>
      </c>
    </row>
    <row r="8434">
      <c r="A8434" t="inlineStr">
        <is>
          <t>27BBBBB08434Z5</t>
        </is>
      </c>
      <c r="B8434" t="inlineStr">
        <is>
          <t>Feb-2018</t>
        </is>
      </c>
      <c r="C8434" s="2" t="n">
        <v>44347</v>
      </c>
      <c r="D8434" t="inlineStr">
        <is>
          <t>NON-NIL</t>
        </is>
      </c>
      <c r="E8434" t="n">
        <v>311</v>
      </c>
    </row>
    <row r="8435">
      <c r="A8435" t="inlineStr">
        <is>
          <t>27BBBBB08435Z5</t>
        </is>
      </c>
      <c r="B8435" t="inlineStr">
        <is>
          <t>Apr-2018</t>
        </is>
      </c>
      <c r="C8435" s="2" t="n">
        <v>43562</v>
      </c>
      <c r="D8435" t="inlineStr">
        <is>
          <t>NIL</t>
        </is>
      </c>
      <c r="E8435" t="n">
        <v>2489</v>
      </c>
    </row>
    <row r="8436">
      <c r="A8436" t="inlineStr">
        <is>
          <t>27BBBBB08436Z5</t>
        </is>
      </c>
      <c r="B8436" t="inlineStr">
        <is>
          <t>Apr-2018</t>
        </is>
      </c>
      <c r="C8436" s="2" t="n">
        <v>43172</v>
      </c>
      <c r="D8436" t="inlineStr">
        <is>
          <t>NIL</t>
        </is>
      </c>
      <c r="E8436" t="n">
        <v>2613</v>
      </c>
    </row>
    <row r="8437">
      <c r="A8437" t="inlineStr">
        <is>
          <t>27BBBBB08437Z5</t>
        </is>
      </c>
      <c r="B8437" t="inlineStr">
        <is>
          <t>May-2020</t>
        </is>
      </c>
      <c r="C8437" s="2" t="n">
        <v>44179</v>
      </c>
      <c r="D8437" t="inlineStr">
        <is>
          <t>NIL</t>
        </is>
      </c>
      <c r="E8437" t="n">
        <v>1453</v>
      </c>
    </row>
    <row r="8438">
      <c r="A8438" t="inlineStr">
        <is>
          <t>27BBBBB08438Z5</t>
        </is>
      </c>
      <c r="B8438" t="inlineStr">
        <is>
          <t>Mar-2021</t>
        </is>
      </c>
      <c r="C8438" s="2" t="n">
        <v>45574</v>
      </c>
      <c r="D8438" t="inlineStr">
        <is>
          <t>NIL</t>
        </is>
      </c>
      <c r="E8438" t="n">
        <v>1094</v>
      </c>
    </row>
    <row r="8439">
      <c r="A8439" t="inlineStr">
        <is>
          <t>27BBBBB08439Z5</t>
        </is>
      </c>
      <c r="B8439" t="inlineStr">
        <is>
          <t>Jul-2020</t>
        </is>
      </c>
      <c r="C8439" s="2" t="n">
        <v>43900</v>
      </c>
      <c r="D8439" t="inlineStr">
        <is>
          <t>NIL</t>
        </is>
      </c>
      <c r="E8439" t="n">
        <v>2604</v>
      </c>
    </row>
    <row r="8440">
      <c r="A8440" t="inlineStr">
        <is>
          <t>27BBBBB08440Z5</t>
        </is>
      </c>
      <c r="B8440" t="inlineStr">
        <is>
          <t>Jul-2017</t>
        </is>
      </c>
      <c r="C8440" s="2" t="n">
        <v>43140</v>
      </c>
      <c r="D8440" t="inlineStr">
        <is>
          <t>NIL</t>
        </is>
      </c>
      <c r="E8440" t="n">
        <v>2363</v>
      </c>
    </row>
    <row r="8441">
      <c r="A8441" t="inlineStr">
        <is>
          <t>27BBBBB08441Z5</t>
        </is>
      </c>
      <c r="B8441" t="inlineStr">
        <is>
          <t>Jul-2017</t>
        </is>
      </c>
      <c r="C8441" s="2" t="n">
        <v>43622</v>
      </c>
      <c r="D8441" t="inlineStr">
        <is>
          <t>NIL</t>
        </is>
      </c>
      <c r="E8441" t="n">
        <v>2719</v>
      </c>
    </row>
    <row r="8442">
      <c r="A8442" t="inlineStr">
        <is>
          <t>27BBBBB08442Z5</t>
        </is>
      </c>
      <c r="B8442" t="inlineStr">
        <is>
          <t>Apr-2018</t>
        </is>
      </c>
      <c r="C8442" s="2" t="n">
        <v>44406</v>
      </c>
      <c r="D8442" t="inlineStr">
        <is>
          <t>NON-NIL</t>
        </is>
      </c>
      <c r="E8442" t="n">
        <v>699</v>
      </c>
    </row>
    <row r="8443">
      <c r="A8443" t="inlineStr">
        <is>
          <t>27BBBBB08443Z5</t>
        </is>
      </c>
      <c r="B8443" t="inlineStr">
        <is>
          <t>Jun-2020</t>
        </is>
      </c>
      <c r="C8443" s="2" t="n">
        <v>44039</v>
      </c>
      <c r="D8443" t="inlineStr">
        <is>
          <t>NON-NIL</t>
        </is>
      </c>
      <c r="E8443" t="n">
        <v>1249</v>
      </c>
    </row>
    <row r="8444">
      <c r="A8444" t="inlineStr">
        <is>
          <t>27BBBBB08444Z5</t>
        </is>
      </c>
      <c r="B8444" t="inlineStr">
        <is>
          <t>May-2018</t>
        </is>
      </c>
      <c r="C8444" s="2" t="n">
        <v>43949</v>
      </c>
      <c r="D8444" t="inlineStr">
        <is>
          <t>NIL</t>
        </is>
      </c>
      <c r="E8444" t="n">
        <v>2657</v>
      </c>
    </row>
    <row r="8445">
      <c r="A8445" t="inlineStr">
        <is>
          <t>27BBBBB08445Z5</t>
        </is>
      </c>
      <c r="B8445" t="inlineStr">
        <is>
          <t>Jan-2021</t>
        </is>
      </c>
      <c r="C8445" s="2" t="n">
        <v>45627</v>
      </c>
      <c r="D8445" t="inlineStr">
        <is>
          <t>NIL</t>
        </is>
      </c>
      <c r="E8445" t="n">
        <v>140</v>
      </c>
    </row>
    <row r="8446">
      <c r="A8446" t="inlineStr">
        <is>
          <t>27BBBBB08446Z5</t>
        </is>
      </c>
      <c r="B8446" t="inlineStr">
        <is>
          <t>May-2020</t>
        </is>
      </c>
      <c r="C8446" s="2" t="n">
        <v>44643</v>
      </c>
      <c r="D8446" t="inlineStr">
        <is>
          <t>NIL</t>
        </is>
      </c>
      <c r="E8446" t="n">
        <v>1357</v>
      </c>
    </row>
    <row r="8447">
      <c r="A8447" t="inlineStr">
        <is>
          <t>27BBBBB08447Z5</t>
        </is>
      </c>
      <c r="B8447" t="inlineStr">
        <is>
          <t>Jun-2018</t>
        </is>
      </c>
      <c r="C8447" s="2" t="n">
        <v>43123</v>
      </c>
      <c r="D8447" t="inlineStr">
        <is>
          <t>NON-NIL</t>
        </is>
      </c>
      <c r="E8447" t="n">
        <v>586</v>
      </c>
    </row>
    <row r="8448">
      <c r="A8448" t="inlineStr">
        <is>
          <t>27BBBBB08448Z5</t>
        </is>
      </c>
      <c r="B8448" t="inlineStr">
        <is>
          <t>Jul-2018</t>
        </is>
      </c>
      <c r="C8448" s="2" t="n">
        <v>43306</v>
      </c>
      <c r="D8448" t="inlineStr">
        <is>
          <t>NON-NIL</t>
        </is>
      </c>
      <c r="E8448" t="n">
        <v>2903</v>
      </c>
    </row>
    <row r="8449">
      <c r="A8449" t="inlineStr">
        <is>
          <t>27BBBBB08449Z5</t>
        </is>
      </c>
      <c r="B8449" t="inlineStr">
        <is>
          <t>Mar-2018</t>
        </is>
      </c>
      <c r="C8449" s="2" t="n">
        <v>43648</v>
      </c>
      <c r="D8449" t="inlineStr">
        <is>
          <t>NON-NIL</t>
        </is>
      </c>
      <c r="E8449" t="n">
        <v>1705</v>
      </c>
    </row>
    <row r="8450">
      <c r="A8450" t="inlineStr">
        <is>
          <t>27BBBBB08450Z5</t>
        </is>
      </c>
      <c r="B8450" t="inlineStr">
        <is>
          <t>Jun-2018</t>
        </is>
      </c>
      <c r="C8450" s="2" t="n">
        <v>44046</v>
      </c>
      <c r="D8450" t="inlineStr">
        <is>
          <t>NIL</t>
        </is>
      </c>
      <c r="E8450" t="n">
        <v>1189</v>
      </c>
    </row>
    <row r="8451">
      <c r="A8451" t="inlineStr">
        <is>
          <t>27BBBBB08451Z5</t>
        </is>
      </c>
      <c r="B8451" t="inlineStr">
        <is>
          <t>Oct-2018</t>
        </is>
      </c>
      <c r="C8451" s="2" t="n">
        <v>43772</v>
      </c>
      <c r="D8451" t="inlineStr">
        <is>
          <t>NIL</t>
        </is>
      </c>
      <c r="E8451" t="n">
        <v>2827</v>
      </c>
    </row>
    <row r="8452">
      <c r="A8452" t="inlineStr">
        <is>
          <t>27BBBBB08452Z5</t>
        </is>
      </c>
      <c r="B8452" t="inlineStr">
        <is>
          <t>Jan-2021</t>
        </is>
      </c>
      <c r="C8452" s="2" t="n">
        <v>44761</v>
      </c>
      <c r="D8452" t="inlineStr">
        <is>
          <t>NON-NIL</t>
        </is>
      </c>
      <c r="E8452" t="n">
        <v>1462</v>
      </c>
    </row>
    <row r="8453">
      <c r="A8453" t="inlineStr">
        <is>
          <t>27BBBBB08453Z5</t>
        </is>
      </c>
      <c r="B8453" t="inlineStr">
        <is>
          <t>Mar-2020</t>
        </is>
      </c>
      <c r="C8453" s="2" t="n">
        <v>44852</v>
      </c>
      <c r="D8453" t="inlineStr">
        <is>
          <t>NIL</t>
        </is>
      </c>
      <c r="E8453" t="n">
        <v>610</v>
      </c>
    </row>
    <row r="8454">
      <c r="A8454" t="inlineStr">
        <is>
          <t>27BBBBB08454Z5</t>
        </is>
      </c>
      <c r="B8454" t="inlineStr">
        <is>
          <t>Aug-2017</t>
        </is>
      </c>
      <c r="C8454" s="2" t="n">
        <v>43675</v>
      </c>
      <c r="D8454" t="inlineStr">
        <is>
          <t>NIL</t>
        </is>
      </c>
      <c r="E8454" t="n">
        <v>495</v>
      </c>
    </row>
    <row r="8455">
      <c r="A8455" t="inlineStr">
        <is>
          <t>27BBBBB08455Z5</t>
        </is>
      </c>
      <c r="B8455" t="inlineStr">
        <is>
          <t>Jun-2020</t>
        </is>
      </c>
      <c r="C8455" s="2" t="n">
        <v>44006</v>
      </c>
      <c r="D8455" t="inlineStr">
        <is>
          <t>NON-NIL</t>
        </is>
      </c>
      <c r="E8455" t="n">
        <v>88</v>
      </c>
    </row>
    <row r="8456">
      <c r="A8456" t="inlineStr">
        <is>
          <t>27BBBBB08456Z5</t>
        </is>
      </c>
      <c r="B8456" t="inlineStr">
        <is>
          <t>Jul-2017</t>
        </is>
      </c>
      <c r="C8456" s="2" t="n">
        <v>43203</v>
      </c>
      <c r="D8456" t="inlineStr">
        <is>
          <t>NON-NIL</t>
        </is>
      </c>
      <c r="E8456" t="n">
        <v>2123</v>
      </c>
    </row>
    <row r="8457">
      <c r="A8457" t="inlineStr">
        <is>
          <t>27BBBBB08457Z5</t>
        </is>
      </c>
      <c r="B8457" t="inlineStr">
        <is>
          <t>Apr-2018</t>
        </is>
      </c>
      <c r="C8457" s="2" t="n">
        <v>44298</v>
      </c>
      <c r="D8457" t="inlineStr">
        <is>
          <t>NON-NIL</t>
        </is>
      </c>
      <c r="E8457" t="n">
        <v>1948</v>
      </c>
    </row>
    <row r="8458">
      <c r="A8458" t="inlineStr">
        <is>
          <t>27BBBBB08458Z5</t>
        </is>
      </c>
      <c r="B8458" t="inlineStr">
        <is>
          <t>Sep-2018</t>
        </is>
      </c>
      <c r="C8458" s="2" t="n">
        <v>43929</v>
      </c>
      <c r="D8458" t="inlineStr">
        <is>
          <t>NON-NIL</t>
        </is>
      </c>
      <c r="E8458" t="n">
        <v>497</v>
      </c>
    </row>
    <row r="8459">
      <c r="A8459" t="inlineStr">
        <is>
          <t>27BBBBB08459Z5</t>
        </is>
      </c>
      <c r="B8459" t="inlineStr">
        <is>
          <t>Mar-2020</t>
        </is>
      </c>
      <c r="C8459" s="2" t="n">
        <v>44193</v>
      </c>
      <c r="D8459" t="inlineStr">
        <is>
          <t>NIL</t>
        </is>
      </c>
      <c r="E8459" t="n">
        <v>543</v>
      </c>
    </row>
    <row r="8460">
      <c r="A8460" t="inlineStr">
        <is>
          <t>27BBBBB08460Z5</t>
        </is>
      </c>
      <c r="B8460" t="inlineStr">
        <is>
          <t>Mar-2020</t>
        </is>
      </c>
      <c r="C8460" s="2" t="n">
        <v>44785</v>
      </c>
      <c r="D8460" t="inlineStr">
        <is>
          <t>NON-NIL</t>
        </is>
      </c>
      <c r="E8460" t="n">
        <v>1014</v>
      </c>
    </row>
    <row r="8461">
      <c r="A8461" t="inlineStr">
        <is>
          <t>27BBBBB08461Z5</t>
        </is>
      </c>
      <c r="B8461" t="inlineStr">
        <is>
          <t>Sep-2018</t>
        </is>
      </c>
      <c r="C8461" s="2" t="n">
        <v>43831</v>
      </c>
      <c r="D8461" t="inlineStr">
        <is>
          <t>NON-NIL</t>
        </is>
      </c>
      <c r="E8461" t="n">
        <v>1422</v>
      </c>
    </row>
    <row r="8462">
      <c r="A8462" t="inlineStr">
        <is>
          <t>27BBBBB08462Z5</t>
        </is>
      </c>
      <c r="B8462" t="inlineStr">
        <is>
          <t>Mar-2023</t>
        </is>
      </c>
      <c r="C8462" s="2" t="n">
        <v>44945</v>
      </c>
      <c r="D8462" t="inlineStr">
        <is>
          <t>NON-NIL</t>
        </is>
      </c>
      <c r="E8462" t="n">
        <v>2551</v>
      </c>
    </row>
    <row r="8463">
      <c r="A8463" t="inlineStr">
        <is>
          <t>27BBBBB08463Z5</t>
        </is>
      </c>
      <c r="B8463" t="inlineStr">
        <is>
          <t>Dec-2024</t>
        </is>
      </c>
      <c r="C8463" s="2" t="n">
        <v>44683</v>
      </c>
      <c r="D8463" t="inlineStr">
        <is>
          <t>NIL</t>
        </is>
      </c>
      <c r="E8463" t="n">
        <v>424</v>
      </c>
    </row>
    <row r="8464">
      <c r="A8464" t="inlineStr">
        <is>
          <t>27BBBBB08464Z5</t>
        </is>
      </c>
      <c r="B8464" t="inlineStr">
        <is>
          <t>Jun-2020</t>
        </is>
      </c>
      <c r="C8464" s="2" t="n">
        <v>44218</v>
      </c>
      <c r="D8464" t="inlineStr">
        <is>
          <t>NON-NIL</t>
        </is>
      </c>
      <c r="E8464" t="n">
        <v>1564</v>
      </c>
    </row>
    <row r="8465">
      <c r="A8465" t="inlineStr">
        <is>
          <t>27BBBBB08465Z5</t>
        </is>
      </c>
      <c r="B8465" t="inlineStr">
        <is>
          <t>Sep-2018</t>
        </is>
      </c>
      <c r="C8465" s="2" t="n">
        <v>43105</v>
      </c>
      <c r="D8465" t="inlineStr">
        <is>
          <t>NIL</t>
        </is>
      </c>
      <c r="E8465" t="n">
        <v>1639</v>
      </c>
    </row>
    <row r="8466">
      <c r="A8466" t="inlineStr">
        <is>
          <t>27BBBBB08466Z5</t>
        </is>
      </c>
      <c r="B8466" t="inlineStr">
        <is>
          <t>Dec-2017</t>
        </is>
      </c>
      <c r="C8466" s="2" t="n">
        <v>43650</v>
      </c>
      <c r="D8466" t="inlineStr">
        <is>
          <t>NIL</t>
        </is>
      </c>
      <c r="E8466" t="n">
        <v>1373</v>
      </c>
    </row>
    <row r="8467">
      <c r="A8467" t="inlineStr">
        <is>
          <t>27BBBBB08467Z5</t>
        </is>
      </c>
      <c r="B8467" t="inlineStr">
        <is>
          <t>Dec-2017</t>
        </is>
      </c>
      <c r="C8467" s="2" t="n">
        <v>43193</v>
      </c>
      <c r="D8467" t="inlineStr">
        <is>
          <t>NIL</t>
        </is>
      </c>
      <c r="E8467" t="n">
        <v>2288</v>
      </c>
    </row>
    <row r="8468">
      <c r="A8468" t="inlineStr">
        <is>
          <t>27BBBBB08468Z5</t>
        </is>
      </c>
      <c r="B8468" t="inlineStr">
        <is>
          <t>Jul-2018</t>
        </is>
      </c>
      <c r="C8468" s="2" t="n">
        <v>43258</v>
      </c>
      <c r="D8468" t="inlineStr">
        <is>
          <t>NIL</t>
        </is>
      </c>
      <c r="E8468" t="n">
        <v>2196</v>
      </c>
    </row>
    <row r="8469">
      <c r="A8469" t="inlineStr">
        <is>
          <t>27BBBBB08469Z5</t>
        </is>
      </c>
      <c r="B8469" t="inlineStr">
        <is>
          <t>Oct-2018</t>
        </is>
      </c>
      <c r="C8469" s="2" t="n">
        <v>44222</v>
      </c>
      <c r="D8469" t="inlineStr">
        <is>
          <t>NIL</t>
        </is>
      </c>
      <c r="E8469" t="n">
        <v>2697</v>
      </c>
    </row>
    <row r="8470">
      <c r="A8470" t="inlineStr">
        <is>
          <t>27BBBBB08470Z5</t>
        </is>
      </c>
      <c r="B8470" t="inlineStr">
        <is>
          <t>Jan-2021</t>
        </is>
      </c>
      <c r="C8470" s="2" t="n">
        <v>45378</v>
      </c>
      <c r="D8470" t="inlineStr">
        <is>
          <t>NON-NIL</t>
        </is>
      </c>
      <c r="E8470" t="n">
        <v>2483</v>
      </c>
    </row>
    <row r="8471">
      <c r="A8471" t="inlineStr">
        <is>
          <t>27BBBBB08471Z5</t>
        </is>
      </c>
      <c r="B8471" t="inlineStr">
        <is>
          <t>Mar-2021</t>
        </is>
      </c>
      <c r="C8471" s="2" t="n">
        <v>44488</v>
      </c>
      <c r="D8471" t="inlineStr">
        <is>
          <t>NON-NIL</t>
        </is>
      </c>
      <c r="E8471" t="n">
        <v>2599</v>
      </c>
    </row>
    <row r="8472">
      <c r="A8472" t="inlineStr">
        <is>
          <t>27BBBBB08472Z5</t>
        </is>
      </c>
      <c r="B8472" t="inlineStr">
        <is>
          <t>Nov-2017</t>
        </is>
      </c>
      <c r="C8472" s="2" t="n">
        <v>43896</v>
      </c>
      <c r="D8472" t="inlineStr">
        <is>
          <t>NON-NIL</t>
        </is>
      </c>
      <c r="E8472" t="n">
        <v>404</v>
      </c>
    </row>
    <row r="8473">
      <c r="A8473" t="inlineStr">
        <is>
          <t>27BBBBB08473Z5</t>
        </is>
      </c>
      <c r="B8473" t="inlineStr">
        <is>
          <t>Jan-2018</t>
        </is>
      </c>
      <c r="C8473" s="2" t="n">
        <v>43076</v>
      </c>
      <c r="D8473" t="inlineStr">
        <is>
          <t>NON-NIL</t>
        </is>
      </c>
      <c r="E8473" t="n">
        <v>2130</v>
      </c>
    </row>
    <row r="8474">
      <c r="A8474" t="inlineStr">
        <is>
          <t>27BBBBB08474Z5</t>
        </is>
      </c>
      <c r="B8474" t="inlineStr">
        <is>
          <t>Jan-2021</t>
        </is>
      </c>
      <c r="C8474" s="2" t="n">
        <v>45019</v>
      </c>
      <c r="D8474" t="inlineStr">
        <is>
          <t>NIL</t>
        </is>
      </c>
      <c r="E8474" t="n">
        <v>95</v>
      </c>
    </row>
    <row r="8475">
      <c r="A8475" t="inlineStr">
        <is>
          <t>27BBBBB08475Z5</t>
        </is>
      </c>
      <c r="B8475" t="inlineStr">
        <is>
          <t>Oct-2018</t>
        </is>
      </c>
      <c r="C8475" s="2" t="n">
        <v>43065</v>
      </c>
      <c r="D8475" t="inlineStr">
        <is>
          <t>NIL</t>
        </is>
      </c>
      <c r="E8475" t="n">
        <v>2147</v>
      </c>
    </row>
    <row r="8476">
      <c r="A8476" t="inlineStr">
        <is>
          <t>27BBBBB08476Z5</t>
        </is>
      </c>
      <c r="B8476" t="inlineStr">
        <is>
          <t>Mar-2020</t>
        </is>
      </c>
      <c r="C8476" s="2" t="n">
        <v>44346</v>
      </c>
      <c r="D8476" t="inlineStr">
        <is>
          <t>NON-NIL</t>
        </is>
      </c>
      <c r="E8476" t="n">
        <v>2728</v>
      </c>
    </row>
    <row r="8477">
      <c r="A8477" t="inlineStr">
        <is>
          <t>27BBBBB08477Z5</t>
        </is>
      </c>
      <c r="B8477" t="inlineStr">
        <is>
          <t>Sep-2018</t>
        </is>
      </c>
      <c r="C8477" s="2" t="n">
        <v>44288</v>
      </c>
      <c r="D8477" t="inlineStr">
        <is>
          <t>NON-NIL</t>
        </is>
      </c>
      <c r="E8477" t="n">
        <v>1226</v>
      </c>
    </row>
    <row r="8478">
      <c r="A8478" t="inlineStr">
        <is>
          <t>27BBBBB08478Z5</t>
        </is>
      </c>
      <c r="B8478" t="inlineStr">
        <is>
          <t>May-2020</t>
        </is>
      </c>
      <c r="C8478" s="2" t="n">
        <v>43937</v>
      </c>
      <c r="D8478" t="inlineStr">
        <is>
          <t>NON-NIL</t>
        </is>
      </c>
      <c r="E8478" t="n">
        <v>2397</v>
      </c>
    </row>
    <row r="8479">
      <c r="A8479" t="inlineStr">
        <is>
          <t>27BBBBB08479Z5</t>
        </is>
      </c>
      <c r="B8479" t="inlineStr">
        <is>
          <t>Mar-2018</t>
        </is>
      </c>
      <c r="C8479" s="2" t="n">
        <v>43624</v>
      </c>
      <c r="D8479" t="inlineStr">
        <is>
          <t>NIL</t>
        </is>
      </c>
      <c r="E8479" t="n">
        <v>2519</v>
      </c>
    </row>
    <row r="8480">
      <c r="A8480" t="inlineStr">
        <is>
          <t>27BBBBB08480Z5</t>
        </is>
      </c>
      <c r="B8480" t="inlineStr">
        <is>
          <t>Jan-2018</t>
        </is>
      </c>
      <c r="C8480" s="2" t="n">
        <v>43477</v>
      </c>
      <c r="D8480" t="inlineStr">
        <is>
          <t>NIL</t>
        </is>
      </c>
      <c r="E8480" t="n">
        <v>422</v>
      </c>
    </row>
    <row r="8481">
      <c r="A8481" t="inlineStr">
        <is>
          <t>27BBBBB08481Z5</t>
        </is>
      </c>
      <c r="B8481" t="inlineStr">
        <is>
          <t>Dec-2017</t>
        </is>
      </c>
      <c r="C8481" s="2" t="n">
        <v>43364</v>
      </c>
      <c r="D8481" t="inlineStr">
        <is>
          <t>NON-NIL</t>
        </is>
      </c>
      <c r="E8481" t="n">
        <v>1227</v>
      </c>
    </row>
    <row r="8482">
      <c r="A8482" t="inlineStr">
        <is>
          <t>27BBBBB08482Z5</t>
        </is>
      </c>
      <c r="B8482" t="inlineStr">
        <is>
          <t>Mar-2023</t>
        </is>
      </c>
      <c r="C8482" s="2" t="n">
        <v>45131</v>
      </c>
      <c r="D8482" t="inlineStr">
        <is>
          <t>NIL</t>
        </is>
      </c>
      <c r="E8482" t="n">
        <v>2649</v>
      </c>
    </row>
    <row r="8483">
      <c r="A8483" t="inlineStr">
        <is>
          <t>27BBBBB08483Z5</t>
        </is>
      </c>
      <c r="B8483" t="inlineStr">
        <is>
          <t>Mar-2023</t>
        </is>
      </c>
      <c r="C8483" s="2" t="n">
        <v>45690</v>
      </c>
      <c r="D8483" t="inlineStr">
        <is>
          <t>NON-NIL</t>
        </is>
      </c>
      <c r="E8483" t="n">
        <v>200</v>
      </c>
    </row>
    <row r="8484">
      <c r="A8484" t="inlineStr">
        <is>
          <t>27BBBBB08484Z5</t>
        </is>
      </c>
      <c r="B8484" t="inlineStr">
        <is>
          <t>Jul-2018</t>
        </is>
      </c>
      <c r="C8484" s="2" t="n">
        <v>44091</v>
      </c>
      <c r="D8484" t="inlineStr">
        <is>
          <t>NON-NIL</t>
        </is>
      </c>
      <c r="E8484" t="n">
        <v>1868</v>
      </c>
    </row>
    <row r="8485">
      <c r="A8485" t="inlineStr">
        <is>
          <t>27BBBBB08485Z5</t>
        </is>
      </c>
      <c r="B8485" t="inlineStr">
        <is>
          <t>Jul-2020</t>
        </is>
      </c>
      <c r="C8485" s="2" t="n">
        <v>44149</v>
      </c>
      <c r="D8485" t="inlineStr">
        <is>
          <t>NIL</t>
        </is>
      </c>
      <c r="E8485" t="n">
        <v>1627</v>
      </c>
    </row>
    <row r="8486">
      <c r="A8486" t="inlineStr">
        <is>
          <t>27BBBBB08486Z5</t>
        </is>
      </c>
      <c r="B8486" t="inlineStr">
        <is>
          <t>Mar-2021</t>
        </is>
      </c>
      <c r="C8486" s="2" t="n">
        <v>44554</v>
      </c>
      <c r="D8486" t="inlineStr">
        <is>
          <t>NON-NIL</t>
        </is>
      </c>
      <c r="E8486" t="n">
        <v>1259</v>
      </c>
    </row>
    <row r="8487">
      <c r="A8487" t="inlineStr">
        <is>
          <t>27BBBBB08487Z5</t>
        </is>
      </c>
      <c r="B8487" t="inlineStr">
        <is>
          <t>Jul-2017</t>
        </is>
      </c>
      <c r="C8487" s="2" t="n">
        <v>44374</v>
      </c>
      <c r="D8487" t="inlineStr">
        <is>
          <t>NON-NIL</t>
        </is>
      </c>
      <c r="E8487" t="n">
        <v>1517</v>
      </c>
    </row>
    <row r="8488">
      <c r="A8488" t="inlineStr">
        <is>
          <t>27BBBBB08488Z5</t>
        </is>
      </c>
      <c r="B8488" t="inlineStr">
        <is>
          <t>Jul-2020</t>
        </is>
      </c>
      <c r="C8488" s="2" t="n">
        <v>43864</v>
      </c>
      <c r="D8488" t="inlineStr">
        <is>
          <t>NIL</t>
        </is>
      </c>
      <c r="E8488" t="n">
        <v>1948</v>
      </c>
    </row>
    <row r="8489">
      <c r="A8489" t="inlineStr">
        <is>
          <t>27BBBBB08489Z5</t>
        </is>
      </c>
      <c r="B8489" t="inlineStr">
        <is>
          <t>May-2018</t>
        </is>
      </c>
      <c r="C8489" s="2" t="n">
        <v>42942</v>
      </c>
      <c r="D8489" t="inlineStr">
        <is>
          <t>NIL</t>
        </is>
      </c>
      <c r="E8489" t="n">
        <v>1676</v>
      </c>
    </row>
    <row r="8490">
      <c r="A8490" t="inlineStr">
        <is>
          <t>27BBBBB08490Z5</t>
        </is>
      </c>
      <c r="B8490" t="inlineStr">
        <is>
          <t>Jul-2017</t>
        </is>
      </c>
      <c r="C8490" s="2" t="n">
        <v>43578</v>
      </c>
      <c r="D8490" t="inlineStr">
        <is>
          <t>NON-NIL</t>
        </is>
      </c>
      <c r="E8490" t="n">
        <v>2004</v>
      </c>
    </row>
    <row r="8491">
      <c r="A8491" t="inlineStr">
        <is>
          <t>27BBBBB08491Z5</t>
        </is>
      </c>
      <c r="B8491" t="inlineStr">
        <is>
          <t>Jan-2021</t>
        </is>
      </c>
      <c r="C8491" s="2" t="n">
        <v>43643</v>
      </c>
      <c r="D8491" t="inlineStr">
        <is>
          <t>NON-NIL</t>
        </is>
      </c>
      <c r="E8491" t="n">
        <v>1967</v>
      </c>
    </row>
    <row r="8492">
      <c r="A8492" t="inlineStr">
        <is>
          <t>27BBBBB08492Z5</t>
        </is>
      </c>
      <c r="B8492" t="inlineStr">
        <is>
          <t>Nov-2018</t>
        </is>
      </c>
      <c r="C8492" s="2" t="n">
        <v>43830</v>
      </c>
      <c r="D8492" t="inlineStr">
        <is>
          <t>NIL</t>
        </is>
      </c>
      <c r="E8492" t="n">
        <v>543</v>
      </c>
    </row>
    <row r="8493">
      <c r="A8493" t="inlineStr">
        <is>
          <t>27BBBBB08493Z5</t>
        </is>
      </c>
      <c r="B8493" t="inlineStr">
        <is>
          <t>Feb-2018</t>
        </is>
      </c>
      <c r="C8493" s="2" t="n">
        <v>43899</v>
      </c>
      <c r="D8493" t="inlineStr">
        <is>
          <t>NIL</t>
        </is>
      </c>
      <c r="E8493" t="n">
        <v>2276</v>
      </c>
    </row>
    <row r="8494">
      <c r="A8494" t="inlineStr">
        <is>
          <t>27BBBBB08494Z5</t>
        </is>
      </c>
      <c r="B8494" t="inlineStr">
        <is>
          <t>Oct-2018</t>
        </is>
      </c>
      <c r="C8494" s="2" t="n">
        <v>44366</v>
      </c>
      <c r="D8494" t="inlineStr">
        <is>
          <t>NIL</t>
        </is>
      </c>
      <c r="E8494" t="n">
        <v>1481</v>
      </c>
    </row>
    <row r="8495">
      <c r="A8495" t="inlineStr">
        <is>
          <t>27BBBBB08495Z5</t>
        </is>
      </c>
      <c r="B8495" t="inlineStr">
        <is>
          <t>Oct-2018</t>
        </is>
      </c>
      <c r="C8495" s="2" t="n">
        <v>43737</v>
      </c>
      <c r="D8495" t="inlineStr">
        <is>
          <t>NON-NIL</t>
        </is>
      </c>
      <c r="E8495" t="n">
        <v>1777</v>
      </c>
    </row>
    <row r="8496">
      <c r="A8496" t="inlineStr">
        <is>
          <t>27BBBBB08496Z5</t>
        </is>
      </c>
      <c r="B8496" t="inlineStr">
        <is>
          <t>Mar-2018</t>
        </is>
      </c>
      <c r="C8496" s="2" t="n">
        <v>43227</v>
      </c>
      <c r="D8496" t="inlineStr">
        <is>
          <t>NON-NIL</t>
        </is>
      </c>
      <c r="E8496" t="n">
        <v>1423</v>
      </c>
    </row>
    <row r="8497">
      <c r="A8497" t="inlineStr">
        <is>
          <t>27BBBBB08497Z5</t>
        </is>
      </c>
      <c r="B8497" t="inlineStr">
        <is>
          <t>Jan-2018</t>
        </is>
      </c>
      <c r="C8497" s="2" t="n">
        <v>44467</v>
      </c>
      <c r="D8497" t="inlineStr">
        <is>
          <t>NIL</t>
        </is>
      </c>
      <c r="E8497" t="n">
        <v>2539</v>
      </c>
    </row>
    <row r="8498">
      <c r="A8498" t="inlineStr">
        <is>
          <t>27BBBBB08498Z5</t>
        </is>
      </c>
      <c r="B8498" t="inlineStr">
        <is>
          <t>May-2018</t>
        </is>
      </c>
      <c r="C8498" s="2" t="n">
        <v>43498</v>
      </c>
      <c r="D8498" t="inlineStr">
        <is>
          <t>NON-NIL</t>
        </is>
      </c>
      <c r="E8498" t="n">
        <v>334</v>
      </c>
    </row>
    <row r="8499">
      <c r="A8499" t="inlineStr">
        <is>
          <t>27BBBBB08499Z5</t>
        </is>
      </c>
      <c r="B8499" t="inlineStr">
        <is>
          <t>Oct-2018</t>
        </is>
      </c>
      <c r="C8499" s="2" t="n">
        <v>44329</v>
      </c>
      <c r="D8499" t="inlineStr">
        <is>
          <t>NON-NIL</t>
        </is>
      </c>
      <c r="E8499" t="n">
        <v>1039</v>
      </c>
    </row>
    <row r="8500">
      <c r="A8500" t="inlineStr">
        <is>
          <t>27BBBBB08500Z5</t>
        </is>
      </c>
      <c r="B8500" t="inlineStr">
        <is>
          <t>Jan-2021</t>
        </is>
      </c>
      <c r="C8500" s="2" t="n">
        <v>43860</v>
      </c>
      <c r="D8500" t="inlineStr">
        <is>
          <t>NON-NIL</t>
        </is>
      </c>
      <c r="E8500" t="n">
        <v>2155</v>
      </c>
    </row>
    <row r="8501">
      <c r="A8501" t="inlineStr">
        <is>
          <t>27BBBBB08501Z5</t>
        </is>
      </c>
      <c r="B8501" t="inlineStr">
        <is>
          <t>Aug-2018</t>
        </is>
      </c>
      <c r="C8501" s="2" t="n">
        <v>43916</v>
      </c>
      <c r="D8501" t="inlineStr">
        <is>
          <t>NON-NIL</t>
        </is>
      </c>
      <c r="E8501" t="n">
        <v>2821</v>
      </c>
    </row>
    <row r="8502">
      <c r="A8502" t="inlineStr">
        <is>
          <t>27BBBBB08502Z5</t>
        </is>
      </c>
      <c r="B8502" t="inlineStr">
        <is>
          <t>Mar-2018</t>
        </is>
      </c>
      <c r="C8502" s="2" t="n">
        <v>43993</v>
      </c>
      <c r="D8502" t="inlineStr">
        <is>
          <t>NON-NIL</t>
        </is>
      </c>
      <c r="E8502" t="n">
        <v>487</v>
      </c>
    </row>
    <row r="8503">
      <c r="A8503" t="inlineStr">
        <is>
          <t>27BBBBB08503Z5</t>
        </is>
      </c>
      <c r="B8503" t="inlineStr">
        <is>
          <t>Jul-2020</t>
        </is>
      </c>
      <c r="C8503" s="2" t="n">
        <v>44519</v>
      </c>
      <c r="D8503" t="inlineStr">
        <is>
          <t>NIL</t>
        </is>
      </c>
      <c r="E8503" t="n">
        <v>2692</v>
      </c>
    </row>
    <row r="8504">
      <c r="A8504" t="inlineStr">
        <is>
          <t>27BBBBB08504Z5</t>
        </is>
      </c>
      <c r="B8504" t="inlineStr">
        <is>
          <t>May-2020</t>
        </is>
      </c>
      <c r="C8504" s="2" t="n">
        <v>44716</v>
      </c>
      <c r="D8504" t="inlineStr">
        <is>
          <t>NIL</t>
        </is>
      </c>
      <c r="E8504" t="n">
        <v>71</v>
      </c>
    </row>
    <row r="8505">
      <c r="A8505" t="inlineStr">
        <is>
          <t>27BBBBB08505Z5</t>
        </is>
      </c>
      <c r="B8505" t="inlineStr">
        <is>
          <t>Dec-2018</t>
        </is>
      </c>
      <c r="C8505" s="2" t="n">
        <v>42941</v>
      </c>
      <c r="D8505" t="inlineStr">
        <is>
          <t>NON-NIL</t>
        </is>
      </c>
      <c r="E8505" t="n">
        <v>1163</v>
      </c>
    </row>
    <row r="8506">
      <c r="A8506" t="inlineStr">
        <is>
          <t>27BBBBB08506Z5</t>
        </is>
      </c>
      <c r="B8506" t="inlineStr">
        <is>
          <t>Jan-2018</t>
        </is>
      </c>
      <c r="C8506" s="2" t="n">
        <v>43661</v>
      </c>
      <c r="D8506" t="inlineStr">
        <is>
          <t>NIL</t>
        </is>
      </c>
      <c r="E8506" t="n">
        <v>1406</v>
      </c>
    </row>
    <row r="8507">
      <c r="A8507" t="inlineStr">
        <is>
          <t>27BBBBB08507Z5</t>
        </is>
      </c>
      <c r="B8507" t="inlineStr">
        <is>
          <t>Jan-2021</t>
        </is>
      </c>
      <c r="C8507" s="2" t="n">
        <v>43900</v>
      </c>
      <c r="D8507" t="inlineStr">
        <is>
          <t>NIL</t>
        </is>
      </c>
      <c r="E8507" t="n">
        <v>193</v>
      </c>
    </row>
    <row r="8508">
      <c r="A8508" t="inlineStr">
        <is>
          <t>27BBBBB08508Z5</t>
        </is>
      </c>
      <c r="B8508" t="inlineStr">
        <is>
          <t>Aug-2018</t>
        </is>
      </c>
      <c r="C8508" s="2" t="n">
        <v>44287</v>
      </c>
      <c r="D8508" t="inlineStr">
        <is>
          <t>NON-NIL</t>
        </is>
      </c>
      <c r="E8508" t="n">
        <v>136</v>
      </c>
    </row>
    <row r="8509">
      <c r="A8509" t="inlineStr">
        <is>
          <t>27BBBBB08509Z5</t>
        </is>
      </c>
      <c r="B8509" t="inlineStr">
        <is>
          <t>Dec-2022</t>
        </is>
      </c>
      <c r="C8509" s="2" t="n">
        <v>45294</v>
      </c>
      <c r="D8509" t="inlineStr">
        <is>
          <t>NON-NIL</t>
        </is>
      </c>
      <c r="E8509" t="n">
        <v>100</v>
      </c>
    </row>
    <row r="8510">
      <c r="A8510" t="inlineStr">
        <is>
          <t>27BBBBB08510Z5</t>
        </is>
      </c>
      <c r="B8510" t="inlineStr">
        <is>
          <t>Feb-2018</t>
        </is>
      </c>
      <c r="C8510" s="2" t="n">
        <v>44388</v>
      </c>
      <c r="D8510" t="inlineStr">
        <is>
          <t>NON-NIL</t>
        </is>
      </c>
      <c r="E8510" t="n">
        <v>1500</v>
      </c>
    </row>
    <row r="8511">
      <c r="A8511" t="inlineStr">
        <is>
          <t>27BBBBB08511Z5</t>
        </is>
      </c>
      <c r="B8511" t="inlineStr">
        <is>
          <t>Feb-2018</t>
        </is>
      </c>
      <c r="C8511" s="2" t="n">
        <v>42956</v>
      </c>
      <c r="D8511" t="inlineStr">
        <is>
          <t>NIL</t>
        </is>
      </c>
      <c r="E8511" t="n">
        <v>2682</v>
      </c>
    </row>
    <row r="8512">
      <c r="A8512" t="inlineStr">
        <is>
          <t>27BBBBB08512Z5</t>
        </is>
      </c>
      <c r="B8512" t="inlineStr">
        <is>
          <t>Dec-2022</t>
        </is>
      </c>
      <c r="C8512" s="2" t="n">
        <v>45342</v>
      </c>
      <c r="D8512" t="inlineStr">
        <is>
          <t>NIL</t>
        </is>
      </c>
      <c r="E8512" t="n">
        <v>1150</v>
      </c>
    </row>
    <row r="8513">
      <c r="A8513" t="inlineStr">
        <is>
          <t>27BBBBB08513Z5</t>
        </is>
      </c>
      <c r="B8513" t="inlineStr">
        <is>
          <t>Sep-2017</t>
        </is>
      </c>
      <c r="C8513" s="2" t="n">
        <v>43653</v>
      </c>
      <c r="D8513" t="inlineStr">
        <is>
          <t>NIL</t>
        </is>
      </c>
      <c r="E8513" t="n">
        <v>1965</v>
      </c>
    </row>
    <row r="8514">
      <c r="A8514" t="inlineStr">
        <is>
          <t>27BBBBB08514Z5</t>
        </is>
      </c>
      <c r="B8514" t="inlineStr">
        <is>
          <t>Mar-2018</t>
        </is>
      </c>
      <c r="C8514" s="2" t="n">
        <v>44467</v>
      </c>
      <c r="D8514" t="inlineStr">
        <is>
          <t>NIL</t>
        </is>
      </c>
      <c r="E8514" t="n">
        <v>348</v>
      </c>
    </row>
    <row r="8515">
      <c r="A8515" t="inlineStr">
        <is>
          <t>27BBBBB08515Z5</t>
        </is>
      </c>
      <c r="B8515" t="inlineStr">
        <is>
          <t>Nov-2017</t>
        </is>
      </c>
      <c r="C8515" s="2" t="n">
        <v>44017</v>
      </c>
      <c r="D8515" t="inlineStr">
        <is>
          <t>NIL</t>
        </is>
      </c>
      <c r="E8515" t="n">
        <v>1006</v>
      </c>
    </row>
    <row r="8516">
      <c r="A8516" t="inlineStr">
        <is>
          <t>27BBBBB08516Z5</t>
        </is>
      </c>
      <c r="B8516" t="inlineStr">
        <is>
          <t>Jan-2018</t>
        </is>
      </c>
      <c r="C8516" s="2" t="n">
        <v>43038</v>
      </c>
      <c r="D8516" t="inlineStr">
        <is>
          <t>NON-NIL</t>
        </is>
      </c>
      <c r="E8516" t="n">
        <v>987</v>
      </c>
    </row>
    <row r="8517">
      <c r="A8517" t="inlineStr">
        <is>
          <t>27BBBBB08517Z5</t>
        </is>
      </c>
      <c r="B8517" t="inlineStr">
        <is>
          <t>Dec-2022</t>
        </is>
      </c>
      <c r="C8517" s="2" t="n">
        <v>45619</v>
      </c>
      <c r="D8517" t="inlineStr">
        <is>
          <t>NIL</t>
        </is>
      </c>
      <c r="E8517" t="n">
        <v>490</v>
      </c>
    </row>
    <row r="8518">
      <c r="A8518" t="inlineStr">
        <is>
          <t>27BBBBB08518Z5</t>
        </is>
      </c>
      <c r="B8518" t="inlineStr">
        <is>
          <t>Mar-2021</t>
        </is>
      </c>
      <c r="C8518" s="2" t="n">
        <v>45713</v>
      </c>
      <c r="D8518" t="inlineStr">
        <is>
          <t>NIL</t>
        </is>
      </c>
      <c r="E8518" t="n">
        <v>2212</v>
      </c>
    </row>
    <row r="8519">
      <c r="A8519" t="inlineStr">
        <is>
          <t>27BBBBB08519Z5</t>
        </is>
      </c>
      <c r="B8519" t="inlineStr">
        <is>
          <t>Oct-2018</t>
        </is>
      </c>
      <c r="C8519" s="2" t="n">
        <v>44364</v>
      </c>
      <c r="D8519" t="inlineStr">
        <is>
          <t>NON-NIL</t>
        </is>
      </c>
      <c r="E8519" t="n">
        <v>773</v>
      </c>
    </row>
    <row r="8520">
      <c r="A8520" t="inlineStr">
        <is>
          <t>27BBBBB08520Z5</t>
        </is>
      </c>
      <c r="B8520" t="inlineStr">
        <is>
          <t>Sep-2018</t>
        </is>
      </c>
      <c r="C8520" s="2" t="n">
        <v>43525</v>
      </c>
      <c r="D8520" t="inlineStr">
        <is>
          <t>NIL</t>
        </is>
      </c>
      <c r="E8520" t="n">
        <v>712</v>
      </c>
    </row>
    <row r="8521">
      <c r="A8521" t="inlineStr">
        <is>
          <t>27BBBBB08521Z5</t>
        </is>
      </c>
      <c r="B8521" t="inlineStr">
        <is>
          <t>Jan-2021</t>
        </is>
      </c>
      <c r="C8521" s="2" t="n">
        <v>45177</v>
      </c>
      <c r="D8521" t="inlineStr">
        <is>
          <t>NIL</t>
        </is>
      </c>
      <c r="E8521" t="n">
        <v>100</v>
      </c>
    </row>
    <row r="8522">
      <c r="A8522" t="inlineStr">
        <is>
          <t>27BBBBB08522Z5</t>
        </is>
      </c>
      <c r="B8522" t="inlineStr">
        <is>
          <t>Dec-2017</t>
        </is>
      </c>
      <c r="C8522" s="2" t="n">
        <v>43784</v>
      </c>
      <c r="D8522" t="inlineStr">
        <is>
          <t>NON-NIL</t>
        </is>
      </c>
      <c r="E8522" t="n">
        <v>1091</v>
      </c>
    </row>
    <row r="8523">
      <c r="A8523" t="inlineStr">
        <is>
          <t>27BBBBB08523Z5</t>
        </is>
      </c>
      <c r="B8523" t="inlineStr">
        <is>
          <t>May-2018</t>
        </is>
      </c>
      <c r="C8523" s="2" t="n">
        <v>44317</v>
      </c>
      <c r="D8523" t="inlineStr">
        <is>
          <t>NON-NIL</t>
        </is>
      </c>
      <c r="E8523" t="n">
        <v>301</v>
      </c>
    </row>
    <row r="8524">
      <c r="A8524" t="inlineStr">
        <is>
          <t>27BBBBB08524Z5</t>
        </is>
      </c>
      <c r="B8524" t="inlineStr">
        <is>
          <t>Mar-2023</t>
        </is>
      </c>
      <c r="C8524" s="2" t="n">
        <v>45604</v>
      </c>
      <c r="D8524" t="inlineStr">
        <is>
          <t>NON-NIL</t>
        </is>
      </c>
      <c r="E8524" t="n">
        <v>535</v>
      </c>
    </row>
    <row r="8525">
      <c r="A8525" t="inlineStr">
        <is>
          <t>27BBBBB08525Z5</t>
        </is>
      </c>
      <c r="B8525" t="inlineStr">
        <is>
          <t>Mar-2021</t>
        </is>
      </c>
      <c r="C8525" s="2" t="n">
        <v>43586</v>
      </c>
      <c r="D8525" t="inlineStr">
        <is>
          <t>NON-NIL</t>
        </is>
      </c>
      <c r="E8525" t="n">
        <v>616</v>
      </c>
    </row>
    <row r="8526">
      <c r="A8526" t="inlineStr">
        <is>
          <t>27BBBBB08526Z5</t>
        </is>
      </c>
      <c r="B8526" t="inlineStr">
        <is>
          <t>Dec-2024</t>
        </is>
      </c>
      <c r="C8526" s="2" t="n">
        <v>44671</v>
      </c>
      <c r="D8526" t="inlineStr">
        <is>
          <t>NON-NIL</t>
        </is>
      </c>
      <c r="E8526" t="n">
        <v>2056</v>
      </c>
    </row>
    <row r="8527">
      <c r="A8527" t="inlineStr">
        <is>
          <t>27BBBBB08527Z5</t>
        </is>
      </c>
      <c r="B8527" t="inlineStr">
        <is>
          <t>Nov-2017</t>
        </is>
      </c>
      <c r="C8527" s="2" t="n">
        <v>44284</v>
      </c>
      <c r="D8527" t="inlineStr">
        <is>
          <t>NIL</t>
        </is>
      </c>
      <c r="E8527" t="n">
        <v>658</v>
      </c>
    </row>
    <row r="8528">
      <c r="A8528" t="inlineStr">
        <is>
          <t>27BBBBB08528Z5</t>
        </is>
      </c>
      <c r="B8528" t="inlineStr">
        <is>
          <t>Mar-2021</t>
        </is>
      </c>
      <c r="C8528" s="2" t="n">
        <v>45764</v>
      </c>
      <c r="D8528" t="inlineStr">
        <is>
          <t>NIL</t>
        </is>
      </c>
      <c r="E8528" t="n">
        <v>1428</v>
      </c>
    </row>
    <row r="8529">
      <c r="A8529" t="inlineStr">
        <is>
          <t>27BBBBB08529Z5</t>
        </is>
      </c>
      <c r="B8529" t="inlineStr">
        <is>
          <t>Jan-2018</t>
        </is>
      </c>
      <c r="C8529" s="2" t="n">
        <v>44510</v>
      </c>
      <c r="D8529" t="inlineStr">
        <is>
          <t>NON-NIL</t>
        </is>
      </c>
      <c r="E8529" t="n">
        <v>1424</v>
      </c>
    </row>
    <row r="8530">
      <c r="A8530" t="inlineStr">
        <is>
          <t>27BBBBB08530Z5</t>
        </is>
      </c>
      <c r="B8530" t="inlineStr">
        <is>
          <t>Dec-2022</t>
        </is>
      </c>
      <c r="C8530" s="2" t="n">
        <v>44768</v>
      </c>
      <c r="D8530" t="inlineStr">
        <is>
          <t>NIL</t>
        </is>
      </c>
      <c r="E8530" t="n">
        <v>635</v>
      </c>
    </row>
    <row r="8531">
      <c r="A8531" t="inlineStr">
        <is>
          <t>27BBBBB08531Z5</t>
        </is>
      </c>
      <c r="B8531" t="inlineStr">
        <is>
          <t>Jul-2017</t>
        </is>
      </c>
      <c r="C8531" s="2" t="n">
        <v>43559</v>
      </c>
      <c r="D8531" t="inlineStr">
        <is>
          <t>NIL</t>
        </is>
      </c>
      <c r="E8531" t="n">
        <v>2204</v>
      </c>
    </row>
    <row r="8532">
      <c r="A8532" t="inlineStr">
        <is>
          <t>27BBBBB08532Z5</t>
        </is>
      </c>
      <c r="B8532" t="inlineStr">
        <is>
          <t>Apr-2018</t>
        </is>
      </c>
      <c r="C8532" s="2" t="n">
        <v>43989</v>
      </c>
      <c r="D8532" t="inlineStr">
        <is>
          <t>NIL</t>
        </is>
      </c>
      <c r="E8532" t="n">
        <v>956</v>
      </c>
    </row>
    <row r="8533">
      <c r="A8533" t="inlineStr">
        <is>
          <t>27BBBBB08533Z5</t>
        </is>
      </c>
      <c r="B8533" t="inlineStr">
        <is>
          <t>Jul-2017</t>
        </is>
      </c>
      <c r="C8533" s="2" t="n">
        <v>43273</v>
      </c>
      <c r="D8533" t="inlineStr">
        <is>
          <t>NON-NIL</t>
        </is>
      </c>
      <c r="E8533" t="n">
        <v>419</v>
      </c>
    </row>
    <row r="8534">
      <c r="A8534" t="inlineStr">
        <is>
          <t>27BBBBB08534Z5</t>
        </is>
      </c>
      <c r="B8534" t="inlineStr">
        <is>
          <t>Jun-2018</t>
        </is>
      </c>
      <c r="C8534" s="2" t="n">
        <v>43871</v>
      </c>
      <c r="D8534" t="inlineStr">
        <is>
          <t>NIL</t>
        </is>
      </c>
      <c r="E8534" t="n">
        <v>1603</v>
      </c>
    </row>
    <row r="8535">
      <c r="A8535" t="inlineStr">
        <is>
          <t>27BBBBB08535Z5</t>
        </is>
      </c>
      <c r="B8535" t="inlineStr">
        <is>
          <t>Mar-2023</t>
        </is>
      </c>
      <c r="C8535" s="2" t="n">
        <v>43723</v>
      </c>
      <c r="D8535" t="inlineStr">
        <is>
          <t>NON-NIL</t>
        </is>
      </c>
      <c r="E8535" t="n">
        <v>2927</v>
      </c>
    </row>
    <row r="8536">
      <c r="A8536" t="inlineStr">
        <is>
          <t>27BBBBB08536Z5</t>
        </is>
      </c>
      <c r="B8536" t="inlineStr">
        <is>
          <t>Apr-2018</t>
        </is>
      </c>
      <c r="C8536" s="2" t="n">
        <v>43756</v>
      </c>
      <c r="D8536" t="inlineStr">
        <is>
          <t>NON-NIL</t>
        </is>
      </c>
      <c r="E8536" t="n">
        <v>620</v>
      </c>
    </row>
    <row r="8537">
      <c r="A8537" t="inlineStr">
        <is>
          <t>27BBBBB08537Z5</t>
        </is>
      </c>
      <c r="B8537" t="inlineStr">
        <is>
          <t>Jan-2018</t>
        </is>
      </c>
      <c r="C8537" s="2" t="n">
        <v>44140</v>
      </c>
      <c r="D8537" t="inlineStr">
        <is>
          <t>NIL</t>
        </is>
      </c>
      <c r="E8537" t="n">
        <v>2689</v>
      </c>
    </row>
    <row r="8538">
      <c r="A8538" t="inlineStr">
        <is>
          <t>27BBBBB08538Z5</t>
        </is>
      </c>
      <c r="B8538" t="inlineStr">
        <is>
          <t>Apr-2018</t>
        </is>
      </c>
      <c r="C8538" s="2" t="n">
        <v>43539</v>
      </c>
      <c r="D8538" t="inlineStr">
        <is>
          <t>NIL</t>
        </is>
      </c>
      <c r="E8538" t="n">
        <v>2238</v>
      </c>
    </row>
    <row r="8539">
      <c r="A8539" t="inlineStr">
        <is>
          <t>27BBBBB08539Z5</t>
        </is>
      </c>
      <c r="B8539" t="inlineStr">
        <is>
          <t>Jun-2018</t>
        </is>
      </c>
      <c r="C8539" s="2" t="n">
        <v>44324</v>
      </c>
      <c r="D8539" t="inlineStr">
        <is>
          <t>NIL</t>
        </is>
      </c>
      <c r="E8539" t="n">
        <v>1819</v>
      </c>
    </row>
    <row r="8540">
      <c r="A8540" t="inlineStr">
        <is>
          <t>27BBBBB08540Z5</t>
        </is>
      </c>
      <c r="B8540" t="inlineStr">
        <is>
          <t>Sep-2017</t>
        </is>
      </c>
      <c r="C8540" s="2" t="n">
        <v>44462</v>
      </c>
      <c r="D8540" t="inlineStr">
        <is>
          <t>NIL</t>
        </is>
      </c>
      <c r="E8540" t="n">
        <v>849</v>
      </c>
    </row>
    <row r="8541">
      <c r="A8541" t="inlineStr">
        <is>
          <t>27BBBBB08541Z5</t>
        </is>
      </c>
      <c r="B8541" t="inlineStr">
        <is>
          <t>Nov-2018</t>
        </is>
      </c>
      <c r="C8541" s="2" t="n">
        <v>43326</v>
      </c>
      <c r="D8541" t="inlineStr">
        <is>
          <t>NON-NIL</t>
        </is>
      </c>
      <c r="E8541" t="n">
        <v>273</v>
      </c>
    </row>
    <row r="8542">
      <c r="A8542" t="inlineStr">
        <is>
          <t>27BBBBB08542Z5</t>
        </is>
      </c>
      <c r="B8542" t="inlineStr">
        <is>
          <t>Mar-2018</t>
        </is>
      </c>
      <c r="C8542" s="2" t="n">
        <v>43810</v>
      </c>
      <c r="D8542" t="inlineStr">
        <is>
          <t>NIL</t>
        </is>
      </c>
      <c r="E8542" t="n">
        <v>1478</v>
      </c>
    </row>
    <row r="8543">
      <c r="A8543" t="inlineStr">
        <is>
          <t>27BBBBB08543Z5</t>
        </is>
      </c>
      <c r="B8543" t="inlineStr">
        <is>
          <t>Apr-2018</t>
        </is>
      </c>
      <c r="C8543" s="2" t="n">
        <v>43861</v>
      </c>
      <c r="D8543" t="inlineStr">
        <is>
          <t>NON-NIL</t>
        </is>
      </c>
      <c r="E8543" t="n">
        <v>1505</v>
      </c>
    </row>
    <row r="8544">
      <c r="A8544" t="inlineStr">
        <is>
          <t>27BBBBB08544Z5</t>
        </is>
      </c>
      <c r="B8544" t="inlineStr">
        <is>
          <t>Dec-2018</t>
        </is>
      </c>
      <c r="C8544" s="2" t="n">
        <v>43484</v>
      </c>
      <c r="D8544" t="inlineStr">
        <is>
          <t>NON-NIL</t>
        </is>
      </c>
      <c r="E8544" t="n">
        <v>1224</v>
      </c>
    </row>
    <row r="8545">
      <c r="A8545" t="inlineStr">
        <is>
          <t>27BBBBB08545Z5</t>
        </is>
      </c>
      <c r="B8545" t="inlineStr">
        <is>
          <t>Mar-2021</t>
        </is>
      </c>
      <c r="C8545" s="2" t="n">
        <v>45342</v>
      </c>
      <c r="D8545" t="inlineStr">
        <is>
          <t>NON-NIL</t>
        </is>
      </c>
      <c r="E8545" t="n">
        <v>729</v>
      </c>
    </row>
    <row r="8546">
      <c r="A8546" t="inlineStr">
        <is>
          <t>27BBBBB08546Z5</t>
        </is>
      </c>
      <c r="B8546" t="inlineStr">
        <is>
          <t>Jul-2017</t>
        </is>
      </c>
      <c r="C8546" s="2" t="n">
        <v>43788</v>
      </c>
      <c r="D8546" t="inlineStr">
        <is>
          <t>NIL</t>
        </is>
      </c>
      <c r="E8546" t="n">
        <v>2895</v>
      </c>
    </row>
    <row r="8547">
      <c r="A8547" t="inlineStr">
        <is>
          <t>27BBBBB08547Z5</t>
        </is>
      </c>
      <c r="B8547" t="inlineStr">
        <is>
          <t>May-2020</t>
        </is>
      </c>
      <c r="C8547" s="2" t="n">
        <v>44412</v>
      </c>
      <c r="D8547" t="inlineStr">
        <is>
          <t>NON-NIL</t>
        </is>
      </c>
      <c r="E8547" t="n">
        <v>1984</v>
      </c>
    </row>
    <row r="8548">
      <c r="A8548" t="inlineStr">
        <is>
          <t>27BBBBB08548Z5</t>
        </is>
      </c>
      <c r="B8548" t="inlineStr">
        <is>
          <t>Jan-2018</t>
        </is>
      </c>
      <c r="C8548" s="2" t="n">
        <v>43850</v>
      </c>
      <c r="D8548" t="inlineStr">
        <is>
          <t>NIL</t>
        </is>
      </c>
      <c r="E8548" t="n">
        <v>2782</v>
      </c>
    </row>
    <row r="8549">
      <c r="A8549" t="inlineStr">
        <is>
          <t>27BBBBB08549Z5</t>
        </is>
      </c>
      <c r="B8549" t="inlineStr">
        <is>
          <t>Dec-2017</t>
        </is>
      </c>
      <c r="C8549" s="2" t="n">
        <v>43139</v>
      </c>
      <c r="D8549" t="inlineStr">
        <is>
          <t>NON-NIL</t>
        </is>
      </c>
      <c r="E8549" t="n">
        <v>1605</v>
      </c>
    </row>
    <row r="8550">
      <c r="A8550" t="inlineStr">
        <is>
          <t>27BBBBB08550Z5</t>
        </is>
      </c>
      <c r="B8550" t="inlineStr">
        <is>
          <t>Dec-2022</t>
        </is>
      </c>
      <c r="C8550" s="2" t="n">
        <v>43960</v>
      </c>
      <c r="D8550" t="inlineStr">
        <is>
          <t>NON-NIL</t>
        </is>
      </c>
      <c r="E8550" t="n">
        <v>1063</v>
      </c>
    </row>
    <row r="8551">
      <c r="A8551" t="inlineStr">
        <is>
          <t>27BBBBB08551Z5</t>
        </is>
      </c>
      <c r="B8551" t="inlineStr">
        <is>
          <t>Jan-2018</t>
        </is>
      </c>
      <c r="C8551" s="2" t="n">
        <v>43200</v>
      </c>
      <c r="D8551" t="inlineStr">
        <is>
          <t>NON-NIL</t>
        </is>
      </c>
      <c r="E8551" t="n">
        <v>1242</v>
      </c>
    </row>
    <row r="8552">
      <c r="A8552" t="inlineStr">
        <is>
          <t>27BBBBB08552Z5</t>
        </is>
      </c>
      <c r="B8552" t="inlineStr">
        <is>
          <t>Jan-2021</t>
        </is>
      </c>
      <c r="C8552" s="2" t="n">
        <v>43808</v>
      </c>
      <c r="D8552" t="inlineStr">
        <is>
          <t>NON-NIL</t>
        </is>
      </c>
      <c r="E8552" t="n">
        <v>654</v>
      </c>
    </row>
    <row r="8553">
      <c r="A8553" t="inlineStr">
        <is>
          <t>27BBBBB08553Z5</t>
        </is>
      </c>
      <c r="B8553" t="inlineStr">
        <is>
          <t>Dec-2022</t>
        </is>
      </c>
      <c r="C8553" s="2" t="n">
        <v>44224</v>
      </c>
      <c r="D8553" t="inlineStr">
        <is>
          <t>NON-NIL</t>
        </is>
      </c>
      <c r="E8553" t="n">
        <v>1484</v>
      </c>
    </row>
    <row r="8554">
      <c r="A8554" t="inlineStr">
        <is>
          <t>27BBBBB08554Z5</t>
        </is>
      </c>
      <c r="B8554" t="inlineStr">
        <is>
          <t>Oct-2017</t>
        </is>
      </c>
      <c r="C8554" s="2" t="n">
        <v>43516</v>
      </c>
      <c r="D8554" t="inlineStr">
        <is>
          <t>NON-NIL</t>
        </is>
      </c>
      <c r="E8554" t="n">
        <v>2267</v>
      </c>
    </row>
    <row r="8555">
      <c r="A8555" t="inlineStr">
        <is>
          <t>27BBBBB08555Z5</t>
        </is>
      </c>
      <c r="B8555" t="inlineStr">
        <is>
          <t>Dec-2022</t>
        </is>
      </c>
      <c r="C8555" s="2" t="n">
        <v>45548</v>
      </c>
      <c r="D8555" t="inlineStr">
        <is>
          <t>NON-NIL</t>
        </is>
      </c>
      <c r="E8555" t="n">
        <v>91</v>
      </c>
    </row>
    <row r="8556">
      <c r="A8556" t="inlineStr">
        <is>
          <t>27BBBBB08556Z5</t>
        </is>
      </c>
      <c r="B8556" t="inlineStr">
        <is>
          <t>Oct-2017</t>
        </is>
      </c>
      <c r="C8556" s="2" t="n">
        <v>44028</v>
      </c>
      <c r="D8556" t="inlineStr">
        <is>
          <t>NIL</t>
        </is>
      </c>
      <c r="E8556" t="n">
        <v>2397</v>
      </c>
    </row>
    <row r="8557">
      <c r="A8557" t="inlineStr">
        <is>
          <t>27BBBBB08557Z5</t>
        </is>
      </c>
      <c r="B8557" t="inlineStr">
        <is>
          <t>Mar-2020</t>
        </is>
      </c>
      <c r="C8557" s="2" t="n">
        <v>43862</v>
      </c>
      <c r="D8557" t="inlineStr">
        <is>
          <t>NIL</t>
        </is>
      </c>
      <c r="E8557" t="n">
        <v>40</v>
      </c>
    </row>
    <row r="8558">
      <c r="A8558" t="inlineStr">
        <is>
          <t>27BBBBB08558Z5</t>
        </is>
      </c>
      <c r="B8558" t="inlineStr">
        <is>
          <t>Oct-2017</t>
        </is>
      </c>
      <c r="C8558" s="2" t="n">
        <v>43031</v>
      </c>
      <c r="D8558" t="inlineStr">
        <is>
          <t>NIL</t>
        </is>
      </c>
      <c r="E8558" t="n">
        <v>1550</v>
      </c>
    </row>
    <row r="8559">
      <c r="A8559" t="inlineStr">
        <is>
          <t>27BBBBB08559Z5</t>
        </is>
      </c>
      <c r="B8559" t="inlineStr">
        <is>
          <t>Feb-2018</t>
        </is>
      </c>
      <c r="C8559" s="2" t="n">
        <v>44110</v>
      </c>
      <c r="D8559" t="inlineStr">
        <is>
          <t>NIL</t>
        </is>
      </c>
      <c r="E8559" t="n">
        <v>53</v>
      </c>
    </row>
    <row r="8560">
      <c r="A8560" t="inlineStr">
        <is>
          <t>27BBBBB08560Z5</t>
        </is>
      </c>
      <c r="B8560" t="inlineStr">
        <is>
          <t>Jun-2020</t>
        </is>
      </c>
      <c r="C8560" s="2" t="n">
        <v>44040</v>
      </c>
      <c r="D8560" t="inlineStr">
        <is>
          <t>NIL</t>
        </is>
      </c>
      <c r="E8560" t="n">
        <v>1835</v>
      </c>
    </row>
    <row r="8561">
      <c r="A8561" t="inlineStr">
        <is>
          <t>27BBBBB08561Z5</t>
        </is>
      </c>
      <c r="B8561" t="inlineStr">
        <is>
          <t>Jan-2021</t>
        </is>
      </c>
      <c r="C8561" s="2" t="n">
        <v>44420</v>
      </c>
      <c r="D8561" t="inlineStr">
        <is>
          <t>NON-NIL</t>
        </is>
      </c>
      <c r="E8561" t="n">
        <v>2297</v>
      </c>
    </row>
    <row r="8562">
      <c r="A8562" t="inlineStr">
        <is>
          <t>27BBBBB08562Z5</t>
        </is>
      </c>
      <c r="B8562" t="inlineStr">
        <is>
          <t>Mar-2021</t>
        </is>
      </c>
      <c r="C8562" s="2" t="n">
        <v>45746</v>
      </c>
      <c r="D8562" t="inlineStr">
        <is>
          <t>NIL</t>
        </is>
      </c>
      <c r="E8562" t="n">
        <v>1250</v>
      </c>
    </row>
    <row r="8563">
      <c r="A8563" t="inlineStr">
        <is>
          <t>27BBBBB08563Z5</t>
        </is>
      </c>
      <c r="B8563" t="inlineStr">
        <is>
          <t>Jul-2017</t>
        </is>
      </c>
      <c r="C8563" s="2" t="n">
        <v>43352</v>
      </c>
      <c r="D8563" t="inlineStr">
        <is>
          <t>NIL</t>
        </is>
      </c>
      <c r="E8563" t="n">
        <v>1734</v>
      </c>
    </row>
    <row r="8564">
      <c r="A8564" t="inlineStr">
        <is>
          <t>27BBBBB08564Z5</t>
        </is>
      </c>
      <c r="B8564" t="inlineStr">
        <is>
          <t>Jun-2020</t>
        </is>
      </c>
      <c r="C8564" s="2" t="n">
        <v>43832</v>
      </c>
      <c r="D8564" t="inlineStr">
        <is>
          <t>NON-NIL</t>
        </is>
      </c>
      <c r="E8564" t="n">
        <v>2688</v>
      </c>
    </row>
    <row r="8565">
      <c r="A8565" t="inlineStr">
        <is>
          <t>27BBBBB08565Z5</t>
        </is>
      </c>
      <c r="B8565" t="inlineStr">
        <is>
          <t>Oct-2018</t>
        </is>
      </c>
      <c r="C8565" s="2" t="n">
        <v>43051</v>
      </c>
      <c r="D8565" t="inlineStr">
        <is>
          <t>NON-NIL</t>
        </is>
      </c>
      <c r="E8565" t="n">
        <v>720</v>
      </c>
    </row>
    <row r="8566">
      <c r="A8566" t="inlineStr">
        <is>
          <t>27BBBBB08566Z5</t>
        </is>
      </c>
      <c r="B8566" t="inlineStr">
        <is>
          <t>Dec-2022</t>
        </is>
      </c>
      <c r="C8566" s="2" t="n">
        <v>45457</v>
      </c>
      <c r="D8566" t="inlineStr">
        <is>
          <t>NIL</t>
        </is>
      </c>
      <c r="E8566" t="n">
        <v>776</v>
      </c>
    </row>
    <row r="8567">
      <c r="A8567" t="inlineStr">
        <is>
          <t>27BBBBB08567Z5</t>
        </is>
      </c>
      <c r="B8567" t="inlineStr">
        <is>
          <t>Mar-2018</t>
        </is>
      </c>
      <c r="C8567" s="2" t="n">
        <v>43560</v>
      </c>
      <c r="D8567" t="inlineStr">
        <is>
          <t>NIL</t>
        </is>
      </c>
      <c r="E8567" t="n">
        <v>2769</v>
      </c>
    </row>
    <row r="8568">
      <c r="A8568" t="inlineStr">
        <is>
          <t>27BBBBB08568Z5</t>
        </is>
      </c>
      <c r="B8568" t="inlineStr">
        <is>
          <t>Jun-2018</t>
        </is>
      </c>
      <c r="C8568" s="2" t="n">
        <v>44033</v>
      </c>
      <c r="D8568" t="inlineStr">
        <is>
          <t>NIL</t>
        </is>
      </c>
      <c r="E8568" t="n">
        <v>2724</v>
      </c>
    </row>
    <row r="8569">
      <c r="A8569" t="inlineStr">
        <is>
          <t>27BBBBB08569Z5</t>
        </is>
      </c>
      <c r="B8569" t="inlineStr">
        <is>
          <t>Aug-2017</t>
        </is>
      </c>
      <c r="C8569" s="2" t="n">
        <v>43268</v>
      </c>
      <c r="D8569" t="inlineStr">
        <is>
          <t>NON-NIL</t>
        </is>
      </c>
      <c r="E8569" t="n">
        <v>1032</v>
      </c>
    </row>
    <row r="8570">
      <c r="A8570" t="inlineStr">
        <is>
          <t>27BBBBB08570Z5</t>
        </is>
      </c>
      <c r="B8570" t="inlineStr">
        <is>
          <t>Jul-2018</t>
        </is>
      </c>
      <c r="C8570" s="2" t="n">
        <v>44289</v>
      </c>
      <c r="D8570" t="inlineStr">
        <is>
          <t>NON-NIL</t>
        </is>
      </c>
      <c r="E8570" t="n">
        <v>2572</v>
      </c>
    </row>
    <row r="8571">
      <c r="A8571" t="inlineStr">
        <is>
          <t>27BBBBB08571Z5</t>
        </is>
      </c>
      <c r="B8571" t="inlineStr">
        <is>
          <t>Mar-2023</t>
        </is>
      </c>
      <c r="C8571" s="2" t="n">
        <v>44315</v>
      </c>
      <c r="D8571" t="inlineStr">
        <is>
          <t>NON-NIL</t>
        </is>
      </c>
      <c r="E8571" t="n">
        <v>1189</v>
      </c>
    </row>
    <row r="8572">
      <c r="A8572" t="inlineStr">
        <is>
          <t>27BBBBB08572Z5</t>
        </is>
      </c>
      <c r="B8572" t="inlineStr">
        <is>
          <t>Dec-2017</t>
        </is>
      </c>
      <c r="C8572" s="2" t="n">
        <v>43221</v>
      </c>
      <c r="D8572" t="inlineStr">
        <is>
          <t>NON-NIL</t>
        </is>
      </c>
      <c r="E8572" t="n">
        <v>2008</v>
      </c>
    </row>
    <row r="8573">
      <c r="A8573" t="inlineStr">
        <is>
          <t>27BBBBB08573Z5</t>
        </is>
      </c>
      <c r="B8573" t="inlineStr">
        <is>
          <t>Oct-2018</t>
        </is>
      </c>
      <c r="C8573" s="2" t="n">
        <v>44132</v>
      </c>
      <c r="D8573" t="inlineStr">
        <is>
          <t>NIL</t>
        </is>
      </c>
      <c r="E8573" t="n">
        <v>39</v>
      </c>
    </row>
    <row r="8574">
      <c r="A8574" t="inlineStr">
        <is>
          <t>27BBBBB08574Z5</t>
        </is>
      </c>
      <c r="B8574" t="inlineStr">
        <is>
          <t>Apr-2018</t>
        </is>
      </c>
      <c r="C8574" s="2" t="n">
        <v>44235</v>
      </c>
      <c r="D8574" t="inlineStr">
        <is>
          <t>NIL</t>
        </is>
      </c>
      <c r="E8574" t="n">
        <v>427</v>
      </c>
    </row>
    <row r="8575">
      <c r="A8575" t="inlineStr">
        <is>
          <t>27BBBBB08575Z5</t>
        </is>
      </c>
      <c r="B8575" t="inlineStr">
        <is>
          <t>Mar-2018</t>
        </is>
      </c>
      <c r="C8575" s="2" t="n">
        <v>43574</v>
      </c>
      <c r="D8575" t="inlineStr">
        <is>
          <t>NIL</t>
        </is>
      </c>
      <c r="E8575" t="n">
        <v>2081</v>
      </c>
    </row>
    <row r="8576">
      <c r="A8576" t="inlineStr">
        <is>
          <t>27BBBBB08576Z5</t>
        </is>
      </c>
      <c r="B8576" t="inlineStr">
        <is>
          <t>Dec-2017</t>
        </is>
      </c>
      <c r="C8576" s="2" t="n">
        <v>44561</v>
      </c>
      <c r="D8576" t="inlineStr">
        <is>
          <t>NIL</t>
        </is>
      </c>
      <c r="E8576" t="n">
        <v>982</v>
      </c>
    </row>
    <row r="8577">
      <c r="A8577" t="inlineStr">
        <is>
          <t>27BBBBB08577Z5</t>
        </is>
      </c>
      <c r="B8577" t="inlineStr">
        <is>
          <t>Dec-2017</t>
        </is>
      </c>
      <c r="C8577" s="2" t="n">
        <v>43102</v>
      </c>
      <c r="D8577" t="inlineStr">
        <is>
          <t>NIL</t>
        </is>
      </c>
      <c r="E8577" t="n">
        <v>2943</v>
      </c>
    </row>
    <row r="8578">
      <c r="A8578" t="inlineStr">
        <is>
          <t>27BBBBB08578Z5</t>
        </is>
      </c>
      <c r="B8578" t="inlineStr">
        <is>
          <t>Aug-2017</t>
        </is>
      </c>
      <c r="C8578" s="2" t="n">
        <v>43057</v>
      </c>
      <c r="D8578" t="inlineStr">
        <is>
          <t>NIL</t>
        </is>
      </c>
      <c r="E8578" t="n">
        <v>2249</v>
      </c>
    </row>
    <row r="8579">
      <c r="A8579" t="inlineStr">
        <is>
          <t>27BBBBB08579Z5</t>
        </is>
      </c>
      <c r="B8579" t="inlineStr">
        <is>
          <t>Mar-2021</t>
        </is>
      </c>
      <c r="C8579" s="2" t="n">
        <v>45038</v>
      </c>
      <c r="D8579" t="inlineStr">
        <is>
          <t>NIL</t>
        </is>
      </c>
      <c r="E8579" t="n">
        <v>559</v>
      </c>
    </row>
    <row r="8580">
      <c r="A8580" t="inlineStr">
        <is>
          <t>27BBBBB08580Z5</t>
        </is>
      </c>
      <c r="B8580" t="inlineStr">
        <is>
          <t>Jul-2018</t>
        </is>
      </c>
      <c r="C8580" s="2" t="n">
        <v>43871</v>
      </c>
      <c r="D8580" t="inlineStr">
        <is>
          <t>NIL</t>
        </is>
      </c>
      <c r="E8580" t="n">
        <v>1011</v>
      </c>
    </row>
    <row r="8581">
      <c r="A8581" t="inlineStr">
        <is>
          <t>27BBBBB08581Z5</t>
        </is>
      </c>
      <c r="B8581" t="inlineStr">
        <is>
          <t>May-2018</t>
        </is>
      </c>
      <c r="C8581" s="2" t="n">
        <v>43777</v>
      </c>
      <c r="D8581" t="inlineStr">
        <is>
          <t>NIL</t>
        </is>
      </c>
      <c r="E8581" t="n">
        <v>261</v>
      </c>
    </row>
    <row r="8582">
      <c r="A8582" t="inlineStr">
        <is>
          <t>27BBBBB08582Z5</t>
        </is>
      </c>
      <c r="B8582" t="inlineStr">
        <is>
          <t>Apr-2020</t>
        </is>
      </c>
      <c r="C8582" s="2" t="n">
        <v>44420</v>
      </c>
      <c r="D8582" t="inlineStr">
        <is>
          <t>NIL</t>
        </is>
      </c>
      <c r="E8582" t="n">
        <v>1681</v>
      </c>
    </row>
    <row r="8583">
      <c r="A8583" t="inlineStr">
        <is>
          <t>27BBBBB08583Z5</t>
        </is>
      </c>
      <c r="B8583" t="inlineStr">
        <is>
          <t>Oct-2017</t>
        </is>
      </c>
      <c r="C8583" s="2" t="n">
        <v>43496</v>
      </c>
      <c r="D8583" t="inlineStr">
        <is>
          <t>NON-NIL</t>
        </is>
      </c>
      <c r="E8583" t="n">
        <v>1341</v>
      </c>
    </row>
    <row r="8584">
      <c r="A8584" t="inlineStr">
        <is>
          <t>27BBBBB08584Z5</t>
        </is>
      </c>
      <c r="B8584" t="inlineStr">
        <is>
          <t>Jul-2018</t>
        </is>
      </c>
      <c r="C8584" s="2" t="n">
        <v>43199</v>
      </c>
      <c r="D8584" t="inlineStr">
        <is>
          <t>NON-NIL</t>
        </is>
      </c>
      <c r="E8584" t="n">
        <v>2284</v>
      </c>
    </row>
    <row r="8585">
      <c r="A8585" t="inlineStr">
        <is>
          <t>27BBBBB08585Z5</t>
        </is>
      </c>
      <c r="B8585" t="inlineStr">
        <is>
          <t>Dec-2018</t>
        </is>
      </c>
      <c r="C8585" s="2" t="n">
        <v>43223</v>
      </c>
      <c r="D8585" t="inlineStr">
        <is>
          <t>NIL</t>
        </is>
      </c>
      <c r="E8585" t="n">
        <v>1463</v>
      </c>
    </row>
    <row r="8586">
      <c r="A8586" t="inlineStr">
        <is>
          <t>27BBBBB08586Z5</t>
        </is>
      </c>
      <c r="B8586" t="inlineStr">
        <is>
          <t>May-2018</t>
        </is>
      </c>
      <c r="C8586" s="2" t="n">
        <v>43345</v>
      </c>
      <c r="D8586" t="inlineStr">
        <is>
          <t>NIL</t>
        </is>
      </c>
      <c r="E8586" t="n">
        <v>2178</v>
      </c>
    </row>
    <row r="8587">
      <c r="A8587" t="inlineStr">
        <is>
          <t>27BBBBB08587Z5</t>
        </is>
      </c>
      <c r="B8587" t="inlineStr">
        <is>
          <t>Dec-2024</t>
        </is>
      </c>
      <c r="C8587" s="2" t="n">
        <v>44519</v>
      </c>
      <c r="D8587" t="inlineStr">
        <is>
          <t>NON-NIL</t>
        </is>
      </c>
      <c r="E8587" t="n">
        <v>1261</v>
      </c>
    </row>
    <row r="8588">
      <c r="A8588" t="inlineStr">
        <is>
          <t>27BBBBB08588Z5</t>
        </is>
      </c>
      <c r="B8588" t="inlineStr">
        <is>
          <t>Jul-2020</t>
        </is>
      </c>
      <c r="C8588" s="2" t="n">
        <v>44630</v>
      </c>
      <c r="D8588" t="inlineStr">
        <is>
          <t>NIL</t>
        </is>
      </c>
      <c r="E8588" t="n">
        <v>1224</v>
      </c>
    </row>
    <row r="8589">
      <c r="A8589" t="inlineStr">
        <is>
          <t>27BBBBB08589Z5</t>
        </is>
      </c>
      <c r="B8589" t="inlineStr">
        <is>
          <t>Nov-2018</t>
        </is>
      </c>
      <c r="C8589" s="2" t="n">
        <v>43993</v>
      </c>
      <c r="D8589" t="inlineStr">
        <is>
          <t>NIL</t>
        </is>
      </c>
      <c r="E8589" t="n">
        <v>1375</v>
      </c>
    </row>
    <row r="8590">
      <c r="A8590" t="inlineStr">
        <is>
          <t>27BBBBB08590Z5</t>
        </is>
      </c>
      <c r="B8590" t="inlineStr">
        <is>
          <t>Jul-2018</t>
        </is>
      </c>
      <c r="C8590" s="2" t="n">
        <v>43325</v>
      </c>
      <c r="D8590" t="inlineStr">
        <is>
          <t>NON-NIL</t>
        </is>
      </c>
      <c r="E8590" t="n">
        <v>2001</v>
      </c>
    </row>
    <row r="8591">
      <c r="A8591" t="inlineStr">
        <is>
          <t>27BBBBB08591Z5</t>
        </is>
      </c>
      <c r="B8591" t="inlineStr">
        <is>
          <t>Oct-2017</t>
        </is>
      </c>
      <c r="C8591" s="2" t="n">
        <v>43798</v>
      </c>
      <c r="D8591" t="inlineStr">
        <is>
          <t>NIL</t>
        </is>
      </c>
      <c r="E8591" t="n">
        <v>435</v>
      </c>
    </row>
    <row r="8592">
      <c r="A8592" t="inlineStr">
        <is>
          <t>27BBBBB08592Z5</t>
        </is>
      </c>
      <c r="B8592" t="inlineStr">
        <is>
          <t>Dec-2024</t>
        </is>
      </c>
      <c r="C8592" s="2" t="n">
        <v>45399</v>
      </c>
      <c r="D8592" t="inlineStr">
        <is>
          <t>NON-NIL</t>
        </is>
      </c>
      <c r="E8592" t="n">
        <v>352</v>
      </c>
    </row>
    <row r="8593">
      <c r="A8593" t="inlineStr">
        <is>
          <t>27BBBBB08593Z5</t>
        </is>
      </c>
      <c r="B8593" t="inlineStr">
        <is>
          <t>Aug-2017</t>
        </is>
      </c>
      <c r="C8593" s="2" t="n">
        <v>44033</v>
      </c>
      <c r="D8593" t="inlineStr">
        <is>
          <t>NON-NIL</t>
        </is>
      </c>
      <c r="E8593" t="n">
        <v>2433</v>
      </c>
    </row>
    <row r="8594">
      <c r="A8594" t="inlineStr">
        <is>
          <t>27BBBBB08594Z5</t>
        </is>
      </c>
      <c r="B8594" t="inlineStr">
        <is>
          <t>Jul-2018</t>
        </is>
      </c>
      <c r="C8594" s="2" t="n">
        <v>43668</v>
      </c>
      <c r="D8594" t="inlineStr">
        <is>
          <t>NON-NIL</t>
        </is>
      </c>
      <c r="E8594" t="n">
        <v>162</v>
      </c>
    </row>
    <row r="8595">
      <c r="A8595" t="inlineStr">
        <is>
          <t>27BBBBB08595Z5</t>
        </is>
      </c>
      <c r="B8595" t="inlineStr">
        <is>
          <t>Jul-2018</t>
        </is>
      </c>
      <c r="C8595" s="2" t="n">
        <v>43658</v>
      </c>
      <c r="D8595" t="inlineStr">
        <is>
          <t>NIL</t>
        </is>
      </c>
      <c r="E8595" t="n">
        <v>211</v>
      </c>
    </row>
    <row r="8596">
      <c r="A8596" t="inlineStr">
        <is>
          <t>27BBBBB08596Z5</t>
        </is>
      </c>
      <c r="B8596" t="inlineStr">
        <is>
          <t>Nov-2017</t>
        </is>
      </c>
      <c r="C8596" s="2" t="n">
        <v>43321</v>
      </c>
      <c r="D8596" t="inlineStr">
        <is>
          <t>NON-NIL</t>
        </is>
      </c>
      <c r="E8596" t="n">
        <v>1649</v>
      </c>
    </row>
    <row r="8597">
      <c r="A8597" t="inlineStr">
        <is>
          <t>27BBBBB08597Z5</t>
        </is>
      </c>
      <c r="B8597" t="inlineStr">
        <is>
          <t>Jan-2021</t>
        </is>
      </c>
      <c r="C8597" s="2" t="n">
        <v>44706</v>
      </c>
      <c r="D8597" t="inlineStr">
        <is>
          <t>NIL</t>
        </is>
      </c>
      <c r="E8597" t="n">
        <v>1223</v>
      </c>
    </row>
    <row r="8598">
      <c r="A8598" t="inlineStr">
        <is>
          <t>27BBBBB08598Z5</t>
        </is>
      </c>
      <c r="B8598" t="inlineStr">
        <is>
          <t>Mar-2021</t>
        </is>
      </c>
      <c r="C8598" s="2" t="n">
        <v>43604</v>
      </c>
      <c r="D8598" t="inlineStr">
        <is>
          <t>NON-NIL</t>
        </is>
      </c>
      <c r="E8598" t="n">
        <v>1857</v>
      </c>
    </row>
    <row r="8599">
      <c r="A8599" t="inlineStr">
        <is>
          <t>27BBBBB08599Z5</t>
        </is>
      </c>
      <c r="B8599" t="inlineStr">
        <is>
          <t>Oct-2017</t>
        </is>
      </c>
      <c r="C8599" s="2" t="n">
        <v>43433</v>
      </c>
      <c r="D8599" t="inlineStr">
        <is>
          <t>NIL</t>
        </is>
      </c>
      <c r="E8599" t="n">
        <v>333</v>
      </c>
    </row>
    <row r="8600">
      <c r="A8600" t="inlineStr">
        <is>
          <t>27BBBBB08600Z5</t>
        </is>
      </c>
      <c r="B8600" t="inlineStr">
        <is>
          <t>Jul-2020</t>
        </is>
      </c>
      <c r="C8600" s="2" t="n">
        <v>43877</v>
      </c>
      <c r="D8600" t="inlineStr">
        <is>
          <t>NON-NIL</t>
        </is>
      </c>
      <c r="E8600" t="n">
        <v>1259</v>
      </c>
    </row>
    <row r="8601">
      <c r="A8601" t="inlineStr">
        <is>
          <t>27BBBBB08601Z5</t>
        </is>
      </c>
      <c r="B8601" t="inlineStr">
        <is>
          <t>Feb-2018</t>
        </is>
      </c>
      <c r="C8601" s="2" t="n">
        <v>43594</v>
      </c>
      <c r="D8601" t="inlineStr">
        <is>
          <t>NIL</t>
        </is>
      </c>
      <c r="E8601" t="n">
        <v>783</v>
      </c>
    </row>
    <row r="8602">
      <c r="A8602" t="inlineStr">
        <is>
          <t>27BBBBB08602Z5</t>
        </is>
      </c>
      <c r="B8602" t="inlineStr">
        <is>
          <t>Sep-2018</t>
        </is>
      </c>
      <c r="C8602" s="2" t="n">
        <v>43122</v>
      </c>
      <c r="D8602" t="inlineStr">
        <is>
          <t>NIL</t>
        </is>
      </c>
      <c r="E8602" t="n">
        <v>2906</v>
      </c>
    </row>
    <row r="8603">
      <c r="A8603" t="inlineStr">
        <is>
          <t>27BBBBB08603Z5</t>
        </is>
      </c>
      <c r="B8603" t="inlineStr">
        <is>
          <t>Mar-2018</t>
        </is>
      </c>
      <c r="C8603" s="2" t="n">
        <v>44127</v>
      </c>
      <c r="D8603" t="inlineStr">
        <is>
          <t>NON-NIL</t>
        </is>
      </c>
      <c r="E8603" t="n">
        <v>2868</v>
      </c>
    </row>
    <row r="8604">
      <c r="A8604" t="inlineStr">
        <is>
          <t>27BBBBB08604Z5</t>
        </is>
      </c>
      <c r="B8604" t="inlineStr">
        <is>
          <t>Mar-2020</t>
        </is>
      </c>
      <c r="C8604" s="2" t="n">
        <v>44136</v>
      </c>
      <c r="D8604" t="inlineStr">
        <is>
          <t>NIL</t>
        </is>
      </c>
      <c r="E8604" t="n">
        <v>2503</v>
      </c>
    </row>
    <row r="8605">
      <c r="A8605" t="inlineStr">
        <is>
          <t>27BBBBB08605Z5</t>
        </is>
      </c>
      <c r="B8605" t="inlineStr">
        <is>
          <t>Oct-2017</t>
        </is>
      </c>
      <c r="C8605" s="2" t="n">
        <v>43037</v>
      </c>
      <c r="D8605" t="inlineStr">
        <is>
          <t>NIL</t>
        </is>
      </c>
      <c r="E8605" t="n">
        <v>1807</v>
      </c>
    </row>
    <row r="8606">
      <c r="A8606" t="inlineStr">
        <is>
          <t>27BBBBB08606Z5</t>
        </is>
      </c>
      <c r="B8606" t="inlineStr">
        <is>
          <t>Sep-2018</t>
        </is>
      </c>
      <c r="C8606" s="2" t="n">
        <v>44026</v>
      </c>
      <c r="D8606" t="inlineStr">
        <is>
          <t>NON-NIL</t>
        </is>
      </c>
      <c r="E8606" t="n">
        <v>2749</v>
      </c>
    </row>
    <row r="8607">
      <c r="A8607" t="inlineStr">
        <is>
          <t>27BBBBB08607Z5</t>
        </is>
      </c>
      <c r="B8607" t="inlineStr">
        <is>
          <t>Nov-2018</t>
        </is>
      </c>
      <c r="C8607" s="2" t="n">
        <v>44507</v>
      </c>
      <c r="D8607" t="inlineStr">
        <is>
          <t>NON-NIL</t>
        </is>
      </c>
      <c r="E8607" t="n">
        <v>2496</v>
      </c>
    </row>
    <row r="8608">
      <c r="A8608" t="inlineStr">
        <is>
          <t>27BBBBB08608Z5</t>
        </is>
      </c>
      <c r="B8608" t="inlineStr">
        <is>
          <t>Dec-2022</t>
        </is>
      </c>
      <c r="C8608" s="2" t="n">
        <v>43816</v>
      </c>
      <c r="D8608" t="inlineStr">
        <is>
          <t>NIL</t>
        </is>
      </c>
      <c r="E8608" t="n">
        <v>2106</v>
      </c>
    </row>
    <row r="8609">
      <c r="A8609" t="inlineStr">
        <is>
          <t>27BBBBB08609Z5</t>
        </is>
      </c>
      <c r="B8609" t="inlineStr">
        <is>
          <t>Mar-2020</t>
        </is>
      </c>
      <c r="C8609" s="2" t="n">
        <v>44136</v>
      </c>
      <c r="D8609" t="inlineStr">
        <is>
          <t>NIL</t>
        </is>
      </c>
      <c r="E8609" t="n">
        <v>1892</v>
      </c>
    </row>
    <row r="8610">
      <c r="A8610" t="inlineStr">
        <is>
          <t>27BBBBB08610Z5</t>
        </is>
      </c>
      <c r="B8610" t="inlineStr">
        <is>
          <t>Aug-2018</t>
        </is>
      </c>
      <c r="C8610" s="2" t="n">
        <v>44120</v>
      </c>
      <c r="D8610" t="inlineStr">
        <is>
          <t>NON-NIL</t>
        </is>
      </c>
      <c r="E8610" t="n">
        <v>237</v>
      </c>
    </row>
    <row r="8611">
      <c r="A8611" t="inlineStr">
        <is>
          <t>27BBBBB08611Z5</t>
        </is>
      </c>
      <c r="B8611" t="inlineStr">
        <is>
          <t>Feb-2018</t>
        </is>
      </c>
      <c r="C8611" s="2" t="n">
        <v>44005</v>
      </c>
      <c r="D8611" t="inlineStr">
        <is>
          <t>NIL</t>
        </is>
      </c>
      <c r="E8611" t="n">
        <v>1071</v>
      </c>
    </row>
    <row r="8612">
      <c r="A8612" t="inlineStr">
        <is>
          <t>27BBBBB08612Z5</t>
        </is>
      </c>
      <c r="B8612" t="inlineStr">
        <is>
          <t>Oct-2018</t>
        </is>
      </c>
      <c r="C8612" s="2" t="n">
        <v>43992</v>
      </c>
      <c r="D8612" t="inlineStr">
        <is>
          <t>NON-NIL</t>
        </is>
      </c>
      <c r="E8612" t="n">
        <v>610</v>
      </c>
    </row>
    <row r="8613">
      <c r="A8613" t="inlineStr">
        <is>
          <t>27BBBBB08613Z5</t>
        </is>
      </c>
      <c r="B8613" t="inlineStr">
        <is>
          <t>Aug-2018</t>
        </is>
      </c>
      <c r="C8613" s="2" t="n">
        <v>43479</v>
      </c>
      <c r="D8613" t="inlineStr">
        <is>
          <t>NON-NIL</t>
        </is>
      </c>
      <c r="E8613" t="n">
        <v>343</v>
      </c>
    </row>
    <row r="8614">
      <c r="A8614" t="inlineStr">
        <is>
          <t>27BBBBB08614Z5</t>
        </is>
      </c>
      <c r="B8614" t="inlineStr">
        <is>
          <t>Jan-2021</t>
        </is>
      </c>
      <c r="C8614" s="2" t="n">
        <v>45088</v>
      </c>
      <c r="D8614" t="inlineStr">
        <is>
          <t>NIL</t>
        </is>
      </c>
      <c r="E8614" t="n">
        <v>1359</v>
      </c>
    </row>
    <row r="8615">
      <c r="A8615" t="inlineStr">
        <is>
          <t>27BBBBB08615Z5</t>
        </is>
      </c>
      <c r="B8615" t="inlineStr">
        <is>
          <t>May-2020</t>
        </is>
      </c>
      <c r="C8615" s="2" t="n">
        <v>43937</v>
      </c>
      <c r="D8615" t="inlineStr">
        <is>
          <t>NIL</t>
        </is>
      </c>
      <c r="E8615" t="n">
        <v>2179</v>
      </c>
    </row>
    <row r="8616">
      <c r="A8616" t="inlineStr">
        <is>
          <t>27BBBBB08616Z5</t>
        </is>
      </c>
      <c r="B8616" t="inlineStr">
        <is>
          <t>Aug-2018</t>
        </is>
      </c>
      <c r="C8616" s="2" t="n">
        <v>42961</v>
      </c>
      <c r="D8616" t="inlineStr">
        <is>
          <t>NON-NIL</t>
        </is>
      </c>
      <c r="E8616" t="n">
        <v>52</v>
      </c>
    </row>
    <row r="8617">
      <c r="A8617" t="inlineStr">
        <is>
          <t>27BBBBB08617Z5</t>
        </is>
      </c>
      <c r="B8617" t="inlineStr">
        <is>
          <t>Feb-2018</t>
        </is>
      </c>
      <c r="C8617" s="2" t="n">
        <v>43586</v>
      </c>
      <c r="D8617" t="inlineStr">
        <is>
          <t>NIL</t>
        </is>
      </c>
      <c r="E8617" t="n">
        <v>2994</v>
      </c>
    </row>
    <row r="8618">
      <c r="A8618" t="inlineStr">
        <is>
          <t>27BBBBB08618Z5</t>
        </is>
      </c>
      <c r="B8618" t="inlineStr">
        <is>
          <t>Mar-2021</t>
        </is>
      </c>
      <c r="C8618" s="2" t="n">
        <v>43519</v>
      </c>
      <c r="D8618" t="inlineStr">
        <is>
          <t>NON-NIL</t>
        </is>
      </c>
      <c r="E8618" t="n">
        <v>2188</v>
      </c>
    </row>
    <row r="8619">
      <c r="A8619" t="inlineStr">
        <is>
          <t>27BBBBB08619Z5</t>
        </is>
      </c>
      <c r="B8619" t="inlineStr">
        <is>
          <t>Mar-2021</t>
        </is>
      </c>
      <c r="C8619" s="2" t="n">
        <v>45129</v>
      </c>
      <c r="D8619" t="inlineStr">
        <is>
          <t>NIL</t>
        </is>
      </c>
      <c r="E8619" t="n">
        <v>395</v>
      </c>
    </row>
    <row r="8620">
      <c r="A8620" t="inlineStr">
        <is>
          <t>27BBBBB08620Z5</t>
        </is>
      </c>
      <c r="B8620" t="inlineStr">
        <is>
          <t>Jul-2020</t>
        </is>
      </c>
      <c r="C8620" s="2" t="n">
        <v>44353</v>
      </c>
      <c r="D8620" t="inlineStr">
        <is>
          <t>NIL</t>
        </is>
      </c>
      <c r="E8620" t="n">
        <v>2806</v>
      </c>
    </row>
    <row r="8621">
      <c r="A8621" t="inlineStr">
        <is>
          <t>27BBBBB08621Z5</t>
        </is>
      </c>
      <c r="B8621" t="inlineStr">
        <is>
          <t>Sep-2018</t>
        </is>
      </c>
      <c r="C8621" s="2" t="n">
        <v>43799</v>
      </c>
      <c r="D8621" t="inlineStr">
        <is>
          <t>NON-NIL</t>
        </is>
      </c>
      <c r="E8621" t="n">
        <v>83</v>
      </c>
    </row>
    <row r="8622">
      <c r="A8622" t="inlineStr">
        <is>
          <t>27BBBBB08622Z5</t>
        </is>
      </c>
      <c r="B8622" t="inlineStr">
        <is>
          <t>Feb-2018</t>
        </is>
      </c>
      <c r="C8622" s="2" t="n">
        <v>43533</v>
      </c>
      <c r="D8622" t="inlineStr">
        <is>
          <t>NON-NIL</t>
        </is>
      </c>
      <c r="E8622" t="n">
        <v>84</v>
      </c>
    </row>
    <row r="8623">
      <c r="A8623" t="inlineStr">
        <is>
          <t>27BBBBB08623Z5</t>
        </is>
      </c>
      <c r="B8623" t="inlineStr">
        <is>
          <t>Aug-2017</t>
        </is>
      </c>
      <c r="C8623" s="2" t="n">
        <v>43953</v>
      </c>
      <c r="D8623" t="inlineStr">
        <is>
          <t>NIL</t>
        </is>
      </c>
      <c r="E8623" t="n">
        <v>1619</v>
      </c>
    </row>
    <row r="8624">
      <c r="A8624" t="inlineStr">
        <is>
          <t>27BBBBB08624Z5</t>
        </is>
      </c>
      <c r="B8624" t="inlineStr">
        <is>
          <t>Jan-2018</t>
        </is>
      </c>
      <c r="C8624" s="2" t="n">
        <v>43906</v>
      </c>
      <c r="D8624" t="inlineStr">
        <is>
          <t>NON-NIL</t>
        </is>
      </c>
      <c r="E8624" t="n">
        <v>2753</v>
      </c>
    </row>
    <row r="8625">
      <c r="A8625" t="inlineStr">
        <is>
          <t>27BBBBB08625Z5</t>
        </is>
      </c>
      <c r="B8625" t="inlineStr">
        <is>
          <t>Aug-2018</t>
        </is>
      </c>
      <c r="C8625" s="2" t="n">
        <v>44536</v>
      </c>
      <c r="D8625" t="inlineStr">
        <is>
          <t>NON-NIL</t>
        </is>
      </c>
      <c r="E8625" t="n">
        <v>1536</v>
      </c>
    </row>
    <row r="8626">
      <c r="A8626" t="inlineStr">
        <is>
          <t>27BBBBB08626Z5</t>
        </is>
      </c>
      <c r="B8626" t="inlineStr">
        <is>
          <t>Nov-2017</t>
        </is>
      </c>
      <c r="C8626" s="2" t="n">
        <v>43195</v>
      </c>
      <c r="D8626" t="inlineStr">
        <is>
          <t>NON-NIL</t>
        </is>
      </c>
      <c r="E8626" t="n">
        <v>177</v>
      </c>
    </row>
    <row r="8627">
      <c r="A8627" t="inlineStr">
        <is>
          <t>27BBBBB08627Z5</t>
        </is>
      </c>
      <c r="B8627" t="inlineStr">
        <is>
          <t>May-2020</t>
        </is>
      </c>
      <c r="C8627" s="2" t="n">
        <v>44747</v>
      </c>
      <c r="D8627" t="inlineStr">
        <is>
          <t>NON-NIL</t>
        </is>
      </c>
      <c r="E8627" t="n">
        <v>1872</v>
      </c>
    </row>
    <row r="8628">
      <c r="A8628" t="inlineStr">
        <is>
          <t>27BBBBB08628Z5</t>
        </is>
      </c>
      <c r="B8628" t="inlineStr">
        <is>
          <t>Aug-2018</t>
        </is>
      </c>
      <c r="C8628" s="2" t="n">
        <v>43260</v>
      </c>
      <c r="D8628" t="inlineStr">
        <is>
          <t>NIL</t>
        </is>
      </c>
      <c r="E8628" t="n">
        <v>2308</v>
      </c>
    </row>
    <row r="8629">
      <c r="A8629" t="inlineStr">
        <is>
          <t>27BBBBB08629Z5</t>
        </is>
      </c>
      <c r="B8629" t="inlineStr">
        <is>
          <t>Dec-2018</t>
        </is>
      </c>
      <c r="C8629" s="2" t="n">
        <v>44092</v>
      </c>
      <c r="D8629" t="inlineStr">
        <is>
          <t>NIL</t>
        </is>
      </c>
      <c r="E8629" t="n">
        <v>2225</v>
      </c>
    </row>
    <row r="8630">
      <c r="A8630" t="inlineStr">
        <is>
          <t>27BBBBB08630Z5</t>
        </is>
      </c>
      <c r="B8630" t="inlineStr">
        <is>
          <t>Jan-2021</t>
        </is>
      </c>
      <c r="C8630" s="2" t="n">
        <v>44353</v>
      </c>
      <c r="D8630" t="inlineStr">
        <is>
          <t>NON-NIL</t>
        </is>
      </c>
      <c r="E8630" t="n">
        <v>2336</v>
      </c>
    </row>
    <row r="8631">
      <c r="A8631" t="inlineStr">
        <is>
          <t>27BBBBB08631Z5</t>
        </is>
      </c>
      <c r="B8631" t="inlineStr">
        <is>
          <t>Feb-2018</t>
        </is>
      </c>
      <c r="C8631" s="2" t="n">
        <v>42944</v>
      </c>
      <c r="D8631" t="inlineStr">
        <is>
          <t>NIL</t>
        </is>
      </c>
      <c r="E8631" t="n">
        <v>1608</v>
      </c>
    </row>
    <row r="8632">
      <c r="A8632" t="inlineStr">
        <is>
          <t>27BBBBB08632Z5</t>
        </is>
      </c>
      <c r="B8632" t="inlineStr">
        <is>
          <t>Nov-2018</t>
        </is>
      </c>
      <c r="C8632" s="2" t="n">
        <v>44521</v>
      </c>
      <c r="D8632" t="inlineStr">
        <is>
          <t>NON-NIL</t>
        </is>
      </c>
      <c r="E8632" t="n">
        <v>2315</v>
      </c>
    </row>
    <row r="8633">
      <c r="A8633" t="inlineStr">
        <is>
          <t>27BBBBB08633Z5</t>
        </is>
      </c>
      <c r="B8633" t="inlineStr">
        <is>
          <t>Sep-2018</t>
        </is>
      </c>
      <c r="C8633" s="2" t="n">
        <v>43042</v>
      </c>
      <c r="D8633" t="inlineStr">
        <is>
          <t>NON-NIL</t>
        </is>
      </c>
      <c r="E8633" t="n">
        <v>270</v>
      </c>
    </row>
    <row r="8634">
      <c r="A8634" t="inlineStr">
        <is>
          <t>27BBBBB08634Z5</t>
        </is>
      </c>
      <c r="B8634" t="inlineStr">
        <is>
          <t>Mar-2020</t>
        </is>
      </c>
      <c r="C8634" s="2" t="n">
        <v>44093</v>
      </c>
      <c r="D8634" t="inlineStr">
        <is>
          <t>NON-NIL</t>
        </is>
      </c>
      <c r="E8634" t="n">
        <v>1979</v>
      </c>
    </row>
    <row r="8635">
      <c r="A8635" t="inlineStr">
        <is>
          <t>27BBBBB08635Z5</t>
        </is>
      </c>
      <c r="B8635" t="inlineStr">
        <is>
          <t>May-2018</t>
        </is>
      </c>
      <c r="C8635" s="2" t="n">
        <v>43161</v>
      </c>
      <c r="D8635" t="inlineStr">
        <is>
          <t>NIL</t>
        </is>
      </c>
      <c r="E8635" t="n">
        <v>1875</v>
      </c>
    </row>
    <row r="8636">
      <c r="A8636" t="inlineStr">
        <is>
          <t>27BBBBB08636Z5</t>
        </is>
      </c>
      <c r="B8636" t="inlineStr">
        <is>
          <t>Sep-2017</t>
        </is>
      </c>
      <c r="C8636" s="2" t="n">
        <v>43434</v>
      </c>
      <c r="D8636" t="inlineStr">
        <is>
          <t>NON-NIL</t>
        </is>
      </c>
      <c r="E8636" t="n">
        <v>2834</v>
      </c>
    </row>
    <row r="8637">
      <c r="A8637" t="inlineStr">
        <is>
          <t>27BBBBB08637Z5</t>
        </is>
      </c>
      <c r="B8637" t="inlineStr">
        <is>
          <t>Jul-2017</t>
        </is>
      </c>
      <c r="C8637" s="2" t="n">
        <v>43310</v>
      </c>
      <c r="D8637" t="inlineStr">
        <is>
          <t>NON-NIL</t>
        </is>
      </c>
      <c r="E8637" t="n">
        <v>728</v>
      </c>
    </row>
    <row r="8638">
      <c r="A8638" t="inlineStr">
        <is>
          <t>27BBBBB08638Z5</t>
        </is>
      </c>
      <c r="B8638" t="inlineStr">
        <is>
          <t>Dec-2018</t>
        </is>
      </c>
      <c r="C8638" s="2" t="n">
        <v>43851</v>
      </c>
      <c r="D8638" t="inlineStr">
        <is>
          <t>NON-NIL</t>
        </is>
      </c>
      <c r="E8638" t="n">
        <v>2588</v>
      </c>
    </row>
    <row r="8639">
      <c r="A8639" t="inlineStr">
        <is>
          <t>27BBBBB08639Z5</t>
        </is>
      </c>
      <c r="B8639" t="inlineStr">
        <is>
          <t>Jul-2018</t>
        </is>
      </c>
      <c r="C8639" s="2" t="n">
        <v>43822</v>
      </c>
      <c r="D8639" t="inlineStr">
        <is>
          <t>NIL</t>
        </is>
      </c>
      <c r="E8639" t="n">
        <v>2844</v>
      </c>
    </row>
    <row r="8640">
      <c r="A8640" t="inlineStr">
        <is>
          <t>27BBBBB08640Z5</t>
        </is>
      </c>
      <c r="B8640" t="inlineStr">
        <is>
          <t>Oct-2017</t>
        </is>
      </c>
      <c r="C8640" s="2" t="n">
        <v>44413</v>
      </c>
      <c r="D8640" t="inlineStr">
        <is>
          <t>NIL</t>
        </is>
      </c>
      <c r="E8640" t="n">
        <v>193</v>
      </c>
    </row>
    <row r="8641">
      <c r="A8641" t="inlineStr">
        <is>
          <t>27BBBBB08641Z5</t>
        </is>
      </c>
      <c r="B8641" t="inlineStr">
        <is>
          <t>Oct-2017</t>
        </is>
      </c>
      <c r="C8641" s="2" t="n">
        <v>43869</v>
      </c>
      <c r="D8641" t="inlineStr">
        <is>
          <t>NON-NIL</t>
        </is>
      </c>
      <c r="E8641" t="n">
        <v>1579</v>
      </c>
    </row>
    <row r="8642">
      <c r="A8642" t="inlineStr">
        <is>
          <t>27BBBBB08642Z5</t>
        </is>
      </c>
      <c r="B8642" t="inlineStr">
        <is>
          <t>Jul-2017</t>
        </is>
      </c>
      <c r="C8642" s="2" t="n">
        <v>43290</v>
      </c>
      <c r="D8642" t="inlineStr">
        <is>
          <t>NON-NIL</t>
        </is>
      </c>
      <c r="E8642" t="n">
        <v>2507</v>
      </c>
    </row>
    <row r="8643">
      <c r="A8643" t="inlineStr">
        <is>
          <t>27BBBBB08643Z5</t>
        </is>
      </c>
      <c r="B8643" t="inlineStr">
        <is>
          <t>Sep-2017</t>
        </is>
      </c>
      <c r="C8643" s="2" t="n">
        <v>44312</v>
      </c>
      <c r="D8643" t="inlineStr">
        <is>
          <t>NIL</t>
        </is>
      </c>
      <c r="E8643" t="n">
        <v>1697</v>
      </c>
    </row>
    <row r="8644">
      <c r="A8644" t="inlineStr">
        <is>
          <t>27BBBBB08644Z5</t>
        </is>
      </c>
      <c r="B8644" t="inlineStr">
        <is>
          <t>Sep-2017</t>
        </is>
      </c>
      <c r="C8644" s="2" t="n">
        <v>43621</v>
      </c>
      <c r="D8644" t="inlineStr">
        <is>
          <t>NON-NIL</t>
        </is>
      </c>
      <c r="E8644" t="n">
        <v>150</v>
      </c>
    </row>
    <row r="8645">
      <c r="A8645" t="inlineStr">
        <is>
          <t>27BBBBB08645Z5</t>
        </is>
      </c>
      <c r="B8645" t="inlineStr">
        <is>
          <t>Apr-2020</t>
        </is>
      </c>
      <c r="C8645" s="2" t="n">
        <v>44882</v>
      </c>
      <c r="D8645" t="inlineStr">
        <is>
          <t>NON-NIL</t>
        </is>
      </c>
      <c r="E8645" t="n">
        <v>1641</v>
      </c>
    </row>
    <row r="8646">
      <c r="A8646" t="inlineStr">
        <is>
          <t>27BBBBB08646Z5</t>
        </is>
      </c>
      <c r="B8646" t="inlineStr">
        <is>
          <t>Apr-2020</t>
        </is>
      </c>
      <c r="C8646" s="2" t="n">
        <v>44000</v>
      </c>
      <c r="D8646" t="inlineStr">
        <is>
          <t>NIL</t>
        </is>
      </c>
      <c r="E8646" t="n">
        <v>939</v>
      </c>
    </row>
    <row r="8647">
      <c r="A8647" t="inlineStr">
        <is>
          <t>27BBBBB08647Z5</t>
        </is>
      </c>
      <c r="B8647" t="inlineStr">
        <is>
          <t>Mar-2020</t>
        </is>
      </c>
      <c r="C8647" s="2" t="n">
        <v>44244</v>
      </c>
      <c r="D8647" t="inlineStr">
        <is>
          <t>NON-NIL</t>
        </is>
      </c>
      <c r="E8647" t="n">
        <v>2291</v>
      </c>
    </row>
    <row r="8648">
      <c r="A8648" t="inlineStr">
        <is>
          <t>27BBBBB08648Z5</t>
        </is>
      </c>
      <c r="B8648" t="inlineStr">
        <is>
          <t>Oct-2017</t>
        </is>
      </c>
      <c r="C8648" s="2" t="n">
        <v>43035</v>
      </c>
      <c r="D8648" t="inlineStr">
        <is>
          <t>NIL</t>
        </is>
      </c>
      <c r="E8648" t="n">
        <v>992</v>
      </c>
    </row>
    <row r="8649">
      <c r="A8649" t="inlineStr">
        <is>
          <t>27BBBBB08649Z5</t>
        </is>
      </c>
      <c r="B8649" t="inlineStr">
        <is>
          <t>Jan-2018</t>
        </is>
      </c>
      <c r="C8649" s="2" t="n">
        <v>43556</v>
      </c>
      <c r="D8649" t="inlineStr">
        <is>
          <t>NON-NIL</t>
        </is>
      </c>
      <c r="E8649" t="n">
        <v>860</v>
      </c>
    </row>
    <row r="8650">
      <c r="A8650" t="inlineStr">
        <is>
          <t>27BBBBB08650Z5</t>
        </is>
      </c>
      <c r="B8650" t="inlineStr">
        <is>
          <t>Mar-2021</t>
        </is>
      </c>
      <c r="C8650" s="2" t="n">
        <v>45817</v>
      </c>
      <c r="D8650" t="inlineStr">
        <is>
          <t>NIL</t>
        </is>
      </c>
      <c r="E8650" t="n">
        <v>453</v>
      </c>
    </row>
    <row r="8651">
      <c r="A8651" t="inlineStr">
        <is>
          <t>27BBBBB08651Z5</t>
        </is>
      </c>
      <c r="B8651" t="inlineStr">
        <is>
          <t>May-2020</t>
        </is>
      </c>
      <c r="C8651" s="2" t="n">
        <v>44805</v>
      </c>
      <c r="D8651" t="inlineStr">
        <is>
          <t>NON-NIL</t>
        </is>
      </c>
      <c r="E8651" t="n">
        <v>2954</v>
      </c>
    </row>
    <row r="8652">
      <c r="A8652" t="inlineStr">
        <is>
          <t>27BBBBB08652Z5</t>
        </is>
      </c>
      <c r="B8652" t="inlineStr">
        <is>
          <t>Nov-2017</t>
        </is>
      </c>
      <c r="C8652" s="2" t="n">
        <v>43212</v>
      </c>
      <c r="D8652" t="inlineStr">
        <is>
          <t>NIL</t>
        </is>
      </c>
      <c r="E8652" t="n">
        <v>1775</v>
      </c>
    </row>
    <row r="8653">
      <c r="A8653" t="inlineStr">
        <is>
          <t>27BBBBB08653Z5</t>
        </is>
      </c>
      <c r="B8653" t="inlineStr">
        <is>
          <t>Jun-2018</t>
        </is>
      </c>
      <c r="C8653" s="2" t="n">
        <v>44110</v>
      </c>
      <c r="D8653" t="inlineStr">
        <is>
          <t>NIL</t>
        </is>
      </c>
      <c r="E8653" t="n">
        <v>347</v>
      </c>
    </row>
    <row r="8654">
      <c r="A8654" t="inlineStr">
        <is>
          <t>27BBBBB08654Z5</t>
        </is>
      </c>
      <c r="B8654" t="inlineStr">
        <is>
          <t>Jun-2018</t>
        </is>
      </c>
      <c r="C8654" s="2" t="n">
        <v>44423</v>
      </c>
      <c r="D8654" t="inlineStr">
        <is>
          <t>NON-NIL</t>
        </is>
      </c>
      <c r="E8654" t="n">
        <v>2312</v>
      </c>
    </row>
    <row r="8655">
      <c r="A8655" t="inlineStr">
        <is>
          <t>27BBBBB08655Z5</t>
        </is>
      </c>
      <c r="B8655" t="inlineStr">
        <is>
          <t>Mar-2021</t>
        </is>
      </c>
      <c r="C8655" s="2" t="n">
        <v>43834</v>
      </c>
      <c r="D8655" t="inlineStr">
        <is>
          <t>NIL</t>
        </is>
      </c>
      <c r="E8655" t="n">
        <v>1585</v>
      </c>
    </row>
    <row r="8656">
      <c r="A8656" t="inlineStr">
        <is>
          <t>27BBBBB08656Z5</t>
        </is>
      </c>
      <c r="B8656" t="inlineStr">
        <is>
          <t>Mar-2023</t>
        </is>
      </c>
      <c r="C8656" s="2" t="n">
        <v>45283</v>
      </c>
      <c r="D8656" t="inlineStr">
        <is>
          <t>NON-NIL</t>
        </is>
      </c>
      <c r="E8656" t="n">
        <v>1012</v>
      </c>
    </row>
    <row r="8657">
      <c r="A8657" t="inlineStr">
        <is>
          <t>27BBBBB08657Z5</t>
        </is>
      </c>
      <c r="B8657" t="inlineStr">
        <is>
          <t>Mar-2023</t>
        </is>
      </c>
      <c r="C8657" s="2" t="n">
        <v>45278</v>
      </c>
      <c r="D8657" t="inlineStr">
        <is>
          <t>NIL</t>
        </is>
      </c>
      <c r="E8657" t="n">
        <v>2215</v>
      </c>
    </row>
    <row r="8658">
      <c r="A8658" t="inlineStr">
        <is>
          <t>27BBBBB08658Z5</t>
        </is>
      </c>
      <c r="B8658" t="inlineStr">
        <is>
          <t>Aug-2017</t>
        </is>
      </c>
      <c r="C8658" s="2" t="n">
        <v>43716</v>
      </c>
      <c r="D8658" t="inlineStr">
        <is>
          <t>NIL</t>
        </is>
      </c>
      <c r="E8658" t="n">
        <v>2531</v>
      </c>
    </row>
    <row r="8659">
      <c r="A8659" t="inlineStr">
        <is>
          <t>27BBBBB08659Z5</t>
        </is>
      </c>
      <c r="B8659" t="inlineStr">
        <is>
          <t>Jul-2018</t>
        </is>
      </c>
      <c r="C8659" s="2" t="n">
        <v>44288</v>
      </c>
      <c r="D8659" t="inlineStr">
        <is>
          <t>NIL</t>
        </is>
      </c>
      <c r="E8659" t="n">
        <v>1069</v>
      </c>
    </row>
    <row r="8660">
      <c r="A8660" t="inlineStr">
        <is>
          <t>27BBBBB08660Z5</t>
        </is>
      </c>
      <c r="B8660" t="inlineStr">
        <is>
          <t>Nov-2018</t>
        </is>
      </c>
      <c r="C8660" s="2" t="n">
        <v>43069</v>
      </c>
      <c r="D8660" t="inlineStr">
        <is>
          <t>NON-NIL</t>
        </is>
      </c>
      <c r="E8660" t="n">
        <v>2607</v>
      </c>
    </row>
    <row r="8661">
      <c r="A8661" t="inlineStr">
        <is>
          <t>27BBBBB08661Z5</t>
        </is>
      </c>
      <c r="B8661" t="inlineStr">
        <is>
          <t>Dec-2024</t>
        </is>
      </c>
      <c r="C8661" s="2" t="n">
        <v>44228</v>
      </c>
      <c r="D8661" t="inlineStr">
        <is>
          <t>NON-NIL</t>
        </is>
      </c>
      <c r="E8661" t="n">
        <v>425</v>
      </c>
    </row>
    <row r="8662">
      <c r="A8662" t="inlineStr">
        <is>
          <t>27BBBBB08662Z5</t>
        </is>
      </c>
      <c r="B8662" t="inlineStr">
        <is>
          <t>Jan-2018</t>
        </is>
      </c>
      <c r="C8662" s="2" t="n">
        <v>43055</v>
      </c>
      <c r="D8662" t="inlineStr">
        <is>
          <t>NIL</t>
        </is>
      </c>
      <c r="E8662" t="n">
        <v>2787</v>
      </c>
    </row>
    <row r="8663">
      <c r="A8663" t="inlineStr">
        <is>
          <t>27BBBBB08663Z5</t>
        </is>
      </c>
      <c r="B8663" t="inlineStr">
        <is>
          <t>May-2018</t>
        </is>
      </c>
      <c r="C8663" s="2" t="n">
        <v>44439</v>
      </c>
      <c r="D8663" t="inlineStr">
        <is>
          <t>NIL</t>
        </is>
      </c>
      <c r="E8663" t="n">
        <v>1342</v>
      </c>
    </row>
    <row r="8664">
      <c r="A8664" t="inlineStr">
        <is>
          <t>27BBBBB08664Z5</t>
        </is>
      </c>
      <c r="B8664" t="inlineStr">
        <is>
          <t>Aug-2017</t>
        </is>
      </c>
      <c r="C8664" s="2" t="n">
        <v>44020</v>
      </c>
      <c r="D8664" t="inlineStr">
        <is>
          <t>NON-NIL</t>
        </is>
      </c>
      <c r="E8664" t="n">
        <v>871</v>
      </c>
    </row>
    <row r="8665">
      <c r="A8665" t="inlineStr">
        <is>
          <t>27BBBBB08665Z5</t>
        </is>
      </c>
      <c r="B8665" t="inlineStr">
        <is>
          <t>Mar-2018</t>
        </is>
      </c>
      <c r="C8665" s="2" t="n">
        <v>44279</v>
      </c>
      <c r="D8665" t="inlineStr">
        <is>
          <t>NIL</t>
        </is>
      </c>
      <c r="E8665" t="n">
        <v>383</v>
      </c>
    </row>
    <row r="8666">
      <c r="A8666" t="inlineStr">
        <is>
          <t>27BBBBB08666Z5</t>
        </is>
      </c>
      <c r="B8666" t="inlineStr">
        <is>
          <t>Dec-2024</t>
        </is>
      </c>
      <c r="C8666" s="2" t="n">
        <v>43946</v>
      </c>
      <c r="D8666" t="inlineStr">
        <is>
          <t>NIL</t>
        </is>
      </c>
      <c r="E8666" t="n">
        <v>388</v>
      </c>
    </row>
    <row r="8667">
      <c r="A8667" t="inlineStr">
        <is>
          <t>27BBBBB08667Z5</t>
        </is>
      </c>
      <c r="B8667" t="inlineStr">
        <is>
          <t>Jul-2020</t>
        </is>
      </c>
      <c r="C8667" s="2" t="n">
        <v>44205</v>
      </c>
      <c r="D8667" t="inlineStr">
        <is>
          <t>NIL</t>
        </is>
      </c>
      <c r="E8667" t="n">
        <v>2405</v>
      </c>
    </row>
    <row r="8668">
      <c r="A8668" t="inlineStr">
        <is>
          <t>27BBBBB08668Z5</t>
        </is>
      </c>
      <c r="B8668" t="inlineStr">
        <is>
          <t>Oct-2017</t>
        </is>
      </c>
      <c r="C8668" s="2" t="n">
        <v>43448</v>
      </c>
      <c r="D8668" t="inlineStr">
        <is>
          <t>NON-NIL</t>
        </is>
      </c>
      <c r="E8668" t="n">
        <v>1272</v>
      </c>
    </row>
    <row r="8669">
      <c r="A8669" t="inlineStr">
        <is>
          <t>27BBBBB08669Z5</t>
        </is>
      </c>
      <c r="B8669" t="inlineStr">
        <is>
          <t>Mar-2023</t>
        </is>
      </c>
      <c r="C8669" s="2" t="n">
        <v>45383</v>
      </c>
      <c r="D8669" t="inlineStr">
        <is>
          <t>NIL</t>
        </is>
      </c>
      <c r="E8669" t="n">
        <v>2642</v>
      </c>
    </row>
    <row r="8670">
      <c r="A8670" t="inlineStr">
        <is>
          <t>27BBBBB08670Z5</t>
        </is>
      </c>
      <c r="B8670" t="inlineStr">
        <is>
          <t>Jun-2020</t>
        </is>
      </c>
      <c r="C8670" s="2" t="n">
        <v>44486</v>
      </c>
      <c r="D8670" t="inlineStr">
        <is>
          <t>NON-NIL</t>
        </is>
      </c>
      <c r="E8670" t="n">
        <v>1017</v>
      </c>
    </row>
    <row r="8671">
      <c r="A8671" t="inlineStr">
        <is>
          <t>27BBBBB08671Z5</t>
        </is>
      </c>
      <c r="B8671" t="inlineStr">
        <is>
          <t>Jan-2018</t>
        </is>
      </c>
      <c r="C8671" s="2" t="n">
        <v>43280</v>
      </c>
      <c r="D8671" t="inlineStr">
        <is>
          <t>NIL</t>
        </is>
      </c>
      <c r="E8671" t="n">
        <v>630</v>
      </c>
    </row>
    <row r="8672">
      <c r="A8672" t="inlineStr">
        <is>
          <t>27BBBBB08672Z5</t>
        </is>
      </c>
      <c r="B8672" t="inlineStr">
        <is>
          <t>May-2018</t>
        </is>
      </c>
      <c r="C8672" s="2" t="n">
        <v>44123</v>
      </c>
      <c r="D8672" t="inlineStr">
        <is>
          <t>NON-NIL</t>
        </is>
      </c>
      <c r="E8672" t="n">
        <v>2679</v>
      </c>
    </row>
    <row r="8673">
      <c r="A8673" t="inlineStr">
        <is>
          <t>27BBBBB08673Z5</t>
        </is>
      </c>
      <c r="B8673" t="inlineStr">
        <is>
          <t>Dec-2022</t>
        </is>
      </c>
      <c r="C8673" s="2" t="n">
        <v>44667</v>
      </c>
      <c r="D8673" t="inlineStr">
        <is>
          <t>NIL</t>
        </is>
      </c>
      <c r="E8673" t="n">
        <v>576</v>
      </c>
    </row>
    <row r="8674">
      <c r="A8674" t="inlineStr">
        <is>
          <t>27BBBBB08674Z5</t>
        </is>
      </c>
      <c r="B8674" t="inlineStr">
        <is>
          <t>Jul-2020</t>
        </is>
      </c>
      <c r="C8674" s="2" t="n">
        <v>44396</v>
      </c>
      <c r="D8674" t="inlineStr">
        <is>
          <t>NON-NIL</t>
        </is>
      </c>
      <c r="E8674" t="n">
        <v>2900</v>
      </c>
    </row>
    <row r="8675">
      <c r="A8675" t="inlineStr">
        <is>
          <t>27BBBBB08675Z5</t>
        </is>
      </c>
      <c r="B8675" t="inlineStr">
        <is>
          <t>Jan-2018</t>
        </is>
      </c>
      <c r="C8675" s="2" t="n">
        <v>44431</v>
      </c>
      <c r="D8675" t="inlineStr">
        <is>
          <t>NIL</t>
        </is>
      </c>
      <c r="E8675" t="n">
        <v>712</v>
      </c>
    </row>
    <row r="8676">
      <c r="A8676" t="inlineStr">
        <is>
          <t>27BBBBB08676Z5</t>
        </is>
      </c>
      <c r="B8676" t="inlineStr">
        <is>
          <t>Aug-2017</t>
        </is>
      </c>
      <c r="C8676" s="2" t="n">
        <v>43872</v>
      </c>
      <c r="D8676" t="inlineStr">
        <is>
          <t>NIL</t>
        </is>
      </c>
      <c r="E8676" t="n">
        <v>100</v>
      </c>
    </row>
    <row r="8677">
      <c r="A8677" t="inlineStr">
        <is>
          <t>27BBBBB08677Z5</t>
        </is>
      </c>
      <c r="B8677" t="inlineStr">
        <is>
          <t>May-2018</t>
        </is>
      </c>
      <c r="C8677" s="2" t="n">
        <v>44399</v>
      </c>
      <c r="D8677" t="inlineStr">
        <is>
          <t>NIL</t>
        </is>
      </c>
      <c r="E8677" t="n">
        <v>2245</v>
      </c>
    </row>
    <row r="8678">
      <c r="A8678" t="inlineStr">
        <is>
          <t>27BBBBB08678Z5</t>
        </is>
      </c>
      <c r="B8678" t="inlineStr">
        <is>
          <t>Mar-2020</t>
        </is>
      </c>
      <c r="C8678" s="2" t="n">
        <v>44383</v>
      </c>
      <c r="D8678" t="inlineStr">
        <is>
          <t>NIL</t>
        </is>
      </c>
      <c r="E8678" t="n">
        <v>2214</v>
      </c>
    </row>
    <row r="8679">
      <c r="A8679" t="inlineStr">
        <is>
          <t>27BBBBB08679Z5</t>
        </is>
      </c>
      <c r="B8679" t="inlineStr">
        <is>
          <t>Jul-2020</t>
        </is>
      </c>
      <c r="C8679" s="2" t="n">
        <v>44000</v>
      </c>
      <c r="D8679" t="inlineStr">
        <is>
          <t>NON-NIL</t>
        </is>
      </c>
      <c r="E8679" t="n">
        <v>2572</v>
      </c>
    </row>
    <row r="8680">
      <c r="A8680" t="inlineStr">
        <is>
          <t>27BBBBB08680Z5</t>
        </is>
      </c>
      <c r="B8680" t="inlineStr">
        <is>
          <t>Sep-2018</t>
        </is>
      </c>
      <c r="C8680" s="2" t="n">
        <v>43246</v>
      </c>
      <c r="D8680" t="inlineStr">
        <is>
          <t>NIL</t>
        </is>
      </c>
      <c r="E8680" t="n">
        <v>876</v>
      </c>
    </row>
    <row r="8681">
      <c r="A8681" t="inlineStr">
        <is>
          <t>27BBBBB08681Z5</t>
        </is>
      </c>
      <c r="B8681" t="inlineStr">
        <is>
          <t>Jul-2018</t>
        </is>
      </c>
      <c r="C8681" s="2" t="n">
        <v>44114</v>
      </c>
      <c r="D8681" t="inlineStr">
        <is>
          <t>NIL</t>
        </is>
      </c>
      <c r="E8681" t="n">
        <v>1524</v>
      </c>
    </row>
    <row r="8682">
      <c r="A8682" t="inlineStr">
        <is>
          <t>27BBBBB08682Z5</t>
        </is>
      </c>
      <c r="B8682" t="inlineStr">
        <is>
          <t>Oct-2017</t>
        </is>
      </c>
      <c r="C8682" s="2" t="n">
        <v>44428</v>
      </c>
      <c r="D8682" t="inlineStr">
        <is>
          <t>NIL</t>
        </is>
      </c>
      <c r="E8682" t="n">
        <v>1900</v>
      </c>
    </row>
    <row r="8683">
      <c r="A8683" t="inlineStr">
        <is>
          <t>27BBBBB08683Z5</t>
        </is>
      </c>
      <c r="B8683" t="inlineStr">
        <is>
          <t>Jan-2018</t>
        </is>
      </c>
      <c r="C8683" s="2" t="n">
        <v>43967</v>
      </c>
      <c r="D8683" t="inlineStr">
        <is>
          <t>NON-NIL</t>
        </is>
      </c>
      <c r="E8683" t="n">
        <v>257</v>
      </c>
    </row>
    <row r="8684">
      <c r="A8684" t="inlineStr">
        <is>
          <t>27BBBBB08684Z5</t>
        </is>
      </c>
      <c r="B8684" t="inlineStr">
        <is>
          <t>May-2018</t>
        </is>
      </c>
      <c r="C8684" s="2" t="n">
        <v>43364</v>
      </c>
      <c r="D8684" t="inlineStr">
        <is>
          <t>NON-NIL</t>
        </is>
      </c>
      <c r="E8684" t="n">
        <v>2574</v>
      </c>
    </row>
    <row r="8685">
      <c r="A8685" t="inlineStr">
        <is>
          <t>27BBBBB08685Z5</t>
        </is>
      </c>
      <c r="B8685" t="inlineStr">
        <is>
          <t>Jan-2018</t>
        </is>
      </c>
      <c r="C8685" s="2" t="n">
        <v>43657</v>
      </c>
      <c r="D8685" t="inlineStr">
        <is>
          <t>NON-NIL</t>
        </is>
      </c>
      <c r="E8685" t="n">
        <v>1955</v>
      </c>
    </row>
    <row r="8686">
      <c r="A8686" t="inlineStr">
        <is>
          <t>27BBBBB08686Z5</t>
        </is>
      </c>
      <c r="B8686" t="inlineStr">
        <is>
          <t>Dec-2022</t>
        </is>
      </c>
      <c r="C8686" s="2" t="n">
        <v>44635</v>
      </c>
      <c r="D8686" t="inlineStr">
        <is>
          <t>NIL</t>
        </is>
      </c>
      <c r="E8686" t="n">
        <v>1412</v>
      </c>
    </row>
    <row r="8687">
      <c r="A8687" t="inlineStr">
        <is>
          <t>27BBBBB08687Z5</t>
        </is>
      </c>
      <c r="B8687" t="inlineStr">
        <is>
          <t>Apr-2018</t>
        </is>
      </c>
      <c r="C8687" s="2" t="n">
        <v>44291</v>
      </c>
      <c r="D8687" t="inlineStr">
        <is>
          <t>NIL</t>
        </is>
      </c>
      <c r="E8687" t="n">
        <v>2520</v>
      </c>
    </row>
    <row r="8688">
      <c r="A8688" t="inlineStr">
        <is>
          <t>27BBBBB08688Z5</t>
        </is>
      </c>
      <c r="B8688" t="inlineStr">
        <is>
          <t>Apr-2018</t>
        </is>
      </c>
      <c r="C8688" s="2" t="n">
        <v>43774</v>
      </c>
      <c r="D8688" t="inlineStr">
        <is>
          <t>NIL</t>
        </is>
      </c>
      <c r="E8688" t="n">
        <v>1820</v>
      </c>
    </row>
    <row r="8689">
      <c r="A8689" t="inlineStr">
        <is>
          <t>27BBBBB08689Z5</t>
        </is>
      </c>
      <c r="B8689" t="inlineStr">
        <is>
          <t>Mar-2018</t>
        </is>
      </c>
      <c r="C8689" s="2" t="n">
        <v>43669</v>
      </c>
      <c r="D8689" t="inlineStr">
        <is>
          <t>NON-NIL</t>
        </is>
      </c>
      <c r="E8689" t="n">
        <v>1678</v>
      </c>
    </row>
    <row r="8690">
      <c r="A8690" t="inlineStr">
        <is>
          <t>27BBBBB08690Z5</t>
        </is>
      </c>
      <c r="B8690" t="inlineStr">
        <is>
          <t>Jan-2018</t>
        </is>
      </c>
      <c r="C8690" s="2" t="n">
        <v>44542</v>
      </c>
      <c r="D8690" t="inlineStr">
        <is>
          <t>NON-NIL</t>
        </is>
      </c>
      <c r="E8690" t="n">
        <v>2275</v>
      </c>
    </row>
    <row r="8691">
      <c r="A8691" t="inlineStr">
        <is>
          <t>27BBBBB08691Z5</t>
        </is>
      </c>
      <c r="B8691" t="inlineStr">
        <is>
          <t>Mar-2021</t>
        </is>
      </c>
      <c r="C8691" s="2" t="n">
        <v>43623</v>
      </c>
      <c r="D8691" t="inlineStr">
        <is>
          <t>NIL</t>
        </is>
      </c>
      <c r="E8691" t="n">
        <v>2131</v>
      </c>
    </row>
    <row r="8692">
      <c r="A8692" t="inlineStr">
        <is>
          <t>27BBBBB08692Z5</t>
        </is>
      </c>
      <c r="B8692" t="inlineStr">
        <is>
          <t>Oct-2018</t>
        </is>
      </c>
      <c r="C8692" s="2" t="n">
        <v>43116</v>
      </c>
      <c r="D8692" t="inlineStr">
        <is>
          <t>NON-NIL</t>
        </is>
      </c>
      <c r="E8692" t="n">
        <v>367</v>
      </c>
    </row>
    <row r="8693">
      <c r="A8693" t="inlineStr">
        <is>
          <t>27BBBBB08693Z5</t>
        </is>
      </c>
      <c r="B8693" t="inlineStr">
        <is>
          <t>Feb-2018</t>
        </is>
      </c>
      <c r="C8693" s="2" t="n">
        <v>42934</v>
      </c>
      <c r="D8693" t="inlineStr">
        <is>
          <t>NIL</t>
        </is>
      </c>
      <c r="E8693" t="n">
        <v>1622</v>
      </c>
    </row>
    <row r="8694">
      <c r="A8694" t="inlineStr">
        <is>
          <t>27BBBBB08694Z5</t>
        </is>
      </c>
      <c r="B8694" t="inlineStr">
        <is>
          <t>Jan-2018</t>
        </is>
      </c>
      <c r="C8694" s="2" t="n">
        <v>43524</v>
      </c>
      <c r="D8694" t="inlineStr">
        <is>
          <t>NIL</t>
        </is>
      </c>
      <c r="E8694" t="n">
        <v>2425</v>
      </c>
    </row>
    <row r="8695">
      <c r="A8695" t="inlineStr">
        <is>
          <t>27BBBBB08695Z5</t>
        </is>
      </c>
      <c r="B8695" t="inlineStr">
        <is>
          <t>Aug-2018</t>
        </is>
      </c>
      <c r="C8695" s="2" t="n">
        <v>44554</v>
      </c>
      <c r="D8695" t="inlineStr">
        <is>
          <t>NIL</t>
        </is>
      </c>
      <c r="E8695" t="n">
        <v>716</v>
      </c>
    </row>
    <row r="8696">
      <c r="A8696" t="inlineStr">
        <is>
          <t>27BBBBB08696Z5</t>
        </is>
      </c>
      <c r="B8696" t="inlineStr">
        <is>
          <t>May-2020</t>
        </is>
      </c>
      <c r="C8696" s="2" t="n">
        <v>44167</v>
      </c>
      <c r="D8696" t="inlineStr">
        <is>
          <t>NON-NIL</t>
        </is>
      </c>
      <c r="E8696" t="n">
        <v>609</v>
      </c>
    </row>
    <row r="8697">
      <c r="A8697" t="inlineStr">
        <is>
          <t>27BBBBB08697Z5</t>
        </is>
      </c>
      <c r="B8697" t="inlineStr">
        <is>
          <t>Jun-2020</t>
        </is>
      </c>
      <c r="C8697" s="2" t="n">
        <v>44297</v>
      </c>
      <c r="D8697" t="inlineStr">
        <is>
          <t>NON-NIL</t>
        </is>
      </c>
      <c r="E8697" t="n">
        <v>451</v>
      </c>
    </row>
    <row r="8698">
      <c r="A8698" t="inlineStr">
        <is>
          <t>27BBBBB08698Z5</t>
        </is>
      </c>
      <c r="B8698" t="inlineStr">
        <is>
          <t>Dec-2018</t>
        </is>
      </c>
      <c r="C8698" s="2" t="n">
        <v>44490</v>
      </c>
      <c r="D8698" t="inlineStr">
        <is>
          <t>NIL</t>
        </is>
      </c>
      <c r="E8698" t="n">
        <v>1498</v>
      </c>
    </row>
    <row r="8699">
      <c r="A8699" t="inlineStr">
        <is>
          <t>27BBBBB08699Z5</t>
        </is>
      </c>
      <c r="B8699" t="inlineStr">
        <is>
          <t>Sep-2018</t>
        </is>
      </c>
      <c r="C8699" s="2" t="n">
        <v>44132</v>
      </c>
      <c r="D8699" t="inlineStr">
        <is>
          <t>NON-NIL</t>
        </is>
      </c>
      <c r="E8699" t="n">
        <v>1813</v>
      </c>
    </row>
    <row r="8700">
      <c r="A8700" t="inlineStr">
        <is>
          <t>27BBBBB08700Z5</t>
        </is>
      </c>
      <c r="B8700" t="inlineStr">
        <is>
          <t>Aug-2018</t>
        </is>
      </c>
      <c r="C8700" s="2" t="n">
        <v>43505</v>
      </c>
      <c r="D8700" t="inlineStr">
        <is>
          <t>NIL</t>
        </is>
      </c>
      <c r="E8700" t="n">
        <v>825</v>
      </c>
    </row>
    <row r="8701">
      <c r="A8701" t="inlineStr">
        <is>
          <t>27BBBBB08701Z5</t>
        </is>
      </c>
      <c r="B8701" t="inlineStr">
        <is>
          <t>Sep-2018</t>
        </is>
      </c>
      <c r="C8701" s="2" t="n">
        <v>44003</v>
      </c>
      <c r="D8701" t="inlineStr">
        <is>
          <t>NON-NIL</t>
        </is>
      </c>
      <c r="E8701" t="n">
        <v>151</v>
      </c>
    </row>
    <row r="8702">
      <c r="A8702" t="inlineStr">
        <is>
          <t>27BBBBB08702Z5</t>
        </is>
      </c>
      <c r="B8702" t="inlineStr">
        <is>
          <t>Sep-2018</t>
        </is>
      </c>
      <c r="C8702" s="2" t="n">
        <v>44070</v>
      </c>
      <c r="D8702" t="inlineStr">
        <is>
          <t>NIL</t>
        </is>
      </c>
      <c r="E8702" t="n">
        <v>2625</v>
      </c>
    </row>
    <row r="8703">
      <c r="A8703" t="inlineStr">
        <is>
          <t>27BBBBB08703Z5</t>
        </is>
      </c>
      <c r="B8703" t="inlineStr">
        <is>
          <t>May-2020</t>
        </is>
      </c>
      <c r="C8703" s="2" t="n">
        <v>44460</v>
      </c>
      <c r="D8703" t="inlineStr">
        <is>
          <t>NON-NIL</t>
        </is>
      </c>
      <c r="E8703" t="n">
        <v>1532</v>
      </c>
    </row>
    <row r="8704">
      <c r="A8704" t="inlineStr">
        <is>
          <t>27BBBBB08704Z5</t>
        </is>
      </c>
      <c r="B8704" t="inlineStr">
        <is>
          <t>Jun-2018</t>
        </is>
      </c>
      <c r="C8704" s="2" t="n">
        <v>43237</v>
      </c>
      <c r="D8704" t="inlineStr">
        <is>
          <t>NIL</t>
        </is>
      </c>
      <c r="E8704" t="n">
        <v>38</v>
      </c>
    </row>
    <row r="8705">
      <c r="A8705" t="inlineStr">
        <is>
          <t>27BBBBB08705Z5</t>
        </is>
      </c>
      <c r="B8705" t="inlineStr">
        <is>
          <t>Mar-2021</t>
        </is>
      </c>
      <c r="C8705" s="2" t="n">
        <v>44462</v>
      </c>
      <c r="D8705" t="inlineStr">
        <is>
          <t>NIL</t>
        </is>
      </c>
      <c r="E8705" t="n">
        <v>2835</v>
      </c>
    </row>
    <row r="8706">
      <c r="A8706" t="inlineStr">
        <is>
          <t>27BBBBB08706Z5</t>
        </is>
      </c>
      <c r="B8706" t="inlineStr">
        <is>
          <t>Jul-2020</t>
        </is>
      </c>
      <c r="C8706" s="2" t="n">
        <v>44471</v>
      </c>
      <c r="D8706" t="inlineStr">
        <is>
          <t>NIL</t>
        </is>
      </c>
      <c r="E8706" t="n">
        <v>431</v>
      </c>
    </row>
    <row r="8707">
      <c r="A8707" t="inlineStr">
        <is>
          <t>27BBBBB08707Z5</t>
        </is>
      </c>
      <c r="B8707" t="inlineStr">
        <is>
          <t>Dec-2017</t>
        </is>
      </c>
      <c r="C8707" s="2" t="n">
        <v>43383</v>
      </c>
      <c r="D8707" t="inlineStr">
        <is>
          <t>NIL</t>
        </is>
      </c>
      <c r="E8707" t="n">
        <v>2331</v>
      </c>
    </row>
    <row r="8708">
      <c r="A8708" t="inlineStr">
        <is>
          <t>27BBBBB08708Z5</t>
        </is>
      </c>
      <c r="B8708" t="inlineStr">
        <is>
          <t>Jul-2017</t>
        </is>
      </c>
      <c r="C8708" s="2" t="n">
        <v>43020</v>
      </c>
      <c r="D8708" t="inlineStr">
        <is>
          <t>NIL</t>
        </is>
      </c>
      <c r="E8708" t="n">
        <v>476</v>
      </c>
    </row>
    <row r="8709">
      <c r="A8709" t="inlineStr">
        <is>
          <t>27BBBBB08709Z5</t>
        </is>
      </c>
      <c r="B8709" t="inlineStr">
        <is>
          <t>Jul-2020</t>
        </is>
      </c>
      <c r="C8709" s="2" t="n">
        <v>44163</v>
      </c>
      <c r="D8709" t="inlineStr">
        <is>
          <t>NON-NIL</t>
        </is>
      </c>
      <c r="E8709" t="n">
        <v>2516</v>
      </c>
    </row>
    <row r="8710">
      <c r="A8710" t="inlineStr">
        <is>
          <t>27BBBBB08710Z5</t>
        </is>
      </c>
      <c r="B8710" t="inlineStr">
        <is>
          <t>Feb-2018</t>
        </is>
      </c>
      <c r="C8710" s="2" t="n">
        <v>43490</v>
      </c>
      <c r="D8710" t="inlineStr">
        <is>
          <t>NIL</t>
        </is>
      </c>
      <c r="E8710" t="n">
        <v>2580</v>
      </c>
    </row>
    <row r="8711">
      <c r="A8711" t="inlineStr">
        <is>
          <t>27BBBBB08711Z5</t>
        </is>
      </c>
      <c r="B8711" t="inlineStr">
        <is>
          <t>Jun-2018</t>
        </is>
      </c>
      <c r="C8711" s="2" t="n">
        <v>44321</v>
      </c>
      <c r="D8711" t="inlineStr">
        <is>
          <t>NIL</t>
        </is>
      </c>
      <c r="E8711" t="n">
        <v>569</v>
      </c>
    </row>
    <row r="8712">
      <c r="A8712" t="inlineStr">
        <is>
          <t>27BBBBB08712Z5</t>
        </is>
      </c>
      <c r="B8712" t="inlineStr">
        <is>
          <t>Sep-2017</t>
        </is>
      </c>
      <c r="C8712" s="2" t="n">
        <v>43258</v>
      </c>
      <c r="D8712" t="inlineStr">
        <is>
          <t>NIL</t>
        </is>
      </c>
      <c r="E8712" t="n">
        <v>1518</v>
      </c>
    </row>
    <row r="8713">
      <c r="A8713" t="inlineStr">
        <is>
          <t>27BBBBB08713Z5</t>
        </is>
      </c>
      <c r="B8713" t="inlineStr">
        <is>
          <t>Sep-2017</t>
        </is>
      </c>
      <c r="C8713" s="2" t="n">
        <v>43128</v>
      </c>
      <c r="D8713" t="inlineStr">
        <is>
          <t>NIL</t>
        </is>
      </c>
      <c r="E8713" t="n">
        <v>2259</v>
      </c>
    </row>
    <row r="8714">
      <c r="A8714" t="inlineStr">
        <is>
          <t>27BBBBB08714Z5</t>
        </is>
      </c>
      <c r="B8714" t="inlineStr">
        <is>
          <t>Dec-2018</t>
        </is>
      </c>
      <c r="C8714" s="2" t="n">
        <v>42917</v>
      </c>
      <c r="D8714" t="inlineStr">
        <is>
          <t>NON-NIL</t>
        </is>
      </c>
      <c r="E8714" t="n">
        <v>201</v>
      </c>
    </row>
    <row r="8715">
      <c r="A8715" t="inlineStr">
        <is>
          <t>27BBBBB08715Z5</t>
        </is>
      </c>
      <c r="B8715" t="inlineStr">
        <is>
          <t>Jul-2018</t>
        </is>
      </c>
      <c r="C8715" s="2" t="n">
        <v>43750</v>
      </c>
      <c r="D8715" t="inlineStr">
        <is>
          <t>NON-NIL</t>
        </is>
      </c>
      <c r="E8715" t="n">
        <v>2462</v>
      </c>
    </row>
    <row r="8716">
      <c r="A8716" t="inlineStr">
        <is>
          <t>27BBBBB08716Z5</t>
        </is>
      </c>
      <c r="B8716" t="inlineStr">
        <is>
          <t>Dec-2022</t>
        </is>
      </c>
      <c r="C8716" s="2" t="n">
        <v>44393</v>
      </c>
      <c r="D8716" t="inlineStr">
        <is>
          <t>NON-NIL</t>
        </is>
      </c>
      <c r="E8716" t="n">
        <v>1620</v>
      </c>
    </row>
    <row r="8717">
      <c r="A8717" t="inlineStr">
        <is>
          <t>27BBBBB08717Z5</t>
        </is>
      </c>
      <c r="B8717" t="inlineStr">
        <is>
          <t>Mar-2023</t>
        </is>
      </c>
      <c r="C8717" s="2" t="n">
        <v>43850</v>
      </c>
      <c r="D8717" t="inlineStr">
        <is>
          <t>NON-NIL</t>
        </is>
      </c>
      <c r="E8717" t="n">
        <v>239</v>
      </c>
    </row>
    <row r="8718">
      <c r="A8718" t="inlineStr">
        <is>
          <t>27BBBBB08718Z5</t>
        </is>
      </c>
      <c r="B8718" t="inlineStr">
        <is>
          <t>Jul-2017</t>
        </is>
      </c>
      <c r="C8718" s="2" t="n">
        <v>44040</v>
      </c>
      <c r="D8718" t="inlineStr">
        <is>
          <t>NIL</t>
        </is>
      </c>
      <c r="E8718" t="n">
        <v>1234</v>
      </c>
    </row>
    <row r="8719">
      <c r="A8719" t="inlineStr">
        <is>
          <t>27BBBBB08719Z5</t>
        </is>
      </c>
      <c r="B8719" t="inlineStr">
        <is>
          <t>Jun-2020</t>
        </is>
      </c>
      <c r="C8719" s="2" t="n">
        <v>44548</v>
      </c>
      <c r="D8719" t="inlineStr">
        <is>
          <t>NIL</t>
        </is>
      </c>
      <c r="E8719" t="n">
        <v>2631</v>
      </c>
    </row>
    <row r="8720">
      <c r="A8720" t="inlineStr">
        <is>
          <t>27BBBBB08720Z5</t>
        </is>
      </c>
      <c r="B8720" t="inlineStr">
        <is>
          <t>Dec-2022</t>
        </is>
      </c>
      <c r="C8720" s="2" t="n">
        <v>45724</v>
      </c>
      <c r="D8720" t="inlineStr">
        <is>
          <t>NON-NIL</t>
        </is>
      </c>
      <c r="E8720" t="n">
        <v>46</v>
      </c>
    </row>
    <row r="8721">
      <c r="A8721" t="inlineStr">
        <is>
          <t>27BBBBB08721Z5</t>
        </is>
      </c>
      <c r="B8721" t="inlineStr">
        <is>
          <t>Jul-2018</t>
        </is>
      </c>
      <c r="C8721" s="2" t="n">
        <v>44014</v>
      </c>
      <c r="D8721" t="inlineStr">
        <is>
          <t>NIL</t>
        </is>
      </c>
      <c r="E8721" t="n">
        <v>359</v>
      </c>
    </row>
    <row r="8722">
      <c r="A8722" t="inlineStr">
        <is>
          <t>27BBBBB08722Z5</t>
        </is>
      </c>
      <c r="B8722" t="inlineStr">
        <is>
          <t>Oct-2018</t>
        </is>
      </c>
      <c r="C8722" s="2" t="n">
        <v>44430</v>
      </c>
      <c r="D8722" t="inlineStr">
        <is>
          <t>NON-NIL</t>
        </is>
      </c>
      <c r="E8722" t="n">
        <v>1073</v>
      </c>
    </row>
    <row r="8723">
      <c r="A8723" t="inlineStr">
        <is>
          <t>27BBBBB08723Z5</t>
        </is>
      </c>
      <c r="B8723" t="inlineStr">
        <is>
          <t>Oct-2018</t>
        </is>
      </c>
      <c r="C8723" s="2" t="n">
        <v>44398</v>
      </c>
      <c r="D8723" t="inlineStr">
        <is>
          <t>NIL</t>
        </is>
      </c>
      <c r="E8723" t="n">
        <v>1969</v>
      </c>
    </row>
    <row r="8724">
      <c r="A8724" t="inlineStr">
        <is>
          <t>27BBBBB08724Z5</t>
        </is>
      </c>
      <c r="B8724" t="inlineStr">
        <is>
          <t>Mar-2018</t>
        </is>
      </c>
      <c r="C8724" s="2" t="n">
        <v>44146</v>
      </c>
      <c r="D8724" t="inlineStr">
        <is>
          <t>NON-NIL</t>
        </is>
      </c>
      <c r="E8724" t="n">
        <v>708</v>
      </c>
    </row>
    <row r="8725">
      <c r="A8725" t="inlineStr">
        <is>
          <t>27BBBBB08725Z5</t>
        </is>
      </c>
      <c r="B8725" t="inlineStr">
        <is>
          <t>Nov-2017</t>
        </is>
      </c>
      <c r="C8725" s="2" t="n">
        <v>43524</v>
      </c>
      <c r="D8725" t="inlineStr">
        <is>
          <t>NON-NIL</t>
        </is>
      </c>
      <c r="E8725" t="n">
        <v>2706</v>
      </c>
    </row>
    <row r="8726">
      <c r="A8726" t="inlineStr">
        <is>
          <t>27BBBBB08726Z5</t>
        </is>
      </c>
      <c r="B8726" t="inlineStr">
        <is>
          <t>Apr-2020</t>
        </is>
      </c>
      <c r="C8726" s="2" t="n">
        <v>44737</v>
      </c>
      <c r="D8726" t="inlineStr">
        <is>
          <t>NON-NIL</t>
        </is>
      </c>
      <c r="E8726" t="n">
        <v>938</v>
      </c>
    </row>
    <row r="8727">
      <c r="A8727" t="inlineStr">
        <is>
          <t>27BBBBB08727Z5</t>
        </is>
      </c>
      <c r="B8727" t="inlineStr">
        <is>
          <t>Mar-2020</t>
        </is>
      </c>
      <c r="C8727" s="2" t="n">
        <v>44078</v>
      </c>
      <c r="D8727" t="inlineStr">
        <is>
          <t>NON-NIL</t>
        </is>
      </c>
      <c r="E8727" t="n">
        <v>121</v>
      </c>
    </row>
    <row r="8728">
      <c r="A8728" t="inlineStr">
        <is>
          <t>27BBBBB08728Z5</t>
        </is>
      </c>
      <c r="B8728" t="inlineStr">
        <is>
          <t>Aug-2017</t>
        </is>
      </c>
      <c r="C8728" s="2" t="n">
        <v>43836</v>
      </c>
      <c r="D8728" t="inlineStr">
        <is>
          <t>NON-NIL</t>
        </is>
      </c>
      <c r="E8728" t="n">
        <v>2329</v>
      </c>
    </row>
    <row r="8729">
      <c r="A8729" t="inlineStr">
        <is>
          <t>27BBBBB08729Z5</t>
        </is>
      </c>
      <c r="B8729" t="inlineStr">
        <is>
          <t>Apr-2018</t>
        </is>
      </c>
      <c r="C8729" s="2" t="n">
        <v>43085</v>
      </c>
      <c r="D8729" t="inlineStr">
        <is>
          <t>NON-NIL</t>
        </is>
      </c>
      <c r="E8729" t="n">
        <v>1334</v>
      </c>
    </row>
    <row r="8730">
      <c r="A8730" t="inlineStr">
        <is>
          <t>27BBBBB08730Z5</t>
        </is>
      </c>
      <c r="B8730" t="inlineStr">
        <is>
          <t>Jun-2020</t>
        </is>
      </c>
      <c r="C8730" s="2" t="n">
        <v>44782</v>
      </c>
      <c r="D8730" t="inlineStr">
        <is>
          <t>NIL</t>
        </is>
      </c>
      <c r="E8730" t="n">
        <v>298</v>
      </c>
    </row>
    <row r="8731">
      <c r="A8731" t="inlineStr">
        <is>
          <t>27BBBBB08731Z5</t>
        </is>
      </c>
      <c r="B8731" t="inlineStr">
        <is>
          <t>Jun-2018</t>
        </is>
      </c>
      <c r="C8731" s="2" t="n">
        <v>43175</v>
      </c>
      <c r="D8731" t="inlineStr">
        <is>
          <t>NON-NIL</t>
        </is>
      </c>
      <c r="E8731" t="n">
        <v>214</v>
      </c>
    </row>
    <row r="8732">
      <c r="A8732" t="inlineStr">
        <is>
          <t>27BBBBB08732Z5</t>
        </is>
      </c>
      <c r="B8732" t="inlineStr">
        <is>
          <t>Mar-2021</t>
        </is>
      </c>
      <c r="C8732" s="2" t="n">
        <v>45176</v>
      </c>
      <c r="D8732" t="inlineStr">
        <is>
          <t>NIL</t>
        </is>
      </c>
      <c r="E8732" t="n">
        <v>1376</v>
      </c>
    </row>
    <row r="8733">
      <c r="A8733" t="inlineStr">
        <is>
          <t>27BBBBB08733Z5</t>
        </is>
      </c>
      <c r="B8733" t="inlineStr">
        <is>
          <t>Apr-2018</t>
        </is>
      </c>
      <c r="C8733" s="2" t="n">
        <v>43142</v>
      </c>
      <c r="D8733" t="inlineStr">
        <is>
          <t>NON-NIL</t>
        </is>
      </c>
      <c r="E8733" t="n">
        <v>1816</v>
      </c>
    </row>
    <row r="8734">
      <c r="A8734" t="inlineStr">
        <is>
          <t>27BBBBB08734Z5</t>
        </is>
      </c>
      <c r="B8734" t="inlineStr">
        <is>
          <t>Nov-2018</t>
        </is>
      </c>
      <c r="C8734" s="2" t="n">
        <v>44208</v>
      </c>
      <c r="D8734" t="inlineStr">
        <is>
          <t>NON-NIL</t>
        </is>
      </c>
      <c r="E8734" t="n">
        <v>911</v>
      </c>
    </row>
    <row r="8735">
      <c r="A8735" t="inlineStr">
        <is>
          <t>27BBBBB08735Z5</t>
        </is>
      </c>
      <c r="B8735" t="inlineStr">
        <is>
          <t>Jul-2017</t>
        </is>
      </c>
      <c r="C8735" s="2" t="n">
        <v>43483</v>
      </c>
      <c r="D8735" t="inlineStr">
        <is>
          <t>NON-NIL</t>
        </is>
      </c>
      <c r="E8735" t="n">
        <v>1285</v>
      </c>
    </row>
    <row r="8736">
      <c r="A8736" t="inlineStr">
        <is>
          <t>27BBBBB08736Z5</t>
        </is>
      </c>
      <c r="B8736" t="inlineStr">
        <is>
          <t>Jul-2018</t>
        </is>
      </c>
      <c r="C8736" s="2" t="n">
        <v>43869</v>
      </c>
      <c r="D8736" t="inlineStr">
        <is>
          <t>NON-NIL</t>
        </is>
      </c>
      <c r="E8736" t="n">
        <v>2640</v>
      </c>
    </row>
    <row r="8737">
      <c r="A8737" t="inlineStr">
        <is>
          <t>27BBBBB08737Z5</t>
        </is>
      </c>
      <c r="B8737" t="inlineStr">
        <is>
          <t>Mar-2020</t>
        </is>
      </c>
      <c r="C8737" s="2" t="n">
        <v>44881</v>
      </c>
      <c r="D8737" t="inlineStr">
        <is>
          <t>NIL</t>
        </is>
      </c>
      <c r="E8737" t="n">
        <v>2272</v>
      </c>
    </row>
    <row r="8738">
      <c r="A8738" t="inlineStr">
        <is>
          <t>27BBBBB08738Z5</t>
        </is>
      </c>
      <c r="B8738" t="inlineStr">
        <is>
          <t>May-2020</t>
        </is>
      </c>
      <c r="C8738" s="2" t="n">
        <v>44657</v>
      </c>
      <c r="D8738" t="inlineStr">
        <is>
          <t>NIL</t>
        </is>
      </c>
      <c r="E8738" t="n">
        <v>556</v>
      </c>
    </row>
    <row r="8739">
      <c r="A8739" t="inlineStr">
        <is>
          <t>27BBBBB08739Z5</t>
        </is>
      </c>
      <c r="B8739" t="inlineStr">
        <is>
          <t>May-2020</t>
        </is>
      </c>
      <c r="C8739" s="2" t="n">
        <v>44446</v>
      </c>
      <c r="D8739" t="inlineStr">
        <is>
          <t>NIL</t>
        </is>
      </c>
      <c r="E8739" t="n">
        <v>814</v>
      </c>
    </row>
    <row r="8740">
      <c r="A8740" t="inlineStr">
        <is>
          <t>27BBBBB08740Z5</t>
        </is>
      </c>
      <c r="B8740" t="inlineStr">
        <is>
          <t>May-2018</t>
        </is>
      </c>
      <c r="C8740" s="2" t="n">
        <v>42934</v>
      </c>
      <c r="D8740" t="inlineStr">
        <is>
          <t>NON-NIL</t>
        </is>
      </c>
      <c r="E8740" t="n">
        <v>367</v>
      </c>
    </row>
    <row r="8741">
      <c r="A8741" t="inlineStr">
        <is>
          <t>27BBBBB08741Z5</t>
        </is>
      </c>
      <c r="B8741" t="inlineStr">
        <is>
          <t>Dec-2024</t>
        </is>
      </c>
      <c r="C8741" s="2" t="n">
        <v>43937</v>
      </c>
      <c r="D8741" t="inlineStr">
        <is>
          <t>NIL</t>
        </is>
      </c>
      <c r="E8741" t="n">
        <v>1903</v>
      </c>
    </row>
    <row r="8742">
      <c r="A8742" t="inlineStr">
        <is>
          <t>27BBBBB08742Z5</t>
        </is>
      </c>
      <c r="B8742" t="inlineStr">
        <is>
          <t>Mar-2018</t>
        </is>
      </c>
      <c r="C8742" s="2" t="n">
        <v>43966</v>
      </c>
      <c r="D8742" t="inlineStr">
        <is>
          <t>NIL</t>
        </is>
      </c>
      <c r="E8742" t="n">
        <v>1570</v>
      </c>
    </row>
    <row r="8743">
      <c r="A8743" t="inlineStr">
        <is>
          <t>27BBBBB08743Z5</t>
        </is>
      </c>
      <c r="B8743" t="inlineStr">
        <is>
          <t>Nov-2017</t>
        </is>
      </c>
      <c r="C8743" s="2" t="n">
        <v>43778</v>
      </c>
      <c r="D8743" t="inlineStr">
        <is>
          <t>NON-NIL</t>
        </is>
      </c>
      <c r="E8743" t="n">
        <v>710</v>
      </c>
    </row>
    <row r="8744">
      <c r="A8744" t="inlineStr">
        <is>
          <t>27BBBBB08744Z5</t>
        </is>
      </c>
      <c r="B8744" t="inlineStr">
        <is>
          <t>Jul-2017</t>
        </is>
      </c>
      <c r="C8744" s="2" t="n">
        <v>43612</v>
      </c>
      <c r="D8744" t="inlineStr">
        <is>
          <t>NON-NIL</t>
        </is>
      </c>
      <c r="E8744" t="n">
        <v>2727</v>
      </c>
    </row>
    <row r="8745">
      <c r="A8745" t="inlineStr">
        <is>
          <t>27BBBBB08745Z5</t>
        </is>
      </c>
      <c r="B8745" t="inlineStr">
        <is>
          <t>Aug-2018</t>
        </is>
      </c>
      <c r="C8745" s="2" t="n">
        <v>42931</v>
      </c>
      <c r="D8745" t="inlineStr">
        <is>
          <t>NON-NIL</t>
        </is>
      </c>
      <c r="E8745" t="n">
        <v>2842</v>
      </c>
    </row>
    <row r="8746">
      <c r="A8746" t="inlineStr">
        <is>
          <t>27BBBBB08746Z5</t>
        </is>
      </c>
      <c r="B8746" t="inlineStr">
        <is>
          <t>Mar-2020</t>
        </is>
      </c>
      <c r="C8746" s="2" t="n">
        <v>44227</v>
      </c>
      <c r="D8746" t="inlineStr">
        <is>
          <t>NIL</t>
        </is>
      </c>
      <c r="E8746" t="n">
        <v>2636</v>
      </c>
    </row>
    <row r="8747">
      <c r="A8747" t="inlineStr">
        <is>
          <t>27BBBBB08747Z5</t>
        </is>
      </c>
      <c r="B8747" t="inlineStr">
        <is>
          <t>Sep-2017</t>
        </is>
      </c>
      <c r="C8747" s="2" t="n">
        <v>44097</v>
      </c>
      <c r="D8747" t="inlineStr">
        <is>
          <t>NON-NIL</t>
        </is>
      </c>
      <c r="E8747" t="n">
        <v>1115</v>
      </c>
    </row>
    <row r="8748">
      <c r="A8748" t="inlineStr">
        <is>
          <t>27BBBBB08748Z5</t>
        </is>
      </c>
      <c r="B8748" t="inlineStr">
        <is>
          <t>Jul-2018</t>
        </is>
      </c>
      <c r="C8748" s="2" t="n">
        <v>43684</v>
      </c>
      <c r="D8748" t="inlineStr">
        <is>
          <t>NON-NIL</t>
        </is>
      </c>
      <c r="E8748" t="n">
        <v>846</v>
      </c>
    </row>
    <row r="8749">
      <c r="A8749" t="inlineStr">
        <is>
          <t>27BBBBB08749Z5</t>
        </is>
      </c>
      <c r="B8749" t="inlineStr">
        <is>
          <t>May-2020</t>
        </is>
      </c>
      <c r="C8749" s="2" t="n">
        <v>44918</v>
      </c>
      <c r="D8749" t="inlineStr">
        <is>
          <t>NIL</t>
        </is>
      </c>
      <c r="E8749" t="n">
        <v>1523</v>
      </c>
    </row>
    <row r="8750">
      <c r="A8750" t="inlineStr">
        <is>
          <t>27BBBBB08750Z5</t>
        </is>
      </c>
      <c r="B8750" t="inlineStr">
        <is>
          <t>Aug-2018</t>
        </is>
      </c>
      <c r="C8750" s="2" t="n">
        <v>44143</v>
      </c>
      <c r="D8750" t="inlineStr">
        <is>
          <t>NIL</t>
        </is>
      </c>
      <c r="E8750" t="n">
        <v>644</v>
      </c>
    </row>
    <row r="8751">
      <c r="A8751" t="inlineStr">
        <is>
          <t>27BBBBB08751Z5</t>
        </is>
      </c>
      <c r="B8751" t="inlineStr">
        <is>
          <t>Mar-2021</t>
        </is>
      </c>
      <c r="C8751" s="2" t="n">
        <v>45620</v>
      </c>
      <c r="D8751" t="inlineStr">
        <is>
          <t>NON-NIL</t>
        </is>
      </c>
      <c r="E8751" t="n">
        <v>2612</v>
      </c>
    </row>
    <row r="8752">
      <c r="A8752" t="inlineStr">
        <is>
          <t>27BBBBB08752Z5</t>
        </is>
      </c>
      <c r="B8752" t="inlineStr">
        <is>
          <t>Jul-2018</t>
        </is>
      </c>
      <c r="C8752" s="2" t="n">
        <v>43104</v>
      </c>
      <c r="D8752" t="inlineStr">
        <is>
          <t>NON-NIL</t>
        </is>
      </c>
      <c r="E8752" t="n">
        <v>2927</v>
      </c>
    </row>
    <row r="8753">
      <c r="A8753" t="inlineStr">
        <is>
          <t>27BBBBB08753Z5</t>
        </is>
      </c>
      <c r="B8753" t="inlineStr">
        <is>
          <t>Aug-2018</t>
        </is>
      </c>
      <c r="C8753" s="2" t="n">
        <v>44540</v>
      </c>
      <c r="D8753" t="inlineStr">
        <is>
          <t>NIL</t>
        </is>
      </c>
      <c r="E8753" t="n">
        <v>906</v>
      </c>
    </row>
    <row r="8754">
      <c r="A8754" t="inlineStr">
        <is>
          <t>27BBBBB08754Z5</t>
        </is>
      </c>
      <c r="B8754" t="inlineStr">
        <is>
          <t>Nov-2018</t>
        </is>
      </c>
      <c r="C8754" s="2" t="n">
        <v>44071</v>
      </c>
      <c r="D8754" t="inlineStr">
        <is>
          <t>NIL</t>
        </is>
      </c>
      <c r="E8754" t="n">
        <v>88</v>
      </c>
    </row>
    <row r="8755">
      <c r="A8755" t="inlineStr">
        <is>
          <t>27BBBBB08755Z5</t>
        </is>
      </c>
      <c r="B8755" t="inlineStr">
        <is>
          <t>Nov-2017</t>
        </is>
      </c>
      <c r="C8755" s="2" t="n">
        <v>44242</v>
      </c>
      <c r="D8755" t="inlineStr">
        <is>
          <t>NIL</t>
        </is>
      </c>
      <c r="E8755" t="n">
        <v>2231</v>
      </c>
    </row>
    <row r="8756">
      <c r="A8756" t="inlineStr">
        <is>
          <t>27BBBBB08756Z5</t>
        </is>
      </c>
      <c r="B8756" t="inlineStr">
        <is>
          <t>Oct-2018</t>
        </is>
      </c>
      <c r="C8756" s="2" t="n">
        <v>44382</v>
      </c>
      <c r="D8756" t="inlineStr">
        <is>
          <t>NON-NIL</t>
        </is>
      </c>
      <c r="E8756" t="n">
        <v>133</v>
      </c>
    </row>
    <row r="8757">
      <c r="A8757" t="inlineStr">
        <is>
          <t>27BBBBB08757Z5</t>
        </is>
      </c>
      <c r="B8757" t="inlineStr">
        <is>
          <t>Dec-2017</t>
        </is>
      </c>
      <c r="C8757" s="2" t="n">
        <v>44007</v>
      </c>
      <c r="D8757" t="inlineStr">
        <is>
          <t>NIL</t>
        </is>
      </c>
      <c r="E8757" t="n">
        <v>1718</v>
      </c>
    </row>
    <row r="8758">
      <c r="A8758" t="inlineStr">
        <is>
          <t>27BBBBB08758Z5</t>
        </is>
      </c>
      <c r="B8758" t="inlineStr">
        <is>
          <t>May-2018</t>
        </is>
      </c>
      <c r="C8758" s="2" t="n">
        <v>44237</v>
      </c>
      <c r="D8758" t="inlineStr">
        <is>
          <t>NIL</t>
        </is>
      </c>
      <c r="E8758" t="n">
        <v>173</v>
      </c>
    </row>
    <row r="8759">
      <c r="A8759" t="inlineStr">
        <is>
          <t>27BBBBB08759Z5</t>
        </is>
      </c>
      <c r="B8759" t="inlineStr">
        <is>
          <t>Jan-2021</t>
        </is>
      </c>
      <c r="C8759" s="2" t="n">
        <v>44486</v>
      </c>
      <c r="D8759" t="inlineStr">
        <is>
          <t>NIL</t>
        </is>
      </c>
      <c r="E8759" t="n">
        <v>2499</v>
      </c>
    </row>
    <row r="8760">
      <c r="A8760" t="inlineStr">
        <is>
          <t>27BBBBB08760Z5</t>
        </is>
      </c>
      <c r="B8760" t="inlineStr">
        <is>
          <t>Jul-2017</t>
        </is>
      </c>
      <c r="C8760" s="2" t="n">
        <v>44006</v>
      </c>
      <c r="D8760" t="inlineStr">
        <is>
          <t>NON-NIL</t>
        </is>
      </c>
      <c r="E8760" t="n">
        <v>1870</v>
      </c>
    </row>
    <row r="8761">
      <c r="A8761" t="inlineStr">
        <is>
          <t>27BBBBB08761Z5</t>
        </is>
      </c>
      <c r="B8761" t="inlineStr">
        <is>
          <t>Dec-2018</t>
        </is>
      </c>
      <c r="C8761" s="2" t="n">
        <v>44055</v>
      </c>
      <c r="D8761" t="inlineStr">
        <is>
          <t>NIL</t>
        </is>
      </c>
      <c r="E8761" t="n">
        <v>1297</v>
      </c>
    </row>
    <row r="8762">
      <c r="A8762" t="inlineStr">
        <is>
          <t>27BBBBB08762Z5</t>
        </is>
      </c>
      <c r="B8762" t="inlineStr">
        <is>
          <t>Nov-2018</t>
        </is>
      </c>
      <c r="C8762" s="2" t="n">
        <v>43472</v>
      </c>
      <c r="D8762" t="inlineStr">
        <is>
          <t>NIL</t>
        </is>
      </c>
      <c r="E8762" t="n">
        <v>754</v>
      </c>
    </row>
    <row r="8763">
      <c r="A8763" t="inlineStr">
        <is>
          <t>27BBBBB08763Z5</t>
        </is>
      </c>
      <c r="B8763" t="inlineStr">
        <is>
          <t>Jul-2017</t>
        </is>
      </c>
      <c r="C8763" s="2" t="n">
        <v>43966</v>
      </c>
      <c r="D8763" t="inlineStr">
        <is>
          <t>NON-NIL</t>
        </is>
      </c>
      <c r="E8763" t="n">
        <v>1456</v>
      </c>
    </row>
    <row r="8764">
      <c r="A8764" t="inlineStr">
        <is>
          <t>27BBBBB08764Z5</t>
        </is>
      </c>
      <c r="B8764" t="inlineStr">
        <is>
          <t>Nov-2017</t>
        </is>
      </c>
      <c r="C8764" s="2" t="n">
        <v>43025</v>
      </c>
      <c r="D8764" t="inlineStr">
        <is>
          <t>NON-NIL</t>
        </is>
      </c>
      <c r="E8764" t="n">
        <v>2041</v>
      </c>
    </row>
    <row r="8765">
      <c r="A8765" t="inlineStr">
        <is>
          <t>27BBBBB08765Z5</t>
        </is>
      </c>
      <c r="B8765" t="inlineStr">
        <is>
          <t>Apr-2018</t>
        </is>
      </c>
      <c r="C8765" s="2" t="n">
        <v>43988</v>
      </c>
      <c r="D8765" t="inlineStr">
        <is>
          <t>NON-NIL</t>
        </is>
      </c>
      <c r="E8765" t="n">
        <v>197</v>
      </c>
    </row>
    <row r="8766">
      <c r="A8766" t="inlineStr">
        <is>
          <t>27BBBBB08766Z5</t>
        </is>
      </c>
      <c r="B8766" t="inlineStr">
        <is>
          <t>Dec-2017</t>
        </is>
      </c>
      <c r="C8766" s="2" t="n">
        <v>43641</v>
      </c>
      <c r="D8766" t="inlineStr">
        <is>
          <t>NON-NIL</t>
        </is>
      </c>
      <c r="E8766" t="n">
        <v>951</v>
      </c>
    </row>
    <row r="8767">
      <c r="A8767" t="inlineStr">
        <is>
          <t>27BBBBB08767Z5</t>
        </is>
      </c>
      <c r="B8767" t="inlineStr">
        <is>
          <t>Oct-2018</t>
        </is>
      </c>
      <c r="C8767" s="2" t="n">
        <v>43958</v>
      </c>
      <c r="D8767" t="inlineStr">
        <is>
          <t>NIL</t>
        </is>
      </c>
      <c r="E8767" t="n">
        <v>367</v>
      </c>
    </row>
    <row r="8768">
      <c r="A8768" t="inlineStr">
        <is>
          <t>27BBBBB08768Z5</t>
        </is>
      </c>
      <c r="B8768" t="inlineStr">
        <is>
          <t>Mar-2023</t>
        </is>
      </c>
      <c r="C8768" s="2" t="n">
        <v>45055</v>
      </c>
      <c r="D8768" t="inlineStr">
        <is>
          <t>NIL</t>
        </is>
      </c>
      <c r="E8768" t="n">
        <v>2803</v>
      </c>
    </row>
    <row r="8769">
      <c r="A8769" t="inlineStr">
        <is>
          <t>27BBBBB08769Z5</t>
        </is>
      </c>
      <c r="B8769" t="inlineStr">
        <is>
          <t>Apr-2020</t>
        </is>
      </c>
      <c r="C8769" s="2" t="n">
        <v>44727</v>
      </c>
      <c r="D8769" t="inlineStr">
        <is>
          <t>NIL</t>
        </is>
      </c>
      <c r="E8769" t="n">
        <v>1809</v>
      </c>
    </row>
    <row r="8770">
      <c r="A8770" t="inlineStr">
        <is>
          <t>27BBBBB08770Z5</t>
        </is>
      </c>
      <c r="B8770" t="inlineStr">
        <is>
          <t>Feb-2018</t>
        </is>
      </c>
      <c r="C8770" s="2" t="n">
        <v>43269</v>
      </c>
      <c r="D8770" t="inlineStr">
        <is>
          <t>NON-NIL</t>
        </is>
      </c>
      <c r="E8770" t="n">
        <v>1526</v>
      </c>
    </row>
    <row r="8771">
      <c r="A8771" t="inlineStr">
        <is>
          <t>27BBBBB08771Z5</t>
        </is>
      </c>
      <c r="B8771" t="inlineStr">
        <is>
          <t>Mar-2023</t>
        </is>
      </c>
      <c r="C8771" s="2" t="n">
        <v>45482</v>
      </c>
      <c r="D8771" t="inlineStr">
        <is>
          <t>NON-NIL</t>
        </is>
      </c>
      <c r="E8771" t="n">
        <v>2414</v>
      </c>
    </row>
    <row r="8772">
      <c r="A8772" t="inlineStr">
        <is>
          <t>27BBBBB08772Z5</t>
        </is>
      </c>
      <c r="B8772" t="inlineStr">
        <is>
          <t>Oct-2018</t>
        </is>
      </c>
      <c r="C8772" s="2" t="n">
        <v>43463</v>
      </c>
      <c r="D8772" t="inlineStr">
        <is>
          <t>NON-NIL</t>
        </is>
      </c>
      <c r="E8772" t="n">
        <v>2</v>
      </c>
    </row>
    <row r="8773">
      <c r="A8773" t="inlineStr">
        <is>
          <t>27BBBBB08773Z5</t>
        </is>
      </c>
      <c r="B8773" t="inlineStr">
        <is>
          <t>Nov-2018</t>
        </is>
      </c>
      <c r="C8773" s="2" t="n">
        <v>43655</v>
      </c>
      <c r="D8773" t="inlineStr">
        <is>
          <t>NIL</t>
        </is>
      </c>
      <c r="E8773" t="n">
        <v>738</v>
      </c>
    </row>
    <row r="8774">
      <c r="A8774" t="inlineStr">
        <is>
          <t>27BBBBB08774Z5</t>
        </is>
      </c>
      <c r="B8774" t="inlineStr">
        <is>
          <t>Nov-2018</t>
        </is>
      </c>
      <c r="C8774" s="2" t="n">
        <v>43770</v>
      </c>
      <c r="D8774" t="inlineStr">
        <is>
          <t>NIL</t>
        </is>
      </c>
      <c r="E8774" t="n">
        <v>2463</v>
      </c>
    </row>
    <row r="8775">
      <c r="A8775" t="inlineStr">
        <is>
          <t>27BBBBB08775Z5</t>
        </is>
      </c>
      <c r="B8775" t="inlineStr">
        <is>
          <t>Nov-2018</t>
        </is>
      </c>
      <c r="C8775" s="2" t="n">
        <v>43173</v>
      </c>
      <c r="D8775" t="inlineStr">
        <is>
          <t>NON-NIL</t>
        </is>
      </c>
      <c r="E8775" t="n">
        <v>603</v>
      </c>
    </row>
    <row r="8776">
      <c r="A8776" t="inlineStr">
        <is>
          <t>27BBBBB08776Z5</t>
        </is>
      </c>
      <c r="B8776" t="inlineStr">
        <is>
          <t>Aug-2018</t>
        </is>
      </c>
      <c r="C8776" s="2" t="n">
        <v>44518</v>
      </c>
      <c r="D8776" t="inlineStr">
        <is>
          <t>NIL</t>
        </is>
      </c>
      <c r="E8776" t="n">
        <v>1545</v>
      </c>
    </row>
    <row r="8777">
      <c r="A8777" t="inlineStr">
        <is>
          <t>27BBBBB08777Z5</t>
        </is>
      </c>
      <c r="B8777" t="inlineStr">
        <is>
          <t>May-2018</t>
        </is>
      </c>
      <c r="C8777" s="2" t="n">
        <v>43896</v>
      </c>
      <c r="D8777" t="inlineStr">
        <is>
          <t>NON-NIL</t>
        </is>
      </c>
      <c r="E8777" t="n">
        <v>2085</v>
      </c>
    </row>
    <row r="8778">
      <c r="A8778" t="inlineStr">
        <is>
          <t>27BBBBB08778Z5</t>
        </is>
      </c>
      <c r="B8778" t="inlineStr">
        <is>
          <t>Dec-2017</t>
        </is>
      </c>
      <c r="C8778" s="2" t="n">
        <v>44489</v>
      </c>
      <c r="D8778" t="inlineStr">
        <is>
          <t>NON-NIL</t>
        </is>
      </c>
      <c r="E8778" t="n">
        <v>1927</v>
      </c>
    </row>
    <row r="8779">
      <c r="A8779" t="inlineStr">
        <is>
          <t>27BBBBB08779Z5</t>
        </is>
      </c>
      <c r="B8779" t="inlineStr">
        <is>
          <t>Nov-2017</t>
        </is>
      </c>
      <c r="C8779" s="2" t="n">
        <v>43988</v>
      </c>
      <c r="D8779" t="inlineStr">
        <is>
          <t>NIL</t>
        </is>
      </c>
      <c r="E8779" t="n">
        <v>1259</v>
      </c>
    </row>
    <row r="8780">
      <c r="A8780" t="inlineStr">
        <is>
          <t>27BBBBB08780Z5</t>
        </is>
      </c>
      <c r="B8780" t="inlineStr">
        <is>
          <t>Oct-2017</t>
        </is>
      </c>
      <c r="C8780" s="2" t="n">
        <v>44419</v>
      </c>
      <c r="D8780" t="inlineStr">
        <is>
          <t>NON-NIL</t>
        </is>
      </c>
      <c r="E8780" t="n">
        <v>2053</v>
      </c>
    </row>
    <row r="8781">
      <c r="A8781" t="inlineStr">
        <is>
          <t>27BBBBB08781Z5</t>
        </is>
      </c>
      <c r="B8781" t="inlineStr">
        <is>
          <t>Jan-2021</t>
        </is>
      </c>
      <c r="C8781" s="2" t="n">
        <v>45114</v>
      </c>
      <c r="D8781" t="inlineStr">
        <is>
          <t>NIL</t>
        </is>
      </c>
      <c r="E8781" t="n">
        <v>1077</v>
      </c>
    </row>
    <row r="8782">
      <c r="A8782" t="inlineStr">
        <is>
          <t>27BBBBB08782Z5</t>
        </is>
      </c>
      <c r="B8782" t="inlineStr">
        <is>
          <t>Dec-2017</t>
        </is>
      </c>
      <c r="C8782" s="2" t="n">
        <v>43995</v>
      </c>
      <c r="D8782" t="inlineStr">
        <is>
          <t>NON-NIL</t>
        </is>
      </c>
      <c r="E8782" t="n">
        <v>2093</v>
      </c>
    </row>
    <row r="8783">
      <c r="A8783" t="inlineStr">
        <is>
          <t>27BBBBB08783Z5</t>
        </is>
      </c>
      <c r="B8783" t="inlineStr">
        <is>
          <t>Jun-2020</t>
        </is>
      </c>
      <c r="C8783" s="2" t="n">
        <v>44162</v>
      </c>
      <c r="D8783" t="inlineStr">
        <is>
          <t>NON-NIL</t>
        </is>
      </c>
      <c r="E8783" t="n">
        <v>2335</v>
      </c>
    </row>
    <row r="8784">
      <c r="A8784" t="inlineStr">
        <is>
          <t>27BBBBB08784Z5</t>
        </is>
      </c>
      <c r="B8784" t="inlineStr">
        <is>
          <t>Nov-2018</t>
        </is>
      </c>
      <c r="C8784" s="2" t="n">
        <v>43726</v>
      </c>
      <c r="D8784" t="inlineStr">
        <is>
          <t>NON-NIL</t>
        </is>
      </c>
      <c r="E8784" t="n">
        <v>2830</v>
      </c>
    </row>
    <row r="8785">
      <c r="A8785" t="inlineStr">
        <is>
          <t>27BBBBB08785Z5</t>
        </is>
      </c>
      <c r="B8785" t="inlineStr">
        <is>
          <t>Nov-2017</t>
        </is>
      </c>
      <c r="C8785" s="2" t="n">
        <v>44337</v>
      </c>
      <c r="D8785" t="inlineStr">
        <is>
          <t>NON-NIL</t>
        </is>
      </c>
      <c r="E8785" t="n">
        <v>498</v>
      </c>
    </row>
    <row r="8786">
      <c r="A8786" t="inlineStr">
        <is>
          <t>27BBBBB08786Z5</t>
        </is>
      </c>
      <c r="B8786" t="inlineStr">
        <is>
          <t>Apr-2020</t>
        </is>
      </c>
      <c r="C8786" s="2" t="n">
        <v>44563</v>
      </c>
      <c r="D8786" t="inlineStr">
        <is>
          <t>NON-NIL</t>
        </is>
      </c>
      <c r="E8786" t="n">
        <v>506</v>
      </c>
    </row>
    <row r="8787">
      <c r="A8787" t="inlineStr">
        <is>
          <t>27BBBBB08787Z5</t>
        </is>
      </c>
      <c r="B8787" t="inlineStr">
        <is>
          <t>May-2020</t>
        </is>
      </c>
      <c r="C8787" s="2" t="n">
        <v>44575</v>
      </c>
      <c r="D8787" t="inlineStr">
        <is>
          <t>NON-NIL</t>
        </is>
      </c>
      <c r="E8787" t="n">
        <v>284</v>
      </c>
    </row>
    <row r="8788">
      <c r="A8788" t="inlineStr">
        <is>
          <t>27BBBBB08788Z5</t>
        </is>
      </c>
      <c r="B8788" t="inlineStr">
        <is>
          <t>Oct-2018</t>
        </is>
      </c>
      <c r="C8788" s="2" t="n">
        <v>43810</v>
      </c>
      <c r="D8788" t="inlineStr">
        <is>
          <t>NIL</t>
        </is>
      </c>
      <c r="E8788" t="n">
        <v>1655</v>
      </c>
    </row>
    <row r="8789">
      <c r="A8789" t="inlineStr">
        <is>
          <t>27BBBBB08789Z5</t>
        </is>
      </c>
      <c r="B8789" t="inlineStr">
        <is>
          <t>Mar-2020</t>
        </is>
      </c>
      <c r="C8789" s="2" t="n">
        <v>44610</v>
      </c>
      <c r="D8789" t="inlineStr">
        <is>
          <t>NON-NIL</t>
        </is>
      </c>
      <c r="E8789" t="n">
        <v>719</v>
      </c>
    </row>
    <row r="8790">
      <c r="A8790" t="inlineStr">
        <is>
          <t>27BBBBB08790Z5</t>
        </is>
      </c>
      <c r="B8790" t="inlineStr">
        <is>
          <t>Dec-2022</t>
        </is>
      </c>
      <c r="C8790" s="2" t="n">
        <v>45654</v>
      </c>
      <c r="D8790" t="inlineStr">
        <is>
          <t>NIL</t>
        </is>
      </c>
      <c r="E8790" t="n">
        <v>1473</v>
      </c>
    </row>
    <row r="8791">
      <c r="A8791" t="inlineStr">
        <is>
          <t>27BBBBB08791Z5</t>
        </is>
      </c>
      <c r="B8791" t="inlineStr">
        <is>
          <t>Oct-2018</t>
        </is>
      </c>
      <c r="C8791" s="2" t="n">
        <v>43793</v>
      </c>
      <c r="D8791" t="inlineStr">
        <is>
          <t>NON-NIL</t>
        </is>
      </c>
      <c r="E8791" t="n">
        <v>1360</v>
      </c>
    </row>
    <row r="8792">
      <c r="A8792" t="inlineStr">
        <is>
          <t>27BBBBB08792Z5</t>
        </is>
      </c>
      <c r="B8792" t="inlineStr">
        <is>
          <t>Dec-2024</t>
        </is>
      </c>
      <c r="C8792" s="2" t="n">
        <v>44842</v>
      </c>
      <c r="D8792" t="inlineStr">
        <is>
          <t>NIL</t>
        </is>
      </c>
      <c r="E8792" t="n">
        <v>1078</v>
      </c>
    </row>
    <row r="8793">
      <c r="A8793" t="inlineStr">
        <is>
          <t>27BBBBB08793Z5</t>
        </is>
      </c>
      <c r="B8793" t="inlineStr">
        <is>
          <t>Aug-2018</t>
        </is>
      </c>
      <c r="C8793" s="2" t="n">
        <v>43656</v>
      </c>
      <c r="D8793" t="inlineStr">
        <is>
          <t>NIL</t>
        </is>
      </c>
      <c r="E8793" t="n">
        <v>266</v>
      </c>
    </row>
    <row r="8794">
      <c r="A8794" t="inlineStr">
        <is>
          <t>27BBBBB08794Z5</t>
        </is>
      </c>
      <c r="B8794" t="inlineStr">
        <is>
          <t>Mar-2018</t>
        </is>
      </c>
      <c r="C8794" s="2" t="n">
        <v>43326</v>
      </c>
      <c r="D8794" t="inlineStr">
        <is>
          <t>NIL</t>
        </is>
      </c>
      <c r="E8794" t="n">
        <v>2435</v>
      </c>
    </row>
    <row r="8795">
      <c r="A8795" t="inlineStr">
        <is>
          <t>27BBBBB08795Z5</t>
        </is>
      </c>
      <c r="B8795" t="inlineStr">
        <is>
          <t>Apr-2020</t>
        </is>
      </c>
      <c r="C8795" s="2" t="n">
        <v>44538</v>
      </c>
      <c r="D8795" t="inlineStr">
        <is>
          <t>NIL</t>
        </is>
      </c>
      <c r="E8795" t="n">
        <v>648</v>
      </c>
    </row>
    <row r="8796">
      <c r="A8796" t="inlineStr">
        <is>
          <t>27BBBBB08796Z5</t>
        </is>
      </c>
      <c r="B8796" t="inlineStr">
        <is>
          <t>Oct-2017</t>
        </is>
      </c>
      <c r="C8796" s="2" t="n">
        <v>44026</v>
      </c>
      <c r="D8796" t="inlineStr">
        <is>
          <t>NIL</t>
        </is>
      </c>
      <c r="E8796" t="n">
        <v>433</v>
      </c>
    </row>
    <row r="8797">
      <c r="A8797" t="inlineStr">
        <is>
          <t>27BBBBB08797Z5</t>
        </is>
      </c>
      <c r="B8797" t="inlineStr">
        <is>
          <t>Dec-2024</t>
        </is>
      </c>
      <c r="C8797" s="2" t="n">
        <v>44952</v>
      </c>
      <c r="D8797" t="inlineStr">
        <is>
          <t>NIL</t>
        </is>
      </c>
      <c r="E8797" t="n">
        <v>191</v>
      </c>
    </row>
    <row r="8798">
      <c r="A8798" t="inlineStr">
        <is>
          <t>27BBBBB08798Z5</t>
        </is>
      </c>
      <c r="B8798" t="inlineStr">
        <is>
          <t>May-2018</t>
        </is>
      </c>
      <c r="C8798" s="2" t="n">
        <v>44278</v>
      </c>
      <c r="D8798" t="inlineStr">
        <is>
          <t>NON-NIL</t>
        </is>
      </c>
      <c r="E8798" t="n">
        <v>1509</v>
      </c>
    </row>
    <row r="8799">
      <c r="A8799" t="inlineStr">
        <is>
          <t>27BBBBB08799Z5</t>
        </is>
      </c>
      <c r="B8799" t="inlineStr">
        <is>
          <t>Mar-2018</t>
        </is>
      </c>
      <c r="C8799" s="2" t="n">
        <v>44030</v>
      </c>
      <c r="D8799" t="inlineStr">
        <is>
          <t>NIL</t>
        </is>
      </c>
      <c r="E8799" t="n">
        <v>946</v>
      </c>
    </row>
    <row r="8800">
      <c r="A8800" t="inlineStr">
        <is>
          <t>27BBBBB08800Z5</t>
        </is>
      </c>
      <c r="B8800" t="inlineStr">
        <is>
          <t>Jun-2020</t>
        </is>
      </c>
      <c r="C8800" s="2" t="n">
        <v>44861</v>
      </c>
      <c r="D8800" t="inlineStr">
        <is>
          <t>NIL</t>
        </is>
      </c>
      <c r="E8800" t="n">
        <v>1741</v>
      </c>
    </row>
    <row r="8801">
      <c r="A8801" t="inlineStr">
        <is>
          <t>27BBBBB08801Z5</t>
        </is>
      </c>
      <c r="B8801" t="inlineStr">
        <is>
          <t>Oct-2018</t>
        </is>
      </c>
      <c r="C8801" s="2" t="n">
        <v>43139</v>
      </c>
      <c r="D8801" t="inlineStr">
        <is>
          <t>NIL</t>
        </is>
      </c>
      <c r="E8801" t="n">
        <v>2018</v>
      </c>
    </row>
    <row r="8802">
      <c r="A8802" t="inlineStr">
        <is>
          <t>27BBBBB08802Z5</t>
        </is>
      </c>
      <c r="B8802" t="inlineStr">
        <is>
          <t>Apr-2018</t>
        </is>
      </c>
      <c r="C8802" s="2" t="n">
        <v>43272</v>
      </c>
      <c r="D8802" t="inlineStr">
        <is>
          <t>NON-NIL</t>
        </is>
      </c>
      <c r="E8802" t="n">
        <v>337</v>
      </c>
    </row>
    <row r="8803">
      <c r="A8803" t="inlineStr">
        <is>
          <t>27BBBBB08803Z5</t>
        </is>
      </c>
      <c r="B8803" t="inlineStr">
        <is>
          <t>Nov-2018</t>
        </is>
      </c>
      <c r="C8803" s="2" t="n">
        <v>44266</v>
      </c>
      <c r="D8803" t="inlineStr">
        <is>
          <t>NON-NIL</t>
        </is>
      </c>
      <c r="E8803" t="n">
        <v>2555</v>
      </c>
    </row>
    <row r="8804">
      <c r="A8804" t="inlineStr">
        <is>
          <t>27BBBBB08804Z5</t>
        </is>
      </c>
      <c r="B8804" t="inlineStr">
        <is>
          <t>Sep-2018</t>
        </is>
      </c>
      <c r="C8804" s="2" t="n">
        <v>44443</v>
      </c>
      <c r="D8804" t="inlineStr">
        <is>
          <t>NON-NIL</t>
        </is>
      </c>
      <c r="E8804" t="n">
        <v>2730</v>
      </c>
    </row>
    <row r="8805">
      <c r="A8805" t="inlineStr">
        <is>
          <t>27BBBBB08805Z5</t>
        </is>
      </c>
      <c r="B8805" t="inlineStr">
        <is>
          <t>Aug-2018</t>
        </is>
      </c>
      <c r="C8805" s="2" t="n">
        <v>43691</v>
      </c>
      <c r="D8805" t="inlineStr">
        <is>
          <t>NON-NIL</t>
        </is>
      </c>
      <c r="E8805" t="n">
        <v>414</v>
      </c>
    </row>
    <row r="8806">
      <c r="A8806" t="inlineStr">
        <is>
          <t>27BBBBB08806Z5</t>
        </is>
      </c>
      <c r="B8806" t="inlineStr">
        <is>
          <t>Mar-2023</t>
        </is>
      </c>
      <c r="C8806" s="2" t="n">
        <v>45317</v>
      </c>
      <c r="D8806" t="inlineStr">
        <is>
          <t>NON-NIL</t>
        </is>
      </c>
      <c r="E8806" t="n">
        <v>512</v>
      </c>
    </row>
    <row r="8807">
      <c r="A8807" t="inlineStr">
        <is>
          <t>27BBBBB08807Z5</t>
        </is>
      </c>
      <c r="B8807" t="inlineStr">
        <is>
          <t>Apr-2018</t>
        </is>
      </c>
      <c r="C8807" s="2" t="n">
        <v>44295</v>
      </c>
      <c r="D8807" t="inlineStr">
        <is>
          <t>NIL</t>
        </is>
      </c>
      <c r="E8807" t="n">
        <v>2512</v>
      </c>
    </row>
    <row r="8808">
      <c r="A8808" t="inlineStr">
        <is>
          <t>27BBBBB08808Z5</t>
        </is>
      </c>
      <c r="B8808" t="inlineStr">
        <is>
          <t>Sep-2018</t>
        </is>
      </c>
      <c r="C8808" s="2" t="n">
        <v>44349</v>
      </c>
      <c r="D8808" t="inlineStr">
        <is>
          <t>NON-NIL</t>
        </is>
      </c>
      <c r="E8808" t="n">
        <v>2117</v>
      </c>
    </row>
    <row r="8809">
      <c r="A8809" t="inlineStr">
        <is>
          <t>27BBBBB08809Z5</t>
        </is>
      </c>
      <c r="B8809" t="inlineStr">
        <is>
          <t>Jul-2018</t>
        </is>
      </c>
      <c r="C8809" s="2" t="n">
        <v>43138</v>
      </c>
      <c r="D8809" t="inlineStr">
        <is>
          <t>NIL</t>
        </is>
      </c>
      <c r="E8809" t="n">
        <v>2681</v>
      </c>
    </row>
    <row r="8810">
      <c r="A8810" t="inlineStr">
        <is>
          <t>27BBBBB08810Z5</t>
        </is>
      </c>
      <c r="B8810" t="inlineStr">
        <is>
          <t>Mar-2021</t>
        </is>
      </c>
      <c r="C8810" s="2" t="n">
        <v>45774</v>
      </c>
      <c r="D8810" t="inlineStr">
        <is>
          <t>NIL</t>
        </is>
      </c>
      <c r="E8810" t="n">
        <v>1120</v>
      </c>
    </row>
    <row r="8811">
      <c r="A8811" t="inlineStr">
        <is>
          <t>27BBBBB08811Z5</t>
        </is>
      </c>
      <c r="B8811" t="inlineStr">
        <is>
          <t>Oct-2018</t>
        </is>
      </c>
      <c r="C8811" s="2" t="n">
        <v>43449</v>
      </c>
      <c r="D8811" t="inlineStr">
        <is>
          <t>NON-NIL</t>
        </is>
      </c>
      <c r="E8811" t="n">
        <v>174</v>
      </c>
    </row>
    <row r="8812">
      <c r="A8812" t="inlineStr">
        <is>
          <t>27BBBBB08812Z5</t>
        </is>
      </c>
      <c r="B8812" t="inlineStr">
        <is>
          <t>Aug-2017</t>
        </is>
      </c>
      <c r="C8812" s="2" t="n">
        <v>43525</v>
      </c>
      <c r="D8812" t="inlineStr">
        <is>
          <t>NON-NIL</t>
        </is>
      </c>
      <c r="E8812" t="n">
        <v>262</v>
      </c>
    </row>
    <row r="8813">
      <c r="A8813" t="inlineStr">
        <is>
          <t>27BBBBB08813Z5</t>
        </is>
      </c>
      <c r="B8813" t="inlineStr">
        <is>
          <t>Dec-2018</t>
        </is>
      </c>
      <c r="C8813" s="2" t="n">
        <v>43650</v>
      </c>
      <c r="D8813" t="inlineStr">
        <is>
          <t>NIL</t>
        </is>
      </c>
      <c r="E8813" t="n">
        <v>39</v>
      </c>
    </row>
    <row r="8814">
      <c r="A8814" t="inlineStr">
        <is>
          <t>27BBBBB08814Z5</t>
        </is>
      </c>
      <c r="B8814" t="inlineStr">
        <is>
          <t>Jan-2021</t>
        </is>
      </c>
      <c r="C8814" s="2" t="n">
        <v>45223</v>
      </c>
      <c r="D8814" t="inlineStr">
        <is>
          <t>NIL</t>
        </is>
      </c>
      <c r="E8814" t="n">
        <v>793</v>
      </c>
    </row>
    <row r="8815">
      <c r="A8815" t="inlineStr">
        <is>
          <t>27BBBBB08815Z5</t>
        </is>
      </c>
      <c r="B8815" t="inlineStr">
        <is>
          <t>Jul-2017</t>
        </is>
      </c>
      <c r="C8815" s="2" t="n">
        <v>43938</v>
      </c>
      <c r="D8815" t="inlineStr">
        <is>
          <t>NON-NIL</t>
        </is>
      </c>
      <c r="E8815" t="n">
        <v>976</v>
      </c>
    </row>
    <row r="8816">
      <c r="A8816" t="inlineStr">
        <is>
          <t>27BBBBB08816Z5</t>
        </is>
      </c>
      <c r="B8816" t="inlineStr">
        <is>
          <t>Mar-2021</t>
        </is>
      </c>
      <c r="C8816" s="2" t="n">
        <v>45007</v>
      </c>
      <c r="D8816" t="inlineStr">
        <is>
          <t>NIL</t>
        </is>
      </c>
      <c r="E8816" t="n">
        <v>1132</v>
      </c>
    </row>
    <row r="8817">
      <c r="A8817" t="inlineStr">
        <is>
          <t>27BBBBB08817Z5</t>
        </is>
      </c>
      <c r="B8817" t="inlineStr">
        <is>
          <t>Nov-2018</t>
        </is>
      </c>
      <c r="C8817" s="2" t="n">
        <v>43735</v>
      </c>
      <c r="D8817" t="inlineStr">
        <is>
          <t>NIL</t>
        </is>
      </c>
      <c r="E8817" t="n">
        <v>1320</v>
      </c>
    </row>
    <row r="8818">
      <c r="A8818" t="inlineStr">
        <is>
          <t>27BBBBB08818Z5</t>
        </is>
      </c>
      <c r="B8818" t="inlineStr">
        <is>
          <t>Jan-2021</t>
        </is>
      </c>
      <c r="C8818" s="2" t="n">
        <v>45220</v>
      </c>
      <c r="D8818" t="inlineStr">
        <is>
          <t>NON-NIL</t>
        </is>
      </c>
      <c r="E8818" t="n">
        <v>2233</v>
      </c>
    </row>
    <row r="8819">
      <c r="A8819" t="inlineStr">
        <is>
          <t>27BBBBB08819Z5</t>
        </is>
      </c>
      <c r="B8819" t="inlineStr">
        <is>
          <t>Nov-2018</t>
        </is>
      </c>
      <c r="C8819" s="2" t="n">
        <v>43886</v>
      </c>
      <c r="D8819" t="inlineStr">
        <is>
          <t>NIL</t>
        </is>
      </c>
      <c r="E8819" t="n">
        <v>1196</v>
      </c>
    </row>
    <row r="8820">
      <c r="A8820" t="inlineStr">
        <is>
          <t>27BBBBB08820Z5</t>
        </is>
      </c>
      <c r="B8820" t="inlineStr">
        <is>
          <t>Mar-2023</t>
        </is>
      </c>
      <c r="C8820" s="2" t="n">
        <v>43592</v>
      </c>
      <c r="D8820" t="inlineStr">
        <is>
          <t>NON-NIL</t>
        </is>
      </c>
      <c r="E8820" t="n">
        <v>2269</v>
      </c>
    </row>
    <row r="8821">
      <c r="A8821" t="inlineStr">
        <is>
          <t>27BBBBB08821Z5</t>
        </is>
      </c>
      <c r="B8821" t="inlineStr">
        <is>
          <t>Jul-2018</t>
        </is>
      </c>
      <c r="C8821" s="2" t="n">
        <v>44155</v>
      </c>
      <c r="D8821" t="inlineStr">
        <is>
          <t>NIL</t>
        </is>
      </c>
      <c r="E8821" t="n">
        <v>2223</v>
      </c>
    </row>
    <row r="8822">
      <c r="A8822" t="inlineStr">
        <is>
          <t>27BBBBB08822Z5</t>
        </is>
      </c>
      <c r="B8822" t="inlineStr">
        <is>
          <t>Jul-2020</t>
        </is>
      </c>
      <c r="C8822" s="2" t="n">
        <v>44372</v>
      </c>
      <c r="D8822" t="inlineStr">
        <is>
          <t>NIL</t>
        </is>
      </c>
      <c r="E8822" t="n">
        <v>818</v>
      </c>
    </row>
    <row r="8823">
      <c r="A8823" t="inlineStr">
        <is>
          <t>27BBBBB08823Z5</t>
        </is>
      </c>
      <c r="B8823" t="inlineStr">
        <is>
          <t>Oct-2018</t>
        </is>
      </c>
      <c r="C8823" s="2" t="n">
        <v>42950</v>
      </c>
      <c r="D8823" t="inlineStr">
        <is>
          <t>NON-NIL</t>
        </is>
      </c>
      <c r="E8823" t="n">
        <v>2136</v>
      </c>
    </row>
    <row r="8824">
      <c r="A8824" t="inlineStr">
        <is>
          <t>27BBBBB08824Z5</t>
        </is>
      </c>
      <c r="B8824" t="inlineStr">
        <is>
          <t>Oct-2018</t>
        </is>
      </c>
      <c r="C8824" s="2" t="n">
        <v>42975</v>
      </c>
      <c r="D8824" t="inlineStr">
        <is>
          <t>NIL</t>
        </is>
      </c>
      <c r="E8824" t="n">
        <v>2697</v>
      </c>
    </row>
    <row r="8825">
      <c r="A8825" t="inlineStr">
        <is>
          <t>27BBBBB08825Z5</t>
        </is>
      </c>
      <c r="B8825" t="inlineStr">
        <is>
          <t>Jan-2018</t>
        </is>
      </c>
      <c r="C8825" s="2" t="n">
        <v>43022</v>
      </c>
      <c r="D8825" t="inlineStr">
        <is>
          <t>NIL</t>
        </is>
      </c>
      <c r="E8825" t="n">
        <v>1145</v>
      </c>
    </row>
    <row r="8826">
      <c r="A8826" t="inlineStr">
        <is>
          <t>27BBBBB08826Z5</t>
        </is>
      </c>
      <c r="B8826" t="inlineStr">
        <is>
          <t>Sep-2017</t>
        </is>
      </c>
      <c r="C8826" s="2" t="n">
        <v>43146</v>
      </c>
      <c r="D8826" t="inlineStr">
        <is>
          <t>NIL</t>
        </is>
      </c>
      <c r="E8826" t="n">
        <v>1587</v>
      </c>
    </row>
    <row r="8827">
      <c r="A8827" t="inlineStr">
        <is>
          <t>27BBBBB08827Z5</t>
        </is>
      </c>
      <c r="B8827" t="inlineStr">
        <is>
          <t>May-2020</t>
        </is>
      </c>
      <c r="C8827" s="2" t="n">
        <v>43946</v>
      </c>
      <c r="D8827" t="inlineStr">
        <is>
          <t>NON-NIL</t>
        </is>
      </c>
      <c r="E8827" t="n">
        <v>2839</v>
      </c>
    </row>
    <row r="8828">
      <c r="A8828" t="inlineStr">
        <is>
          <t>27BBBBB08828Z5</t>
        </is>
      </c>
      <c r="B8828" t="inlineStr">
        <is>
          <t>Aug-2017</t>
        </is>
      </c>
      <c r="C8828" s="2" t="n">
        <v>44510</v>
      </c>
      <c r="D8828" t="inlineStr">
        <is>
          <t>NON-NIL</t>
        </is>
      </c>
      <c r="E8828" t="n">
        <v>2160</v>
      </c>
    </row>
    <row r="8829">
      <c r="A8829" t="inlineStr">
        <is>
          <t>27BBBBB08829Z5</t>
        </is>
      </c>
      <c r="B8829" t="inlineStr">
        <is>
          <t>Dec-2017</t>
        </is>
      </c>
      <c r="C8829" s="2" t="n">
        <v>44374</v>
      </c>
      <c r="D8829" t="inlineStr">
        <is>
          <t>NIL</t>
        </is>
      </c>
      <c r="E8829" t="n">
        <v>1940</v>
      </c>
    </row>
    <row r="8830">
      <c r="A8830" t="inlineStr">
        <is>
          <t>27BBBBB08830Z5</t>
        </is>
      </c>
      <c r="B8830" t="inlineStr">
        <is>
          <t>Apr-2020</t>
        </is>
      </c>
      <c r="C8830" s="2" t="n">
        <v>44734</v>
      </c>
      <c r="D8830" t="inlineStr">
        <is>
          <t>NON-NIL</t>
        </is>
      </c>
      <c r="E8830" t="n">
        <v>1119</v>
      </c>
    </row>
    <row r="8831">
      <c r="A8831" t="inlineStr">
        <is>
          <t>27BBBBB08831Z5</t>
        </is>
      </c>
      <c r="B8831" t="inlineStr">
        <is>
          <t>Mar-2023</t>
        </is>
      </c>
      <c r="C8831" s="2" t="n">
        <v>45101</v>
      </c>
      <c r="D8831" t="inlineStr">
        <is>
          <t>NON-NIL</t>
        </is>
      </c>
      <c r="E8831" t="n">
        <v>82</v>
      </c>
    </row>
    <row r="8832">
      <c r="A8832" t="inlineStr">
        <is>
          <t>27BBBBB08832Z5</t>
        </is>
      </c>
      <c r="B8832" t="inlineStr">
        <is>
          <t>Mar-2021</t>
        </is>
      </c>
      <c r="C8832" s="2" t="n">
        <v>44870</v>
      </c>
      <c r="D8832" t="inlineStr">
        <is>
          <t>NON-NIL</t>
        </is>
      </c>
      <c r="E8832" t="n">
        <v>1222</v>
      </c>
    </row>
    <row r="8833">
      <c r="A8833" t="inlineStr">
        <is>
          <t>27BBBBB08833Z5</t>
        </is>
      </c>
      <c r="B8833" t="inlineStr">
        <is>
          <t>Dec-2017</t>
        </is>
      </c>
      <c r="C8833" s="2" t="n">
        <v>42917</v>
      </c>
      <c r="D8833" t="inlineStr">
        <is>
          <t>NON-NIL</t>
        </is>
      </c>
      <c r="E8833" t="n">
        <v>135</v>
      </c>
    </row>
    <row r="8834">
      <c r="A8834" t="inlineStr">
        <is>
          <t>27BBBBB08834Z5</t>
        </is>
      </c>
      <c r="B8834" t="inlineStr">
        <is>
          <t>May-2020</t>
        </is>
      </c>
      <c r="C8834" s="2" t="n">
        <v>43956</v>
      </c>
      <c r="D8834" t="inlineStr">
        <is>
          <t>NIL</t>
        </is>
      </c>
      <c r="E8834" t="n">
        <v>37</v>
      </c>
    </row>
    <row r="8835">
      <c r="A8835" t="inlineStr">
        <is>
          <t>27BBBBB08835Z5</t>
        </is>
      </c>
      <c r="B8835" t="inlineStr">
        <is>
          <t>Aug-2017</t>
        </is>
      </c>
      <c r="C8835" s="2" t="n">
        <v>43045</v>
      </c>
      <c r="D8835" t="inlineStr">
        <is>
          <t>NIL</t>
        </is>
      </c>
      <c r="E8835" t="n">
        <v>1713</v>
      </c>
    </row>
    <row r="8836">
      <c r="A8836" t="inlineStr">
        <is>
          <t>27BBBBB08836Z5</t>
        </is>
      </c>
      <c r="B8836" t="inlineStr">
        <is>
          <t>Jul-2017</t>
        </is>
      </c>
      <c r="C8836" s="2" t="n">
        <v>44328</v>
      </c>
      <c r="D8836" t="inlineStr">
        <is>
          <t>NON-NIL</t>
        </is>
      </c>
      <c r="E8836" t="n">
        <v>758</v>
      </c>
    </row>
    <row r="8837">
      <c r="A8837" t="inlineStr">
        <is>
          <t>27BBBBB08837Z5</t>
        </is>
      </c>
      <c r="B8837" t="inlineStr">
        <is>
          <t>Aug-2017</t>
        </is>
      </c>
      <c r="C8837" s="2" t="n">
        <v>43158</v>
      </c>
      <c r="D8837" t="inlineStr">
        <is>
          <t>NIL</t>
        </is>
      </c>
      <c r="E8837" t="n">
        <v>2519</v>
      </c>
    </row>
    <row r="8838">
      <c r="A8838" t="inlineStr">
        <is>
          <t>27BBBBB08838Z5</t>
        </is>
      </c>
      <c r="B8838" t="inlineStr">
        <is>
          <t>Apr-2020</t>
        </is>
      </c>
      <c r="C8838" s="2" t="n">
        <v>43847</v>
      </c>
      <c r="D8838" t="inlineStr">
        <is>
          <t>NON-NIL</t>
        </is>
      </c>
      <c r="E8838" t="n">
        <v>2195</v>
      </c>
    </row>
    <row r="8839">
      <c r="A8839" t="inlineStr">
        <is>
          <t>27BBBBB08839Z5</t>
        </is>
      </c>
      <c r="B8839" t="inlineStr">
        <is>
          <t>Dec-2018</t>
        </is>
      </c>
      <c r="C8839" s="2" t="n">
        <v>43900</v>
      </c>
      <c r="D8839" t="inlineStr">
        <is>
          <t>NIL</t>
        </is>
      </c>
      <c r="E8839" t="n">
        <v>2995</v>
      </c>
    </row>
    <row r="8840">
      <c r="A8840" t="inlineStr">
        <is>
          <t>27BBBBB08840Z5</t>
        </is>
      </c>
      <c r="B8840" t="inlineStr">
        <is>
          <t>Apr-2020</t>
        </is>
      </c>
      <c r="C8840" s="2" t="n">
        <v>43913</v>
      </c>
      <c r="D8840" t="inlineStr">
        <is>
          <t>NIL</t>
        </is>
      </c>
      <c r="E8840" t="n">
        <v>1261</v>
      </c>
    </row>
    <row r="8841">
      <c r="A8841" t="inlineStr">
        <is>
          <t>27BBBBB08841Z5</t>
        </is>
      </c>
      <c r="B8841" t="inlineStr">
        <is>
          <t>Dec-2017</t>
        </is>
      </c>
      <c r="C8841" s="2" t="n">
        <v>43420</v>
      </c>
      <c r="D8841" t="inlineStr">
        <is>
          <t>NIL</t>
        </is>
      </c>
      <c r="E8841" t="n">
        <v>1674</v>
      </c>
    </row>
    <row r="8842">
      <c r="A8842" t="inlineStr">
        <is>
          <t>27BBBBB08842Z5</t>
        </is>
      </c>
      <c r="B8842" t="inlineStr">
        <is>
          <t>Jan-2021</t>
        </is>
      </c>
      <c r="C8842" s="2" t="n">
        <v>45160</v>
      </c>
      <c r="D8842" t="inlineStr">
        <is>
          <t>NIL</t>
        </is>
      </c>
      <c r="E8842" t="n">
        <v>2883</v>
      </c>
    </row>
    <row r="8843">
      <c r="A8843" t="inlineStr">
        <is>
          <t>27BBBBB08843Z5</t>
        </is>
      </c>
      <c r="B8843" t="inlineStr">
        <is>
          <t>Mar-2018</t>
        </is>
      </c>
      <c r="C8843" s="2" t="n">
        <v>43632</v>
      </c>
      <c r="D8843" t="inlineStr">
        <is>
          <t>NON-NIL</t>
        </is>
      </c>
      <c r="E8843" t="n">
        <v>1264</v>
      </c>
    </row>
    <row r="8844">
      <c r="A8844" t="inlineStr">
        <is>
          <t>27BBBBB08844Z5</t>
        </is>
      </c>
      <c r="B8844" t="inlineStr">
        <is>
          <t>May-2018</t>
        </is>
      </c>
      <c r="C8844" s="2" t="n">
        <v>42990</v>
      </c>
      <c r="D8844" t="inlineStr">
        <is>
          <t>NON-NIL</t>
        </is>
      </c>
      <c r="E8844" t="n">
        <v>136</v>
      </c>
    </row>
    <row r="8845">
      <c r="A8845" t="inlineStr">
        <is>
          <t>27BBBBB08845Z5</t>
        </is>
      </c>
      <c r="B8845" t="inlineStr">
        <is>
          <t>Jul-2020</t>
        </is>
      </c>
      <c r="C8845" s="2" t="n">
        <v>44811</v>
      </c>
      <c r="D8845" t="inlineStr">
        <is>
          <t>NON-NIL</t>
        </is>
      </c>
      <c r="E8845" t="n">
        <v>603</v>
      </c>
    </row>
    <row r="8846">
      <c r="A8846" t="inlineStr">
        <is>
          <t>27BBBBB08846Z5</t>
        </is>
      </c>
      <c r="B8846" t="inlineStr">
        <is>
          <t>May-2020</t>
        </is>
      </c>
      <c r="C8846" s="2" t="n">
        <v>44550</v>
      </c>
      <c r="D8846" t="inlineStr">
        <is>
          <t>NIL</t>
        </is>
      </c>
      <c r="E8846" t="n">
        <v>515</v>
      </c>
    </row>
    <row r="8847">
      <c r="A8847" t="inlineStr">
        <is>
          <t>27BBBBB08847Z5</t>
        </is>
      </c>
      <c r="B8847" t="inlineStr">
        <is>
          <t>Jul-2017</t>
        </is>
      </c>
      <c r="C8847" s="2" t="n">
        <v>43258</v>
      </c>
      <c r="D8847" t="inlineStr">
        <is>
          <t>NIL</t>
        </is>
      </c>
      <c r="E8847" t="n">
        <v>932</v>
      </c>
    </row>
    <row r="8848">
      <c r="A8848" t="inlineStr">
        <is>
          <t>27BBBBB08848Z5</t>
        </is>
      </c>
      <c r="B8848" t="inlineStr">
        <is>
          <t>Apr-2020</t>
        </is>
      </c>
      <c r="C8848" s="2" t="n">
        <v>44500</v>
      </c>
      <c r="D8848" t="inlineStr">
        <is>
          <t>NIL</t>
        </is>
      </c>
      <c r="E8848" t="n">
        <v>106</v>
      </c>
    </row>
    <row r="8849">
      <c r="A8849" t="inlineStr">
        <is>
          <t>27BBBBB08849Z5</t>
        </is>
      </c>
      <c r="B8849" t="inlineStr">
        <is>
          <t>Oct-2018</t>
        </is>
      </c>
      <c r="C8849" s="2" t="n">
        <v>43763</v>
      </c>
      <c r="D8849" t="inlineStr">
        <is>
          <t>NON-NIL</t>
        </is>
      </c>
      <c r="E8849" t="n">
        <v>2788</v>
      </c>
    </row>
    <row r="8850">
      <c r="A8850" t="inlineStr">
        <is>
          <t>27BBBBB08850Z5</t>
        </is>
      </c>
      <c r="B8850" t="inlineStr">
        <is>
          <t>Dec-2024</t>
        </is>
      </c>
      <c r="C8850" s="2" t="n">
        <v>44483</v>
      </c>
      <c r="D8850" t="inlineStr">
        <is>
          <t>NON-NIL</t>
        </is>
      </c>
      <c r="E8850" t="n">
        <v>2325</v>
      </c>
    </row>
    <row r="8851">
      <c r="A8851" t="inlineStr">
        <is>
          <t>27BBBBB08851Z5</t>
        </is>
      </c>
      <c r="B8851" t="inlineStr">
        <is>
          <t>Jan-2018</t>
        </is>
      </c>
      <c r="C8851" s="2" t="n">
        <v>43228</v>
      </c>
      <c r="D8851" t="inlineStr">
        <is>
          <t>NON-NIL</t>
        </is>
      </c>
      <c r="E8851" t="n">
        <v>1720</v>
      </c>
    </row>
    <row r="8852">
      <c r="A8852" t="inlineStr">
        <is>
          <t>27BBBBB08852Z5</t>
        </is>
      </c>
      <c r="B8852" t="inlineStr">
        <is>
          <t>Oct-2017</t>
        </is>
      </c>
      <c r="C8852" s="2" t="n">
        <v>44236</v>
      </c>
      <c r="D8852" t="inlineStr">
        <is>
          <t>NIL</t>
        </is>
      </c>
      <c r="E8852" t="n">
        <v>2820</v>
      </c>
    </row>
    <row r="8853">
      <c r="A8853" t="inlineStr">
        <is>
          <t>27BBBBB08853Z5</t>
        </is>
      </c>
      <c r="B8853" t="inlineStr">
        <is>
          <t>Mar-2023</t>
        </is>
      </c>
      <c r="C8853" s="2" t="n">
        <v>45390</v>
      </c>
      <c r="D8853" t="inlineStr">
        <is>
          <t>NIL</t>
        </is>
      </c>
      <c r="E8853" t="n">
        <v>509</v>
      </c>
    </row>
    <row r="8854">
      <c r="A8854" t="inlineStr">
        <is>
          <t>27BBBBB08854Z5</t>
        </is>
      </c>
      <c r="B8854" t="inlineStr">
        <is>
          <t>Dec-2022</t>
        </is>
      </c>
      <c r="C8854" s="2" t="n">
        <v>44869</v>
      </c>
      <c r="D8854" t="inlineStr">
        <is>
          <t>NON-NIL</t>
        </is>
      </c>
      <c r="E8854" t="n">
        <v>1967</v>
      </c>
    </row>
    <row r="8855">
      <c r="A8855" t="inlineStr">
        <is>
          <t>27BBBBB08855Z5</t>
        </is>
      </c>
      <c r="B8855" t="inlineStr">
        <is>
          <t>Apr-2018</t>
        </is>
      </c>
      <c r="C8855" s="2" t="n">
        <v>43553</v>
      </c>
      <c r="D8855" t="inlineStr">
        <is>
          <t>NIL</t>
        </is>
      </c>
      <c r="E8855" t="n">
        <v>2617</v>
      </c>
    </row>
    <row r="8856">
      <c r="A8856" t="inlineStr">
        <is>
          <t>27BBBBB08856Z5</t>
        </is>
      </c>
      <c r="B8856" t="inlineStr">
        <is>
          <t>Aug-2018</t>
        </is>
      </c>
      <c r="C8856" s="2" t="n">
        <v>43784</v>
      </c>
      <c r="D8856" t="inlineStr">
        <is>
          <t>NIL</t>
        </is>
      </c>
      <c r="E8856" t="n">
        <v>479</v>
      </c>
    </row>
    <row r="8857">
      <c r="A8857" t="inlineStr">
        <is>
          <t>27BBBBB08857Z5</t>
        </is>
      </c>
      <c r="B8857" t="inlineStr">
        <is>
          <t>Apr-2018</t>
        </is>
      </c>
      <c r="C8857" s="2" t="n">
        <v>44350</v>
      </c>
      <c r="D8857" t="inlineStr">
        <is>
          <t>NON-NIL</t>
        </is>
      </c>
      <c r="E8857" t="n">
        <v>2976</v>
      </c>
    </row>
    <row r="8858">
      <c r="A8858" t="inlineStr">
        <is>
          <t>27BBBBB08858Z5</t>
        </is>
      </c>
      <c r="B8858" t="inlineStr">
        <is>
          <t>Mar-2020</t>
        </is>
      </c>
      <c r="C8858" s="2" t="n">
        <v>44884</v>
      </c>
      <c r="D8858" t="inlineStr">
        <is>
          <t>NON-NIL</t>
        </is>
      </c>
      <c r="E8858" t="n">
        <v>2782</v>
      </c>
    </row>
    <row r="8859">
      <c r="A8859" t="inlineStr">
        <is>
          <t>27BBBBB08859Z5</t>
        </is>
      </c>
      <c r="B8859" t="inlineStr">
        <is>
          <t>May-2020</t>
        </is>
      </c>
      <c r="C8859" s="2" t="n">
        <v>44890</v>
      </c>
      <c r="D8859" t="inlineStr">
        <is>
          <t>NON-NIL</t>
        </is>
      </c>
      <c r="E8859" t="n">
        <v>1965</v>
      </c>
    </row>
    <row r="8860">
      <c r="A8860" t="inlineStr">
        <is>
          <t>27BBBBB08860Z5</t>
        </is>
      </c>
      <c r="B8860" t="inlineStr">
        <is>
          <t>May-2020</t>
        </is>
      </c>
      <c r="C8860" s="2" t="n">
        <v>43993</v>
      </c>
      <c r="D8860" t="inlineStr">
        <is>
          <t>NON-NIL</t>
        </is>
      </c>
      <c r="E8860" t="n">
        <v>2623</v>
      </c>
    </row>
    <row r="8861">
      <c r="A8861" t="inlineStr">
        <is>
          <t>27BBBBB08861Z5</t>
        </is>
      </c>
      <c r="B8861" t="inlineStr">
        <is>
          <t>Mar-2021</t>
        </is>
      </c>
      <c r="C8861" s="2" t="n">
        <v>45811</v>
      </c>
      <c r="D8861" t="inlineStr">
        <is>
          <t>NIL</t>
        </is>
      </c>
      <c r="E8861" t="n">
        <v>1725</v>
      </c>
    </row>
    <row r="8862">
      <c r="A8862" t="inlineStr">
        <is>
          <t>27BBBBB08862Z5</t>
        </is>
      </c>
      <c r="B8862" t="inlineStr">
        <is>
          <t>Jan-2021</t>
        </is>
      </c>
      <c r="C8862" s="2" t="n">
        <v>43866</v>
      </c>
      <c r="D8862" t="inlineStr">
        <is>
          <t>NON-NIL</t>
        </is>
      </c>
      <c r="E8862" t="n">
        <v>2770</v>
      </c>
    </row>
    <row r="8863">
      <c r="A8863" t="inlineStr">
        <is>
          <t>27BBBBB08863Z5</t>
        </is>
      </c>
      <c r="B8863" t="inlineStr">
        <is>
          <t>May-2018</t>
        </is>
      </c>
      <c r="C8863" s="2" t="n">
        <v>43686</v>
      </c>
      <c r="D8863" t="inlineStr">
        <is>
          <t>NIL</t>
        </is>
      </c>
      <c r="E8863" t="n">
        <v>2752</v>
      </c>
    </row>
    <row r="8864">
      <c r="A8864" t="inlineStr">
        <is>
          <t>27BBBBB08864Z5</t>
        </is>
      </c>
      <c r="B8864" t="inlineStr">
        <is>
          <t>Mar-2023</t>
        </is>
      </c>
      <c r="C8864" s="2" t="n">
        <v>45102</v>
      </c>
      <c r="D8864" t="inlineStr">
        <is>
          <t>NIL</t>
        </is>
      </c>
      <c r="E8864" t="n">
        <v>1057</v>
      </c>
    </row>
    <row r="8865">
      <c r="A8865" t="inlineStr">
        <is>
          <t>27BBBBB08865Z5</t>
        </is>
      </c>
      <c r="B8865" t="inlineStr">
        <is>
          <t>Jun-2020</t>
        </is>
      </c>
      <c r="C8865" s="2" t="n">
        <v>44070</v>
      </c>
      <c r="D8865" t="inlineStr">
        <is>
          <t>NON-NIL</t>
        </is>
      </c>
      <c r="E8865" t="n">
        <v>1345</v>
      </c>
    </row>
    <row r="8866">
      <c r="A8866" t="inlineStr">
        <is>
          <t>27BBBBB08866Z5</t>
        </is>
      </c>
      <c r="B8866" t="inlineStr">
        <is>
          <t>Jun-2020</t>
        </is>
      </c>
      <c r="C8866" s="2" t="n">
        <v>43891</v>
      </c>
      <c r="D8866" t="inlineStr">
        <is>
          <t>NIL</t>
        </is>
      </c>
      <c r="E8866" t="n">
        <v>2600</v>
      </c>
    </row>
    <row r="8867">
      <c r="A8867" t="inlineStr">
        <is>
          <t>27BBBBB08867Z5</t>
        </is>
      </c>
      <c r="B8867" t="inlineStr">
        <is>
          <t>Apr-2018</t>
        </is>
      </c>
      <c r="C8867" s="2" t="n">
        <v>43603</v>
      </c>
      <c r="D8867" t="inlineStr">
        <is>
          <t>NON-NIL</t>
        </is>
      </c>
      <c r="E8867" t="n">
        <v>56</v>
      </c>
    </row>
    <row r="8868">
      <c r="A8868" t="inlineStr">
        <is>
          <t>27BBBBB08868Z5</t>
        </is>
      </c>
      <c r="B8868" t="inlineStr">
        <is>
          <t>Jul-2017</t>
        </is>
      </c>
      <c r="C8868" s="2" t="n">
        <v>43494</v>
      </c>
      <c r="D8868" t="inlineStr">
        <is>
          <t>NIL</t>
        </is>
      </c>
      <c r="E8868" t="n">
        <v>384</v>
      </c>
    </row>
    <row r="8869">
      <c r="A8869" t="inlineStr">
        <is>
          <t>27BBBBB08869Z5</t>
        </is>
      </c>
      <c r="B8869" t="inlineStr">
        <is>
          <t>Oct-2018</t>
        </is>
      </c>
      <c r="C8869" s="2" t="n">
        <v>43305</v>
      </c>
      <c r="D8869" t="inlineStr">
        <is>
          <t>NIL</t>
        </is>
      </c>
      <c r="E8869" t="n">
        <v>1875</v>
      </c>
    </row>
    <row r="8870">
      <c r="A8870" t="inlineStr">
        <is>
          <t>27BBBBB08870Z5</t>
        </is>
      </c>
      <c r="B8870" t="inlineStr">
        <is>
          <t>May-2018</t>
        </is>
      </c>
      <c r="C8870" s="2" t="n">
        <v>44116</v>
      </c>
      <c r="D8870" t="inlineStr">
        <is>
          <t>NIL</t>
        </is>
      </c>
      <c r="E8870" t="n">
        <v>422</v>
      </c>
    </row>
    <row r="8871">
      <c r="A8871" t="inlineStr">
        <is>
          <t>27BBBBB08871Z5</t>
        </is>
      </c>
      <c r="B8871" t="inlineStr">
        <is>
          <t>May-2020</t>
        </is>
      </c>
      <c r="C8871" s="2" t="n">
        <v>44179</v>
      </c>
      <c r="D8871" t="inlineStr">
        <is>
          <t>NON-NIL</t>
        </is>
      </c>
      <c r="E8871" t="n">
        <v>2864</v>
      </c>
    </row>
    <row r="8872">
      <c r="A8872" t="inlineStr">
        <is>
          <t>27BBBBB08872Z5</t>
        </is>
      </c>
      <c r="B8872" t="inlineStr">
        <is>
          <t>Sep-2017</t>
        </is>
      </c>
      <c r="C8872" s="2" t="n">
        <v>43385</v>
      </c>
      <c r="D8872" t="inlineStr">
        <is>
          <t>NIL</t>
        </is>
      </c>
      <c r="E8872" t="n">
        <v>2136</v>
      </c>
    </row>
    <row r="8873">
      <c r="A8873" t="inlineStr">
        <is>
          <t>27BBBBB08873Z5</t>
        </is>
      </c>
      <c r="B8873" t="inlineStr">
        <is>
          <t>Nov-2018</t>
        </is>
      </c>
      <c r="C8873" s="2" t="n">
        <v>43347</v>
      </c>
      <c r="D8873" t="inlineStr">
        <is>
          <t>NON-NIL</t>
        </is>
      </c>
      <c r="E8873" t="n">
        <v>1348</v>
      </c>
    </row>
    <row r="8874">
      <c r="A8874" t="inlineStr">
        <is>
          <t>27BBBBB08874Z5</t>
        </is>
      </c>
      <c r="B8874" t="inlineStr">
        <is>
          <t>Sep-2018</t>
        </is>
      </c>
      <c r="C8874" s="2" t="n">
        <v>42990</v>
      </c>
      <c r="D8874" t="inlineStr">
        <is>
          <t>NIL</t>
        </is>
      </c>
      <c r="E8874" t="n">
        <v>1720</v>
      </c>
    </row>
    <row r="8875">
      <c r="A8875" t="inlineStr">
        <is>
          <t>27BBBBB08875Z5</t>
        </is>
      </c>
      <c r="B8875" t="inlineStr">
        <is>
          <t>Jul-2017</t>
        </is>
      </c>
      <c r="C8875" s="2" t="n">
        <v>43116</v>
      </c>
      <c r="D8875" t="inlineStr">
        <is>
          <t>NON-NIL</t>
        </is>
      </c>
      <c r="E8875" t="n">
        <v>353</v>
      </c>
    </row>
    <row r="8876">
      <c r="A8876" t="inlineStr">
        <is>
          <t>27BBBBB08876Z5</t>
        </is>
      </c>
      <c r="B8876" t="inlineStr">
        <is>
          <t>Jun-2020</t>
        </is>
      </c>
      <c r="C8876" s="2" t="n">
        <v>44588</v>
      </c>
      <c r="D8876" t="inlineStr">
        <is>
          <t>NON-NIL</t>
        </is>
      </c>
      <c r="E8876" t="n">
        <v>693</v>
      </c>
    </row>
    <row r="8877">
      <c r="A8877" t="inlineStr">
        <is>
          <t>27BBBBB08877Z5</t>
        </is>
      </c>
      <c r="B8877" t="inlineStr">
        <is>
          <t>Jun-2018</t>
        </is>
      </c>
      <c r="C8877" s="2" t="n">
        <v>44336</v>
      </c>
      <c r="D8877" t="inlineStr">
        <is>
          <t>NIL</t>
        </is>
      </c>
      <c r="E8877" t="n">
        <v>1330</v>
      </c>
    </row>
    <row r="8878">
      <c r="A8878" t="inlineStr">
        <is>
          <t>27BBBBB08878Z5</t>
        </is>
      </c>
      <c r="B8878" t="inlineStr">
        <is>
          <t>Mar-2021</t>
        </is>
      </c>
      <c r="C8878" s="2" t="n">
        <v>44028</v>
      </c>
      <c r="D8878" t="inlineStr">
        <is>
          <t>NON-NIL</t>
        </is>
      </c>
      <c r="E8878" t="n">
        <v>970</v>
      </c>
    </row>
    <row r="8879">
      <c r="A8879" t="inlineStr">
        <is>
          <t>27BBBBB08879Z5</t>
        </is>
      </c>
      <c r="B8879" t="inlineStr">
        <is>
          <t>Sep-2018</t>
        </is>
      </c>
      <c r="C8879" s="2" t="n">
        <v>42945</v>
      </c>
      <c r="D8879" t="inlineStr">
        <is>
          <t>NON-NIL</t>
        </is>
      </c>
      <c r="E8879" t="n">
        <v>636</v>
      </c>
    </row>
    <row r="8880">
      <c r="A8880" t="inlineStr">
        <is>
          <t>27BBBBB08880Z5</t>
        </is>
      </c>
      <c r="B8880" t="inlineStr">
        <is>
          <t>Jul-2017</t>
        </is>
      </c>
      <c r="C8880" s="2" t="n">
        <v>44366</v>
      </c>
      <c r="D8880" t="inlineStr">
        <is>
          <t>NON-NIL</t>
        </is>
      </c>
      <c r="E8880" t="n">
        <v>1464</v>
      </c>
    </row>
    <row r="8881">
      <c r="A8881" t="inlineStr">
        <is>
          <t>27BBBBB08881Z5</t>
        </is>
      </c>
      <c r="B8881" t="inlineStr">
        <is>
          <t>Apr-2020</t>
        </is>
      </c>
      <c r="C8881" s="2" t="n">
        <v>44494</v>
      </c>
      <c r="D8881" t="inlineStr">
        <is>
          <t>NON-NIL</t>
        </is>
      </c>
      <c r="E8881" t="n">
        <v>1125</v>
      </c>
    </row>
    <row r="8882">
      <c r="A8882" t="inlineStr">
        <is>
          <t>27BBBBB08882Z5</t>
        </is>
      </c>
      <c r="B8882" t="inlineStr">
        <is>
          <t>Jul-2017</t>
        </is>
      </c>
      <c r="C8882" s="2" t="n">
        <v>44041</v>
      </c>
      <c r="D8882" t="inlineStr">
        <is>
          <t>NIL</t>
        </is>
      </c>
      <c r="E8882" t="n">
        <v>2994</v>
      </c>
    </row>
    <row r="8883">
      <c r="A8883" t="inlineStr">
        <is>
          <t>27BBBBB08883Z5</t>
        </is>
      </c>
      <c r="B8883" t="inlineStr">
        <is>
          <t>Mar-2020</t>
        </is>
      </c>
      <c r="C8883" s="2" t="n">
        <v>44480</v>
      </c>
      <c r="D8883" t="inlineStr">
        <is>
          <t>NIL</t>
        </is>
      </c>
      <c r="E8883" t="n">
        <v>2681</v>
      </c>
    </row>
    <row r="8884">
      <c r="A8884" t="inlineStr">
        <is>
          <t>27BBBBB08884Z5</t>
        </is>
      </c>
      <c r="B8884" t="inlineStr">
        <is>
          <t>Jun-2020</t>
        </is>
      </c>
      <c r="C8884" s="2" t="n">
        <v>44892</v>
      </c>
      <c r="D8884" t="inlineStr">
        <is>
          <t>NIL</t>
        </is>
      </c>
      <c r="E8884" t="n">
        <v>472</v>
      </c>
    </row>
    <row r="8885">
      <c r="A8885" t="inlineStr">
        <is>
          <t>27BBBBB08885Z5</t>
        </is>
      </c>
      <c r="B8885" t="inlineStr">
        <is>
          <t>May-2020</t>
        </is>
      </c>
      <c r="C8885" s="2" t="n">
        <v>44515</v>
      </c>
      <c r="D8885" t="inlineStr">
        <is>
          <t>NON-NIL</t>
        </is>
      </c>
      <c r="E8885" t="n">
        <v>2372</v>
      </c>
    </row>
    <row r="8886">
      <c r="A8886" t="inlineStr">
        <is>
          <t>27BBBBB08886Z5</t>
        </is>
      </c>
      <c r="B8886" t="inlineStr">
        <is>
          <t>Mar-2021</t>
        </is>
      </c>
      <c r="C8886" s="2" t="n">
        <v>45211</v>
      </c>
      <c r="D8886" t="inlineStr">
        <is>
          <t>NIL</t>
        </is>
      </c>
      <c r="E8886" t="n">
        <v>47</v>
      </c>
    </row>
    <row r="8887">
      <c r="A8887" t="inlineStr">
        <is>
          <t>27BBBBB08887Z5</t>
        </is>
      </c>
      <c r="B8887" t="inlineStr">
        <is>
          <t>Nov-2018</t>
        </is>
      </c>
      <c r="C8887" s="2" t="n">
        <v>43398</v>
      </c>
      <c r="D8887" t="inlineStr">
        <is>
          <t>NON-NIL</t>
        </is>
      </c>
      <c r="E8887" t="n">
        <v>1958</v>
      </c>
    </row>
    <row r="8888">
      <c r="A8888" t="inlineStr">
        <is>
          <t>27BBBBB08888Z5</t>
        </is>
      </c>
      <c r="B8888" t="inlineStr">
        <is>
          <t>Nov-2017</t>
        </is>
      </c>
      <c r="C8888" s="2" t="n">
        <v>44262</v>
      </c>
      <c r="D8888" t="inlineStr">
        <is>
          <t>NON-NIL</t>
        </is>
      </c>
      <c r="E8888" t="n">
        <v>464</v>
      </c>
    </row>
    <row r="8889">
      <c r="A8889" t="inlineStr">
        <is>
          <t>27BBBBB08889Z5</t>
        </is>
      </c>
      <c r="B8889" t="inlineStr">
        <is>
          <t>Dec-2018</t>
        </is>
      </c>
      <c r="C8889" s="2" t="n">
        <v>43942</v>
      </c>
      <c r="D8889" t="inlineStr">
        <is>
          <t>NIL</t>
        </is>
      </c>
      <c r="E8889" t="n">
        <v>792</v>
      </c>
    </row>
    <row r="8890">
      <c r="A8890" t="inlineStr">
        <is>
          <t>27BBBBB08890Z5</t>
        </is>
      </c>
      <c r="B8890" t="inlineStr">
        <is>
          <t>Dec-2018</t>
        </is>
      </c>
      <c r="C8890" s="2" t="n">
        <v>44211</v>
      </c>
      <c r="D8890" t="inlineStr">
        <is>
          <t>NON-NIL</t>
        </is>
      </c>
      <c r="E8890" t="n">
        <v>998</v>
      </c>
    </row>
    <row r="8891">
      <c r="A8891" t="inlineStr">
        <is>
          <t>27BBBBB08891Z5</t>
        </is>
      </c>
      <c r="B8891" t="inlineStr">
        <is>
          <t>Apr-2018</t>
        </is>
      </c>
      <c r="C8891" s="2" t="n">
        <v>44117</v>
      </c>
      <c r="D8891" t="inlineStr">
        <is>
          <t>NIL</t>
        </is>
      </c>
      <c r="E8891" t="n">
        <v>138</v>
      </c>
    </row>
    <row r="8892">
      <c r="A8892" t="inlineStr">
        <is>
          <t>27BBBBB08892Z5</t>
        </is>
      </c>
      <c r="B8892" t="inlineStr">
        <is>
          <t>Dec-2017</t>
        </is>
      </c>
      <c r="C8892" s="2" t="n">
        <v>44558</v>
      </c>
      <c r="D8892" t="inlineStr">
        <is>
          <t>NON-NIL</t>
        </is>
      </c>
      <c r="E8892" t="n">
        <v>920</v>
      </c>
    </row>
    <row r="8893">
      <c r="A8893" t="inlineStr">
        <is>
          <t>27BBBBB08893Z5</t>
        </is>
      </c>
      <c r="B8893" t="inlineStr">
        <is>
          <t>Apr-2020</t>
        </is>
      </c>
      <c r="C8893" s="2" t="n">
        <v>44686</v>
      </c>
      <c r="D8893" t="inlineStr">
        <is>
          <t>NON-NIL</t>
        </is>
      </c>
      <c r="E8893" t="n">
        <v>2425</v>
      </c>
    </row>
    <row r="8894">
      <c r="A8894" t="inlineStr">
        <is>
          <t>27BBBBB08894Z5</t>
        </is>
      </c>
      <c r="B8894" t="inlineStr">
        <is>
          <t>Feb-2018</t>
        </is>
      </c>
      <c r="C8894" s="2" t="n">
        <v>43670</v>
      </c>
      <c r="D8894" t="inlineStr">
        <is>
          <t>NON-NIL</t>
        </is>
      </c>
      <c r="E8894" t="n">
        <v>1056</v>
      </c>
    </row>
    <row r="8895">
      <c r="A8895" t="inlineStr">
        <is>
          <t>27BBBBB08895Z5</t>
        </is>
      </c>
      <c r="B8895" t="inlineStr">
        <is>
          <t>Mar-2020</t>
        </is>
      </c>
      <c r="C8895" s="2" t="n">
        <v>44825</v>
      </c>
      <c r="D8895" t="inlineStr">
        <is>
          <t>NIL</t>
        </is>
      </c>
      <c r="E8895" t="n">
        <v>1832</v>
      </c>
    </row>
    <row r="8896">
      <c r="A8896" t="inlineStr">
        <is>
          <t>27BBBBB08896Z5</t>
        </is>
      </c>
      <c r="B8896" t="inlineStr">
        <is>
          <t>May-2018</t>
        </is>
      </c>
      <c r="C8896" s="2" t="n">
        <v>43570</v>
      </c>
      <c r="D8896" t="inlineStr">
        <is>
          <t>NON-NIL</t>
        </is>
      </c>
      <c r="E8896" t="n">
        <v>1480</v>
      </c>
    </row>
    <row r="8897">
      <c r="A8897" t="inlineStr">
        <is>
          <t>27BBBBB08897Z5</t>
        </is>
      </c>
      <c r="B8897" t="inlineStr">
        <is>
          <t>Jan-2018</t>
        </is>
      </c>
      <c r="C8897" s="2" t="n">
        <v>44009</v>
      </c>
      <c r="D8897" t="inlineStr">
        <is>
          <t>NIL</t>
        </is>
      </c>
      <c r="E8897" t="n">
        <v>638</v>
      </c>
    </row>
    <row r="8898">
      <c r="A8898" t="inlineStr">
        <is>
          <t>27BBBBB08898Z5</t>
        </is>
      </c>
      <c r="B8898" t="inlineStr">
        <is>
          <t>Feb-2018</t>
        </is>
      </c>
      <c r="C8898" s="2" t="n">
        <v>44242</v>
      </c>
      <c r="D8898" t="inlineStr">
        <is>
          <t>NON-NIL</t>
        </is>
      </c>
      <c r="E8898" t="n">
        <v>123</v>
      </c>
    </row>
    <row r="8899">
      <c r="A8899" t="inlineStr">
        <is>
          <t>27BBBBB08899Z5</t>
        </is>
      </c>
      <c r="B8899" t="inlineStr">
        <is>
          <t>Mar-2020</t>
        </is>
      </c>
      <c r="C8899" s="2" t="n">
        <v>44078</v>
      </c>
      <c r="D8899" t="inlineStr">
        <is>
          <t>NON-NIL</t>
        </is>
      </c>
      <c r="E8899" t="n">
        <v>136</v>
      </c>
    </row>
    <row r="8900">
      <c r="A8900" t="inlineStr">
        <is>
          <t>27BBBBB08900Z5</t>
        </is>
      </c>
      <c r="B8900" t="inlineStr">
        <is>
          <t>Mar-2021</t>
        </is>
      </c>
      <c r="C8900" s="2" t="n">
        <v>45523</v>
      </c>
      <c r="D8900" t="inlineStr">
        <is>
          <t>NON-NIL</t>
        </is>
      </c>
      <c r="E8900" t="n">
        <v>1987</v>
      </c>
    </row>
    <row r="8901">
      <c r="A8901" t="inlineStr">
        <is>
          <t>27BBBBB08901Z5</t>
        </is>
      </c>
      <c r="B8901" t="inlineStr">
        <is>
          <t>Dec-2024</t>
        </is>
      </c>
      <c r="C8901" s="2" t="n">
        <v>44716</v>
      </c>
      <c r="D8901" t="inlineStr">
        <is>
          <t>NIL</t>
        </is>
      </c>
      <c r="E8901" t="n">
        <v>2155</v>
      </c>
    </row>
    <row r="8902">
      <c r="A8902" t="inlineStr">
        <is>
          <t>27BBBBB08902Z5</t>
        </is>
      </c>
      <c r="B8902" t="inlineStr">
        <is>
          <t>Nov-2017</t>
        </is>
      </c>
      <c r="C8902" s="2" t="n">
        <v>43793</v>
      </c>
      <c r="D8902" t="inlineStr">
        <is>
          <t>NON-NIL</t>
        </is>
      </c>
      <c r="E8902" t="n">
        <v>2166</v>
      </c>
    </row>
    <row r="8903">
      <c r="A8903" t="inlineStr">
        <is>
          <t>27BBBBB08903Z5</t>
        </is>
      </c>
      <c r="B8903" t="inlineStr">
        <is>
          <t>Nov-2017</t>
        </is>
      </c>
      <c r="C8903" s="2" t="n">
        <v>44062</v>
      </c>
      <c r="D8903" t="inlineStr">
        <is>
          <t>NIL</t>
        </is>
      </c>
      <c r="E8903" t="n">
        <v>1805</v>
      </c>
    </row>
    <row r="8904">
      <c r="A8904" t="inlineStr">
        <is>
          <t>27BBBBB08904Z5</t>
        </is>
      </c>
      <c r="B8904" t="inlineStr">
        <is>
          <t>Jun-2018</t>
        </is>
      </c>
      <c r="C8904" s="2" t="n">
        <v>44105</v>
      </c>
      <c r="D8904" t="inlineStr">
        <is>
          <t>NON-NIL</t>
        </is>
      </c>
      <c r="E8904" t="n">
        <v>1541</v>
      </c>
    </row>
    <row r="8905">
      <c r="A8905" t="inlineStr">
        <is>
          <t>27BBBBB08905Z5</t>
        </is>
      </c>
      <c r="B8905" t="inlineStr">
        <is>
          <t>Nov-2018</t>
        </is>
      </c>
      <c r="C8905" s="2" t="n">
        <v>43007</v>
      </c>
      <c r="D8905" t="inlineStr">
        <is>
          <t>NON-NIL</t>
        </is>
      </c>
      <c r="E8905" t="n">
        <v>2355</v>
      </c>
    </row>
    <row r="8906">
      <c r="A8906" t="inlineStr">
        <is>
          <t>27BBBBB08906Z5</t>
        </is>
      </c>
      <c r="B8906" t="inlineStr">
        <is>
          <t>Dec-2018</t>
        </is>
      </c>
      <c r="C8906" s="2" t="n">
        <v>44478</v>
      </c>
      <c r="D8906" t="inlineStr">
        <is>
          <t>NIL</t>
        </is>
      </c>
      <c r="E8906" t="n">
        <v>185</v>
      </c>
    </row>
    <row r="8907">
      <c r="A8907" t="inlineStr">
        <is>
          <t>27BBBBB08907Z5</t>
        </is>
      </c>
      <c r="B8907" t="inlineStr">
        <is>
          <t>Mar-2023</t>
        </is>
      </c>
      <c r="C8907" s="2" t="n">
        <v>44924</v>
      </c>
      <c r="D8907" t="inlineStr">
        <is>
          <t>NIL</t>
        </is>
      </c>
      <c r="E8907" t="n">
        <v>2838</v>
      </c>
    </row>
    <row r="8908">
      <c r="A8908" t="inlineStr">
        <is>
          <t>27BBBBB08908Z5</t>
        </is>
      </c>
      <c r="B8908" t="inlineStr">
        <is>
          <t>Feb-2018</t>
        </is>
      </c>
      <c r="C8908" s="2" t="n">
        <v>43140</v>
      </c>
      <c r="D8908" t="inlineStr">
        <is>
          <t>NON-NIL</t>
        </is>
      </c>
      <c r="E8908" t="n">
        <v>1789</v>
      </c>
    </row>
    <row r="8909">
      <c r="A8909" t="inlineStr">
        <is>
          <t>27BBBBB08909Z5</t>
        </is>
      </c>
      <c r="B8909" t="inlineStr">
        <is>
          <t>Mar-2020</t>
        </is>
      </c>
      <c r="C8909" s="2" t="n">
        <v>44154</v>
      </c>
      <c r="D8909" t="inlineStr">
        <is>
          <t>NIL</t>
        </is>
      </c>
      <c r="E8909" t="n">
        <v>832</v>
      </c>
    </row>
    <row r="8910">
      <c r="A8910" t="inlineStr">
        <is>
          <t>27BBBBB08910Z5</t>
        </is>
      </c>
      <c r="B8910" t="inlineStr">
        <is>
          <t>May-2020</t>
        </is>
      </c>
      <c r="C8910" s="2" t="n">
        <v>44856</v>
      </c>
      <c r="D8910" t="inlineStr">
        <is>
          <t>NON-NIL</t>
        </is>
      </c>
      <c r="E8910" t="n">
        <v>2760</v>
      </c>
    </row>
    <row r="8911">
      <c r="A8911" t="inlineStr">
        <is>
          <t>27BBBBB08911Z5</t>
        </is>
      </c>
      <c r="B8911" t="inlineStr">
        <is>
          <t>Jan-2018</t>
        </is>
      </c>
      <c r="C8911" s="2" t="n">
        <v>43459</v>
      </c>
      <c r="D8911" t="inlineStr">
        <is>
          <t>NON-NIL</t>
        </is>
      </c>
      <c r="E8911" t="n">
        <v>2065</v>
      </c>
    </row>
    <row r="8912">
      <c r="A8912" t="inlineStr">
        <is>
          <t>27BBBBB08912Z5</t>
        </is>
      </c>
      <c r="B8912" t="inlineStr">
        <is>
          <t>Oct-2018</t>
        </is>
      </c>
      <c r="C8912" s="2" t="n">
        <v>43264</v>
      </c>
      <c r="D8912" t="inlineStr">
        <is>
          <t>NIL</t>
        </is>
      </c>
      <c r="E8912" t="n">
        <v>1575</v>
      </c>
    </row>
    <row r="8913">
      <c r="A8913" t="inlineStr">
        <is>
          <t>27BBBBB08913Z5</t>
        </is>
      </c>
      <c r="B8913" t="inlineStr">
        <is>
          <t>Dec-2022</t>
        </is>
      </c>
      <c r="C8913" s="2" t="n">
        <v>44482</v>
      </c>
      <c r="D8913" t="inlineStr">
        <is>
          <t>NON-NIL</t>
        </is>
      </c>
      <c r="E8913" t="n">
        <v>614</v>
      </c>
    </row>
    <row r="8914">
      <c r="A8914" t="inlineStr">
        <is>
          <t>27BBBBB08914Z5</t>
        </is>
      </c>
      <c r="B8914" t="inlineStr">
        <is>
          <t>Nov-2018</t>
        </is>
      </c>
      <c r="C8914" s="2" t="n">
        <v>43595</v>
      </c>
      <c r="D8914" t="inlineStr">
        <is>
          <t>NON-NIL</t>
        </is>
      </c>
      <c r="E8914" t="n">
        <v>2646</v>
      </c>
    </row>
    <row r="8915">
      <c r="A8915" t="inlineStr">
        <is>
          <t>27BBBBB08915Z5</t>
        </is>
      </c>
      <c r="B8915" t="inlineStr">
        <is>
          <t>Dec-2022</t>
        </is>
      </c>
      <c r="C8915" s="2" t="n">
        <v>45697</v>
      </c>
      <c r="D8915" t="inlineStr">
        <is>
          <t>NIL</t>
        </is>
      </c>
      <c r="E8915" t="n">
        <v>433</v>
      </c>
    </row>
    <row r="8916">
      <c r="A8916" t="inlineStr">
        <is>
          <t>27BBBBB08916Z5</t>
        </is>
      </c>
      <c r="B8916" t="inlineStr">
        <is>
          <t>Mar-2023</t>
        </is>
      </c>
      <c r="C8916" s="2" t="n">
        <v>44522</v>
      </c>
      <c r="D8916" t="inlineStr">
        <is>
          <t>NON-NIL</t>
        </is>
      </c>
      <c r="E8916" t="n">
        <v>1994</v>
      </c>
    </row>
    <row r="8917">
      <c r="A8917" t="inlineStr">
        <is>
          <t>27BBBBB08917Z5</t>
        </is>
      </c>
      <c r="B8917" t="inlineStr">
        <is>
          <t>Jun-2018</t>
        </is>
      </c>
      <c r="C8917" s="2" t="n">
        <v>43998</v>
      </c>
      <c r="D8917" t="inlineStr">
        <is>
          <t>NON-NIL</t>
        </is>
      </c>
      <c r="E8917" t="n">
        <v>915</v>
      </c>
    </row>
    <row r="8918">
      <c r="A8918" t="inlineStr">
        <is>
          <t>27BBBBB08918Z5</t>
        </is>
      </c>
      <c r="B8918" t="inlineStr">
        <is>
          <t>Dec-2018</t>
        </is>
      </c>
      <c r="C8918" s="2" t="n">
        <v>43753</v>
      </c>
      <c r="D8918" t="inlineStr">
        <is>
          <t>NIL</t>
        </is>
      </c>
      <c r="E8918" t="n">
        <v>1503</v>
      </c>
    </row>
    <row r="8919">
      <c r="A8919" t="inlineStr">
        <is>
          <t>27BBBBB08919Z5</t>
        </is>
      </c>
      <c r="B8919" t="inlineStr">
        <is>
          <t>Aug-2017</t>
        </is>
      </c>
      <c r="C8919" s="2" t="n">
        <v>44335</v>
      </c>
      <c r="D8919" t="inlineStr">
        <is>
          <t>NON-NIL</t>
        </is>
      </c>
      <c r="E8919" t="n">
        <v>1235</v>
      </c>
    </row>
    <row r="8920">
      <c r="A8920" t="inlineStr">
        <is>
          <t>27BBBBB08920Z5</t>
        </is>
      </c>
      <c r="B8920" t="inlineStr">
        <is>
          <t>May-2018</t>
        </is>
      </c>
      <c r="C8920" s="2" t="n">
        <v>43114</v>
      </c>
      <c r="D8920" t="inlineStr">
        <is>
          <t>NIL</t>
        </is>
      </c>
      <c r="E8920" t="n">
        <v>1365</v>
      </c>
    </row>
    <row r="8921">
      <c r="A8921" t="inlineStr">
        <is>
          <t>27BBBBB08921Z5</t>
        </is>
      </c>
      <c r="B8921" t="inlineStr">
        <is>
          <t>Dec-2017</t>
        </is>
      </c>
      <c r="C8921" s="2" t="n">
        <v>43517</v>
      </c>
      <c r="D8921" t="inlineStr">
        <is>
          <t>NON-NIL</t>
        </is>
      </c>
      <c r="E8921" t="n">
        <v>304</v>
      </c>
    </row>
    <row r="8922">
      <c r="A8922" t="inlineStr">
        <is>
          <t>27BBBBB08922Z5</t>
        </is>
      </c>
      <c r="B8922" t="inlineStr">
        <is>
          <t>Nov-2018</t>
        </is>
      </c>
      <c r="C8922" s="2" t="n">
        <v>44433</v>
      </c>
      <c r="D8922" t="inlineStr">
        <is>
          <t>NON-NIL</t>
        </is>
      </c>
      <c r="E8922" t="n">
        <v>347</v>
      </c>
    </row>
    <row r="8923">
      <c r="A8923" t="inlineStr">
        <is>
          <t>27BBBBB08923Z5</t>
        </is>
      </c>
      <c r="B8923" t="inlineStr">
        <is>
          <t>Dec-2022</t>
        </is>
      </c>
      <c r="C8923" s="2" t="n">
        <v>43542</v>
      </c>
      <c r="D8923" t="inlineStr">
        <is>
          <t>NIL</t>
        </is>
      </c>
      <c r="E8923" t="n">
        <v>99</v>
      </c>
    </row>
    <row r="8924">
      <c r="A8924" t="inlineStr">
        <is>
          <t>27BBBBB08924Z5</t>
        </is>
      </c>
      <c r="B8924" t="inlineStr">
        <is>
          <t>Mar-2021</t>
        </is>
      </c>
      <c r="C8924" s="2" t="n">
        <v>44278</v>
      </c>
      <c r="D8924" t="inlineStr">
        <is>
          <t>NIL</t>
        </is>
      </c>
      <c r="E8924" t="n">
        <v>214</v>
      </c>
    </row>
    <row r="8925">
      <c r="A8925" t="inlineStr">
        <is>
          <t>27BBBBB08925Z5</t>
        </is>
      </c>
      <c r="B8925" t="inlineStr">
        <is>
          <t>Feb-2018</t>
        </is>
      </c>
      <c r="C8925" s="2" t="n">
        <v>43615</v>
      </c>
      <c r="D8925" t="inlineStr">
        <is>
          <t>NIL</t>
        </is>
      </c>
      <c r="E8925" t="n">
        <v>2699</v>
      </c>
    </row>
    <row r="8926">
      <c r="A8926" t="inlineStr">
        <is>
          <t>27BBBBB08926Z5</t>
        </is>
      </c>
      <c r="B8926" t="inlineStr">
        <is>
          <t>Oct-2018</t>
        </is>
      </c>
      <c r="C8926" s="2" t="n">
        <v>43581</v>
      </c>
      <c r="D8926" t="inlineStr">
        <is>
          <t>NIL</t>
        </is>
      </c>
      <c r="E8926" t="n">
        <v>1899</v>
      </c>
    </row>
    <row r="8927">
      <c r="A8927" t="inlineStr">
        <is>
          <t>27BBBBB08927Z5</t>
        </is>
      </c>
      <c r="B8927" t="inlineStr">
        <is>
          <t>May-2020</t>
        </is>
      </c>
      <c r="C8927" s="2" t="n">
        <v>44184</v>
      </c>
      <c r="D8927" t="inlineStr">
        <is>
          <t>NON-NIL</t>
        </is>
      </c>
      <c r="E8927" t="n">
        <v>908</v>
      </c>
    </row>
    <row r="8928">
      <c r="A8928" t="inlineStr">
        <is>
          <t>27BBBBB08928Z5</t>
        </is>
      </c>
      <c r="B8928" t="inlineStr">
        <is>
          <t>Nov-2017</t>
        </is>
      </c>
      <c r="C8928" s="2" t="n">
        <v>43489</v>
      </c>
      <c r="D8928" t="inlineStr">
        <is>
          <t>NON-NIL</t>
        </is>
      </c>
      <c r="E8928" t="n">
        <v>2255</v>
      </c>
    </row>
    <row r="8929">
      <c r="A8929" t="inlineStr">
        <is>
          <t>27BBBBB08929Z5</t>
        </is>
      </c>
      <c r="B8929" t="inlineStr">
        <is>
          <t>Oct-2018</t>
        </is>
      </c>
      <c r="C8929" s="2" t="n">
        <v>44511</v>
      </c>
      <c r="D8929" t="inlineStr">
        <is>
          <t>NIL</t>
        </is>
      </c>
      <c r="E8929" t="n">
        <v>1737</v>
      </c>
    </row>
    <row r="8930">
      <c r="A8930" t="inlineStr">
        <is>
          <t>27BBBBB08930Z5</t>
        </is>
      </c>
      <c r="B8930" t="inlineStr">
        <is>
          <t>Mar-2021</t>
        </is>
      </c>
      <c r="C8930" s="2" t="n">
        <v>43619</v>
      </c>
      <c r="D8930" t="inlineStr">
        <is>
          <t>NIL</t>
        </is>
      </c>
      <c r="E8930" t="n">
        <v>604</v>
      </c>
    </row>
    <row r="8931">
      <c r="A8931" t="inlineStr">
        <is>
          <t>27BBBBB08931Z5</t>
        </is>
      </c>
      <c r="B8931" t="inlineStr">
        <is>
          <t>Apr-2020</t>
        </is>
      </c>
      <c r="C8931" s="2" t="n">
        <v>44865</v>
      </c>
      <c r="D8931" t="inlineStr">
        <is>
          <t>NON-NIL</t>
        </is>
      </c>
      <c r="E8931" t="n">
        <v>2948</v>
      </c>
    </row>
    <row r="8932">
      <c r="A8932" t="inlineStr">
        <is>
          <t>27BBBBB08932Z5</t>
        </is>
      </c>
      <c r="B8932" t="inlineStr">
        <is>
          <t>May-2020</t>
        </is>
      </c>
      <c r="C8932" s="2" t="n">
        <v>44586</v>
      </c>
      <c r="D8932" t="inlineStr">
        <is>
          <t>NON-NIL</t>
        </is>
      </c>
      <c r="E8932" t="n">
        <v>2229</v>
      </c>
    </row>
    <row r="8933">
      <c r="A8933" t="inlineStr">
        <is>
          <t>27BBBBB08933Z5</t>
        </is>
      </c>
      <c r="B8933" t="inlineStr">
        <is>
          <t>Dec-2017</t>
        </is>
      </c>
      <c r="C8933" s="2" t="n">
        <v>43949</v>
      </c>
      <c r="D8933" t="inlineStr">
        <is>
          <t>NIL</t>
        </is>
      </c>
      <c r="E8933" t="n">
        <v>1211</v>
      </c>
    </row>
    <row r="8934">
      <c r="A8934" t="inlineStr">
        <is>
          <t>27BBBBB08934Z5</t>
        </is>
      </c>
      <c r="B8934" t="inlineStr">
        <is>
          <t>Mar-2021</t>
        </is>
      </c>
      <c r="C8934" s="2" t="n">
        <v>45119</v>
      </c>
      <c r="D8934" t="inlineStr">
        <is>
          <t>NIL</t>
        </is>
      </c>
      <c r="E8934" t="n">
        <v>1907</v>
      </c>
    </row>
    <row r="8935">
      <c r="A8935" t="inlineStr">
        <is>
          <t>27BBBBB08935Z5</t>
        </is>
      </c>
      <c r="B8935" t="inlineStr">
        <is>
          <t>Dec-2024</t>
        </is>
      </c>
      <c r="C8935" s="2" t="n">
        <v>44152</v>
      </c>
      <c r="D8935" t="inlineStr">
        <is>
          <t>NON-NIL</t>
        </is>
      </c>
      <c r="E8935" t="n">
        <v>127</v>
      </c>
    </row>
    <row r="8936">
      <c r="A8936" t="inlineStr">
        <is>
          <t>27BBBBB08936Z5</t>
        </is>
      </c>
      <c r="B8936" t="inlineStr">
        <is>
          <t>Sep-2017</t>
        </is>
      </c>
      <c r="C8936" s="2" t="n">
        <v>44054</v>
      </c>
      <c r="D8936" t="inlineStr">
        <is>
          <t>NIL</t>
        </is>
      </c>
      <c r="E8936" t="n">
        <v>858</v>
      </c>
    </row>
    <row r="8937">
      <c r="A8937" t="inlineStr">
        <is>
          <t>27BBBBB08937Z5</t>
        </is>
      </c>
      <c r="B8937" t="inlineStr">
        <is>
          <t>Nov-2018</t>
        </is>
      </c>
      <c r="C8937" s="2" t="n">
        <v>44059</v>
      </c>
      <c r="D8937" t="inlineStr">
        <is>
          <t>NON-NIL</t>
        </is>
      </c>
      <c r="E8937" t="n">
        <v>512</v>
      </c>
    </row>
    <row r="8938">
      <c r="A8938" t="inlineStr">
        <is>
          <t>27BBBBB08938Z5</t>
        </is>
      </c>
      <c r="B8938" t="inlineStr">
        <is>
          <t>Oct-2017</t>
        </is>
      </c>
      <c r="C8938" s="2" t="n">
        <v>43909</v>
      </c>
      <c r="D8938" t="inlineStr">
        <is>
          <t>NIL</t>
        </is>
      </c>
      <c r="E8938" t="n">
        <v>2807</v>
      </c>
    </row>
    <row r="8939">
      <c r="A8939" t="inlineStr">
        <is>
          <t>27BBBBB08939Z5</t>
        </is>
      </c>
      <c r="B8939" t="inlineStr">
        <is>
          <t>Dec-2018</t>
        </is>
      </c>
      <c r="C8939" s="2" t="n">
        <v>43419</v>
      </c>
      <c r="D8939" t="inlineStr">
        <is>
          <t>NON-NIL</t>
        </is>
      </c>
      <c r="E8939" t="n">
        <v>8</v>
      </c>
    </row>
    <row r="8940">
      <c r="A8940" t="inlineStr">
        <is>
          <t>27BBBBB08940Z5</t>
        </is>
      </c>
      <c r="B8940" t="inlineStr">
        <is>
          <t>Aug-2018</t>
        </is>
      </c>
      <c r="C8940" s="2" t="n">
        <v>44160</v>
      </c>
      <c r="D8940" t="inlineStr">
        <is>
          <t>NON-NIL</t>
        </is>
      </c>
      <c r="E8940" t="n">
        <v>1729</v>
      </c>
    </row>
    <row r="8941">
      <c r="A8941" t="inlineStr">
        <is>
          <t>27BBBBB08941Z5</t>
        </is>
      </c>
      <c r="B8941" t="inlineStr">
        <is>
          <t>Dec-2024</t>
        </is>
      </c>
      <c r="C8941" s="2" t="n">
        <v>45673</v>
      </c>
      <c r="D8941" t="inlineStr">
        <is>
          <t>NON-NIL</t>
        </is>
      </c>
      <c r="E8941" t="n">
        <v>1029</v>
      </c>
    </row>
    <row r="8942">
      <c r="A8942" t="inlineStr">
        <is>
          <t>27BBBBB08942Z5</t>
        </is>
      </c>
      <c r="B8942" t="inlineStr">
        <is>
          <t>Dec-2018</t>
        </is>
      </c>
      <c r="C8942" s="2" t="n">
        <v>43926</v>
      </c>
      <c r="D8942" t="inlineStr">
        <is>
          <t>NON-NIL</t>
        </is>
      </c>
      <c r="E8942" t="n">
        <v>2497</v>
      </c>
    </row>
    <row r="8943">
      <c r="A8943" t="inlineStr">
        <is>
          <t>27BBBBB08943Z5</t>
        </is>
      </c>
      <c r="B8943" t="inlineStr">
        <is>
          <t>Feb-2018</t>
        </is>
      </c>
      <c r="C8943" s="2" t="n">
        <v>43095</v>
      </c>
      <c r="D8943" t="inlineStr">
        <is>
          <t>NON-NIL</t>
        </is>
      </c>
      <c r="E8943" t="n">
        <v>792</v>
      </c>
    </row>
    <row r="8944">
      <c r="A8944" t="inlineStr">
        <is>
          <t>27BBBBB08944Z5</t>
        </is>
      </c>
      <c r="B8944" t="inlineStr">
        <is>
          <t>Jan-2018</t>
        </is>
      </c>
      <c r="C8944" s="2" t="n">
        <v>43191</v>
      </c>
      <c r="D8944" t="inlineStr">
        <is>
          <t>NIL</t>
        </is>
      </c>
      <c r="E8944" t="n">
        <v>119</v>
      </c>
    </row>
    <row r="8945">
      <c r="A8945" t="inlineStr">
        <is>
          <t>27BBBBB08945Z5</t>
        </is>
      </c>
      <c r="B8945" t="inlineStr">
        <is>
          <t>Aug-2018</t>
        </is>
      </c>
      <c r="C8945" s="2" t="n">
        <v>43276</v>
      </c>
      <c r="D8945" t="inlineStr">
        <is>
          <t>NON-NIL</t>
        </is>
      </c>
      <c r="E8945" t="n">
        <v>2897</v>
      </c>
    </row>
    <row r="8946">
      <c r="A8946" t="inlineStr">
        <is>
          <t>27BBBBB08946Z5</t>
        </is>
      </c>
      <c r="B8946" t="inlineStr">
        <is>
          <t>Dec-2018</t>
        </is>
      </c>
      <c r="C8946" s="2" t="n">
        <v>42980</v>
      </c>
      <c r="D8946" t="inlineStr">
        <is>
          <t>NON-NIL</t>
        </is>
      </c>
      <c r="E8946" t="n">
        <v>656</v>
      </c>
    </row>
    <row r="8947">
      <c r="A8947" t="inlineStr">
        <is>
          <t>27BBBBB08947Z5</t>
        </is>
      </c>
      <c r="B8947" t="inlineStr">
        <is>
          <t>Sep-2018</t>
        </is>
      </c>
      <c r="C8947" s="2" t="n">
        <v>43499</v>
      </c>
      <c r="D8947" t="inlineStr">
        <is>
          <t>NIL</t>
        </is>
      </c>
      <c r="E8947" t="n">
        <v>1375</v>
      </c>
    </row>
    <row r="8948">
      <c r="A8948" t="inlineStr">
        <is>
          <t>27BBBBB08948Z5</t>
        </is>
      </c>
      <c r="B8948" t="inlineStr">
        <is>
          <t>Mar-2023</t>
        </is>
      </c>
      <c r="C8948" s="2" t="n">
        <v>45554</v>
      </c>
      <c r="D8948" t="inlineStr">
        <is>
          <t>NON-NIL</t>
        </is>
      </c>
      <c r="E8948" t="n">
        <v>1575</v>
      </c>
    </row>
    <row r="8949">
      <c r="A8949" t="inlineStr">
        <is>
          <t>27BBBBB08949Z5</t>
        </is>
      </c>
      <c r="B8949" t="inlineStr">
        <is>
          <t>Mar-2020</t>
        </is>
      </c>
      <c r="C8949" s="2" t="n">
        <v>44264</v>
      </c>
      <c r="D8949" t="inlineStr">
        <is>
          <t>NIL</t>
        </is>
      </c>
      <c r="E8949" t="n">
        <v>2058</v>
      </c>
    </row>
    <row r="8950">
      <c r="A8950" t="inlineStr">
        <is>
          <t>27BBBBB08950Z5</t>
        </is>
      </c>
      <c r="B8950" t="inlineStr">
        <is>
          <t>Oct-2018</t>
        </is>
      </c>
      <c r="C8950" s="2" t="n">
        <v>44439</v>
      </c>
      <c r="D8950" t="inlineStr">
        <is>
          <t>NON-NIL</t>
        </is>
      </c>
      <c r="E8950" t="n">
        <v>2877</v>
      </c>
    </row>
    <row r="8951">
      <c r="A8951" t="inlineStr">
        <is>
          <t>27BBBBB08951Z5</t>
        </is>
      </c>
      <c r="B8951" t="inlineStr">
        <is>
          <t>Feb-2018</t>
        </is>
      </c>
      <c r="C8951" s="2" t="n">
        <v>44485</v>
      </c>
      <c r="D8951" t="inlineStr">
        <is>
          <t>NON-NIL</t>
        </is>
      </c>
      <c r="E8951" t="n">
        <v>560</v>
      </c>
    </row>
    <row r="8952">
      <c r="A8952" t="inlineStr">
        <is>
          <t>27BBBBB08952Z5</t>
        </is>
      </c>
      <c r="B8952" t="inlineStr">
        <is>
          <t>Dec-2024</t>
        </is>
      </c>
      <c r="C8952" s="2" t="n">
        <v>43679</v>
      </c>
      <c r="D8952" t="inlineStr">
        <is>
          <t>NON-NIL</t>
        </is>
      </c>
      <c r="E8952" t="n">
        <v>68</v>
      </c>
    </row>
    <row r="8953">
      <c r="A8953" t="inlineStr">
        <is>
          <t>27BBBBB08953Z5</t>
        </is>
      </c>
      <c r="B8953" t="inlineStr">
        <is>
          <t>Dec-2017</t>
        </is>
      </c>
      <c r="C8953" s="2" t="n">
        <v>43503</v>
      </c>
      <c r="D8953" t="inlineStr">
        <is>
          <t>NIL</t>
        </is>
      </c>
      <c r="E8953" t="n">
        <v>2389</v>
      </c>
    </row>
    <row r="8954">
      <c r="A8954" t="inlineStr">
        <is>
          <t>27BBBBB08954Z5</t>
        </is>
      </c>
      <c r="B8954" t="inlineStr">
        <is>
          <t>Mar-2023</t>
        </is>
      </c>
      <c r="C8954" s="2" t="n">
        <v>43487</v>
      </c>
      <c r="D8954" t="inlineStr">
        <is>
          <t>NON-NIL</t>
        </is>
      </c>
      <c r="E8954" t="n">
        <v>168</v>
      </c>
    </row>
    <row r="8955">
      <c r="A8955" t="inlineStr">
        <is>
          <t>27BBBBB08955Z5</t>
        </is>
      </c>
      <c r="B8955" t="inlineStr">
        <is>
          <t>Dec-2018</t>
        </is>
      </c>
      <c r="C8955" s="2" t="n">
        <v>44208</v>
      </c>
      <c r="D8955" t="inlineStr">
        <is>
          <t>NIL</t>
        </is>
      </c>
      <c r="E8955" t="n">
        <v>2911</v>
      </c>
    </row>
    <row r="8956">
      <c r="A8956" t="inlineStr">
        <is>
          <t>27BBBBB08956Z5</t>
        </is>
      </c>
      <c r="B8956" t="inlineStr">
        <is>
          <t>Dec-2024</t>
        </is>
      </c>
      <c r="C8956" s="2" t="n">
        <v>44633</v>
      </c>
      <c r="D8956" t="inlineStr">
        <is>
          <t>NON-NIL</t>
        </is>
      </c>
      <c r="E8956" t="n">
        <v>232</v>
      </c>
    </row>
    <row r="8957">
      <c r="A8957" t="inlineStr">
        <is>
          <t>27BBBBB08957Z5</t>
        </is>
      </c>
      <c r="B8957" t="inlineStr">
        <is>
          <t>Jan-2018</t>
        </is>
      </c>
      <c r="C8957" s="2" t="n">
        <v>43842</v>
      </c>
      <c r="D8957" t="inlineStr">
        <is>
          <t>NIL</t>
        </is>
      </c>
      <c r="E8957" t="n">
        <v>1527</v>
      </c>
    </row>
    <row r="8958">
      <c r="A8958" t="inlineStr">
        <is>
          <t>27BBBBB08958Z5</t>
        </is>
      </c>
      <c r="B8958" t="inlineStr">
        <is>
          <t>Jul-2017</t>
        </is>
      </c>
      <c r="C8958" s="2" t="n">
        <v>44162</v>
      </c>
      <c r="D8958" t="inlineStr">
        <is>
          <t>NIL</t>
        </is>
      </c>
      <c r="E8958" t="n">
        <v>2671</v>
      </c>
    </row>
    <row r="8959">
      <c r="A8959" t="inlineStr">
        <is>
          <t>27BBBBB08959Z5</t>
        </is>
      </c>
      <c r="B8959" t="inlineStr">
        <is>
          <t>Jul-2018</t>
        </is>
      </c>
      <c r="C8959" s="2" t="n">
        <v>44510</v>
      </c>
      <c r="D8959" t="inlineStr">
        <is>
          <t>NIL</t>
        </is>
      </c>
      <c r="E8959" t="n">
        <v>1404</v>
      </c>
    </row>
    <row r="8960">
      <c r="A8960" t="inlineStr">
        <is>
          <t>27BBBBB08960Z5</t>
        </is>
      </c>
      <c r="B8960" t="inlineStr">
        <is>
          <t>Jul-2020</t>
        </is>
      </c>
      <c r="C8960" s="2" t="n">
        <v>44162</v>
      </c>
      <c r="D8960" t="inlineStr">
        <is>
          <t>NON-NIL</t>
        </is>
      </c>
      <c r="E8960" t="n">
        <v>278</v>
      </c>
    </row>
    <row r="8961">
      <c r="A8961" t="inlineStr">
        <is>
          <t>27BBBBB08961Z5</t>
        </is>
      </c>
      <c r="B8961" t="inlineStr">
        <is>
          <t>Oct-2018</t>
        </is>
      </c>
      <c r="C8961" s="2" t="n">
        <v>43677</v>
      </c>
      <c r="D8961" t="inlineStr">
        <is>
          <t>NIL</t>
        </is>
      </c>
      <c r="E8961" t="n">
        <v>1501</v>
      </c>
    </row>
    <row r="8962">
      <c r="A8962" t="inlineStr">
        <is>
          <t>27BBBBB08962Z5</t>
        </is>
      </c>
      <c r="B8962" t="inlineStr">
        <is>
          <t>Dec-2024</t>
        </is>
      </c>
      <c r="C8962" s="2" t="n">
        <v>44512</v>
      </c>
      <c r="D8962" t="inlineStr">
        <is>
          <t>NIL</t>
        </is>
      </c>
      <c r="E8962" t="n">
        <v>2142</v>
      </c>
    </row>
    <row r="8963">
      <c r="A8963" t="inlineStr">
        <is>
          <t>27BBBBB08963Z5</t>
        </is>
      </c>
      <c r="B8963" t="inlineStr">
        <is>
          <t>Dec-2018</t>
        </is>
      </c>
      <c r="C8963" s="2" t="n">
        <v>44249</v>
      </c>
      <c r="D8963" t="inlineStr">
        <is>
          <t>NIL</t>
        </is>
      </c>
      <c r="E8963" t="n">
        <v>2911</v>
      </c>
    </row>
    <row r="8964">
      <c r="A8964" t="inlineStr">
        <is>
          <t>27BBBBB08964Z5</t>
        </is>
      </c>
      <c r="B8964" t="inlineStr">
        <is>
          <t>Dec-2017</t>
        </is>
      </c>
      <c r="C8964" s="2" t="n">
        <v>44324</v>
      </c>
      <c r="D8964" t="inlineStr">
        <is>
          <t>NON-NIL</t>
        </is>
      </c>
      <c r="E8964" t="n">
        <v>131</v>
      </c>
    </row>
    <row r="8965">
      <c r="A8965" t="inlineStr">
        <is>
          <t>27BBBBB08965Z5</t>
        </is>
      </c>
      <c r="B8965" t="inlineStr">
        <is>
          <t>Aug-2017</t>
        </is>
      </c>
      <c r="C8965" s="2" t="n">
        <v>43209</v>
      </c>
      <c r="D8965" t="inlineStr">
        <is>
          <t>NIL</t>
        </is>
      </c>
      <c r="E8965" t="n">
        <v>891</v>
      </c>
    </row>
    <row r="8966">
      <c r="A8966" t="inlineStr">
        <is>
          <t>27BBBBB08966Z5</t>
        </is>
      </c>
      <c r="B8966" t="inlineStr">
        <is>
          <t>Aug-2018</t>
        </is>
      </c>
      <c r="C8966" s="2" t="n">
        <v>44453</v>
      </c>
      <c r="D8966" t="inlineStr">
        <is>
          <t>NIL</t>
        </is>
      </c>
      <c r="E8966" t="n">
        <v>885</v>
      </c>
    </row>
    <row r="8967">
      <c r="A8967" t="inlineStr">
        <is>
          <t>27BBBBB08967Z5</t>
        </is>
      </c>
      <c r="B8967" t="inlineStr">
        <is>
          <t>Apr-2020</t>
        </is>
      </c>
      <c r="C8967" s="2" t="n">
        <v>44179</v>
      </c>
      <c r="D8967" t="inlineStr">
        <is>
          <t>NIL</t>
        </is>
      </c>
      <c r="E8967" t="n">
        <v>634</v>
      </c>
    </row>
    <row r="8968">
      <c r="A8968" t="inlineStr">
        <is>
          <t>27BBBBB08968Z5</t>
        </is>
      </c>
      <c r="B8968" t="inlineStr">
        <is>
          <t>Jan-2018</t>
        </is>
      </c>
      <c r="C8968" s="2" t="n">
        <v>44118</v>
      </c>
      <c r="D8968" t="inlineStr">
        <is>
          <t>NON-NIL</t>
        </is>
      </c>
      <c r="E8968" t="n">
        <v>2932</v>
      </c>
    </row>
    <row r="8969">
      <c r="A8969" t="inlineStr">
        <is>
          <t>27BBBBB08969Z5</t>
        </is>
      </c>
      <c r="B8969" t="inlineStr">
        <is>
          <t>Mar-2018</t>
        </is>
      </c>
      <c r="C8969" s="2" t="n">
        <v>44304</v>
      </c>
      <c r="D8969" t="inlineStr">
        <is>
          <t>NON-NIL</t>
        </is>
      </c>
      <c r="E8969" t="n">
        <v>1344</v>
      </c>
    </row>
    <row r="8970">
      <c r="A8970" t="inlineStr">
        <is>
          <t>27BBBBB08970Z5</t>
        </is>
      </c>
      <c r="B8970" t="inlineStr">
        <is>
          <t>Oct-2017</t>
        </is>
      </c>
      <c r="C8970" s="2" t="n">
        <v>43245</v>
      </c>
      <c r="D8970" t="inlineStr">
        <is>
          <t>NIL</t>
        </is>
      </c>
      <c r="E8970" t="n">
        <v>1913</v>
      </c>
    </row>
    <row r="8971">
      <c r="A8971" t="inlineStr">
        <is>
          <t>27BBBBB08971Z5</t>
        </is>
      </c>
      <c r="B8971" t="inlineStr">
        <is>
          <t>Aug-2018</t>
        </is>
      </c>
      <c r="C8971" s="2" t="n">
        <v>44250</v>
      </c>
      <c r="D8971" t="inlineStr">
        <is>
          <t>NIL</t>
        </is>
      </c>
      <c r="E8971" t="n">
        <v>1846</v>
      </c>
    </row>
    <row r="8972">
      <c r="A8972" t="inlineStr">
        <is>
          <t>27BBBBB08972Z5</t>
        </is>
      </c>
      <c r="B8972" t="inlineStr">
        <is>
          <t>Mar-2023</t>
        </is>
      </c>
      <c r="C8972" s="2" t="n">
        <v>45654</v>
      </c>
      <c r="D8972" t="inlineStr">
        <is>
          <t>NON-NIL</t>
        </is>
      </c>
      <c r="E8972" t="n">
        <v>1758</v>
      </c>
    </row>
    <row r="8973">
      <c r="A8973" t="inlineStr">
        <is>
          <t>27BBBBB08973Z5</t>
        </is>
      </c>
      <c r="B8973" t="inlineStr">
        <is>
          <t>Jul-2017</t>
        </is>
      </c>
      <c r="C8973" s="2" t="n">
        <v>43832</v>
      </c>
      <c r="D8973" t="inlineStr">
        <is>
          <t>NON-NIL</t>
        </is>
      </c>
      <c r="E8973" t="n">
        <v>1190</v>
      </c>
    </row>
    <row r="8974">
      <c r="A8974" t="inlineStr">
        <is>
          <t>27BBBBB08974Z5</t>
        </is>
      </c>
      <c r="B8974" t="inlineStr">
        <is>
          <t>Apr-2018</t>
        </is>
      </c>
      <c r="C8974" s="2" t="n">
        <v>44245</v>
      </c>
      <c r="D8974" t="inlineStr">
        <is>
          <t>NIL</t>
        </is>
      </c>
      <c r="E8974" t="n">
        <v>14</v>
      </c>
    </row>
    <row r="8975">
      <c r="A8975" t="inlineStr">
        <is>
          <t>27BBBBB08975Z5</t>
        </is>
      </c>
      <c r="B8975" t="inlineStr">
        <is>
          <t>Sep-2018</t>
        </is>
      </c>
      <c r="C8975" s="2" t="n">
        <v>42993</v>
      </c>
      <c r="D8975" t="inlineStr">
        <is>
          <t>NON-NIL</t>
        </is>
      </c>
      <c r="E8975" t="n">
        <v>2003</v>
      </c>
    </row>
    <row r="8976">
      <c r="A8976" t="inlineStr">
        <is>
          <t>27BBBBB08976Z5</t>
        </is>
      </c>
      <c r="B8976" t="inlineStr">
        <is>
          <t>Oct-2017</t>
        </is>
      </c>
      <c r="C8976" s="2" t="n">
        <v>43390</v>
      </c>
      <c r="D8976" t="inlineStr">
        <is>
          <t>NON-NIL</t>
        </is>
      </c>
      <c r="E8976" t="n">
        <v>2763</v>
      </c>
    </row>
    <row r="8977">
      <c r="A8977" t="inlineStr">
        <is>
          <t>27BBBBB08977Z5</t>
        </is>
      </c>
      <c r="B8977" t="inlineStr">
        <is>
          <t>Mar-2020</t>
        </is>
      </c>
      <c r="C8977" s="2" t="n">
        <v>44150</v>
      </c>
      <c r="D8977" t="inlineStr">
        <is>
          <t>NIL</t>
        </is>
      </c>
      <c r="E8977" t="n">
        <v>1010</v>
      </c>
    </row>
    <row r="8978">
      <c r="A8978" t="inlineStr">
        <is>
          <t>27BBBBB08978Z5</t>
        </is>
      </c>
      <c r="B8978" t="inlineStr">
        <is>
          <t>Sep-2017</t>
        </is>
      </c>
      <c r="C8978" s="2" t="n">
        <v>43275</v>
      </c>
      <c r="D8978" t="inlineStr">
        <is>
          <t>NON-NIL</t>
        </is>
      </c>
      <c r="E8978" t="n">
        <v>478</v>
      </c>
    </row>
    <row r="8979">
      <c r="A8979" t="inlineStr">
        <is>
          <t>27BBBBB08979Z5</t>
        </is>
      </c>
      <c r="B8979" t="inlineStr">
        <is>
          <t>Sep-2017</t>
        </is>
      </c>
      <c r="C8979" s="2" t="n">
        <v>43957</v>
      </c>
      <c r="D8979" t="inlineStr">
        <is>
          <t>NON-NIL</t>
        </is>
      </c>
      <c r="E8979" t="n">
        <v>2775</v>
      </c>
    </row>
    <row r="8980">
      <c r="A8980" t="inlineStr">
        <is>
          <t>27BBBBB08980Z5</t>
        </is>
      </c>
      <c r="B8980" t="inlineStr">
        <is>
          <t>Dec-2024</t>
        </is>
      </c>
      <c r="C8980" s="2" t="n">
        <v>43477</v>
      </c>
      <c r="D8980" t="inlineStr">
        <is>
          <t>NON-NIL</t>
        </is>
      </c>
      <c r="E8980" t="n">
        <v>1101</v>
      </c>
    </row>
    <row r="8981">
      <c r="A8981" t="inlineStr">
        <is>
          <t>27BBBBB08981Z5</t>
        </is>
      </c>
      <c r="B8981" t="inlineStr">
        <is>
          <t>Nov-2017</t>
        </is>
      </c>
      <c r="C8981" s="2" t="n">
        <v>43325</v>
      </c>
      <c r="D8981" t="inlineStr">
        <is>
          <t>NIL</t>
        </is>
      </c>
      <c r="E8981" t="n">
        <v>414</v>
      </c>
    </row>
    <row r="8982">
      <c r="A8982" t="inlineStr">
        <is>
          <t>27BBBBB08982Z5</t>
        </is>
      </c>
      <c r="B8982" t="inlineStr">
        <is>
          <t>May-2020</t>
        </is>
      </c>
      <c r="C8982" s="2" t="n">
        <v>44168</v>
      </c>
      <c r="D8982" t="inlineStr">
        <is>
          <t>NON-NIL</t>
        </is>
      </c>
      <c r="E8982" t="n">
        <v>574</v>
      </c>
    </row>
    <row r="8983">
      <c r="A8983" t="inlineStr">
        <is>
          <t>27BBBBB08983Z5</t>
        </is>
      </c>
      <c r="B8983" t="inlineStr">
        <is>
          <t>Jun-2018</t>
        </is>
      </c>
      <c r="C8983" s="2" t="n">
        <v>44510</v>
      </c>
      <c r="D8983" t="inlineStr">
        <is>
          <t>NON-NIL</t>
        </is>
      </c>
      <c r="E8983" t="n">
        <v>1108</v>
      </c>
    </row>
    <row r="8984">
      <c r="A8984" t="inlineStr">
        <is>
          <t>27BBBBB08984Z5</t>
        </is>
      </c>
      <c r="B8984" t="inlineStr">
        <is>
          <t>Nov-2018</t>
        </is>
      </c>
      <c r="C8984" s="2" t="n">
        <v>44137</v>
      </c>
      <c r="D8984" t="inlineStr">
        <is>
          <t>NON-NIL</t>
        </is>
      </c>
      <c r="E8984" t="n">
        <v>1619</v>
      </c>
    </row>
    <row r="8985">
      <c r="A8985" t="inlineStr">
        <is>
          <t>27BBBBB08985Z5</t>
        </is>
      </c>
      <c r="B8985" t="inlineStr">
        <is>
          <t>Jul-2018</t>
        </is>
      </c>
      <c r="C8985" s="2" t="n">
        <v>44361</v>
      </c>
      <c r="D8985" t="inlineStr">
        <is>
          <t>NON-NIL</t>
        </is>
      </c>
      <c r="E8985" t="n">
        <v>1251</v>
      </c>
    </row>
    <row r="8986">
      <c r="A8986" t="inlineStr">
        <is>
          <t>27BBBBB08986Z5</t>
        </is>
      </c>
      <c r="B8986" t="inlineStr">
        <is>
          <t>Jul-2018</t>
        </is>
      </c>
      <c r="C8986" s="2" t="n">
        <v>44383</v>
      </c>
      <c r="D8986" t="inlineStr">
        <is>
          <t>NON-NIL</t>
        </is>
      </c>
      <c r="E8986" t="n">
        <v>1401</v>
      </c>
    </row>
    <row r="8987">
      <c r="A8987" t="inlineStr">
        <is>
          <t>27BBBBB08987Z5</t>
        </is>
      </c>
      <c r="B8987" t="inlineStr">
        <is>
          <t>Jul-2017</t>
        </is>
      </c>
      <c r="C8987" s="2" t="n">
        <v>43660</v>
      </c>
      <c r="D8987" t="inlineStr">
        <is>
          <t>NON-NIL</t>
        </is>
      </c>
      <c r="E8987" t="n">
        <v>1283</v>
      </c>
    </row>
    <row r="8988">
      <c r="A8988" t="inlineStr">
        <is>
          <t>27BBBBB08988Z5</t>
        </is>
      </c>
      <c r="B8988" t="inlineStr">
        <is>
          <t>Jun-2020</t>
        </is>
      </c>
      <c r="C8988" s="2" t="n">
        <v>43960</v>
      </c>
      <c r="D8988" t="inlineStr">
        <is>
          <t>NON-NIL</t>
        </is>
      </c>
      <c r="E8988" t="n">
        <v>950</v>
      </c>
    </row>
    <row r="8989">
      <c r="A8989" t="inlineStr">
        <is>
          <t>27BBBBB08989Z5</t>
        </is>
      </c>
      <c r="B8989" t="inlineStr">
        <is>
          <t>Mar-2018</t>
        </is>
      </c>
      <c r="C8989" s="2" t="n">
        <v>43178</v>
      </c>
      <c r="D8989" t="inlineStr">
        <is>
          <t>NON-NIL</t>
        </is>
      </c>
      <c r="E8989" t="n">
        <v>1133</v>
      </c>
    </row>
    <row r="8990">
      <c r="A8990" t="inlineStr">
        <is>
          <t>27BBBBB08990Z5</t>
        </is>
      </c>
      <c r="B8990" t="inlineStr">
        <is>
          <t>Nov-2018</t>
        </is>
      </c>
      <c r="C8990" s="2" t="n">
        <v>43205</v>
      </c>
      <c r="D8990" t="inlineStr">
        <is>
          <t>NON-NIL</t>
        </is>
      </c>
      <c r="E8990" t="n">
        <v>2725</v>
      </c>
    </row>
    <row r="8991">
      <c r="A8991" t="inlineStr">
        <is>
          <t>27BBBBB08991Z5</t>
        </is>
      </c>
      <c r="B8991" t="inlineStr">
        <is>
          <t>Jul-2017</t>
        </is>
      </c>
      <c r="C8991" s="2" t="n">
        <v>44014</v>
      </c>
      <c r="D8991" t="inlineStr">
        <is>
          <t>NON-NIL</t>
        </is>
      </c>
      <c r="E8991" t="n">
        <v>257</v>
      </c>
    </row>
    <row r="8992">
      <c r="A8992" t="inlineStr">
        <is>
          <t>27BBBBB08992Z5</t>
        </is>
      </c>
      <c r="B8992" t="inlineStr">
        <is>
          <t>Sep-2017</t>
        </is>
      </c>
      <c r="C8992" s="2" t="n">
        <v>43655</v>
      </c>
      <c r="D8992" t="inlineStr">
        <is>
          <t>NON-NIL</t>
        </is>
      </c>
      <c r="E8992" t="n">
        <v>2339</v>
      </c>
    </row>
    <row r="8993">
      <c r="A8993" t="inlineStr">
        <is>
          <t>27BBBBB08993Z5</t>
        </is>
      </c>
      <c r="B8993" t="inlineStr">
        <is>
          <t>Mar-2018</t>
        </is>
      </c>
      <c r="C8993" s="2" t="n">
        <v>43839</v>
      </c>
      <c r="D8993" t="inlineStr">
        <is>
          <t>NON-NIL</t>
        </is>
      </c>
      <c r="E8993" t="n">
        <v>34</v>
      </c>
    </row>
    <row r="8994">
      <c r="A8994" t="inlineStr">
        <is>
          <t>27BBBBB08994Z5</t>
        </is>
      </c>
      <c r="B8994" t="inlineStr">
        <is>
          <t>Jun-2020</t>
        </is>
      </c>
      <c r="C8994" s="2" t="n">
        <v>44437</v>
      </c>
      <c r="D8994" t="inlineStr">
        <is>
          <t>NON-NIL</t>
        </is>
      </c>
      <c r="E8994" t="n">
        <v>1519</v>
      </c>
    </row>
    <row r="8995">
      <c r="A8995" t="inlineStr">
        <is>
          <t>27BBBBB08995Z5</t>
        </is>
      </c>
      <c r="B8995" t="inlineStr">
        <is>
          <t>Jan-2018</t>
        </is>
      </c>
      <c r="C8995" s="2" t="n">
        <v>43441</v>
      </c>
      <c r="D8995" t="inlineStr">
        <is>
          <t>NIL</t>
        </is>
      </c>
      <c r="E8995" t="n">
        <v>1396</v>
      </c>
    </row>
    <row r="8996">
      <c r="A8996" t="inlineStr">
        <is>
          <t>27BBBBB08996Z5</t>
        </is>
      </c>
      <c r="B8996" t="inlineStr">
        <is>
          <t>Apr-2018</t>
        </is>
      </c>
      <c r="C8996" s="2" t="n">
        <v>44256</v>
      </c>
      <c r="D8996" t="inlineStr">
        <is>
          <t>NIL</t>
        </is>
      </c>
      <c r="E8996" t="n">
        <v>617</v>
      </c>
    </row>
    <row r="8997">
      <c r="A8997" t="inlineStr">
        <is>
          <t>27BBBBB08997Z5</t>
        </is>
      </c>
      <c r="B8997" t="inlineStr">
        <is>
          <t>Mar-2021</t>
        </is>
      </c>
      <c r="C8997" s="2" t="n">
        <v>45518</v>
      </c>
      <c r="D8997" t="inlineStr">
        <is>
          <t>NIL</t>
        </is>
      </c>
      <c r="E8997" t="n">
        <v>2679</v>
      </c>
    </row>
    <row r="8998">
      <c r="A8998" t="inlineStr">
        <is>
          <t>27BBBBB08998Z5</t>
        </is>
      </c>
      <c r="B8998" t="inlineStr">
        <is>
          <t>Feb-2018</t>
        </is>
      </c>
      <c r="C8998" s="2" t="n">
        <v>44362</v>
      </c>
      <c r="D8998" t="inlineStr">
        <is>
          <t>NIL</t>
        </is>
      </c>
      <c r="E8998" t="n">
        <v>1725</v>
      </c>
    </row>
    <row r="8999">
      <c r="A8999" t="inlineStr">
        <is>
          <t>27BBBBB08999Z5</t>
        </is>
      </c>
      <c r="B8999" t="inlineStr">
        <is>
          <t>Jul-2017</t>
        </is>
      </c>
      <c r="C8999" s="2" t="n">
        <v>43265</v>
      </c>
      <c r="D8999" t="inlineStr">
        <is>
          <t>NON-NIL</t>
        </is>
      </c>
      <c r="E8999" t="n">
        <v>2651</v>
      </c>
    </row>
    <row r="9000">
      <c r="A9000" t="inlineStr">
        <is>
          <t>27BBBBB09000Z5</t>
        </is>
      </c>
      <c r="B9000" t="inlineStr">
        <is>
          <t>Jan-2021</t>
        </is>
      </c>
      <c r="C9000" s="2" t="n">
        <v>44651</v>
      </c>
      <c r="D9000" t="inlineStr">
        <is>
          <t>NIL</t>
        </is>
      </c>
      <c r="E9000" t="n">
        <v>1321</v>
      </c>
    </row>
    <row r="9001">
      <c r="A9001" t="inlineStr">
        <is>
          <t>27BBBBB09001Z5</t>
        </is>
      </c>
      <c r="B9001" t="inlineStr">
        <is>
          <t>Sep-2018</t>
        </is>
      </c>
      <c r="C9001" s="2" t="n">
        <v>44133</v>
      </c>
      <c r="D9001" t="inlineStr">
        <is>
          <t>NON-NIL</t>
        </is>
      </c>
      <c r="E9001" t="n">
        <v>2833</v>
      </c>
    </row>
    <row r="9002">
      <c r="A9002" t="inlineStr">
        <is>
          <t>27BBBBB09002Z5</t>
        </is>
      </c>
      <c r="B9002" t="inlineStr">
        <is>
          <t>Mar-2023</t>
        </is>
      </c>
      <c r="C9002" s="2" t="n">
        <v>45737</v>
      </c>
      <c r="D9002" t="inlineStr">
        <is>
          <t>NON-NIL</t>
        </is>
      </c>
      <c r="E9002" t="n">
        <v>2741</v>
      </c>
    </row>
    <row r="9003">
      <c r="A9003" t="inlineStr">
        <is>
          <t>27BBBBB09003Z5</t>
        </is>
      </c>
      <c r="B9003" t="inlineStr">
        <is>
          <t>Mar-2023</t>
        </is>
      </c>
      <c r="C9003" s="2" t="n">
        <v>44275</v>
      </c>
      <c r="D9003" t="inlineStr">
        <is>
          <t>NIL</t>
        </is>
      </c>
      <c r="E9003" t="n">
        <v>1411</v>
      </c>
    </row>
    <row r="9004">
      <c r="A9004" t="inlineStr">
        <is>
          <t>27BBBBB09004Z5</t>
        </is>
      </c>
      <c r="B9004" t="inlineStr">
        <is>
          <t>Dec-2017</t>
        </is>
      </c>
      <c r="C9004" s="2" t="n">
        <v>42990</v>
      </c>
      <c r="D9004" t="inlineStr">
        <is>
          <t>NIL</t>
        </is>
      </c>
      <c r="E9004" t="n">
        <v>2128</v>
      </c>
    </row>
    <row r="9005">
      <c r="A9005" t="inlineStr">
        <is>
          <t>27BBBBB09005Z5</t>
        </is>
      </c>
      <c r="B9005" t="inlineStr">
        <is>
          <t>Dec-2018</t>
        </is>
      </c>
      <c r="C9005" s="2" t="n">
        <v>44156</v>
      </c>
      <c r="D9005" t="inlineStr">
        <is>
          <t>NON-NIL</t>
        </is>
      </c>
      <c r="E9005" t="n">
        <v>1616</v>
      </c>
    </row>
    <row r="9006">
      <c r="A9006" t="inlineStr">
        <is>
          <t>27BBBBB09006Z5</t>
        </is>
      </c>
      <c r="B9006" t="inlineStr">
        <is>
          <t>Dec-2024</t>
        </is>
      </c>
      <c r="C9006" s="2" t="n">
        <v>43834</v>
      </c>
      <c r="D9006" t="inlineStr">
        <is>
          <t>NIL</t>
        </is>
      </c>
      <c r="E9006" t="n">
        <v>212</v>
      </c>
    </row>
    <row r="9007">
      <c r="A9007" t="inlineStr">
        <is>
          <t>27BBBBB09007Z5</t>
        </is>
      </c>
      <c r="B9007" t="inlineStr">
        <is>
          <t>Jun-2020</t>
        </is>
      </c>
      <c r="C9007" s="2" t="n">
        <v>44746</v>
      </c>
      <c r="D9007" t="inlineStr">
        <is>
          <t>NON-NIL</t>
        </is>
      </c>
      <c r="E9007" t="n">
        <v>820</v>
      </c>
    </row>
    <row r="9008">
      <c r="A9008" t="inlineStr">
        <is>
          <t>27BBBBB09008Z5</t>
        </is>
      </c>
      <c r="B9008" t="inlineStr">
        <is>
          <t>Aug-2017</t>
        </is>
      </c>
      <c r="C9008" s="2" t="n">
        <v>43251</v>
      </c>
      <c r="D9008" t="inlineStr">
        <is>
          <t>NON-NIL</t>
        </is>
      </c>
      <c r="E9008" t="n">
        <v>1739</v>
      </c>
    </row>
    <row r="9009">
      <c r="A9009" t="inlineStr">
        <is>
          <t>27BBBBB09009Z5</t>
        </is>
      </c>
      <c r="B9009" t="inlineStr">
        <is>
          <t>Dec-2024</t>
        </is>
      </c>
      <c r="C9009" s="2" t="n">
        <v>44874</v>
      </c>
      <c r="D9009" t="inlineStr">
        <is>
          <t>NIL</t>
        </is>
      </c>
      <c r="E9009" t="n">
        <v>1493</v>
      </c>
    </row>
    <row r="9010">
      <c r="A9010" t="inlineStr">
        <is>
          <t>27BBBBB09010Z5</t>
        </is>
      </c>
      <c r="B9010" t="inlineStr">
        <is>
          <t>Jul-2020</t>
        </is>
      </c>
      <c r="C9010" s="2" t="n">
        <v>43987</v>
      </c>
      <c r="D9010" t="inlineStr">
        <is>
          <t>NON-NIL</t>
        </is>
      </c>
      <c r="E9010" t="n">
        <v>1903</v>
      </c>
    </row>
    <row r="9011">
      <c r="A9011" t="inlineStr">
        <is>
          <t>27BBBBB09011Z5</t>
        </is>
      </c>
      <c r="B9011" t="inlineStr">
        <is>
          <t>Apr-2020</t>
        </is>
      </c>
      <c r="C9011" s="2" t="n">
        <v>44049</v>
      </c>
      <c r="D9011" t="inlineStr">
        <is>
          <t>NON-NIL</t>
        </is>
      </c>
      <c r="E9011" t="n">
        <v>648</v>
      </c>
    </row>
    <row r="9012">
      <c r="A9012" t="inlineStr">
        <is>
          <t>27BBBBB09012Z5</t>
        </is>
      </c>
      <c r="B9012" t="inlineStr">
        <is>
          <t>Sep-2017</t>
        </is>
      </c>
      <c r="C9012" s="2" t="n">
        <v>43460</v>
      </c>
      <c r="D9012" t="inlineStr">
        <is>
          <t>NON-NIL</t>
        </is>
      </c>
      <c r="E9012" t="n">
        <v>2281</v>
      </c>
    </row>
    <row r="9013">
      <c r="A9013" t="inlineStr">
        <is>
          <t>27BBBBB09013Z5</t>
        </is>
      </c>
      <c r="B9013" t="inlineStr">
        <is>
          <t>Dec-2018</t>
        </is>
      </c>
      <c r="C9013" s="2" t="n">
        <v>43254</v>
      </c>
      <c r="D9013" t="inlineStr">
        <is>
          <t>NIL</t>
        </is>
      </c>
      <c r="E9013" t="n">
        <v>2279</v>
      </c>
    </row>
    <row r="9014">
      <c r="A9014" t="inlineStr">
        <is>
          <t>27BBBBB09014Z5</t>
        </is>
      </c>
      <c r="B9014" t="inlineStr">
        <is>
          <t>Jul-2020</t>
        </is>
      </c>
      <c r="C9014" s="2" t="n">
        <v>44562</v>
      </c>
      <c r="D9014" t="inlineStr">
        <is>
          <t>NON-NIL</t>
        </is>
      </c>
      <c r="E9014" t="n">
        <v>494</v>
      </c>
    </row>
    <row r="9015">
      <c r="A9015" t="inlineStr">
        <is>
          <t>27BBBBB09015Z5</t>
        </is>
      </c>
      <c r="B9015" t="inlineStr">
        <is>
          <t>Jun-2020</t>
        </is>
      </c>
      <c r="C9015" s="2" t="n">
        <v>44537</v>
      </c>
      <c r="D9015" t="inlineStr">
        <is>
          <t>NIL</t>
        </is>
      </c>
      <c r="E9015" t="n">
        <v>119</v>
      </c>
    </row>
    <row r="9016">
      <c r="A9016" t="inlineStr">
        <is>
          <t>27BBBBB09016Z5</t>
        </is>
      </c>
      <c r="B9016" t="inlineStr">
        <is>
          <t>Mar-2021</t>
        </is>
      </c>
      <c r="C9016" s="2" t="n">
        <v>44469</v>
      </c>
      <c r="D9016" t="inlineStr">
        <is>
          <t>NON-NIL</t>
        </is>
      </c>
      <c r="E9016" t="n">
        <v>1655</v>
      </c>
    </row>
    <row r="9017">
      <c r="A9017" t="inlineStr">
        <is>
          <t>27BBBBB09017Z5</t>
        </is>
      </c>
      <c r="B9017" t="inlineStr">
        <is>
          <t>Aug-2018</t>
        </is>
      </c>
      <c r="C9017" s="2" t="n">
        <v>43814</v>
      </c>
      <c r="D9017" t="inlineStr">
        <is>
          <t>NIL</t>
        </is>
      </c>
      <c r="E9017" t="n">
        <v>200</v>
      </c>
    </row>
    <row r="9018">
      <c r="A9018" t="inlineStr">
        <is>
          <t>27BBBBB09018Z5</t>
        </is>
      </c>
      <c r="B9018" t="inlineStr">
        <is>
          <t>Nov-2018</t>
        </is>
      </c>
      <c r="C9018" s="2" t="n">
        <v>44024</v>
      </c>
      <c r="D9018" t="inlineStr">
        <is>
          <t>NIL</t>
        </is>
      </c>
      <c r="E9018" t="n">
        <v>1064</v>
      </c>
    </row>
    <row r="9019">
      <c r="A9019" t="inlineStr">
        <is>
          <t>27BBBBB09019Z5</t>
        </is>
      </c>
      <c r="B9019" t="inlineStr">
        <is>
          <t>Dec-2018</t>
        </is>
      </c>
      <c r="C9019" s="2" t="n">
        <v>44276</v>
      </c>
      <c r="D9019" t="inlineStr">
        <is>
          <t>NIL</t>
        </is>
      </c>
      <c r="E9019" t="n">
        <v>2165</v>
      </c>
    </row>
    <row r="9020">
      <c r="A9020" t="inlineStr">
        <is>
          <t>27BBBBB09020Z5</t>
        </is>
      </c>
      <c r="B9020" t="inlineStr">
        <is>
          <t>Sep-2017</t>
        </is>
      </c>
      <c r="C9020" s="2" t="n">
        <v>43270</v>
      </c>
      <c r="D9020" t="inlineStr">
        <is>
          <t>NON-NIL</t>
        </is>
      </c>
      <c r="E9020" t="n">
        <v>525</v>
      </c>
    </row>
    <row r="9021">
      <c r="A9021" t="inlineStr">
        <is>
          <t>27BBBBB09021Z5</t>
        </is>
      </c>
      <c r="B9021" t="inlineStr">
        <is>
          <t>Dec-2024</t>
        </is>
      </c>
      <c r="C9021" s="2" t="n">
        <v>45484</v>
      </c>
      <c r="D9021" t="inlineStr">
        <is>
          <t>NON-NIL</t>
        </is>
      </c>
      <c r="E9021" t="n">
        <v>1763</v>
      </c>
    </row>
    <row r="9022">
      <c r="A9022" t="inlineStr">
        <is>
          <t>27BBBBB09022Z5</t>
        </is>
      </c>
      <c r="B9022" t="inlineStr">
        <is>
          <t>Jul-2017</t>
        </is>
      </c>
      <c r="C9022" s="2" t="n">
        <v>43001</v>
      </c>
      <c r="D9022" t="inlineStr">
        <is>
          <t>NIL</t>
        </is>
      </c>
      <c r="E9022" t="n">
        <v>499</v>
      </c>
    </row>
    <row r="9023">
      <c r="A9023" t="inlineStr">
        <is>
          <t>27BBBBB09023Z5</t>
        </is>
      </c>
      <c r="B9023" t="inlineStr">
        <is>
          <t>Sep-2017</t>
        </is>
      </c>
      <c r="C9023" s="2" t="n">
        <v>43665</v>
      </c>
      <c r="D9023" t="inlineStr">
        <is>
          <t>NON-NIL</t>
        </is>
      </c>
      <c r="E9023" t="n">
        <v>1701</v>
      </c>
    </row>
    <row r="9024">
      <c r="A9024" t="inlineStr">
        <is>
          <t>27BBBBB09024Z5</t>
        </is>
      </c>
      <c r="B9024" t="inlineStr">
        <is>
          <t>Feb-2018</t>
        </is>
      </c>
      <c r="C9024" s="2" t="n">
        <v>44210</v>
      </c>
      <c r="D9024" t="inlineStr">
        <is>
          <t>NIL</t>
        </is>
      </c>
      <c r="E9024" t="n">
        <v>266</v>
      </c>
    </row>
    <row r="9025">
      <c r="A9025" t="inlineStr">
        <is>
          <t>27BBBBB09025Z5</t>
        </is>
      </c>
      <c r="B9025" t="inlineStr">
        <is>
          <t>Jul-2017</t>
        </is>
      </c>
      <c r="C9025" s="2" t="n">
        <v>44419</v>
      </c>
      <c r="D9025" t="inlineStr">
        <is>
          <t>NON-NIL</t>
        </is>
      </c>
      <c r="E9025" t="n">
        <v>2230</v>
      </c>
    </row>
    <row r="9026">
      <c r="A9026" t="inlineStr">
        <is>
          <t>27BBBBB09026Z5</t>
        </is>
      </c>
      <c r="B9026" t="inlineStr">
        <is>
          <t>Jun-2018</t>
        </is>
      </c>
      <c r="C9026" s="2" t="n">
        <v>43615</v>
      </c>
      <c r="D9026" t="inlineStr">
        <is>
          <t>NON-NIL</t>
        </is>
      </c>
      <c r="E9026" t="n">
        <v>2877</v>
      </c>
    </row>
    <row r="9027">
      <c r="A9027" t="inlineStr">
        <is>
          <t>27BBBBB09027Z5</t>
        </is>
      </c>
      <c r="B9027" t="inlineStr">
        <is>
          <t>Apr-2020</t>
        </is>
      </c>
      <c r="C9027" s="2" t="n">
        <v>44224</v>
      </c>
      <c r="D9027" t="inlineStr">
        <is>
          <t>NIL</t>
        </is>
      </c>
      <c r="E9027" t="n">
        <v>2120</v>
      </c>
    </row>
    <row r="9028">
      <c r="A9028" t="inlineStr">
        <is>
          <t>27BBBBB09028Z5</t>
        </is>
      </c>
      <c r="B9028" t="inlineStr">
        <is>
          <t>Oct-2017</t>
        </is>
      </c>
      <c r="C9028" s="2" t="n">
        <v>43220</v>
      </c>
      <c r="D9028" t="inlineStr">
        <is>
          <t>NON-NIL</t>
        </is>
      </c>
      <c r="E9028" t="n">
        <v>79</v>
      </c>
    </row>
    <row r="9029">
      <c r="A9029" t="inlineStr">
        <is>
          <t>27BBBBB09029Z5</t>
        </is>
      </c>
      <c r="B9029" t="inlineStr">
        <is>
          <t>Oct-2017</t>
        </is>
      </c>
      <c r="C9029" s="2" t="n">
        <v>44548</v>
      </c>
      <c r="D9029" t="inlineStr">
        <is>
          <t>NON-NIL</t>
        </is>
      </c>
      <c r="E9029" t="n">
        <v>2011</v>
      </c>
    </row>
    <row r="9030">
      <c r="A9030" t="inlineStr">
        <is>
          <t>27BBBBB09030Z5</t>
        </is>
      </c>
      <c r="B9030" t="inlineStr">
        <is>
          <t>Jul-2018</t>
        </is>
      </c>
      <c r="C9030" s="2" t="n">
        <v>43707</v>
      </c>
      <c r="D9030" t="inlineStr">
        <is>
          <t>NON-NIL</t>
        </is>
      </c>
      <c r="E9030" t="n">
        <v>1131</v>
      </c>
    </row>
    <row r="9031">
      <c r="A9031" t="inlineStr">
        <is>
          <t>27BBBBB09031Z5</t>
        </is>
      </c>
      <c r="B9031" t="inlineStr">
        <is>
          <t>Dec-2018</t>
        </is>
      </c>
      <c r="C9031" s="2" t="n">
        <v>43458</v>
      </c>
      <c r="D9031" t="inlineStr">
        <is>
          <t>NON-NIL</t>
        </is>
      </c>
      <c r="E9031" t="n">
        <v>356</v>
      </c>
    </row>
    <row r="9032">
      <c r="A9032" t="inlineStr">
        <is>
          <t>27BBBBB09032Z5</t>
        </is>
      </c>
      <c r="B9032" t="inlineStr">
        <is>
          <t>Mar-2023</t>
        </is>
      </c>
      <c r="C9032" s="2" t="n">
        <v>44824</v>
      </c>
      <c r="D9032" t="inlineStr">
        <is>
          <t>NIL</t>
        </is>
      </c>
      <c r="E9032" t="n">
        <v>111</v>
      </c>
    </row>
    <row r="9033">
      <c r="A9033" t="inlineStr">
        <is>
          <t>27BBBBB09033Z5</t>
        </is>
      </c>
      <c r="B9033" t="inlineStr">
        <is>
          <t>Oct-2017</t>
        </is>
      </c>
      <c r="C9033" s="2" t="n">
        <v>43530</v>
      </c>
      <c r="D9033" t="inlineStr">
        <is>
          <t>NON-NIL</t>
        </is>
      </c>
      <c r="E9033" t="n">
        <v>689</v>
      </c>
    </row>
    <row r="9034">
      <c r="A9034" t="inlineStr">
        <is>
          <t>27BBBBB09034Z5</t>
        </is>
      </c>
      <c r="B9034" t="inlineStr">
        <is>
          <t>Mar-2020</t>
        </is>
      </c>
      <c r="C9034" s="2" t="n">
        <v>44738</v>
      </c>
      <c r="D9034" t="inlineStr">
        <is>
          <t>NIL</t>
        </is>
      </c>
      <c r="E9034" t="n">
        <v>1866</v>
      </c>
    </row>
    <row r="9035">
      <c r="A9035" t="inlineStr">
        <is>
          <t>27BBBBB09035Z5</t>
        </is>
      </c>
      <c r="B9035" t="inlineStr">
        <is>
          <t>Jun-2020</t>
        </is>
      </c>
      <c r="C9035" s="2" t="n">
        <v>44246</v>
      </c>
      <c r="D9035" t="inlineStr">
        <is>
          <t>NIL</t>
        </is>
      </c>
      <c r="E9035" t="n">
        <v>1120</v>
      </c>
    </row>
    <row r="9036">
      <c r="A9036" t="inlineStr">
        <is>
          <t>27BBBBB09036Z5</t>
        </is>
      </c>
      <c r="B9036" t="inlineStr">
        <is>
          <t>Jan-2018</t>
        </is>
      </c>
      <c r="C9036" s="2" t="n">
        <v>44296</v>
      </c>
      <c r="D9036" t="inlineStr">
        <is>
          <t>NIL</t>
        </is>
      </c>
      <c r="E9036" t="n">
        <v>285</v>
      </c>
    </row>
    <row r="9037">
      <c r="A9037" t="inlineStr">
        <is>
          <t>27BBBBB09037Z5</t>
        </is>
      </c>
      <c r="B9037" t="inlineStr">
        <is>
          <t>Jan-2018</t>
        </is>
      </c>
      <c r="C9037" s="2" t="n">
        <v>43949</v>
      </c>
      <c r="D9037" t="inlineStr">
        <is>
          <t>NON-NIL</t>
        </is>
      </c>
      <c r="E9037" t="n">
        <v>1327</v>
      </c>
    </row>
    <row r="9038">
      <c r="A9038" t="inlineStr">
        <is>
          <t>27BBBBB09038Z5</t>
        </is>
      </c>
      <c r="B9038" t="inlineStr">
        <is>
          <t>Jul-2017</t>
        </is>
      </c>
      <c r="C9038" s="2" t="n">
        <v>44072</v>
      </c>
      <c r="D9038" t="inlineStr">
        <is>
          <t>NIL</t>
        </is>
      </c>
      <c r="E9038" t="n">
        <v>298</v>
      </c>
    </row>
    <row r="9039">
      <c r="A9039" t="inlineStr">
        <is>
          <t>27BBBBB09039Z5</t>
        </is>
      </c>
      <c r="B9039" t="inlineStr">
        <is>
          <t>May-2020</t>
        </is>
      </c>
      <c r="C9039" s="2" t="n">
        <v>43836</v>
      </c>
      <c r="D9039" t="inlineStr">
        <is>
          <t>NON-NIL</t>
        </is>
      </c>
      <c r="E9039" t="n">
        <v>2926</v>
      </c>
    </row>
    <row r="9040">
      <c r="A9040" t="inlineStr">
        <is>
          <t>27BBBBB09040Z5</t>
        </is>
      </c>
      <c r="B9040" t="inlineStr">
        <is>
          <t>Oct-2017</t>
        </is>
      </c>
      <c r="C9040" s="2" t="n">
        <v>43903</v>
      </c>
      <c r="D9040" t="inlineStr">
        <is>
          <t>NIL</t>
        </is>
      </c>
      <c r="E9040" t="n">
        <v>1396</v>
      </c>
    </row>
    <row r="9041">
      <c r="A9041" t="inlineStr">
        <is>
          <t>27BBBBB09041Z5</t>
        </is>
      </c>
      <c r="B9041" t="inlineStr">
        <is>
          <t>Jul-2020</t>
        </is>
      </c>
      <c r="C9041" s="2" t="n">
        <v>44537</v>
      </c>
      <c r="D9041" t="inlineStr">
        <is>
          <t>NON-NIL</t>
        </is>
      </c>
      <c r="E9041" t="n">
        <v>502</v>
      </c>
    </row>
    <row r="9042">
      <c r="A9042" t="inlineStr">
        <is>
          <t>27BBBBB09042Z5</t>
        </is>
      </c>
      <c r="B9042" t="inlineStr">
        <is>
          <t>Oct-2018</t>
        </is>
      </c>
      <c r="C9042" s="2" t="n">
        <v>43894</v>
      </c>
      <c r="D9042" t="inlineStr">
        <is>
          <t>NON-NIL</t>
        </is>
      </c>
      <c r="E9042" t="n">
        <v>641</v>
      </c>
    </row>
    <row r="9043">
      <c r="A9043" t="inlineStr">
        <is>
          <t>27BBBBB09043Z5</t>
        </is>
      </c>
      <c r="B9043" t="inlineStr">
        <is>
          <t>Dec-2024</t>
        </is>
      </c>
      <c r="C9043" s="2" t="n">
        <v>43931</v>
      </c>
      <c r="D9043" t="inlineStr">
        <is>
          <t>NON-NIL</t>
        </is>
      </c>
      <c r="E9043" t="n">
        <v>1565</v>
      </c>
    </row>
    <row r="9044">
      <c r="A9044" t="inlineStr">
        <is>
          <t>27BBBBB09044Z5</t>
        </is>
      </c>
      <c r="B9044" t="inlineStr">
        <is>
          <t>Apr-2018</t>
        </is>
      </c>
      <c r="C9044" s="2" t="n">
        <v>43037</v>
      </c>
      <c r="D9044" t="inlineStr">
        <is>
          <t>NIL</t>
        </is>
      </c>
      <c r="E9044" t="n">
        <v>1592</v>
      </c>
    </row>
    <row r="9045">
      <c r="A9045" t="inlineStr">
        <is>
          <t>27BBBBB09045Z5</t>
        </is>
      </c>
      <c r="B9045" t="inlineStr">
        <is>
          <t>Dec-2017</t>
        </is>
      </c>
      <c r="C9045" s="2" t="n">
        <v>43573</v>
      </c>
      <c r="D9045" t="inlineStr">
        <is>
          <t>NON-NIL</t>
        </is>
      </c>
      <c r="E9045" t="n">
        <v>802</v>
      </c>
    </row>
    <row r="9046">
      <c r="A9046" t="inlineStr">
        <is>
          <t>27BBBBB09046Z5</t>
        </is>
      </c>
      <c r="B9046" t="inlineStr">
        <is>
          <t>Mar-2018</t>
        </is>
      </c>
      <c r="C9046" s="2" t="n">
        <v>43653</v>
      </c>
      <c r="D9046" t="inlineStr">
        <is>
          <t>NON-NIL</t>
        </is>
      </c>
      <c r="E9046" t="n">
        <v>1862</v>
      </c>
    </row>
    <row r="9047">
      <c r="A9047" t="inlineStr">
        <is>
          <t>27BBBBB09047Z5</t>
        </is>
      </c>
      <c r="B9047" t="inlineStr">
        <is>
          <t>Apr-2020</t>
        </is>
      </c>
      <c r="C9047" s="2" t="n">
        <v>44799</v>
      </c>
      <c r="D9047" t="inlineStr">
        <is>
          <t>NIL</t>
        </is>
      </c>
      <c r="E9047" t="n">
        <v>2187</v>
      </c>
    </row>
    <row r="9048">
      <c r="A9048" t="inlineStr">
        <is>
          <t>27BBBBB09048Z5</t>
        </is>
      </c>
      <c r="B9048" t="inlineStr">
        <is>
          <t>Jan-2021</t>
        </is>
      </c>
      <c r="C9048" s="2" t="n">
        <v>43593</v>
      </c>
      <c r="D9048" t="inlineStr">
        <is>
          <t>NIL</t>
        </is>
      </c>
      <c r="E9048" t="n">
        <v>2027</v>
      </c>
    </row>
    <row r="9049">
      <c r="A9049" t="inlineStr">
        <is>
          <t>27BBBBB09049Z5</t>
        </is>
      </c>
      <c r="B9049" t="inlineStr">
        <is>
          <t>Nov-2017</t>
        </is>
      </c>
      <c r="C9049" s="2" t="n">
        <v>43573</v>
      </c>
      <c r="D9049" t="inlineStr">
        <is>
          <t>NON-NIL</t>
        </is>
      </c>
      <c r="E9049" t="n">
        <v>1757</v>
      </c>
    </row>
    <row r="9050">
      <c r="A9050" t="inlineStr">
        <is>
          <t>27BBBBB09050Z5</t>
        </is>
      </c>
      <c r="B9050" t="inlineStr">
        <is>
          <t>Oct-2017</t>
        </is>
      </c>
      <c r="C9050" s="2" t="n">
        <v>43719</v>
      </c>
      <c r="D9050" t="inlineStr">
        <is>
          <t>NIL</t>
        </is>
      </c>
      <c r="E9050" t="n">
        <v>2032</v>
      </c>
    </row>
    <row r="9051">
      <c r="A9051" t="inlineStr">
        <is>
          <t>27BBBBB09051Z5</t>
        </is>
      </c>
      <c r="B9051" t="inlineStr">
        <is>
          <t>Jun-2020</t>
        </is>
      </c>
      <c r="C9051" s="2" t="n">
        <v>44477</v>
      </c>
      <c r="D9051" t="inlineStr">
        <is>
          <t>NIL</t>
        </is>
      </c>
      <c r="E9051" t="n">
        <v>433</v>
      </c>
    </row>
    <row r="9052">
      <c r="A9052" t="inlineStr">
        <is>
          <t>27BBBBB09052Z5</t>
        </is>
      </c>
      <c r="B9052" t="inlineStr">
        <is>
          <t>Apr-2018</t>
        </is>
      </c>
      <c r="C9052" s="2" t="n">
        <v>44050</v>
      </c>
      <c r="D9052" t="inlineStr">
        <is>
          <t>NIL</t>
        </is>
      </c>
      <c r="E9052" t="n">
        <v>2758</v>
      </c>
    </row>
    <row r="9053">
      <c r="A9053" t="inlineStr">
        <is>
          <t>27BBBBB09053Z5</t>
        </is>
      </c>
      <c r="B9053" t="inlineStr">
        <is>
          <t>Aug-2017</t>
        </is>
      </c>
      <c r="C9053" s="2" t="n">
        <v>43263</v>
      </c>
      <c r="D9053" t="inlineStr">
        <is>
          <t>NON-NIL</t>
        </is>
      </c>
      <c r="E9053" t="n">
        <v>112</v>
      </c>
    </row>
    <row r="9054">
      <c r="A9054" t="inlineStr">
        <is>
          <t>27BBBBB09054Z5</t>
        </is>
      </c>
      <c r="B9054" t="inlineStr">
        <is>
          <t>Mar-2021</t>
        </is>
      </c>
      <c r="C9054" s="2" t="n">
        <v>44444</v>
      </c>
      <c r="D9054" t="inlineStr">
        <is>
          <t>NON-NIL</t>
        </is>
      </c>
      <c r="E9054" t="n">
        <v>1133</v>
      </c>
    </row>
    <row r="9055">
      <c r="A9055" t="inlineStr">
        <is>
          <t>27BBBBB09055Z5</t>
        </is>
      </c>
      <c r="B9055" t="inlineStr">
        <is>
          <t>Jul-2020</t>
        </is>
      </c>
      <c r="C9055" s="2" t="n">
        <v>44661</v>
      </c>
      <c r="D9055" t="inlineStr">
        <is>
          <t>NON-NIL</t>
        </is>
      </c>
      <c r="E9055" t="n">
        <v>2873</v>
      </c>
    </row>
    <row r="9056">
      <c r="A9056" t="inlineStr">
        <is>
          <t>27BBBBB09056Z5</t>
        </is>
      </c>
      <c r="B9056" t="inlineStr">
        <is>
          <t>Oct-2018</t>
        </is>
      </c>
      <c r="C9056" s="2" t="n">
        <v>43732</v>
      </c>
      <c r="D9056" t="inlineStr">
        <is>
          <t>NIL</t>
        </is>
      </c>
      <c r="E9056" t="n">
        <v>2578</v>
      </c>
    </row>
    <row r="9057">
      <c r="A9057" t="inlineStr">
        <is>
          <t>27BBBBB09057Z5</t>
        </is>
      </c>
      <c r="B9057" t="inlineStr">
        <is>
          <t>Dec-2022</t>
        </is>
      </c>
      <c r="C9057" s="2" t="n">
        <v>43642</v>
      </c>
      <c r="D9057" t="inlineStr">
        <is>
          <t>NON-NIL</t>
        </is>
      </c>
      <c r="E9057" t="n">
        <v>573</v>
      </c>
    </row>
    <row r="9058">
      <c r="A9058" t="inlineStr">
        <is>
          <t>27BBBBB09058Z5</t>
        </is>
      </c>
      <c r="B9058" t="inlineStr">
        <is>
          <t>Mar-2023</t>
        </is>
      </c>
      <c r="C9058" s="2" t="n">
        <v>45508</v>
      </c>
      <c r="D9058" t="inlineStr">
        <is>
          <t>NIL</t>
        </is>
      </c>
      <c r="E9058" t="n">
        <v>776</v>
      </c>
    </row>
    <row r="9059">
      <c r="A9059" t="inlineStr">
        <is>
          <t>27BBBBB09059Z5</t>
        </is>
      </c>
      <c r="B9059" t="inlineStr">
        <is>
          <t>Jun-2020</t>
        </is>
      </c>
      <c r="C9059" s="2" t="n">
        <v>44852</v>
      </c>
      <c r="D9059" t="inlineStr">
        <is>
          <t>NON-NIL</t>
        </is>
      </c>
      <c r="E9059" t="n">
        <v>1271</v>
      </c>
    </row>
    <row r="9060">
      <c r="A9060" t="inlineStr">
        <is>
          <t>27BBBBB09060Z5</t>
        </is>
      </c>
      <c r="B9060" t="inlineStr">
        <is>
          <t>Jan-2018</t>
        </is>
      </c>
      <c r="C9060" s="2" t="n">
        <v>43581</v>
      </c>
      <c r="D9060" t="inlineStr">
        <is>
          <t>NON-NIL</t>
        </is>
      </c>
      <c r="E9060" t="n">
        <v>1934</v>
      </c>
    </row>
    <row r="9061">
      <c r="A9061" t="inlineStr">
        <is>
          <t>27BBBBB09061Z5</t>
        </is>
      </c>
      <c r="B9061" t="inlineStr">
        <is>
          <t>Oct-2018</t>
        </is>
      </c>
      <c r="C9061" s="2" t="n">
        <v>44054</v>
      </c>
      <c r="D9061" t="inlineStr">
        <is>
          <t>NIL</t>
        </is>
      </c>
      <c r="E9061" t="n">
        <v>487</v>
      </c>
    </row>
    <row r="9062">
      <c r="A9062" t="inlineStr">
        <is>
          <t>27BBBBB09062Z5</t>
        </is>
      </c>
      <c r="B9062" t="inlineStr">
        <is>
          <t>May-2018</t>
        </is>
      </c>
      <c r="C9062" s="2" t="n">
        <v>43269</v>
      </c>
      <c r="D9062" t="inlineStr">
        <is>
          <t>NON-NIL</t>
        </is>
      </c>
      <c r="E9062" t="n">
        <v>2690</v>
      </c>
    </row>
    <row r="9063">
      <c r="A9063" t="inlineStr">
        <is>
          <t>27BBBBB09063Z5</t>
        </is>
      </c>
      <c r="B9063" t="inlineStr">
        <is>
          <t>Jul-2017</t>
        </is>
      </c>
      <c r="C9063" s="2" t="n">
        <v>43920</v>
      </c>
      <c r="D9063" t="inlineStr">
        <is>
          <t>NON-NIL</t>
        </is>
      </c>
      <c r="E9063" t="n">
        <v>2184</v>
      </c>
    </row>
    <row r="9064">
      <c r="A9064" t="inlineStr">
        <is>
          <t>27BBBBB09064Z5</t>
        </is>
      </c>
      <c r="B9064" t="inlineStr">
        <is>
          <t>Jul-2018</t>
        </is>
      </c>
      <c r="C9064" s="2" t="n">
        <v>44076</v>
      </c>
      <c r="D9064" t="inlineStr">
        <is>
          <t>NIL</t>
        </is>
      </c>
      <c r="E9064" t="n">
        <v>1379</v>
      </c>
    </row>
    <row r="9065">
      <c r="A9065" t="inlineStr">
        <is>
          <t>27BBBBB09065Z5</t>
        </is>
      </c>
      <c r="B9065" t="inlineStr">
        <is>
          <t>Nov-2018</t>
        </is>
      </c>
      <c r="C9065" s="2" t="n">
        <v>43986</v>
      </c>
      <c r="D9065" t="inlineStr">
        <is>
          <t>NIL</t>
        </is>
      </c>
      <c r="E9065" t="n">
        <v>2336</v>
      </c>
    </row>
    <row r="9066">
      <c r="A9066" t="inlineStr">
        <is>
          <t>27BBBBB09066Z5</t>
        </is>
      </c>
      <c r="B9066" t="inlineStr">
        <is>
          <t>Oct-2018</t>
        </is>
      </c>
      <c r="C9066" s="2" t="n">
        <v>44389</v>
      </c>
      <c r="D9066" t="inlineStr">
        <is>
          <t>NON-NIL</t>
        </is>
      </c>
      <c r="E9066" t="n">
        <v>1833</v>
      </c>
    </row>
    <row r="9067">
      <c r="A9067" t="inlineStr">
        <is>
          <t>27BBBBB09067Z5</t>
        </is>
      </c>
      <c r="B9067" t="inlineStr">
        <is>
          <t>Apr-2020</t>
        </is>
      </c>
      <c r="C9067" s="2" t="n">
        <v>44060</v>
      </c>
      <c r="D9067" t="inlineStr">
        <is>
          <t>NON-NIL</t>
        </is>
      </c>
      <c r="E9067" t="n">
        <v>1637</v>
      </c>
    </row>
    <row r="9068">
      <c r="A9068" t="inlineStr">
        <is>
          <t>27BBBBB09068Z5</t>
        </is>
      </c>
      <c r="B9068" t="inlineStr">
        <is>
          <t>May-2018</t>
        </is>
      </c>
      <c r="C9068" s="2" t="n">
        <v>44086</v>
      </c>
      <c r="D9068" t="inlineStr">
        <is>
          <t>NIL</t>
        </is>
      </c>
      <c r="E9068" t="n">
        <v>1160</v>
      </c>
    </row>
    <row r="9069">
      <c r="A9069" t="inlineStr">
        <is>
          <t>27BBBBB09069Z5</t>
        </is>
      </c>
      <c r="B9069" t="inlineStr">
        <is>
          <t>Apr-2018</t>
        </is>
      </c>
      <c r="C9069" s="2" t="n">
        <v>43447</v>
      </c>
      <c r="D9069" t="inlineStr">
        <is>
          <t>NON-NIL</t>
        </is>
      </c>
      <c r="E9069" t="n">
        <v>69</v>
      </c>
    </row>
    <row r="9070">
      <c r="A9070" t="inlineStr">
        <is>
          <t>27BBBBB09070Z5</t>
        </is>
      </c>
      <c r="B9070" t="inlineStr">
        <is>
          <t>Dec-2024</t>
        </is>
      </c>
      <c r="C9070" s="2" t="n">
        <v>44393</v>
      </c>
      <c r="D9070" t="inlineStr">
        <is>
          <t>NIL</t>
        </is>
      </c>
      <c r="E9070" t="n">
        <v>2910</v>
      </c>
    </row>
    <row r="9071">
      <c r="A9071" t="inlineStr">
        <is>
          <t>27BBBBB09071Z5</t>
        </is>
      </c>
      <c r="B9071" t="inlineStr">
        <is>
          <t>Jan-2018</t>
        </is>
      </c>
      <c r="C9071" s="2" t="n">
        <v>43169</v>
      </c>
      <c r="D9071" t="inlineStr">
        <is>
          <t>NIL</t>
        </is>
      </c>
      <c r="E9071" t="n">
        <v>1077</v>
      </c>
    </row>
    <row r="9072">
      <c r="A9072" t="inlineStr">
        <is>
          <t>27BBBBB09072Z5</t>
        </is>
      </c>
      <c r="B9072" t="inlineStr">
        <is>
          <t>May-2020</t>
        </is>
      </c>
      <c r="C9072" s="2" t="n">
        <v>44875</v>
      </c>
      <c r="D9072" t="inlineStr">
        <is>
          <t>NIL</t>
        </is>
      </c>
      <c r="E9072" t="n">
        <v>1045</v>
      </c>
    </row>
    <row r="9073">
      <c r="A9073" t="inlineStr">
        <is>
          <t>27BBBBB09073Z5</t>
        </is>
      </c>
      <c r="B9073" t="inlineStr">
        <is>
          <t>Mar-2023</t>
        </is>
      </c>
      <c r="C9073" s="2" t="n">
        <v>44117</v>
      </c>
      <c r="D9073" t="inlineStr">
        <is>
          <t>NON-NIL</t>
        </is>
      </c>
      <c r="E9073" t="n">
        <v>1083</v>
      </c>
    </row>
    <row r="9074">
      <c r="A9074" t="inlineStr">
        <is>
          <t>27BBBBB09074Z5</t>
        </is>
      </c>
      <c r="B9074" t="inlineStr">
        <is>
          <t>Nov-2017</t>
        </is>
      </c>
      <c r="C9074" s="2" t="n">
        <v>44309</v>
      </c>
      <c r="D9074" t="inlineStr">
        <is>
          <t>NON-NIL</t>
        </is>
      </c>
      <c r="E9074" t="n">
        <v>2070</v>
      </c>
    </row>
    <row r="9075">
      <c r="A9075" t="inlineStr">
        <is>
          <t>27BBBBB09075Z5</t>
        </is>
      </c>
      <c r="B9075" t="inlineStr">
        <is>
          <t>Mar-2020</t>
        </is>
      </c>
      <c r="C9075" s="2" t="n">
        <v>44041</v>
      </c>
      <c r="D9075" t="inlineStr">
        <is>
          <t>NON-NIL</t>
        </is>
      </c>
      <c r="E9075" t="n">
        <v>2463</v>
      </c>
    </row>
    <row r="9076">
      <c r="A9076" t="inlineStr">
        <is>
          <t>27BBBBB09076Z5</t>
        </is>
      </c>
      <c r="B9076" t="inlineStr">
        <is>
          <t>Jul-2018</t>
        </is>
      </c>
      <c r="C9076" s="2" t="n">
        <v>43573</v>
      </c>
      <c r="D9076" t="inlineStr">
        <is>
          <t>NON-NIL</t>
        </is>
      </c>
      <c r="E9076" t="n">
        <v>1354</v>
      </c>
    </row>
    <row r="9077">
      <c r="A9077" t="inlineStr">
        <is>
          <t>27BBBBB09077Z5</t>
        </is>
      </c>
      <c r="B9077" t="inlineStr">
        <is>
          <t>Jun-2020</t>
        </is>
      </c>
      <c r="C9077" s="2" t="n">
        <v>44139</v>
      </c>
      <c r="D9077" t="inlineStr">
        <is>
          <t>NON-NIL</t>
        </is>
      </c>
      <c r="E9077" t="n">
        <v>888</v>
      </c>
    </row>
    <row r="9078">
      <c r="A9078" t="inlineStr">
        <is>
          <t>27BBBBB09078Z5</t>
        </is>
      </c>
      <c r="B9078" t="inlineStr">
        <is>
          <t>Sep-2018</t>
        </is>
      </c>
      <c r="C9078" s="2" t="n">
        <v>44354</v>
      </c>
      <c r="D9078" t="inlineStr">
        <is>
          <t>NIL</t>
        </is>
      </c>
      <c r="E9078" t="n">
        <v>95</v>
      </c>
    </row>
    <row r="9079">
      <c r="A9079" t="inlineStr">
        <is>
          <t>27BBBBB09079Z5</t>
        </is>
      </c>
      <c r="B9079" t="inlineStr">
        <is>
          <t>Mar-2018</t>
        </is>
      </c>
      <c r="C9079" s="2" t="n">
        <v>43151</v>
      </c>
      <c r="D9079" t="inlineStr">
        <is>
          <t>NON-NIL</t>
        </is>
      </c>
      <c r="E9079" t="n">
        <v>2079</v>
      </c>
    </row>
    <row r="9080">
      <c r="A9080" t="inlineStr">
        <is>
          <t>27BBBBB09080Z5</t>
        </is>
      </c>
      <c r="B9080" t="inlineStr">
        <is>
          <t>Dec-2022</t>
        </is>
      </c>
      <c r="C9080" s="2" t="n">
        <v>44286</v>
      </c>
      <c r="D9080" t="inlineStr">
        <is>
          <t>NON-NIL</t>
        </is>
      </c>
      <c r="E9080" t="n">
        <v>687</v>
      </c>
    </row>
    <row r="9081">
      <c r="A9081" t="inlineStr">
        <is>
          <t>27BBBBB09081Z5</t>
        </is>
      </c>
      <c r="B9081" t="inlineStr">
        <is>
          <t>Mar-2018</t>
        </is>
      </c>
      <c r="C9081" s="2" t="n">
        <v>43161</v>
      </c>
      <c r="D9081" t="inlineStr">
        <is>
          <t>NON-NIL</t>
        </is>
      </c>
      <c r="E9081" t="n">
        <v>73</v>
      </c>
    </row>
    <row r="9082">
      <c r="A9082" t="inlineStr">
        <is>
          <t>27BBBBB09082Z5</t>
        </is>
      </c>
      <c r="B9082" t="inlineStr">
        <is>
          <t>Apr-2018</t>
        </is>
      </c>
      <c r="C9082" s="2" t="n">
        <v>43992</v>
      </c>
      <c r="D9082" t="inlineStr">
        <is>
          <t>NIL</t>
        </is>
      </c>
      <c r="E9082" t="n">
        <v>46</v>
      </c>
    </row>
    <row r="9083">
      <c r="A9083" t="inlineStr">
        <is>
          <t>27BBBBB09083Z5</t>
        </is>
      </c>
      <c r="B9083" t="inlineStr">
        <is>
          <t>Jul-2018</t>
        </is>
      </c>
      <c r="C9083" s="2" t="n">
        <v>42957</v>
      </c>
      <c r="D9083" t="inlineStr">
        <is>
          <t>NON-NIL</t>
        </is>
      </c>
      <c r="E9083" t="n">
        <v>2016</v>
      </c>
    </row>
    <row r="9084">
      <c r="A9084" t="inlineStr">
        <is>
          <t>27BBBBB09084Z5</t>
        </is>
      </c>
      <c r="B9084" t="inlineStr">
        <is>
          <t>Jul-2017</t>
        </is>
      </c>
      <c r="C9084" s="2" t="n">
        <v>43993</v>
      </c>
      <c r="D9084" t="inlineStr">
        <is>
          <t>NON-NIL</t>
        </is>
      </c>
      <c r="E9084" t="n">
        <v>1633</v>
      </c>
    </row>
    <row r="9085">
      <c r="A9085" t="inlineStr">
        <is>
          <t>27BBBBB09085Z5</t>
        </is>
      </c>
      <c r="B9085" t="inlineStr">
        <is>
          <t>Nov-2017</t>
        </is>
      </c>
      <c r="C9085" s="2" t="n">
        <v>43465</v>
      </c>
      <c r="D9085" t="inlineStr">
        <is>
          <t>NIL</t>
        </is>
      </c>
      <c r="E9085" t="n">
        <v>2082</v>
      </c>
    </row>
    <row r="9086">
      <c r="A9086" t="inlineStr">
        <is>
          <t>27BBBBB09086Z5</t>
        </is>
      </c>
      <c r="B9086" t="inlineStr">
        <is>
          <t>Nov-2017</t>
        </is>
      </c>
      <c r="C9086" s="2" t="n">
        <v>44062</v>
      </c>
      <c r="D9086" t="inlineStr">
        <is>
          <t>NIL</t>
        </is>
      </c>
      <c r="E9086" t="n">
        <v>883</v>
      </c>
    </row>
    <row r="9087">
      <c r="A9087" t="inlineStr">
        <is>
          <t>27BBBBB09087Z5</t>
        </is>
      </c>
      <c r="B9087" t="inlineStr">
        <is>
          <t>May-2020</t>
        </is>
      </c>
      <c r="C9087" s="2" t="n">
        <v>43938</v>
      </c>
      <c r="D9087" t="inlineStr">
        <is>
          <t>NIL</t>
        </is>
      </c>
      <c r="E9087" t="n">
        <v>2759</v>
      </c>
    </row>
    <row r="9088">
      <c r="A9088" t="inlineStr">
        <is>
          <t>27BBBBB09088Z5</t>
        </is>
      </c>
      <c r="B9088" t="inlineStr">
        <is>
          <t>Mar-2020</t>
        </is>
      </c>
      <c r="C9088" s="2" t="n">
        <v>44205</v>
      </c>
      <c r="D9088" t="inlineStr">
        <is>
          <t>NON-NIL</t>
        </is>
      </c>
      <c r="E9088" t="n">
        <v>895</v>
      </c>
    </row>
    <row r="9089">
      <c r="A9089" t="inlineStr">
        <is>
          <t>27BBBBB09089Z5</t>
        </is>
      </c>
      <c r="B9089" t="inlineStr">
        <is>
          <t>Feb-2018</t>
        </is>
      </c>
      <c r="C9089" s="2" t="n">
        <v>43983</v>
      </c>
      <c r="D9089" t="inlineStr">
        <is>
          <t>NON-NIL</t>
        </is>
      </c>
      <c r="E9089" t="n">
        <v>627</v>
      </c>
    </row>
    <row r="9090">
      <c r="A9090" t="inlineStr">
        <is>
          <t>27BBBBB09090Z5</t>
        </is>
      </c>
      <c r="B9090" t="inlineStr">
        <is>
          <t>Dec-2018</t>
        </is>
      </c>
      <c r="C9090" s="2" t="n">
        <v>44147</v>
      </c>
      <c r="D9090" t="inlineStr">
        <is>
          <t>NIL</t>
        </is>
      </c>
      <c r="E9090" t="n">
        <v>1298</v>
      </c>
    </row>
    <row r="9091">
      <c r="A9091" t="inlineStr">
        <is>
          <t>27BBBBB09091Z5</t>
        </is>
      </c>
      <c r="B9091" t="inlineStr">
        <is>
          <t>Oct-2018</t>
        </is>
      </c>
      <c r="C9091" s="2" t="n">
        <v>42967</v>
      </c>
      <c r="D9091" t="inlineStr">
        <is>
          <t>NIL</t>
        </is>
      </c>
      <c r="E9091" t="n">
        <v>2921</v>
      </c>
    </row>
    <row r="9092">
      <c r="A9092" t="inlineStr">
        <is>
          <t>27BBBBB09092Z5</t>
        </is>
      </c>
      <c r="B9092" t="inlineStr">
        <is>
          <t>Jul-2018</t>
        </is>
      </c>
      <c r="C9092" s="2" t="n">
        <v>44304</v>
      </c>
      <c r="D9092" t="inlineStr">
        <is>
          <t>NON-NIL</t>
        </is>
      </c>
      <c r="E9092" t="n">
        <v>646</v>
      </c>
    </row>
    <row r="9093">
      <c r="A9093" t="inlineStr">
        <is>
          <t>27BBBBB09093Z5</t>
        </is>
      </c>
      <c r="B9093" t="inlineStr">
        <is>
          <t>Sep-2017</t>
        </is>
      </c>
      <c r="C9093" s="2" t="n">
        <v>44026</v>
      </c>
      <c r="D9093" t="inlineStr">
        <is>
          <t>NIL</t>
        </is>
      </c>
      <c r="E9093" t="n">
        <v>1444</v>
      </c>
    </row>
    <row r="9094">
      <c r="A9094" t="inlineStr">
        <is>
          <t>27BBBBB09094Z5</t>
        </is>
      </c>
      <c r="B9094" t="inlineStr">
        <is>
          <t>Oct-2018</t>
        </is>
      </c>
      <c r="C9094" s="2" t="n">
        <v>43071</v>
      </c>
      <c r="D9094" t="inlineStr">
        <is>
          <t>NON-NIL</t>
        </is>
      </c>
      <c r="E9094" t="n">
        <v>1853</v>
      </c>
    </row>
    <row r="9095">
      <c r="A9095" t="inlineStr">
        <is>
          <t>27BBBBB09095Z5</t>
        </is>
      </c>
      <c r="B9095" t="inlineStr">
        <is>
          <t>Oct-2018</t>
        </is>
      </c>
      <c r="C9095" s="2" t="n">
        <v>43392</v>
      </c>
      <c r="D9095" t="inlineStr">
        <is>
          <t>NIL</t>
        </is>
      </c>
      <c r="E9095" t="n">
        <v>1966</v>
      </c>
    </row>
    <row r="9096">
      <c r="A9096" t="inlineStr">
        <is>
          <t>27BBBBB09096Z5</t>
        </is>
      </c>
      <c r="B9096" t="inlineStr">
        <is>
          <t>May-2018</t>
        </is>
      </c>
      <c r="C9096" s="2" t="n">
        <v>43409</v>
      </c>
      <c r="D9096" t="inlineStr">
        <is>
          <t>NON-NIL</t>
        </is>
      </c>
      <c r="E9096" t="n">
        <v>929</v>
      </c>
    </row>
    <row r="9097">
      <c r="A9097" t="inlineStr">
        <is>
          <t>27BBBBB09097Z5</t>
        </is>
      </c>
      <c r="B9097" t="inlineStr">
        <is>
          <t>Apr-2020</t>
        </is>
      </c>
      <c r="C9097" s="2" t="n">
        <v>44741</v>
      </c>
      <c r="D9097" t="inlineStr">
        <is>
          <t>NON-NIL</t>
        </is>
      </c>
      <c r="E9097" t="n">
        <v>2684</v>
      </c>
    </row>
    <row r="9098">
      <c r="A9098" t="inlineStr">
        <is>
          <t>27BBBBB09098Z5</t>
        </is>
      </c>
      <c r="B9098" t="inlineStr">
        <is>
          <t>Apr-2020</t>
        </is>
      </c>
      <c r="C9098" s="2" t="n">
        <v>43918</v>
      </c>
      <c r="D9098" t="inlineStr">
        <is>
          <t>NIL</t>
        </is>
      </c>
      <c r="E9098" t="n">
        <v>1608</v>
      </c>
    </row>
    <row r="9099">
      <c r="A9099" t="inlineStr">
        <is>
          <t>27BBBBB09099Z5</t>
        </is>
      </c>
      <c r="B9099" t="inlineStr">
        <is>
          <t>Oct-2017</t>
        </is>
      </c>
      <c r="C9099" s="2" t="n">
        <v>43995</v>
      </c>
      <c r="D9099" t="inlineStr">
        <is>
          <t>NON-NIL</t>
        </is>
      </c>
      <c r="E9099" t="n">
        <v>982</v>
      </c>
    </row>
    <row r="9100">
      <c r="A9100" t="inlineStr">
        <is>
          <t>27BBBBB09100Z5</t>
        </is>
      </c>
      <c r="B9100" t="inlineStr">
        <is>
          <t>Apr-2020</t>
        </is>
      </c>
      <c r="C9100" s="2" t="n">
        <v>44668</v>
      </c>
      <c r="D9100" t="inlineStr">
        <is>
          <t>NIL</t>
        </is>
      </c>
      <c r="E9100" t="n">
        <v>654</v>
      </c>
    </row>
    <row r="9101">
      <c r="A9101" t="inlineStr">
        <is>
          <t>27BBBBB09101Z5</t>
        </is>
      </c>
      <c r="B9101" t="inlineStr">
        <is>
          <t>Dec-2022</t>
        </is>
      </c>
      <c r="C9101" s="2" t="n">
        <v>45576</v>
      </c>
      <c r="D9101" t="inlineStr">
        <is>
          <t>NIL</t>
        </is>
      </c>
      <c r="E9101" t="n">
        <v>850</v>
      </c>
    </row>
    <row r="9102">
      <c r="A9102" t="inlineStr">
        <is>
          <t>27BBBBB09102Z5</t>
        </is>
      </c>
      <c r="B9102" t="inlineStr">
        <is>
          <t>Aug-2018</t>
        </is>
      </c>
      <c r="C9102" s="2" t="n">
        <v>44111</v>
      </c>
      <c r="D9102" t="inlineStr">
        <is>
          <t>NIL</t>
        </is>
      </c>
      <c r="E9102" t="n">
        <v>2401</v>
      </c>
    </row>
    <row r="9103">
      <c r="A9103" t="inlineStr">
        <is>
          <t>27BBBBB09103Z5</t>
        </is>
      </c>
      <c r="B9103" t="inlineStr">
        <is>
          <t>May-2018</t>
        </is>
      </c>
      <c r="C9103" s="2" t="n">
        <v>43820</v>
      </c>
      <c r="D9103" t="inlineStr">
        <is>
          <t>NIL</t>
        </is>
      </c>
      <c r="E9103" t="n">
        <v>1949</v>
      </c>
    </row>
    <row r="9104">
      <c r="A9104" t="inlineStr">
        <is>
          <t>27BBBBB09104Z5</t>
        </is>
      </c>
      <c r="B9104" t="inlineStr">
        <is>
          <t>Dec-2018</t>
        </is>
      </c>
      <c r="C9104" s="2" t="n">
        <v>43342</v>
      </c>
      <c r="D9104" t="inlineStr">
        <is>
          <t>NIL</t>
        </is>
      </c>
      <c r="E9104" t="n">
        <v>209</v>
      </c>
    </row>
    <row r="9105">
      <c r="A9105" t="inlineStr">
        <is>
          <t>27BBBBB09105Z5</t>
        </is>
      </c>
      <c r="B9105" t="inlineStr">
        <is>
          <t>Jul-2020</t>
        </is>
      </c>
      <c r="C9105" s="2" t="n">
        <v>44228</v>
      </c>
      <c r="D9105" t="inlineStr">
        <is>
          <t>NIL</t>
        </is>
      </c>
      <c r="E9105" t="n">
        <v>2576</v>
      </c>
    </row>
    <row r="9106">
      <c r="A9106" t="inlineStr">
        <is>
          <t>27BBBBB09106Z5</t>
        </is>
      </c>
      <c r="B9106" t="inlineStr">
        <is>
          <t>Jun-2018</t>
        </is>
      </c>
      <c r="C9106" s="2" t="n">
        <v>43693</v>
      </c>
      <c r="D9106" t="inlineStr">
        <is>
          <t>NON-NIL</t>
        </is>
      </c>
      <c r="E9106" t="n">
        <v>1030</v>
      </c>
    </row>
    <row r="9107">
      <c r="A9107" t="inlineStr">
        <is>
          <t>27BBBBB09107Z5</t>
        </is>
      </c>
      <c r="B9107" t="inlineStr">
        <is>
          <t>Sep-2017</t>
        </is>
      </c>
      <c r="C9107" s="2" t="n">
        <v>43575</v>
      </c>
      <c r="D9107" t="inlineStr">
        <is>
          <t>NON-NIL</t>
        </is>
      </c>
      <c r="E9107" t="n">
        <v>2246</v>
      </c>
    </row>
    <row r="9108">
      <c r="A9108" t="inlineStr">
        <is>
          <t>27BBBBB09108Z5</t>
        </is>
      </c>
      <c r="B9108" t="inlineStr">
        <is>
          <t>Mar-2020</t>
        </is>
      </c>
      <c r="C9108" s="2" t="n">
        <v>44824</v>
      </c>
      <c r="D9108" t="inlineStr">
        <is>
          <t>NON-NIL</t>
        </is>
      </c>
      <c r="E9108" t="n">
        <v>2134</v>
      </c>
    </row>
    <row r="9109">
      <c r="A9109" t="inlineStr">
        <is>
          <t>27BBBBB09109Z5</t>
        </is>
      </c>
      <c r="B9109" t="inlineStr">
        <is>
          <t>Nov-2017</t>
        </is>
      </c>
      <c r="C9109" s="2" t="n">
        <v>44261</v>
      </c>
      <c r="D9109" t="inlineStr">
        <is>
          <t>NON-NIL</t>
        </is>
      </c>
      <c r="E9109" t="n">
        <v>1299</v>
      </c>
    </row>
    <row r="9110">
      <c r="A9110" t="inlineStr">
        <is>
          <t>27BBBBB09110Z5</t>
        </is>
      </c>
      <c r="B9110" t="inlineStr">
        <is>
          <t>May-2020</t>
        </is>
      </c>
      <c r="C9110" s="2" t="n">
        <v>44258</v>
      </c>
      <c r="D9110" t="inlineStr">
        <is>
          <t>NIL</t>
        </is>
      </c>
      <c r="E9110" t="n">
        <v>398</v>
      </c>
    </row>
    <row r="9111">
      <c r="A9111" t="inlineStr">
        <is>
          <t>27BBBBB09111Z5</t>
        </is>
      </c>
      <c r="B9111" t="inlineStr">
        <is>
          <t>Dec-2018</t>
        </is>
      </c>
      <c r="C9111" s="2" t="n">
        <v>44258</v>
      </c>
      <c r="D9111" t="inlineStr">
        <is>
          <t>NIL</t>
        </is>
      </c>
      <c r="E9111" t="n">
        <v>2748</v>
      </c>
    </row>
    <row r="9112">
      <c r="A9112" t="inlineStr">
        <is>
          <t>27BBBBB09112Z5</t>
        </is>
      </c>
      <c r="B9112" t="inlineStr">
        <is>
          <t>Apr-2020</t>
        </is>
      </c>
      <c r="C9112" s="2" t="n">
        <v>43868</v>
      </c>
      <c r="D9112" t="inlineStr">
        <is>
          <t>NIL</t>
        </is>
      </c>
      <c r="E9112" t="n">
        <v>355</v>
      </c>
    </row>
    <row r="9113">
      <c r="A9113" t="inlineStr">
        <is>
          <t>27BBBBB09113Z5</t>
        </is>
      </c>
      <c r="B9113" t="inlineStr">
        <is>
          <t>May-2018</t>
        </is>
      </c>
      <c r="C9113" s="2" t="n">
        <v>44363</v>
      </c>
      <c r="D9113" t="inlineStr">
        <is>
          <t>NON-NIL</t>
        </is>
      </c>
      <c r="E9113" t="n">
        <v>981</v>
      </c>
    </row>
    <row r="9114">
      <c r="A9114" t="inlineStr">
        <is>
          <t>27BBBBB09114Z5</t>
        </is>
      </c>
      <c r="B9114" t="inlineStr">
        <is>
          <t>Mar-2023</t>
        </is>
      </c>
      <c r="C9114" s="2" t="n">
        <v>44098</v>
      </c>
      <c r="D9114" t="inlineStr">
        <is>
          <t>NIL</t>
        </is>
      </c>
      <c r="E9114" t="n">
        <v>2188</v>
      </c>
    </row>
    <row r="9115">
      <c r="A9115" t="inlineStr">
        <is>
          <t>27BBBBB09115Z5</t>
        </is>
      </c>
      <c r="B9115" t="inlineStr">
        <is>
          <t>Jan-2018</t>
        </is>
      </c>
      <c r="C9115" s="2" t="n">
        <v>44354</v>
      </c>
      <c r="D9115" t="inlineStr">
        <is>
          <t>NON-NIL</t>
        </is>
      </c>
      <c r="E9115" t="n">
        <v>408</v>
      </c>
    </row>
    <row r="9116">
      <c r="A9116" t="inlineStr">
        <is>
          <t>27BBBBB09116Z5</t>
        </is>
      </c>
      <c r="B9116" t="inlineStr">
        <is>
          <t>Dec-2024</t>
        </is>
      </c>
      <c r="C9116" s="2" t="n">
        <v>45012</v>
      </c>
      <c r="D9116" t="inlineStr">
        <is>
          <t>NIL</t>
        </is>
      </c>
      <c r="E9116" t="n">
        <v>581</v>
      </c>
    </row>
    <row r="9117">
      <c r="A9117" t="inlineStr">
        <is>
          <t>27BBBBB09117Z5</t>
        </is>
      </c>
      <c r="B9117" t="inlineStr">
        <is>
          <t>Nov-2018</t>
        </is>
      </c>
      <c r="C9117" s="2" t="n">
        <v>43877</v>
      </c>
      <c r="D9117" t="inlineStr">
        <is>
          <t>NON-NIL</t>
        </is>
      </c>
      <c r="E9117" t="n">
        <v>1935</v>
      </c>
    </row>
    <row r="9118">
      <c r="A9118" t="inlineStr">
        <is>
          <t>27BBBBB09118Z5</t>
        </is>
      </c>
      <c r="B9118" t="inlineStr">
        <is>
          <t>Feb-2018</t>
        </is>
      </c>
      <c r="C9118" s="2" t="n">
        <v>43095</v>
      </c>
      <c r="D9118" t="inlineStr">
        <is>
          <t>NIL</t>
        </is>
      </c>
      <c r="E9118" t="n">
        <v>63</v>
      </c>
    </row>
    <row r="9119">
      <c r="A9119" t="inlineStr">
        <is>
          <t>27BBBBB09119Z5</t>
        </is>
      </c>
      <c r="B9119" t="inlineStr">
        <is>
          <t>Mar-2020</t>
        </is>
      </c>
      <c r="C9119" s="2" t="n">
        <v>44865</v>
      </c>
      <c r="D9119" t="inlineStr">
        <is>
          <t>NIL</t>
        </is>
      </c>
      <c r="E9119" t="n">
        <v>240</v>
      </c>
    </row>
    <row r="9120">
      <c r="A9120" t="inlineStr">
        <is>
          <t>27BBBBB09120Z5</t>
        </is>
      </c>
      <c r="B9120" t="inlineStr">
        <is>
          <t>Dec-2024</t>
        </is>
      </c>
      <c r="C9120" s="2" t="n">
        <v>44672</v>
      </c>
      <c r="D9120" t="inlineStr">
        <is>
          <t>NIL</t>
        </is>
      </c>
      <c r="E9120" t="n">
        <v>1664</v>
      </c>
    </row>
    <row r="9121">
      <c r="A9121" t="inlineStr">
        <is>
          <t>27BBBBB09121Z5</t>
        </is>
      </c>
      <c r="B9121" t="inlineStr">
        <is>
          <t>Oct-2017</t>
        </is>
      </c>
      <c r="C9121" s="2" t="n">
        <v>43047</v>
      </c>
      <c r="D9121" t="inlineStr">
        <is>
          <t>NIL</t>
        </is>
      </c>
      <c r="E9121" t="n">
        <v>1023</v>
      </c>
    </row>
    <row r="9122">
      <c r="A9122" t="inlineStr">
        <is>
          <t>27BBBBB09122Z5</t>
        </is>
      </c>
      <c r="B9122" t="inlineStr">
        <is>
          <t>Aug-2018</t>
        </is>
      </c>
      <c r="C9122" s="2" t="n">
        <v>43270</v>
      </c>
      <c r="D9122" t="inlineStr">
        <is>
          <t>NON-NIL</t>
        </is>
      </c>
      <c r="E9122" t="n">
        <v>1959</v>
      </c>
    </row>
    <row r="9123">
      <c r="A9123" t="inlineStr">
        <is>
          <t>27BBBBB09123Z5</t>
        </is>
      </c>
      <c r="B9123" t="inlineStr">
        <is>
          <t>Dec-2022</t>
        </is>
      </c>
      <c r="C9123" s="2" t="n">
        <v>43720</v>
      </c>
      <c r="D9123" t="inlineStr">
        <is>
          <t>NIL</t>
        </is>
      </c>
      <c r="E9123" t="n">
        <v>1526</v>
      </c>
    </row>
    <row r="9124">
      <c r="A9124" t="inlineStr">
        <is>
          <t>27BBBBB09124Z5</t>
        </is>
      </c>
      <c r="B9124" t="inlineStr">
        <is>
          <t>Dec-2018</t>
        </is>
      </c>
      <c r="C9124" s="2" t="n">
        <v>44451</v>
      </c>
      <c r="D9124" t="inlineStr">
        <is>
          <t>NON-NIL</t>
        </is>
      </c>
      <c r="E9124" t="n">
        <v>1935</v>
      </c>
    </row>
    <row r="9125">
      <c r="A9125" t="inlineStr">
        <is>
          <t>27BBBBB09125Z5</t>
        </is>
      </c>
      <c r="B9125" t="inlineStr">
        <is>
          <t>Oct-2017</t>
        </is>
      </c>
      <c r="C9125" s="2" t="n">
        <v>44082</v>
      </c>
      <c r="D9125" t="inlineStr">
        <is>
          <t>NON-NIL</t>
        </is>
      </c>
      <c r="E9125" t="n">
        <v>1426</v>
      </c>
    </row>
    <row r="9126">
      <c r="A9126" t="inlineStr">
        <is>
          <t>27BBBBB09126Z5</t>
        </is>
      </c>
      <c r="B9126" t="inlineStr">
        <is>
          <t>Dec-2017</t>
        </is>
      </c>
      <c r="C9126" s="2" t="n">
        <v>44236</v>
      </c>
      <c r="D9126" t="inlineStr">
        <is>
          <t>NON-NIL</t>
        </is>
      </c>
      <c r="E9126" t="n">
        <v>2675</v>
      </c>
    </row>
    <row r="9127">
      <c r="A9127" t="inlineStr">
        <is>
          <t>27BBBBB09127Z5</t>
        </is>
      </c>
      <c r="B9127" t="inlineStr">
        <is>
          <t>Feb-2018</t>
        </is>
      </c>
      <c r="C9127" s="2" t="n">
        <v>44358</v>
      </c>
      <c r="D9127" t="inlineStr">
        <is>
          <t>NIL</t>
        </is>
      </c>
      <c r="E9127" t="n">
        <v>678</v>
      </c>
    </row>
    <row r="9128">
      <c r="A9128" t="inlineStr">
        <is>
          <t>27BBBBB09128Z5</t>
        </is>
      </c>
      <c r="B9128" t="inlineStr">
        <is>
          <t>Jun-2020</t>
        </is>
      </c>
      <c r="C9128" s="2" t="n">
        <v>44663</v>
      </c>
      <c r="D9128" t="inlineStr">
        <is>
          <t>NON-NIL</t>
        </is>
      </c>
      <c r="E9128" t="n">
        <v>2516</v>
      </c>
    </row>
    <row r="9129">
      <c r="A9129" t="inlineStr">
        <is>
          <t>27BBBBB09129Z5</t>
        </is>
      </c>
      <c r="B9129" t="inlineStr">
        <is>
          <t>Nov-2018</t>
        </is>
      </c>
      <c r="C9129" s="2" t="n">
        <v>43011</v>
      </c>
      <c r="D9129" t="inlineStr">
        <is>
          <t>NIL</t>
        </is>
      </c>
      <c r="E9129" t="n">
        <v>567</v>
      </c>
    </row>
    <row r="9130">
      <c r="A9130" t="inlineStr">
        <is>
          <t>27BBBBB09130Z5</t>
        </is>
      </c>
      <c r="B9130" t="inlineStr">
        <is>
          <t>May-2020</t>
        </is>
      </c>
      <c r="C9130" s="2" t="n">
        <v>44738</v>
      </c>
      <c r="D9130" t="inlineStr">
        <is>
          <t>NIL</t>
        </is>
      </c>
      <c r="E9130" t="n">
        <v>2305</v>
      </c>
    </row>
    <row r="9131">
      <c r="A9131" t="inlineStr">
        <is>
          <t>27BBBBB09131Z5</t>
        </is>
      </c>
      <c r="B9131" t="inlineStr">
        <is>
          <t>Jan-2021</t>
        </is>
      </c>
      <c r="C9131" s="2" t="n">
        <v>45780</v>
      </c>
      <c r="D9131" t="inlineStr">
        <is>
          <t>NON-NIL</t>
        </is>
      </c>
      <c r="E9131" t="n">
        <v>1779</v>
      </c>
    </row>
    <row r="9132">
      <c r="A9132" t="inlineStr">
        <is>
          <t>27BBBBB09132Z5</t>
        </is>
      </c>
      <c r="B9132" t="inlineStr">
        <is>
          <t>Jul-2018</t>
        </is>
      </c>
      <c r="C9132" s="2" t="n">
        <v>43281</v>
      </c>
      <c r="D9132" t="inlineStr">
        <is>
          <t>NIL</t>
        </is>
      </c>
      <c r="E9132" t="n">
        <v>2364</v>
      </c>
    </row>
    <row r="9133">
      <c r="A9133" t="inlineStr">
        <is>
          <t>27BBBBB09133Z5</t>
        </is>
      </c>
      <c r="B9133" t="inlineStr">
        <is>
          <t>Sep-2017</t>
        </is>
      </c>
      <c r="C9133" s="2" t="n">
        <v>43333</v>
      </c>
      <c r="D9133" t="inlineStr">
        <is>
          <t>NON-NIL</t>
        </is>
      </c>
      <c r="E9133" t="n">
        <v>1154</v>
      </c>
    </row>
    <row r="9134">
      <c r="A9134" t="inlineStr">
        <is>
          <t>27BBBBB09134Z5</t>
        </is>
      </c>
      <c r="B9134" t="inlineStr">
        <is>
          <t>Sep-2017</t>
        </is>
      </c>
      <c r="C9134" s="2" t="n">
        <v>43242</v>
      </c>
      <c r="D9134" t="inlineStr">
        <is>
          <t>NIL</t>
        </is>
      </c>
      <c r="E9134" t="n">
        <v>2948</v>
      </c>
    </row>
    <row r="9135">
      <c r="A9135" t="inlineStr">
        <is>
          <t>27BBBBB09135Z5</t>
        </is>
      </c>
      <c r="B9135" t="inlineStr">
        <is>
          <t>Mar-2020</t>
        </is>
      </c>
      <c r="C9135" s="2" t="n">
        <v>43977</v>
      </c>
      <c r="D9135" t="inlineStr">
        <is>
          <t>NON-NIL</t>
        </is>
      </c>
      <c r="E9135" t="n">
        <v>1412</v>
      </c>
    </row>
    <row r="9136">
      <c r="A9136" t="inlineStr">
        <is>
          <t>27BBBBB09136Z5</t>
        </is>
      </c>
      <c r="B9136" t="inlineStr">
        <is>
          <t>Jun-2020</t>
        </is>
      </c>
      <c r="C9136" s="2" t="n">
        <v>44605</v>
      </c>
      <c r="D9136" t="inlineStr">
        <is>
          <t>NON-NIL</t>
        </is>
      </c>
      <c r="E9136" t="n">
        <v>874</v>
      </c>
    </row>
    <row r="9137">
      <c r="A9137" t="inlineStr">
        <is>
          <t>27BBBBB09137Z5</t>
        </is>
      </c>
      <c r="B9137" t="inlineStr">
        <is>
          <t>Mar-2021</t>
        </is>
      </c>
      <c r="C9137" s="2" t="n">
        <v>44854</v>
      </c>
      <c r="D9137" t="inlineStr">
        <is>
          <t>NIL</t>
        </is>
      </c>
      <c r="E9137" t="n">
        <v>2797</v>
      </c>
    </row>
    <row r="9138">
      <c r="A9138" t="inlineStr">
        <is>
          <t>27BBBBB09138Z5</t>
        </is>
      </c>
      <c r="B9138" t="inlineStr">
        <is>
          <t>Dec-2018</t>
        </is>
      </c>
      <c r="C9138" s="2" t="n">
        <v>43275</v>
      </c>
      <c r="D9138" t="inlineStr">
        <is>
          <t>NIL</t>
        </is>
      </c>
      <c r="E9138" t="n">
        <v>2841</v>
      </c>
    </row>
    <row r="9139">
      <c r="A9139" t="inlineStr">
        <is>
          <t>27BBBBB09139Z5</t>
        </is>
      </c>
      <c r="B9139" t="inlineStr">
        <is>
          <t>Dec-2024</t>
        </is>
      </c>
      <c r="C9139" s="2" t="n">
        <v>43506</v>
      </c>
      <c r="D9139" t="inlineStr">
        <is>
          <t>NON-NIL</t>
        </is>
      </c>
      <c r="E9139" t="n">
        <v>2022</v>
      </c>
    </row>
    <row r="9140">
      <c r="A9140" t="inlineStr">
        <is>
          <t>27BBBBB09140Z5</t>
        </is>
      </c>
      <c r="B9140" t="inlineStr">
        <is>
          <t>Jun-2020</t>
        </is>
      </c>
      <c r="C9140" s="2" t="n">
        <v>44282</v>
      </c>
      <c r="D9140" t="inlineStr">
        <is>
          <t>NIL</t>
        </is>
      </c>
      <c r="E9140" t="n">
        <v>389</v>
      </c>
    </row>
    <row r="9141">
      <c r="A9141" t="inlineStr">
        <is>
          <t>27BBBBB09141Z5</t>
        </is>
      </c>
      <c r="B9141" t="inlineStr">
        <is>
          <t>Mar-2020</t>
        </is>
      </c>
      <c r="C9141" s="2" t="n">
        <v>44098</v>
      </c>
      <c r="D9141" t="inlineStr">
        <is>
          <t>NON-NIL</t>
        </is>
      </c>
      <c r="E9141" t="n">
        <v>2358</v>
      </c>
    </row>
    <row r="9142">
      <c r="A9142" t="inlineStr">
        <is>
          <t>27BBBBB09142Z5</t>
        </is>
      </c>
      <c r="B9142" t="inlineStr">
        <is>
          <t>Jun-2020</t>
        </is>
      </c>
      <c r="C9142" s="2" t="n">
        <v>43887</v>
      </c>
      <c r="D9142" t="inlineStr">
        <is>
          <t>NON-NIL</t>
        </is>
      </c>
      <c r="E9142" t="n">
        <v>1145</v>
      </c>
    </row>
    <row r="9143">
      <c r="A9143" t="inlineStr">
        <is>
          <t>27BBBBB09143Z5</t>
        </is>
      </c>
      <c r="B9143" t="inlineStr">
        <is>
          <t>Nov-2018</t>
        </is>
      </c>
      <c r="C9143" s="2" t="n">
        <v>44003</v>
      </c>
      <c r="D9143" t="inlineStr">
        <is>
          <t>NIL</t>
        </is>
      </c>
      <c r="E9143" t="n">
        <v>1139</v>
      </c>
    </row>
    <row r="9144">
      <c r="A9144" t="inlineStr">
        <is>
          <t>27BBBBB09144Z5</t>
        </is>
      </c>
      <c r="B9144" t="inlineStr">
        <is>
          <t>Oct-2017</t>
        </is>
      </c>
      <c r="C9144" s="2" t="n">
        <v>44037</v>
      </c>
      <c r="D9144" t="inlineStr">
        <is>
          <t>NIL</t>
        </is>
      </c>
      <c r="E9144" t="n">
        <v>2624</v>
      </c>
    </row>
    <row r="9145">
      <c r="A9145" t="inlineStr">
        <is>
          <t>27BBBBB09145Z5</t>
        </is>
      </c>
      <c r="B9145" t="inlineStr">
        <is>
          <t>Mar-2023</t>
        </is>
      </c>
      <c r="C9145" s="2" t="n">
        <v>44352</v>
      </c>
      <c r="D9145" t="inlineStr">
        <is>
          <t>NON-NIL</t>
        </is>
      </c>
      <c r="E9145" t="n">
        <v>1717</v>
      </c>
    </row>
    <row r="9146">
      <c r="A9146" t="inlineStr">
        <is>
          <t>27BBBBB09146Z5</t>
        </is>
      </c>
      <c r="B9146" t="inlineStr">
        <is>
          <t>Sep-2018</t>
        </is>
      </c>
      <c r="C9146" s="2" t="n">
        <v>43218</v>
      </c>
      <c r="D9146" t="inlineStr">
        <is>
          <t>NIL</t>
        </is>
      </c>
      <c r="E9146" t="n">
        <v>1941</v>
      </c>
    </row>
    <row r="9147">
      <c r="A9147" t="inlineStr">
        <is>
          <t>27BBBBB09147Z5</t>
        </is>
      </c>
      <c r="B9147" t="inlineStr">
        <is>
          <t>Jun-2020</t>
        </is>
      </c>
      <c r="C9147" s="2" t="n">
        <v>43960</v>
      </c>
      <c r="D9147" t="inlineStr">
        <is>
          <t>NIL</t>
        </is>
      </c>
      <c r="E9147" t="n">
        <v>447</v>
      </c>
    </row>
    <row r="9148">
      <c r="A9148" t="inlineStr">
        <is>
          <t>27BBBBB09148Z5</t>
        </is>
      </c>
      <c r="B9148" t="inlineStr">
        <is>
          <t>Mar-2018</t>
        </is>
      </c>
      <c r="C9148" s="2" t="n">
        <v>44369</v>
      </c>
      <c r="D9148" t="inlineStr">
        <is>
          <t>NON-NIL</t>
        </is>
      </c>
      <c r="E9148" t="n">
        <v>914</v>
      </c>
    </row>
    <row r="9149">
      <c r="A9149" t="inlineStr">
        <is>
          <t>27BBBBB09149Z5</t>
        </is>
      </c>
      <c r="B9149" t="inlineStr">
        <is>
          <t>Jan-2021</t>
        </is>
      </c>
      <c r="C9149" s="2" t="n">
        <v>44599</v>
      </c>
      <c r="D9149" t="inlineStr">
        <is>
          <t>NIL</t>
        </is>
      </c>
      <c r="E9149" t="n">
        <v>1915</v>
      </c>
    </row>
    <row r="9150">
      <c r="A9150" t="inlineStr">
        <is>
          <t>27BBBBB09150Z5</t>
        </is>
      </c>
      <c r="B9150" t="inlineStr">
        <is>
          <t>Dec-2017</t>
        </is>
      </c>
      <c r="C9150" s="2" t="n">
        <v>43271</v>
      </c>
      <c r="D9150" t="inlineStr">
        <is>
          <t>NIL</t>
        </is>
      </c>
      <c r="E9150" t="n">
        <v>2113</v>
      </c>
    </row>
    <row r="9151">
      <c r="A9151" t="inlineStr">
        <is>
          <t>27BBBBB09151Z5</t>
        </is>
      </c>
      <c r="B9151" t="inlineStr">
        <is>
          <t>Mar-2020</t>
        </is>
      </c>
      <c r="C9151" s="2" t="n">
        <v>44585</v>
      </c>
      <c r="D9151" t="inlineStr">
        <is>
          <t>NIL</t>
        </is>
      </c>
      <c r="E9151" t="n">
        <v>2518</v>
      </c>
    </row>
    <row r="9152">
      <c r="A9152" t="inlineStr">
        <is>
          <t>27BBBBB09152Z5</t>
        </is>
      </c>
      <c r="B9152" t="inlineStr">
        <is>
          <t>Jul-2017</t>
        </is>
      </c>
      <c r="C9152" s="2" t="n">
        <v>44261</v>
      </c>
      <c r="D9152" t="inlineStr">
        <is>
          <t>NIL</t>
        </is>
      </c>
      <c r="E9152" t="n">
        <v>1477</v>
      </c>
    </row>
    <row r="9153">
      <c r="A9153" t="inlineStr">
        <is>
          <t>27BBBBB09153Z5</t>
        </is>
      </c>
      <c r="B9153" t="inlineStr">
        <is>
          <t>Dec-2022</t>
        </is>
      </c>
      <c r="C9153" s="2" t="n">
        <v>43772</v>
      </c>
      <c r="D9153" t="inlineStr">
        <is>
          <t>NON-NIL</t>
        </is>
      </c>
      <c r="E9153" t="n">
        <v>1161</v>
      </c>
    </row>
    <row r="9154">
      <c r="A9154" t="inlineStr">
        <is>
          <t>27BBBBB09154Z5</t>
        </is>
      </c>
      <c r="B9154" t="inlineStr">
        <is>
          <t>Jun-2020</t>
        </is>
      </c>
      <c r="C9154" s="2" t="n">
        <v>44864</v>
      </c>
      <c r="D9154" t="inlineStr">
        <is>
          <t>NON-NIL</t>
        </is>
      </c>
      <c r="E9154" t="n">
        <v>542</v>
      </c>
    </row>
    <row r="9155">
      <c r="A9155" t="inlineStr">
        <is>
          <t>27BBBBB09155Z5</t>
        </is>
      </c>
      <c r="B9155" t="inlineStr">
        <is>
          <t>Nov-2017</t>
        </is>
      </c>
      <c r="C9155" s="2" t="n">
        <v>42956</v>
      </c>
      <c r="D9155" t="inlineStr">
        <is>
          <t>NON-NIL</t>
        </is>
      </c>
      <c r="E9155" t="n">
        <v>2197</v>
      </c>
    </row>
    <row r="9156">
      <c r="A9156" t="inlineStr">
        <is>
          <t>27BBBBB09156Z5</t>
        </is>
      </c>
      <c r="B9156" t="inlineStr">
        <is>
          <t>Aug-2018</t>
        </is>
      </c>
      <c r="C9156" s="2" t="n">
        <v>43901</v>
      </c>
      <c r="D9156" t="inlineStr">
        <is>
          <t>NIL</t>
        </is>
      </c>
      <c r="E9156" t="n">
        <v>1679</v>
      </c>
    </row>
    <row r="9157">
      <c r="A9157" t="inlineStr">
        <is>
          <t>27BBBBB09157Z5</t>
        </is>
      </c>
      <c r="B9157" t="inlineStr">
        <is>
          <t>Mar-2018</t>
        </is>
      </c>
      <c r="C9157" s="2" t="n">
        <v>43405</v>
      </c>
      <c r="D9157" t="inlineStr">
        <is>
          <t>NON-NIL</t>
        </is>
      </c>
      <c r="E9157" t="n">
        <v>261</v>
      </c>
    </row>
    <row r="9158">
      <c r="A9158" t="inlineStr">
        <is>
          <t>27BBBBB09158Z5</t>
        </is>
      </c>
      <c r="B9158" t="inlineStr">
        <is>
          <t>Mar-2021</t>
        </is>
      </c>
      <c r="C9158" s="2" t="n">
        <v>44991</v>
      </c>
      <c r="D9158" t="inlineStr">
        <is>
          <t>NIL</t>
        </is>
      </c>
      <c r="E9158" t="n">
        <v>1019</v>
      </c>
    </row>
    <row r="9159">
      <c r="A9159" t="inlineStr">
        <is>
          <t>27BBBBB09159Z5</t>
        </is>
      </c>
      <c r="B9159" t="inlineStr">
        <is>
          <t>Jun-2018</t>
        </is>
      </c>
      <c r="C9159" s="2" t="n">
        <v>44122</v>
      </c>
      <c r="D9159" t="inlineStr">
        <is>
          <t>NIL</t>
        </is>
      </c>
      <c r="E9159" t="n">
        <v>2642</v>
      </c>
    </row>
    <row r="9160">
      <c r="A9160" t="inlineStr">
        <is>
          <t>27BBBBB09160Z5</t>
        </is>
      </c>
      <c r="B9160" t="inlineStr">
        <is>
          <t>Aug-2017</t>
        </is>
      </c>
      <c r="C9160" s="2" t="n">
        <v>43193</v>
      </c>
      <c r="D9160" t="inlineStr">
        <is>
          <t>NIL</t>
        </is>
      </c>
      <c r="E9160" t="n">
        <v>287</v>
      </c>
    </row>
    <row r="9161">
      <c r="A9161" t="inlineStr">
        <is>
          <t>27BBBBB09161Z5</t>
        </is>
      </c>
      <c r="B9161" t="inlineStr">
        <is>
          <t>Jul-2018</t>
        </is>
      </c>
      <c r="C9161" s="2" t="n">
        <v>44382</v>
      </c>
      <c r="D9161" t="inlineStr">
        <is>
          <t>NON-NIL</t>
        </is>
      </c>
      <c r="E9161" t="n">
        <v>1508</v>
      </c>
    </row>
    <row r="9162">
      <c r="A9162" t="inlineStr">
        <is>
          <t>27BBBBB09162Z5</t>
        </is>
      </c>
      <c r="B9162" t="inlineStr">
        <is>
          <t>Oct-2017</t>
        </is>
      </c>
      <c r="C9162" s="2" t="n">
        <v>43660</v>
      </c>
      <c r="D9162" t="inlineStr">
        <is>
          <t>NIL</t>
        </is>
      </c>
      <c r="E9162" t="n">
        <v>1896</v>
      </c>
    </row>
    <row r="9163">
      <c r="A9163" t="inlineStr">
        <is>
          <t>27BBBBB09163Z5</t>
        </is>
      </c>
      <c r="B9163" t="inlineStr">
        <is>
          <t>Mar-2018</t>
        </is>
      </c>
      <c r="C9163" s="2" t="n">
        <v>43924</v>
      </c>
      <c r="D9163" t="inlineStr">
        <is>
          <t>NON-NIL</t>
        </is>
      </c>
      <c r="E9163" t="n">
        <v>653</v>
      </c>
    </row>
    <row r="9164">
      <c r="A9164" t="inlineStr">
        <is>
          <t>27BBBBB09164Z5</t>
        </is>
      </c>
      <c r="B9164" t="inlineStr">
        <is>
          <t>Feb-2018</t>
        </is>
      </c>
      <c r="C9164" s="2" t="n">
        <v>44290</v>
      </c>
      <c r="D9164" t="inlineStr">
        <is>
          <t>NON-NIL</t>
        </is>
      </c>
      <c r="E9164" t="n">
        <v>856</v>
      </c>
    </row>
    <row r="9165">
      <c r="A9165" t="inlineStr">
        <is>
          <t>27BBBBB09165Z5</t>
        </is>
      </c>
      <c r="B9165" t="inlineStr">
        <is>
          <t>Jun-2020</t>
        </is>
      </c>
      <c r="C9165" s="2" t="n">
        <v>44712</v>
      </c>
      <c r="D9165" t="inlineStr">
        <is>
          <t>NON-NIL</t>
        </is>
      </c>
      <c r="E9165" t="n">
        <v>2562</v>
      </c>
    </row>
    <row r="9166">
      <c r="A9166" t="inlineStr">
        <is>
          <t>27BBBBB09166Z5</t>
        </is>
      </c>
      <c r="B9166" t="inlineStr">
        <is>
          <t>Aug-2018</t>
        </is>
      </c>
      <c r="C9166" s="2" t="n">
        <v>43495</v>
      </c>
      <c r="D9166" t="inlineStr">
        <is>
          <t>NON-NIL</t>
        </is>
      </c>
      <c r="E9166" t="n">
        <v>2546</v>
      </c>
    </row>
    <row r="9167">
      <c r="A9167" t="inlineStr">
        <is>
          <t>27BBBBB09167Z5</t>
        </is>
      </c>
      <c r="B9167" t="inlineStr">
        <is>
          <t>Nov-2018</t>
        </is>
      </c>
      <c r="C9167" s="2" t="n">
        <v>44262</v>
      </c>
      <c r="D9167" t="inlineStr">
        <is>
          <t>NON-NIL</t>
        </is>
      </c>
      <c r="E9167" t="n">
        <v>2591</v>
      </c>
    </row>
    <row r="9168">
      <c r="A9168" t="inlineStr">
        <is>
          <t>27BBBBB09168Z5</t>
        </is>
      </c>
      <c r="B9168" t="inlineStr">
        <is>
          <t>Aug-2018</t>
        </is>
      </c>
      <c r="C9168" s="2" t="n">
        <v>43604</v>
      </c>
      <c r="D9168" t="inlineStr">
        <is>
          <t>NIL</t>
        </is>
      </c>
      <c r="E9168" t="n">
        <v>890</v>
      </c>
    </row>
    <row r="9169">
      <c r="A9169" t="inlineStr">
        <is>
          <t>27BBBBB09169Z5</t>
        </is>
      </c>
      <c r="B9169" t="inlineStr">
        <is>
          <t>Feb-2018</t>
        </is>
      </c>
      <c r="C9169" s="2" t="n">
        <v>43650</v>
      </c>
      <c r="D9169" t="inlineStr">
        <is>
          <t>NIL</t>
        </is>
      </c>
      <c r="E9169" t="n">
        <v>1090</v>
      </c>
    </row>
    <row r="9170">
      <c r="A9170" t="inlineStr">
        <is>
          <t>27BBBBB09170Z5</t>
        </is>
      </c>
      <c r="B9170" t="inlineStr">
        <is>
          <t>Jul-2018</t>
        </is>
      </c>
      <c r="C9170" s="2" t="n">
        <v>43951</v>
      </c>
      <c r="D9170" t="inlineStr">
        <is>
          <t>NIL</t>
        </is>
      </c>
      <c r="E9170" t="n">
        <v>2879</v>
      </c>
    </row>
    <row r="9171">
      <c r="A9171" t="inlineStr">
        <is>
          <t>27BBBBB09171Z5</t>
        </is>
      </c>
      <c r="B9171" t="inlineStr">
        <is>
          <t>Mar-2023</t>
        </is>
      </c>
      <c r="C9171" s="2" t="n">
        <v>43884</v>
      </c>
      <c r="D9171" t="inlineStr">
        <is>
          <t>NON-NIL</t>
        </is>
      </c>
      <c r="E9171" t="n">
        <v>2832</v>
      </c>
    </row>
    <row r="9172">
      <c r="A9172" t="inlineStr">
        <is>
          <t>27BBBBB09172Z5</t>
        </is>
      </c>
      <c r="B9172" t="inlineStr">
        <is>
          <t>Nov-2017</t>
        </is>
      </c>
      <c r="C9172" s="2" t="n">
        <v>43834</v>
      </c>
      <c r="D9172" t="inlineStr">
        <is>
          <t>NON-NIL</t>
        </is>
      </c>
      <c r="E9172" t="n">
        <v>1430</v>
      </c>
    </row>
    <row r="9173">
      <c r="A9173" t="inlineStr">
        <is>
          <t>27BBBBB09173Z5</t>
        </is>
      </c>
      <c r="B9173" t="inlineStr">
        <is>
          <t>Aug-2017</t>
        </is>
      </c>
      <c r="C9173" s="2" t="n">
        <v>44195</v>
      </c>
      <c r="D9173" t="inlineStr">
        <is>
          <t>NON-NIL</t>
        </is>
      </c>
      <c r="E9173" t="n">
        <v>137</v>
      </c>
    </row>
    <row r="9174">
      <c r="A9174" t="inlineStr">
        <is>
          <t>27BBBBB09174Z5</t>
        </is>
      </c>
      <c r="B9174" t="inlineStr">
        <is>
          <t>Feb-2018</t>
        </is>
      </c>
      <c r="C9174" s="2" t="n">
        <v>42992</v>
      </c>
      <c r="D9174" t="inlineStr">
        <is>
          <t>NON-NIL</t>
        </is>
      </c>
      <c r="E9174" t="n">
        <v>1481</v>
      </c>
    </row>
    <row r="9175">
      <c r="A9175" t="inlineStr">
        <is>
          <t>27BBBBB09175Z5</t>
        </is>
      </c>
      <c r="B9175" t="inlineStr">
        <is>
          <t>Jul-2020</t>
        </is>
      </c>
      <c r="C9175" s="2" t="n">
        <v>44857</v>
      </c>
      <c r="D9175" t="inlineStr">
        <is>
          <t>NON-NIL</t>
        </is>
      </c>
      <c r="E9175" t="n">
        <v>1673</v>
      </c>
    </row>
    <row r="9176">
      <c r="A9176" t="inlineStr">
        <is>
          <t>27BBBBB09176Z5</t>
        </is>
      </c>
      <c r="B9176" t="inlineStr">
        <is>
          <t>Apr-2020</t>
        </is>
      </c>
      <c r="C9176" s="2" t="n">
        <v>44244</v>
      </c>
      <c r="D9176" t="inlineStr">
        <is>
          <t>NON-NIL</t>
        </is>
      </c>
      <c r="E9176" t="n">
        <v>954</v>
      </c>
    </row>
    <row r="9177">
      <c r="A9177" t="inlineStr">
        <is>
          <t>27BBBBB09177Z5</t>
        </is>
      </c>
      <c r="B9177" t="inlineStr">
        <is>
          <t>Nov-2017</t>
        </is>
      </c>
      <c r="C9177" s="2" t="n">
        <v>43271</v>
      </c>
      <c r="D9177" t="inlineStr">
        <is>
          <t>NIL</t>
        </is>
      </c>
      <c r="E9177" t="n">
        <v>2490</v>
      </c>
    </row>
    <row r="9178">
      <c r="A9178" t="inlineStr">
        <is>
          <t>27BBBBB09178Z5</t>
        </is>
      </c>
      <c r="B9178" t="inlineStr">
        <is>
          <t>Mar-2018</t>
        </is>
      </c>
      <c r="C9178" s="2" t="n">
        <v>44395</v>
      </c>
      <c r="D9178" t="inlineStr">
        <is>
          <t>NON-NIL</t>
        </is>
      </c>
      <c r="E9178" t="n">
        <v>2833</v>
      </c>
    </row>
    <row r="9179">
      <c r="A9179" t="inlineStr">
        <is>
          <t>27BBBBB09179Z5</t>
        </is>
      </c>
      <c r="B9179" t="inlineStr">
        <is>
          <t>Oct-2018</t>
        </is>
      </c>
      <c r="C9179" s="2" t="n">
        <v>43688</v>
      </c>
      <c r="D9179" t="inlineStr">
        <is>
          <t>NIL</t>
        </is>
      </c>
      <c r="E9179" t="n">
        <v>2656</v>
      </c>
    </row>
    <row r="9180">
      <c r="A9180" t="inlineStr">
        <is>
          <t>27BBBBB09180Z5</t>
        </is>
      </c>
      <c r="B9180" t="inlineStr">
        <is>
          <t>Mar-2018</t>
        </is>
      </c>
      <c r="C9180" s="2" t="n">
        <v>43364</v>
      </c>
      <c r="D9180" t="inlineStr">
        <is>
          <t>NIL</t>
        </is>
      </c>
      <c r="E9180" t="n">
        <v>2450</v>
      </c>
    </row>
    <row r="9181">
      <c r="A9181" t="inlineStr">
        <is>
          <t>27BBBBB09181Z5</t>
        </is>
      </c>
      <c r="B9181" t="inlineStr">
        <is>
          <t>Mar-2020</t>
        </is>
      </c>
      <c r="C9181" s="2" t="n">
        <v>44850</v>
      </c>
      <c r="D9181" t="inlineStr">
        <is>
          <t>NIL</t>
        </is>
      </c>
      <c r="E9181" t="n">
        <v>712</v>
      </c>
    </row>
    <row r="9182">
      <c r="A9182" t="inlineStr">
        <is>
          <t>27BBBBB09182Z5</t>
        </is>
      </c>
      <c r="B9182" t="inlineStr">
        <is>
          <t>Feb-2018</t>
        </is>
      </c>
      <c r="C9182" s="2" t="n">
        <v>43764</v>
      </c>
      <c r="D9182" t="inlineStr">
        <is>
          <t>NIL</t>
        </is>
      </c>
      <c r="E9182" t="n">
        <v>152</v>
      </c>
    </row>
    <row r="9183">
      <c r="A9183" t="inlineStr">
        <is>
          <t>27BBBBB09183Z5</t>
        </is>
      </c>
      <c r="B9183" t="inlineStr">
        <is>
          <t>Aug-2018</t>
        </is>
      </c>
      <c r="C9183" s="2" t="n">
        <v>43157</v>
      </c>
      <c r="D9183" t="inlineStr">
        <is>
          <t>NIL</t>
        </is>
      </c>
      <c r="E9183" t="n">
        <v>1822</v>
      </c>
    </row>
    <row r="9184">
      <c r="A9184" t="inlineStr">
        <is>
          <t>27BBBBB09184Z5</t>
        </is>
      </c>
      <c r="B9184" t="inlineStr">
        <is>
          <t>Jul-2020</t>
        </is>
      </c>
      <c r="C9184" s="2" t="n">
        <v>44787</v>
      </c>
      <c r="D9184" t="inlineStr">
        <is>
          <t>NIL</t>
        </is>
      </c>
      <c r="E9184" t="n">
        <v>1623</v>
      </c>
    </row>
    <row r="9185">
      <c r="A9185" t="inlineStr">
        <is>
          <t>27BBBBB09185Z5</t>
        </is>
      </c>
      <c r="B9185" t="inlineStr">
        <is>
          <t>Oct-2017</t>
        </is>
      </c>
      <c r="C9185" s="2" t="n">
        <v>44173</v>
      </c>
      <c r="D9185" t="inlineStr">
        <is>
          <t>NON-NIL</t>
        </is>
      </c>
      <c r="E9185" t="n">
        <v>2190</v>
      </c>
    </row>
    <row r="9186">
      <c r="A9186" t="inlineStr">
        <is>
          <t>27BBBBB09186Z5</t>
        </is>
      </c>
      <c r="B9186" t="inlineStr">
        <is>
          <t>Jan-2021</t>
        </is>
      </c>
      <c r="C9186" s="2" t="n">
        <v>43660</v>
      </c>
      <c r="D9186" t="inlineStr">
        <is>
          <t>NIL</t>
        </is>
      </c>
      <c r="E9186" t="n">
        <v>2248</v>
      </c>
    </row>
    <row r="9187">
      <c r="A9187" t="inlineStr">
        <is>
          <t>27BBBBB09187Z5</t>
        </is>
      </c>
      <c r="B9187" t="inlineStr">
        <is>
          <t>Sep-2018</t>
        </is>
      </c>
      <c r="C9187" s="2" t="n">
        <v>44560</v>
      </c>
      <c r="D9187" t="inlineStr">
        <is>
          <t>NIL</t>
        </is>
      </c>
      <c r="E9187" t="n">
        <v>1685</v>
      </c>
    </row>
    <row r="9188">
      <c r="A9188" t="inlineStr">
        <is>
          <t>27BBBBB09188Z5</t>
        </is>
      </c>
      <c r="B9188" t="inlineStr">
        <is>
          <t>Jul-2018</t>
        </is>
      </c>
      <c r="C9188" s="2" t="n">
        <v>44257</v>
      </c>
      <c r="D9188" t="inlineStr">
        <is>
          <t>NIL</t>
        </is>
      </c>
      <c r="E9188" t="n">
        <v>1093</v>
      </c>
    </row>
    <row r="9189">
      <c r="A9189" t="inlineStr">
        <is>
          <t>27BBBBB09189Z5</t>
        </is>
      </c>
      <c r="B9189" t="inlineStr">
        <is>
          <t>May-2020</t>
        </is>
      </c>
      <c r="C9189" s="2" t="n">
        <v>44010</v>
      </c>
      <c r="D9189" t="inlineStr">
        <is>
          <t>NIL</t>
        </is>
      </c>
      <c r="E9189" t="n">
        <v>1350</v>
      </c>
    </row>
    <row r="9190">
      <c r="A9190" t="inlineStr">
        <is>
          <t>27BBBBB09190Z5</t>
        </is>
      </c>
      <c r="B9190" t="inlineStr">
        <is>
          <t>Dec-2024</t>
        </is>
      </c>
      <c r="C9190" s="2" t="n">
        <v>44861</v>
      </c>
      <c r="D9190" t="inlineStr">
        <is>
          <t>NON-NIL</t>
        </is>
      </c>
      <c r="E9190" t="n">
        <v>1996</v>
      </c>
    </row>
    <row r="9191">
      <c r="A9191" t="inlineStr">
        <is>
          <t>27BBBBB09191Z5</t>
        </is>
      </c>
      <c r="B9191" t="inlineStr">
        <is>
          <t>Mar-2021</t>
        </is>
      </c>
      <c r="C9191" s="2" t="n">
        <v>44140</v>
      </c>
      <c r="D9191" t="inlineStr">
        <is>
          <t>NON-NIL</t>
        </is>
      </c>
      <c r="E9191" t="n">
        <v>524</v>
      </c>
    </row>
    <row r="9192">
      <c r="A9192" t="inlineStr">
        <is>
          <t>27BBBBB09192Z5</t>
        </is>
      </c>
      <c r="B9192" t="inlineStr">
        <is>
          <t>Sep-2018</t>
        </is>
      </c>
      <c r="C9192" s="2" t="n">
        <v>43477</v>
      </c>
      <c r="D9192" t="inlineStr">
        <is>
          <t>NIL</t>
        </is>
      </c>
      <c r="E9192" t="n">
        <v>142</v>
      </c>
    </row>
    <row r="9193">
      <c r="A9193" t="inlineStr">
        <is>
          <t>27BBBBB09193Z5</t>
        </is>
      </c>
      <c r="B9193" t="inlineStr">
        <is>
          <t>May-2020</t>
        </is>
      </c>
      <c r="C9193" s="2" t="n">
        <v>44737</v>
      </c>
      <c r="D9193" t="inlineStr">
        <is>
          <t>NON-NIL</t>
        </is>
      </c>
      <c r="E9193" t="n">
        <v>730</v>
      </c>
    </row>
    <row r="9194">
      <c r="A9194" t="inlineStr">
        <is>
          <t>27BBBBB09194Z5</t>
        </is>
      </c>
      <c r="B9194" t="inlineStr">
        <is>
          <t>May-2020</t>
        </is>
      </c>
      <c r="C9194" s="2" t="n">
        <v>44777</v>
      </c>
      <c r="D9194" t="inlineStr">
        <is>
          <t>NIL</t>
        </is>
      </c>
      <c r="E9194" t="n">
        <v>1877</v>
      </c>
    </row>
    <row r="9195">
      <c r="A9195" t="inlineStr">
        <is>
          <t>27BBBBB09195Z5</t>
        </is>
      </c>
      <c r="B9195" t="inlineStr">
        <is>
          <t>Jun-2020</t>
        </is>
      </c>
      <c r="C9195" s="2" t="n">
        <v>43960</v>
      </c>
      <c r="D9195" t="inlineStr">
        <is>
          <t>NIL</t>
        </is>
      </c>
      <c r="E9195" t="n">
        <v>1798</v>
      </c>
    </row>
    <row r="9196">
      <c r="A9196" t="inlineStr">
        <is>
          <t>27BBBBB09196Z5</t>
        </is>
      </c>
      <c r="B9196" t="inlineStr">
        <is>
          <t>Dec-2024</t>
        </is>
      </c>
      <c r="C9196" s="2" t="n">
        <v>44870</v>
      </c>
      <c r="D9196" t="inlineStr">
        <is>
          <t>NON-NIL</t>
        </is>
      </c>
      <c r="E9196" t="n">
        <v>1251</v>
      </c>
    </row>
    <row r="9197">
      <c r="A9197" t="inlineStr">
        <is>
          <t>27BBBBB09197Z5</t>
        </is>
      </c>
      <c r="B9197" t="inlineStr">
        <is>
          <t>Dec-2018</t>
        </is>
      </c>
      <c r="C9197" s="2" t="n">
        <v>43774</v>
      </c>
      <c r="D9197" t="inlineStr">
        <is>
          <t>NON-NIL</t>
        </is>
      </c>
      <c r="E9197" t="n">
        <v>460</v>
      </c>
    </row>
    <row r="9198">
      <c r="A9198" t="inlineStr">
        <is>
          <t>27BBBBB09198Z5</t>
        </is>
      </c>
      <c r="B9198" t="inlineStr">
        <is>
          <t>Mar-2018</t>
        </is>
      </c>
      <c r="C9198" s="2" t="n">
        <v>43370</v>
      </c>
      <c r="D9198" t="inlineStr">
        <is>
          <t>NON-NIL</t>
        </is>
      </c>
      <c r="E9198" t="n">
        <v>1132</v>
      </c>
    </row>
    <row r="9199">
      <c r="A9199" t="inlineStr">
        <is>
          <t>27BBBBB09199Z5</t>
        </is>
      </c>
      <c r="B9199" t="inlineStr">
        <is>
          <t>Dec-2018</t>
        </is>
      </c>
      <c r="C9199" s="2" t="n">
        <v>44093</v>
      </c>
      <c r="D9199" t="inlineStr">
        <is>
          <t>NIL</t>
        </is>
      </c>
      <c r="E9199" t="n">
        <v>1536</v>
      </c>
    </row>
    <row r="9200">
      <c r="A9200" t="inlineStr">
        <is>
          <t>27BBBBB09200Z5</t>
        </is>
      </c>
      <c r="B9200" t="inlineStr">
        <is>
          <t>Sep-2017</t>
        </is>
      </c>
      <c r="C9200" s="2" t="n">
        <v>43861</v>
      </c>
      <c r="D9200" t="inlineStr">
        <is>
          <t>NON-NIL</t>
        </is>
      </c>
      <c r="E9200" t="n">
        <v>2449</v>
      </c>
    </row>
    <row r="9201">
      <c r="A9201" t="inlineStr">
        <is>
          <t>27BBBBB09201Z5</t>
        </is>
      </c>
      <c r="B9201" t="inlineStr">
        <is>
          <t>Jul-2017</t>
        </is>
      </c>
      <c r="C9201" s="2" t="n">
        <v>43942</v>
      </c>
      <c r="D9201" t="inlineStr">
        <is>
          <t>NON-NIL</t>
        </is>
      </c>
      <c r="E9201" t="n">
        <v>2824</v>
      </c>
    </row>
    <row r="9202">
      <c r="A9202" t="inlineStr">
        <is>
          <t>27BBBBB09202Z5</t>
        </is>
      </c>
      <c r="B9202" t="inlineStr">
        <is>
          <t>Jul-2017</t>
        </is>
      </c>
      <c r="C9202" s="2" t="n">
        <v>43038</v>
      </c>
      <c r="D9202" t="inlineStr">
        <is>
          <t>NIL</t>
        </is>
      </c>
      <c r="E9202" t="n">
        <v>1510</v>
      </c>
    </row>
    <row r="9203">
      <c r="A9203" t="inlineStr">
        <is>
          <t>27BBBBB09203Z5</t>
        </is>
      </c>
      <c r="B9203" t="inlineStr">
        <is>
          <t>Oct-2017</t>
        </is>
      </c>
      <c r="C9203" s="2" t="n">
        <v>43998</v>
      </c>
      <c r="D9203" t="inlineStr">
        <is>
          <t>NIL</t>
        </is>
      </c>
      <c r="E9203" t="n">
        <v>2285</v>
      </c>
    </row>
    <row r="9204">
      <c r="A9204" t="inlineStr">
        <is>
          <t>27BBBBB09204Z5</t>
        </is>
      </c>
      <c r="B9204" t="inlineStr">
        <is>
          <t>Oct-2017</t>
        </is>
      </c>
      <c r="C9204" s="2" t="n">
        <v>43724</v>
      </c>
      <c r="D9204" t="inlineStr">
        <is>
          <t>NIL</t>
        </is>
      </c>
      <c r="E9204" t="n">
        <v>684</v>
      </c>
    </row>
    <row r="9205">
      <c r="A9205" t="inlineStr">
        <is>
          <t>27BBBBB09205Z5</t>
        </is>
      </c>
      <c r="B9205" t="inlineStr">
        <is>
          <t>Mar-2021</t>
        </is>
      </c>
      <c r="C9205" s="2" t="n">
        <v>44800</v>
      </c>
      <c r="D9205" t="inlineStr">
        <is>
          <t>NIL</t>
        </is>
      </c>
      <c r="E9205" t="n">
        <v>965</v>
      </c>
    </row>
    <row r="9206">
      <c r="A9206" t="inlineStr">
        <is>
          <t>27BBBBB09206Z5</t>
        </is>
      </c>
      <c r="B9206" t="inlineStr">
        <is>
          <t>Mar-2018</t>
        </is>
      </c>
      <c r="C9206" s="2" t="n">
        <v>43513</v>
      </c>
      <c r="D9206" t="inlineStr">
        <is>
          <t>NIL</t>
        </is>
      </c>
      <c r="E9206" t="n">
        <v>468</v>
      </c>
    </row>
    <row r="9207">
      <c r="A9207" t="inlineStr">
        <is>
          <t>27BBBBB09207Z5</t>
        </is>
      </c>
      <c r="B9207" t="inlineStr">
        <is>
          <t>Jul-2017</t>
        </is>
      </c>
      <c r="C9207" s="2" t="n">
        <v>43268</v>
      </c>
      <c r="D9207" t="inlineStr">
        <is>
          <t>NIL</t>
        </is>
      </c>
      <c r="E9207" t="n">
        <v>136</v>
      </c>
    </row>
    <row r="9208">
      <c r="A9208" t="inlineStr">
        <is>
          <t>27BBBBB09208Z5</t>
        </is>
      </c>
      <c r="B9208" t="inlineStr">
        <is>
          <t>Sep-2017</t>
        </is>
      </c>
      <c r="C9208" s="2" t="n">
        <v>43375</v>
      </c>
      <c r="D9208" t="inlineStr">
        <is>
          <t>NIL</t>
        </is>
      </c>
      <c r="E9208" t="n">
        <v>292</v>
      </c>
    </row>
    <row r="9209">
      <c r="A9209" t="inlineStr">
        <is>
          <t>27BBBBB09209Z5</t>
        </is>
      </c>
      <c r="B9209" t="inlineStr">
        <is>
          <t>Aug-2018</t>
        </is>
      </c>
      <c r="C9209" s="2" t="n">
        <v>42967</v>
      </c>
      <c r="D9209" t="inlineStr">
        <is>
          <t>NIL</t>
        </is>
      </c>
      <c r="E9209" t="n">
        <v>609</v>
      </c>
    </row>
    <row r="9210">
      <c r="A9210" t="inlineStr">
        <is>
          <t>27BBBBB09210Z5</t>
        </is>
      </c>
      <c r="B9210" t="inlineStr">
        <is>
          <t>Nov-2018</t>
        </is>
      </c>
      <c r="C9210" s="2" t="n">
        <v>44169</v>
      </c>
      <c r="D9210" t="inlineStr">
        <is>
          <t>NIL</t>
        </is>
      </c>
      <c r="E9210" t="n">
        <v>1878</v>
      </c>
    </row>
    <row r="9211">
      <c r="A9211" t="inlineStr">
        <is>
          <t>27BBBBB09211Z5</t>
        </is>
      </c>
      <c r="B9211" t="inlineStr">
        <is>
          <t>Jul-2017</t>
        </is>
      </c>
      <c r="C9211" s="2" t="n">
        <v>44435</v>
      </c>
      <c r="D9211" t="inlineStr">
        <is>
          <t>NON-NIL</t>
        </is>
      </c>
      <c r="E9211" t="n">
        <v>713</v>
      </c>
    </row>
    <row r="9212">
      <c r="A9212" t="inlineStr">
        <is>
          <t>27BBBBB09212Z5</t>
        </is>
      </c>
      <c r="B9212" t="inlineStr">
        <is>
          <t>Aug-2018</t>
        </is>
      </c>
      <c r="C9212" s="2" t="n">
        <v>43418</v>
      </c>
      <c r="D9212" t="inlineStr">
        <is>
          <t>NIL</t>
        </is>
      </c>
      <c r="E9212" t="n">
        <v>608</v>
      </c>
    </row>
    <row r="9213">
      <c r="A9213" t="inlineStr">
        <is>
          <t>27BBBBB09213Z5</t>
        </is>
      </c>
      <c r="B9213" t="inlineStr">
        <is>
          <t>Mar-2020</t>
        </is>
      </c>
      <c r="C9213" s="2" t="n">
        <v>44231</v>
      </c>
      <c r="D9213" t="inlineStr">
        <is>
          <t>NIL</t>
        </is>
      </c>
      <c r="E9213" t="n">
        <v>2723</v>
      </c>
    </row>
    <row r="9214">
      <c r="A9214" t="inlineStr">
        <is>
          <t>27BBBBB09214Z5</t>
        </is>
      </c>
      <c r="B9214" t="inlineStr">
        <is>
          <t>Aug-2017</t>
        </is>
      </c>
      <c r="C9214" s="2" t="n">
        <v>42941</v>
      </c>
      <c r="D9214" t="inlineStr">
        <is>
          <t>NIL</t>
        </is>
      </c>
      <c r="E9214" t="n">
        <v>834</v>
      </c>
    </row>
    <row r="9215">
      <c r="A9215" t="inlineStr">
        <is>
          <t>27BBBBB09215Z5</t>
        </is>
      </c>
      <c r="B9215" t="inlineStr">
        <is>
          <t>Dec-2017</t>
        </is>
      </c>
      <c r="C9215" s="2" t="n">
        <v>44028</v>
      </c>
      <c r="D9215" t="inlineStr">
        <is>
          <t>NON-NIL</t>
        </is>
      </c>
      <c r="E9215" t="n">
        <v>667</v>
      </c>
    </row>
    <row r="9216">
      <c r="A9216" t="inlineStr">
        <is>
          <t>27BBBBB09216Z5</t>
        </is>
      </c>
      <c r="B9216" t="inlineStr">
        <is>
          <t>Oct-2017</t>
        </is>
      </c>
      <c r="C9216" s="2" t="n">
        <v>43206</v>
      </c>
      <c r="D9216" t="inlineStr">
        <is>
          <t>NON-NIL</t>
        </is>
      </c>
      <c r="E9216" t="n">
        <v>34</v>
      </c>
    </row>
    <row r="9217">
      <c r="A9217" t="inlineStr">
        <is>
          <t>27BBBBB09217Z5</t>
        </is>
      </c>
      <c r="B9217" t="inlineStr">
        <is>
          <t>Aug-2017</t>
        </is>
      </c>
      <c r="C9217" s="2" t="n">
        <v>43714</v>
      </c>
      <c r="D9217" t="inlineStr">
        <is>
          <t>NIL</t>
        </is>
      </c>
      <c r="E9217" t="n">
        <v>534</v>
      </c>
    </row>
    <row r="9218">
      <c r="A9218" t="inlineStr">
        <is>
          <t>27BBBBB09218Z5</t>
        </is>
      </c>
      <c r="B9218" t="inlineStr">
        <is>
          <t>Mar-2018</t>
        </is>
      </c>
      <c r="C9218" s="2" t="n">
        <v>43109</v>
      </c>
      <c r="D9218" t="inlineStr">
        <is>
          <t>NON-NIL</t>
        </is>
      </c>
      <c r="E9218" t="n">
        <v>1242</v>
      </c>
    </row>
    <row r="9219">
      <c r="A9219" t="inlineStr">
        <is>
          <t>27BBBBB09219Z5</t>
        </is>
      </c>
      <c r="B9219" t="inlineStr">
        <is>
          <t>Jan-2021</t>
        </is>
      </c>
      <c r="C9219" s="2" t="n">
        <v>45628</v>
      </c>
      <c r="D9219" t="inlineStr">
        <is>
          <t>NON-NIL</t>
        </is>
      </c>
      <c r="E9219" t="n">
        <v>179</v>
      </c>
    </row>
    <row r="9220">
      <c r="A9220" t="inlineStr">
        <is>
          <t>27BBBBB09220Z5</t>
        </is>
      </c>
      <c r="B9220" t="inlineStr">
        <is>
          <t>Jul-2017</t>
        </is>
      </c>
      <c r="C9220" s="2" t="n">
        <v>43738</v>
      </c>
      <c r="D9220" t="inlineStr">
        <is>
          <t>NON-NIL</t>
        </is>
      </c>
      <c r="E9220" t="n">
        <v>2424</v>
      </c>
    </row>
    <row r="9221">
      <c r="A9221" t="inlineStr">
        <is>
          <t>27BBBBB09221Z5</t>
        </is>
      </c>
      <c r="B9221" t="inlineStr">
        <is>
          <t>Jun-2020</t>
        </is>
      </c>
      <c r="C9221" s="2" t="n">
        <v>44879</v>
      </c>
      <c r="D9221" t="inlineStr">
        <is>
          <t>NIL</t>
        </is>
      </c>
      <c r="E9221" t="n">
        <v>1026</v>
      </c>
    </row>
    <row r="9222">
      <c r="A9222" t="inlineStr">
        <is>
          <t>27BBBBB09222Z5</t>
        </is>
      </c>
      <c r="B9222" t="inlineStr">
        <is>
          <t>Sep-2018</t>
        </is>
      </c>
      <c r="C9222" s="2" t="n">
        <v>44331</v>
      </c>
      <c r="D9222" t="inlineStr">
        <is>
          <t>NON-NIL</t>
        </is>
      </c>
      <c r="E9222" t="n">
        <v>2495</v>
      </c>
    </row>
    <row r="9223">
      <c r="A9223" t="inlineStr">
        <is>
          <t>27BBBBB09223Z5</t>
        </is>
      </c>
      <c r="B9223" t="inlineStr">
        <is>
          <t>Jul-2017</t>
        </is>
      </c>
      <c r="C9223" s="2" t="n">
        <v>44219</v>
      </c>
      <c r="D9223" t="inlineStr">
        <is>
          <t>NIL</t>
        </is>
      </c>
      <c r="E9223" t="n">
        <v>2424</v>
      </c>
    </row>
    <row r="9224">
      <c r="A9224" t="inlineStr">
        <is>
          <t>27BBBBB09224Z5</t>
        </is>
      </c>
      <c r="B9224" t="inlineStr">
        <is>
          <t>Jul-2017</t>
        </is>
      </c>
      <c r="C9224" s="2" t="n">
        <v>44422</v>
      </c>
      <c r="D9224" t="inlineStr">
        <is>
          <t>NIL</t>
        </is>
      </c>
      <c r="E9224" t="n">
        <v>1898</v>
      </c>
    </row>
    <row r="9225">
      <c r="A9225" t="inlineStr">
        <is>
          <t>27BBBBB09225Z5</t>
        </is>
      </c>
      <c r="B9225" t="inlineStr">
        <is>
          <t>Jul-2018</t>
        </is>
      </c>
      <c r="C9225" s="2" t="n">
        <v>44116</v>
      </c>
      <c r="D9225" t="inlineStr">
        <is>
          <t>NIL</t>
        </is>
      </c>
      <c r="E9225" t="n">
        <v>1098</v>
      </c>
    </row>
    <row r="9226">
      <c r="A9226" t="inlineStr">
        <is>
          <t>27BBBBB09226Z5</t>
        </is>
      </c>
      <c r="B9226" t="inlineStr">
        <is>
          <t>May-2018</t>
        </is>
      </c>
      <c r="C9226" s="2" t="n">
        <v>43012</v>
      </c>
      <c r="D9226" t="inlineStr">
        <is>
          <t>NIL</t>
        </is>
      </c>
      <c r="E9226" t="n">
        <v>67</v>
      </c>
    </row>
    <row r="9227">
      <c r="A9227" t="inlineStr">
        <is>
          <t>27BBBBB09227Z5</t>
        </is>
      </c>
      <c r="B9227" t="inlineStr">
        <is>
          <t>Mar-2023</t>
        </is>
      </c>
      <c r="C9227" s="2" t="n">
        <v>44161</v>
      </c>
      <c r="D9227" t="inlineStr">
        <is>
          <t>NON-NIL</t>
        </is>
      </c>
      <c r="E9227" t="n">
        <v>2956</v>
      </c>
    </row>
    <row r="9228">
      <c r="A9228" t="inlineStr">
        <is>
          <t>27BBBBB09228Z5</t>
        </is>
      </c>
      <c r="B9228" t="inlineStr">
        <is>
          <t>Dec-2024</t>
        </is>
      </c>
      <c r="C9228" s="2" t="n">
        <v>44008</v>
      </c>
      <c r="D9228" t="inlineStr">
        <is>
          <t>NON-NIL</t>
        </is>
      </c>
      <c r="E9228" t="n">
        <v>2257</v>
      </c>
    </row>
    <row r="9229">
      <c r="A9229" t="inlineStr">
        <is>
          <t>27BBBBB09229Z5</t>
        </is>
      </c>
      <c r="B9229" t="inlineStr">
        <is>
          <t>Dec-2017</t>
        </is>
      </c>
      <c r="C9229" s="2" t="n">
        <v>44310</v>
      </c>
      <c r="D9229" t="inlineStr">
        <is>
          <t>NON-NIL</t>
        </is>
      </c>
      <c r="E9229" t="n">
        <v>660</v>
      </c>
    </row>
    <row r="9230">
      <c r="A9230" t="inlineStr">
        <is>
          <t>27BBBBB09230Z5</t>
        </is>
      </c>
      <c r="B9230" t="inlineStr">
        <is>
          <t>Dec-2024</t>
        </is>
      </c>
      <c r="C9230" s="2" t="n">
        <v>44823</v>
      </c>
      <c r="D9230" t="inlineStr">
        <is>
          <t>NIL</t>
        </is>
      </c>
      <c r="E9230" t="n">
        <v>2362</v>
      </c>
    </row>
    <row r="9231">
      <c r="A9231" t="inlineStr">
        <is>
          <t>27BBBBB09231Z5</t>
        </is>
      </c>
      <c r="B9231" t="inlineStr">
        <is>
          <t>Nov-2018</t>
        </is>
      </c>
      <c r="C9231" s="2" t="n">
        <v>43304</v>
      </c>
      <c r="D9231" t="inlineStr">
        <is>
          <t>NON-NIL</t>
        </is>
      </c>
      <c r="E9231" t="n">
        <v>1186</v>
      </c>
    </row>
    <row r="9232">
      <c r="A9232" t="inlineStr">
        <is>
          <t>27BBBBB09232Z5</t>
        </is>
      </c>
      <c r="B9232" t="inlineStr">
        <is>
          <t>May-2018</t>
        </is>
      </c>
      <c r="C9232" s="2" t="n">
        <v>43379</v>
      </c>
      <c r="D9232" t="inlineStr">
        <is>
          <t>NON-NIL</t>
        </is>
      </c>
      <c r="E9232" t="n">
        <v>1091</v>
      </c>
    </row>
    <row r="9233">
      <c r="A9233" t="inlineStr">
        <is>
          <t>27BBBBB09233Z5</t>
        </is>
      </c>
      <c r="B9233" t="inlineStr">
        <is>
          <t>Aug-2017</t>
        </is>
      </c>
      <c r="C9233" s="2" t="n">
        <v>43070</v>
      </c>
      <c r="D9233" t="inlineStr">
        <is>
          <t>NIL</t>
        </is>
      </c>
      <c r="E9233" t="n">
        <v>1575</v>
      </c>
    </row>
    <row r="9234">
      <c r="A9234" t="inlineStr">
        <is>
          <t>27BBBBB09234Z5</t>
        </is>
      </c>
      <c r="B9234" t="inlineStr">
        <is>
          <t>Dec-2018</t>
        </is>
      </c>
      <c r="C9234" s="2" t="n">
        <v>43463</v>
      </c>
      <c r="D9234" t="inlineStr">
        <is>
          <t>NIL</t>
        </is>
      </c>
      <c r="E9234" t="n">
        <v>2196</v>
      </c>
    </row>
    <row r="9235">
      <c r="A9235" t="inlineStr">
        <is>
          <t>27BBBBB09235Z5</t>
        </is>
      </c>
      <c r="B9235" t="inlineStr">
        <is>
          <t>Jun-2018</t>
        </is>
      </c>
      <c r="C9235" s="2" t="n">
        <v>43769</v>
      </c>
      <c r="D9235" t="inlineStr">
        <is>
          <t>NON-NIL</t>
        </is>
      </c>
      <c r="E9235" t="n">
        <v>812</v>
      </c>
    </row>
    <row r="9236">
      <c r="A9236" t="inlineStr">
        <is>
          <t>27BBBBB09236Z5</t>
        </is>
      </c>
      <c r="B9236" t="inlineStr">
        <is>
          <t>Nov-2017</t>
        </is>
      </c>
      <c r="C9236" s="2" t="n">
        <v>44244</v>
      </c>
      <c r="D9236" t="inlineStr">
        <is>
          <t>NIL</t>
        </is>
      </c>
      <c r="E9236" t="n">
        <v>1684</v>
      </c>
    </row>
    <row r="9237">
      <c r="A9237" t="inlineStr">
        <is>
          <t>27BBBBB09237Z5</t>
        </is>
      </c>
      <c r="B9237" t="inlineStr">
        <is>
          <t>Dec-2022</t>
        </is>
      </c>
      <c r="C9237" s="2" t="n">
        <v>44824</v>
      </c>
      <c r="D9237" t="inlineStr">
        <is>
          <t>NIL</t>
        </is>
      </c>
      <c r="E9237" t="n">
        <v>481</v>
      </c>
    </row>
    <row r="9238">
      <c r="A9238" t="inlineStr">
        <is>
          <t>27BBBBB09238Z5</t>
        </is>
      </c>
      <c r="B9238" t="inlineStr">
        <is>
          <t>Nov-2017</t>
        </is>
      </c>
      <c r="C9238" s="2" t="n">
        <v>43456</v>
      </c>
      <c r="D9238" t="inlineStr">
        <is>
          <t>NIL</t>
        </is>
      </c>
      <c r="E9238" t="n">
        <v>2178</v>
      </c>
    </row>
    <row r="9239">
      <c r="A9239" t="inlineStr">
        <is>
          <t>27BBBBB09239Z5</t>
        </is>
      </c>
      <c r="B9239" t="inlineStr">
        <is>
          <t>Dec-2017</t>
        </is>
      </c>
      <c r="C9239" s="2" t="n">
        <v>43837</v>
      </c>
      <c r="D9239" t="inlineStr">
        <is>
          <t>NIL</t>
        </is>
      </c>
      <c r="E9239" t="n">
        <v>1599</v>
      </c>
    </row>
    <row r="9240">
      <c r="A9240" t="inlineStr">
        <is>
          <t>27BBBBB09240Z5</t>
        </is>
      </c>
      <c r="B9240" t="inlineStr">
        <is>
          <t>May-2020</t>
        </is>
      </c>
      <c r="C9240" s="2" t="n">
        <v>44478</v>
      </c>
      <c r="D9240" t="inlineStr">
        <is>
          <t>NON-NIL</t>
        </is>
      </c>
      <c r="E9240" t="n">
        <v>1380</v>
      </c>
    </row>
    <row r="9241">
      <c r="A9241" t="inlineStr">
        <is>
          <t>27BBBBB09241Z5</t>
        </is>
      </c>
      <c r="B9241" t="inlineStr">
        <is>
          <t>Sep-2018</t>
        </is>
      </c>
      <c r="C9241" s="2" t="n">
        <v>43404</v>
      </c>
      <c r="D9241" t="inlineStr">
        <is>
          <t>NON-NIL</t>
        </is>
      </c>
      <c r="E9241" t="n">
        <v>2750</v>
      </c>
    </row>
    <row r="9242">
      <c r="A9242" t="inlineStr">
        <is>
          <t>27BBBBB09242Z5</t>
        </is>
      </c>
      <c r="B9242" t="inlineStr">
        <is>
          <t>Dec-2018</t>
        </is>
      </c>
      <c r="C9242" s="2" t="n">
        <v>44436</v>
      </c>
      <c r="D9242" t="inlineStr">
        <is>
          <t>NON-NIL</t>
        </is>
      </c>
      <c r="E9242" t="n">
        <v>1116</v>
      </c>
    </row>
    <row r="9243">
      <c r="A9243" t="inlineStr">
        <is>
          <t>27BBBBB09243Z5</t>
        </is>
      </c>
      <c r="B9243" t="inlineStr">
        <is>
          <t>Oct-2017</t>
        </is>
      </c>
      <c r="C9243" s="2" t="n">
        <v>43361</v>
      </c>
      <c r="D9243" t="inlineStr">
        <is>
          <t>NIL</t>
        </is>
      </c>
      <c r="E9243" t="n">
        <v>955</v>
      </c>
    </row>
    <row r="9244">
      <c r="A9244" t="inlineStr">
        <is>
          <t>27BBBBB09244Z5</t>
        </is>
      </c>
      <c r="B9244" t="inlineStr">
        <is>
          <t>Aug-2018</t>
        </is>
      </c>
      <c r="C9244" s="2" t="n">
        <v>43697</v>
      </c>
      <c r="D9244" t="inlineStr">
        <is>
          <t>NIL</t>
        </is>
      </c>
      <c r="E9244" t="n">
        <v>1707</v>
      </c>
    </row>
    <row r="9245">
      <c r="A9245" t="inlineStr">
        <is>
          <t>27BBBBB09245Z5</t>
        </is>
      </c>
      <c r="B9245" t="inlineStr">
        <is>
          <t>Dec-2017</t>
        </is>
      </c>
      <c r="C9245" s="2" t="n">
        <v>43670</v>
      </c>
      <c r="D9245" t="inlineStr">
        <is>
          <t>NIL</t>
        </is>
      </c>
      <c r="E9245" t="n">
        <v>914</v>
      </c>
    </row>
    <row r="9246">
      <c r="A9246" t="inlineStr">
        <is>
          <t>27BBBBB09246Z5</t>
        </is>
      </c>
      <c r="B9246" t="inlineStr">
        <is>
          <t>Aug-2017</t>
        </is>
      </c>
      <c r="C9246" s="2" t="n">
        <v>44271</v>
      </c>
      <c r="D9246" t="inlineStr">
        <is>
          <t>NIL</t>
        </is>
      </c>
      <c r="E9246" t="n">
        <v>2446</v>
      </c>
    </row>
    <row r="9247">
      <c r="A9247" t="inlineStr">
        <is>
          <t>27BBBBB09247Z5</t>
        </is>
      </c>
      <c r="B9247" t="inlineStr">
        <is>
          <t>Jun-2020</t>
        </is>
      </c>
      <c r="C9247" s="2" t="n">
        <v>44775</v>
      </c>
      <c r="D9247" t="inlineStr">
        <is>
          <t>NIL</t>
        </is>
      </c>
      <c r="E9247" t="n">
        <v>2805</v>
      </c>
    </row>
    <row r="9248">
      <c r="A9248" t="inlineStr">
        <is>
          <t>27BBBBB09248Z5</t>
        </is>
      </c>
      <c r="B9248" t="inlineStr">
        <is>
          <t>Jan-2021</t>
        </is>
      </c>
      <c r="C9248" s="2" t="n">
        <v>44253</v>
      </c>
      <c r="D9248" t="inlineStr">
        <is>
          <t>NON-NIL</t>
        </is>
      </c>
      <c r="E9248" t="n">
        <v>2519</v>
      </c>
    </row>
    <row r="9249">
      <c r="A9249" t="inlineStr">
        <is>
          <t>27BBBBB09249Z5</t>
        </is>
      </c>
      <c r="B9249" t="inlineStr">
        <is>
          <t>Apr-2018</t>
        </is>
      </c>
      <c r="C9249" s="2" t="n">
        <v>43599</v>
      </c>
      <c r="D9249" t="inlineStr">
        <is>
          <t>NIL</t>
        </is>
      </c>
      <c r="E9249" t="n">
        <v>61</v>
      </c>
    </row>
    <row r="9250">
      <c r="A9250" t="inlineStr">
        <is>
          <t>27BBBBB09250Z5</t>
        </is>
      </c>
      <c r="B9250" t="inlineStr">
        <is>
          <t>Mar-2018</t>
        </is>
      </c>
      <c r="C9250" s="2" t="n">
        <v>43645</v>
      </c>
      <c r="D9250" t="inlineStr">
        <is>
          <t>NIL</t>
        </is>
      </c>
      <c r="E9250" t="n">
        <v>1147</v>
      </c>
    </row>
    <row r="9251">
      <c r="A9251" t="inlineStr">
        <is>
          <t>27BBBBB09251Z5</t>
        </is>
      </c>
      <c r="B9251" t="inlineStr">
        <is>
          <t>Nov-2017</t>
        </is>
      </c>
      <c r="C9251" s="2" t="n">
        <v>44260</v>
      </c>
      <c r="D9251" t="inlineStr">
        <is>
          <t>NIL</t>
        </is>
      </c>
      <c r="E9251" t="n">
        <v>1450</v>
      </c>
    </row>
    <row r="9252">
      <c r="A9252" t="inlineStr">
        <is>
          <t>27BBBBB09252Z5</t>
        </is>
      </c>
      <c r="B9252" t="inlineStr">
        <is>
          <t>Dec-2017</t>
        </is>
      </c>
      <c r="C9252" s="2" t="n">
        <v>43763</v>
      </c>
      <c r="D9252" t="inlineStr">
        <is>
          <t>NON-NIL</t>
        </is>
      </c>
      <c r="E9252" t="n">
        <v>826</v>
      </c>
    </row>
    <row r="9253">
      <c r="A9253" t="inlineStr">
        <is>
          <t>27BBBBB09253Z5</t>
        </is>
      </c>
      <c r="B9253" t="inlineStr">
        <is>
          <t>Nov-2018</t>
        </is>
      </c>
      <c r="C9253" s="2" t="n">
        <v>44244</v>
      </c>
      <c r="D9253" t="inlineStr">
        <is>
          <t>NIL</t>
        </is>
      </c>
      <c r="E9253" t="n">
        <v>2641</v>
      </c>
    </row>
    <row r="9254">
      <c r="A9254" t="inlineStr">
        <is>
          <t>27BBBBB09254Z5</t>
        </is>
      </c>
      <c r="B9254" t="inlineStr">
        <is>
          <t>Sep-2018</t>
        </is>
      </c>
      <c r="C9254" s="2" t="n">
        <v>44489</v>
      </c>
      <c r="D9254" t="inlineStr">
        <is>
          <t>NON-NIL</t>
        </is>
      </c>
      <c r="E9254" t="n">
        <v>2966</v>
      </c>
    </row>
    <row r="9255">
      <c r="A9255" t="inlineStr">
        <is>
          <t>27BBBBB09255Z5</t>
        </is>
      </c>
      <c r="B9255" t="inlineStr">
        <is>
          <t>Oct-2017</t>
        </is>
      </c>
      <c r="C9255" s="2" t="n">
        <v>43426</v>
      </c>
      <c r="D9255" t="inlineStr">
        <is>
          <t>NIL</t>
        </is>
      </c>
      <c r="E9255" t="n">
        <v>2590</v>
      </c>
    </row>
    <row r="9256">
      <c r="A9256" t="inlineStr">
        <is>
          <t>27BBBBB09256Z5</t>
        </is>
      </c>
      <c r="B9256" t="inlineStr">
        <is>
          <t>Jul-2020</t>
        </is>
      </c>
      <c r="C9256" s="2" t="n">
        <v>44804</v>
      </c>
      <c r="D9256" t="inlineStr">
        <is>
          <t>NON-NIL</t>
        </is>
      </c>
      <c r="E9256" t="n">
        <v>935</v>
      </c>
    </row>
    <row r="9257">
      <c r="A9257" t="inlineStr">
        <is>
          <t>27BBBBB09257Z5</t>
        </is>
      </c>
      <c r="B9257" t="inlineStr">
        <is>
          <t>Jun-2020</t>
        </is>
      </c>
      <c r="C9257" s="2" t="n">
        <v>44523</v>
      </c>
      <c r="D9257" t="inlineStr">
        <is>
          <t>NON-NIL</t>
        </is>
      </c>
      <c r="E9257" t="n">
        <v>2938</v>
      </c>
    </row>
    <row r="9258">
      <c r="A9258" t="inlineStr">
        <is>
          <t>27BBBBB09258Z5</t>
        </is>
      </c>
      <c r="B9258" t="inlineStr">
        <is>
          <t>Aug-2017</t>
        </is>
      </c>
      <c r="C9258" s="2" t="n">
        <v>42966</v>
      </c>
      <c r="D9258" t="inlineStr">
        <is>
          <t>NIL</t>
        </is>
      </c>
      <c r="E9258" t="n">
        <v>563</v>
      </c>
    </row>
    <row r="9259">
      <c r="A9259" t="inlineStr">
        <is>
          <t>27BBBBB09259Z5</t>
        </is>
      </c>
      <c r="B9259" t="inlineStr">
        <is>
          <t>Jul-2017</t>
        </is>
      </c>
      <c r="C9259" s="2" t="n">
        <v>44364</v>
      </c>
      <c r="D9259" t="inlineStr">
        <is>
          <t>NIL</t>
        </is>
      </c>
      <c r="E9259" t="n">
        <v>2903</v>
      </c>
    </row>
    <row r="9260">
      <c r="A9260" t="inlineStr">
        <is>
          <t>27BBBBB09260Z5</t>
        </is>
      </c>
      <c r="B9260" t="inlineStr">
        <is>
          <t>Dec-2024</t>
        </is>
      </c>
      <c r="C9260" s="2" t="n">
        <v>45244</v>
      </c>
      <c r="D9260" t="inlineStr">
        <is>
          <t>NON-NIL</t>
        </is>
      </c>
      <c r="E9260" t="n">
        <v>2289</v>
      </c>
    </row>
    <row r="9261">
      <c r="A9261" t="inlineStr">
        <is>
          <t>27BBBBB09261Z5</t>
        </is>
      </c>
      <c r="B9261" t="inlineStr">
        <is>
          <t>Dec-2018</t>
        </is>
      </c>
      <c r="C9261" s="2" t="n">
        <v>44545</v>
      </c>
      <c r="D9261" t="inlineStr">
        <is>
          <t>NON-NIL</t>
        </is>
      </c>
      <c r="E9261" t="n">
        <v>2396</v>
      </c>
    </row>
    <row r="9262">
      <c r="A9262" t="inlineStr">
        <is>
          <t>27BBBBB09262Z5</t>
        </is>
      </c>
      <c r="B9262" t="inlineStr">
        <is>
          <t>Jun-2018</t>
        </is>
      </c>
      <c r="C9262" s="2" t="n">
        <v>43127</v>
      </c>
      <c r="D9262" t="inlineStr">
        <is>
          <t>NIL</t>
        </is>
      </c>
      <c r="E9262" t="n">
        <v>1954</v>
      </c>
    </row>
    <row r="9263">
      <c r="A9263" t="inlineStr">
        <is>
          <t>27BBBBB09263Z5</t>
        </is>
      </c>
      <c r="B9263" t="inlineStr">
        <is>
          <t>Jan-2021</t>
        </is>
      </c>
      <c r="C9263" s="2" t="n">
        <v>43473</v>
      </c>
      <c r="D9263" t="inlineStr">
        <is>
          <t>NON-NIL</t>
        </is>
      </c>
      <c r="E9263" t="n">
        <v>2003</v>
      </c>
    </row>
    <row r="9264">
      <c r="A9264" t="inlineStr">
        <is>
          <t>27BBBBB09264Z5</t>
        </is>
      </c>
      <c r="B9264" t="inlineStr">
        <is>
          <t>Jul-2017</t>
        </is>
      </c>
      <c r="C9264" s="2" t="n">
        <v>44374</v>
      </c>
      <c r="D9264" t="inlineStr">
        <is>
          <t>NIL</t>
        </is>
      </c>
      <c r="E9264" t="n">
        <v>1978</v>
      </c>
    </row>
    <row r="9265">
      <c r="A9265" t="inlineStr">
        <is>
          <t>27BBBBB09265Z5</t>
        </is>
      </c>
      <c r="B9265" t="inlineStr">
        <is>
          <t>Jan-2018</t>
        </is>
      </c>
      <c r="C9265" s="2" t="n">
        <v>44213</v>
      </c>
      <c r="D9265" t="inlineStr">
        <is>
          <t>NIL</t>
        </is>
      </c>
      <c r="E9265" t="n">
        <v>2785</v>
      </c>
    </row>
    <row r="9266">
      <c r="A9266" t="inlineStr">
        <is>
          <t>27BBBBB09266Z5</t>
        </is>
      </c>
      <c r="B9266" t="inlineStr">
        <is>
          <t>Feb-2018</t>
        </is>
      </c>
      <c r="C9266" s="2" t="n">
        <v>43980</v>
      </c>
      <c r="D9266" t="inlineStr">
        <is>
          <t>NIL</t>
        </is>
      </c>
      <c r="E9266" t="n">
        <v>240</v>
      </c>
    </row>
    <row r="9267">
      <c r="A9267" t="inlineStr">
        <is>
          <t>27BBBBB09267Z5</t>
        </is>
      </c>
      <c r="B9267" t="inlineStr">
        <is>
          <t>Aug-2017</t>
        </is>
      </c>
      <c r="C9267" s="2" t="n">
        <v>42934</v>
      </c>
      <c r="D9267" t="inlineStr">
        <is>
          <t>NIL</t>
        </is>
      </c>
      <c r="E9267" t="n">
        <v>892</v>
      </c>
    </row>
    <row r="9268">
      <c r="A9268" t="inlineStr">
        <is>
          <t>27BBBBB09268Z5</t>
        </is>
      </c>
      <c r="B9268" t="inlineStr">
        <is>
          <t>Mar-2020</t>
        </is>
      </c>
      <c r="C9268" s="2" t="n">
        <v>43855</v>
      </c>
      <c r="D9268" t="inlineStr">
        <is>
          <t>NIL</t>
        </is>
      </c>
      <c r="E9268" t="n">
        <v>448</v>
      </c>
    </row>
    <row r="9269">
      <c r="A9269" t="inlineStr">
        <is>
          <t>27BBBBB09269Z5</t>
        </is>
      </c>
      <c r="B9269" t="inlineStr">
        <is>
          <t>Aug-2017</t>
        </is>
      </c>
      <c r="C9269" s="2" t="n">
        <v>44062</v>
      </c>
      <c r="D9269" t="inlineStr">
        <is>
          <t>NIL</t>
        </is>
      </c>
      <c r="E9269" t="n">
        <v>207</v>
      </c>
    </row>
    <row r="9270">
      <c r="A9270" t="inlineStr">
        <is>
          <t>27BBBBB09270Z5</t>
        </is>
      </c>
      <c r="B9270" t="inlineStr">
        <is>
          <t>Mar-2020</t>
        </is>
      </c>
      <c r="C9270" s="2" t="n">
        <v>44186</v>
      </c>
      <c r="D9270" t="inlineStr">
        <is>
          <t>NIL</t>
        </is>
      </c>
      <c r="E9270" t="n">
        <v>460</v>
      </c>
    </row>
    <row r="9271">
      <c r="A9271" t="inlineStr">
        <is>
          <t>27BBBBB09271Z5</t>
        </is>
      </c>
      <c r="B9271" t="inlineStr">
        <is>
          <t>Mar-2021</t>
        </is>
      </c>
      <c r="C9271" s="2" t="n">
        <v>43481</v>
      </c>
      <c r="D9271" t="inlineStr">
        <is>
          <t>NIL</t>
        </is>
      </c>
      <c r="E9271" t="n">
        <v>2227</v>
      </c>
    </row>
    <row r="9272">
      <c r="A9272" t="inlineStr">
        <is>
          <t>27BBBBB09272Z5</t>
        </is>
      </c>
      <c r="B9272" t="inlineStr">
        <is>
          <t>Mar-2023</t>
        </is>
      </c>
      <c r="C9272" s="2" t="n">
        <v>45636</v>
      </c>
      <c r="D9272" t="inlineStr">
        <is>
          <t>NON-NIL</t>
        </is>
      </c>
      <c r="E9272" t="n">
        <v>2095</v>
      </c>
    </row>
    <row r="9273">
      <c r="A9273" t="inlineStr">
        <is>
          <t>27BBBBB09273Z5</t>
        </is>
      </c>
      <c r="B9273" t="inlineStr">
        <is>
          <t>Oct-2017</t>
        </is>
      </c>
      <c r="C9273" s="2" t="n">
        <v>43601</v>
      </c>
      <c r="D9273" t="inlineStr">
        <is>
          <t>NIL</t>
        </is>
      </c>
      <c r="E9273" t="n">
        <v>1189</v>
      </c>
    </row>
    <row r="9274">
      <c r="A9274" t="inlineStr">
        <is>
          <t>27BBBBB09274Z5</t>
        </is>
      </c>
      <c r="B9274" t="inlineStr">
        <is>
          <t>Oct-2017</t>
        </is>
      </c>
      <c r="C9274" s="2" t="n">
        <v>43870</v>
      </c>
      <c r="D9274" t="inlineStr">
        <is>
          <t>NIL</t>
        </is>
      </c>
      <c r="E9274" t="n">
        <v>1742</v>
      </c>
    </row>
    <row r="9275">
      <c r="A9275" t="inlineStr">
        <is>
          <t>27BBBBB09275Z5</t>
        </is>
      </c>
      <c r="B9275" t="inlineStr">
        <is>
          <t>Jun-2018</t>
        </is>
      </c>
      <c r="C9275" s="2" t="n">
        <v>43501</v>
      </c>
      <c r="D9275" t="inlineStr">
        <is>
          <t>NIL</t>
        </is>
      </c>
      <c r="E9275" t="n">
        <v>321</v>
      </c>
    </row>
    <row r="9276">
      <c r="A9276" t="inlineStr">
        <is>
          <t>27BBBBB09276Z5</t>
        </is>
      </c>
      <c r="B9276" t="inlineStr">
        <is>
          <t>Dec-2024</t>
        </is>
      </c>
      <c r="C9276" s="2" t="n">
        <v>45079</v>
      </c>
      <c r="D9276" t="inlineStr">
        <is>
          <t>NIL</t>
        </is>
      </c>
      <c r="E9276" t="n">
        <v>1152</v>
      </c>
    </row>
    <row r="9277">
      <c r="A9277" t="inlineStr">
        <is>
          <t>27BBBBB09277Z5</t>
        </is>
      </c>
      <c r="B9277" t="inlineStr">
        <is>
          <t>Dec-2024</t>
        </is>
      </c>
      <c r="C9277" s="2" t="n">
        <v>44037</v>
      </c>
      <c r="D9277" t="inlineStr">
        <is>
          <t>NON-NIL</t>
        </is>
      </c>
      <c r="E9277" t="n">
        <v>2768</v>
      </c>
    </row>
    <row r="9278">
      <c r="A9278" t="inlineStr">
        <is>
          <t>27BBBBB09278Z5</t>
        </is>
      </c>
      <c r="B9278" t="inlineStr">
        <is>
          <t>Jun-2018</t>
        </is>
      </c>
      <c r="C9278" s="2" t="n">
        <v>43671</v>
      </c>
      <c r="D9278" t="inlineStr">
        <is>
          <t>NIL</t>
        </is>
      </c>
      <c r="E9278" t="n">
        <v>2089</v>
      </c>
    </row>
    <row r="9279">
      <c r="A9279" t="inlineStr">
        <is>
          <t>27BBBBB09279Z5</t>
        </is>
      </c>
      <c r="B9279" t="inlineStr">
        <is>
          <t>Oct-2018</t>
        </is>
      </c>
      <c r="C9279" s="2" t="n">
        <v>43018</v>
      </c>
      <c r="D9279" t="inlineStr">
        <is>
          <t>NON-NIL</t>
        </is>
      </c>
      <c r="E9279" t="n">
        <v>2380</v>
      </c>
    </row>
    <row r="9280">
      <c r="A9280" t="inlineStr">
        <is>
          <t>27BBBBB09280Z5</t>
        </is>
      </c>
      <c r="B9280" t="inlineStr">
        <is>
          <t>Sep-2017</t>
        </is>
      </c>
      <c r="C9280" s="2" t="n">
        <v>43566</v>
      </c>
      <c r="D9280" t="inlineStr">
        <is>
          <t>NON-NIL</t>
        </is>
      </c>
      <c r="E9280" t="n">
        <v>650</v>
      </c>
    </row>
    <row r="9281">
      <c r="A9281" t="inlineStr">
        <is>
          <t>27BBBBB09281Z5</t>
        </is>
      </c>
      <c r="B9281" t="inlineStr">
        <is>
          <t>Dec-2017</t>
        </is>
      </c>
      <c r="C9281" s="2" t="n">
        <v>44370</v>
      </c>
      <c r="D9281" t="inlineStr">
        <is>
          <t>NIL</t>
        </is>
      </c>
      <c r="E9281" t="n">
        <v>1472</v>
      </c>
    </row>
    <row r="9282">
      <c r="A9282" t="inlineStr">
        <is>
          <t>27BBBBB09282Z5</t>
        </is>
      </c>
      <c r="B9282" t="inlineStr">
        <is>
          <t>Dec-2018</t>
        </is>
      </c>
      <c r="C9282" s="2" t="n">
        <v>44272</v>
      </c>
      <c r="D9282" t="inlineStr">
        <is>
          <t>NIL</t>
        </is>
      </c>
      <c r="E9282" t="n">
        <v>566</v>
      </c>
    </row>
    <row r="9283">
      <c r="A9283" t="inlineStr">
        <is>
          <t>27BBBBB09283Z5</t>
        </is>
      </c>
      <c r="B9283" t="inlineStr">
        <is>
          <t>Jul-2020</t>
        </is>
      </c>
      <c r="C9283" s="2" t="n">
        <v>44896</v>
      </c>
      <c r="D9283" t="inlineStr">
        <is>
          <t>NIL</t>
        </is>
      </c>
      <c r="E9283" t="n">
        <v>1923</v>
      </c>
    </row>
    <row r="9284">
      <c r="A9284" t="inlineStr">
        <is>
          <t>27BBBBB09284Z5</t>
        </is>
      </c>
      <c r="B9284" t="inlineStr">
        <is>
          <t>Sep-2017</t>
        </is>
      </c>
      <c r="C9284" s="2" t="n">
        <v>44343</v>
      </c>
      <c r="D9284" t="inlineStr">
        <is>
          <t>NON-NIL</t>
        </is>
      </c>
      <c r="E9284" t="n">
        <v>2171</v>
      </c>
    </row>
    <row r="9285">
      <c r="A9285" t="inlineStr">
        <is>
          <t>27BBBBB09285Z5</t>
        </is>
      </c>
      <c r="B9285" t="inlineStr">
        <is>
          <t>Oct-2018</t>
        </is>
      </c>
      <c r="C9285" s="2" t="n">
        <v>43591</v>
      </c>
      <c r="D9285" t="inlineStr">
        <is>
          <t>NON-NIL</t>
        </is>
      </c>
      <c r="E9285" t="n">
        <v>1042</v>
      </c>
    </row>
    <row r="9286">
      <c r="A9286" t="inlineStr">
        <is>
          <t>27BBBBB09286Z5</t>
        </is>
      </c>
      <c r="B9286" t="inlineStr">
        <is>
          <t>Dec-2022</t>
        </is>
      </c>
      <c r="C9286" s="2" t="n">
        <v>45125</v>
      </c>
      <c r="D9286" t="inlineStr">
        <is>
          <t>NIL</t>
        </is>
      </c>
      <c r="E9286" t="n">
        <v>743</v>
      </c>
    </row>
    <row r="9287">
      <c r="A9287" t="inlineStr">
        <is>
          <t>27BBBBB09287Z5</t>
        </is>
      </c>
      <c r="B9287" t="inlineStr">
        <is>
          <t>Mar-2018</t>
        </is>
      </c>
      <c r="C9287" s="2" t="n">
        <v>43225</v>
      </c>
      <c r="D9287" t="inlineStr">
        <is>
          <t>NON-NIL</t>
        </is>
      </c>
      <c r="E9287" t="n">
        <v>1605</v>
      </c>
    </row>
    <row r="9288">
      <c r="A9288" t="inlineStr">
        <is>
          <t>27BBBBB09288Z5</t>
        </is>
      </c>
      <c r="B9288" t="inlineStr">
        <is>
          <t>Jul-2018</t>
        </is>
      </c>
      <c r="C9288" s="2" t="n">
        <v>43035</v>
      </c>
      <c r="D9288" t="inlineStr">
        <is>
          <t>NON-NIL</t>
        </is>
      </c>
      <c r="E9288" t="n">
        <v>1987</v>
      </c>
    </row>
    <row r="9289">
      <c r="A9289" t="inlineStr">
        <is>
          <t>27BBBBB09289Z5</t>
        </is>
      </c>
      <c r="B9289" t="inlineStr">
        <is>
          <t>Dec-2017</t>
        </is>
      </c>
      <c r="C9289" s="2" t="n">
        <v>44143</v>
      </c>
      <c r="D9289" t="inlineStr">
        <is>
          <t>NON-NIL</t>
        </is>
      </c>
      <c r="E9289" t="n">
        <v>2091</v>
      </c>
    </row>
    <row r="9290">
      <c r="A9290" t="inlineStr">
        <is>
          <t>27BBBBB09290Z5</t>
        </is>
      </c>
      <c r="B9290" t="inlineStr">
        <is>
          <t>Mar-2018</t>
        </is>
      </c>
      <c r="C9290" s="2" t="n">
        <v>43231</v>
      </c>
      <c r="D9290" t="inlineStr">
        <is>
          <t>NIL</t>
        </is>
      </c>
      <c r="E9290" t="n">
        <v>97</v>
      </c>
    </row>
    <row r="9291">
      <c r="A9291" t="inlineStr">
        <is>
          <t>27BBBBB09291Z5</t>
        </is>
      </c>
      <c r="B9291" t="inlineStr">
        <is>
          <t>Mar-2023</t>
        </is>
      </c>
      <c r="C9291" s="2" t="n">
        <v>43560</v>
      </c>
      <c r="D9291" t="inlineStr">
        <is>
          <t>NIL</t>
        </is>
      </c>
      <c r="E9291" t="n">
        <v>436</v>
      </c>
    </row>
    <row r="9292">
      <c r="A9292" t="inlineStr">
        <is>
          <t>27BBBBB09292Z5</t>
        </is>
      </c>
      <c r="B9292" t="inlineStr">
        <is>
          <t>Jan-2021</t>
        </is>
      </c>
      <c r="C9292" s="2" t="n">
        <v>44661</v>
      </c>
      <c r="D9292" t="inlineStr">
        <is>
          <t>NIL</t>
        </is>
      </c>
      <c r="E9292" t="n">
        <v>401</v>
      </c>
    </row>
    <row r="9293">
      <c r="A9293" t="inlineStr">
        <is>
          <t>27BBBBB09293Z5</t>
        </is>
      </c>
      <c r="B9293" t="inlineStr">
        <is>
          <t>Aug-2017</t>
        </is>
      </c>
      <c r="C9293" s="2" t="n">
        <v>43055</v>
      </c>
      <c r="D9293" t="inlineStr">
        <is>
          <t>NON-NIL</t>
        </is>
      </c>
      <c r="E9293" t="n">
        <v>2624</v>
      </c>
    </row>
    <row r="9294">
      <c r="A9294" t="inlineStr">
        <is>
          <t>27BBBBB09294Z5</t>
        </is>
      </c>
      <c r="B9294" t="inlineStr">
        <is>
          <t>Aug-2017</t>
        </is>
      </c>
      <c r="C9294" s="2" t="n">
        <v>44152</v>
      </c>
      <c r="D9294" t="inlineStr">
        <is>
          <t>NON-NIL</t>
        </is>
      </c>
      <c r="E9294" t="n">
        <v>2979</v>
      </c>
    </row>
    <row r="9295">
      <c r="A9295" t="inlineStr">
        <is>
          <t>27BBBBB09295Z5</t>
        </is>
      </c>
      <c r="B9295" t="inlineStr">
        <is>
          <t>Jul-2017</t>
        </is>
      </c>
      <c r="C9295" s="2" t="n">
        <v>44427</v>
      </c>
      <c r="D9295" t="inlineStr">
        <is>
          <t>NON-NIL</t>
        </is>
      </c>
      <c r="E9295" t="n">
        <v>1880</v>
      </c>
    </row>
    <row r="9296">
      <c r="A9296" t="inlineStr">
        <is>
          <t>27BBBBB09296Z5</t>
        </is>
      </c>
      <c r="B9296" t="inlineStr">
        <is>
          <t>May-2020</t>
        </is>
      </c>
      <c r="C9296" s="2" t="n">
        <v>43923</v>
      </c>
      <c r="D9296" t="inlineStr">
        <is>
          <t>NON-NIL</t>
        </is>
      </c>
      <c r="E9296" t="n">
        <v>2945</v>
      </c>
    </row>
    <row r="9297">
      <c r="A9297" t="inlineStr">
        <is>
          <t>27BBBBB09297Z5</t>
        </is>
      </c>
      <c r="B9297" t="inlineStr">
        <is>
          <t>Feb-2018</t>
        </is>
      </c>
      <c r="C9297" s="2" t="n">
        <v>42939</v>
      </c>
      <c r="D9297" t="inlineStr">
        <is>
          <t>NIL</t>
        </is>
      </c>
      <c r="E9297" t="n">
        <v>1118</v>
      </c>
    </row>
    <row r="9298">
      <c r="A9298" t="inlineStr">
        <is>
          <t>27BBBBB09298Z5</t>
        </is>
      </c>
      <c r="B9298" t="inlineStr">
        <is>
          <t>Oct-2017</t>
        </is>
      </c>
      <c r="C9298" s="2" t="n">
        <v>44178</v>
      </c>
      <c r="D9298" t="inlineStr">
        <is>
          <t>NIL</t>
        </is>
      </c>
      <c r="E9298" t="n">
        <v>1426</v>
      </c>
    </row>
    <row r="9299">
      <c r="A9299" t="inlineStr">
        <is>
          <t>27BBBBB09299Z5</t>
        </is>
      </c>
      <c r="B9299" t="inlineStr">
        <is>
          <t>Aug-2017</t>
        </is>
      </c>
      <c r="C9299" s="2" t="n">
        <v>43948</v>
      </c>
      <c r="D9299" t="inlineStr">
        <is>
          <t>NIL</t>
        </is>
      </c>
      <c r="E9299" t="n">
        <v>1519</v>
      </c>
    </row>
    <row r="9300">
      <c r="A9300" t="inlineStr">
        <is>
          <t>27BBBBB09300Z5</t>
        </is>
      </c>
      <c r="B9300" t="inlineStr">
        <is>
          <t>Mar-2018</t>
        </is>
      </c>
      <c r="C9300" s="2" t="n">
        <v>43275</v>
      </c>
      <c r="D9300" t="inlineStr">
        <is>
          <t>NIL</t>
        </is>
      </c>
      <c r="E9300" t="n">
        <v>903</v>
      </c>
    </row>
    <row r="9301">
      <c r="A9301" t="inlineStr">
        <is>
          <t>27BBBBB09301Z5</t>
        </is>
      </c>
      <c r="B9301" t="inlineStr">
        <is>
          <t>Mar-2021</t>
        </is>
      </c>
      <c r="C9301" s="2" t="n">
        <v>44899</v>
      </c>
      <c r="D9301" t="inlineStr">
        <is>
          <t>NON-NIL</t>
        </is>
      </c>
      <c r="E9301" t="n">
        <v>1161</v>
      </c>
    </row>
    <row r="9302">
      <c r="A9302" t="inlineStr">
        <is>
          <t>27BBBBB09302Z5</t>
        </is>
      </c>
      <c r="B9302" t="inlineStr">
        <is>
          <t>Sep-2017</t>
        </is>
      </c>
      <c r="C9302" s="2" t="n">
        <v>43646</v>
      </c>
      <c r="D9302" t="inlineStr">
        <is>
          <t>NIL</t>
        </is>
      </c>
      <c r="E9302" t="n">
        <v>2252</v>
      </c>
    </row>
    <row r="9303">
      <c r="A9303" t="inlineStr">
        <is>
          <t>27BBBBB09303Z5</t>
        </is>
      </c>
      <c r="B9303" t="inlineStr">
        <is>
          <t>Mar-2021</t>
        </is>
      </c>
      <c r="C9303" s="2" t="n">
        <v>43969</v>
      </c>
      <c r="D9303" t="inlineStr">
        <is>
          <t>NIL</t>
        </is>
      </c>
      <c r="E9303" t="n">
        <v>1025</v>
      </c>
    </row>
    <row r="9304">
      <c r="A9304" t="inlineStr">
        <is>
          <t>27BBBBB09304Z5</t>
        </is>
      </c>
      <c r="B9304" t="inlineStr">
        <is>
          <t>Dec-2017</t>
        </is>
      </c>
      <c r="C9304" s="2" t="n">
        <v>44320</v>
      </c>
      <c r="D9304" t="inlineStr">
        <is>
          <t>NIL</t>
        </is>
      </c>
      <c r="E9304" t="n">
        <v>1483</v>
      </c>
    </row>
    <row r="9305">
      <c r="A9305" t="inlineStr">
        <is>
          <t>27BBBBB09305Z5</t>
        </is>
      </c>
      <c r="B9305" t="inlineStr">
        <is>
          <t>Sep-2017</t>
        </is>
      </c>
      <c r="C9305" s="2" t="n">
        <v>44264</v>
      </c>
      <c r="D9305" t="inlineStr">
        <is>
          <t>NON-NIL</t>
        </is>
      </c>
      <c r="E9305" t="n">
        <v>1808</v>
      </c>
    </row>
    <row r="9306">
      <c r="A9306" t="inlineStr">
        <is>
          <t>27BBBBB09306Z5</t>
        </is>
      </c>
      <c r="B9306" t="inlineStr">
        <is>
          <t>Jan-2021</t>
        </is>
      </c>
      <c r="C9306" s="2" t="n">
        <v>44453</v>
      </c>
      <c r="D9306" t="inlineStr">
        <is>
          <t>NIL</t>
        </is>
      </c>
      <c r="E9306" t="n">
        <v>1334</v>
      </c>
    </row>
    <row r="9307">
      <c r="A9307" t="inlineStr">
        <is>
          <t>27BBBBB09307Z5</t>
        </is>
      </c>
      <c r="B9307" t="inlineStr">
        <is>
          <t>Feb-2018</t>
        </is>
      </c>
      <c r="C9307" s="2" t="n">
        <v>43867</v>
      </c>
      <c r="D9307" t="inlineStr">
        <is>
          <t>NIL</t>
        </is>
      </c>
      <c r="E9307" t="n">
        <v>2941</v>
      </c>
    </row>
    <row r="9308">
      <c r="A9308" t="inlineStr">
        <is>
          <t>27BBBBB09308Z5</t>
        </is>
      </c>
      <c r="B9308" t="inlineStr">
        <is>
          <t>Jun-2018</t>
        </is>
      </c>
      <c r="C9308" s="2" t="n">
        <v>44265</v>
      </c>
      <c r="D9308" t="inlineStr">
        <is>
          <t>NON-NIL</t>
        </is>
      </c>
      <c r="E9308" t="n">
        <v>2025</v>
      </c>
    </row>
    <row r="9309">
      <c r="A9309" t="inlineStr">
        <is>
          <t>27BBBBB09309Z5</t>
        </is>
      </c>
      <c r="B9309" t="inlineStr">
        <is>
          <t>Nov-2017</t>
        </is>
      </c>
      <c r="C9309" s="2" t="n">
        <v>44047</v>
      </c>
      <c r="D9309" t="inlineStr">
        <is>
          <t>NON-NIL</t>
        </is>
      </c>
      <c r="E9309" t="n">
        <v>1584</v>
      </c>
    </row>
    <row r="9310">
      <c r="A9310" t="inlineStr">
        <is>
          <t>27BBBBB09310Z5</t>
        </is>
      </c>
      <c r="B9310" t="inlineStr">
        <is>
          <t>Dec-2018</t>
        </is>
      </c>
      <c r="C9310" s="2" t="n">
        <v>43535</v>
      </c>
      <c r="D9310" t="inlineStr">
        <is>
          <t>NIL</t>
        </is>
      </c>
      <c r="E9310" t="n">
        <v>2137</v>
      </c>
    </row>
    <row r="9311">
      <c r="A9311" t="inlineStr">
        <is>
          <t>27BBBBB09311Z5</t>
        </is>
      </c>
      <c r="B9311" t="inlineStr">
        <is>
          <t>Mar-2021</t>
        </is>
      </c>
      <c r="C9311" s="2" t="n">
        <v>43885</v>
      </c>
      <c r="D9311" t="inlineStr">
        <is>
          <t>NON-NIL</t>
        </is>
      </c>
      <c r="E9311" t="n">
        <v>521</v>
      </c>
    </row>
    <row r="9312">
      <c r="A9312" t="inlineStr">
        <is>
          <t>27BBBBB09312Z5</t>
        </is>
      </c>
      <c r="B9312" t="inlineStr">
        <is>
          <t>Jan-2021</t>
        </is>
      </c>
      <c r="C9312" s="2" t="n">
        <v>45740</v>
      </c>
      <c r="D9312" t="inlineStr">
        <is>
          <t>NIL</t>
        </is>
      </c>
      <c r="E9312" t="n">
        <v>1588</v>
      </c>
    </row>
    <row r="9313">
      <c r="A9313" t="inlineStr">
        <is>
          <t>27BBBBB09313Z5</t>
        </is>
      </c>
      <c r="B9313" t="inlineStr">
        <is>
          <t>Oct-2017</t>
        </is>
      </c>
      <c r="C9313" s="2" t="n">
        <v>44359</v>
      </c>
      <c r="D9313" t="inlineStr">
        <is>
          <t>NIL</t>
        </is>
      </c>
      <c r="E9313" t="n">
        <v>1613</v>
      </c>
    </row>
    <row r="9314">
      <c r="A9314" t="inlineStr">
        <is>
          <t>27BBBBB09314Z5</t>
        </is>
      </c>
      <c r="B9314" t="inlineStr">
        <is>
          <t>Nov-2017</t>
        </is>
      </c>
      <c r="C9314" s="2" t="n">
        <v>43450</v>
      </c>
      <c r="D9314" t="inlineStr">
        <is>
          <t>NIL</t>
        </is>
      </c>
      <c r="E9314" t="n">
        <v>2592</v>
      </c>
    </row>
    <row r="9315">
      <c r="A9315" t="inlineStr">
        <is>
          <t>27BBBBB09315Z5</t>
        </is>
      </c>
      <c r="B9315" t="inlineStr">
        <is>
          <t>Apr-2018</t>
        </is>
      </c>
      <c r="C9315" s="2" t="n">
        <v>44275</v>
      </c>
      <c r="D9315" t="inlineStr">
        <is>
          <t>NIL</t>
        </is>
      </c>
      <c r="E9315" t="n">
        <v>2356</v>
      </c>
    </row>
    <row r="9316">
      <c r="A9316" t="inlineStr">
        <is>
          <t>27BBBBB09316Z5</t>
        </is>
      </c>
      <c r="B9316" t="inlineStr">
        <is>
          <t>Sep-2017</t>
        </is>
      </c>
      <c r="C9316" s="2" t="n">
        <v>43865</v>
      </c>
      <c r="D9316" t="inlineStr">
        <is>
          <t>NIL</t>
        </is>
      </c>
      <c r="E9316" t="n">
        <v>2877</v>
      </c>
    </row>
    <row r="9317">
      <c r="A9317" t="inlineStr">
        <is>
          <t>27BBBBB09317Z5</t>
        </is>
      </c>
      <c r="B9317" t="inlineStr">
        <is>
          <t>Mar-2021</t>
        </is>
      </c>
      <c r="C9317" s="2" t="n">
        <v>45816</v>
      </c>
      <c r="D9317" t="inlineStr">
        <is>
          <t>NON-NIL</t>
        </is>
      </c>
      <c r="E9317" t="n">
        <v>2313</v>
      </c>
    </row>
    <row r="9318">
      <c r="A9318" t="inlineStr">
        <is>
          <t>27BBBBB09318Z5</t>
        </is>
      </c>
      <c r="B9318" t="inlineStr">
        <is>
          <t>Feb-2018</t>
        </is>
      </c>
      <c r="C9318" s="2" t="n">
        <v>43228</v>
      </c>
      <c r="D9318" t="inlineStr">
        <is>
          <t>NON-NIL</t>
        </is>
      </c>
      <c r="E9318" t="n">
        <v>1251</v>
      </c>
    </row>
    <row r="9319">
      <c r="A9319" t="inlineStr">
        <is>
          <t>27BBBBB09319Z5</t>
        </is>
      </c>
      <c r="B9319" t="inlineStr">
        <is>
          <t>Mar-2018</t>
        </is>
      </c>
      <c r="C9319" s="2" t="n">
        <v>44402</v>
      </c>
      <c r="D9319" t="inlineStr">
        <is>
          <t>NIL</t>
        </is>
      </c>
      <c r="E9319" t="n">
        <v>1372</v>
      </c>
    </row>
    <row r="9320">
      <c r="A9320" t="inlineStr">
        <is>
          <t>27BBBBB09320Z5</t>
        </is>
      </c>
      <c r="B9320" t="inlineStr">
        <is>
          <t>Jan-2021</t>
        </is>
      </c>
      <c r="C9320" s="2" t="n">
        <v>44776</v>
      </c>
      <c r="D9320" t="inlineStr">
        <is>
          <t>NON-NIL</t>
        </is>
      </c>
      <c r="E9320" t="n">
        <v>2588</v>
      </c>
    </row>
    <row r="9321">
      <c r="A9321" t="inlineStr">
        <is>
          <t>27BBBBB09321Z5</t>
        </is>
      </c>
      <c r="B9321" t="inlineStr">
        <is>
          <t>Jul-2018</t>
        </is>
      </c>
      <c r="C9321" s="2" t="n">
        <v>43401</v>
      </c>
      <c r="D9321" t="inlineStr">
        <is>
          <t>NIL</t>
        </is>
      </c>
      <c r="E9321" t="n">
        <v>355</v>
      </c>
    </row>
    <row r="9322">
      <c r="A9322" t="inlineStr">
        <is>
          <t>27BBBBB09322Z5</t>
        </is>
      </c>
      <c r="B9322" t="inlineStr">
        <is>
          <t>Dec-2018</t>
        </is>
      </c>
      <c r="C9322" s="2" t="n">
        <v>43290</v>
      </c>
      <c r="D9322" t="inlineStr">
        <is>
          <t>NON-NIL</t>
        </is>
      </c>
      <c r="E9322" t="n">
        <v>84</v>
      </c>
    </row>
    <row r="9323">
      <c r="A9323" t="inlineStr">
        <is>
          <t>27BBBBB09323Z5</t>
        </is>
      </c>
      <c r="B9323" t="inlineStr">
        <is>
          <t>Jul-2017</t>
        </is>
      </c>
      <c r="C9323" s="2" t="n">
        <v>44479</v>
      </c>
      <c r="D9323" t="inlineStr">
        <is>
          <t>NON-NIL</t>
        </is>
      </c>
      <c r="E9323" t="n">
        <v>569</v>
      </c>
    </row>
    <row r="9324">
      <c r="A9324" t="inlineStr">
        <is>
          <t>27BBBBB09324Z5</t>
        </is>
      </c>
      <c r="B9324" t="inlineStr">
        <is>
          <t>Aug-2018</t>
        </is>
      </c>
      <c r="C9324" s="2" t="n">
        <v>44050</v>
      </c>
      <c r="D9324" t="inlineStr">
        <is>
          <t>NON-NIL</t>
        </is>
      </c>
      <c r="E9324" t="n">
        <v>388</v>
      </c>
    </row>
    <row r="9325">
      <c r="A9325" t="inlineStr">
        <is>
          <t>27BBBBB09325Z5</t>
        </is>
      </c>
      <c r="B9325" t="inlineStr">
        <is>
          <t>Mar-2023</t>
        </is>
      </c>
      <c r="C9325" s="2" t="n">
        <v>43641</v>
      </c>
      <c r="D9325" t="inlineStr">
        <is>
          <t>NON-NIL</t>
        </is>
      </c>
      <c r="E9325" t="n">
        <v>1217</v>
      </c>
    </row>
    <row r="9326">
      <c r="A9326" t="inlineStr">
        <is>
          <t>27BBBBB09326Z5</t>
        </is>
      </c>
      <c r="B9326" t="inlineStr">
        <is>
          <t>Dec-2024</t>
        </is>
      </c>
      <c r="C9326" s="2" t="n">
        <v>45399</v>
      </c>
      <c r="D9326" t="inlineStr">
        <is>
          <t>NON-NIL</t>
        </is>
      </c>
      <c r="E9326" t="n">
        <v>155</v>
      </c>
    </row>
    <row r="9327">
      <c r="A9327" t="inlineStr">
        <is>
          <t>27BBBBB09327Z5</t>
        </is>
      </c>
      <c r="B9327" t="inlineStr">
        <is>
          <t>May-2020</t>
        </is>
      </c>
      <c r="C9327" s="2" t="n">
        <v>44831</v>
      </c>
      <c r="D9327" t="inlineStr">
        <is>
          <t>NON-NIL</t>
        </is>
      </c>
      <c r="E9327" t="n">
        <v>2462</v>
      </c>
    </row>
    <row r="9328">
      <c r="A9328" t="inlineStr">
        <is>
          <t>27BBBBB09328Z5</t>
        </is>
      </c>
      <c r="B9328" t="inlineStr">
        <is>
          <t>Nov-2018</t>
        </is>
      </c>
      <c r="C9328" s="2" t="n">
        <v>44112</v>
      </c>
      <c r="D9328" t="inlineStr">
        <is>
          <t>NON-NIL</t>
        </is>
      </c>
      <c r="E9328" t="n">
        <v>2803</v>
      </c>
    </row>
    <row r="9329">
      <c r="A9329" t="inlineStr">
        <is>
          <t>27BBBBB09329Z5</t>
        </is>
      </c>
      <c r="B9329" t="inlineStr">
        <is>
          <t>Dec-2024</t>
        </is>
      </c>
      <c r="C9329" s="2" t="n">
        <v>44110</v>
      </c>
      <c r="D9329" t="inlineStr">
        <is>
          <t>NON-NIL</t>
        </is>
      </c>
      <c r="E9329" t="n">
        <v>2041</v>
      </c>
    </row>
    <row r="9330">
      <c r="A9330" t="inlineStr">
        <is>
          <t>27BBBBB09330Z5</t>
        </is>
      </c>
      <c r="B9330" t="inlineStr">
        <is>
          <t>Apr-2018</t>
        </is>
      </c>
      <c r="C9330" s="2" t="n">
        <v>43363</v>
      </c>
      <c r="D9330" t="inlineStr">
        <is>
          <t>NIL</t>
        </is>
      </c>
      <c r="E9330" t="n">
        <v>811</v>
      </c>
    </row>
    <row r="9331">
      <c r="A9331" t="inlineStr">
        <is>
          <t>27BBBBB09331Z5</t>
        </is>
      </c>
      <c r="B9331" t="inlineStr">
        <is>
          <t>Mar-2023</t>
        </is>
      </c>
      <c r="C9331" s="2" t="n">
        <v>45729</v>
      </c>
      <c r="D9331" t="inlineStr">
        <is>
          <t>NON-NIL</t>
        </is>
      </c>
      <c r="E9331" t="n">
        <v>636</v>
      </c>
    </row>
    <row r="9332">
      <c r="A9332" t="inlineStr">
        <is>
          <t>27BBBBB09332Z5</t>
        </is>
      </c>
      <c r="B9332" t="inlineStr">
        <is>
          <t>May-2018</t>
        </is>
      </c>
      <c r="C9332" s="2" t="n">
        <v>44470</v>
      </c>
      <c r="D9332" t="inlineStr">
        <is>
          <t>NIL</t>
        </is>
      </c>
      <c r="E9332" t="n">
        <v>1256</v>
      </c>
    </row>
    <row r="9333">
      <c r="A9333" t="inlineStr">
        <is>
          <t>27BBBBB09333Z5</t>
        </is>
      </c>
      <c r="B9333" t="inlineStr">
        <is>
          <t>Mar-2020</t>
        </is>
      </c>
      <c r="C9333" s="2" t="n">
        <v>44646</v>
      </c>
      <c r="D9333" t="inlineStr">
        <is>
          <t>NIL</t>
        </is>
      </c>
      <c r="E9333" t="n">
        <v>1458</v>
      </c>
    </row>
    <row r="9334">
      <c r="A9334" t="inlineStr">
        <is>
          <t>27BBBBB09334Z5</t>
        </is>
      </c>
      <c r="B9334" t="inlineStr">
        <is>
          <t>Dec-2017</t>
        </is>
      </c>
      <c r="C9334" s="2" t="n">
        <v>43643</v>
      </c>
      <c r="D9334" t="inlineStr">
        <is>
          <t>NON-NIL</t>
        </is>
      </c>
      <c r="E9334" t="n">
        <v>2281</v>
      </c>
    </row>
    <row r="9335">
      <c r="A9335" t="inlineStr">
        <is>
          <t>27BBBBB09335Z5</t>
        </is>
      </c>
      <c r="B9335" t="inlineStr">
        <is>
          <t>Jul-2017</t>
        </is>
      </c>
      <c r="C9335" s="2" t="n">
        <v>43423</v>
      </c>
      <c r="D9335" t="inlineStr">
        <is>
          <t>NIL</t>
        </is>
      </c>
      <c r="E9335" t="n">
        <v>1340</v>
      </c>
    </row>
    <row r="9336">
      <c r="A9336" t="inlineStr">
        <is>
          <t>27BBBBB09336Z5</t>
        </is>
      </c>
      <c r="B9336" t="inlineStr">
        <is>
          <t>Feb-2018</t>
        </is>
      </c>
      <c r="C9336" s="2" t="n">
        <v>44154</v>
      </c>
      <c r="D9336" t="inlineStr">
        <is>
          <t>NON-NIL</t>
        </is>
      </c>
      <c r="E9336" t="n">
        <v>881</v>
      </c>
    </row>
    <row r="9337">
      <c r="A9337" t="inlineStr">
        <is>
          <t>27BBBBB09337Z5</t>
        </is>
      </c>
      <c r="B9337" t="inlineStr">
        <is>
          <t>Sep-2017</t>
        </is>
      </c>
      <c r="C9337" s="2" t="n">
        <v>44408</v>
      </c>
      <c r="D9337" t="inlineStr">
        <is>
          <t>NIL</t>
        </is>
      </c>
      <c r="E9337" t="n">
        <v>302</v>
      </c>
    </row>
    <row r="9338">
      <c r="A9338" t="inlineStr">
        <is>
          <t>27BBBBB09338Z5</t>
        </is>
      </c>
      <c r="B9338" t="inlineStr">
        <is>
          <t>Jan-2018</t>
        </is>
      </c>
      <c r="C9338" s="2" t="n">
        <v>43646</v>
      </c>
      <c r="D9338" t="inlineStr">
        <is>
          <t>NIL</t>
        </is>
      </c>
      <c r="E9338" t="n">
        <v>273</v>
      </c>
    </row>
    <row r="9339">
      <c r="A9339" t="inlineStr">
        <is>
          <t>27BBBBB09339Z5</t>
        </is>
      </c>
      <c r="B9339" t="inlineStr">
        <is>
          <t>Apr-2018</t>
        </is>
      </c>
      <c r="C9339" s="2" t="n">
        <v>44398</v>
      </c>
      <c r="D9339" t="inlineStr">
        <is>
          <t>NON-NIL</t>
        </is>
      </c>
      <c r="E9339" t="n">
        <v>2711</v>
      </c>
    </row>
    <row r="9340">
      <c r="A9340" t="inlineStr">
        <is>
          <t>27BBBBB09340Z5</t>
        </is>
      </c>
      <c r="B9340" t="inlineStr">
        <is>
          <t>Oct-2018</t>
        </is>
      </c>
      <c r="C9340" s="2" t="n">
        <v>43610</v>
      </c>
      <c r="D9340" t="inlineStr">
        <is>
          <t>NIL</t>
        </is>
      </c>
      <c r="E9340" t="n">
        <v>1843</v>
      </c>
    </row>
    <row r="9341">
      <c r="A9341" t="inlineStr">
        <is>
          <t>27BBBBB09341Z5</t>
        </is>
      </c>
      <c r="B9341" t="inlineStr">
        <is>
          <t>Mar-2018</t>
        </is>
      </c>
      <c r="C9341" s="2" t="n">
        <v>43397</v>
      </c>
      <c r="D9341" t="inlineStr">
        <is>
          <t>NIL</t>
        </is>
      </c>
      <c r="E9341" t="n">
        <v>2484</v>
      </c>
    </row>
    <row r="9342">
      <c r="A9342" t="inlineStr">
        <is>
          <t>27BBBBB09342Z5</t>
        </is>
      </c>
      <c r="B9342" t="inlineStr">
        <is>
          <t>Mar-2023</t>
        </is>
      </c>
      <c r="C9342" s="2" t="n">
        <v>44225</v>
      </c>
      <c r="D9342" t="inlineStr">
        <is>
          <t>NON-NIL</t>
        </is>
      </c>
      <c r="E9342" t="n">
        <v>527</v>
      </c>
    </row>
    <row r="9343">
      <c r="A9343" t="inlineStr">
        <is>
          <t>27BBBBB09343Z5</t>
        </is>
      </c>
      <c r="B9343" t="inlineStr">
        <is>
          <t>Sep-2017</t>
        </is>
      </c>
      <c r="C9343" s="2" t="n">
        <v>44120</v>
      </c>
      <c r="D9343" t="inlineStr">
        <is>
          <t>NON-NIL</t>
        </is>
      </c>
      <c r="E9343" t="n">
        <v>2816</v>
      </c>
    </row>
    <row r="9344">
      <c r="A9344" t="inlineStr">
        <is>
          <t>27BBBBB09344Z5</t>
        </is>
      </c>
      <c r="B9344" t="inlineStr">
        <is>
          <t>Feb-2018</t>
        </is>
      </c>
      <c r="C9344" s="2" t="n">
        <v>43131</v>
      </c>
      <c r="D9344" t="inlineStr">
        <is>
          <t>NON-NIL</t>
        </is>
      </c>
      <c r="E9344" t="n">
        <v>1488</v>
      </c>
    </row>
    <row r="9345">
      <c r="A9345" t="inlineStr">
        <is>
          <t>27BBBBB09345Z5</t>
        </is>
      </c>
      <c r="B9345" t="inlineStr">
        <is>
          <t>Sep-2018</t>
        </is>
      </c>
      <c r="C9345" s="2" t="n">
        <v>43287</v>
      </c>
      <c r="D9345" t="inlineStr">
        <is>
          <t>NON-NIL</t>
        </is>
      </c>
      <c r="E9345" t="n">
        <v>2663</v>
      </c>
    </row>
    <row r="9346">
      <c r="A9346" t="inlineStr">
        <is>
          <t>27BBBBB09346Z5</t>
        </is>
      </c>
      <c r="B9346" t="inlineStr">
        <is>
          <t>Jun-2018</t>
        </is>
      </c>
      <c r="C9346" s="2" t="n">
        <v>43534</v>
      </c>
      <c r="D9346" t="inlineStr">
        <is>
          <t>NIL</t>
        </is>
      </c>
      <c r="E9346" t="n">
        <v>1325</v>
      </c>
    </row>
    <row r="9347">
      <c r="A9347" t="inlineStr">
        <is>
          <t>27BBBBB09347Z5</t>
        </is>
      </c>
      <c r="B9347" t="inlineStr">
        <is>
          <t>Nov-2018</t>
        </is>
      </c>
      <c r="C9347" s="2" t="n">
        <v>44264</v>
      </c>
      <c r="D9347" t="inlineStr">
        <is>
          <t>NON-NIL</t>
        </is>
      </c>
      <c r="E9347" t="n">
        <v>1608</v>
      </c>
    </row>
    <row r="9348">
      <c r="A9348" t="inlineStr">
        <is>
          <t>27BBBBB09348Z5</t>
        </is>
      </c>
      <c r="B9348" t="inlineStr">
        <is>
          <t>Jul-2017</t>
        </is>
      </c>
      <c r="C9348" s="2" t="n">
        <v>43157</v>
      </c>
      <c r="D9348" t="inlineStr">
        <is>
          <t>NON-NIL</t>
        </is>
      </c>
      <c r="E9348" t="n">
        <v>1642</v>
      </c>
    </row>
    <row r="9349">
      <c r="A9349" t="inlineStr">
        <is>
          <t>27BBBBB09349Z5</t>
        </is>
      </c>
      <c r="B9349" t="inlineStr">
        <is>
          <t>Jul-2020</t>
        </is>
      </c>
      <c r="C9349" s="2" t="n">
        <v>44041</v>
      </c>
      <c r="D9349" t="inlineStr">
        <is>
          <t>NIL</t>
        </is>
      </c>
      <c r="E9349" t="n">
        <v>1735</v>
      </c>
    </row>
    <row r="9350">
      <c r="A9350" t="inlineStr">
        <is>
          <t>27BBBBB09350Z5</t>
        </is>
      </c>
      <c r="B9350" t="inlineStr">
        <is>
          <t>Jul-2017</t>
        </is>
      </c>
      <c r="C9350" s="2" t="n">
        <v>44019</v>
      </c>
      <c r="D9350" t="inlineStr">
        <is>
          <t>NIL</t>
        </is>
      </c>
      <c r="E9350" t="n">
        <v>75</v>
      </c>
    </row>
    <row r="9351">
      <c r="A9351" t="inlineStr">
        <is>
          <t>27BBBBB09351Z5</t>
        </is>
      </c>
      <c r="B9351" t="inlineStr">
        <is>
          <t>Oct-2018</t>
        </is>
      </c>
      <c r="C9351" s="2" t="n">
        <v>43526</v>
      </c>
      <c r="D9351" t="inlineStr">
        <is>
          <t>NON-NIL</t>
        </is>
      </c>
      <c r="E9351" t="n">
        <v>653</v>
      </c>
    </row>
    <row r="9352">
      <c r="A9352" t="inlineStr">
        <is>
          <t>27BBBBB09352Z5</t>
        </is>
      </c>
      <c r="B9352" t="inlineStr">
        <is>
          <t>Jun-2018</t>
        </is>
      </c>
      <c r="C9352" s="2" t="n">
        <v>43540</v>
      </c>
      <c r="D9352" t="inlineStr">
        <is>
          <t>NON-NIL</t>
        </is>
      </c>
      <c r="E9352" t="n">
        <v>482</v>
      </c>
    </row>
    <row r="9353">
      <c r="A9353" t="inlineStr">
        <is>
          <t>27BBBBB09353Z5</t>
        </is>
      </c>
      <c r="B9353" t="inlineStr">
        <is>
          <t>May-2020</t>
        </is>
      </c>
      <c r="C9353" s="2" t="n">
        <v>44506</v>
      </c>
      <c r="D9353" t="inlineStr">
        <is>
          <t>NIL</t>
        </is>
      </c>
      <c r="E9353" t="n">
        <v>2172</v>
      </c>
    </row>
    <row r="9354">
      <c r="A9354" t="inlineStr">
        <is>
          <t>27BBBBB09354Z5</t>
        </is>
      </c>
      <c r="B9354" t="inlineStr">
        <is>
          <t>Jun-2018</t>
        </is>
      </c>
      <c r="C9354" s="2" t="n">
        <v>43585</v>
      </c>
      <c r="D9354" t="inlineStr">
        <is>
          <t>NIL</t>
        </is>
      </c>
      <c r="E9354" t="n">
        <v>378</v>
      </c>
    </row>
    <row r="9355">
      <c r="A9355" t="inlineStr">
        <is>
          <t>27BBBBB09355Z5</t>
        </is>
      </c>
      <c r="B9355" t="inlineStr">
        <is>
          <t>Aug-2017</t>
        </is>
      </c>
      <c r="C9355" s="2" t="n">
        <v>44213</v>
      </c>
      <c r="D9355" t="inlineStr">
        <is>
          <t>NIL</t>
        </is>
      </c>
      <c r="E9355" t="n">
        <v>797</v>
      </c>
    </row>
    <row r="9356">
      <c r="A9356" t="inlineStr">
        <is>
          <t>27BBBBB09356Z5</t>
        </is>
      </c>
      <c r="B9356" t="inlineStr">
        <is>
          <t>Jul-2017</t>
        </is>
      </c>
      <c r="C9356" s="2" t="n">
        <v>43738</v>
      </c>
      <c r="D9356" t="inlineStr">
        <is>
          <t>NIL</t>
        </is>
      </c>
      <c r="E9356" t="n">
        <v>1420</v>
      </c>
    </row>
    <row r="9357">
      <c r="A9357" t="inlineStr">
        <is>
          <t>27BBBBB09357Z5</t>
        </is>
      </c>
      <c r="B9357" t="inlineStr">
        <is>
          <t>Apr-2018</t>
        </is>
      </c>
      <c r="C9357" s="2" t="n">
        <v>43896</v>
      </c>
      <c r="D9357" t="inlineStr">
        <is>
          <t>NIL</t>
        </is>
      </c>
      <c r="E9357" t="n">
        <v>248</v>
      </c>
    </row>
    <row r="9358">
      <c r="A9358" t="inlineStr">
        <is>
          <t>27BBBBB09358Z5</t>
        </is>
      </c>
      <c r="B9358" t="inlineStr">
        <is>
          <t>May-2018</t>
        </is>
      </c>
      <c r="C9358" s="2" t="n">
        <v>43865</v>
      </c>
      <c r="D9358" t="inlineStr">
        <is>
          <t>NON-NIL</t>
        </is>
      </c>
      <c r="E9358" t="n">
        <v>248</v>
      </c>
    </row>
    <row r="9359">
      <c r="A9359" t="inlineStr">
        <is>
          <t>27BBBBB09359Z5</t>
        </is>
      </c>
      <c r="B9359" t="inlineStr">
        <is>
          <t>Feb-2018</t>
        </is>
      </c>
      <c r="C9359" s="2" t="n">
        <v>44200</v>
      </c>
      <c r="D9359" t="inlineStr">
        <is>
          <t>NON-NIL</t>
        </is>
      </c>
      <c r="E9359" t="n">
        <v>428</v>
      </c>
    </row>
    <row r="9360">
      <c r="A9360" t="inlineStr">
        <is>
          <t>27BBBBB09360Z5</t>
        </is>
      </c>
      <c r="B9360" t="inlineStr">
        <is>
          <t>Jan-2018</t>
        </is>
      </c>
      <c r="C9360" s="2" t="n">
        <v>44459</v>
      </c>
      <c r="D9360" t="inlineStr">
        <is>
          <t>NIL</t>
        </is>
      </c>
      <c r="E9360" t="n">
        <v>361</v>
      </c>
    </row>
    <row r="9361">
      <c r="A9361" t="inlineStr">
        <is>
          <t>27BBBBB09361Z5</t>
        </is>
      </c>
      <c r="B9361" t="inlineStr">
        <is>
          <t>Mar-2021</t>
        </is>
      </c>
      <c r="C9361" s="2" t="n">
        <v>44731</v>
      </c>
      <c r="D9361" t="inlineStr">
        <is>
          <t>NIL</t>
        </is>
      </c>
      <c r="E9361" t="n">
        <v>2838</v>
      </c>
    </row>
    <row r="9362">
      <c r="A9362" t="inlineStr">
        <is>
          <t>27BBBBB09362Z5</t>
        </is>
      </c>
      <c r="B9362" t="inlineStr">
        <is>
          <t>Sep-2018</t>
        </is>
      </c>
      <c r="C9362" s="2" t="n">
        <v>43074</v>
      </c>
      <c r="D9362" t="inlineStr">
        <is>
          <t>NIL</t>
        </is>
      </c>
      <c r="E9362" t="n">
        <v>250</v>
      </c>
    </row>
    <row r="9363">
      <c r="A9363" t="inlineStr">
        <is>
          <t>27BBBBB09363Z5</t>
        </is>
      </c>
      <c r="B9363" t="inlineStr">
        <is>
          <t>Jan-2018</t>
        </is>
      </c>
      <c r="C9363" s="2" t="n">
        <v>43774</v>
      </c>
      <c r="D9363" t="inlineStr">
        <is>
          <t>NON-NIL</t>
        </is>
      </c>
      <c r="E9363" t="n">
        <v>1765</v>
      </c>
    </row>
    <row r="9364">
      <c r="A9364" t="inlineStr">
        <is>
          <t>27BBBBB09364Z5</t>
        </is>
      </c>
      <c r="B9364" t="inlineStr">
        <is>
          <t>Jul-2017</t>
        </is>
      </c>
      <c r="C9364" s="2" t="n">
        <v>43806</v>
      </c>
      <c r="D9364" t="inlineStr">
        <is>
          <t>NIL</t>
        </is>
      </c>
      <c r="E9364" t="n">
        <v>622</v>
      </c>
    </row>
    <row r="9365">
      <c r="A9365" t="inlineStr">
        <is>
          <t>27BBBBB09365Z5</t>
        </is>
      </c>
      <c r="B9365" t="inlineStr">
        <is>
          <t>Dec-2018</t>
        </is>
      </c>
      <c r="C9365" s="2" t="n">
        <v>44356</v>
      </c>
      <c r="D9365" t="inlineStr">
        <is>
          <t>NON-NIL</t>
        </is>
      </c>
      <c r="E9365" t="n">
        <v>2537</v>
      </c>
    </row>
    <row r="9366">
      <c r="A9366" t="inlineStr">
        <is>
          <t>27BBBBB09366Z5</t>
        </is>
      </c>
      <c r="B9366" t="inlineStr">
        <is>
          <t>Nov-2018</t>
        </is>
      </c>
      <c r="C9366" s="2" t="n">
        <v>44058</v>
      </c>
      <c r="D9366" t="inlineStr">
        <is>
          <t>NIL</t>
        </is>
      </c>
      <c r="E9366" t="n">
        <v>1439</v>
      </c>
    </row>
    <row r="9367">
      <c r="A9367" t="inlineStr">
        <is>
          <t>27BBBBB09367Z5</t>
        </is>
      </c>
      <c r="B9367" t="inlineStr">
        <is>
          <t>Mar-2020</t>
        </is>
      </c>
      <c r="C9367" s="2" t="n">
        <v>44389</v>
      </c>
      <c r="D9367" t="inlineStr">
        <is>
          <t>NON-NIL</t>
        </is>
      </c>
      <c r="E9367" t="n">
        <v>1755</v>
      </c>
    </row>
    <row r="9368">
      <c r="A9368" t="inlineStr">
        <is>
          <t>27BBBBB09368Z5</t>
        </is>
      </c>
      <c r="B9368" t="inlineStr">
        <is>
          <t>Jan-2021</t>
        </is>
      </c>
      <c r="C9368" s="2" t="n">
        <v>43717</v>
      </c>
      <c r="D9368" t="inlineStr">
        <is>
          <t>NON-NIL</t>
        </is>
      </c>
      <c r="E9368" t="n">
        <v>2343</v>
      </c>
    </row>
    <row r="9369">
      <c r="A9369" t="inlineStr">
        <is>
          <t>27BBBBB09369Z5</t>
        </is>
      </c>
      <c r="B9369" t="inlineStr">
        <is>
          <t>May-2020</t>
        </is>
      </c>
      <c r="C9369" s="2" t="n">
        <v>44525</v>
      </c>
      <c r="D9369" t="inlineStr">
        <is>
          <t>NON-NIL</t>
        </is>
      </c>
      <c r="E9369" t="n">
        <v>2660</v>
      </c>
    </row>
    <row r="9370">
      <c r="A9370" t="inlineStr">
        <is>
          <t>27BBBBB09370Z5</t>
        </is>
      </c>
      <c r="B9370" t="inlineStr">
        <is>
          <t>Jul-2020</t>
        </is>
      </c>
      <c r="C9370" s="2" t="n">
        <v>44051</v>
      </c>
      <c r="D9370" t="inlineStr">
        <is>
          <t>NON-NIL</t>
        </is>
      </c>
      <c r="E9370" t="n">
        <v>727</v>
      </c>
    </row>
    <row r="9371">
      <c r="A9371" t="inlineStr">
        <is>
          <t>27BBBBB09371Z5</t>
        </is>
      </c>
      <c r="B9371" t="inlineStr">
        <is>
          <t>Mar-2021</t>
        </is>
      </c>
      <c r="C9371" s="2" t="n">
        <v>44556</v>
      </c>
      <c r="D9371" t="inlineStr">
        <is>
          <t>NIL</t>
        </is>
      </c>
      <c r="E9371" t="n">
        <v>1941</v>
      </c>
    </row>
    <row r="9372">
      <c r="A9372" t="inlineStr">
        <is>
          <t>27BBBBB09372Z5</t>
        </is>
      </c>
      <c r="B9372" t="inlineStr">
        <is>
          <t>Jul-2020</t>
        </is>
      </c>
      <c r="C9372" s="2" t="n">
        <v>44473</v>
      </c>
      <c r="D9372" t="inlineStr">
        <is>
          <t>NIL</t>
        </is>
      </c>
      <c r="E9372" t="n">
        <v>2489</v>
      </c>
    </row>
    <row r="9373">
      <c r="A9373" t="inlineStr">
        <is>
          <t>27BBBBB09373Z5</t>
        </is>
      </c>
      <c r="B9373" t="inlineStr">
        <is>
          <t>Jul-2017</t>
        </is>
      </c>
      <c r="C9373" s="2" t="n">
        <v>43125</v>
      </c>
      <c r="D9373" t="inlineStr">
        <is>
          <t>NON-NIL</t>
        </is>
      </c>
      <c r="E9373" t="n">
        <v>2612</v>
      </c>
    </row>
    <row r="9374">
      <c r="A9374" t="inlineStr">
        <is>
          <t>27BBBBB09374Z5</t>
        </is>
      </c>
      <c r="B9374" t="inlineStr">
        <is>
          <t>Oct-2017</t>
        </is>
      </c>
      <c r="C9374" s="2" t="n">
        <v>43606</v>
      </c>
      <c r="D9374" t="inlineStr">
        <is>
          <t>NIL</t>
        </is>
      </c>
      <c r="E9374" t="n">
        <v>2563</v>
      </c>
    </row>
    <row r="9375">
      <c r="A9375" t="inlineStr">
        <is>
          <t>27BBBBB09375Z5</t>
        </is>
      </c>
      <c r="B9375" t="inlineStr">
        <is>
          <t>Jun-2020</t>
        </is>
      </c>
      <c r="C9375" s="2" t="n">
        <v>44632</v>
      </c>
      <c r="D9375" t="inlineStr">
        <is>
          <t>NON-NIL</t>
        </is>
      </c>
      <c r="E9375" t="n">
        <v>1142</v>
      </c>
    </row>
    <row r="9376">
      <c r="A9376" t="inlineStr">
        <is>
          <t>27BBBBB09376Z5</t>
        </is>
      </c>
      <c r="B9376" t="inlineStr">
        <is>
          <t>Mar-2021</t>
        </is>
      </c>
      <c r="C9376" s="2" t="n">
        <v>44372</v>
      </c>
      <c r="D9376" t="inlineStr">
        <is>
          <t>NIL</t>
        </is>
      </c>
      <c r="E9376" t="n">
        <v>1561</v>
      </c>
    </row>
    <row r="9377">
      <c r="A9377" t="inlineStr">
        <is>
          <t>27BBBBB09377Z5</t>
        </is>
      </c>
      <c r="B9377" t="inlineStr">
        <is>
          <t>Dec-2017</t>
        </is>
      </c>
      <c r="C9377" s="2" t="n">
        <v>43369</v>
      </c>
      <c r="D9377" t="inlineStr">
        <is>
          <t>NIL</t>
        </is>
      </c>
      <c r="E9377" t="n">
        <v>106</v>
      </c>
    </row>
    <row r="9378">
      <c r="A9378" t="inlineStr">
        <is>
          <t>27BBBBB09378Z5</t>
        </is>
      </c>
      <c r="B9378" t="inlineStr">
        <is>
          <t>Mar-2023</t>
        </is>
      </c>
      <c r="C9378" s="2" t="n">
        <v>44482</v>
      </c>
      <c r="D9378" t="inlineStr">
        <is>
          <t>NIL</t>
        </is>
      </c>
      <c r="E9378" t="n">
        <v>121</v>
      </c>
    </row>
    <row r="9379">
      <c r="A9379" t="inlineStr">
        <is>
          <t>27BBBBB09379Z5</t>
        </is>
      </c>
      <c r="B9379" t="inlineStr">
        <is>
          <t>Apr-2018</t>
        </is>
      </c>
      <c r="C9379" s="2" t="n">
        <v>44297</v>
      </c>
      <c r="D9379" t="inlineStr">
        <is>
          <t>NON-NIL</t>
        </is>
      </c>
      <c r="E9379" t="n">
        <v>2659</v>
      </c>
    </row>
    <row r="9380">
      <c r="A9380" t="inlineStr">
        <is>
          <t>27BBBBB09380Z5</t>
        </is>
      </c>
      <c r="B9380" t="inlineStr">
        <is>
          <t>Dec-2017</t>
        </is>
      </c>
      <c r="C9380" s="2" t="n">
        <v>43005</v>
      </c>
      <c r="D9380" t="inlineStr">
        <is>
          <t>NIL</t>
        </is>
      </c>
      <c r="E9380" t="n">
        <v>830</v>
      </c>
    </row>
    <row r="9381">
      <c r="A9381" t="inlineStr">
        <is>
          <t>27BBBBB09381Z5</t>
        </is>
      </c>
      <c r="B9381" t="inlineStr">
        <is>
          <t>May-2018</t>
        </is>
      </c>
      <c r="C9381" s="2" t="n">
        <v>42923</v>
      </c>
      <c r="D9381" t="inlineStr">
        <is>
          <t>NON-NIL</t>
        </is>
      </c>
      <c r="E9381" t="n">
        <v>2100</v>
      </c>
    </row>
    <row r="9382">
      <c r="A9382" t="inlineStr">
        <is>
          <t>27BBBBB09382Z5</t>
        </is>
      </c>
      <c r="B9382" t="inlineStr">
        <is>
          <t>Dec-2018</t>
        </is>
      </c>
      <c r="C9382" s="2" t="n">
        <v>44450</v>
      </c>
      <c r="D9382" t="inlineStr">
        <is>
          <t>NIL</t>
        </is>
      </c>
      <c r="E9382" t="n">
        <v>273</v>
      </c>
    </row>
    <row r="9383">
      <c r="A9383" t="inlineStr">
        <is>
          <t>27BBBBB09383Z5</t>
        </is>
      </c>
      <c r="B9383" t="inlineStr">
        <is>
          <t>Sep-2017</t>
        </is>
      </c>
      <c r="C9383" s="2" t="n">
        <v>43509</v>
      </c>
      <c r="D9383" t="inlineStr">
        <is>
          <t>NON-NIL</t>
        </is>
      </c>
      <c r="E9383" t="n">
        <v>811</v>
      </c>
    </row>
    <row r="9384">
      <c r="A9384" t="inlineStr">
        <is>
          <t>27BBBBB09384Z5</t>
        </is>
      </c>
      <c r="B9384" t="inlineStr">
        <is>
          <t>Jul-2020</t>
        </is>
      </c>
      <c r="C9384" s="2" t="n">
        <v>44873</v>
      </c>
      <c r="D9384" t="inlineStr">
        <is>
          <t>NON-NIL</t>
        </is>
      </c>
      <c r="E9384" t="n">
        <v>2029</v>
      </c>
    </row>
    <row r="9385">
      <c r="A9385" t="inlineStr">
        <is>
          <t>27BBBBB09385Z5</t>
        </is>
      </c>
      <c r="B9385" t="inlineStr">
        <is>
          <t>Aug-2018</t>
        </is>
      </c>
      <c r="C9385" s="2" t="n">
        <v>44026</v>
      </c>
      <c r="D9385" t="inlineStr">
        <is>
          <t>NON-NIL</t>
        </is>
      </c>
      <c r="E9385" t="n">
        <v>1086</v>
      </c>
    </row>
    <row r="9386">
      <c r="A9386" t="inlineStr">
        <is>
          <t>27BBBBB09386Z5</t>
        </is>
      </c>
      <c r="B9386" t="inlineStr">
        <is>
          <t>Mar-2018</t>
        </is>
      </c>
      <c r="C9386" s="2" t="n">
        <v>43051</v>
      </c>
      <c r="D9386" t="inlineStr">
        <is>
          <t>NIL</t>
        </is>
      </c>
      <c r="E9386" t="n">
        <v>460</v>
      </c>
    </row>
    <row r="9387">
      <c r="A9387" t="inlineStr">
        <is>
          <t>27BBBBB09387Z5</t>
        </is>
      </c>
      <c r="B9387" t="inlineStr">
        <is>
          <t>Dec-2024</t>
        </is>
      </c>
      <c r="C9387" s="2" t="n">
        <v>43739</v>
      </c>
      <c r="D9387" t="inlineStr">
        <is>
          <t>NON-NIL</t>
        </is>
      </c>
      <c r="E9387" t="n">
        <v>209</v>
      </c>
    </row>
    <row r="9388">
      <c r="A9388" t="inlineStr">
        <is>
          <t>27BBBBB09388Z5</t>
        </is>
      </c>
      <c r="B9388" t="inlineStr">
        <is>
          <t>Jul-2018</t>
        </is>
      </c>
      <c r="C9388" s="2" t="n">
        <v>43219</v>
      </c>
      <c r="D9388" t="inlineStr">
        <is>
          <t>NIL</t>
        </is>
      </c>
      <c r="E9388" t="n">
        <v>2562</v>
      </c>
    </row>
    <row r="9389">
      <c r="A9389" t="inlineStr">
        <is>
          <t>27BBBBB09389Z5</t>
        </is>
      </c>
      <c r="B9389" t="inlineStr">
        <is>
          <t>Oct-2017</t>
        </is>
      </c>
      <c r="C9389" s="2" t="n">
        <v>43940</v>
      </c>
      <c r="D9389" t="inlineStr">
        <is>
          <t>NON-NIL</t>
        </is>
      </c>
      <c r="E9389" t="n">
        <v>517</v>
      </c>
    </row>
    <row r="9390">
      <c r="A9390" t="inlineStr">
        <is>
          <t>27BBBBB09390Z5</t>
        </is>
      </c>
      <c r="B9390" t="inlineStr">
        <is>
          <t>Mar-2021</t>
        </is>
      </c>
      <c r="C9390" s="2" t="n">
        <v>45156</v>
      </c>
      <c r="D9390" t="inlineStr">
        <is>
          <t>NIL</t>
        </is>
      </c>
      <c r="E9390" t="n">
        <v>805</v>
      </c>
    </row>
    <row r="9391">
      <c r="A9391" t="inlineStr">
        <is>
          <t>27BBBBB09391Z5</t>
        </is>
      </c>
      <c r="B9391" t="inlineStr">
        <is>
          <t>Nov-2017</t>
        </is>
      </c>
      <c r="C9391" s="2" t="n">
        <v>42946</v>
      </c>
      <c r="D9391" t="inlineStr">
        <is>
          <t>NIL</t>
        </is>
      </c>
      <c r="E9391" t="n">
        <v>2951</v>
      </c>
    </row>
    <row r="9392">
      <c r="A9392" t="inlineStr">
        <is>
          <t>27BBBBB09392Z5</t>
        </is>
      </c>
      <c r="B9392" t="inlineStr">
        <is>
          <t>Jan-2018</t>
        </is>
      </c>
      <c r="C9392" s="2" t="n">
        <v>44273</v>
      </c>
      <c r="D9392" t="inlineStr">
        <is>
          <t>NIL</t>
        </is>
      </c>
      <c r="E9392" t="n">
        <v>653</v>
      </c>
    </row>
    <row r="9393">
      <c r="A9393" t="inlineStr">
        <is>
          <t>27BBBBB09393Z5</t>
        </is>
      </c>
      <c r="B9393" t="inlineStr">
        <is>
          <t>Apr-2020</t>
        </is>
      </c>
      <c r="C9393" s="2" t="n">
        <v>44063</v>
      </c>
      <c r="D9393" t="inlineStr">
        <is>
          <t>NON-NIL</t>
        </is>
      </c>
      <c r="E9393" t="n">
        <v>1267</v>
      </c>
    </row>
    <row r="9394">
      <c r="A9394" t="inlineStr">
        <is>
          <t>27BBBBB09394Z5</t>
        </is>
      </c>
      <c r="B9394" t="inlineStr">
        <is>
          <t>Nov-2017</t>
        </is>
      </c>
      <c r="C9394" s="2" t="n">
        <v>43637</v>
      </c>
      <c r="D9394" t="inlineStr">
        <is>
          <t>NON-NIL</t>
        </is>
      </c>
      <c r="E9394" t="n">
        <v>2868</v>
      </c>
    </row>
    <row r="9395">
      <c r="A9395" t="inlineStr">
        <is>
          <t>27BBBBB09395Z5</t>
        </is>
      </c>
      <c r="B9395" t="inlineStr">
        <is>
          <t>Nov-2017</t>
        </is>
      </c>
      <c r="C9395" s="2" t="n">
        <v>43955</v>
      </c>
      <c r="D9395" t="inlineStr">
        <is>
          <t>NIL</t>
        </is>
      </c>
      <c r="E9395" t="n">
        <v>2396</v>
      </c>
    </row>
    <row r="9396">
      <c r="A9396" t="inlineStr">
        <is>
          <t>27BBBBB09396Z5</t>
        </is>
      </c>
      <c r="B9396" t="inlineStr">
        <is>
          <t>Jul-2020</t>
        </is>
      </c>
      <c r="C9396" s="2" t="n">
        <v>44039</v>
      </c>
      <c r="D9396" t="inlineStr">
        <is>
          <t>NIL</t>
        </is>
      </c>
      <c r="E9396" t="n">
        <v>583</v>
      </c>
    </row>
    <row r="9397">
      <c r="A9397" t="inlineStr">
        <is>
          <t>27BBBBB09397Z5</t>
        </is>
      </c>
      <c r="B9397" t="inlineStr">
        <is>
          <t>Oct-2017</t>
        </is>
      </c>
      <c r="C9397" s="2" t="n">
        <v>42984</v>
      </c>
      <c r="D9397" t="inlineStr">
        <is>
          <t>NON-NIL</t>
        </is>
      </c>
      <c r="E9397" t="n">
        <v>2418</v>
      </c>
    </row>
    <row r="9398">
      <c r="A9398" t="inlineStr">
        <is>
          <t>27BBBBB09398Z5</t>
        </is>
      </c>
      <c r="B9398" t="inlineStr">
        <is>
          <t>Oct-2018</t>
        </is>
      </c>
      <c r="C9398" s="2" t="n">
        <v>42944</v>
      </c>
      <c r="D9398" t="inlineStr">
        <is>
          <t>NIL</t>
        </is>
      </c>
      <c r="E9398" t="n">
        <v>763</v>
      </c>
    </row>
    <row r="9399">
      <c r="A9399" t="inlineStr">
        <is>
          <t>27BBBBB09399Z5</t>
        </is>
      </c>
      <c r="B9399" t="inlineStr">
        <is>
          <t>Jun-2020</t>
        </is>
      </c>
      <c r="C9399" s="2" t="n">
        <v>44365</v>
      </c>
      <c r="D9399" t="inlineStr">
        <is>
          <t>NON-NIL</t>
        </is>
      </c>
      <c r="E9399" t="n">
        <v>621</v>
      </c>
    </row>
    <row r="9400">
      <c r="A9400" t="inlineStr">
        <is>
          <t>27BBBBB09400Z5</t>
        </is>
      </c>
      <c r="B9400" t="inlineStr">
        <is>
          <t>Jul-2020</t>
        </is>
      </c>
      <c r="C9400" s="2" t="n">
        <v>44235</v>
      </c>
      <c r="D9400" t="inlineStr">
        <is>
          <t>NON-NIL</t>
        </is>
      </c>
      <c r="E9400" t="n">
        <v>29</v>
      </c>
    </row>
    <row r="9401">
      <c r="A9401" t="inlineStr">
        <is>
          <t>27BBBBB09401Z5</t>
        </is>
      </c>
      <c r="B9401" t="inlineStr">
        <is>
          <t>Jul-2020</t>
        </is>
      </c>
      <c r="C9401" s="2" t="n">
        <v>44122</v>
      </c>
      <c r="D9401" t="inlineStr">
        <is>
          <t>NON-NIL</t>
        </is>
      </c>
      <c r="E9401" t="n">
        <v>1700</v>
      </c>
    </row>
    <row r="9402">
      <c r="A9402" t="inlineStr">
        <is>
          <t>27BBBBB09402Z5</t>
        </is>
      </c>
      <c r="B9402" t="inlineStr">
        <is>
          <t>Oct-2018</t>
        </is>
      </c>
      <c r="C9402" s="2" t="n">
        <v>43398</v>
      </c>
      <c r="D9402" t="inlineStr">
        <is>
          <t>NIL</t>
        </is>
      </c>
      <c r="E9402" t="n">
        <v>2856</v>
      </c>
    </row>
    <row r="9403">
      <c r="A9403" t="inlineStr">
        <is>
          <t>27BBBBB09403Z5</t>
        </is>
      </c>
      <c r="B9403" t="inlineStr">
        <is>
          <t>Dec-2017</t>
        </is>
      </c>
      <c r="C9403" s="2" t="n">
        <v>44138</v>
      </c>
      <c r="D9403" t="inlineStr">
        <is>
          <t>NIL</t>
        </is>
      </c>
      <c r="E9403" t="n">
        <v>1849</v>
      </c>
    </row>
    <row r="9404">
      <c r="A9404" t="inlineStr">
        <is>
          <t>27BBBBB09404Z5</t>
        </is>
      </c>
      <c r="B9404" t="inlineStr">
        <is>
          <t>Oct-2017</t>
        </is>
      </c>
      <c r="C9404" s="2" t="n">
        <v>43253</v>
      </c>
      <c r="D9404" t="inlineStr">
        <is>
          <t>NIL</t>
        </is>
      </c>
      <c r="E9404" t="n">
        <v>2987</v>
      </c>
    </row>
    <row r="9405">
      <c r="A9405" t="inlineStr">
        <is>
          <t>27BBBBB09405Z5</t>
        </is>
      </c>
      <c r="B9405" t="inlineStr">
        <is>
          <t>Dec-2017</t>
        </is>
      </c>
      <c r="C9405" s="2" t="n">
        <v>43024</v>
      </c>
      <c r="D9405" t="inlineStr">
        <is>
          <t>NON-NIL</t>
        </is>
      </c>
      <c r="E9405" t="n">
        <v>1353</v>
      </c>
    </row>
    <row r="9406">
      <c r="A9406" t="inlineStr">
        <is>
          <t>27BBBBB09406Z5</t>
        </is>
      </c>
      <c r="B9406" t="inlineStr">
        <is>
          <t>Apr-2018</t>
        </is>
      </c>
      <c r="C9406" s="2" t="n">
        <v>42920</v>
      </c>
      <c r="D9406" t="inlineStr">
        <is>
          <t>NIL</t>
        </is>
      </c>
      <c r="E9406" t="n">
        <v>1145</v>
      </c>
    </row>
    <row r="9407">
      <c r="A9407" t="inlineStr">
        <is>
          <t>27BBBBB09407Z5</t>
        </is>
      </c>
      <c r="B9407" t="inlineStr">
        <is>
          <t>Feb-2018</t>
        </is>
      </c>
      <c r="C9407" s="2" t="n">
        <v>43688</v>
      </c>
      <c r="D9407" t="inlineStr">
        <is>
          <t>NON-NIL</t>
        </is>
      </c>
      <c r="E9407" t="n">
        <v>2346</v>
      </c>
    </row>
    <row r="9408">
      <c r="A9408" t="inlineStr">
        <is>
          <t>27BBBBB09408Z5</t>
        </is>
      </c>
      <c r="B9408" t="inlineStr">
        <is>
          <t>Oct-2017</t>
        </is>
      </c>
      <c r="C9408" s="2" t="n">
        <v>43489</v>
      </c>
      <c r="D9408" t="inlineStr">
        <is>
          <t>NIL</t>
        </is>
      </c>
      <c r="E9408" t="n">
        <v>880</v>
      </c>
    </row>
    <row r="9409">
      <c r="A9409" t="inlineStr">
        <is>
          <t>27BBBBB09409Z5</t>
        </is>
      </c>
      <c r="B9409" t="inlineStr">
        <is>
          <t>Jul-2017</t>
        </is>
      </c>
      <c r="C9409" s="2" t="n">
        <v>43720</v>
      </c>
      <c r="D9409" t="inlineStr">
        <is>
          <t>NON-NIL</t>
        </is>
      </c>
      <c r="E9409" t="n">
        <v>1524</v>
      </c>
    </row>
    <row r="9410">
      <c r="A9410" t="inlineStr">
        <is>
          <t>27BBBBB09410Z5</t>
        </is>
      </c>
      <c r="B9410" t="inlineStr">
        <is>
          <t>Dec-2024</t>
        </is>
      </c>
      <c r="C9410" s="2" t="n">
        <v>45090</v>
      </c>
      <c r="D9410" t="inlineStr">
        <is>
          <t>NIL</t>
        </is>
      </c>
      <c r="E9410" t="n">
        <v>80</v>
      </c>
    </row>
    <row r="9411">
      <c r="A9411" t="inlineStr">
        <is>
          <t>27BBBBB09411Z5</t>
        </is>
      </c>
      <c r="B9411" t="inlineStr">
        <is>
          <t>Jan-2021</t>
        </is>
      </c>
      <c r="C9411" s="2" t="n">
        <v>43576</v>
      </c>
      <c r="D9411" t="inlineStr">
        <is>
          <t>NIL</t>
        </is>
      </c>
      <c r="E9411" t="n">
        <v>1014</v>
      </c>
    </row>
    <row r="9412">
      <c r="A9412" t="inlineStr">
        <is>
          <t>27BBBBB09412Z5</t>
        </is>
      </c>
      <c r="B9412" t="inlineStr">
        <is>
          <t>Nov-2018</t>
        </is>
      </c>
      <c r="C9412" s="2" t="n">
        <v>44297</v>
      </c>
      <c r="D9412" t="inlineStr">
        <is>
          <t>NON-NIL</t>
        </is>
      </c>
      <c r="E9412" t="n">
        <v>1310</v>
      </c>
    </row>
    <row r="9413">
      <c r="A9413" t="inlineStr">
        <is>
          <t>27BBBBB09413Z5</t>
        </is>
      </c>
      <c r="B9413" t="inlineStr">
        <is>
          <t>May-2020</t>
        </is>
      </c>
      <c r="C9413" s="2" t="n">
        <v>44509</v>
      </c>
      <c r="D9413" t="inlineStr">
        <is>
          <t>NON-NIL</t>
        </is>
      </c>
      <c r="E9413" t="n">
        <v>1840</v>
      </c>
    </row>
    <row r="9414">
      <c r="A9414" t="inlineStr">
        <is>
          <t>27BBBBB09414Z5</t>
        </is>
      </c>
      <c r="B9414" t="inlineStr">
        <is>
          <t>Jul-2018</t>
        </is>
      </c>
      <c r="C9414" s="2" t="n">
        <v>43081</v>
      </c>
      <c r="D9414" t="inlineStr">
        <is>
          <t>NIL</t>
        </is>
      </c>
      <c r="E9414" t="n">
        <v>1089</v>
      </c>
    </row>
    <row r="9415">
      <c r="A9415" t="inlineStr">
        <is>
          <t>27BBBBB09415Z5</t>
        </is>
      </c>
      <c r="B9415" t="inlineStr">
        <is>
          <t>Dec-2017</t>
        </is>
      </c>
      <c r="C9415" s="2" t="n">
        <v>44056</v>
      </c>
      <c r="D9415" t="inlineStr">
        <is>
          <t>NIL</t>
        </is>
      </c>
      <c r="E9415" t="n">
        <v>946</v>
      </c>
    </row>
    <row r="9416">
      <c r="A9416" t="inlineStr">
        <is>
          <t>27BBBBB09416Z5</t>
        </is>
      </c>
      <c r="B9416" t="inlineStr">
        <is>
          <t>Jan-2018</t>
        </is>
      </c>
      <c r="C9416" s="2" t="n">
        <v>43477</v>
      </c>
      <c r="D9416" t="inlineStr">
        <is>
          <t>NON-NIL</t>
        </is>
      </c>
      <c r="E9416" t="n">
        <v>963</v>
      </c>
    </row>
    <row r="9417">
      <c r="A9417" t="inlineStr">
        <is>
          <t>27BBBBB09417Z5</t>
        </is>
      </c>
      <c r="B9417" t="inlineStr">
        <is>
          <t>Mar-2023</t>
        </is>
      </c>
      <c r="C9417" s="2" t="n">
        <v>43551</v>
      </c>
      <c r="D9417" t="inlineStr">
        <is>
          <t>NON-NIL</t>
        </is>
      </c>
      <c r="E9417" t="n">
        <v>1944</v>
      </c>
    </row>
    <row r="9418">
      <c r="A9418" t="inlineStr">
        <is>
          <t>27BBBBB09418Z5</t>
        </is>
      </c>
      <c r="B9418" t="inlineStr">
        <is>
          <t>Sep-2017</t>
        </is>
      </c>
      <c r="C9418" s="2" t="n">
        <v>43547</v>
      </c>
      <c r="D9418" t="inlineStr">
        <is>
          <t>NIL</t>
        </is>
      </c>
      <c r="E9418" t="n">
        <v>1987</v>
      </c>
    </row>
    <row r="9419">
      <c r="A9419" t="inlineStr">
        <is>
          <t>27BBBBB09419Z5</t>
        </is>
      </c>
      <c r="B9419" t="inlineStr">
        <is>
          <t>Nov-2017</t>
        </is>
      </c>
      <c r="C9419" s="2" t="n">
        <v>44405</v>
      </c>
      <c r="D9419" t="inlineStr">
        <is>
          <t>NIL</t>
        </is>
      </c>
      <c r="E9419" t="n">
        <v>1420</v>
      </c>
    </row>
    <row r="9420">
      <c r="A9420" t="inlineStr">
        <is>
          <t>27BBBBB09420Z5</t>
        </is>
      </c>
      <c r="B9420" t="inlineStr">
        <is>
          <t>Sep-2017</t>
        </is>
      </c>
      <c r="C9420" s="2" t="n">
        <v>44423</v>
      </c>
      <c r="D9420" t="inlineStr">
        <is>
          <t>NIL</t>
        </is>
      </c>
      <c r="E9420" t="n">
        <v>2471</v>
      </c>
    </row>
    <row r="9421">
      <c r="A9421" t="inlineStr">
        <is>
          <t>27BBBBB09421Z5</t>
        </is>
      </c>
      <c r="B9421" t="inlineStr">
        <is>
          <t>Jun-2018</t>
        </is>
      </c>
      <c r="C9421" s="2" t="n">
        <v>43500</v>
      </c>
      <c r="D9421" t="inlineStr">
        <is>
          <t>NIL</t>
        </is>
      </c>
      <c r="E9421" t="n">
        <v>1190</v>
      </c>
    </row>
    <row r="9422">
      <c r="A9422" t="inlineStr">
        <is>
          <t>27BBBBB09422Z5</t>
        </is>
      </c>
      <c r="B9422" t="inlineStr">
        <is>
          <t>Mar-2020</t>
        </is>
      </c>
      <c r="C9422" s="2" t="n">
        <v>44058</v>
      </c>
      <c r="D9422" t="inlineStr">
        <is>
          <t>NON-NIL</t>
        </is>
      </c>
      <c r="E9422" t="n">
        <v>480</v>
      </c>
    </row>
    <row r="9423">
      <c r="A9423" t="inlineStr">
        <is>
          <t>27BBBBB09423Z5</t>
        </is>
      </c>
      <c r="B9423" t="inlineStr">
        <is>
          <t>May-2020</t>
        </is>
      </c>
      <c r="C9423" s="2" t="n">
        <v>44013</v>
      </c>
      <c r="D9423" t="inlineStr">
        <is>
          <t>NIL</t>
        </is>
      </c>
      <c r="E9423" t="n">
        <v>613</v>
      </c>
    </row>
    <row r="9424">
      <c r="A9424" t="inlineStr">
        <is>
          <t>27BBBBB09424Z5</t>
        </is>
      </c>
      <c r="B9424" t="inlineStr">
        <is>
          <t>Nov-2018</t>
        </is>
      </c>
      <c r="C9424" s="2" t="n">
        <v>43440</v>
      </c>
      <c r="D9424" t="inlineStr">
        <is>
          <t>NIL</t>
        </is>
      </c>
      <c r="E9424" t="n">
        <v>1304</v>
      </c>
    </row>
    <row r="9425">
      <c r="A9425" t="inlineStr">
        <is>
          <t>27BBBBB09425Z5</t>
        </is>
      </c>
      <c r="B9425" t="inlineStr">
        <is>
          <t>Dec-2024</t>
        </is>
      </c>
      <c r="C9425" s="2" t="n">
        <v>45151</v>
      </c>
      <c r="D9425" t="inlineStr">
        <is>
          <t>NIL</t>
        </is>
      </c>
      <c r="E9425" t="n">
        <v>2446</v>
      </c>
    </row>
    <row r="9426">
      <c r="A9426" t="inlineStr">
        <is>
          <t>27BBBBB09426Z5</t>
        </is>
      </c>
      <c r="B9426" t="inlineStr">
        <is>
          <t>Jul-2018</t>
        </is>
      </c>
      <c r="C9426" s="2" t="n">
        <v>43271</v>
      </c>
      <c r="D9426" t="inlineStr">
        <is>
          <t>NIL</t>
        </is>
      </c>
      <c r="E9426" t="n">
        <v>551</v>
      </c>
    </row>
    <row r="9427">
      <c r="A9427" t="inlineStr">
        <is>
          <t>27BBBBB09427Z5</t>
        </is>
      </c>
      <c r="B9427" t="inlineStr">
        <is>
          <t>May-2020</t>
        </is>
      </c>
      <c r="C9427" s="2" t="n">
        <v>44655</v>
      </c>
      <c r="D9427" t="inlineStr">
        <is>
          <t>NON-NIL</t>
        </is>
      </c>
      <c r="E9427" t="n">
        <v>583</v>
      </c>
    </row>
    <row r="9428">
      <c r="A9428" t="inlineStr">
        <is>
          <t>27BBBBB09428Z5</t>
        </is>
      </c>
      <c r="B9428" t="inlineStr">
        <is>
          <t>Jun-2018</t>
        </is>
      </c>
      <c r="C9428" s="2" t="n">
        <v>43100</v>
      </c>
      <c r="D9428" t="inlineStr">
        <is>
          <t>NIL</t>
        </is>
      </c>
      <c r="E9428" t="n">
        <v>1916</v>
      </c>
    </row>
    <row r="9429">
      <c r="A9429" t="inlineStr">
        <is>
          <t>27BBBBB09429Z5</t>
        </is>
      </c>
      <c r="B9429" t="inlineStr">
        <is>
          <t>Oct-2018</t>
        </is>
      </c>
      <c r="C9429" s="2" t="n">
        <v>43209</v>
      </c>
      <c r="D9429" t="inlineStr">
        <is>
          <t>NON-NIL</t>
        </is>
      </c>
      <c r="E9429" t="n">
        <v>1622</v>
      </c>
    </row>
    <row r="9430">
      <c r="A9430" t="inlineStr">
        <is>
          <t>27BBBBB09430Z5</t>
        </is>
      </c>
      <c r="B9430" t="inlineStr">
        <is>
          <t>Jun-2020</t>
        </is>
      </c>
      <c r="C9430" s="2" t="n">
        <v>43839</v>
      </c>
      <c r="D9430" t="inlineStr">
        <is>
          <t>NON-NIL</t>
        </is>
      </c>
      <c r="E9430" t="n">
        <v>1480</v>
      </c>
    </row>
    <row r="9431">
      <c r="A9431" t="inlineStr">
        <is>
          <t>27BBBBB09431Z5</t>
        </is>
      </c>
      <c r="B9431" t="inlineStr">
        <is>
          <t>Jun-2018</t>
        </is>
      </c>
      <c r="C9431" s="2" t="n">
        <v>44147</v>
      </c>
      <c r="D9431" t="inlineStr">
        <is>
          <t>NIL</t>
        </is>
      </c>
      <c r="E9431" t="n">
        <v>2101</v>
      </c>
    </row>
    <row r="9432">
      <c r="A9432" t="inlineStr">
        <is>
          <t>27BBBBB09432Z5</t>
        </is>
      </c>
      <c r="B9432" t="inlineStr">
        <is>
          <t>Apr-2018</t>
        </is>
      </c>
      <c r="C9432" s="2" t="n">
        <v>44268</v>
      </c>
      <c r="D9432" t="inlineStr">
        <is>
          <t>NIL</t>
        </is>
      </c>
      <c r="E9432" t="n">
        <v>440</v>
      </c>
    </row>
    <row r="9433">
      <c r="A9433" t="inlineStr">
        <is>
          <t>27BBBBB09433Z5</t>
        </is>
      </c>
      <c r="B9433" t="inlineStr">
        <is>
          <t>Jul-2017</t>
        </is>
      </c>
      <c r="C9433" s="2" t="n">
        <v>43360</v>
      </c>
      <c r="D9433" t="inlineStr">
        <is>
          <t>NON-NIL</t>
        </is>
      </c>
      <c r="E9433" t="n">
        <v>1268</v>
      </c>
    </row>
    <row r="9434">
      <c r="A9434" t="inlineStr">
        <is>
          <t>27BBBBB09434Z5</t>
        </is>
      </c>
      <c r="B9434" t="inlineStr">
        <is>
          <t>Aug-2018</t>
        </is>
      </c>
      <c r="C9434" s="2" t="n">
        <v>44135</v>
      </c>
      <c r="D9434" t="inlineStr">
        <is>
          <t>NON-NIL</t>
        </is>
      </c>
      <c r="E9434" t="n">
        <v>882</v>
      </c>
    </row>
    <row r="9435">
      <c r="A9435" t="inlineStr">
        <is>
          <t>27BBBBB09435Z5</t>
        </is>
      </c>
      <c r="B9435" t="inlineStr">
        <is>
          <t>Aug-2017</t>
        </is>
      </c>
      <c r="C9435" s="2" t="n">
        <v>43839</v>
      </c>
      <c r="D9435" t="inlineStr">
        <is>
          <t>NON-NIL</t>
        </is>
      </c>
      <c r="E9435" t="n">
        <v>2436</v>
      </c>
    </row>
    <row r="9436">
      <c r="A9436" t="inlineStr">
        <is>
          <t>27BBBBB09436Z5</t>
        </is>
      </c>
      <c r="B9436" t="inlineStr">
        <is>
          <t>Nov-2018</t>
        </is>
      </c>
      <c r="C9436" s="2" t="n">
        <v>44253</v>
      </c>
      <c r="D9436" t="inlineStr">
        <is>
          <t>NIL</t>
        </is>
      </c>
      <c r="E9436" t="n">
        <v>193</v>
      </c>
    </row>
    <row r="9437">
      <c r="A9437" t="inlineStr">
        <is>
          <t>27BBBBB09437Z5</t>
        </is>
      </c>
      <c r="B9437" t="inlineStr">
        <is>
          <t>Apr-2020</t>
        </is>
      </c>
      <c r="C9437" s="2" t="n">
        <v>44802</v>
      </c>
      <c r="D9437" t="inlineStr">
        <is>
          <t>NON-NIL</t>
        </is>
      </c>
      <c r="E9437" t="n">
        <v>2057</v>
      </c>
    </row>
    <row r="9438">
      <c r="A9438" t="inlineStr">
        <is>
          <t>27BBBBB09438Z5</t>
        </is>
      </c>
      <c r="B9438" t="inlineStr">
        <is>
          <t>Sep-2017</t>
        </is>
      </c>
      <c r="C9438" s="2" t="n">
        <v>43214</v>
      </c>
      <c r="D9438" t="inlineStr">
        <is>
          <t>NON-NIL</t>
        </is>
      </c>
      <c r="E9438" t="n">
        <v>2099</v>
      </c>
    </row>
    <row r="9439">
      <c r="A9439" t="inlineStr">
        <is>
          <t>27BBBBB09439Z5</t>
        </is>
      </c>
      <c r="B9439" t="inlineStr">
        <is>
          <t>Nov-2018</t>
        </is>
      </c>
      <c r="C9439" s="2" t="n">
        <v>43974</v>
      </c>
      <c r="D9439" t="inlineStr">
        <is>
          <t>NIL</t>
        </is>
      </c>
      <c r="E9439" t="n">
        <v>277</v>
      </c>
    </row>
    <row r="9440">
      <c r="A9440" t="inlineStr">
        <is>
          <t>27BBBBB09440Z5</t>
        </is>
      </c>
      <c r="B9440" t="inlineStr">
        <is>
          <t>May-2020</t>
        </is>
      </c>
      <c r="C9440" s="2" t="n">
        <v>44198</v>
      </c>
      <c r="D9440" t="inlineStr">
        <is>
          <t>NIL</t>
        </is>
      </c>
      <c r="E9440" t="n">
        <v>1660</v>
      </c>
    </row>
    <row r="9441">
      <c r="A9441" t="inlineStr">
        <is>
          <t>27BBBBB09441Z5</t>
        </is>
      </c>
      <c r="B9441" t="inlineStr">
        <is>
          <t>Apr-2020</t>
        </is>
      </c>
      <c r="C9441" s="2" t="n">
        <v>44554</v>
      </c>
      <c r="D9441" t="inlineStr">
        <is>
          <t>NIL</t>
        </is>
      </c>
      <c r="E9441" t="n">
        <v>2490</v>
      </c>
    </row>
    <row r="9442">
      <c r="A9442" t="inlineStr">
        <is>
          <t>27BBBBB09442Z5</t>
        </is>
      </c>
      <c r="B9442" t="inlineStr">
        <is>
          <t>Aug-2017</t>
        </is>
      </c>
      <c r="C9442" s="2" t="n">
        <v>43776</v>
      </c>
      <c r="D9442" t="inlineStr">
        <is>
          <t>NIL</t>
        </is>
      </c>
      <c r="E9442" t="n">
        <v>2483</v>
      </c>
    </row>
    <row r="9443">
      <c r="A9443" t="inlineStr">
        <is>
          <t>27BBBBB09443Z5</t>
        </is>
      </c>
      <c r="B9443" t="inlineStr">
        <is>
          <t>Mar-2021</t>
        </is>
      </c>
      <c r="C9443" s="2" t="n">
        <v>44712</v>
      </c>
      <c r="D9443" t="inlineStr">
        <is>
          <t>NON-NIL</t>
        </is>
      </c>
      <c r="E9443" t="n">
        <v>583</v>
      </c>
    </row>
    <row r="9444">
      <c r="A9444" t="inlineStr">
        <is>
          <t>27BBBBB09444Z5</t>
        </is>
      </c>
      <c r="B9444" t="inlineStr">
        <is>
          <t>Jul-2017</t>
        </is>
      </c>
      <c r="C9444" s="2" t="n">
        <v>43675</v>
      </c>
      <c r="D9444" t="inlineStr">
        <is>
          <t>NIL</t>
        </is>
      </c>
      <c r="E9444" t="n">
        <v>90</v>
      </c>
    </row>
    <row r="9445">
      <c r="A9445" t="inlineStr">
        <is>
          <t>27BBBBB09445Z5</t>
        </is>
      </c>
      <c r="B9445" t="inlineStr">
        <is>
          <t>Mar-2023</t>
        </is>
      </c>
      <c r="C9445" s="2" t="n">
        <v>44289</v>
      </c>
      <c r="D9445" t="inlineStr">
        <is>
          <t>NIL</t>
        </is>
      </c>
      <c r="E9445" t="n">
        <v>1728</v>
      </c>
    </row>
    <row r="9446">
      <c r="A9446" t="inlineStr">
        <is>
          <t>27BBBBB09446Z5</t>
        </is>
      </c>
      <c r="B9446" t="inlineStr">
        <is>
          <t>Jan-2021</t>
        </is>
      </c>
      <c r="C9446" s="2" t="n">
        <v>44847</v>
      </c>
      <c r="D9446" t="inlineStr">
        <is>
          <t>NON-NIL</t>
        </is>
      </c>
      <c r="E9446" t="n">
        <v>418</v>
      </c>
    </row>
    <row r="9447">
      <c r="A9447" t="inlineStr">
        <is>
          <t>27BBBBB09447Z5</t>
        </is>
      </c>
      <c r="B9447" t="inlineStr">
        <is>
          <t>Dec-2022</t>
        </is>
      </c>
      <c r="C9447" s="2" t="n">
        <v>44059</v>
      </c>
      <c r="D9447" t="inlineStr">
        <is>
          <t>NON-NIL</t>
        </is>
      </c>
      <c r="E9447" t="n">
        <v>1451</v>
      </c>
    </row>
    <row r="9448">
      <c r="A9448" t="inlineStr">
        <is>
          <t>27BBBBB09448Z5</t>
        </is>
      </c>
      <c r="B9448" t="inlineStr">
        <is>
          <t>Jul-2020</t>
        </is>
      </c>
      <c r="C9448" s="2" t="n">
        <v>44255</v>
      </c>
      <c r="D9448" t="inlineStr">
        <is>
          <t>NIL</t>
        </is>
      </c>
      <c r="E9448" t="n">
        <v>2721</v>
      </c>
    </row>
    <row r="9449">
      <c r="A9449" t="inlineStr">
        <is>
          <t>27BBBBB09449Z5</t>
        </is>
      </c>
      <c r="B9449" t="inlineStr">
        <is>
          <t>Apr-2018</t>
        </is>
      </c>
      <c r="C9449" s="2" t="n">
        <v>43953</v>
      </c>
      <c r="D9449" t="inlineStr">
        <is>
          <t>NIL</t>
        </is>
      </c>
      <c r="E9449" t="n">
        <v>2664</v>
      </c>
    </row>
    <row r="9450">
      <c r="A9450" t="inlineStr">
        <is>
          <t>27BBBBB09450Z5</t>
        </is>
      </c>
      <c r="B9450" t="inlineStr">
        <is>
          <t>Mar-2021</t>
        </is>
      </c>
      <c r="C9450" s="2" t="n">
        <v>45760</v>
      </c>
      <c r="D9450" t="inlineStr">
        <is>
          <t>NIL</t>
        </is>
      </c>
      <c r="E9450" t="n">
        <v>303</v>
      </c>
    </row>
    <row r="9451">
      <c r="A9451" t="inlineStr">
        <is>
          <t>27BBBBB09451Z5</t>
        </is>
      </c>
      <c r="B9451" t="inlineStr">
        <is>
          <t>Jan-2018</t>
        </is>
      </c>
      <c r="C9451" s="2" t="n">
        <v>43812</v>
      </c>
      <c r="D9451" t="inlineStr">
        <is>
          <t>NIL</t>
        </is>
      </c>
      <c r="E9451" t="n">
        <v>1263</v>
      </c>
    </row>
    <row r="9452">
      <c r="A9452" t="inlineStr">
        <is>
          <t>27BBBBB09452Z5</t>
        </is>
      </c>
      <c r="B9452" t="inlineStr">
        <is>
          <t>Mar-2023</t>
        </is>
      </c>
      <c r="C9452" s="2" t="n">
        <v>45773</v>
      </c>
      <c r="D9452" t="inlineStr">
        <is>
          <t>NON-NIL</t>
        </is>
      </c>
      <c r="E9452" t="n">
        <v>2029</v>
      </c>
    </row>
    <row r="9453">
      <c r="A9453" t="inlineStr">
        <is>
          <t>27BBBBB09453Z5</t>
        </is>
      </c>
      <c r="B9453" t="inlineStr">
        <is>
          <t>Mar-2018</t>
        </is>
      </c>
      <c r="C9453" s="2" t="n">
        <v>44382</v>
      </c>
      <c r="D9453" t="inlineStr">
        <is>
          <t>NIL</t>
        </is>
      </c>
      <c r="E9453" t="n">
        <v>491</v>
      </c>
    </row>
    <row r="9454">
      <c r="A9454" t="inlineStr">
        <is>
          <t>27BBBBB09454Z5</t>
        </is>
      </c>
      <c r="B9454" t="inlineStr">
        <is>
          <t>Mar-2018</t>
        </is>
      </c>
      <c r="C9454" s="2" t="n">
        <v>43278</v>
      </c>
      <c r="D9454" t="inlineStr">
        <is>
          <t>NON-NIL</t>
        </is>
      </c>
      <c r="E9454" t="n">
        <v>1075</v>
      </c>
    </row>
    <row r="9455">
      <c r="A9455" t="inlineStr">
        <is>
          <t>27BBBBB09455Z5</t>
        </is>
      </c>
      <c r="B9455" t="inlineStr">
        <is>
          <t>Jan-2021</t>
        </is>
      </c>
      <c r="C9455" s="2" t="n">
        <v>45662</v>
      </c>
      <c r="D9455" t="inlineStr">
        <is>
          <t>NIL</t>
        </is>
      </c>
      <c r="E9455" t="n">
        <v>1858</v>
      </c>
    </row>
    <row r="9456">
      <c r="A9456" t="inlineStr">
        <is>
          <t>27BBBBB09456Z5</t>
        </is>
      </c>
      <c r="B9456" t="inlineStr">
        <is>
          <t>Oct-2017</t>
        </is>
      </c>
      <c r="C9456" s="2" t="n">
        <v>44063</v>
      </c>
      <c r="D9456" t="inlineStr">
        <is>
          <t>NIL</t>
        </is>
      </c>
      <c r="E9456" t="n">
        <v>1205</v>
      </c>
    </row>
    <row r="9457">
      <c r="A9457" t="inlineStr">
        <is>
          <t>27BBBBB09457Z5</t>
        </is>
      </c>
      <c r="B9457" t="inlineStr">
        <is>
          <t>May-2018</t>
        </is>
      </c>
      <c r="C9457" s="2" t="n">
        <v>43855</v>
      </c>
      <c r="D9457" t="inlineStr">
        <is>
          <t>NON-NIL</t>
        </is>
      </c>
      <c r="E9457" t="n">
        <v>2390</v>
      </c>
    </row>
    <row r="9458">
      <c r="A9458" t="inlineStr">
        <is>
          <t>27BBBBB09458Z5</t>
        </is>
      </c>
      <c r="B9458" t="inlineStr">
        <is>
          <t>Dec-2017</t>
        </is>
      </c>
      <c r="C9458" s="2" t="n">
        <v>43264</v>
      </c>
      <c r="D9458" t="inlineStr">
        <is>
          <t>NON-NIL</t>
        </is>
      </c>
      <c r="E9458" t="n">
        <v>640</v>
      </c>
    </row>
    <row r="9459">
      <c r="A9459" t="inlineStr">
        <is>
          <t>27BBBBB09459Z5</t>
        </is>
      </c>
      <c r="B9459" t="inlineStr">
        <is>
          <t>Jun-2018</t>
        </is>
      </c>
      <c r="C9459" s="2" t="n">
        <v>44067</v>
      </c>
      <c r="D9459" t="inlineStr">
        <is>
          <t>NON-NIL</t>
        </is>
      </c>
      <c r="E9459" t="n">
        <v>1946</v>
      </c>
    </row>
    <row r="9460">
      <c r="A9460" t="inlineStr">
        <is>
          <t>27BBBBB09460Z5</t>
        </is>
      </c>
      <c r="B9460" t="inlineStr">
        <is>
          <t>May-2020</t>
        </is>
      </c>
      <c r="C9460" s="2" t="n">
        <v>43869</v>
      </c>
      <c r="D9460" t="inlineStr">
        <is>
          <t>NON-NIL</t>
        </is>
      </c>
      <c r="E9460" t="n">
        <v>2807</v>
      </c>
    </row>
    <row r="9461">
      <c r="A9461" t="inlineStr">
        <is>
          <t>27BBBBB09461Z5</t>
        </is>
      </c>
      <c r="B9461" t="inlineStr">
        <is>
          <t>Nov-2017</t>
        </is>
      </c>
      <c r="C9461" s="2" t="n">
        <v>43153</v>
      </c>
      <c r="D9461" t="inlineStr">
        <is>
          <t>NON-NIL</t>
        </is>
      </c>
      <c r="E9461" t="n">
        <v>1750</v>
      </c>
    </row>
    <row r="9462">
      <c r="A9462" t="inlineStr">
        <is>
          <t>27BBBBB09462Z5</t>
        </is>
      </c>
      <c r="B9462" t="inlineStr">
        <is>
          <t>Mar-2023</t>
        </is>
      </c>
      <c r="C9462" s="2" t="n">
        <v>44955</v>
      </c>
      <c r="D9462" t="inlineStr">
        <is>
          <t>NIL</t>
        </is>
      </c>
      <c r="E9462" t="n">
        <v>1440</v>
      </c>
    </row>
    <row r="9463">
      <c r="A9463" t="inlineStr">
        <is>
          <t>27BBBBB09463Z5</t>
        </is>
      </c>
      <c r="B9463" t="inlineStr">
        <is>
          <t>Feb-2018</t>
        </is>
      </c>
      <c r="C9463" s="2" t="n">
        <v>43010</v>
      </c>
      <c r="D9463" t="inlineStr">
        <is>
          <t>NON-NIL</t>
        </is>
      </c>
      <c r="E9463" t="n">
        <v>1097</v>
      </c>
    </row>
    <row r="9464">
      <c r="A9464" t="inlineStr">
        <is>
          <t>27BBBBB09464Z5</t>
        </is>
      </c>
      <c r="B9464" t="inlineStr">
        <is>
          <t>Dec-2022</t>
        </is>
      </c>
      <c r="C9464" s="2" t="n">
        <v>44376</v>
      </c>
      <c r="D9464" t="inlineStr">
        <is>
          <t>NIL</t>
        </is>
      </c>
      <c r="E9464" t="n">
        <v>2632</v>
      </c>
    </row>
    <row r="9465">
      <c r="A9465" t="inlineStr">
        <is>
          <t>27BBBBB09465Z5</t>
        </is>
      </c>
      <c r="B9465" t="inlineStr">
        <is>
          <t>Apr-2020</t>
        </is>
      </c>
      <c r="C9465" s="2" t="n">
        <v>44789</v>
      </c>
      <c r="D9465" t="inlineStr">
        <is>
          <t>NON-NIL</t>
        </is>
      </c>
      <c r="E9465" t="n">
        <v>230</v>
      </c>
    </row>
    <row r="9466">
      <c r="A9466" t="inlineStr">
        <is>
          <t>27BBBBB09466Z5</t>
        </is>
      </c>
      <c r="B9466" t="inlineStr">
        <is>
          <t>Jul-2018</t>
        </is>
      </c>
      <c r="C9466" s="2" t="n">
        <v>43423</v>
      </c>
      <c r="D9466" t="inlineStr">
        <is>
          <t>NON-NIL</t>
        </is>
      </c>
      <c r="E9466" t="n">
        <v>2543</v>
      </c>
    </row>
    <row r="9467">
      <c r="A9467" t="inlineStr">
        <is>
          <t>27BBBBB09467Z5</t>
        </is>
      </c>
      <c r="B9467" t="inlineStr">
        <is>
          <t>Aug-2017</t>
        </is>
      </c>
      <c r="C9467" s="2" t="n">
        <v>43899</v>
      </c>
      <c r="D9467" t="inlineStr">
        <is>
          <t>NIL</t>
        </is>
      </c>
      <c r="E9467" t="n">
        <v>171</v>
      </c>
    </row>
    <row r="9468">
      <c r="A9468" t="inlineStr">
        <is>
          <t>27BBBBB09468Z5</t>
        </is>
      </c>
      <c r="B9468" t="inlineStr">
        <is>
          <t>Apr-2020</t>
        </is>
      </c>
      <c r="C9468" s="2" t="n">
        <v>44741</v>
      </c>
      <c r="D9468" t="inlineStr">
        <is>
          <t>NON-NIL</t>
        </is>
      </c>
      <c r="E9468" t="n">
        <v>252</v>
      </c>
    </row>
    <row r="9469">
      <c r="A9469" t="inlineStr">
        <is>
          <t>27BBBBB09469Z5</t>
        </is>
      </c>
      <c r="B9469" t="inlineStr">
        <is>
          <t>Sep-2018</t>
        </is>
      </c>
      <c r="C9469" s="2" t="n">
        <v>43417</v>
      </c>
      <c r="D9469" t="inlineStr">
        <is>
          <t>NIL</t>
        </is>
      </c>
      <c r="E9469" t="n">
        <v>2328</v>
      </c>
    </row>
    <row r="9470">
      <c r="A9470" t="inlineStr">
        <is>
          <t>27BBBBB09470Z5</t>
        </is>
      </c>
      <c r="B9470" t="inlineStr">
        <is>
          <t>Oct-2018</t>
        </is>
      </c>
      <c r="C9470" s="2" t="n">
        <v>43362</v>
      </c>
      <c r="D9470" t="inlineStr">
        <is>
          <t>NON-NIL</t>
        </is>
      </c>
      <c r="E9470" t="n">
        <v>470</v>
      </c>
    </row>
    <row r="9471">
      <c r="A9471" t="inlineStr">
        <is>
          <t>27BBBBB09471Z5</t>
        </is>
      </c>
      <c r="B9471" t="inlineStr">
        <is>
          <t>Mar-2021</t>
        </is>
      </c>
      <c r="C9471" s="2" t="n">
        <v>43566</v>
      </c>
      <c r="D9471" t="inlineStr">
        <is>
          <t>NIL</t>
        </is>
      </c>
      <c r="E9471" t="n">
        <v>2377</v>
      </c>
    </row>
    <row r="9472">
      <c r="A9472" t="inlineStr">
        <is>
          <t>27BBBBB09472Z5</t>
        </is>
      </c>
      <c r="B9472" t="inlineStr">
        <is>
          <t>Jan-2018</t>
        </is>
      </c>
      <c r="C9472" s="2" t="n">
        <v>44278</v>
      </c>
      <c r="D9472" t="inlineStr">
        <is>
          <t>NIL</t>
        </is>
      </c>
      <c r="E9472" t="n">
        <v>366</v>
      </c>
    </row>
    <row r="9473">
      <c r="A9473" t="inlineStr">
        <is>
          <t>27BBBBB09473Z5</t>
        </is>
      </c>
      <c r="B9473" t="inlineStr">
        <is>
          <t>Nov-2018</t>
        </is>
      </c>
      <c r="C9473" s="2" t="n">
        <v>43771</v>
      </c>
      <c r="D9473" t="inlineStr">
        <is>
          <t>NIL</t>
        </is>
      </c>
      <c r="E9473" t="n">
        <v>2735</v>
      </c>
    </row>
    <row r="9474">
      <c r="A9474" t="inlineStr">
        <is>
          <t>27BBBBB09474Z5</t>
        </is>
      </c>
      <c r="B9474" t="inlineStr">
        <is>
          <t>Mar-2020</t>
        </is>
      </c>
      <c r="C9474" s="2" t="n">
        <v>44903</v>
      </c>
      <c r="D9474" t="inlineStr">
        <is>
          <t>NON-NIL</t>
        </is>
      </c>
      <c r="E9474" t="n">
        <v>2356</v>
      </c>
    </row>
    <row r="9475">
      <c r="A9475" t="inlineStr">
        <is>
          <t>27BBBBB09475Z5</t>
        </is>
      </c>
      <c r="B9475" t="inlineStr">
        <is>
          <t>Sep-2017</t>
        </is>
      </c>
      <c r="C9475" s="2" t="n">
        <v>43439</v>
      </c>
      <c r="D9475" t="inlineStr">
        <is>
          <t>NON-NIL</t>
        </is>
      </c>
      <c r="E9475" t="n">
        <v>2535</v>
      </c>
    </row>
    <row r="9476">
      <c r="A9476" t="inlineStr">
        <is>
          <t>27BBBBB09476Z5</t>
        </is>
      </c>
      <c r="B9476" t="inlineStr">
        <is>
          <t>Feb-2018</t>
        </is>
      </c>
      <c r="C9476" s="2" t="n">
        <v>43721</v>
      </c>
      <c r="D9476" t="inlineStr">
        <is>
          <t>NON-NIL</t>
        </is>
      </c>
      <c r="E9476" t="n">
        <v>2950</v>
      </c>
    </row>
    <row r="9477">
      <c r="A9477" t="inlineStr">
        <is>
          <t>27BBBBB09477Z5</t>
        </is>
      </c>
      <c r="B9477" t="inlineStr">
        <is>
          <t>Jul-2020</t>
        </is>
      </c>
      <c r="C9477" s="2" t="n">
        <v>44627</v>
      </c>
      <c r="D9477" t="inlineStr">
        <is>
          <t>NIL</t>
        </is>
      </c>
      <c r="E9477" t="n">
        <v>2389</v>
      </c>
    </row>
    <row r="9478">
      <c r="A9478" t="inlineStr">
        <is>
          <t>27BBBBB09478Z5</t>
        </is>
      </c>
      <c r="B9478" t="inlineStr">
        <is>
          <t>Sep-2017</t>
        </is>
      </c>
      <c r="C9478" s="2" t="n">
        <v>44304</v>
      </c>
      <c r="D9478" t="inlineStr">
        <is>
          <t>NIL</t>
        </is>
      </c>
      <c r="E9478" t="n">
        <v>172</v>
      </c>
    </row>
    <row r="9479">
      <c r="A9479" t="inlineStr">
        <is>
          <t>27BBBBB09479Z5</t>
        </is>
      </c>
      <c r="B9479" t="inlineStr">
        <is>
          <t>Mar-2020</t>
        </is>
      </c>
      <c r="C9479" s="2" t="n">
        <v>44071</v>
      </c>
      <c r="D9479" t="inlineStr">
        <is>
          <t>NIL</t>
        </is>
      </c>
      <c r="E9479" t="n">
        <v>1953</v>
      </c>
    </row>
    <row r="9480">
      <c r="A9480" t="inlineStr">
        <is>
          <t>27BBBBB09480Z5</t>
        </is>
      </c>
      <c r="B9480" t="inlineStr">
        <is>
          <t>Feb-2018</t>
        </is>
      </c>
      <c r="C9480" s="2" t="n">
        <v>44203</v>
      </c>
      <c r="D9480" t="inlineStr">
        <is>
          <t>NIL</t>
        </is>
      </c>
      <c r="E9480" t="n">
        <v>387</v>
      </c>
    </row>
    <row r="9481">
      <c r="A9481" t="inlineStr">
        <is>
          <t>27BBBBB09481Z5</t>
        </is>
      </c>
      <c r="B9481" t="inlineStr">
        <is>
          <t>Nov-2018</t>
        </is>
      </c>
      <c r="C9481" s="2" t="n">
        <v>44127</v>
      </c>
      <c r="D9481" t="inlineStr">
        <is>
          <t>NON-NIL</t>
        </is>
      </c>
      <c r="E9481" t="n">
        <v>507</v>
      </c>
    </row>
    <row r="9482">
      <c r="A9482" t="inlineStr">
        <is>
          <t>27BBBBB09482Z5</t>
        </is>
      </c>
      <c r="B9482" t="inlineStr">
        <is>
          <t>Mar-2018</t>
        </is>
      </c>
      <c r="C9482" s="2" t="n">
        <v>44233</v>
      </c>
      <c r="D9482" t="inlineStr">
        <is>
          <t>NIL</t>
        </is>
      </c>
      <c r="E9482" t="n">
        <v>2513</v>
      </c>
    </row>
    <row r="9483">
      <c r="A9483" t="inlineStr">
        <is>
          <t>27BBBBB09483Z5</t>
        </is>
      </c>
      <c r="B9483" t="inlineStr">
        <is>
          <t>Oct-2018</t>
        </is>
      </c>
      <c r="C9483" s="2" t="n">
        <v>44333</v>
      </c>
      <c r="D9483" t="inlineStr">
        <is>
          <t>NIL</t>
        </is>
      </c>
      <c r="E9483" t="n">
        <v>1137</v>
      </c>
    </row>
    <row r="9484">
      <c r="A9484" t="inlineStr">
        <is>
          <t>27BBBBB09484Z5</t>
        </is>
      </c>
      <c r="B9484" t="inlineStr">
        <is>
          <t>Mar-2023</t>
        </is>
      </c>
      <c r="C9484" s="2" t="n">
        <v>45618</v>
      </c>
      <c r="D9484" t="inlineStr">
        <is>
          <t>NON-NIL</t>
        </is>
      </c>
      <c r="E9484" t="n">
        <v>131</v>
      </c>
    </row>
    <row r="9485">
      <c r="A9485" t="inlineStr">
        <is>
          <t>27BBBBB09485Z5</t>
        </is>
      </c>
      <c r="B9485" t="inlineStr">
        <is>
          <t>Sep-2018</t>
        </is>
      </c>
      <c r="C9485" s="2" t="n">
        <v>44316</v>
      </c>
      <c r="D9485" t="inlineStr">
        <is>
          <t>NIL</t>
        </is>
      </c>
      <c r="E9485" t="n">
        <v>1862</v>
      </c>
    </row>
    <row r="9486">
      <c r="A9486" t="inlineStr">
        <is>
          <t>27BBBBB09486Z5</t>
        </is>
      </c>
      <c r="B9486" t="inlineStr">
        <is>
          <t>Mar-2021</t>
        </is>
      </c>
      <c r="C9486" s="2" t="n">
        <v>45459</v>
      </c>
      <c r="D9486" t="inlineStr">
        <is>
          <t>NON-NIL</t>
        </is>
      </c>
      <c r="E9486" t="n">
        <v>1188</v>
      </c>
    </row>
    <row r="9487">
      <c r="A9487" t="inlineStr">
        <is>
          <t>27BBBBB09487Z5</t>
        </is>
      </c>
      <c r="B9487" t="inlineStr">
        <is>
          <t>Jun-2018</t>
        </is>
      </c>
      <c r="C9487" s="2" t="n">
        <v>44502</v>
      </c>
      <c r="D9487" t="inlineStr">
        <is>
          <t>NIL</t>
        </is>
      </c>
      <c r="E9487" t="n">
        <v>1984</v>
      </c>
    </row>
    <row r="9488">
      <c r="A9488" t="inlineStr">
        <is>
          <t>27BBBBB09488Z5</t>
        </is>
      </c>
      <c r="B9488" t="inlineStr">
        <is>
          <t>May-2020</t>
        </is>
      </c>
      <c r="C9488" s="2" t="n">
        <v>44574</v>
      </c>
      <c r="D9488" t="inlineStr">
        <is>
          <t>NON-NIL</t>
        </is>
      </c>
      <c r="E9488" t="n">
        <v>2061</v>
      </c>
    </row>
    <row r="9489">
      <c r="A9489" t="inlineStr">
        <is>
          <t>27BBBBB09489Z5</t>
        </is>
      </c>
      <c r="B9489" t="inlineStr">
        <is>
          <t>Jun-2020</t>
        </is>
      </c>
      <c r="C9489" s="2" t="n">
        <v>44705</v>
      </c>
      <c r="D9489" t="inlineStr">
        <is>
          <t>NIL</t>
        </is>
      </c>
      <c r="E9489" t="n">
        <v>1207</v>
      </c>
    </row>
    <row r="9490">
      <c r="A9490" t="inlineStr">
        <is>
          <t>27BBBBB09490Z5</t>
        </is>
      </c>
      <c r="B9490" t="inlineStr">
        <is>
          <t>Mar-2021</t>
        </is>
      </c>
      <c r="C9490" s="2" t="n">
        <v>45473</v>
      </c>
      <c r="D9490" t="inlineStr">
        <is>
          <t>NON-NIL</t>
        </is>
      </c>
      <c r="E9490" t="n">
        <v>2857</v>
      </c>
    </row>
    <row r="9491">
      <c r="A9491" t="inlineStr">
        <is>
          <t>27BBBBB09491Z5</t>
        </is>
      </c>
      <c r="B9491" t="inlineStr">
        <is>
          <t>Mar-2020</t>
        </is>
      </c>
      <c r="C9491" s="2" t="n">
        <v>43940</v>
      </c>
      <c r="D9491" t="inlineStr">
        <is>
          <t>NIL</t>
        </is>
      </c>
      <c r="E9491" t="n">
        <v>354</v>
      </c>
    </row>
    <row r="9492">
      <c r="A9492" t="inlineStr">
        <is>
          <t>27BBBBB09492Z5</t>
        </is>
      </c>
      <c r="B9492" t="inlineStr">
        <is>
          <t>Dec-2022</t>
        </is>
      </c>
      <c r="C9492" s="2" t="n">
        <v>44244</v>
      </c>
      <c r="D9492" t="inlineStr">
        <is>
          <t>NON-NIL</t>
        </is>
      </c>
      <c r="E9492" t="n">
        <v>2360</v>
      </c>
    </row>
    <row r="9493">
      <c r="A9493" t="inlineStr">
        <is>
          <t>27BBBBB09493Z5</t>
        </is>
      </c>
      <c r="B9493" t="inlineStr">
        <is>
          <t>Sep-2018</t>
        </is>
      </c>
      <c r="C9493" s="2" t="n">
        <v>44293</v>
      </c>
      <c r="D9493" t="inlineStr">
        <is>
          <t>NON-NIL</t>
        </is>
      </c>
      <c r="E9493" t="n">
        <v>293</v>
      </c>
    </row>
    <row r="9494">
      <c r="A9494" t="inlineStr">
        <is>
          <t>27BBBBB09494Z5</t>
        </is>
      </c>
      <c r="B9494" t="inlineStr">
        <is>
          <t>Mar-2020</t>
        </is>
      </c>
      <c r="C9494" s="2" t="n">
        <v>44016</v>
      </c>
      <c r="D9494" t="inlineStr">
        <is>
          <t>NIL</t>
        </is>
      </c>
      <c r="E9494" t="n">
        <v>2550</v>
      </c>
    </row>
    <row r="9495">
      <c r="A9495" t="inlineStr">
        <is>
          <t>27BBBBB09495Z5</t>
        </is>
      </c>
      <c r="B9495" t="inlineStr">
        <is>
          <t>Dec-2017</t>
        </is>
      </c>
      <c r="C9495" s="2" t="n">
        <v>43048</v>
      </c>
      <c r="D9495" t="inlineStr">
        <is>
          <t>NIL</t>
        </is>
      </c>
      <c r="E9495" t="n">
        <v>1998</v>
      </c>
    </row>
    <row r="9496">
      <c r="A9496" t="inlineStr">
        <is>
          <t>27BBBBB09496Z5</t>
        </is>
      </c>
      <c r="B9496" t="inlineStr">
        <is>
          <t>Aug-2017</t>
        </is>
      </c>
      <c r="C9496" s="2" t="n">
        <v>44435</v>
      </c>
      <c r="D9496" t="inlineStr">
        <is>
          <t>NON-NIL</t>
        </is>
      </c>
      <c r="E9496" t="n">
        <v>2379</v>
      </c>
    </row>
    <row r="9497">
      <c r="A9497" t="inlineStr">
        <is>
          <t>27BBBBB09497Z5</t>
        </is>
      </c>
      <c r="B9497" t="inlineStr">
        <is>
          <t>Mar-2023</t>
        </is>
      </c>
      <c r="C9497" s="2" t="n">
        <v>44668</v>
      </c>
      <c r="D9497" t="inlineStr">
        <is>
          <t>NON-NIL</t>
        </is>
      </c>
      <c r="E9497" t="n">
        <v>1541</v>
      </c>
    </row>
    <row r="9498">
      <c r="A9498" t="inlineStr">
        <is>
          <t>27BBBBB09498Z5</t>
        </is>
      </c>
      <c r="B9498" t="inlineStr">
        <is>
          <t>Mar-2020</t>
        </is>
      </c>
      <c r="C9498" s="2" t="n">
        <v>44629</v>
      </c>
      <c r="D9498" t="inlineStr">
        <is>
          <t>NIL</t>
        </is>
      </c>
      <c r="E9498" t="n">
        <v>1058</v>
      </c>
    </row>
    <row r="9499">
      <c r="A9499" t="inlineStr">
        <is>
          <t>27BBBBB09499Z5</t>
        </is>
      </c>
      <c r="B9499" t="inlineStr">
        <is>
          <t>Jun-2020</t>
        </is>
      </c>
      <c r="C9499" s="2" t="n">
        <v>44802</v>
      </c>
      <c r="D9499" t="inlineStr">
        <is>
          <t>NON-NIL</t>
        </is>
      </c>
      <c r="E9499" t="n">
        <v>2741</v>
      </c>
    </row>
    <row r="9500">
      <c r="A9500" t="inlineStr">
        <is>
          <t>27BBBBB09500Z5</t>
        </is>
      </c>
      <c r="B9500" t="inlineStr">
        <is>
          <t>Mar-2020</t>
        </is>
      </c>
      <c r="C9500" s="2" t="n">
        <v>44238</v>
      </c>
      <c r="D9500" t="inlineStr">
        <is>
          <t>NIL</t>
        </is>
      </c>
      <c r="E9500" t="n">
        <v>1603</v>
      </c>
    </row>
    <row r="9501">
      <c r="A9501" t="inlineStr">
        <is>
          <t>27BBBBB09501Z5</t>
        </is>
      </c>
      <c r="B9501" t="inlineStr">
        <is>
          <t>Apr-2020</t>
        </is>
      </c>
      <c r="C9501" s="2" t="n">
        <v>44377</v>
      </c>
      <c r="D9501" t="inlineStr">
        <is>
          <t>NIL</t>
        </is>
      </c>
      <c r="E9501" t="n">
        <v>925</v>
      </c>
    </row>
    <row r="9502">
      <c r="A9502" t="inlineStr">
        <is>
          <t>27BBBBB09502Z5</t>
        </is>
      </c>
      <c r="B9502" t="inlineStr">
        <is>
          <t>Jun-2020</t>
        </is>
      </c>
      <c r="C9502" s="2" t="n">
        <v>44337</v>
      </c>
      <c r="D9502" t="inlineStr">
        <is>
          <t>NON-NIL</t>
        </is>
      </c>
      <c r="E9502" t="n">
        <v>527</v>
      </c>
    </row>
    <row r="9503">
      <c r="A9503" t="inlineStr">
        <is>
          <t>27BBBBB09503Z5</t>
        </is>
      </c>
      <c r="B9503" t="inlineStr">
        <is>
          <t>Mar-2020</t>
        </is>
      </c>
      <c r="C9503" s="2" t="n">
        <v>44558</v>
      </c>
      <c r="D9503" t="inlineStr">
        <is>
          <t>NON-NIL</t>
        </is>
      </c>
      <c r="E9503" t="n">
        <v>2586</v>
      </c>
    </row>
    <row r="9504">
      <c r="A9504" t="inlineStr">
        <is>
          <t>27BBBBB09504Z5</t>
        </is>
      </c>
      <c r="B9504" t="inlineStr">
        <is>
          <t>Aug-2017</t>
        </is>
      </c>
      <c r="C9504" s="2" t="n">
        <v>44211</v>
      </c>
      <c r="D9504" t="inlineStr">
        <is>
          <t>NIL</t>
        </is>
      </c>
      <c r="E9504" t="n">
        <v>1431</v>
      </c>
    </row>
    <row r="9505">
      <c r="A9505" t="inlineStr">
        <is>
          <t>27BBBBB09505Z5</t>
        </is>
      </c>
      <c r="B9505" t="inlineStr">
        <is>
          <t>Jan-2021</t>
        </is>
      </c>
      <c r="C9505" s="2" t="n">
        <v>44655</v>
      </c>
      <c r="D9505" t="inlineStr">
        <is>
          <t>NON-NIL</t>
        </is>
      </c>
      <c r="E9505" t="n">
        <v>950</v>
      </c>
    </row>
    <row r="9506">
      <c r="A9506" t="inlineStr">
        <is>
          <t>27BBBBB09506Z5</t>
        </is>
      </c>
      <c r="B9506" t="inlineStr">
        <is>
          <t>Jul-2017</t>
        </is>
      </c>
      <c r="C9506" s="2" t="n">
        <v>43550</v>
      </c>
      <c r="D9506" t="inlineStr">
        <is>
          <t>NIL</t>
        </is>
      </c>
      <c r="E9506" t="n">
        <v>445</v>
      </c>
    </row>
    <row r="9507">
      <c r="A9507" t="inlineStr">
        <is>
          <t>27BBBBB09507Z5</t>
        </is>
      </c>
      <c r="B9507" t="inlineStr">
        <is>
          <t>Apr-2018</t>
        </is>
      </c>
      <c r="C9507" s="2" t="n">
        <v>44392</v>
      </c>
      <c r="D9507" t="inlineStr">
        <is>
          <t>NIL</t>
        </is>
      </c>
      <c r="E9507" t="n">
        <v>349</v>
      </c>
    </row>
    <row r="9508">
      <c r="A9508" t="inlineStr">
        <is>
          <t>27BBBBB09508Z5</t>
        </is>
      </c>
      <c r="B9508" t="inlineStr">
        <is>
          <t>Jul-2020</t>
        </is>
      </c>
      <c r="C9508" s="2" t="n">
        <v>44688</v>
      </c>
      <c r="D9508" t="inlineStr">
        <is>
          <t>NON-NIL</t>
        </is>
      </c>
      <c r="E9508" t="n">
        <v>1429</v>
      </c>
    </row>
    <row r="9509">
      <c r="A9509" t="inlineStr">
        <is>
          <t>27BBBBB09509Z5</t>
        </is>
      </c>
      <c r="B9509" t="inlineStr">
        <is>
          <t>Oct-2017</t>
        </is>
      </c>
      <c r="C9509" s="2" t="n">
        <v>44060</v>
      </c>
      <c r="D9509" t="inlineStr">
        <is>
          <t>NON-NIL</t>
        </is>
      </c>
      <c r="E9509" t="n">
        <v>100</v>
      </c>
    </row>
    <row r="9510">
      <c r="A9510" t="inlineStr">
        <is>
          <t>27BBBBB09510Z5</t>
        </is>
      </c>
      <c r="B9510" t="inlineStr">
        <is>
          <t>Jan-2018</t>
        </is>
      </c>
      <c r="C9510" s="2" t="n">
        <v>43731</v>
      </c>
      <c r="D9510" t="inlineStr">
        <is>
          <t>NON-NIL</t>
        </is>
      </c>
      <c r="E9510" t="n">
        <v>184</v>
      </c>
    </row>
    <row r="9511">
      <c r="A9511" t="inlineStr">
        <is>
          <t>27BBBBB09511Z5</t>
        </is>
      </c>
      <c r="B9511" t="inlineStr">
        <is>
          <t>Nov-2017</t>
        </is>
      </c>
      <c r="C9511" s="2" t="n">
        <v>44101</v>
      </c>
      <c r="D9511" t="inlineStr">
        <is>
          <t>NIL</t>
        </is>
      </c>
      <c r="E9511" t="n">
        <v>1774</v>
      </c>
    </row>
    <row r="9512">
      <c r="A9512" t="inlineStr">
        <is>
          <t>27BBBBB09512Z5</t>
        </is>
      </c>
      <c r="B9512" t="inlineStr">
        <is>
          <t>Nov-2018</t>
        </is>
      </c>
      <c r="C9512" s="2" t="n">
        <v>43915</v>
      </c>
      <c r="D9512" t="inlineStr">
        <is>
          <t>NIL</t>
        </is>
      </c>
      <c r="E9512" t="n">
        <v>869</v>
      </c>
    </row>
    <row r="9513">
      <c r="A9513" t="inlineStr">
        <is>
          <t>27BBBBB09513Z5</t>
        </is>
      </c>
      <c r="B9513" t="inlineStr">
        <is>
          <t>Dec-2017</t>
        </is>
      </c>
      <c r="C9513" s="2" t="n">
        <v>43694</v>
      </c>
      <c r="D9513" t="inlineStr">
        <is>
          <t>NIL</t>
        </is>
      </c>
      <c r="E9513" t="n">
        <v>501</v>
      </c>
    </row>
    <row r="9514">
      <c r="A9514" t="inlineStr">
        <is>
          <t>27BBBBB09514Z5</t>
        </is>
      </c>
      <c r="B9514" t="inlineStr">
        <is>
          <t>Jul-2017</t>
        </is>
      </c>
      <c r="C9514" s="2" t="n">
        <v>42964</v>
      </c>
      <c r="D9514" t="inlineStr">
        <is>
          <t>NIL</t>
        </is>
      </c>
      <c r="E9514" t="n">
        <v>2747</v>
      </c>
    </row>
    <row r="9515">
      <c r="A9515" t="inlineStr">
        <is>
          <t>27BBBBB09515Z5</t>
        </is>
      </c>
      <c r="B9515" t="inlineStr">
        <is>
          <t>Dec-2024</t>
        </is>
      </c>
      <c r="C9515" s="2" t="n">
        <v>45676</v>
      </c>
      <c r="D9515" t="inlineStr">
        <is>
          <t>NON-NIL</t>
        </is>
      </c>
      <c r="E9515" t="n">
        <v>2081</v>
      </c>
    </row>
    <row r="9516">
      <c r="A9516" t="inlineStr">
        <is>
          <t>27BBBBB09516Z5</t>
        </is>
      </c>
      <c r="B9516" t="inlineStr">
        <is>
          <t>Apr-2020</t>
        </is>
      </c>
      <c r="C9516" s="2" t="n">
        <v>44376</v>
      </c>
      <c r="D9516" t="inlineStr">
        <is>
          <t>NON-NIL</t>
        </is>
      </c>
      <c r="E9516" t="n">
        <v>530</v>
      </c>
    </row>
    <row r="9517">
      <c r="A9517" t="inlineStr">
        <is>
          <t>27BBBBB09517Z5</t>
        </is>
      </c>
      <c r="B9517" t="inlineStr">
        <is>
          <t>Mar-2020</t>
        </is>
      </c>
      <c r="C9517" s="2" t="n">
        <v>44076</v>
      </c>
      <c r="D9517" t="inlineStr">
        <is>
          <t>NON-NIL</t>
        </is>
      </c>
      <c r="E9517" t="n">
        <v>1519</v>
      </c>
    </row>
    <row r="9518">
      <c r="A9518" t="inlineStr">
        <is>
          <t>27BBBBB09518Z5</t>
        </is>
      </c>
      <c r="B9518" t="inlineStr">
        <is>
          <t>Oct-2017</t>
        </is>
      </c>
      <c r="C9518" s="2" t="n">
        <v>43574</v>
      </c>
      <c r="D9518" t="inlineStr">
        <is>
          <t>NIL</t>
        </is>
      </c>
      <c r="E9518" t="n">
        <v>430</v>
      </c>
    </row>
    <row r="9519">
      <c r="A9519" t="inlineStr">
        <is>
          <t>27BBBBB09519Z5</t>
        </is>
      </c>
      <c r="B9519" t="inlineStr">
        <is>
          <t>Mar-2020</t>
        </is>
      </c>
      <c r="C9519" s="2" t="n">
        <v>44914</v>
      </c>
      <c r="D9519" t="inlineStr">
        <is>
          <t>NIL</t>
        </is>
      </c>
      <c r="E9519" t="n">
        <v>1671</v>
      </c>
    </row>
    <row r="9520">
      <c r="A9520" t="inlineStr">
        <is>
          <t>27BBBBB09520Z5</t>
        </is>
      </c>
      <c r="B9520" t="inlineStr">
        <is>
          <t>Jul-2020</t>
        </is>
      </c>
      <c r="C9520" s="2" t="n">
        <v>44121</v>
      </c>
      <c r="D9520" t="inlineStr">
        <is>
          <t>NIL</t>
        </is>
      </c>
      <c r="E9520" t="n">
        <v>2880</v>
      </c>
    </row>
    <row r="9521">
      <c r="A9521" t="inlineStr">
        <is>
          <t>27BBBBB09521Z5</t>
        </is>
      </c>
      <c r="B9521" t="inlineStr">
        <is>
          <t>Jul-2017</t>
        </is>
      </c>
      <c r="C9521" s="2" t="n">
        <v>44014</v>
      </c>
      <c r="D9521" t="inlineStr">
        <is>
          <t>NIL</t>
        </is>
      </c>
      <c r="E9521" t="n">
        <v>2594</v>
      </c>
    </row>
    <row r="9522">
      <c r="A9522" t="inlineStr">
        <is>
          <t>27BBBBB09522Z5</t>
        </is>
      </c>
      <c r="B9522" t="inlineStr">
        <is>
          <t>Sep-2018</t>
        </is>
      </c>
      <c r="C9522" s="2" t="n">
        <v>43206</v>
      </c>
      <c r="D9522" t="inlineStr">
        <is>
          <t>NON-NIL</t>
        </is>
      </c>
      <c r="E9522" t="n">
        <v>71</v>
      </c>
    </row>
    <row r="9523">
      <c r="A9523" t="inlineStr">
        <is>
          <t>27BBBBB09523Z5</t>
        </is>
      </c>
      <c r="B9523" t="inlineStr">
        <is>
          <t>Oct-2018</t>
        </is>
      </c>
      <c r="C9523" s="2" t="n">
        <v>43797</v>
      </c>
      <c r="D9523" t="inlineStr">
        <is>
          <t>NIL</t>
        </is>
      </c>
      <c r="E9523" t="n">
        <v>513</v>
      </c>
    </row>
    <row r="9524">
      <c r="A9524" t="inlineStr">
        <is>
          <t>27BBBBB09524Z5</t>
        </is>
      </c>
      <c r="B9524" t="inlineStr">
        <is>
          <t>Mar-2018</t>
        </is>
      </c>
      <c r="C9524" s="2" t="n">
        <v>43180</v>
      </c>
      <c r="D9524" t="inlineStr">
        <is>
          <t>NIL</t>
        </is>
      </c>
      <c r="E9524" t="n">
        <v>1264</v>
      </c>
    </row>
    <row r="9525">
      <c r="A9525" t="inlineStr">
        <is>
          <t>27BBBBB09525Z5</t>
        </is>
      </c>
      <c r="B9525" t="inlineStr">
        <is>
          <t>Mar-2018</t>
        </is>
      </c>
      <c r="C9525" s="2" t="n">
        <v>43072</v>
      </c>
      <c r="D9525" t="inlineStr">
        <is>
          <t>NON-NIL</t>
        </is>
      </c>
      <c r="E9525" t="n">
        <v>1614</v>
      </c>
    </row>
    <row r="9526">
      <c r="A9526" t="inlineStr">
        <is>
          <t>27BBBBB09526Z5</t>
        </is>
      </c>
      <c r="B9526" t="inlineStr">
        <is>
          <t>Dec-2018</t>
        </is>
      </c>
      <c r="C9526" s="2" t="n">
        <v>44324</v>
      </c>
      <c r="D9526" t="inlineStr">
        <is>
          <t>NIL</t>
        </is>
      </c>
      <c r="E9526" t="n">
        <v>2979</v>
      </c>
    </row>
    <row r="9527">
      <c r="A9527" t="inlineStr">
        <is>
          <t>27BBBBB09527Z5</t>
        </is>
      </c>
      <c r="B9527" t="inlineStr">
        <is>
          <t>May-2020</t>
        </is>
      </c>
      <c r="C9527" s="2" t="n">
        <v>43953</v>
      </c>
      <c r="D9527" t="inlineStr">
        <is>
          <t>NON-NIL</t>
        </is>
      </c>
      <c r="E9527" t="n">
        <v>632</v>
      </c>
    </row>
    <row r="9528">
      <c r="A9528" t="inlineStr">
        <is>
          <t>27BBBBB09528Z5</t>
        </is>
      </c>
      <c r="B9528" t="inlineStr">
        <is>
          <t>Oct-2018</t>
        </is>
      </c>
      <c r="C9528" s="2" t="n">
        <v>44308</v>
      </c>
      <c r="D9528" t="inlineStr">
        <is>
          <t>NON-NIL</t>
        </is>
      </c>
      <c r="E9528" t="n">
        <v>2341</v>
      </c>
    </row>
    <row r="9529">
      <c r="A9529" t="inlineStr">
        <is>
          <t>27BBBBB09529Z5</t>
        </is>
      </c>
      <c r="B9529" t="inlineStr">
        <is>
          <t>Jul-2020</t>
        </is>
      </c>
      <c r="C9529" s="2" t="n">
        <v>44400</v>
      </c>
      <c r="D9529" t="inlineStr">
        <is>
          <t>NIL</t>
        </is>
      </c>
      <c r="E9529" t="n">
        <v>493</v>
      </c>
    </row>
    <row r="9530">
      <c r="A9530" t="inlineStr">
        <is>
          <t>27BBBBB09530Z5</t>
        </is>
      </c>
      <c r="B9530" t="inlineStr">
        <is>
          <t>Jul-2020</t>
        </is>
      </c>
      <c r="C9530" s="2" t="n">
        <v>44887</v>
      </c>
      <c r="D9530" t="inlineStr">
        <is>
          <t>NIL</t>
        </is>
      </c>
      <c r="E9530" t="n">
        <v>1577</v>
      </c>
    </row>
    <row r="9531">
      <c r="A9531" t="inlineStr">
        <is>
          <t>27BBBBB09531Z5</t>
        </is>
      </c>
      <c r="B9531" t="inlineStr">
        <is>
          <t>Aug-2018</t>
        </is>
      </c>
      <c r="C9531" s="2" t="n">
        <v>43288</v>
      </c>
      <c r="D9531" t="inlineStr">
        <is>
          <t>NIL</t>
        </is>
      </c>
      <c r="E9531" t="n">
        <v>2888</v>
      </c>
    </row>
    <row r="9532">
      <c r="A9532" t="inlineStr">
        <is>
          <t>27BBBBB09532Z5</t>
        </is>
      </c>
      <c r="B9532" t="inlineStr">
        <is>
          <t>May-2020</t>
        </is>
      </c>
      <c r="C9532" s="2" t="n">
        <v>44611</v>
      </c>
      <c r="D9532" t="inlineStr">
        <is>
          <t>NON-NIL</t>
        </is>
      </c>
      <c r="E9532" t="n">
        <v>1031</v>
      </c>
    </row>
    <row r="9533">
      <c r="A9533" t="inlineStr">
        <is>
          <t>27BBBBB09533Z5</t>
        </is>
      </c>
      <c r="B9533" t="inlineStr">
        <is>
          <t>Aug-2017</t>
        </is>
      </c>
      <c r="C9533" s="2" t="n">
        <v>43954</v>
      </c>
      <c r="D9533" t="inlineStr">
        <is>
          <t>NON-NIL</t>
        </is>
      </c>
      <c r="E9533" t="n">
        <v>1506</v>
      </c>
    </row>
    <row r="9534">
      <c r="A9534" t="inlineStr">
        <is>
          <t>27BBBBB09534Z5</t>
        </is>
      </c>
      <c r="B9534" t="inlineStr">
        <is>
          <t>Aug-2018</t>
        </is>
      </c>
      <c r="C9534" s="2" t="n">
        <v>44418</v>
      </c>
      <c r="D9534" t="inlineStr">
        <is>
          <t>NIL</t>
        </is>
      </c>
      <c r="E9534" t="n">
        <v>127</v>
      </c>
    </row>
    <row r="9535">
      <c r="A9535" t="inlineStr">
        <is>
          <t>27BBBBB09535Z5</t>
        </is>
      </c>
      <c r="B9535" t="inlineStr">
        <is>
          <t>Dec-2022</t>
        </is>
      </c>
      <c r="C9535" s="2" t="n">
        <v>44141</v>
      </c>
      <c r="D9535" t="inlineStr">
        <is>
          <t>NIL</t>
        </is>
      </c>
      <c r="E9535" t="n">
        <v>2386</v>
      </c>
    </row>
    <row r="9536">
      <c r="A9536" t="inlineStr">
        <is>
          <t>27BBBBB09536Z5</t>
        </is>
      </c>
      <c r="B9536" t="inlineStr">
        <is>
          <t>May-2018</t>
        </is>
      </c>
      <c r="C9536" s="2" t="n">
        <v>44464</v>
      </c>
      <c r="D9536" t="inlineStr">
        <is>
          <t>NON-NIL</t>
        </is>
      </c>
      <c r="E9536" t="n">
        <v>101</v>
      </c>
    </row>
    <row r="9537">
      <c r="A9537" t="inlineStr">
        <is>
          <t>27BBBBB09537Z5</t>
        </is>
      </c>
      <c r="B9537" t="inlineStr">
        <is>
          <t>Feb-2018</t>
        </is>
      </c>
      <c r="C9537" s="2" t="n">
        <v>43528</v>
      </c>
      <c r="D9537" t="inlineStr">
        <is>
          <t>NIL</t>
        </is>
      </c>
      <c r="E9537" t="n">
        <v>1419</v>
      </c>
    </row>
    <row r="9538">
      <c r="A9538" t="inlineStr">
        <is>
          <t>27BBBBB09538Z5</t>
        </is>
      </c>
      <c r="B9538" t="inlineStr">
        <is>
          <t>Jan-2021</t>
        </is>
      </c>
      <c r="C9538" s="2" t="n">
        <v>45001</v>
      </c>
      <c r="D9538" t="inlineStr">
        <is>
          <t>NIL</t>
        </is>
      </c>
      <c r="E9538" t="n">
        <v>1106</v>
      </c>
    </row>
    <row r="9539">
      <c r="A9539" t="inlineStr">
        <is>
          <t>27BBBBB09539Z5</t>
        </is>
      </c>
      <c r="B9539" t="inlineStr">
        <is>
          <t>Oct-2017</t>
        </is>
      </c>
      <c r="C9539" s="2" t="n">
        <v>43889</v>
      </c>
      <c r="D9539" t="inlineStr">
        <is>
          <t>NON-NIL</t>
        </is>
      </c>
      <c r="E9539" t="n">
        <v>242</v>
      </c>
    </row>
    <row r="9540">
      <c r="A9540" t="inlineStr">
        <is>
          <t>27BBBBB09540Z5</t>
        </is>
      </c>
      <c r="B9540" t="inlineStr">
        <is>
          <t>Oct-2018</t>
        </is>
      </c>
      <c r="C9540" s="2" t="n">
        <v>44143</v>
      </c>
      <c r="D9540" t="inlineStr">
        <is>
          <t>NON-NIL</t>
        </is>
      </c>
      <c r="E9540" t="n">
        <v>1611</v>
      </c>
    </row>
    <row r="9541">
      <c r="A9541" t="inlineStr">
        <is>
          <t>27BBBBB09541Z5</t>
        </is>
      </c>
      <c r="B9541" t="inlineStr">
        <is>
          <t>Oct-2018</t>
        </is>
      </c>
      <c r="C9541" s="2" t="n">
        <v>44136</v>
      </c>
      <c r="D9541" t="inlineStr">
        <is>
          <t>NIL</t>
        </is>
      </c>
      <c r="E9541" t="n">
        <v>1715</v>
      </c>
    </row>
    <row r="9542">
      <c r="A9542" t="inlineStr">
        <is>
          <t>27BBBBB09542Z5</t>
        </is>
      </c>
      <c r="B9542" t="inlineStr">
        <is>
          <t>Jan-2021</t>
        </is>
      </c>
      <c r="C9542" s="2" t="n">
        <v>45728</v>
      </c>
      <c r="D9542" t="inlineStr">
        <is>
          <t>NIL</t>
        </is>
      </c>
      <c r="E9542" t="n">
        <v>2456</v>
      </c>
    </row>
    <row r="9543">
      <c r="A9543" t="inlineStr">
        <is>
          <t>27BBBBB09543Z5</t>
        </is>
      </c>
      <c r="B9543" t="inlineStr">
        <is>
          <t>Jun-2018</t>
        </is>
      </c>
      <c r="C9543" s="2" t="n">
        <v>43300</v>
      </c>
      <c r="D9543" t="inlineStr">
        <is>
          <t>NIL</t>
        </is>
      </c>
      <c r="E9543" t="n">
        <v>2400</v>
      </c>
    </row>
    <row r="9544">
      <c r="A9544" t="inlineStr">
        <is>
          <t>27BBBBB09544Z5</t>
        </is>
      </c>
      <c r="B9544" t="inlineStr">
        <is>
          <t>Dec-2024</t>
        </is>
      </c>
      <c r="C9544" s="2" t="n">
        <v>45634</v>
      </c>
      <c r="D9544" t="inlineStr">
        <is>
          <t>NON-NIL</t>
        </is>
      </c>
      <c r="E9544" t="n">
        <v>1541</v>
      </c>
    </row>
    <row r="9545">
      <c r="A9545" t="inlineStr">
        <is>
          <t>27BBBBB09545Z5</t>
        </is>
      </c>
      <c r="B9545" t="inlineStr">
        <is>
          <t>Jul-2020</t>
        </is>
      </c>
      <c r="C9545" s="2" t="n">
        <v>44332</v>
      </c>
      <c r="D9545" t="inlineStr">
        <is>
          <t>NON-NIL</t>
        </is>
      </c>
      <c r="E9545" t="n">
        <v>2015</v>
      </c>
    </row>
    <row r="9546">
      <c r="A9546" t="inlineStr">
        <is>
          <t>27BBBBB09546Z5</t>
        </is>
      </c>
      <c r="B9546" t="inlineStr">
        <is>
          <t>Sep-2018</t>
        </is>
      </c>
      <c r="C9546" s="2" t="n">
        <v>43874</v>
      </c>
      <c r="D9546" t="inlineStr">
        <is>
          <t>NON-NIL</t>
        </is>
      </c>
      <c r="E9546" t="n">
        <v>429</v>
      </c>
    </row>
    <row r="9547">
      <c r="A9547" t="inlineStr">
        <is>
          <t>27BBBBB09547Z5</t>
        </is>
      </c>
      <c r="B9547" t="inlineStr">
        <is>
          <t>Jun-2018</t>
        </is>
      </c>
      <c r="C9547" s="2" t="n">
        <v>43530</v>
      </c>
      <c r="D9547" t="inlineStr">
        <is>
          <t>NON-NIL</t>
        </is>
      </c>
      <c r="E9547" t="n">
        <v>803</v>
      </c>
    </row>
    <row r="9548">
      <c r="A9548" t="inlineStr">
        <is>
          <t>27BBBBB09548Z5</t>
        </is>
      </c>
      <c r="B9548" t="inlineStr">
        <is>
          <t>May-2020</t>
        </is>
      </c>
      <c r="C9548" s="2" t="n">
        <v>44277</v>
      </c>
      <c r="D9548" t="inlineStr">
        <is>
          <t>NON-NIL</t>
        </is>
      </c>
      <c r="E9548" t="n">
        <v>2785</v>
      </c>
    </row>
    <row r="9549">
      <c r="A9549" t="inlineStr">
        <is>
          <t>27BBBBB09549Z5</t>
        </is>
      </c>
      <c r="B9549" t="inlineStr">
        <is>
          <t>Apr-2018</t>
        </is>
      </c>
      <c r="C9549" s="2" t="n">
        <v>44388</v>
      </c>
      <c r="D9549" t="inlineStr">
        <is>
          <t>NIL</t>
        </is>
      </c>
      <c r="E9549" t="n">
        <v>2508</v>
      </c>
    </row>
    <row r="9550">
      <c r="A9550" t="inlineStr">
        <is>
          <t>27BBBBB09550Z5</t>
        </is>
      </c>
      <c r="B9550" t="inlineStr">
        <is>
          <t>Aug-2017</t>
        </is>
      </c>
      <c r="C9550" s="2" t="n">
        <v>43096</v>
      </c>
      <c r="D9550" t="inlineStr">
        <is>
          <t>NIL</t>
        </is>
      </c>
      <c r="E9550" t="n">
        <v>2267</v>
      </c>
    </row>
    <row r="9551">
      <c r="A9551" t="inlineStr">
        <is>
          <t>27BBBBB09551Z5</t>
        </is>
      </c>
      <c r="B9551" t="inlineStr">
        <is>
          <t>Jul-2017</t>
        </is>
      </c>
      <c r="C9551" s="2" t="n">
        <v>43282</v>
      </c>
      <c r="D9551" t="inlineStr">
        <is>
          <t>NIL</t>
        </is>
      </c>
      <c r="E9551" t="n">
        <v>1243</v>
      </c>
    </row>
    <row r="9552">
      <c r="A9552" t="inlineStr">
        <is>
          <t>27BBBBB09552Z5</t>
        </is>
      </c>
      <c r="B9552" t="inlineStr">
        <is>
          <t>Jan-2018</t>
        </is>
      </c>
      <c r="C9552" s="2" t="n">
        <v>44095</v>
      </c>
      <c r="D9552" t="inlineStr">
        <is>
          <t>NON-NIL</t>
        </is>
      </c>
      <c r="E9552" t="n">
        <v>596</v>
      </c>
    </row>
    <row r="9553">
      <c r="A9553" t="inlineStr">
        <is>
          <t>27BBBBB09553Z5</t>
        </is>
      </c>
      <c r="B9553" t="inlineStr">
        <is>
          <t>Mar-2021</t>
        </is>
      </c>
      <c r="C9553" s="2" t="n">
        <v>43687</v>
      </c>
      <c r="D9553" t="inlineStr">
        <is>
          <t>NON-NIL</t>
        </is>
      </c>
      <c r="E9553" t="n">
        <v>1059</v>
      </c>
    </row>
    <row r="9554">
      <c r="A9554" t="inlineStr">
        <is>
          <t>27BBBBB09554Z5</t>
        </is>
      </c>
      <c r="B9554" t="inlineStr">
        <is>
          <t>Nov-2018</t>
        </is>
      </c>
      <c r="C9554" s="2" t="n">
        <v>43033</v>
      </c>
      <c r="D9554" t="inlineStr">
        <is>
          <t>NIL</t>
        </is>
      </c>
      <c r="E9554" t="n">
        <v>1374</v>
      </c>
    </row>
    <row r="9555">
      <c r="A9555" t="inlineStr">
        <is>
          <t>27BBBBB09555Z5</t>
        </is>
      </c>
      <c r="B9555" t="inlineStr">
        <is>
          <t>Jun-2018</t>
        </is>
      </c>
      <c r="C9555" s="2" t="n">
        <v>44149</v>
      </c>
      <c r="D9555" t="inlineStr">
        <is>
          <t>NON-NIL</t>
        </is>
      </c>
      <c r="E9555" t="n">
        <v>679</v>
      </c>
    </row>
    <row r="9556">
      <c r="A9556" t="inlineStr">
        <is>
          <t>27BBBBB09556Z5</t>
        </is>
      </c>
      <c r="B9556" t="inlineStr">
        <is>
          <t>Aug-2017</t>
        </is>
      </c>
      <c r="C9556" s="2" t="n">
        <v>43627</v>
      </c>
      <c r="D9556" t="inlineStr">
        <is>
          <t>NON-NIL</t>
        </is>
      </c>
      <c r="E9556" t="n">
        <v>1287</v>
      </c>
    </row>
    <row r="9557">
      <c r="A9557" t="inlineStr">
        <is>
          <t>27BBBBB09557Z5</t>
        </is>
      </c>
      <c r="B9557" t="inlineStr">
        <is>
          <t>Nov-2017</t>
        </is>
      </c>
      <c r="C9557" s="2" t="n">
        <v>43267</v>
      </c>
      <c r="D9557" t="inlineStr">
        <is>
          <t>NON-NIL</t>
        </is>
      </c>
      <c r="E9557" t="n">
        <v>322</v>
      </c>
    </row>
    <row r="9558">
      <c r="A9558" t="inlineStr">
        <is>
          <t>27BBBBB09558Z5</t>
        </is>
      </c>
      <c r="B9558" t="inlineStr">
        <is>
          <t>Apr-2020</t>
        </is>
      </c>
      <c r="C9558" s="2" t="n">
        <v>44114</v>
      </c>
      <c r="D9558" t="inlineStr">
        <is>
          <t>NON-NIL</t>
        </is>
      </c>
      <c r="E9558" t="n">
        <v>2579</v>
      </c>
    </row>
    <row r="9559">
      <c r="A9559" t="inlineStr">
        <is>
          <t>27BBBBB09559Z5</t>
        </is>
      </c>
      <c r="B9559" t="inlineStr">
        <is>
          <t>Dec-2018</t>
        </is>
      </c>
      <c r="C9559" s="2" t="n">
        <v>42954</v>
      </c>
      <c r="D9559" t="inlineStr">
        <is>
          <t>NON-NIL</t>
        </is>
      </c>
      <c r="E9559" t="n">
        <v>1523</v>
      </c>
    </row>
    <row r="9560">
      <c r="A9560" t="inlineStr">
        <is>
          <t>27BBBBB09560Z5</t>
        </is>
      </c>
      <c r="B9560" t="inlineStr">
        <is>
          <t>Aug-2017</t>
        </is>
      </c>
      <c r="C9560" s="2" t="n">
        <v>44256</v>
      </c>
      <c r="D9560" t="inlineStr">
        <is>
          <t>NIL</t>
        </is>
      </c>
      <c r="E9560" t="n">
        <v>2337</v>
      </c>
    </row>
    <row r="9561">
      <c r="A9561" t="inlineStr">
        <is>
          <t>27BBBBB09561Z5</t>
        </is>
      </c>
      <c r="B9561" t="inlineStr">
        <is>
          <t>Jul-2018</t>
        </is>
      </c>
      <c r="C9561" s="2" t="n">
        <v>43853</v>
      </c>
      <c r="D9561" t="inlineStr">
        <is>
          <t>NIL</t>
        </is>
      </c>
      <c r="E9561" t="n">
        <v>2100</v>
      </c>
    </row>
    <row r="9562">
      <c r="A9562" t="inlineStr">
        <is>
          <t>27BBBBB09562Z5</t>
        </is>
      </c>
      <c r="B9562" t="inlineStr">
        <is>
          <t>Feb-2018</t>
        </is>
      </c>
      <c r="C9562" s="2" t="n">
        <v>43339</v>
      </c>
      <c r="D9562" t="inlineStr">
        <is>
          <t>NIL</t>
        </is>
      </c>
      <c r="E9562" t="n">
        <v>1756</v>
      </c>
    </row>
    <row r="9563">
      <c r="A9563" t="inlineStr">
        <is>
          <t>27BBBBB09563Z5</t>
        </is>
      </c>
      <c r="B9563" t="inlineStr">
        <is>
          <t>Mar-2020</t>
        </is>
      </c>
      <c r="C9563" s="2" t="n">
        <v>44772</v>
      </c>
      <c r="D9563" t="inlineStr">
        <is>
          <t>NIL</t>
        </is>
      </c>
      <c r="E9563" t="n">
        <v>812</v>
      </c>
    </row>
    <row r="9564">
      <c r="A9564" t="inlineStr">
        <is>
          <t>27BBBBB09564Z5</t>
        </is>
      </c>
      <c r="B9564" t="inlineStr">
        <is>
          <t>Nov-2018</t>
        </is>
      </c>
      <c r="C9564" s="2" t="n">
        <v>43180</v>
      </c>
      <c r="D9564" t="inlineStr">
        <is>
          <t>NON-NIL</t>
        </is>
      </c>
      <c r="E9564" t="n">
        <v>2082</v>
      </c>
    </row>
    <row r="9565">
      <c r="A9565" t="inlineStr">
        <is>
          <t>27BBBBB09565Z5</t>
        </is>
      </c>
      <c r="B9565" t="inlineStr">
        <is>
          <t>Jun-2020</t>
        </is>
      </c>
      <c r="C9565" s="2" t="n">
        <v>43994</v>
      </c>
      <c r="D9565" t="inlineStr">
        <is>
          <t>NON-NIL</t>
        </is>
      </c>
      <c r="E9565" t="n">
        <v>618</v>
      </c>
    </row>
    <row r="9566">
      <c r="A9566" t="inlineStr">
        <is>
          <t>27BBBBB09566Z5</t>
        </is>
      </c>
      <c r="B9566" t="inlineStr">
        <is>
          <t>Jan-2018</t>
        </is>
      </c>
      <c r="C9566" s="2" t="n">
        <v>43609</v>
      </c>
      <c r="D9566" t="inlineStr">
        <is>
          <t>NIL</t>
        </is>
      </c>
      <c r="E9566" t="n">
        <v>2287</v>
      </c>
    </row>
    <row r="9567">
      <c r="A9567" t="inlineStr">
        <is>
          <t>27BBBBB09567Z5</t>
        </is>
      </c>
      <c r="B9567" t="inlineStr">
        <is>
          <t>Jan-2021</t>
        </is>
      </c>
      <c r="C9567" s="2" t="n">
        <v>45669</v>
      </c>
      <c r="D9567" t="inlineStr">
        <is>
          <t>NIL</t>
        </is>
      </c>
      <c r="E9567" t="n">
        <v>1457</v>
      </c>
    </row>
    <row r="9568">
      <c r="A9568" t="inlineStr">
        <is>
          <t>27BBBBB09568Z5</t>
        </is>
      </c>
      <c r="B9568" t="inlineStr">
        <is>
          <t>Dec-2024</t>
        </is>
      </c>
      <c r="C9568" s="2" t="n">
        <v>43858</v>
      </c>
      <c r="D9568" t="inlineStr">
        <is>
          <t>NIL</t>
        </is>
      </c>
      <c r="E9568" t="n">
        <v>1773</v>
      </c>
    </row>
    <row r="9569">
      <c r="A9569" t="inlineStr">
        <is>
          <t>27BBBBB09569Z5</t>
        </is>
      </c>
      <c r="B9569" t="inlineStr">
        <is>
          <t>Apr-2020</t>
        </is>
      </c>
      <c r="C9569" s="2" t="n">
        <v>44178</v>
      </c>
      <c r="D9569" t="inlineStr">
        <is>
          <t>NON-NIL</t>
        </is>
      </c>
      <c r="E9569" t="n">
        <v>401</v>
      </c>
    </row>
    <row r="9570">
      <c r="A9570" t="inlineStr">
        <is>
          <t>27BBBBB09570Z5</t>
        </is>
      </c>
      <c r="B9570" t="inlineStr">
        <is>
          <t>Jul-2020</t>
        </is>
      </c>
      <c r="C9570" s="2" t="n">
        <v>43881</v>
      </c>
      <c r="D9570" t="inlineStr">
        <is>
          <t>NIL</t>
        </is>
      </c>
      <c r="E9570" t="n">
        <v>735</v>
      </c>
    </row>
    <row r="9571">
      <c r="A9571" t="inlineStr">
        <is>
          <t>27BBBBB09571Z5</t>
        </is>
      </c>
      <c r="B9571" t="inlineStr">
        <is>
          <t>Jan-2018</t>
        </is>
      </c>
      <c r="C9571" s="2" t="n">
        <v>44529</v>
      </c>
      <c r="D9571" t="inlineStr">
        <is>
          <t>NON-NIL</t>
        </is>
      </c>
      <c r="E9571" t="n">
        <v>1852</v>
      </c>
    </row>
    <row r="9572">
      <c r="A9572" t="inlineStr">
        <is>
          <t>27BBBBB09572Z5</t>
        </is>
      </c>
      <c r="B9572" t="inlineStr">
        <is>
          <t>Mar-2023</t>
        </is>
      </c>
      <c r="C9572" s="2" t="n">
        <v>43531</v>
      </c>
      <c r="D9572" t="inlineStr">
        <is>
          <t>NON-NIL</t>
        </is>
      </c>
      <c r="E9572" t="n">
        <v>905</v>
      </c>
    </row>
    <row r="9573">
      <c r="A9573" t="inlineStr">
        <is>
          <t>27BBBBB09573Z5</t>
        </is>
      </c>
      <c r="B9573" t="inlineStr">
        <is>
          <t>Sep-2017</t>
        </is>
      </c>
      <c r="C9573" s="2" t="n">
        <v>43342</v>
      </c>
      <c r="D9573" t="inlineStr">
        <is>
          <t>NON-NIL</t>
        </is>
      </c>
      <c r="E9573" t="n">
        <v>1453</v>
      </c>
    </row>
    <row r="9574">
      <c r="A9574" t="inlineStr">
        <is>
          <t>27BBBBB09574Z5</t>
        </is>
      </c>
      <c r="B9574" t="inlineStr">
        <is>
          <t>Dec-2022</t>
        </is>
      </c>
      <c r="C9574" s="2" t="n">
        <v>44985</v>
      </c>
      <c r="D9574" t="inlineStr">
        <is>
          <t>NIL</t>
        </is>
      </c>
      <c r="E9574" t="n">
        <v>1669</v>
      </c>
    </row>
    <row r="9575">
      <c r="A9575" t="inlineStr">
        <is>
          <t>27BBBBB09575Z5</t>
        </is>
      </c>
      <c r="B9575" t="inlineStr">
        <is>
          <t>Jan-2018</t>
        </is>
      </c>
      <c r="C9575" s="2" t="n">
        <v>44002</v>
      </c>
      <c r="D9575" t="inlineStr">
        <is>
          <t>NIL</t>
        </is>
      </c>
      <c r="E9575" t="n">
        <v>730</v>
      </c>
    </row>
    <row r="9576">
      <c r="A9576" t="inlineStr">
        <is>
          <t>27BBBBB09576Z5</t>
        </is>
      </c>
      <c r="B9576" t="inlineStr">
        <is>
          <t>Nov-2018</t>
        </is>
      </c>
      <c r="C9576" s="2" t="n">
        <v>44166</v>
      </c>
      <c r="D9576" t="inlineStr">
        <is>
          <t>NON-NIL</t>
        </is>
      </c>
      <c r="E9576" t="n">
        <v>2780</v>
      </c>
    </row>
    <row r="9577">
      <c r="A9577" t="inlineStr">
        <is>
          <t>27BBBBB09577Z5</t>
        </is>
      </c>
      <c r="B9577" t="inlineStr">
        <is>
          <t>Dec-2022</t>
        </is>
      </c>
      <c r="C9577" s="2" t="n">
        <v>43936</v>
      </c>
      <c r="D9577" t="inlineStr">
        <is>
          <t>NIL</t>
        </is>
      </c>
      <c r="E9577" t="n">
        <v>1516</v>
      </c>
    </row>
    <row r="9578">
      <c r="A9578" t="inlineStr">
        <is>
          <t>27BBBBB09578Z5</t>
        </is>
      </c>
      <c r="B9578" t="inlineStr">
        <is>
          <t>Sep-2018</t>
        </is>
      </c>
      <c r="C9578" s="2" t="n">
        <v>43575</v>
      </c>
      <c r="D9578" t="inlineStr">
        <is>
          <t>NON-NIL</t>
        </is>
      </c>
      <c r="E9578" t="n">
        <v>2828</v>
      </c>
    </row>
    <row r="9579">
      <c r="A9579" t="inlineStr">
        <is>
          <t>27BBBBB09579Z5</t>
        </is>
      </c>
      <c r="B9579" t="inlineStr">
        <is>
          <t>Apr-2020</t>
        </is>
      </c>
      <c r="C9579" s="2" t="n">
        <v>43990</v>
      </c>
      <c r="D9579" t="inlineStr">
        <is>
          <t>NIL</t>
        </is>
      </c>
      <c r="E9579" t="n">
        <v>309</v>
      </c>
    </row>
    <row r="9580">
      <c r="A9580" t="inlineStr">
        <is>
          <t>27BBBBB09580Z5</t>
        </is>
      </c>
      <c r="B9580" t="inlineStr">
        <is>
          <t>Mar-2021</t>
        </is>
      </c>
      <c r="C9580" s="2" t="n">
        <v>45655</v>
      </c>
      <c r="D9580" t="inlineStr">
        <is>
          <t>NIL</t>
        </is>
      </c>
      <c r="E9580" t="n">
        <v>2520</v>
      </c>
    </row>
    <row r="9581">
      <c r="A9581" t="inlineStr">
        <is>
          <t>27BBBBB09581Z5</t>
        </is>
      </c>
      <c r="B9581" t="inlineStr">
        <is>
          <t>Dec-2018</t>
        </is>
      </c>
      <c r="C9581" s="2" t="n">
        <v>43101</v>
      </c>
      <c r="D9581" t="inlineStr">
        <is>
          <t>NON-NIL</t>
        </is>
      </c>
      <c r="E9581" t="n">
        <v>1787</v>
      </c>
    </row>
    <row r="9582">
      <c r="A9582" t="inlineStr">
        <is>
          <t>27BBBBB09582Z5</t>
        </is>
      </c>
      <c r="B9582" t="inlineStr">
        <is>
          <t>Mar-2023</t>
        </is>
      </c>
      <c r="C9582" s="2" t="n">
        <v>43503</v>
      </c>
      <c r="D9582" t="inlineStr">
        <is>
          <t>NIL</t>
        </is>
      </c>
      <c r="E9582" t="n">
        <v>2931</v>
      </c>
    </row>
    <row r="9583">
      <c r="A9583" t="inlineStr">
        <is>
          <t>27BBBBB09583Z5</t>
        </is>
      </c>
      <c r="B9583" t="inlineStr">
        <is>
          <t>Oct-2017</t>
        </is>
      </c>
      <c r="C9583" s="2" t="n">
        <v>43235</v>
      </c>
      <c r="D9583" t="inlineStr">
        <is>
          <t>NIL</t>
        </is>
      </c>
      <c r="E9583" t="n">
        <v>1227</v>
      </c>
    </row>
    <row r="9584">
      <c r="A9584" t="inlineStr">
        <is>
          <t>27BBBBB09584Z5</t>
        </is>
      </c>
      <c r="B9584" t="inlineStr">
        <is>
          <t>Oct-2018</t>
        </is>
      </c>
      <c r="C9584" s="2" t="n">
        <v>43118</v>
      </c>
      <c r="D9584" t="inlineStr">
        <is>
          <t>NON-NIL</t>
        </is>
      </c>
      <c r="E9584" t="n">
        <v>973</v>
      </c>
    </row>
    <row r="9585">
      <c r="A9585" t="inlineStr">
        <is>
          <t>27BBBBB09585Z5</t>
        </is>
      </c>
      <c r="B9585" t="inlineStr">
        <is>
          <t>Dec-2018</t>
        </is>
      </c>
      <c r="C9585" s="2" t="n">
        <v>44303</v>
      </c>
      <c r="D9585" t="inlineStr">
        <is>
          <t>NON-NIL</t>
        </is>
      </c>
      <c r="E9585" t="n">
        <v>132</v>
      </c>
    </row>
    <row r="9586">
      <c r="A9586" t="inlineStr">
        <is>
          <t>27BBBBB09586Z5</t>
        </is>
      </c>
      <c r="B9586" t="inlineStr">
        <is>
          <t>Oct-2017</t>
        </is>
      </c>
      <c r="C9586" s="2" t="n">
        <v>44522</v>
      </c>
      <c r="D9586" t="inlineStr">
        <is>
          <t>NIL</t>
        </is>
      </c>
      <c r="E9586" t="n">
        <v>1388</v>
      </c>
    </row>
    <row r="9587">
      <c r="A9587" t="inlineStr">
        <is>
          <t>27BBBBB09587Z5</t>
        </is>
      </c>
      <c r="B9587" t="inlineStr">
        <is>
          <t>Mar-2023</t>
        </is>
      </c>
      <c r="C9587" s="2" t="n">
        <v>44627</v>
      </c>
      <c r="D9587" t="inlineStr">
        <is>
          <t>NIL</t>
        </is>
      </c>
      <c r="E9587" t="n">
        <v>2809</v>
      </c>
    </row>
    <row r="9588">
      <c r="A9588" t="inlineStr">
        <is>
          <t>27BBBBB09588Z5</t>
        </is>
      </c>
      <c r="B9588" t="inlineStr">
        <is>
          <t>Mar-2021</t>
        </is>
      </c>
      <c r="C9588" s="2" t="n">
        <v>44292</v>
      </c>
      <c r="D9588" t="inlineStr">
        <is>
          <t>NIL</t>
        </is>
      </c>
      <c r="E9588" t="n">
        <v>1393</v>
      </c>
    </row>
    <row r="9589">
      <c r="A9589" t="inlineStr">
        <is>
          <t>27BBBBB09589Z5</t>
        </is>
      </c>
      <c r="B9589" t="inlineStr">
        <is>
          <t>Apr-2020</t>
        </is>
      </c>
      <c r="C9589" s="2" t="n">
        <v>44700</v>
      </c>
      <c r="D9589" t="inlineStr">
        <is>
          <t>NIL</t>
        </is>
      </c>
      <c r="E9589" t="n">
        <v>248</v>
      </c>
    </row>
    <row r="9590">
      <c r="A9590" t="inlineStr">
        <is>
          <t>27BBBBB09590Z5</t>
        </is>
      </c>
      <c r="B9590" t="inlineStr">
        <is>
          <t>Dec-2024</t>
        </is>
      </c>
      <c r="C9590" s="2" t="n">
        <v>45347</v>
      </c>
      <c r="D9590" t="inlineStr">
        <is>
          <t>NIL</t>
        </is>
      </c>
      <c r="E9590" t="n">
        <v>1344</v>
      </c>
    </row>
    <row r="9591">
      <c r="A9591" t="inlineStr">
        <is>
          <t>27BBBBB09591Z5</t>
        </is>
      </c>
      <c r="B9591" t="inlineStr">
        <is>
          <t>May-2018</t>
        </is>
      </c>
      <c r="C9591" s="2" t="n">
        <v>43333</v>
      </c>
      <c r="D9591" t="inlineStr">
        <is>
          <t>NIL</t>
        </is>
      </c>
      <c r="E9591" t="n">
        <v>2540</v>
      </c>
    </row>
    <row r="9592">
      <c r="A9592" t="inlineStr">
        <is>
          <t>27BBBBB09592Z5</t>
        </is>
      </c>
      <c r="B9592" t="inlineStr">
        <is>
          <t>Aug-2018</t>
        </is>
      </c>
      <c r="C9592" s="2" t="n">
        <v>43192</v>
      </c>
      <c r="D9592" t="inlineStr">
        <is>
          <t>NON-NIL</t>
        </is>
      </c>
      <c r="E9592" t="n">
        <v>1830</v>
      </c>
    </row>
    <row r="9593">
      <c r="A9593" t="inlineStr">
        <is>
          <t>27BBBBB09593Z5</t>
        </is>
      </c>
      <c r="B9593" t="inlineStr">
        <is>
          <t>Sep-2017</t>
        </is>
      </c>
      <c r="C9593" s="2" t="n">
        <v>44048</v>
      </c>
      <c r="D9593" t="inlineStr">
        <is>
          <t>NON-NIL</t>
        </is>
      </c>
      <c r="E9593" t="n">
        <v>2396</v>
      </c>
    </row>
    <row r="9594">
      <c r="A9594" t="inlineStr">
        <is>
          <t>27BBBBB09594Z5</t>
        </is>
      </c>
      <c r="B9594" t="inlineStr">
        <is>
          <t>Nov-2018</t>
        </is>
      </c>
      <c r="C9594" s="2" t="n">
        <v>43757</v>
      </c>
      <c r="D9594" t="inlineStr">
        <is>
          <t>NIL</t>
        </is>
      </c>
      <c r="E9594" t="n">
        <v>243</v>
      </c>
    </row>
    <row r="9595">
      <c r="A9595" t="inlineStr">
        <is>
          <t>27BBBBB09595Z5</t>
        </is>
      </c>
      <c r="B9595" t="inlineStr">
        <is>
          <t>Oct-2017</t>
        </is>
      </c>
      <c r="C9595" s="2" t="n">
        <v>43827</v>
      </c>
      <c r="D9595" t="inlineStr">
        <is>
          <t>NON-NIL</t>
        </is>
      </c>
      <c r="E9595" t="n">
        <v>1729</v>
      </c>
    </row>
    <row r="9596">
      <c r="A9596" t="inlineStr">
        <is>
          <t>27BBBBB09596Z5</t>
        </is>
      </c>
      <c r="B9596" t="inlineStr">
        <is>
          <t>Dec-2017</t>
        </is>
      </c>
      <c r="C9596" s="2" t="n">
        <v>43747</v>
      </c>
      <c r="D9596" t="inlineStr">
        <is>
          <t>NIL</t>
        </is>
      </c>
      <c r="E9596" t="n">
        <v>2504</v>
      </c>
    </row>
    <row r="9597">
      <c r="A9597" t="inlineStr">
        <is>
          <t>27BBBBB09597Z5</t>
        </is>
      </c>
      <c r="B9597" t="inlineStr">
        <is>
          <t>Jun-2020</t>
        </is>
      </c>
      <c r="C9597" s="2" t="n">
        <v>44350</v>
      </c>
      <c r="D9597" t="inlineStr">
        <is>
          <t>NIL</t>
        </is>
      </c>
      <c r="E9597" t="n">
        <v>2935</v>
      </c>
    </row>
    <row r="9598">
      <c r="A9598" t="inlineStr">
        <is>
          <t>27BBBBB09598Z5</t>
        </is>
      </c>
      <c r="B9598" t="inlineStr">
        <is>
          <t>Oct-2018</t>
        </is>
      </c>
      <c r="C9598" s="2" t="n">
        <v>44305</v>
      </c>
      <c r="D9598" t="inlineStr">
        <is>
          <t>NON-NIL</t>
        </is>
      </c>
      <c r="E9598" t="n">
        <v>1518</v>
      </c>
    </row>
    <row r="9599">
      <c r="A9599" t="inlineStr">
        <is>
          <t>27BBBBB09599Z5</t>
        </is>
      </c>
      <c r="B9599" t="inlineStr">
        <is>
          <t>Feb-2018</t>
        </is>
      </c>
      <c r="C9599" s="2" t="n">
        <v>43879</v>
      </c>
      <c r="D9599" t="inlineStr">
        <is>
          <t>NON-NIL</t>
        </is>
      </c>
      <c r="E9599" t="n">
        <v>2645</v>
      </c>
    </row>
    <row r="9600">
      <c r="A9600" t="inlineStr">
        <is>
          <t>27BBBBB09600Z5</t>
        </is>
      </c>
      <c r="B9600" t="inlineStr">
        <is>
          <t>Jul-2018</t>
        </is>
      </c>
      <c r="C9600" s="2" t="n">
        <v>44182</v>
      </c>
      <c r="D9600" t="inlineStr">
        <is>
          <t>NON-NIL</t>
        </is>
      </c>
      <c r="E9600" t="n">
        <v>2252</v>
      </c>
    </row>
    <row r="9601">
      <c r="A9601" t="inlineStr">
        <is>
          <t>27BBBBB09601Z5</t>
        </is>
      </c>
      <c r="B9601" t="inlineStr">
        <is>
          <t>Dec-2017</t>
        </is>
      </c>
      <c r="C9601" s="2" t="n">
        <v>43728</v>
      </c>
      <c r="D9601" t="inlineStr">
        <is>
          <t>NIL</t>
        </is>
      </c>
      <c r="E9601" t="n">
        <v>2903</v>
      </c>
    </row>
    <row r="9602">
      <c r="A9602" t="inlineStr">
        <is>
          <t>27BBBBB09602Z5</t>
        </is>
      </c>
      <c r="B9602" t="inlineStr">
        <is>
          <t>Jul-2018</t>
        </is>
      </c>
      <c r="C9602" s="2" t="n">
        <v>44153</v>
      </c>
      <c r="D9602" t="inlineStr">
        <is>
          <t>NIL</t>
        </is>
      </c>
      <c r="E9602" t="n">
        <v>2296</v>
      </c>
    </row>
    <row r="9603">
      <c r="A9603" t="inlineStr">
        <is>
          <t>27BBBBB09603Z5</t>
        </is>
      </c>
      <c r="B9603" t="inlineStr">
        <is>
          <t>Mar-2023</t>
        </is>
      </c>
      <c r="C9603" s="2" t="n">
        <v>43543</v>
      </c>
      <c r="D9603" t="inlineStr">
        <is>
          <t>NON-NIL</t>
        </is>
      </c>
      <c r="E9603" t="n">
        <v>485</v>
      </c>
    </row>
    <row r="9604">
      <c r="A9604" t="inlineStr">
        <is>
          <t>27BBBBB09604Z5</t>
        </is>
      </c>
      <c r="B9604" t="inlineStr">
        <is>
          <t>Sep-2018</t>
        </is>
      </c>
      <c r="C9604" s="2" t="n">
        <v>44180</v>
      </c>
      <c r="D9604" t="inlineStr">
        <is>
          <t>NON-NIL</t>
        </is>
      </c>
      <c r="E9604" t="n">
        <v>2276</v>
      </c>
    </row>
    <row r="9605">
      <c r="A9605" t="inlineStr">
        <is>
          <t>27BBBBB09605Z5</t>
        </is>
      </c>
      <c r="B9605" t="inlineStr">
        <is>
          <t>Dec-2018</t>
        </is>
      </c>
      <c r="C9605" s="2" t="n">
        <v>44294</v>
      </c>
      <c r="D9605" t="inlineStr">
        <is>
          <t>NIL</t>
        </is>
      </c>
      <c r="E9605" t="n">
        <v>171</v>
      </c>
    </row>
    <row r="9606">
      <c r="A9606" t="inlineStr">
        <is>
          <t>27BBBBB09606Z5</t>
        </is>
      </c>
      <c r="B9606" t="inlineStr">
        <is>
          <t>Feb-2018</t>
        </is>
      </c>
      <c r="C9606" s="2" t="n">
        <v>43376</v>
      </c>
      <c r="D9606" t="inlineStr">
        <is>
          <t>NON-NIL</t>
        </is>
      </c>
      <c r="E9606" t="n">
        <v>209</v>
      </c>
    </row>
    <row r="9607">
      <c r="A9607" t="inlineStr">
        <is>
          <t>27BBBBB09607Z5</t>
        </is>
      </c>
      <c r="B9607" t="inlineStr">
        <is>
          <t>Jul-2017</t>
        </is>
      </c>
      <c r="C9607" s="2" t="n">
        <v>43357</v>
      </c>
      <c r="D9607" t="inlineStr">
        <is>
          <t>NON-NIL</t>
        </is>
      </c>
      <c r="E9607" t="n">
        <v>1573</v>
      </c>
    </row>
    <row r="9608">
      <c r="A9608" t="inlineStr">
        <is>
          <t>27BBBBB09608Z5</t>
        </is>
      </c>
      <c r="B9608" t="inlineStr">
        <is>
          <t>Jul-2018</t>
        </is>
      </c>
      <c r="C9608" s="2" t="n">
        <v>42997</v>
      </c>
      <c r="D9608" t="inlineStr">
        <is>
          <t>NIL</t>
        </is>
      </c>
      <c r="E9608" t="n">
        <v>736</v>
      </c>
    </row>
    <row r="9609">
      <c r="A9609" t="inlineStr">
        <is>
          <t>27BBBBB09609Z5</t>
        </is>
      </c>
      <c r="B9609" t="inlineStr">
        <is>
          <t>Mar-2023</t>
        </is>
      </c>
      <c r="C9609" s="2" t="n">
        <v>45593</v>
      </c>
      <c r="D9609" t="inlineStr">
        <is>
          <t>NON-NIL</t>
        </is>
      </c>
      <c r="E9609" t="n">
        <v>1342</v>
      </c>
    </row>
    <row r="9610">
      <c r="A9610" t="inlineStr">
        <is>
          <t>27BBBBB09610Z5</t>
        </is>
      </c>
      <c r="B9610" t="inlineStr">
        <is>
          <t>Aug-2017</t>
        </is>
      </c>
      <c r="C9610" s="2" t="n">
        <v>43344</v>
      </c>
      <c r="D9610" t="inlineStr">
        <is>
          <t>NON-NIL</t>
        </is>
      </c>
      <c r="E9610" t="n">
        <v>2779</v>
      </c>
    </row>
    <row r="9611">
      <c r="A9611" t="inlineStr">
        <is>
          <t>27BBBBB09611Z5</t>
        </is>
      </c>
      <c r="B9611" t="inlineStr">
        <is>
          <t>Sep-2018</t>
        </is>
      </c>
      <c r="C9611" s="2" t="n">
        <v>44509</v>
      </c>
      <c r="D9611" t="inlineStr">
        <is>
          <t>NIL</t>
        </is>
      </c>
      <c r="E9611" t="n">
        <v>26</v>
      </c>
    </row>
    <row r="9612">
      <c r="A9612" t="inlineStr">
        <is>
          <t>27BBBBB09612Z5</t>
        </is>
      </c>
      <c r="B9612" t="inlineStr">
        <is>
          <t>Aug-2018</t>
        </is>
      </c>
      <c r="C9612" s="2" t="n">
        <v>43974</v>
      </c>
      <c r="D9612" t="inlineStr">
        <is>
          <t>NON-NIL</t>
        </is>
      </c>
      <c r="E9612" t="n">
        <v>792</v>
      </c>
    </row>
    <row r="9613">
      <c r="A9613" t="inlineStr">
        <is>
          <t>27BBBBB09613Z5</t>
        </is>
      </c>
      <c r="B9613" t="inlineStr">
        <is>
          <t>Mar-2021</t>
        </is>
      </c>
      <c r="C9613" s="2" t="n">
        <v>43770</v>
      </c>
      <c r="D9613" t="inlineStr">
        <is>
          <t>NON-NIL</t>
        </is>
      </c>
      <c r="E9613" t="n">
        <v>1014</v>
      </c>
    </row>
    <row r="9614">
      <c r="A9614" t="inlineStr">
        <is>
          <t>27BBBBB09614Z5</t>
        </is>
      </c>
      <c r="B9614" t="inlineStr">
        <is>
          <t>Aug-2018</t>
        </is>
      </c>
      <c r="C9614" s="2" t="n">
        <v>43834</v>
      </c>
      <c r="D9614" t="inlineStr">
        <is>
          <t>NIL</t>
        </is>
      </c>
      <c r="E9614" t="n">
        <v>1020</v>
      </c>
    </row>
    <row r="9615">
      <c r="A9615" t="inlineStr">
        <is>
          <t>27BBBBB09615Z5</t>
        </is>
      </c>
      <c r="B9615" t="inlineStr">
        <is>
          <t>Jul-2020</t>
        </is>
      </c>
      <c r="C9615" s="2" t="n">
        <v>43992</v>
      </c>
      <c r="D9615" t="inlineStr">
        <is>
          <t>NIL</t>
        </is>
      </c>
      <c r="E9615" t="n">
        <v>2757</v>
      </c>
    </row>
    <row r="9616">
      <c r="A9616" t="inlineStr">
        <is>
          <t>27BBBBB09616Z5</t>
        </is>
      </c>
      <c r="B9616" t="inlineStr">
        <is>
          <t>Oct-2017</t>
        </is>
      </c>
      <c r="C9616" s="2" t="n">
        <v>44375</v>
      </c>
      <c r="D9616" t="inlineStr">
        <is>
          <t>NIL</t>
        </is>
      </c>
      <c r="E9616" t="n">
        <v>2552</v>
      </c>
    </row>
    <row r="9617">
      <c r="A9617" t="inlineStr">
        <is>
          <t>27BBBBB09617Z5</t>
        </is>
      </c>
      <c r="B9617" t="inlineStr">
        <is>
          <t>Apr-2018</t>
        </is>
      </c>
      <c r="C9617" s="2" t="n">
        <v>43640</v>
      </c>
      <c r="D9617" t="inlineStr">
        <is>
          <t>NON-NIL</t>
        </is>
      </c>
      <c r="E9617" t="n">
        <v>1453</v>
      </c>
    </row>
    <row r="9618">
      <c r="A9618" t="inlineStr">
        <is>
          <t>27BBBBB09618Z5</t>
        </is>
      </c>
      <c r="B9618" t="inlineStr">
        <is>
          <t>Jun-2020</t>
        </is>
      </c>
      <c r="C9618" s="2" t="n">
        <v>44043</v>
      </c>
      <c r="D9618" t="inlineStr">
        <is>
          <t>NIL</t>
        </is>
      </c>
      <c r="E9618" t="n">
        <v>125</v>
      </c>
    </row>
    <row r="9619">
      <c r="A9619" t="inlineStr">
        <is>
          <t>27BBBBB09619Z5</t>
        </is>
      </c>
      <c r="B9619" t="inlineStr">
        <is>
          <t>Oct-2017</t>
        </is>
      </c>
      <c r="C9619" s="2" t="n">
        <v>43256</v>
      </c>
      <c r="D9619" t="inlineStr">
        <is>
          <t>NIL</t>
        </is>
      </c>
      <c r="E9619" t="n">
        <v>2044</v>
      </c>
    </row>
    <row r="9620">
      <c r="A9620" t="inlineStr">
        <is>
          <t>27BBBBB09620Z5</t>
        </is>
      </c>
      <c r="B9620" t="inlineStr">
        <is>
          <t>Feb-2018</t>
        </is>
      </c>
      <c r="C9620" s="2" t="n">
        <v>42963</v>
      </c>
      <c r="D9620" t="inlineStr">
        <is>
          <t>NIL</t>
        </is>
      </c>
      <c r="E9620" t="n">
        <v>1538</v>
      </c>
    </row>
    <row r="9621">
      <c r="A9621" t="inlineStr">
        <is>
          <t>27BBBBB09621Z5</t>
        </is>
      </c>
      <c r="B9621" t="inlineStr">
        <is>
          <t>Jan-2018</t>
        </is>
      </c>
      <c r="C9621" s="2" t="n">
        <v>43508</v>
      </c>
      <c r="D9621" t="inlineStr">
        <is>
          <t>NIL</t>
        </is>
      </c>
      <c r="E9621" t="n">
        <v>339</v>
      </c>
    </row>
    <row r="9622">
      <c r="A9622" t="inlineStr">
        <is>
          <t>27BBBBB09622Z5</t>
        </is>
      </c>
      <c r="B9622" t="inlineStr">
        <is>
          <t>Jul-2017</t>
        </is>
      </c>
      <c r="C9622" s="2" t="n">
        <v>44479</v>
      </c>
      <c r="D9622" t="inlineStr">
        <is>
          <t>NON-NIL</t>
        </is>
      </c>
      <c r="E9622" t="n">
        <v>83</v>
      </c>
    </row>
    <row r="9623">
      <c r="A9623" t="inlineStr">
        <is>
          <t>27BBBBB09623Z5</t>
        </is>
      </c>
      <c r="B9623" t="inlineStr">
        <is>
          <t>Nov-2017</t>
        </is>
      </c>
      <c r="C9623" s="2" t="n">
        <v>44497</v>
      </c>
      <c r="D9623" t="inlineStr">
        <is>
          <t>NON-NIL</t>
        </is>
      </c>
      <c r="E9623" t="n">
        <v>684</v>
      </c>
    </row>
    <row r="9624">
      <c r="A9624" t="inlineStr">
        <is>
          <t>27BBBBB09624Z5</t>
        </is>
      </c>
      <c r="B9624" t="inlineStr">
        <is>
          <t>Mar-2023</t>
        </is>
      </c>
      <c r="C9624" s="2" t="n">
        <v>44819</v>
      </c>
      <c r="D9624" t="inlineStr">
        <is>
          <t>NON-NIL</t>
        </is>
      </c>
      <c r="E9624" t="n">
        <v>1870</v>
      </c>
    </row>
    <row r="9625">
      <c r="A9625" t="inlineStr">
        <is>
          <t>27BBBBB09625Z5</t>
        </is>
      </c>
      <c r="B9625" t="inlineStr">
        <is>
          <t>Mar-2021</t>
        </is>
      </c>
      <c r="C9625" s="2" t="n">
        <v>44172</v>
      </c>
      <c r="D9625" t="inlineStr">
        <is>
          <t>NON-NIL</t>
        </is>
      </c>
      <c r="E9625" t="n">
        <v>341</v>
      </c>
    </row>
    <row r="9626">
      <c r="A9626" t="inlineStr">
        <is>
          <t>27BBBBB09626Z5</t>
        </is>
      </c>
      <c r="B9626" t="inlineStr">
        <is>
          <t>Dec-2024</t>
        </is>
      </c>
      <c r="C9626" s="2" t="n">
        <v>44769</v>
      </c>
      <c r="D9626" t="inlineStr">
        <is>
          <t>NON-NIL</t>
        </is>
      </c>
      <c r="E9626" t="n">
        <v>992</v>
      </c>
    </row>
    <row r="9627">
      <c r="A9627" t="inlineStr">
        <is>
          <t>27BBBBB09627Z5</t>
        </is>
      </c>
      <c r="B9627" t="inlineStr">
        <is>
          <t>Jul-2018</t>
        </is>
      </c>
      <c r="C9627" s="2" t="n">
        <v>43147</v>
      </c>
      <c r="D9627" t="inlineStr">
        <is>
          <t>NIL</t>
        </is>
      </c>
      <c r="E9627" t="n">
        <v>2032</v>
      </c>
    </row>
    <row r="9628">
      <c r="A9628" t="inlineStr">
        <is>
          <t>27BBBBB09628Z5</t>
        </is>
      </c>
      <c r="B9628" t="inlineStr">
        <is>
          <t>Jan-2018</t>
        </is>
      </c>
      <c r="C9628" s="2" t="n">
        <v>43634</v>
      </c>
      <c r="D9628" t="inlineStr">
        <is>
          <t>NON-NIL</t>
        </is>
      </c>
      <c r="E9628" t="n">
        <v>2230</v>
      </c>
    </row>
    <row r="9629">
      <c r="A9629" t="inlineStr">
        <is>
          <t>27BBBBB09629Z5</t>
        </is>
      </c>
      <c r="B9629" t="inlineStr">
        <is>
          <t>Jun-2020</t>
        </is>
      </c>
      <c r="C9629" s="2" t="n">
        <v>44131</v>
      </c>
      <c r="D9629" t="inlineStr">
        <is>
          <t>NON-NIL</t>
        </is>
      </c>
      <c r="E9629" t="n">
        <v>797</v>
      </c>
    </row>
    <row r="9630">
      <c r="A9630" t="inlineStr">
        <is>
          <t>27BBBBB09630Z5</t>
        </is>
      </c>
      <c r="B9630" t="inlineStr">
        <is>
          <t>Apr-2018</t>
        </is>
      </c>
      <c r="C9630" s="2" t="n">
        <v>43993</v>
      </c>
      <c r="D9630" t="inlineStr">
        <is>
          <t>NIL</t>
        </is>
      </c>
      <c r="E9630" t="n">
        <v>584</v>
      </c>
    </row>
    <row r="9631">
      <c r="A9631" t="inlineStr">
        <is>
          <t>27BBBBB09631Z5</t>
        </is>
      </c>
      <c r="B9631" t="inlineStr">
        <is>
          <t>Nov-2018</t>
        </is>
      </c>
      <c r="C9631" s="2" t="n">
        <v>42931</v>
      </c>
      <c r="D9631" t="inlineStr">
        <is>
          <t>NON-NIL</t>
        </is>
      </c>
      <c r="E9631" t="n">
        <v>1834</v>
      </c>
    </row>
    <row r="9632">
      <c r="A9632" t="inlineStr">
        <is>
          <t>27BBBBB09632Z5</t>
        </is>
      </c>
      <c r="B9632" t="inlineStr">
        <is>
          <t>Jul-2018</t>
        </is>
      </c>
      <c r="C9632" s="2" t="n">
        <v>43262</v>
      </c>
      <c r="D9632" t="inlineStr">
        <is>
          <t>NIL</t>
        </is>
      </c>
      <c r="E9632" t="n">
        <v>1576</v>
      </c>
    </row>
    <row r="9633">
      <c r="A9633" t="inlineStr">
        <is>
          <t>27BBBBB09633Z5</t>
        </is>
      </c>
      <c r="B9633" t="inlineStr">
        <is>
          <t>Dec-2017</t>
        </is>
      </c>
      <c r="C9633" s="2" t="n">
        <v>43402</v>
      </c>
      <c r="D9633" t="inlineStr">
        <is>
          <t>NIL</t>
        </is>
      </c>
      <c r="E9633" t="n">
        <v>1678</v>
      </c>
    </row>
    <row r="9634">
      <c r="A9634" t="inlineStr">
        <is>
          <t>27BBBBB09634Z5</t>
        </is>
      </c>
      <c r="B9634" t="inlineStr">
        <is>
          <t>Jul-2020</t>
        </is>
      </c>
      <c r="C9634" s="2" t="n">
        <v>44046</v>
      </c>
      <c r="D9634" t="inlineStr">
        <is>
          <t>NIL</t>
        </is>
      </c>
      <c r="E9634" t="n">
        <v>1388</v>
      </c>
    </row>
    <row r="9635">
      <c r="A9635" t="inlineStr">
        <is>
          <t>27BBBBB09635Z5</t>
        </is>
      </c>
      <c r="B9635" t="inlineStr">
        <is>
          <t>Dec-2022</t>
        </is>
      </c>
      <c r="C9635" s="2" t="n">
        <v>43474</v>
      </c>
      <c r="D9635" t="inlineStr">
        <is>
          <t>NIL</t>
        </is>
      </c>
      <c r="E9635" t="n">
        <v>1271</v>
      </c>
    </row>
    <row r="9636">
      <c r="A9636" t="inlineStr">
        <is>
          <t>27BBBBB09636Z5</t>
        </is>
      </c>
      <c r="B9636" t="inlineStr">
        <is>
          <t>Dec-2018</t>
        </is>
      </c>
      <c r="C9636" s="2" t="n">
        <v>44274</v>
      </c>
      <c r="D9636" t="inlineStr">
        <is>
          <t>NON-NIL</t>
        </is>
      </c>
      <c r="E9636" t="n">
        <v>1300</v>
      </c>
    </row>
    <row r="9637">
      <c r="A9637" t="inlineStr">
        <is>
          <t>27BBBBB09637Z5</t>
        </is>
      </c>
      <c r="B9637" t="inlineStr">
        <is>
          <t>Dec-2022</t>
        </is>
      </c>
      <c r="C9637" s="2" t="n">
        <v>44189</v>
      </c>
      <c r="D9637" t="inlineStr">
        <is>
          <t>NON-NIL</t>
        </is>
      </c>
      <c r="E9637" t="n">
        <v>1601</v>
      </c>
    </row>
    <row r="9638">
      <c r="A9638" t="inlineStr">
        <is>
          <t>27BBBBB09638Z5</t>
        </is>
      </c>
      <c r="B9638" t="inlineStr">
        <is>
          <t>Nov-2018</t>
        </is>
      </c>
      <c r="C9638" s="2" t="n">
        <v>43830</v>
      </c>
      <c r="D9638" t="inlineStr">
        <is>
          <t>NIL</t>
        </is>
      </c>
      <c r="E9638" t="n">
        <v>2151</v>
      </c>
    </row>
    <row r="9639">
      <c r="A9639" t="inlineStr">
        <is>
          <t>27BBBBB09639Z5</t>
        </is>
      </c>
      <c r="B9639" t="inlineStr">
        <is>
          <t>Dec-2018</t>
        </is>
      </c>
      <c r="C9639" s="2" t="n">
        <v>42999</v>
      </c>
      <c r="D9639" t="inlineStr">
        <is>
          <t>NON-NIL</t>
        </is>
      </c>
      <c r="E9639" t="n">
        <v>2850</v>
      </c>
    </row>
    <row r="9640">
      <c r="A9640" t="inlineStr">
        <is>
          <t>27BBBBB09640Z5</t>
        </is>
      </c>
      <c r="B9640" t="inlineStr">
        <is>
          <t>Mar-2023</t>
        </is>
      </c>
      <c r="C9640" s="2" t="n">
        <v>44312</v>
      </c>
      <c r="D9640" t="inlineStr">
        <is>
          <t>NON-NIL</t>
        </is>
      </c>
      <c r="E9640" t="n">
        <v>1964</v>
      </c>
    </row>
    <row r="9641">
      <c r="A9641" t="inlineStr">
        <is>
          <t>27BBBBB09641Z5</t>
        </is>
      </c>
      <c r="B9641" t="inlineStr">
        <is>
          <t>Dec-2022</t>
        </is>
      </c>
      <c r="C9641" s="2" t="n">
        <v>44048</v>
      </c>
      <c r="D9641" t="inlineStr">
        <is>
          <t>NIL</t>
        </is>
      </c>
      <c r="E9641" t="n">
        <v>177</v>
      </c>
    </row>
    <row r="9642">
      <c r="A9642" t="inlineStr">
        <is>
          <t>27BBBBB09642Z5</t>
        </is>
      </c>
      <c r="B9642" t="inlineStr">
        <is>
          <t>Dec-2022</t>
        </is>
      </c>
      <c r="C9642" s="2" t="n">
        <v>44880</v>
      </c>
      <c r="D9642" t="inlineStr">
        <is>
          <t>NON-NIL</t>
        </is>
      </c>
      <c r="E9642" t="n">
        <v>382</v>
      </c>
    </row>
    <row r="9643">
      <c r="A9643" t="inlineStr">
        <is>
          <t>27BBBBB09643Z5</t>
        </is>
      </c>
      <c r="B9643" t="inlineStr">
        <is>
          <t>Feb-2018</t>
        </is>
      </c>
      <c r="C9643" s="2" t="n">
        <v>43875</v>
      </c>
      <c r="D9643" t="inlineStr">
        <is>
          <t>NIL</t>
        </is>
      </c>
      <c r="E9643" t="n">
        <v>2239</v>
      </c>
    </row>
    <row r="9644">
      <c r="A9644" t="inlineStr">
        <is>
          <t>27BBBBB09644Z5</t>
        </is>
      </c>
      <c r="B9644" t="inlineStr">
        <is>
          <t>Dec-2017</t>
        </is>
      </c>
      <c r="C9644" s="2" t="n">
        <v>44176</v>
      </c>
      <c r="D9644" t="inlineStr">
        <is>
          <t>NIL</t>
        </is>
      </c>
      <c r="E9644" t="n">
        <v>724</v>
      </c>
    </row>
    <row r="9645">
      <c r="A9645" t="inlineStr">
        <is>
          <t>27BBBBB09645Z5</t>
        </is>
      </c>
      <c r="B9645" t="inlineStr">
        <is>
          <t>Sep-2018</t>
        </is>
      </c>
      <c r="C9645" s="2" t="n">
        <v>43088</v>
      </c>
      <c r="D9645" t="inlineStr">
        <is>
          <t>NON-NIL</t>
        </is>
      </c>
      <c r="E9645" t="n">
        <v>1161</v>
      </c>
    </row>
    <row r="9646">
      <c r="A9646" t="inlineStr">
        <is>
          <t>27BBBBB09646Z5</t>
        </is>
      </c>
      <c r="B9646" t="inlineStr">
        <is>
          <t>Feb-2018</t>
        </is>
      </c>
      <c r="C9646" s="2" t="n">
        <v>43143</v>
      </c>
      <c r="D9646" t="inlineStr">
        <is>
          <t>NON-NIL</t>
        </is>
      </c>
      <c r="E9646" t="n">
        <v>2541</v>
      </c>
    </row>
    <row r="9647">
      <c r="A9647" t="inlineStr">
        <is>
          <t>27BBBBB09647Z5</t>
        </is>
      </c>
      <c r="B9647" t="inlineStr">
        <is>
          <t>May-2018</t>
        </is>
      </c>
      <c r="C9647" s="2" t="n">
        <v>44233</v>
      </c>
      <c r="D9647" t="inlineStr">
        <is>
          <t>NIL</t>
        </is>
      </c>
      <c r="E9647" t="n">
        <v>247</v>
      </c>
    </row>
    <row r="9648">
      <c r="A9648" t="inlineStr">
        <is>
          <t>27BBBBB09648Z5</t>
        </is>
      </c>
      <c r="B9648" t="inlineStr">
        <is>
          <t>Dec-2022</t>
        </is>
      </c>
      <c r="C9648" s="2" t="n">
        <v>45147</v>
      </c>
      <c r="D9648" t="inlineStr">
        <is>
          <t>NON-NIL</t>
        </is>
      </c>
      <c r="E9648" t="n">
        <v>305</v>
      </c>
    </row>
    <row r="9649">
      <c r="A9649" t="inlineStr">
        <is>
          <t>27BBBBB09649Z5</t>
        </is>
      </c>
      <c r="B9649" t="inlineStr">
        <is>
          <t>Mar-2021</t>
        </is>
      </c>
      <c r="C9649" s="2" t="n">
        <v>43778</v>
      </c>
      <c r="D9649" t="inlineStr">
        <is>
          <t>NON-NIL</t>
        </is>
      </c>
      <c r="E9649" t="n">
        <v>139</v>
      </c>
    </row>
    <row r="9650">
      <c r="A9650" t="inlineStr">
        <is>
          <t>27BBBBB09650Z5</t>
        </is>
      </c>
      <c r="B9650" t="inlineStr">
        <is>
          <t>Dec-2024</t>
        </is>
      </c>
      <c r="C9650" s="2" t="n">
        <v>44140</v>
      </c>
      <c r="D9650" t="inlineStr">
        <is>
          <t>NIL</t>
        </is>
      </c>
      <c r="E9650" t="n">
        <v>258</v>
      </c>
    </row>
    <row r="9651">
      <c r="A9651" t="inlineStr">
        <is>
          <t>27BBBBB09651Z5</t>
        </is>
      </c>
      <c r="B9651" t="inlineStr">
        <is>
          <t>Dec-2017</t>
        </is>
      </c>
      <c r="C9651" s="2" t="n">
        <v>43213</v>
      </c>
      <c r="D9651" t="inlineStr">
        <is>
          <t>NIL</t>
        </is>
      </c>
      <c r="E9651" t="n">
        <v>560</v>
      </c>
    </row>
    <row r="9652">
      <c r="A9652" t="inlineStr">
        <is>
          <t>27BBBBB09652Z5</t>
        </is>
      </c>
      <c r="B9652" t="inlineStr">
        <is>
          <t>Jun-2018</t>
        </is>
      </c>
      <c r="C9652" s="2" t="n">
        <v>44021</v>
      </c>
      <c r="D9652" t="inlineStr">
        <is>
          <t>NON-NIL</t>
        </is>
      </c>
      <c r="E9652" t="n">
        <v>2011</v>
      </c>
    </row>
    <row r="9653">
      <c r="A9653" t="inlineStr">
        <is>
          <t>27BBBBB09653Z5</t>
        </is>
      </c>
      <c r="B9653" t="inlineStr">
        <is>
          <t>Mar-2021</t>
        </is>
      </c>
      <c r="C9653" s="2" t="n">
        <v>44091</v>
      </c>
      <c r="D9653" t="inlineStr">
        <is>
          <t>NIL</t>
        </is>
      </c>
      <c r="E9653" t="n">
        <v>2144</v>
      </c>
    </row>
    <row r="9654">
      <c r="A9654" t="inlineStr">
        <is>
          <t>27BBBBB09654Z5</t>
        </is>
      </c>
      <c r="B9654" t="inlineStr">
        <is>
          <t>Sep-2018</t>
        </is>
      </c>
      <c r="C9654" s="2" t="n">
        <v>43554</v>
      </c>
      <c r="D9654" t="inlineStr">
        <is>
          <t>NON-NIL</t>
        </is>
      </c>
      <c r="E9654" t="n">
        <v>2074</v>
      </c>
    </row>
    <row r="9655">
      <c r="A9655" t="inlineStr">
        <is>
          <t>27BBBBB09655Z5</t>
        </is>
      </c>
      <c r="B9655" t="inlineStr">
        <is>
          <t>Mar-2020</t>
        </is>
      </c>
      <c r="C9655" s="2" t="n">
        <v>44296</v>
      </c>
      <c r="D9655" t="inlineStr">
        <is>
          <t>NON-NIL</t>
        </is>
      </c>
      <c r="E9655" t="n">
        <v>2336</v>
      </c>
    </row>
    <row r="9656">
      <c r="A9656" t="inlineStr">
        <is>
          <t>27BBBBB09656Z5</t>
        </is>
      </c>
      <c r="B9656" t="inlineStr">
        <is>
          <t>Nov-2018</t>
        </is>
      </c>
      <c r="C9656" s="2" t="n">
        <v>42948</v>
      </c>
      <c r="D9656" t="inlineStr">
        <is>
          <t>NIL</t>
        </is>
      </c>
      <c r="E9656" t="n">
        <v>683</v>
      </c>
    </row>
    <row r="9657">
      <c r="A9657" t="inlineStr">
        <is>
          <t>27BBBBB09657Z5</t>
        </is>
      </c>
      <c r="B9657" t="inlineStr">
        <is>
          <t>May-2018</t>
        </is>
      </c>
      <c r="C9657" s="2" t="n">
        <v>43011</v>
      </c>
      <c r="D9657" t="inlineStr">
        <is>
          <t>NIL</t>
        </is>
      </c>
      <c r="E9657" t="n">
        <v>888</v>
      </c>
    </row>
    <row r="9658">
      <c r="A9658" t="inlineStr">
        <is>
          <t>27BBBBB09658Z5</t>
        </is>
      </c>
      <c r="B9658" t="inlineStr">
        <is>
          <t>Jun-2018</t>
        </is>
      </c>
      <c r="C9658" s="2" t="n">
        <v>44270</v>
      </c>
      <c r="D9658" t="inlineStr">
        <is>
          <t>NON-NIL</t>
        </is>
      </c>
      <c r="E9658" t="n">
        <v>2892</v>
      </c>
    </row>
    <row r="9659">
      <c r="A9659" t="inlineStr">
        <is>
          <t>27BBBBB09659Z5</t>
        </is>
      </c>
      <c r="B9659" t="inlineStr">
        <is>
          <t>Jun-2020</t>
        </is>
      </c>
      <c r="C9659" s="2" t="n">
        <v>44018</v>
      </c>
      <c r="D9659" t="inlineStr">
        <is>
          <t>NIL</t>
        </is>
      </c>
      <c r="E9659" t="n">
        <v>1924</v>
      </c>
    </row>
    <row r="9660">
      <c r="A9660" t="inlineStr">
        <is>
          <t>27BBBBB09660Z5</t>
        </is>
      </c>
      <c r="B9660" t="inlineStr">
        <is>
          <t>Jul-2020</t>
        </is>
      </c>
      <c r="C9660" s="2" t="n">
        <v>44378</v>
      </c>
      <c r="D9660" t="inlineStr">
        <is>
          <t>NIL</t>
        </is>
      </c>
      <c r="E9660" t="n">
        <v>434</v>
      </c>
    </row>
    <row r="9661">
      <c r="A9661" t="inlineStr">
        <is>
          <t>27BBBBB09661Z5</t>
        </is>
      </c>
      <c r="B9661" t="inlineStr">
        <is>
          <t>Apr-2018</t>
        </is>
      </c>
      <c r="C9661" s="2" t="n">
        <v>44529</v>
      </c>
      <c r="D9661" t="inlineStr">
        <is>
          <t>NIL</t>
        </is>
      </c>
      <c r="E9661" t="n">
        <v>1297</v>
      </c>
    </row>
    <row r="9662">
      <c r="A9662" t="inlineStr">
        <is>
          <t>27BBBBB09662Z5</t>
        </is>
      </c>
      <c r="B9662" t="inlineStr">
        <is>
          <t>Mar-2021</t>
        </is>
      </c>
      <c r="C9662" s="2" t="n">
        <v>45392</v>
      </c>
      <c r="D9662" t="inlineStr">
        <is>
          <t>NIL</t>
        </is>
      </c>
      <c r="E9662" t="n">
        <v>2325</v>
      </c>
    </row>
    <row r="9663">
      <c r="A9663" t="inlineStr">
        <is>
          <t>27BBBBB09663Z5</t>
        </is>
      </c>
      <c r="B9663" t="inlineStr">
        <is>
          <t>Apr-2020</t>
        </is>
      </c>
      <c r="C9663" s="2" t="n">
        <v>44598</v>
      </c>
      <c r="D9663" t="inlineStr">
        <is>
          <t>NIL</t>
        </is>
      </c>
      <c r="E9663" t="n">
        <v>501</v>
      </c>
    </row>
    <row r="9664">
      <c r="A9664" t="inlineStr">
        <is>
          <t>27BBBBB09664Z5</t>
        </is>
      </c>
      <c r="B9664" t="inlineStr">
        <is>
          <t>Aug-2017</t>
        </is>
      </c>
      <c r="C9664" s="2" t="n">
        <v>44465</v>
      </c>
      <c r="D9664" t="inlineStr">
        <is>
          <t>NON-NIL</t>
        </is>
      </c>
      <c r="E9664" t="n">
        <v>1652</v>
      </c>
    </row>
    <row r="9665">
      <c r="A9665" t="inlineStr">
        <is>
          <t>27BBBBB09665Z5</t>
        </is>
      </c>
      <c r="B9665" t="inlineStr">
        <is>
          <t>Dec-2022</t>
        </is>
      </c>
      <c r="C9665" s="2" t="n">
        <v>43485</v>
      </c>
      <c r="D9665" t="inlineStr">
        <is>
          <t>NON-NIL</t>
        </is>
      </c>
      <c r="E9665" t="n">
        <v>2544</v>
      </c>
    </row>
    <row r="9666">
      <c r="A9666" t="inlineStr">
        <is>
          <t>27BBBBB09666Z5</t>
        </is>
      </c>
      <c r="B9666" t="inlineStr">
        <is>
          <t>Dec-2018</t>
        </is>
      </c>
      <c r="C9666" s="2" t="n">
        <v>44132</v>
      </c>
      <c r="D9666" t="inlineStr">
        <is>
          <t>NIL</t>
        </is>
      </c>
      <c r="E9666" t="n">
        <v>1656</v>
      </c>
    </row>
    <row r="9667">
      <c r="A9667" t="inlineStr">
        <is>
          <t>27BBBBB09667Z5</t>
        </is>
      </c>
      <c r="B9667" t="inlineStr">
        <is>
          <t>Oct-2017</t>
        </is>
      </c>
      <c r="C9667" s="2" t="n">
        <v>43143</v>
      </c>
      <c r="D9667" t="inlineStr">
        <is>
          <t>NIL</t>
        </is>
      </c>
      <c r="E9667" t="n">
        <v>2757</v>
      </c>
    </row>
    <row r="9668">
      <c r="A9668" t="inlineStr">
        <is>
          <t>27BBBBB09668Z5</t>
        </is>
      </c>
      <c r="B9668" t="inlineStr">
        <is>
          <t>Apr-2018</t>
        </is>
      </c>
      <c r="C9668" s="2" t="n">
        <v>43511</v>
      </c>
      <c r="D9668" t="inlineStr">
        <is>
          <t>NON-NIL</t>
        </is>
      </c>
      <c r="E9668" t="n">
        <v>2746</v>
      </c>
    </row>
    <row r="9669">
      <c r="A9669" t="inlineStr">
        <is>
          <t>27BBBBB09669Z5</t>
        </is>
      </c>
      <c r="B9669" t="inlineStr">
        <is>
          <t>Aug-2018</t>
        </is>
      </c>
      <c r="C9669" s="2" t="n">
        <v>44287</v>
      </c>
      <c r="D9669" t="inlineStr">
        <is>
          <t>NIL</t>
        </is>
      </c>
      <c r="E9669" t="n">
        <v>2879</v>
      </c>
    </row>
    <row r="9670">
      <c r="A9670" t="inlineStr">
        <is>
          <t>27BBBBB09670Z5</t>
        </is>
      </c>
      <c r="B9670" t="inlineStr">
        <is>
          <t>Mar-2023</t>
        </is>
      </c>
      <c r="C9670" s="2" t="n">
        <v>44637</v>
      </c>
      <c r="D9670" t="inlineStr">
        <is>
          <t>NON-NIL</t>
        </is>
      </c>
      <c r="E9670" t="n">
        <v>817</v>
      </c>
    </row>
    <row r="9671">
      <c r="A9671" t="inlineStr">
        <is>
          <t>27BBBBB09671Z5</t>
        </is>
      </c>
      <c r="B9671" t="inlineStr">
        <is>
          <t>Apr-2018</t>
        </is>
      </c>
      <c r="C9671" s="2" t="n">
        <v>42943</v>
      </c>
      <c r="D9671" t="inlineStr">
        <is>
          <t>NON-NIL</t>
        </is>
      </c>
      <c r="E9671" t="n">
        <v>255</v>
      </c>
    </row>
    <row r="9672">
      <c r="A9672" t="inlineStr">
        <is>
          <t>27BBBBB09672Z5</t>
        </is>
      </c>
      <c r="B9672" t="inlineStr">
        <is>
          <t>Sep-2017</t>
        </is>
      </c>
      <c r="C9672" s="2" t="n">
        <v>43390</v>
      </c>
      <c r="D9672" t="inlineStr">
        <is>
          <t>NON-NIL</t>
        </is>
      </c>
      <c r="E9672" t="n">
        <v>2049</v>
      </c>
    </row>
    <row r="9673">
      <c r="A9673" t="inlineStr">
        <is>
          <t>27BBBBB09673Z5</t>
        </is>
      </c>
      <c r="B9673" t="inlineStr">
        <is>
          <t>Oct-2017</t>
        </is>
      </c>
      <c r="C9673" s="2" t="n">
        <v>44152</v>
      </c>
      <c r="D9673" t="inlineStr">
        <is>
          <t>NON-NIL</t>
        </is>
      </c>
      <c r="E9673" t="n">
        <v>2775</v>
      </c>
    </row>
    <row r="9674">
      <c r="A9674" t="inlineStr">
        <is>
          <t>27BBBBB09674Z5</t>
        </is>
      </c>
      <c r="B9674" t="inlineStr">
        <is>
          <t>Mar-2021</t>
        </is>
      </c>
      <c r="C9674" s="2" t="n">
        <v>44984</v>
      </c>
      <c r="D9674" t="inlineStr">
        <is>
          <t>NON-NIL</t>
        </is>
      </c>
      <c r="E9674" t="n">
        <v>1288</v>
      </c>
    </row>
    <row r="9675">
      <c r="A9675" t="inlineStr">
        <is>
          <t>27BBBBB09675Z5</t>
        </is>
      </c>
      <c r="B9675" t="inlineStr">
        <is>
          <t>Dec-2022</t>
        </is>
      </c>
      <c r="C9675" s="2" t="n">
        <v>44520</v>
      </c>
      <c r="D9675" t="inlineStr">
        <is>
          <t>NON-NIL</t>
        </is>
      </c>
      <c r="E9675" t="n">
        <v>688</v>
      </c>
    </row>
    <row r="9676">
      <c r="A9676" t="inlineStr">
        <is>
          <t>27BBBBB09676Z5</t>
        </is>
      </c>
      <c r="B9676" t="inlineStr">
        <is>
          <t>Feb-2018</t>
        </is>
      </c>
      <c r="C9676" s="2" t="n">
        <v>43564</v>
      </c>
      <c r="D9676" t="inlineStr">
        <is>
          <t>NON-NIL</t>
        </is>
      </c>
      <c r="E9676" t="n">
        <v>2099</v>
      </c>
    </row>
    <row r="9677">
      <c r="A9677" t="inlineStr">
        <is>
          <t>27BBBBB09677Z5</t>
        </is>
      </c>
      <c r="B9677" t="inlineStr">
        <is>
          <t>Apr-2020</t>
        </is>
      </c>
      <c r="C9677" s="2" t="n">
        <v>44787</v>
      </c>
      <c r="D9677" t="inlineStr">
        <is>
          <t>NIL</t>
        </is>
      </c>
      <c r="E9677" t="n">
        <v>2386</v>
      </c>
    </row>
    <row r="9678">
      <c r="A9678" t="inlineStr">
        <is>
          <t>27BBBBB09678Z5</t>
        </is>
      </c>
      <c r="B9678" t="inlineStr">
        <is>
          <t>Dec-2022</t>
        </is>
      </c>
      <c r="C9678" s="2" t="n">
        <v>44759</v>
      </c>
      <c r="D9678" t="inlineStr">
        <is>
          <t>NON-NIL</t>
        </is>
      </c>
      <c r="E9678" t="n">
        <v>12</v>
      </c>
    </row>
    <row r="9679">
      <c r="A9679" t="inlineStr">
        <is>
          <t>27BBBBB09679Z5</t>
        </is>
      </c>
      <c r="B9679" t="inlineStr">
        <is>
          <t>Jun-2018</t>
        </is>
      </c>
      <c r="C9679" s="2" t="n">
        <v>43664</v>
      </c>
      <c r="D9679" t="inlineStr">
        <is>
          <t>NIL</t>
        </is>
      </c>
      <c r="E9679" t="n">
        <v>1148</v>
      </c>
    </row>
    <row r="9680">
      <c r="A9680" t="inlineStr">
        <is>
          <t>27BBBBB09680Z5</t>
        </is>
      </c>
      <c r="B9680" t="inlineStr">
        <is>
          <t>Sep-2017</t>
        </is>
      </c>
      <c r="C9680" s="2" t="n">
        <v>43120</v>
      </c>
      <c r="D9680" t="inlineStr">
        <is>
          <t>NIL</t>
        </is>
      </c>
      <c r="E9680" t="n">
        <v>2127</v>
      </c>
    </row>
    <row r="9681">
      <c r="A9681" t="inlineStr">
        <is>
          <t>27BBBBB09681Z5</t>
        </is>
      </c>
      <c r="B9681" t="inlineStr">
        <is>
          <t>Oct-2018</t>
        </is>
      </c>
      <c r="C9681" s="2" t="n">
        <v>44233</v>
      </c>
      <c r="D9681" t="inlineStr">
        <is>
          <t>NIL</t>
        </is>
      </c>
      <c r="E9681" t="n">
        <v>1328</v>
      </c>
    </row>
    <row r="9682">
      <c r="A9682" t="inlineStr">
        <is>
          <t>27BBBBB09682Z5</t>
        </is>
      </c>
      <c r="B9682" t="inlineStr">
        <is>
          <t>Apr-2018</t>
        </is>
      </c>
      <c r="C9682" s="2" t="n">
        <v>42938</v>
      </c>
      <c r="D9682" t="inlineStr">
        <is>
          <t>NIL</t>
        </is>
      </c>
      <c r="E9682" t="n">
        <v>706</v>
      </c>
    </row>
    <row r="9683">
      <c r="A9683" t="inlineStr">
        <is>
          <t>27BBBBB09683Z5</t>
        </is>
      </c>
      <c r="B9683" t="inlineStr">
        <is>
          <t>Apr-2020</t>
        </is>
      </c>
      <c r="C9683" s="2" t="n">
        <v>44230</v>
      </c>
      <c r="D9683" t="inlineStr">
        <is>
          <t>NON-NIL</t>
        </is>
      </c>
      <c r="E9683" t="n">
        <v>1676</v>
      </c>
    </row>
    <row r="9684">
      <c r="A9684" t="inlineStr">
        <is>
          <t>27BBBBB09684Z5</t>
        </is>
      </c>
      <c r="B9684" t="inlineStr">
        <is>
          <t>Jul-2018</t>
        </is>
      </c>
      <c r="C9684" s="2" t="n">
        <v>43260</v>
      </c>
      <c r="D9684" t="inlineStr">
        <is>
          <t>NON-NIL</t>
        </is>
      </c>
      <c r="E9684" t="n">
        <v>653</v>
      </c>
    </row>
    <row r="9685">
      <c r="A9685" t="inlineStr">
        <is>
          <t>27BBBBB09685Z5</t>
        </is>
      </c>
      <c r="B9685" t="inlineStr">
        <is>
          <t>Jun-2018</t>
        </is>
      </c>
      <c r="C9685" s="2" t="n">
        <v>44390</v>
      </c>
      <c r="D9685" t="inlineStr">
        <is>
          <t>NON-NIL</t>
        </is>
      </c>
      <c r="E9685" t="n">
        <v>2267</v>
      </c>
    </row>
    <row r="9686">
      <c r="A9686" t="inlineStr">
        <is>
          <t>27BBBBB09686Z5</t>
        </is>
      </c>
      <c r="B9686" t="inlineStr">
        <is>
          <t>Feb-2018</t>
        </is>
      </c>
      <c r="C9686" s="2" t="n">
        <v>43639</v>
      </c>
      <c r="D9686" t="inlineStr">
        <is>
          <t>NON-NIL</t>
        </is>
      </c>
      <c r="E9686" t="n">
        <v>1518</v>
      </c>
    </row>
    <row r="9687">
      <c r="A9687" t="inlineStr">
        <is>
          <t>27BBBBB09687Z5</t>
        </is>
      </c>
      <c r="B9687" t="inlineStr">
        <is>
          <t>Jul-2020</t>
        </is>
      </c>
      <c r="C9687" s="2" t="n">
        <v>44479</v>
      </c>
      <c r="D9687" t="inlineStr">
        <is>
          <t>NON-NIL</t>
        </is>
      </c>
      <c r="E9687" t="n">
        <v>765</v>
      </c>
    </row>
    <row r="9688">
      <c r="A9688" t="inlineStr">
        <is>
          <t>27BBBBB09688Z5</t>
        </is>
      </c>
      <c r="B9688" t="inlineStr">
        <is>
          <t>Aug-2018</t>
        </is>
      </c>
      <c r="C9688" s="2" t="n">
        <v>43341</v>
      </c>
      <c r="D9688" t="inlineStr">
        <is>
          <t>NON-NIL</t>
        </is>
      </c>
      <c r="E9688" t="n">
        <v>2127</v>
      </c>
    </row>
    <row r="9689">
      <c r="A9689" t="inlineStr">
        <is>
          <t>27BBBBB09689Z5</t>
        </is>
      </c>
      <c r="B9689" t="inlineStr">
        <is>
          <t>Jan-2021</t>
        </is>
      </c>
      <c r="C9689" s="2" t="n">
        <v>45000</v>
      </c>
      <c r="D9689" t="inlineStr">
        <is>
          <t>NON-NIL</t>
        </is>
      </c>
      <c r="E9689" t="n">
        <v>2705</v>
      </c>
    </row>
    <row r="9690">
      <c r="A9690" t="inlineStr">
        <is>
          <t>27BBBBB09690Z5</t>
        </is>
      </c>
      <c r="B9690" t="inlineStr">
        <is>
          <t>Jul-2017</t>
        </is>
      </c>
      <c r="C9690" s="2" t="n">
        <v>43015</v>
      </c>
      <c r="D9690" t="inlineStr">
        <is>
          <t>NIL</t>
        </is>
      </c>
      <c r="E9690" t="n">
        <v>1022</v>
      </c>
    </row>
    <row r="9691">
      <c r="A9691" t="inlineStr">
        <is>
          <t>27BBBBB09691Z5</t>
        </is>
      </c>
      <c r="B9691" t="inlineStr">
        <is>
          <t>Jun-2020</t>
        </is>
      </c>
      <c r="C9691" s="2" t="n">
        <v>43893</v>
      </c>
      <c r="D9691" t="inlineStr">
        <is>
          <t>NON-NIL</t>
        </is>
      </c>
      <c r="E9691" t="n">
        <v>649</v>
      </c>
    </row>
    <row r="9692">
      <c r="A9692" t="inlineStr">
        <is>
          <t>27BBBBB09692Z5</t>
        </is>
      </c>
      <c r="B9692" t="inlineStr">
        <is>
          <t>Apr-2020</t>
        </is>
      </c>
      <c r="C9692" s="2" t="n">
        <v>44606</v>
      </c>
      <c r="D9692" t="inlineStr">
        <is>
          <t>NON-NIL</t>
        </is>
      </c>
      <c r="E9692" t="n">
        <v>2206</v>
      </c>
    </row>
    <row r="9693">
      <c r="A9693" t="inlineStr">
        <is>
          <t>27BBBBB09693Z5</t>
        </is>
      </c>
      <c r="B9693" t="inlineStr">
        <is>
          <t>Dec-2017</t>
        </is>
      </c>
      <c r="C9693" s="2" t="n">
        <v>44026</v>
      </c>
      <c r="D9693" t="inlineStr">
        <is>
          <t>NON-NIL</t>
        </is>
      </c>
      <c r="E9693" t="n">
        <v>1551</v>
      </c>
    </row>
    <row r="9694">
      <c r="A9694" t="inlineStr">
        <is>
          <t>27BBBBB09694Z5</t>
        </is>
      </c>
      <c r="B9694" t="inlineStr">
        <is>
          <t>Sep-2017</t>
        </is>
      </c>
      <c r="C9694" s="2" t="n">
        <v>44090</v>
      </c>
      <c r="D9694" t="inlineStr">
        <is>
          <t>NIL</t>
        </is>
      </c>
      <c r="E9694" t="n">
        <v>2097</v>
      </c>
    </row>
    <row r="9695">
      <c r="A9695" t="inlineStr">
        <is>
          <t>27BBBBB09695Z5</t>
        </is>
      </c>
      <c r="B9695" t="inlineStr">
        <is>
          <t>May-2018</t>
        </is>
      </c>
      <c r="C9695" s="2" t="n">
        <v>44194</v>
      </c>
      <c r="D9695" t="inlineStr">
        <is>
          <t>NIL</t>
        </is>
      </c>
      <c r="E9695" t="n">
        <v>1101</v>
      </c>
    </row>
    <row r="9696">
      <c r="A9696" t="inlineStr">
        <is>
          <t>27BBBBB09696Z5</t>
        </is>
      </c>
      <c r="B9696" t="inlineStr">
        <is>
          <t>Aug-2017</t>
        </is>
      </c>
      <c r="C9696" s="2" t="n">
        <v>43774</v>
      </c>
      <c r="D9696" t="inlineStr">
        <is>
          <t>NIL</t>
        </is>
      </c>
      <c r="E9696" t="n">
        <v>217</v>
      </c>
    </row>
    <row r="9697">
      <c r="A9697" t="inlineStr">
        <is>
          <t>27BBBBB09697Z5</t>
        </is>
      </c>
      <c r="B9697" t="inlineStr">
        <is>
          <t>Mar-2020</t>
        </is>
      </c>
      <c r="C9697" s="2" t="n">
        <v>44457</v>
      </c>
      <c r="D9697" t="inlineStr">
        <is>
          <t>NIL</t>
        </is>
      </c>
      <c r="E9697" t="n">
        <v>1157</v>
      </c>
    </row>
    <row r="9698">
      <c r="A9698" t="inlineStr">
        <is>
          <t>27BBBBB09698Z5</t>
        </is>
      </c>
      <c r="B9698" t="inlineStr">
        <is>
          <t>Oct-2017</t>
        </is>
      </c>
      <c r="C9698" s="2" t="n">
        <v>42938</v>
      </c>
      <c r="D9698" t="inlineStr">
        <is>
          <t>NIL</t>
        </is>
      </c>
      <c r="E9698" t="n">
        <v>956</v>
      </c>
    </row>
    <row r="9699">
      <c r="A9699" t="inlineStr">
        <is>
          <t>27BBBBB09699Z5</t>
        </is>
      </c>
      <c r="B9699" t="inlineStr">
        <is>
          <t>Jul-2020</t>
        </is>
      </c>
      <c r="C9699" s="2" t="n">
        <v>43866</v>
      </c>
      <c r="D9699" t="inlineStr">
        <is>
          <t>NIL</t>
        </is>
      </c>
      <c r="E9699" t="n">
        <v>2715</v>
      </c>
    </row>
    <row r="9700">
      <c r="A9700" t="inlineStr">
        <is>
          <t>27BBBBB09700Z5</t>
        </is>
      </c>
      <c r="B9700" t="inlineStr">
        <is>
          <t>Jan-2018</t>
        </is>
      </c>
      <c r="C9700" s="2" t="n">
        <v>43021</v>
      </c>
      <c r="D9700" t="inlineStr">
        <is>
          <t>NIL</t>
        </is>
      </c>
      <c r="E9700" t="n">
        <v>284</v>
      </c>
    </row>
    <row r="9701">
      <c r="A9701" t="inlineStr">
        <is>
          <t>27BBBBB09701Z5</t>
        </is>
      </c>
      <c r="B9701" t="inlineStr">
        <is>
          <t>Feb-2018</t>
        </is>
      </c>
      <c r="C9701" s="2" t="n">
        <v>43201</v>
      </c>
      <c r="D9701" t="inlineStr">
        <is>
          <t>NON-NIL</t>
        </is>
      </c>
      <c r="E9701" t="n">
        <v>991</v>
      </c>
    </row>
    <row r="9702">
      <c r="A9702" t="inlineStr">
        <is>
          <t>27BBBBB09702Z5</t>
        </is>
      </c>
      <c r="B9702" t="inlineStr">
        <is>
          <t>Feb-2018</t>
        </is>
      </c>
      <c r="C9702" s="2" t="n">
        <v>44141</v>
      </c>
      <c r="D9702" t="inlineStr">
        <is>
          <t>NON-NIL</t>
        </is>
      </c>
      <c r="E9702" t="n">
        <v>2108</v>
      </c>
    </row>
    <row r="9703">
      <c r="A9703" t="inlineStr">
        <is>
          <t>27BBBBB09703Z5</t>
        </is>
      </c>
      <c r="B9703" t="inlineStr">
        <is>
          <t>Apr-2018</t>
        </is>
      </c>
      <c r="C9703" s="2" t="n">
        <v>44129</v>
      </c>
      <c r="D9703" t="inlineStr">
        <is>
          <t>NON-NIL</t>
        </is>
      </c>
      <c r="E9703" t="n">
        <v>1745</v>
      </c>
    </row>
    <row r="9704">
      <c r="A9704" t="inlineStr">
        <is>
          <t>27BBBBB09704Z5</t>
        </is>
      </c>
      <c r="B9704" t="inlineStr">
        <is>
          <t>Aug-2018</t>
        </is>
      </c>
      <c r="C9704" s="2" t="n">
        <v>44003</v>
      </c>
      <c r="D9704" t="inlineStr">
        <is>
          <t>NON-NIL</t>
        </is>
      </c>
      <c r="E9704" t="n">
        <v>1976</v>
      </c>
    </row>
    <row r="9705">
      <c r="A9705" t="inlineStr">
        <is>
          <t>27BBBBB09705Z5</t>
        </is>
      </c>
      <c r="B9705" t="inlineStr">
        <is>
          <t>Jan-2018</t>
        </is>
      </c>
      <c r="C9705" s="2" t="n">
        <v>43481</v>
      </c>
      <c r="D9705" t="inlineStr">
        <is>
          <t>NIL</t>
        </is>
      </c>
      <c r="E9705" t="n">
        <v>1456</v>
      </c>
    </row>
    <row r="9706">
      <c r="A9706" t="inlineStr">
        <is>
          <t>27BBBBB09706Z5</t>
        </is>
      </c>
      <c r="B9706" t="inlineStr">
        <is>
          <t>Jun-2020</t>
        </is>
      </c>
      <c r="C9706" s="2" t="n">
        <v>44321</v>
      </c>
      <c r="D9706" t="inlineStr">
        <is>
          <t>NIL</t>
        </is>
      </c>
      <c r="E9706" t="n">
        <v>749</v>
      </c>
    </row>
    <row r="9707">
      <c r="A9707" t="inlineStr">
        <is>
          <t>27BBBBB09707Z5</t>
        </is>
      </c>
      <c r="B9707" t="inlineStr">
        <is>
          <t>Dec-2017</t>
        </is>
      </c>
      <c r="C9707" s="2" t="n">
        <v>43084</v>
      </c>
      <c r="D9707" t="inlineStr">
        <is>
          <t>NIL</t>
        </is>
      </c>
      <c r="E9707" t="n">
        <v>1040</v>
      </c>
    </row>
    <row r="9708">
      <c r="A9708" t="inlineStr">
        <is>
          <t>27BBBBB09708Z5</t>
        </is>
      </c>
      <c r="B9708" t="inlineStr">
        <is>
          <t>Jan-2018</t>
        </is>
      </c>
      <c r="C9708" s="2" t="n">
        <v>44348</v>
      </c>
      <c r="D9708" t="inlineStr">
        <is>
          <t>NON-NIL</t>
        </is>
      </c>
      <c r="E9708" t="n">
        <v>132</v>
      </c>
    </row>
    <row r="9709">
      <c r="A9709" t="inlineStr">
        <is>
          <t>27BBBBB09709Z5</t>
        </is>
      </c>
      <c r="B9709" t="inlineStr">
        <is>
          <t>May-2018</t>
        </is>
      </c>
      <c r="C9709" s="2" t="n">
        <v>43776</v>
      </c>
      <c r="D9709" t="inlineStr">
        <is>
          <t>NIL</t>
        </is>
      </c>
      <c r="E9709" t="n">
        <v>1096</v>
      </c>
    </row>
    <row r="9710">
      <c r="A9710" t="inlineStr">
        <is>
          <t>27BBBBB09710Z5</t>
        </is>
      </c>
      <c r="B9710" t="inlineStr">
        <is>
          <t>Mar-2021</t>
        </is>
      </c>
      <c r="C9710" s="2" t="n">
        <v>44439</v>
      </c>
      <c r="D9710" t="inlineStr">
        <is>
          <t>NON-NIL</t>
        </is>
      </c>
      <c r="E9710" t="n">
        <v>2873</v>
      </c>
    </row>
    <row r="9711">
      <c r="A9711" t="inlineStr">
        <is>
          <t>27BBBBB09711Z5</t>
        </is>
      </c>
      <c r="B9711" t="inlineStr">
        <is>
          <t>Apr-2018</t>
        </is>
      </c>
      <c r="C9711" s="2" t="n">
        <v>44348</v>
      </c>
      <c r="D9711" t="inlineStr">
        <is>
          <t>NON-NIL</t>
        </is>
      </c>
      <c r="E9711" t="n">
        <v>1053</v>
      </c>
    </row>
    <row r="9712">
      <c r="A9712" t="inlineStr">
        <is>
          <t>27BBBBB09712Z5</t>
        </is>
      </c>
      <c r="B9712" t="inlineStr">
        <is>
          <t>Jan-2021</t>
        </is>
      </c>
      <c r="C9712" s="2" t="n">
        <v>45025</v>
      </c>
      <c r="D9712" t="inlineStr">
        <is>
          <t>NON-NIL</t>
        </is>
      </c>
      <c r="E9712" t="n">
        <v>1238</v>
      </c>
    </row>
    <row r="9713">
      <c r="A9713" t="inlineStr">
        <is>
          <t>27BBBBB09713Z5</t>
        </is>
      </c>
      <c r="B9713" t="inlineStr">
        <is>
          <t>Nov-2017</t>
        </is>
      </c>
      <c r="C9713" s="2" t="n">
        <v>44244</v>
      </c>
      <c r="D9713" t="inlineStr">
        <is>
          <t>NIL</t>
        </is>
      </c>
      <c r="E9713" t="n">
        <v>2931</v>
      </c>
    </row>
    <row r="9714">
      <c r="A9714" t="inlineStr">
        <is>
          <t>27BBBBB09714Z5</t>
        </is>
      </c>
      <c r="B9714" t="inlineStr">
        <is>
          <t>Sep-2017</t>
        </is>
      </c>
      <c r="C9714" s="2" t="n">
        <v>42945</v>
      </c>
      <c r="D9714" t="inlineStr">
        <is>
          <t>NON-NIL</t>
        </is>
      </c>
      <c r="E9714" t="n">
        <v>1814</v>
      </c>
    </row>
    <row r="9715">
      <c r="A9715" t="inlineStr">
        <is>
          <t>27BBBBB09715Z5</t>
        </is>
      </c>
      <c r="B9715" t="inlineStr">
        <is>
          <t>Jul-2017</t>
        </is>
      </c>
      <c r="C9715" s="2" t="n">
        <v>44177</v>
      </c>
      <c r="D9715" t="inlineStr">
        <is>
          <t>NIL</t>
        </is>
      </c>
      <c r="E9715" t="n">
        <v>1474</v>
      </c>
    </row>
    <row r="9716">
      <c r="A9716" t="inlineStr">
        <is>
          <t>27BBBBB09716Z5</t>
        </is>
      </c>
      <c r="B9716" t="inlineStr">
        <is>
          <t>Jan-2018</t>
        </is>
      </c>
      <c r="C9716" s="2" t="n">
        <v>44213</v>
      </c>
      <c r="D9716" t="inlineStr">
        <is>
          <t>NIL</t>
        </is>
      </c>
      <c r="E9716" t="n">
        <v>939</v>
      </c>
    </row>
    <row r="9717">
      <c r="A9717" t="inlineStr">
        <is>
          <t>27BBBBB09717Z5</t>
        </is>
      </c>
      <c r="B9717" t="inlineStr">
        <is>
          <t>Dec-2017</t>
        </is>
      </c>
      <c r="C9717" s="2" t="n">
        <v>43756</v>
      </c>
      <c r="D9717" t="inlineStr">
        <is>
          <t>NIL</t>
        </is>
      </c>
      <c r="E9717" t="n">
        <v>1386</v>
      </c>
    </row>
    <row r="9718">
      <c r="A9718" t="inlineStr">
        <is>
          <t>27BBBBB09718Z5</t>
        </is>
      </c>
      <c r="B9718" t="inlineStr">
        <is>
          <t>Oct-2017</t>
        </is>
      </c>
      <c r="C9718" s="2" t="n">
        <v>44211</v>
      </c>
      <c r="D9718" t="inlineStr">
        <is>
          <t>NON-NIL</t>
        </is>
      </c>
      <c r="E9718" t="n">
        <v>420</v>
      </c>
    </row>
    <row r="9719">
      <c r="A9719" t="inlineStr">
        <is>
          <t>27BBBBB09719Z5</t>
        </is>
      </c>
      <c r="B9719" t="inlineStr">
        <is>
          <t>Aug-2017</t>
        </is>
      </c>
      <c r="C9719" s="2" t="n">
        <v>43443</v>
      </c>
      <c r="D9719" t="inlineStr">
        <is>
          <t>NIL</t>
        </is>
      </c>
      <c r="E9719" t="n">
        <v>2770</v>
      </c>
    </row>
    <row r="9720">
      <c r="A9720" t="inlineStr">
        <is>
          <t>27BBBBB09720Z5</t>
        </is>
      </c>
      <c r="B9720" t="inlineStr">
        <is>
          <t>Mar-2023</t>
        </is>
      </c>
      <c r="C9720" s="2" t="n">
        <v>44717</v>
      </c>
      <c r="D9720" t="inlineStr">
        <is>
          <t>NON-NIL</t>
        </is>
      </c>
      <c r="E9720" t="n">
        <v>1753</v>
      </c>
    </row>
    <row r="9721">
      <c r="A9721" t="inlineStr">
        <is>
          <t>27BBBBB09721Z5</t>
        </is>
      </c>
      <c r="B9721" t="inlineStr">
        <is>
          <t>Mar-2018</t>
        </is>
      </c>
      <c r="C9721" s="2" t="n">
        <v>44473</v>
      </c>
      <c r="D9721" t="inlineStr">
        <is>
          <t>NON-NIL</t>
        </is>
      </c>
      <c r="E9721" t="n">
        <v>937</v>
      </c>
    </row>
    <row r="9722">
      <c r="A9722" t="inlineStr">
        <is>
          <t>27BBBBB09722Z5</t>
        </is>
      </c>
      <c r="B9722" t="inlineStr">
        <is>
          <t>Dec-2018</t>
        </is>
      </c>
      <c r="C9722" s="2" t="n">
        <v>44098</v>
      </c>
      <c r="D9722" t="inlineStr">
        <is>
          <t>NIL</t>
        </is>
      </c>
      <c r="E9722" t="n">
        <v>577</v>
      </c>
    </row>
    <row r="9723">
      <c r="A9723" t="inlineStr">
        <is>
          <t>27BBBBB09723Z5</t>
        </is>
      </c>
      <c r="B9723" t="inlineStr">
        <is>
          <t>Nov-2018</t>
        </is>
      </c>
      <c r="C9723" s="2" t="n">
        <v>43549</v>
      </c>
      <c r="D9723" t="inlineStr">
        <is>
          <t>NIL</t>
        </is>
      </c>
      <c r="E9723" t="n">
        <v>268</v>
      </c>
    </row>
    <row r="9724">
      <c r="A9724" t="inlineStr">
        <is>
          <t>27BBBBB09724Z5</t>
        </is>
      </c>
      <c r="B9724" t="inlineStr">
        <is>
          <t>Apr-2018</t>
        </is>
      </c>
      <c r="C9724" s="2" t="n">
        <v>44408</v>
      </c>
      <c r="D9724" t="inlineStr">
        <is>
          <t>NON-NIL</t>
        </is>
      </c>
      <c r="E9724" t="n">
        <v>2579</v>
      </c>
    </row>
    <row r="9725">
      <c r="A9725" t="inlineStr">
        <is>
          <t>27BBBBB09725Z5</t>
        </is>
      </c>
      <c r="B9725" t="inlineStr">
        <is>
          <t>Apr-2020</t>
        </is>
      </c>
      <c r="C9725" s="2" t="n">
        <v>44824</v>
      </c>
      <c r="D9725" t="inlineStr">
        <is>
          <t>NIL</t>
        </is>
      </c>
      <c r="E9725" t="n">
        <v>2852</v>
      </c>
    </row>
    <row r="9726">
      <c r="A9726" t="inlineStr">
        <is>
          <t>27BBBBB09726Z5</t>
        </is>
      </c>
      <c r="B9726" t="inlineStr">
        <is>
          <t>May-2020</t>
        </is>
      </c>
      <c r="C9726" s="2" t="n">
        <v>44524</v>
      </c>
      <c r="D9726" t="inlineStr">
        <is>
          <t>NON-NIL</t>
        </is>
      </c>
      <c r="E9726" t="n">
        <v>2629</v>
      </c>
    </row>
    <row r="9727">
      <c r="A9727" t="inlineStr">
        <is>
          <t>27BBBBB09727Z5</t>
        </is>
      </c>
      <c r="B9727" t="inlineStr">
        <is>
          <t>Feb-2018</t>
        </is>
      </c>
      <c r="C9727" s="2" t="n">
        <v>43584</v>
      </c>
      <c r="D9727" t="inlineStr">
        <is>
          <t>NIL</t>
        </is>
      </c>
      <c r="E9727" t="n">
        <v>1361</v>
      </c>
    </row>
    <row r="9728">
      <c r="A9728" t="inlineStr">
        <is>
          <t>27BBBBB09728Z5</t>
        </is>
      </c>
      <c r="B9728" t="inlineStr">
        <is>
          <t>Mar-2018</t>
        </is>
      </c>
      <c r="C9728" s="2" t="n">
        <v>43141</v>
      </c>
      <c r="D9728" t="inlineStr">
        <is>
          <t>NON-NIL</t>
        </is>
      </c>
      <c r="E9728" t="n">
        <v>996</v>
      </c>
    </row>
    <row r="9729">
      <c r="A9729" t="inlineStr">
        <is>
          <t>27BBBBB09729Z5</t>
        </is>
      </c>
      <c r="B9729" t="inlineStr">
        <is>
          <t>Oct-2017</t>
        </is>
      </c>
      <c r="C9729" s="2" t="n">
        <v>43964</v>
      </c>
      <c r="D9729" t="inlineStr">
        <is>
          <t>NIL</t>
        </is>
      </c>
      <c r="E9729" t="n">
        <v>1816</v>
      </c>
    </row>
    <row r="9730">
      <c r="A9730" t="inlineStr">
        <is>
          <t>27BBBBB09730Z5</t>
        </is>
      </c>
      <c r="B9730" t="inlineStr">
        <is>
          <t>Jun-2018</t>
        </is>
      </c>
      <c r="C9730" s="2" t="n">
        <v>42995</v>
      </c>
      <c r="D9730" t="inlineStr">
        <is>
          <t>NIL</t>
        </is>
      </c>
      <c r="E9730" t="n">
        <v>1693</v>
      </c>
    </row>
    <row r="9731">
      <c r="A9731" t="inlineStr">
        <is>
          <t>27BBBBB09731Z5</t>
        </is>
      </c>
      <c r="B9731" t="inlineStr">
        <is>
          <t>Jun-2020</t>
        </is>
      </c>
      <c r="C9731" s="2" t="n">
        <v>44155</v>
      </c>
      <c r="D9731" t="inlineStr">
        <is>
          <t>NIL</t>
        </is>
      </c>
      <c r="E9731" t="n">
        <v>1371</v>
      </c>
    </row>
    <row r="9732">
      <c r="A9732" t="inlineStr">
        <is>
          <t>27BBBBB09732Z5</t>
        </is>
      </c>
      <c r="B9732" t="inlineStr">
        <is>
          <t>Jan-2018</t>
        </is>
      </c>
      <c r="C9732" s="2" t="n">
        <v>44167</v>
      </c>
      <c r="D9732" t="inlineStr">
        <is>
          <t>NIL</t>
        </is>
      </c>
      <c r="E9732" t="n">
        <v>2795</v>
      </c>
    </row>
    <row r="9733">
      <c r="A9733" t="inlineStr">
        <is>
          <t>27BBBBB09733Z5</t>
        </is>
      </c>
      <c r="B9733" t="inlineStr">
        <is>
          <t>Jul-2017</t>
        </is>
      </c>
      <c r="C9733" s="2" t="n">
        <v>43584</v>
      </c>
      <c r="D9733" t="inlineStr">
        <is>
          <t>NIL</t>
        </is>
      </c>
      <c r="E9733" t="n">
        <v>2897</v>
      </c>
    </row>
    <row r="9734">
      <c r="A9734" t="inlineStr">
        <is>
          <t>27BBBBB09734Z5</t>
        </is>
      </c>
      <c r="B9734" t="inlineStr">
        <is>
          <t>Aug-2018</t>
        </is>
      </c>
      <c r="C9734" s="2" t="n">
        <v>44370</v>
      </c>
      <c r="D9734" t="inlineStr">
        <is>
          <t>NON-NIL</t>
        </is>
      </c>
      <c r="E9734" t="n">
        <v>2920</v>
      </c>
    </row>
    <row r="9735">
      <c r="A9735" t="inlineStr">
        <is>
          <t>27BBBBB09735Z5</t>
        </is>
      </c>
      <c r="B9735" t="inlineStr">
        <is>
          <t>Jul-2020</t>
        </is>
      </c>
      <c r="C9735" s="2" t="n">
        <v>44415</v>
      </c>
      <c r="D9735" t="inlineStr">
        <is>
          <t>NIL</t>
        </is>
      </c>
      <c r="E9735" t="n">
        <v>1825</v>
      </c>
    </row>
    <row r="9736">
      <c r="A9736" t="inlineStr">
        <is>
          <t>27BBBBB09736Z5</t>
        </is>
      </c>
      <c r="B9736" t="inlineStr">
        <is>
          <t>Apr-2020</t>
        </is>
      </c>
      <c r="C9736" s="2" t="n">
        <v>43943</v>
      </c>
      <c r="D9736" t="inlineStr">
        <is>
          <t>NIL</t>
        </is>
      </c>
      <c r="E9736" t="n">
        <v>2771</v>
      </c>
    </row>
    <row r="9737">
      <c r="A9737" t="inlineStr">
        <is>
          <t>27BBBBB09737Z5</t>
        </is>
      </c>
      <c r="B9737" t="inlineStr">
        <is>
          <t>May-2020</t>
        </is>
      </c>
      <c r="C9737" s="2" t="n">
        <v>44310</v>
      </c>
      <c r="D9737" t="inlineStr">
        <is>
          <t>NIL</t>
        </is>
      </c>
      <c r="E9737" t="n">
        <v>986</v>
      </c>
    </row>
    <row r="9738">
      <c r="A9738" t="inlineStr">
        <is>
          <t>27BBBBB09738Z5</t>
        </is>
      </c>
      <c r="B9738" t="inlineStr">
        <is>
          <t>Mar-2020</t>
        </is>
      </c>
      <c r="C9738" s="2" t="n">
        <v>44312</v>
      </c>
      <c r="D9738" t="inlineStr">
        <is>
          <t>NON-NIL</t>
        </is>
      </c>
      <c r="E9738" t="n">
        <v>1464</v>
      </c>
    </row>
    <row r="9739">
      <c r="A9739" t="inlineStr">
        <is>
          <t>27BBBBB09739Z5</t>
        </is>
      </c>
      <c r="B9739" t="inlineStr">
        <is>
          <t>Mar-2021</t>
        </is>
      </c>
      <c r="C9739" s="2" t="n">
        <v>45558</v>
      </c>
      <c r="D9739" t="inlineStr">
        <is>
          <t>NIL</t>
        </is>
      </c>
      <c r="E9739" t="n">
        <v>880</v>
      </c>
    </row>
    <row r="9740">
      <c r="A9740" t="inlineStr">
        <is>
          <t>27BBBBB09740Z5</t>
        </is>
      </c>
      <c r="B9740" t="inlineStr">
        <is>
          <t>Jul-2020</t>
        </is>
      </c>
      <c r="C9740" s="2" t="n">
        <v>43833</v>
      </c>
      <c r="D9740" t="inlineStr">
        <is>
          <t>NIL</t>
        </is>
      </c>
      <c r="E9740" t="n">
        <v>556</v>
      </c>
    </row>
    <row r="9741">
      <c r="A9741" t="inlineStr">
        <is>
          <t>27BBBBB09741Z5</t>
        </is>
      </c>
      <c r="B9741" t="inlineStr">
        <is>
          <t>Sep-2017</t>
        </is>
      </c>
      <c r="C9741" s="2" t="n">
        <v>43857</v>
      </c>
      <c r="D9741" t="inlineStr">
        <is>
          <t>NIL</t>
        </is>
      </c>
      <c r="E9741" t="n">
        <v>2501</v>
      </c>
    </row>
    <row r="9742">
      <c r="A9742" t="inlineStr">
        <is>
          <t>27BBBBB09742Z5</t>
        </is>
      </c>
      <c r="B9742" t="inlineStr">
        <is>
          <t>Mar-2020</t>
        </is>
      </c>
      <c r="C9742" s="2" t="n">
        <v>44413</v>
      </c>
      <c r="D9742" t="inlineStr">
        <is>
          <t>NON-NIL</t>
        </is>
      </c>
      <c r="E9742" t="n">
        <v>2411</v>
      </c>
    </row>
    <row r="9743">
      <c r="A9743" t="inlineStr">
        <is>
          <t>27BBBBB09743Z5</t>
        </is>
      </c>
      <c r="B9743" t="inlineStr">
        <is>
          <t>May-2018</t>
        </is>
      </c>
      <c r="C9743" s="2" t="n">
        <v>43864</v>
      </c>
      <c r="D9743" t="inlineStr">
        <is>
          <t>NIL</t>
        </is>
      </c>
      <c r="E9743" t="n">
        <v>2207</v>
      </c>
    </row>
    <row r="9744">
      <c r="A9744" t="inlineStr">
        <is>
          <t>27BBBBB09744Z5</t>
        </is>
      </c>
      <c r="B9744" t="inlineStr">
        <is>
          <t>Sep-2017</t>
        </is>
      </c>
      <c r="C9744" s="2" t="n">
        <v>43340</v>
      </c>
      <c r="D9744" t="inlineStr">
        <is>
          <t>NON-NIL</t>
        </is>
      </c>
      <c r="E9744" t="n">
        <v>467</v>
      </c>
    </row>
    <row r="9745">
      <c r="A9745" t="inlineStr">
        <is>
          <t>27BBBBB09745Z5</t>
        </is>
      </c>
      <c r="B9745" t="inlineStr">
        <is>
          <t>Aug-2017</t>
        </is>
      </c>
      <c r="C9745" s="2" t="n">
        <v>43294</v>
      </c>
      <c r="D9745" t="inlineStr">
        <is>
          <t>NIL</t>
        </is>
      </c>
      <c r="E9745" t="n">
        <v>1785</v>
      </c>
    </row>
    <row r="9746">
      <c r="A9746" t="inlineStr">
        <is>
          <t>27BBBBB09746Z5</t>
        </is>
      </c>
      <c r="B9746" t="inlineStr">
        <is>
          <t>Oct-2017</t>
        </is>
      </c>
      <c r="C9746" s="2" t="n">
        <v>43712</v>
      </c>
      <c r="D9746" t="inlineStr">
        <is>
          <t>NIL</t>
        </is>
      </c>
      <c r="E9746" t="n">
        <v>2907</v>
      </c>
    </row>
    <row r="9747">
      <c r="A9747" t="inlineStr">
        <is>
          <t>27BBBBB09747Z5</t>
        </is>
      </c>
      <c r="B9747" t="inlineStr">
        <is>
          <t>Dec-2018</t>
        </is>
      </c>
      <c r="C9747" s="2" t="n">
        <v>44481</v>
      </c>
      <c r="D9747" t="inlineStr">
        <is>
          <t>NON-NIL</t>
        </is>
      </c>
      <c r="E9747" t="n">
        <v>871</v>
      </c>
    </row>
    <row r="9748">
      <c r="A9748" t="inlineStr">
        <is>
          <t>27BBBBB09748Z5</t>
        </is>
      </c>
      <c r="B9748" t="inlineStr">
        <is>
          <t>Aug-2018</t>
        </is>
      </c>
      <c r="C9748" s="2" t="n">
        <v>43074</v>
      </c>
      <c r="D9748" t="inlineStr">
        <is>
          <t>NIL</t>
        </is>
      </c>
      <c r="E9748" t="n">
        <v>1697</v>
      </c>
    </row>
    <row r="9749">
      <c r="A9749" t="inlineStr">
        <is>
          <t>27BBBBB09749Z5</t>
        </is>
      </c>
      <c r="B9749" t="inlineStr">
        <is>
          <t>Oct-2018</t>
        </is>
      </c>
      <c r="C9749" s="2" t="n">
        <v>42974</v>
      </c>
      <c r="D9749" t="inlineStr">
        <is>
          <t>NON-NIL</t>
        </is>
      </c>
      <c r="E9749" t="n">
        <v>1622</v>
      </c>
    </row>
    <row r="9750">
      <c r="A9750" t="inlineStr">
        <is>
          <t>27BBBBB09750Z5</t>
        </is>
      </c>
      <c r="B9750" t="inlineStr">
        <is>
          <t>Dec-2024</t>
        </is>
      </c>
      <c r="C9750" s="2" t="n">
        <v>45012</v>
      </c>
      <c r="D9750" t="inlineStr">
        <is>
          <t>NON-NIL</t>
        </is>
      </c>
      <c r="E9750" t="n">
        <v>26</v>
      </c>
    </row>
    <row r="9751">
      <c r="A9751" t="inlineStr">
        <is>
          <t>27BBBBB09751Z5</t>
        </is>
      </c>
      <c r="B9751" t="inlineStr">
        <is>
          <t>Dec-2017</t>
        </is>
      </c>
      <c r="C9751" s="2" t="n">
        <v>43581</v>
      </c>
      <c r="D9751" t="inlineStr">
        <is>
          <t>NIL</t>
        </is>
      </c>
      <c r="E9751" t="n">
        <v>529</v>
      </c>
    </row>
    <row r="9752">
      <c r="A9752" t="inlineStr">
        <is>
          <t>27BBBBB09752Z5</t>
        </is>
      </c>
      <c r="B9752" t="inlineStr">
        <is>
          <t>Oct-2018</t>
        </is>
      </c>
      <c r="C9752" s="2" t="n">
        <v>43132</v>
      </c>
      <c r="D9752" t="inlineStr">
        <is>
          <t>NON-NIL</t>
        </is>
      </c>
      <c r="E9752" t="n">
        <v>1971</v>
      </c>
    </row>
    <row r="9753">
      <c r="A9753" t="inlineStr">
        <is>
          <t>27BBBBB09753Z5</t>
        </is>
      </c>
      <c r="B9753" t="inlineStr">
        <is>
          <t>Feb-2018</t>
        </is>
      </c>
      <c r="C9753" s="2" t="n">
        <v>44520</v>
      </c>
      <c r="D9753" t="inlineStr">
        <is>
          <t>NIL</t>
        </is>
      </c>
      <c r="E9753" t="n">
        <v>1629</v>
      </c>
    </row>
    <row r="9754">
      <c r="A9754" t="inlineStr">
        <is>
          <t>27BBBBB09754Z5</t>
        </is>
      </c>
      <c r="B9754" t="inlineStr">
        <is>
          <t>Dec-2018</t>
        </is>
      </c>
      <c r="C9754" s="2" t="n">
        <v>44256</v>
      </c>
      <c r="D9754" t="inlineStr">
        <is>
          <t>NON-NIL</t>
        </is>
      </c>
      <c r="E9754" t="n">
        <v>2920</v>
      </c>
    </row>
    <row r="9755">
      <c r="A9755" t="inlineStr">
        <is>
          <t>27BBBBB09755Z5</t>
        </is>
      </c>
      <c r="B9755" t="inlineStr">
        <is>
          <t>May-2020</t>
        </is>
      </c>
      <c r="C9755" s="2" t="n">
        <v>44843</v>
      </c>
      <c r="D9755" t="inlineStr">
        <is>
          <t>NIL</t>
        </is>
      </c>
      <c r="E9755" t="n">
        <v>247</v>
      </c>
    </row>
    <row r="9756">
      <c r="A9756" t="inlineStr">
        <is>
          <t>27BBBBB09756Z5</t>
        </is>
      </c>
      <c r="B9756" t="inlineStr">
        <is>
          <t>Dec-2022</t>
        </is>
      </c>
      <c r="C9756" s="2" t="n">
        <v>44876</v>
      </c>
      <c r="D9756" t="inlineStr">
        <is>
          <t>NIL</t>
        </is>
      </c>
      <c r="E9756" t="n">
        <v>2058</v>
      </c>
    </row>
    <row r="9757">
      <c r="A9757" t="inlineStr">
        <is>
          <t>27BBBBB09757Z5</t>
        </is>
      </c>
      <c r="B9757" t="inlineStr">
        <is>
          <t>Mar-2020</t>
        </is>
      </c>
      <c r="C9757" s="2" t="n">
        <v>44425</v>
      </c>
      <c r="D9757" t="inlineStr">
        <is>
          <t>NIL</t>
        </is>
      </c>
      <c r="E9757" t="n">
        <v>1676</v>
      </c>
    </row>
    <row r="9758">
      <c r="A9758" t="inlineStr">
        <is>
          <t>27BBBBB09758Z5</t>
        </is>
      </c>
      <c r="B9758" t="inlineStr">
        <is>
          <t>Mar-2023</t>
        </is>
      </c>
      <c r="C9758" s="2" t="n">
        <v>45725</v>
      </c>
      <c r="D9758" t="inlineStr">
        <is>
          <t>NON-NIL</t>
        </is>
      </c>
      <c r="E9758" t="n">
        <v>957</v>
      </c>
    </row>
    <row r="9759">
      <c r="A9759" t="inlineStr">
        <is>
          <t>27BBBBB09759Z5</t>
        </is>
      </c>
      <c r="B9759" t="inlineStr">
        <is>
          <t>Sep-2017</t>
        </is>
      </c>
      <c r="C9759" s="2" t="n">
        <v>43941</v>
      </c>
      <c r="D9759" t="inlineStr">
        <is>
          <t>NON-NIL</t>
        </is>
      </c>
      <c r="E9759" t="n">
        <v>1521</v>
      </c>
    </row>
    <row r="9760">
      <c r="A9760" t="inlineStr">
        <is>
          <t>27BBBBB09760Z5</t>
        </is>
      </c>
      <c r="B9760" t="inlineStr">
        <is>
          <t>Nov-2017</t>
        </is>
      </c>
      <c r="C9760" s="2" t="n">
        <v>44273</v>
      </c>
      <c r="D9760" t="inlineStr">
        <is>
          <t>NON-NIL</t>
        </is>
      </c>
      <c r="E9760" t="n">
        <v>1700</v>
      </c>
    </row>
    <row r="9761">
      <c r="A9761" t="inlineStr">
        <is>
          <t>27BBBBB09761Z5</t>
        </is>
      </c>
      <c r="B9761" t="inlineStr">
        <is>
          <t>Sep-2018</t>
        </is>
      </c>
      <c r="C9761" s="2" t="n">
        <v>43692</v>
      </c>
      <c r="D9761" t="inlineStr">
        <is>
          <t>NON-NIL</t>
        </is>
      </c>
      <c r="E9761" t="n">
        <v>2210</v>
      </c>
    </row>
    <row r="9762">
      <c r="A9762" t="inlineStr">
        <is>
          <t>27BBBBB09762Z5</t>
        </is>
      </c>
      <c r="B9762" t="inlineStr">
        <is>
          <t>Sep-2018</t>
        </is>
      </c>
      <c r="C9762" s="2" t="n">
        <v>44166</v>
      </c>
      <c r="D9762" t="inlineStr">
        <is>
          <t>NIL</t>
        </is>
      </c>
      <c r="E9762" t="n">
        <v>1316</v>
      </c>
    </row>
    <row r="9763">
      <c r="A9763" t="inlineStr">
        <is>
          <t>27BBBBB09763Z5</t>
        </is>
      </c>
      <c r="B9763" t="inlineStr">
        <is>
          <t>Jan-2021</t>
        </is>
      </c>
      <c r="C9763" s="2" t="n">
        <v>44697</v>
      </c>
      <c r="D9763" t="inlineStr">
        <is>
          <t>NIL</t>
        </is>
      </c>
      <c r="E9763" t="n">
        <v>331</v>
      </c>
    </row>
    <row r="9764">
      <c r="A9764" t="inlineStr">
        <is>
          <t>27BBBBB09764Z5</t>
        </is>
      </c>
      <c r="B9764" t="inlineStr">
        <is>
          <t>Aug-2018</t>
        </is>
      </c>
      <c r="C9764" s="2" t="n">
        <v>44280</v>
      </c>
      <c r="D9764" t="inlineStr">
        <is>
          <t>NON-NIL</t>
        </is>
      </c>
      <c r="E9764" t="n">
        <v>2441</v>
      </c>
    </row>
    <row r="9765">
      <c r="A9765" t="inlineStr">
        <is>
          <t>27BBBBB09765Z5</t>
        </is>
      </c>
      <c r="B9765" t="inlineStr">
        <is>
          <t>Sep-2017</t>
        </is>
      </c>
      <c r="C9765" s="2" t="n">
        <v>43093</v>
      </c>
      <c r="D9765" t="inlineStr">
        <is>
          <t>NON-NIL</t>
        </is>
      </c>
      <c r="E9765" t="n">
        <v>849</v>
      </c>
    </row>
    <row r="9766">
      <c r="A9766" t="inlineStr">
        <is>
          <t>27BBBBB09766Z5</t>
        </is>
      </c>
      <c r="B9766" t="inlineStr">
        <is>
          <t>Apr-2018</t>
        </is>
      </c>
      <c r="C9766" s="2" t="n">
        <v>42959</v>
      </c>
      <c r="D9766" t="inlineStr">
        <is>
          <t>NON-NIL</t>
        </is>
      </c>
      <c r="E9766" t="n">
        <v>592</v>
      </c>
    </row>
    <row r="9767">
      <c r="A9767" t="inlineStr">
        <is>
          <t>27BBBBB09767Z5</t>
        </is>
      </c>
      <c r="B9767" t="inlineStr">
        <is>
          <t>Mar-2021</t>
        </is>
      </c>
      <c r="C9767" s="2" t="n">
        <v>44711</v>
      </c>
      <c r="D9767" t="inlineStr">
        <is>
          <t>NIL</t>
        </is>
      </c>
      <c r="E9767" t="n">
        <v>1738</v>
      </c>
    </row>
    <row r="9768">
      <c r="A9768" t="inlineStr">
        <is>
          <t>27BBBBB09768Z5</t>
        </is>
      </c>
      <c r="B9768" t="inlineStr">
        <is>
          <t>Mar-2023</t>
        </is>
      </c>
      <c r="C9768" s="2" t="n">
        <v>45151</v>
      </c>
      <c r="D9768" t="inlineStr">
        <is>
          <t>NON-NIL</t>
        </is>
      </c>
      <c r="E9768" t="n">
        <v>2335</v>
      </c>
    </row>
    <row r="9769">
      <c r="A9769" t="inlineStr">
        <is>
          <t>27BBBBB09769Z5</t>
        </is>
      </c>
      <c r="B9769" t="inlineStr">
        <is>
          <t>Sep-2018</t>
        </is>
      </c>
      <c r="C9769" s="2" t="n">
        <v>43759</v>
      </c>
      <c r="D9769" t="inlineStr">
        <is>
          <t>NON-NIL</t>
        </is>
      </c>
      <c r="E9769" t="n">
        <v>2520</v>
      </c>
    </row>
    <row r="9770">
      <c r="A9770" t="inlineStr">
        <is>
          <t>27BBBBB09770Z5</t>
        </is>
      </c>
      <c r="B9770" t="inlineStr">
        <is>
          <t>Dec-2022</t>
        </is>
      </c>
      <c r="C9770" s="2" t="n">
        <v>45802</v>
      </c>
      <c r="D9770" t="inlineStr">
        <is>
          <t>NIL</t>
        </is>
      </c>
      <c r="E9770" t="n">
        <v>208</v>
      </c>
    </row>
    <row r="9771">
      <c r="A9771" t="inlineStr">
        <is>
          <t>27BBBBB09771Z5</t>
        </is>
      </c>
      <c r="B9771" t="inlineStr">
        <is>
          <t>Sep-2018</t>
        </is>
      </c>
      <c r="C9771" s="2" t="n">
        <v>44059</v>
      </c>
      <c r="D9771" t="inlineStr">
        <is>
          <t>NIL</t>
        </is>
      </c>
      <c r="E9771" t="n">
        <v>2061</v>
      </c>
    </row>
    <row r="9772">
      <c r="A9772" t="inlineStr">
        <is>
          <t>27BBBBB09772Z5</t>
        </is>
      </c>
      <c r="B9772" t="inlineStr">
        <is>
          <t>Dec-2022</t>
        </is>
      </c>
      <c r="C9772" s="2" t="n">
        <v>43953</v>
      </c>
      <c r="D9772" t="inlineStr">
        <is>
          <t>NON-NIL</t>
        </is>
      </c>
      <c r="E9772" t="n">
        <v>48</v>
      </c>
    </row>
    <row r="9773">
      <c r="A9773" t="inlineStr">
        <is>
          <t>27BBBBB09773Z5</t>
        </is>
      </c>
      <c r="B9773" t="inlineStr">
        <is>
          <t>Mar-2018</t>
        </is>
      </c>
      <c r="C9773" s="2" t="n">
        <v>43151</v>
      </c>
      <c r="D9773" t="inlineStr">
        <is>
          <t>NIL</t>
        </is>
      </c>
      <c r="E9773" t="n">
        <v>2031</v>
      </c>
    </row>
    <row r="9774">
      <c r="A9774" t="inlineStr">
        <is>
          <t>27BBBBB09774Z5</t>
        </is>
      </c>
      <c r="B9774" t="inlineStr">
        <is>
          <t>Mar-2020</t>
        </is>
      </c>
      <c r="C9774" s="2" t="n">
        <v>44699</v>
      </c>
      <c r="D9774" t="inlineStr">
        <is>
          <t>NON-NIL</t>
        </is>
      </c>
      <c r="E9774" t="n">
        <v>2746</v>
      </c>
    </row>
    <row r="9775">
      <c r="A9775" t="inlineStr">
        <is>
          <t>27BBBBB09775Z5</t>
        </is>
      </c>
      <c r="B9775" t="inlineStr">
        <is>
          <t>Aug-2017</t>
        </is>
      </c>
      <c r="C9775" s="2" t="n">
        <v>43511</v>
      </c>
      <c r="D9775" t="inlineStr">
        <is>
          <t>NON-NIL</t>
        </is>
      </c>
      <c r="E9775" t="n">
        <v>174</v>
      </c>
    </row>
    <row r="9776">
      <c r="A9776" t="inlineStr">
        <is>
          <t>27BBBBB09776Z5</t>
        </is>
      </c>
      <c r="B9776" t="inlineStr">
        <is>
          <t>Jan-2018</t>
        </is>
      </c>
      <c r="C9776" s="2" t="n">
        <v>44046</v>
      </c>
      <c r="D9776" t="inlineStr">
        <is>
          <t>NIL</t>
        </is>
      </c>
      <c r="E9776" t="n">
        <v>1249</v>
      </c>
    </row>
    <row r="9777">
      <c r="A9777" t="inlineStr">
        <is>
          <t>27BBBBB09777Z5</t>
        </is>
      </c>
      <c r="B9777" t="inlineStr">
        <is>
          <t>Oct-2017</t>
        </is>
      </c>
      <c r="C9777" s="2" t="n">
        <v>42922</v>
      </c>
      <c r="D9777" t="inlineStr">
        <is>
          <t>NIL</t>
        </is>
      </c>
      <c r="E9777" t="n">
        <v>287</v>
      </c>
    </row>
    <row r="9778">
      <c r="A9778" t="inlineStr">
        <is>
          <t>27BBBBB09778Z5</t>
        </is>
      </c>
      <c r="B9778" t="inlineStr">
        <is>
          <t>Oct-2017</t>
        </is>
      </c>
      <c r="C9778" s="2" t="n">
        <v>43065</v>
      </c>
      <c r="D9778" t="inlineStr">
        <is>
          <t>NON-NIL</t>
        </is>
      </c>
      <c r="E9778" t="n">
        <v>1459</v>
      </c>
    </row>
    <row r="9779">
      <c r="A9779" t="inlineStr">
        <is>
          <t>27BBBBB09779Z5</t>
        </is>
      </c>
      <c r="B9779" t="inlineStr">
        <is>
          <t>Oct-2018</t>
        </is>
      </c>
      <c r="C9779" s="2" t="n">
        <v>44457</v>
      </c>
      <c r="D9779" t="inlineStr">
        <is>
          <t>NON-NIL</t>
        </is>
      </c>
      <c r="E9779" t="n">
        <v>222</v>
      </c>
    </row>
    <row r="9780">
      <c r="A9780" t="inlineStr">
        <is>
          <t>27BBBBB09780Z5</t>
        </is>
      </c>
      <c r="B9780" t="inlineStr">
        <is>
          <t>Sep-2017</t>
        </is>
      </c>
      <c r="C9780" s="2" t="n">
        <v>44020</v>
      </c>
      <c r="D9780" t="inlineStr">
        <is>
          <t>NIL</t>
        </is>
      </c>
      <c r="E9780" t="n">
        <v>50</v>
      </c>
    </row>
    <row r="9781">
      <c r="A9781" t="inlineStr">
        <is>
          <t>27BBBBB09781Z5</t>
        </is>
      </c>
      <c r="B9781" t="inlineStr">
        <is>
          <t>Jun-2020</t>
        </is>
      </c>
      <c r="C9781" s="2" t="n">
        <v>44798</v>
      </c>
      <c r="D9781" t="inlineStr">
        <is>
          <t>NON-NIL</t>
        </is>
      </c>
      <c r="E9781" t="n">
        <v>2508</v>
      </c>
    </row>
    <row r="9782">
      <c r="A9782" t="inlineStr">
        <is>
          <t>27BBBBB09782Z5</t>
        </is>
      </c>
      <c r="B9782" t="inlineStr">
        <is>
          <t>Jul-2017</t>
        </is>
      </c>
      <c r="C9782" s="2" t="n">
        <v>43949</v>
      </c>
      <c r="D9782" t="inlineStr">
        <is>
          <t>NIL</t>
        </is>
      </c>
      <c r="E9782" t="n">
        <v>1026</v>
      </c>
    </row>
    <row r="9783">
      <c r="A9783" t="inlineStr">
        <is>
          <t>27BBBBB09783Z5</t>
        </is>
      </c>
      <c r="B9783" t="inlineStr">
        <is>
          <t>Jun-2018</t>
        </is>
      </c>
      <c r="C9783" s="2" t="n">
        <v>43689</v>
      </c>
      <c r="D9783" t="inlineStr">
        <is>
          <t>NIL</t>
        </is>
      </c>
      <c r="E9783" t="n">
        <v>2801</v>
      </c>
    </row>
    <row r="9784">
      <c r="A9784" t="inlineStr">
        <is>
          <t>27BBBBB09784Z5</t>
        </is>
      </c>
      <c r="B9784" t="inlineStr">
        <is>
          <t>Mar-2023</t>
        </is>
      </c>
      <c r="C9784" s="2" t="n">
        <v>44652</v>
      </c>
      <c r="D9784" t="inlineStr">
        <is>
          <t>NIL</t>
        </is>
      </c>
      <c r="E9784" t="n">
        <v>623</v>
      </c>
    </row>
    <row r="9785">
      <c r="A9785" t="inlineStr">
        <is>
          <t>27BBBBB09785Z5</t>
        </is>
      </c>
      <c r="B9785" t="inlineStr">
        <is>
          <t>Jul-2017</t>
        </is>
      </c>
      <c r="C9785" s="2" t="n">
        <v>43161</v>
      </c>
      <c r="D9785" t="inlineStr">
        <is>
          <t>NIL</t>
        </is>
      </c>
      <c r="E9785" t="n">
        <v>180</v>
      </c>
    </row>
    <row r="9786">
      <c r="A9786" t="inlineStr">
        <is>
          <t>27BBBBB09786Z5</t>
        </is>
      </c>
      <c r="B9786" t="inlineStr">
        <is>
          <t>Nov-2017</t>
        </is>
      </c>
      <c r="C9786" s="2" t="n">
        <v>44533</v>
      </c>
      <c r="D9786" t="inlineStr">
        <is>
          <t>NIL</t>
        </is>
      </c>
      <c r="E9786" t="n">
        <v>805</v>
      </c>
    </row>
    <row r="9787">
      <c r="A9787" t="inlineStr">
        <is>
          <t>27BBBBB09787Z5</t>
        </is>
      </c>
      <c r="B9787" t="inlineStr">
        <is>
          <t>Mar-2020</t>
        </is>
      </c>
      <c r="C9787" s="2" t="n">
        <v>44342</v>
      </c>
      <c r="D9787" t="inlineStr">
        <is>
          <t>NON-NIL</t>
        </is>
      </c>
      <c r="E9787" t="n">
        <v>1111</v>
      </c>
    </row>
    <row r="9788">
      <c r="A9788" t="inlineStr">
        <is>
          <t>27BBBBB09788Z5</t>
        </is>
      </c>
      <c r="B9788" t="inlineStr">
        <is>
          <t>Aug-2017</t>
        </is>
      </c>
      <c r="C9788" s="2" t="n">
        <v>43422</v>
      </c>
      <c r="D9788" t="inlineStr">
        <is>
          <t>NON-NIL</t>
        </is>
      </c>
      <c r="E9788" t="n">
        <v>1847</v>
      </c>
    </row>
    <row r="9789">
      <c r="A9789" t="inlineStr">
        <is>
          <t>27BBBBB09789Z5</t>
        </is>
      </c>
      <c r="B9789" t="inlineStr">
        <is>
          <t>Sep-2017</t>
        </is>
      </c>
      <c r="C9789" s="2" t="n">
        <v>43394</v>
      </c>
      <c r="D9789" t="inlineStr">
        <is>
          <t>NIL</t>
        </is>
      </c>
      <c r="E9789" t="n">
        <v>2293</v>
      </c>
    </row>
    <row r="9790">
      <c r="A9790" t="inlineStr">
        <is>
          <t>27BBBBB09790Z5</t>
        </is>
      </c>
      <c r="B9790" t="inlineStr">
        <is>
          <t>Mar-2018</t>
        </is>
      </c>
      <c r="C9790" s="2" t="n">
        <v>43432</v>
      </c>
      <c r="D9790" t="inlineStr">
        <is>
          <t>NON-NIL</t>
        </is>
      </c>
      <c r="E9790" t="n">
        <v>656</v>
      </c>
    </row>
    <row r="9791">
      <c r="A9791" t="inlineStr">
        <is>
          <t>27BBBBB09791Z5</t>
        </is>
      </c>
      <c r="B9791" t="inlineStr">
        <is>
          <t>May-2020</t>
        </is>
      </c>
      <c r="C9791" s="2" t="n">
        <v>44787</v>
      </c>
      <c r="D9791" t="inlineStr">
        <is>
          <t>NIL</t>
        </is>
      </c>
      <c r="E9791" t="n">
        <v>535</v>
      </c>
    </row>
    <row r="9792">
      <c r="A9792" t="inlineStr">
        <is>
          <t>27BBBBB09792Z5</t>
        </is>
      </c>
      <c r="B9792" t="inlineStr">
        <is>
          <t>Dec-2022</t>
        </is>
      </c>
      <c r="C9792" s="2" t="n">
        <v>43921</v>
      </c>
      <c r="D9792" t="inlineStr">
        <is>
          <t>NON-NIL</t>
        </is>
      </c>
      <c r="E9792" t="n">
        <v>2660</v>
      </c>
    </row>
    <row r="9793">
      <c r="A9793" t="inlineStr">
        <is>
          <t>27BBBBB09793Z5</t>
        </is>
      </c>
      <c r="B9793" t="inlineStr">
        <is>
          <t>Jul-2020</t>
        </is>
      </c>
      <c r="C9793" s="2" t="n">
        <v>44472</v>
      </c>
      <c r="D9793" t="inlineStr">
        <is>
          <t>NON-NIL</t>
        </is>
      </c>
      <c r="E9793" t="n">
        <v>950</v>
      </c>
    </row>
    <row r="9794">
      <c r="A9794" t="inlineStr">
        <is>
          <t>27BBBBB09794Z5</t>
        </is>
      </c>
      <c r="B9794" t="inlineStr">
        <is>
          <t>Mar-2023</t>
        </is>
      </c>
      <c r="C9794" s="2" t="n">
        <v>44980</v>
      </c>
      <c r="D9794" t="inlineStr">
        <is>
          <t>NIL</t>
        </is>
      </c>
      <c r="E9794" t="n">
        <v>1319</v>
      </c>
    </row>
    <row r="9795">
      <c r="A9795" t="inlineStr">
        <is>
          <t>27BBBBB09795Z5</t>
        </is>
      </c>
      <c r="B9795" t="inlineStr">
        <is>
          <t>Jun-2020</t>
        </is>
      </c>
      <c r="C9795" s="2" t="n">
        <v>44420</v>
      </c>
      <c r="D9795" t="inlineStr">
        <is>
          <t>NON-NIL</t>
        </is>
      </c>
      <c r="E9795" t="n">
        <v>197</v>
      </c>
    </row>
    <row r="9796">
      <c r="A9796" t="inlineStr">
        <is>
          <t>27BBBBB09796Z5</t>
        </is>
      </c>
      <c r="B9796" t="inlineStr">
        <is>
          <t>Jun-2020</t>
        </is>
      </c>
      <c r="C9796" s="2" t="n">
        <v>44620</v>
      </c>
      <c r="D9796" t="inlineStr">
        <is>
          <t>NON-NIL</t>
        </is>
      </c>
      <c r="E9796" t="n">
        <v>253</v>
      </c>
    </row>
    <row r="9797">
      <c r="A9797" t="inlineStr">
        <is>
          <t>27BBBBB09797Z5</t>
        </is>
      </c>
      <c r="B9797" t="inlineStr">
        <is>
          <t>Sep-2018</t>
        </is>
      </c>
      <c r="C9797" s="2" t="n">
        <v>44359</v>
      </c>
      <c r="D9797" t="inlineStr">
        <is>
          <t>NON-NIL</t>
        </is>
      </c>
      <c r="E9797" t="n">
        <v>1679</v>
      </c>
    </row>
    <row r="9798">
      <c r="A9798" t="inlineStr">
        <is>
          <t>27BBBBB09798Z5</t>
        </is>
      </c>
      <c r="B9798" t="inlineStr">
        <is>
          <t>Mar-2018</t>
        </is>
      </c>
      <c r="C9798" s="2" t="n">
        <v>43910</v>
      </c>
      <c r="D9798" t="inlineStr">
        <is>
          <t>NIL</t>
        </is>
      </c>
      <c r="E9798" t="n">
        <v>602</v>
      </c>
    </row>
    <row r="9799">
      <c r="A9799" t="inlineStr">
        <is>
          <t>27BBBBB09799Z5</t>
        </is>
      </c>
      <c r="B9799" t="inlineStr">
        <is>
          <t>Mar-2018</t>
        </is>
      </c>
      <c r="C9799" s="2" t="n">
        <v>43345</v>
      </c>
      <c r="D9799" t="inlineStr">
        <is>
          <t>NON-NIL</t>
        </is>
      </c>
      <c r="E9799" t="n">
        <v>2993</v>
      </c>
    </row>
    <row r="9800">
      <c r="A9800" t="inlineStr">
        <is>
          <t>27BBBBB09800Z5</t>
        </is>
      </c>
      <c r="B9800" t="inlineStr">
        <is>
          <t>Jan-2021</t>
        </is>
      </c>
      <c r="C9800" s="2" t="n">
        <v>45124</v>
      </c>
      <c r="D9800" t="inlineStr">
        <is>
          <t>NIL</t>
        </is>
      </c>
      <c r="E9800" t="n">
        <v>1075</v>
      </c>
    </row>
    <row r="9801">
      <c r="A9801" t="inlineStr">
        <is>
          <t>27BBBBB09801Z5</t>
        </is>
      </c>
      <c r="B9801" t="inlineStr">
        <is>
          <t>Nov-2018</t>
        </is>
      </c>
      <c r="C9801" s="2" t="n">
        <v>43586</v>
      </c>
      <c r="D9801" t="inlineStr">
        <is>
          <t>NON-NIL</t>
        </is>
      </c>
      <c r="E9801" t="n">
        <v>2428</v>
      </c>
    </row>
    <row r="9802">
      <c r="A9802" t="inlineStr">
        <is>
          <t>27BBBBB09802Z5</t>
        </is>
      </c>
      <c r="B9802" t="inlineStr">
        <is>
          <t>Sep-2018</t>
        </is>
      </c>
      <c r="C9802" s="2" t="n">
        <v>43615</v>
      </c>
      <c r="D9802" t="inlineStr">
        <is>
          <t>NIL</t>
        </is>
      </c>
      <c r="E9802" t="n">
        <v>2810</v>
      </c>
    </row>
    <row r="9803">
      <c r="A9803" t="inlineStr">
        <is>
          <t>27BBBBB09803Z5</t>
        </is>
      </c>
      <c r="B9803" t="inlineStr">
        <is>
          <t>May-2018</t>
        </is>
      </c>
      <c r="C9803" s="2" t="n">
        <v>43919</v>
      </c>
      <c r="D9803" t="inlineStr">
        <is>
          <t>NIL</t>
        </is>
      </c>
      <c r="E9803" t="n">
        <v>101</v>
      </c>
    </row>
    <row r="9804">
      <c r="A9804" t="inlineStr">
        <is>
          <t>27BBBBB09804Z5</t>
        </is>
      </c>
      <c r="B9804" t="inlineStr">
        <is>
          <t>May-2018</t>
        </is>
      </c>
      <c r="C9804" s="2" t="n">
        <v>43960</v>
      </c>
      <c r="D9804" t="inlineStr">
        <is>
          <t>NIL</t>
        </is>
      </c>
      <c r="E9804" t="n">
        <v>606</v>
      </c>
    </row>
    <row r="9805">
      <c r="A9805" t="inlineStr">
        <is>
          <t>27BBBBB09805Z5</t>
        </is>
      </c>
      <c r="B9805" t="inlineStr">
        <is>
          <t>Aug-2018</t>
        </is>
      </c>
      <c r="C9805" s="2" t="n">
        <v>44230</v>
      </c>
      <c r="D9805" t="inlineStr">
        <is>
          <t>NON-NIL</t>
        </is>
      </c>
      <c r="E9805" t="n">
        <v>2605</v>
      </c>
    </row>
    <row r="9806">
      <c r="A9806" t="inlineStr">
        <is>
          <t>27BBBBB09806Z5</t>
        </is>
      </c>
      <c r="B9806" t="inlineStr">
        <is>
          <t>Feb-2018</t>
        </is>
      </c>
      <c r="C9806" s="2" t="n">
        <v>43746</v>
      </c>
      <c r="D9806" t="inlineStr">
        <is>
          <t>NIL</t>
        </is>
      </c>
      <c r="E9806" t="n">
        <v>1778</v>
      </c>
    </row>
    <row r="9807">
      <c r="A9807" t="inlineStr">
        <is>
          <t>27BBBBB09807Z5</t>
        </is>
      </c>
      <c r="B9807" t="inlineStr">
        <is>
          <t>Feb-2018</t>
        </is>
      </c>
      <c r="C9807" s="2" t="n">
        <v>44434</v>
      </c>
      <c r="D9807" t="inlineStr">
        <is>
          <t>NIL</t>
        </is>
      </c>
      <c r="E9807" t="n">
        <v>288</v>
      </c>
    </row>
    <row r="9808">
      <c r="A9808" t="inlineStr">
        <is>
          <t>27BBBBB09808Z5</t>
        </is>
      </c>
      <c r="B9808" t="inlineStr">
        <is>
          <t>Sep-2018</t>
        </is>
      </c>
      <c r="C9808" s="2" t="n">
        <v>44160</v>
      </c>
      <c r="D9808" t="inlineStr">
        <is>
          <t>NIL</t>
        </is>
      </c>
      <c r="E9808" t="n">
        <v>2937</v>
      </c>
    </row>
    <row r="9809">
      <c r="A9809" t="inlineStr">
        <is>
          <t>27BBBBB09809Z5</t>
        </is>
      </c>
      <c r="B9809" t="inlineStr">
        <is>
          <t>Sep-2017</t>
        </is>
      </c>
      <c r="C9809" s="2" t="n">
        <v>44451</v>
      </c>
      <c r="D9809" t="inlineStr">
        <is>
          <t>NIL</t>
        </is>
      </c>
      <c r="E9809" t="n">
        <v>2518</v>
      </c>
    </row>
    <row r="9810">
      <c r="A9810" t="inlineStr">
        <is>
          <t>27BBBBB09810Z5</t>
        </is>
      </c>
      <c r="B9810" t="inlineStr">
        <is>
          <t>May-2018</t>
        </is>
      </c>
      <c r="C9810" s="2" t="n">
        <v>44194</v>
      </c>
      <c r="D9810" t="inlineStr">
        <is>
          <t>NIL</t>
        </is>
      </c>
      <c r="E9810" t="n">
        <v>2045</v>
      </c>
    </row>
    <row r="9811">
      <c r="A9811" t="inlineStr">
        <is>
          <t>27BBBBB09811Z5</t>
        </is>
      </c>
      <c r="B9811" t="inlineStr">
        <is>
          <t>Dec-2018</t>
        </is>
      </c>
      <c r="C9811" s="2" t="n">
        <v>43415</v>
      </c>
      <c r="D9811" t="inlineStr">
        <is>
          <t>NIL</t>
        </is>
      </c>
      <c r="E9811" t="n">
        <v>735</v>
      </c>
    </row>
    <row r="9812">
      <c r="A9812" t="inlineStr">
        <is>
          <t>27BBBBB09812Z5</t>
        </is>
      </c>
      <c r="B9812" t="inlineStr">
        <is>
          <t>Dec-2018</t>
        </is>
      </c>
      <c r="C9812" s="2" t="n">
        <v>43597</v>
      </c>
      <c r="D9812" t="inlineStr">
        <is>
          <t>NON-NIL</t>
        </is>
      </c>
      <c r="E9812" t="n">
        <v>2297</v>
      </c>
    </row>
    <row r="9813">
      <c r="A9813" t="inlineStr">
        <is>
          <t>27BBBBB09813Z5</t>
        </is>
      </c>
      <c r="B9813" t="inlineStr">
        <is>
          <t>Feb-2018</t>
        </is>
      </c>
      <c r="C9813" s="2" t="n">
        <v>43453</v>
      </c>
      <c r="D9813" t="inlineStr">
        <is>
          <t>NON-NIL</t>
        </is>
      </c>
      <c r="E9813" t="n">
        <v>476</v>
      </c>
    </row>
    <row r="9814">
      <c r="A9814" t="inlineStr">
        <is>
          <t>27BBBBB09814Z5</t>
        </is>
      </c>
      <c r="B9814" t="inlineStr">
        <is>
          <t>Sep-2017</t>
        </is>
      </c>
      <c r="C9814" s="2" t="n">
        <v>43791</v>
      </c>
      <c r="D9814" t="inlineStr">
        <is>
          <t>NIL</t>
        </is>
      </c>
      <c r="E9814" t="n">
        <v>2851</v>
      </c>
    </row>
    <row r="9815">
      <c r="A9815" t="inlineStr">
        <is>
          <t>27BBBBB09815Z5</t>
        </is>
      </c>
      <c r="B9815" t="inlineStr">
        <is>
          <t>Aug-2017</t>
        </is>
      </c>
      <c r="C9815" s="2" t="n">
        <v>43703</v>
      </c>
      <c r="D9815" t="inlineStr">
        <is>
          <t>NON-NIL</t>
        </is>
      </c>
      <c r="E9815" t="n">
        <v>375</v>
      </c>
    </row>
    <row r="9816">
      <c r="A9816" t="inlineStr">
        <is>
          <t>27BBBBB09816Z5</t>
        </is>
      </c>
      <c r="B9816" t="inlineStr">
        <is>
          <t>May-2018</t>
        </is>
      </c>
      <c r="C9816" s="2" t="n">
        <v>44256</v>
      </c>
      <c r="D9816" t="inlineStr">
        <is>
          <t>NIL</t>
        </is>
      </c>
      <c r="E9816" t="n">
        <v>887</v>
      </c>
    </row>
    <row r="9817">
      <c r="A9817" t="inlineStr">
        <is>
          <t>27BBBBB09817Z5</t>
        </is>
      </c>
      <c r="B9817" t="inlineStr">
        <is>
          <t>Nov-2018</t>
        </is>
      </c>
      <c r="C9817" s="2" t="n">
        <v>43223</v>
      </c>
      <c r="D9817" t="inlineStr">
        <is>
          <t>NIL</t>
        </is>
      </c>
      <c r="E9817" t="n">
        <v>675</v>
      </c>
    </row>
    <row r="9818">
      <c r="A9818" t="inlineStr">
        <is>
          <t>27BBBBB09818Z5</t>
        </is>
      </c>
      <c r="B9818" t="inlineStr">
        <is>
          <t>Aug-2018</t>
        </is>
      </c>
      <c r="C9818" s="2" t="n">
        <v>43231</v>
      </c>
      <c r="D9818" t="inlineStr">
        <is>
          <t>NIL</t>
        </is>
      </c>
      <c r="E9818" t="n">
        <v>1552</v>
      </c>
    </row>
    <row r="9819">
      <c r="A9819" t="inlineStr">
        <is>
          <t>27BBBBB09819Z5</t>
        </is>
      </c>
      <c r="B9819" t="inlineStr">
        <is>
          <t>Mar-2021</t>
        </is>
      </c>
      <c r="C9819" s="2" t="n">
        <v>44855</v>
      </c>
      <c r="D9819" t="inlineStr">
        <is>
          <t>NIL</t>
        </is>
      </c>
      <c r="E9819" t="n">
        <v>1124</v>
      </c>
    </row>
    <row r="9820">
      <c r="A9820" t="inlineStr">
        <is>
          <t>27BBBBB09820Z5</t>
        </is>
      </c>
      <c r="B9820" t="inlineStr">
        <is>
          <t>Jan-2021</t>
        </is>
      </c>
      <c r="C9820" s="2" t="n">
        <v>45049</v>
      </c>
      <c r="D9820" t="inlineStr">
        <is>
          <t>NIL</t>
        </is>
      </c>
      <c r="E9820" t="n">
        <v>1357</v>
      </c>
    </row>
    <row r="9821">
      <c r="A9821" t="inlineStr">
        <is>
          <t>27BBBBB09821Z5</t>
        </is>
      </c>
      <c r="B9821" t="inlineStr">
        <is>
          <t>Nov-2017</t>
        </is>
      </c>
      <c r="C9821" s="2" t="n">
        <v>42985</v>
      </c>
      <c r="D9821" t="inlineStr">
        <is>
          <t>NON-NIL</t>
        </is>
      </c>
      <c r="E9821" t="n">
        <v>2239</v>
      </c>
    </row>
    <row r="9822">
      <c r="A9822" t="inlineStr">
        <is>
          <t>27BBBBB09822Z5</t>
        </is>
      </c>
      <c r="B9822" t="inlineStr">
        <is>
          <t>Dec-2018</t>
        </is>
      </c>
      <c r="C9822" s="2" t="n">
        <v>43206</v>
      </c>
      <c r="D9822" t="inlineStr">
        <is>
          <t>NON-NIL</t>
        </is>
      </c>
      <c r="E9822" t="n">
        <v>595</v>
      </c>
    </row>
    <row r="9823">
      <c r="A9823" t="inlineStr">
        <is>
          <t>27BBBBB09823Z5</t>
        </is>
      </c>
      <c r="B9823" t="inlineStr">
        <is>
          <t>Jul-2018</t>
        </is>
      </c>
      <c r="C9823" s="2" t="n">
        <v>44305</v>
      </c>
      <c r="D9823" t="inlineStr">
        <is>
          <t>NON-NIL</t>
        </is>
      </c>
      <c r="E9823" t="n">
        <v>2791</v>
      </c>
    </row>
    <row r="9824">
      <c r="A9824" t="inlineStr">
        <is>
          <t>27BBBBB09824Z5</t>
        </is>
      </c>
      <c r="B9824" t="inlineStr">
        <is>
          <t>Apr-2020</t>
        </is>
      </c>
      <c r="C9824" s="2" t="n">
        <v>43987</v>
      </c>
      <c r="D9824" t="inlineStr">
        <is>
          <t>NIL</t>
        </is>
      </c>
      <c r="E9824" t="n">
        <v>2071</v>
      </c>
    </row>
    <row r="9825">
      <c r="A9825" t="inlineStr">
        <is>
          <t>27BBBBB09825Z5</t>
        </is>
      </c>
      <c r="B9825" t="inlineStr">
        <is>
          <t>Nov-2018</t>
        </is>
      </c>
      <c r="C9825" s="2" t="n">
        <v>43683</v>
      </c>
      <c r="D9825" t="inlineStr">
        <is>
          <t>NIL</t>
        </is>
      </c>
      <c r="E9825" t="n">
        <v>1452</v>
      </c>
    </row>
    <row r="9826">
      <c r="A9826" t="inlineStr">
        <is>
          <t>27BBBBB09826Z5</t>
        </is>
      </c>
      <c r="B9826" t="inlineStr">
        <is>
          <t>Nov-2018</t>
        </is>
      </c>
      <c r="C9826" s="2" t="n">
        <v>43738</v>
      </c>
      <c r="D9826" t="inlineStr">
        <is>
          <t>NON-NIL</t>
        </is>
      </c>
      <c r="E9826" t="n">
        <v>154</v>
      </c>
    </row>
    <row r="9827">
      <c r="A9827" t="inlineStr">
        <is>
          <t>27BBBBB09827Z5</t>
        </is>
      </c>
      <c r="B9827" t="inlineStr">
        <is>
          <t>Apr-2020</t>
        </is>
      </c>
      <c r="C9827" s="2" t="n">
        <v>44442</v>
      </c>
      <c r="D9827" t="inlineStr">
        <is>
          <t>NON-NIL</t>
        </is>
      </c>
      <c r="E9827" t="n">
        <v>316</v>
      </c>
    </row>
    <row r="9828">
      <c r="A9828" t="inlineStr">
        <is>
          <t>27BBBBB09828Z5</t>
        </is>
      </c>
      <c r="B9828" t="inlineStr">
        <is>
          <t>Nov-2018</t>
        </is>
      </c>
      <c r="C9828" s="2" t="n">
        <v>44004</v>
      </c>
      <c r="D9828" t="inlineStr">
        <is>
          <t>NIL</t>
        </is>
      </c>
      <c r="E9828" t="n">
        <v>2438</v>
      </c>
    </row>
    <row r="9829">
      <c r="A9829" t="inlineStr">
        <is>
          <t>27BBBBB09829Z5</t>
        </is>
      </c>
      <c r="B9829" t="inlineStr">
        <is>
          <t>Apr-2020</t>
        </is>
      </c>
      <c r="C9829" s="2" t="n">
        <v>43996</v>
      </c>
      <c r="D9829" t="inlineStr">
        <is>
          <t>NON-NIL</t>
        </is>
      </c>
      <c r="E9829" t="n">
        <v>2186</v>
      </c>
    </row>
    <row r="9830">
      <c r="A9830" t="inlineStr">
        <is>
          <t>27BBBBB09830Z5</t>
        </is>
      </c>
      <c r="B9830" t="inlineStr">
        <is>
          <t>Jul-2017</t>
        </is>
      </c>
      <c r="C9830" s="2" t="n">
        <v>44488</v>
      </c>
      <c r="D9830" t="inlineStr">
        <is>
          <t>NON-NIL</t>
        </is>
      </c>
      <c r="E9830" t="n">
        <v>1606</v>
      </c>
    </row>
    <row r="9831">
      <c r="A9831" t="inlineStr">
        <is>
          <t>27BBBBB09831Z5</t>
        </is>
      </c>
      <c r="B9831" t="inlineStr">
        <is>
          <t>Aug-2018</t>
        </is>
      </c>
      <c r="C9831" s="2" t="n">
        <v>43119</v>
      </c>
      <c r="D9831" t="inlineStr">
        <is>
          <t>NON-NIL</t>
        </is>
      </c>
      <c r="E9831" t="n">
        <v>1041</v>
      </c>
    </row>
    <row r="9832">
      <c r="A9832" t="inlineStr">
        <is>
          <t>27BBBBB09832Z5</t>
        </is>
      </c>
      <c r="B9832" t="inlineStr">
        <is>
          <t>Jun-2018</t>
        </is>
      </c>
      <c r="C9832" s="2" t="n">
        <v>44358</v>
      </c>
      <c r="D9832" t="inlineStr">
        <is>
          <t>NIL</t>
        </is>
      </c>
      <c r="E9832" t="n">
        <v>2692</v>
      </c>
    </row>
    <row r="9833">
      <c r="A9833" t="inlineStr">
        <is>
          <t>27BBBBB09833Z5</t>
        </is>
      </c>
      <c r="B9833" t="inlineStr">
        <is>
          <t>May-2020</t>
        </is>
      </c>
      <c r="C9833" s="2" t="n">
        <v>44706</v>
      </c>
      <c r="D9833" t="inlineStr">
        <is>
          <t>NIL</t>
        </is>
      </c>
      <c r="E9833" t="n">
        <v>2131</v>
      </c>
    </row>
    <row r="9834">
      <c r="A9834" t="inlineStr">
        <is>
          <t>27BBBBB09834Z5</t>
        </is>
      </c>
      <c r="B9834" t="inlineStr">
        <is>
          <t>Sep-2018</t>
        </is>
      </c>
      <c r="C9834" s="2" t="n">
        <v>43024</v>
      </c>
      <c r="D9834" t="inlineStr">
        <is>
          <t>NIL</t>
        </is>
      </c>
      <c r="E9834" t="n">
        <v>329</v>
      </c>
    </row>
    <row r="9835">
      <c r="A9835" t="inlineStr">
        <is>
          <t>27BBBBB09835Z5</t>
        </is>
      </c>
      <c r="B9835" t="inlineStr">
        <is>
          <t>Jan-2018</t>
        </is>
      </c>
      <c r="C9835" s="2" t="n">
        <v>43763</v>
      </c>
      <c r="D9835" t="inlineStr">
        <is>
          <t>NON-NIL</t>
        </is>
      </c>
      <c r="E9835" t="n">
        <v>280</v>
      </c>
    </row>
    <row r="9836">
      <c r="A9836" t="inlineStr">
        <is>
          <t>27BBBBB09836Z5</t>
        </is>
      </c>
      <c r="B9836" t="inlineStr">
        <is>
          <t>Nov-2017</t>
        </is>
      </c>
      <c r="C9836" s="2" t="n">
        <v>43295</v>
      </c>
      <c r="D9836" t="inlineStr">
        <is>
          <t>NIL</t>
        </is>
      </c>
      <c r="E9836" t="n">
        <v>259</v>
      </c>
    </row>
    <row r="9837">
      <c r="A9837" t="inlineStr">
        <is>
          <t>27BBBBB09837Z5</t>
        </is>
      </c>
      <c r="B9837" t="inlineStr">
        <is>
          <t>Aug-2018</t>
        </is>
      </c>
      <c r="C9837" s="2" t="n">
        <v>43331</v>
      </c>
      <c r="D9837" t="inlineStr">
        <is>
          <t>NON-NIL</t>
        </is>
      </c>
      <c r="E9837" t="n">
        <v>1825</v>
      </c>
    </row>
    <row r="9838">
      <c r="A9838" t="inlineStr">
        <is>
          <t>27BBBBB09838Z5</t>
        </is>
      </c>
      <c r="B9838" t="inlineStr">
        <is>
          <t>Jul-2018</t>
        </is>
      </c>
      <c r="C9838" s="2" t="n">
        <v>44152</v>
      </c>
      <c r="D9838" t="inlineStr">
        <is>
          <t>NIL</t>
        </is>
      </c>
      <c r="E9838" t="n">
        <v>981</v>
      </c>
    </row>
    <row r="9839">
      <c r="A9839" t="inlineStr">
        <is>
          <t>27BBBBB09839Z5</t>
        </is>
      </c>
      <c r="B9839" t="inlineStr">
        <is>
          <t>Jul-2018</t>
        </is>
      </c>
      <c r="C9839" s="2" t="n">
        <v>43551</v>
      </c>
      <c r="D9839" t="inlineStr">
        <is>
          <t>NON-NIL</t>
        </is>
      </c>
      <c r="E9839" t="n">
        <v>747</v>
      </c>
    </row>
    <row r="9840">
      <c r="A9840" t="inlineStr">
        <is>
          <t>27BBBBB09840Z5</t>
        </is>
      </c>
      <c r="B9840" t="inlineStr">
        <is>
          <t>Dec-2024</t>
        </is>
      </c>
      <c r="C9840" s="2" t="n">
        <v>44825</v>
      </c>
      <c r="D9840" t="inlineStr">
        <is>
          <t>NON-NIL</t>
        </is>
      </c>
      <c r="E9840" t="n">
        <v>1564</v>
      </c>
    </row>
    <row r="9841">
      <c r="A9841" t="inlineStr">
        <is>
          <t>27BBBBB09841Z5</t>
        </is>
      </c>
      <c r="B9841" t="inlineStr">
        <is>
          <t>Dec-2018</t>
        </is>
      </c>
      <c r="C9841" s="2" t="n">
        <v>43470</v>
      </c>
      <c r="D9841" t="inlineStr">
        <is>
          <t>NIL</t>
        </is>
      </c>
      <c r="E9841" t="n">
        <v>413</v>
      </c>
    </row>
    <row r="9842">
      <c r="A9842" t="inlineStr">
        <is>
          <t>27BBBBB09842Z5</t>
        </is>
      </c>
      <c r="B9842" t="inlineStr">
        <is>
          <t>Jul-2020</t>
        </is>
      </c>
      <c r="C9842" s="2" t="n">
        <v>44182</v>
      </c>
      <c r="D9842" t="inlineStr">
        <is>
          <t>NIL</t>
        </is>
      </c>
      <c r="E9842" t="n">
        <v>2097</v>
      </c>
    </row>
    <row r="9843">
      <c r="A9843" t="inlineStr">
        <is>
          <t>27BBBBB09843Z5</t>
        </is>
      </c>
      <c r="B9843" t="inlineStr">
        <is>
          <t>Apr-2020</t>
        </is>
      </c>
      <c r="C9843" s="2" t="n">
        <v>44915</v>
      </c>
      <c r="D9843" t="inlineStr">
        <is>
          <t>NON-NIL</t>
        </is>
      </c>
      <c r="E9843" t="n">
        <v>852</v>
      </c>
    </row>
    <row r="9844">
      <c r="A9844" t="inlineStr">
        <is>
          <t>27BBBBB09844Z5</t>
        </is>
      </c>
      <c r="B9844" t="inlineStr">
        <is>
          <t>Mar-2021</t>
        </is>
      </c>
      <c r="C9844" s="2" t="n">
        <v>44782</v>
      </c>
      <c r="D9844" t="inlineStr">
        <is>
          <t>NON-NIL</t>
        </is>
      </c>
      <c r="E9844" t="n">
        <v>418</v>
      </c>
    </row>
    <row r="9845">
      <c r="A9845" t="inlineStr">
        <is>
          <t>27BBBBB09845Z5</t>
        </is>
      </c>
      <c r="B9845" t="inlineStr">
        <is>
          <t>Mar-2018</t>
        </is>
      </c>
      <c r="C9845" s="2" t="n">
        <v>43418</v>
      </c>
      <c r="D9845" t="inlineStr">
        <is>
          <t>NIL</t>
        </is>
      </c>
      <c r="E9845" t="n">
        <v>387</v>
      </c>
    </row>
    <row r="9846">
      <c r="A9846" t="inlineStr">
        <is>
          <t>27BBBBB09846Z5</t>
        </is>
      </c>
      <c r="B9846" t="inlineStr">
        <is>
          <t>May-2020</t>
        </is>
      </c>
      <c r="C9846" s="2" t="n">
        <v>44343</v>
      </c>
      <c r="D9846" t="inlineStr">
        <is>
          <t>NIL</t>
        </is>
      </c>
      <c r="E9846" t="n">
        <v>1621</v>
      </c>
    </row>
    <row r="9847">
      <c r="A9847" t="inlineStr">
        <is>
          <t>27BBBBB09847Z5</t>
        </is>
      </c>
      <c r="B9847" t="inlineStr">
        <is>
          <t>Dec-2024</t>
        </is>
      </c>
      <c r="C9847" s="2" t="n">
        <v>45355</v>
      </c>
      <c r="D9847" t="inlineStr">
        <is>
          <t>NIL</t>
        </is>
      </c>
      <c r="E9847" t="n">
        <v>1636</v>
      </c>
    </row>
    <row r="9848">
      <c r="A9848" t="inlineStr">
        <is>
          <t>27BBBBB09848Z5</t>
        </is>
      </c>
      <c r="B9848" t="inlineStr">
        <is>
          <t>Jan-2018</t>
        </is>
      </c>
      <c r="C9848" s="2" t="n">
        <v>43221</v>
      </c>
      <c r="D9848" t="inlineStr">
        <is>
          <t>NON-NIL</t>
        </is>
      </c>
      <c r="E9848" t="n">
        <v>436</v>
      </c>
    </row>
    <row r="9849">
      <c r="A9849" t="inlineStr">
        <is>
          <t>27BBBBB09849Z5</t>
        </is>
      </c>
      <c r="B9849" t="inlineStr">
        <is>
          <t>Jun-2018</t>
        </is>
      </c>
      <c r="C9849" s="2" t="n">
        <v>43404</v>
      </c>
      <c r="D9849" t="inlineStr">
        <is>
          <t>NIL</t>
        </is>
      </c>
      <c r="E9849" t="n">
        <v>179</v>
      </c>
    </row>
    <row r="9850">
      <c r="A9850" t="inlineStr">
        <is>
          <t>27BBBBB09850Z5</t>
        </is>
      </c>
      <c r="B9850" t="inlineStr">
        <is>
          <t>Jul-2020</t>
        </is>
      </c>
      <c r="C9850" s="2" t="n">
        <v>44369</v>
      </c>
      <c r="D9850" t="inlineStr">
        <is>
          <t>NIL</t>
        </is>
      </c>
      <c r="E9850" t="n">
        <v>94</v>
      </c>
    </row>
    <row r="9851">
      <c r="A9851" t="inlineStr">
        <is>
          <t>27BBBBB09851Z5</t>
        </is>
      </c>
      <c r="B9851" t="inlineStr">
        <is>
          <t>Dec-2018</t>
        </is>
      </c>
      <c r="C9851" s="2" t="n">
        <v>42974</v>
      </c>
      <c r="D9851" t="inlineStr">
        <is>
          <t>NON-NIL</t>
        </is>
      </c>
      <c r="E9851" t="n">
        <v>1312</v>
      </c>
    </row>
    <row r="9852">
      <c r="A9852" t="inlineStr">
        <is>
          <t>27BBBBB09852Z5</t>
        </is>
      </c>
      <c r="B9852" t="inlineStr">
        <is>
          <t>Feb-2018</t>
        </is>
      </c>
      <c r="C9852" s="2" t="n">
        <v>43100</v>
      </c>
      <c r="D9852" t="inlineStr">
        <is>
          <t>NIL</t>
        </is>
      </c>
      <c r="E9852" t="n">
        <v>149</v>
      </c>
    </row>
    <row r="9853">
      <c r="A9853" t="inlineStr">
        <is>
          <t>27BBBBB09853Z5</t>
        </is>
      </c>
      <c r="B9853" t="inlineStr">
        <is>
          <t>Dec-2017</t>
        </is>
      </c>
      <c r="C9853" s="2" t="n">
        <v>43580</v>
      </c>
      <c r="D9853" t="inlineStr">
        <is>
          <t>NIL</t>
        </is>
      </c>
      <c r="E9853" t="n">
        <v>1208</v>
      </c>
    </row>
    <row r="9854">
      <c r="A9854" t="inlineStr">
        <is>
          <t>27BBBBB09854Z5</t>
        </is>
      </c>
      <c r="B9854" t="inlineStr">
        <is>
          <t>Sep-2018</t>
        </is>
      </c>
      <c r="C9854" s="2" t="n">
        <v>43678</v>
      </c>
      <c r="D9854" t="inlineStr">
        <is>
          <t>NON-NIL</t>
        </is>
      </c>
      <c r="E9854" t="n">
        <v>2868</v>
      </c>
    </row>
    <row r="9855">
      <c r="A9855" t="inlineStr">
        <is>
          <t>27BBBBB09855Z5</t>
        </is>
      </c>
      <c r="B9855" t="inlineStr">
        <is>
          <t>Dec-2022</t>
        </is>
      </c>
      <c r="C9855" s="2" t="n">
        <v>45434</v>
      </c>
      <c r="D9855" t="inlineStr">
        <is>
          <t>NON-NIL</t>
        </is>
      </c>
      <c r="E9855" t="n">
        <v>2446</v>
      </c>
    </row>
    <row r="9856">
      <c r="A9856" t="inlineStr">
        <is>
          <t>27BBBBB09856Z5</t>
        </is>
      </c>
      <c r="B9856" t="inlineStr">
        <is>
          <t>Sep-2017</t>
        </is>
      </c>
      <c r="C9856" s="2" t="n">
        <v>43870</v>
      </c>
      <c r="D9856" t="inlineStr">
        <is>
          <t>NIL</t>
        </is>
      </c>
      <c r="E9856" t="n">
        <v>900</v>
      </c>
    </row>
    <row r="9857">
      <c r="A9857" t="inlineStr">
        <is>
          <t>27BBBBB09857Z5</t>
        </is>
      </c>
      <c r="B9857" t="inlineStr">
        <is>
          <t>Jun-2018</t>
        </is>
      </c>
      <c r="C9857" s="2" t="n">
        <v>44073</v>
      </c>
      <c r="D9857" t="inlineStr">
        <is>
          <t>NON-NIL</t>
        </is>
      </c>
      <c r="E9857" t="n">
        <v>276</v>
      </c>
    </row>
    <row r="9858">
      <c r="A9858" t="inlineStr">
        <is>
          <t>27BBBBB09858Z5</t>
        </is>
      </c>
      <c r="B9858" t="inlineStr">
        <is>
          <t>May-2020</t>
        </is>
      </c>
      <c r="C9858" s="2" t="n">
        <v>44870</v>
      </c>
      <c r="D9858" t="inlineStr">
        <is>
          <t>NON-NIL</t>
        </is>
      </c>
      <c r="E9858" t="n">
        <v>1690</v>
      </c>
    </row>
    <row r="9859">
      <c r="A9859" t="inlineStr">
        <is>
          <t>27BBBBB09859Z5</t>
        </is>
      </c>
      <c r="B9859" t="inlineStr">
        <is>
          <t>Mar-2023</t>
        </is>
      </c>
      <c r="C9859" s="2" t="n">
        <v>43888</v>
      </c>
      <c r="D9859" t="inlineStr">
        <is>
          <t>NON-NIL</t>
        </is>
      </c>
      <c r="E9859" t="n">
        <v>614</v>
      </c>
    </row>
    <row r="9860">
      <c r="A9860" t="inlineStr">
        <is>
          <t>27BBBBB09860Z5</t>
        </is>
      </c>
      <c r="B9860" t="inlineStr">
        <is>
          <t>Nov-2018</t>
        </is>
      </c>
      <c r="C9860" s="2" t="n">
        <v>43533</v>
      </c>
      <c r="D9860" t="inlineStr">
        <is>
          <t>NON-NIL</t>
        </is>
      </c>
      <c r="E9860" t="n">
        <v>350</v>
      </c>
    </row>
    <row r="9861">
      <c r="A9861" t="inlineStr">
        <is>
          <t>27BBBBB09861Z5</t>
        </is>
      </c>
      <c r="B9861" t="inlineStr">
        <is>
          <t>Nov-2017</t>
        </is>
      </c>
      <c r="C9861" s="2" t="n">
        <v>43842</v>
      </c>
      <c r="D9861" t="inlineStr">
        <is>
          <t>NIL</t>
        </is>
      </c>
      <c r="E9861" t="n">
        <v>2496</v>
      </c>
    </row>
    <row r="9862">
      <c r="A9862" t="inlineStr">
        <is>
          <t>27BBBBB09862Z5</t>
        </is>
      </c>
      <c r="B9862" t="inlineStr">
        <is>
          <t>Apr-2020</t>
        </is>
      </c>
      <c r="C9862" s="2" t="n">
        <v>44141</v>
      </c>
      <c r="D9862" t="inlineStr">
        <is>
          <t>NON-NIL</t>
        </is>
      </c>
      <c r="E9862" t="n">
        <v>700</v>
      </c>
    </row>
    <row r="9863">
      <c r="A9863" t="inlineStr">
        <is>
          <t>27BBBBB09863Z5</t>
        </is>
      </c>
      <c r="B9863" t="inlineStr">
        <is>
          <t>Dec-2022</t>
        </is>
      </c>
      <c r="C9863" s="2" t="n">
        <v>44711</v>
      </c>
      <c r="D9863" t="inlineStr">
        <is>
          <t>NIL</t>
        </is>
      </c>
      <c r="E9863" t="n">
        <v>2477</v>
      </c>
    </row>
    <row r="9864">
      <c r="A9864" t="inlineStr">
        <is>
          <t>27BBBBB09864Z5</t>
        </is>
      </c>
      <c r="B9864" t="inlineStr">
        <is>
          <t>Mar-2023</t>
        </is>
      </c>
      <c r="C9864" s="2" t="n">
        <v>45677</v>
      </c>
      <c r="D9864" t="inlineStr">
        <is>
          <t>NON-NIL</t>
        </is>
      </c>
      <c r="E9864" t="n">
        <v>2204</v>
      </c>
    </row>
    <row r="9865">
      <c r="A9865" t="inlineStr">
        <is>
          <t>27BBBBB09865Z5</t>
        </is>
      </c>
      <c r="B9865" t="inlineStr">
        <is>
          <t>Mar-2023</t>
        </is>
      </c>
      <c r="C9865" s="2" t="n">
        <v>44289</v>
      </c>
      <c r="D9865" t="inlineStr">
        <is>
          <t>NIL</t>
        </is>
      </c>
      <c r="E9865" t="n">
        <v>958</v>
      </c>
    </row>
    <row r="9866">
      <c r="A9866" t="inlineStr">
        <is>
          <t>27BBBBB09866Z5</t>
        </is>
      </c>
      <c r="B9866" t="inlineStr">
        <is>
          <t>Jan-2018</t>
        </is>
      </c>
      <c r="C9866" s="2" t="n">
        <v>43030</v>
      </c>
      <c r="D9866" t="inlineStr">
        <is>
          <t>NON-NIL</t>
        </is>
      </c>
      <c r="E9866" t="n">
        <v>1490</v>
      </c>
    </row>
    <row r="9867">
      <c r="A9867" t="inlineStr">
        <is>
          <t>27BBBBB09867Z5</t>
        </is>
      </c>
      <c r="B9867" t="inlineStr">
        <is>
          <t>Jun-2018</t>
        </is>
      </c>
      <c r="C9867" s="2" t="n">
        <v>44261</v>
      </c>
      <c r="D9867" t="inlineStr">
        <is>
          <t>NON-NIL</t>
        </is>
      </c>
      <c r="E9867" t="n">
        <v>1626</v>
      </c>
    </row>
    <row r="9868">
      <c r="A9868" t="inlineStr">
        <is>
          <t>27BBBBB09868Z5</t>
        </is>
      </c>
      <c r="B9868" t="inlineStr">
        <is>
          <t>Sep-2017</t>
        </is>
      </c>
      <c r="C9868" s="2" t="n">
        <v>43412</v>
      </c>
      <c r="D9868" t="inlineStr">
        <is>
          <t>NON-NIL</t>
        </is>
      </c>
      <c r="E9868" t="n">
        <v>1404</v>
      </c>
    </row>
    <row r="9869">
      <c r="A9869" t="inlineStr">
        <is>
          <t>27BBBBB09869Z5</t>
        </is>
      </c>
      <c r="B9869" t="inlineStr">
        <is>
          <t>Nov-2017</t>
        </is>
      </c>
      <c r="C9869" s="2" t="n">
        <v>44363</v>
      </c>
      <c r="D9869" t="inlineStr">
        <is>
          <t>NIL</t>
        </is>
      </c>
      <c r="E9869" t="n">
        <v>18</v>
      </c>
    </row>
    <row r="9870">
      <c r="A9870" t="inlineStr">
        <is>
          <t>27BBBBB09870Z5</t>
        </is>
      </c>
      <c r="B9870" t="inlineStr">
        <is>
          <t>Jul-2020</t>
        </is>
      </c>
      <c r="C9870" s="2" t="n">
        <v>44146</v>
      </c>
      <c r="D9870" t="inlineStr">
        <is>
          <t>NIL</t>
        </is>
      </c>
      <c r="E9870" t="n">
        <v>1817</v>
      </c>
    </row>
    <row r="9871">
      <c r="A9871" t="inlineStr">
        <is>
          <t>27BBBBB09871Z5</t>
        </is>
      </c>
      <c r="B9871" t="inlineStr">
        <is>
          <t>Apr-2020</t>
        </is>
      </c>
      <c r="C9871" s="2" t="n">
        <v>44720</v>
      </c>
      <c r="D9871" t="inlineStr">
        <is>
          <t>NIL</t>
        </is>
      </c>
      <c r="E9871" t="n">
        <v>2698</v>
      </c>
    </row>
    <row r="9872">
      <c r="A9872" t="inlineStr">
        <is>
          <t>27BBBBB09872Z5</t>
        </is>
      </c>
      <c r="B9872" t="inlineStr">
        <is>
          <t>Oct-2018</t>
        </is>
      </c>
      <c r="C9872" s="2" t="n">
        <v>43852</v>
      </c>
      <c r="D9872" t="inlineStr">
        <is>
          <t>NIL</t>
        </is>
      </c>
      <c r="E9872" t="n">
        <v>138</v>
      </c>
    </row>
    <row r="9873">
      <c r="A9873" t="inlineStr">
        <is>
          <t>27BBBBB09873Z5</t>
        </is>
      </c>
      <c r="B9873" t="inlineStr">
        <is>
          <t>Sep-2017</t>
        </is>
      </c>
      <c r="C9873" s="2" t="n">
        <v>43269</v>
      </c>
      <c r="D9873" t="inlineStr">
        <is>
          <t>NIL</t>
        </is>
      </c>
      <c r="E9873" t="n">
        <v>2257</v>
      </c>
    </row>
    <row r="9874">
      <c r="A9874" t="inlineStr">
        <is>
          <t>27BBBBB09874Z5</t>
        </is>
      </c>
      <c r="B9874" t="inlineStr">
        <is>
          <t>Jun-2018</t>
        </is>
      </c>
      <c r="C9874" s="2" t="n">
        <v>44512</v>
      </c>
      <c r="D9874" t="inlineStr">
        <is>
          <t>NON-NIL</t>
        </is>
      </c>
      <c r="E9874" t="n">
        <v>2830</v>
      </c>
    </row>
    <row r="9875">
      <c r="A9875" t="inlineStr">
        <is>
          <t>27BBBBB09875Z5</t>
        </is>
      </c>
      <c r="B9875" t="inlineStr">
        <is>
          <t>Sep-2017</t>
        </is>
      </c>
      <c r="C9875" s="2" t="n">
        <v>43844</v>
      </c>
      <c r="D9875" t="inlineStr">
        <is>
          <t>NIL</t>
        </is>
      </c>
      <c r="E9875" t="n">
        <v>2663</v>
      </c>
    </row>
    <row r="9876">
      <c r="A9876" t="inlineStr">
        <is>
          <t>27BBBBB09876Z5</t>
        </is>
      </c>
      <c r="B9876" t="inlineStr">
        <is>
          <t>Mar-2020</t>
        </is>
      </c>
      <c r="C9876" s="2" t="n">
        <v>44385</v>
      </c>
      <c r="D9876" t="inlineStr">
        <is>
          <t>NIL</t>
        </is>
      </c>
      <c r="E9876" t="n">
        <v>907</v>
      </c>
    </row>
    <row r="9877">
      <c r="A9877" t="inlineStr">
        <is>
          <t>27BBBBB09877Z5</t>
        </is>
      </c>
      <c r="B9877" t="inlineStr">
        <is>
          <t>Jul-2020</t>
        </is>
      </c>
      <c r="C9877" s="2" t="n">
        <v>44066</v>
      </c>
      <c r="D9877" t="inlineStr">
        <is>
          <t>NIL</t>
        </is>
      </c>
      <c r="E9877" t="n">
        <v>2307</v>
      </c>
    </row>
    <row r="9878">
      <c r="A9878" t="inlineStr">
        <is>
          <t>27BBBBB09878Z5</t>
        </is>
      </c>
      <c r="B9878" t="inlineStr">
        <is>
          <t>Nov-2018</t>
        </is>
      </c>
      <c r="C9878" s="2" t="n">
        <v>44088</v>
      </c>
      <c r="D9878" t="inlineStr">
        <is>
          <t>NON-NIL</t>
        </is>
      </c>
      <c r="E9878" t="n">
        <v>2255</v>
      </c>
    </row>
    <row r="9879">
      <c r="A9879" t="inlineStr">
        <is>
          <t>27BBBBB09879Z5</t>
        </is>
      </c>
      <c r="B9879" t="inlineStr">
        <is>
          <t>Feb-2018</t>
        </is>
      </c>
      <c r="C9879" s="2" t="n">
        <v>43659</v>
      </c>
      <c r="D9879" t="inlineStr">
        <is>
          <t>NON-NIL</t>
        </is>
      </c>
      <c r="E9879" t="n">
        <v>138</v>
      </c>
    </row>
    <row r="9880">
      <c r="A9880" t="inlineStr">
        <is>
          <t>27BBBBB09880Z5</t>
        </is>
      </c>
      <c r="B9880" t="inlineStr">
        <is>
          <t>Jun-2018</t>
        </is>
      </c>
      <c r="C9880" s="2" t="n">
        <v>43200</v>
      </c>
      <c r="D9880" t="inlineStr">
        <is>
          <t>NON-NIL</t>
        </is>
      </c>
      <c r="E9880" t="n">
        <v>2631</v>
      </c>
    </row>
    <row r="9881">
      <c r="A9881" t="inlineStr">
        <is>
          <t>27BBBBB09881Z5</t>
        </is>
      </c>
      <c r="B9881" t="inlineStr">
        <is>
          <t>Jul-2018</t>
        </is>
      </c>
      <c r="C9881" s="2" t="n">
        <v>44526</v>
      </c>
      <c r="D9881" t="inlineStr">
        <is>
          <t>NON-NIL</t>
        </is>
      </c>
      <c r="E9881" t="n">
        <v>85</v>
      </c>
    </row>
    <row r="9882">
      <c r="A9882" t="inlineStr">
        <is>
          <t>27BBBBB09882Z5</t>
        </is>
      </c>
      <c r="B9882" t="inlineStr">
        <is>
          <t>Jan-2021</t>
        </is>
      </c>
      <c r="C9882" s="2" t="n">
        <v>45048</v>
      </c>
      <c r="D9882" t="inlineStr">
        <is>
          <t>NIL</t>
        </is>
      </c>
      <c r="E9882" t="n">
        <v>2589</v>
      </c>
    </row>
    <row r="9883">
      <c r="A9883" t="inlineStr">
        <is>
          <t>27BBBBB09883Z5</t>
        </is>
      </c>
      <c r="B9883" t="inlineStr">
        <is>
          <t>May-2018</t>
        </is>
      </c>
      <c r="C9883" s="2" t="n">
        <v>43728</v>
      </c>
      <c r="D9883" t="inlineStr">
        <is>
          <t>NON-NIL</t>
        </is>
      </c>
      <c r="E9883" t="n">
        <v>853</v>
      </c>
    </row>
    <row r="9884">
      <c r="A9884" t="inlineStr">
        <is>
          <t>27BBBBB09884Z5</t>
        </is>
      </c>
      <c r="B9884" t="inlineStr">
        <is>
          <t>Nov-2017</t>
        </is>
      </c>
      <c r="C9884" s="2" t="n">
        <v>44160</v>
      </c>
      <c r="D9884" t="inlineStr">
        <is>
          <t>NIL</t>
        </is>
      </c>
      <c r="E9884" t="n">
        <v>202</v>
      </c>
    </row>
    <row r="9885">
      <c r="A9885" t="inlineStr">
        <is>
          <t>27BBBBB09885Z5</t>
        </is>
      </c>
      <c r="B9885" t="inlineStr">
        <is>
          <t>Nov-2018</t>
        </is>
      </c>
      <c r="C9885" s="2" t="n">
        <v>44042</v>
      </c>
      <c r="D9885" t="inlineStr">
        <is>
          <t>NON-NIL</t>
        </is>
      </c>
      <c r="E9885" t="n">
        <v>41</v>
      </c>
    </row>
    <row r="9886">
      <c r="A9886" t="inlineStr">
        <is>
          <t>27BBBBB09886Z5</t>
        </is>
      </c>
      <c r="B9886" t="inlineStr">
        <is>
          <t>Dec-2022</t>
        </is>
      </c>
      <c r="C9886" s="2" t="n">
        <v>45823</v>
      </c>
      <c r="D9886" t="inlineStr">
        <is>
          <t>NIL</t>
        </is>
      </c>
      <c r="E9886" t="n">
        <v>1368</v>
      </c>
    </row>
    <row r="9887">
      <c r="A9887" t="inlineStr">
        <is>
          <t>27BBBBB09887Z5</t>
        </is>
      </c>
      <c r="B9887" t="inlineStr">
        <is>
          <t>Oct-2018</t>
        </is>
      </c>
      <c r="C9887" s="2" t="n">
        <v>44317</v>
      </c>
      <c r="D9887" t="inlineStr">
        <is>
          <t>NIL</t>
        </is>
      </c>
      <c r="E9887" t="n">
        <v>2043</v>
      </c>
    </row>
    <row r="9888">
      <c r="A9888" t="inlineStr">
        <is>
          <t>27BBBBB09888Z5</t>
        </is>
      </c>
      <c r="B9888" t="inlineStr">
        <is>
          <t>May-2018</t>
        </is>
      </c>
      <c r="C9888" s="2" t="n">
        <v>42923</v>
      </c>
      <c r="D9888" t="inlineStr">
        <is>
          <t>NON-NIL</t>
        </is>
      </c>
      <c r="E9888" t="n">
        <v>2879</v>
      </c>
    </row>
    <row r="9889">
      <c r="A9889" t="inlineStr">
        <is>
          <t>27BBBBB09889Z5</t>
        </is>
      </c>
      <c r="B9889" t="inlineStr">
        <is>
          <t>Feb-2018</t>
        </is>
      </c>
      <c r="C9889" s="2" t="n">
        <v>44281</v>
      </c>
      <c r="D9889" t="inlineStr">
        <is>
          <t>NON-NIL</t>
        </is>
      </c>
      <c r="E9889" t="n">
        <v>697</v>
      </c>
    </row>
    <row r="9890">
      <c r="A9890" t="inlineStr">
        <is>
          <t>27BBBBB09890Z5</t>
        </is>
      </c>
      <c r="B9890" t="inlineStr">
        <is>
          <t>Nov-2017</t>
        </is>
      </c>
      <c r="C9890" s="2" t="n">
        <v>44152</v>
      </c>
      <c r="D9890" t="inlineStr">
        <is>
          <t>NIL</t>
        </is>
      </c>
      <c r="E9890" t="n">
        <v>662</v>
      </c>
    </row>
    <row r="9891">
      <c r="A9891" t="inlineStr">
        <is>
          <t>27BBBBB09891Z5</t>
        </is>
      </c>
      <c r="B9891" t="inlineStr">
        <is>
          <t>May-2018</t>
        </is>
      </c>
      <c r="C9891" s="2" t="n">
        <v>42941</v>
      </c>
      <c r="D9891" t="inlineStr">
        <is>
          <t>NON-NIL</t>
        </is>
      </c>
      <c r="E9891" t="n">
        <v>1000</v>
      </c>
    </row>
    <row r="9892">
      <c r="A9892" t="inlineStr">
        <is>
          <t>27BBBBB09892Z5</t>
        </is>
      </c>
      <c r="B9892" t="inlineStr">
        <is>
          <t>Nov-2018</t>
        </is>
      </c>
      <c r="C9892" s="2" t="n">
        <v>43718</v>
      </c>
      <c r="D9892" t="inlineStr">
        <is>
          <t>NON-NIL</t>
        </is>
      </c>
      <c r="E9892" t="n">
        <v>780</v>
      </c>
    </row>
    <row r="9893">
      <c r="A9893" t="inlineStr">
        <is>
          <t>27BBBBB09893Z5</t>
        </is>
      </c>
      <c r="B9893" t="inlineStr">
        <is>
          <t>Sep-2017</t>
        </is>
      </c>
      <c r="C9893" s="2" t="n">
        <v>43181</v>
      </c>
      <c r="D9893" t="inlineStr">
        <is>
          <t>NIL</t>
        </is>
      </c>
      <c r="E9893" t="n">
        <v>1294</v>
      </c>
    </row>
    <row r="9894">
      <c r="A9894" t="inlineStr">
        <is>
          <t>27BBBBB09894Z5</t>
        </is>
      </c>
      <c r="B9894" t="inlineStr">
        <is>
          <t>Dec-2018</t>
        </is>
      </c>
      <c r="C9894" s="2" t="n">
        <v>43461</v>
      </c>
      <c r="D9894" t="inlineStr">
        <is>
          <t>NON-NIL</t>
        </is>
      </c>
      <c r="E9894" t="n">
        <v>630</v>
      </c>
    </row>
    <row r="9895">
      <c r="A9895" t="inlineStr">
        <is>
          <t>27BBBBB09895Z5</t>
        </is>
      </c>
      <c r="B9895" t="inlineStr">
        <is>
          <t>Aug-2017</t>
        </is>
      </c>
      <c r="C9895" s="2" t="n">
        <v>44087</v>
      </c>
      <c r="D9895" t="inlineStr">
        <is>
          <t>NON-NIL</t>
        </is>
      </c>
      <c r="E9895" t="n">
        <v>382</v>
      </c>
    </row>
    <row r="9896">
      <c r="A9896" t="inlineStr">
        <is>
          <t>27BBBBB09896Z5</t>
        </is>
      </c>
      <c r="B9896" t="inlineStr">
        <is>
          <t>Nov-2018</t>
        </is>
      </c>
      <c r="C9896" s="2" t="n">
        <v>43475</v>
      </c>
      <c r="D9896" t="inlineStr">
        <is>
          <t>NON-NIL</t>
        </is>
      </c>
      <c r="E9896" t="n">
        <v>1131</v>
      </c>
    </row>
    <row r="9897">
      <c r="A9897" t="inlineStr">
        <is>
          <t>27BBBBB09897Z5</t>
        </is>
      </c>
      <c r="B9897" t="inlineStr">
        <is>
          <t>Aug-2018</t>
        </is>
      </c>
      <c r="C9897" s="2" t="n">
        <v>44374</v>
      </c>
      <c r="D9897" t="inlineStr">
        <is>
          <t>NIL</t>
        </is>
      </c>
      <c r="E9897" t="n">
        <v>181</v>
      </c>
    </row>
    <row r="9898">
      <c r="A9898" t="inlineStr">
        <is>
          <t>27BBBBB09898Z5</t>
        </is>
      </c>
      <c r="B9898" t="inlineStr">
        <is>
          <t>Mar-2018</t>
        </is>
      </c>
      <c r="C9898" s="2" t="n">
        <v>43300</v>
      </c>
      <c r="D9898" t="inlineStr">
        <is>
          <t>NON-NIL</t>
        </is>
      </c>
      <c r="E9898" t="n">
        <v>1380</v>
      </c>
    </row>
    <row r="9899">
      <c r="A9899" t="inlineStr">
        <is>
          <t>27BBBBB09899Z5</t>
        </is>
      </c>
      <c r="B9899" t="inlineStr">
        <is>
          <t>Jan-2021</t>
        </is>
      </c>
      <c r="C9899" s="2" t="n">
        <v>45512</v>
      </c>
      <c r="D9899" t="inlineStr">
        <is>
          <t>NON-NIL</t>
        </is>
      </c>
      <c r="E9899" t="n">
        <v>764</v>
      </c>
    </row>
    <row r="9900">
      <c r="A9900" t="inlineStr">
        <is>
          <t>27BBBBB09900Z5</t>
        </is>
      </c>
      <c r="B9900" t="inlineStr">
        <is>
          <t>Sep-2018</t>
        </is>
      </c>
      <c r="C9900" s="2" t="n">
        <v>43310</v>
      </c>
      <c r="D9900" t="inlineStr">
        <is>
          <t>NIL</t>
        </is>
      </c>
      <c r="E9900" t="n">
        <v>992</v>
      </c>
    </row>
    <row r="9901">
      <c r="A9901" t="inlineStr">
        <is>
          <t>27BBBBB09901Z5</t>
        </is>
      </c>
      <c r="B9901" t="inlineStr">
        <is>
          <t>Jun-2020</t>
        </is>
      </c>
      <c r="C9901" s="2" t="n">
        <v>44163</v>
      </c>
      <c r="D9901" t="inlineStr">
        <is>
          <t>NIL</t>
        </is>
      </c>
      <c r="E9901" t="n">
        <v>440</v>
      </c>
    </row>
    <row r="9902">
      <c r="A9902" t="inlineStr">
        <is>
          <t>27BBBBB09902Z5</t>
        </is>
      </c>
      <c r="B9902" t="inlineStr">
        <is>
          <t>May-2020</t>
        </is>
      </c>
      <c r="C9902" s="2" t="n">
        <v>44874</v>
      </c>
      <c r="D9902" t="inlineStr">
        <is>
          <t>NIL</t>
        </is>
      </c>
      <c r="E9902" t="n">
        <v>2088</v>
      </c>
    </row>
    <row r="9903">
      <c r="A9903" t="inlineStr">
        <is>
          <t>27BBBBB09903Z5</t>
        </is>
      </c>
      <c r="B9903" t="inlineStr">
        <is>
          <t>Dec-2024</t>
        </is>
      </c>
      <c r="C9903" s="2" t="n">
        <v>44120</v>
      </c>
      <c r="D9903" t="inlineStr">
        <is>
          <t>NIL</t>
        </is>
      </c>
      <c r="E9903" t="n">
        <v>2222</v>
      </c>
    </row>
    <row r="9904">
      <c r="A9904" t="inlineStr">
        <is>
          <t>27BBBBB09904Z5</t>
        </is>
      </c>
      <c r="B9904" t="inlineStr">
        <is>
          <t>Aug-2017</t>
        </is>
      </c>
      <c r="C9904" s="2" t="n">
        <v>43854</v>
      </c>
      <c r="D9904" t="inlineStr">
        <is>
          <t>NON-NIL</t>
        </is>
      </c>
      <c r="E9904" t="n">
        <v>878</v>
      </c>
    </row>
    <row r="9905">
      <c r="A9905" t="inlineStr">
        <is>
          <t>27BBBBB09905Z5</t>
        </is>
      </c>
      <c r="B9905" t="inlineStr">
        <is>
          <t>Nov-2018</t>
        </is>
      </c>
      <c r="C9905" s="2" t="n">
        <v>43620</v>
      </c>
      <c r="D9905" t="inlineStr">
        <is>
          <t>NON-NIL</t>
        </is>
      </c>
      <c r="E9905" t="n">
        <v>704</v>
      </c>
    </row>
    <row r="9906">
      <c r="A9906" t="inlineStr">
        <is>
          <t>27BBBBB09906Z5</t>
        </is>
      </c>
      <c r="B9906" t="inlineStr">
        <is>
          <t>Apr-2020</t>
        </is>
      </c>
      <c r="C9906" s="2" t="n">
        <v>43923</v>
      </c>
      <c r="D9906" t="inlineStr">
        <is>
          <t>NIL</t>
        </is>
      </c>
      <c r="E9906" t="n">
        <v>556</v>
      </c>
    </row>
    <row r="9907">
      <c r="A9907" t="inlineStr">
        <is>
          <t>27BBBBB09907Z5</t>
        </is>
      </c>
      <c r="B9907" t="inlineStr">
        <is>
          <t>Sep-2017</t>
        </is>
      </c>
      <c r="C9907" s="2" t="n">
        <v>44266</v>
      </c>
      <c r="D9907" t="inlineStr">
        <is>
          <t>NON-NIL</t>
        </is>
      </c>
      <c r="E9907" t="n">
        <v>1369</v>
      </c>
    </row>
    <row r="9908">
      <c r="A9908" t="inlineStr">
        <is>
          <t>27BBBBB09908Z5</t>
        </is>
      </c>
      <c r="B9908" t="inlineStr">
        <is>
          <t>Oct-2017</t>
        </is>
      </c>
      <c r="C9908" s="2" t="n">
        <v>43566</v>
      </c>
      <c r="D9908" t="inlineStr">
        <is>
          <t>NON-NIL</t>
        </is>
      </c>
      <c r="E9908" t="n">
        <v>1748</v>
      </c>
    </row>
    <row r="9909">
      <c r="A9909" t="inlineStr">
        <is>
          <t>27BBBBB09909Z5</t>
        </is>
      </c>
      <c r="B9909" t="inlineStr">
        <is>
          <t>May-2020</t>
        </is>
      </c>
      <c r="C9909" s="2" t="n">
        <v>44763</v>
      </c>
      <c r="D9909" t="inlineStr">
        <is>
          <t>NIL</t>
        </is>
      </c>
      <c r="E9909" t="n">
        <v>777</v>
      </c>
    </row>
    <row r="9910">
      <c r="A9910" t="inlineStr">
        <is>
          <t>27BBBBB09910Z5</t>
        </is>
      </c>
      <c r="B9910" t="inlineStr">
        <is>
          <t>Sep-2018</t>
        </is>
      </c>
      <c r="C9910" s="2" t="n">
        <v>43686</v>
      </c>
      <c r="D9910" t="inlineStr">
        <is>
          <t>NIL</t>
        </is>
      </c>
      <c r="E9910" t="n">
        <v>198</v>
      </c>
    </row>
    <row r="9911">
      <c r="A9911" t="inlineStr">
        <is>
          <t>27BBBBB09911Z5</t>
        </is>
      </c>
      <c r="B9911" t="inlineStr">
        <is>
          <t>Sep-2018</t>
        </is>
      </c>
      <c r="C9911" s="2" t="n">
        <v>43199</v>
      </c>
      <c r="D9911" t="inlineStr">
        <is>
          <t>NON-NIL</t>
        </is>
      </c>
      <c r="E9911" t="n">
        <v>1916</v>
      </c>
    </row>
    <row r="9912">
      <c r="A9912" t="inlineStr">
        <is>
          <t>27BBBBB09912Z5</t>
        </is>
      </c>
      <c r="B9912" t="inlineStr">
        <is>
          <t>Jun-2020</t>
        </is>
      </c>
      <c r="C9912" s="2" t="n">
        <v>44823</v>
      </c>
      <c r="D9912" t="inlineStr">
        <is>
          <t>NON-NIL</t>
        </is>
      </c>
      <c r="E9912" t="n">
        <v>2581</v>
      </c>
    </row>
    <row r="9913">
      <c r="A9913" t="inlineStr">
        <is>
          <t>27BBBBB09913Z5</t>
        </is>
      </c>
      <c r="B9913" t="inlineStr">
        <is>
          <t>May-2018</t>
        </is>
      </c>
      <c r="C9913" s="2" t="n">
        <v>44231</v>
      </c>
      <c r="D9913" t="inlineStr">
        <is>
          <t>NON-NIL</t>
        </is>
      </c>
      <c r="E9913" t="n">
        <v>962</v>
      </c>
    </row>
    <row r="9914">
      <c r="A9914" t="inlineStr">
        <is>
          <t>27BBBBB09914Z5</t>
        </is>
      </c>
      <c r="B9914" t="inlineStr">
        <is>
          <t>Nov-2017</t>
        </is>
      </c>
      <c r="C9914" s="2" t="n">
        <v>43512</v>
      </c>
      <c r="D9914" t="inlineStr">
        <is>
          <t>NON-NIL</t>
        </is>
      </c>
      <c r="E9914" t="n">
        <v>110</v>
      </c>
    </row>
    <row r="9915">
      <c r="A9915" t="inlineStr">
        <is>
          <t>27BBBBB09915Z5</t>
        </is>
      </c>
      <c r="B9915" t="inlineStr">
        <is>
          <t>Jun-2018</t>
        </is>
      </c>
      <c r="C9915" s="2" t="n">
        <v>44275</v>
      </c>
      <c r="D9915" t="inlineStr">
        <is>
          <t>NON-NIL</t>
        </is>
      </c>
      <c r="E9915" t="n">
        <v>145</v>
      </c>
    </row>
    <row r="9916">
      <c r="A9916" t="inlineStr">
        <is>
          <t>27BBBBB09916Z5</t>
        </is>
      </c>
      <c r="B9916" t="inlineStr">
        <is>
          <t>Jun-2018</t>
        </is>
      </c>
      <c r="C9916" s="2" t="n">
        <v>42952</v>
      </c>
      <c r="D9916" t="inlineStr">
        <is>
          <t>NIL</t>
        </is>
      </c>
      <c r="E9916" t="n">
        <v>2836</v>
      </c>
    </row>
    <row r="9917">
      <c r="A9917" t="inlineStr">
        <is>
          <t>27BBBBB09917Z5</t>
        </is>
      </c>
      <c r="B9917" t="inlineStr">
        <is>
          <t>Sep-2017</t>
        </is>
      </c>
      <c r="C9917" s="2" t="n">
        <v>43111</v>
      </c>
      <c r="D9917" t="inlineStr">
        <is>
          <t>NIL</t>
        </is>
      </c>
      <c r="E9917" t="n">
        <v>1355</v>
      </c>
    </row>
    <row r="9918">
      <c r="A9918" t="inlineStr">
        <is>
          <t>27BBBBB09918Z5</t>
        </is>
      </c>
      <c r="B9918" t="inlineStr">
        <is>
          <t>Jul-2017</t>
        </is>
      </c>
      <c r="C9918" s="2" t="n">
        <v>44391</v>
      </c>
      <c r="D9918" t="inlineStr">
        <is>
          <t>NON-NIL</t>
        </is>
      </c>
      <c r="E9918" t="n">
        <v>2093</v>
      </c>
    </row>
    <row r="9919">
      <c r="A9919" t="inlineStr">
        <is>
          <t>27BBBBB09919Z5</t>
        </is>
      </c>
      <c r="B9919" t="inlineStr">
        <is>
          <t>Mar-2023</t>
        </is>
      </c>
      <c r="C9919" s="2" t="n">
        <v>44361</v>
      </c>
      <c r="D9919" t="inlineStr">
        <is>
          <t>NON-NIL</t>
        </is>
      </c>
      <c r="E9919" t="n">
        <v>2918</v>
      </c>
    </row>
    <row r="9920">
      <c r="A9920" t="inlineStr">
        <is>
          <t>27BBBBB09920Z5</t>
        </is>
      </c>
      <c r="B9920" t="inlineStr">
        <is>
          <t>Nov-2018</t>
        </is>
      </c>
      <c r="C9920" s="2" t="n">
        <v>43262</v>
      </c>
      <c r="D9920" t="inlineStr">
        <is>
          <t>NON-NIL</t>
        </is>
      </c>
      <c r="E9920" t="n">
        <v>266</v>
      </c>
    </row>
    <row r="9921">
      <c r="A9921" t="inlineStr">
        <is>
          <t>27BBBBB09921Z5</t>
        </is>
      </c>
      <c r="B9921" t="inlineStr">
        <is>
          <t>Sep-2018</t>
        </is>
      </c>
      <c r="C9921" s="2" t="n">
        <v>44494</v>
      </c>
      <c r="D9921" t="inlineStr">
        <is>
          <t>NIL</t>
        </is>
      </c>
      <c r="E9921" t="n">
        <v>2612</v>
      </c>
    </row>
    <row r="9922">
      <c r="A9922" t="inlineStr">
        <is>
          <t>27BBBBB09922Z5</t>
        </is>
      </c>
      <c r="B9922" t="inlineStr">
        <is>
          <t>Nov-2017</t>
        </is>
      </c>
      <c r="C9922" s="2" t="n">
        <v>43489</v>
      </c>
      <c r="D9922" t="inlineStr">
        <is>
          <t>NON-NIL</t>
        </is>
      </c>
      <c r="E9922" t="n">
        <v>2686</v>
      </c>
    </row>
    <row r="9923">
      <c r="A9923" t="inlineStr">
        <is>
          <t>27BBBBB09923Z5</t>
        </is>
      </c>
      <c r="B9923" t="inlineStr">
        <is>
          <t>Jan-2021</t>
        </is>
      </c>
      <c r="C9923" s="2" t="n">
        <v>44982</v>
      </c>
      <c r="D9923" t="inlineStr">
        <is>
          <t>NIL</t>
        </is>
      </c>
      <c r="E9923" t="n">
        <v>1537</v>
      </c>
    </row>
    <row r="9924">
      <c r="A9924" t="inlineStr">
        <is>
          <t>27BBBBB09924Z5</t>
        </is>
      </c>
      <c r="B9924" t="inlineStr">
        <is>
          <t>Sep-2018</t>
        </is>
      </c>
      <c r="C9924" s="2" t="n">
        <v>43440</v>
      </c>
      <c r="D9924" t="inlineStr">
        <is>
          <t>NON-NIL</t>
        </is>
      </c>
      <c r="E9924" t="n">
        <v>2324</v>
      </c>
    </row>
    <row r="9925">
      <c r="A9925" t="inlineStr">
        <is>
          <t>27BBBBB09925Z5</t>
        </is>
      </c>
      <c r="B9925" t="inlineStr">
        <is>
          <t>Jun-2020</t>
        </is>
      </c>
      <c r="C9925" s="2" t="n">
        <v>44314</v>
      </c>
      <c r="D9925" t="inlineStr">
        <is>
          <t>NON-NIL</t>
        </is>
      </c>
      <c r="E9925" t="n">
        <v>1244</v>
      </c>
    </row>
    <row r="9926">
      <c r="A9926" t="inlineStr">
        <is>
          <t>27BBBBB09926Z5</t>
        </is>
      </c>
      <c r="B9926" t="inlineStr">
        <is>
          <t>Jan-2018</t>
        </is>
      </c>
      <c r="C9926" s="2" t="n">
        <v>43282</v>
      </c>
      <c r="D9926" t="inlineStr">
        <is>
          <t>NIL</t>
        </is>
      </c>
      <c r="E9926" t="n">
        <v>661</v>
      </c>
    </row>
    <row r="9927">
      <c r="A9927" t="inlineStr">
        <is>
          <t>27BBBBB09927Z5</t>
        </is>
      </c>
      <c r="B9927" t="inlineStr">
        <is>
          <t>Dec-2018</t>
        </is>
      </c>
      <c r="C9927" s="2" t="n">
        <v>43310</v>
      </c>
      <c r="D9927" t="inlineStr">
        <is>
          <t>NON-NIL</t>
        </is>
      </c>
      <c r="E9927" t="n">
        <v>698</v>
      </c>
    </row>
    <row r="9928">
      <c r="A9928" t="inlineStr">
        <is>
          <t>27BBBBB09928Z5</t>
        </is>
      </c>
      <c r="B9928" t="inlineStr">
        <is>
          <t>Mar-2023</t>
        </is>
      </c>
      <c r="C9928" s="2" t="n">
        <v>43770</v>
      </c>
      <c r="D9928" t="inlineStr">
        <is>
          <t>NIL</t>
        </is>
      </c>
      <c r="E9928" t="n">
        <v>32</v>
      </c>
    </row>
    <row r="9929">
      <c r="A9929" t="inlineStr">
        <is>
          <t>27BBBBB09929Z5</t>
        </is>
      </c>
      <c r="B9929" t="inlineStr">
        <is>
          <t>Dec-2017</t>
        </is>
      </c>
      <c r="C9929" s="2" t="n">
        <v>44294</v>
      </c>
      <c r="D9929" t="inlineStr">
        <is>
          <t>NON-NIL</t>
        </is>
      </c>
      <c r="E9929" t="n">
        <v>860</v>
      </c>
    </row>
    <row r="9930">
      <c r="A9930" t="inlineStr">
        <is>
          <t>27BBBBB09930Z5</t>
        </is>
      </c>
      <c r="B9930" t="inlineStr">
        <is>
          <t>Dec-2017</t>
        </is>
      </c>
      <c r="C9930" s="2" t="n">
        <v>43174</v>
      </c>
      <c r="D9930" t="inlineStr">
        <is>
          <t>NIL</t>
        </is>
      </c>
      <c r="E9930" t="n">
        <v>1233</v>
      </c>
    </row>
    <row r="9931">
      <c r="A9931" t="inlineStr">
        <is>
          <t>27BBBBB09931Z5</t>
        </is>
      </c>
      <c r="B9931" t="inlineStr">
        <is>
          <t>Apr-2018</t>
        </is>
      </c>
      <c r="C9931" s="2" t="n">
        <v>44037</v>
      </c>
      <c r="D9931" t="inlineStr">
        <is>
          <t>NON-NIL</t>
        </is>
      </c>
      <c r="E9931" t="n">
        <v>38</v>
      </c>
    </row>
    <row r="9932">
      <c r="A9932" t="inlineStr">
        <is>
          <t>27BBBBB09932Z5</t>
        </is>
      </c>
      <c r="B9932" t="inlineStr">
        <is>
          <t>May-2020</t>
        </is>
      </c>
      <c r="C9932" s="2" t="n">
        <v>43881</v>
      </c>
      <c r="D9932" t="inlineStr">
        <is>
          <t>NIL</t>
        </is>
      </c>
      <c r="E9932" t="n">
        <v>1119</v>
      </c>
    </row>
    <row r="9933">
      <c r="A9933" t="inlineStr">
        <is>
          <t>27BBBBB09933Z5</t>
        </is>
      </c>
      <c r="B9933" t="inlineStr">
        <is>
          <t>Jun-2018</t>
        </is>
      </c>
      <c r="C9933" s="2" t="n">
        <v>43360</v>
      </c>
      <c r="D9933" t="inlineStr">
        <is>
          <t>NON-NIL</t>
        </is>
      </c>
      <c r="E9933" t="n">
        <v>1183</v>
      </c>
    </row>
    <row r="9934">
      <c r="A9934" t="inlineStr">
        <is>
          <t>27BBBBB09934Z5</t>
        </is>
      </c>
      <c r="B9934" t="inlineStr">
        <is>
          <t>Mar-2018</t>
        </is>
      </c>
      <c r="C9934" s="2" t="n">
        <v>43722</v>
      </c>
      <c r="D9934" t="inlineStr">
        <is>
          <t>NIL</t>
        </is>
      </c>
      <c r="E9934" t="n">
        <v>693</v>
      </c>
    </row>
    <row r="9935">
      <c r="A9935" t="inlineStr">
        <is>
          <t>27BBBBB09935Z5</t>
        </is>
      </c>
      <c r="B9935" t="inlineStr">
        <is>
          <t>Oct-2018</t>
        </is>
      </c>
      <c r="C9935" s="2" t="n">
        <v>44402</v>
      </c>
      <c r="D9935" t="inlineStr">
        <is>
          <t>NIL</t>
        </is>
      </c>
      <c r="E9935" t="n">
        <v>2049</v>
      </c>
    </row>
    <row r="9936">
      <c r="A9936" t="inlineStr">
        <is>
          <t>27BBBBB09936Z5</t>
        </is>
      </c>
      <c r="B9936" t="inlineStr">
        <is>
          <t>Sep-2017</t>
        </is>
      </c>
      <c r="C9936" s="2" t="n">
        <v>43927</v>
      </c>
      <c r="D9936" t="inlineStr">
        <is>
          <t>NIL</t>
        </is>
      </c>
      <c r="E9936" t="n">
        <v>1982</v>
      </c>
    </row>
    <row r="9937">
      <c r="A9937" t="inlineStr">
        <is>
          <t>27BBBBB09937Z5</t>
        </is>
      </c>
      <c r="B9937" t="inlineStr">
        <is>
          <t>Dec-2017</t>
        </is>
      </c>
      <c r="C9937" s="2" t="n">
        <v>43482</v>
      </c>
      <c r="D9937" t="inlineStr">
        <is>
          <t>NIL</t>
        </is>
      </c>
      <c r="E9937" t="n">
        <v>808</v>
      </c>
    </row>
    <row r="9938">
      <c r="A9938" t="inlineStr">
        <is>
          <t>27BBBBB09938Z5</t>
        </is>
      </c>
      <c r="B9938" t="inlineStr">
        <is>
          <t>Mar-2018</t>
        </is>
      </c>
      <c r="C9938" s="2" t="n">
        <v>43874</v>
      </c>
      <c r="D9938" t="inlineStr">
        <is>
          <t>NON-NIL</t>
        </is>
      </c>
      <c r="E9938" t="n">
        <v>685</v>
      </c>
    </row>
    <row r="9939">
      <c r="A9939" t="inlineStr">
        <is>
          <t>27BBBBB09939Z5</t>
        </is>
      </c>
      <c r="B9939" t="inlineStr">
        <is>
          <t>Jun-2020</t>
        </is>
      </c>
      <c r="C9939" s="2" t="n">
        <v>43874</v>
      </c>
      <c r="D9939" t="inlineStr">
        <is>
          <t>NON-NIL</t>
        </is>
      </c>
      <c r="E9939" t="n">
        <v>2180</v>
      </c>
    </row>
    <row r="9940">
      <c r="A9940" t="inlineStr">
        <is>
          <t>27BBBBB09940Z5</t>
        </is>
      </c>
      <c r="B9940" t="inlineStr">
        <is>
          <t>Dec-2022</t>
        </is>
      </c>
      <c r="C9940" s="2" t="n">
        <v>44544</v>
      </c>
      <c r="D9940" t="inlineStr">
        <is>
          <t>NON-NIL</t>
        </is>
      </c>
      <c r="E9940" t="n">
        <v>981</v>
      </c>
    </row>
    <row r="9941">
      <c r="A9941" t="inlineStr">
        <is>
          <t>27BBBBB09941Z5</t>
        </is>
      </c>
      <c r="B9941" t="inlineStr">
        <is>
          <t>Mar-2023</t>
        </is>
      </c>
      <c r="C9941" s="2" t="n">
        <v>45468</v>
      </c>
      <c r="D9941" t="inlineStr">
        <is>
          <t>NON-NIL</t>
        </is>
      </c>
      <c r="E9941" t="n">
        <v>596</v>
      </c>
    </row>
    <row r="9942">
      <c r="A9942" t="inlineStr">
        <is>
          <t>27BBBBB09942Z5</t>
        </is>
      </c>
      <c r="B9942" t="inlineStr">
        <is>
          <t>May-2020</t>
        </is>
      </c>
      <c r="C9942" s="2" t="n">
        <v>44139</v>
      </c>
      <c r="D9942" t="inlineStr">
        <is>
          <t>NON-NIL</t>
        </is>
      </c>
      <c r="E9942" t="n">
        <v>2779</v>
      </c>
    </row>
    <row r="9943">
      <c r="A9943" t="inlineStr">
        <is>
          <t>27BBBBB09943Z5</t>
        </is>
      </c>
      <c r="B9943" t="inlineStr">
        <is>
          <t>Jun-2018</t>
        </is>
      </c>
      <c r="C9943" s="2" t="n">
        <v>44086</v>
      </c>
      <c r="D9943" t="inlineStr">
        <is>
          <t>NON-NIL</t>
        </is>
      </c>
      <c r="E9943" t="n">
        <v>2283</v>
      </c>
    </row>
    <row r="9944">
      <c r="A9944" t="inlineStr">
        <is>
          <t>27BBBBB09944Z5</t>
        </is>
      </c>
      <c r="B9944" t="inlineStr">
        <is>
          <t>Apr-2018</t>
        </is>
      </c>
      <c r="C9944" s="2" t="n">
        <v>44061</v>
      </c>
      <c r="D9944" t="inlineStr">
        <is>
          <t>NIL</t>
        </is>
      </c>
      <c r="E9944" t="n">
        <v>2032</v>
      </c>
    </row>
    <row r="9945">
      <c r="A9945" t="inlineStr">
        <is>
          <t>27BBBBB09945Z5</t>
        </is>
      </c>
      <c r="B9945" t="inlineStr">
        <is>
          <t>Jun-2018</t>
        </is>
      </c>
      <c r="C9945" s="2" t="n">
        <v>44099</v>
      </c>
      <c r="D9945" t="inlineStr">
        <is>
          <t>NON-NIL</t>
        </is>
      </c>
      <c r="E9945" t="n">
        <v>1493</v>
      </c>
    </row>
    <row r="9946">
      <c r="A9946" t="inlineStr">
        <is>
          <t>27BBBBB09946Z5</t>
        </is>
      </c>
      <c r="B9946" t="inlineStr">
        <is>
          <t>Jun-2018</t>
        </is>
      </c>
      <c r="C9946" s="2" t="n">
        <v>44136</v>
      </c>
      <c r="D9946" t="inlineStr">
        <is>
          <t>NON-NIL</t>
        </is>
      </c>
      <c r="E9946" t="n">
        <v>1776</v>
      </c>
    </row>
    <row r="9947">
      <c r="A9947" t="inlineStr">
        <is>
          <t>27BBBBB09947Z5</t>
        </is>
      </c>
      <c r="B9947" t="inlineStr">
        <is>
          <t>Mar-2021</t>
        </is>
      </c>
      <c r="C9947" s="2" t="n">
        <v>45833</v>
      </c>
      <c r="D9947" t="inlineStr">
        <is>
          <t>NON-NIL</t>
        </is>
      </c>
      <c r="E9947" t="n">
        <v>435</v>
      </c>
    </row>
    <row r="9948">
      <c r="A9948" t="inlineStr">
        <is>
          <t>27BBBBB09948Z5</t>
        </is>
      </c>
      <c r="B9948" t="inlineStr">
        <is>
          <t>Feb-2018</t>
        </is>
      </c>
      <c r="C9948" s="2" t="n">
        <v>42967</v>
      </c>
      <c r="D9948" t="inlineStr">
        <is>
          <t>NIL</t>
        </is>
      </c>
      <c r="E9948" t="n">
        <v>2074</v>
      </c>
    </row>
    <row r="9949">
      <c r="A9949" t="inlineStr">
        <is>
          <t>27BBBBB09949Z5</t>
        </is>
      </c>
      <c r="B9949" t="inlineStr">
        <is>
          <t>Dec-2022</t>
        </is>
      </c>
      <c r="C9949" s="2" t="n">
        <v>45262</v>
      </c>
      <c r="D9949" t="inlineStr">
        <is>
          <t>NIL</t>
        </is>
      </c>
      <c r="E9949" t="n">
        <v>217</v>
      </c>
    </row>
    <row r="9950">
      <c r="A9950" t="inlineStr">
        <is>
          <t>27BBBBB09950Z5</t>
        </is>
      </c>
      <c r="B9950" t="inlineStr">
        <is>
          <t>Aug-2018</t>
        </is>
      </c>
      <c r="C9950" s="2" t="n">
        <v>43217</v>
      </c>
      <c r="D9950" t="inlineStr">
        <is>
          <t>NIL</t>
        </is>
      </c>
      <c r="E9950" t="n">
        <v>1375</v>
      </c>
    </row>
    <row r="9951">
      <c r="A9951" t="inlineStr">
        <is>
          <t>27BBBBB09951Z5</t>
        </is>
      </c>
      <c r="B9951" t="inlineStr">
        <is>
          <t>Mar-2021</t>
        </is>
      </c>
      <c r="C9951" s="2" t="n">
        <v>43914</v>
      </c>
      <c r="D9951" t="inlineStr">
        <is>
          <t>NON-NIL</t>
        </is>
      </c>
      <c r="E9951" t="n">
        <v>2309</v>
      </c>
    </row>
    <row r="9952">
      <c r="A9952" t="inlineStr">
        <is>
          <t>27BBBBB09952Z5</t>
        </is>
      </c>
      <c r="B9952" t="inlineStr">
        <is>
          <t>Jan-2018</t>
        </is>
      </c>
      <c r="C9952" s="2" t="n">
        <v>44483</v>
      </c>
      <c r="D9952" t="inlineStr">
        <is>
          <t>NIL</t>
        </is>
      </c>
      <c r="E9952" t="n">
        <v>2068</v>
      </c>
    </row>
    <row r="9953">
      <c r="A9953" t="inlineStr">
        <is>
          <t>27BBBBB09953Z5</t>
        </is>
      </c>
      <c r="B9953" t="inlineStr">
        <is>
          <t>Dec-2017</t>
        </is>
      </c>
      <c r="C9953" s="2" t="n">
        <v>44292</v>
      </c>
      <c r="D9953" t="inlineStr">
        <is>
          <t>NON-NIL</t>
        </is>
      </c>
      <c r="E9953" t="n">
        <v>1132</v>
      </c>
    </row>
    <row r="9954">
      <c r="A9954" t="inlineStr">
        <is>
          <t>27BBBBB09954Z5</t>
        </is>
      </c>
      <c r="B9954" t="inlineStr">
        <is>
          <t>Mar-2023</t>
        </is>
      </c>
      <c r="C9954" s="2" t="n">
        <v>45049</v>
      </c>
      <c r="D9954" t="inlineStr">
        <is>
          <t>NON-NIL</t>
        </is>
      </c>
      <c r="E9954" t="n">
        <v>2378</v>
      </c>
    </row>
    <row r="9955">
      <c r="A9955" t="inlineStr">
        <is>
          <t>27BBBBB09955Z5</t>
        </is>
      </c>
      <c r="B9955" t="inlineStr">
        <is>
          <t>May-2018</t>
        </is>
      </c>
      <c r="C9955" s="2" t="n">
        <v>43734</v>
      </c>
      <c r="D9955" t="inlineStr">
        <is>
          <t>NON-NIL</t>
        </is>
      </c>
      <c r="E9955" t="n">
        <v>2750</v>
      </c>
    </row>
    <row r="9956">
      <c r="A9956" t="inlineStr">
        <is>
          <t>27BBBBB09956Z5</t>
        </is>
      </c>
      <c r="B9956" t="inlineStr">
        <is>
          <t>Jun-2020</t>
        </is>
      </c>
      <c r="C9956" s="2" t="n">
        <v>44514</v>
      </c>
      <c r="D9956" t="inlineStr">
        <is>
          <t>NON-NIL</t>
        </is>
      </c>
      <c r="E9956" t="n">
        <v>2859</v>
      </c>
    </row>
    <row r="9957">
      <c r="A9957" t="inlineStr">
        <is>
          <t>27BBBBB09957Z5</t>
        </is>
      </c>
      <c r="B9957" t="inlineStr">
        <is>
          <t>Aug-2018</t>
        </is>
      </c>
      <c r="C9957" s="2" t="n">
        <v>42940</v>
      </c>
      <c r="D9957" t="inlineStr">
        <is>
          <t>NIL</t>
        </is>
      </c>
      <c r="E9957" t="n">
        <v>2720</v>
      </c>
    </row>
    <row r="9958">
      <c r="A9958" t="inlineStr">
        <is>
          <t>27BBBBB09958Z5</t>
        </is>
      </c>
      <c r="B9958" t="inlineStr">
        <is>
          <t>Jul-2017</t>
        </is>
      </c>
      <c r="C9958" s="2" t="n">
        <v>43928</v>
      </c>
      <c r="D9958" t="inlineStr">
        <is>
          <t>NON-NIL</t>
        </is>
      </c>
      <c r="E9958" t="n">
        <v>2650</v>
      </c>
    </row>
    <row r="9959">
      <c r="A9959" t="inlineStr">
        <is>
          <t>27BBBBB09959Z5</t>
        </is>
      </c>
      <c r="B9959" t="inlineStr">
        <is>
          <t>Nov-2017</t>
        </is>
      </c>
      <c r="C9959" s="2" t="n">
        <v>43489</v>
      </c>
      <c r="D9959" t="inlineStr">
        <is>
          <t>NON-NIL</t>
        </is>
      </c>
      <c r="E9959" t="n">
        <v>325</v>
      </c>
    </row>
    <row r="9960">
      <c r="A9960" t="inlineStr">
        <is>
          <t>27BBBBB09960Z5</t>
        </is>
      </c>
      <c r="B9960" t="inlineStr">
        <is>
          <t>Feb-2018</t>
        </is>
      </c>
      <c r="C9960" s="2" t="n">
        <v>44412</v>
      </c>
      <c r="D9960" t="inlineStr">
        <is>
          <t>NIL</t>
        </is>
      </c>
      <c r="E9960" t="n">
        <v>2382</v>
      </c>
    </row>
    <row r="9961">
      <c r="A9961" t="inlineStr">
        <is>
          <t>27BBBBB09961Z5</t>
        </is>
      </c>
      <c r="B9961" t="inlineStr">
        <is>
          <t>Aug-2018</t>
        </is>
      </c>
      <c r="C9961" s="2" t="n">
        <v>43146</v>
      </c>
      <c r="D9961" t="inlineStr">
        <is>
          <t>NIL</t>
        </is>
      </c>
      <c r="E9961" t="n">
        <v>1885</v>
      </c>
    </row>
    <row r="9962">
      <c r="A9962" t="inlineStr">
        <is>
          <t>27BBBBB09962Z5</t>
        </is>
      </c>
      <c r="B9962" t="inlineStr">
        <is>
          <t>Jan-2021</t>
        </is>
      </c>
      <c r="C9962" s="2" t="n">
        <v>44390</v>
      </c>
      <c r="D9962" t="inlineStr">
        <is>
          <t>NON-NIL</t>
        </is>
      </c>
      <c r="E9962" t="n">
        <v>2894</v>
      </c>
    </row>
    <row r="9963">
      <c r="A9963" t="inlineStr">
        <is>
          <t>27BBBBB09963Z5</t>
        </is>
      </c>
      <c r="B9963" t="inlineStr">
        <is>
          <t>Nov-2018</t>
        </is>
      </c>
      <c r="C9963" s="2" t="n">
        <v>43599</v>
      </c>
      <c r="D9963" t="inlineStr">
        <is>
          <t>NON-NIL</t>
        </is>
      </c>
      <c r="E9963" t="n">
        <v>2453</v>
      </c>
    </row>
    <row r="9964">
      <c r="A9964" t="inlineStr">
        <is>
          <t>27BBBBB09964Z5</t>
        </is>
      </c>
      <c r="B9964" t="inlineStr">
        <is>
          <t>Mar-2021</t>
        </is>
      </c>
      <c r="C9964" s="2" t="n">
        <v>44732</v>
      </c>
      <c r="D9964" t="inlineStr">
        <is>
          <t>NON-NIL</t>
        </is>
      </c>
      <c r="E9964" t="n">
        <v>306</v>
      </c>
    </row>
    <row r="9965">
      <c r="A9965" t="inlineStr">
        <is>
          <t>27BBBBB09965Z5</t>
        </is>
      </c>
      <c r="B9965" t="inlineStr">
        <is>
          <t>Mar-2021</t>
        </is>
      </c>
      <c r="C9965" s="2" t="n">
        <v>45746</v>
      </c>
      <c r="D9965" t="inlineStr">
        <is>
          <t>NON-NIL</t>
        </is>
      </c>
      <c r="E9965" t="n">
        <v>2819</v>
      </c>
    </row>
    <row r="9966">
      <c r="A9966" t="inlineStr">
        <is>
          <t>27BBBBB09966Z5</t>
        </is>
      </c>
      <c r="B9966" t="inlineStr">
        <is>
          <t>Apr-2018</t>
        </is>
      </c>
      <c r="C9966" s="2" t="n">
        <v>43256</v>
      </c>
      <c r="D9966" t="inlineStr">
        <is>
          <t>NON-NIL</t>
        </is>
      </c>
      <c r="E9966" t="n">
        <v>1312</v>
      </c>
    </row>
    <row r="9967">
      <c r="A9967" t="inlineStr">
        <is>
          <t>27BBBBB09967Z5</t>
        </is>
      </c>
      <c r="B9967" t="inlineStr">
        <is>
          <t>Jun-2020</t>
        </is>
      </c>
      <c r="C9967" s="2" t="n">
        <v>44398</v>
      </c>
      <c r="D9967" t="inlineStr">
        <is>
          <t>NON-NIL</t>
        </is>
      </c>
      <c r="E9967" t="n">
        <v>912</v>
      </c>
    </row>
    <row r="9968">
      <c r="A9968" t="inlineStr">
        <is>
          <t>27BBBBB09968Z5</t>
        </is>
      </c>
      <c r="B9968" t="inlineStr">
        <is>
          <t>Sep-2018</t>
        </is>
      </c>
      <c r="C9968" s="2" t="n">
        <v>42999</v>
      </c>
      <c r="D9968" t="inlineStr">
        <is>
          <t>NON-NIL</t>
        </is>
      </c>
      <c r="E9968" t="n">
        <v>1930</v>
      </c>
    </row>
    <row r="9969">
      <c r="A9969" t="inlineStr">
        <is>
          <t>27BBBBB09969Z5</t>
        </is>
      </c>
      <c r="B9969" t="inlineStr">
        <is>
          <t>Dec-2022</t>
        </is>
      </c>
      <c r="C9969" s="2" t="n">
        <v>44905</v>
      </c>
      <c r="D9969" t="inlineStr">
        <is>
          <t>NON-NIL</t>
        </is>
      </c>
      <c r="E9969" t="n">
        <v>2534</v>
      </c>
    </row>
    <row r="9970">
      <c r="A9970" t="inlineStr">
        <is>
          <t>27BBBBB09970Z5</t>
        </is>
      </c>
      <c r="B9970" t="inlineStr">
        <is>
          <t>Apr-2018</t>
        </is>
      </c>
      <c r="C9970" s="2" t="n">
        <v>43085</v>
      </c>
      <c r="D9970" t="inlineStr">
        <is>
          <t>NON-NIL</t>
        </is>
      </c>
      <c r="E9970" t="n">
        <v>2098</v>
      </c>
    </row>
    <row r="9971">
      <c r="A9971" t="inlineStr">
        <is>
          <t>27BBBBB09971Z5</t>
        </is>
      </c>
      <c r="B9971" t="inlineStr">
        <is>
          <t>Sep-2018</t>
        </is>
      </c>
      <c r="C9971" s="2" t="n">
        <v>43546</v>
      </c>
      <c r="D9971" t="inlineStr">
        <is>
          <t>NON-NIL</t>
        </is>
      </c>
      <c r="E9971" t="n">
        <v>2442</v>
      </c>
    </row>
    <row r="9972">
      <c r="A9972" t="inlineStr">
        <is>
          <t>27BBBBB09972Z5</t>
        </is>
      </c>
      <c r="B9972" t="inlineStr">
        <is>
          <t>Oct-2017</t>
        </is>
      </c>
      <c r="C9972" s="2" t="n">
        <v>43615</v>
      </c>
      <c r="D9972" t="inlineStr">
        <is>
          <t>NIL</t>
        </is>
      </c>
      <c r="E9972" t="n">
        <v>709</v>
      </c>
    </row>
    <row r="9973">
      <c r="A9973" t="inlineStr">
        <is>
          <t>27BBBBB09973Z5</t>
        </is>
      </c>
      <c r="B9973" t="inlineStr">
        <is>
          <t>Nov-2017</t>
        </is>
      </c>
      <c r="C9973" s="2" t="n">
        <v>43238</v>
      </c>
      <c r="D9973" t="inlineStr">
        <is>
          <t>NON-NIL</t>
        </is>
      </c>
      <c r="E9973" t="n">
        <v>275</v>
      </c>
    </row>
    <row r="9974">
      <c r="A9974" t="inlineStr">
        <is>
          <t>27BBBBB09974Z5</t>
        </is>
      </c>
      <c r="B9974" t="inlineStr">
        <is>
          <t>Jan-2021</t>
        </is>
      </c>
      <c r="C9974" s="2" t="n">
        <v>45696</v>
      </c>
      <c r="D9974" t="inlineStr">
        <is>
          <t>NON-NIL</t>
        </is>
      </c>
      <c r="E9974" t="n">
        <v>2712</v>
      </c>
    </row>
    <row r="9975">
      <c r="A9975" t="inlineStr">
        <is>
          <t>27BBBBB09975Z5</t>
        </is>
      </c>
      <c r="B9975" t="inlineStr">
        <is>
          <t>Dec-2018</t>
        </is>
      </c>
      <c r="C9975" s="2" t="n">
        <v>44140</v>
      </c>
      <c r="D9975" t="inlineStr">
        <is>
          <t>NON-NIL</t>
        </is>
      </c>
      <c r="E9975" t="n">
        <v>1540</v>
      </c>
    </row>
    <row r="9976">
      <c r="A9976" t="inlineStr">
        <is>
          <t>27BBBBB09976Z5</t>
        </is>
      </c>
      <c r="B9976" t="inlineStr">
        <is>
          <t>Nov-2018</t>
        </is>
      </c>
      <c r="C9976" s="2" t="n">
        <v>43091</v>
      </c>
      <c r="D9976" t="inlineStr">
        <is>
          <t>NIL</t>
        </is>
      </c>
      <c r="E9976" t="n">
        <v>1556</v>
      </c>
    </row>
    <row r="9977">
      <c r="A9977" t="inlineStr">
        <is>
          <t>27BBBBB09977Z5</t>
        </is>
      </c>
      <c r="B9977" t="inlineStr">
        <is>
          <t>Jul-2020</t>
        </is>
      </c>
      <c r="C9977" s="2" t="n">
        <v>44477</v>
      </c>
      <c r="D9977" t="inlineStr">
        <is>
          <t>NON-NIL</t>
        </is>
      </c>
      <c r="E9977" t="n">
        <v>22</v>
      </c>
    </row>
    <row r="9978">
      <c r="A9978" t="inlineStr">
        <is>
          <t>27BBBBB09978Z5</t>
        </is>
      </c>
      <c r="B9978" t="inlineStr">
        <is>
          <t>Mar-2023</t>
        </is>
      </c>
      <c r="C9978" s="2" t="n">
        <v>45604</v>
      </c>
      <c r="D9978" t="inlineStr">
        <is>
          <t>NIL</t>
        </is>
      </c>
      <c r="E9978" t="n">
        <v>1270</v>
      </c>
    </row>
    <row r="9979">
      <c r="A9979" t="inlineStr">
        <is>
          <t>27BBBBB09979Z5</t>
        </is>
      </c>
      <c r="B9979" t="inlineStr">
        <is>
          <t>Apr-2020</t>
        </is>
      </c>
      <c r="C9979" s="2" t="n">
        <v>43957</v>
      </c>
      <c r="D9979" t="inlineStr">
        <is>
          <t>NON-NIL</t>
        </is>
      </c>
      <c r="E9979" t="n">
        <v>1728</v>
      </c>
    </row>
    <row r="9980">
      <c r="A9980" t="inlineStr">
        <is>
          <t>27BBBBB09980Z5</t>
        </is>
      </c>
      <c r="B9980" t="inlineStr">
        <is>
          <t>Apr-2020</t>
        </is>
      </c>
      <c r="C9980" s="2" t="n">
        <v>44071</v>
      </c>
      <c r="D9980" t="inlineStr">
        <is>
          <t>NON-NIL</t>
        </is>
      </c>
      <c r="E9980" t="n">
        <v>1905</v>
      </c>
    </row>
    <row r="9981">
      <c r="A9981" t="inlineStr">
        <is>
          <t>27BBBBB09981Z5</t>
        </is>
      </c>
      <c r="B9981" t="inlineStr">
        <is>
          <t>Mar-2018</t>
        </is>
      </c>
      <c r="C9981" s="2" t="n">
        <v>44052</v>
      </c>
      <c r="D9981" t="inlineStr">
        <is>
          <t>NIL</t>
        </is>
      </c>
      <c r="E9981" t="n">
        <v>245</v>
      </c>
    </row>
    <row r="9982">
      <c r="A9982" t="inlineStr">
        <is>
          <t>27BBBBB09982Z5</t>
        </is>
      </c>
      <c r="B9982" t="inlineStr">
        <is>
          <t>Apr-2018</t>
        </is>
      </c>
      <c r="C9982" s="2" t="n">
        <v>44412</v>
      </c>
      <c r="D9982" t="inlineStr">
        <is>
          <t>NON-NIL</t>
        </is>
      </c>
      <c r="E9982" t="n">
        <v>2362</v>
      </c>
    </row>
    <row r="9983">
      <c r="A9983" t="inlineStr">
        <is>
          <t>27BBBBB09983Z5</t>
        </is>
      </c>
      <c r="B9983" t="inlineStr">
        <is>
          <t>Aug-2017</t>
        </is>
      </c>
      <c r="C9983" s="2" t="n">
        <v>43992</v>
      </c>
      <c r="D9983" t="inlineStr">
        <is>
          <t>NIL</t>
        </is>
      </c>
      <c r="E9983" t="n">
        <v>2923</v>
      </c>
    </row>
    <row r="9984">
      <c r="A9984" t="inlineStr">
        <is>
          <t>27BBBBB09984Z5</t>
        </is>
      </c>
      <c r="B9984" t="inlineStr">
        <is>
          <t>Nov-2017</t>
        </is>
      </c>
      <c r="C9984" s="2" t="n">
        <v>43688</v>
      </c>
      <c r="D9984" t="inlineStr">
        <is>
          <t>NON-NIL</t>
        </is>
      </c>
      <c r="E9984" t="n">
        <v>2983</v>
      </c>
    </row>
    <row r="9985">
      <c r="A9985" t="inlineStr">
        <is>
          <t>27BBBBB09985Z5</t>
        </is>
      </c>
      <c r="B9985" t="inlineStr">
        <is>
          <t>Nov-2018</t>
        </is>
      </c>
      <c r="C9985" s="2" t="n">
        <v>43212</v>
      </c>
      <c r="D9985" t="inlineStr">
        <is>
          <t>NIL</t>
        </is>
      </c>
      <c r="E9985" t="n">
        <v>1044</v>
      </c>
    </row>
    <row r="9986">
      <c r="A9986" t="inlineStr">
        <is>
          <t>27BBBBB09986Z5</t>
        </is>
      </c>
      <c r="B9986" t="inlineStr">
        <is>
          <t>Mar-2020</t>
        </is>
      </c>
      <c r="C9986" s="2" t="n">
        <v>43862</v>
      </c>
      <c r="D9986" t="inlineStr">
        <is>
          <t>NIL</t>
        </is>
      </c>
      <c r="E9986" t="n">
        <v>1270</v>
      </c>
    </row>
    <row r="9987">
      <c r="A9987" t="inlineStr">
        <is>
          <t>27BBBBB09987Z5</t>
        </is>
      </c>
      <c r="B9987" t="inlineStr">
        <is>
          <t>Nov-2017</t>
        </is>
      </c>
      <c r="C9987" s="2" t="n">
        <v>44509</v>
      </c>
      <c r="D9987" t="inlineStr">
        <is>
          <t>NON-NIL</t>
        </is>
      </c>
      <c r="E9987" t="n">
        <v>1101</v>
      </c>
    </row>
    <row r="9988">
      <c r="A9988" t="inlineStr">
        <is>
          <t>27BBBBB09988Z5</t>
        </is>
      </c>
      <c r="B9988" t="inlineStr">
        <is>
          <t>Apr-2020</t>
        </is>
      </c>
      <c r="C9988" s="2" t="n">
        <v>44751</v>
      </c>
      <c r="D9988" t="inlineStr">
        <is>
          <t>NON-NIL</t>
        </is>
      </c>
      <c r="E9988" t="n">
        <v>1872</v>
      </c>
    </row>
    <row r="9989">
      <c r="A9989" t="inlineStr">
        <is>
          <t>27BBBBB09989Z5</t>
        </is>
      </c>
      <c r="B9989" t="inlineStr">
        <is>
          <t>May-2018</t>
        </is>
      </c>
      <c r="C9989" s="2" t="n">
        <v>43266</v>
      </c>
      <c r="D9989" t="inlineStr">
        <is>
          <t>NIL</t>
        </is>
      </c>
      <c r="E9989" t="n">
        <v>2065</v>
      </c>
    </row>
    <row r="9990">
      <c r="A9990" t="inlineStr">
        <is>
          <t>27BBBBB09990Z5</t>
        </is>
      </c>
      <c r="B9990" t="inlineStr">
        <is>
          <t>Dec-2022</t>
        </is>
      </c>
      <c r="C9990" s="2" t="n">
        <v>43726</v>
      </c>
      <c r="D9990" t="inlineStr">
        <is>
          <t>NON-NIL</t>
        </is>
      </c>
      <c r="E9990" t="n">
        <v>1382</v>
      </c>
    </row>
    <row r="9991">
      <c r="A9991" t="inlineStr">
        <is>
          <t>27BBBBB09991Z5</t>
        </is>
      </c>
      <c r="B9991" t="inlineStr">
        <is>
          <t>Sep-2017</t>
        </is>
      </c>
      <c r="C9991" s="2" t="n">
        <v>43564</v>
      </c>
      <c r="D9991" t="inlineStr">
        <is>
          <t>NON-NIL</t>
        </is>
      </c>
      <c r="E9991" t="n">
        <v>760</v>
      </c>
    </row>
    <row r="9992">
      <c r="A9992" t="inlineStr">
        <is>
          <t>27BBBBB09992Z5</t>
        </is>
      </c>
      <c r="B9992" t="inlineStr">
        <is>
          <t>Mar-2023</t>
        </is>
      </c>
      <c r="C9992" s="2" t="n">
        <v>44687</v>
      </c>
      <c r="D9992" t="inlineStr">
        <is>
          <t>NIL</t>
        </is>
      </c>
      <c r="E9992" t="n">
        <v>2004</v>
      </c>
    </row>
    <row r="9993">
      <c r="A9993" t="inlineStr">
        <is>
          <t>27BBBBB09993Z5</t>
        </is>
      </c>
      <c r="B9993" t="inlineStr">
        <is>
          <t>Nov-2017</t>
        </is>
      </c>
      <c r="C9993" s="2" t="n">
        <v>44129</v>
      </c>
      <c r="D9993" t="inlineStr">
        <is>
          <t>NON-NIL</t>
        </is>
      </c>
      <c r="E9993" t="n">
        <v>2975</v>
      </c>
    </row>
    <row r="9994">
      <c r="A9994" t="inlineStr">
        <is>
          <t>27BBBBB09994Z5</t>
        </is>
      </c>
      <c r="B9994" t="inlineStr">
        <is>
          <t>Jul-2020</t>
        </is>
      </c>
      <c r="C9994" s="2" t="n">
        <v>44108</v>
      </c>
      <c r="D9994" t="inlineStr">
        <is>
          <t>NIL</t>
        </is>
      </c>
      <c r="E9994" t="n">
        <v>1116</v>
      </c>
    </row>
    <row r="9995">
      <c r="A9995" t="inlineStr">
        <is>
          <t>27BBBBB09995Z5</t>
        </is>
      </c>
      <c r="B9995" t="inlineStr">
        <is>
          <t>Jan-2018</t>
        </is>
      </c>
      <c r="C9995" s="2" t="n">
        <v>42986</v>
      </c>
      <c r="D9995" t="inlineStr">
        <is>
          <t>NIL</t>
        </is>
      </c>
      <c r="E9995" t="n">
        <v>1658</v>
      </c>
    </row>
    <row r="9996">
      <c r="A9996" t="inlineStr">
        <is>
          <t>27BBBBB09996Z5</t>
        </is>
      </c>
      <c r="B9996" t="inlineStr">
        <is>
          <t>Aug-2017</t>
        </is>
      </c>
      <c r="C9996" s="2" t="n">
        <v>43507</v>
      </c>
      <c r="D9996" t="inlineStr">
        <is>
          <t>NIL</t>
        </is>
      </c>
      <c r="E9996" t="n">
        <v>1696</v>
      </c>
    </row>
    <row r="9997">
      <c r="A9997" t="inlineStr">
        <is>
          <t>27BBBBB09997Z5</t>
        </is>
      </c>
      <c r="B9997" t="inlineStr">
        <is>
          <t>Dec-2024</t>
        </is>
      </c>
      <c r="C9997" s="2" t="n">
        <v>44409</v>
      </c>
      <c r="D9997" t="inlineStr">
        <is>
          <t>NON-NIL</t>
        </is>
      </c>
      <c r="E9997" t="n">
        <v>1516</v>
      </c>
    </row>
    <row r="9998">
      <c r="A9998" t="inlineStr">
        <is>
          <t>27BBBBB09998Z5</t>
        </is>
      </c>
      <c r="B9998" t="inlineStr">
        <is>
          <t>Apr-2020</t>
        </is>
      </c>
      <c r="C9998" s="2" t="n">
        <v>44813</v>
      </c>
      <c r="D9998" t="inlineStr">
        <is>
          <t>NIL</t>
        </is>
      </c>
      <c r="E9998" t="n">
        <v>2341</v>
      </c>
    </row>
    <row r="9999">
      <c r="A9999" t="inlineStr">
        <is>
          <t>27BBBBB09999Z5</t>
        </is>
      </c>
      <c r="B9999" t="inlineStr">
        <is>
          <t>Nov-2018</t>
        </is>
      </c>
      <c r="C9999" s="2" t="n">
        <v>43543</v>
      </c>
      <c r="D9999" t="inlineStr">
        <is>
          <t>NON-NIL</t>
        </is>
      </c>
      <c r="E9999" t="n">
        <v>2571</v>
      </c>
    </row>
    <row r="10000">
      <c r="A10000" t="inlineStr">
        <is>
          <t>27BBBBB10000Z5</t>
        </is>
      </c>
      <c r="B10000" t="inlineStr">
        <is>
          <t>Nov-2018</t>
        </is>
      </c>
      <c r="C10000" s="2" t="n">
        <v>43659</v>
      </c>
      <c r="D10000" t="inlineStr">
        <is>
          <t>NON-NIL</t>
        </is>
      </c>
      <c r="E10000" t="n">
        <v>1873</v>
      </c>
    </row>
    <row r="10001">
      <c r="A10001" t="inlineStr">
        <is>
          <t>27BBBBB10001Z5</t>
        </is>
      </c>
      <c r="B10001" t="inlineStr">
        <is>
          <t>Aug-2018</t>
        </is>
      </c>
      <c r="C10001" s="2" t="n">
        <v>42978</v>
      </c>
      <c r="D10001" t="inlineStr">
        <is>
          <t>NON-NIL</t>
        </is>
      </c>
      <c r="E10001" t="n">
        <v>71</v>
      </c>
    </row>
    <row r="10002">
      <c r="A10002" t="inlineStr">
        <is>
          <t>27BBBBB10002Z5</t>
        </is>
      </c>
      <c r="B10002" t="inlineStr">
        <is>
          <t>Jun-2020</t>
        </is>
      </c>
      <c r="C10002" s="2" t="n">
        <v>44490</v>
      </c>
      <c r="D10002" t="inlineStr">
        <is>
          <t>NON-NIL</t>
        </is>
      </c>
      <c r="E10002" t="n">
        <v>1489</v>
      </c>
    </row>
    <row r="10003">
      <c r="A10003" t="inlineStr">
        <is>
          <t>27BBBBB10003Z5</t>
        </is>
      </c>
      <c r="B10003" t="inlineStr">
        <is>
          <t>Apr-2020</t>
        </is>
      </c>
      <c r="C10003" s="2" t="n">
        <v>44796</v>
      </c>
      <c r="D10003" t="inlineStr">
        <is>
          <t>NON-NIL</t>
        </is>
      </c>
      <c r="E10003" t="n">
        <v>2913</v>
      </c>
    </row>
    <row r="10004">
      <c r="A10004" t="inlineStr">
        <is>
          <t>27BBBBB10004Z5</t>
        </is>
      </c>
      <c r="B10004" t="inlineStr">
        <is>
          <t>Jan-2018</t>
        </is>
      </c>
      <c r="C10004" s="2" t="n">
        <v>44423</v>
      </c>
      <c r="D10004" t="inlineStr">
        <is>
          <t>NIL</t>
        </is>
      </c>
      <c r="E10004" t="n">
        <v>2330</v>
      </c>
    </row>
    <row r="10005">
      <c r="A10005" t="inlineStr">
        <is>
          <t>27BBBBB10005Z5</t>
        </is>
      </c>
      <c r="B10005" t="inlineStr">
        <is>
          <t>Jun-2020</t>
        </is>
      </c>
      <c r="C10005" s="2" t="n">
        <v>44000</v>
      </c>
      <c r="D10005" t="inlineStr">
        <is>
          <t>NIL</t>
        </is>
      </c>
      <c r="E10005" t="n">
        <v>2546</v>
      </c>
    </row>
    <row r="10006">
      <c r="A10006" t="inlineStr">
        <is>
          <t>27BBBBB10006Z5</t>
        </is>
      </c>
      <c r="B10006" t="inlineStr">
        <is>
          <t>Mar-2018</t>
        </is>
      </c>
      <c r="C10006" s="2" t="n">
        <v>43000</v>
      </c>
      <c r="D10006" t="inlineStr">
        <is>
          <t>NON-NIL</t>
        </is>
      </c>
      <c r="E10006" t="n">
        <v>1148</v>
      </c>
    </row>
    <row r="10007">
      <c r="A10007" t="inlineStr">
        <is>
          <t>27BBBBB10007Z5</t>
        </is>
      </c>
      <c r="B10007" t="inlineStr">
        <is>
          <t>Nov-2018</t>
        </is>
      </c>
      <c r="C10007" s="2" t="n">
        <v>43431</v>
      </c>
      <c r="D10007" t="inlineStr">
        <is>
          <t>NON-NIL</t>
        </is>
      </c>
      <c r="E10007" t="n">
        <v>2973</v>
      </c>
    </row>
    <row r="10008">
      <c r="A10008" t="inlineStr">
        <is>
          <t>27BBBBB10008Z5</t>
        </is>
      </c>
      <c r="B10008" t="inlineStr">
        <is>
          <t>Jun-2018</t>
        </is>
      </c>
      <c r="C10008" s="2" t="n">
        <v>43270</v>
      </c>
      <c r="D10008" t="inlineStr">
        <is>
          <t>NIL</t>
        </is>
      </c>
      <c r="E10008" t="n">
        <v>2877</v>
      </c>
    </row>
    <row r="10009">
      <c r="A10009" t="inlineStr">
        <is>
          <t>27BBBBB10009Z5</t>
        </is>
      </c>
      <c r="B10009" t="inlineStr">
        <is>
          <t>Mar-2023</t>
        </is>
      </c>
      <c r="C10009" s="2" t="n">
        <v>45654</v>
      </c>
      <c r="D10009" t="inlineStr">
        <is>
          <t>NIL</t>
        </is>
      </c>
      <c r="E10009" t="n">
        <v>1478</v>
      </c>
    </row>
    <row r="10010">
      <c r="A10010" t="inlineStr">
        <is>
          <t>27BBBBB10010Z5</t>
        </is>
      </c>
      <c r="B10010" t="inlineStr">
        <is>
          <t>Nov-2018</t>
        </is>
      </c>
      <c r="C10010" s="2" t="n">
        <v>43022</v>
      </c>
      <c r="D10010" t="inlineStr">
        <is>
          <t>NON-NIL</t>
        </is>
      </c>
      <c r="E10010" t="n">
        <v>2237</v>
      </c>
    </row>
    <row r="10011">
      <c r="A10011" t="inlineStr">
        <is>
          <t>27BBBBB10011Z5</t>
        </is>
      </c>
      <c r="B10011" t="inlineStr">
        <is>
          <t>Jan-2018</t>
        </is>
      </c>
      <c r="C10011" s="2" t="n">
        <v>43020</v>
      </c>
      <c r="D10011" t="inlineStr">
        <is>
          <t>NON-NIL</t>
        </is>
      </c>
      <c r="E10011" t="n">
        <v>1578</v>
      </c>
    </row>
    <row r="10012">
      <c r="A10012" t="inlineStr">
        <is>
          <t>27BBBBB10012Z5</t>
        </is>
      </c>
      <c r="B10012" t="inlineStr">
        <is>
          <t>Mar-2023</t>
        </is>
      </c>
      <c r="C10012" s="2" t="n">
        <v>45697</v>
      </c>
      <c r="D10012" t="inlineStr">
        <is>
          <t>NIL</t>
        </is>
      </c>
      <c r="E10012" t="n">
        <v>2778</v>
      </c>
    </row>
    <row r="10013">
      <c r="A10013" t="inlineStr">
        <is>
          <t>27BBBBB10013Z5</t>
        </is>
      </c>
      <c r="B10013" t="inlineStr">
        <is>
          <t>Mar-2023</t>
        </is>
      </c>
      <c r="C10013" s="2" t="n">
        <v>43472</v>
      </c>
      <c r="D10013" t="inlineStr">
        <is>
          <t>NON-NIL</t>
        </is>
      </c>
      <c r="E10013" t="n">
        <v>1028</v>
      </c>
    </row>
    <row r="10014">
      <c r="A10014" t="inlineStr">
        <is>
          <t>27BBBBB10014Z5</t>
        </is>
      </c>
      <c r="B10014" t="inlineStr">
        <is>
          <t>Dec-2024</t>
        </is>
      </c>
      <c r="C10014" s="2" t="n">
        <v>44022</v>
      </c>
      <c r="D10014" t="inlineStr">
        <is>
          <t>NON-NIL</t>
        </is>
      </c>
      <c r="E10014" t="n">
        <v>96</v>
      </c>
    </row>
    <row r="10015">
      <c r="A10015" t="inlineStr">
        <is>
          <t>27BBBBB10015Z5</t>
        </is>
      </c>
      <c r="B10015" t="inlineStr">
        <is>
          <t>Nov-2017</t>
        </is>
      </c>
      <c r="C10015" s="2" t="n">
        <v>44455</v>
      </c>
      <c r="D10015" t="inlineStr">
        <is>
          <t>NON-NIL</t>
        </is>
      </c>
      <c r="E10015" t="n">
        <v>1128</v>
      </c>
    </row>
    <row r="10016">
      <c r="A10016" t="inlineStr">
        <is>
          <t>27BBBBB10016Z5</t>
        </is>
      </c>
      <c r="B10016" t="inlineStr">
        <is>
          <t>Nov-2017</t>
        </is>
      </c>
      <c r="C10016" s="2" t="n">
        <v>44363</v>
      </c>
      <c r="D10016" t="inlineStr">
        <is>
          <t>NIL</t>
        </is>
      </c>
      <c r="E10016" t="n">
        <v>381</v>
      </c>
    </row>
    <row r="10017">
      <c r="A10017" t="inlineStr">
        <is>
          <t>27BBBBB10017Z5</t>
        </is>
      </c>
      <c r="B10017" t="inlineStr">
        <is>
          <t>Oct-2018</t>
        </is>
      </c>
      <c r="C10017" s="2" t="n">
        <v>44386</v>
      </c>
      <c r="D10017" t="inlineStr">
        <is>
          <t>NIL</t>
        </is>
      </c>
      <c r="E10017" t="n">
        <v>2060</v>
      </c>
    </row>
    <row r="10018">
      <c r="A10018" t="inlineStr">
        <is>
          <t>27BBBBB10018Z5</t>
        </is>
      </c>
      <c r="B10018" t="inlineStr">
        <is>
          <t>Apr-2018</t>
        </is>
      </c>
      <c r="C10018" s="2" t="n">
        <v>44175</v>
      </c>
      <c r="D10018" t="inlineStr">
        <is>
          <t>NON-NIL</t>
        </is>
      </c>
      <c r="E10018" t="n">
        <v>630</v>
      </c>
    </row>
    <row r="10019">
      <c r="A10019" t="inlineStr">
        <is>
          <t>27BBBBB10019Z5</t>
        </is>
      </c>
      <c r="B10019" t="inlineStr">
        <is>
          <t>Jan-2021</t>
        </is>
      </c>
      <c r="C10019" s="2" t="n">
        <v>45311</v>
      </c>
      <c r="D10019" t="inlineStr">
        <is>
          <t>NON-NIL</t>
        </is>
      </c>
      <c r="E10019" t="n">
        <v>1021</v>
      </c>
    </row>
    <row r="10020">
      <c r="A10020" t="inlineStr">
        <is>
          <t>27BBBBB10020Z5</t>
        </is>
      </c>
      <c r="B10020" t="inlineStr">
        <is>
          <t>Jul-2020</t>
        </is>
      </c>
      <c r="C10020" s="2" t="n">
        <v>44673</v>
      </c>
      <c r="D10020" t="inlineStr">
        <is>
          <t>NON-NIL</t>
        </is>
      </c>
      <c r="E10020" t="n">
        <v>2218</v>
      </c>
    </row>
    <row r="10021">
      <c r="A10021" t="inlineStr">
        <is>
          <t>27BBBBB10021Z5</t>
        </is>
      </c>
      <c r="B10021" t="inlineStr">
        <is>
          <t>Jun-2018</t>
        </is>
      </c>
      <c r="C10021" s="2" t="n">
        <v>42986</v>
      </c>
      <c r="D10021" t="inlineStr">
        <is>
          <t>NON-NIL</t>
        </is>
      </c>
      <c r="E10021" t="n">
        <v>90</v>
      </c>
    </row>
    <row r="10022">
      <c r="A10022" t="inlineStr">
        <is>
          <t>27BBBBB10022Z5</t>
        </is>
      </c>
      <c r="B10022" t="inlineStr">
        <is>
          <t>Sep-2017</t>
        </is>
      </c>
      <c r="C10022" s="2" t="n">
        <v>43407</v>
      </c>
      <c r="D10022" t="inlineStr">
        <is>
          <t>NON-NIL</t>
        </is>
      </c>
      <c r="E10022" t="n">
        <v>569</v>
      </c>
    </row>
    <row r="10023">
      <c r="A10023" t="inlineStr">
        <is>
          <t>27BBBBB10023Z5</t>
        </is>
      </c>
      <c r="B10023" t="inlineStr">
        <is>
          <t>Dec-2022</t>
        </is>
      </c>
      <c r="C10023" s="2" t="n">
        <v>44181</v>
      </c>
      <c r="D10023" t="inlineStr">
        <is>
          <t>NIL</t>
        </is>
      </c>
      <c r="E10023" t="n">
        <v>1328</v>
      </c>
    </row>
    <row r="10024">
      <c r="A10024" t="inlineStr">
        <is>
          <t>27BBBBB10024Z5</t>
        </is>
      </c>
      <c r="B10024" t="inlineStr">
        <is>
          <t>Jan-2021</t>
        </is>
      </c>
      <c r="C10024" s="2" t="n">
        <v>44764</v>
      </c>
      <c r="D10024" t="inlineStr">
        <is>
          <t>NIL</t>
        </is>
      </c>
      <c r="E10024" t="n">
        <v>1132</v>
      </c>
    </row>
    <row r="10025">
      <c r="A10025" t="inlineStr">
        <is>
          <t>27BBBBB10025Z5</t>
        </is>
      </c>
      <c r="B10025" t="inlineStr">
        <is>
          <t>Apr-2018</t>
        </is>
      </c>
      <c r="C10025" s="2" t="n">
        <v>44343</v>
      </c>
      <c r="D10025" t="inlineStr">
        <is>
          <t>NIL</t>
        </is>
      </c>
      <c r="E10025" t="n">
        <v>1521</v>
      </c>
    </row>
    <row r="10026">
      <c r="A10026" t="inlineStr">
        <is>
          <t>27BBBBB10026Z5</t>
        </is>
      </c>
      <c r="B10026" t="inlineStr">
        <is>
          <t>Oct-2018</t>
        </is>
      </c>
      <c r="C10026" s="2" t="n">
        <v>44394</v>
      </c>
      <c r="D10026" t="inlineStr">
        <is>
          <t>NIL</t>
        </is>
      </c>
      <c r="E10026" t="n">
        <v>215</v>
      </c>
    </row>
    <row r="10027">
      <c r="A10027" t="inlineStr">
        <is>
          <t>27BBBBB10027Z5</t>
        </is>
      </c>
      <c r="B10027" t="inlineStr">
        <is>
          <t>Mar-2023</t>
        </is>
      </c>
      <c r="C10027" s="2" t="n">
        <v>45233</v>
      </c>
      <c r="D10027" t="inlineStr">
        <is>
          <t>NIL</t>
        </is>
      </c>
      <c r="E10027" t="n">
        <v>132</v>
      </c>
    </row>
    <row r="10028">
      <c r="A10028" t="inlineStr">
        <is>
          <t>27BBBBB10028Z5</t>
        </is>
      </c>
      <c r="B10028" t="inlineStr">
        <is>
          <t>Nov-2018</t>
        </is>
      </c>
      <c r="C10028" s="2" t="n">
        <v>44237</v>
      </c>
      <c r="D10028" t="inlineStr">
        <is>
          <t>NIL</t>
        </is>
      </c>
      <c r="E10028" t="n">
        <v>625</v>
      </c>
    </row>
    <row r="10029">
      <c r="A10029" t="inlineStr">
        <is>
          <t>27BBBBB10029Z5</t>
        </is>
      </c>
      <c r="B10029" t="inlineStr">
        <is>
          <t>Jul-2017</t>
        </is>
      </c>
      <c r="C10029" s="2" t="n">
        <v>43149</v>
      </c>
      <c r="D10029" t="inlineStr">
        <is>
          <t>NIL</t>
        </is>
      </c>
      <c r="E10029" t="n">
        <v>209</v>
      </c>
    </row>
    <row r="10030">
      <c r="A10030" t="inlineStr">
        <is>
          <t>27BBBBB10030Z5</t>
        </is>
      </c>
      <c r="B10030" t="inlineStr">
        <is>
          <t>Mar-2018</t>
        </is>
      </c>
      <c r="C10030" s="2" t="n">
        <v>43097</v>
      </c>
      <c r="D10030" t="inlineStr">
        <is>
          <t>NIL</t>
        </is>
      </c>
      <c r="E10030" t="n">
        <v>1481</v>
      </c>
    </row>
    <row r="10031">
      <c r="A10031" t="inlineStr">
        <is>
          <t>27BBBBB10031Z5</t>
        </is>
      </c>
      <c r="B10031" t="inlineStr">
        <is>
          <t>Nov-2018</t>
        </is>
      </c>
      <c r="C10031" s="2" t="n">
        <v>43953</v>
      </c>
      <c r="D10031" t="inlineStr">
        <is>
          <t>NON-NIL</t>
        </is>
      </c>
      <c r="E10031" t="n">
        <v>2819</v>
      </c>
    </row>
    <row r="10032">
      <c r="A10032" t="inlineStr">
        <is>
          <t>27BBBBB10032Z5</t>
        </is>
      </c>
      <c r="B10032" t="inlineStr">
        <is>
          <t>Aug-2017</t>
        </is>
      </c>
      <c r="C10032" s="2" t="n">
        <v>43514</v>
      </c>
      <c r="D10032" t="inlineStr">
        <is>
          <t>NON-NIL</t>
        </is>
      </c>
      <c r="E10032" t="n">
        <v>1</v>
      </c>
    </row>
    <row r="10033">
      <c r="A10033" t="inlineStr">
        <is>
          <t>27BBBBB10033Z5</t>
        </is>
      </c>
      <c r="B10033" t="inlineStr">
        <is>
          <t>Nov-2017</t>
        </is>
      </c>
      <c r="C10033" s="2" t="n">
        <v>44233</v>
      </c>
      <c r="D10033" t="inlineStr">
        <is>
          <t>NIL</t>
        </is>
      </c>
      <c r="E10033" t="n">
        <v>1283</v>
      </c>
    </row>
    <row r="10034">
      <c r="A10034" t="inlineStr">
        <is>
          <t>27BBBBB10034Z5</t>
        </is>
      </c>
      <c r="B10034" t="inlineStr">
        <is>
          <t>Aug-2017</t>
        </is>
      </c>
      <c r="C10034" s="2" t="n">
        <v>44190</v>
      </c>
      <c r="D10034" t="inlineStr">
        <is>
          <t>NIL</t>
        </is>
      </c>
      <c r="E10034" t="n">
        <v>2808</v>
      </c>
    </row>
    <row r="10035">
      <c r="A10035" t="inlineStr">
        <is>
          <t>27BBBBB10035Z5</t>
        </is>
      </c>
      <c r="B10035" t="inlineStr">
        <is>
          <t>Jul-2017</t>
        </is>
      </c>
      <c r="C10035" s="2" t="n">
        <v>43171</v>
      </c>
      <c r="D10035" t="inlineStr">
        <is>
          <t>NIL</t>
        </is>
      </c>
      <c r="E10035" t="n">
        <v>2522</v>
      </c>
    </row>
    <row r="10036">
      <c r="A10036" t="inlineStr">
        <is>
          <t>27BBBBB10036Z5</t>
        </is>
      </c>
      <c r="B10036" t="inlineStr">
        <is>
          <t>Dec-2018</t>
        </is>
      </c>
      <c r="C10036" s="2" t="n">
        <v>43945</v>
      </c>
      <c r="D10036" t="inlineStr">
        <is>
          <t>NON-NIL</t>
        </is>
      </c>
      <c r="E10036" t="n">
        <v>1376</v>
      </c>
    </row>
    <row r="10037">
      <c r="A10037" t="inlineStr">
        <is>
          <t>27BBBBB10037Z5</t>
        </is>
      </c>
      <c r="B10037" t="inlineStr">
        <is>
          <t>Dec-2017</t>
        </is>
      </c>
      <c r="C10037" s="2" t="n">
        <v>43725</v>
      </c>
      <c r="D10037" t="inlineStr">
        <is>
          <t>NIL</t>
        </is>
      </c>
      <c r="E10037" t="n">
        <v>2006</v>
      </c>
    </row>
    <row r="10038">
      <c r="A10038" t="inlineStr">
        <is>
          <t>27BBBBB10038Z5</t>
        </is>
      </c>
      <c r="B10038" t="inlineStr">
        <is>
          <t>Nov-2017</t>
        </is>
      </c>
      <c r="C10038" s="2" t="n">
        <v>43974</v>
      </c>
      <c r="D10038" t="inlineStr">
        <is>
          <t>NIL</t>
        </is>
      </c>
      <c r="E10038" t="n">
        <v>2005</v>
      </c>
    </row>
    <row r="10039">
      <c r="A10039" t="inlineStr">
        <is>
          <t>27BBBBB10039Z5</t>
        </is>
      </c>
      <c r="B10039" t="inlineStr">
        <is>
          <t>Aug-2017</t>
        </is>
      </c>
      <c r="C10039" s="2" t="n">
        <v>43178</v>
      </c>
      <c r="D10039" t="inlineStr">
        <is>
          <t>NON-NIL</t>
        </is>
      </c>
      <c r="E10039" t="n">
        <v>488</v>
      </c>
    </row>
    <row r="10040">
      <c r="A10040" t="inlineStr">
        <is>
          <t>27BBBBB10040Z5</t>
        </is>
      </c>
      <c r="B10040" t="inlineStr">
        <is>
          <t>Nov-2017</t>
        </is>
      </c>
      <c r="C10040" s="2" t="n">
        <v>43682</v>
      </c>
      <c r="D10040" t="inlineStr">
        <is>
          <t>NIL</t>
        </is>
      </c>
      <c r="E10040" t="n">
        <v>1802</v>
      </c>
    </row>
    <row r="10041">
      <c r="A10041" t="inlineStr">
        <is>
          <t>27BBBBB10041Z5</t>
        </is>
      </c>
      <c r="B10041" t="inlineStr">
        <is>
          <t>Mar-2020</t>
        </is>
      </c>
      <c r="C10041" s="2" t="n">
        <v>44837</v>
      </c>
      <c r="D10041" t="inlineStr">
        <is>
          <t>NON-NIL</t>
        </is>
      </c>
      <c r="E10041" t="n">
        <v>18</v>
      </c>
    </row>
    <row r="10042">
      <c r="A10042" t="inlineStr">
        <is>
          <t>27BBBBB10042Z5</t>
        </is>
      </c>
      <c r="B10042" t="inlineStr">
        <is>
          <t>Mar-2018</t>
        </is>
      </c>
      <c r="C10042" s="2" t="n">
        <v>43010</v>
      </c>
      <c r="D10042" t="inlineStr">
        <is>
          <t>NIL</t>
        </is>
      </c>
      <c r="E10042" t="n">
        <v>1847</v>
      </c>
    </row>
    <row r="10043">
      <c r="A10043" t="inlineStr">
        <is>
          <t>27BBBBB10043Z5</t>
        </is>
      </c>
      <c r="B10043" t="inlineStr">
        <is>
          <t>Oct-2017</t>
        </is>
      </c>
      <c r="C10043" s="2" t="n">
        <v>44008</v>
      </c>
      <c r="D10043" t="inlineStr">
        <is>
          <t>NIL</t>
        </is>
      </c>
      <c r="E10043" t="n">
        <v>56</v>
      </c>
    </row>
    <row r="10044">
      <c r="A10044" t="inlineStr">
        <is>
          <t>27BBBBB10044Z5</t>
        </is>
      </c>
      <c r="B10044" t="inlineStr">
        <is>
          <t>Dec-2022</t>
        </is>
      </c>
      <c r="C10044" s="2" t="n">
        <v>43943</v>
      </c>
      <c r="D10044" t="inlineStr">
        <is>
          <t>NIL</t>
        </is>
      </c>
      <c r="E10044" t="n">
        <v>203</v>
      </c>
    </row>
    <row r="10045">
      <c r="A10045" t="inlineStr">
        <is>
          <t>27BBBBB10045Z5</t>
        </is>
      </c>
      <c r="B10045" t="inlineStr">
        <is>
          <t>Nov-2018</t>
        </is>
      </c>
      <c r="C10045" s="2" t="n">
        <v>44287</v>
      </c>
      <c r="D10045" t="inlineStr">
        <is>
          <t>NON-NIL</t>
        </is>
      </c>
      <c r="E10045" t="n">
        <v>2388</v>
      </c>
    </row>
    <row r="10046">
      <c r="A10046" t="inlineStr">
        <is>
          <t>27BBBBB10046Z5</t>
        </is>
      </c>
      <c r="B10046" t="inlineStr">
        <is>
          <t>Mar-2023</t>
        </is>
      </c>
      <c r="C10046" s="2" t="n">
        <v>44898</v>
      </c>
      <c r="D10046" t="inlineStr">
        <is>
          <t>NIL</t>
        </is>
      </c>
      <c r="E10046" t="n">
        <v>1401</v>
      </c>
    </row>
    <row r="10047">
      <c r="A10047" t="inlineStr">
        <is>
          <t>27BBBBB10047Z5</t>
        </is>
      </c>
      <c r="B10047" t="inlineStr">
        <is>
          <t>Mar-2018</t>
        </is>
      </c>
      <c r="C10047" s="2" t="n">
        <v>42996</v>
      </c>
      <c r="D10047" t="inlineStr">
        <is>
          <t>NIL</t>
        </is>
      </c>
      <c r="E10047" t="n">
        <v>865</v>
      </c>
    </row>
    <row r="10048">
      <c r="A10048" t="inlineStr">
        <is>
          <t>27BBBBB10048Z5</t>
        </is>
      </c>
      <c r="B10048" t="inlineStr">
        <is>
          <t>Jun-2018</t>
        </is>
      </c>
      <c r="C10048" s="2" t="n">
        <v>44286</v>
      </c>
      <c r="D10048" t="inlineStr">
        <is>
          <t>NIL</t>
        </is>
      </c>
      <c r="E10048" t="n">
        <v>2719</v>
      </c>
    </row>
    <row r="10049">
      <c r="A10049" t="inlineStr">
        <is>
          <t>27BBBBB10049Z5</t>
        </is>
      </c>
      <c r="B10049" t="inlineStr">
        <is>
          <t>Jan-2021</t>
        </is>
      </c>
      <c r="C10049" s="2" t="n">
        <v>45735</v>
      </c>
      <c r="D10049" t="inlineStr">
        <is>
          <t>NIL</t>
        </is>
      </c>
      <c r="E10049" t="n">
        <v>1135</v>
      </c>
    </row>
    <row r="10050">
      <c r="A10050" t="inlineStr">
        <is>
          <t>27BBBBB10050Z5</t>
        </is>
      </c>
      <c r="B10050" t="inlineStr">
        <is>
          <t>Jan-2021</t>
        </is>
      </c>
      <c r="C10050" s="2" t="n">
        <v>44761</v>
      </c>
      <c r="D10050" t="inlineStr">
        <is>
          <t>NON-NIL</t>
        </is>
      </c>
      <c r="E10050" t="n">
        <v>1574</v>
      </c>
    </row>
    <row r="10051">
      <c r="A10051" t="inlineStr">
        <is>
          <t>27BBBBB10051Z5</t>
        </is>
      </c>
      <c r="B10051" t="inlineStr">
        <is>
          <t>Mar-2023</t>
        </is>
      </c>
      <c r="C10051" s="2" t="n">
        <v>44628</v>
      </c>
      <c r="D10051" t="inlineStr">
        <is>
          <t>NON-NIL</t>
        </is>
      </c>
      <c r="E10051" t="n">
        <v>1812</v>
      </c>
    </row>
    <row r="10052">
      <c r="A10052" t="inlineStr">
        <is>
          <t>27BBBBB10052Z5</t>
        </is>
      </c>
      <c r="B10052" t="inlineStr">
        <is>
          <t>Nov-2018</t>
        </is>
      </c>
      <c r="C10052" s="2" t="n">
        <v>44271</v>
      </c>
      <c r="D10052" t="inlineStr">
        <is>
          <t>NON-NIL</t>
        </is>
      </c>
      <c r="E10052" t="n">
        <v>2543</v>
      </c>
    </row>
    <row r="10053">
      <c r="A10053" t="inlineStr">
        <is>
          <t>27BBBBB10053Z5</t>
        </is>
      </c>
      <c r="B10053" t="inlineStr">
        <is>
          <t>Nov-2017</t>
        </is>
      </c>
      <c r="C10053" s="2" t="n">
        <v>43708</v>
      </c>
      <c r="D10053" t="inlineStr">
        <is>
          <t>NIL</t>
        </is>
      </c>
      <c r="E10053" t="n">
        <v>341</v>
      </c>
    </row>
    <row r="10054">
      <c r="A10054" t="inlineStr">
        <is>
          <t>27BBBBB10054Z5</t>
        </is>
      </c>
      <c r="B10054" t="inlineStr">
        <is>
          <t>Jul-2018</t>
        </is>
      </c>
      <c r="C10054" s="2" t="n">
        <v>44252</v>
      </c>
      <c r="D10054" t="inlineStr">
        <is>
          <t>NIL</t>
        </is>
      </c>
      <c r="E10054" t="n">
        <v>1681</v>
      </c>
    </row>
    <row r="10055">
      <c r="A10055" t="inlineStr">
        <is>
          <t>27BBBBB10055Z5</t>
        </is>
      </c>
      <c r="B10055" t="inlineStr">
        <is>
          <t>Jul-2020</t>
        </is>
      </c>
      <c r="C10055" s="2" t="n">
        <v>44359</v>
      </c>
      <c r="D10055" t="inlineStr">
        <is>
          <t>NON-NIL</t>
        </is>
      </c>
      <c r="E10055" t="n">
        <v>1564</v>
      </c>
    </row>
    <row r="10056">
      <c r="A10056" t="inlineStr">
        <is>
          <t>27BBBBB10056Z5</t>
        </is>
      </c>
      <c r="B10056" t="inlineStr">
        <is>
          <t>Jul-2018</t>
        </is>
      </c>
      <c r="C10056" s="2" t="n">
        <v>44290</v>
      </c>
      <c r="D10056" t="inlineStr">
        <is>
          <t>NIL</t>
        </is>
      </c>
      <c r="E10056" t="n">
        <v>754</v>
      </c>
    </row>
    <row r="10057">
      <c r="A10057" t="inlineStr">
        <is>
          <t>27BBBBB10057Z5</t>
        </is>
      </c>
      <c r="B10057" t="inlineStr">
        <is>
          <t>Aug-2018</t>
        </is>
      </c>
      <c r="C10057" s="2" t="n">
        <v>43798</v>
      </c>
      <c r="D10057" t="inlineStr">
        <is>
          <t>NIL</t>
        </is>
      </c>
      <c r="E10057" t="n">
        <v>2730</v>
      </c>
    </row>
    <row r="10058">
      <c r="A10058" t="inlineStr">
        <is>
          <t>27BBBBB10058Z5</t>
        </is>
      </c>
      <c r="B10058" t="inlineStr">
        <is>
          <t>Jul-2020</t>
        </is>
      </c>
      <c r="C10058" s="2" t="n">
        <v>43995</v>
      </c>
      <c r="D10058" t="inlineStr">
        <is>
          <t>NIL</t>
        </is>
      </c>
      <c r="E10058" t="n">
        <v>2443</v>
      </c>
    </row>
    <row r="10059">
      <c r="A10059" t="inlineStr">
        <is>
          <t>27BBBBB10059Z5</t>
        </is>
      </c>
      <c r="B10059" t="inlineStr">
        <is>
          <t>Sep-2018</t>
        </is>
      </c>
      <c r="C10059" s="2" t="n">
        <v>43948</v>
      </c>
      <c r="D10059" t="inlineStr">
        <is>
          <t>NON-NIL</t>
        </is>
      </c>
      <c r="E10059" t="n">
        <v>1565</v>
      </c>
    </row>
    <row r="10060">
      <c r="A10060" t="inlineStr">
        <is>
          <t>27BBBBB10060Z5</t>
        </is>
      </c>
      <c r="B10060" t="inlineStr">
        <is>
          <t>Dec-2018</t>
        </is>
      </c>
      <c r="C10060" s="2" t="n">
        <v>44346</v>
      </c>
      <c r="D10060" t="inlineStr">
        <is>
          <t>NIL</t>
        </is>
      </c>
      <c r="E10060" t="n">
        <v>1199</v>
      </c>
    </row>
    <row r="10061">
      <c r="A10061" t="inlineStr">
        <is>
          <t>27BBBBB10061Z5</t>
        </is>
      </c>
      <c r="B10061" t="inlineStr">
        <is>
          <t>Jun-2018</t>
        </is>
      </c>
      <c r="C10061" s="2" t="n">
        <v>43981</v>
      </c>
      <c r="D10061" t="inlineStr">
        <is>
          <t>NON-NIL</t>
        </is>
      </c>
      <c r="E10061" t="n">
        <v>2073</v>
      </c>
    </row>
    <row r="10062">
      <c r="A10062" t="inlineStr">
        <is>
          <t>27BBBBB10062Z5</t>
        </is>
      </c>
      <c r="B10062" t="inlineStr">
        <is>
          <t>Mar-2023</t>
        </is>
      </c>
      <c r="C10062" s="2" t="n">
        <v>44771</v>
      </c>
      <c r="D10062" t="inlineStr">
        <is>
          <t>NIL</t>
        </is>
      </c>
      <c r="E10062" t="n">
        <v>1613</v>
      </c>
    </row>
    <row r="10063">
      <c r="A10063" t="inlineStr">
        <is>
          <t>27BBBBB10063Z5</t>
        </is>
      </c>
      <c r="B10063" t="inlineStr">
        <is>
          <t>Aug-2018</t>
        </is>
      </c>
      <c r="C10063" s="2" t="n">
        <v>43290</v>
      </c>
      <c r="D10063" t="inlineStr">
        <is>
          <t>NON-NIL</t>
        </is>
      </c>
      <c r="E10063" t="n">
        <v>913</v>
      </c>
    </row>
    <row r="10064">
      <c r="A10064" t="inlineStr">
        <is>
          <t>27BBBBB10064Z5</t>
        </is>
      </c>
      <c r="B10064" t="inlineStr">
        <is>
          <t>May-2018</t>
        </is>
      </c>
      <c r="C10064" s="2" t="n">
        <v>43817</v>
      </c>
      <c r="D10064" t="inlineStr">
        <is>
          <t>NON-NIL</t>
        </is>
      </c>
      <c r="E10064" t="n">
        <v>1213</v>
      </c>
    </row>
    <row r="10065">
      <c r="A10065" t="inlineStr">
        <is>
          <t>27BBBBB10065Z5</t>
        </is>
      </c>
      <c r="B10065" t="inlineStr">
        <is>
          <t>Jul-2020</t>
        </is>
      </c>
      <c r="C10065" s="2" t="n">
        <v>44875</v>
      </c>
      <c r="D10065" t="inlineStr">
        <is>
          <t>NON-NIL</t>
        </is>
      </c>
      <c r="E10065" t="n">
        <v>1351</v>
      </c>
    </row>
    <row r="10066">
      <c r="A10066" t="inlineStr">
        <is>
          <t>27BBBBB10066Z5</t>
        </is>
      </c>
      <c r="B10066" t="inlineStr">
        <is>
          <t>Dec-2017</t>
        </is>
      </c>
      <c r="C10066" s="2" t="n">
        <v>43530</v>
      </c>
      <c r="D10066" t="inlineStr">
        <is>
          <t>NIL</t>
        </is>
      </c>
      <c r="E10066" t="n">
        <v>1417</v>
      </c>
    </row>
    <row r="10067">
      <c r="A10067" t="inlineStr">
        <is>
          <t>27BBBBB10067Z5</t>
        </is>
      </c>
      <c r="B10067" t="inlineStr">
        <is>
          <t>Mar-2018</t>
        </is>
      </c>
      <c r="C10067" s="2" t="n">
        <v>44525</v>
      </c>
      <c r="D10067" t="inlineStr">
        <is>
          <t>NIL</t>
        </is>
      </c>
      <c r="E10067" t="n">
        <v>1691</v>
      </c>
    </row>
    <row r="10068">
      <c r="A10068" t="inlineStr">
        <is>
          <t>27BBBBB10068Z5</t>
        </is>
      </c>
      <c r="B10068" t="inlineStr">
        <is>
          <t>Dec-2018</t>
        </is>
      </c>
      <c r="C10068" s="2" t="n">
        <v>43320</v>
      </c>
      <c r="D10068" t="inlineStr">
        <is>
          <t>NIL</t>
        </is>
      </c>
      <c r="E10068" t="n">
        <v>492</v>
      </c>
    </row>
    <row r="10069">
      <c r="A10069" t="inlineStr">
        <is>
          <t>27BBBBB10069Z5</t>
        </is>
      </c>
      <c r="B10069" t="inlineStr">
        <is>
          <t>Mar-2018</t>
        </is>
      </c>
      <c r="C10069" s="2" t="n">
        <v>43281</v>
      </c>
      <c r="D10069" t="inlineStr">
        <is>
          <t>NIL</t>
        </is>
      </c>
      <c r="E10069" t="n">
        <v>2742</v>
      </c>
    </row>
    <row r="10070">
      <c r="A10070" t="inlineStr">
        <is>
          <t>27BBBBB10070Z5</t>
        </is>
      </c>
      <c r="B10070" t="inlineStr">
        <is>
          <t>Jul-2020</t>
        </is>
      </c>
      <c r="C10070" s="2" t="n">
        <v>44461</v>
      </c>
      <c r="D10070" t="inlineStr">
        <is>
          <t>NON-NIL</t>
        </is>
      </c>
      <c r="E10070" t="n">
        <v>729</v>
      </c>
    </row>
    <row r="10071">
      <c r="A10071" t="inlineStr">
        <is>
          <t>27BBBBB10071Z5</t>
        </is>
      </c>
      <c r="B10071" t="inlineStr">
        <is>
          <t>May-2020</t>
        </is>
      </c>
      <c r="C10071" s="2" t="n">
        <v>44317</v>
      </c>
      <c r="D10071" t="inlineStr">
        <is>
          <t>NIL</t>
        </is>
      </c>
      <c r="E10071" t="n">
        <v>779</v>
      </c>
    </row>
    <row r="10072">
      <c r="A10072" t="inlineStr">
        <is>
          <t>27BBBBB10072Z5</t>
        </is>
      </c>
      <c r="B10072" t="inlineStr">
        <is>
          <t>Dec-2017</t>
        </is>
      </c>
      <c r="C10072" s="2" t="n">
        <v>43839</v>
      </c>
      <c r="D10072" t="inlineStr">
        <is>
          <t>NIL</t>
        </is>
      </c>
      <c r="E10072" t="n">
        <v>1335</v>
      </c>
    </row>
    <row r="10073">
      <c r="A10073" t="inlineStr">
        <is>
          <t>27BBBBB10073Z5</t>
        </is>
      </c>
      <c r="B10073" t="inlineStr">
        <is>
          <t>May-2018</t>
        </is>
      </c>
      <c r="C10073" s="2" t="n">
        <v>43529</v>
      </c>
      <c r="D10073" t="inlineStr">
        <is>
          <t>NON-NIL</t>
        </is>
      </c>
      <c r="E10073" t="n">
        <v>34</v>
      </c>
    </row>
    <row r="10074">
      <c r="A10074" t="inlineStr">
        <is>
          <t>27BBBBB10074Z5</t>
        </is>
      </c>
      <c r="B10074" t="inlineStr">
        <is>
          <t>Dec-2017</t>
        </is>
      </c>
      <c r="C10074" s="2" t="n">
        <v>43909</v>
      </c>
      <c r="D10074" t="inlineStr">
        <is>
          <t>NON-NIL</t>
        </is>
      </c>
      <c r="E10074" t="n">
        <v>382</v>
      </c>
    </row>
    <row r="10075">
      <c r="A10075" t="inlineStr">
        <is>
          <t>27BBBBB10075Z5</t>
        </is>
      </c>
      <c r="B10075" t="inlineStr">
        <is>
          <t>Mar-2021</t>
        </is>
      </c>
      <c r="C10075" s="2" t="n">
        <v>44175</v>
      </c>
      <c r="D10075" t="inlineStr">
        <is>
          <t>NON-NIL</t>
        </is>
      </c>
      <c r="E10075" t="n">
        <v>916</v>
      </c>
    </row>
    <row r="10076">
      <c r="A10076" t="inlineStr">
        <is>
          <t>27BBBBB10076Z5</t>
        </is>
      </c>
      <c r="B10076" t="inlineStr">
        <is>
          <t>Nov-2017</t>
        </is>
      </c>
      <c r="C10076" s="2" t="n">
        <v>42929</v>
      </c>
      <c r="D10076" t="inlineStr">
        <is>
          <t>NON-NIL</t>
        </is>
      </c>
      <c r="E10076" t="n">
        <v>2165</v>
      </c>
    </row>
    <row r="10077">
      <c r="A10077" t="inlineStr">
        <is>
          <t>27BBBBB10077Z5</t>
        </is>
      </c>
      <c r="B10077" t="inlineStr">
        <is>
          <t>Mar-2020</t>
        </is>
      </c>
      <c r="C10077" s="2" t="n">
        <v>44157</v>
      </c>
      <c r="D10077" t="inlineStr">
        <is>
          <t>NIL</t>
        </is>
      </c>
      <c r="E10077" t="n">
        <v>2944</v>
      </c>
    </row>
    <row r="10078">
      <c r="A10078" t="inlineStr">
        <is>
          <t>27BBBBB10078Z5</t>
        </is>
      </c>
      <c r="B10078" t="inlineStr">
        <is>
          <t>Jan-2021</t>
        </is>
      </c>
      <c r="C10078" s="2" t="n">
        <v>45417</v>
      </c>
      <c r="D10078" t="inlineStr">
        <is>
          <t>NIL</t>
        </is>
      </c>
      <c r="E10078" t="n">
        <v>2643</v>
      </c>
    </row>
    <row r="10079">
      <c r="A10079" t="inlineStr">
        <is>
          <t>27BBBBB10079Z5</t>
        </is>
      </c>
      <c r="B10079" t="inlineStr">
        <is>
          <t>Mar-2018</t>
        </is>
      </c>
      <c r="C10079" s="2" t="n">
        <v>44245</v>
      </c>
      <c r="D10079" t="inlineStr">
        <is>
          <t>NIL</t>
        </is>
      </c>
      <c r="E10079" t="n">
        <v>1576</v>
      </c>
    </row>
    <row r="10080">
      <c r="A10080" t="inlineStr">
        <is>
          <t>27BBBBB10080Z5</t>
        </is>
      </c>
      <c r="B10080" t="inlineStr">
        <is>
          <t>Mar-2023</t>
        </is>
      </c>
      <c r="C10080" s="2" t="n">
        <v>45252</v>
      </c>
      <c r="D10080" t="inlineStr">
        <is>
          <t>NIL</t>
        </is>
      </c>
      <c r="E10080" t="n">
        <v>2779</v>
      </c>
    </row>
    <row r="10081">
      <c r="A10081" t="inlineStr">
        <is>
          <t>27BBBBB10081Z5</t>
        </is>
      </c>
      <c r="B10081" t="inlineStr">
        <is>
          <t>Jan-2021</t>
        </is>
      </c>
      <c r="C10081" s="2" t="n">
        <v>44468</v>
      </c>
      <c r="D10081" t="inlineStr">
        <is>
          <t>NON-NIL</t>
        </is>
      </c>
      <c r="E10081" t="n">
        <v>2659</v>
      </c>
    </row>
    <row r="10082">
      <c r="A10082" t="inlineStr">
        <is>
          <t>27BBBBB10082Z5</t>
        </is>
      </c>
      <c r="B10082" t="inlineStr">
        <is>
          <t>Sep-2018</t>
        </is>
      </c>
      <c r="C10082" s="2" t="n">
        <v>43768</v>
      </c>
      <c r="D10082" t="inlineStr">
        <is>
          <t>NIL</t>
        </is>
      </c>
      <c r="E10082" t="n">
        <v>1256</v>
      </c>
    </row>
    <row r="10083">
      <c r="A10083" t="inlineStr">
        <is>
          <t>27BBBBB10083Z5</t>
        </is>
      </c>
      <c r="B10083" t="inlineStr">
        <is>
          <t>May-2020</t>
        </is>
      </c>
      <c r="C10083" s="2" t="n">
        <v>44899</v>
      </c>
      <c r="D10083" t="inlineStr">
        <is>
          <t>NON-NIL</t>
        </is>
      </c>
      <c r="E10083" t="n">
        <v>542</v>
      </c>
    </row>
    <row r="10084">
      <c r="A10084" t="inlineStr">
        <is>
          <t>27BBBBB10084Z5</t>
        </is>
      </c>
      <c r="B10084" t="inlineStr">
        <is>
          <t>Dec-2018</t>
        </is>
      </c>
      <c r="C10084" s="2" t="n">
        <v>43583</v>
      </c>
      <c r="D10084" t="inlineStr">
        <is>
          <t>NIL</t>
        </is>
      </c>
      <c r="E10084" t="n">
        <v>2493</v>
      </c>
    </row>
    <row r="10085">
      <c r="A10085" t="inlineStr">
        <is>
          <t>27BBBBB10085Z5</t>
        </is>
      </c>
      <c r="B10085" t="inlineStr">
        <is>
          <t>May-2018</t>
        </is>
      </c>
      <c r="C10085" s="2" t="n">
        <v>43968</v>
      </c>
      <c r="D10085" t="inlineStr">
        <is>
          <t>NIL</t>
        </is>
      </c>
      <c r="E10085" t="n">
        <v>850</v>
      </c>
    </row>
    <row r="10086">
      <c r="A10086" t="inlineStr">
        <is>
          <t>27BBBBB10086Z5</t>
        </is>
      </c>
      <c r="B10086" t="inlineStr">
        <is>
          <t>Jul-2020</t>
        </is>
      </c>
      <c r="C10086" s="2" t="n">
        <v>44026</v>
      </c>
      <c r="D10086" t="inlineStr">
        <is>
          <t>NIL</t>
        </is>
      </c>
      <c r="E10086" t="n">
        <v>105</v>
      </c>
    </row>
    <row r="10087">
      <c r="A10087" t="inlineStr">
        <is>
          <t>27BBBBB10087Z5</t>
        </is>
      </c>
      <c r="B10087" t="inlineStr">
        <is>
          <t>Oct-2017</t>
        </is>
      </c>
      <c r="C10087" s="2" t="n">
        <v>43381</v>
      </c>
      <c r="D10087" t="inlineStr">
        <is>
          <t>NIL</t>
        </is>
      </c>
      <c r="E10087" t="n">
        <v>1976</v>
      </c>
    </row>
    <row r="10088">
      <c r="A10088" t="inlineStr">
        <is>
          <t>27BBBBB10088Z5</t>
        </is>
      </c>
      <c r="B10088" t="inlineStr">
        <is>
          <t>Jan-2021</t>
        </is>
      </c>
      <c r="C10088" s="2" t="n">
        <v>45094</v>
      </c>
      <c r="D10088" t="inlineStr">
        <is>
          <t>NON-NIL</t>
        </is>
      </c>
      <c r="E10088" t="n">
        <v>1509</v>
      </c>
    </row>
    <row r="10089">
      <c r="A10089" t="inlineStr">
        <is>
          <t>27BBBBB10089Z5</t>
        </is>
      </c>
      <c r="B10089" t="inlineStr">
        <is>
          <t>Mar-2021</t>
        </is>
      </c>
      <c r="C10089" s="2" t="n">
        <v>45799</v>
      </c>
      <c r="D10089" t="inlineStr">
        <is>
          <t>NON-NIL</t>
        </is>
      </c>
      <c r="E10089" t="n">
        <v>1319</v>
      </c>
    </row>
    <row r="10090">
      <c r="A10090" t="inlineStr">
        <is>
          <t>27BBBBB10090Z5</t>
        </is>
      </c>
      <c r="B10090" t="inlineStr">
        <is>
          <t>May-2020</t>
        </is>
      </c>
      <c r="C10090" s="2" t="n">
        <v>44152</v>
      </c>
      <c r="D10090" t="inlineStr">
        <is>
          <t>NIL</t>
        </is>
      </c>
      <c r="E10090" t="n">
        <v>359</v>
      </c>
    </row>
    <row r="10091">
      <c r="A10091" t="inlineStr">
        <is>
          <t>27BBBBB10091Z5</t>
        </is>
      </c>
      <c r="B10091" t="inlineStr">
        <is>
          <t>Oct-2018</t>
        </is>
      </c>
      <c r="C10091" s="2" t="n">
        <v>43920</v>
      </c>
      <c r="D10091" t="inlineStr">
        <is>
          <t>NIL</t>
        </is>
      </c>
      <c r="E10091" t="n">
        <v>46</v>
      </c>
    </row>
    <row r="10092">
      <c r="A10092" t="inlineStr">
        <is>
          <t>27BBBBB10092Z5</t>
        </is>
      </c>
      <c r="B10092" t="inlineStr">
        <is>
          <t>Dec-2017</t>
        </is>
      </c>
      <c r="C10092" s="2" t="n">
        <v>43942</v>
      </c>
      <c r="D10092" t="inlineStr">
        <is>
          <t>NIL</t>
        </is>
      </c>
      <c r="E10092" t="n">
        <v>224</v>
      </c>
    </row>
    <row r="10093">
      <c r="A10093" t="inlineStr">
        <is>
          <t>27BBBBB10093Z5</t>
        </is>
      </c>
      <c r="B10093" t="inlineStr">
        <is>
          <t>May-2018</t>
        </is>
      </c>
      <c r="C10093" s="2" t="n">
        <v>44070</v>
      </c>
      <c r="D10093" t="inlineStr">
        <is>
          <t>NIL</t>
        </is>
      </c>
      <c r="E10093" t="n">
        <v>2476</v>
      </c>
    </row>
    <row r="10094">
      <c r="A10094" t="inlineStr">
        <is>
          <t>27BBBBB10094Z5</t>
        </is>
      </c>
      <c r="B10094" t="inlineStr">
        <is>
          <t>Jul-2017</t>
        </is>
      </c>
      <c r="C10094" s="2" t="n">
        <v>43420</v>
      </c>
      <c r="D10094" t="inlineStr">
        <is>
          <t>NIL</t>
        </is>
      </c>
      <c r="E10094" t="n">
        <v>1547</v>
      </c>
    </row>
    <row r="10095">
      <c r="A10095" t="inlineStr">
        <is>
          <t>27BBBBB10095Z5</t>
        </is>
      </c>
      <c r="B10095" t="inlineStr">
        <is>
          <t>Apr-2018</t>
        </is>
      </c>
      <c r="C10095" s="2" t="n">
        <v>44558</v>
      </c>
      <c r="D10095" t="inlineStr">
        <is>
          <t>NIL</t>
        </is>
      </c>
      <c r="E10095" t="n">
        <v>1542</v>
      </c>
    </row>
    <row r="10096">
      <c r="A10096" t="inlineStr">
        <is>
          <t>27BBBBB10096Z5</t>
        </is>
      </c>
      <c r="B10096" t="inlineStr">
        <is>
          <t>Oct-2018</t>
        </is>
      </c>
      <c r="C10096" s="2" t="n">
        <v>44282</v>
      </c>
      <c r="D10096" t="inlineStr">
        <is>
          <t>NIL</t>
        </is>
      </c>
      <c r="E10096" t="n">
        <v>675</v>
      </c>
    </row>
    <row r="10097">
      <c r="A10097" t="inlineStr">
        <is>
          <t>27BBBBB10097Z5</t>
        </is>
      </c>
      <c r="B10097" t="inlineStr">
        <is>
          <t>Jan-2021</t>
        </is>
      </c>
      <c r="C10097" s="2" t="n">
        <v>43804</v>
      </c>
      <c r="D10097" t="inlineStr">
        <is>
          <t>NON-NIL</t>
        </is>
      </c>
      <c r="E10097" t="n">
        <v>2316</v>
      </c>
    </row>
    <row r="10098">
      <c r="A10098" t="inlineStr">
        <is>
          <t>27BBBBB10098Z5</t>
        </is>
      </c>
      <c r="B10098" t="inlineStr">
        <is>
          <t>Dec-2017</t>
        </is>
      </c>
      <c r="C10098" s="2" t="n">
        <v>44199</v>
      </c>
      <c r="D10098" t="inlineStr">
        <is>
          <t>NIL</t>
        </is>
      </c>
      <c r="E10098" t="n">
        <v>1914</v>
      </c>
    </row>
    <row r="10099">
      <c r="A10099" t="inlineStr">
        <is>
          <t>27BBBBB10099Z5</t>
        </is>
      </c>
      <c r="B10099" t="inlineStr">
        <is>
          <t>Nov-2018</t>
        </is>
      </c>
      <c r="C10099" s="2" t="n">
        <v>43302</v>
      </c>
      <c r="D10099" t="inlineStr">
        <is>
          <t>NON-NIL</t>
        </is>
      </c>
      <c r="E10099" t="n">
        <v>4</v>
      </c>
    </row>
    <row r="10100">
      <c r="A10100" t="inlineStr">
        <is>
          <t>27BBBBB10100Z5</t>
        </is>
      </c>
      <c r="B10100" t="inlineStr">
        <is>
          <t>Oct-2017</t>
        </is>
      </c>
      <c r="C10100" s="2" t="n">
        <v>42957</v>
      </c>
      <c r="D10100" t="inlineStr">
        <is>
          <t>NON-NIL</t>
        </is>
      </c>
      <c r="E10100" t="n">
        <v>1880</v>
      </c>
    </row>
    <row r="10101">
      <c r="A10101" t="inlineStr">
        <is>
          <t>27BBBBB10101Z5</t>
        </is>
      </c>
      <c r="B10101" t="inlineStr">
        <is>
          <t>Jun-2020</t>
        </is>
      </c>
      <c r="C10101" s="2" t="n">
        <v>44103</v>
      </c>
      <c r="D10101" t="inlineStr">
        <is>
          <t>NON-NIL</t>
        </is>
      </c>
      <c r="E10101" t="n">
        <v>2771</v>
      </c>
    </row>
    <row r="10102">
      <c r="A10102" t="inlineStr">
        <is>
          <t>27BBBBB10102Z5</t>
        </is>
      </c>
      <c r="B10102" t="inlineStr">
        <is>
          <t>Jul-2017</t>
        </is>
      </c>
      <c r="C10102" s="2" t="n">
        <v>43184</v>
      </c>
      <c r="D10102" t="inlineStr">
        <is>
          <t>NIL</t>
        </is>
      </c>
      <c r="E10102" t="n">
        <v>185</v>
      </c>
    </row>
    <row r="10103">
      <c r="A10103" t="inlineStr">
        <is>
          <t>27BBBBB10103Z5</t>
        </is>
      </c>
      <c r="B10103" t="inlineStr">
        <is>
          <t>Mar-2020</t>
        </is>
      </c>
      <c r="C10103" s="2" t="n">
        <v>44524</v>
      </c>
      <c r="D10103" t="inlineStr">
        <is>
          <t>NIL</t>
        </is>
      </c>
      <c r="E10103" t="n">
        <v>231</v>
      </c>
    </row>
    <row r="10104">
      <c r="A10104" t="inlineStr">
        <is>
          <t>27BBBBB10104Z5</t>
        </is>
      </c>
      <c r="B10104" t="inlineStr">
        <is>
          <t>May-2020</t>
        </is>
      </c>
      <c r="C10104" s="2" t="n">
        <v>44711</v>
      </c>
      <c r="D10104" t="inlineStr">
        <is>
          <t>NIL</t>
        </is>
      </c>
      <c r="E10104" t="n">
        <v>2093</v>
      </c>
    </row>
    <row r="10105">
      <c r="A10105" t="inlineStr">
        <is>
          <t>27BBBBB10105Z5</t>
        </is>
      </c>
      <c r="B10105" t="inlineStr">
        <is>
          <t>Mar-2018</t>
        </is>
      </c>
      <c r="C10105" s="2" t="n">
        <v>43320</v>
      </c>
      <c r="D10105" t="inlineStr">
        <is>
          <t>NIL</t>
        </is>
      </c>
      <c r="E10105" t="n">
        <v>2541</v>
      </c>
    </row>
    <row r="10106">
      <c r="A10106" t="inlineStr">
        <is>
          <t>27BBBBB10106Z5</t>
        </is>
      </c>
      <c r="B10106" t="inlineStr">
        <is>
          <t>Sep-2017</t>
        </is>
      </c>
      <c r="C10106" s="2" t="n">
        <v>43416</v>
      </c>
      <c r="D10106" t="inlineStr">
        <is>
          <t>NON-NIL</t>
        </is>
      </c>
      <c r="E10106" t="n">
        <v>783</v>
      </c>
    </row>
    <row r="10107">
      <c r="A10107" t="inlineStr">
        <is>
          <t>27BBBBB10107Z5</t>
        </is>
      </c>
      <c r="B10107" t="inlineStr">
        <is>
          <t>Dec-2022</t>
        </is>
      </c>
      <c r="C10107" s="2" t="n">
        <v>44581</v>
      </c>
      <c r="D10107" t="inlineStr">
        <is>
          <t>NIL</t>
        </is>
      </c>
      <c r="E10107" t="n">
        <v>2802</v>
      </c>
    </row>
    <row r="10108">
      <c r="A10108" t="inlineStr">
        <is>
          <t>27BBBBB10108Z5</t>
        </is>
      </c>
      <c r="B10108" t="inlineStr">
        <is>
          <t>May-2020</t>
        </is>
      </c>
      <c r="C10108" s="2" t="n">
        <v>44071</v>
      </c>
      <c r="D10108" t="inlineStr">
        <is>
          <t>NON-NIL</t>
        </is>
      </c>
      <c r="E10108" t="n">
        <v>584</v>
      </c>
    </row>
    <row r="10109">
      <c r="A10109" t="inlineStr">
        <is>
          <t>27BBBBB10109Z5</t>
        </is>
      </c>
      <c r="B10109" t="inlineStr">
        <is>
          <t>Sep-2018</t>
        </is>
      </c>
      <c r="C10109" s="2" t="n">
        <v>43473</v>
      </c>
      <c r="D10109" t="inlineStr">
        <is>
          <t>NIL</t>
        </is>
      </c>
      <c r="E10109" t="n">
        <v>2481</v>
      </c>
    </row>
    <row r="10110">
      <c r="A10110" t="inlineStr">
        <is>
          <t>27BBBBB10110Z5</t>
        </is>
      </c>
      <c r="B10110" t="inlineStr">
        <is>
          <t>Jan-2018</t>
        </is>
      </c>
      <c r="C10110" s="2" t="n">
        <v>43389</v>
      </c>
      <c r="D10110" t="inlineStr">
        <is>
          <t>NIL</t>
        </is>
      </c>
      <c r="E10110" t="n">
        <v>1905</v>
      </c>
    </row>
    <row r="10111">
      <c r="A10111" t="inlineStr">
        <is>
          <t>27BBBBB10111Z5</t>
        </is>
      </c>
      <c r="B10111" t="inlineStr">
        <is>
          <t>Jun-2018</t>
        </is>
      </c>
      <c r="C10111" s="2" t="n">
        <v>43802</v>
      </c>
      <c r="D10111" t="inlineStr">
        <is>
          <t>NIL</t>
        </is>
      </c>
      <c r="E10111" t="n">
        <v>776</v>
      </c>
    </row>
    <row r="10112">
      <c r="A10112" t="inlineStr">
        <is>
          <t>27BBBBB10112Z5</t>
        </is>
      </c>
      <c r="B10112" t="inlineStr">
        <is>
          <t>Aug-2018</t>
        </is>
      </c>
      <c r="C10112" s="2" t="n">
        <v>43322</v>
      </c>
      <c r="D10112" t="inlineStr">
        <is>
          <t>NIL</t>
        </is>
      </c>
      <c r="E10112" t="n">
        <v>466</v>
      </c>
    </row>
    <row r="10113">
      <c r="A10113" t="inlineStr">
        <is>
          <t>27BBBBB10113Z5</t>
        </is>
      </c>
      <c r="B10113" t="inlineStr">
        <is>
          <t>Jun-2018</t>
        </is>
      </c>
      <c r="C10113" s="2" t="n">
        <v>44129</v>
      </c>
      <c r="D10113" t="inlineStr">
        <is>
          <t>NON-NIL</t>
        </is>
      </c>
      <c r="E10113" t="n">
        <v>2652</v>
      </c>
    </row>
    <row r="10114">
      <c r="A10114" t="inlineStr">
        <is>
          <t>27BBBBB10114Z5</t>
        </is>
      </c>
      <c r="B10114" t="inlineStr">
        <is>
          <t>Apr-2020</t>
        </is>
      </c>
      <c r="C10114" s="2" t="n">
        <v>44546</v>
      </c>
      <c r="D10114" t="inlineStr">
        <is>
          <t>NON-NIL</t>
        </is>
      </c>
      <c r="E10114" t="n">
        <v>1245</v>
      </c>
    </row>
    <row r="10115">
      <c r="A10115" t="inlineStr">
        <is>
          <t>27BBBBB10115Z5</t>
        </is>
      </c>
      <c r="B10115" t="inlineStr">
        <is>
          <t>Apr-2020</t>
        </is>
      </c>
      <c r="C10115" s="2" t="n">
        <v>43985</v>
      </c>
      <c r="D10115" t="inlineStr">
        <is>
          <t>NON-NIL</t>
        </is>
      </c>
      <c r="E10115" t="n">
        <v>2253</v>
      </c>
    </row>
    <row r="10116">
      <c r="A10116" t="inlineStr">
        <is>
          <t>27BBBBB10116Z5</t>
        </is>
      </c>
      <c r="B10116" t="inlineStr">
        <is>
          <t>Aug-2017</t>
        </is>
      </c>
      <c r="C10116" s="2" t="n">
        <v>44036</v>
      </c>
      <c r="D10116" t="inlineStr">
        <is>
          <t>NON-NIL</t>
        </is>
      </c>
      <c r="E10116" t="n">
        <v>1401</v>
      </c>
    </row>
    <row r="10117">
      <c r="A10117" t="inlineStr">
        <is>
          <t>27BBBBB10117Z5</t>
        </is>
      </c>
      <c r="B10117" t="inlineStr">
        <is>
          <t>Oct-2018</t>
        </is>
      </c>
      <c r="C10117" s="2" t="n">
        <v>43721</v>
      </c>
      <c r="D10117" t="inlineStr">
        <is>
          <t>NIL</t>
        </is>
      </c>
      <c r="E10117" t="n">
        <v>1072</v>
      </c>
    </row>
    <row r="10118">
      <c r="A10118" t="inlineStr">
        <is>
          <t>27BBBBB10118Z5</t>
        </is>
      </c>
      <c r="B10118" t="inlineStr">
        <is>
          <t>Oct-2017</t>
        </is>
      </c>
      <c r="C10118" s="2" t="n">
        <v>44451</v>
      </c>
      <c r="D10118" t="inlineStr">
        <is>
          <t>NON-NIL</t>
        </is>
      </c>
      <c r="E10118" t="n">
        <v>753</v>
      </c>
    </row>
    <row r="10119">
      <c r="A10119" t="inlineStr">
        <is>
          <t>27BBBBB10119Z5</t>
        </is>
      </c>
      <c r="B10119" t="inlineStr">
        <is>
          <t>Jun-2018</t>
        </is>
      </c>
      <c r="C10119" s="2" t="n">
        <v>43373</v>
      </c>
      <c r="D10119" t="inlineStr">
        <is>
          <t>NIL</t>
        </is>
      </c>
      <c r="E10119" t="n">
        <v>1749</v>
      </c>
    </row>
    <row r="10120">
      <c r="A10120" t="inlineStr">
        <is>
          <t>27BBBBB10120Z5</t>
        </is>
      </c>
      <c r="B10120" t="inlineStr">
        <is>
          <t>Mar-2018</t>
        </is>
      </c>
      <c r="C10120" s="2" t="n">
        <v>42975</v>
      </c>
      <c r="D10120" t="inlineStr">
        <is>
          <t>NIL</t>
        </is>
      </c>
      <c r="E10120" t="n">
        <v>2859</v>
      </c>
    </row>
    <row r="10121">
      <c r="A10121" t="inlineStr">
        <is>
          <t>27BBBBB10121Z5</t>
        </is>
      </c>
      <c r="B10121" t="inlineStr">
        <is>
          <t>Jan-2018</t>
        </is>
      </c>
      <c r="C10121" s="2" t="n">
        <v>43840</v>
      </c>
      <c r="D10121" t="inlineStr">
        <is>
          <t>NIL</t>
        </is>
      </c>
      <c r="E10121" t="n">
        <v>2350</v>
      </c>
    </row>
    <row r="10122">
      <c r="A10122" t="inlineStr">
        <is>
          <t>27BBBBB10122Z5</t>
        </is>
      </c>
      <c r="B10122" t="inlineStr">
        <is>
          <t>Jan-2018</t>
        </is>
      </c>
      <c r="C10122" s="2" t="n">
        <v>43027</v>
      </c>
      <c r="D10122" t="inlineStr">
        <is>
          <t>NON-NIL</t>
        </is>
      </c>
      <c r="E10122" t="n">
        <v>1507</v>
      </c>
    </row>
    <row r="10123">
      <c r="A10123" t="inlineStr">
        <is>
          <t>27BBBBB10123Z5</t>
        </is>
      </c>
      <c r="B10123" t="inlineStr">
        <is>
          <t>Jul-2020</t>
        </is>
      </c>
      <c r="C10123" s="2" t="n">
        <v>44778</v>
      </c>
      <c r="D10123" t="inlineStr">
        <is>
          <t>NON-NIL</t>
        </is>
      </c>
      <c r="E10123" t="n">
        <v>397</v>
      </c>
    </row>
    <row r="10124">
      <c r="A10124" t="inlineStr">
        <is>
          <t>27BBBBB10124Z5</t>
        </is>
      </c>
      <c r="B10124" t="inlineStr">
        <is>
          <t>Jun-2020</t>
        </is>
      </c>
      <c r="C10124" s="2" t="n">
        <v>44088</v>
      </c>
      <c r="D10124" t="inlineStr">
        <is>
          <t>NON-NIL</t>
        </is>
      </c>
      <c r="E10124" t="n">
        <v>84</v>
      </c>
    </row>
    <row r="10125">
      <c r="A10125" t="inlineStr">
        <is>
          <t>27BBBBB10125Z5</t>
        </is>
      </c>
      <c r="B10125" t="inlineStr">
        <is>
          <t>Jan-2021</t>
        </is>
      </c>
      <c r="C10125" s="2" t="n">
        <v>44485</v>
      </c>
      <c r="D10125" t="inlineStr">
        <is>
          <t>NON-NIL</t>
        </is>
      </c>
      <c r="E10125" t="n">
        <v>1966</v>
      </c>
    </row>
    <row r="10126">
      <c r="A10126" t="inlineStr">
        <is>
          <t>27BBBBB10126Z5</t>
        </is>
      </c>
      <c r="B10126" t="inlineStr">
        <is>
          <t>Mar-2020</t>
        </is>
      </c>
      <c r="C10126" s="2" t="n">
        <v>43888</v>
      </c>
      <c r="D10126" t="inlineStr">
        <is>
          <t>NON-NIL</t>
        </is>
      </c>
      <c r="E10126" t="n">
        <v>1061</v>
      </c>
    </row>
    <row r="10127">
      <c r="A10127" t="inlineStr">
        <is>
          <t>27BBBBB10127Z5</t>
        </is>
      </c>
      <c r="B10127" t="inlineStr">
        <is>
          <t>Nov-2017</t>
        </is>
      </c>
      <c r="C10127" s="2" t="n">
        <v>43570</v>
      </c>
      <c r="D10127" t="inlineStr">
        <is>
          <t>NIL</t>
        </is>
      </c>
      <c r="E10127" t="n">
        <v>340</v>
      </c>
    </row>
    <row r="10128">
      <c r="A10128" t="inlineStr">
        <is>
          <t>27BBBBB10128Z5</t>
        </is>
      </c>
      <c r="B10128" t="inlineStr">
        <is>
          <t>Oct-2018</t>
        </is>
      </c>
      <c r="C10128" s="2" t="n">
        <v>44219</v>
      </c>
      <c r="D10128" t="inlineStr">
        <is>
          <t>NIL</t>
        </is>
      </c>
      <c r="E10128" t="n">
        <v>529</v>
      </c>
    </row>
    <row r="10129">
      <c r="A10129" t="inlineStr">
        <is>
          <t>27BBBBB10129Z5</t>
        </is>
      </c>
      <c r="B10129" t="inlineStr">
        <is>
          <t>Oct-2018</t>
        </is>
      </c>
      <c r="C10129" s="2" t="n">
        <v>43865</v>
      </c>
      <c r="D10129" t="inlineStr">
        <is>
          <t>NON-NIL</t>
        </is>
      </c>
      <c r="E10129" t="n">
        <v>707</v>
      </c>
    </row>
    <row r="10130">
      <c r="A10130" t="inlineStr">
        <is>
          <t>27BBBBB10130Z5</t>
        </is>
      </c>
      <c r="B10130" t="inlineStr">
        <is>
          <t>Oct-2017</t>
        </is>
      </c>
      <c r="C10130" s="2" t="n">
        <v>44206</v>
      </c>
      <c r="D10130" t="inlineStr">
        <is>
          <t>NON-NIL</t>
        </is>
      </c>
      <c r="E10130" t="n">
        <v>2731</v>
      </c>
    </row>
    <row r="10131">
      <c r="A10131" t="inlineStr">
        <is>
          <t>27BBBBB10131Z5</t>
        </is>
      </c>
      <c r="B10131" t="inlineStr">
        <is>
          <t>Nov-2018</t>
        </is>
      </c>
      <c r="C10131" s="2" t="n">
        <v>44068</v>
      </c>
      <c r="D10131" t="inlineStr">
        <is>
          <t>NON-NIL</t>
        </is>
      </c>
      <c r="E10131" t="n">
        <v>2974</v>
      </c>
    </row>
    <row r="10132">
      <c r="A10132" t="inlineStr">
        <is>
          <t>27BBBBB10132Z5</t>
        </is>
      </c>
      <c r="B10132" t="inlineStr">
        <is>
          <t>Nov-2017</t>
        </is>
      </c>
      <c r="C10132" s="2" t="n">
        <v>44022</v>
      </c>
      <c r="D10132" t="inlineStr">
        <is>
          <t>NON-NIL</t>
        </is>
      </c>
      <c r="E10132" t="n">
        <v>2082</v>
      </c>
    </row>
    <row r="10133">
      <c r="A10133" t="inlineStr">
        <is>
          <t>27BBBBB10133Z5</t>
        </is>
      </c>
      <c r="B10133" t="inlineStr">
        <is>
          <t>Nov-2017</t>
        </is>
      </c>
      <c r="C10133" s="2" t="n">
        <v>44488</v>
      </c>
      <c r="D10133" t="inlineStr">
        <is>
          <t>NON-NIL</t>
        </is>
      </c>
      <c r="E10133" t="n">
        <v>1393</v>
      </c>
    </row>
    <row r="10134">
      <c r="A10134" t="inlineStr">
        <is>
          <t>27BBBBB10134Z5</t>
        </is>
      </c>
      <c r="B10134" t="inlineStr">
        <is>
          <t>Jul-2017</t>
        </is>
      </c>
      <c r="C10134" s="2" t="n">
        <v>43014</v>
      </c>
      <c r="D10134" t="inlineStr">
        <is>
          <t>NIL</t>
        </is>
      </c>
      <c r="E10134" t="n">
        <v>322</v>
      </c>
    </row>
    <row r="10135">
      <c r="A10135" t="inlineStr">
        <is>
          <t>27BBBBB10135Z5</t>
        </is>
      </c>
      <c r="B10135" t="inlineStr">
        <is>
          <t>Jan-2021</t>
        </is>
      </c>
      <c r="C10135" s="2" t="n">
        <v>44166</v>
      </c>
      <c r="D10135" t="inlineStr">
        <is>
          <t>NIL</t>
        </is>
      </c>
      <c r="E10135" t="n">
        <v>1528</v>
      </c>
    </row>
    <row r="10136">
      <c r="A10136" t="inlineStr">
        <is>
          <t>27BBBBB10136Z5</t>
        </is>
      </c>
      <c r="B10136" t="inlineStr">
        <is>
          <t>Dec-2024</t>
        </is>
      </c>
      <c r="C10136" s="2" t="n">
        <v>44626</v>
      </c>
      <c r="D10136" t="inlineStr">
        <is>
          <t>NIL</t>
        </is>
      </c>
      <c r="E10136" t="n">
        <v>1781</v>
      </c>
    </row>
    <row r="10137">
      <c r="A10137" t="inlineStr">
        <is>
          <t>27BBBBB10137Z5</t>
        </is>
      </c>
      <c r="B10137" t="inlineStr">
        <is>
          <t>Aug-2018</t>
        </is>
      </c>
      <c r="C10137" s="2" t="n">
        <v>43237</v>
      </c>
      <c r="D10137" t="inlineStr">
        <is>
          <t>NON-NIL</t>
        </is>
      </c>
      <c r="E10137" t="n">
        <v>930</v>
      </c>
    </row>
    <row r="10138">
      <c r="A10138" t="inlineStr">
        <is>
          <t>27BBBBB10138Z5</t>
        </is>
      </c>
      <c r="B10138" t="inlineStr">
        <is>
          <t>Apr-2020</t>
        </is>
      </c>
      <c r="C10138" s="2" t="n">
        <v>44601</v>
      </c>
      <c r="D10138" t="inlineStr">
        <is>
          <t>NON-NIL</t>
        </is>
      </c>
      <c r="E10138" t="n">
        <v>461</v>
      </c>
    </row>
    <row r="10139">
      <c r="A10139" t="inlineStr">
        <is>
          <t>27BBBBB10139Z5</t>
        </is>
      </c>
      <c r="B10139" t="inlineStr">
        <is>
          <t>Dec-2018</t>
        </is>
      </c>
      <c r="C10139" s="2" t="n">
        <v>43347</v>
      </c>
      <c r="D10139" t="inlineStr">
        <is>
          <t>NIL</t>
        </is>
      </c>
      <c r="E10139" t="n">
        <v>882</v>
      </c>
    </row>
    <row r="10140">
      <c r="A10140" t="inlineStr">
        <is>
          <t>27BBBBB10140Z5</t>
        </is>
      </c>
      <c r="B10140" t="inlineStr">
        <is>
          <t>Mar-2020</t>
        </is>
      </c>
      <c r="C10140" s="2" t="n">
        <v>44503</v>
      </c>
      <c r="D10140" t="inlineStr">
        <is>
          <t>NIL</t>
        </is>
      </c>
      <c r="E10140" t="n">
        <v>22</v>
      </c>
    </row>
    <row r="10141">
      <c r="A10141" t="inlineStr">
        <is>
          <t>27BBBBB10141Z5</t>
        </is>
      </c>
      <c r="B10141" t="inlineStr">
        <is>
          <t>Nov-2017</t>
        </is>
      </c>
      <c r="C10141" s="2" t="n">
        <v>43061</v>
      </c>
      <c r="D10141" t="inlineStr">
        <is>
          <t>NON-NIL</t>
        </is>
      </c>
      <c r="E10141" t="n">
        <v>1378</v>
      </c>
    </row>
    <row r="10142">
      <c r="A10142" t="inlineStr">
        <is>
          <t>27BBBBB10142Z5</t>
        </is>
      </c>
      <c r="B10142" t="inlineStr">
        <is>
          <t>Mar-2020</t>
        </is>
      </c>
      <c r="C10142" s="2" t="n">
        <v>44544</v>
      </c>
      <c r="D10142" t="inlineStr">
        <is>
          <t>NIL</t>
        </is>
      </c>
      <c r="E10142" t="n">
        <v>639</v>
      </c>
    </row>
    <row r="10143">
      <c r="A10143" t="inlineStr">
        <is>
          <t>27BBBBB10143Z5</t>
        </is>
      </c>
      <c r="B10143" t="inlineStr">
        <is>
          <t>Jan-2018</t>
        </is>
      </c>
      <c r="C10143" s="2" t="n">
        <v>44535</v>
      </c>
      <c r="D10143" t="inlineStr">
        <is>
          <t>NIL</t>
        </is>
      </c>
      <c r="E10143" t="n">
        <v>432</v>
      </c>
    </row>
    <row r="10144">
      <c r="A10144" t="inlineStr">
        <is>
          <t>27BBBBB10144Z5</t>
        </is>
      </c>
      <c r="B10144" t="inlineStr">
        <is>
          <t>May-2018</t>
        </is>
      </c>
      <c r="C10144" s="2" t="n">
        <v>44140</v>
      </c>
      <c r="D10144" t="inlineStr">
        <is>
          <t>NIL</t>
        </is>
      </c>
      <c r="E10144" t="n">
        <v>143</v>
      </c>
    </row>
    <row r="10145">
      <c r="A10145" t="inlineStr">
        <is>
          <t>27BBBBB10145Z5</t>
        </is>
      </c>
      <c r="B10145" t="inlineStr">
        <is>
          <t>Jun-2018</t>
        </is>
      </c>
      <c r="C10145" s="2" t="n">
        <v>44344</v>
      </c>
      <c r="D10145" t="inlineStr">
        <is>
          <t>NIL</t>
        </is>
      </c>
      <c r="E10145" t="n">
        <v>2229</v>
      </c>
    </row>
    <row r="10146">
      <c r="A10146" t="inlineStr">
        <is>
          <t>27BBBBB10146Z5</t>
        </is>
      </c>
      <c r="B10146" t="inlineStr">
        <is>
          <t>Jan-2021</t>
        </is>
      </c>
      <c r="C10146" s="2" t="n">
        <v>44838</v>
      </c>
      <c r="D10146" t="inlineStr">
        <is>
          <t>NIL</t>
        </is>
      </c>
      <c r="E10146" t="n">
        <v>2682</v>
      </c>
    </row>
    <row r="10147">
      <c r="A10147" t="inlineStr">
        <is>
          <t>27BBBBB10147Z5</t>
        </is>
      </c>
      <c r="B10147" t="inlineStr">
        <is>
          <t>Oct-2018</t>
        </is>
      </c>
      <c r="C10147" s="2" t="n">
        <v>44520</v>
      </c>
      <c r="D10147" t="inlineStr">
        <is>
          <t>NON-NIL</t>
        </is>
      </c>
      <c r="E10147" t="n">
        <v>512</v>
      </c>
    </row>
    <row r="10148">
      <c r="A10148" t="inlineStr">
        <is>
          <t>27BBBBB10148Z5</t>
        </is>
      </c>
      <c r="B10148" t="inlineStr">
        <is>
          <t>Dec-2017</t>
        </is>
      </c>
      <c r="C10148" s="2" t="n">
        <v>43957</v>
      </c>
      <c r="D10148" t="inlineStr">
        <is>
          <t>NIL</t>
        </is>
      </c>
      <c r="E10148" t="n">
        <v>203</v>
      </c>
    </row>
    <row r="10149">
      <c r="A10149" t="inlineStr">
        <is>
          <t>27BBBBB10149Z5</t>
        </is>
      </c>
      <c r="B10149" t="inlineStr">
        <is>
          <t>Jan-2021</t>
        </is>
      </c>
      <c r="C10149" s="2" t="n">
        <v>45750</v>
      </c>
      <c r="D10149" t="inlineStr">
        <is>
          <t>NIL</t>
        </is>
      </c>
      <c r="E10149" t="n">
        <v>2285</v>
      </c>
    </row>
    <row r="10150">
      <c r="A10150" t="inlineStr">
        <is>
          <t>27BBBBB10150Z5</t>
        </is>
      </c>
      <c r="B10150" t="inlineStr">
        <is>
          <t>Jul-2020</t>
        </is>
      </c>
      <c r="C10150" s="2" t="n">
        <v>44864</v>
      </c>
      <c r="D10150" t="inlineStr">
        <is>
          <t>NON-NIL</t>
        </is>
      </c>
      <c r="E10150" t="n">
        <v>33</v>
      </c>
    </row>
    <row r="10151">
      <c r="A10151" t="inlineStr">
        <is>
          <t>27BBBBB10151Z5</t>
        </is>
      </c>
      <c r="B10151" t="inlineStr">
        <is>
          <t>Nov-2018</t>
        </is>
      </c>
      <c r="C10151" s="2" t="n">
        <v>44146</v>
      </c>
      <c r="D10151" t="inlineStr">
        <is>
          <t>NON-NIL</t>
        </is>
      </c>
      <c r="E10151" t="n">
        <v>198</v>
      </c>
    </row>
    <row r="10152">
      <c r="A10152" t="inlineStr">
        <is>
          <t>27BBBBB10152Z5</t>
        </is>
      </c>
      <c r="B10152" t="inlineStr">
        <is>
          <t>Aug-2017</t>
        </is>
      </c>
      <c r="C10152" s="2" t="n">
        <v>43017</v>
      </c>
      <c r="D10152" t="inlineStr">
        <is>
          <t>NIL</t>
        </is>
      </c>
      <c r="E10152" t="n">
        <v>2160</v>
      </c>
    </row>
    <row r="10153">
      <c r="A10153" t="inlineStr">
        <is>
          <t>27BBBBB10153Z5</t>
        </is>
      </c>
      <c r="B10153" t="inlineStr">
        <is>
          <t>Dec-2018</t>
        </is>
      </c>
      <c r="C10153" s="2" t="n">
        <v>44207</v>
      </c>
      <c r="D10153" t="inlineStr">
        <is>
          <t>NIL</t>
        </is>
      </c>
      <c r="E10153" t="n">
        <v>415</v>
      </c>
    </row>
    <row r="10154">
      <c r="A10154" t="inlineStr">
        <is>
          <t>27BBBBB10154Z5</t>
        </is>
      </c>
      <c r="B10154" t="inlineStr">
        <is>
          <t>Jan-2021</t>
        </is>
      </c>
      <c r="C10154" s="2" t="n">
        <v>44372</v>
      </c>
      <c r="D10154" t="inlineStr">
        <is>
          <t>NIL</t>
        </is>
      </c>
      <c r="E10154" t="n">
        <v>128</v>
      </c>
    </row>
    <row r="10155">
      <c r="A10155" t="inlineStr">
        <is>
          <t>27BBBBB10155Z5</t>
        </is>
      </c>
      <c r="B10155" t="inlineStr">
        <is>
          <t>Feb-2018</t>
        </is>
      </c>
      <c r="C10155" s="2" t="n">
        <v>43734</v>
      </c>
      <c r="D10155" t="inlineStr">
        <is>
          <t>NIL</t>
        </is>
      </c>
      <c r="E10155" t="n">
        <v>2304</v>
      </c>
    </row>
    <row r="10156">
      <c r="A10156" t="inlineStr">
        <is>
          <t>27BBBBB10156Z5</t>
        </is>
      </c>
      <c r="B10156" t="inlineStr">
        <is>
          <t>Jul-2018</t>
        </is>
      </c>
      <c r="C10156" s="2" t="n">
        <v>42976</v>
      </c>
      <c r="D10156" t="inlineStr">
        <is>
          <t>NIL</t>
        </is>
      </c>
      <c r="E10156" t="n">
        <v>928</v>
      </c>
    </row>
    <row r="10157">
      <c r="A10157" t="inlineStr">
        <is>
          <t>27BBBBB10157Z5</t>
        </is>
      </c>
      <c r="B10157" t="inlineStr">
        <is>
          <t>Oct-2018</t>
        </is>
      </c>
      <c r="C10157" s="2" t="n">
        <v>43482</v>
      </c>
      <c r="D10157" t="inlineStr">
        <is>
          <t>NON-NIL</t>
        </is>
      </c>
      <c r="E10157" t="n">
        <v>293</v>
      </c>
    </row>
    <row r="10158">
      <c r="A10158" t="inlineStr">
        <is>
          <t>27BBBBB10158Z5</t>
        </is>
      </c>
      <c r="B10158" t="inlineStr">
        <is>
          <t>Dec-2017</t>
        </is>
      </c>
      <c r="C10158" s="2" t="n">
        <v>43740</v>
      </c>
      <c r="D10158" t="inlineStr">
        <is>
          <t>NIL</t>
        </is>
      </c>
      <c r="E10158" t="n">
        <v>1845</v>
      </c>
    </row>
    <row r="10159">
      <c r="A10159" t="inlineStr">
        <is>
          <t>27BBBBB10159Z5</t>
        </is>
      </c>
      <c r="B10159" t="inlineStr">
        <is>
          <t>Nov-2017</t>
        </is>
      </c>
      <c r="C10159" s="2" t="n">
        <v>44537</v>
      </c>
      <c r="D10159" t="inlineStr">
        <is>
          <t>NIL</t>
        </is>
      </c>
      <c r="E10159" t="n">
        <v>1926</v>
      </c>
    </row>
    <row r="10160">
      <c r="A10160" t="inlineStr">
        <is>
          <t>27BBBBB10160Z5</t>
        </is>
      </c>
      <c r="B10160" t="inlineStr">
        <is>
          <t>Apr-2020</t>
        </is>
      </c>
      <c r="C10160" s="2" t="n">
        <v>44341</v>
      </c>
      <c r="D10160" t="inlineStr">
        <is>
          <t>NON-NIL</t>
        </is>
      </c>
      <c r="E10160" t="n">
        <v>1196</v>
      </c>
    </row>
    <row r="10161">
      <c r="A10161" t="inlineStr">
        <is>
          <t>27BBBBB10161Z5</t>
        </is>
      </c>
      <c r="B10161" t="inlineStr">
        <is>
          <t>Dec-2022</t>
        </is>
      </c>
      <c r="C10161" s="2" t="n">
        <v>45225</v>
      </c>
      <c r="D10161" t="inlineStr">
        <is>
          <t>NON-NIL</t>
        </is>
      </c>
      <c r="E10161" t="n">
        <v>2486</v>
      </c>
    </row>
    <row r="10162">
      <c r="A10162" t="inlineStr">
        <is>
          <t>27BBBBB10162Z5</t>
        </is>
      </c>
      <c r="B10162" t="inlineStr">
        <is>
          <t>Jul-2017</t>
        </is>
      </c>
      <c r="C10162" s="2" t="n">
        <v>44225</v>
      </c>
      <c r="D10162" t="inlineStr">
        <is>
          <t>NIL</t>
        </is>
      </c>
      <c r="E10162" t="n">
        <v>196</v>
      </c>
    </row>
    <row r="10163">
      <c r="A10163" t="inlineStr">
        <is>
          <t>27BBBBB10163Z5</t>
        </is>
      </c>
      <c r="B10163" t="inlineStr">
        <is>
          <t>Dec-2017</t>
        </is>
      </c>
      <c r="C10163" s="2" t="n">
        <v>43359</v>
      </c>
      <c r="D10163" t="inlineStr">
        <is>
          <t>NIL</t>
        </is>
      </c>
      <c r="E10163" t="n">
        <v>2365</v>
      </c>
    </row>
    <row r="10164">
      <c r="A10164" t="inlineStr">
        <is>
          <t>27BBBBB10164Z5</t>
        </is>
      </c>
      <c r="B10164" t="inlineStr">
        <is>
          <t>Mar-2021</t>
        </is>
      </c>
      <c r="C10164" s="2" t="n">
        <v>44453</v>
      </c>
      <c r="D10164" t="inlineStr">
        <is>
          <t>NON-NIL</t>
        </is>
      </c>
      <c r="E10164" t="n">
        <v>2380</v>
      </c>
    </row>
    <row r="10165">
      <c r="A10165" t="inlineStr">
        <is>
          <t>27BBBBB10165Z5</t>
        </is>
      </c>
      <c r="B10165" t="inlineStr">
        <is>
          <t>Jan-2021</t>
        </is>
      </c>
      <c r="C10165" s="2" t="n">
        <v>45533</v>
      </c>
      <c r="D10165" t="inlineStr">
        <is>
          <t>NIL</t>
        </is>
      </c>
      <c r="E10165" t="n">
        <v>1108</v>
      </c>
    </row>
    <row r="10166">
      <c r="A10166" t="inlineStr">
        <is>
          <t>27BBBBB10166Z5</t>
        </is>
      </c>
      <c r="B10166" t="inlineStr">
        <is>
          <t>Mar-2018</t>
        </is>
      </c>
      <c r="C10166" s="2" t="n">
        <v>43742</v>
      </c>
      <c r="D10166" t="inlineStr">
        <is>
          <t>NIL</t>
        </is>
      </c>
      <c r="E10166" t="n">
        <v>22</v>
      </c>
    </row>
    <row r="10167">
      <c r="A10167" t="inlineStr">
        <is>
          <t>27BBBBB10167Z5</t>
        </is>
      </c>
      <c r="B10167" t="inlineStr">
        <is>
          <t>Oct-2018</t>
        </is>
      </c>
      <c r="C10167" s="2" t="n">
        <v>44094</v>
      </c>
      <c r="D10167" t="inlineStr">
        <is>
          <t>NIL</t>
        </is>
      </c>
      <c r="E10167" t="n">
        <v>2476</v>
      </c>
    </row>
    <row r="10168">
      <c r="A10168" t="inlineStr">
        <is>
          <t>27BBBBB10168Z5</t>
        </is>
      </c>
      <c r="B10168" t="inlineStr">
        <is>
          <t>Mar-2018</t>
        </is>
      </c>
      <c r="C10168" s="2" t="n">
        <v>44117</v>
      </c>
      <c r="D10168" t="inlineStr">
        <is>
          <t>NIL</t>
        </is>
      </c>
      <c r="E10168" t="n">
        <v>883</v>
      </c>
    </row>
    <row r="10169">
      <c r="A10169" t="inlineStr">
        <is>
          <t>27BBBBB10169Z5</t>
        </is>
      </c>
      <c r="B10169" t="inlineStr">
        <is>
          <t>May-2018</t>
        </is>
      </c>
      <c r="C10169" s="2" t="n">
        <v>44185</v>
      </c>
      <c r="D10169" t="inlineStr">
        <is>
          <t>NIL</t>
        </is>
      </c>
      <c r="E10169" t="n">
        <v>246</v>
      </c>
    </row>
    <row r="10170">
      <c r="A10170" t="inlineStr">
        <is>
          <t>27BBBBB10170Z5</t>
        </is>
      </c>
      <c r="B10170" t="inlineStr">
        <is>
          <t>Dec-2017</t>
        </is>
      </c>
      <c r="C10170" s="2" t="n">
        <v>43911</v>
      </c>
      <c r="D10170" t="inlineStr">
        <is>
          <t>NIL</t>
        </is>
      </c>
      <c r="E10170" t="n">
        <v>2733</v>
      </c>
    </row>
    <row r="10171">
      <c r="A10171" t="inlineStr">
        <is>
          <t>27BBBBB10171Z5</t>
        </is>
      </c>
      <c r="B10171" t="inlineStr">
        <is>
          <t>Dec-2022</t>
        </is>
      </c>
      <c r="C10171" s="2" t="n">
        <v>43688</v>
      </c>
      <c r="D10171" t="inlineStr">
        <is>
          <t>NON-NIL</t>
        </is>
      </c>
      <c r="E10171" t="n">
        <v>2365</v>
      </c>
    </row>
    <row r="10172">
      <c r="A10172" t="inlineStr">
        <is>
          <t>27BBBBB10172Z5</t>
        </is>
      </c>
      <c r="B10172" t="inlineStr">
        <is>
          <t>Mar-2021</t>
        </is>
      </c>
      <c r="C10172" s="2" t="n">
        <v>45787</v>
      </c>
      <c r="D10172" t="inlineStr">
        <is>
          <t>NON-NIL</t>
        </is>
      </c>
      <c r="E10172" t="n">
        <v>2169</v>
      </c>
    </row>
    <row r="10173">
      <c r="A10173" t="inlineStr">
        <is>
          <t>27BBBBB10173Z5</t>
        </is>
      </c>
      <c r="B10173" t="inlineStr">
        <is>
          <t>Dec-2024</t>
        </is>
      </c>
      <c r="C10173" s="2" t="n">
        <v>43605</v>
      </c>
      <c r="D10173" t="inlineStr">
        <is>
          <t>NON-NIL</t>
        </is>
      </c>
      <c r="E10173" t="n">
        <v>1323</v>
      </c>
    </row>
    <row r="10174">
      <c r="A10174" t="inlineStr">
        <is>
          <t>27BBBBB10174Z5</t>
        </is>
      </c>
      <c r="B10174" t="inlineStr">
        <is>
          <t>Mar-2021</t>
        </is>
      </c>
      <c r="C10174" s="2" t="n">
        <v>43657</v>
      </c>
      <c r="D10174" t="inlineStr">
        <is>
          <t>NIL</t>
        </is>
      </c>
      <c r="E10174" t="n">
        <v>1217</v>
      </c>
    </row>
    <row r="10175">
      <c r="A10175" t="inlineStr">
        <is>
          <t>27BBBBB10175Z5</t>
        </is>
      </c>
      <c r="B10175" t="inlineStr">
        <is>
          <t>Mar-2018</t>
        </is>
      </c>
      <c r="C10175" s="2" t="n">
        <v>43365</v>
      </c>
      <c r="D10175" t="inlineStr">
        <is>
          <t>NIL</t>
        </is>
      </c>
      <c r="E10175" t="n">
        <v>402</v>
      </c>
    </row>
    <row r="10176">
      <c r="A10176" t="inlineStr">
        <is>
          <t>27BBBBB10176Z5</t>
        </is>
      </c>
      <c r="B10176" t="inlineStr">
        <is>
          <t>Oct-2017</t>
        </is>
      </c>
      <c r="C10176" s="2" t="n">
        <v>43054</v>
      </c>
      <c r="D10176" t="inlineStr">
        <is>
          <t>NON-NIL</t>
        </is>
      </c>
      <c r="E10176" t="n">
        <v>1993</v>
      </c>
    </row>
    <row r="10177">
      <c r="A10177" t="inlineStr">
        <is>
          <t>27BBBBB10177Z5</t>
        </is>
      </c>
      <c r="B10177" t="inlineStr">
        <is>
          <t>Jul-2017</t>
        </is>
      </c>
      <c r="C10177" s="2" t="n">
        <v>44532</v>
      </c>
      <c r="D10177" t="inlineStr">
        <is>
          <t>NON-NIL</t>
        </is>
      </c>
      <c r="E10177" t="n">
        <v>430</v>
      </c>
    </row>
    <row r="10178">
      <c r="A10178" t="inlineStr">
        <is>
          <t>27BBBBB10178Z5</t>
        </is>
      </c>
      <c r="B10178" t="inlineStr">
        <is>
          <t>Nov-2017</t>
        </is>
      </c>
      <c r="C10178" s="2" t="n">
        <v>44321</v>
      </c>
      <c r="D10178" t="inlineStr">
        <is>
          <t>NIL</t>
        </is>
      </c>
      <c r="E10178" t="n">
        <v>234</v>
      </c>
    </row>
    <row r="10179">
      <c r="A10179" t="inlineStr">
        <is>
          <t>27BBBBB10179Z5</t>
        </is>
      </c>
      <c r="B10179" t="inlineStr">
        <is>
          <t>Oct-2018</t>
        </is>
      </c>
      <c r="C10179" s="2" t="n">
        <v>43559</v>
      </c>
      <c r="D10179" t="inlineStr">
        <is>
          <t>NIL</t>
        </is>
      </c>
      <c r="E10179" t="n">
        <v>1317</v>
      </c>
    </row>
    <row r="10180">
      <c r="A10180" t="inlineStr">
        <is>
          <t>27BBBBB10180Z5</t>
        </is>
      </c>
      <c r="B10180" t="inlineStr">
        <is>
          <t>Jan-2018</t>
        </is>
      </c>
      <c r="C10180" s="2" t="n">
        <v>43642</v>
      </c>
      <c r="D10180" t="inlineStr">
        <is>
          <t>NON-NIL</t>
        </is>
      </c>
      <c r="E10180" t="n">
        <v>2794</v>
      </c>
    </row>
    <row r="10181">
      <c r="A10181" t="inlineStr">
        <is>
          <t>27BBBBB10181Z5</t>
        </is>
      </c>
      <c r="B10181" t="inlineStr">
        <is>
          <t>Dec-2017</t>
        </is>
      </c>
      <c r="C10181" s="2" t="n">
        <v>44441</v>
      </c>
      <c r="D10181" t="inlineStr">
        <is>
          <t>NIL</t>
        </is>
      </c>
      <c r="E10181" t="n">
        <v>1748</v>
      </c>
    </row>
    <row r="10182">
      <c r="A10182" t="inlineStr">
        <is>
          <t>27BBBBB10182Z5</t>
        </is>
      </c>
      <c r="B10182" t="inlineStr">
        <is>
          <t>Jun-2018</t>
        </is>
      </c>
      <c r="C10182" s="2" t="n">
        <v>44287</v>
      </c>
      <c r="D10182" t="inlineStr">
        <is>
          <t>NIL</t>
        </is>
      </c>
      <c r="E10182" t="n">
        <v>1961</v>
      </c>
    </row>
    <row r="10183">
      <c r="A10183" t="inlineStr">
        <is>
          <t>27BBBBB10183Z5</t>
        </is>
      </c>
      <c r="B10183" t="inlineStr">
        <is>
          <t>Jun-2018</t>
        </is>
      </c>
      <c r="C10183" s="2" t="n">
        <v>43679</v>
      </c>
      <c r="D10183" t="inlineStr">
        <is>
          <t>NON-NIL</t>
        </is>
      </c>
      <c r="E10183" t="n">
        <v>2486</v>
      </c>
    </row>
    <row r="10184">
      <c r="A10184" t="inlineStr">
        <is>
          <t>27BBBBB10184Z5</t>
        </is>
      </c>
      <c r="B10184" t="inlineStr">
        <is>
          <t>Oct-2017</t>
        </is>
      </c>
      <c r="C10184" s="2" t="n">
        <v>43173</v>
      </c>
      <c r="D10184" t="inlineStr">
        <is>
          <t>NIL</t>
        </is>
      </c>
      <c r="E10184" t="n">
        <v>1572</v>
      </c>
    </row>
    <row r="10185">
      <c r="A10185" t="inlineStr">
        <is>
          <t>27BBBBB10185Z5</t>
        </is>
      </c>
      <c r="B10185" t="inlineStr">
        <is>
          <t>Dec-2022</t>
        </is>
      </c>
      <c r="C10185" s="2" t="n">
        <v>44736</v>
      </c>
      <c r="D10185" t="inlineStr">
        <is>
          <t>NIL</t>
        </is>
      </c>
      <c r="E10185" t="n">
        <v>1250</v>
      </c>
    </row>
    <row r="10186">
      <c r="A10186" t="inlineStr">
        <is>
          <t>27BBBBB10186Z5</t>
        </is>
      </c>
      <c r="B10186" t="inlineStr">
        <is>
          <t>Mar-2020</t>
        </is>
      </c>
      <c r="C10186" s="2" t="n">
        <v>43998</v>
      </c>
      <c r="D10186" t="inlineStr">
        <is>
          <t>NON-NIL</t>
        </is>
      </c>
      <c r="E10186" t="n">
        <v>2113</v>
      </c>
    </row>
    <row r="10187">
      <c r="A10187" t="inlineStr">
        <is>
          <t>27BBBBB10187Z5</t>
        </is>
      </c>
      <c r="B10187" t="inlineStr">
        <is>
          <t>May-2018</t>
        </is>
      </c>
      <c r="C10187" s="2" t="n">
        <v>44187</v>
      </c>
      <c r="D10187" t="inlineStr">
        <is>
          <t>NON-NIL</t>
        </is>
      </c>
      <c r="E10187" t="n">
        <v>468</v>
      </c>
    </row>
    <row r="10188">
      <c r="A10188" t="inlineStr">
        <is>
          <t>27BBBBB10188Z5</t>
        </is>
      </c>
      <c r="B10188" t="inlineStr">
        <is>
          <t>Nov-2018</t>
        </is>
      </c>
      <c r="C10188" s="2" t="n">
        <v>44177</v>
      </c>
      <c r="D10188" t="inlineStr">
        <is>
          <t>NON-NIL</t>
        </is>
      </c>
      <c r="E10188" t="n">
        <v>1660</v>
      </c>
    </row>
    <row r="10189">
      <c r="A10189" t="inlineStr">
        <is>
          <t>27BBBBB10189Z5</t>
        </is>
      </c>
      <c r="B10189" t="inlineStr">
        <is>
          <t>May-2018</t>
        </is>
      </c>
      <c r="C10189" s="2" t="n">
        <v>44257</v>
      </c>
      <c r="D10189" t="inlineStr">
        <is>
          <t>NON-NIL</t>
        </is>
      </c>
      <c r="E10189" t="n">
        <v>1041</v>
      </c>
    </row>
    <row r="10190">
      <c r="A10190" t="inlineStr">
        <is>
          <t>27BBBBB10190Z5</t>
        </is>
      </c>
      <c r="B10190" t="inlineStr">
        <is>
          <t>Jan-2021</t>
        </is>
      </c>
      <c r="C10190" s="2" t="n">
        <v>45268</v>
      </c>
      <c r="D10190" t="inlineStr">
        <is>
          <t>NIL</t>
        </is>
      </c>
      <c r="E10190" t="n">
        <v>2533</v>
      </c>
    </row>
    <row r="10191">
      <c r="A10191" t="inlineStr">
        <is>
          <t>27BBBBB10191Z5</t>
        </is>
      </c>
      <c r="B10191" t="inlineStr">
        <is>
          <t>Dec-2018</t>
        </is>
      </c>
      <c r="C10191" s="2" t="n">
        <v>44080</v>
      </c>
      <c r="D10191" t="inlineStr">
        <is>
          <t>NIL</t>
        </is>
      </c>
      <c r="E10191" t="n">
        <v>2657</v>
      </c>
    </row>
    <row r="10192">
      <c r="A10192" t="inlineStr">
        <is>
          <t>27BBBBB10192Z5</t>
        </is>
      </c>
      <c r="B10192" t="inlineStr">
        <is>
          <t>Jul-2017</t>
        </is>
      </c>
      <c r="C10192" s="2" t="n">
        <v>43088</v>
      </c>
      <c r="D10192" t="inlineStr">
        <is>
          <t>NON-NIL</t>
        </is>
      </c>
      <c r="E10192" t="n">
        <v>487</v>
      </c>
    </row>
    <row r="10193">
      <c r="A10193" t="inlineStr">
        <is>
          <t>27BBBBB10193Z5</t>
        </is>
      </c>
      <c r="B10193" t="inlineStr">
        <is>
          <t>Dec-2017</t>
        </is>
      </c>
      <c r="C10193" s="2" t="n">
        <v>43878</v>
      </c>
      <c r="D10193" t="inlineStr">
        <is>
          <t>NIL</t>
        </is>
      </c>
      <c r="E10193" t="n">
        <v>1220</v>
      </c>
    </row>
    <row r="10194">
      <c r="A10194" t="inlineStr">
        <is>
          <t>27BBBBB10194Z5</t>
        </is>
      </c>
      <c r="B10194" t="inlineStr">
        <is>
          <t>Dec-2017</t>
        </is>
      </c>
      <c r="C10194" s="2" t="n">
        <v>43691</v>
      </c>
      <c r="D10194" t="inlineStr">
        <is>
          <t>NIL</t>
        </is>
      </c>
      <c r="E10194" t="n">
        <v>2110</v>
      </c>
    </row>
    <row r="10195">
      <c r="A10195" t="inlineStr">
        <is>
          <t>27BBBBB10195Z5</t>
        </is>
      </c>
      <c r="B10195" t="inlineStr">
        <is>
          <t>Dec-2024</t>
        </is>
      </c>
      <c r="C10195" s="2" t="n">
        <v>43791</v>
      </c>
      <c r="D10195" t="inlineStr">
        <is>
          <t>NIL</t>
        </is>
      </c>
      <c r="E10195" t="n">
        <v>1312</v>
      </c>
    </row>
    <row r="10196">
      <c r="A10196" t="inlineStr">
        <is>
          <t>27BBBBB10196Z5</t>
        </is>
      </c>
      <c r="B10196" t="inlineStr">
        <is>
          <t>Mar-2023</t>
        </is>
      </c>
      <c r="C10196" s="2" t="n">
        <v>43546</v>
      </c>
      <c r="D10196" t="inlineStr">
        <is>
          <t>NON-NIL</t>
        </is>
      </c>
      <c r="E10196" t="n">
        <v>492</v>
      </c>
    </row>
    <row r="10197">
      <c r="A10197" t="inlineStr">
        <is>
          <t>27BBBBB10197Z5</t>
        </is>
      </c>
      <c r="B10197" t="inlineStr">
        <is>
          <t>Aug-2018</t>
        </is>
      </c>
      <c r="C10197" s="2" t="n">
        <v>44005</v>
      </c>
      <c r="D10197" t="inlineStr">
        <is>
          <t>NIL</t>
        </is>
      </c>
      <c r="E10197" t="n">
        <v>846</v>
      </c>
    </row>
    <row r="10198">
      <c r="A10198" t="inlineStr">
        <is>
          <t>27BBBBB10198Z5</t>
        </is>
      </c>
      <c r="B10198" t="inlineStr">
        <is>
          <t>Nov-2017</t>
        </is>
      </c>
      <c r="C10198" s="2" t="n">
        <v>44502</v>
      </c>
      <c r="D10198" t="inlineStr">
        <is>
          <t>NIL</t>
        </is>
      </c>
      <c r="E10198" t="n">
        <v>1992</v>
      </c>
    </row>
    <row r="10199">
      <c r="A10199" t="inlineStr">
        <is>
          <t>27BBBBB10199Z5</t>
        </is>
      </c>
      <c r="B10199" t="inlineStr">
        <is>
          <t>Oct-2017</t>
        </is>
      </c>
      <c r="C10199" s="2" t="n">
        <v>43089</v>
      </c>
      <c r="D10199" t="inlineStr">
        <is>
          <t>NON-NIL</t>
        </is>
      </c>
      <c r="E10199" t="n">
        <v>1551</v>
      </c>
    </row>
    <row r="10200">
      <c r="A10200" t="inlineStr">
        <is>
          <t>27BBBBB10200Z5</t>
        </is>
      </c>
      <c r="B10200" t="inlineStr">
        <is>
          <t>Sep-2018</t>
        </is>
      </c>
      <c r="C10200" s="2" t="n">
        <v>43565</v>
      </c>
      <c r="D10200" t="inlineStr">
        <is>
          <t>NIL</t>
        </is>
      </c>
      <c r="E10200" t="n">
        <v>133</v>
      </c>
    </row>
    <row r="10201">
      <c r="A10201" t="inlineStr">
        <is>
          <t>27BBBBB10201Z5</t>
        </is>
      </c>
      <c r="B10201" t="inlineStr">
        <is>
          <t>Sep-2017</t>
        </is>
      </c>
      <c r="C10201" s="2" t="n">
        <v>43561</v>
      </c>
      <c r="D10201" t="inlineStr">
        <is>
          <t>NON-NIL</t>
        </is>
      </c>
      <c r="E10201" t="n">
        <v>232</v>
      </c>
    </row>
    <row r="10202">
      <c r="A10202" t="inlineStr">
        <is>
          <t>27BBBBB10202Z5</t>
        </is>
      </c>
      <c r="B10202" t="inlineStr">
        <is>
          <t>May-2018</t>
        </is>
      </c>
      <c r="C10202" s="2" t="n">
        <v>43644</v>
      </c>
      <c r="D10202" t="inlineStr">
        <is>
          <t>NON-NIL</t>
        </is>
      </c>
      <c r="E10202" t="n">
        <v>149</v>
      </c>
    </row>
    <row r="10203">
      <c r="A10203" t="inlineStr">
        <is>
          <t>27BBBBB10203Z5</t>
        </is>
      </c>
      <c r="B10203" t="inlineStr">
        <is>
          <t>Mar-2023</t>
        </is>
      </c>
      <c r="C10203" s="2" t="n">
        <v>43887</v>
      </c>
      <c r="D10203" t="inlineStr">
        <is>
          <t>NON-NIL</t>
        </is>
      </c>
      <c r="E10203" t="n">
        <v>1003</v>
      </c>
    </row>
    <row r="10204">
      <c r="A10204" t="inlineStr">
        <is>
          <t>27BBBBB10204Z5</t>
        </is>
      </c>
      <c r="B10204" t="inlineStr">
        <is>
          <t>Mar-2023</t>
        </is>
      </c>
      <c r="C10204" s="2" t="n">
        <v>43557</v>
      </c>
      <c r="D10204" t="inlineStr">
        <is>
          <t>NIL</t>
        </is>
      </c>
      <c r="E10204" t="n">
        <v>1813</v>
      </c>
    </row>
    <row r="10205">
      <c r="A10205" t="inlineStr">
        <is>
          <t>27BBBBB10205Z5</t>
        </is>
      </c>
      <c r="B10205" t="inlineStr">
        <is>
          <t>Mar-2023</t>
        </is>
      </c>
      <c r="C10205" s="2" t="n">
        <v>45068</v>
      </c>
      <c r="D10205" t="inlineStr">
        <is>
          <t>NON-NIL</t>
        </is>
      </c>
      <c r="E10205" t="n">
        <v>2678</v>
      </c>
    </row>
    <row r="10206">
      <c r="A10206" t="inlineStr">
        <is>
          <t>27BBBBB10206Z5</t>
        </is>
      </c>
      <c r="B10206" t="inlineStr">
        <is>
          <t>Apr-2020</t>
        </is>
      </c>
      <c r="C10206" s="2" t="n">
        <v>44086</v>
      </c>
      <c r="D10206" t="inlineStr">
        <is>
          <t>NIL</t>
        </is>
      </c>
      <c r="E10206" t="n">
        <v>1123</v>
      </c>
    </row>
    <row r="10207">
      <c r="A10207" t="inlineStr">
        <is>
          <t>27BBBBB10207Z5</t>
        </is>
      </c>
      <c r="B10207" t="inlineStr">
        <is>
          <t>Mar-2021</t>
        </is>
      </c>
      <c r="C10207" s="2" t="n">
        <v>44590</v>
      </c>
      <c r="D10207" t="inlineStr">
        <is>
          <t>NIL</t>
        </is>
      </c>
      <c r="E10207" t="n">
        <v>1148</v>
      </c>
    </row>
    <row r="10208">
      <c r="A10208" t="inlineStr">
        <is>
          <t>27BBBBB10208Z5</t>
        </is>
      </c>
      <c r="B10208" t="inlineStr">
        <is>
          <t>Nov-2017</t>
        </is>
      </c>
      <c r="C10208" s="2" t="n">
        <v>44392</v>
      </c>
      <c r="D10208" t="inlineStr">
        <is>
          <t>NIL</t>
        </is>
      </c>
      <c r="E10208" t="n">
        <v>526</v>
      </c>
    </row>
    <row r="10209">
      <c r="A10209" t="inlineStr">
        <is>
          <t>27BBBBB10209Z5</t>
        </is>
      </c>
      <c r="B10209" t="inlineStr">
        <is>
          <t>Mar-2018</t>
        </is>
      </c>
      <c r="C10209" s="2" t="n">
        <v>43263</v>
      </c>
      <c r="D10209" t="inlineStr">
        <is>
          <t>NIL</t>
        </is>
      </c>
      <c r="E10209" t="n">
        <v>168</v>
      </c>
    </row>
    <row r="10210">
      <c r="A10210" t="inlineStr">
        <is>
          <t>27BBBBB10210Z5</t>
        </is>
      </c>
      <c r="B10210" t="inlineStr">
        <is>
          <t>Apr-2020</t>
        </is>
      </c>
      <c r="C10210" s="2" t="n">
        <v>44508</v>
      </c>
      <c r="D10210" t="inlineStr">
        <is>
          <t>NON-NIL</t>
        </is>
      </c>
      <c r="E10210" t="n">
        <v>334</v>
      </c>
    </row>
    <row r="10211">
      <c r="A10211" t="inlineStr">
        <is>
          <t>27BBBBB10211Z5</t>
        </is>
      </c>
      <c r="B10211" t="inlineStr">
        <is>
          <t>Aug-2017</t>
        </is>
      </c>
      <c r="C10211" s="2" t="n">
        <v>43957</v>
      </c>
      <c r="D10211" t="inlineStr">
        <is>
          <t>NON-NIL</t>
        </is>
      </c>
      <c r="E10211" t="n">
        <v>517</v>
      </c>
    </row>
    <row r="10212">
      <c r="A10212" t="inlineStr">
        <is>
          <t>27BBBBB10212Z5</t>
        </is>
      </c>
      <c r="B10212" t="inlineStr">
        <is>
          <t>Dec-2022</t>
        </is>
      </c>
      <c r="C10212" s="2" t="n">
        <v>45383</v>
      </c>
      <c r="D10212" t="inlineStr">
        <is>
          <t>NON-NIL</t>
        </is>
      </c>
      <c r="E10212" t="n">
        <v>1940</v>
      </c>
    </row>
    <row r="10213">
      <c r="A10213" t="inlineStr">
        <is>
          <t>27BBBBB10213Z5</t>
        </is>
      </c>
      <c r="B10213" t="inlineStr">
        <is>
          <t>Jul-2018</t>
        </is>
      </c>
      <c r="C10213" s="2" t="n">
        <v>43523</v>
      </c>
      <c r="D10213" t="inlineStr">
        <is>
          <t>NIL</t>
        </is>
      </c>
      <c r="E10213" t="n">
        <v>1683</v>
      </c>
    </row>
    <row r="10214">
      <c r="A10214" t="inlineStr">
        <is>
          <t>27BBBBB10214Z5</t>
        </is>
      </c>
      <c r="B10214" t="inlineStr">
        <is>
          <t>Feb-2018</t>
        </is>
      </c>
      <c r="C10214" s="2" t="n">
        <v>44396</v>
      </c>
      <c r="D10214" t="inlineStr">
        <is>
          <t>NIL</t>
        </is>
      </c>
      <c r="E10214" t="n">
        <v>2914</v>
      </c>
    </row>
    <row r="10215">
      <c r="A10215" t="inlineStr">
        <is>
          <t>27BBBBB10215Z5</t>
        </is>
      </c>
      <c r="B10215" t="inlineStr">
        <is>
          <t>Jan-2018</t>
        </is>
      </c>
      <c r="C10215" s="2" t="n">
        <v>43168</v>
      </c>
      <c r="D10215" t="inlineStr">
        <is>
          <t>NIL</t>
        </is>
      </c>
      <c r="E10215" t="n">
        <v>646</v>
      </c>
    </row>
    <row r="10216">
      <c r="A10216" t="inlineStr">
        <is>
          <t>27BBBBB10216Z5</t>
        </is>
      </c>
      <c r="B10216" t="inlineStr">
        <is>
          <t>Jun-2018</t>
        </is>
      </c>
      <c r="C10216" s="2" t="n">
        <v>43768</v>
      </c>
      <c r="D10216" t="inlineStr">
        <is>
          <t>NIL</t>
        </is>
      </c>
      <c r="E10216" t="n">
        <v>348</v>
      </c>
    </row>
    <row r="10217">
      <c r="A10217" t="inlineStr">
        <is>
          <t>27BBBBB10217Z5</t>
        </is>
      </c>
      <c r="B10217" t="inlineStr">
        <is>
          <t>Dec-2017</t>
        </is>
      </c>
      <c r="C10217" s="2" t="n">
        <v>44211</v>
      </c>
      <c r="D10217" t="inlineStr">
        <is>
          <t>NON-NIL</t>
        </is>
      </c>
      <c r="E10217" t="n">
        <v>1124</v>
      </c>
    </row>
    <row r="10218">
      <c r="A10218" t="inlineStr">
        <is>
          <t>27BBBBB10218Z5</t>
        </is>
      </c>
      <c r="B10218" t="inlineStr">
        <is>
          <t>Sep-2017</t>
        </is>
      </c>
      <c r="C10218" s="2" t="n">
        <v>44404</v>
      </c>
      <c r="D10218" t="inlineStr">
        <is>
          <t>NON-NIL</t>
        </is>
      </c>
      <c r="E10218" t="n">
        <v>55</v>
      </c>
    </row>
    <row r="10219">
      <c r="A10219" t="inlineStr">
        <is>
          <t>27BBBBB10219Z5</t>
        </is>
      </c>
      <c r="B10219" t="inlineStr">
        <is>
          <t>Jul-2020</t>
        </is>
      </c>
      <c r="C10219" s="2" t="n">
        <v>44511</v>
      </c>
      <c r="D10219" t="inlineStr">
        <is>
          <t>NON-NIL</t>
        </is>
      </c>
      <c r="E10219" t="n">
        <v>413</v>
      </c>
    </row>
    <row r="10220">
      <c r="A10220" t="inlineStr">
        <is>
          <t>27BBBBB10220Z5</t>
        </is>
      </c>
      <c r="B10220" t="inlineStr">
        <is>
          <t>Aug-2018</t>
        </is>
      </c>
      <c r="C10220" s="2" t="n">
        <v>44286</v>
      </c>
      <c r="D10220" t="inlineStr">
        <is>
          <t>NIL</t>
        </is>
      </c>
      <c r="E10220" t="n">
        <v>2478</v>
      </c>
    </row>
    <row r="10221">
      <c r="A10221" t="inlineStr">
        <is>
          <t>27BBBBB10221Z5</t>
        </is>
      </c>
      <c r="B10221" t="inlineStr">
        <is>
          <t>Sep-2018</t>
        </is>
      </c>
      <c r="C10221" s="2" t="n">
        <v>43873</v>
      </c>
      <c r="D10221" t="inlineStr">
        <is>
          <t>NIL</t>
        </is>
      </c>
      <c r="E10221" t="n">
        <v>2510</v>
      </c>
    </row>
    <row r="10222">
      <c r="A10222" t="inlineStr">
        <is>
          <t>27BBBBB10222Z5</t>
        </is>
      </c>
      <c r="B10222" t="inlineStr">
        <is>
          <t>Sep-2017</t>
        </is>
      </c>
      <c r="C10222" s="2" t="n">
        <v>43745</v>
      </c>
      <c r="D10222" t="inlineStr">
        <is>
          <t>NIL</t>
        </is>
      </c>
      <c r="E10222" t="n">
        <v>2756</v>
      </c>
    </row>
    <row r="10223">
      <c r="A10223" t="inlineStr">
        <is>
          <t>27BBBBB10223Z5</t>
        </is>
      </c>
      <c r="B10223" t="inlineStr">
        <is>
          <t>Mar-2021</t>
        </is>
      </c>
      <c r="C10223" s="2" t="n">
        <v>45189</v>
      </c>
      <c r="D10223" t="inlineStr">
        <is>
          <t>NIL</t>
        </is>
      </c>
      <c r="E10223" t="n">
        <v>1142</v>
      </c>
    </row>
    <row r="10224">
      <c r="A10224" t="inlineStr">
        <is>
          <t>27BBBBB10224Z5</t>
        </is>
      </c>
      <c r="B10224" t="inlineStr">
        <is>
          <t>Mar-2020</t>
        </is>
      </c>
      <c r="C10224" s="2" t="n">
        <v>44686</v>
      </c>
      <c r="D10224" t="inlineStr">
        <is>
          <t>NIL</t>
        </is>
      </c>
      <c r="E10224" t="n">
        <v>1887</v>
      </c>
    </row>
    <row r="10225">
      <c r="A10225" t="inlineStr">
        <is>
          <t>27BBBBB10225Z5</t>
        </is>
      </c>
      <c r="B10225" t="inlineStr">
        <is>
          <t>Apr-2018</t>
        </is>
      </c>
      <c r="C10225" s="2" t="n">
        <v>43727</v>
      </c>
      <c r="D10225" t="inlineStr">
        <is>
          <t>NON-NIL</t>
        </is>
      </c>
      <c r="E10225" t="n">
        <v>2242</v>
      </c>
    </row>
    <row r="10226">
      <c r="A10226" t="inlineStr">
        <is>
          <t>27BBBBB10226Z5</t>
        </is>
      </c>
      <c r="B10226" t="inlineStr">
        <is>
          <t>Sep-2018</t>
        </is>
      </c>
      <c r="C10226" s="2" t="n">
        <v>44198</v>
      </c>
      <c r="D10226" t="inlineStr">
        <is>
          <t>NIL</t>
        </is>
      </c>
      <c r="E10226" t="n">
        <v>230</v>
      </c>
    </row>
    <row r="10227">
      <c r="A10227" t="inlineStr">
        <is>
          <t>27BBBBB10227Z5</t>
        </is>
      </c>
      <c r="B10227" t="inlineStr">
        <is>
          <t>Oct-2018</t>
        </is>
      </c>
      <c r="C10227" s="2" t="n">
        <v>44267</v>
      </c>
      <c r="D10227" t="inlineStr">
        <is>
          <t>NON-NIL</t>
        </is>
      </c>
      <c r="E10227" t="n">
        <v>2980</v>
      </c>
    </row>
    <row r="10228">
      <c r="A10228" t="inlineStr">
        <is>
          <t>27BBBBB10228Z5</t>
        </is>
      </c>
      <c r="B10228" t="inlineStr">
        <is>
          <t>Jul-2020</t>
        </is>
      </c>
      <c r="C10228" s="2" t="n">
        <v>44137</v>
      </c>
      <c r="D10228" t="inlineStr">
        <is>
          <t>NIL</t>
        </is>
      </c>
      <c r="E10228" t="n">
        <v>2042</v>
      </c>
    </row>
    <row r="10229">
      <c r="A10229" t="inlineStr">
        <is>
          <t>27BBBBB10229Z5</t>
        </is>
      </c>
      <c r="B10229" t="inlineStr">
        <is>
          <t>May-2018</t>
        </is>
      </c>
      <c r="C10229" s="2" t="n">
        <v>43884</v>
      </c>
      <c r="D10229" t="inlineStr">
        <is>
          <t>NIL</t>
        </is>
      </c>
      <c r="E10229" t="n">
        <v>1088</v>
      </c>
    </row>
    <row r="10230">
      <c r="A10230" t="inlineStr">
        <is>
          <t>27BBBBB10230Z5</t>
        </is>
      </c>
      <c r="B10230" t="inlineStr">
        <is>
          <t>Dec-2022</t>
        </is>
      </c>
      <c r="C10230" s="2" t="n">
        <v>45040</v>
      </c>
      <c r="D10230" t="inlineStr">
        <is>
          <t>NON-NIL</t>
        </is>
      </c>
      <c r="E10230" t="n">
        <v>2180</v>
      </c>
    </row>
    <row r="10231">
      <c r="A10231" t="inlineStr">
        <is>
          <t>27BBBBB10231Z5</t>
        </is>
      </c>
      <c r="B10231" t="inlineStr">
        <is>
          <t>Jun-2020</t>
        </is>
      </c>
      <c r="C10231" s="2" t="n">
        <v>44244</v>
      </c>
      <c r="D10231" t="inlineStr">
        <is>
          <t>NON-NIL</t>
        </is>
      </c>
      <c r="E10231" t="n">
        <v>329</v>
      </c>
    </row>
    <row r="10232">
      <c r="A10232" t="inlineStr">
        <is>
          <t>27BBBBB10232Z5</t>
        </is>
      </c>
      <c r="B10232" t="inlineStr">
        <is>
          <t>May-2018</t>
        </is>
      </c>
      <c r="C10232" s="2" t="n">
        <v>43347</v>
      </c>
      <c r="D10232" t="inlineStr">
        <is>
          <t>NIL</t>
        </is>
      </c>
      <c r="E10232" t="n">
        <v>789</v>
      </c>
    </row>
    <row r="10233">
      <c r="A10233" t="inlineStr">
        <is>
          <t>27BBBBB10233Z5</t>
        </is>
      </c>
      <c r="B10233" t="inlineStr">
        <is>
          <t>Oct-2018</t>
        </is>
      </c>
      <c r="C10233" s="2" t="n">
        <v>43772</v>
      </c>
      <c r="D10233" t="inlineStr">
        <is>
          <t>NIL</t>
        </is>
      </c>
      <c r="E10233" t="n">
        <v>2783</v>
      </c>
    </row>
    <row r="10234">
      <c r="A10234" t="inlineStr">
        <is>
          <t>27BBBBB10234Z5</t>
        </is>
      </c>
      <c r="B10234" t="inlineStr">
        <is>
          <t>Oct-2017</t>
        </is>
      </c>
      <c r="C10234" s="2" t="n">
        <v>43914</v>
      </c>
      <c r="D10234" t="inlineStr">
        <is>
          <t>NON-NIL</t>
        </is>
      </c>
      <c r="E10234" t="n">
        <v>2070</v>
      </c>
    </row>
    <row r="10235">
      <c r="A10235" t="inlineStr">
        <is>
          <t>27BBBBB10235Z5</t>
        </is>
      </c>
      <c r="B10235" t="inlineStr">
        <is>
          <t>Oct-2017</t>
        </is>
      </c>
      <c r="C10235" s="2" t="n">
        <v>44386</v>
      </c>
      <c r="D10235" t="inlineStr">
        <is>
          <t>NON-NIL</t>
        </is>
      </c>
      <c r="E10235" t="n">
        <v>1877</v>
      </c>
    </row>
    <row r="10236">
      <c r="A10236" t="inlineStr">
        <is>
          <t>27BBBBB10236Z5</t>
        </is>
      </c>
      <c r="B10236" t="inlineStr">
        <is>
          <t>Mar-2018</t>
        </is>
      </c>
      <c r="C10236" s="2" t="n">
        <v>43379</v>
      </c>
      <c r="D10236" t="inlineStr">
        <is>
          <t>NIL</t>
        </is>
      </c>
      <c r="E10236" t="n">
        <v>597</v>
      </c>
    </row>
    <row r="10237">
      <c r="A10237" t="inlineStr">
        <is>
          <t>27BBBBB10237Z5</t>
        </is>
      </c>
      <c r="B10237" t="inlineStr">
        <is>
          <t>Oct-2017</t>
        </is>
      </c>
      <c r="C10237" s="2" t="n">
        <v>44424</v>
      </c>
      <c r="D10237" t="inlineStr">
        <is>
          <t>NIL</t>
        </is>
      </c>
      <c r="E10237" t="n">
        <v>1882</v>
      </c>
    </row>
    <row r="10238">
      <c r="A10238" t="inlineStr">
        <is>
          <t>27BBBBB10238Z5</t>
        </is>
      </c>
      <c r="B10238" t="inlineStr">
        <is>
          <t>Nov-2017</t>
        </is>
      </c>
      <c r="C10238" s="2" t="n">
        <v>43632</v>
      </c>
      <c r="D10238" t="inlineStr">
        <is>
          <t>NON-NIL</t>
        </is>
      </c>
      <c r="E10238" t="n">
        <v>1861</v>
      </c>
    </row>
    <row r="10239">
      <c r="A10239" t="inlineStr">
        <is>
          <t>27BBBBB10239Z5</t>
        </is>
      </c>
      <c r="B10239" t="inlineStr">
        <is>
          <t>Feb-2018</t>
        </is>
      </c>
      <c r="C10239" s="2" t="n">
        <v>43524</v>
      </c>
      <c r="D10239" t="inlineStr">
        <is>
          <t>NON-NIL</t>
        </is>
      </c>
      <c r="E10239" t="n">
        <v>1299</v>
      </c>
    </row>
    <row r="10240">
      <c r="A10240" t="inlineStr">
        <is>
          <t>27BBBBB10240Z5</t>
        </is>
      </c>
      <c r="B10240" t="inlineStr">
        <is>
          <t>Dec-2024</t>
        </is>
      </c>
      <c r="C10240" s="2" t="n">
        <v>44247</v>
      </c>
      <c r="D10240" t="inlineStr">
        <is>
          <t>NIL</t>
        </is>
      </c>
      <c r="E10240" t="n">
        <v>1962</v>
      </c>
    </row>
    <row r="10241">
      <c r="A10241" t="inlineStr">
        <is>
          <t>27BBBBB10241Z5</t>
        </is>
      </c>
      <c r="B10241" t="inlineStr">
        <is>
          <t>Dec-2022</t>
        </is>
      </c>
      <c r="C10241" s="2" t="n">
        <v>45767</v>
      </c>
      <c r="D10241" t="inlineStr">
        <is>
          <t>NON-NIL</t>
        </is>
      </c>
      <c r="E10241" t="n">
        <v>2854</v>
      </c>
    </row>
    <row r="10242">
      <c r="A10242" t="inlineStr">
        <is>
          <t>27BBBBB10242Z5</t>
        </is>
      </c>
      <c r="B10242" t="inlineStr">
        <is>
          <t>Dec-2024</t>
        </is>
      </c>
      <c r="C10242" s="2" t="n">
        <v>43800</v>
      </c>
      <c r="D10242" t="inlineStr">
        <is>
          <t>NON-NIL</t>
        </is>
      </c>
      <c r="E10242" t="n">
        <v>2675</v>
      </c>
    </row>
    <row r="10243">
      <c r="A10243" t="inlineStr">
        <is>
          <t>27BBBBB10243Z5</t>
        </is>
      </c>
      <c r="B10243" t="inlineStr">
        <is>
          <t>Mar-2018</t>
        </is>
      </c>
      <c r="C10243" s="2" t="n">
        <v>43861</v>
      </c>
      <c r="D10243" t="inlineStr">
        <is>
          <t>NON-NIL</t>
        </is>
      </c>
      <c r="E10243" t="n">
        <v>1541</v>
      </c>
    </row>
    <row r="10244">
      <c r="A10244" t="inlineStr">
        <is>
          <t>27BBBBB10244Z5</t>
        </is>
      </c>
      <c r="B10244" t="inlineStr">
        <is>
          <t>Jul-2017</t>
        </is>
      </c>
      <c r="C10244" s="2" t="n">
        <v>44159</v>
      </c>
      <c r="D10244" t="inlineStr">
        <is>
          <t>NIL</t>
        </is>
      </c>
      <c r="E10244" t="n">
        <v>1353</v>
      </c>
    </row>
    <row r="10245">
      <c r="A10245" t="inlineStr">
        <is>
          <t>27BBBBB10245Z5</t>
        </is>
      </c>
      <c r="B10245" t="inlineStr">
        <is>
          <t>Sep-2018</t>
        </is>
      </c>
      <c r="C10245" s="2" t="n">
        <v>44410</v>
      </c>
      <c r="D10245" t="inlineStr">
        <is>
          <t>NON-NIL</t>
        </is>
      </c>
      <c r="E10245" t="n">
        <v>1132</v>
      </c>
    </row>
    <row r="10246">
      <c r="A10246" t="inlineStr">
        <is>
          <t>27BBBBB10246Z5</t>
        </is>
      </c>
      <c r="B10246" t="inlineStr">
        <is>
          <t>Oct-2017</t>
        </is>
      </c>
      <c r="C10246" s="2" t="n">
        <v>43681</v>
      </c>
      <c r="D10246" t="inlineStr">
        <is>
          <t>NON-NIL</t>
        </is>
      </c>
      <c r="E10246" t="n">
        <v>2517</v>
      </c>
    </row>
    <row r="10247">
      <c r="A10247" t="inlineStr">
        <is>
          <t>27BBBBB10247Z5</t>
        </is>
      </c>
      <c r="B10247" t="inlineStr">
        <is>
          <t>Aug-2018</t>
        </is>
      </c>
      <c r="C10247" s="2" t="n">
        <v>43162</v>
      </c>
      <c r="D10247" t="inlineStr">
        <is>
          <t>NON-NIL</t>
        </is>
      </c>
      <c r="E10247" t="n">
        <v>621</v>
      </c>
    </row>
    <row r="10248">
      <c r="A10248" t="inlineStr">
        <is>
          <t>27BBBBB10248Z5</t>
        </is>
      </c>
      <c r="B10248" t="inlineStr">
        <is>
          <t>Dec-2018</t>
        </is>
      </c>
      <c r="C10248" s="2" t="n">
        <v>43292</v>
      </c>
      <c r="D10248" t="inlineStr">
        <is>
          <t>NIL</t>
        </is>
      </c>
      <c r="E10248" t="n">
        <v>1126</v>
      </c>
    </row>
    <row r="10249">
      <c r="A10249" t="inlineStr">
        <is>
          <t>27BBBBB10249Z5</t>
        </is>
      </c>
      <c r="B10249" t="inlineStr">
        <is>
          <t>Nov-2017</t>
        </is>
      </c>
      <c r="C10249" s="2" t="n">
        <v>44349</v>
      </c>
      <c r="D10249" t="inlineStr">
        <is>
          <t>NIL</t>
        </is>
      </c>
      <c r="E10249" t="n">
        <v>244</v>
      </c>
    </row>
    <row r="10250">
      <c r="A10250" t="inlineStr">
        <is>
          <t>27BBBBB10250Z5</t>
        </is>
      </c>
      <c r="B10250" t="inlineStr">
        <is>
          <t>Apr-2020</t>
        </is>
      </c>
      <c r="C10250" s="2" t="n">
        <v>44727</v>
      </c>
      <c r="D10250" t="inlineStr">
        <is>
          <t>NON-NIL</t>
        </is>
      </c>
      <c r="E10250" t="n">
        <v>512</v>
      </c>
    </row>
    <row r="10251">
      <c r="A10251" t="inlineStr">
        <is>
          <t>27BBBBB10251Z5</t>
        </is>
      </c>
      <c r="B10251" t="inlineStr">
        <is>
          <t>Nov-2017</t>
        </is>
      </c>
      <c r="C10251" s="2" t="n">
        <v>43426</v>
      </c>
      <c r="D10251" t="inlineStr">
        <is>
          <t>NON-NIL</t>
        </is>
      </c>
      <c r="E10251" t="n">
        <v>942</v>
      </c>
    </row>
    <row r="10252">
      <c r="A10252" t="inlineStr">
        <is>
          <t>27BBBBB10252Z5</t>
        </is>
      </c>
      <c r="B10252" t="inlineStr">
        <is>
          <t>Dec-2024</t>
        </is>
      </c>
      <c r="C10252" s="2" t="n">
        <v>44601</v>
      </c>
      <c r="D10252" t="inlineStr">
        <is>
          <t>NIL</t>
        </is>
      </c>
      <c r="E10252" t="n">
        <v>613</v>
      </c>
    </row>
    <row r="10253">
      <c r="A10253" t="inlineStr">
        <is>
          <t>27BBBBB10253Z5</t>
        </is>
      </c>
      <c r="B10253" t="inlineStr">
        <is>
          <t>Oct-2017</t>
        </is>
      </c>
      <c r="C10253" s="2" t="n">
        <v>43373</v>
      </c>
      <c r="D10253" t="inlineStr">
        <is>
          <t>NIL</t>
        </is>
      </c>
      <c r="E10253" t="n">
        <v>2911</v>
      </c>
    </row>
    <row r="10254">
      <c r="A10254" t="inlineStr">
        <is>
          <t>27BBBBB10254Z5</t>
        </is>
      </c>
      <c r="B10254" t="inlineStr">
        <is>
          <t>Dec-2018</t>
        </is>
      </c>
      <c r="C10254" s="2" t="n">
        <v>43775</v>
      </c>
      <c r="D10254" t="inlineStr">
        <is>
          <t>NON-NIL</t>
        </is>
      </c>
      <c r="E10254" t="n">
        <v>2840</v>
      </c>
    </row>
    <row r="10255">
      <c r="A10255" t="inlineStr">
        <is>
          <t>27BBBBB10255Z5</t>
        </is>
      </c>
      <c r="B10255" t="inlineStr">
        <is>
          <t>Mar-2020</t>
        </is>
      </c>
      <c r="C10255" s="2" t="n">
        <v>44850</v>
      </c>
      <c r="D10255" t="inlineStr">
        <is>
          <t>NIL</t>
        </is>
      </c>
      <c r="E10255" t="n">
        <v>672</v>
      </c>
    </row>
    <row r="10256">
      <c r="A10256" t="inlineStr">
        <is>
          <t>27BBBBB10256Z5</t>
        </is>
      </c>
      <c r="B10256" t="inlineStr">
        <is>
          <t>May-2018</t>
        </is>
      </c>
      <c r="C10256" s="2" t="n">
        <v>44080</v>
      </c>
      <c r="D10256" t="inlineStr">
        <is>
          <t>NON-NIL</t>
        </is>
      </c>
      <c r="E10256" t="n">
        <v>211</v>
      </c>
    </row>
    <row r="10257">
      <c r="A10257" t="inlineStr">
        <is>
          <t>27BBBBB10257Z5</t>
        </is>
      </c>
      <c r="B10257" t="inlineStr">
        <is>
          <t>Apr-2020</t>
        </is>
      </c>
      <c r="C10257" s="2" t="n">
        <v>44328</v>
      </c>
      <c r="D10257" t="inlineStr">
        <is>
          <t>NON-NIL</t>
        </is>
      </c>
      <c r="E10257" t="n">
        <v>2024</v>
      </c>
    </row>
    <row r="10258">
      <c r="A10258" t="inlineStr">
        <is>
          <t>27BBBBB10258Z5</t>
        </is>
      </c>
      <c r="B10258" t="inlineStr">
        <is>
          <t>Jun-2018</t>
        </is>
      </c>
      <c r="C10258" s="2" t="n">
        <v>44036</v>
      </c>
      <c r="D10258" t="inlineStr">
        <is>
          <t>NON-NIL</t>
        </is>
      </c>
      <c r="E10258" t="n">
        <v>2538</v>
      </c>
    </row>
    <row r="10259">
      <c r="A10259" t="inlineStr">
        <is>
          <t>27BBBBB10259Z5</t>
        </is>
      </c>
      <c r="B10259" t="inlineStr">
        <is>
          <t>Nov-2018</t>
        </is>
      </c>
      <c r="C10259" s="2" t="n">
        <v>44158</v>
      </c>
      <c r="D10259" t="inlineStr">
        <is>
          <t>NIL</t>
        </is>
      </c>
      <c r="E10259" t="n">
        <v>1237</v>
      </c>
    </row>
    <row r="10260">
      <c r="A10260" t="inlineStr">
        <is>
          <t>27BBBBB10260Z5</t>
        </is>
      </c>
      <c r="B10260" t="inlineStr">
        <is>
          <t>Mar-2018</t>
        </is>
      </c>
      <c r="C10260" s="2" t="n">
        <v>43405</v>
      </c>
      <c r="D10260" t="inlineStr">
        <is>
          <t>NIL</t>
        </is>
      </c>
      <c r="E10260" t="n">
        <v>2111</v>
      </c>
    </row>
    <row r="10261">
      <c r="A10261" t="inlineStr">
        <is>
          <t>27BBBBB10261Z5</t>
        </is>
      </c>
      <c r="B10261" t="inlineStr">
        <is>
          <t>Aug-2017</t>
        </is>
      </c>
      <c r="C10261" s="2" t="n">
        <v>44492</v>
      </c>
      <c r="D10261" t="inlineStr">
        <is>
          <t>NIL</t>
        </is>
      </c>
      <c r="E10261" t="n">
        <v>2440</v>
      </c>
    </row>
    <row r="10262">
      <c r="A10262" t="inlineStr">
        <is>
          <t>27BBBBB10262Z5</t>
        </is>
      </c>
      <c r="B10262" t="inlineStr">
        <is>
          <t>Mar-2018</t>
        </is>
      </c>
      <c r="C10262" s="2" t="n">
        <v>44297</v>
      </c>
      <c r="D10262" t="inlineStr">
        <is>
          <t>NIL</t>
        </is>
      </c>
      <c r="E10262" t="n">
        <v>2532</v>
      </c>
    </row>
    <row r="10263">
      <c r="A10263" t="inlineStr">
        <is>
          <t>27BBBBB10263Z5</t>
        </is>
      </c>
      <c r="B10263" t="inlineStr">
        <is>
          <t>Apr-2018</t>
        </is>
      </c>
      <c r="C10263" s="2" t="n">
        <v>43665</v>
      </c>
      <c r="D10263" t="inlineStr">
        <is>
          <t>NIL</t>
        </is>
      </c>
      <c r="E10263" t="n">
        <v>1798</v>
      </c>
    </row>
    <row r="10264">
      <c r="A10264" t="inlineStr">
        <is>
          <t>27BBBBB10264Z5</t>
        </is>
      </c>
      <c r="B10264" t="inlineStr">
        <is>
          <t>Sep-2018</t>
        </is>
      </c>
      <c r="C10264" s="2" t="n">
        <v>44129</v>
      </c>
      <c r="D10264" t="inlineStr">
        <is>
          <t>NIL</t>
        </is>
      </c>
      <c r="E10264" t="n">
        <v>2864</v>
      </c>
    </row>
    <row r="10265">
      <c r="A10265" t="inlineStr">
        <is>
          <t>27BBBBB10265Z5</t>
        </is>
      </c>
      <c r="B10265" t="inlineStr">
        <is>
          <t>Oct-2017</t>
        </is>
      </c>
      <c r="C10265" s="2" t="n">
        <v>43919</v>
      </c>
      <c r="D10265" t="inlineStr">
        <is>
          <t>NIL</t>
        </is>
      </c>
      <c r="E10265" t="n">
        <v>1421</v>
      </c>
    </row>
    <row r="10266">
      <c r="A10266" t="inlineStr">
        <is>
          <t>27BBBBB10266Z5</t>
        </is>
      </c>
      <c r="B10266" t="inlineStr">
        <is>
          <t>Mar-2021</t>
        </is>
      </c>
      <c r="C10266" s="2" t="n">
        <v>44625</v>
      </c>
      <c r="D10266" t="inlineStr">
        <is>
          <t>NON-NIL</t>
        </is>
      </c>
      <c r="E10266" t="n">
        <v>2319</v>
      </c>
    </row>
    <row r="10267">
      <c r="A10267" t="inlineStr">
        <is>
          <t>27BBBBB10267Z5</t>
        </is>
      </c>
      <c r="B10267" t="inlineStr">
        <is>
          <t>Dec-2024</t>
        </is>
      </c>
      <c r="C10267" s="2" t="n">
        <v>44775</v>
      </c>
      <c r="D10267" t="inlineStr">
        <is>
          <t>NIL</t>
        </is>
      </c>
      <c r="E10267" t="n">
        <v>1527</v>
      </c>
    </row>
    <row r="10268">
      <c r="A10268" t="inlineStr">
        <is>
          <t>27BBBBB10268Z5</t>
        </is>
      </c>
      <c r="B10268" t="inlineStr">
        <is>
          <t>Feb-2018</t>
        </is>
      </c>
      <c r="C10268" s="2" t="n">
        <v>44317</v>
      </c>
      <c r="D10268" t="inlineStr">
        <is>
          <t>NON-NIL</t>
        </is>
      </c>
      <c r="E10268" t="n">
        <v>517</v>
      </c>
    </row>
    <row r="10269">
      <c r="A10269" t="inlineStr">
        <is>
          <t>27BBBBB10269Z5</t>
        </is>
      </c>
      <c r="B10269" t="inlineStr">
        <is>
          <t>Feb-2018</t>
        </is>
      </c>
      <c r="C10269" s="2" t="n">
        <v>43800</v>
      </c>
      <c r="D10269" t="inlineStr">
        <is>
          <t>NIL</t>
        </is>
      </c>
      <c r="E10269" t="n">
        <v>1809</v>
      </c>
    </row>
    <row r="10270">
      <c r="A10270" t="inlineStr">
        <is>
          <t>27BBBBB10270Z5</t>
        </is>
      </c>
      <c r="B10270" t="inlineStr">
        <is>
          <t>Mar-2023</t>
        </is>
      </c>
      <c r="C10270" s="2" t="n">
        <v>45173</v>
      </c>
      <c r="D10270" t="inlineStr">
        <is>
          <t>NIL</t>
        </is>
      </c>
      <c r="E10270" t="n">
        <v>1772</v>
      </c>
    </row>
    <row r="10271">
      <c r="A10271" t="inlineStr">
        <is>
          <t>27BBBBB10271Z5</t>
        </is>
      </c>
      <c r="B10271" t="inlineStr">
        <is>
          <t>Feb-2018</t>
        </is>
      </c>
      <c r="C10271" s="2" t="n">
        <v>43828</v>
      </c>
      <c r="D10271" t="inlineStr">
        <is>
          <t>NON-NIL</t>
        </is>
      </c>
      <c r="E10271" t="n">
        <v>2877</v>
      </c>
    </row>
    <row r="10272">
      <c r="A10272" t="inlineStr">
        <is>
          <t>27BBBBB10272Z5</t>
        </is>
      </c>
      <c r="B10272" t="inlineStr">
        <is>
          <t>Jul-2017</t>
        </is>
      </c>
      <c r="C10272" s="2" t="n">
        <v>43698</v>
      </c>
      <c r="D10272" t="inlineStr">
        <is>
          <t>NON-NIL</t>
        </is>
      </c>
      <c r="E10272" t="n">
        <v>2334</v>
      </c>
    </row>
    <row r="10273">
      <c r="A10273" t="inlineStr">
        <is>
          <t>27BBBBB10273Z5</t>
        </is>
      </c>
      <c r="B10273" t="inlineStr">
        <is>
          <t>Aug-2018</t>
        </is>
      </c>
      <c r="C10273" s="2" t="n">
        <v>43429</v>
      </c>
      <c r="D10273" t="inlineStr">
        <is>
          <t>NON-NIL</t>
        </is>
      </c>
      <c r="E10273" t="n">
        <v>1494</v>
      </c>
    </row>
    <row r="10274">
      <c r="A10274" t="inlineStr">
        <is>
          <t>27BBBBB10274Z5</t>
        </is>
      </c>
      <c r="B10274" t="inlineStr">
        <is>
          <t>Dec-2022</t>
        </is>
      </c>
      <c r="C10274" s="2" t="n">
        <v>44031</v>
      </c>
      <c r="D10274" t="inlineStr">
        <is>
          <t>NIL</t>
        </is>
      </c>
      <c r="E10274" t="n">
        <v>1345</v>
      </c>
    </row>
    <row r="10275">
      <c r="A10275" t="inlineStr">
        <is>
          <t>27BBBBB10275Z5</t>
        </is>
      </c>
      <c r="B10275" t="inlineStr">
        <is>
          <t>Dec-2024</t>
        </is>
      </c>
      <c r="C10275" s="2" t="n">
        <v>45448</v>
      </c>
      <c r="D10275" t="inlineStr">
        <is>
          <t>NIL</t>
        </is>
      </c>
      <c r="E10275" t="n">
        <v>1181</v>
      </c>
    </row>
    <row r="10276">
      <c r="A10276" t="inlineStr">
        <is>
          <t>27BBBBB10276Z5</t>
        </is>
      </c>
      <c r="B10276" t="inlineStr">
        <is>
          <t>Dec-2018</t>
        </is>
      </c>
      <c r="C10276" s="2" t="n">
        <v>44169</v>
      </c>
      <c r="D10276" t="inlineStr">
        <is>
          <t>NON-NIL</t>
        </is>
      </c>
      <c r="E10276" t="n">
        <v>1560</v>
      </c>
    </row>
    <row r="10277">
      <c r="A10277" t="inlineStr">
        <is>
          <t>27BBBBB10277Z5</t>
        </is>
      </c>
      <c r="B10277" t="inlineStr">
        <is>
          <t>Jul-2020</t>
        </is>
      </c>
      <c r="C10277" s="2" t="n">
        <v>44636</v>
      </c>
      <c r="D10277" t="inlineStr">
        <is>
          <t>NON-NIL</t>
        </is>
      </c>
      <c r="E10277" t="n">
        <v>1150</v>
      </c>
    </row>
    <row r="10278">
      <c r="A10278" t="inlineStr">
        <is>
          <t>27BBBBB10278Z5</t>
        </is>
      </c>
      <c r="B10278" t="inlineStr">
        <is>
          <t>Aug-2018</t>
        </is>
      </c>
      <c r="C10278" s="2" t="n">
        <v>43493</v>
      </c>
      <c r="D10278" t="inlineStr">
        <is>
          <t>NIL</t>
        </is>
      </c>
      <c r="E10278" t="n">
        <v>2447</v>
      </c>
    </row>
    <row r="10279">
      <c r="A10279" t="inlineStr">
        <is>
          <t>27BBBBB10279Z5</t>
        </is>
      </c>
      <c r="B10279" t="inlineStr">
        <is>
          <t>Nov-2018</t>
        </is>
      </c>
      <c r="C10279" s="2" t="n">
        <v>44073</v>
      </c>
      <c r="D10279" t="inlineStr">
        <is>
          <t>NON-NIL</t>
        </is>
      </c>
      <c r="E10279" t="n">
        <v>2811</v>
      </c>
    </row>
    <row r="10280">
      <c r="A10280" t="inlineStr">
        <is>
          <t>27BBBBB10280Z5</t>
        </is>
      </c>
      <c r="B10280" t="inlineStr">
        <is>
          <t>Apr-2020</t>
        </is>
      </c>
      <c r="C10280" s="2" t="n">
        <v>44275</v>
      </c>
      <c r="D10280" t="inlineStr">
        <is>
          <t>NIL</t>
        </is>
      </c>
      <c r="E10280" t="n">
        <v>1807</v>
      </c>
    </row>
    <row r="10281">
      <c r="A10281" t="inlineStr">
        <is>
          <t>27BBBBB10281Z5</t>
        </is>
      </c>
      <c r="B10281" t="inlineStr">
        <is>
          <t>Jul-2017</t>
        </is>
      </c>
      <c r="C10281" s="2" t="n">
        <v>42918</v>
      </c>
      <c r="D10281" t="inlineStr">
        <is>
          <t>NON-NIL</t>
        </is>
      </c>
      <c r="E10281" t="n">
        <v>1627</v>
      </c>
    </row>
    <row r="10282">
      <c r="A10282" t="inlineStr">
        <is>
          <t>27BBBBB10282Z5</t>
        </is>
      </c>
      <c r="B10282" t="inlineStr">
        <is>
          <t>Aug-2018</t>
        </is>
      </c>
      <c r="C10282" s="2" t="n">
        <v>43771</v>
      </c>
      <c r="D10282" t="inlineStr">
        <is>
          <t>NIL</t>
        </is>
      </c>
      <c r="E10282" t="n">
        <v>2945</v>
      </c>
    </row>
    <row r="10283">
      <c r="A10283" t="inlineStr">
        <is>
          <t>27BBBBB10283Z5</t>
        </is>
      </c>
      <c r="B10283" t="inlineStr">
        <is>
          <t>Dec-2024</t>
        </is>
      </c>
      <c r="C10283" s="2" t="n">
        <v>44947</v>
      </c>
      <c r="D10283" t="inlineStr">
        <is>
          <t>NIL</t>
        </is>
      </c>
      <c r="E10283" t="n">
        <v>546</v>
      </c>
    </row>
    <row r="10284">
      <c r="A10284" t="inlineStr">
        <is>
          <t>27BBBBB10284Z5</t>
        </is>
      </c>
      <c r="B10284" t="inlineStr">
        <is>
          <t>Jul-2020</t>
        </is>
      </c>
      <c r="C10284" s="2" t="n">
        <v>44671</v>
      </c>
      <c r="D10284" t="inlineStr">
        <is>
          <t>NIL</t>
        </is>
      </c>
      <c r="E10284" t="n">
        <v>559</v>
      </c>
    </row>
    <row r="10285">
      <c r="A10285" t="inlineStr">
        <is>
          <t>27BBBBB10285Z5</t>
        </is>
      </c>
      <c r="B10285" t="inlineStr">
        <is>
          <t>Dec-2022</t>
        </is>
      </c>
      <c r="C10285" s="2" t="n">
        <v>44695</v>
      </c>
      <c r="D10285" t="inlineStr">
        <is>
          <t>NON-NIL</t>
        </is>
      </c>
      <c r="E10285" t="n">
        <v>456</v>
      </c>
    </row>
    <row r="10286">
      <c r="A10286" t="inlineStr">
        <is>
          <t>27BBBBB10286Z5</t>
        </is>
      </c>
      <c r="B10286" t="inlineStr">
        <is>
          <t>Jan-2018</t>
        </is>
      </c>
      <c r="C10286" s="2" t="n">
        <v>42961</v>
      </c>
      <c r="D10286" t="inlineStr">
        <is>
          <t>NON-NIL</t>
        </is>
      </c>
      <c r="E10286" t="n">
        <v>659</v>
      </c>
    </row>
    <row r="10287">
      <c r="A10287" t="inlineStr">
        <is>
          <t>27BBBBB10287Z5</t>
        </is>
      </c>
      <c r="B10287" t="inlineStr">
        <is>
          <t>Jul-2017</t>
        </is>
      </c>
      <c r="C10287" s="2" t="n">
        <v>43725</v>
      </c>
      <c r="D10287" t="inlineStr">
        <is>
          <t>NON-NIL</t>
        </is>
      </c>
      <c r="E10287" t="n">
        <v>2907</v>
      </c>
    </row>
    <row r="10288">
      <c r="A10288" t="inlineStr">
        <is>
          <t>27BBBBB10288Z5</t>
        </is>
      </c>
      <c r="B10288" t="inlineStr">
        <is>
          <t>Jul-2017</t>
        </is>
      </c>
      <c r="C10288" s="2" t="n">
        <v>44394</v>
      </c>
      <c r="D10288" t="inlineStr">
        <is>
          <t>NIL</t>
        </is>
      </c>
      <c r="E10288" t="n">
        <v>2538</v>
      </c>
    </row>
    <row r="10289">
      <c r="A10289" t="inlineStr">
        <is>
          <t>27BBBBB10289Z5</t>
        </is>
      </c>
      <c r="B10289" t="inlineStr">
        <is>
          <t>May-2020</t>
        </is>
      </c>
      <c r="C10289" s="2" t="n">
        <v>43993</v>
      </c>
      <c r="D10289" t="inlineStr">
        <is>
          <t>NON-NIL</t>
        </is>
      </c>
      <c r="E10289" t="n">
        <v>56</v>
      </c>
    </row>
    <row r="10290">
      <c r="A10290" t="inlineStr">
        <is>
          <t>27BBBBB10290Z5</t>
        </is>
      </c>
      <c r="B10290" t="inlineStr">
        <is>
          <t>Jul-2018</t>
        </is>
      </c>
      <c r="C10290" s="2" t="n">
        <v>43802</v>
      </c>
      <c r="D10290" t="inlineStr">
        <is>
          <t>NIL</t>
        </is>
      </c>
      <c r="E10290" t="n">
        <v>1301</v>
      </c>
    </row>
    <row r="10291">
      <c r="A10291" t="inlineStr">
        <is>
          <t>27BBBBB10291Z5</t>
        </is>
      </c>
      <c r="B10291" t="inlineStr">
        <is>
          <t>Apr-2018</t>
        </is>
      </c>
      <c r="C10291" s="2" t="n">
        <v>43961</v>
      </c>
      <c r="D10291" t="inlineStr">
        <is>
          <t>NIL</t>
        </is>
      </c>
      <c r="E10291" t="n">
        <v>2885</v>
      </c>
    </row>
    <row r="10292">
      <c r="A10292" t="inlineStr">
        <is>
          <t>27BBBBB10292Z5</t>
        </is>
      </c>
      <c r="B10292" t="inlineStr">
        <is>
          <t>May-2020</t>
        </is>
      </c>
      <c r="C10292" s="2" t="n">
        <v>43878</v>
      </c>
      <c r="D10292" t="inlineStr">
        <is>
          <t>NIL</t>
        </is>
      </c>
      <c r="E10292" t="n">
        <v>2916</v>
      </c>
    </row>
    <row r="10293">
      <c r="A10293" t="inlineStr">
        <is>
          <t>27BBBBB10293Z5</t>
        </is>
      </c>
      <c r="B10293" t="inlineStr">
        <is>
          <t>Sep-2017</t>
        </is>
      </c>
      <c r="C10293" s="2" t="n">
        <v>43167</v>
      </c>
      <c r="D10293" t="inlineStr">
        <is>
          <t>NON-NIL</t>
        </is>
      </c>
      <c r="E10293" t="n">
        <v>3000</v>
      </c>
    </row>
    <row r="10294">
      <c r="A10294" t="inlineStr">
        <is>
          <t>27BBBBB10294Z5</t>
        </is>
      </c>
      <c r="B10294" t="inlineStr">
        <is>
          <t>Jul-2017</t>
        </is>
      </c>
      <c r="C10294" s="2" t="n">
        <v>44124</v>
      </c>
      <c r="D10294" t="inlineStr">
        <is>
          <t>NIL</t>
        </is>
      </c>
      <c r="E10294" t="n">
        <v>1287</v>
      </c>
    </row>
    <row r="10295">
      <c r="A10295" t="inlineStr">
        <is>
          <t>27BBBBB10295Z5</t>
        </is>
      </c>
      <c r="B10295" t="inlineStr">
        <is>
          <t>May-2018</t>
        </is>
      </c>
      <c r="C10295" s="2" t="n">
        <v>44541</v>
      </c>
      <c r="D10295" t="inlineStr">
        <is>
          <t>NIL</t>
        </is>
      </c>
      <c r="E10295" t="n">
        <v>1642</v>
      </c>
    </row>
    <row r="10296">
      <c r="A10296" t="inlineStr">
        <is>
          <t>27BBBBB10296Z5</t>
        </is>
      </c>
      <c r="B10296" t="inlineStr">
        <is>
          <t>Oct-2018</t>
        </is>
      </c>
      <c r="C10296" s="2" t="n">
        <v>43314</v>
      </c>
      <c r="D10296" t="inlineStr">
        <is>
          <t>NIL</t>
        </is>
      </c>
      <c r="E10296" t="n">
        <v>950</v>
      </c>
    </row>
    <row r="10297">
      <c r="A10297" t="inlineStr">
        <is>
          <t>27BBBBB10297Z5</t>
        </is>
      </c>
      <c r="B10297" t="inlineStr">
        <is>
          <t>Apr-2020</t>
        </is>
      </c>
      <c r="C10297" s="2" t="n">
        <v>44764</v>
      </c>
      <c r="D10297" t="inlineStr">
        <is>
          <t>NIL</t>
        </is>
      </c>
      <c r="E10297" t="n">
        <v>1196</v>
      </c>
    </row>
    <row r="10298">
      <c r="A10298" t="inlineStr">
        <is>
          <t>27BBBBB10298Z5</t>
        </is>
      </c>
      <c r="B10298" t="inlineStr">
        <is>
          <t>Apr-2020</t>
        </is>
      </c>
      <c r="C10298" s="2" t="n">
        <v>44890</v>
      </c>
      <c r="D10298" t="inlineStr">
        <is>
          <t>NIL</t>
        </is>
      </c>
      <c r="E10298" t="n">
        <v>1308</v>
      </c>
    </row>
    <row r="10299">
      <c r="A10299" t="inlineStr">
        <is>
          <t>27BBBBB10299Z5</t>
        </is>
      </c>
      <c r="B10299" t="inlineStr">
        <is>
          <t>Aug-2018</t>
        </is>
      </c>
      <c r="C10299" s="2" t="n">
        <v>43402</v>
      </c>
      <c r="D10299" t="inlineStr">
        <is>
          <t>NIL</t>
        </is>
      </c>
      <c r="E10299" t="n">
        <v>1946</v>
      </c>
    </row>
    <row r="10300">
      <c r="A10300" t="inlineStr">
        <is>
          <t>27BBBBB10300Z5</t>
        </is>
      </c>
      <c r="B10300" t="inlineStr">
        <is>
          <t>Oct-2018</t>
        </is>
      </c>
      <c r="C10300" s="2" t="n">
        <v>43013</v>
      </c>
      <c r="D10300" t="inlineStr">
        <is>
          <t>NIL</t>
        </is>
      </c>
      <c r="E10300" t="n">
        <v>1661</v>
      </c>
    </row>
    <row r="10301">
      <c r="A10301" t="inlineStr">
        <is>
          <t>27BBBBB10301Z5</t>
        </is>
      </c>
      <c r="B10301" t="inlineStr">
        <is>
          <t>Sep-2017</t>
        </is>
      </c>
      <c r="C10301" s="2" t="n">
        <v>44551</v>
      </c>
      <c r="D10301" t="inlineStr">
        <is>
          <t>NIL</t>
        </is>
      </c>
      <c r="E10301" t="n">
        <v>612</v>
      </c>
    </row>
    <row r="10302">
      <c r="A10302" t="inlineStr">
        <is>
          <t>27BBBBB10302Z5</t>
        </is>
      </c>
      <c r="B10302" t="inlineStr">
        <is>
          <t>Nov-2018</t>
        </is>
      </c>
      <c r="C10302" s="2" t="n">
        <v>43952</v>
      </c>
      <c r="D10302" t="inlineStr">
        <is>
          <t>NON-NIL</t>
        </is>
      </c>
      <c r="E10302" t="n">
        <v>1398</v>
      </c>
    </row>
    <row r="10303">
      <c r="A10303" t="inlineStr">
        <is>
          <t>27BBBBB10303Z5</t>
        </is>
      </c>
      <c r="B10303" t="inlineStr">
        <is>
          <t>Nov-2017</t>
        </is>
      </c>
      <c r="C10303" s="2" t="n">
        <v>43566</v>
      </c>
      <c r="D10303" t="inlineStr">
        <is>
          <t>NON-NIL</t>
        </is>
      </c>
      <c r="E10303" t="n">
        <v>1749</v>
      </c>
    </row>
    <row r="10304">
      <c r="A10304" t="inlineStr">
        <is>
          <t>27BBBBB10304Z5</t>
        </is>
      </c>
      <c r="B10304" t="inlineStr">
        <is>
          <t>Dec-2024</t>
        </is>
      </c>
      <c r="C10304" s="2" t="n">
        <v>45695</v>
      </c>
      <c r="D10304" t="inlineStr">
        <is>
          <t>NON-NIL</t>
        </is>
      </c>
      <c r="E10304" t="n">
        <v>1424</v>
      </c>
    </row>
    <row r="10305">
      <c r="A10305" t="inlineStr">
        <is>
          <t>27BBBBB10305Z5</t>
        </is>
      </c>
      <c r="B10305" t="inlineStr">
        <is>
          <t>Jun-2020</t>
        </is>
      </c>
      <c r="C10305" s="2" t="n">
        <v>44201</v>
      </c>
      <c r="D10305" t="inlineStr">
        <is>
          <t>NON-NIL</t>
        </is>
      </c>
      <c r="E10305" t="n">
        <v>1089</v>
      </c>
    </row>
    <row r="10306">
      <c r="A10306" t="inlineStr">
        <is>
          <t>27BBBBB10306Z5</t>
        </is>
      </c>
      <c r="B10306" t="inlineStr">
        <is>
          <t>Feb-2018</t>
        </is>
      </c>
      <c r="C10306" s="2" t="n">
        <v>43813</v>
      </c>
      <c r="D10306" t="inlineStr">
        <is>
          <t>NON-NIL</t>
        </is>
      </c>
      <c r="E10306" t="n">
        <v>2906</v>
      </c>
    </row>
    <row r="10307">
      <c r="A10307" t="inlineStr">
        <is>
          <t>27BBBBB10307Z5</t>
        </is>
      </c>
      <c r="B10307" t="inlineStr">
        <is>
          <t>Dec-2022</t>
        </is>
      </c>
      <c r="C10307" s="2" t="n">
        <v>45480</v>
      </c>
      <c r="D10307" t="inlineStr">
        <is>
          <t>NON-NIL</t>
        </is>
      </c>
      <c r="E10307" t="n">
        <v>563</v>
      </c>
    </row>
    <row r="10308">
      <c r="A10308" t="inlineStr">
        <is>
          <t>27BBBBB10308Z5</t>
        </is>
      </c>
      <c r="B10308" t="inlineStr">
        <is>
          <t>May-2018</t>
        </is>
      </c>
      <c r="C10308" s="2" t="n">
        <v>43539</v>
      </c>
      <c r="D10308" t="inlineStr">
        <is>
          <t>NIL</t>
        </is>
      </c>
      <c r="E10308" t="n">
        <v>410</v>
      </c>
    </row>
    <row r="10309">
      <c r="A10309" t="inlineStr">
        <is>
          <t>27BBBBB10309Z5</t>
        </is>
      </c>
      <c r="B10309" t="inlineStr">
        <is>
          <t>Sep-2018</t>
        </is>
      </c>
      <c r="C10309" s="2" t="n">
        <v>43102</v>
      </c>
      <c r="D10309" t="inlineStr">
        <is>
          <t>NIL</t>
        </is>
      </c>
      <c r="E10309" t="n">
        <v>1701</v>
      </c>
    </row>
    <row r="10310">
      <c r="A10310" t="inlineStr">
        <is>
          <t>27BBBBB10310Z5</t>
        </is>
      </c>
      <c r="B10310" t="inlineStr">
        <is>
          <t>Nov-2018</t>
        </is>
      </c>
      <c r="C10310" s="2" t="n">
        <v>43463</v>
      </c>
      <c r="D10310" t="inlineStr">
        <is>
          <t>NON-NIL</t>
        </is>
      </c>
      <c r="E10310" t="n">
        <v>2329</v>
      </c>
    </row>
    <row r="10311">
      <c r="A10311" t="inlineStr">
        <is>
          <t>27BBBBB10311Z5</t>
        </is>
      </c>
      <c r="B10311" t="inlineStr">
        <is>
          <t>Dec-2018</t>
        </is>
      </c>
      <c r="C10311" s="2" t="n">
        <v>43267</v>
      </c>
      <c r="D10311" t="inlineStr">
        <is>
          <t>NON-NIL</t>
        </is>
      </c>
      <c r="E10311" t="n">
        <v>892</v>
      </c>
    </row>
    <row r="10312">
      <c r="A10312" t="inlineStr">
        <is>
          <t>27BBBBB10312Z5</t>
        </is>
      </c>
      <c r="B10312" t="inlineStr">
        <is>
          <t>Mar-2021</t>
        </is>
      </c>
      <c r="C10312" s="2" t="n">
        <v>44736</v>
      </c>
      <c r="D10312" t="inlineStr">
        <is>
          <t>NON-NIL</t>
        </is>
      </c>
      <c r="E10312" t="n">
        <v>2674</v>
      </c>
    </row>
    <row r="10313">
      <c r="A10313" t="inlineStr">
        <is>
          <t>27BBBBB10313Z5</t>
        </is>
      </c>
      <c r="B10313" t="inlineStr">
        <is>
          <t>May-2018</t>
        </is>
      </c>
      <c r="C10313" s="2" t="n">
        <v>44174</v>
      </c>
      <c r="D10313" t="inlineStr">
        <is>
          <t>NIL</t>
        </is>
      </c>
      <c r="E10313" t="n">
        <v>1334</v>
      </c>
    </row>
    <row r="10314">
      <c r="A10314" t="inlineStr">
        <is>
          <t>27BBBBB10314Z5</t>
        </is>
      </c>
      <c r="B10314" t="inlineStr">
        <is>
          <t>Jul-2020</t>
        </is>
      </c>
      <c r="C10314" s="2" t="n">
        <v>44263</v>
      </c>
      <c r="D10314" t="inlineStr">
        <is>
          <t>NON-NIL</t>
        </is>
      </c>
      <c r="E10314" t="n">
        <v>1495</v>
      </c>
    </row>
    <row r="10315">
      <c r="A10315" t="inlineStr">
        <is>
          <t>27BBBBB10315Z5</t>
        </is>
      </c>
      <c r="B10315" t="inlineStr">
        <is>
          <t>Dec-2022</t>
        </is>
      </c>
      <c r="C10315" s="2" t="n">
        <v>44574</v>
      </c>
      <c r="D10315" t="inlineStr">
        <is>
          <t>NIL</t>
        </is>
      </c>
      <c r="E10315" t="n">
        <v>1128</v>
      </c>
    </row>
    <row r="10316">
      <c r="A10316" t="inlineStr">
        <is>
          <t>27BBBBB10316Z5</t>
        </is>
      </c>
      <c r="B10316" t="inlineStr">
        <is>
          <t>Apr-2020</t>
        </is>
      </c>
      <c r="C10316" s="2" t="n">
        <v>44519</v>
      </c>
      <c r="D10316" t="inlineStr">
        <is>
          <t>NIL</t>
        </is>
      </c>
      <c r="E10316" t="n">
        <v>270</v>
      </c>
    </row>
    <row r="10317">
      <c r="A10317" t="inlineStr">
        <is>
          <t>27BBBBB10317Z5</t>
        </is>
      </c>
      <c r="B10317" t="inlineStr">
        <is>
          <t>Jul-2020</t>
        </is>
      </c>
      <c r="C10317" s="2" t="n">
        <v>44353</v>
      </c>
      <c r="D10317" t="inlineStr">
        <is>
          <t>NIL</t>
        </is>
      </c>
      <c r="E10317" t="n">
        <v>42</v>
      </c>
    </row>
    <row r="10318">
      <c r="A10318" t="inlineStr">
        <is>
          <t>27BBBBB10318Z5</t>
        </is>
      </c>
      <c r="B10318" t="inlineStr">
        <is>
          <t>Sep-2017</t>
        </is>
      </c>
      <c r="C10318" s="2" t="n">
        <v>42930</v>
      </c>
      <c r="D10318" t="inlineStr">
        <is>
          <t>NON-NIL</t>
        </is>
      </c>
      <c r="E10318" t="n">
        <v>2639</v>
      </c>
    </row>
    <row r="10319">
      <c r="A10319" t="inlineStr">
        <is>
          <t>27BBBBB10319Z5</t>
        </is>
      </c>
      <c r="B10319" t="inlineStr">
        <is>
          <t>Dec-2017</t>
        </is>
      </c>
      <c r="C10319" s="2" t="n">
        <v>43686</v>
      </c>
      <c r="D10319" t="inlineStr">
        <is>
          <t>NIL</t>
        </is>
      </c>
      <c r="E10319" t="n">
        <v>1438</v>
      </c>
    </row>
    <row r="10320">
      <c r="A10320" t="inlineStr">
        <is>
          <t>27BBBBB10320Z5</t>
        </is>
      </c>
      <c r="B10320" t="inlineStr">
        <is>
          <t>Apr-2020</t>
        </is>
      </c>
      <c r="C10320" s="2" t="n">
        <v>44460</v>
      </c>
      <c r="D10320" t="inlineStr">
        <is>
          <t>NON-NIL</t>
        </is>
      </c>
      <c r="E10320" t="n">
        <v>397</v>
      </c>
    </row>
    <row r="10321">
      <c r="A10321" t="inlineStr">
        <is>
          <t>27BBBBB10321Z5</t>
        </is>
      </c>
      <c r="B10321" t="inlineStr">
        <is>
          <t>Jan-2018</t>
        </is>
      </c>
      <c r="C10321" s="2" t="n">
        <v>43927</v>
      </c>
      <c r="D10321" t="inlineStr">
        <is>
          <t>NIL</t>
        </is>
      </c>
      <c r="E10321" t="n">
        <v>2424</v>
      </c>
    </row>
    <row r="10322">
      <c r="A10322" t="inlineStr">
        <is>
          <t>27BBBBB10322Z5</t>
        </is>
      </c>
      <c r="B10322" t="inlineStr">
        <is>
          <t>Nov-2017</t>
        </is>
      </c>
      <c r="C10322" s="2" t="n">
        <v>43687</v>
      </c>
      <c r="D10322" t="inlineStr">
        <is>
          <t>NON-NIL</t>
        </is>
      </c>
      <c r="E10322" t="n">
        <v>1743</v>
      </c>
    </row>
    <row r="10323">
      <c r="A10323" t="inlineStr">
        <is>
          <t>27BBBBB10323Z5</t>
        </is>
      </c>
      <c r="B10323" t="inlineStr">
        <is>
          <t>Mar-2020</t>
        </is>
      </c>
      <c r="C10323" s="2" t="n">
        <v>44596</v>
      </c>
      <c r="D10323" t="inlineStr">
        <is>
          <t>NIL</t>
        </is>
      </c>
      <c r="E10323" t="n">
        <v>2660</v>
      </c>
    </row>
    <row r="10324">
      <c r="A10324" t="inlineStr">
        <is>
          <t>27BBBBB10324Z5</t>
        </is>
      </c>
      <c r="B10324" t="inlineStr">
        <is>
          <t>Nov-2018</t>
        </is>
      </c>
      <c r="C10324" s="2" t="n">
        <v>43327</v>
      </c>
      <c r="D10324" t="inlineStr">
        <is>
          <t>NON-NIL</t>
        </is>
      </c>
      <c r="E10324" t="n">
        <v>2937</v>
      </c>
    </row>
    <row r="10325">
      <c r="A10325" t="inlineStr">
        <is>
          <t>27BBBBB10325Z5</t>
        </is>
      </c>
      <c r="B10325" t="inlineStr">
        <is>
          <t>Jul-2017</t>
        </is>
      </c>
      <c r="C10325" s="2" t="n">
        <v>43307</v>
      </c>
      <c r="D10325" t="inlineStr">
        <is>
          <t>NON-NIL</t>
        </is>
      </c>
      <c r="E10325" t="n">
        <v>2028</v>
      </c>
    </row>
    <row r="10326">
      <c r="A10326" t="inlineStr">
        <is>
          <t>27BBBBB10326Z5</t>
        </is>
      </c>
      <c r="B10326" t="inlineStr">
        <is>
          <t>Jan-2021</t>
        </is>
      </c>
      <c r="C10326" s="2" t="n">
        <v>44372</v>
      </c>
      <c r="D10326" t="inlineStr">
        <is>
          <t>NIL</t>
        </is>
      </c>
      <c r="E10326" t="n">
        <v>759</v>
      </c>
    </row>
    <row r="10327">
      <c r="A10327" t="inlineStr">
        <is>
          <t>27BBBBB10327Z5</t>
        </is>
      </c>
      <c r="B10327" t="inlineStr">
        <is>
          <t>Mar-2021</t>
        </is>
      </c>
      <c r="C10327" s="2" t="n">
        <v>44814</v>
      </c>
      <c r="D10327" t="inlineStr">
        <is>
          <t>NON-NIL</t>
        </is>
      </c>
      <c r="E10327" t="n">
        <v>2548</v>
      </c>
    </row>
    <row r="10328">
      <c r="A10328" t="inlineStr">
        <is>
          <t>27BBBBB10328Z5</t>
        </is>
      </c>
      <c r="B10328" t="inlineStr">
        <is>
          <t>Oct-2018</t>
        </is>
      </c>
      <c r="C10328" s="2" t="n">
        <v>43010</v>
      </c>
      <c r="D10328" t="inlineStr">
        <is>
          <t>NON-NIL</t>
        </is>
      </c>
      <c r="E10328" t="n">
        <v>1436</v>
      </c>
    </row>
    <row r="10329">
      <c r="A10329" t="inlineStr">
        <is>
          <t>27BBBBB10329Z5</t>
        </is>
      </c>
      <c r="B10329" t="inlineStr">
        <is>
          <t>Oct-2017</t>
        </is>
      </c>
      <c r="C10329" s="2" t="n">
        <v>43520</v>
      </c>
      <c r="D10329" t="inlineStr">
        <is>
          <t>NON-NIL</t>
        </is>
      </c>
      <c r="E10329" t="n">
        <v>1717</v>
      </c>
    </row>
    <row r="10330">
      <c r="A10330" t="inlineStr">
        <is>
          <t>27BBBBB10330Z5</t>
        </is>
      </c>
      <c r="B10330" t="inlineStr">
        <is>
          <t>Oct-2018</t>
        </is>
      </c>
      <c r="C10330" s="2" t="n">
        <v>43551</v>
      </c>
      <c r="D10330" t="inlineStr">
        <is>
          <t>NIL</t>
        </is>
      </c>
      <c r="E10330" t="n">
        <v>234</v>
      </c>
    </row>
    <row r="10331">
      <c r="A10331" t="inlineStr">
        <is>
          <t>27BBBBB10331Z5</t>
        </is>
      </c>
      <c r="B10331" t="inlineStr">
        <is>
          <t>Nov-2017</t>
        </is>
      </c>
      <c r="C10331" s="2" t="n">
        <v>44008</v>
      </c>
      <c r="D10331" t="inlineStr">
        <is>
          <t>NON-NIL</t>
        </is>
      </c>
      <c r="E10331" t="n">
        <v>1988</v>
      </c>
    </row>
    <row r="10332">
      <c r="A10332" t="inlineStr">
        <is>
          <t>27BBBBB10332Z5</t>
        </is>
      </c>
      <c r="B10332" t="inlineStr">
        <is>
          <t>Mar-2018</t>
        </is>
      </c>
      <c r="C10332" s="2" t="n">
        <v>44414</v>
      </c>
      <c r="D10332" t="inlineStr">
        <is>
          <t>NIL</t>
        </is>
      </c>
      <c r="E10332" t="n">
        <v>1700</v>
      </c>
    </row>
    <row r="10333">
      <c r="A10333" t="inlineStr">
        <is>
          <t>27BBBBB10333Z5</t>
        </is>
      </c>
      <c r="B10333" t="inlineStr">
        <is>
          <t>Dec-2022</t>
        </is>
      </c>
      <c r="C10333" s="2" t="n">
        <v>43588</v>
      </c>
      <c r="D10333" t="inlineStr">
        <is>
          <t>NON-NIL</t>
        </is>
      </c>
      <c r="E10333" t="n">
        <v>979</v>
      </c>
    </row>
    <row r="10334">
      <c r="A10334" t="inlineStr">
        <is>
          <t>27BBBBB10334Z5</t>
        </is>
      </c>
      <c r="B10334" t="inlineStr">
        <is>
          <t>Mar-2021</t>
        </is>
      </c>
      <c r="C10334" s="2" t="n">
        <v>43835</v>
      </c>
      <c r="D10334" t="inlineStr">
        <is>
          <t>NON-NIL</t>
        </is>
      </c>
      <c r="E10334" t="n">
        <v>185</v>
      </c>
    </row>
    <row r="10335">
      <c r="A10335" t="inlineStr">
        <is>
          <t>27BBBBB10335Z5</t>
        </is>
      </c>
      <c r="B10335" t="inlineStr">
        <is>
          <t>Mar-2023</t>
        </is>
      </c>
      <c r="C10335" s="2" t="n">
        <v>44570</v>
      </c>
      <c r="D10335" t="inlineStr">
        <is>
          <t>NON-NIL</t>
        </is>
      </c>
      <c r="E10335" t="n">
        <v>2177</v>
      </c>
    </row>
    <row r="10336">
      <c r="A10336" t="inlineStr">
        <is>
          <t>27BBBBB10336Z5</t>
        </is>
      </c>
      <c r="B10336" t="inlineStr">
        <is>
          <t>Dec-2018</t>
        </is>
      </c>
      <c r="C10336" s="2" t="n">
        <v>43204</v>
      </c>
      <c r="D10336" t="inlineStr">
        <is>
          <t>NON-NIL</t>
        </is>
      </c>
      <c r="E10336" t="n">
        <v>1484</v>
      </c>
    </row>
    <row r="10337">
      <c r="A10337" t="inlineStr">
        <is>
          <t>27BBBBB10337Z5</t>
        </is>
      </c>
      <c r="B10337" t="inlineStr">
        <is>
          <t>Jul-2018</t>
        </is>
      </c>
      <c r="C10337" s="2" t="n">
        <v>44323</v>
      </c>
      <c r="D10337" t="inlineStr">
        <is>
          <t>NON-NIL</t>
        </is>
      </c>
      <c r="E10337" t="n">
        <v>429</v>
      </c>
    </row>
    <row r="10338">
      <c r="A10338" t="inlineStr">
        <is>
          <t>27BBBBB10338Z5</t>
        </is>
      </c>
      <c r="B10338" t="inlineStr">
        <is>
          <t>Dec-2017</t>
        </is>
      </c>
      <c r="C10338" s="2" t="n">
        <v>44024</v>
      </c>
      <c r="D10338" t="inlineStr">
        <is>
          <t>NIL</t>
        </is>
      </c>
      <c r="E10338" t="n">
        <v>1218</v>
      </c>
    </row>
    <row r="10339">
      <c r="A10339" t="inlineStr">
        <is>
          <t>27BBBBB10339Z5</t>
        </is>
      </c>
      <c r="B10339" t="inlineStr">
        <is>
          <t>Aug-2017</t>
        </is>
      </c>
      <c r="C10339" s="2" t="n">
        <v>43982</v>
      </c>
      <c r="D10339" t="inlineStr">
        <is>
          <t>NIL</t>
        </is>
      </c>
      <c r="E10339" t="n">
        <v>2272</v>
      </c>
    </row>
    <row r="10340">
      <c r="A10340" t="inlineStr">
        <is>
          <t>27BBBBB10340Z5</t>
        </is>
      </c>
      <c r="B10340" t="inlineStr">
        <is>
          <t>Dec-2022</t>
        </is>
      </c>
      <c r="C10340" s="2" t="n">
        <v>45317</v>
      </c>
      <c r="D10340" t="inlineStr">
        <is>
          <t>NIL</t>
        </is>
      </c>
      <c r="E10340" t="n">
        <v>1809</v>
      </c>
    </row>
    <row r="10341">
      <c r="A10341" t="inlineStr">
        <is>
          <t>27BBBBB10341Z5</t>
        </is>
      </c>
      <c r="B10341" t="inlineStr">
        <is>
          <t>May-2020</t>
        </is>
      </c>
      <c r="C10341" s="2" t="n">
        <v>44424</v>
      </c>
      <c r="D10341" t="inlineStr">
        <is>
          <t>NIL</t>
        </is>
      </c>
      <c r="E10341" t="n">
        <v>1548</v>
      </c>
    </row>
    <row r="10342">
      <c r="A10342" t="inlineStr">
        <is>
          <t>27BBBBB10342Z5</t>
        </is>
      </c>
      <c r="B10342" t="inlineStr">
        <is>
          <t>Apr-2018</t>
        </is>
      </c>
      <c r="C10342" s="2" t="n">
        <v>43938</v>
      </c>
      <c r="D10342" t="inlineStr">
        <is>
          <t>NIL</t>
        </is>
      </c>
      <c r="E10342" t="n">
        <v>2181</v>
      </c>
    </row>
    <row r="10343">
      <c r="A10343" t="inlineStr">
        <is>
          <t>27BBBBB10343Z5</t>
        </is>
      </c>
      <c r="B10343" t="inlineStr">
        <is>
          <t>Nov-2018</t>
        </is>
      </c>
      <c r="C10343" s="2" t="n">
        <v>43829</v>
      </c>
      <c r="D10343" t="inlineStr">
        <is>
          <t>NIL</t>
        </is>
      </c>
      <c r="E10343" t="n">
        <v>1044</v>
      </c>
    </row>
    <row r="10344">
      <c r="A10344" t="inlineStr">
        <is>
          <t>27BBBBB10344Z5</t>
        </is>
      </c>
      <c r="B10344" t="inlineStr">
        <is>
          <t>Apr-2018</t>
        </is>
      </c>
      <c r="C10344" s="2" t="n">
        <v>44089</v>
      </c>
      <c r="D10344" t="inlineStr">
        <is>
          <t>NIL</t>
        </is>
      </c>
      <c r="E10344" t="n">
        <v>2643</v>
      </c>
    </row>
    <row r="10345">
      <c r="A10345" t="inlineStr">
        <is>
          <t>27BBBBB10345Z5</t>
        </is>
      </c>
      <c r="B10345" t="inlineStr">
        <is>
          <t>Aug-2018</t>
        </is>
      </c>
      <c r="C10345" s="2" t="n">
        <v>44278</v>
      </c>
      <c r="D10345" t="inlineStr">
        <is>
          <t>NIL</t>
        </is>
      </c>
      <c r="E10345" t="n">
        <v>1974</v>
      </c>
    </row>
    <row r="10346">
      <c r="A10346" t="inlineStr">
        <is>
          <t>27BBBBB10346Z5</t>
        </is>
      </c>
      <c r="B10346" t="inlineStr">
        <is>
          <t>Jul-2020</t>
        </is>
      </c>
      <c r="C10346" s="2" t="n">
        <v>44221</v>
      </c>
      <c r="D10346" t="inlineStr">
        <is>
          <t>NIL</t>
        </is>
      </c>
      <c r="E10346" t="n">
        <v>616</v>
      </c>
    </row>
    <row r="10347">
      <c r="A10347" t="inlineStr">
        <is>
          <t>27BBBBB10347Z5</t>
        </is>
      </c>
      <c r="B10347" t="inlineStr">
        <is>
          <t>Oct-2018</t>
        </is>
      </c>
      <c r="C10347" s="2" t="n">
        <v>44343</v>
      </c>
      <c r="D10347" t="inlineStr">
        <is>
          <t>NON-NIL</t>
        </is>
      </c>
      <c r="E10347" t="n">
        <v>2629</v>
      </c>
    </row>
    <row r="10348">
      <c r="A10348" t="inlineStr">
        <is>
          <t>27BBBBB10348Z5</t>
        </is>
      </c>
      <c r="B10348" t="inlineStr">
        <is>
          <t>Dec-2018</t>
        </is>
      </c>
      <c r="C10348" s="2" t="n">
        <v>43934</v>
      </c>
      <c r="D10348" t="inlineStr">
        <is>
          <t>NON-NIL</t>
        </is>
      </c>
      <c r="E10348" t="n">
        <v>783</v>
      </c>
    </row>
    <row r="10349">
      <c r="A10349" t="inlineStr">
        <is>
          <t>27BBBBB10349Z5</t>
        </is>
      </c>
      <c r="B10349" t="inlineStr">
        <is>
          <t>Nov-2017</t>
        </is>
      </c>
      <c r="C10349" s="2" t="n">
        <v>44436</v>
      </c>
      <c r="D10349" t="inlineStr">
        <is>
          <t>NIL</t>
        </is>
      </c>
      <c r="E10349" t="n">
        <v>1466</v>
      </c>
    </row>
    <row r="10350">
      <c r="A10350" t="inlineStr">
        <is>
          <t>27BBBBB10350Z5</t>
        </is>
      </c>
      <c r="B10350" t="inlineStr">
        <is>
          <t>Aug-2017</t>
        </is>
      </c>
      <c r="C10350" s="2" t="n">
        <v>42979</v>
      </c>
      <c r="D10350" t="inlineStr">
        <is>
          <t>NIL</t>
        </is>
      </c>
      <c r="E10350" t="n">
        <v>2433</v>
      </c>
    </row>
    <row r="10351">
      <c r="A10351" t="inlineStr">
        <is>
          <t>27BBBBB10351Z5</t>
        </is>
      </c>
      <c r="B10351" t="inlineStr">
        <is>
          <t>Dec-2022</t>
        </is>
      </c>
      <c r="C10351" s="2" t="n">
        <v>44558</v>
      </c>
      <c r="D10351" t="inlineStr">
        <is>
          <t>NIL</t>
        </is>
      </c>
      <c r="E10351" t="n">
        <v>1595</v>
      </c>
    </row>
    <row r="10352">
      <c r="A10352" t="inlineStr">
        <is>
          <t>27BBBBB10352Z5</t>
        </is>
      </c>
      <c r="B10352" t="inlineStr">
        <is>
          <t>May-2018</t>
        </is>
      </c>
      <c r="C10352" s="2" t="n">
        <v>44140</v>
      </c>
      <c r="D10352" t="inlineStr">
        <is>
          <t>NON-NIL</t>
        </is>
      </c>
      <c r="E10352" t="n">
        <v>7</v>
      </c>
    </row>
    <row r="10353">
      <c r="A10353" t="inlineStr">
        <is>
          <t>27BBBBB10353Z5</t>
        </is>
      </c>
      <c r="B10353" t="inlineStr">
        <is>
          <t>Mar-2023</t>
        </is>
      </c>
      <c r="C10353" s="2" t="n">
        <v>45468</v>
      </c>
      <c r="D10353" t="inlineStr">
        <is>
          <t>NON-NIL</t>
        </is>
      </c>
      <c r="E10353" t="n">
        <v>1142</v>
      </c>
    </row>
    <row r="10354">
      <c r="A10354" t="inlineStr">
        <is>
          <t>27BBBBB10354Z5</t>
        </is>
      </c>
      <c r="B10354" t="inlineStr">
        <is>
          <t>Dec-2022</t>
        </is>
      </c>
      <c r="C10354" s="2" t="n">
        <v>44879</v>
      </c>
      <c r="D10354" t="inlineStr">
        <is>
          <t>NON-NIL</t>
        </is>
      </c>
      <c r="E10354" t="n">
        <v>2926</v>
      </c>
    </row>
    <row r="10355">
      <c r="A10355" t="inlineStr">
        <is>
          <t>27BBBBB10355Z5</t>
        </is>
      </c>
      <c r="B10355" t="inlineStr">
        <is>
          <t>Jun-2020</t>
        </is>
      </c>
      <c r="C10355" s="2" t="n">
        <v>44213</v>
      </c>
      <c r="D10355" t="inlineStr">
        <is>
          <t>NIL</t>
        </is>
      </c>
      <c r="E10355" t="n">
        <v>866</v>
      </c>
    </row>
    <row r="10356">
      <c r="A10356" t="inlineStr">
        <is>
          <t>27BBBBB10356Z5</t>
        </is>
      </c>
      <c r="B10356" t="inlineStr">
        <is>
          <t>Jan-2018</t>
        </is>
      </c>
      <c r="C10356" s="2" t="n">
        <v>43812</v>
      </c>
      <c r="D10356" t="inlineStr">
        <is>
          <t>NIL</t>
        </is>
      </c>
      <c r="E10356" t="n">
        <v>1706</v>
      </c>
    </row>
    <row r="10357">
      <c r="A10357" t="inlineStr">
        <is>
          <t>27BBBBB10357Z5</t>
        </is>
      </c>
      <c r="B10357" t="inlineStr">
        <is>
          <t>Mar-2021</t>
        </is>
      </c>
      <c r="C10357" s="2" t="n">
        <v>44491</v>
      </c>
      <c r="D10357" t="inlineStr">
        <is>
          <t>NIL</t>
        </is>
      </c>
      <c r="E10357" t="n">
        <v>1219</v>
      </c>
    </row>
    <row r="10358">
      <c r="A10358" t="inlineStr">
        <is>
          <t>27BBBBB10358Z5</t>
        </is>
      </c>
      <c r="B10358" t="inlineStr">
        <is>
          <t>Sep-2018</t>
        </is>
      </c>
      <c r="C10358" s="2" t="n">
        <v>43191</v>
      </c>
      <c r="D10358" t="inlineStr">
        <is>
          <t>NON-NIL</t>
        </is>
      </c>
      <c r="E10358" t="n">
        <v>2373</v>
      </c>
    </row>
    <row r="10359">
      <c r="A10359" t="inlineStr">
        <is>
          <t>27BBBBB10359Z5</t>
        </is>
      </c>
      <c r="B10359" t="inlineStr">
        <is>
          <t>Jul-2020</t>
        </is>
      </c>
      <c r="C10359" s="2" t="n">
        <v>44279</v>
      </c>
      <c r="D10359" t="inlineStr">
        <is>
          <t>NIL</t>
        </is>
      </c>
      <c r="E10359" t="n">
        <v>424</v>
      </c>
    </row>
    <row r="10360">
      <c r="A10360" t="inlineStr">
        <is>
          <t>27BBBBB10360Z5</t>
        </is>
      </c>
      <c r="B10360" t="inlineStr">
        <is>
          <t>Dec-2024</t>
        </is>
      </c>
      <c r="C10360" s="2" t="n">
        <v>44817</v>
      </c>
      <c r="D10360" t="inlineStr">
        <is>
          <t>NIL</t>
        </is>
      </c>
      <c r="E10360" t="n">
        <v>2351</v>
      </c>
    </row>
    <row r="10361">
      <c r="A10361" t="inlineStr">
        <is>
          <t>27BBBBB10361Z5</t>
        </is>
      </c>
      <c r="B10361" t="inlineStr">
        <is>
          <t>Jul-2020</t>
        </is>
      </c>
      <c r="C10361" s="2" t="n">
        <v>44569</v>
      </c>
      <c r="D10361" t="inlineStr">
        <is>
          <t>NON-NIL</t>
        </is>
      </c>
      <c r="E10361" t="n">
        <v>323</v>
      </c>
    </row>
    <row r="10362">
      <c r="A10362" t="inlineStr">
        <is>
          <t>27BBBBB10362Z5</t>
        </is>
      </c>
      <c r="B10362" t="inlineStr">
        <is>
          <t>Jan-2021</t>
        </is>
      </c>
      <c r="C10362" s="2" t="n">
        <v>45315</v>
      </c>
      <c r="D10362" t="inlineStr">
        <is>
          <t>NIL</t>
        </is>
      </c>
      <c r="E10362" t="n">
        <v>2082</v>
      </c>
    </row>
    <row r="10363">
      <c r="A10363" t="inlineStr">
        <is>
          <t>27BBBBB10363Z5</t>
        </is>
      </c>
      <c r="B10363" t="inlineStr">
        <is>
          <t>Nov-2018</t>
        </is>
      </c>
      <c r="C10363" s="2" t="n">
        <v>43651</v>
      </c>
      <c r="D10363" t="inlineStr">
        <is>
          <t>NON-NIL</t>
        </is>
      </c>
      <c r="E10363" t="n">
        <v>2225</v>
      </c>
    </row>
    <row r="10364">
      <c r="A10364" t="inlineStr">
        <is>
          <t>27BBBBB10364Z5</t>
        </is>
      </c>
      <c r="B10364" t="inlineStr">
        <is>
          <t>Jan-2021</t>
        </is>
      </c>
      <c r="C10364" s="2" t="n">
        <v>43927</v>
      </c>
      <c r="D10364" t="inlineStr">
        <is>
          <t>NIL</t>
        </is>
      </c>
      <c r="E10364" t="n">
        <v>1770</v>
      </c>
    </row>
    <row r="10365">
      <c r="A10365" t="inlineStr">
        <is>
          <t>27BBBBB10365Z5</t>
        </is>
      </c>
      <c r="B10365" t="inlineStr">
        <is>
          <t>Mar-2018</t>
        </is>
      </c>
      <c r="C10365" s="2" t="n">
        <v>44153</v>
      </c>
      <c r="D10365" t="inlineStr">
        <is>
          <t>NIL</t>
        </is>
      </c>
      <c r="E10365" t="n">
        <v>2779</v>
      </c>
    </row>
    <row r="10366">
      <c r="A10366" t="inlineStr">
        <is>
          <t>27BBBBB10366Z5</t>
        </is>
      </c>
      <c r="B10366" t="inlineStr">
        <is>
          <t>Mar-2020</t>
        </is>
      </c>
      <c r="C10366" s="2" t="n">
        <v>44344</v>
      </c>
      <c r="D10366" t="inlineStr">
        <is>
          <t>NIL</t>
        </is>
      </c>
      <c r="E10366" t="n">
        <v>2879</v>
      </c>
    </row>
    <row r="10367">
      <c r="A10367" t="inlineStr">
        <is>
          <t>27BBBBB10367Z5</t>
        </is>
      </c>
      <c r="B10367" t="inlineStr">
        <is>
          <t>Dec-2017</t>
        </is>
      </c>
      <c r="C10367" s="2" t="n">
        <v>43676</v>
      </c>
      <c r="D10367" t="inlineStr">
        <is>
          <t>NON-NIL</t>
        </is>
      </c>
      <c r="E10367" t="n">
        <v>1981</v>
      </c>
    </row>
    <row r="10368">
      <c r="A10368" t="inlineStr">
        <is>
          <t>27BBBBB10368Z5</t>
        </is>
      </c>
      <c r="B10368" t="inlineStr">
        <is>
          <t>Nov-2017</t>
        </is>
      </c>
      <c r="C10368" s="2" t="n">
        <v>43527</v>
      </c>
      <c r="D10368" t="inlineStr">
        <is>
          <t>NON-NIL</t>
        </is>
      </c>
      <c r="E10368" t="n">
        <v>835</v>
      </c>
    </row>
    <row r="10369">
      <c r="A10369" t="inlineStr">
        <is>
          <t>27BBBBB10369Z5</t>
        </is>
      </c>
      <c r="B10369" t="inlineStr">
        <is>
          <t>Jan-2018</t>
        </is>
      </c>
      <c r="C10369" s="2" t="n">
        <v>42985</v>
      </c>
      <c r="D10369" t="inlineStr">
        <is>
          <t>NIL</t>
        </is>
      </c>
      <c r="E10369" t="n">
        <v>1239</v>
      </c>
    </row>
    <row r="10370">
      <c r="A10370" t="inlineStr">
        <is>
          <t>27BBBBB10370Z5</t>
        </is>
      </c>
      <c r="B10370" t="inlineStr">
        <is>
          <t>May-2018</t>
        </is>
      </c>
      <c r="C10370" s="2" t="n">
        <v>44019</v>
      </c>
      <c r="D10370" t="inlineStr">
        <is>
          <t>NON-NIL</t>
        </is>
      </c>
      <c r="E10370" t="n">
        <v>17</v>
      </c>
    </row>
    <row r="10371">
      <c r="A10371" t="inlineStr">
        <is>
          <t>27BBBBB10371Z5</t>
        </is>
      </c>
      <c r="B10371" t="inlineStr">
        <is>
          <t>Mar-2020</t>
        </is>
      </c>
      <c r="C10371" s="2" t="n">
        <v>44394</v>
      </c>
      <c r="D10371" t="inlineStr">
        <is>
          <t>NIL</t>
        </is>
      </c>
      <c r="E10371" t="n">
        <v>171</v>
      </c>
    </row>
    <row r="10372">
      <c r="A10372" t="inlineStr">
        <is>
          <t>27BBBBB10372Z5</t>
        </is>
      </c>
      <c r="B10372" t="inlineStr">
        <is>
          <t>Nov-2018</t>
        </is>
      </c>
      <c r="C10372" s="2" t="n">
        <v>44085</v>
      </c>
      <c r="D10372" t="inlineStr">
        <is>
          <t>NON-NIL</t>
        </is>
      </c>
      <c r="E10372" t="n">
        <v>1011</v>
      </c>
    </row>
    <row r="10373">
      <c r="A10373" t="inlineStr">
        <is>
          <t>27BBBBB10373Z5</t>
        </is>
      </c>
      <c r="B10373" t="inlineStr">
        <is>
          <t>May-2020</t>
        </is>
      </c>
      <c r="C10373" s="2" t="n">
        <v>44723</v>
      </c>
      <c r="D10373" t="inlineStr">
        <is>
          <t>NON-NIL</t>
        </is>
      </c>
      <c r="E10373" t="n">
        <v>1721</v>
      </c>
    </row>
    <row r="10374">
      <c r="A10374" t="inlineStr">
        <is>
          <t>27BBBBB10374Z5</t>
        </is>
      </c>
      <c r="B10374" t="inlineStr">
        <is>
          <t>Jul-2020</t>
        </is>
      </c>
      <c r="C10374" s="2" t="n">
        <v>44437</v>
      </c>
      <c r="D10374" t="inlineStr">
        <is>
          <t>NON-NIL</t>
        </is>
      </c>
      <c r="E10374" t="n">
        <v>2754</v>
      </c>
    </row>
    <row r="10375">
      <c r="A10375" t="inlineStr">
        <is>
          <t>27BBBBB10375Z5</t>
        </is>
      </c>
      <c r="B10375" t="inlineStr">
        <is>
          <t>Aug-2017</t>
        </is>
      </c>
      <c r="C10375" s="2" t="n">
        <v>43598</v>
      </c>
      <c r="D10375" t="inlineStr">
        <is>
          <t>NON-NIL</t>
        </is>
      </c>
      <c r="E10375" t="n">
        <v>2809</v>
      </c>
    </row>
    <row r="10376">
      <c r="A10376" t="inlineStr">
        <is>
          <t>27BBBBB10376Z5</t>
        </is>
      </c>
      <c r="B10376" t="inlineStr">
        <is>
          <t>Oct-2018</t>
        </is>
      </c>
      <c r="C10376" s="2" t="n">
        <v>43116</v>
      </c>
      <c r="D10376" t="inlineStr">
        <is>
          <t>NON-NIL</t>
        </is>
      </c>
      <c r="E10376" t="n">
        <v>482</v>
      </c>
    </row>
    <row r="10377">
      <c r="A10377" t="inlineStr">
        <is>
          <t>27BBBBB10377Z5</t>
        </is>
      </c>
      <c r="B10377" t="inlineStr">
        <is>
          <t>Feb-2018</t>
        </is>
      </c>
      <c r="C10377" s="2" t="n">
        <v>44453</v>
      </c>
      <c r="D10377" t="inlineStr">
        <is>
          <t>NIL</t>
        </is>
      </c>
      <c r="E10377" t="n">
        <v>1788</v>
      </c>
    </row>
    <row r="10378">
      <c r="A10378" t="inlineStr">
        <is>
          <t>27BBBBB10378Z5</t>
        </is>
      </c>
      <c r="B10378" t="inlineStr">
        <is>
          <t>Apr-2020</t>
        </is>
      </c>
      <c r="C10378" s="2" t="n">
        <v>44569</v>
      </c>
      <c r="D10378" t="inlineStr">
        <is>
          <t>NON-NIL</t>
        </is>
      </c>
      <c r="E10378" t="n">
        <v>2839</v>
      </c>
    </row>
    <row r="10379">
      <c r="A10379" t="inlineStr">
        <is>
          <t>27BBBBB10379Z5</t>
        </is>
      </c>
      <c r="B10379" t="inlineStr">
        <is>
          <t>Aug-2017</t>
        </is>
      </c>
      <c r="C10379" s="2" t="n">
        <v>43882</v>
      </c>
      <c r="D10379" t="inlineStr">
        <is>
          <t>NIL</t>
        </is>
      </c>
      <c r="E10379" t="n">
        <v>912</v>
      </c>
    </row>
    <row r="10380">
      <c r="A10380" t="inlineStr">
        <is>
          <t>27BBBBB10380Z5</t>
        </is>
      </c>
      <c r="B10380" t="inlineStr">
        <is>
          <t>Jul-2017</t>
        </is>
      </c>
      <c r="C10380" s="2" t="n">
        <v>44444</v>
      </c>
      <c r="D10380" t="inlineStr">
        <is>
          <t>NIL</t>
        </is>
      </c>
      <c r="E10380" t="n">
        <v>633</v>
      </c>
    </row>
    <row r="10381">
      <c r="A10381" t="inlineStr">
        <is>
          <t>27BBBBB10381Z5</t>
        </is>
      </c>
      <c r="B10381" t="inlineStr">
        <is>
          <t>Jun-2020</t>
        </is>
      </c>
      <c r="C10381" s="2" t="n">
        <v>44872</v>
      </c>
      <c r="D10381" t="inlineStr">
        <is>
          <t>NON-NIL</t>
        </is>
      </c>
      <c r="E10381" t="n">
        <v>2175</v>
      </c>
    </row>
    <row r="10382">
      <c r="A10382" t="inlineStr">
        <is>
          <t>27BBBBB10382Z5</t>
        </is>
      </c>
      <c r="B10382" t="inlineStr">
        <is>
          <t>May-2018</t>
        </is>
      </c>
      <c r="C10382" s="2" t="n">
        <v>43243</v>
      </c>
      <c r="D10382" t="inlineStr">
        <is>
          <t>NON-NIL</t>
        </is>
      </c>
      <c r="E10382" t="n">
        <v>2842</v>
      </c>
    </row>
    <row r="10383">
      <c r="A10383" t="inlineStr">
        <is>
          <t>27BBBBB10383Z5</t>
        </is>
      </c>
      <c r="B10383" t="inlineStr">
        <is>
          <t>Nov-2017</t>
        </is>
      </c>
      <c r="C10383" s="2" t="n">
        <v>44399</v>
      </c>
      <c r="D10383" t="inlineStr">
        <is>
          <t>NON-NIL</t>
        </is>
      </c>
      <c r="E10383" t="n">
        <v>1272</v>
      </c>
    </row>
    <row r="10384">
      <c r="A10384" t="inlineStr">
        <is>
          <t>27BBBBB10384Z5</t>
        </is>
      </c>
      <c r="B10384" t="inlineStr">
        <is>
          <t>Jul-2017</t>
        </is>
      </c>
      <c r="C10384" s="2" t="n">
        <v>43769</v>
      </c>
      <c r="D10384" t="inlineStr">
        <is>
          <t>NON-NIL</t>
        </is>
      </c>
      <c r="E10384" t="n">
        <v>784</v>
      </c>
    </row>
    <row r="10385">
      <c r="A10385" t="inlineStr">
        <is>
          <t>27BBBBB10385Z5</t>
        </is>
      </c>
      <c r="B10385" t="inlineStr">
        <is>
          <t>Jun-2018</t>
        </is>
      </c>
      <c r="C10385" s="2" t="n">
        <v>44372</v>
      </c>
      <c r="D10385" t="inlineStr">
        <is>
          <t>NIL</t>
        </is>
      </c>
      <c r="E10385" t="n">
        <v>2040</v>
      </c>
    </row>
    <row r="10386">
      <c r="A10386" t="inlineStr">
        <is>
          <t>27BBBBB10386Z5</t>
        </is>
      </c>
      <c r="B10386" t="inlineStr">
        <is>
          <t>Sep-2017</t>
        </is>
      </c>
      <c r="C10386" s="2" t="n">
        <v>43869</v>
      </c>
      <c r="D10386" t="inlineStr">
        <is>
          <t>NIL</t>
        </is>
      </c>
      <c r="E10386" t="n">
        <v>495</v>
      </c>
    </row>
    <row r="10387">
      <c r="A10387" t="inlineStr">
        <is>
          <t>27BBBBB10387Z5</t>
        </is>
      </c>
      <c r="B10387" t="inlineStr">
        <is>
          <t>Dec-2018</t>
        </is>
      </c>
      <c r="C10387" s="2" t="n">
        <v>43960</v>
      </c>
      <c r="D10387" t="inlineStr">
        <is>
          <t>NIL</t>
        </is>
      </c>
      <c r="E10387" t="n">
        <v>585</v>
      </c>
    </row>
    <row r="10388">
      <c r="A10388" t="inlineStr">
        <is>
          <t>27BBBBB10388Z5</t>
        </is>
      </c>
      <c r="B10388" t="inlineStr">
        <is>
          <t>Sep-2017</t>
        </is>
      </c>
      <c r="C10388" s="2" t="n">
        <v>43424</v>
      </c>
      <c r="D10388" t="inlineStr">
        <is>
          <t>NIL</t>
        </is>
      </c>
      <c r="E10388" t="n">
        <v>1817</v>
      </c>
    </row>
    <row r="10389">
      <c r="A10389" t="inlineStr">
        <is>
          <t>27BBBBB10389Z5</t>
        </is>
      </c>
      <c r="B10389" t="inlineStr">
        <is>
          <t>Nov-2017</t>
        </is>
      </c>
      <c r="C10389" s="2" t="n">
        <v>43391</v>
      </c>
      <c r="D10389" t="inlineStr">
        <is>
          <t>NON-NIL</t>
        </is>
      </c>
      <c r="E10389" t="n">
        <v>2960</v>
      </c>
    </row>
    <row r="10390">
      <c r="A10390" t="inlineStr">
        <is>
          <t>27BBBBB10390Z5</t>
        </is>
      </c>
      <c r="B10390" t="inlineStr">
        <is>
          <t>Sep-2017</t>
        </is>
      </c>
      <c r="C10390" s="2" t="n">
        <v>43335</v>
      </c>
      <c r="D10390" t="inlineStr">
        <is>
          <t>NIL</t>
        </is>
      </c>
      <c r="E10390" t="n">
        <v>2652</v>
      </c>
    </row>
    <row r="10391">
      <c r="A10391" t="inlineStr">
        <is>
          <t>27BBBBB10391Z5</t>
        </is>
      </c>
      <c r="B10391" t="inlineStr">
        <is>
          <t>Mar-2021</t>
        </is>
      </c>
      <c r="C10391" s="2" t="n">
        <v>45696</v>
      </c>
      <c r="D10391" t="inlineStr">
        <is>
          <t>NIL</t>
        </is>
      </c>
      <c r="E10391" t="n">
        <v>87</v>
      </c>
    </row>
    <row r="10392">
      <c r="A10392" t="inlineStr">
        <is>
          <t>27BBBBB10392Z5</t>
        </is>
      </c>
      <c r="B10392" t="inlineStr">
        <is>
          <t>Aug-2017</t>
        </is>
      </c>
      <c r="C10392" s="2" t="n">
        <v>44481</v>
      </c>
      <c r="D10392" t="inlineStr">
        <is>
          <t>NIL</t>
        </is>
      </c>
      <c r="E10392" t="n">
        <v>2457</v>
      </c>
    </row>
    <row r="10393">
      <c r="A10393" t="inlineStr">
        <is>
          <t>27BBBBB10393Z5</t>
        </is>
      </c>
      <c r="B10393" t="inlineStr">
        <is>
          <t>May-2018</t>
        </is>
      </c>
      <c r="C10393" s="2" t="n">
        <v>44162</v>
      </c>
      <c r="D10393" t="inlineStr">
        <is>
          <t>NON-NIL</t>
        </is>
      </c>
      <c r="E10393" t="n">
        <v>17</v>
      </c>
    </row>
    <row r="10394">
      <c r="A10394" t="inlineStr">
        <is>
          <t>27BBBBB10394Z5</t>
        </is>
      </c>
      <c r="B10394" t="inlineStr">
        <is>
          <t>Nov-2018</t>
        </is>
      </c>
      <c r="C10394" s="2" t="n">
        <v>44224</v>
      </c>
      <c r="D10394" t="inlineStr">
        <is>
          <t>NON-NIL</t>
        </is>
      </c>
      <c r="E10394" t="n">
        <v>1035</v>
      </c>
    </row>
    <row r="10395">
      <c r="A10395" t="inlineStr">
        <is>
          <t>27BBBBB10395Z5</t>
        </is>
      </c>
      <c r="B10395" t="inlineStr">
        <is>
          <t>Apr-2020</t>
        </is>
      </c>
      <c r="C10395" s="2" t="n">
        <v>44557</v>
      </c>
      <c r="D10395" t="inlineStr">
        <is>
          <t>NIL</t>
        </is>
      </c>
      <c r="E10395" t="n">
        <v>892</v>
      </c>
    </row>
    <row r="10396">
      <c r="A10396" t="inlineStr">
        <is>
          <t>27BBBBB10396Z5</t>
        </is>
      </c>
      <c r="B10396" t="inlineStr">
        <is>
          <t>Jan-2018</t>
        </is>
      </c>
      <c r="C10396" s="2" t="n">
        <v>43437</v>
      </c>
      <c r="D10396" t="inlineStr">
        <is>
          <t>NON-NIL</t>
        </is>
      </c>
      <c r="E10396" t="n">
        <v>1817</v>
      </c>
    </row>
    <row r="10397">
      <c r="A10397" t="inlineStr">
        <is>
          <t>27BBBBB10397Z5</t>
        </is>
      </c>
      <c r="B10397" t="inlineStr">
        <is>
          <t>Jul-2017</t>
        </is>
      </c>
      <c r="C10397" s="2" t="n">
        <v>43670</v>
      </c>
      <c r="D10397" t="inlineStr">
        <is>
          <t>NON-NIL</t>
        </is>
      </c>
      <c r="E10397" t="n">
        <v>1838</v>
      </c>
    </row>
    <row r="10398">
      <c r="A10398" t="inlineStr">
        <is>
          <t>27BBBBB10398Z5</t>
        </is>
      </c>
      <c r="B10398" t="inlineStr">
        <is>
          <t>Jan-2018</t>
        </is>
      </c>
      <c r="C10398" s="2" t="n">
        <v>43721</v>
      </c>
      <c r="D10398" t="inlineStr">
        <is>
          <t>NON-NIL</t>
        </is>
      </c>
      <c r="E10398" t="n">
        <v>461</v>
      </c>
    </row>
    <row r="10399">
      <c r="A10399" t="inlineStr">
        <is>
          <t>27BBBBB10399Z5</t>
        </is>
      </c>
      <c r="B10399" t="inlineStr">
        <is>
          <t>Apr-2018</t>
        </is>
      </c>
      <c r="C10399" s="2" t="n">
        <v>43040</v>
      </c>
      <c r="D10399" t="inlineStr">
        <is>
          <t>NIL</t>
        </is>
      </c>
      <c r="E10399" t="n">
        <v>750</v>
      </c>
    </row>
    <row r="10400">
      <c r="A10400" t="inlineStr">
        <is>
          <t>27BBBBB10400Z5</t>
        </is>
      </c>
      <c r="B10400" t="inlineStr">
        <is>
          <t>Jul-2018</t>
        </is>
      </c>
      <c r="C10400" s="2" t="n">
        <v>44154</v>
      </c>
      <c r="D10400" t="inlineStr">
        <is>
          <t>NON-NIL</t>
        </is>
      </c>
      <c r="E10400" t="n">
        <v>1738</v>
      </c>
    </row>
    <row r="10401">
      <c r="A10401" t="inlineStr">
        <is>
          <t>27BBBBB10401Z5</t>
        </is>
      </c>
      <c r="B10401" t="inlineStr">
        <is>
          <t>Dec-2022</t>
        </is>
      </c>
      <c r="C10401" s="2" t="n">
        <v>44185</v>
      </c>
      <c r="D10401" t="inlineStr">
        <is>
          <t>NIL</t>
        </is>
      </c>
      <c r="E10401" t="n">
        <v>2558</v>
      </c>
    </row>
    <row r="10402">
      <c r="A10402" t="inlineStr">
        <is>
          <t>27BBBBB10402Z5</t>
        </is>
      </c>
      <c r="B10402" t="inlineStr">
        <is>
          <t>Mar-2018</t>
        </is>
      </c>
      <c r="C10402" s="2" t="n">
        <v>43960</v>
      </c>
      <c r="D10402" t="inlineStr">
        <is>
          <t>NON-NIL</t>
        </is>
      </c>
      <c r="E10402" t="n">
        <v>2886</v>
      </c>
    </row>
    <row r="10403">
      <c r="A10403" t="inlineStr">
        <is>
          <t>27BBBBB10403Z5</t>
        </is>
      </c>
      <c r="B10403" t="inlineStr">
        <is>
          <t>May-2020</t>
        </is>
      </c>
      <c r="C10403" s="2" t="n">
        <v>44634</v>
      </c>
      <c r="D10403" t="inlineStr">
        <is>
          <t>NIL</t>
        </is>
      </c>
      <c r="E10403" t="n">
        <v>2987</v>
      </c>
    </row>
    <row r="10404">
      <c r="A10404" t="inlineStr">
        <is>
          <t>27BBBBB10404Z5</t>
        </is>
      </c>
      <c r="B10404" t="inlineStr">
        <is>
          <t>Dec-2018</t>
        </is>
      </c>
      <c r="C10404" s="2" t="n">
        <v>43031</v>
      </c>
      <c r="D10404" t="inlineStr">
        <is>
          <t>NIL</t>
        </is>
      </c>
      <c r="E10404" t="n">
        <v>2155</v>
      </c>
    </row>
    <row r="10405">
      <c r="A10405" t="inlineStr">
        <is>
          <t>27BBBBB10405Z5</t>
        </is>
      </c>
      <c r="B10405" t="inlineStr">
        <is>
          <t>Nov-2018</t>
        </is>
      </c>
      <c r="C10405" s="2" t="n">
        <v>43221</v>
      </c>
      <c r="D10405" t="inlineStr">
        <is>
          <t>NIL</t>
        </is>
      </c>
      <c r="E10405" t="n">
        <v>2306</v>
      </c>
    </row>
    <row r="10406">
      <c r="A10406" t="inlineStr">
        <is>
          <t>27BBBBB10406Z5</t>
        </is>
      </c>
      <c r="B10406" t="inlineStr">
        <is>
          <t>Nov-2018</t>
        </is>
      </c>
      <c r="C10406" s="2" t="n">
        <v>44021</v>
      </c>
      <c r="D10406" t="inlineStr">
        <is>
          <t>NON-NIL</t>
        </is>
      </c>
      <c r="E10406" t="n">
        <v>791</v>
      </c>
    </row>
    <row r="10407">
      <c r="A10407" t="inlineStr">
        <is>
          <t>27BBBBB10407Z5</t>
        </is>
      </c>
      <c r="B10407" t="inlineStr">
        <is>
          <t>Oct-2018</t>
        </is>
      </c>
      <c r="C10407" s="2" t="n">
        <v>43878</v>
      </c>
      <c r="D10407" t="inlineStr">
        <is>
          <t>NIL</t>
        </is>
      </c>
      <c r="E10407" t="n">
        <v>425</v>
      </c>
    </row>
    <row r="10408">
      <c r="A10408" t="inlineStr">
        <is>
          <t>27BBBBB10408Z5</t>
        </is>
      </c>
      <c r="B10408" t="inlineStr">
        <is>
          <t>Sep-2017</t>
        </is>
      </c>
      <c r="C10408" s="2" t="n">
        <v>43964</v>
      </c>
      <c r="D10408" t="inlineStr">
        <is>
          <t>NIL</t>
        </is>
      </c>
      <c r="E10408" t="n">
        <v>2588</v>
      </c>
    </row>
    <row r="10409">
      <c r="A10409" t="inlineStr">
        <is>
          <t>27BBBBB10409Z5</t>
        </is>
      </c>
      <c r="B10409" t="inlineStr">
        <is>
          <t>May-2020</t>
        </is>
      </c>
      <c r="C10409" s="2" t="n">
        <v>43974</v>
      </c>
      <c r="D10409" t="inlineStr">
        <is>
          <t>NON-NIL</t>
        </is>
      </c>
      <c r="E10409" t="n">
        <v>349</v>
      </c>
    </row>
    <row r="10410">
      <c r="A10410" t="inlineStr">
        <is>
          <t>27BBBBB10410Z5</t>
        </is>
      </c>
      <c r="B10410" t="inlineStr">
        <is>
          <t>Jul-2020</t>
        </is>
      </c>
      <c r="C10410" s="2" t="n">
        <v>44817</v>
      </c>
      <c r="D10410" t="inlineStr">
        <is>
          <t>NON-NIL</t>
        </is>
      </c>
      <c r="E10410" t="n">
        <v>2677</v>
      </c>
    </row>
    <row r="10411">
      <c r="A10411" t="inlineStr">
        <is>
          <t>27BBBBB10411Z5</t>
        </is>
      </c>
      <c r="B10411" t="inlineStr">
        <is>
          <t>Feb-2018</t>
        </is>
      </c>
      <c r="C10411" s="2" t="n">
        <v>42985</v>
      </c>
      <c r="D10411" t="inlineStr">
        <is>
          <t>NON-NIL</t>
        </is>
      </c>
      <c r="E10411" t="n">
        <v>678</v>
      </c>
    </row>
    <row r="10412">
      <c r="A10412" t="inlineStr">
        <is>
          <t>27BBBBB10412Z5</t>
        </is>
      </c>
      <c r="B10412" t="inlineStr">
        <is>
          <t>Jun-2020</t>
        </is>
      </c>
      <c r="C10412" s="2" t="n">
        <v>43867</v>
      </c>
      <c r="D10412" t="inlineStr">
        <is>
          <t>NON-NIL</t>
        </is>
      </c>
      <c r="E10412" t="n">
        <v>2049</v>
      </c>
    </row>
    <row r="10413">
      <c r="A10413" t="inlineStr">
        <is>
          <t>27BBBBB10413Z5</t>
        </is>
      </c>
      <c r="B10413" t="inlineStr">
        <is>
          <t>Jul-2020</t>
        </is>
      </c>
      <c r="C10413" s="2" t="n">
        <v>44660</v>
      </c>
      <c r="D10413" t="inlineStr">
        <is>
          <t>NIL</t>
        </is>
      </c>
      <c r="E10413" t="n">
        <v>2244</v>
      </c>
    </row>
    <row r="10414">
      <c r="A10414" t="inlineStr">
        <is>
          <t>27BBBBB10414Z5</t>
        </is>
      </c>
      <c r="B10414" t="inlineStr">
        <is>
          <t>Nov-2017</t>
        </is>
      </c>
      <c r="C10414" s="2" t="n">
        <v>43026</v>
      </c>
      <c r="D10414" t="inlineStr">
        <is>
          <t>NON-NIL</t>
        </is>
      </c>
      <c r="E10414" t="n">
        <v>290</v>
      </c>
    </row>
    <row r="10415">
      <c r="A10415" t="inlineStr">
        <is>
          <t>27BBBBB10415Z5</t>
        </is>
      </c>
      <c r="B10415" t="inlineStr">
        <is>
          <t>Nov-2017</t>
        </is>
      </c>
      <c r="C10415" s="2" t="n">
        <v>44477</v>
      </c>
      <c r="D10415" t="inlineStr">
        <is>
          <t>NIL</t>
        </is>
      </c>
      <c r="E10415" t="n">
        <v>1352</v>
      </c>
    </row>
    <row r="10416">
      <c r="A10416" t="inlineStr">
        <is>
          <t>27BBBBB10416Z5</t>
        </is>
      </c>
      <c r="B10416" t="inlineStr">
        <is>
          <t>Aug-2017</t>
        </is>
      </c>
      <c r="C10416" s="2" t="n">
        <v>43767</v>
      </c>
      <c r="D10416" t="inlineStr">
        <is>
          <t>NIL</t>
        </is>
      </c>
      <c r="E10416" t="n">
        <v>728</v>
      </c>
    </row>
    <row r="10417">
      <c r="A10417" t="inlineStr">
        <is>
          <t>27BBBBB10417Z5</t>
        </is>
      </c>
      <c r="B10417" t="inlineStr">
        <is>
          <t>Sep-2017</t>
        </is>
      </c>
      <c r="C10417" s="2" t="n">
        <v>43440</v>
      </c>
      <c r="D10417" t="inlineStr">
        <is>
          <t>NON-NIL</t>
        </is>
      </c>
      <c r="E10417" t="n">
        <v>1496</v>
      </c>
    </row>
    <row r="10418">
      <c r="A10418" t="inlineStr">
        <is>
          <t>27BBBBB10418Z5</t>
        </is>
      </c>
      <c r="B10418" t="inlineStr">
        <is>
          <t>Jun-2020</t>
        </is>
      </c>
      <c r="C10418" s="2" t="n">
        <v>44690</v>
      </c>
      <c r="D10418" t="inlineStr">
        <is>
          <t>NON-NIL</t>
        </is>
      </c>
      <c r="E10418" t="n">
        <v>882</v>
      </c>
    </row>
    <row r="10419">
      <c r="A10419" t="inlineStr">
        <is>
          <t>27BBBBB10419Z5</t>
        </is>
      </c>
      <c r="B10419" t="inlineStr">
        <is>
          <t>Sep-2017</t>
        </is>
      </c>
      <c r="C10419" s="2" t="n">
        <v>43550</v>
      </c>
      <c r="D10419" t="inlineStr">
        <is>
          <t>NON-NIL</t>
        </is>
      </c>
      <c r="E10419" t="n">
        <v>2272</v>
      </c>
    </row>
    <row r="10420">
      <c r="A10420" t="inlineStr">
        <is>
          <t>27BBBBB10420Z5</t>
        </is>
      </c>
      <c r="B10420" t="inlineStr">
        <is>
          <t>Dec-2024</t>
        </is>
      </c>
      <c r="C10420" s="2" t="n">
        <v>45464</v>
      </c>
      <c r="D10420" t="inlineStr">
        <is>
          <t>NIL</t>
        </is>
      </c>
      <c r="E10420" t="n">
        <v>1130</v>
      </c>
    </row>
    <row r="10421">
      <c r="A10421" t="inlineStr">
        <is>
          <t>27BBBBB10421Z5</t>
        </is>
      </c>
      <c r="B10421" t="inlineStr">
        <is>
          <t>Jan-2021</t>
        </is>
      </c>
      <c r="C10421" s="2" t="n">
        <v>43786</v>
      </c>
      <c r="D10421" t="inlineStr">
        <is>
          <t>NIL</t>
        </is>
      </c>
      <c r="E10421" t="n">
        <v>1488</v>
      </c>
    </row>
    <row r="10422">
      <c r="A10422" t="inlineStr">
        <is>
          <t>27BBBBB10422Z5</t>
        </is>
      </c>
      <c r="B10422" t="inlineStr">
        <is>
          <t>Oct-2017</t>
        </is>
      </c>
      <c r="C10422" s="2" t="n">
        <v>43775</v>
      </c>
      <c r="D10422" t="inlineStr">
        <is>
          <t>NON-NIL</t>
        </is>
      </c>
      <c r="E10422" t="n">
        <v>2391</v>
      </c>
    </row>
    <row r="10423">
      <c r="A10423" t="inlineStr">
        <is>
          <t>27BBBBB10423Z5</t>
        </is>
      </c>
      <c r="B10423" t="inlineStr">
        <is>
          <t>May-2018</t>
        </is>
      </c>
      <c r="C10423" s="2" t="n">
        <v>43559</v>
      </c>
      <c r="D10423" t="inlineStr">
        <is>
          <t>NIL</t>
        </is>
      </c>
      <c r="E10423" t="n">
        <v>2498</v>
      </c>
    </row>
    <row r="10424">
      <c r="A10424" t="inlineStr">
        <is>
          <t>27BBBBB10424Z5</t>
        </is>
      </c>
      <c r="B10424" t="inlineStr">
        <is>
          <t>Nov-2017</t>
        </is>
      </c>
      <c r="C10424" s="2" t="n">
        <v>44491</v>
      </c>
      <c r="D10424" t="inlineStr">
        <is>
          <t>NIL</t>
        </is>
      </c>
      <c r="E10424" t="n">
        <v>2192</v>
      </c>
    </row>
    <row r="10425">
      <c r="A10425" t="inlineStr">
        <is>
          <t>27BBBBB10425Z5</t>
        </is>
      </c>
      <c r="B10425" t="inlineStr">
        <is>
          <t>Oct-2017</t>
        </is>
      </c>
      <c r="C10425" s="2" t="n">
        <v>44332</v>
      </c>
      <c r="D10425" t="inlineStr">
        <is>
          <t>NIL</t>
        </is>
      </c>
      <c r="E10425" t="n">
        <v>2782</v>
      </c>
    </row>
    <row r="10426">
      <c r="A10426" t="inlineStr">
        <is>
          <t>27BBBBB10426Z5</t>
        </is>
      </c>
      <c r="B10426" t="inlineStr">
        <is>
          <t>Nov-2017</t>
        </is>
      </c>
      <c r="C10426" s="2" t="n">
        <v>43506</v>
      </c>
      <c r="D10426" t="inlineStr">
        <is>
          <t>NON-NIL</t>
        </is>
      </c>
      <c r="E10426" t="n">
        <v>1026</v>
      </c>
    </row>
    <row r="10427">
      <c r="A10427" t="inlineStr">
        <is>
          <t>27BBBBB10427Z5</t>
        </is>
      </c>
      <c r="B10427" t="inlineStr">
        <is>
          <t>Jun-2020</t>
        </is>
      </c>
      <c r="C10427" s="2" t="n">
        <v>44901</v>
      </c>
      <c r="D10427" t="inlineStr">
        <is>
          <t>NIL</t>
        </is>
      </c>
      <c r="E10427" t="n">
        <v>1843</v>
      </c>
    </row>
    <row r="10428">
      <c r="A10428" t="inlineStr">
        <is>
          <t>27BBBBB10428Z5</t>
        </is>
      </c>
      <c r="B10428" t="inlineStr">
        <is>
          <t>Dec-2018</t>
        </is>
      </c>
      <c r="C10428" s="2" t="n">
        <v>44017</v>
      </c>
      <c r="D10428" t="inlineStr">
        <is>
          <t>NIL</t>
        </is>
      </c>
      <c r="E10428" t="n">
        <v>2045</v>
      </c>
    </row>
    <row r="10429">
      <c r="A10429" t="inlineStr">
        <is>
          <t>27BBBBB10429Z5</t>
        </is>
      </c>
      <c r="B10429" t="inlineStr">
        <is>
          <t>Aug-2017</t>
        </is>
      </c>
      <c r="C10429" s="2" t="n">
        <v>44543</v>
      </c>
      <c r="D10429" t="inlineStr">
        <is>
          <t>NON-NIL</t>
        </is>
      </c>
      <c r="E10429" t="n">
        <v>2017</v>
      </c>
    </row>
    <row r="10430">
      <c r="A10430" t="inlineStr">
        <is>
          <t>27BBBBB10430Z5</t>
        </is>
      </c>
      <c r="B10430" t="inlineStr">
        <is>
          <t>Feb-2018</t>
        </is>
      </c>
      <c r="C10430" s="2" t="n">
        <v>42961</v>
      </c>
      <c r="D10430" t="inlineStr">
        <is>
          <t>NIL</t>
        </is>
      </c>
      <c r="E10430" t="n">
        <v>2534</v>
      </c>
    </row>
    <row r="10431">
      <c r="A10431" t="inlineStr">
        <is>
          <t>27BBBBB10431Z5</t>
        </is>
      </c>
      <c r="B10431" t="inlineStr">
        <is>
          <t>Dec-2017</t>
        </is>
      </c>
      <c r="C10431" s="2" t="n">
        <v>43280</v>
      </c>
      <c r="D10431" t="inlineStr">
        <is>
          <t>NIL</t>
        </is>
      </c>
      <c r="E10431" t="n">
        <v>2156</v>
      </c>
    </row>
    <row r="10432">
      <c r="A10432" t="inlineStr">
        <is>
          <t>27BBBBB10432Z5</t>
        </is>
      </c>
      <c r="B10432" t="inlineStr">
        <is>
          <t>Nov-2017</t>
        </is>
      </c>
      <c r="C10432" s="2" t="n">
        <v>43164</v>
      </c>
      <c r="D10432" t="inlineStr">
        <is>
          <t>NIL</t>
        </is>
      </c>
      <c r="E10432" t="n">
        <v>565</v>
      </c>
    </row>
    <row r="10433">
      <c r="A10433" t="inlineStr">
        <is>
          <t>27BBBBB10433Z5</t>
        </is>
      </c>
      <c r="B10433" t="inlineStr">
        <is>
          <t>Oct-2017</t>
        </is>
      </c>
      <c r="C10433" s="2" t="n">
        <v>43634</v>
      </c>
      <c r="D10433" t="inlineStr">
        <is>
          <t>NIL</t>
        </is>
      </c>
      <c r="E10433" t="n">
        <v>802</v>
      </c>
    </row>
    <row r="10434">
      <c r="A10434" t="inlineStr">
        <is>
          <t>27BBBBB10434Z5</t>
        </is>
      </c>
      <c r="B10434" t="inlineStr">
        <is>
          <t>Mar-2018</t>
        </is>
      </c>
      <c r="C10434" s="2" t="n">
        <v>44321</v>
      </c>
      <c r="D10434" t="inlineStr">
        <is>
          <t>NON-NIL</t>
        </is>
      </c>
      <c r="E10434" t="n">
        <v>500</v>
      </c>
    </row>
    <row r="10435">
      <c r="A10435" t="inlineStr">
        <is>
          <t>27BBBBB10435Z5</t>
        </is>
      </c>
      <c r="B10435" t="inlineStr">
        <is>
          <t>Sep-2018</t>
        </is>
      </c>
      <c r="C10435" s="2" t="n">
        <v>44371</v>
      </c>
      <c r="D10435" t="inlineStr">
        <is>
          <t>NIL</t>
        </is>
      </c>
      <c r="E10435" t="n">
        <v>2319</v>
      </c>
    </row>
    <row r="10436">
      <c r="A10436" t="inlineStr">
        <is>
          <t>27BBBBB10436Z5</t>
        </is>
      </c>
      <c r="B10436" t="inlineStr">
        <is>
          <t>Feb-2018</t>
        </is>
      </c>
      <c r="C10436" s="2" t="n">
        <v>43173</v>
      </c>
      <c r="D10436" t="inlineStr">
        <is>
          <t>NIL</t>
        </is>
      </c>
      <c r="E10436" t="n">
        <v>1356</v>
      </c>
    </row>
    <row r="10437">
      <c r="A10437" t="inlineStr">
        <is>
          <t>27BBBBB10437Z5</t>
        </is>
      </c>
      <c r="B10437" t="inlineStr">
        <is>
          <t>Sep-2018</t>
        </is>
      </c>
      <c r="C10437" s="2" t="n">
        <v>43102</v>
      </c>
      <c r="D10437" t="inlineStr">
        <is>
          <t>NON-NIL</t>
        </is>
      </c>
      <c r="E10437" t="n">
        <v>1855</v>
      </c>
    </row>
    <row r="10438">
      <c r="A10438" t="inlineStr">
        <is>
          <t>27BBBBB10438Z5</t>
        </is>
      </c>
      <c r="B10438" t="inlineStr">
        <is>
          <t>Apr-2020</t>
        </is>
      </c>
      <c r="C10438" s="2" t="n">
        <v>44021</v>
      </c>
      <c r="D10438" t="inlineStr">
        <is>
          <t>NON-NIL</t>
        </is>
      </c>
      <c r="E10438" t="n">
        <v>174</v>
      </c>
    </row>
    <row r="10439">
      <c r="A10439" t="inlineStr">
        <is>
          <t>27BBBBB10439Z5</t>
        </is>
      </c>
      <c r="B10439" t="inlineStr">
        <is>
          <t>Jul-2018</t>
        </is>
      </c>
      <c r="C10439" s="2" t="n">
        <v>43544</v>
      </c>
      <c r="D10439" t="inlineStr">
        <is>
          <t>NIL</t>
        </is>
      </c>
      <c r="E10439" t="n">
        <v>2433</v>
      </c>
    </row>
    <row r="10440">
      <c r="A10440" t="inlineStr">
        <is>
          <t>27BBBBB10440Z5</t>
        </is>
      </c>
      <c r="B10440" t="inlineStr">
        <is>
          <t>Sep-2018</t>
        </is>
      </c>
      <c r="C10440" s="2" t="n">
        <v>44342</v>
      </c>
      <c r="D10440" t="inlineStr">
        <is>
          <t>NON-NIL</t>
        </is>
      </c>
      <c r="E10440" t="n">
        <v>922</v>
      </c>
    </row>
    <row r="10441">
      <c r="A10441" t="inlineStr">
        <is>
          <t>27BBBBB10441Z5</t>
        </is>
      </c>
      <c r="B10441" t="inlineStr">
        <is>
          <t>Nov-2017</t>
        </is>
      </c>
      <c r="C10441" s="2" t="n">
        <v>42966</v>
      </c>
      <c r="D10441" t="inlineStr">
        <is>
          <t>NIL</t>
        </is>
      </c>
      <c r="E10441" t="n">
        <v>1618</v>
      </c>
    </row>
    <row r="10442">
      <c r="A10442" t="inlineStr">
        <is>
          <t>27BBBBB10442Z5</t>
        </is>
      </c>
      <c r="B10442" t="inlineStr">
        <is>
          <t>Jul-2017</t>
        </is>
      </c>
      <c r="C10442" s="2" t="n">
        <v>43899</v>
      </c>
      <c r="D10442" t="inlineStr">
        <is>
          <t>NIL</t>
        </is>
      </c>
      <c r="E10442" t="n">
        <v>1190</v>
      </c>
    </row>
    <row r="10443">
      <c r="A10443" t="inlineStr">
        <is>
          <t>27BBBBB10443Z5</t>
        </is>
      </c>
      <c r="B10443" t="inlineStr">
        <is>
          <t>Mar-2020</t>
        </is>
      </c>
      <c r="C10443" s="2" t="n">
        <v>44901</v>
      </c>
      <c r="D10443" t="inlineStr">
        <is>
          <t>NON-NIL</t>
        </is>
      </c>
      <c r="E10443" t="n">
        <v>154</v>
      </c>
    </row>
    <row r="10444">
      <c r="A10444" t="inlineStr">
        <is>
          <t>27BBBBB10444Z5</t>
        </is>
      </c>
      <c r="B10444" t="inlineStr">
        <is>
          <t>Mar-2023</t>
        </is>
      </c>
      <c r="C10444" s="2" t="n">
        <v>44299</v>
      </c>
      <c r="D10444" t="inlineStr">
        <is>
          <t>NON-NIL</t>
        </is>
      </c>
      <c r="E10444" t="n">
        <v>2168</v>
      </c>
    </row>
    <row r="10445">
      <c r="A10445" t="inlineStr">
        <is>
          <t>27BBBBB10445Z5</t>
        </is>
      </c>
      <c r="B10445" t="inlineStr">
        <is>
          <t>Jul-2020</t>
        </is>
      </c>
      <c r="C10445" s="2" t="n">
        <v>44372</v>
      </c>
      <c r="D10445" t="inlineStr">
        <is>
          <t>NON-NIL</t>
        </is>
      </c>
      <c r="E10445" t="n">
        <v>1530</v>
      </c>
    </row>
    <row r="10446">
      <c r="A10446" t="inlineStr">
        <is>
          <t>27BBBBB10446Z5</t>
        </is>
      </c>
      <c r="B10446" t="inlineStr">
        <is>
          <t>Oct-2018</t>
        </is>
      </c>
      <c r="C10446" s="2" t="n">
        <v>44220</v>
      </c>
      <c r="D10446" t="inlineStr">
        <is>
          <t>NON-NIL</t>
        </is>
      </c>
      <c r="E10446" t="n">
        <v>2721</v>
      </c>
    </row>
    <row r="10447">
      <c r="A10447" t="inlineStr">
        <is>
          <t>27BBBBB10447Z5</t>
        </is>
      </c>
      <c r="B10447" t="inlineStr">
        <is>
          <t>Sep-2018</t>
        </is>
      </c>
      <c r="C10447" s="2" t="n">
        <v>43805</v>
      </c>
      <c r="D10447" t="inlineStr">
        <is>
          <t>NIL</t>
        </is>
      </c>
      <c r="E10447" t="n">
        <v>485</v>
      </c>
    </row>
    <row r="10448">
      <c r="A10448" t="inlineStr">
        <is>
          <t>27BBBBB10448Z5</t>
        </is>
      </c>
      <c r="B10448" t="inlineStr">
        <is>
          <t>Jan-2021</t>
        </is>
      </c>
      <c r="C10448" s="2" t="n">
        <v>44622</v>
      </c>
      <c r="D10448" t="inlineStr">
        <is>
          <t>NIL</t>
        </is>
      </c>
      <c r="E10448" t="n">
        <v>2879</v>
      </c>
    </row>
    <row r="10449">
      <c r="A10449" t="inlineStr">
        <is>
          <t>27BBBBB10449Z5</t>
        </is>
      </c>
      <c r="B10449" t="inlineStr">
        <is>
          <t>Jan-2018</t>
        </is>
      </c>
      <c r="C10449" s="2" t="n">
        <v>44298</v>
      </c>
      <c r="D10449" t="inlineStr">
        <is>
          <t>NIL</t>
        </is>
      </c>
      <c r="E10449" t="n">
        <v>2918</v>
      </c>
    </row>
    <row r="10450">
      <c r="A10450" t="inlineStr">
        <is>
          <t>27BBBBB10450Z5</t>
        </is>
      </c>
      <c r="B10450" t="inlineStr">
        <is>
          <t>Apr-2020</t>
        </is>
      </c>
      <c r="C10450" s="2" t="n">
        <v>44183</v>
      </c>
      <c r="D10450" t="inlineStr">
        <is>
          <t>NIL</t>
        </is>
      </c>
      <c r="E10450" t="n">
        <v>762</v>
      </c>
    </row>
    <row r="10451">
      <c r="A10451" t="inlineStr">
        <is>
          <t>27BBBBB10451Z5</t>
        </is>
      </c>
      <c r="B10451" t="inlineStr">
        <is>
          <t>Dec-2017</t>
        </is>
      </c>
      <c r="C10451" s="2" t="n">
        <v>44414</v>
      </c>
      <c r="D10451" t="inlineStr">
        <is>
          <t>NIL</t>
        </is>
      </c>
      <c r="E10451" t="n">
        <v>2396</v>
      </c>
    </row>
    <row r="10452">
      <c r="A10452" t="inlineStr">
        <is>
          <t>27BBBBB10452Z5</t>
        </is>
      </c>
      <c r="B10452" t="inlineStr">
        <is>
          <t>Apr-2018</t>
        </is>
      </c>
      <c r="C10452" s="2" t="n">
        <v>44450</v>
      </c>
      <c r="D10452" t="inlineStr">
        <is>
          <t>NON-NIL</t>
        </is>
      </c>
      <c r="E10452" t="n">
        <v>2727</v>
      </c>
    </row>
    <row r="10453">
      <c r="A10453" t="inlineStr">
        <is>
          <t>27BBBBB10453Z5</t>
        </is>
      </c>
      <c r="B10453" t="inlineStr">
        <is>
          <t>Dec-2018</t>
        </is>
      </c>
      <c r="C10453" s="2" t="n">
        <v>42990</v>
      </c>
      <c r="D10453" t="inlineStr">
        <is>
          <t>NIL</t>
        </is>
      </c>
      <c r="E10453" t="n">
        <v>202</v>
      </c>
    </row>
    <row r="10454">
      <c r="A10454" t="inlineStr">
        <is>
          <t>27BBBBB10454Z5</t>
        </is>
      </c>
      <c r="B10454" t="inlineStr">
        <is>
          <t>Jun-2018</t>
        </is>
      </c>
      <c r="C10454" s="2" t="n">
        <v>42978</v>
      </c>
      <c r="D10454" t="inlineStr">
        <is>
          <t>NON-NIL</t>
        </is>
      </c>
      <c r="E10454" t="n">
        <v>1792</v>
      </c>
    </row>
    <row r="10455">
      <c r="A10455" t="inlineStr">
        <is>
          <t>27BBBBB10455Z5</t>
        </is>
      </c>
      <c r="B10455" t="inlineStr">
        <is>
          <t>Oct-2017</t>
        </is>
      </c>
      <c r="C10455" s="2" t="n">
        <v>43656</v>
      </c>
      <c r="D10455" t="inlineStr">
        <is>
          <t>NON-NIL</t>
        </is>
      </c>
      <c r="E10455" t="n">
        <v>2696</v>
      </c>
    </row>
    <row r="10456">
      <c r="A10456" t="inlineStr">
        <is>
          <t>27BBBBB10456Z5</t>
        </is>
      </c>
      <c r="B10456" t="inlineStr">
        <is>
          <t>Jul-2018</t>
        </is>
      </c>
      <c r="C10456" s="2" t="n">
        <v>43347</v>
      </c>
      <c r="D10456" t="inlineStr">
        <is>
          <t>NON-NIL</t>
        </is>
      </c>
      <c r="E10456" t="n">
        <v>2181</v>
      </c>
    </row>
    <row r="10457">
      <c r="A10457" t="inlineStr">
        <is>
          <t>27BBBBB10457Z5</t>
        </is>
      </c>
      <c r="B10457" t="inlineStr">
        <is>
          <t>Jul-2020</t>
        </is>
      </c>
      <c r="C10457" s="2" t="n">
        <v>44499</v>
      </c>
      <c r="D10457" t="inlineStr">
        <is>
          <t>NON-NIL</t>
        </is>
      </c>
      <c r="E10457" t="n">
        <v>2119</v>
      </c>
    </row>
    <row r="10458">
      <c r="A10458" t="inlineStr">
        <is>
          <t>27BBBBB10458Z5</t>
        </is>
      </c>
      <c r="B10458" t="inlineStr">
        <is>
          <t>Nov-2018</t>
        </is>
      </c>
      <c r="C10458" s="2" t="n">
        <v>44277</v>
      </c>
      <c r="D10458" t="inlineStr">
        <is>
          <t>NIL</t>
        </is>
      </c>
      <c r="E10458" t="n">
        <v>258</v>
      </c>
    </row>
    <row r="10459">
      <c r="A10459" t="inlineStr">
        <is>
          <t>27BBBBB10459Z5</t>
        </is>
      </c>
      <c r="B10459" t="inlineStr">
        <is>
          <t>Aug-2017</t>
        </is>
      </c>
      <c r="C10459" s="2" t="n">
        <v>44102</v>
      </c>
      <c r="D10459" t="inlineStr">
        <is>
          <t>NON-NIL</t>
        </is>
      </c>
      <c r="E10459" t="n">
        <v>840</v>
      </c>
    </row>
    <row r="10460">
      <c r="A10460" t="inlineStr">
        <is>
          <t>27BBBBB10460Z5</t>
        </is>
      </c>
      <c r="B10460" t="inlineStr">
        <is>
          <t>Mar-2018</t>
        </is>
      </c>
      <c r="C10460" s="2" t="n">
        <v>44011</v>
      </c>
      <c r="D10460" t="inlineStr">
        <is>
          <t>NIL</t>
        </is>
      </c>
      <c r="E10460" t="n">
        <v>2536</v>
      </c>
    </row>
    <row r="10461">
      <c r="A10461" t="inlineStr">
        <is>
          <t>27BBBBB10461Z5</t>
        </is>
      </c>
      <c r="B10461" t="inlineStr">
        <is>
          <t>Aug-2017</t>
        </is>
      </c>
      <c r="C10461" s="2" t="n">
        <v>43484</v>
      </c>
      <c r="D10461" t="inlineStr">
        <is>
          <t>NON-NIL</t>
        </is>
      </c>
      <c r="E10461" t="n">
        <v>43</v>
      </c>
    </row>
    <row r="10462">
      <c r="A10462" t="inlineStr">
        <is>
          <t>27BBBBB10462Z5</t>
        </is>
      </c>
      <c r="B10462" t="inlineStr">
        <is>
          <t>Jun-2018</t>
        </is>
      </c>
      <c r="C10462" s="2" t="n">
        <v>43925</v>
      </c>
      <c r="D10462" t="inlineStr">
        <is>
          <t>NIL</t>
        </is>
      </c>
      <c r="E10462" t="n">
        <v>523</v>
      </c>
    </row>
    <row r="10463">
      <c r="A10463" t="inlineStr">
        <is>
          <t>27BBBBB10463Z5</t>
        </is>
      </c>
      <c r="B10463" t="inlineStr">
        <is>
          <t>Jan-2021</t>
        </is>
      </c>
      <c r="C10463" s="2" t="n">
        <v>45140</v>
      </c>
      <c r="D10463" t="inlineStr">
        <is>
          <t>NON-NIL</t>
        </is>
      </c>
      <c r="E10463" t="n">
        <v>813</v>
      </c>
    </row>
    <row r="10464">
      <c r="A10464" t="inlineStr">
        <is>
          <t>27BBBBB10464Z5</t>
        </is>
      </c>
      <c r="B10464" t="inlineStr">
        <is>
          <t>Aug-2017</t>
        </is>
      </c>
      <c r="C10464" s="2" t="n">
        <v>43651</v>
      </c>
      <c r="D10464" t="inlineStr">
        <is>
          <t>NON-NIL</t>
        </is>
      </c>
      <c r="E10464" t="n">
        <v>622</v>
      </c>
    </row>
    <row r="10465">
      <c r="A10465" t="inlineStr">
        <is>
          <t>27BBBBB10465Z5</t>
        </is>
      </c>
      <c r="B10465" t="inlineStr">
        <is>
          <t>Jun-2020</t>
        </is>
      </c>
      <c r="C10465" s="2" t="n">
        <v>44561</v>
      </c>
      <c r="D10465" t="inlineStr">
        <is>
          <t>NON-NIL</t>
        </is>
      </c>
      <c r="E10465" t="n">
        <v>605</v>
      </c>
    </row>
    <row r="10466">
      <c r="A10466" t="inlineStr">
        <is>
          <t>27BBBBB10466Z5</t>
        </is>
      </c>
      <c r="B10466" t="inlineStr">
        <is>
          <t>Nov-2017</t>
        </is>
      </c>
      <c r="C10466" s="2" t="n">
        <v>43334</v>
      </c>
      <c r="D10466" t="inlineStr">
        <is>
          <t>NON-NIL</t>
        </is>
      </c>
      <c r="E10466" t="n">
        <v>99</v>
      </c>
    </row>
    <row r="10467">
      <c r="A10467" t="inlineStr">
        <is>
          <t>27BBBBB10467Z5</t>
        </is>
      </c>
      <c r="B10467" t="inlineStr">
        <is>
          <t>Mar-2020</t>
        </is>
      </c>
      <c r="C10467" s="2" t="n">
        <v>44023</v>
      </c>
      <c r="D10467" t="inlineStr">
        <is>
          <t>NON-NIL</t>
        </is>
      </c>
      <c r="E10467" t="n">
        <v>1273</v>
      </c>
    </row>
    <row r="10468">
      <c r="A10468" t="inlineStr">
        <is>
          <t>27BBBBB10468Z5</t>
        </is>
      </c>
      <c r="B10468" t="inlineStr">
        <is>
          <t>Dec-2017</t>
        </is>
      </c>
      <c r="C10468" s="2" t="n">
        <v>44276</v>
      </c>
      <c r="D10468" t="inlineStr">
        <is>
          <t>NON-NIL</t>
        </is>
      </c>
      <c r="E10468" t="n">
        <v>1378</v>
      </c>
    </row>
    <row r="10469">
      <c r="A10469" t="inlineStr">
        <is>
          <t>27BBBBB10469Z5</t>
        </is>
      </c>
      <c r="B10469" t="inlineStr">
        <is>
          <t>Mar-2023</t>
        </is>
      </c>
      <c r="C10469" s="2" t="n">
        <v>45683</v>
      </c>
      <c r="D10469" t="inlineStr">
        <is>
          <t>NIL</t>
        </is>
      </c>
      <c r="E10469" t="n">
        <v>382</v>
      </c>
    </row>
    <row r="10470">
      <c r="A10470" t="inlineStr">
        <is>
          <t>27BBBBB10470Z5</t>
        </is>
      </c>
      <c r="B10470" t="inlineStr">
        <is>
          <t>Jun-2020</t>
        </is>
      </c>
      <c r="C10470" s="2" t="n">
        <v>44708</v>
      </c>
      <c r="D10470" t="inlineStr">
        <is>
          <t>NIL</t>
        </is>
      </c>
      <c r="E10470" t="n">
        <v>1182</v>
      </c>
    </row>
    <row r="10471">
      <c r="A10471" t="inlineStr">
        <is>
          <t>27BBBBB10471Z5</t>
        </is>
      </c>
      <c r="B10471" t="inlineStr">
        <is>
          <t>Apr-2020</t>
        </is>
      </c>
      <c r="C10471" s="2" t="n">
        <v>44625</v>
      </c>
      <c r="D10471" t="inlineStr">
        <is>
          <t>NIL</t>
        </is>
      </c>
      <c r="E10471" t="n">
        <v>2556</v>
      </c>
    </row>
    <row r="10472">
      <c r="A10472" t="inlineStr">
        <is>
          <t>27BBBBB10472Z5</t>
        </is>
      </c>
      <c r="B10472" t="inlineStr">
        <is>
          <t>Oct-2017</t>
        </is>
      </c>
      <c r="C10472" s="2" t="n">
        <v>43301</v>
      </c>
      <c r="D10472" t="inlineStr">
        <is>
          <t>NIL</t>
        </is>
      </c>
      <c r="E10472" t="n">
        <v>34</v>
      </c>
    </row>
    <row r="10473">
      <c r="A10473" t="inlineStr">
        <is>
          <t>27BBBBB10473Z5</t>
        </is>
      </c>
      <c r="B10473" t="inlineStr">
        <is>
          <t>Oct-2018</t>
        </is>
      </c>
      <c r="C10473" s="2" t="n">
        <v>43863</v>
      </c>
      <c r="D10473" t="inlineStr">
        <is>
          <t>NIL</t>
        </is>
      </c>
      <c r="E10473" t="n">
        <v>1600</v>
      </c>
    </row>
    <row r="10474">
      <c r="A10474" t="inlineStr">
        <is>
          <t>27BBBBB10474Z5</t>
        </is>
      </c>
      <c r="B10474" t="inlineStr">
        <is>
          <t>Jan-2021</t>
        </is>
      </c>
      <c r="C10474" s="2" t="n">
        <v>44029</v>
      </c>
      <c r="D10474" t="inlineStr">
        <is>
          <t>NIL</t>
        </is>
      </c>
      <c r="E10474" t="n">
        <v>2069</v>
      </c>
    </row>
    <row r="10475">
      <c r="A10475" t="inlineStr">
        <is>
          <t>27BBBBB10475Z5</t>
        </is>
      </c>
      <c r="B10475" t="inlineStr">
        <is>
          <t>Sep-2018</t>
        </is>
      </c>
      <c r="C10475" s="2" t="n">
        <v>43630</v>
      </c>
      <c r="D10475" t="inlineStr">
        <is>
          <t>NIL</t>
        </is>
      </c>
      <c r="E10475" t="n">
        <v>1211</v>
      </c>
    </row>
    <row r="10476">
      <c r="A10476" t="inlineStr">
        <is>
          <t>27BBBBB10476Z5</t>
        </is>
      </c>
      <c r="B10476" t="inlineStr">
        <is>
          <t>Jun-2018</t>
        </is>
      </c>
      <c r="C10476" s="2" t="n">
        <v>43393</v>
      </c>
      <c r="D10476" t="inlineStr">
        <is>
          <t>NIL</t>
        </is>
      </c>
      <c r="E10476" t="n">
        <v>2842</v>
      </c>
    </row>
    <row r="10477">
      <c r="A10477" t="inlineStr">
        <is>
          <t>27BBBBB10477Z5</t>
        </is>
      </c>
      <c r="B10477" t="inlineStr">
        <is>
          <t>Nov-2018</t>
        </is>
      </c>
      <c r="C10477" s="2" t="n">
        <v>43204</v>
      </c>
      <c r="D10477" t="inlineStr">
        <is>
          <t>NON-NIL</t>
        </is>
      </c>
      <c r="E10477" t="n">
        <v>2220</v>
      </c>
    </row>
    <row r="10478">
      <c r="A10478" t="inlineStr">
        <is>
          <t>27BBBBB10478Z5</t>
        </is>
      </c>
      <c r="B10478" t="inlineStr">
        <is>
          <t>Jun-2018</t>
        </is>
      </c>
      <c r="C10478" s="2" t="n">
        <v>44301</v>
      </c>
      <c r="D10478" t="inlineStr">
        <is>
          <t>NIL</t>
        </is>
      </c>
      <c r="E10478" t="n">
        <v>571</v>
      </c>
    </row>
    <row r="10479">
      <c r="A10479" t="inlineStr">
        <is>
          <t>27BBBBB10479Z5</t>
        </is>
      </c>
      <c r="B10479" t="inlineStr">
        <is>
          <t>Jul-2020</t>
        </is>
      </c>
      <c r="C10479" s="2" t="n">
        <v>44500</v>
      </c>
      <c r="D10479" t="inlineStr">
        <is>
          <t>NON-NIL</t>
        </is>
      </c>
      <c r="E10479" t="n">
        <v>1656</v>
      </c>
    </row>
    <row r="10480">
      <c r="A10480" t="inlineStr">
        <is>
          <t>27BBBBB10480Z5</t>
        </is>
      </c>
      <c r="B10480" t="inlineStr">
        <is>
          <t>Apr-2020</t>
        </is>
      </c>
      <c r="C10480" s="2" t="n">
        <v>44598</v>
      </c>
      <c r="D10480" t="inlineStr">
        <is>
          <t>NIL</t>
        </is>
      </c>
      <c r="E10480" t="n">
        <v>2468</v>
      </c>
    </row>
    <row r="10481">
      <c r="A10481" t="inlineStr">
        <is>
          <t>27BBBBB10481Z5</t>
        </is>
      </c>
      <c r="B10481" t="inlineStr">
        <is>
          <t>Oct-2018</t>
        </is>
      </c>
      <c r="C10481" s="2" t="n">
        <v>43234</v>
      </c>
      <c r="D10481" t="inlineStr">
        <is>
          <t>NON-NIL</t>
        </is>
      </c>
      <c r="E10481" t="n">
        <v>419</v>
      </c>
    </row>
    <row r="10482">
      <c r="A10482" t="inlineStr">
        <is>
          <t>27BBBBB10482Z5</t>
        </is>
      </c>
      <c r="B10482" t="inlineStr">
        <is>
          <t>Mar-2021</t>
        </is>
      </c>
      <c r="C10482" s="2" t="n">
        <v>43585</v>
      </c>
      <c r="D10482" t="inlineStr">
        <is>
          <t>NON-NIL</t>
        </is>
      </c>
      <c r="E10482" t="n">
        <v>1791</v>
      </c>
    </row>
    <row r="10483">
      <c r="A10483" t="inlineStr">
        <is>
          <t>27BBBBB10483Z5</t>
        </is>
      </c>
      <c r="B10483" t="inlineStr">
        <is>
          <t>Apr-2018</t>
        </is>
      </c>
      <c r="C10483" s="2" t="n">
        <v>43093</v>
      </c>
      <c r="D10483" t="inlineStr">
        <is>
          <t>NON-NIL</t>
        </is>
      </c>
      <c r="E10483" t="n">
        <v>695</v>
      </c>
    </row>
    <row r="10484">
      <c r="A10484" t="inlineStr">
        <is>
          <t>27BBBBB10484Z5</t>
        </is>
      </c>
      <c r="B10484" t="inlineStr">
        <is>
          <t>Dec-2018</t>
        </is>
      </c>
      <c r="C10484" s="2" t="n">
        <v>44344</v>
      </c>
      <c r="D10484" t="inlineStr">
        <is>
          <t>NON-NIL</t>
        </is>
      </c>
      <c r="E10484" t="n">
        <v>2806</v>
      </c>
    </row>
    <row r="10485">
      <c r="A10485" t="inlineStr">
        <is>
          <t>27BBBBB10485Z5</t>
        </is>
      </c>
      <c r="B10485" t="inlineStr">
        <is>
          <t>Jun-2018</t>
        </is>
      </c>
      <c r="C10485" s="2" t="n">
        <v>43104</v>
      </c>
      <c r="D10485" t="inlineStr">
        <is>
          <t>NON-NIL</t>
        </is>
      </c>
      <c r="E10485" t="n">
        <v>2676</v>
      </c>
    </row>
    <row r="10486">
      <c r="A10486" t="inlineStr">
        <is>
          <t>27BBBBB10486Z5</t>
        </is>
      </c>
      <c r="B10486" t="inlineStr">
        <is>
          <t>May-2018</t>
        </is>
      </c>
      <c r="C10486" s="2" t="n">
        <v>43388</v>
      </c>
      <c r="D10486" t="inlineStr">
        <is>
          <t>NON-NIL</t>
        </is>
      </c>
      <c r="E10486" t="n">
        <v>1418</v>
      </c>
    </row>
    <row r="10487">
      <c r="A10487" t="inlineStr">
        <is>
          <t>27BBBBB10487Z5</t>
        </is>
      </c>
      <c r="B10487" t="inlineStr">
        <is>
          <t>Jan-2018</t>
        </is>
      </c>
      <c r="C10487" s="2" t="n">
        <v>43483</v>
      </c>
      <c r="D10487" t="inlineStr">
        <is>
          <t>NON-NIL</t>
        </is>
      </c>
      <c r="E10487" t="n">
        <v>689</v>
      </c>
    </row>
    <row r="10488">
      <c r="A10488" t="inlineStr">
        <is>
          <t>27BBBBB10488Z5</t>
        </is>
      </c>
      <c r="B10488" t="inlineStr">
        <is>
          <t>Jan-2018</t>
        </is>
      </c>
      <c r="C10488" s="2" t="n">
        <v>43991</v>
      </c>
      <c r="D10488" t="inlineStr">
        <is>
          <t>NON-NIL</t>
        </is>
      </c>
      <c r="E10488" t="n">
        <v>693</v>
      </c>
    </row>
    <row r="10489">
      <c r="A10489" t="inlineStr">
        <is>
          <t>27BBBBB10489Z5</t>
        </is>
      </c>
      <c r="B10489" t="inlineStr">
        <is>
          <t>Oct-2017</t>
        </is>
      </c>
      <c r="C10489" s="2" t="n">
        <v>43517</v>
      </c>
      <c r="D10489" t="inlineStr">
        <is>
          <t>NON-NIL</t>
        </is>
      </c>
      <c r="E10489" t="n">
        <v>509</v>
      </c>
    </row>
    <row r="10490">
      <c r="A10490" t="inlineStr">
        <is>
          <t>27BBBBB10490Z5</t>
        </is>
      </c>
      <c r="B10490" t="inlineStr">
        <is>
          <t>Sep-2017</t>
        </is>
      </c>
      <c r="C10490" s="2" t="n">
        <v>44380</v>
      </c>
      <c r="D10490" t="inlineStr">
        <is>
          <t>NIL</t>
        </is>
      </c>
      <c r="E10490" t="n">
        <v>237</v>
      </c>
    </row>
    <row r="10491">
      <c r="A10491" t="inlineStr">
        <is>
          <t>27BBBBB10491Z5</t>
        </is>
      </c>
      <c r="B10491" t="inlineStr">
        <is>
          <t>Jan-2021</t>
        </is>
      </c>
      <c r="C10491" s="2" t="n">
        <v>44975</v>
      </c>
      <c r="D10491" t="inlineStr">
        <is>
          <t>NON-NIL</t>
        </is>
      </c>
      <c r="E10491" t="n">
        <v>2436</v>
      </c>
    </row>
    <row r="10492">
      <c r="A10492" t="inlineStr">
        <is>
          <t>27BBBBB10492Z5</t>
        </is>
      </c>
      <c r="B10492" t="inlineStr">
        <is>
          <t>Jul-2020</t>
        </is>
      </c>
      <c r="C10492" s="2" t="n">
        <v>44777</v>
      </c>
      <c r="D10492" t="inlineStr">
        <is>
          <t>NON-NIL</t>
        </is>
      </c>
      <c r="E10492" t="n">
        <v>756</v>
      </c>
    </row>
    <row r="10493">
      <c r="A10493" t="inlineStr">
        <is>
          <t>27BBBBB10493Z5</t>
        </is>
      </c>
      <c r="B10493" t="inlineStr">
        <is>
          <t>Dec-2017</t>
        </is>
      </c>
      <c r="C10493" s="2" t="n">
        <v>44452</v>
      </c>
      <c r="D10493" t="inlineStr">
        <is>
          <t>NIL</t>
        </is>
      </c>
      <c r="E10493" t="n">
        <v>1130</v>
      </c>
    </row>
    <row r="10494">
      <c r="A10494" t="inlineStr">
        <is>
          <t>27BBBBB10494Z5</t>
        </is>
      </c>
      <c r="B10494" t="inlineStr">
        <is>
          <t>Oct-2017</t>
        </is>
      </c>
      <c r="C10494" s="2" t="n">
        <v>43420</v>
      </c>
      <c r="D10494" t="inlineStr">
        <is>
          <t>NIL</t>
        </is>
      </c>
      <c r="E10494" t="n">
        <v>1253</v>
      </c>
    </row>
    <row r="10495">
      <c r="A10495" t="inlineStr">
        <is>
          <t>27BBBBB10495Z5</t>
        </is>
      </c>
      <c r="B10495" t="inlineStr">
        <is>
          <t>Dec-2017</t>
        </is>
      </c>
      <c r="C10495" s="2" t="n">
        <v>43764</v>
      </c>
      <c r="D10495" t="inlineStr">
        <is>
          <t>NIL</t>
        </is>
      </c>
      <c r="E10495" t="n">
        <v>2081</v>
      </c>
    </row>
    <row r="10496">
      <c r="A10496" t="inlineStr">
        <is>
          <t>27BBBBB10496Z5</t>
        </is>
      </c>
      <c r="B10496" t="inlineStr">
        <is>
          <t>Apr-2020</t>
        </is>
      </c>
      <c r="C10496" s="2" t="n">
        <v>44265</v>
      </c>
      <c r="D10496" t="inlineStr">
        <is>
          <t>NON-NIL</t>
        </is>
      </c>
      <c r="E10496" t="n">
        <v>1300</v>
      </c>
    </row>
    <row r="10497">
      <c r="A10497" t="inlineStr">
        <is>
          <t>27BBBBB10497Z5</t>
        </is>
      </c>
      <c r="B10497" t="inlineStr">
        <is>
          <t>Oct-2017</t>
        </is>
      </c>
      <c r="C10497" s="2" t="n">
        <v>44177</v>
      </c>
      <c r="D10497" t="inlineStr">
        <is>
          <t>NON-NIL</t>
        </is>
      </c>
      <c r="E10497" t="n">
        <v>1689</v>
      </c>
    </row>
    <row r="10498">
      <c r="A10498" t="inlineStr">
        <is>
          <t>27BBBBB10498Z5</t>
        </is>
      </c>
      <c r="B10498" t="inlineStr">
        <is>
          <t>May-2018</t>
        </is>
      </c>
      <c r="C10498" s="2" t="n">
        <v>44384</v>
      </c>
      <c r="D10498" t="inlineStr">
        <is>
          <t>NON-NIL</t>
        </is>
      </c>
      <c r="E10498" t="n">
        <v>1463</v>
      </c>
    </row>
    <row r="10499">
      <c r="A10499" t="inlineStr">
        <is>
          <t>27BBBBB10499Z5</t>
        </is>
      </c>
      <c r="B10499" t="inlineStr">
        <is>
          <t>Jul-2020</t>
        </is>
      </c>
      <c r="C10499" s="2" t="n">
        <v>44665</v>
      </c>
      <c r="D10499" t="inlineStr">
        <is>
          <t>NIL</t>
        </is>
      </c>
      <c r="E10499" t="n">
        <v>925</v>
      </c>
    </row>
    <row r="10500">
      <c r="A10500" t="inlineStr">
        <is>
          <t>27BBBBB10500Z5</t>
        </is>
      </c>
      <c r="B10500" t="inlineStr">
        <is>
          <t>Jun-2018</t>
        </is>
      </c>
      <c r="C10500" s="2" t="n">
        <v>43744</v>
      </c>
      <c r="D10500" t="inlineStr">
        <is>
          <t>NON-NIL</t>
        </is>
      </c>
      <c r="E10500" t="n">
        <v>501</v>
      </c>
    </row>
    <row r="10501">
      <c r="A10501" t="inlineStr">
        <is>
          <t>27BBBBB10501Z5</t>
        </is>
      </c>
      <c r="B10501" t="inlineStr">
        <is>
          <t>Apr-2020</t>
        </is>
      </c>
      <c r="C10501" s="2" t="n">
        <v>44840</v>
      </c>
      <c r="D10501" t="inlineStr">
        <is>
          <t>NIL</t>
        </is>
      </c>
      <c r="E10501" t="n">
        <v>2358</v>
      </c>
    </row>
    <row r="10502">
      <c r="A10502" t="inlineStr">
        <is>
          <t>27BBBBB10502Z5</t>
        </is>
      </c>
      <c r="B10502" t="inlineStr">
        <is>
          <t>Jan-2021</t>
        </is>
      </c>
      <c r="C10502" s="2" t="n">
        <v>45007</v>
      </c>
      <c r="D10502" t="inlineStr">
        <is>
          <t>NON-NIL</t>
        </is>
      </c>
      <c r="E10502" t="n">
        <v>263</v>
      </c>
    </row>
    <row r="10503">
      <c r="A10503" t="inlineStr">
        <is>
          <t>27BBBBB10503Z5</t>
        </is>
      </c>
      <c r="B10503" t="inlineStr">
        <is>
          <t>Oct-2018</t>
        </is>
      </c>
      <c r="C10503" s="2" t="n">
        <v>44456</v>
      </c>
      <c r="D10503" t="inlineStr">
        <is>
          <t>NON-NIL</t>
        </is>
      </c>
      <c r="E10503" t="n">
        <v>2690</v>
      </c>
    </row>
    <row r="10504">
      <c r="A10504" t="inlineStr">
        <is>
          <t>27BBBBB10504Z5</t>
        </is>
      </c>
      <c r="B10504" t="inlineStr">
        <is>
          <t>May-2020</t>
        </is>
      </c>
      <c r="C10504" s="2" t="n">
        <v>44524</v>
      </c>
      <c r="D10504" t="inlineStr">
        <is>
          <t>NON-NIL</t>
        </is>
      </c>
      <c r="E10504" t="n">
        <v>16</v>
      </c>
    </row>
    <row r="10505">
      <c r="A10505" t="inlineStr">
        <is>
          <t>27BBBBB10505Z5</t>
        </is>
      </c>
      <c r="B10505" t="inlineStr">
        <is>
          <t>Oct-2018</t>
        </is>
      </c>
      <c r="C10505" s="2" t="n">
        <v>43836</v>
      </c>
      <c r="D10505" t="inlineStr">
        <is>
          <t>NON-NIL</t>
        </is>
      </c>
      <c r="E10505" t="n">
        <v>2383</v>
      </c>
    </row>
    <row r="10506">
      <c r="A10506" t="inlineStr">
        <is>
          <t>27BBBBB10506Z5</t>
        </is>
      </c>
      <c r="B10506" t="inlineStr">
        <is>
          <t>Oct-2017</t>
        </is>
      </c>
      <c r="C10506" s="2" t="n">
        <v>43269</v>
      </c>
      <c r="D10506" t="inlineStr">
        <is>
          <t>NIL</t>
        </is>
      </c>
      <c r="E10506" t="n">
        <v>204</v>
      </c>
    </row>
    <row r="10507">
      <c r="A10507" t="inlineStr">
        <is>
          <t>27BBBBB10507Z5</t>
        </is>
      </c>
      <c r="B10507" t="inlineStr">
        <is>
          <t>Jan-2018</t>
        </is>
      </c>
      <c r="C10507" s="2" t="n">
        <v>43183</v>
      </c>
      <c r="D10507" t="inlineStr">
        <is>
          <t>NON-NIL</t>
        </is>
      </c>
      <c r="E10507" t="n">
        <v>2098</v>
      </c>
    </row>
    <row r="10508">
      <c r="A10508" t="inlineStr">
        <is>
          <t>27BBBBB10508Z5</t>
        </is>
      </c>
      <c r="B10508" t="inlineStr">
        <is>
          <t>May-2020</t>
        </is>
      </c>
      <c r="C10508" s="2" t="n">
        <v>44610</v>
      </c>
      <c r="D10508" t="inlineStr">
        <is>
          <t>NON-NIL</t>
        </is>
      </c>
      <c r="E10508" t="n">
        <v>796</v>
      </c>
    </row>
    <row r="10509">
      <c r="A10509" t="inlineStr">
        <is>
          <t>27BBBBB10509Z5</t>
        </is>
      </c>
      <c r="B10509" t="inlineStr">
        <is>
          <t>Oct-2018</t>
        </is>
      </c>
      <c r="C10509" s="2" t="n">
        <v>42980</v>
      </c>
      <c r="D10509" t="inlineStr">
        <is>
          <t>NIL</t>
        </is>
      </c>
      <c r="E10509" t="n">
        <v>325</v>
      </c>
    </row>
    <row r="10510">
      <c r="A10510" t="inlineStr">
        <is>
          <t>27BBBBB10510Z5</t>
        </is>
      </c>
      <c r="B10510" t="inlineStr">
        <is>
          <t>Aug-2018</t>
        </is>
      </c>
      <c r="C10510" s="2" t="n">
        <v>44492</v>
      </c>
      <c r="D10510" t="inlineStr">
        <is>
          <t>NON-NIL</t>
        </is>
      </c>
      <c r="E10510" t="n">
        <v>112</v>
      </c>
    </row>
    <row r="10511">
      <c r="A10511" t="inlineStr">
        <is>
          <t>27BBBBB10511Z5</t>
        </is>
      </c>
      <c r="B10511" t="inlineStr">
        <is>
          <t>Mar-2020</t>
        </is>
      </c>
      <c r="C10511" s="2" t="n">
        <v>43964</v>
      </c>
      <c r="D10511" t="inlineStr">
        <is>
          <t>NIL</t>
        </is>
      </c>
      <c r="E10511" t="n">
        <v>2888</v>
      </c>
    </row>
    <row r="10512">
      <c r="A10512" t="inlineStr">
        <is>
          <t>27BBBBB10512Z5</t>
        </is>
      </c>
      <c r="B10512" t="inlineStr">
        <is>
          <t>Aug-2018</t>
        </is>
      </c>
      <c r="C10512" s="2" t="n">
        <v>43772</v>
      </c>
      <c r="D10512" t="inlineStr">
        <is>
          <t>NON-NIL</t>
        </is>
      </c>
      <c r="E10512" t="n">
        <v>449</v>
      </c>
    </row>
    <row r="10513">
      <c r="A10513" t="inlineStr">
        <is>
          <t>27BBBBB10513Z5</t>
        </is>
      </c>
      <c r="B10513" t="inlineStr">
        <is>
          <t>Oct-2018</t>
        </is>
      </c>
      <c r="C10513" s="2" t="n">
        <v>43361</v>
      </c>
      <c r="D10513" t="inlineStr">
        <is>
          <t>NIL</t>
        </is>
      </c>
      <c r="E10513" t="n">
        <v>880</v>
      </c>
    </row>
    <row r="10514">
      <c r="A10514" t="inlineStr">
        <is>
          <t>27BBBBB10514Z5</t>
        </is>
      </c>
      <c r="B10514" t="inlineStr">
        <is>
          <t>Jan-2018</t>
        </is>
      </c>
      <c r="C10514" s="2" t="n">
        <v>43881</v>
      </c>
      <c r="D10514" t="inlineStr">
        <is>
          <t>NON-NIL</t>
        </is>
      </c>
      <c r="E10514" t="n">
        <v>393</v>
      </c>
    </row>
    <row r="10515">
      <c r="A10515" t="inlineStr">
        <is>
          <t>27BBBBB10515Z5</t>
        </is>
      </c>
      <c r="B10515" t="inlineStr">
        <is>
          <t>Jan-2018</t>
        </is>
      </c>
      <c r="C10515" s="2" t="n">
        <v>42966</v>
      </c>
      <c r="D10515" t="inlineStr">
        <is>
          <t>NIL</t>
        </is>
      </c>
      <c r="E10515" t="n">
        <v>2592</v>
      </c>
    </row>
    <row r="10516">
      <c r="A10516" t="inlineStr">
        <is>
          <t>27BBBBB10516Z5</t>
        </is>
      </c>
      <c r="B10516" t="inlineStr">
        <is>
          <t>Oct-2018</t>
        </is>
      </c>
      <c r="C10516" s="2" t="n">
        <v>43062</v>
      </c>
      <c r="D10516" t="inlineStr">
        <is>
          <t>NON-NIL</t>
        </is>
      </c>
      <c r="E10516" t="n">
        <v>361</v>
      </c>
    </row>
    <row r="10517">
      <c r="A10517" t="inlineStr">
        <is>
          <t>27BBBBB10517Z5</t>
        </is>
      </c>
      <c r="B10517" t="inlineStr">
        <is>
          <t>Jan-2018</t>
        </is>
      </c>
      <c r="C10517" s="2" t="n">
        <v>43363</v>
      </c>
      <c r="D10517" t="inlineStr">
        <is>
          <t>NIL</t>
        </is>
      </c>
      <c r="E10517" t="n">
        <v>1768</v>
      </c>
    </row>
    <row r="10518">
      <c r="A10518" t="inlineStr">
        <is>
          <t>27BBBBB10518Z5</t>
        </is>
      </c>
      <c r="B10518" t="inlineStr">
        <is>
          <t>Mar-2020</t>
        </is>
      </c>
      <c r="C10518" s="2" t="n">
        <v>43912</v>
      </c>
      <c r="D10518" t="inlineStr">
        <is>
          <t>NIL</t>
        </is>
      </c>
      <c r="E10518" t="n">
        <v>2224</v>
      </c>
    </row>
    <row r="10519">
      <c r="A10519" t="inlineStr">
        <is>
          <t>27BBBBB10519Z5</t>
        </is>
      </c>
      <c r="B10519" t="inlineStr">
        <is>
          <t>Oct-2018</t>
        </is>
      </c>
      <c r="C10519" s="2" t="n">
        <v>44202</v>
      </c>
      <c r="D10519" t="inlineStr">
        <is>
          <t>NIL</t>
        </is>
      </c>
      <c r="E10519" t="n">
        <v>1721</v>
      </c>
    </row>
    <row r="10520">
      <c r="A10520" t="inlineStr">
        <is>
          <t>27BBBBB10520Z5</t>
        </is>
      </c>
      <c r="B10520" t="inlineStr">
        <is>
          <t>Feb-2018</t>
        </is>
      </c>
      <c r="C10520" s="2" t="n">
        <v>43936</v>
      </c>
      <c r="D10520" t="inlineStr">
        <is>
          <t>NON-NIL</t>
        </is>
      </c>
      <c r="E10520" t="n">
        <v>732</v>
      </c>
    </row>
    <row r="10521">
      <c r="A10521" t="inlineStr">
        <is>
          <t>27BBBBB10521Z5</t>
        </is>
      </c>
      <c r="B10521" t="inlineStr">
        <is>
          <t>Oct-2018</t>
        </is>
      </c>
      <c r="C10521" s="2" t="n">
        <v>44490</v>
      </c>
      <c r="D10521" t="inlineStr">
        <is>
          <t>NON-NIL</t>
        </is>
      </c>
      <c r="E10521" t="n">
        <v>658</v>
      </c>
    </row>
    <row r="10522">
      <c r="A10522" t="inlineStr">
        <is>
          <t>27BBBBB10522Z5</t>
        </is>
      </c>
      <c r="B10522" t="inlineStr">
        <is>
          <t>Aug-2017</t>
        </is>
      </c>
      <c r="C10522" s="2" t="n">
        <v>44022</v>
      </c>
      <c r="D10522" t="inlineStr">
        <is>
          <t>NON-NIL</t>
        </is>
      </c>
      <c r="E10522" t="n">
        <v>196</v>
      </c>
    </row>
    <row r="10523">
      <c r="A10523" t="inlineStr">
        <is>
          <t>27BBBBB10523Z5</t>
        </is>
      </c>
      <c r="B10523" t="inlineStr">
        <is>
          <t>Aug-2017</t>
        </is>
      </c>
      <c r="C10523" s="2" t="n">
        <v>43282</v>
      </c>
      <c r="D10523" t="inlineStr">
        <is>
          <t>NIL</t>
        </is>
      </c>
      <c r="E10523" t="n">
        <v>2551</v>
      </c>
    </row>
    <row r="10524">
      <c r="A10524" t="inlineStr">
        <is>
          <t>27BBBBB10524Z5</t>
        </is>
      </c>
      <c r="B10524" t="inlineStr">
        <is>
          <t>Oct-2017</t>
        </is>
      </c>
      <c r="C10524" s="2" t="n">
        <v>43227</v>
      </c>
      <c r="D10524" t="inlineStr">
        <is>
          <t>NON-NIL</t>
        </is>
      </c>
      <c r="E10524" t="n">
        <v>317</v>
      </c>
    </row>
    <row r="10525">
      <c r="A10525" t="inlineStr">
        <is>
          <t>27BBBBB10525Z5</t>
        </is>
      </c>
      <c r="B10525" t="inlineStr">
        <is>
          <t>Jul-2018</t>
        </is>
      </c>
      <c r="C10525" s="2" t="n">
        <v>44235</v>
      </c>
      <c r="D10525" t="inlineStr">
        <is>
          <t>NON-NIL</t>
        </is>
      </c>
      <c r="E10525" t="n">
        <v>1110</v>
      </c>
    </row>
    <row r="10526">
      <c r="A10526" t="inlineStr">
        <is>
          <t>27BBBBB10526Z5</t>
        </is>
      </c>
      <c r="B10526" t="inlineStr">
        <is>
          <t>May-2020</t>
        </is>
      </c>
      <c r="C10526" s="2" t="n">
        <v>44764</v>
      </c>
      <c r="D10526" t="inlineStr">
        <is>
          <t>NON-NIL</t>
        </is>
      </c>
      <c r="E10526" t="n">
        <v>2132</v>
      </c>
    </row>
    <row r="10527">
      <c r="A10527" t="inlineStr">
        <is>
          <t>27BBBBB10527Z5</t>
        </is>
      </c>
      <c r="B10527" t="inlineStr">
        <is>
          <t>Dec-2018</t>
        </is>
      </c>
      <c r="C10527" s="2" t="n">
        <v>43238</v>
      </c>
      <c r="D10527" t="inlineStr">
        <is>
          <t>NON-NIL</t>
        </is>
      </c>
      <c r="E10527" t="n">
        <v>2233</v>
      </c>
    </row>
    <row r="10528">
      <c r="A10528" t="inlineStr">
        <is>
          <t>27BBBBB10528Z5</t>
        </is>
      </c>
      <c r="B10528" t="inlineStr">
        <is>
          <t>Apr-2020</t>
        </is>
      </c>
      <c r="C10528" s="2" t="n">
        <v>44324</v>
      </c>
      <c r="D10528" t="inlineStr">
        <is>
          <t>NIL</t>
        </is>
      </c>
      <c r="E10528" t="n">
        <v>806</v>
      </c>
    </row>
    <row r="10529">
      <c r="A10529" t="inlineStr">
        <is>
          <t>27BBBBB10529Z5</t>
        </is>
      </c>
      <c r="B10529" t="inlineStr">
        <is>
          <t>May-2020</t>
        </is>
      </c>
      <c r="C10529" s="2" t="n">
        <v>43998</v>
      </c>
      <c r="D10529" t="inlineStr">
        <is>
          <t>NON-NIL</t>
        </is>
      </c>
      <c r="E10529" t="n">
        <v>2574</v>
      </c>
    </row>
    <row r="10530">
      <c r="A10530" t="inlineStr">
        <is>
          <t>27BBBBB10530Z5</t>
        </is>
      </c>
      <c r="B10530" t="inlineStr">
        <is>
          <t>Mar-2018</t>
        </is>
      </c>
      <c r="C10530" s="2" t="n">
        <v>44021</v>
      </c>
      <c r="D10530" t="inlineStr">
        <is>
          <t>NON-NIL</t>
        </is>
      </c>
      <c r="E10530" t="n">
        <v>2796</v>
      </c>
    </row>
    <row r="10531">
      <c r="A10531" t="inlineStr">
        <is>
          <t>27BBBBB10531Z5</t>
        </is>
      </c>
      <c r="B10531" t="inlineStr">
        <is>
          <t>Nov-2018</t>
        </is>
      </c>
      <c r="C10531" s="2" t="n">
        <v>43880</v>
      </c>
      <c r="D10531" t="inlineStr">
        <is>
          <t>NON-NIL</t>
        </is>
      </c>
      <c r="E10531" t="n">
        <v>461</v>
      </c>
    </row>
    <row r="10532">
      <c r="A10532" t="inlineStr">
        <is>
          <t>27BBBBB10532Z5</t>
        </is>
      </c>
      <c r="B10532" t="inlineStr">
        <is>
          <t>Jun-2018</t>
        </is>
      </c>
      <c r="C10532" s="2" t="n">
        <v>43210</v>
      </c>
      <c r="D10532" t="inlineStr">
        <is>
          <t>NIL</t>
        </is>
      </c>
      <c r="E10532" t="n">
        <v>854</v>
      </c>
    </row>
    <row r="10533">
      <c r="A10533" t="inlineStr">
        <is>
          <t>27BBBBB10533Z5</t>
        </is>
      </c>
      <c r="B10533" t="inlineStr">
        <is>
          <t>Oct-2017</t>
        </is>
      </c>
      <c r="C10533" s="2" t="n">
        <v>43529</v>
      </c>
      <c r="D10533" t="inlineStr">
        <is>
          <t>NON-NIL</t>
        </is>
      </c>
      <c r="E10533" t="n">
        <v>1531</v>
      </c>
    </row>
    <row r="10534">
      <c r="A10534" t="inlineStr">
        <is>
          <t>27BBBBB10534Z5</t>
        </is>
      </c>
      <c r="B10534" t="inlineStr">
        <is>
          <t>Apr-2018</t>
        </is>
      </c>
      <c r="C10534" s="2" t="n">
        <v>44305</v>
      </c>
      <c r="D10534" t="inlineStr">
        <is>
          <t>NIL</t>
        </is>
      </c>
      <c r="E10534" t="n">
        <v>1553</v>
      </c>
    </row>
    <row r="10535">
      <c r="A10535" t="inlineStr">
        <is>
          <t>27BBBBB10535Z5</t>
        </is>
      </c>
      <c r="B10535" t="inlineStr">
        <is>
          <t>Sep-2017</t>
        </is>
      </c>
      <c r="C10535" s="2" t="n">
        <v>43881</v>
      </c>
      <c r="D10535" t="inlineStr">
        <is>
          <t>NON-NIL</t>
        </is>
      </c>
      <c r="E10535" t="n">
        <v>2004</v>
      </c>
    </row>
    <row r="10536">
      <c r="A10536" t="inlineStr">
        <is>
          <t>27BBBBB10536Z5</t>
        </is>
      </c>
      <c r="B10536" t="inlineStr">
        <is>
          <t>Feb-2018</t>
        </is>
      </c>
      <c r="C10536" s="2" t="n">
        <v>43970</v>
      </c>
      <c r="D10536" t="inlineStr">
        <is>
          <t>NIL</t>
        </is>
      </c>
      <c r="E10536" t="n">
        <v>1616</v>
      </c>
    </row>
    <row r="10537">
      <c r="A10537" t="inlineStr">
        <is>
          <t>27BBBBB10537Z5</t>
        </is>
      </c>
      <c r="B10537" t="inlineStr">
        <is>
          <t>Dec-2022</t>
        </is>
      </c>
      <c r="C10537" s="2" t="n">
        <v>45204</v>
      </c>
      <c r="D10537" t="inlineStr">
        <is>
          <t>NON-NIL</t>
        </is>
      </c>
      <c r="E10537" t="n">
        <v>1999</v>
      </c>
    </row>
    <row r="10538">
      <c r="A10538" t="inlineStr">
        <is>
          <t>27BBBBB10538Z5</t>
        </is>
      </c>
      <c r="B10538" t="inlineStr">
        <is>
          <t>Oct-2017</t>
        </is>
      </c>
      <c r="C10538" s="2" t="n">
        <v>43969</v>
      </c>
      <c r="D10538" t="inlineStr">
        <is>
          <t>NIL</t>
        </is>
      </c>
      <c r="E10538" t="n">
        <v>1165</v>
      </c>
    </row>
    <row r="10539">
      <c r="A10539" t="inlineStr">
        <is>
          <t>27BBBBB10539Z5</t>
        </is>
      </c>
      <c r="B10539" t="inlineStr">
        <is>
          <t>Mar-2018</t>
        </is>
      </c>
      <c r="C10539" s="2" t="n">
        <v>44178</v>
      </c>
      <c r="D10539" t="inlineStr">
        <is>
          <t>NON-NIL</t>
        </is>
      </c>
      <c r="E10539" t="n">
        <v>1567</v>
      </c>
    </row>
    <row r="10540">
      <c r="A10540" t="inlineStr">
        <is>
          <t>27BBBBB10540Z5</t>
        </is>
      </c>
      <c r="B10540" t="inlineStr">
        <is>
          <t>Apr-2018</t>
        </is>
      </c>
      <c r="C10540" s="2" t="n">
        <v>43866</v>
      </c>
      <c r="D10540" t="inlineStr">
        <is>
          <t>NIL</t>
        </is>
      </c>
      <c r="E10540" t="n">
        <v>1452</v>
      </c>
    </row>
    <row r="10541">
      <c r="A10541" t="inlineStr">
        <is>
          <t>27BBBBB10541Z5</t>
        </is>
      </c>
      <c r="B10541" t="inlineStr">
        <is>
          <t>Jun-2018</t>
        </is>
      </c>
      <c r="C10541" s="2" t="n">
        <v>43421</v>
      </c>
      <c r="D10541" t="inlineStr">
        <is>
          <t>NON-NIL</t>
        </is>
      </c>
      <c r="E10541" t="n">
        <v>1294</v>
      </c>
    </row>
    <row r="10542">
      <c r="A10542" t="inlineStr">
        <is>
          <t>27BBBBB10542Z5</t>
        </is>
      </c>
      <c r="B10542" t="inlineStr">
        <is>
          <t>Jun-2020</t>
        </is>
      </c>
      <c r="C10542" s="2" t="n">
        <v>44585</v>
      </c>
      <c r="D10542" t="inlineStr">
        <is>
          <t>NON-NIL</t>
        </is>
      </c>
      <c r="E10542" t="n">
        <v>1600</v>
      </c>
    </row>
    <row r="10543">
      <c r="A10543" t="inlineStr">
        <is>
          <t>27BBBBB10543Z5</t>
        </is>
      </c>
      <c r="B10543" t="inlineStr">
        <is>
          <t>Jul-2017</t>
        </is>
      </c>
      <c r="C10543" s="2" t="n">
        <v>43614</v>
      </c>
      <c r="D10543" t="inlineStr">
        <is>
          <t>NIL</t>
        </is>
      </c>
      <c r="E10543" t="n">
        <v>776</v>
      </c>
    </row>
    <row r="10544">
      <c r="A10544" t="inlineStr">
        <is>
          <t>27BBBBB10544Z5</t>
        </is>
      </c>
      <c r="B10544" t="inlineStr">
        <is>
          <t>Jan-2018</t>
        </is>
      </c>
      <c r="C10544" s="2" t="n">
        <v>43977</v>
      </c>
      <c r="D10544" t="inlineStr">
        <is>
          <t>NIL</t>
        </is>
      </c>
      <c r="E10544" t="n">
        <v>1310</v>
      </c>
    </row>
    <row r="10545">
      <c r="A10545" t="inlineStr">
        <is>
          <t>27BBBBB10545Z5</t>
        </is>
      </c>
      <c r="B10545" t="inlineStr">
        <is>
          <t>Oct-2017</t>
        </is>
      </c>
      <c r="C10545" s="2" t="n">
        <v>43776</v>
      </c>
      <c r="D10545" t="inlineStr">
        <is>
          <t>NIL</t>
        </is>
      </c>
      <c r="E10545" t="n">
        <v>932</v>
      </c>
    </row>
    <row r="10546">
      <c r="A10546" t="inlineStr">
        <is>
          <t>27BBBBB10546Z5</t>
        </is>
      </c>
      <c r="B10546" t="inlineStr">
        <is>
          <t>Jul-2020</t>
        </is>
      </c>
      <c r="C10546" s="2" t="n">
        <v>43882</v>
      </c>
      <c r="D10546" t="inlineStr">
        <is>
          <t>NON-NIL</t>
        </is>
      </c>
      <c r="E10546" t="n">
        <v>2221</v>
      </c>
    </row>
    <row r="10547">
      <c r="A10547" t="inlineStr">
        <is>
          <t>27BBBBB10547Z5</t>
        </is>
      </c>
      <c r="B10547" t="inlineStr">
        <is>
          <t>Feb-2018</t>
        </is>
      </c>
      <c r="C10547" s="2" t="n">
        <v>43127</v>
      </c>
      <c r="D10547" t="inlineStr">
        <is>
          <t>NIL</t>
        </is>
      </c>
      <c r="E10547" t="n">
        <v>2434</v>
      </c>
    </row>
    <row r="10548">
      <c r="A10548" t="inlineStr">
        <is>
          <t>27BBBBB10548Z5</t>
        </is>
      </c>
      <c r="B10548" t="inlineStr">
        <is>
          <t>Nov-2017</t>
        </is>
      </c>
      <c r="C10548" s="2" t="n">
        <v>43991</v>
      </c>
      <c r="D10548" t="inlineStr">
        <is>
          <t>NON-NIL</t>
        </is>
      </c>
      <c r="E10548" t="n">
        <v>141</v>
      </c>
    </row>
    <row r="10549">
      <c r="A10549" t="inlineStr">
        <is>
          <t>27BBBBB10549Z5</t>
        </is>
      </c>
      <c r="B10549" t="inlineStr">
        <is>
          <t>Feb-2018</t>
        </is>
      </c>
      <c r="C10549" s="2" t="n">
        <v>43440</v>
      </c>
      <c r="D10549" t="inlineStr">
        <is>
          <t>NIL</t>
        </is>
      </c>
      <c r="E10549" t="n">
        <v>789</v>
      </c>
    </row>
    <row r="10550">
      <c r="A10550" t="inlineStr">
        <is>
          <t>27BBBBB10550Z5</t>
        </is>
      </c>
      <c r="B10550" t="inlineStr">
        <is>
          <t>May-2018</t>
        </is>
      </c>
      <c r="C10550" s="2" t="n">
        <v>44176</v>
      </c>
      <c r="D10550" t="inlineStr">
        <is>
          <t>NIL</t>
        </is>
      </c>
      <c r="E10550" t="n">
        <v>2046</v>
      </c>
    </row>
    <row r="10551">
      <c r="A10551" t="inlineStr">
        <is>
          <t>27BBBBB10551Z5</t>
        </is>
      </c>
      <c r="B10551" t="inlineStr">
        <is>
          <t>Jan-2021</t>
        </is>
      </c>
      <c r="C10551" s="2" t="n">
        <v>43651</v>
      </c>
      <c r="D10551" t="inlineStr">
        <is>
          <t>NON-NIL</t>
        </is>
      </c>
      <c r="E10551" t="n">
        <v>1904</v>
      </c>
    </row>
    <row r="10552">
      <c r="A10552" t="inlineStr">
        <is>
          <t>27BBBBB10552Z5</t>
        </is>
      </c>
      <c r="B10552" t="inlineStr">
        <is>
          <t>Sep-2017</t>
        </is>
      </c>
      <c r="C10552" s="2" t="n">
        <v>43646</v>
      </c>
      <c r="D10552" t="inlineStr">
        <is>
          <t>NIL</t>
        </is>
      </c>
      <c r="E10552" t="n">
        <v>1307</v>
      </c>
    </row>
    <row r="10553">
      <c r="A10553" t="inlineStr">
        <is>
          <t>27BBBBB10553Z5</t>
        </is>
      </c>
      <c r="B10553" t="inlineStr">
        <is>
          <t>Dec-2017</t>
        </is>
      </c>
      <c r="C10553" s="2" t="n">
        <v>43664</v>
      </c>
      <c r="D10553" t="inlineStr">
        <is>
          <t>NON-NIL</t>
        </is>
      </c>
      <c r="E10553" t="n">
        <v>744</v>
      </c>
    </row>
    <row r="10554">
      <c r="A10554" t="inlineStr">
        <is>
          <t>27BBBBB10554Z5</t>
        </is>
      </c>
      <c r="B10554" t="inlineStr">
        <is>
          <t>Oct-2017</t>
        </is>
      </c>
      <c r="C10554" s="2" t="n">
        <v>43918</v>
      </c>
      <c r="D10554" t="inlineStr">
        <is>
          <t>NIL</t>
        </is>
      </c>
      <c r="E10554" t="n">
        <v>60</v>
      </c>
    </row>
    <row r="10555">
      <c r="A10555" t="inlineStr">
        <is>
          <t>27BBBBB10555Z5</t>
        </is>
      </c>
      <c r="B10555" t="inlineStr">
        <is>
          <t>Nov-2018</t>
        </is>
      </c>
      <c r="C10555" s="2" t="n">
        <v>43877</v>
      </c>
      <c r="D10555" t="inlineStr">
        <is>
          <t>NIL</t>
        </is>
      </c>
      <c r="E10555" t="n">
        <v>795</v>
      </c>
    </row>
    <row r="10556">
      <c r="A10556" t="inlineStr">
        <is>
          <t>27BBBBB10556Z5</t>
        </is>
      </c>
      <c r="B10556" t="inlineStr">
        <is>
          <t>Jan-2021</t>
        </is>
      </c>
      <c r="C10556" s="2" t="n">
        <v>44181</v>
      </c>
      <c r="D10556" t="inlineStr">
        <is>
          <t>NIL</t>
        </is>
      </c>
      <c r="E10556" t="n">
        <v>384</v>
      </c>
    </row>
    <row r="10557">
      <c r="A10557" t="inlineStr">
        <is>
          <t>27BBBBB10557Z5</t>
        </is>
      </c>
      <c r="B10557" t="inlineStr">
        <is>
          <t>Mar-2023</t>
        </is>
      </c>
      <c r="C10557" s="2" t="n">
        <v>43915</v>
      </c>
      <c r="D10557" t="inlineStr">
        <is>
          <t>NIL</t>
        </is>
      </c>
      <c r="E10557" t="n">
        <v>2191</v>
      </c>
    </row>
    <row r="10558">
      <c r="A10558" t="inlineStr">
        <is>
          <t>27BBBBB10558Z5</t>
        </is>
      </c>
      <c r="B10558" t="inlineStr">
        <is>
          <t>Jul-2020</t>
        </is>
      </c>
      <c r="C10558" s="2" t="n">
        <v>44196</v>
      </c>
      <c r="D10558" t="inlineStr">
        <is>
          <t>NON-NIL</t>
        </is>
      </c>
      <c r="E10558" t="n">
        <v>2481</v>
      </c>
    </row>
    <row r="10559">
      <c r="A10559" t="inlineStr">
        <is>
          <t>27BBBBB10559Z5</t>
        </is>
      </c>
      <c r="B10559" t="inlineStr">
        <is>
          <t>Dec-2018</t>
        </is>
      </c>
      <c r="C10559" s="2" t="n">
        <v>44385</v>
      </c>
      <c r="D10559" t="inlineStr">
        <is>
          <t>NON-NIL</t>
        </is>
      </c>
      <c r="E10559" t="n">
        <v>251</v>
      </c>
    </row>
    <row r="10560">
      <c r="A10560" t="inlineStr">
        <is>
          <t>27BBBBB10560Z5</t>
        </is>
      </c>
      <c r="B10560" t="inlineStr">
        <is>
          <t>Jun-2018</t>
        </is>
      </c>
      <c r="C10560" s="2" t="n">
        <v>44242</v>
      </c>
      <c r="D10560" t="inlineStr">
        <is>
          <t>NIL</t>
        </is>
      </c>
      <c r="E10560" t="n">
        <v>2015</v>
      </c>
    </row>
    <row r="10561">
      <c r="A10561" t="inlineStr">
        <is>
          <t>27BBBBB10561Z5</t>
        </is>
      </c>
      <c r="B10561" t="inlineStr">
        <is>
          <t>Feb-2018</t>
        </is>
      </c>
      <c r="C10561" s="2" t="n">
        <v>43489</v>
      </c>
      <c r="D10561" t="inlineStr">
        <is>
          <t>NON-NIL</t>
        </is>
      </c>
      <c r="E10561" t="n">
        <v>2466</v>
      </c>
    </row>
    <row r="10562">
      <c r="A10562" t="inlineStr">
        <is>
          <t>27BBBBB10562Z5</t>
        </is>
      </c>
      <c r="B10562" t="inlineStr">
        <is>
          <t>Apr-2020</t>
        </is>
      </c>
      <c r="C10562" s="2" t="n">
        <v>44902</v>
      </c>
      <c r="D10562" t="inlineStr">
        <is>
          <t>NON-NIL</t>
        </is>
      </c>
      <c r="E10562" t="n">
        <v>1452</v>
      </c>
    </row>
    <row r="10563">
      <c r="A10563" t="inlineStr">
        <is>
          <t>27BBBBB10563Z5</t>
        </is>
      </c>
      <c r="B10563" t="inlineStr">
        <is>
          <t>Jul-2020</t>
        </is>
      </c>
      <c r="C10563" s="2" t="n">
        <v>44924</v>
      </c>
      <c r="D10563" t="inlineStr">
        <is>
          <t>NIL</t>
        </is>
      </c>
      <c r="E10563" t="n">
        <v>2752</v>
      </c>
    </row>
    <row r="10564">
      <c r="A10564" t="inlineStr">
        <is>
          <t>27BBBBB10564Z5</t>
        </is>
      </c>
      <c r="B10564" t="inlineStr">
        <is>
          <t>Aug-2017</t>
        </is>
      </c>
      <c r="C10564" s="2" t="n">
        <v>44038</v>
      </c>
      <c r="D10564" t="inlineStr">
        <is>
          <t>NON-NIL</t>
        </is>
      </c>
      <c r="E10564" t="n">
        <v>2147</v>
      </c>
    </row>
    <row r="10565">
      <c r="A10565" t="inlineStr">
        <is>
          <t>27BBBBB10565Z5</t>
        </is>
      </c>
      <c r="B10565" t="inlineStr">
        <is>
          <t>Dec-2022</t>
        </is>
      </c>
      <c r="C10565" s="2" t="n">
        <v>44206</v>
      </c>
      <c r="D10565" t="inlineStr">
        <is>
          <t>NON-NIL</t>
        </is>
      </c>
      <c r="E10565" t="n">
        <v>1300</v>
      </c>
    </row>
    <row r="10566">
      <c r="A10566" t="inlineStr">
        <is>
          <t>27BBBBB10566Z5</t>
        </is>
      </c>
      <c r="B10566" t="inlineStr">
        <is>
          <t>Dec-2022</t>
        </is>
      </c>
      <c r="C10566" s="2" t="n">
        <v>44827</v>
      </c>
      <c r="D10566" t="inlineStr">
        <is>
          <t>NIL</t>
        </is>
      </c>
      <c r="E10566" t="n">
        <v>771</v>
      </c>
    </row>
    <row r="10567">
      <c r="A10567" t="inlineStr">
        <is>
          <t>27BBBBB10567Z5</t>
        </is>
      </c>
      <c r="B10567" t="inlineStr">
        <is>
          <t>May-2020</t>
        </is>
      </c>
      <c r="C10567" s="2" t="n">
        <v>44024</v>
      </c>
      <c r="D10567" t="inlineStr">
        <is>
          <t>NON-NIL</t>
        </is>
      </c>
      <c r="E10567" t="n">
        <v>969</v>
      </c>
    </row>
    <row r="10568">
      <c r="A10568" t="inlineStr">
        <is>
          <t>27BBBBB10568Z5</t>
        </is>
      </c>
      <c r="B10568" t="inlineStr">
        <is>
          <t>Mar-2023</t>
        </is>
      </c>
      <c r="C10568" s="2" t="n">
        <v>43647</v>
      </c>
      <c r="D10568" t="inlineStr">
        <is>
          <t>NON-NIL</t>
        </is>
      </c>
      <c r="E10568" t="n">
        <v>2948</v>
      </c>
    </row>
    <row r="10569">
      <c r="A10569" t="inlineStr">
        <is>
          <t>27BBBBB10569Z5</t>
        </is>
      </c>
      <c r="B10569" t="inlineStr">
        <is>
          <t>Mar-2023</t>
        </is>
      </c>
      <c r="C10569" s="2" t="n">
        <v>44437</v>
      </c>
      <c r="D10569" t="inlineStr">
        <is>
          <t>NIL</t>
        </is>
      </c>
      <c r="E10569" t="n">
        <v>1418</v>
      </c>
    </row>
    <row r="10570">
      <c r="A10570" t="inlineStr">
        <is>
          <t>27BBBBB10570Z5</t>
        </is>
      </c>
      <c r="B10570" t="inlineStr">
        <is>
          <t>Apr-2020</t>
        </is>
      </c>
      <c r="C10570" s="2" t="n">
        <v>44493</v>
      </c>
      <c r="D10570" t="inlineStr">
        <is>
          <t>NON-NIL</t>
        </is>
      </c>
      <c r="E10570" t="n">
        <v>2562</v>
      </c>
    </row>
    <row r="10571">
      <c r="A10571" t="inlineStr">
        <is>
          <t>27BBBBB10571Z5</t>
        </is>
      </c>
      <c r="B10571" t="inlineStr">
        <is>
          <t>Mar-2023</t>
        </is>
      </c>
      <c r="C10571" s="2" t="n">
        <v>44883</v>
      </c>
      <c r="D10571" t="inlineStr">
        <is>
          <t>NIL</t>
        </is>
      </c>
      <c r="E10571" t="n">
        <v>541</v>
      </c>
    </row>
    <row r="10572">
      <c r="A10572" t="inlineStr">
        <is>
          <t>27BBBBB10572Z5</t>
        </is>
      </c>
      <c r="B10572" t="inlineStr">
        <is>
          <t>Dec-2024</t>
        </is>
      </c>
      <c r="C10572" s="2" t="n">
        <v>44189</v>
      </c>
      <c r="D10572" t="inlineStr">
        <is>
          <t>NON-NIL</t>
        </is>
      </c>
      <c r="E10572" t="n">
        <v>829</v>
      </c>
    </row>
    <row r="10573">
      <c r="A10573" t="inlineStr">
        <is>
          <t>27BBBBB10573Z5</t>
        </is>
      </c>
      <c r="B10573" t="inlineStr">
        <is>
          <t>Oct-2018</t>
        </is>
      </c>
      <c r="C10573" s="2" t="n">
        <v>43775</v>
      </c>
      <c r="D10573" t="inlineStr">
        <is>
          <t>NON-NIL</t>
        </is>
      </c>
      <c r="E10573" t="n">
        <v>2139</v>
      </c>
    </row>
    <row r="10574">
      <c r="A10574" t="inlineStr">
        <is>
          <t>27BBBBB10574Z5</t>
        </is>
      </c>
      <c r="B10574" t="inlineStr">
        <is>
          <t>Nov-2017</t>
        </is>
      </c>
      <c r="C10574" s="2" t="n">
        <v>44379</v>
      </c>
      <c r="D10574" t="inlineStr">
        <is>
          <t>NIL</t>
        </is>
      </c>
      <c r="E10574" t="n">
        <v>2752</v>
      </c>
    </row>
    <row r="10575">
      <c r="A10575" t="inlineStr">
        <is>
          <t>27BBBBB10575Z5</t>
        </is>
      </c>
      <c r="B10575" t="inlineStr">
        <is>
          <t>Mar-2018</t>
        </is>
      </c>
      <c r="C10575" s="2" t="n">
        <v>43102</v>
      </c>
      <c r="D10575" t="inlineStr">
        <is>
          <t>NIL</t>
        </is>
      </c>
      <c r="E10575" t="n">
        <v>2851</v>
      </c>
    </row>
    <row r="10576">
      <c r="A10576" t="inlineStr">
        <is>
          <t>27BBBBB10576Z5</t>
        </is>
      </c>
      <c r="B10576" t="inlineStr">
        <is>
          <t>Mar-2018</t>
        </is>
      </c>
      <c r="C10576" s="2" t="n">
        <v>43185</v>
      </c>
      <c r="D10576" t="inlineStr">
        <is>
          <t>NIL</t>
        </is>
      </c>
      <c r="E10576" t="n">
        <v>2700</v>
      </c>
    </row>
    <row r="10577">
      <c r="A10577" t="inlineStr">
        <is>
          <t>27BBBBB10577Z5</t>
        </is>
      </c>
      <c r="B10577" t="inlineStr">
        <is>
          <t>Sep-2018</t>
        </is>
      </c>
      <c r="C10577" s="2" t="n">
        <v>43105</v>
      </c>
      <c r="D10577" t="inlineStr">
        <is>
          <t>NIL</t>
        </is>
      </c>
      <c r="E10577" t="n">
        <v>359</v>
      </c>
    </row>
    <row r="10578">
      <c r="A10578" t="inlineStr">
        <is>
          <t>27BBBBB10578Z5</t>
        </is>
      </c>
      <c r="B10578" t="inlineStr">
        <is>
          <t>Jan-2021</t>
        </is>
      </c>
      <c r="C10578" s="2" t="n">
        <v>44885</v>
      </c>
      <c r="D10578" t="inlineStr">
        <is>
          <t>NON-NIL</t>
        </is>
      </c>
      <c r="E10578" t="n">
        <v>907</v>
      </c>
    </row>
    <row r="10579">
      <c r="A10579" t="inlineStr">
        <is>
          <t>27BBBBB10579Z5</t>
        </is>
      </c>
      <c r="B10579" t="inlineStr">
        <is>
          <t>Feb-2018</t>
        </is>
      </c>
      <c r="C10579" s="2" t="n">
        <v>44106</v>
      </c>
      <c r="D10579" t="inlineStr">
        <is>
          <t>NIL</t>
        </is>
      </c>
      <c r="E10579" t="n">
        <v>2142</v>
      </c>
    </row>
    <row r="10580">
      <c r="A10580" t="inlineStr">
        <is>
          <t>27BBBBB10580Z5</t>
        </is>
      </c>
      <c r="B10580" t="inlineStr">
        <is>
          <t>Jan-2021</t>
        </is>
      </c>
      <c r="C10580" s="2" t="n">
        <v>43634</v>
      </c>
      <c r="D10580" t="inlineStr">
        <is>
          <t>NON-NIL</t>
        </is>
      </c>
      <c r="E10580" t="n">
        <v>1425</v>
      </c>
    </row>
    <row r="10581">
      <c r="A10581" t="inlineStr">
        <is>
          <t>27BBBBB10581Z5</t>
        </is>
      </c>
      <c r="B10581" t="inlineStr">
        <is>
          <t>Jul-2020</t>
        </is>
      </c>
      <c r="C10581" s="2" t="n">
        <v>44850</v>
      </c>
      <c r="D10581" t="inlineStr">
        <is>
          <t>NON-NIL</t>
        </is>
      </c>
      <c r="E10581" t="n">
        <v>2636</v>
      </c>
    </row>
    <row r="10582">
      <c r="A10582" t="inlineStr">
        <is>
          <t>27BBBBB10582Z5</t>
        </is>
      </c>
      <c r="B10582" t="inlineStr">
        <is>
          <t>Mar-2018</t>
        </is>
      </c>
      <c r="C10582" s="2" t="n">
        <v>43506</v>
      </c>
      <c r="D10582" t="inlineStr">
        <is>
          <t>NIL</t>
        </is>
      </c>
      <c r="E10582" t="n">
        <v>2715</v>
      </c>
    </row>
    <row r="10583">
      <c r="A10583" t="inlineStr">
        <is>
          <t>27BBBBB10583Z5</t>
        </is>
      </c>
      <c r="B10583" t="inlineStr">
        <is>
          <t>Dec-2017</t>
        </is>
      </c>
      <c r="C10583" s="2" t="n">
        <v>43216</v>
      </c>
      <c r="D10583" t="inlineStr">
        <is>
          <t>NIL</t>
        </is>
      </c>
      <c r="E10583" t="n">
        <v>770</v>
      </c>
    </row>
    <row r="10584">
      <c r="A10584" t="inlineStr">
        <is>
          <t>27BBBBB10584Z5</t>
        </is>
      </c>
      <c r="B10584" t="inlineStr">
        <is>
          <t>Aug-2017</t>
        </is>
      </c>
      <c r="C10584" s="2" t="n">
        <v>44279</v>
      </c>
      <c r="D10584" t="inlineStr">
        <is>
          <t>NON-NIL</t>
        </is>
      </c>
      <c r="E10584" t="n">
        <v>1266</v>
      </c>
    </row>
    <row r="10585">
      <c r="A10585" t="inlineStr">
        <is>
          <t>27BBBBB10585Z5</t>
        </is>
      </c>
      <c r="B10585" t="inlineStr">
        <is>
          <t>Dec-2017</t>
        </is>
      </c>
      <c r="C10585" s="2" t="n">
        <v>43308</v>
      </c>
      <c r="D10585" t="inlineStr">
        <is>
          <t>NIL</t>
        </is>
      </c>
      <c r="E10585" t="n">
        <v>2250</v>
      </c>
    </row>
    <row r="10586">
      <c r="A10586" t="inlineStr">
        <is>
          <t>27BBBBB10586Z5</t>
        </is>
      </c>
      <c r="B10586" t="inlineStr">
        <is>
          <t>Apr-2020</t>
        </is>
      </c>
      <c r="C10586" s="2" t="n">
        <v>44331</v>
      </c>
      <c r="D10586" t="inlineStr">
        <is>
          <t>NIL</t>
        </is>
      </c>
      <c r="E10586" t="n">
        <v>2857</v>
      </c>
    </row>
    <row r="10587">
      <c r="A10587" t="inlineStr">
        <is>
          <t>27BBBBB10587Z5</t>
        </is>
      </c>
      <c r="B10587" t="inlineStr">
        <is>
          <t>Aug-2017</t>
        </is>
      </c>
      <c r="C10587" s="2" t="n">
        <v>43553</v>
      </c>
      <c r="D10587" t="inlineStr">
        <is>
          <t>NIL</t>
        </is>
      </c>
      <c r="E10587" t="n">
        <v>1717</v>
      </c>
    </row>
    <row r="10588">
      <c r="A10588" t="inlineStr">
        <is>
          <t>27BBBBB10588Z5</t>
        </is>
      </c>
      <c r="B10588" t="inlineStr">
        <is>
          <t>Mar-2020</t>
        </is>
      </c>
      <c r="C10588" s="2" t="n">
        <v>44442</v>
      </c>
      <c r="D10588" t="inlineStr">
        <is>
          <t>NON-NIL</t>
        </is>
      </c>
      <c r="E10588" t="n">
        <v>151</v>
      </c>
    </row>
    <row r="10589">
      <c r="A10589" t="inlineStr">
        <is>
          <t>27BBBBB10589Z5</t>
        </is>
      </c>
      <c r="B10589" t="inlineStr">
        <is>
          <t>Aug-2018</t>
        </is>
      </c>
      <c r="C10589" s="2" t="n">
        <v>43329</v>
      </c>
      <c r="D10589" t="inlineStr">
        <is>
          <t>NON-NIL</t>
        </is>
      </c>
      <c r="E10589" t="n">
        <v>566</v>
      </c>
    </row>
    <row r="10590">
      <c r="A10590" t="inlineStr">
        <is>
          <t>27BBBBB10590Z5</t>
        </is>
      </c>
      <c r="B10590" t="inlineStr">
        <is>
          <t>Sep-2017</t>
        </is>
      </c>
      <c r="C10590" s="2" t="n">
        <v>44274</v>
      </c>
      <c r="D10590" t="inlineStr">
        <is>
          <t>NIL</t>
        </is>
      </c>
      <c r="E10590" t="n">
        <v>1770</v>
      </c>
    </row>
    <row r="10591">
      <c r="A10591" t="inlineStr">
        <is>
          <t>27BBBBB10591Z5</t>
        </is>
      </c>
      <c r="B10591" t="inlineStr">
        <is>
          <t>Aug-2018</t>
        </is>
      </c>
      <c r="C10591" s="2" t="n">
        <v>44478</v>
      </c>
      <c r="D10591" t="inlineStr">
        <is>
          <t>NIL</t>
        </is>
      </c>
      <c r="E10591" t="n">
        <v>1522</v>
      </c>
    </row>
    <row r="10592">
      <c r="A10592" t="inlineStr">
        <is>
          <t>27BBBBB10592Z5</t>
        </is>
      </c>
      <c r="B10592" t="inlineStr">
        <is>
          <t>Apr-2020</t>
        </is>
      </c>
      <c r="C10592" s="2" t="n">
        <v>44186</v>
      </c>
      <c r="D10592" t="inlineStr">
        <is>
          <t>NIL</t>
        </is>
      </c>
      <c r="E10592" t="n">
        <v>741</v>
      </c>
    </row>
    <row r="10593">
      <c r="A10593" t="inlineStr">
        <is>
          <t>27BBBBB10593Z5</t>
        </is>
      </c>
      <c r="B10593" t="inlineStr">
        <is>
          <t>Mar-2018</t>
        </is>
      </c>
      <c r="C10593" s="2" t="n">
        <v>44122</v>
      </c>
      <c r="D10593" t="inlineStr">
        <is>
          <t>NON-NIL</t>
        </is>
      </c>
      <c r="E10593" t="n">
        <v>1005</v>
      </c>
    </row>
    <row r="10594">
      <c r="A10594" t="inlineStr">
        <is>
          <t>27BBBBB10594Z5</t>
        </is>
      </c>
      <c r="B10594" t="inlineStr">
        <is>
          <t>Nov-2018</t>
        </is>
      </c>
      <c r="C10594" s="2" t="n">
        <v>43248</v>
      </c>
      <c r="D10594" t="inlineStr">
        <is>
          <t>NON-NIL</t>
        </is>
      </c>
      <c r="E10594" t="n">
        <v>1545</v>
      </c>
    </row>
    <row r="10595">
      <c r="A10595" t="inlineStr">
        <is>
          <t>27BBBBB10595Z5</t>
        </is>
      </c>
      <c r="B10595" t="inlineStr">
        <is>
          <t>Apr-2020</t>
        </is>
      </c>
      <c r="C10595" s="2" t="n">
        <v>44734</v>
      </c>
      <c r="D10595" t="inlineStr">
        <is>
          <t>NIL</t>
        </is>
      </c>
      <c r="E10595" t="n">
        <v>1710</v>
      </c>
    </row>
    <row r="10596">
      <c r="A10596" t="inlineStr">
        <is>
          <t>27BBBBB10596Z5</t>
        </is>
      </c>
      <c r="B10596" t="inlineStr">
        <is>
          <t>Apr-2020</t>
        </is>
      </c>
      <c r="C10596" s="2" t="n">
        <v>43991</v>
      </c>
      <c r="D10596" t="inlineStr">
        <is>
          <t>NON-NIL</t>
        </is>
      </c>
      <c r="E10596" t="n">
        <v>1302</v>
      </c>
    </row>
    <row r="10597">
      <c r="A10597" t="inlineStr">
        <is>
          <t>27BBBBB10597Z5</t>
        </is>
      </c>
      <c r="B10597" t="inlineStr">
        <is>
          <t>Jun-2018</t>
        </is>
      </c>
      <c r="C10597" s="2" t="n">
        <v>44289</v>
      </c>
      <c r="D10597" t="inlineStr">
        <is>
          <t>NON-NIL</t>
        </is>
      </c>
      <c r="E10597" t="n">
        <v>367</v>
      </c>
    </row>
    <row r="10598">
      <c r="A10598" t="inlineStr">
        <is>
          <t>27BBBBB10598Z5</t>
        </is>
      </c>
      <c r="B10598" t="inlineStr">
        <is>
          <t>Feb-2018</t>
        </is>
      </c>
      <c r="C10598" s="2" t="n">
        <v>43360</v>
      </c>
      <c r="D10598" t="inlineStr">
        <is>
          <t>NIL</t>
        </is>
      </c>
      <c r="E10598" t="n">
        <v>2107</v>
      </c>
    </row>
    <row r="10599">
      <c r="A10599" t="inlineStr">
        <is>
          <t>27BBBBB10599Z5</t>
        </is>
      </c>
      <c r="B10599" t="inlineStr">
        <is>
          <t>Oct-2017</t>
        </is>
      </c>
      <c r="C10599" s="2" t="n">
        <v>43672</v>
      </c>
      <c r="D10599" t="inlineStr">
        <is>
          <t>NIL</t>
        </is>
      </c>
      <c r="E10599" t="n">
        <v>283</v>
      </c>
    </row>
    <row r="10600">
      <c r="A10600" t="inlineStr">
        <is>
          <t>27BBBBB10600Z5</t>
        </is>
      </c>
      <c r="B10600" t="inlineStr">
        <is>
          <t>May-2020</t>
        </is>
      </c>
      <c r="C10600" s="2" t="n">
        <v>44297</v>
      </c>
      <c r="D10600" t="inlineStr">
        <is>
          <t>NIL</t>
        </is>
      </c>
      <c r="E10600" t="n">
        <v>156</v>
      </c>
    </row>
    <row r="10601">
      <c r="A10601" t="inlineStr">
        <is>
          <t>27BBBBB10601Z5</t>
        </is>
      </c>
      <c r="B10601" t="inlineStr">
        <is>
          <t>Sep-2017</t>
        </is>
      </c>
      <c r="C10601" s="2" t="n">
        <v>42999</v>
      </c>
      <c r="D10601" t="inlineStr">
        <is>
          <t>NON-NIL</t>
        </is>
      </c>
      <c r="E10601" t="n">
        <v>2260</v>
      </c>
    </row>
    <row r="10602">
      <c r="A10602" t="inlineStr">
        <is>
          <t>27BBBBB10602Z5</t>
        </is>
      </c>
      <c r="B10602" t="inlineStr">
        <is>
          <t>May-2020</t>
        </is>
      </c>
      <c r="C10602" s="2" t="n">
        <v>44061</v>
      </c>
      <c r="D10602" t="inlineStr">
        <is>
          <t>NIL</t>
        </is>
      </c>
      <c r="E10602" t="n">
        <v>1038</v>
      </c>
    </row>
    <row r="10603">
      <c r="A10603" t="inlineStr">
        <is>
          <t>27BBBBB10603Z5</t>
        </is>
      </c>
      <c r="B10603" t="inlineStr">
        <is>
          <t>Dec-2022</t>
        </is>
      </c>
      <c r="C10603" s="2" t="n">
        <v>44513</v>
      </c>
      <c r="D10603" t="inlineStr">
        <is>
          <t>NIL</t>
        </is>
      </c>
      <c r="E10603" t="n">
        <v>1225</v>
      </c>
    </row>
    <row r="10604">
      <c r="A10604" t="inlineStr">
        <is>
          <t>27BBBBB10604Z5</t>
        </is>
      </c>
      <c r="B10604" t="inlineStr">
        <is>
          <t>Mar-2021</t>
        </is>
      </c>
      <c r="C10604" s="2" t="n">
        <v>44028</v>
      </c>
      <c r="D10604" t="inlineStr">
        <is>
          <t>NON-NIL</t>
        </is>
      </c>
      <c r="E10604" t="n">
        <v>2357</v>
      </c>
    </row>
    <row r="10605">
      <c r="A10605" t="inlineStr">
        <is>
          <t>27BBBBB10605Z5</t>
        </is>
      </c>
      <c r="B10605" t="inlineStr">
        <is>
          <t>Jun-2020</t>
        </is>
      </c>
      <c r="C10605" s="2" t="n">
        <v>44387</v>
      </c>
      <c r="D10605" t="inlineStr">
        <is>
          <t>NIL</t>
        </is>
      </c>
      <c r="E10605" t="n">
        <v>1381</v>
      </c>
    </row>
    <row r="10606">
      <c r="A10606" t="inlineStr">
        <is>
          <t>27BBBBB10606Z5</t>
        </is>
      </c>
      <c r="B10606" t="inlineStr">
        <is>
          <t>Jan-2021</t>
        </is>
      </c>
      <c r="C10606" s="2" t="n">
        <v>45051</v>
      </c>
      <c r="D10606" t="inlineStr">
        <is>
          <t>NIL</t>
        </is>
      </c>
      <c r="E10606" t="n">
        <v>791</v>
      </c>
    </row>
    <row r="10607">
      <c r="A10607" t="inlineStr">
        <is>
          <t>27BBBBB10607Z5</t>
        </is>
      </c>
      <c r="B10607" t="inlineStr">
        <is>
          <t>Jun-2018</t>
        </is>
      </c>
      <c r="C10607" s="2" t="n">
        <v>43548</v>
      </c>
      <c r="D10607" t="inlineStr">
        <is>
          <t>NON-NIL</t>
        </is>
      </c>
      <c r="E10607" t="n">
        <v>1543</v>
      </c>
    </row>
    <row r="10608">
      <c r="A10608" t="inlineStr">
        <is>
          <t>27BBBBB10608Z5</t>
        </is>
      </c>
      <c r="B10608" t="inlineStr">
        <is>
          <t>Jan-2018</t>
        </is>
      </c>
      <c r="C10608" s="2" t="n">
        <v>44069</v>
      </c>
      <c r="D10608" t="inlineStr">
        <is>
          <t>NIL</t>
        </is>
      </c>
      <c r="E10608" t="n">
        <v>1806</v>
      </c>
    </row>
    <row r="10609">
      <c r="A10609" t="inlineStr">
        <is>
          <t>27BBBBB10609Z5</t>
        </is>
      </c>
      <c r="B10609" t="inlineStr">
        <is>
          <t>Jan-2018</t>
        </is>
      </c>
      <c r="C10609" s="2" t="n">
        <v>43958</v>
      </c>
      <c r="D10609" t="inlineStr">
        <is>
          <t>NON-NIL</t>
        </is>
      </c>
      <c r="E10609" t="n">
        <v>1377</v>
      </c>
    </row>
    <row r="10610">
      <c r="A10610" t="inlineStr">
        <is>
          <t>27BBBBB10610Z5</t>
        </is>
      </c>
      <c r="B10610" t="inlineStr">
        <is>
          <t>Aug-2018</t>
        </is>
      </c>
      <c r="C10610" s="2" t="n">
        <v>43559</v>
      </c>
      <c r="D10610" t="inlineStr">
        <is>
          <t>NON-NIL</t>
        </is>
      </c>
      <c r="E10610" t="n">
        <v>495</v>
      </c>
    </row>
    <row r="10611">
      <c r="A10611" t="inlineStr">
        <is>
          <t>27BBBBB10611Z5</t>
        </is>
      </c>
      <c r="B10611" t="inlineStr">
        <is>
          <t>Mar-2023</t>
        </is>
      </c>
      <c r="C10611" s="2" t="n">
        <v>45777</v>
      </c>
      <c r="D10611" t="inlineStr">
        <is>
          <t>NIL</t>
        </is>
      </c>
      <c r="E10611" t="n">
        <v>381</v>
      </c>
    </row>
    <row r="10612">
      <c r="A10612" t="inlineStr">
        <is>
          <t>27BBBBB10612Z5</t>
        </is>
      </c>
      <c r="B10612" t="inlineStr">
        <is>
          <t>Dec-2022</t>
        </is>
      </c>
      <c r="C10612" s="2" t="n">
        <v>44171</v>
      </c>
      <c r="D10612" t="inlineStr">
        <is>
          <t>NON-NIL</t>
        </is>
      </c>
      <c r="E10612" t="n">
        <v>2654</v>
      </c>
    </row>
    <row r="10613">
      <c r="A10613" t="inlineStr">
        <is>
          <t>27BBBBB10613Z5</t>
        </is>
      </c>
      <c r="B10613" t="inlineStr">
        <is>
          <t>May-2020</t>
        </is>
      </c>
      <c r="C10613" s="2" t="n">
        <v>43841</v>
      </c>
      <c r="D10613" t="inlineStr">
        <is>
          <t>NON-NIL</t>
        </is>
      </c>
      <c r="E10613" t="n">
        <v>172</v>
      </c>
    </row>
    <row r="10614">
      <c r="A10614" t="inlineStr">
        <is>
          <t>27BBBBB10614Z5</t>
        </is>
      </c>
      <c r="B10614" t="inlineStr">
        <is>
          <t>Sep-2017</t>
        </is>
      </c>
      <c r="C10614" s="2" t="n">
        <v>43211</v>
      </c>
      <c r="D10614" t="inlineStr">
        <is>
          <t>NON-NIL</t>
        </is>
      </c>
      <c r="E10614" t="n">
        <v>562</v>
      </c>
    </row>
    <row r="10615">
      <c r="A10615" t="inlineStr">
        <is>
          <t>27BBBBB10615Z5</t>
        </is>
      </c>
      <c r="B10615" t="inlineStr">
        <is>
          <t>Dec-2024</t>
        </is>
      </c>
      <c r="C10615" s="2" t="n">
        <v>44718</v>
      </c>
      <c r="D10615" t="inlineStr">
        <is>
          <t>NIL</t>
        </is>
      </c>
      <c r="E10615" t="n">
        <v>2512</v>
      </c>
    </row>
    <row r="10616">
      <c r="A10616" t="inlineStr">
        <is>
          <t>27BBBBB10616Z5</t>
        </is>
      </c>
      <c r="B10616" t="inlineStr">
        <is>
          <t>Dec-2024</t>
        </is>
      </c>
      <c r="C10616" s="2" t="n">
        <v>45489</v>
      </c>
      <c r="D10616" t="inlineStr">
        <is>
          <t>NON-NIL</t>
        </is>
      </c>
      <c r="E10616" t="n">
        <v>121</v>
      </c>
    </row>
    <row r="10617">
      <c r="A10617" t="inlineStr">
        <is>
          <t>27BBBBB10617Z5</t>
        </is>
      </c>
      <c r="B10617" t="inlineStr">
        <is>
          <t>Nov-2017</t>
        </is>
      </c>
      <c r="C10617" s="2" t="n">
        <v>43959</v>
      </c>
      <c r="D10617" t="inlineStr">
        <is>
          <t>NON-NIL</t>
        </is>
      </c>
      <c r="E10617" t="n">
        <v>811</v>
      </c>
    </row>
    <row r="10618">
      <c r="A10618" t="inlineStr">
        <is>
          <t>27BBBBB10618Z5</t>
        </is>
      </c>
      <c r="B10618" t="inlineStr">
        <is>
          <t>Feb-2018</t>
        </is>
      </c>
      <c r="C10618" s="2" t="n">
        <v>44050</v>
      </c>
      <c r="D10618" t="inlineStr">
        <is>
          <t>NIL</t>
        </is>
      </c>
      <c r="E10618" t="n">
        <v>1820</v>
      </c>
    </row>
    <row r="10619">
      <c r="A10619" t="inlineStr">
        <is>
          <t>27BBBBB10619Z5</t>
        </is>
      </c>
      <c r="B10619" t="inlineStr">
        <is>
          <t>Mar-2018</t>
        </is>
      </c>
      <c r="C10619" s="2" t="n">
        <v>43632</v>
      </c>
      <c r="D10619" t="inlineStr">
        <is>
          <t>NON-NIL</t>
        </is>
      </c>
      <c r="E10619" t="n">
        <v>2525</v>
      </c>
    </row>
    <row r="10620">
      <c r="A10620" t="inlineStr">
        <is>
          <t>27BBBBB10620Z5</t>
        </is>
      </c>
      <c r="B10620" t="inlineStr">
        <is>
          <t>Dec-2018</t>
        </is>
      </c>
      <c r="C10620" s="2" t="n">
        <v>44351</v>
      </c>
      <c r="D10620" t="inlineStr">
        <is>
          <t>NON-NIL</t>
        </is>
      </c>
      <c r="E10620" t="n">
        <v>1693</v>
      </c>
    </row>
    <row r="10621">
      <c r="A10621" t="inlineStr">
        <is>
          <t>27BBBBB10621Z5</t>
        </is>
      </c>
      <c r="B10621" t="inlineStr">
        <is>
          <t>Dec-2017</t>
        </is>
      </c>
      <c r="C10621" s="2" t="n">
        <v>43876</v>
      </c>
      <c r="D10621" t="inlineStr">
        <is>
          <t>NON-NIL</t>
        </is>
      </c>
      <c r="E10621" t="n">
        <v>1804</v>
      </c>
    </row>
    <row r="10622">
      <c r="A10622" t="inlineStr">
        <is>
          <t>27BBBBB10622Z5</t>
        </is>
      </c>
      <c r="B10622" t="inlineStr">
        <is>
          <t>Oct-2018</t>
        </is>
      </c>
      <c r="C10622" s="2" t="n">
        <v>43840</v>
      </c>
      <c r="D10622" t="inlineStr">
        <is>
          <t>NON-NIL</t>
        </is>
      </c>
      <c r="E10622" t="n">
        <v>2265</v>
      </c>
    </row>
    <row r="10623">
      <c r="A10623" t="inlineStr">
        <is>
          <t>27BBBBB10623Z5</t>
        </is>
      </c>
      <c r="B10623" t="inlineStr">
        <is>
          <t>Mar-2021</t>
        </is>
      </c>
      <c r="C10623" s="2" t="n">
        <v>44271</v>
      </c>
      <c r="D10623" t="inlineStr">
        <is>
          <t>NIL</t>
        </is>
      </c>
      <c r="E10623" t="n">
        <v>295</v>
      </c>
    </row>
    <row r="10624">
      <c r="A10624" t="inlineStr">
        <is>
          <t>27BBBBB10624Z5</t>
        </is>
      </c>
      <c r="B10624" t="inlineStr">
        <is>
          <t>May-2020</t>
        </is>
      </c>
      <c r="C10624" s="2" t="n">
        <v>44910</v>
      </c>
      <c r="D10624" t="inlineStr">
        <is>
          <t>NON-NIL</t>
        </is>
      </c>
      <c r="E10624" t="n">
        <v>1854</v>
      </c>
    </row>
    <row r="10625">
      <c r="A10625" t="inlineStr">
        <is>
          <t>27BBBBB10625Z5</t>
        </is>
      </c>
      <c r="B10625" t="inlineStr">
        <is>
          <t>Jan-2018</t>
        </is>
      </c>
      <c r="C10625" s="2" t="n">
        <v>43336</v>
      </c>
      <c r="D10625" t="inlineStr">
        <is>
          <t>NON-NIL</t>
        </is>
      </c>
      <c r="E10625" t="n">
        <v>607</v>
      </c>
    </row>
    <row r="10626">
      <c r="A10626" t="inlineStr">
        <is>
          <t>27BBBBB10626Z5</t>
        </is>
      </c>
      <c r="B10626" t="inlineStr">
        <is>
          <t>Jul-2018</t>
        </is>
      </c>
      <c r="C10626" s="2" t="n">
        <v>43564</v>
      </c>
      <c r="D10626" t="inlineStr">
        <is>
          <t>NON-NIL</t>
        </is>
      </c>
      <c r="E10626" t="n">
        <v>2801</v>
      </c>
    </row>
    <row r="10627">
      <c r="A10627" t="inlineStr">
        <is>
          <t>27BBBBB10627Z5</t>
        </is>
      </c>
      <c r="B10627" t="inlineStr">
        <is>
          <t>Nov-2018</t>
        </is>
      </c>
      <c r="C10627" s="2" t="n">
        <v>43327</v>
      </c>
      <c r="D10627" t="inlineStr">
        <is>
          <t>NON-NIL</t>
        </is>
      </c>
      <c r="E10627" t="n">
        <v>695</v>
      </c>
    </row>
    <row r="10628">
      <c r="A10628" t="inlineStr">
        <is>
          <t>27BBBBB10628Z5</t>
        </is>
      </c>
      <c r="B10628" t="inlineStr">
        <is>
          <t>Dec-2024</t>
        </is>
      </c>
      <c r="C10628" s="2" t="n">
        <v>43688</v>
      </c>
      <c r="D10628" t="inlineStr">
        <is>
          <t>NIL</t>
        </is>
      </c>
      <c r="E10628" t="n">
        <v>1183</v>
      </c>
    </row>
    <row r="10629">
      <c r="A10629" t="inlineStr">
        <is>
          <t>27BBBBB10629Z5</t>
        </is>
      </c>
      <c r="B10629" t="inlineStr">
        <is>
          <t>May-2018</t>
        </is>
      </c>
      <c r="C10629" s="2" t="n">
        <v>43050</v>
      </c>
      <c r="D10629" t="inlineStr">
        <is>
          <t>NON-NIL</t>
        </is>
      </c>
      <c r="E10629" t="n">
        <v>1512</v>
      </c>
    </row>
    <row r="10630">
      <c r="A10630" t="inlineStr">
        <is>
          <t>27BBBBB10630Z5</t>
        </is>
      </c>
      <c r="B10630" t="inlineStr">
        <is>
          <t>Jun-2018</t>
        </is>
      </c>
      <c r="C10630" s="2" t="n">
        <v>44169</v>
      </c>
      <c r="D10630" t="inlineStr">
        <is>
          <t>NIL</t>
        </is>
      </c>
      <c r="E10630" t="n">
        <v>1343</v>
      </c>
    </row>
    <row r="10631">
      <c r="A10631" t="inlineStr">
        <is>
          <t>27BBBBB10631Z5</t>
        </is>
      </c>
      <c r="B10631" t="inlineStr">
        <is>
          <t>Sep-2017</t>
        </is>
      </c>
      <c r="C10631" s="2" t="n">
        <v>43877</v>
      </c>
      <c r="D10631" t="inlineStr">
        <is>
          <t>NIL</t>
        </is>
      </c>
      <c r="E10631" t="n">
        <v>1800</v>
      </c>
    </row>
    <row r="10632">
      <c r="A10632" t="inlineStr">
        <is>
          <t>27BBBBB10632Z5</t>
        </is>
      </c>
      <c r="B10632" t="inlineStr">
        <is>
          <t>Feb-2018</t>
        </is>
      </c>
      <c r="C10632" s="2" t="n">
        <v>43365</v>
      </c>
      <c r="D10632" t="inlineStr">
        <is>
          <t>NON-NIL</t>
        </is>
      </c>
      <c r="E10632" t="n">
        <v>218</v>
      </c>
    </row>
    <row r="10633">
      <c r="A10633" t="inlineStr">
        <is>
          <t>27BBBBB10633Z5</t>
        </is>
      </c>
      <c r="B10633" t="inlineStr">
        <is>
          <t>Dec-2017</t>
        </is>
      </c>
      <c r="C10633" s="2" t="n">
        <v>43149</v>
      </c>
      <c r="D10633" t="inlineStr">
        <is>
          <t>NON-NIL</t>
        </is>
      </c>
      <c r="E10633" t="n">
        <v>670</v>
      </c>
    </row>
    <row r="10634">
      <c r="A10634" t="inlineStr">
        <is>
          <t>27BBBBB10634Z5</t>
        </is>
      </c>
      <c r="B10634" t="inlineStr">
        <is>
          <t>Oct-2017</t>
        </is>
      </c>
      <c r="C10634" s="2" t="n">
        <v>43909</v>
      </c>
      <c r="D10634" t="inlineStr">
        <is>
          <t>NIL</t>
        </is>
      </c>
      <c r="E10634" t="n">
        <v>358</v>
      </c>
    </row>
    <row r="10635">
      <c r="A10635" t="inlineStr">
        <is>
          <t>27BBBBB10635Z5</t>
        </is>
      </c>
      <c r="B10635" t="inlineStr">
        <is>
          <t>Apr-2020</t>
        </is>
      </c>
      <c r="C10635" s="2" t="n">
        <v>44900</v>
      </c>
      <c r="D10635" t="inlineStr">
        <is>
          <t>NIL</t>
        </is>
      </c>
      <c r="E10635" t="n">
        <v>900</v>
      </c>
    </row>
    <row r="10636">
      <c r="A10636" t="inlineStr">
        <is>
          <t>27BBBBB10636Z5</t>
        </is>
      </c>
      <c r="B10636" t="inlineStr">
        <is>
          <t>Jul-2020</t>
        </is>
      </c>
      <c r="C10636" s="2" t="n">
        <v>44737</v>
      </c>
      <c r="D10636" t="inlineStr">
        <is>
          <t>NIL</t>
        </is>
      </c>
      <c r="E10636" t="n">
        <v>622</v>
      </c>
    </row>
    <row r="10637">
      <c r="A10637" t="inlineStr">
        <is>
          <t>27BBBBB10637Z5</t>
        </is>
      </c>
      <c r="B10637" t="inlineStr">
        <is>
          <t>Mar-2018</t>
        </is>
      </c>
      <c r="C10637" s="2" t="n">
        <v>43187</v>
      </c>
      <c r="D10637" t="inlineStr">
        <is>
          <t>NIL</t>
        </is>
      </c>
      <c r="E10637" t="n">
        <v>805</v>
      </c>
    </row>
    <row r="10638">
      <c r="A10638" t="inlineStr">
        <is>
          <t>27BBBBB10638Z5</t>
        </is>
      </c>
      <c r="B10638" t="inlineStr">
        <is>
          <t>Apr-2018</t>
        </is>
      </c>
      <c r="C10638" s="2" t="n">
        <v>43443</v>
      </c>
      <c r="D10638" t="inlineStr">
        <is>
          <t>NIL</t>
        </is>
      </c>
      <c r="E10638" t="n">
        <v>2547</v>
      </c>
    </row>
    <row r="10639">
      <c r="A10639" t="inlineStr">
        <is>
          <t>27BBBBB10639Z5</t>
        </is>
      </c>
      <c r="B10639" t="inlineStr">
        <is>
          <t>Jun-2020</t>
        </is>
      </c>
      <c r="C10639" s="2" t="n">
        <v>43947</v>
      </c>
      <c r="D10639" t="inlineStr">
        <is>
          <t>NON-NIL</t>
        </is>
      </c>
      <c r="E10639" t="n">
        <v>494</v>
      </c>
    </row>
    <row r="10640">
      <c r="A10640" t="inlineStr">
        <is>
          <t>27BBBBB10640Z5</t>
        </is>
      </c>
      <c r="B10640" t="inlineStr">
        <is>
          <t>Dec-2017</t>
        </is>
      </c>
      <c r="C10640" s="2" t="n">
        <v>43214</v>
      </c>
      <c r="D10640" t="inlineStr">
        <is>
          <t>NIL</t>
        </is>
      </c>
      <c r="E10640" t="n">
        <v>125</v>
      </c>
    </row>
    <row r="10641">
      <c r="A10641" t="inlineStr">
        <is>
          <t>27BBBBB10641Z5</t>
        </is>
      </c>
      <c r="B10641" t="inlineStr">
        <is>
          <t>Dec-2017</t>
        </is>
      </c>
      <c r="C10641" s="2" t="n">
        <v>44515</v>
      </c>
      <c r="D10641" t="inlineStr">
        <is>
          <t>NON-NIL</t>
        </is>
      </c>
      <c r="E10641" t="n">
        <v>876</v>
      </c>
    </row>
    <row r="10642">
      <c r="A10642" t="inlineStr">
        <is>
          <t>27BBBBB10642Z5</t>
        </is>
      </c>
      <c r="B10642" t="inlineStr">
        <is>
          <t>Jun-2020</t>
        </is>
      </c>
      <c r="C10642" s="2" t="n">
        <v>43855</v>
      </c>
      <c r="D10642" t="inlineStr">
        <is>
          <t>NIL</t>
        </is>
      </c>
      <c r="E10642" t="n">
        <v>1922</v>
      </c>
    </row>
    <row r="10643">
      <c r="A10643" t="inlineStr">
        <is>
          <t>27BBBBB10643Z5</t>
        </is>
      </c>
      <c r="B10643" t="inlineStr">
        <is>
          <t>Nov-2017</t>
        </is>
      </c>
      <c r="C10643" s="2" t="n">
        <v>43377</v>
      </c>
      <c r="D10643" t="inlineStr">
        <is>
          <t>NIL</t>
        </is>
      </c>
      <c r="E10643" t="n">
        <v>1166</v>
      </c>
    </row>
    <row r="10644">
      <c r="A10644" t="inlineStr">
        <is>
          <t>27BBBBB10644Z5</t>
        </is>
      </c>
      <c r="B10644" t="inlineStr">
        <is>
          <t>Dec-2024</t>
        </is>
      </c>
      <c r="C10644" s="2" t="n">
        <v>45705</v>
      </c>
      <c r="D10644" t="inlineStr">
        <is>
          <t>NON-NIL</t>
        </is>
      </c>
      <c r="E10644" t="n">
        <v>1102</v>
      </c>
    </row>
    <row r="10645">
      <c r="A10645" t="inlineStr">
        <is>
          <t>27BBBBB10645Z5</t>
        </is>
      </c>
      <c r="B10645" t="inlineStr">
        <is>
          <t>Mar-2018</t>
        </is>
      </c>
      <c r="C10645" s="2" t="n">
        <v>43486</v>
      </c>
      <c r="D10645" t="inlineStr">
        <is>
          <t>NIL</t>
        </is>
      </c>
      <c r="E10645" t="n">
        <v>1389</v>
      </c>
    </row>
    <row r="10646">
      <c r="A10646" t="inlineStr">
        <is>
          <t>27BBBBB10646Z5</t>
        </is>
      </c>
      <c r="B10646" t="inlineStr">
        <is>
          <t>Oct-2017</t>
        </is>
      </c>
      <c r="C10646" s="2" t="n">
        <v>43322</v>
      </c>
      <c r="D10646" t="inlineStr">
        <is>
          <t>NON-NIL</t>
        </is>
      </c>
      <c r="E10646" t="n">
        <v>1152</v>
      </c>
    </row>
    <row r="10647">
      <c r="A10647" t="inlineStr">
        <is>
          <t>27BBBBB10647Z5</t>
        </is>
      </c>
      <c r="B10647" t="inlineStr">
        <is>
          <t>May-2020</t>
        </is>
      </c>
      <c r="C10647" s="2" t="n">
        <v>44748</v>
      </c>
      <c r="D10647" t="inlineStr">
        <is>
          <t>NIL</t>
        </is>
      </c>
      <c r="E10647" t="n">
        <v>1465</v>
      </c>
    </row>
    <row r="10648">
      <c r="A10648" t="inlineStr">
        <is>
          <t>27BBBBB10648Z5</t>
        </is>
      </c>
      <c r="B10648" t="inlineStr">
        <is>
          <t>May-2018</t>
        </is>
      </c>
      <c r="C10648" s="2" t="n">
        <v>43439</v>
      </c>
      <c r="D10648" t="inlineStr">
        <is>
          <t>NIL</t>
        </is>
      </c>
      <c r="E10648" t="n">
        <v>186</v>
      </c>
    </row>
    <row r="10649">
      <c r="A10649" t="inlineStr">
        <is>
          <t>27BBBBB10649Z5</t>
        </is>
      </c>
      <c r="B10649" t="inlineStr">
        <is>
          <t>Jun-2018</t>
        </is>
      </c>
      <c r="C10649" s="2" t="n">
        <v>43875</v>
      </c>
      <c r="D10649" t="inlineStr">
        <is>
          <t>NIL</t>
        </is>
      </c>
      <c r="E10649" t="n">
        <v>1347</v>
      </c>
    </row>
    <row r="10650">
      <c r="A10650" t="inlineStr">
        <is>
          <t>27BBBBB10650Z5</t>
        </is>
      </c>
      <c r="B10650" t="inlineStr">
        <is>
          <t>Mar-2021</t>
        </is>
      </c>
      <c r="C10650" s="2" t="n">
        <v>44094</v>
      </c>
      <c r="D10650" t="inlineStr">
        <is>
          <t>NON-NIL</t>
        </is>
      </c>
      <c r="E10650" t="n">
        <v>1254</v>
      </c>
    </row>
    <row r="10651">
      <c r="A10651" t="inlineStr">
        <is>
          <t>27BBBBB10651Z5</t>
        </is>
      </c>
      <c r="B10651" t="inlineStr">
        <is>
          <t>Apr-2020</t>
        </is>
      </c>
      <c r="C10651" s="2" t="n">
        <v>44301</v>
      </c>
      <c r="D10651" t="inlineStr">
        <is>
          <t>NIL</t>
        </is>
      </c>
      <c r="E10651" t="n">
        <v>2341</v>
      </c>
    </row>
    <row r="10652">
      <c r="A10652" t="inlineStr">
        <is>
          <t>27BBBBB10652Z5</t>
        </is>
      </c>
      <c r="B10652" t="inlineStr">
        <is>
          <t>Jul-2020</t>
        </is>
      </c>
      <c r="C10652" s="2" t="n">
        <v>44893</v>
      </c>
      <c r="D10652" t="inlineStr">
        <is>
          <t>NIL</t>
        </is>
      </c>
      <c r="E10652" t="n">
        <v>815</v>
      </c>
    </row>
    <row r="10653">
      <c r="A10653" t="inlineStr">
        <is>
          <t>27BBBBB10653Z5</t>
        </is>
      </c>
      <c r="B10653" t="inlineStr">
        <is>
          <t>Jan-2018</t>
        </is>
      </c>
      <c r="C10653" s="2" t="n">
        <v>44541</v>
      </c>
      <c r="D10653" t="inlineStr">
        <is>
          <t>NIL</t>
        </is>
      </c>
      <c r="E10653" t="n">
        <v>359</v>
      </c>
    </row>
    <row r="10654">
      <c r="A10654" t="inlineStr">
        <is>
          <t>27BBBBB10654Z5</t>
        </is>
      </c>
      <c r="B10654" t="inlineStr">
        <is>
          <t>Jun-2018</t>
        </is>
      </c>
      <c r="C10654" s="2" t="n">
        <v>43339</v>
      </c>
      <c r="D10654" t="inlineStr">
        <is>
          <t>NIL</t>
        </is>
      </c>
      <c r="E10654" t="n">
        <v>2121</v>
      </c>
    </row>
    <row r="10655">
      <c r="A10655" t="inlineStr">
        <is>
          <t>27BBBBB10655Z5</t>
        </is>
      </c>
      <c r="B10655" t="inlineStr">
        <is>
          <t>Dec-2024</t>
        </is>
      </c>
      <c r="C10655" s="2" t="n">
        <v>44215</v>
      </c>
      <c r="D10655" t="inlineStr">
        <is>
          <t>NIL</t>
        </is>
      </c>
      <c r="E10655" t="n">
        <v>997</v>
      </c>
    </row>
    <row r="10656">
      <c r="A10656" t="inlineStr">
        <is>
          <t>27BBBBB10656Z5</t>
        </is>
      </c>
      <c r="B10656" t="inlineStr">
        <is>
          <t>Nov-2017</t>
        </is>
      </c>
      <c r="C10656" s="2" t="n">
        <v>44518</v>
      </c>
      <c r="D10656" t="inlineStr">
        <is>
          <t>NIL</t>
        </is>
      </c>
      <c r="E10656" t="n">
        <v>345</v>
      </c>
    </row>
    <row r="10657">
      <c r="A10657" t="inlineStr">
        <is>
          <t>27BBBBB10657Z5</t>
        </is>
      </c>
      <c r="B10657" t="inlineStr">
        <is>
          <t>Nov-2018</t>
        </is>
      </c>
      <c r="C10657" s="2" t="n">
        <v>43767</v>
      </c>
      <c r="D10657" t="inlineStr">
        <is>
          <t>NIL</t>
        </is>
      </c>
      <c r="E10657" t="n">
        <v>1536</v>
      </c>
    </row>
    <row r="10658">
      <c r="A10658" t="inlineStr">
        <is>
          <t>27BBBBB10658Z5</t>
        </is>
      </c>
      <c r="B10658" t="inlineStr">
        <is>
          <t>Dec-2017</t>
        </is>
      </c>
      <c r="C10658" s="2" t="n">
        <v>43727</v>
      </c>
      <c r="D10658" t="inlineStr">
        <is>
          <t>NON-NIL</t>
        </is>
      </c>
      <c r="E10658" t="n">
        <v>1438</v>
      </c>
    </row>
    <row r="10659">
      <c r="A10659" t="inlineStr">
        <is>
          <t>27BBBBB10659Z5</t>
        </is>
      </c>
      <c r="B10659" t="inlineStr">
        <is>
          <t>Jul-2018</t>
        </is>
      </c>
      <c r="C10659" s="2" t="n">
        <v>43028</v>
      </c>
      <c r="D10659" t="inlineStr">
        <is>
          <t>NIL</t>
        </is>
      </c>
      <c r="E10659" t="n">
        <v>1874</v>
      </c>
    </row>
    <row r="10660">
      <c r="A10660" t="inlineStr">
        <is>
          <t>27BBBBB10660Z5</t>
        </is>
      </c>
      <c r="B10660" t="inlineStr">
        <is>
          <t>Nov-2018</t>
        </is>
      </c>
      <c r="C10660" s="2" t="n">
        <v>43820</v>
      </c>
      <c r="D10660" t="inlineStr">
        <is>
          <t>NIL</t>
        </is>
      </c>
      <c r="E10660" t="n">
        <v>2667</v>
      </c>
    </row>
    <row r="10661">
      <c r="A10661" t="inlineStr">
        <is>
          <t>27BBBBB10661Z5</t>
        </is>
      </c>
      <c r="B10661" t="inlineStr">
        <is>
          <t>Sep-2017</t>
        </is>
      </c>
      <c r="C10661" s="2" t="n">
        <v>43047</v>
      </c>
      <c r="D10661" t="inlineStr">
        <is>
          <t>NIL</t>
        </is>
      </c>
      <c r="E10661" t="n">
        <v>2686</v>
      </c>
    </row>
    <row r="10662">
      <c r="A10662" t="inlineStr">
        <is>
          <t>27BBBBB10662Z5</t>
        </is>
      </c>
      <c r="B10662" t="inlineStr">
        <is>
          <t>Dec-2022</t>
        </is>
      </c>
      <c r="C10662" s="2" t="n">
        <v>45735</v>
      </c>
      <c r="D10662" t="inlineStr">
        <is>
          <t>NON-NIL</t>
        </is>
      </c>
      <c r="E10662" t="n">
        <v>1991</v>
      </c>
    </row>
    <row r="10663">
      <c r="A10663" t="inlineStr">
        <is>
          <t>27BBBBB10663Z5</t>
        </is>
      </c>
      <c r="B10663" t="inlineStr">
        <is>
          <t>May-2020</t>
        </is>
      </c>
      <c r="C10663" s="2" t="n">
        <v>43956</v>
      </c>
      <c r="D10663" t="inlineStr">
        <is>
          <t>NON-NIL</t>
        </is>
      </c>
      <c r="E10663" t="n">
        <v>222</v>
      </c>
    </row>
    <row r="10664">
      <c r="A10664" t="inlineStr">
        <is>
          <t>27BBBBB10664Z5</t>
        </is>
      </c>
      <c r="B10664" t="inlineStr">
        <is>
          <t>Dec-2017</t>
        </is>
      </c>
      <c r="C10664" s="2" t="n">
        <v>44552</v>
      </c>
      <c r="D10664" t="inlineStr">
        <is>
          <t>NIL</t>
        </is>
      </c>
      <c r="E10664" t="n">
        <v>1999</v>
      </c>
    </row>
    <row r="10665">
      <c r="A10665" t="inlineStr">
        <is>
          <t>27BBBBB10665Z5</t>
        </is>
      </c>
      <c r="B10665" t="inlineStr">
        <is>
          <t>Mar-2018</t>
        </is>
      </c>
      <c r="C10665" s="2" t="n">
        <v>44185</v>
      </c>
      <c r="D10665" t="inlineStr">
        <is>
          <t>NIL</t>
        </is>
      </c>
      <c r="E10665" t="n">
        <v>37</v>
      </c>
    </row>
    <row r="10666">
      <c r="A10666" t="inlineStr">
        <is>
          <t>27BBBBB10666Z5</t>
        </is>
      </c>
      <c r="B10666" t="inlineStr">
        <is>
          <t>Jun-2020</t>
        </is>
      </c>
      <c r="C10666" s="2" t="n">
        <v>43939</v>
      </c>
      <c r="D10666" t="inlineStr">
        <is>
          <t>NIL</t>
        </is>
      </c>
      <c r="E10666" t="n">
        <v>2102</v>
      </c>
    </row>
    <row r="10667">
      <c r="A10667" t="inlineStr">
        <is>
          <t>27BBBBB10667Z5</t>
        </is>
      </c>
      <c r="B10667" t="inlineStr">
        <is>
          <t>Jun-2020</t>
        </is>
      </c>
      <c r="C10667" s="2" t="n">
        <v>44166</v>
      </c>
      <c r="D10667" t="inlineStr">
        <is>
          <t>NON-NIL</t>
        </is>
      </c>
      <c r="E10667" t="n">
        <v>1507</v>
      </c>
    </row>
    <row r="10668">
      <c r="A10668" t="inlineStr">
        <is>
          <t>27BBBBB10668Z5</t>
        </is>
      </c>
      <c r="B10668" t="inlineStr">
        <is>
          <t>Feb-2018</t>
        </is>
      </c>
      <c r="C10668" s="2" t="n">
        <v>43698</v>
      </c>
      <c r="D10668" t="inlineStr">
        <is>
          <t>NIL</t>
        </is>
      </c>
      <c r="E10668" t="n">
        <v>326</v>
      </c>
    </row>
    <row r="10669">
      <c r="A10669" t="inlineStr">
        <is>
          <t>27BBBBB10669Z5</t>
        </is>
      </c>
      <c r="B10669" t="inlineStr">
        <is>
          <t>Jun-2018</t>
        </is>
      </c>
      <c r="C10669" s="2" t="n">
        <v>44399</v>
      </c>
      <c r="D10669" t="inlineStr">
        <is>
          <t>NON-NIL</t>
        </is>
      </c>
      <c r="E10669" t="n">
        <v>2629</v>
      </c>
    </row>
    <row r="10670">
      <c r="A10670" t="inlineStr">
        <is>
          <t>27BBBBB10670Z5</t>
        </is>
      </c>
      <c r="B10670" t="inlineStr">
        <is>
          <t>Feb-2018</t>
        </is>
      </c>
      <c r="C10670" s="2" t="n">
        <v>43850</v>
      </c>
      <c r="D10670" t="inlineStr">
        <is>
          <t>NIL</t>
        </is>
      </c>
      <c r="E10670" t="n">
        <v>911</v>
      </c>
    </row>
    <row r="10671">
      <c r="A10671" t="inlineStr">
        <is>
          <t>27BBBBB10671Z5</t>
        </is>
      </c>
      <c r="B10671" t="inlineStr">
        <is>
          <t>Dec-2018</t>
        </is>
      </c>
      <c r="C10671" s="2" t="n">
        <v>44379</v>
      </c>
      <c r="D10671" t="inlineStr">
        <is>
          <t>NON-NIL</t>
        </is>
      </c>
      <c r="E10671" t="n">
        <v>1846</v>
      </c>
    </row>
    <row r="10672">
      <c r="A10672" t="inlineStr">
        <is>
          <t>27BBBBB10672Z5</t>
        </is>
      </c>
      <c r="B10672" t="inlineStr">
        <is>
          <t>Sep-2018</t>
        </is>
      </c>
      <c r="C10672" s="2" t="n">
        <v>43180</v>
      </c>
      <c r="D10672" t="inlineStr">
        <is>
          <t>NON-NIL</t>
        </is>
      </c>
      <c r="E10672" t="n">
        <v>15</v>
      </c>
    </row>
    <row r="10673">
      <c r="A10673" t="inlineStr">
        <is>
          <t>27BBBBB10673Z5</t>
        </is>
      </c>
      <c r="B10673" t="inlineStr">
        <is>
          <t>Mar-2021</t>
        </is>
      </c>
      <c r="C10673" s="2" t="n">
        <v>44302</v>
      </c>
      <c r="D10673" t="inlineStr">
        <is>
          <t>NIL</t>
        </is>
      </c>
      <c r="E10673" t="n">
        <v>772</v>
      </c>
    </row>
    <row r="10674">
      <c r="A10674" t="inlineStr">
        <is>
          <t>27BBBBB10674Z5</t>
        </is>
      </c>
      <c r="B10674" t="inlineStr">
        <is>
          <t>Mar-2023</t>
        </is>
      </c>
      <c r="C10674" s="2" t="n">
        <v>45008</v>
      </c>
      <c r="D10674" t="inlineStr">
        <is>
          <t>NIL</t>
        </is>
      </c>
      <c r="E10674" t="n">
        <v>1732</v>
      </c>
    </row>
    <row r="10675">
      <c r="A10675" t="inlineStr">
        <is>
          <t>27BBBBB10675Z5</t>
        </is>
      </c>
      <c r="B10675" t="inlineStr">
        <is>
          <t>Jan-2018</t>
        </is>
      </c>
      <c r="C10675" s="2" t="n">
        <v>43623</v>
      </c>
      <c r="D10675" t="inlineStr">
        <is>
          <t>NIL</t>
        </is>
      </c>
      <c r="E10675" t="n">
        <v>1568</v>
      </c>
    </row>
    <row r="10676">
      <c r="A10676" t="inlineStr">
        <is>
          <t>27BBBBB10676Z5</t>
        </is>
      </c>
      <c r="B10676" t="inlineStr">
        <is>
          <t>Sep-2018</t>
        </is>
      </c>
      <c r="C10676" s="2" t="n">
        <v>44225</v>
      </c>
      <c r="D10676" t="inlineStr">
        <is>
          <t>NIL</t>
        </is>
      </c>
      <c r="E10676" t="n">
        <v>559</v>
      </c>
    </row>
    <row r="10677">
      <c r="A10677" t="inlineStr">
        <is>
          <t>27BBBBB10677Z5</t>
        </is>
      </c>
      <c r="B10677" t="inlineStr">
        <is>
          <t>Feb-2018</t>
        </is>
      </c>
      <c r="C10677" s="2" t="n">
        <v>44451</v>
      </c>
      <c r="D10677" t="inlineStr">
        <is>
          <t>NIL</t>
        </is>
      </c>
      <c r="E10677" t="n">
        <v>1873</v>
      </c>
    </row>
    <row r="10678">
      <c r="A10678" t="inlineStr">
        <is>
          <t>27BBBBB10678Z5</t>
        </is>
      </c>
      <c r="B10678" t="inlineStr">
        <is>
          <t>Mar-2021</t>
        </is>
      </c>
      <c r="C10678" s="2" t="n">
        <v>44820</v>
      </c>
      <c r="D10678" t="inlineStr">
        <is>
          <t>NIL</t>
        </is>
      </c>
      <c r="E10678" t="n">
        <v>2159</v>
      </c>
    </row>
    <row r="10679">
      <c r="A10679" t="inlineStr">
        <is>
          <t>27BBBBB10679Z5</t>
        </is>
      </c>
      <c r="B10679" t="inlineStr">
        <is>
          <t>Oct-2017</t>
        </is>
      </c>
      <c r="C10679" s="2" t="n">
        <v>42950</v>
      </c>
      <c r="D10679" t="inlineStr">
        <is>
          <t>NON-NIL</t>
        </is>
      </c>
      <c r="E10679" t="n">
        <v>1000</v>
      </c>
    </row>
    <row r="10680">
      <c r="A10680" t="inlineStr">
        <is>
          <t>27BBBBB10680Z5</t>
        </is>
      </c>
      <c r="B10680" t="inlineStr">
        <is>
          <t>May-2018</t>
        </is>
      </c>
      <c r="C10680" s="2" t="n">
        <v>43194</v>
      </c>
      <c r="D10680" t="inlineStr">
        <is>
          <t>NIL</t>
        </is>
      </c>
      <c r="E10680" t="n">
        <v>1778</v>
      </c>
    </row>
    <row r="10681">
      <c r="A10681" t="inlineStr">
        <is>
          <t>27BBBBB10681Z5</t>
        </is>
      </c>
      <c r="B10681" t="inlineStr">
        <is>
          <t>Dec-2017</t>
        </is>
      </c>
      <c r="C10681" s="2" t="n">
        <v>43179</v>
      </c>
      <c r="D10681" t="inlineStr">
        <is>
          <t>NON-NIL</t>
        </is>
      </c>
      <c r="E10681" t="n">
        <v>1463</v>
      </c>
    </row>
    <row r="10682">
      <c r="A10682" t="inlineStr">
        <is>
          <t>27BBBBB10682Z5</t>
        </is>
      </c>
      <c r="B10682" t="inlineStr">
        <is>
          <t>Nov-2017</t>
        </is>
      </c>
      <c r="C10682" s="2" t="n">
        <v>43239</v>
      </c>
      <c r="D10682" t="inlineStr">
        <is>
          <t>NIL</t>
        </is>
      </c>
      <c r="E10682" t="n">
        <v>449</v>
      </c>
    </row>
    <row r="10683">
      <c r="A10683" t="inlineStr">
        <is>
          <t>27BBBBB10683Z5</t>
        </is>
      </c>
      <c r="B10683" t="inlineStr">
        <is>
          <t>Mar-2020</t>
        </is>
      </c>
      <c r="C10683" s="2" t="n">
        <v>44911</v>
      </c>
      <c r="D10683" t="inlineStr">
        <is>
          <t>NON-NIL</t>
        </is>
      </c>
      <c r="E10683" t="n">
        <v>1279</v>
      </c>
    </row>
    <row r="10684">
      <c r="A10684" t="inlineStr">
        <is>
          <t>27BBBBB10684Z5</t>
        </is>
      </c>
      <c r="B10684" t="inlineStr">
        <is>
          <t>Jan-2021</t>
        </is>
      </c>
      <c r="C10684" s="2" t="n">
        <v>44577</v>
      </c>
      <c r="D10684" t="inlineStr">
        <is>
          <t>NON-NIL</t>
        </is>
      </c>
      <c r="E10684" t="n">
        <v>342</v>
      </c>
    </row>
    <row r="10685">
      <c r="A10685" t="inlineStr">
        <is>
          <t>27BBBBB10685Z5</t>
        </is>
      </c>
      <c r="B10685" t="inlineStr">
        <is>
          <t>Jan-2018</t>
        </is>
      </c>
      <c r="C10685" s="2" t="n">
        <v>43384</v>
      </c>
      <c r="D10685" t="inlineStr">
        <is>
          <t>NON-NIL</t>
        </is>
      </c>
      <c r="E10685" t="n">
        <v>347</v>
      </c>
    </row>
    <row r="10686">
      <c r="A10686" t="inlineStr">
        <is>
          <t>27BBBBB10686Z5</t>
        </is>
      </c>
      <c r="B10686" t="inlineStr">
        <is>
          <t>Nov-2018</t>
        </is>
      </c>
      <c r="C10686" s="2" t="n">
        <v>43140</v>
      </c>
      <c r="D10686" t="inlineStr">
        <is>
          <t>NIL</t>
        </is>
      </c>
      <c r="E10686" t="n">
        <v>2456</v>
      </c>
    </row>
    <row r="10687">
      <c r="A10687" t="inlineStr">
        <is>
          <t>27BBBBB10687Z5</t>
        </is>
      </c>
      <c r="B10687" t="inlineStr">
        <is>
          <t>Oct-2017</t>
        </is>
      </c>
      <c r="C10687" s="2" t="n">
        <v>44351</v>
      </c>
      <c r="D10687" t="inlineStr">
        <is>
          <t>NON-NIL</t>
        </is>
      </c>
      <c r="E10687" t="n">
        <v>2218</v>
      </c>
    </row>
    <row r="10688">
      <c r="A10688" t="inlineStr">
        <is>
          <t>27BBBBB10688Z5</t>
        </is>
      </c>
      <c r="B10688" t="inlineStr">
        <is>
          <t>Jul-2018</t>
        </is>
      </c>
      <c r="C10688" s="2" t="n">
        <v>43021</v>
      </c>
      <c r="D10688" t="inlineStr">
        <is>
          <t>NON-NIL</t>
        </is>
      </c>
      <c r="E10688" t="n">
        <v>741</v>
      </c>
    </row>
    <row r="10689">
      <c r="A10689" t="inlineStr">
        <is>
          <t>27BBBBB10689Z5</t>
        </is>
      </c>
      <c r="B10689" t="inlineStr">
        <is>
          <t>May-2018</t>
        </is>
      </c>
      <c r="C10689" s="2" t="n">
        <v>43355</v>
      </c>
      <c r="D10689" t="inlineStr">
        <is>
          <t>NON-NIL</t>
        </is>
      </c>
      <c r="E10689" t="n">
        <v>2985</v>
      </c>
    </row>
    <row r="10690">
      <c r="A10690" t="inlineStr">
        <is>
          <t>27BBBBB10690Z5</t>
        </is>
      </c>
      <c r="B10690" t="inlineStr">
        <is>
          <t>Sep-2017</t>
        </is>
      </c>
      <c r="C10690" s="2" t="n">
        <v>43339</v>
      </c>
      <c r="D10690" t="inlineStr">
        <is>
          <t>NIL</t>
        </is>
      </c>
      <c r="E10690" t="n">
        <v>2125</v>
      </c>
    </row>
    <row r="10691">
      <c r="A10691" t="inlineStr">
        <is>
          <t>27BBBBB10691Z5</t>
        </is>
      </c>
      <c r="B10691" t="inlineStr">
        <is>
          <t>Mar-2018</t>
        </is>
      </c>
      <c r="C10691" s="2" t="n">
        <v>43969</v>
      </c>
      <c r="D10691" t="inlineStr">
        <is>
          <t>NON-NIL</t>
        </is>
      </c>
      <c r="E10691" t="n">
        <v>2153</v>
      </c>
    </row>
    <row r="10692">
      <c r="A10692" t="inlineStr">
        <is>
          <t>27BBBBB10692Z5</t>
        </is>
      </c>
      <c r="B10692" t="inlineStr">
        <is>
          <t>Dec-2022</t>
        </is>
      </c>
      <c r="C10692" s="2" t="n">
        <v>45021</v>
      </c>
      <c r="D10692" t="inlineStr">
        <is>
          <t>NON-NIL</t>
        </is>
      </c>
      <c r="E10692" t="n">
        <v>1925</v>
      </c>
    </row>
    <row r="10693">
      <c r="A10693" t="inlineStr">
        <is>
          <t>27BBBBB10693Z5</t>
        </is>
      </c>
      <c r="B10693" t="inlineStr">
        <is>
          <t>Sep-2018</t>
        </is>
      </c>
      <c r="C10693" s="2" t="n">
        <v>43067</v>
      </c>
      <c r="D10693" t="inlineStr">
        <is>
          <t>NIL</t>
        </is>
      </c>
      <c r="E10693" t="n">
        <v>123</v>
      </c>
    </row>
    <row r="10694">
      <c r="A10694" t="inlineStr">
        <is>
          <t>27BBBBB10694Z5</t>
        </is>
      </c>
      <c r="B10694" t="inlineStr">
        <is>
          <t>Dec-2024</t>
        </is>
      </c>
      <c r="C10694" s="2" t="n">
        <v>43649</v>
      </c>
      <c r="D10694" t="inlineStr">
        <is>
          <t>NIL</t>
        </is>
      </c>
      <c r="E10694" t="n">
        <v>813</v>
      </c>
    </row>
    <row r="10695">
      <c r="A10695" t="inlineStr">
        <is>
          <t>27BBBBB10695Z5</t>
        </is>
      </c>
      <c r="B10695" t="inlineStr">
        <is>
          <t>May-2020</t>
        </is>
      </c>
      <c r="C10695" s="2" t="n">
        <v>44162</v>
      </c>
      <c r="D10695" t="inlineStr">
        <is>
          <t>NIL</t>
        </is>
      </c>
      <c r="E10695" t="n">
        <v>1855</v>
      </c>
    </row>
    <row r="10696">
      <c r="A10696" t="inlineStr">
        <is>
          <t>27BBBBB10696Z5</t>
        </is>
      </c>
      <c r="B10696" t="inlineStr">
        <is>
          <t>May-2020</t>
        </is>
      </c>
      <c r="C10696" s="2" t="n">
        <v>44645</v>
      </c>
      <c r="D10696" t="inlineStr">
        <is>
          <t>NIL</t>
        </is>
      </c>
      <c r="E10696" t="n">
        <v>1491</v>
      </c>
    </row>
    <row r="10697">
      <c r="A10697" t="inlineStr">
        <is>
          <t>27BBBBB10697Z5</t>
        </is>
      </c>
      <c r="B10697" t="inlineStr">
        <is>
          <t>Dec-2024</t>
        </is>
      </c>
      <c r="C10697" s="2" t="n">
        <v>45438</v>
      </c>
      <c r="D10697" t="inlineStr">
        <is>
          <t>NIL</t>
        </is>
      </c>
      <c r="E10697" t="n">
        <v>354</v>
      </c>
    </row>
    <row r="10698">
      <c r="A10698" t="inlineStr">
        <is>
          <t>27BBBBB10698Z5</t>
        </is>
      </c>
      <c r="B10698" t="inlineStr">
        <is>
          <t>Jul-2018</t>
        </is>
      </c>
      <c r="C10698" s="2" t="n">
        <v>44153</v>
      </c>
      <c r="D10698" t="inlineStr">
        <is>
          <t>NON-NIL</t>
        </is>
      </c>
      <c r="E10698" t="n">
        <v>1760</v>
      </c>
    </row>
    <row r="10699">
      <c r="A10699" t="inlineStr">
        <is>
          <t>27BBBBB10699Z5</t>
        </is>
      </c>
      <c r="B10699" t="inlineStr">
        <is>
          <t>Nov-2017</t>
        </is>
      </c>
      <c r="C10699" s="2" t="n">
        <v>44051</v>
      </c>
      <c r="D10699" t="inlineStr">
        <is>
          <t>NON-NIL</t>
        </is>
      </c>
      <c r="E10699" t="n">
        <v>2305</v>
      </c>
    </row>
    <row r="10700">
      <c r="A10700" t="inlineStr">
        <is>
          <t>27BBBBB10700Z5</t>
        </is>
      </c>
      <c r="B10700" t="inlineStr">
        <is>
          <t>Jun-2020</t>
        </is>
      </c>
      <c r="C10700" s="2" t="n">
        <v>44002</v>
      </c>
      <c r="D10700" t="inlineStr">
        <is>
          <t>NON-NIL</t>
        </is>
      </c>
      <c r="E10700" t="n">
        <v>2511</v>
      </c>
    </row>
    <row r="10701">
      <c r="A10701" t="inlineStr">
        <is>
          <t>27BBBBB10701Z5</t>
        </is>
      </c>
      <c r="B10701" t="inlineStr">
        <is>
          <t>Sep-2017</t>
        </is>
      </c>
      <c r="C10701" s="2" t="n">
        <v>43651</v>
      </c>
      <c r="D10701" t="inlineStr">
        <is>
          <t>NIL</t>
        </is>
      </c>
      <c r="E10701" t="n">
        <v>109</v>
      </c>
    </row>
    <row r="10702">
      <c r="A10702" t="inlineStr">
        <is>
          <t>27BBBBB10702Z5</t>
        </is>
      </c>
      <c r="B10702" t="inlineStr">
        <is>
          <t>Apr-2020</t>
        </is>
      </c>
      <c r="C10702" s="2" t="n">
        <v>44019</v>
      </c>
      <c r="D10702" t="inlineStr">
        <is>
          <t>NIL</t>
        </is>
      </c>
      <c r="E10702" t="n">
        <v>45</v>
      </c>
    </row>
    <row r="10703">
      <c r="A10703" t="inlineStr">
        <is>
          <t>27BBBBB10703Z5</t>
        </is>
      </c>
      <c r="B10703" t="inlineStr">
        <is>
          <t>Feb-2018</t>
        </is>
      </c>
      <c r="C10703" s="2" t="n">
        <v>44558</v>
      </c>
      <c r="D10703" t="inlineStr">
        <is>
          <t>NON-NIL</t>
        </is>
      </c>
      <c r="E10703" t="n">
        <v>1769</v>
      </c>
    </row>
    <row r="10704">
      <c r="A10704" t="inlineStr">
        <is>
          <t>27BBBBB10704Z5</t>
        </is>
      </c>
      <c r="B10704" t="inlineStr">
        <is>
          <t>Sep-2018</t>
        </is>
      </c>
      <c r="C10704" s="2" t="n">
        <v>44544</v>
      </c>
      <c r="D10704" t="inlineStr">
        <is>
          <t>NON-NIL</t>
        </is>
      </c>
      <c r="E10704" t="n">
        <v>2197</v>
      </c>
    </row>
    <row r="10705">
      <c r="A10705" t="inlineStr">
        <is>
          <t>27BBBBB10705Z5</t>
        </is>
      </c>
      <c r="B10705" t="inlineStr">
        <is>
          <t>Aug-2017</t>
        </is>
      </c>
      <c r="C10705" s="2" t="n">
        <v>44215</v>
      </c>
      <c r="D10705" t="inlineStr">
        <is>
          <t>NIL</t>
        </is>
      </c>
      <c r="E10705" t="n">
        <v>1957</v>
      </c>
    </row>
    <row r="10706">
      <c r="A10706" t="inlineStr">
        <is>
          <t>27BBBBB10706Z5</t>
        </is>
      </c>
      <c r="B10706" t="inlineStr">
        <is>
          <t>Feb-2018</t>
        </is>
      </c>
      <c r="C10706" s="2" t="n">
        <v>43367</v>
      </c>
      <c r="D10706" t="inlineStr">
        <is>
          <t>NON-NIL</t>
        </is>
      </c>
      <c r="E10706" t="n">
        <v>1865</v>
      </c>
    </row>
    <row r="10707">
      <c r="A10707" t="inlineStr">
        <is>
          <t>27BBBBB10707Z5</t>
        </is>
      </c>
      <c r="B10707" t="inlineStr">
        <is>
          <t>Apr-2020</t>
        </is>
      </c>
      <c r="C10707" s="2" t="n">
        <v>44753</v>
      </c>
      <c r="D10707" t="inlineStr">
        <is>
          <t>NIL</t>
        </is>
      </c>
      <c r="E10707" t="n">
        <v>288</v>
      </c>
    </row>
    <row r="10708">
      <c r="A10708" t="inlineStr">
        <is>
          <t>27BBBBB10708Z5</t>
        </is>
      </c>
      <c r="B10708" t="inlineStr">
        <is>
          <t>Jul-2020</t>
        </is>
      </c>
      <c r="C10708" s="2" t="n">
        <v>44540</v>
      </c>
      <c r="D10708" t="inlineStr">
        <is>
          <t>NIL</t>
        </is>
      </c>
      <c r="E10708" t="n">
        <v>1662</v>
      </c>
    </row>
    <row r="10709">
      <c r="A10709" t="inlineStr">
        <is>
          <t>27BBBBB10709Z5</t>
        </is>
      </c>
      <c r="B10709" t="inlineStr">
        <is>
          <t>May-2018</t>
        </is>
      </c>
      <c r="C10709" s="2" t="n">
        <v>43884</v>
      </c>
      <c r="D10709" t="inlineStr">
        <is>
          <t>NON-NIL</t>
        </is>
      </c>
      <c r="E10709" t="n">
        <v>2629</v>
      </c>
    </row>
    <row r="10710">
      <c r="A10710" t="inlineStr">
        <is>
          <t>27BBBBB10710Z5</t>
        </is>
      </c>
      <c r="B10710" t="inlineStr">
        <is>
          <t>Nov-2018</t>
        </is>
      </c>
      <c r="C10710" s="2" t="n">
        <v>43606</v>
      </c>
      <c r="D10710" t="inlineStr">
        <is>
          <t>NON-NIL</t>
        </is>
      </c>
      <c r="E10710" t="n">
        <v>2134</v>
      </c>
    </row>
    <row r="10711">
      <c r="A10711" t="inlineStr">
        <is>
          <t>27BBBBB10711Z5</t>
        </is>
      </c>
      <c r="B10711" t="inlineStr">
        <is>
          <t>May-2018</t>
        </is>
      </c>
      <c r="C10711" s="2" t="n">
        <v>44024</v>
      </c>
      <c r="D10711" t="inlineStr">
        <is>
          <t>NON-NIL</t>
        </is>
      </c>
      <c r="E10711" t="n">
        <v>2868</v>
      </c>
    </row>
    <row r="10712">
      <c r="A10712" t="inlineStr">
        <is>
          <t>27BBBBB10712Z5</t>
        </is>
      </c>
      <c r="B10712" t="inlineStr">
        <is>
          <t>Feb-2018</t>
        </is>
      </c>
      <c r="C10712" s="2" t="n">
        <v>44258</v>
      </c>
      <c r="D10712" t="inlineStr">
        <is>
          <t>NIL</t>
        </is>
      </c>
      <c r="E10712" t="n">
        <v>1496</v>
      </c>
    </row>
    <row r="10713">
      <c r="A10713" t="inlineStr">
        <is>
          <t>27BBBBB10713Z5</t>
        </is>
      </c>
      <c r="B10713" t="inlineStr">
        <is>
          <t>Oct-2018</t>
        </is>
      </c>
      <c r="C10713" s="2" t="n">
        <v>43521</v>
      </c>
      <c r="D10713" t="inlineStr">
        <is>
          <t>NON-NIL</t>
        </is>
      </c>
      <c r="E10713" t="n">
        <v>942</v>
      </c>
    </row>
    <row r="10714">
      <c r="A10714" t="inlineStr">
        <is>
          <t>27BBBBB10714Z5</t>
        </is>
      </c>
      <c r="B10714" t="inlineStr">
        <is>
          <t>Feb-2018</t>
        </is>
      </c>
      <c r="C10714" s="2" t="n">
        <v>44017</v>
      </c>
      <c r="D10714" t="inlineStr">
        <is>
          <t>NON-NIL</t>
        </is>
      </c>
      <c r="E10714" t="n">
        <v>2857</v>
      </c>
    </row>
    <row r="10715">
      <c r="A10715" t="inlineStr">
        <is>
          <t>27BBBBB10715Z5</t>
        </is>
      </c>
      <c r="B10715" t="inlineStr">
        <is>
          <t>Dec-2024</t>
        </is>
      </c>
      <c r="C10715" s="2" t="n">
        <v>44100</v>
      </c>
      <c r="D10715" t="inlineStr">
        <is>
          <t>NIL</t>
        </is>
      </c>
      <c r="E10715" t="n">
        <v>1031</v>
      </c>
    </row>
    <row r="10716">
      <c r="A10716" t="inlineStr">
        <is>
          <t>27BBBBB10716Z5</t>
        </is>
      </c>
      <c r="B10716" t="inlineStr">
        <is>
          <t>Mar-2021</t>
        </is>
      </c>
      <c r="C10716" s="2" t="n">
        <v>43887</v>
      </c>
      <c r="D10716" t="inlineStr">
        <is>
          <t>NON-NIL</t>
        </is>
      </c>
      <c r="E10716" t="n">
        <v>602</v>
      </c>
    </row>
    <row r="10717">
      <c r="A10717" t="inlineStr">
        <is>
          <t>27BBBBB10717Z5</t>
        </is>
      </c>
      <c r="B10717" t="inlineStr">
        <is>
          <t>Mar-2020</t>
        </is>
      </c>
      <c r="C10717" s="2" t="n">
        <v>44272</v>
      </c>
      <c r="D10717" t="inlineStr">
        <is>
          <t>NIL</t>
        </is>
      </c>
      <c r="E10717" t="n">
        <v>327</v>
      </c>
    </row>
    <row r="10718">
      <c r="A10718" t="inlineStr">
        <is>
          <t>27BBBBB10718Z5</t>
        </is>
      </c>
      <c r="B10718" t="inlineStr">
        <is>
          <t>Mar-2020</t>
        </is>
      </c>
      <c r="C10718" s="2" t="n">
        <v>44693</v>
      </c>
      <c r="D10718" t="inlineStr">
        <is>
          <t>NON-NIL</t>
        </is>
      </c>
      <c r="E10718" t="n">
        <v>763</v>
      </c>
    </row>
    <row r="10719">
      <c r="A10719" t="inlineStr">
        <is>
          <t>27BBBBB10719Z5</t>
        </is>
      </c>
      <c r="B10719" t="inlineStr">
        <is>
          <t>Oct-2017</t>
        </is>
      </c>
      <c r="C10719" s="2" t="n">
        <v>43114</v>
      </c>
      <c r="D10719" t="inlineStr">
        <is>
          <t>NIL</t>
        </is>
      </c>
      <c r="E10719" t="n">
        <v>2004</v>
      </c>
    </row>
    <row r="10720">
      <c r="A10720" t="inlineStr">
        <is>
          <t>27BBBBB10720Z5</t>
        </is>
      </c>
      <c r="B10720" t="inlineStr">
        <is>
          <t>Jun-2018</t>
        </is>
      </c>
      <c r="C10720" s="2" t="n">
        <v>44153</v>
      </c>
      <c r="D10720" t="inlineStr">
        <is>
          <t>NON-NIL</t>
        </is>
      </c>
      <c r="E10720" t="n">
        <v>1154</v>
      </c>
    </row>
    <row r="10721">
      <c r="A10721" t="inlineStr">
        <is>
          <t>27BBBBB10721Z5</t>
        </is>
      </c>
      <c r="B10721" t="inlineStr">
        <is>
          <t>Nov-2018</t>
        </is>
      </c>
      <c r="C10721" s="2" t="n">
        <v>44022</v>
      </c>
      <c r="D10721" t="inlineStr">
        <is>
          <t>NON-NIL</t>
        </is>
      </c>
      <c r="E10721" t="n">
        <v>716</v>
      </c>
    </row>
    <row r="10722">
      <c r="A10722" t="inlineStr">
        <is>
          <t>27BBBBB10722Z5</t>
        </is>
      </c>
      <c r="B10722" t="inlineStr">
        <is>
          <t>Aug-2017</t>
        </is>
      </c>
      <c r="C10722" s="2" t="n">
        <v>43689</v>
      </c>
      <c r="D10722" t="inlineStr">
        <is>
          <t>NON-NIL</t>
        </is>
      </c>
      <c r="E10722" t="n">
        <v>2485</v>
      </c>
    </row>
    <row r="10723">
      <c r="A10723" t="inlineStr">
        <is>
          <t>27BBBBB10723Z5</t>
        </is>
      </c>
      <c r="B10723" t="inlineStr">
        <is>
          <t>Sep-2018</t>
        </is>
      </c>
      <c r="C10723" s="2" t="n">
        <v>44267</v>
      </c>
      <c r="D10723" t="inlineStr">
        <is>
          <t>NIL</t>
        </is>
      </c>
      <c r="E10723" t="n">
        <v>817</v>
      </c>
    </row>
    <row r="10724">
      <c r="A10724" t="inlineStr">
        <is>
          <t>27BBBBB10724Z5</t>
        </is>
      </c>
      <c r="B10724" t="inlineStr">
        <is>
          <t>Dec-2018</t>
        </is>
      </c>
      <c r="C10724" s="2" t="n">
        <v>43493</v>
      </c>
      <c r="D10724" t="inlineStr">
        <is>
          <t>NIL</t>
        </is>
      </c>
      <c r="E10724" t="n">
        <v>2098</v>
      </c>
    </row>
    <row r="10725">
      <c r="A10725" t="inlineStr">
        <is>
          <t>27BBBBB10725Z5</t>
        </is>
      </c>
      <c r="B10725" t="inlineStr">
        <is>
          <t>Mar-2021</t>
        </is>
      </c>
      <c r="C10725" s="2" t="n">
        <v>43798</v>
      </c>
      <c r="D10725" t="inlineStr">
        <is>
          <t>NIL</t>
        </is>
      </c>
      <c r="E10725" t="n">
        <v>1626</v>
      </c>
    </row>
    <row r="10726">
      <c r="A10726" t="inlineStr">
        <is>
          <t>27BBBBB10726Z5</t>
        </is>
      </c>
      <c r="B10726" t="inlineStr">
        <is>
          <t>Jun-2020</t>
        </is>
      </c>
      <c r="C10726" s="2" t="n">
        <v>44577</v>
      </c>
      <c r="D10726" t="inlineStr">
        <is>
          <t>NON-NIL</t>
        </is>
      </c>
      <c r="E10726" t="n">
        <v>2379</v>
      </c>
    </row>
    <row r="10727">
      <c r="A10727" t="inlineStr">
        <is>
          <t>27BBBBB10727Z5</t>
        </is>
      </c>
      <c r="B10727" t="inlineStr">
        <is>
          <t>Jul-2017</t>
        </is>
      </c>
      <c r="C10727" s="2" t="n">
        <v>43041</v>
      </c>
      <c r="D10727" t="inlineStr">
        <is>
          <t>NIL</t>
        </is>
      </c>
      <c r="E10727" t="n">
        <v>117</v>
      </c>
    </row>
    <row r="10728">
      <c r="A10728" t="inlineStr">
        <is>
          <t>27BBBBB10728Z5</t>
        </is>
      </c>
      <c r="B10728" t="inlineStr">
        <is>
          <t>Feb-2018</t>
        </is>
      </c>
      <c r="C10728" s="2" t="n">
        <v>43990</v>
      </c>
      <c r="D10728" t="inlineStr">
        <is>
          <t>NIL</t>
        </is>
      </c>
      <c r="E10728" t="n">
        <v>409</v>
      </c>
    </row>
    <row r="10729">
      <c r="A10729" t="inlineStr">
        <is>
          <t>27BBBBB10729Z5</t>
        </is>
      </c>
      <c r="B10729" t="inlineStr">
        <is>
          <t>Dec-2017</t>
        </is>
      </c>
      <c r="C10729" s="2" t="n">
        <v>43112</v>
      </c>
      <c r="D10729" t="inlineStr">
        <is>
          <t>NIL</t>
        </is>
      </c>
      <c r="E10729" t="n">
        <v>1053</v>
      </c>
    </row>
    <row r="10730">
      <c r="A10730" t="inlineStr">
        <is>
          <t>27BBBBB10730Z5</t>
        </is>
      </c>
      <c r="B10730" t="inlineStr">
        <is>
          <t>May-2020</t>
        </is>
      </c>
      <c r="C10730" s="2" t="n">
        <v>44424</v>
      </c>
      <c r="D10730" t="inlineStr">
        <is>
          <t>NON-NIL</t>
        </is>
      </c>
      <c r="E10730" t="n">
        <v>855</v>
      </c>
    </row>
    <row r="10731">
      <c r="A10731" t="inlineStr">
        <is>
          <t>27BBBBB10731Z5</t>
        </is>
      </c>
      <c r="B10731" t="inlineStr">
        <is>
          <t>Jan-2018</t>
        </is>
      </c>
      <c r="C10731" s="2" t="n">
        <v>43037</v>
      </c>
      <c r="D10731" t="inlineStr">
        <is>
          <t>NIL</t>
        </is>
      </c>
      <c r="E10731" t="n">
        <v>2343</v>
      </c>
    </row>
    <row r="10732">
      <c r="A10732" t="inlineStr">
        <is>
          <t>27BBBBB10732Z5</t>
        </is>
      </c>
      <c r="B10732" t="inlineStr">
        <is>
          <t>Sep-2018</t>
        </is>
      </c>
      <c r="C10732" s="2" t="n">
        <v>43383</v>
      </c>
      <c r="D10732" t="inlineStr">
        <is>
          <t>NON-NIL</t>
        </is>
      </c>
      <c r="E10732" t="n">
        <v>2401</v>
      </c>
    </row>
    <row r="10733">
      <c r="A10733" t="inlineStr">
        <is>
          <t>27BBBBB10733Z5</t>
        </is>
      </c>
      <c r="B10733" t="inlineStr">
        <is>
          <t>Mar-2020</t>
        </is>
      </c>
      <c r="C10733" s="2" t="n">
        <v>44145</v>
      </c>
      <c r="D10733" t="inlineStr">
        <is>
          <t>NON-NIL</t>
        </is>
      </c>
      <c r="E10733" t="n">
        <v>1248</v>
      </c>
    </row>
    <row r="10734">
      <c r="A10734" t="inlineStr">
        <is>
          <t>27BBBBB10734Z5</t>
        </is>
      </c>
      <c r="B10734" t="inlineStr">
        <is>
          <t>Aug-2017</t>
        </is>
      </c>
      <c r="C10734" s="2" t="n">
        <v>43328</v>
      </c>
      <c r="D10734" t="inlineStr">
        <is>
          <t>NIL</t>
        </is>
      </c>
      <c r="E10734" t="n">
        <v>2485</v>
      </c>
    </row>
    <row r="10735">
      <c r="A10735" t="inlineStr">
        <is>
          <t>27BBBBB10735Z5</t>
        </is>
      </c>
      <c r="B10735" t="inlineStr">
        <is>
          <t>Dec-2017</t>
        </is>
      </c>
      <c r="C10735" s="2" t="n">
        <v>44508</v>
      </c>
      <c r="D10735" t="inlineStr">
        <is>
          <t>NIL</t>
        </is>
      </c>
      <c r="E10735" t="n">
        <v>954</v>
      </c>
    </row>
    <row r="10736">
      <c r="A10736" t="inlineStr">
        <is>
          <t>27BBBBB10736Z5</t>
        </is>
      </c>
      <c r="B10736" t="inlineStr">
        <is>
          <t>Nov-2017</t>
        </is>
      </c>
      <c r="C10736" s="2" t="n">
        <v>43996</v>
      </c>
      <c r="D10736" t="inlineStr">
        <is>
          <t>NIL</t>
        </is>
      </c>
      <c r="E10736" t="n">
        <v>2489</v>
      </c>
    </row>
    <row r="10737">
      <c r="A10737" t="inlineStr">
        <is>
          <t>27BBBBB10737Z5</t>
        </is>
      </c>
      <c r="B10737" t="inlineStr">
        <is>
          <t>Dec-2024</t>
        </is>
      </c>
      <c r="C10737" s="2" t="n">
        <v>43638</v>
      </c>
      <c r="D10737" t="inlineStr">
        <is>
          <t>NON-NIL</t>
        </is>
      </c>
      <c r="E10737" t="n">
        <v>2861</v>
      </c>
    </row>
    <row r="10738">
      <c r="A10738" t="inlineStr">
        <is>
          <t>27BBBBB10738Z5</t>
        </is>
      </c>
      <c r="B10738" t="inlineStr">
        <is>
          <t>Jan-2021</t>
        </is>
      </c>
      <c r="C10738" s="2" t="n">
        <v>45643</v>
      </c>
      <c r="D10738" t="inlineStr">
        <is>
          <t>NON-NIL</t>
        </is>
      </c>
      <c r="E10738" t="n">
        <v>161</v>
      </c>
    </row>
    <row r="10739">
      <c r="A10739" t="inlineStr">
        <is>
          <t>27BBBBB10739Z5</t>
        </is>
      </c>
      <c r="B10739" t="inlineStr">
        <is>
          <t>Aug-2017</t>
        </is>
      </c>
      <c r="C10739" s="2" t="n">
        <v>44453</v>
      </c>
      <c r="D10739" t="inlineStr">
        <is>
          <t>NON-NIL</t>
        </is>
      </c>
      <c r="E10739" t="n">
        <v>374</v>
      </c>
    </row>
    <row r="10740">
      <c r="A10740" t="inlineStr">
        <is>
          <t>27BBBBB10740Z5</t>
        </is>
      </c>
      <c r="B10740" t="inlineStr">
        <is>
          <t>May-2018</t>
        </is>
      </c>
      <c r="C10740" s="2" t="n">
        <v>43705</v>
      </c>
      <c r="D10740" t="inlineStr">
        <is>
          <t>NIL</t>
        </is>
      </c>
      <c r="E10740" t="n">
        <v>2339</v>
      </c>
    </row>
    <row r="10741">
      <c r="A10741" t="inlineStr">
        <is>
          <t>27BBBBB10741Z5</t>
        </is>
      </c>
      <c r="B10741" t="inlineStr">
        <is>
          <t>Feb-2018</t>
        </is>
      </c>
      <c r="C10741" s="2" t="n">
        <v>43666</v>
      </c>
      <c r="D10741" t="inlineStr">
        <is>
          <t>NIL</t>
        </is>
      </c>
      <c r="E10741" t="n">
        <v>968</v>
      </c>
    </row>
    <row r="10742">
      <c r="A10742" t="inlineStr">
        <is>
          <t>27BBBBB10742Z5</t>
        </is>
      </c>
      <c r="B10742" t="inlineStr">
        <is>
          <t>Jul-2017</t>
        </is>
      </c>
      <c r="C10742" s="2" t="n">
        <v>43394</v>
      </c>
      <c r="D10742" t="inlineStr">
        <is>
          <t>NON-NIL</t>
        </is>
      </c>
      <c r="E10742" t="n">
        <v>2333</v>
      </c>
    </row>
    <row r="10743">
      <c r="A10743" t="inlineStr">
        <is>
          <t>27BBBBB10743Z5</t>
        </is>
      </c>
      <c r="B10743" t="inlineStr">
        <is>
          <t>Nov-2017</t>
        </is>
      </c>
      <c r="C10743" s="2" t="n">
        <v>44420</v>
      </c>
      <c r="D10743" t="inlineStr">
        <is>
          <t>NIL</t>
        </is>
      </c>
      <c r="E10743" t="n">
        <v>2868</v>
      </c>
    </row>
    <row r="10744">
      <c r="A10744" t="inlineStr">
        <is>
          <t>27BBBBB10744Z5</t>
        </is>
      </c>
      <c r="B10744" t="inlineStr">
        <is>
          <t>Sep-2017</t>
        </is>
      </c>
      <c r="C10744" s="2" t="n">
        <v>43305</v>
      </c>
      <c r="D10744" t="inlineStr">
        <is>
          <t>NIL</t>
        </is>
      </c>
      <c r="E10744" t="n">
        <v>2677</v>
      </c>
    </row>
    <row r="10745">
      <c r="A10745" t="inlineStr">
        <is>
          <t>27BBBBB10745Z5</t>
        </is>
      </c>
      <c r="B10745" t="inlineStr">
        <is>
          <t>Aug-2017</t>
        </is>
      </c>
      <c r="C10745" s="2" t="n">
        <v>43336</v>
      </c>
      <c r="D10745" t="inlineStr">
        <is>
          <t>NON-NIL</t>
        </is>
      </c>
      <c r="E10745" t="n">
        <v>612</v>
      </c>
    </row>
    <row r="10746">
      <c r="A10746" t="inlineStr">
        <is>
          <t>27BBBBB10746Z5</t>
        </is>
      </c>
      <c r="B10746" t="inlineStr">
        <is>
          <t>Dec-2017</t>
        </is>
      </c>
      <c r="C10746" s="2" t="n">
        <v>44028</v>
      </c>
      <c r="D10746" t="inlineStr">
        <is>
          <t>NON-NIL</t>
        </is>
      </c>
      <c r="E10746" t="n">
        <v>2872</v>
      </c>
    </row>
    <row r="10747">
      <c r="A10747" t="inlineStr">
        <is>
          <t>27BBBBB10747Z5</t>
        </is>
      </c>
      <c r="B10747" t="inlineStr">
        <is>
          <t>Oct-2017</t>
        </is>
      </c>
      <c r="C10747" s="2" t="n">
        <v>44050</v>
      </c>
      <c r="D10747" t="inlineStr">
        <is>
          <t>NIL</t>
        </is>
      </c>
      <c r="E10747" t="n">
        <v>1186</v>
      </c>
    </row>
    <row r="10748">
      <c r="A10748" t="inlineStr">
        <is>
          <t>27BBBBB10748Z5</t>
        </is>
      </c>
      <c r="B10748" t="inlineStr">
        <is>
          <t>Feb-2018</t>
        </is>
      </c>
      <c r="C10748" s="2" t="n">
        <v>43174</v>
      </c>
      <c r="D10748" t="inlineStr">
        <is>
          <t>NON-NIL</t>
        </is>
      </c>
      <c r="E10748" t="n">
        <v>1573</v>
      </c>
    </row>
    <row r="10749">
      <c r="A10749" t="inlineStr">
        <is>
          <t>27BBBBB10749Z5</t>
        </is>
      </c>
      <c r="B10749" t="inlineStr">
        <is>
          <t>May-2018</t>
        </is>
      </c>
      <c r="C10749" s="2" t="n">
        <v>42948</v>
      </c>
      <c r="D10749" t="inlineStr">
        <is>
          <t>NON-NIL</t>
        </is>
      </c>
      <c r="E10749" t="n">
        <v>2877</v>
      </c>
    </row>
    <row r="10750">
      <c r="A10750" t="inlineStr">
        <is>
          <t>27BBBBB10750Z5</t>
        </is>
      </c>
      <c r="B10750" t="inlineStr">
        <is>
          <t>Dec-2018</t>
        </is>
      </c>
      <c r="C10750" s="2" t="n">
        <v>43519</v>
      </c>
      <c r="D10750" t="inlineStr">
        <is>
          <t>NON-NIL</t>
        </is>
      </c>
      <c r="E10750" t="n">
        <v>2866</v>
      </c>
    </row>
    <row r="10751">
      <c r="A10751" t="inlineStr">
        <is>
          <t>27BBBBB10751Z5</t>
        </is>
      </c>
      <c r="B10751" t="inlineStr">
        <is>
          <t>Jun-2020</t>
        </is>
      </c>
      <c r="C10751" s="2" t="n">
        <v>44432</v>
      </c>
      <c r="D10751" t="inlineStr">
        <is>
          <t>NON-NIL</t>
        </is>
      </c>
      <c r="E10751" t="n">
        <v>1477</v>
      </c>
    </row>
    <row r="10752">
      <c r="A10752" t="inlineStr">
        <is>
          <t>27BBBBB10752Z5</t>
        </is>
      </c>
      <c r="B10752" t="inlineStr">
        <is>
          <t>Aug-2018</t>
        </is>
      </c>
      <c r="C10752" s="2" t="n">
        <v>44131</v>
      </c>
      <c r="D10752" t="inlineStr">
        <is>
          <t>NIL</t>
        </is>
      </c>
      <c r="E10752" t="n">
        <v>876</v>
      </c>
    </row>
    <row r="10753">
      <c r="A10753" t="inlineStr">
        <is>
          <t>27BBBBB10753Z5</t>
        </is>
      </c>
      <c r="B10753" t="inlineStr">
        <is>
          <t>Jan-2018</t>
        </is>
      </c>
      <c r="C10753" s="2" t="n">
        <v>43733</v>
      </c>
      <c r="D10753" t="inlineStr">
        <is>
          <t>NON-NIL</t>
        </is>
      </c>
      <c r="E10753" t="n">
        <v>1145</v>
      </c>
    </row>
    <row r="10754">
      <c r="A10754" t="inlineStr">
        <is>
          <t>27BBBBB10754Z5</t>
        </is>
      </c>
      <c r="B10754" t="inlineStr">
        <is>
          <t>May-2018</t>
        </is>
      </c>
      <c r="C10754" s="2" t="n">
        <v>43419</v>
      </c>
      <c r="D10754" t="inlineStr">
        <is>
          <t>NIL</t>
        </is>
      </c>
      <c r="E10754" t="n">
        <v>2610</v>
      </c>
    </row>
    <row r="10755">
      <c r="A10755" t="inlineStr">
        <is>
          <t>27BBBBB10755Z5</t>
        </is>
      </c>
      <c r="B10755" t="inlineStr">
        <is>
          <t>May-2018</t>
        </is>
      </c>
      <c r="C10755" s="2" t="n">
        <v>43895</v>
      </c>
      <c r="D10755" t="inlineStr">
        <is>
          <t>NON-NIL</t>
        </is>
      </c>
      <c r="E10755" t="n">
        <v>1006</v>
      </c>
    </row>
    <row r="10756">
      <c r="A10756" t="inlineStr">
        <is>
          <t>27BBBBB10756Z5</t>
        </is>
      </c>
      <c r="B10756" t="inlineStr">
        <is>
          <t>Apr-2018</t>
        </is>
      </c>
      <c r="C10756" s="2" t="n">
        <v>43876</v>
      </c>
      <c r="D10756" t="inlineStr">
        <is>
          <t>NON-NIL</t>
        </is>
      </c>
      <c r="E10756" t="n">
        <v>1517</v>
      </c>
    </row>
    <row r="10757">
      <c r="A10757" t="inlineStr">
        <is>
          <t>27BBBBB10757Z5</t>
        </is>
      </c>
      <c r="B10757" t="inlineStr">
        <is>
          <t>Aug-2018</t>
        </is>
      </c>
      <c r="C10757" s="2" t="n">
        <v>43519</v>
      </c>
      <c r="D10757" t="inlineStr">
        <is>
          <t>NIL</t>
        </is>
      </c>
      <c r="E10757" t="n">
        <v>633</v>
      </c>
    </row>
    <row r="10758">
      <c r="A10758" t="inlineStr">
        <is>
          <t>27BBBBB10758Z5</t>
        </is>
      </c>
      <c r="B10758" t="inlineStr">
        <is>
          <t>Oct-2018</t>
        </is>
      </c>
      <c r="C10758" s="2" t="n">
        <v>43333</v>
      </c>
      <c r="D10758" t="inlineStr">
        <is>
          <t>NIL</t>
        </is>
      </c>
      <c r="E10758" t="n">
        <v>631</v>
      </c>
    </row>
    <row r="10759">
      <c r="A10759" t="inlineStr">
        <is>
          <t>27BBBBB10759Z5</t>
        </is>
      </c>
      <c r="B10759" t="inlineStr">
        <is>
          <t>Mar-2023</t>
        </is>
      </c>
      <c r="C10759" s="2" t="n">
        <v>45019</v>
      </c>
      <c r="D10759" t="inlineStr">
        <is>
          <t>NIL</t>
        </is>
      </c>
      <c r="E10759" t="n">
        <v>1137</v>
      </c>
    </row>
    <row r="10760">
      <c r="A10760" t="inlineStr">
        <is>
          <t>27BBBBB10760Z5</t>
        </is>
      </c>
      <c r="B10760" t="inlineStr">
        <is>
          <t>Dec-2024</t>
        </is>
      </c>
      <c r="C10760" s="2" t="n">
        <v>44450</v>
      </c>
      <c r="D10760" t="inlineStr">
        <is>
          <t>NIL</t>
        </is>
      </c>
      <c r="E10760" t="n">
        <v>247</v>
      </c>
    </row>
    <row r="10761">
      <c r="A10761" t="inlineStr">
        <is>
          <t>27BBBBB10761Z5</t>
        </is>
      </c>
      <c r="B10761" t="inlineStr">
        <is>
          <t>May-2020</t>
        </is>
      </c>
      <c r="C10761" s="2" t="n">
        <v>44698</v>
      </c>
      <c r="D10761" t="inlineStr">
        <is>
          <t>NIL</t>
        </is>
      </c>
      <c r="E10761" t="n">
        <v>370</v>
      </c>
    </row>
    <row r="10762">
      <c r="A10762" t="inlineStr">
        <is>
          <t>27BBBBB10762Z5</t>
        </is>
      </c>
      <c r="B10762" t="inlineStr">
        <is>
          <t>Nov-2017</t>
        </is>
      </c>
      <c r="C10762" s="2" t="n">
        <v>43163</v>
      </c>
      <c r="D10762" t="inlineStr">
        <is>
          <t>NON-NIL</t>
        </is>
      </c>
      <c r="E10762" t="n">
        <v>2945</v>
      </c>
    </row>
    <row r="10763">
      <c r="A10763" t="inlineStr">
        <is>
          <t>27BBBBB10763Z5</t>
        </is>
      </c>
      <c r="B10763" t="inlineStr">
        <is>
          <t>Jul-2017</t>
        </is>
      </c>
      <c r="C10763" s="2" t="n">
        <v>43471</v>
      </c>
      <c r="D10763" t="inlineStr">
        <is>
          <t>NIL</t>
        </is>
      </c>
      <c r="E10763" t="n">
        <v>1940</v>
      </c>
    </row>
    <row r="10764">
      <c r="A10764" t="inlineStr">
        <is>
          <t>27BBBBB10764Z5</t>
        </is>
      </c>
      <c r="B10764" t="inlineStr">
        <is>
          <t>Mar-2020</t>
        </is>
      </c>
      <c r="C10764" s="2" t="n">
        <v>44693</v>
      </c>
      <c r="D10764" t="inlineStr">
        <is>
          <t>NON-NIL</t>
        </is>
      </c>
      <c r="E10764" t="n">
        <v>105</v>
      </c>
    </row>
    <row r="10765">
      <c r="A10765" t="inlineStr">
        <is>
          <t>27BBBBB10765Z5</t>
        </is>
      </c>
      <c r="B10765" t="inlineStr">
        <is>
          <t>Dec-2018</t>
        </is>
      </c>
      <c r="C10765" s="2" t="n">
        <v>43494</v>
      </c>
      <c r="D10765" t="inlineStr">
        <is>
          <t>NIL</t>
        </is>
      </c>
      <c r="E10765" t="n">
        <v>774</v>
      </c>
    </row>
    <row r="10766">
      <c r="A10766" t="inlineStr">
        <is>
          <t>27BBBBB10766Z5</t>
        </is>
      </c>
      <c r="B10766" t="inlineStr">
        <is>
          <t>Mar-2021</t>
        </is>
      </c>
      <c r="C10766" s="2" t="n">
        <v>45358</v>
      </c>
      <c r="D10766" t="inlineStr">
        <is>
          <t>NIL</t>
        </is>
      </c>
      <c r="E10766" t="n">
        <v>1025</v>
      </c>
    </row>
    <row r="10767">
      <c r="A10767" t="inlineStr">
        <is>
          <t>27BBBBB10767Z5</t>
        </is>
      </c>
      <c r="B10767" t="inlineStr">
        <is>
          <t>Oct-2017</t>
        </is>
      </c>
      <c r="C10767" s="2" t="n">
        <v>44247</v>
      </c>
      <c r="D10767" t="inlineStr">
        <is>
          <t>NON-NIL</t>
        </is>
      </c>
      <c r="E10767" t="n">
        <v>1259</v>
      </c>
    </row>
    <row r="10768">
      <c r="A10768" t="inlineStr">
        <is>
          <t>27BBBBB10768Z5</t>
        </is>
      </c>
      <c r="B10768" t="inlineStr">
        <is>
          <t>Mar-2020</t>
        </is>
      </c>
      <c r="C10768" s="2" t="n">
        <v>43920</v>
      </c>
      <c r="D10768" t="inlineStr">
        <is>
          <t>NON-NIL</t>
        </is>
      </c>
      <c r="E10768" t="n">
        <v>2253</v>
      </c>
    </row>
    <row r="10769">
      <c r="A10769" t="inlineStr">
        <is>
          <t>27BBBBB10769Z5</t>
        </is>
      </c>
      <c r="B10769" t="inlineStr">
        <is>
          <t>Dec-2017</t>
        </is>
      </c>
      <c r="C10769" s="2" t="n">
        <v>43908</v>
      </c>
      <c r="D10769" t="inlineStr">
        <is>
          <t>NON-NIL</t>
        </is>
      </c>
      <c r="E10769" t="n">
        <v>2488</v>
      </c>
    </row>
    <row r="10770">
      <c r="A10770" t="inlineStr">
        <is>
          <t>27BBBBB10770Z5</t>
        </is>
      </c>
      <c r="B10770" t="inlineStr">
        <is>
          <t>Dec-2018</t>
        </is>
      </c>
      <c r="C10770" s="2" t="n">
        <v>43120</v>
      </c>
      <c r="D10770" t="inlineStr">
        <is>
          <t>NON-NIL</t>
        </is>
      </c>
      <c r="E10770" t="n">
        <v>2814</v>
      </c>
    </row>
    <row r="10771">
      <c r="A10771" t="inlineStr">
        <is>
          <t>27BBBBB10771Z5</t>
        </is>
      </c>
      <c r="B10771" t="inlineStr">
        <is>
          <t>Oct-2017</t>
        </is>
      </c>
      <c r="C10771" s="2" t="n">
        <v>44262</v>
      </c>
      <c r="D10771" t="inlineStr">
        <is>
          <t>NON-NIL</t>
        </is>
      </c>
      <c r="E10771" t="n">
        <v>1176</v>
      </c>
    </row>
    <row r="10772">
      <c r="A10772" t="inlineStr">
        <is>
          <t>27BBBBB10772Z5</t>
        </is>
      </c>
      <c r="B10772" t="inlineStr">
        <is>
          <t>Nov-2017</t>
        </is>
      </c>
      <c r="C10772" s="2" t="n">
        <v>43028</v>
      </c>
      <c r="D10772" t="inlineStr">
        <is>
          <t>NON-NIL</t>
        </is>
      </c>
      <c r="E10772" t="n">
        <v>1034</v>
      </c>
    </row>
    <row r="10773">
      <c r="A10773" t="inlineStr">
        <is>
          <t>27BBBBB10773Z5</t>
        </is>
      </c>
      <c r="B10773" t="inlineStr">
        <is>
          <t>Feb-2018</t>
        </is>
      </c>
      <c r="C10773" s="2" t="n">
        <v>43876</v>
      </c>
      <c r="D10773" t="inlineStr">
        <is>
          <t>NON-NIL</t>
        </is>
      </c>
      <c r="E10773" t="n">
        <v>2792</v>
      </c>
    </row>
    <row r="10774">
      <c r="A10774" t="inlineStr">
        <is>
          <t>27BBBBB10774Z5</t>
        </is>
      </c>
      <c r="B10774" t="inlineStr">
        <is>
          <t>Sep-2017</t>
        </is>
      </c>
      <c r="C10774" s="2" t="n">
        <v>44291</v>
      </c>
      <c r="D10774" t="inlineStr">
        <is>
          <t>NON-NIL</t>
        </is>
      </c>
      <c r="E10774" t="n">
        <v>1945</v>
      </c>
    </row>
    <row r="10775">
      <c r="A10775" t="inlineStr">
        <is>
          <t>27BBBBB10775Z5</t>
        </is>
      </c>
      <c r="B10775" t="inlineStr">
        <is>
          <t>Oct-2018</t>
        </is>
      </c>
      <c r="C10775" s="2" t="n">
        <v>43960</v>
      </c>
      <c r="D10775" t="inlineStr">
        <is>
          <t>NON-NIL</t>
        </is>
      </c>
      <c r="E10775" t="n">
        <v>542</v>
      </c>
    </row>
    <row r="10776">
      <c r="A10776" t="inlineStr">
        <is>
          <t>27BBBBB10776Z5</t>
        </is>
      </c>
      <c r="B10776" t="inlineStr">
        <is>
          <t>Jun-2018</t>
        </is>
      </c>
      <c r="C10776" s="2" t="n">
        <v>43157</v>
      </c>
      <c r="D10776" t="inlineStr">
        <is>
          <t>NIL</t>
        </is>
      </c>
      <c r="E10776" t="n">
        <v>2866</v>
      </c>
    </row>
    <row r="10777">
      <c r="A10777" t="inlineStr">
        <is>
          <t>27BBBBB10777Z5</t>
        </is>
      </c>
      <c r="B10777" t="inlineStr">
        <is>
          <t>Dec-2018</t>
        </is>
      </c>
      <c r="C10777" s="2" t="n">
        <v>43098</v>
      </c>
      <c r="D10777" t="inlineStr">
        <is>
          <t>NON-NIL</t>
        </is>
      </c>
      <c r="E10777" t="n">
        <v>1390</v>
      </c>
    </row>
    <row r="10778">
      <c r="A10778" t="inlineStr">
        <is>
          <t>27BBBBB10778Z5</t>
        </is>
      </c>
      <c r="B10778" t="inlineStr">
        <is>
          <t>May-2020</t>
        </is>
      </c>
      <c r="C10778" s="2" t="n">
        <v>44861</v>
      </c>
      <c r="D10778" t="inlineStr">
        <is>
          <t>NON-NIL</t>
        </is>
      </c>
      <c r="E10778" t="n">
        <v>2290</v>
      </c>
    </row>
    <row r="10779">
      <c r="A10779" t="inlineStr">
        <is>
          <t>27BBBBB10779Z5</t>
        </is>
      </c>
      <c r="B10779" t="inlineStr">
        <is>
          <t>Sep-2018</t>
        </is>
      </c>
      <c r="C10779" s="2" t="n">
        <v>43074</v>
      </c>
      <c r="D10779" t="inlineStr">
        <is>
          <t>NIL</t>
        </is>
      </c>
      <c r="E10779" t="n">
        <v>2339</v>
      </c>
    </row>
    <row r="10780">
      <c r="A10780" t="inlineStr">
        <is>
          <t>27BBBBB10780Z5</t>
        </is>
      </c>
      <c r="B10780" t="inlineStr">
        <is>
          <t>Jul-2018</t>
        </is>
      </c>
      <c r="C10780" s="2" t="n">
        <v>43893</v>
      </c>
      <c r="D10780" t="inlineStr">
        <is>
          <t>NON-NIL</t>
        </is>
      </c>
      <c r="E10780" t="n">
        <v>2724</v>
      </c>
    </row>
    <row r="10781">
      <c r="A10781" t="inlineStr">
        <is>
          <t>27BBBBB10781Z5</t>
        </is>
      </c>
      <c r="B10781" t="inlineStr">
        <is>
          <t>Oct-2018</t>
        </is>
      </c>
      <c r="C10781" s="2" t="n">
        <v>43846</v>
      </c>
      <c r="D10781" t="inlineStr">
        <is>
          <t>NON-NIL</t>
        </is>
      </c>
      <c r="E10781" t="n">
        <v>887</v>
      </c>
    </row>
    <row r="10782">
      <c r="A10782" t="inlineStr">
        <is>
          <t>27BBBBB10782Z5</t>
        </is>
      </c>
      <c r="B10782" t="inlineStr">
        <is>
          <t>Sep-2017</t>
        </is>
      </c>
      <c r="C10782" s="2" t="n">
        <v>43701</v>
      </c>
      <c r="D10782" t="inlineStr">
        <is>
          <t>NIL</t>
        </is>
      </c>
      <c r="E10782" t="n">
        <v>2719</v>
      </c>
    </row>
    <row r="10783">
      <c r="A10783" t="inlineStr">
        <is>
          <t>27BBBBB10783Z5</t>
        </is>
      </c>
      <c r="B10783" t="inlineStr">
        <is>
          <t>Dec-2022</t>
        </is>
      </c>
      <c r="C10783" s="2" t="n">
        <v>45380</v>
      </c>
      <c r="D10783" t="inlineStr">
        <is>
          <t>NON-NIL</t>
        </is>
      </c>
      <c r="E10783" t="n">
        <v>174</v>
      </c>
    </row>
    <row r="10784">
      <c r="A10784" t="inlineStr">
        <is>
          <t>27BBBBB10784Z5</t>
        </is>
      </c>
      <c r="B10784" t="inlineStr">
        <is>
          <t>Aug-2018</t>
        </is>
      </c>
      <c r="C10784" s="2" t="n">
        <v>44442</v>
      </c>
      <c r="D10784" t="inlineStr">
        <is>
          <t>NON-NIL</t>
        </is>
      </c>
      <c r="E10784" t="n">
        <v>2334</v>
      </c>
    </row>
    <row r="10785">
      <c r="A10785" t="inlineStr">
        <is>
          <t>27BBBBB10785Z5</t>
        </is>
      </c>
      <c r="B10785" t="inlineStr">
        <is>
          <t>Apr-2020</t>
        </is>
      </c>
      <c r="C10785" s="2" t="n">
        <v>44588</v>
      </c>
      <c r="D10785" t="inlineStr">
        <is>
          <t>NON-NIL</t>
        </is>
      </c>
      <c r="E10785" t="n">
        <v>344</v>
      </c>
    </row>
    <row r="10786">
      <c r="A10786" t="inlineStr">
        <is>
          <t>27BBBBB10786Z5</t>
        </is>
      </c>
      <c r="B10786" t="inlineStr">
        <is>
          <t>May-2018</t>
        </is>
      </c>
      <c r="C10786" s="2" t="n">
        <v>44524</v>
      </c>
      <c r="D10786" t="inlineStr">
        <is>
          <t>NON-NIL</t>
        </is>
      </c>
      <c r="E10786" t="n">
        <v>244</v>
      </c>
    </row>
    <row r="10787">
      <c r="A10787" t="inlineStr">
        <is>
          <t>27BBBBB10787Z5</t>
        </is>
      </c>
      <c r="B10787" t="inlineStr">
        <is>
          <t>Feb-2018</t>
        </is>
      </c>
      <c r="C10787" s="2" t="n">
        <v>44538</v>
      </c>
      <c r="D10787" t="inlineStr">
        <is>
          <t>NIL</t>
        </is>
      </c>
      <c r="E10787" t="n">
        <v>2256</v>
      </c>
    </row>
    <row r="10788">
      <c r="A10788" t="inlineStr">
        <is>
          <t>27BBBBB10788Z5</t>
        </is>
      </c>
      <c r="B10788" t="inlineStr">
        <is>
          <t>Apr-2020</t>
        </is>
      </c>
      <c r="C10788" s="2" t="n">
        <v>44136</v>
      </c>
      <c r="D10788" t="inlineStr">
        <is>
          <t>NON-NIL</t>
        </is>
      </c>
      <c r="E10788" t="n">
        <v>613</v>
      </c>
    </row>
    <row r="10789">
      <c r="A10789" t="inlineStr">
        <is>
          <t>27BBBBB10789Z5</t>
        </is>
      </c>
      <c r="B10789" t="inlineStr">
        <is>
          <t>Apr-2018</t>
        </is>
      </c>
      <c r="C10789" s="2" t="n">
        <v>43846</v>
      </c>
      <c r="D10789" t="inlineStr">
        <is>
          <t>NON-NIL</t>
        </is>
      </c>
      <c r="E10789" t="n">
        <v>986</v>
      </c>
    </row>
    <row r="10790">
      <c r="A10790" t="inlineStr">
        <is>
          <t>27BBBBB10790Z5</t>
        </is>
      </c>
      <c r="B10790" t="inlineStr">
        <is>
          <t>Dec-2022</t>
        </is>
      </c>
      <c r="C10790" s="2" t="n">
        <v>45130</v>
      </c>
      <c r="D10790" t="inlineStr">
        <is>
          <t>NON-NIL</t>
        </is>
      </c>
      <c r="E10790" t="n">
        <v>1662</v>
      </c>
    </row>
    <row r="10791">
      <c r="A10791" t="inlineStr">
        <is>
          <t>27BBBBB10791Z5</t>
        </is>
      </c>
      <c r="B10791" t="inlineStr">
        <is>
          <t>Dec-2018</t>
        </is>
      </c>
      <c r="C10791" s="2" t="n">
        <v>44305</v>
      </c>
      <c r="D10791" t="inlineStr">
        <is>
          <t>NIL</t>
        </is>
      </c>
      <c r="E10791" t="n">
        <v>666</v>
      </c>
    </row>
    <row r="10792">
      <c r="A10792" t="inlineStr">
        <is>
          <t>27BBBBB10792Z5</t>
        </is>
      </c>
      <c r="B10792" t="inlineStr">
        <is>
          <t>Dec-2018</t>
        </is>
      </c>
      <c r="C10792" s="2" t="n">
        <v>44190</v>
      </c>
      <c r="D10792" t="inlineStr">
        <is>
          <t>NON-NIL</t>
        </is>
      </c>
      <c r="E10792" t="n">
        <v>1677</v>
      </c>
    </row>
    <row r="10793">
      <c r="A10793" t="inlineStr">
        <is>
          <t>27BBBBB10793Z5</t>
        </is>
      </c>
      <c r="B10793" t="inlineStr">
        <is>
          <t>Oct-2017</t>
        </is>
      </c>
      <c r="C10793" s="2" t="n">
        <v>44336</v>
      </c>
      <c r="D10793" t="inlineStr">
        <is>
          <t>NON-NIL</t>
        </is>
      </c>
      <c r="E10793" t="n">
        <v>1501</v>
      </c>
    </row>
    <row r="10794">
      <c r="A10794" t="inlineStr">
        <is>
          <t>27BBBBB10794Z5</t>
        </is>
      </c>
      <c r="B10794" t="inlineStr">
        <is>
          <t>May-2018</t>
        </is>
      </c>
      <c r="C10794" s="2" t="n">
        <v>43475</v>
      </c>
      <c r="D10794" t="inlineStr">
        <is>
          <t>NON-NIL</t>
        </is>
      </c>
      <c r="E10794" t="n">
        <v>301</v>
      </c>
    </row>
    <row r="10795">
      <c r="A10795" t="inlineStr">
        <is>
          <t>27BBBBB10795Z5</t>
        </is>
      </c>
      <c r="B10795" t="inlineStr">
        <is>
          <t>Dec-2024</t>
        </is>
      </c>
      <c r="C10795" s="2" t="n">
        <v>43925</v>
      </c>
      <c r="D10795" t="inlineStr">
        <is>
          <t>NON-NIL</t>
        </is>
      </c>
      <c r="E10795" t="n">
        <v>1405</v>
      </c>
    </row>
    <row r="10796">
      <c r="A10796" t="inlineStr">
        <is>
          <t>27BBBBB10796Z5</t>
        </is>
      </c>
      <c r="B10796" t="inlineStr">
        <is>
          <t>May-2018</t>
        </is>
      </c>
      <c r="C10796" s="2" t="n">
        <v>44513</v>
      </c>
      <c r="D10796" t="inlineStr">
        <is>
          <t>NON-NIL</t>
        </is>
      </c>
      <c r="E10796" t="n">
        <v>2110</v>
      </c>
    </row>
    <row r="10797">
      <c r="A10797" t="inlineStr">
        <is>
          <t>27BBBBB10797Z5</t>
        </is>
      </c>
      <c r="B10797" t="inlineStr">
        <is>
          <t>Jan-2018</t>
        </is>
      </c>
      <c r="C10797" s="2" t="n">
        <v>44089</v>
      </c>
      <c r="D10797" t="inlineStr">
        <is>
          <t>NIL</t>
        </is>
      </c>
      <c r="E10797" t="n">
        <v>382</v>
      </c>
    </row>
    <row r="10798">
      <c r="A10798" t="inlineStr">
        <is>
          <t>27BBBBB10798Z5</t>
        </is>
      </c>
      <c r="B10798" t="inlineStr">
        <is>
          <t>Jun-2018</t>
        </is>
      </c>
      <c r="C10798" s="2" t="n">
        <v>43818</v>
      </c>
      <c r="D10798" t="inlineStr">
        <is>
          <t>NIL</t>
        </is>
      </c>
      <c r="E10798" t="n">
        <v>2426</v>
      </c>
    </row>
    <row r="10799">
      <c r="A10799" t="inlineStr">
        <is>
          <t>27BBBBB10799Z5</t>
        </is>
      </c>
      <c r="B10799" t="inlineStr">
        <is>
          <t>Jun-2018</t>
        </is>
      </c>
      <c r="C10799" s="2" t="n">
        <v>44224</v>
      </c>
      <c r="D10799" t="inlineStr">
        <is>
          <t>NON-NIL</t>
        </is>
      </c>
      <c r="E10799" t="n">
        <v>1255</v>
      </c>
    </row>
    <row r="10800">
      <c r="A10800" t="inlineStr">
        <is>
          <t>27BBBBB10800Z5</t>
        </is>
      </c>
      <c r="B10800" t="inlineStr">
        <is>
          <t>Jul-2018</t>
        </is>
      </c>
      <c r="C10800" s="2" t="n">
        <v>43199</v>
      </c>
      <c r="D10800" t="inlineStr">
        <is>
          <t>NON-NIL</t>
        </is>
      </c>
      <c r="E10800" t="n">
        <v>1650</v>
      </c>
    </row>
    <row r="10801">
      <c r="A10801" t="inlineStr">
        <is>
          <t>27BBBBB10801Z5</t>
        </is>
      </c>
      <c r="B10801" t="inlineStr">
        <is>
          <t>Sep-2018</t>
        </is>
      </c>
      <c r="C10801" s="2" t="n">
        <v>43294</v>
      </c>
      <c r="D10801" t="inlineStr">
        <is>
          <t>NIL</t>
        </is>
      </c>
      <c r="E10801" t="n">
        <v>13</v>
      </c>
    </row>
    <row r="10802">
      <c r="A10802" t="inlineStr">
        <is>
          <t>27BBBBB10802Z5</t>
        </is>
      </c>
      <c r="B10802" t="inlineStr">
        <is>
          <t>Nov-2018</t>
        </is>
      </c>
      <c r="C10802" s="2" t="n">
        <v>43588</v>
      </c>
      <c r="D10802" t="inlineStr">
        <is>
          <t>NON-NIL</t>
        </is>
      </c>
      <c r="E10802" t="n">
        <v>1129</v>
      </c>
    </row>
    <row r="10803">
      <c r="A10803" t="inlineStr">
        <is>
          <t>27BBBBB10803Z5</t>
        </is>
      </c>
      <c r="B10803" t="inlineStr">
        <is>
          <t>May-2020</t>
        </is>
      </c>
      <c r="C10803" s="2" t="n">
        <v>44434</v>
      </c>
      <c r="D10803" t="inlineStr">
        <is>
          <t>NIL</t>
        </is>
      </c>
      <c r="E10803" t="n">
        <v>1685</v>
      </c>
    </row>
    <row r="10804">
      <c r="A10804" t="inlineStr">
        <is>
          <t>27BBBBB10804Z5</t>
        </is>
      </c>
      <c r="B10804" t="inlineStr">
        <is>
          <t>Mar-2021</t>
        </is>
      </c>
      <c r="C10804" s="2" t="n">
        <v>44693</v>
      </c>
      <c r="D10804" t="inlineStr">
        <is>
          <t>NON-NIL</t>
        </is>
      </c>
      <c r="E10804" t="n">
        <v>2388</v>
      </c>
    </row>
    <row r="10805">
      <c r="A10805" t="inlineStr">
        <is>
          <t>27BBBBB10805Z5</t>
        </is>
      </c>
      <c r="B10805" t="inlineStr">
        <is>
          <t>Feb-2018</t>
        </is>
      </c>
      <c r="C10805" s="2" t="n">
        <v>43894</v>
      </c>
      <c r="D10805" t="inlineStr">
        <is>
          <t>NON-NIL</t>
        </is>
      </c>
      <c r="E10805" t="n">
        <v>1983</v>
      </c>
    </row>
    <row r="10806">
      <c r="A10806" t="inlineStr">
        <is>
          <t>27BBBBB10806Z5</t>
        </is>
      </c>
      <c r="B10806" t="inlineStr">
        <is>
          <t>Mar-2020</t>
        </is>
      </c>
      <c r="C10806" s="2" t="n">
        <v>43856</v>
      </c>
      <c r="D10806" t="inlineStr">
        <is>
          <t>NON-NIL</t>
        </is>
      </c>
      <c r="E10806" t="n">
        <v>2918</v>
      </c>
    </row>
    <row r="10807">
      <c r="A10807" t="inlineStr">
        <is>
          <t>27BBBBB10807Z5</t>
        </is>
      </c>
      <c r="B10807" t="inlineStr">
        <is>
          <t>Aug-2018</t>
        </is>
      </c>
      <c r="C10807" s="2" t="n">
        <v>44024</v>
      </c>
      <c r="D10807" t="inlineStr">
        <is>
          <t>NIL</t>
        </is>
      </c>
      <c r="E10807" t="n">
        <v>2103</v>
      </c>
    </row>
    <row r="10808">
      <c r="A10808" t="inlineStr">
        <is>
          <t>27BBBBB10808Z5</t>
        </is>
      </c>
      <c r="B10808" t="inlineStr">
        <is>
          <t>Mar-2021</t>
        </is>
      </c>
      <c r="C10808" s="2" t="n">
        <v>44573</v>
      </c>
      <c r="D10808" t="inlineStr">
        <is>
          <t>NIL</t>
        </is>
      </c>
      <c r="E10808" t="n">
        <v>1757</v>
      </c>
    </row>
    <row r="10809">
      <c r="A10809" t="inlineStr">
        <is>
          <t>27BBBBB10809Z5</t>
        </is>
      </c>
      <c r="B10809" t="inlineStr">
        <is>
          <t>Mar-2020</t>
        </is>
      </c>
      <c r="C10809" s="2" t="n">
        <v>44825</v>
      </c>
      <c r="D10809" t="inlineStr">
        <is>
          <t>NIL</t>
        </is>
      </c>
      <c r="E10809" t="n">
        <v>1498</v>
      </c>
    </row>
    <row r="10810">
      <c r="A10810" t="inlineStr">
        <is>
          <t>27BBBBB10810Z5</t>
        </is>
      </c>
      <c r="B10810" t="inlineStr">
        <is>
          <t>Sep-2018</t>
        </is>
      </c>
      <c r="C10810" s="2" t="n">
        <v>44355</v>
      </c>
      <c r="D10810" t="inlineStr">
        <is>
          <t>NON-NIL</t>
        </is>
      </c>
      <c r="E10810" t="n">
        <v>2869</v>
      </c>
    </row>
    <row r="10811">
      <c r="A10811" t="inlineStr">
        <is>
          <t>27BBBBB10811Z5</t>
        </is>
      </c>
      <c r="B10811" t="inlineStr">
        <is>
          <t>Mar-2023</t>
        </is>
      </c>
      <c r="C10811" s="2" t="n">
        <v>44056</v>
      </c>
      <c r="D10811" t="inlineStr">
        <is>
          <t>NON-NIL</t>
        </is>
      </c>
      <c r="E10811" t="n">
        <v>2280</v>
      </c>
    </row>
    <row r="10812">
      <c r="A10812" t="inlineStr">
        <is>
          <t>27BBBBB10812Z5</t>
        </is>
      </c>
      <c r="B10812" t="inlineStr">
        <is>
          <t>Jul-2017</t>
        </is>
      </c>
      <c r="C10812" s="2" t="n">
        <v>43732</v>
      </c>
      <c r="D10812" t="inlineStr">
        <is>
          <t>NIL</t>
        </is>
      </c>
      <c r="E10812" t="n">
        <v>2937</v>
      </c>
    </row>
    <row r="10813">
      <c r="A10813" t="inlineStr">
        <is>
          <t>27BBBBB10813Z5</t>
        </is>
      </c>
      <c r="B10813" t="inlineStr">
        <is>
          <t>Jan-2018</t>
        </is>
      </c>
      <c r="C10813" s="2" t="n">
        <v>43606</v>
      </c>
      <c r="D10813" t="inlineStr">
        <is>
          <t>NIL</t>
        </is>
      </c>
      <c r="E10813" t="n">
        <v>2151</v>
      </c>
    </row>
    <row r="10814">
      <c r="A10814" t="inlineStr">
        <is>
          <t>27BBBBB10814Z5</t>
        </is>
      </c>
      <c r="B10814" t="inlineStr">
        <is>
          <t>Aug-2018</t>
        </is>
      </c>
      <c r="C10814" s="2" t="n">
        <v>43206</v>
      </c>
      <c r="D10814" t="inlineStr">
        <is>
          <t>NON-NIL</t>
        </is>
      </c>
      <c r="E10814" t="n">
        <v>1059</v>
      </c>
    </row>
    <row r="10815">
      <c r="A10815" t="inlineStr">
        <is>
          <t>27BBBBB10815Z5</t>
        </is>
      </c>
      <c r="B10815" t="inlineStr">
        <is>
          <t>Sep-2018</t>
        </is>
      </c>
      <c r="C10815" s="2" t="n">
        <v>43920</v>
      </c>
      <c r="D10815" t="inlineStr">
        <is>
          <t>NIL</t>
        </is>
      </c>
      <c r="E10815" t="n">
        <v>2352</v>
      </c>
    </row>
    <row r="10816">
      <c r="A10816" t="inlineStr">
        <is>
          <t>27BBBBB10816Z5</t>
        </is>
      </c>
      <c r="B10816" t="inlineStr">
        <is>
          <t>Jan-2018</t>
        </is>
      </c>
      <c r="C10816" s="2" t="n">
        <v>44372</v>
      </c>
      <c r="D10816" t="inlineStr">
        <is>
          <t>NON-NIL</t>
        </is>
      </c>
      <c r="E10816" t="n">
        <v>1865</v>
      </c>
    </row>
    <row r="10817">
      <c r="A10817" t="inlineStr">
        <is>
          <t>27BBBBB10817Z5</t>
        </is>
      </c>
      <c r="B10817" t="inlineStr">
        <is>
          <t>Jul-2018</t>
        </is>
      </c>
      <c r="C10817" s="2" t="n">
        <v>43772</v>
      </c>
      <c r="D10817" t="inlineStr">
        <is>
          <t>NIL</t>
        </is>
      </c>
      <c r="E10817" t="n">
        <v>1872</v>
      </c>
    </row>
    <row r="10818">
      <c r="A10818" t="inlineStr">
        <is>
          <t>27BBBBB10818Z5</t>
        </is>
      </c>
      <c r="B10818" t="inlineStr">
        <is>
          <t>Sep-2018</t>
        </is>
      </c>
      <c r="C10818" s="2" t="n">
        <v>43273</v>
      </c>
      <c r="D10818" t="inlineStr">
        <is>
          <t>NIL</t>
        </is>
      </c>
      <c r="E10818" t="n">
        <v>2577</v>
      </c>
    </row>
    <row r="10819">
      <c r="A10819" t="inlineStr">
        <is>
          <t>27BBBBB10819Z5</t>
        </is>
      </c>
      <c r="B10819" t="inlineStr">
        <is>
          <t>May-2020</t>
        </is>
      </c>
      <c r="C10819" s="2" t="n">
        <v>43879</v>
      </c>
      <c r="D10819" t="inlineStr">
        <is>
          <t>NIL</t>
        </is>
      </c>
      <c r="E10819" t="n">
        <v>929</v>
      </c>
    </row>
    <row r="10820">
      <c r="A10820" t="inlineStr">
        <is>
          <t>27BBBBB10820Z5</t>
        </is>
      </c>
      <c r="B10820" t="inlineStr">
        <is>
          <t>Jul-2020</t>
        </is>
      </c>
      <c r="C10820" s="2" t="n">
        <v>44060</v>
      </c>
      <c r="D10820" t="inlineStr">
        <is>
          <t>NIL</t>
        </is>
      </c>
      <c r="E10820" t="n">
        <v>2474</v>
      </c>
    </row>
    <row r="10821">
      <c r="A10821" t="inlineStr">
        <is>
          <t>27BBBBB10821Z5</t>
        </is>
      </c>
      <c r="B10821" t="inlineStr">
        <is>
          <t>Aug-2017</t>
        </is>
      </c>
      <c r="C10821" s="2" t="n">
        <v>43246</v>
      </c>
      <c r="D10821" t="inlineStr">
        <is>
          <t>NIL</t>
        </is>
      </c>
      <c r="E10821" t="n">
        <v>89</v>
      </c>
    </row>
    <row r="10822">
      <c r="A10822" t="inlineStr">
        <is>
          <t>27BBBBB10822Z5</t>
        </is>
      </c>
      <c r="B10822" t="inlineStr">
        <is>
          <t>Sep-2017</t>
        </is>
      </c>
      <c r="C10822" s="2" t="n">
        <v>44547</v>
      </c>
      <c r="D10822" t="inlineStr">
        <is>
          <t>NON-NIL</t>
        </is>
      </c>
      <c r="E10822" t="n">
        <v>1295</v>
      </c>
    </row>
    <row r="10823">
      <c r="A10823" t="inlineStr">
        <is>
          <t>27BBBBB10823Z5</t>
        </is>
      </c>
      <c r="B10823" t="inlineStr">
        <is>
          <t>Aug-2017</t>
        </is>
      </c>
      <c r="C10823" s="2" t="n">
        <v>43076</v>
      </c>
      <c r="D10823" t="inlineStr">
        <is>
          <t>NON-NIL</t>
        </is>
      </c>
      <c r="E10823" t="n">
        <v>554</v>
      </c>
    </row>
    <row r="10824">
      <c r="A10824" t="inlineStr">
        <is>
          <t>27BBBBB10824Z5</t>
        </is>
      </c>
      <c r="B10824" t="inlineStr">
        <is>
          <t>Apr-2018</t>
        </is>
      </c>
      <c r="C10824" s="2" t="n">
        <v>43525</v>
      </c>
      <c r="D10824" t="inlineStr">
        <is>
          <t>NON-NIL</t>
        </is>
      </c>
      <c r="E10824" t="n">
        <v>0</v>
      </c>
    </row>
    <row r="10825">
      <c r="A10825" t="inlineStr">
        <is>
          <t>27BBBBB10825Z5</t>
        </is>
      </c>
      <c r="B10825" t="inlineStr">
        <is>
          <t>Dec-2022</t>
        </is>
      </c>
      <c r="C10825" s="2" t="n">
        <v>43575</v>
      </c>
      <c r="D10825" t="inlineStr">
        <is>
          <t>NIL</t>
        </is>
      </c>
      <c r="E10825" t="n">
        <v>933</v>
      </c>
    </row>
    <row r="10826">
      <c r="A10826" t="inlineStr">
        <is>
          <t>27BBBBB10826Z5</t>
        </is>
      </c>
      <c r="B10826" t="inlineStr">
        <is>
          <t>Sep-2018</t>
        </is>
      </c>
      <c r="C10826" s="2" t="n">
        <v>43178</v>
      </c>
      <c r="D10826" t="inlineStr">
        <is>
          <t>NIL</t>
        </is>
      </c>
      <c r="E10826" t="n">
        <v>1242</v>
      </c>
    </row>
    <row r="10827">
      <c r="A10827" t="inlineStr">
        <is>
          <t>27BBBBB10827Z5</t>
        </is>
      </c>
      <c r="B10827" t="inlineStr">
        <is>
          <t>Sep-2018</t>
        </is>
      </c>
      <c r="C10827" s="2" t="n">
        <v>43247</v>
      </c>
      <c r="D10827" t="inlineStr">
        <is>
          <t>NON-NIL</t>
        </is>
      </c>
      <c r="E10827" t="n">
        <v>615</v>
      </c>
    </row>
    <row r="10828">
      <c r="A10828" t="inlineStr">
        <is>
          <t>27BBBBB10828Z5</t>
        </is>
      </c>
      <c r="B10828" t="inlineStr">
        <is>
          <t>Mar-2023</t>
        </is>
      </c>
      <c r="C10828" s="2" t="n">
        <v>44709</v>
      </c>
      <c r="D10828" t="inlineStr">
        <is>
          <t>NIL</t>
        </is>
      </c>
      <c r="E10828" t="n">
        <v>218</v>
      </c>
    </row>
    <row r="10829">
      <c r="A10829" t="inlineStr">
        <is>
          <t>27BBBBB10829Z5</t>
        </is>
      </c>
      <c r="B10829" t="inlineStr">
        <is>
          <t>Jun-2018</t>
        </is>
      </c>
      <c r="C10829" s="2" t="n">
        <v>43736</v>
      </c>
      <c r="D10829" t="inlineStr">
        <is>
          <t>NON-NIL</t>
        </is>
      </c>
      <c r="E10829" t="n">
        <v>2808</v>
      </c>
    </row>
    <row r="10830">
      <c r="A10830" t="inlineStr">
        <is>
          <t>27BBBBB10830Z5</t>
        </is>
      </c>
      <c r="B10830" t="inlineStr">
        <is>
          <t>Jun-2020</t>
        </is>
      </c>
      <c r="C10830" s="2" t="n">
        <v>43871</v>
      </c>
      <c r="D10830" t="inlineStr">
        <is>
          <t>NON-NIL</t>
        </is>
      </c>
      <c r="E10830" t="n">
        <v>2644</v>
      </c>
    </row>
    <row r="10831">
      <c r="A10831" t="inlineStr">
        <is>
          <t>27BBBBB10831Z5</t>
        </is>
      </c>
      <c r="B10831" t="inlineStr">
        <is>
          <t>Dec-2018</t>
        </is>
      </c>
      <c r="C10831" s="2" t="n">
        <v>43043</v>
      </c>
      <c r="D10831" t="inlineStr">
        <is>
          <t>NIL</t>
        </is>
      </c>
      <c r="E10831" t="n">
        <v>826</v>
      </c>
    </row>
    <row r="10832">
      <c r="A10832" t="inlineStr">
        <is>
          <t>27BBBBB10832Z5</t>
        </is>
      </c>
      <c r="B10832" t="inlineStr">
        <is>
          <t>Aug-2017</t>
        </is>
      </c>
      <c r="C10832" s="2" t="n">
        <v>42976</v>
      </c>
      <c r="D10832" t="inlineStr">
        <is>
          <t>NON-NIL</t>
        </is>
      </c>
      <c r="E10832" t="n">
        <v>1906</v>
      </c>
    </row>
    <row r="10833">
      <c r="A10833" t="inlineStr">
        <is>
          <t>27BBBBB10833Z5</t>
        </is>
      </c>
      <c r="B10833" t="inlineStr">
        <is>
          <t>Mar-2020</t>
        </is>
      </c>
      <c r="C10833" s="2" t="n">
        <v>44184</v>
      </c>
      <c r="D10833" t="inlineStr">
        <is>
          <t>NON-NIL</t>
        </is>
      </c>
      <c r="E10833" t="n">
        <v>1608</v>
      </c>
    </row>
    <row r="10834">
      <c r="A10834" t="inlineStr">
        <is>
          <t>27BBBBB10834Z5</t>
        </is>
      </c>
      <c r="B10834" t="inlineStr">
        <is>
          <t>Jan-2018</t>
        </is>
      </c>
      <c r="C10834" s="2" t="n">
        <v>44103</v>
      </c>
      <c r="D10834" t="inlineStr">
        <is>
          <t>NON-NIL</t>
        </is>
      </c>
      <c r="E10834" t="n">
        <v>1378</v>
      </c>
    </row>
    <row r="10835">
      <c r="A10835" t="inlineStr">
        <is>
          <t>27BBBBB10835Z5</t>
        </is>
      </c>
      <c r="B10835" t="inlineStr">
        <is>
          <t>May-2018</t>
        </is>
      </c>
      <c r="C10835" s="2" t="n">
        <v>43700</v>
      </c>
      <c r="D10835" t="inlineStr">
        <is>
          <t>NON-NIL</t>
        </is>
      </c>
      <c r="E10835" t="n">
        <v>705</v>
      </c>
    </row>
    <row r="10836">
      <c r="A10836" t="inlineStr">
        <is>
          <t>27BBBBB10836Z5</t>
        </is>
      </c>
      <c r="B10836" t="inlineStr">
        <is>
          <t>Nov-2017</t>
        </is>
      </c>
      <c r="C10836" s="2" t="n">
        <v>43718</v>
      </c>
      <c r="D10836" t="inlineStr">
        <is>
          <t>NIL</t>
        </is>
      </c>
      <c r="E10836" t="n">
        <v>2739</v>
      </c>
    </row>
    <row r="10837">
      <c r="A10837" t="inlineStr">
        <is>
          <t>27BBBBB10837Z5</t>
        </is>
      </c>
      <c r="B10837" t="inlineStr">
        <is>
          <t>Dec-2018</t>
        </is>
      </c>
      <c r="C10837" s="2" t="n">
        <v>43152</v>
      </c>
      <c r="D10837" t="inlineStr">
        <is>
          <t>NON-NIL</t>
        </is>
      </c>
      <c r="E10837" t="n">
        <v>1519</v>
      </c>
    </row>
    <row r="10838">
      <c r="A10838" t="inlineStr">
        <is>
          <t>27BBBBB10838Z5</t>
        </is>
      </c>
      <c r="B10838" t="inlineStr">
        <is>
          <t>Apr-2020</t>
        </is>
      </c>
      <c r="C10838" s="2" t="n">
        <v>44776</v>
      </c>
      <c r="D10838" t="inlineStr">
        <is>
          <t>NIL</t>
        </is>
      </c>
      <c r="E10838" t="n">
        <v>479</v>
      </c>
    </row>
    <row r="10839">
      <c r="A10839" t="inlineStr">
        <is>
          <t>27BBBBB10839Z5</t>
        </is>
      </c>
      <c r="B10839" t="inlineStr">
        <is>
          <t>Mar-2023</t>
        </is>
      </c>
      <c r="C10839" s="2" t="n">
        <v>43843</v>
      </c>
      <c r="D10839" t="inlineStr">
        <is>
          <t>NIL</t>
        </is>
      </c>
      <c r="E10839" t="n">
        <v>2069</v>
      </c>
    </row>
    <row r="10840">
      <c r="A10840" t="inlineStr">
        <is>
          <t>27BBBBB10840Z5</t>
        </is>
      </c>
      <c r="B10840" t="inlineStr">
        <is>
          <t>Aug-2017</t>
        </is>
      </c>
      <c r="C10840" s="2" t="n">
        <v>43490</v>
      </c>
      <c r="D10840" t="inlineStr">
        <is>
          <t>NON-NIL</t>
        </is>
      </c>
      <c r="E10840" t="n">
        <v>2457</v>
      </c>
    </row>
    <row r="10841">
      <c r="A10841" t="inlineStr">
        <is>
          <t>27BBBBB10841Z5</t>
        </is>
      </c>
      <c r="B10841" t="inlineStr">
        <is>
          <t>Jan-2021</t>
        </is>
      </c>
      <c r="C10841" s="2" t="n">
        <v>44690</v>
      </c>
      <c r="D10841" t="inlineStr">
        <is>
          <t>NIL</t>
        </is>
      </c>
      <c r="E10841" t="n">
        <v>1454</v>
      </c>
    </row>
    <row r="10842">
      <c r="A10842" t="inlineStr">
        <is>
          <t>27BBBBB10842Z5</t>
        </is>
      </c>
      <c r="B10842" t="inlineStr">
        <is>
          <t>Sep-2017</t>
        </is>
      </c>
      <c r="C10842" s="2" t="n">
        <v>43680</v>
      </c>
      <c r="D10842" t="inlineStr">
        <is>
          <t>NON-NIL</t>
        </is>
      </c>
      <c r="E10842" t="n">
        <v>2117</v>
      </c>
    </row>
    <row r="10843">
      <c r="A10843" t="inlineStr">
        <is>
          <t>27BBBBB10843Z5</t>
        </is>
      </c>
      <c r="B10843" t="inlineStr">
        <is>
          <t>Nov-2018</t>
        </is>
      </c>
      <c r="C10843" s="2" t="n">
        <v>43955</v>
      </c>
      <c r="D10843" t="inlineStr">
        <is>
          <t>NIL</t>
        </is>
      </c>
      <c r="E10843" t="n">
        <v>1527</v>
      </c>
    </row>
    <row r="10844">
      <c r="A10844" t="inlineStr">
        <is>
          <t>27BBBBB10844Z5</t>
        </is>
      </c>
      <c r="B10844" t="inlineStr">
        <is>
          <t>Nov-2018</t>
        </is>
      </c>
      <c r="C10844" s="2" t="n">
        <v>44354</v>
      </c>
      <c r="D10844" t="inlineStr">
        <is>
          <t>NIL</t>
        </is>
      </c>
      <c r="E10844" t="n">
        <v>757</v>
      </c>
    </row>
    <row r="10845">
      <c r="A10845" t="inlineStr">
        <is>
          <t>27BBBBB10845Z5</t>
        </is>
      </c>
      <c r="B10845" t="inlineStr">
        <is>
          <t>Mar-2021</t>
        </is>
      </c>
      <c r="C10845" s="2" t="n">
        <v>43700</v>
      </c>
      <c r="D10845" t="inlineStr">
        <is>
          <t>NIL</t>
        </is>
      </c>
      <c r="E10845" t="n">
        <v>1913</v>
      </c>
    </row>
    <row r="10846">
      <c r="A10846" t="inlineStr">
        <is>
          <t>27BBBBB10846Z5</t>
        </is>
      </c>
      <c r="B10846" t="inlineStr">
        <is>
          <t>Dec-2017</t>
        </is>
      </c>
      <c r="C10846" s="2" t="n">
        <v>43586</v>
      </c>
      <c r="D10846" t="inlineStr">
        <is>
          <t>NIL</t>
        </is>
      </c>
      <c r="E10846" t="n">
        <v>2637</v>
      </c>
    </row>
    <row r="10847">
      <c r="A10847" t="inlineStr">
        <is>
          <t>27BBBBB10847Z5</t>
        </is>
      </c>
      <c r="B10847" t="inlineStr">
        <is>
          <t>Sep-2017</t>
        </is>
      </c>
      <c r="C10847" s="2" t="n">
        <v>43483</v>
      </c>
      <c r="D10847" t="inlineStr">
        <is>
          <t>NIL</t>
        </is>
      </c>
      <c r="E10847" t="n">
        <v>1760</v>
      </c>
    </row>
    <row r="10848">
      <c r="A10848" t="inlineStr">
        <is>
          <t>27BBBBB10848Z5</t>
        </is>
      </c>
      <c r="B10848" t="inlineStr">
        <is>
          <t>Nov-2018</t>
        </is>
      </c>
      <c r="C10848" s="2" t="n">
        <v>44076</v>
      </c>
      <c r="D10848" t="inlineStr">
        <is>
          <t>NON-NIL</t>
        </is>
      </c>
      <c r="E10848" t="n">
        <v>152</v>
      </c>
    </row>
    <row r="10849">
      <c r="A10849" t="inlineStr">
        <is>
          <t>27BBBBB10849Z5</t>
        </is>
      </c>
      <c r="B10849" t="inlineStr">
        <is>
          <t>Mar-2021</t>
        </is>
      </c>
      <c r="C10849" s="2" t="n">
        <v>45117</v>
      </c>
      <c r="D10849" t="inlineStr">
        <is>
          <t>NON-NIL</t>
        </is>
      </c>
      <c r="E10849" t="n">
        <v>1813</v>
      </c>
    </row>
    <row r="10850">
      <c r="A10850" t="inlineStr">
        <is>
          <t>27BBBBB10850Z5</t>
        </is>
      </c>
      <c r="B10850" t="inlineStr">
        <is>
          <t>Jan-2018</t>
        </is>
      </c>
      <c r="C10850" s="2" t="n">
        <v>43137</v>
      </c>
      <c r="D10850" t="inlineStr">
        <is>
          <t>NIL</t>
        </is>
      </c>
      <c r="E10850" t="n">
        <v>711</v>
      </c>
    </row>
    <row r="10851">
      <c r="A10851" t="inlineStr">
        <is>
          <t>27BBBBB10851Z5</t>
        </is>
      </c>
      <c r="B10851" t="inlineStr">
        <is>
          <t>Dec-2018</t>
        </is>
      </c>
      <c r="C10851" s="2" t="n">
        <v>43612</v>
      </c>
      <c r="D10851" t="inlineStr">
        <is>
          <t>NIL</t>
        </is>
      </c>
      <c r="E10851" t="n">
        <v>1347</v>
      </c>
    </row>
    <row r="10852">
      <c r="A10852" t="inlineStr">
        <is>
          <t>27BBBBB10852Z5</t>
        </is>
      </c>
      <c r="B10852" t="inlineStr">
        <is>
          <t>Jun-2018</t>
        </is>
      </c>
      <c r="C10852" s="2" t="n">
        <v>43200</v>
      </c>
      <c r="D10852" t="inlineStr">
        <is>
          <t>NON-NIL</t>
        </is>
      </c>
      <c r="E10852" t="n">
        <v>1085</v>
      </c>
    </row>
    <row r="10853">
      <c r="A10853" t="inlineStr">
        <is>
          <t>27BBBBB10853Z5</t>
        </is>
      </c>
      <c r="B10853" t="inlineStr">
        <is>
          <t>May-2020</t>
        </is>
      </c>
      <c r="C10853" s="2" t="n">
        <v>44100</v>
      </c>
      <c r="D10853" t="inlineStr">
        <is>
          <t>NON-NIL</t>
        </is>
      </c>
      <c r="E10853" t="n">
        <v>1684</v>
      </c>
    </row>
    <row r="10854">
      <c r="A10854" t="inlineStr">
        <is>
          <t>27BBBBB10854Z5</t>
        </is>
      </c>
      <c r="B10854" t="inlineStr">
        <is>
          <t>Oct-2018</t>
        </is>
      </c>
      <c r="C10854" s="2" t="n">
        <v>43875</v>
      </c>
      <c r="D10854" t="inlineStr">
        <is>
          <t>NIL</t>
        </is>
      </c>
      <c r="E10854" t="n">
        <v>2639</v>
      </c>
    </row>
    <row r="10855">
      <c r="A10855" t="inlineStr">
        <is>
          <t>27BBBBB10855Z5</t>
        </is>
      </c>
      <c r="B10855" t="inlineStr">
        <is>
          <t>Apr-2020</t>
        </is>
      </c>
      <c r="C10855" s="2" t="n">
        <v>43922</v>
      </c>
      <c r="D10855" t="inlineStr">
        <is>
          <t>NIL</t>
        </is>
      </c>
      <c r="E10855" t="n">
        <v>794</v>
      </c>
    </row>
    <row r="10856">
      <c r="A10856" t="inlineStr">
        <is>
          <t>27BBBBB10856Z5</t>
        </is>
      </c>
      <c r="B10856" t="inlineStr">
        <is>
          <t>Jan-2018</t>
        </is>
      </c>
      <c r="C10856" s="2" t="n">
        <v>44361</v>
      </c>
      <c r="D10856" t="inlineStr">
        <is>
          <t>NON-NIL</t>
        </is>
      </c>
      <c r="E10856" t="n">
        <v>2295</v>
      </c>
    </row>
    <row r="10857">
      <c r="A10857" t="inlineStr">
        <is>
          <t>27BBBBB10857Z5</t>
        </is>
      </c>
      <c r="B10857" t="inlineStr">
        <is>
          <t>Nov-2017</t>
        </is>
      </c>
      <c r="C10857" s="2" t="n">
        <v>44047</v>
      </c>
      <c r="D10857" t="inlineStr">
        <is>
          <t>NON-NIL</t>
        </is>
      </c>
      <c r="E10857" t="n">
        <v>2172</v>
      </c>
    </row>
    <row r="10858">
      <c r="A10858" t="inlineStr">
        <is>
          <t>27BBBBB10858Z5</t>
        </is>
      </c>
      <c r="B10858" t="inlineStr">
        <is>
          <t>Jan-2021</t>
        </is>
      </c>
      <c r="C10858" s="2" t="n">
        <v>43719</v>
      </c>
      <c r="D10858" t="inlineStr">
        <is>
          <t>NON-NIL</t>
        </is>
      </c>
      <c r="E10858" t="n">
        <v>102</v>
      </c>
    </row>
    <row r="10859">
      <c r="A10859" t="inlineStr">
        <is>
          <t>27BBBBB10859Z5</t>
        </is>
      </c>
      <c r="B10859" t="inlineStr">
        <is>
          <t>Oct-2018</t>
        </is>
      </c>
      <c r="C10859" s="2" t="n">
        <v>44221</v>
      </c>
      <c r="D10859" t="inlineStr">
        <is>
          <t>NON-NIL</t>
        </is>
      </c>
      <c r="E10859" t="n">
        <v>2012</v>
      </c>
    </row>
    <row r="10860">
      <c r="A10860" t="inlineStr">
        <is>
          <t>27BBBBB10860Z5</t>
        </is>
      </c>
      <c r="B10860" t="inlineStr">
        <is>
          <t>Dec-2017</t>
        </is>
      </c>
      <c r="C10860" s="2" t="n">
        <v>43027</v>
      </c>
      <c r="D10860" t="inlineStr">
        <is>
          <t>NON-NIL</t>
        </is>
      </c>
      <c r="E10860" t="n">
        <v>544</v>
      </c>
    </row>
    <row r="10861">
      <c r="A10861" t="inlineStr">
        <is>
          <t>27BBBBB10861Z5</t>
        </is>
      </c>
      <c r="B10861" t="inlineStr">
        <is>
          <t>Mar-2020</t>
        </is>
      </c>
      <c r="C10861" s="2" t="n">
        <v>44013</v>
      </c>
      <c r="D10861" t="inlineStr">
        <is>
          <t>NON-NIL</t>
        </is>
      </c>
      <c r="E10861" t="n">
        <v>1899</v>
      </c>
    </row>
    <row r="10862">
      <c r="A10862" t="inlineStr">
        <is>
          <t>27BBBBB10862Z5</t>
        </is>
      </c>
      <c r="B10862" t="inlineStr">
        <is>
          <t>Jun-2018</t>
        </is>
      </c>
      <c r="C10862" s="2" t="n">
        <v>44229</v>
      </c>
      <c r="D10862" t="inlineStr">
        <is>
          <t>NIL</t>
        </is>
      </c>
      <c r="E10862" t="n">
        <v>2208</v>
      </c>
    </row>
    <row r="10863">
      <c r="A10863" t="inlineStr">
        <is>
          <t>27BBBBB10863Z5</t>
        </is>
      </c>
      <c r="B10863" t="inlineStr">
        <is>
          <t>Jul-2018</t>
        </is>
      </c>
      <c r="C10863" s="2" t="n">
        <v>43388</v>
      </c>
      <c r="D10863" t="inlineStr">
        <is>
          <t>NIL</t>
        </is>
      </c>
      <c r="E10863" t="n">
        <v>2037</v>
      </c>
    </row>
    <row r="10864">
      <c r="A10864" t="inlineStr">
        <is>
          <t>27BBBBB10864Z5</t>
        </is>
      </c>
      <c r="B10864" t="inlineStr">
        <is>
          <t>Sep-2018</t>
        </is>
      </c>
      <c r="C10864" s="2" t="n">
        <v>44381</v>
      </c>
      <c r="D10864" t="inlineStr">
        <is>
          <t>NON-NIL</t>
        </is>
      </c>
      <c r="E10864" t="n">
        <v>2417</v>
      </c>
    </row>
    <row r="10865">
      <c r="A10865" t="inlineStr">
        <is>
          <t>27BBBBB10865Z5</t>
        </is>
      </c>
      <c r="B10865" t="inlineStr">
        <is>
          <t>Dec-2022</t>
        </is>
      </c>
      <c r="C10865" s="2" t="n">
        <v>45769</v>
      </c>
      <c r="D10865" t="inlineStr">
        <is>
          <t>NON-NIL</t>
        </is>
      </c>
      <c r="E10865" t="n">
        <v>2957</v>
      </c>
    </row>
    <row r="10866">
      <c r="A10866" t="inlineStr">
        <is>
          <t>27BBBBB10866Z5</t>
        </is>
      </c>
      <c r="B10866" t="inlineStr">
        <is>
          <t>Jan-2018</t>
        </is>
      </c>
      <c r="C10866" s="2" t="n">
        <v>43171</v>
      </c>
      <c r="D10866" t="inlineStr">
        <is>
          <t>NIL</t>
        </is>
      </c>
      <c r="E10866" t="n">
        <v>678</v>
      </c>
    </row>
    <row r="10867">
      <c r="A10867" t="inlineStr">
        <is>
          <t>27BBBBB10867Z5</t>
        </is>
      </c>
      <c r="B10867" t="inlineStr">
        <is>
          <t>Apr-2018</t>
        </is>
      </c>
      <c r="C10867" s="2" t="n">
        <v>44212</v>
      </c>
      <c r="D10867" t="inlineStr">
        <is>
          <t>NIL</t>
        </is>
      </c>
      <c r="E10867" t="n">
        <v>2504</v>
      </c>
    </row>
    <row r="10868">
      <c r="A10868" t="inlineStr">
        <is>
          <t>27BBBBB10868Z5</t>
        </is>
      </c>
      <c r="B10868" t="inlineStr">
        <is>
          <t>Jun-2020</t>
        </is>
      </c>
      <c r="C10868" s="2" t="n">
        <v>44623</v>
      </c>
      <c r="D10868" t="inlineStr">
        <is>
          <t>NIL</t>
        </is>
      </c>
      <c r="E10868" t="n">
        <v>2672</v>
      </c>
    </row>
    <row r="10869">
      <c r="A10869" t="inlineStr">
        <is>
          <t>27BBBBB10869Z5</t>
        </is>
      </c>
      <c r="B10869" t="inlineStr">
        <is>
          <t>Mar-2018</t>
        </is>
      </c>
      <c r="C10869" s="2" t="n">
        <v>43419</v>
      </c>
      <c r="D10869" t="inlineStr">
        <is>
          <t>NON-NIL</t>
        </is>
      </c>
      <c r="E10869" t="n">
        <v>1703</v>
      </c>
    </row>
    <row r="10870">
      <c r="A10870" t="inlineStr">
        <is>
          <t>27BBBBB10870Z5</t>
        </is>
      </c>
      <c r="B10870" t="inlineStr">
        <is>
          <t>Nov-2018</t>
        </is>
      </c>
      <c r="C10870" s="2" t="n">
        <v>44139</v>
      </c>
      <c r="D10870" t="inlineStr">
        <is>
          <t>NON-NIL</t>
        </is>
      </c>
      <c r="E10870" t="n">
        <v>2021</v>
      </c>
    </row>
    <row r="10871">
      <c r="A10871" t="inlineStr">
        <is>
          <t>27BBBBB10871Z5</t>
        </is>
      </c>
      <c r="B10871" t="inlineStr">
        <is>
          <t>Jul-2017</t>
        </is>
      </c>
      <c r="C10871" s="2" t="n">
        <v>43498</v>
      </c>
      <c r="D10871" t="inlineStr">
        <is>
          <t>NIL</t>
        </is>
      </c>
      <c r="E10871" t="n">
        <v>431</v>
      </c>
    </row>
    <row r="10872">
      <c r="A10872" t="inlineStr">
        <is>
          <t>27BBBBB10872Z5</t>
        </is>
      </c>
      <c r="B10872" t="inlineStr">
        <is>
          <t>Nov-2018</t>
        </is>
      </c>
      <c r="C10872" s="2" t="n">
        <v>43670</v>
      </c>
      <c r="D10872" t="inlineStr">
        <is>
          <t>NIL</t>
        </is>
      </c>
      <c r="E10872" t="n">
        <v>1337</v>
      </c>
    </row>
    <row r="10873">
      <c r="A10873" t="inlineStr">
        <is>
          <t>27BBBBB10873Z5</t>
        </is>
      </c>
      <c r="B10873" t="inlineStr">
        <is>
          <t>Aug-2018</t>
        </is>
      </c>
      <c r="C10873" s="2" t="n">
        <v>43429</v>
      </c>
      <c r="D10873" t="inlineStr">
        <is>
          <t>NIL</t>
        </is>
      </c>
      <c r="E10873" t="n">
        <v>935</v>
      </c>
    </row>
    <row r="10874">
      <c r="A10874" t="inlineStr">
        <is>
          <t>27BBBBB10874Z5</t>
        </is>
      </c>
      <c r="B10874" t="inlineStr">
        <is>
          <t>Sep-2017</t>
        </is>
      </c>
      <c r="C10874" s="2" t="n">
        <v>43723</v>
      </c>
      <c r="D10874" t="inlineStr">
        <is>
          <t>NON-NIL</t>
        </is>
      </c>
      <c r="E10874" t="n">
        <v>724</v>
      </c>
    </row>
    <row r="10875">
      <c r="A10875" t="inlineStr">
        <is>
          <t>27BBBBB10875Z5</t>
        </is>
      </c>
      <c r="B10875" t="inlineStr">
        <is>
          <t>Jul-2020</t>
        </is>
      </c>
      <c r="C10875" s="2" t="n">
        <v>44081</v>
      </c>
      <c r="D10875" t="inlineStr">
        <is>
          <t>NON-NIL</t>
        </is>
      </c>
      <c r="E10875" t="n">
        <v>993</v>
      </c>
    </row>
    <row r="10876">
      <c r="A10876" t="inlineStr">
        <is>
          <t>27BBBBB10876Z5</t>
        </is>
      </c>
      <c r="B10876" t="inlineStr">
        <is>
          <t>Mar-2021</t>
        </is>
      </c>
      <c r="C10876" s="2" t="n">
        <v>44719</v>
      </c>
      <c r="D10876" t="inlineStr">
        <is>
          <t>NON-NIL</t>
        </is>
      </c>
      <c r="E10876" t="n">
        <v>2794</v>
      </c>
    </row>
    <row r="10877">
      <c r="A10877" t="inlineStr">
        <is>
          <t>27BBBBB10877Z5</t>
        </is>
      </c>
      <c r="B10877" t="inlineStr">
        <is>
          <t>Jan-2021</t>
        </is>
      </c>
      <c r="C10877" s="2" t="n">
        <v>43789</v>
      </c>
      <c r="D10877" t="inlineStr">
        <is>
          <t>NIL</t>
        </is>
      </c>
      <c r="E10877" t="n">
        <v>2770</v>
      </c>
    </row>
    <row r="10878">
      <c r="A10878" t="inlineStr">
        <is>
          <t>27BBBBB10878Z5</t>
        </is>
      </c>
      <c r="B10878" t="inlineStr">
        <is>
          <t>Jun-2020</t>
        </is>
      </c>
      <c r="C10878" s="2" t="n">
        <v>44746</v>
      </c>
      <c r="D10878" t="inlineStr">
        <is>
          <t>NON-NIL</t>
        </is>
      </c>
      <c r="E10878" t="n">
        <v>2808</v>
      </c>
    </row>
    <row r="10879">
      <c r="A10879" t="inlineStr">
        <is>
          <t>27BBBBB10879Z5</t>
        </is>
      </c>
      <c r="B10879" t="inlineStr">
        <is>
          <t>Mar-2020</t>
        </is>
      </c>
      <c r="C10879" s="2" t="n">
        <v>44898</v>
      </c>
      <c r="D10879" t="inlineStr">
        <is>
          <t>NON-NIL</t>
        </is>
      </c>
      <c r="E10879" t="n">
        <v>98</v>
      </c>
    </row>
    <row r="10880">
      <c r="A10880" t="inlineStr">
        <is>
          <t>27BBBBB10880Z5</t>
        </is>
      </c>
      <c r="B10880" t="inlineStr">
        <is>
          <t>Sep-2018</t>
        </is>
      </c>
      <c r="C10880" s="2" t="n">
        <v>44016</v>
      </c>
      <c r="D10880" t="inlineStr">
        <is>
          <t>NON-NIL</t>
        </is>
      </c>
      <c r="E10880" t="n">
        <v>969</v>
      </c>
    </row>
    <row r="10881">
      <c r="A10881" t="inlineStr">
        <is>
          <t>27BBBBB10881Z5</t>
        </is>
      </c>
      <c r="B10881" t="inlineStr">
        <is>
          <t>Dec-2018</t>
        </is>
      </c>
      <c r="C10881" s="2" t="n">
        <v>43091</v>
      </c>
      <c r="D10881" t="inlineStr">
        <is>
          <t>NIL</t>
        </is>
      </c>
      <c r="E10881" t="n">
        <v>1160</v>
      </c>
    </row>
    <row r="10882">
      <c r="A10882" t="inlineStr">
        <is>
          <t>27BBBBB10882Z5</t>
        </is>
      </c>
      <c r="B10882" t="inlineStr">
        <is>
          <t>Aug-2017</t>
        </is>
      </c>
      <c r="C10882" s="2" t="n">
        <v>43573</v>
      </c>
      <c r="D10882" t="inlineStr">
        <is>
          <t>NON-NIL</t>
        </is>
      </c>
      <c r="E10882" t="n">
        <v>2921</v>
      </c>
    </row>
    <row r="10883">
      <c r="A10883" t="inlineStr">
        <is>
          <t>27BBBBB10883Z5</t>
        </is>
      </c>
      <c r="B10883" t="inlineStr">
        <is>
          <t>Mar-2021</t>
        </is>
      </c>
      <c r="C10883" s="2" t="n">
        <v>44093</v>
      </c>
      <c r="D10883" t="inlineStr">
        <is>
          <t>NON-NIL</t>
        </is>
      </c>
      <c r="E10883" t="n">
        <v>2257</v>
      </c>
    </row>
    <row r="10884">
      <c r="A10884" t="inlineStr">
        <is>
          <t>27BBBBB10884Z5</t>
        </is>
      </c>
      <c r="B10884" t="inlineStr">
        <is>
          <t>Nov-2017</t>
        </is>
      </c>
      <c r="C10884" s="2" t="n">
        <v>44331</v>
      </c>
      <c r="D10884" t="inlineStr">
        <is>
          <t>NON-NIL</t>
        </is>
      </c>
      <c r="E10884" t="n">
        <v>2083</v>
      </c>
    </row>
    <row r="10885">
      <c r="A10885" t="inlineStr">
        <is>
          <t>27BBBBB10885Z5</t>
        </is>
      </c>
      <c r="B10885" t="inlineStr">
        <is>
          <t>Feb-2018</t>
        </is>
      </c>
      <c r="C10885" s="2" t="n">
        <v>43884</v>
      </c>
      <c r="D10885" t="inlineStr">
        <is>
          <t>NON-NIL</t>
        </is>
      </c>
      <c r="E10885" t="n">
        <v>357</v>
      </c>
    </row>
    <row r="10886">
      <c r="A10886" t="inlineStr">
        <is>
          <t>27BBBBB10886Z5</t>
        </is>
      </c>
      <c r="B10886" t="inlineStr">
        <is>
          <t>Jul-2018</t>
        </is>
      </c>
      <c r="C10886" s="2" t="n">
        <v>43023</v>
      </c>
      <c r="D10886" t="inlineStr">
        <is>
          <t>NON-NIL</t>
        </is>
      </c>
      <c r="E10886" t="n">
        <v>2893</v>
      </c>
    </row>
    <row r="10887">
      <c r="A10887" t="inlineStr">
        <is>
          <t>27BBBBB10887Z5</t>
        </is>
      </c>
      <c r="B10887" t="inlineStr">
        <is>
          <t>Sep-2017</t>
        </is>
      </c>
      <c r="C10887" s="2" t="n">
        <v>44234</v>
      </c>
      <c r="D10887" t="inlineStr">
        <is>
          <t>NON-NIL</t>
        </is>
      </c>
      <c r="E10887" t="n">
        <v>189</v>
      </c>
    </row>
    <row r="10888">
      <c r="A10888" t="inlineStr">
        <is>
          <t>27BBBBB10888Z5</t>
        </is>
      </c>
      <c r="B10888" t="inlineStr">
        <is>
          <t>Dec-2024</t>
        </is>
      </c>
      <c r="C10888" s="2" t="n">
        <v>44335</v>
      </c>
      <c r="D10888" t="inlineStr">
        <is>
          <t>NON-NIL</t>
        </is>
      </c>
      <c r="E10888" t="n">
        <v>335</v>
      </c>
    </row>
    <row r="10889">
      <c r="A10889" t="inlineStr">
        <is>
          <t>27BBBBB10889Z5</t>
        </is>
      </c>
      <c r="B10889" t="inlineStr">
        <is>
          <t>Mar-2020</t>
        </is>
      </c>
      <c r="C10889" s="2" t="n">
        <v>44548</v>
      </c>
      <c r="D10889" t="inlineStr">
        <is>
          <t>NON-NIL</t>
        </is>
      </c>
      <c r="E10889" t="n">
        <v>908</v>
      </c>
    </row>
    <row r="10890">
      <c r="A10890" t="inlineStr">
        <is>
          <t>27BBBBB10890Z5</t>
        </is>
      </c>
      <c r="B10890" t="inlineStr">
        <is>
          <t>Aug-2017</t>
        </is>
      </c>
      <c r="C10890" s="2" t="n">
        <v>42918</v>
      </c>
      <c r="D10890" t="inlineStr">
        <is>
          <t>NON-NIL</t>
        </is>
      </c>
      <c r="E10890" t="n">
        <v>1198</v>
      </c>
    </row>
    <row r="10891">
      <c r="A10891" t="inlineStr">
        <is>
          <t>27BBBBB10891Z5</t>
        </is>
      </c>
      <c r="B10891" t="inlineStr">
        <is>
          <t>Aug-2018</t>
        </is>
      </c>
      <c r="C10891" s="2" t="n">
        <v>44535</v>
      </c>
      <c r="D10891" t="inlineStr">
        <is>
          <t>NON-NIL</t>
        </is>
      </c>
      <c r="E10891" t="n">
        <v>543</v>
      </c>
    </row>
    <row r="10892">
      <c r="A10892" t="inlineStr">
        <is>
          <t>27BBBBB10892Z5</t>
        </is>
      </c>
      <c r="B10892" t="inlineStr">
        <is>
          <t>Mar-2018</t>
        </is>
      </c>
      <c r="C10892" s="2" t="n">
        <v>43982</v>
      </c>
      <c r="D10892" t="inlineStr">
        <is>
          <t>NIL</t>
        </is>
      </c>
      <c r="E10892" t="n">
        <v>1225</v>
      </c>
    </row>
    <row r="10893">
      <c r="A10893" t="inlineStr">
        <is>
          <t>27BBBBB10893Z5</t>
        </is>
      </c>
      <c r="B10893" t="inlineStr">
        <is>
          <t>Dec-2018</t>
        </is>
      </c>
      <c r="C10893" s="2" t="n">
        <v>43310</v>
      </c>
      <c r="D10893" t="inlineStr">
        <is>
          <t>NIL</t>
        </is>
      </c>
      <c r="E10893" t="n">
        <v>331</v>
      </c>
    </row>
    <row r="10894">
      <c r="A10894" t="inlineStr">
        <is>
          <t>27BBBBB10894Z5</t>
        </is>
      </c>
      <c r="B10894" t="inlineStr">
        <is>
          <t>Apr-2018</t>
        </is>
      </c>
      <c r="C10894" s="2" t="n">
        <v>43676</v>
      </c>
      <c r="D10894" t="inlineStr">
        <is>
          <t>NIL</t>
        </is>
      </c>
      <c r="E10894" t="n">
        <v>1641</v>
      </c>
    </row>
    <row r="10895">
      <c r="A10895" t="inlineStr">
        <is>
          <t>27BBBBB10895Z5</t>
        </is>
      </c>
      <c r="B10895" t="inlineStr">
        <is>
          <t>Apr-2018</t>
        </is>
      </c>
      <c r="C10895" s="2" t="n">
        <v>43562</v>
      </c>
      <c r="D10895" t="inlineStr">
        <is>
          <t>NIL</t>
        </is>
      </c>
      <c r="E10895" t="n">
        <v>872</v>
      </c>
    </row>
    <row r="10896">
      <c r="A10896" t="inlineStr">
        <is>
          <t>27BBBBB10896Z5</t>
        </is>
      </c>
      <c r="B10896" t="inlineStr">
        <is>
          <t>Apr-2018</t>
        </is>
      </c>
      <c r="C10896" s="2" t="n">
        <v>44359</v>
      </c>
      <c r="D10896" t="inlineStr">
        <is>
          <t>NON-NIL</t>
        </is>
      </c>
      <c r="E10896" t="n">
        <v>1669</v>
      </c>
    </row>
    <row r="10897">
      <c r="A10897" t="inlineStr">
        <is>
          <t>27BBBBB10897Z5</t>
        </is>
      </c>
      <c r="B10897" t="inlineStr">
        <is>
          <t>Mar-2020</t>
        </is>
      </c>
      <c r="C10897" s="2" t="n">
        <v>44142</v>
      </c>
      <c r="D10897" t="inlineStr">
        <is>
          <t>NON-NIL</t>
        </is>
      </c>
      <c r="E10897" t="n">
        <v>52</v>
      </c>
    </row>
    <row r="10898">
      <c r="A10898" t="inlineStr">
        <is>
          <t>27BBBBB10898Z5</t>
        </is>
      </c>
      <c r="B10898" t="inlineStr">
        <is>
          <t>Oct-2017</t>
        </is>
      </c>
      <c r="C10898" s="2" t="n">
        <v>43378</v>
      </c>
      <c r="D10898" t="inlineStr">
        <is>
          <t>NON-NIL</t>
        </is>
      </c>
      <c r="E10898" t="n">
        <v>2457</v>
      </c>
    </row>
    <row r="10899">
      <c r="A10899" t="inlineStr">
        <is>
          <t>27BBBBB10899Z5</t>
        </is>
      </c>
      <c r="B10899" t="inlineStr">
        <is>
          <t>Mar-2023</t>
        </is>
      </c>
      <c r="C10899" s="2" t="n">
        <v>45757</v>
      </c>
      <c r="D10899" t="inlineStr">
        <is>
          <t>NON-NIL</t>
        </is>
      </c>
      <c r="E10899" t="n">
        <v>1076</v>
      </c>
    </row>
    <row r="10900">
      <c r="A10900" t="inlineStr">
        <is>
          <t>27BBBBB10900Z5</t>
        </is>
      </c>
      <c r="B10900" t="inlineStr">
        <is>
          <t>Aug-2018</t>
        </is>
      </c>
      <c r="C10900" s="2" t="n">
        <v>43997</v>
      </c>
      <c r="D10900" t="inlineStr">
        <is>
          <t>NON-NIL</t>
        </is>
      </c>
      <c r="E10900" t="n">
        <v>2133</v>
      </c>
    </row>
    <row r="10901">
      <c r="A10901" t="inlineStr">
        <is>
          <t>27BBBBB10901Z5</t>
        </is>
      </c>
      <c r="B10901" t="inlineStr">
        <is>
          <t>Dec-2022</t>
        </is>
      </c>
      <c r="C10901" s="2" t="n">
        <v>43518</v>
      </c>
      <c r="D10901" t="inlineStr">
        <is>
          <t>NON-NIL</t>
        </is>
      </c>
      <c r="E10901" t="n">
        <v>2722</v>
      </c>
    </row>
    <row r="10902">
      <c r="A10902" t="inlineStr">
        <is>
          <t>27BBBBB10902Z5</t>
        </is>
      </c>
      <c r="B10902" t="inlineStr">
        <is>
          <t>Nov-2017</t>
        </is>
      </c>
      <c r="C10902" s="2" t="n">
        <v>43232</v>
      </c>
      <c r="D10902" t="inlineStr">
        <is>
          <t>NIL</t>
        </is>
      </c>
      <c r="E10902" t="n">
        <v>1234</v>
      </c>
    </row>
    <row r="10903">
      <c r="A10903" t="inlineStr">
        <is>
          <t>27BBBBB10903Z5</t>
        </is>
      </c>
      <c r="B10903" t="inlineStr">
        <is>
          <t>Nov-2018</t>
        </is>
      </c>
      <c r="C10903" s="2" t="n">
        <v>43901</v>
      </c>
      <c r="D10903" t="inlineStr">
        <is>
          <t>NON-NIL</t>
        </is>
      </c>
      <c r="E10903" t="n">
        <v>2605</v>
      </c>
    </row>
    <row r="10904">
      <c r="A10904" t="inlineStr">
        <is>
          <t>27BBBBB10904Z5</t>
        </is>
      </c>
      <c r="B10904" t="inlineStr">
        <is>
          <t>Dec-2022</t>
        </is>
      </c>
      <c r="C10904" s="2" t="n">
        <v>44242</v>
      </c>
      <c r="D10904" t="inlineStr">
        <is>
          <t>NIL</t>
        </is>
      </c>
      <c r="E10904" t="n">
        <v>917</v>
      </c>
    </row>
    <row r="10905">
      <c r="A10905" t="inlineStr">
        <is>
          <t>27BBBBB10905Z5</t>
        </is>
      </c>
      <c r="B10905" t="inlineStr">
        <is>
          <t>Aug-2018</t>
        </is>
      </c>
      <c r="C10905" s="2" t="n">
        <v>43255</v>
      </c>
      <c r="D10905" t="inlineStr">
        <is>
          <t>NIL</t>
        </is>
      </c>
      <c r="E10905" t="n">
        <v>1283</v>
      </c>
    </row>
    <row r="10906">
      <c r="A10906" t="inlineStr">
        <is>
          <t>27BBBBB10906Z5</t>
        </is>
      </c>
      <c r="B10906" t="inlineStr">
        <is>
          <t>Apr-2020</t>
        </is>
      </c>
      <c r="C10906" s="2" t="n">
        <v>44508</v>
      </c>
      <c r="D10906" t="inlineStr">
        <is>
          <t>NON-NIL</t>
        </is>
      </c>
      <c r="E10906" t="n">
        <v>344</v>
      </c>
    </row>
    <row r="10907">
      <c r="A10907" t="inlineStr">
        <is>
          <t>27BBBBB10907Z5</t>
        </is>
      </c>
      <c r="B10907" t="inlineStr">
        <is>
          <t>Oct-2017</t>
        </is>
      </c>
      <c r="C10907" s="2" t="n">
        <v>44476</v>
      </c>
      <c r="D10907" t="inlineStr">
        <is>
          <t>NON-NIL</t>
        </is>
      </c>
      <c r="E10907" t="n">
        <v>2897</v>
      </c>
    </row>
    <row r="10908">
      <c r="A10908" t="inlineStr">
        <is>
          <t>27BBBBB10908Z5</t>
        </is>
      </c>
      <c r="B10908" t="inlineStr">
        <is>
          <t>Mar-2023</t>
        </is>
      </c>
      <c r="C10908" s="2" t="n">
        <v>43597</v>
      </c>
      <c r="D10908" t="inlineStr">
        <is>
          <t>NON-NIL</t>
        </is>
      </c>
      <c r="E10908" t="n">
        <v>2138</v>
      </c>
    </row>
    <row r="10909">
      <c r="A10909" t="inlineStr">
        <is>
          <t>27BBBBB10909Z5</t>
        </is>
      </c>
      <c r="B10909" t="inlineStr">
        <is>
          <t>Jan-2021</t>
        </is>
      </c>
      <c r="C10909" s="2" t="n">
        <v>44583</v>
      </c>
      <c r="D10909" t="inlineStr">
        <is>
          <t>NIL</t>
        </is>
      </c>
      <c r="E10909" t="n">
        <v>56</v>
      </c>
    </row>
    <row r="10910">
      <c r="A10910" t="inlineStr">
        <is>
          <t>27BBBBB10910Z5</t>
        </is>
      </c>
      <c r="B10910" t="inlineStr">
        <is>
          <t>Mar-2021</t>
        </is>
      </c>
      <c r="C10910" s="2" t="n">
        <v>43485</v>
      </c>
      <c r="D10910" t="inlineStr">
        <is>
          <t>NON-NIL</t>
        </is>
      </c>
      <c r="E10910" t="n">
        <v>1941</v>
      </c>
    </row>
    <row r="10911">
      <c r="A10911" t="inlineStr">
        <is>
          <t>27BBBBB10911Z5</t>
        </is>
      </c>
      <c r="B10911" t="inlineStr">
        <is>
          <t>Apr-2020</t>
        </is>
      </c>
      <c r="C10911" s="2" t="n">
        <v>44414</v>
      </c>
      <c r="D10911" t="inlineStr">
        <is>
          <t>NON-NIL</t>
        </is>
      </c>
      <c r="E10911" t="n">
        <v>2856</v>
      </c>
    </row>
    <row r="10912">
      <c r="A10912" t="inlineStr">
        <is>
          <t>27BBBBB10912Z5</t>
        </is>
      </c>
      <c r="B10912" t="inlineStr">
        <is>
          <t>Mar-2023</t>
        </is>
      </c>
      <c r="C10912" s="2" t="n">
        <v>43857</v>
      </c>
      <c r="D10912" t="inlineStr">
        <is>
          <t>NIL</t>
        </is>
      </c>
      <c r="E10912" t="n">
        <v>617</v>
      </c>
    </row>
    <row r="10913">
      <c r="A10913" t="inlineStr">
        <is>
          <t>27BBBBB10913Z5</t>
        </is>
      </c>
      <c r="B10913" t="inlineStr">
        <is>
          <t>Aug-2017</t>
        </is>
      </c>
      <c r="C10913" s="2" t="n">
        <v>44276</v>
      </c>
      <c r="D10913" t="inlineStr">
        <is>
          <t>NIL</t>
        </is>
      </c>
      <c r="E10913" t="n">
        <v>274</v>
      </c>
    </row>
    <row r="10914">
      <c r="A10914" t="inlineStr">
        <is>
          <t>27BBBBB10914Z5</t>
        </is>
      </c>
      <c r="B10914" t="inlineStr">
        <is>
          <t>Mar-2021</t>
        </is>
      </c>
      <c r="C10914" s="2" t="n">
        <v>43907</v>
      </c>
      <c r="D10914" t="inlineStr">
        <is>
          <t>NON-NIL</t>
        </is>
      </c>
      <c r="E10914" t="n">
        <v>2811</v>
      </c>
    </row>
    <row r="10915">
      <c r="A10915" t="inlineStr">
        <is>
          <t>27BBBBB10915Z5</t>
        </is>
      </c>
      <c r="B10915" t="inlineStr">
        <is>
          <t>Jan-2021</t>
        </is>
      </c>
      <c r="C10915" s="2" t="n">
        <v>44065</v>
      </c>
      <c r="D10915" t="inlineStr">
        <is>
          <t>NIL</t>
        </is>
      </c>
      <c r="E10915" t="n">
        <v>2830</v>
      </c>
    </row>
    <row r="10916">
      <c r="A10916" t="inlineStr">
        <is>
          <t>27BBBBB10916Z5</t>
        </is>
      </c>
      <c r="B10916" t="inlineStr">
        <is>
          <t>Aug-2017</t>
        </is>
      </c>
      <c r="C10916" s="2" t="n">
        <v>44423</v>
      </c>
      <c r="D10916" t="inlineStr">
        <is>
          <t>NON-NIL</t>
        </is>
      </c>
      <c r="E10916" t="n">
        <v>1520</v>
      </c>
    </row>
    <row r="10917">
      <c r="A10917" t="inlineStr">
        <is>
          <t>27BBBBB10917Z5</t>
        </is>
      </c>
      <c r="B10917" t="inlineStr">
        <is>
          <t>Jan-2021</t>
        </is>
      </c>
      <c r="C10917" s="2" t="n">
        <v>45068</v>
      </c>
      <c r="D10917" t="inlineStr">
        <is>
          <t>NON-NIL</t>
        </is>
      </c>
      <c r="E10917" t="n">
        <v>474</v>
      </c>
    </row>
    <row r="10918">
      <c r="A10918" t="inlineStr">
        <is>
          <t>27BBBBB10918Z5</t>
        </is>
      </c>
      <c r="B10918" t="inlineStr">
        <is>
          <t>Dec-2024</t>
        </is>
      </c>
      <c r="C10918" s="2" t="n">
        <v>43487</v>
      </c>
      <c r="D10918" t="inlineStr">
        <is>
          <t>NIL</t>
        </is>
      </c>
      <c r="E10918" t="n">
        <v>2383</v>
      </c>
    </row>
    <row r="10919">
      <c r="A10919" t="inlineStr">
        <is>
          <t>27BBBBB10919Z5</t>
        </is>
      </c>
      <c r="B10919" t="inlineStr">
        <is>
          <t>May-2020</t>
        </is>
      </c>
      <c r="C10919" s="2" t="n">
        <v>44763</v>
      </c>
      <c r="D10919" t="inlineStr">
        <is>
          <t>NIL</t>
        </is>
      </c>
      <c r="E10919" t="n">
        <v>2515</v>
      </c>
    </row>
    <row r="10920">
      <c r="A10920" t="inlineStr">
        <is>
          <t>27BBBBB10920Z5</t>
        </is>
      </c>
      <c r="B10920" t="inlineStr">
        <is>
          <t>Oct-2018</t>
        </is>
      </c>
      <c r="C10920" s="2" t="n">
        <v>44442</v>
      </c>
      <c r="D10920" t="inlineStr">
        <is>
          <t>NIL</t>
        </is>
      </c>
      <c r="E10920" t="n">
        <v>1224</v>
      </c>
    </row>
    <row r="10921">
      <c r="A10921" t="inlineStr">
        <is>
          <t>27BBBBB10921Z5</t>
        </is>
      </c>
      <c r="B10921" t="inlineStr">
        <is>
          <t>Apr-2020</t>
        </is>
      </c>
      <c r="C10921" s="2" t="n">
        <v>44120</v>
      </c>
      <c r="D10921" t="inlineStr">
        <is>
          <t>NIL</t>
        </is>
      </c>
      <c r="E10921" t="n">
        <v>386</v>
      </c>
    </row>
    <row r="10922">
      <c r="A10922" t="inlineStr">
        <is>
          <t>27BBBBB10922Z5</t>
        </is>
      </c>
      <c r="B10922" t="inlineStr">
        <is>
          <t>Jul-2017</t>
        </is>
      </c>
      <c r="C10922" s="2" t="n">
        <v>44527</v>
      </c>
      <c r="D10922" t="inlineStr">
        <is>
          <t>NON-NIL</t>
        </is>
      </c>
      <c r="E10922" t="n">
        <v>1690</v>
      </c>
    </row>
    <row r="10923">
      <c r="A10923" t="inlineStr">
        <is>
          <t>27BBBBB10923Z5</t>
        </is>
      </c>
      <c r="B10923" t="inlineStr">
        <is>
          <t>Sep-2017</t>
        </is>
      </c>
      <c r="C10923" s="2" t="n">
        <v>44261</v>
      </c>
      <c r="D10923" t="inlineStr">
        <is>
          <t>NIL</t>
        </is>
      </c>
      <c r="E10923" t="n">
        <v>411</v>
      </c>
    </row>
    <row r="10924">
      <c r="A10924" t="inlineStr">
        <is>
          <t>27BBBBB10924Z5</t>
        </is>
      </c>
      <c r="B10924" t="inlineStr">
        <is>
          <t>Apr-2020</t>
        </is>
      </c>
      <c r="C10924" s="2" t="n">
        <v>44815</v>
      </c>
      <c r="D10924" t="inlineStr">
        <is>
          <t>NON-NIL</t>
        </is>
      </c>
      <c r="E10924" t="n">
        <v>680</v>
      </c>
    </row>
    <row r="10925">
      <c r="A10925" t="inlineStr">
        <is>
          <t>27BBBBB10925Z5</t>
        </is>
      </c>
      <c r="B10925" t="inlineStr">
        <is>
          <t>Jun-2018</t>
        </is>
      </c>
      <c r="C10925" s="2" t="n">
        <v>43430</v>
      </c>
      <c r="D10925" t="inlineStr">
        <is>
          <t>NON-NIL</t>
        </is>
      </c>
      <c r="E10925" t="n">
        <v>2750</v>
      </c>
    </row>
    <row r="10926">
      <c r="A10926" t="inlineStr">
        <is>
          <t>27BBBBB10926Z5</t>
        </is>
      </c>
      <c r="B10926" t="inlineStr">
        <is>
          <t>Aug-2017</t>
        </is>
      </c>
      <c r="C10926" s="2" t="n">
        <v>43819</v>
      </c>
      <c r="D10926" t="inlineStr">
        <is>
          <t>NIL</t>
        </is>
      </c>
      <c r="E10926" t="n">
        <v>1491</v>
      </c>
    </row>
    <row r="10927">
      <c r="A10927" t="inlineStr">
        <is>
          <t>27BBBBB10927Z5</t>
        </is>
      </c>
      <c r="B10927" t="inlineStr">
        <is>
          <t>Apr-2020</t>
        </is>
      </c>
      <c r="C10927" s="2" t="n">
        <v>44424</v>
      </c>
      <c r="D10927" t="inlineStr">
        <is>
          <t>NON-NIL</t>
        </is>
      </c>
      <c r="E10927" t="n">
        <v>1861</v>
      </c>
    </row>
    <row r="10928">
      <c r="A10928" t="inlineStr">
        <is>
          <t>27BBBBB10928Z5</t>
        </is>
      </c>
      <c r="B10928" t="inlineStr">
        <is>
          <t>Nov-2017</t>
        </is>
      </c>
      <c r="C10928" s="2" t="n">
        <v>44280</v>
      </c>
      <c r="D10928" t="inlineStr">
        <is>
          <t>NON-NIL</t>
        </is>
      </c>
      <c r="E10928" t="n">
        <v>403</v>
      </c>
    </row>
    <row r="10929">
      <c r="A10929" t="inlineStr">
        <is>
          <t>27BBBBB10929Z5</t>
        </is>
      </c>
      <c r="B10929" t="inlineStr">
        <is>
          <t>Nov-2017</t>
        </is>
      </c>
      <c r="C10929" s="2" t="n">
        <v>44346</v>
      </c>
      <c r="D10929" t="inlineStr">
        <is>
          <t>NIL</t>
        </is>
      </c>
      <c r="E10929" t="n">
        <v>543</v>
      </c>
    </row>
    <row r="10930">
      <c r="A10930" t="inlineStr">
        <is>
          <t>27BBBBB10930Z5</t>
        </is>
      </c>
      <c r="B10930" t="inlineStr">
        <is>
          <t>Jul-2017</t>
        </is>
      </c>
      <c r="C10930" s="2" t="n">
        <v>44044</v>
      </c>
      <c r="D10930" t="inlineStr">
        <is>
          <t>NON-NIL</t>
        </is>
      </c>
      <c r="E10930" t="n">
        <v>2570</v>
      </c>
    </row>
    <row r="10931">
      <c r="A10931" t="inlineStr">
        <is>
          <t>27BBBBB10931Z5</t>
        </is>
      </c>
      <c r="B10931" t="inlineStr">
        <is>
          <t>Dec-2022</t>
        </is>
      </c>
      <c r="C10931" s="2" t="n">
        <v>44947</v>
      </c>
      <c r="D10931" t="inlineStr">
        <is>
          <t>NON-NIL</t>
        </is>
      </c>
      <c r="E10931" t="n">
        <v>22</v>
      </c>
    </row>
    <row r="10932">
      <c r="A10932" t="inlineStr">
        <is>
          <t>27BBBBB10932Z5</t>
        </is>
      </c>
      <c r="B10932" t="inlineStr">
        <is>
          <t>Mar-2020</t>
        </is>
      </c>
      <c r="C10932" s="2" t="n">
        <v>43859</v>
      </c>
      <c r="D10932" t="inlineStr">
        <is>
          <t>NON-NIL</t>
        </is>
      </c>
      <c r="E10932" t="n">
        <v>157</v>
      </c>
    </row>
    <row r="10933">
      <c r="A10933" t="inlineStr">
        <is>
          <t>27BBBBB10933Z5</t>
        </is>
      </c>
      <c r="B10933" t="inlineStr">
        <is>
          <t>Oct-2017</t>
        </is>
      </c>
      <c r="C10933" s="2" t="n">
        <v>44179</v>
      </c>
      <c r="D10933" t="inlineStr">
        <is>
          <t>NON-NIL</t>
        </is>
      </c>
      <c r="E10933" t="n">
        <v>866</v>
      </c>
    </row>
    <row r="10934">
      <c r="A10934" t="inlineStr">
        <is>
          <t>27BBBBB10934Z5</t>
        </is>
      </c>
      <c r="B10934" t="inlineStr">
        <is>
          <t>Jul-2017</t>
        </is>
      </c>
      <c r="C10934" s="2" t="n">
        <v>43669</v>
      </c>
      <c r="D10934" t="inlineStr">
        <is>
          <t>NON-NIL</t>
        </is>
      </c>
      <c r="E10934" t="n">
        <v>1823</v>
      </c>
    </row>
    <row r="10935">
      <c r="A10935" t="inlineStr">
        <is>
          <t>27BBBBB10935Z5</t>
        </is>
      </c>
      <c r="B10935" t="inlineStr">
        <is>
          <t>Sep-2017</t>
        </is>
      </c>
      <c r="C10935" s="2" t="n">
        <v>43737</v>
      </c>
      <c r="D10935" t="inlineStr">
        <is>
          <t>NIL</t>
        </is>
      </c>
      <c r="E10935" t="n">
        <v>1136</v>
      </c>
    </row>
    <row r="10936">
      <c r="A10936" t="inlineStr">
        <is>
          <t>27BBBBB10936Z5</t>
        </is>
      </c>
      <c r="B10936" t="inlineStr">
        <is>
          <t>Mar-2018</t>
        </is>
      </c>
      <c r="C10936" s="2" t="n">
        <v>43163</v>
      </c>
      <c r="D10936" t="inlineStr">
        <is>
          <t>NON-NIL</t>
        </is>
      </c>
      <c r="E10936" t="n">
        <v>438</v>
      </c>
    </row>
    <row r="10937">
      <c r="A10937" t="inlineStr">
        <is>
          <t>27BBBBB10937Z5</t>
        </is>
      </c>
      <c r="B10937" t="inlineStr">
        <is>
          <t>Dec-2024</t>
        </is>
      </c>
      <c r="C10937" s="2" t="n">
        <v>44408</v>
      </c>
      <c r="D10937" t="inlineStr">
        <is>
          <t>NON-NIL</t>
        </is>
      </c>
      <c r="E10937" t="n">
        <v>396</v>
      </c>
    </row>
    <row r="10938">
      <c r="A10938" t="inlineStr">
        <is>
          <t>27BBBBB10938Z5</t>
        </is>
      </c>
      <c r="B10938" t="inlineStr">
        <is>
          <t>Dec-2022</t>
        </is>
      </c>
      <c r="C10938" s="2" t="n">
        <v>44099</v>
      </c>
      <c r="D10938" t="inlineStr">
        <is>
          <t>NON-NIL</t>
        </is>
      </c>
      <c r="E10938" t="n">
        <v>135</v>
      </c>
    </row>
    <row r="10939">
      <c r="A10939" t="inlineStr">
        <is>
          <t>27BBBBB10939Z5</t>
        </is>
      </c>
      <c r="B10939" t="inlineStr">
        <is>
          <t>Jan-2018</t>
        </is>
      </c>
      <c r="C10939" s="2" t="n">
        <v>43788</v>
      </c>
      <c r="D10939" t="inlineStr">
        <is>
          <t>NIL</t>
        </is>
      </c>
      <c r="E10939" t="n">
        <v>505</v>
      </c>
    </row>
    <row r="10940">
      <c r="A10940" t="inlineStr">
        <is>
          <t>27BBBBB10940Z5</t>
        </is>
      </c>
      <c r="B10940" t="inlineStr">
        <is>
          <t>Dec-2017</t>
        </is>
      </c>
      <c r="C10940" s="2" t="n">
        <v>43879</v>
      </c>
      <c r="D10940" t="inlineStr">
        <is>
          <t>NIL</t>
        </is>
      </c>
      <c r="E10940" t="n">
        <v>1876</v>
      </c>
    </row>
    <row r="10941">
      <c r="A10941" t="inlineStr">
        <is>
          <t>27BBBBB10941Z5</t>
        </is>
      </c>
      <c r="B10941" t="inlineStr">
        <is>
          <t>Jul-2017</t>
        </is>
      </c>
      <c r="C10941" s="2" t="n">
        <v>44141</v>
      </c>
      <c r="D10941" t="inlineStr">
        <is>
          <t>NIL</t>
        </is>
      </c>
      <c r="E10941" t="n">
        <v>2010</v>
      </c>
    </row>
    <row r="10942">
      <c r="A10942" t="inlineStr">
        <is>
          <t>27BBBBB10942Z5</t>
        </is>
      </c>
      <c r="B10942" t="inlineStr">
        <is>
          <t>Aug-2018</t>
        </is>
      </c>
      <c r="C10942" s="2" t="n">
        <v>43009</v>
      </c>
      <c r="D10942" t="inlineStr">
        <is>
          <t>NIL</t>
        </is>
      </c>
      <c r="E10942" t="n">
        <v>2801</v>
      </c>
    </row>
    <row r="10943">
      <c r="A10943" t="inlineStr">
        <is>
          <t>27BBBBB10943Z5</t>
        </is>
      </c>
      <c r="B10943" t="inlineStr">
        <is>
          <t>Mar-2023</t>
        </is>
      </c>
      <c r="C10943" s="2" t="n">
        <v>44492</v>
      </c>
      <c r="D10943" t="inlineStr">
        <is>
          <t>NIL</t>
        </is>
      </c>
      <c r="E10943" t="n">
        <v>537</v>
      </c>
    </row>
    <row r="10944">
      <c r="A10944" t="inlineStr">
        <is>
          <t>27BBBBB10944Z5</t>
        </is>
      </c>
      <c r="B10944" t="inlineStr">
        <is>
          <t>Jul-2020</t>
        </is>
      </c>
      <c r="C10944" s="2" t="n">
        <v>44655</v>
      </c>
      <c r="D10944" t="inlineStr">
        <is>
          <t>NIL</t>
        </is>
      </c>
      <c r="E10944" t="n">
        <v>2836</v>
      </c>
    </row>
    <row r="10945">
      <c r="A10945" t="inlineStr">
        <is>
          <t>27BBBBB10945Z5</t>
        </is>
      </c>
      <c r="B10945" t="inlineStr">
        <is>
          <t>May-2018</t>
        </is>
      </c>
      <c r="C10945" s="2" t="n">
        <v>44492</v>
      </c>
      <c r="D10945" t="inlineStr">
        <is>
          <t>NON-NIL</t>
        </is>
      </c>
      <c r="E10945" t="n">
        <v>2248</v>
      </c>
    </row>
    <row r="10946">
      <c r="A10946" t="inlineStr">
        <is>
          <t>27BBBBB10946Z5</t>
        </is>
      </c>
      <c r="B10946" t="inlineStr">
        <is>
          <t>Dec-2018</t>
        </is>
      </c>
      <c r="C10946" s="2" t="n">
        <v>43858</v>
      </c>
      <c r="D10946" t="inlineStr">
        <is>
          <t>NON-NIL</t>
        </is>
      </c>
      <c r="E10946" t="n">
        <v>1396</v>
      </c>
    </row>
    <row r="10947">
      <c r="A10947" t="inlineStr">
        <is>
          <t>27BBBBB10947Z5</t>
        </is>
      </c>
      <c r="B10947" t="inlineStr">
        <is>
          <t>Dec-2017</t>
        </is>
      </c>
      <c r="C10947" s="2" t="n">
        <v>44092</v>
      </c>
      <c r="D10947" t="inlineStr">
        <is>
          <t>NIL</t>
        </is>
      </c>
      <c r="E10947" t="n">
        <v>135</v>
      </c>
    </row>
    <row r="10948">
      <c r="A10948" t="inlineStr">
        <is>
          <t>27BBBBB10948Z5</t>
        </is>
      </c>
      <c r="B10948" t="inlineStr">
        <is>
          <t>Aug-2017</t>
        </is>
      </c>
      <c r="C10948" s="2" t="n">
        <v>43739</v>
      </c>
      <c r="D10948" t="inlineStr">
        <is>
          <t>NIL</t>
        </is>
      </c>
      <c r="E10948" t="n">
        <v>2447</v>
      </c>
    </row>
    <row r="10949">
      <c r="A10949" t="inlineStr">
        <is>
          <t>27BBBBB10949Z5</t>
        </is>
      </c>
      <c r="B10949" t="inlineStr">
        <is>
          <t>Sep-2017</t>
        </is>
      </c>
      <c r="C10949" s="2" t="n">
        <v>43784</v>
      </c>
      <c r="D10949" t="inlineStr">
        <is>
          <t>NON-NIL</t>
        </is>
      </c>
      <c r="E10949" t="n">
        <v>1968</v>
      </c>
    </row>
    <row r="10950">
      <c r="A10950" t="inlineStr">
        <is>
          <t>27BBBBB10950Z5</t>
        </is>
      </c>
      <c r="B10950" t="inlineStr">
        <is>
          <t>Aug-2017</t>
        </is>
      </c>
      <c r="C10950" s="2" t="n">
        <v>44005</v>
      </c>
      <c r="D10950" t="inlineStr">
        <is>
          <t>NIL</t>
        </is>
      </c>
      <c r="E10950" t="n">
        <v>581</v>
      </c>
    </row>
    <row r="10951">
      <c r="A10951" t="inlineStr">
        <is>
          <t>27BBBBB10951Z5</t>
        </is>
      </c>
      <c r="B10951" t="inlineStr">
        <is>
          <t>Feb-2018</t>
        </is>
      </c>
      <c r="C10951" s="2" t="n">
        <v>44028</v>
      </c>
      <c r="D10951" t="inlineStr">
        <is>
          <t>NON-NIL</t>
        </is>
      </c>
      <c r="E10951" t="n">
        <v>2267</v>
      </c>
    </row>
    <row r="10952">
      <c r="A10952" t="inlineStr">
        <is>
          <t>27BBBBB10952Z5</t>
        </is>
      </c>
      <c r="B10952" t="inlineStr">
        <is>
          <t>Nov-2017</t>
        </is>
      </c>
      <c r="C10952" s="2" t="n">
        <v>43642</v>
      </c>
      <c r="D10952" t="inlineStr">
        <is>
          <t>NIL</t>
        </is>
      </c>
      <c r="E10952" t="n">
        <v>2243</v>
      </c>
    </row>
    <row r="10953">
      <c r="A10953" t="inlineStr">
        <is>
          <t>27BBBBB10953Z5</t>
        </is>
      </c>
      <c r="B10953" t="inlineStr">
        <is>
          <t>Jan-2018</t>
        </is>
      </c>
      <c r="C10953" s="2" t="n">
        <v>44307</v>
      </c>
      <c r="D10953" t="inlineStr">
        <is>
          <t>NON-NIL</t>
        </is>
      </c>
      <c r="E10953" t="n">
        <v>134</v>
      </c>
    </row>
    <row r="10954">
      <c r="A10954" t="inlineStr">
        <is>
          <t>27BBBBB10954Z5</t>
        </is>
      </c>
      <c r="B10954" t="inlineStr">
        <is>
          <t>Mar-2021</t>
        </is>
      </c>
      <c r="C10954" s="2" t="n">
        <v>43659</v>
      </c>
      <c r="D10954" t="inlineStr">
        <is>
          <t>NIL</t>
        </is>
      </c>
      <c r="E10954" t="n">
        <v>1920</v>
      </c>
    </row>
    <row r="10955">
      <c r="A10955" t="inlineStr">
        <is>
          <t>27BBBBB10955Z5</t>
        </is>
      </c>
      <c r="B10955" t="inlineStr">
        <is>
          <t>Aug-2017</t>
        </is>
      </c>
      <c r="C10955" s="2" t="n">
        <v>43551</v>
      </c>
      <c r="D10955" t="inlineStr">
        <is>
          <t>NON-NIL</t>
        </is>
      </c>
      <c r="E10955" t="n">
        <v>1642</v>
      </c>
    </row>
    <row r="10956">
      <c r="A10956" t="inlineStr">
        <is>
          <t>27BBBBB10956Z5</t>
        </is>
      </c>
      <c r="B10956" t="inlineStr">
        <is>
          <t>Apr-2018</t>
        </is>
      </c>
      <c r="C10956" s="2" t="n">
        <v>43003</v>
      </c>
      <c r="D10956" t="inlineStr">
        <is>
          <t>NIL</t>
        </is>
      </c>
      <c r="E10956" t="n">
        <v>1020</v>
      </c>
    </row>
    <row r="10957">
      <c r="A10957" t="inlineStr">
        <is>
          <t>27BBBBB10957Z5</t>
        </is>
      </c>
      <c r="B10957" t="inlineStr">
        <is>
          <t>Dec-2024</t>
        </is>
      </c>
      <c r="C10957" s="2" t="n">
        <v>45761</v>
      </c>
      <c r="D10957" t="inlineStr">
        <is>
          <t>NIL</t>
        </is>
      </c>
      <c r="E10957" t="n">
        <v>1538</v>
      </c>
    </row>
    <row r="10958">
      <c r="A10958" t="inlineStr">
        <is>
          <t>27BBBBB10958Z5</t>
        </is>
      </c>
      <c r="B10958" t="inlineStr">
        <is>
          <t>Aug-2017</t>
        </is>
      </c>
      <c r="C10958" s="2" t="n">
        <v>43686</v>
      </c>
      <c r="D10958" t="inlineStr">
        <is>
          <t>NIL</t>
        </is>
      </c>
      <c r="E10958" t="n">
        <v>788</v>
      </c>
    </row>
    <row r="10959">
      <c r="A10959" t="inlineStr">
        <is>
          <t>27BBBBB10959Z5</t>
        </is>
      </c>
      <c r="B10959" t="inlineStr">
        <is>
          <t>Nov-2017</t>
        </is>
      </c>
      <c r="C10959" s="2" t="n">
        <v>43755</v>
      </c>
      <c r="D10959" t="inlineStr">
        <is>
          <t>NIL</t>
        </is>
      </c>
      <c r="E10959" t="n">
        <v>766</v>
      </c>
    </row>
    <row r="10960">
      <c r="A10960" t="inlineStr">
        <is>
          <t>27BBBBB10960Z5</t>
        </is>
      </c>
      <c r="B10960" t="inlineStr">
        <is>
          <t>Mar-2018</t>
        </is>
      </c>
      <c r="C10960" s="2" t="n">
        <v>43451</v>
      </c>
      <c r="D10960" t="inlineStr">
        <is>
          <t>NIL</t>
        </is>
      </c>
      <c r="E10960" t="n">
        <v>916</v>
      </c>
    </row>
    <row r="10961">
      <c r="A10961" t="inlineStr">
        <is>
          <t>27BBBBB10961Z5</t>
        </is>
      </c>
      <c r="B10961" t="inlineStr">
        <is>
          <t>Sep-2018</t>
        </is>
      </c>
      <c r="C10961" s="2" t="n">
        <v>43548</v>
      </c>
      <c r="D10961" t="inlineStr">
        <is>
          <t>NON-NIL</t>
        </is>
      </c>
      <c r="E10961" t="n">
        <v>1719</v>
      </c>
    </row>
    <row r="10962">
      <c r="A10962" t="inlineStr">
        <is>
          <t>27BBBBB10962Z5</t>
        </is>
      </c>
      <c r="B10962" t="inlineStr">
        <is>
          <t>Nov-2018</t>
        </is>
      </c>
      <c r="C10962" s="2" t="n">
        <v>43971</v>
      </c>
      <c r="D10962" t="inlineStr">
        <is>
          <t>NON-NIL</t>
        </is>
      </c>
      <c r="E10962" t="n">
        <v>2072</v>
      </c>
    </row>
    <row r="10963">
      <c r="A10963" t="inlineStr">
        <is>
          <t>27BBBBB10963Z5</t>
        </is>
      </c>
      <c r="B10963" t="inlineStr">
        <is>
          <t>Dec-2017</t>
        </is>
      </c>
      <c r="C10963" s="2" t="n">
        <v>43902</v>
      </c>
      <c r="D10963" t="inlineStr">
        <is>
          <t>NIL</t>
        </is>
      </c>
      <c r="E10963" t="n">
        <v>1041</v>
      </c>
    </row>
    <row r="10964">
      <c r="A10964" t="inlineStr">
        <is>
          <t>27BBBBB10964Z5</t>
        </is>
      </c>
      <c r="B10964" t="inlineStr">
        <is>
          <t>Oct-2018</t>
        </is>
      </c>
      <c r="C10964" s="2" t="n">
        <v>43005</v>
      </c>
      <c r="D10964" t="inlineStr">
        <is>
          <t>NON-NIL</t>
        </is>
      </c>
      <c r="E10964" t="n">
        <v>570</v>
      </c>
    </row>
    <row r="10965">
      <c r="A10965" t="inlineStr">
        <is>
          <t>27BBBBB10965Z5</t>
        </is>
      </c>
      <c r="B10965" t="inlineStr">
        <is>
          <t>Dec-2024</t>
        </is>
      </c>
      <c r="C10965" s="2" t="n">
        <v>44619</v>
      </c>
      <c r="D10965" t="inlineStr">
        <is>
          <t>NON-NIL</t>
        </is>
      </c>
      <c r="E10965" t="n">
        <v>747</v>
      </c>
    </row>
    <row r="10966">
      <c r="A10966" t="inlineStr">
        <is>
          <t>27BBBBB10966Z5</t>
        </is>
      </c>
      <c r="B10966" t="inlineStr">
        <is>
          <t>May-2018</t>
        </is>
      </c>
      <c r="C10966" s="2" t="n">
        <v>44190</v>
      </c>
      <c r="D10966" t="inlineStr">
        <is>
          <t>NON-NIL</t>
        </is>
      </c>
      <c r="E10966" t="n">
        <v>2394</v>
      </c>
    </row>
    <row r="10967">
      <c r="A10967" t="inlineStr">
        <is>
          <t>27BBBBB10967Z5</t>
        </is>
      </c>
      <c r="B10967" t="inlineStr">
        <is>
          <t>Nov-2018</t>
        </is>
      </c>
      <c r="C10967" s="2" t="n">
        <v>44074</v>
      </c>
      <c r="D10967" t="inlineStr">
        <is>
          <t>NON-NIL</t>
        </is>
      </c>
      <c r="E10967" t="n">
        <v>2159</v>
      </c>
    </row>
    <row r="10968">
      <c r="A10968" t="inlineStr">
        <is>
          <t>27BBBBB10968Z5</t>
        </is>
      </c>
      <c r="B10968" t="inlineStr">
        <is>
          <t>Dec-2022</t>
        </is>
      </c>
      <c r="C10968" s="2" t="n">
        <v>45186</v>
      </c>
      <c r="D10968" t="inlineStr">
        <is>
          <t>NIL</t>
        </is>
      </c>
      <c r="E10968" t="n">
        <v>242</v>
      </c>
    </row>
    <row r="10969">
      <c r="A10969" t="inlineStr">
        <is>
          <t>27BBBBB10969Z5</t>
        </is>
      </c>
      <c r="B10969" t="inlineStr">
        <is>
          <t>May-2018</t>
        </is>
      </c>
      <c r="C10969" s="2" t="n">
        <v>44270</v>
      </c>
      <c r="D10969" t="inlineStr">
        <is>
          <t>NON-NIL</t>
        </is>
      </c>
      <c r="E10969" t="n">
        <v>127</v>
      </c>
    </row>
    <row r="10970">
      <c r="A10970" t="inlineStr">
        <is>
          <t>27BBBBB10970Z5</t>
        </is>
      </c>
      <c r="B10970" t="inlineStr">
        <is>
          <t>Jul-2018</t>
        </is>
      </c>
      <c r="C10970" s="2" t="n">
        <v>43907</v>
      </c>
      <c r="D10970" t="inlineStr">
        <is>
          <t>NIL</t>
        </is>
      </c>
      <c r="E10970" t="n">
        <v>2090</v>
      </c>
    </row>
    <row r="10971">
      <c r="A10971" t="inlineStr">
        <is>
          <t>27BBBBB10971Z5</t>
        </is>
      </c>
      <c r="B10971" t="inlineStr">
        <is>
          <t>Nov-2017</t>
        </is>
      </c>
      <c r="C10971" s="2" t="n">
        <v>43389</v>
      </c>
      <c r="D10971" t="inlineStr">
        <is>
          <t>NON-NIL</t>
        </is>
      </c>
      <c r="E10971" t="n">
        <v>32</v>
      </c>
    </row>
    <row r="10972">
      <c r="A10972" t="inlineStr">
        <is>
          <t>27BBBBB10972Z5</t>
        </is>
      </c>
      <c r="B10972" t="inlineStr">
        <is>
          <t>Nov-2018</t>
        </is>
      </c>
      <c r="C10972" s="2" t="n">
        <v>43400</v>
      </c>
      <c r="D10972" t="inlineStr">
        <is>
          <t>NON-NIL</t>
        </is>
      </c>
      <c r="E10972" t="n">
        <v>702</v>
      </c>
    </row>
    <row r="10973">
      <c r="A10973" t="inlineStr">
        <is>
          <t>27BBBBB10973Z5</t>
        </is>
      </c>
      <c r="B10973" t="inlineStr">
        <is>
          <t>Jan-2018</t>
        </is>
      </c>
      <c r="C10973" s="2" t="n">
        <v>43349</v>
      </c>
      <c r="D10973" t="inlineStr">
        <is>
          <t>NIL</t>
        </is>
      </c>
      <c r="E10973" t="n">
        <v>2434</v>
      </c>
    </row>
    <row r="10974">
      <c r="A10974" t="inlineStr">
        <is>
          <t>27BBBBB10974Z5</t>
        </is>
      </c>
      <c r="B10974" t="inlineStr">
        <is>
          <t>Apr-2020</t>
        </is>
      </c>
      <c r="C10974" s="2" t="n">
        <v>44888</v>
      </c>
      <c r="D10974" t="inlineStr">
        <is>
          <t>NON-NIL</t>
        </is>
      </c>
      <c r="E10974" t="n">
        <v>566</v>
      </c>
    </row>
    <row r="10975">
      <c r="A10975" t="inlineStr">
        <is>
          <t>27BBBBB10975Z5</t>
        </is>
      </c>
      <c r="B10975" t="inlineStr">
        <is>
          <t>May-2020</t>
        </is>
      </c>
      <c r="C10975" s="2" t="n">
        <v>44814</v>
      </c>
      <c r="D10975" t="inlineStr">
        <is>
          <t>NON-NIL</t>
        </is>
      </c>
      <c r="E10975" t="n">
        <v>2922</v>
      </c>
    </row>
    <row r="10976">
      <c r="A10976" t="inlineStr">
        <is>
          <t>27BBBBB10976Z5</t>
        </is>
      </c>
      <c r="B10976" t="inlineStr">
        <is>
          <t>Jul-2017</t>
        </is>
      </c>
      <c r="C10976" s="2" t="n">
        <v>43199</v>
      </c>
      <c r="D10976" t="inlineStr">
        <is>
          <t>NON-NIL</t>
        </is>
      </c>
      <c r="E10976" t="n">
        <v>1043</v>
      </c>
    </row>
    <row r="10977">
      <c r="A10977" t="inlineStr">
        <is>
          <t>27BBBBB10977Z5</t>
        </is>
      </c>
      <c r="B10977" t="inlineStr">
        <is>
          <t>Dec-2018</t>
        </is>
      </c>
      <c r="C10977" s="2" t="n">
        <v>44489</v>
      </c>
      <c r="D10977" t="inlineStr">
        <is>
          <t>NIL</t>
        </is>
      </c>
      <c r="E10977" t="n">
        <v>2207</v>
      </c>
    </row>
    <row r="10978">
      <c r="A10978" t="inlineStr">
        <is>
          <t>27BBBBB10978Z5</t>
        </is>
      </c>
      <c r="B10978" t="inlineStr">
        <is>
          <t>Jul-2020</t>
        </is>
      </c>
      <c r="C10978" s="2" t="n">
        <v>44212</v>
      </c>
      <c r="D10978" t="inlineStr">
        <is>
          <t>NIL</t>
        </is>
      </c>
      <c r="E10978" t="n">
        <v>427</v>
      </c>
    </row>
    <row r="10979">
      <c r="A10979" t="inlineStr">
        <is>
          <t>27BBBBB10979Z5</t>
        </is>
      </c>
      <c r="B10979" t="inlineStr">
        <is>
          <t>Dec-2022</t>
        </is>
      </c>
      <c r="C10979" s="2" t="n">
        <v>44248</v>
      </c>
      <c r="D10979" t="inlineStr">
        <is>
          <t>NIL</t>
        </is>
      </c>
      <c r="E10979" t="n">
        <v>2764</v>
      </c>
    </row>
    <row r="10980">
      <c r="A10980" t="inlineStr">
        <is>
          <t>27BBBBB10980Z5</t>
        </is>
      </c>
      <c r="B10980" t="inlineStr">
        <is>
          <t>Dec-2022</t>
        </is>
      </c>
      <c r="C10980" s="2" t="n">
        <v>45345</v>
      </c>
      <c r="D10980" t="inlineStr">
        <is>
          <t>NIL</t>
        </is>
      </c>
      <c r="E10980" t="n">
        <v>563</v>
      </c>
    </row>
    <row r="10981">
      <c r="A10981" t="inlineStr">
        <is>
          <t>27BBBBB10981Z5</t>
        </is>
      </c>
      <c r="B10981" t="inlineStr">
        <is>
          <t>Feb-2018</t>
        </is>
      </c>
      <c r="C10981" s="2" t="n">
        <v>43044</v>
      </c>
      <c r="D10981" t="inlineStr">
        <is>
          <t>NON-NIL</t>
        </is>
      </c>
      <c r="E10981" t="n">
        <v>2580</v>
      </c>
    </row>
    <row r="10982">
      <c r="A10982" t="inlineStr">
        <is>
          <t>27BBBBB10982Z5</t>
        </is>
      </c>
      <c r="B10982" t="inlineStr">
        <is>
          <t>Jun-2018</t>
        </is>
      </c>
      <c r="C10982" s="2" t="n">
        <v>44382</v>
      </c>
      <c r="D10982" t="inlineStr">
        <is>
          <t>NON-NIL</t>
        </is>
      </c>
      <c r="E10982" t="n">
        <v>788</v>
      </c>
    </row>
    <row r="10983">
      <c r="A10983" t="inlineStr">
        <is>
          <t>27BBBBB10983Z5</t>
        </is>
      </c>
      <c r="B10983" t="inlineStr">
        <is>
          <t>Jan-2018</t>
        </is>
      </c>
      <c r="C10983" s="2" t="n">
        <v>43639</v>
      </c>
      <c r="D10983" t="inlineStr">
        <is>
          <t>NIL</t>
        </is>
      </c>
      <c r="E10983" t="n">
        <v>1837</v>
      </c>
    </row>
    <row r="10984">
      <c r="A10984" t="inlineStr">
        <is>
          <t>27BBBBB10984Z5</t>
        </is>
      </c>
      <c r="B10984" t="inlineStr">
        <is>
          <t>Dec-2024</t>
        </is>
      </c>
      <c r="C10984" s="2" t="n">
        <v>44692</v>
      </c>
      <c r="D10984" t="inlineStr">
        <is>
          <t>NON-NIL</t>
        </is>
      </c>
      <c r="E10984" t="n">
        <v>2849</v>
      </c>
    </row>
    <row r="10985">
      <c r="A10985" t="inlineStr">
        <is>
          <t>27BBBBB10985Z5</t>
        </is>
      </c>
      <c r="B10985" t="inlineStr">
        <is>
          <t>Apr-2018</t>
        </is>
      </c>
      <c r="C10985" s="2" t="n">
        <v>43714</v>
      </c>
      <c r="D10985" t="inlineStr">
        <is>
          <t>NON-NIL</t>
        </is>
      </c>
      <c r="E10985" t="n">
        <v>2576</v>
      </c>
    </row>
    <row r="10986">
      <c r="A10986" t="inlineStr">
        <is>
          <t>27BBBBB10986Z5</t>
        </is>
      </c>
      <c r="B10986" t="inlineStr">
        <is>
          <t>Aug-2018</t>
        </is>
      </c>
      <c r="C10986" s="2" t="n">
        <v>43922</v>
      </c>
      <c r="D10986" t="inlineStr">
        <is>
          <t>NIL</t>
        </is>
      </c>
      <c r="E10986" t="n">
        <v>2470</v>
      </c>
    </row>
    <row r="10987">
      <c r="A10987" t="inlineStr">
        <is>
          <t>27BBBBB10987Z5</t>
        </is>
      </c>
      <c r="B10987" t="inlineStr">
        <is>
          <t>Apr-2018</t>
        </is>
      </c>
      <c r="C10987" s="2" t="n">
        <v>43849</v>
      </c>
      <c r="D10987" t="inlineStr">
        <is>
          <t>NIL</t>
        </is>
      </c>
      <c r="E10987" t="n">
        <v>1244</v>
      </c>
    </row>
    <row r="10988">
      <c r="A10988" t="inlineStr">
        <is>
          <t>27BBBBB10988Z5</t>
        </is>
      </c>
      <c r="B10988" t="inlineStr">
        <is>
          <t>Feb-2018</t>
        </is>
      </c>
      <c r="C10988" s="2" t="n">
        <v>44266</v>
      </c>
      <c r="D10988" t="inlineStr">
        <is>
          <t>NON-NIL</t>
        </is>
      </c>
      <c r="E10988" t="n">
        <v>372</v>
      </c>
    </row>
    <row r="10989">
      <c r="A10989" t="inlineStr">
        <is>
          <t>27BBBBB10989Z5</t>
        </is>
      </c>
      <c r="B10989" t="inlineStr">
        <is>
          <t>Jun-2020</t>
        </is>
      </c>
      <c r="C10989" s="2" t="n">
        <v>44685</v>
      </c>
      <c r="D10989" t="inlineStr">
        <is>
          <t>NIL</t>
        </is>
      </c>
      <c r="E10989" t="n">
        <v>2659</v>
      </c>
    </row>
    <row r="10990">
      <c r="A10990" t="inlineStr">
        <is>
          <t>27BBBBB10990Z5</t>
        </is>
      </c>
      <c r="B10990" t="inlineStr">
        <is>
          <t>Oct-2018</t>
        </is>
      </c>
      <c r="C10990" s="2" t="n">
        <v>43262</v>
      </c>
      <c r="D10990" t="inlineStr">
        <is>
          <t>NON-NIL</t>
        </is>
      </c>
      <c r="E10990" t="n">
        <v>18</v>
      </c>
    </row>
    <row r="10991">
      <c r="A10991" t="inlineStr">
        <is>
          <t>27BBBBB10991Z5</t>
        </is>
      </c>
      <c r="B10991" t="inlineStr">
        <is>
          <t>May-2018</t>
        </is>
      </c>
      <c r="C10991" s="2" t="n">
        <v>43417</v>
      </c>
      <c r="D10991" t="inlineStr">
        <is>
          <t>NON-NIL</t>
        </is>
      </c>
      <c r="E10991" t="n">
        <v>1872</v>
      </c>
    </row>
    <row r="10992">
      <c r="A10992" t="inlineStr">
        <is>
          <t>27BBBBB10992Z5</t>
        </is>
      </c>
      <c r="B10992" t="inlineStr">
        <is>
          <t>Sep-2018</t>
        </is>
      </c>
      <c r="C10992" s="2" t="n">
        <v>43215</v>
      </c>
      <c r="D10992" t="inlineStr">
        <is>
          <t>NIL</t>
        </is>
      </c>
      <c r="E10992" t="n">
        <v>257</v>
      </c>
    </row>
    <row r="10993">
      <c r="A10993" t="inlineStr">
        <is>
          <t>27BBBBB10993Z5</t>
        </is>
      </c>
      <c r="B10993" t="inlineStr">
        <is>
          <t>Feb-2018</t>
        </is>
      </c>
      <c r="C10993" s="2" t="n">
        <v>43381</v>
      </c>
      <c r="D10993" t="inlineStr">
        <is>
          <t>NIL</t>
        </is>
      </c>
      <c r="E10993" t="n">
        <v>1537</v>
      </c>
    </row>
    <row r="10994">
      <c r="A10994" t="inlineStr">
        <is>
          <t>27BBBBB10994Z5</t>
        </is>
      </c>
      <c r="B10994" t="inlineStr">
        <is>
          <t>Oct-2017</t>
        </is>
      </c>
      <c r="C10994" s="2" t="n">
        <v>43497</v>
      </c>
      <c r="D10994" t="inlineStr">
        <is>
          <t>NIL</t>
        </is>
      </c>
      <c r="E10994" t="n">
        <v>1186</v>
      </c>
    </row>
    <row r="10995">
      <c r="A10995" t="inlineStr">
        <is>
          <t>27BBBBB10995Z5</t>
        </is>
      </c>
      <c r="B10995" t="inlineStr">
        <is>
          <t>May-2020</t>
        </is>
      </c>
      <c r="C10995" s="2" t="n">
        <v>44481</v>
      </c>
      <c r="D10995" t="inlineStr">
        <is>
          <t>NON-NIL</t>
        </is>
      </c>
      <c r="E10995" t="n">
        <v>1233</v>
      </c>
    </row>
    <row r="10996">
      <c r="A10996" t="inlineStr">
        <is>
          <t>27BBBBB10996Z5</t>
        </is>
      </c>
      <c r="B10996" t="inlineStr">
        <is>
          <t>Dec-2018</t>
        </is>
      </c>
      <c r="C10996" s="2" t="n">
        <v>44426</v>
      </c>
      <c r="D10996" t="inlineStr">
        <is>
          <t>NON-NIL</t>
        </is>
      </c>
      <c r="E10996" t="n">
        <v>2025</v>
      </c>
    </row>
    <row r="10997">
      <c r="A10997" t="inlineStr">
        <is>
          <t>27BBBBB10997Z5</t>
        </is>
      </c>
      <c r="B10997" t="inlineStr">
        <is>
          <t>Sep-2017</t>
        </is>
      </c>
      <c r="C10997" s="2" t="n">
        <v>44242</v>
      </c>
      <c r="D10997" t="inlineStr">
        <is>
          <t>NIL</t>
        </is>
      </c>
      <c r="E10997" t="n">
        <v>1394</v>
      </c>
    </row>
    <row r="10998">
      <c r="A10998" t="inlineStr">
        <is>
          <t>27BBBBB10998Z5</t>
        </is>
      </c>
      <c r="B10998" t="inlineStr">
        <is>
          <t>Jan-2018</t>
        </is>
      </c>
      <c r="C10998" s="2" t="n">
        <v>44127</v>
      </c>
      <c r="D10998" t="inlineStr">
        <is>
          <t>NON-NIL</t>
        </is>
      </c>
      <c r="E10998" t="n">
        <v>2933</v>
      </c>
    </row>
    <row r="10999">
      <c r="A10999" t="inlineStr">
        <is>
          <t>27BBBBB10999Z5</t>
        </is>
      </c>
      <c r="B10999" t="inlineStr">
        <is>
          <t>Oct-2018</t>
        </is>
      </c>
      <c r="C10999" s="2" t="n">
        <v>43378</v>
      </c>
      <c r="D10999" t="inlineStr">
        <is>
          <t>NIL</t>
        </is>
      </c>
      <c r="E10999" t="n">
        <v>836</v>
      </c>
    </row>
    <row r="11000">
      <c r="A11000" t="inlineStr">
        <is>
          <t>27BBBBB11000Z5</t>
        </is>
      </c>
      <c r="B11000" t="inlineStr">
        <is>
          <t>Jan-2018</t>
        </is>
      </c>
      <c r="C11000" s="2" t="n">
        <v>43442</v>
      </c>
      <c r="D11000" t="inlineStr">
        <is>
          <t>NIL</t>
        </is>
      </c>
      <c r="E11000" t="n">
        <v>1559</v>
      </c>
    </row>
    <row r="11001">
      <c r="A11001" t="inlineStr">
        <is>
          <t>27BBBBB11001Z5</t>
        </is>
      </c>
      <c r="B11001" t="inlineStr">
        <is>
          <t>Jul-2017</t>
        </is>
      </c>
      <c r="C11001" s="2" t="n">
        <v>43538</v>
      </c>
      <c r="D11001" t="inlineStr">
        <is>
          <t>NON-NIL</t>
        </is>
      </c>
      <c r="E11001" t="n">
        <v>684</v>
      </c>
    </row>
    <row r="11002">
      <c r="A11002" t="inlineStr">
        <is>
          <t>27BBBBB11002Z5</t>
        </is>
      </c>
      <c r="B11002" t="inlineStr">
        <is>
          <t>Mar-2020</t>
        </is>
      </c>
      <c r="C11002" s="2" t="n">
        <v>43934</v>
      </c>
      <c r="D11002" t="inlineStr">
        <is>
          <t>NON-NIL</t>
        </is>
      </c>
      <c r="E11002" t="n">
        <v>137</v>
      </c>
    </row>
    <row r="11003">
      <c r="A11003" t="inlineStr">
        <is>
          <t>27BBBBB11003Z5</t>
        </is>
      </c>
      <c r="B11003" t="inlineStr">
        <is>
          <t>Apr-2020</t>
        </is>
      </c>
      <c r="C11003" s="2" t="n">
        <v>44529</v>
      </c>
      <c r="D11003" t="inlineStr">
        <is>
          <t>NIL</t>
        </is>
      </c>
      <c r="E11003" t="n">
        <v>312</v>
      </c>
    </row>
    <row r="11004">
      <c r="A11004" t="inlineStr">
        <is>
          <t>27BBBBB11004Z5</t>
        </is>
      </c>
      <c r="B11004" t="inlineStr">
        <is>
          <t>Mar-2021</t>
        </is>
      </c>
      <c r="C11004" s="2" t="n">
        <v>44604</v>
      </c>
      <c r="D11004" t="inlineStr">
        <is>
          <t>NIL</t>
        </is>
      </c>
      <c r="E11004" t="n">
        <v>1953</v>
      </c>
    </row>
    <row r="11005">
      <c r="A11005" t="inlineStr">
        <is>
          <t>27BBBBB11005Z5</t>
        </is>
      </c>
      <c r="B11005" t="inlineStr">
        <is>
          <t>May-2018</t>
        </is>
      </c>
      <c r="C11005" s="2" t="n">
        <v>43662</v>
      </c>
      <c r="D11005" t="inlineStr">
        <is>
          <t>NIL</t>
        </is>
      </c>
      <c r="E11005" t="n">
        <v>1656</v>
      </c>
    </row>
    <row r="11006">
      <c r="A11006" t="inlineStr">
        <is>
          <t>27BBBBB11006Z5</t>
        </is>
      </c>
      <c r="B11006" t="inlineStr">
        <is>
          <t>Feb-2018</t>
        </is>
      </c>
      <c r="C11006" s="2" t="n">
        <v>43667</v>
      </c>
      <c r="D11006" t="inlineStr">
        <is>
          <t>NON-NIL</t>
        </is>
      </c>
      <c r="E11006" t="n">
        <v>221</v>
      </c>
    </row>
    <row r="11007">
      <c r="A11007" t="inlineStr">
        <is>
          <t>27BBBBB11007Z5</t>
        </is>
      </c>
      <c r="B11007" t="inlineStr">
        <is>
          <t>Mar-2021</t>
        </is>
      </c>
      <c r="C11007" s="2" t="n">
        <v>44827</v>
      </c>
      <c r="D11007" t="inlineStr">
        <is>
          <t>NON-NIL</t>
        </is>
      </c>
      <c r="E11007" t="n">
        <v>118</v>
      </c>
    </row>
    <row r="11008">
      <c r="A11008" t="inlineStr">
        <is>
          <t>27BBBBB11008Z5</t>
        </is>
      </c>
      <c r="B11008" t="inlineStr">
        <is>
          <t>Sep-2017</t>
        </is>
      </c>
      <c r="C11008" s="2" t="n">
        <v>44404</v>
      </c>
      <c r="D11008" t="inlineStr">
        <is>
          <t>NIL</t>
        </is>
      </c>
      <c r="E11008" t="n">
        <v>1682</v>
      </c>
    </row>
    <row r="11009">
      <c r="A11009" t="inlineStr">
        <is>
          <t>27BBBBB11009Z5</t>
        </is>
      </c>
      <c r="B11009" t="inlineStr">
        <is>
          <t>Feb-2018</t>
        </is>
      </c>
      <c r="C11009" s="2" t="n">
        <v>43266</v>
      </c>
      <c r="D11009" t="inlineStr">
        <is>
          <t>NON-NIL</t>
        </is>
      </c>
      <c r="E11009" t="n">
        <v>2458</v>
      </c>
    </row>
    <row r="11010">
      <c r="A11010" t="inlineStr">
        <is>
          <t>27BBBBB11010Z5</t>
        </is>
      </c>
      <c r="B11010" t="inlineStr">
        <is>
          <t>Feb-2018</t>
        </is>
      </c>
      <c r="C11010" s="2" t="n">
        <v>44022</v>
      </c>
      <c r="D11010" t="inlineStr">
        <is>
          <t>NON-NIL</t>
        </is>
      </c>
      <c r="E11010" t="n">
        <v>2873</v>
      </c>
    </row>
    <row r="11011">
      <c r="A11011" t="inlineStr">
        <is>
          <t>27BBBBB11011Z5</t>
        </is>
      </c>
      <c r="B11011" t="inlineStr">
        <is>
          <t>Dec-2024</t>
        </is>
      </c>
      <c r="C11011" s="2" t="n">
        <v>44817</v>
      </c>
      <c r="D11011" t="inlineStr">
        <is>
          <t>NON-NIL</t>
        </is>
      </c>
      <c r="E11011" t="n">
        <v>354</v>
      </c>
    </row>
    <row r="11012">
      <c r="A11012" t="inlineStr">
        <is>
          <t>27BBBBB11012Z5</t>
        </is>
      </c>
      <c r="B11012" t="inlineStr">
        <is>
          <t>Jun-2018</t>
        </is>
      </c>
      <c r="C11012" s="2" t="n">
        <v>44110</v>
      </c>
      <c r="D11012" t="inlineStr">
        <is>
          <t>NON-NIL</t>
        </is>
      </c>
      <c r="E11012" t="n">
        <v>1684</v>
      </c>
    </row>
    <row r="11013">
      <c r="A11013" t="inlineStr">
        <is>
          <t>27BBBBB11013Z5</t>
        </is>
      </c>
      <c r="B11013" t="inlineStr">
        <is>
          <t>Jul-2020</t>
        </is>
      </c>
      <c r="C11013" s="2" t="n">
        <v>43994</v>
      </c>
      <c r="D11013" t="inlineStr">
        <is>
          <t>NON-NIL</t>
        </is>
      </c>
      <c r="E11013" t="n">
        <v>2403</v>
      </c>
    </row>
    <row r="11014">
      <c r="A11014" t="inlineStr">
        <is>
          <t>27BBBBB11014Z5</t>
        </is>
      </c>
      <c r="B11014" t="inlineStr">
        <is>
          <t>Dec-2018</t>
        </is>
      </c>
      <c r="C11014" s="2" t="n">
        <v>43187</v>
      </c>
      <c r="D11014" t="inlineStr">
        <is>
          <t>NON-NIL</t>
        </is>
      </c>
      <c r="E11014" t="n">
        <v>235</v>
      </c>
    </row>
    <row r="11015">
      <c r="A11015" t="inlineStr">
        <is>
          <t>27BBBBB11015Z5</t>
        </is>
      </c>
      <c r="B11015" t="inlineStr">
        <is>
          <t>Mar-2018</t>
        </is>
      </c>
      <c r="C11015" s="2" t="n">
        <v>43750</v>
      </c>
      <c r="D11015" t="inlineStr">
        <is>
          <t>NIL</t>
        </is>
      </c>
      <c r="E11015" t="n">
        <v>1641</v>
      </c>
    </row>
    <row r="11016">
      <c r="A11016" t="inlineStr">
        <is>
          <t>27BBBBB11016Z5</t>
        </is>
      </c>
      <c r="B11016" t="inlineStr">
        <is>
          <t>Oct-2017</t>
        </is>
      </c>
      <c r="C11016" s="2" t="n">
        <v>43896</v>
      </c>
      <c r="D11016" t="inlineStr">
        <is>
          <t>NIL</t>
        </is>
      </c>
      <c r="E11016" t="n">
        <v>883</v>
      </c>
    </row>
    <row r="11017">
      <c r="A11017" t="inlineStr">
        <is>
          <t>27BBBBB11017Z5</t>
        </is>
      </c>
      <c r="B11017" t="inlineStr">
        <is>
          <t>Dec-2017</t>
        </is>
      </c>
      <c r="C11017" s="2" t="n">
        <v>43924</v>
      </c>
      <c r="D11017" t="inlineStr">
        <is>
          <t>NIL</t>
        </is>
      </c>
      <c r="E11017" t="n">
        <v>1135</v>
      </c>
    </row>
    <row r="11018">
      <c r="A11018" t="inlineStr">
        <is>
          <t>27BBBBB11018Z5</t>
        </is>
      </c>
      <c r="B11018" t="inlineStr">
        <is>
          <t>Dec-2022</t>
        </is>
      </c>
      <c r="C11018" s="2" t="n">
        <v>45479</v>
      </c>
      <c r="D11018" t="inlineStr">
        <is>
          <t>NIL</t>
        </is>
      </c>
      <c r="E11018" t="n">
        <v>348</v>
      </c>
    </row>
    <row r="11019">
      <c r="A11019" t="inlineStr">
        <is>
          <t>27BBBBB11019Z5</t>
        </is>
      </c>
      <c r="B11019" t="inlineStr">
        <is>
          <t>Dec-2018</t>
        </is>
      </c>
      <c r="C11019" s="2" t="n">
        <v>43572</v>
      </c>
      <c r="D11019" t="inlineStr">
        <is>
          <t>NON-NIL</t>
        </is>
      </c>
      <c r="E11019" t="n">
        <v>985</v>
      </c>
    </row>
    <row r="11020">
      <c r="A11020" t="inlineStr">
        <is>
          <t>27BBBBB11020Z5</t>
        </is>
      </c>
      <c r="B11020" t="inlineStr">
        <is>
          <t>Jan-2021</t>
        </is>
      </c>
      <c r="C11020" s="2" t="n">
        <v>43527</v>
      </c>
      <c r="D11020" t="inlineStr">
        <is>
          <t>NON-NIL</t>
        </is>
      </c>
      <c r="E11020" t="n">
        <v>2304</v>
      </c>
    </row>
    <row r="11021">
      <c r="A11021" t="inlineStr">
        <is>
          <t>27BBBBB11021Z5</t>
        </is>
      </c>
      <c r="B11021" t="inlineStr">
        <is>
          <t>Aug-2017</t>
        </is>
      </c>
      <c r="C11021" s="2" t="n">
        <v>43752</v>
      </c>
      <c r="D11021" t="inlineStr">
        <is>
          <t>NON-NIL</t>
        </is>
      </c>
      <c r="E11021" t="n">
        <v>2637</v>
      </c>
    </row>
    <row r="11022">
      <c r="A11022" t="inlineStr">
        <is>
          <t>27BBBBB11022Z5</t>
        </is>
      </c>
      <c r="B11022" t="inlineStr">
        <is>
          <t>Sep-2017</t>
        </is>
      </c>
      <c r="C11022" s="2" t="n">
        <v>43315</v>
      </c>
      <c r="D11022" t="inlineStr">
        <is>
          <t>NIL</t>
        </is>
      </c>
      <c r="E11022" t="n">
        <v>740</v>
      </c>
    </row>
    <row r="11023">
      <c r="A11023" t="inlineStr">
        <is>
          <t>27BBBBB11023Z5</t>
        </is>
      </c>
      <c r="B11023" t="inlineStr">
        <is>
          <t>Oct-2017</t>
        </is>
      </c>
      <c r="C11023" s="2" t="n">
        <v>43180</v>
      </c>
      <c r="D11023" t="inlineStr">
        <is>
          <t>NON-NIL</t>
        </is>
      </c>
      <c r="E11023" t="n">
        <v>1042</v>
      </c>
    </row>
    <row r="11024">
      <c r="A11024" t="inlineStr">
        <is>
          <t>27BBBBB11024Z5</t>
        </is>
      </c>
      <c r="B11024" t="inlineStr">
        <is>
          <t>Aug-2018</t>
        </is>
      </c>
      <c r="C11024" s="2" t="n">
        <v>44222</v>
      </c>
      <c r="D11024" t="inlineStr">
        <is>
          <t>NON-NIL</t>
        </is>
      </c>
      <c r="E11024" t="n">
        <v>2123</v>
      </c>
    </row>
    <row r="11025">
      <c r="A11025" t="inlineStr">
        <is>
          <t>27BBBBB11025Z5</t>
        </is>
      </c>
      <c r="B11025" t="inlineStr">
        <is>
          <t>Feb-2018</t>
        </is>
      </c>
      <c r="C11025" s="2" t="n">
        <v>43577</v>
      </c>
      <c r="D11025" t="inlineStr">
        <is>
          <t>NIL</t>
        </is>
      </c>
      <c r="E11025" t="n">
        <v>1555</v>
      </c>
    </row>
    <row r="11026">
      <c r="A11026" t="inlineStr">
        <is>
          <t>27BBBBB11026Z5</t>
        </is>
      </c>
      <c r="B11026" t="inlineStr">
        <is>
          <t>Sep-2017</t>
        </is>
      </c>
      <c r="C11026" s="2" t="n">
        <v>43190</v>
      </c>
      <c r="D11026" t="inlineStr">
        <is>
          <t>NIL</t>
        </is>
      </c>
      <c r="E11026" t="n">
        <v>1158</v>
      </c>
    </row>
    <row r="11027">
      <c r="A11027" t="inlineStr">
        <is>
          <t>27BBBBB11027Z5</t>
        </is>
      </c>
      <c r="B11027" t="inlineStr">
        <is>
          <t>Mar-2023</t>
        </is>
      </c>
      <c r="C11027" s="2" t="n">
        <v>45216</v>
      </c>
      <c r="D11027" t="inlineStr">
        <is>
          <t>NIL</t>
        </is>
      </c>
      <c r="E11027" t="n">
        <v>319</v>
      </c>
    </row>
    <row r="11028">
      <c r="A11028" t="inlineStr">
        <is>
          <t>27BBBBB11028Z5</t>
        </is>
      </c>
      <c r="B11028" t="inlineStr">
        <is>
          <t>Mar-2020</t>
        </is>
      </c>
      <c r="C11028" s="2" t="n">
        <v>44110</v>
      </c>
      <c r="D11028" t="inlineStr">
        <is>
          <t>NON-NIL</t>
        </is>
      </c>
      <c r="E11028" t="n">
        <v>837</v>
      </c>
    </row>
    <row r="11029">
      <c r="A11029" t="inlineStr">
        <is>
          <t>27BBBBB11029Z5</t>
        </is>
      </c>
      <c r="B11029" t="inlineStr">
        <is>
          <t>Jan-2018</t>
        </is>
      </c>
      <c r="C11029" s="2" t="n">
        <v>44133</v>
      </c>
      <c r="D11029" t="inlineStr">
        <is>
          <t>NIL</t>
        </is>
      </c>
      <c r="E11029" t="n">
        <v>155</v>
      </c>
    </row>
    <row r="11030">
      <c r="A11030" t="inlineStr">
        <is>
          <t>27BBBBB11030Z5</t>
        </is>
      </c>
      <c r="B11030" t="inlineStr">
        <is>
          <t>Mar-2020</t>
        </is>
      </c>
      <c r="C11030" s="2" t="n">
        <v>43910</v>
      </c>
      <c r="D11030" t="inlineStr">
        <is>
          <t>NON-NIL</t>
        </is>
      </c>
      <c r="E11030" t="n">
        <v>2679</v>
      </c>
    </row>
    <row r="11031">
      <c r="A11031" t="inlineStr">
        <is>
          <t>27BBBBB11031Z5</t>
        </is>
      </c>
      <c r="B11031" t="inlineStr">
        <is>
          <t>Jun-2018</t>
        </is>
      </c>
      <c r="C11031" s="2" t="n">
        <v>43982</v>
      </c>
      <c r="D11031" t="inlineStr">
        <is>
          <t>NIL</t>
        </is>
      </c>
      <c r="E11031" t="n">
        <v>621</v>
      </c>
    </row>
    <row r="11032">
      <c r="A11032" t="inlineStr">
        <is>
          <t>27BBBBB11032Z5</t>
        </is>
      </c>
      <c r="B11032" t="inlineStr">
        <is>
          <t>Dec-2018</t>
        </is>
      </c>
      <c r="C11032" s="2" t="n">
        <v>43386</v>
      </c>
      <c r="D11032" t="inlineStr">
        <is>
          <t>NIL</t>
        </is>
      </c>
      <c r="E11032" t="n">
        <v>26</v>
      </c>
    </row>
    <row r="11033">
      <c r="A11033" t="inlineStr">
        <is>
          <t>27BBBBB11033Z5</t>
        </is>
      </c>
      <c r="B11033" t="inlineStr">
        <is>
          <t>Mar-2020</t>
        </is>
      </c>
      <c r="C11033" s="2" t="n">
        <v>44382</v>
      </c>
      <c r="D11033" t="inlineStr">
        <is>
          <t>NON-NIL</t>
        </is>
      </c>
      <c r="E11033" t="n">
        <v>911</v>
      </c>
    </row>
    <row r="11034">
      <c r="A11034" t="inlineStr">
        <is>
          <t>27BBBBB11034Z5</t>
        </is>
      </c>
      <c r="B11034" t="inlineStr">
        <is>
          <t>Apr-2018</t>
        </is>
      </c>
      <c r="C11034" s="2" t="n">
        <v>44004</v>
      </c>
      <c r="D11034" t="inlineStr">
        <is>
          <t>NIL</t>
        </is>
      </c>
      <c r="E11034" t="n">
        <v>2266</v>
      </c>
    </row>
    <row r="11035">
      <c r="A11035" t="inlineStr">
        <is>
          <t>27BBBBB11035Z5</t>
        </is>
      </c>
      <c r="B11035" t="inlineStr">
        <is>
          <t>Aug-2018</t>
        </is>
      </c>
      <c r="C11035" s="2" t="n">
        <v>44110</v>
      </c>
      <c r="D11035" t="inlineStr">
        <is>
          <t>NON-NIL</t>
        </is>
      </c>
      <c r="E11035" t="n">
        <v>1300</v>
      </c>
    </row>
    <row r="11036">
      <c r="A11036" t="inlineStr">
        <is>
          <t>27BBBBB11036Z5</t>
        </is>
      </c>
      <c r="B11036" t="inlineStr">
        <is>
          <t>Mar-2020</t>
        </is>
      </c>
      <c r="C11036" s="2" t="n">
        <v>44695</v>
      </c>
      <c r="D11036" t="inlineStr">
        <is>
          <t>NIL</t>
        </is>
      </c>
      <c r="E11036" t="n">
        <v>1789</v>
      </c>
    </row>
    <row r="11037">
      <c r="A11037" t="inlineStr">
        <is>
          <t>27BBBBB11037Z5</t>
        </is>
      </c>
      <c r="B11037" t="inlineStr">
        <is>
          <t>Jun-2020</t>
        </is>
      </c>
      <c r="C11037" s="2" t="n">
        <v>43996</v>
      </c>
      <c r="D11037" t="inlineStr">
        <is>
          <t>NON-NIL</t>
        </is>
      </c>
      <c r="E11037" t="n">
        <v>2984</v>
      </c>
    </row>
    <row r="11038">
      <c r="A11038" t="inlineStr">
        <is>
          <t>27BBBBB11038Z5</t>
        </is>
      </c>
      <c r="B11038" t="inlineStr">
        <is>
          <t>Mar-2021</t>
        </is>
      </c>
      <c r="C11038" s="2" t="n">
        <v>45801</v>
      </c>
      <c r="D11038" t="inlineStr">
        <is>
          <t>NIL</t>
        </is>
      </c>
      <c r="E11038" t="n">
        <v>2839</v>
      </c>
    </row>
    <row r="11039">
      <c r="A11039" t="inlineStr">
        <is>
          <t>27BBBBB11039Z5</t>
        </is>
      </c>
      <c r="B11039" t="inlineStr">
        <is>
          <t>Dec-2018</t>
        </is>
      </c>
      <c r="C11039" s="2" t="n">
        <v>44051</v>
      </c>
      <c r="D11039" t="inlineStr">
        <is>
          <t>NIL</t>
        </is>
      </c>
      <c r="E11039" t="n">
        <v>258</v>
      </c>
    </row>
    <row r="11040">
      <c r="A11040" t="inlineStr">
        <is>
          <t>27BBBBB11040Z5</t>
        </is>
      </c>
      <c r="B11040" t="inlineStr">
        <is>
          <t>Dec-2017</t>
        </is>
      </c>
      <c r="C11040" s="2" t="n">
        <v>42972</v>
      </c>
      <c r="D11040" t="inlineStr">
        <is>
          <t>NIL</t>
        </is>
      </c>
      <c r="E11040" t="n">
        <v>2570</v>
      </c>
    </row>
    <row r="11041">
      <c r="A11041" t="inlineStr">
        <is>
          <t>27BBBBB11041Z5</t>
        </is>
      </c>
      <c r="B11041" t="inlineStr">
        <is>
          <t>Jul-2017</t>
        </is>
      </c>
      <c r="C11041" s="2" t="n">
        <v>44052</v>
      </c>
      <c r="D11041" t="inlineStr">
        <is>
          <t>NIL</t>
        </is>
      </c>
      <c r="E11041" t="n">
        <v>2806</v>
      </c>
    </row>
    <row r="11042">
      <c r="A11042" t="inlineStr">
        <is>
          <t>27BBBBB11042Z5</t>
        </is>
      </c>
      <c r="B11042" t="inlineStr">
        <is>
          <t>Sep-2018</t>
        </is>
      </c>
      <c r="C11042" s="2" t="n">
        <v>43362</v>
      </c>
      <c r="D11042" t="inlineStr">
        <is>
          <t>NON-NIL</t>
        </is>
      </c>
      <c r="E11042" t="n">
        <v>820</v>
      </c>
    </row>
    <row r="11043">
      <c r="A11043" t="inlineStr">
        <is>
          <t>27BBBBB11043Z5</t>
        </is>
      </c>
      <c r="B11043" t="inlineStr">
        <is>
          <t>May-2020</t>
        </is>
      </c>
      <c r="C11043" s="2" t="n">
        <v>44612</v>
      </c>
      <c r="D11043" t="inlineStr">
        <is>
          <t>NON-NIL</t>
        </is>
      </c>
      <c r="E11043" t="n">
        <v>1693</v>
      </c>
    </row>
    <row r="11044">
      <c r="A11044" t="inlineStr">
        <is>
          <t>27BBBBB11044Z5</t>
        </is>
      </c>
      <c r="B11044" t="inlineStr">
        <is>
          <t>Oct-2018</t>
        </is>
      </c>
      <c r="C11044" s="2" t="n">
        <v>44220</v>
      </c>
      <c r="D11044" t="inlineStr">
        <is>
          <t>NON-NIL</t>
        </is>
      </c>
      <c r="E11044" t="n">
        <v>1649</v>
      </c>
    </row>
    <row r="11045">
      <c r="A11045" t="inlineStr">
        <is>
          <t>27BBBBB11045Z5</t>
        </is>
      </c>
      <c r="B11045" t="inlineStr">
        <is>
          <t>Mar-2020</t>
        </is>
      </c>
      <c r="C11045" s="2" t="n">
        <v>44615</v>
      </c>
      <c r="D11045" t="inlineStr">
        <is>
          <t>NON-NIL</t>
        </is>
      </c>
      <c r="E11045" t="n">
        <v>1053</v>
      </c>
    </row>
    <row r="11046">
      <c r="A11046" t="inlineStr">
        <is>
          <t>27BBBBB11046Z5</t>
        </is>
      </c>
      <c r="B11046" t="inlineStr">
        <is>
          <t>Dec-2017</t>
        </is>
      </c>
      <c r="C11046" s="2" t="n">
        <v>42981</v>
      </c>
      <c r="D11046" t="inlineStr">
        <is>
          <t>NON-NIL</t>
        </is>
      </c>
      <c r="E11046" t="n">
        <v>2269</v>
      </c>
    </row>
    <row r="11047">
      <c r="A11047" t="inlineStr">
        <is>
          <t>27BBBBB11047Z5</t>
        </is>
      </c>
      <c r="B11047" t="inlineStr">
        <is>
          <t>Mar-2023</t>
        </is>
      </c>
      <c r="C11047" s="2" t="n">
        <v>44095</v>
      </c>
      <c r="D11047" t="inlineStr">
        <is>
          <t>NIL</t>
        </is>
      </c>
      <c r="E11047" t="n">
        <v>1842</v>
      </c>
    </row>
    <row r="11048">
      <c r="A11048" t="inlineStr">
        <is>
          <t>27BBBBB11048Z5</t>
        </is>
      </c>
      <c r="B11048" t="inlineStr">
        <is>
          <t>May-2020</t>
        </is>
      </c>
      <c r="C11048" s="2" t="n">
        <v>44481</v>
      </c>
      <c r="D11048" t="inlineStr">
        <is>
          <t>NIL</t>
        </is>
      </c>
      <c r="E11048" t="n">
        <v>2637</v>
      </c>
    </row>
    <row r="11049">
      <c r="A11049" t="inlineStr">
        <is>
          <t>27BBBBB11049Z5</t>
        </is>
      </c>
      <c r="B11049" t="inlineStr">
        <is>
          <t>Apr-2018</t>
        </is>
      </c>
      <c r="C11049" s="2" t="n">
        <v>43505</v>
      </c>
      <c r="D11049" t="inlineStr">
        <is>
          <t>NON-NIL</t>
        </is>
      </c>
      <c r="E11049" t="n">
        <v>1315</v>
      </c>
    </row>
    <row r="11050">
      <c r="A11050" t="inlineStr">
        <is>
          <t>27BBBBB11050Z5</t>
        </is>
      </c>
      <c r="B11050" t="inlineStr">
        <is>
          <t>Dec-2022</t>
        </is>
      </c>
      <c r="C11050" s="2" t="n">
        <v>45026</v>
      </c>
      <c r="D11050" t="inlineStr">
        <is>
          <t>NON-NIL</t>
        </is>
      </c>
      <c r="E11050" t="n">
        <v>137</v>
      </c>
    </row>
    <row r="11051">
      <c r="A11051" t="inlineStr">
        <is>
          <t>27BBBBB11051Z5</t>
        </is>
      </c>
      <c r="B11051" t="inlineStr">
        <is>
          <t>Oct-2017</t>
        </is>
      </c>
      <c r="C11051" s="2" t="n">
        <v>44345</v>
      </c>
      <c r="D11051" t="inlineStr">
        <is>
          <t>NON-NIL</t>
        </is>
      </c>
      <c r="E11051" t="n">
        <v>591</v>
      </c>
    </row>
    <row r="11052">
      <c r="A11052" t="inlineStr">
        <is>
          <t>27BBBBB11052Z5</t>
        </is>
      </c>
      <c r="B11052" t="inlineStr">
        <is>
          <t>Jun-2020</t>
        </is>
      </c>
      <c r="C11052" s="2" t="n">
        <v>44861</v>
      </c>
      <c r="D11052" t="inlineStr">
        <is>
          <t>NON-NIL</t>
        </is>
      </c>
      <c r="E11052" t="n">
        <v>2231</v>
      </c>
    </row>
    <row r="11053">
      <c r="A11053" t="inlineStr">
        <is>
          <t>27BBBBB11053Z5</t>
        </is>
      </c>
      <c r="B11053" t="inlineStr">
        <is>
          <t>Apr-2018</t>
        </is>
      </c>
      <c r="C11053" s="2" t="n">
        <v>44178</v>
      </c>
      <c r="D11053" t="inlineStr">
        <is>
          <t>NIL</t>
        </is>
      </c>
      <c r="E11053" t="n">
        <v>1660</v>
      </c>
    </row>
    <row r="11054">
      <c r="A11054" t="inlineStr">
        <is>
          <t>27BBBBB11054Z5</t>
        </is>
      </c>
      <c r="B11054" t="inlineStr">
        <is>
          <t>Dec-2022</t>
        </is>
      </c>
      <c r="C11054" s="2" t="n">
        <v>44930</v>
      </c>
      <c r="D11054" t="inlineStr">
        <is>
          <t>NON-NIL</t>
        </is>
      </c>
      <c r="E11054" t="n">
        <v>2422</v>
      </c>
    </row>
    <row r="11055">
      <c r="A11055" t="inlineStr">
        <is>
          <t>27BBBBB11055Z5</t>
        </is>
      </c>
      <c r="B11055" t="inlineStr">
        <is>
          <t>Sep-2017</t>
        </is>
      </c>
      <c r="C11055" s="2" t="n">
        <v>43491</v>
      </c>
      <c r="D11055" t="inlineStr">
        <is>
          <t>NON-NIL</t>
        </is>
      </c>
      <c r="E11055" t="n">
        <v>463</v>
      </c>
    </row>
    <row r="11056">
      <c r="A11056" t="inlineStr">
        <is>
          <t>27BBBBB11056Z5</t>
        </is>
      </c>
      <c r="B11056" t="inlineStr">
        <is>
          <t>Jul-2018</t>
        </is>
      </c>
      <c r="C11056" s="2" t="n">
        <v>43995</v>
      </c>
      <c r="D11056" t="inlineStr">
        <is>
          <t>NON-NIL</t>
        </is>
      </c>
      <c r="E11056" t="n">
        <v>74</v>
      </c>
    </row>
    <row r="11057">
      <c r="A11057" t="inlineStr">
        <is>
          <t>27BBBBB11057Z5</t>
        </is>
      </c>
      <c r="B11057" t="inlineStr">
        <is>
          <t>Jun-2018</t>
        </is>
      </c>
      <c r="C11057" s="2" t="n">
        <v>43288</v>
      </c>
      <c r="D11057" t="inlineStr">
        <is>
          <t>NON-NIL</t>
        </is>
      </c>
      <c r="E11057" t="n">
        <v>1806</v>
      </c>
    </row>
    <row r="11058">
      <c r="A11058" t="inlineStr">
        <is>
          <t>27BBBBB11058Z5</t>
        </is>
      </c>
      <c r="B11058" t="inlineStr">
        <is>
          <t>Feb-2018</t>
        </is>
      </c>
      <c r="C11058" s="2" t="n">
        <v>44233</v>
      </c>
      <c r="D11058" t="inlineStr">
        <is>
          <t>NON-NIL</t>
        </is>
      </c>
      <c r="E11058" t="n">
        <v>2477</v>
      </c>
    </row>
    <row r="11059">
      <c r="A11059" t="inlineStr">
        <is>
          <t>27BBBBB11059Z5</t>
        </is>
      </c>
      <c r="B11059" t="inlineStr">
        <is>
          <t>Mar-2020</t>
        </is>
      </c>
      <c r="C11059" s="2" t="n">
        <v>44875</v>
      </c>
      <c r="D11059" t="inlineStr">
        <is>
          <t>NON-NIL</t>
        </is>
      </c>
      <c r="E11059" t="n">
        <v>48</v>
      </c>
    </row>
    <row r="11060">
      <c r="A11060" t="inlineStr">
        <is>
          <t>27BBBBB11060Z5</t>
        </is>
      </c>
      <c r="B11060" t="inlineStr">
        <is>
          <t>Jan-2018</t>
        </is>
      </c>
      <c r="C11060" s="2" t="n">
        <v>43000</v>
      </c>
      <c r="D11060" t="inlineStr">
        <is>
          <t>NIL</t>
        </is>
      </c>
      <c r="E11060" t="n">
        <v>2064</v>
      </c>
    </row>
    <row r="11061">
      <c r="A11061" t="inlineStr">
        <is>
          <t>27BBBBB11061Z5</t>
        </is>
      </c>
      <c r="B11061" t="inlineStr">
        <is>
          <t>Apr-2020</t>
        </is>
      </c>
      <c r="C11061" s="2" t="n">
        <v>44120</v>
      </c>
      <c r="D11061" t="inlineStr">
        <is>
          <t>NON-NIL</t>
        </is>
      </c>
      <c r="E11061" t="n">
        <v>1103</v>
      </c>
    </row>
    <row r="11062">
      <c r="A11062" t="inlineStr">
        <is>
          <t>27BBBBB11062Z5</t>
        </is>
      </c>
      <c r="B11062" t="inlineStr">
        <is>
          <t>Mar-2023</t>
        </is>
      </c>
      <c r="C11062" s="2" t="n">
        <v>43708</v>
      </c>
      <c r="D11062" t="inlineStr">
        <is>
          <t>NIL</t>
        </is>
      </c>
      <c r="E11062" t="n">
        <v>2453</v>
      </c>
    </row>
    <row r="11063">
      <c r="A11063" t="inlineStr">
        <is>
          <t>27BBBBB11063Z5</t>
        </is>
      </c>
      <c r="B11063" t="inlineStr">
        <is>
          <t>Mar-2023</t>
        </is>
      </c>
      <c r="C11063" s="2" t="n">
        <v>43734</v>
      </c>
      <c r="D11063" t="inlineStr">
        <is>
          <t>NON-NIL</t>
        </is>
      </c>
      <c r="E11063" t="n">
        <v>2976</v>
      </c>
    </row>
    <row r="11064">
      <c r="A11064" t="inlineStr">
        <is>
          <t>27BBBBB11064Z5</t>
        </is>
      </c>
      <c r="B11064" t="inlineStr">
        <is>
          <t>Mar-2018</t>
        </is>
      </c>
      <c r="C11064" s="2" t="n">
        <v>43237</v>
      </c>
      <c r="D11064" t="inlineStr">
        <is>
          <t>NIL</t>
        </is>
      </c>
      <c r="E11064" t="n">
        <v>334</v>
      </c>
    </row>
    <row r="11065">
      <c r="A11065" t="inlineStr">
        <is>
          <t>27BBBBB11065Z5</t>
        </is>
      </c>
      <c r="B11065" t="inlineStr">
        <is>
          <t>Dec-2018</t>
        </is>
      </c>
      <c r="C11065" s="2" t="n">
        <v>43535</v>
      </c>
      <c r="D11065" t="inlineStr">
        <is>
          <t>NIL</t>
        </is>
      </c>
      <c r="E11065" t="n">
        <v>2837</v>
      </c>
    </row>
    <row r="11066">
      <c r="A11066" t="inlineStr">
        <is>
          <t>27BBBBB11066Z5</t>
        </is>
      </c>
      <c r="B11066" t="inlineStr">
        <is>
          <t>Mar-2023</t>
        </is>
      </c>
      <c r="C11066" s="2" t="n">
        <v>44120</v>
      </c>
      <c r="D11066" t="inlineStr">
        <is>
          <t>NIL</t>
        </is>
      </c>
      <c r="E11066" t="n">
        <v>2758</v>
      </c>
    </row>
    <row r="11067">
      <c r="A11067" t="inlineStr">
        <is>
          <t>27BBBBB11067Z5</t>
        </is>
      </c>
      <c r="B11067" t="inlineStr">
        <is>
          <t>Jul-2017</t>
        </is>
      </c>
      <c r="C11067" s="2" t="n">
        <v>43882</v>
      </c>
      <c r="D11067" t="inlineStr">
        <is>
          <t>NON-NIL</t>
        </is>
      </c>
      <c r="E11067" t="n">
        <v>2055</v>
      </c>
    </row>
    <row r="11068">
      <c r="A11068" t="inlineStr">
        <is>
          <t>27BBBBB11068Z5</t>
        </is>
      </c>
      <c r="B11068" t="inlineStr">
        <is>
          <t>Sep-2018</t>
        </is>
      </c>
      <c r="C11068" s="2" t="n">
        <v>43506</v>
      </c>
      <c r="D11068" t="inlineStr">
        <is>
          <t>NON-NIL</t>
        </is>
      </c>
      <c r="E11068" t="n">
        <v>768</v>
      </c>
    </row>
    <row r="11069">
      <c r="A11069" t="inlineStr">
        <is>
          <t>27BBBBB11069Z5</t>
        </is>
      </c>
      <c r="B11069" t="inlineStr">
        <is>
          <t>Mar-2018</t>
        </is>
      </c>
      <c r="C11069" s="2" t="n">
        <v>44540</v>
      </c>
      <c r="D11069" t="inlineStr">
        <is>
          <t>NIL</t>
        </is>
      </c>
      <c r="E11069" t="n">
        <v>504</v>
      </c>
    </row>
    <row r="11070">
      <c r="A11070" t="inlineStr">
        <is>
          <t>27BBBBB11070Z5</t>
        </is>
      </c>
      <c r="B11070" t="inlineStr">
        <is>
          <t>Aug-2017</t>
        </is>
      </c>
      <c r="C11070" s="2" t="n">
        <v>44286</v>
      </c>
      <c r="D11070" t="inlineStr">
        <is>
          <t>NON-NIL</t>
        </is>
      </c>
      <c r="E11070" t="n">
        <v>2659</v>
      </c>
    </row>
    <row r="11071">
      <c r="A11071" t="inlineStr">
        <is>
          <t>27BBBBB11071Z5</t>
        </is>
      </c>
      <c r="B11071" t="inlineStr">
        <is>
          <t>Apr-2018</t>
        </is>
      </c>
      <c r="C11071" s="2" t="n">
        <v>44082</v>
      </c>
      <c r="D11071" t="inlineStr">
        <is>
          <t>NIL</t>
        </is>
      </c>
      <c r="E11071" t="n">
        <v>602</v>
      </c>
    </row>
    <row r="11072">
      <c r="A11072" t="inlineStr">
        <is>
          <t>27BBBBB11072Z5</t>
        </is>
      </c>
      <c r="B11072" t="inlineStr">
        <is>
          <t>Jan-2021</t>
        </is>
      </c>
      <c r="C11072" s="2" t="n">
        <v>44991</v>
      </c>
      <c r="D11072" t="inlineStr">
        <is>
          <t>NON-NIL</t>
        </is>
      </c>
      <c r="E11072" t="n">
        <v>779</v>
      </c>
    </row>
    <row r="11073">
      <c r="A11073" t="inlineStr">
        <is>
          <t>27BBBBB11073Z5</t>
        </is>
      </c>
      <c r="B11073" t="inlineStr">
        <is>
          <t>Jul-2020</t>
        </is>
      </c>
      <c r="C11073" s="2" t="n">
        <v>44598</v>
      </c>
      <c r="D11073" t="inlineStr">
        <is>
          <t>NON-NIL</t>
        </is>
      </c>
      <c r="E11073" t="n">
        <v>2568</v>
      </c>
    </row>
    <row r="11074">
      <c r="A11074" t="inlineStr">
        <is>
          <t>27BBBBB11074Z5</t>
        </is>
      </c>
      <c r="B11074" t="inlineStr">
        <is>
          <t>Dec-2017</t>
        </is>
      </c>
      <c r="C11074" s="2" t="n">
        <v>44024</v>
      </c>
      <c r="D11074" t="inlineStr">
        <is>
          <t>NIL</t>
        </is>
      </c>
      <c r="E11074" t="n">
        <v>1237</v>
      </c>
    </row>
    <row r="11075">
      <c r="A11075" t="inlineStr">
        <is>
          <t>27BBBBB11075Z5</t>
        </is>
      </c>
      <c r="B11075" t="inlineStr">
        <is>
          <t>Jul-2018</t>
        </is>
      </c>
      <c r="C11075" s="2" t="n">
        <v>43755</v>
      </c>
      <c r="D11075" t="inlineStr">
        <is>
          <t>NON-NIL</t>
        </is>
      </c>
      <c r="E11075" t="n">
        <v>1207</v>
      </c>
    </row>
    <row r="11076">
      <c r="A11076" t="inlineStr">
        <is>
          <t>27BBBBB11076Z5</t>
        </is>
      </c>
      <c r="B11076" t="inlineStr">
        <is>
          <t>Aug-2018</t>
        </is>
      </c>
      <c r="C11076" s="2" t="n">
        <v>43521</v>
      </c>
      <c r="D11076" t="inlineStr">
        <is>
          <t>NIL</t>
        </is>
      </c>
      <c r="E11076" t="n">
        <v>550</v>
      </c>
    </row>
    <row r="11077">
      <c r="A11077" t="inlineStr">
        <is>
          <t>27BBBBB11077Z5</t>
        </is>
      </c>
      <c r="B11077" t="inlineStr">
        <is>
          <t>Jun-2018</t>
        </is>
      </c>
      <c r="C11077" s="2" t="n">
        <v>43139</v>
      </c>
      <c r="D11077" t="inlineStr">
        <is>
          <t>NON-NIL</t>
        </is>
      </c>
      <c r="E11077" t="n">
        <v>1273</v>
      </c>
    </row>
    <row r="11078">
      <c r="A11078" t="inlineStr">
        <is>
          <t>27BBBBB11078Z5</t>
        </is>
      </c>
      <c r="B11078" t="inlineStr">
        <is>
          <t>Dec-2022</t>
        </is>
      </c>
      <c r="C11078" s="2" t="n">
        <v>45560</v>
      </c>
      <c r="D11078" t="inlineStr">
        <is>
          <t>NON-NIL</t>
        </is>
      </c>
      <c r="E11078" t="n">
        <v>1052</v>
      </c>
    </row>
    <row r="11079">
      <c r="A11079" t="inlineStr">
        <is>
          <t>27BBBBB11079Z5</t>
        </is>
      </c>
      <c r="B11079" t="inlineStr">
        <is>
          <t>Dec-2017</t>
        </is>
      </c>
      <c r="C11079" s="2" t="n">
        <v>43928</v>
      </c>
      <c r="D11079" t="inlineStr">
        <is>
          <t>NIL</t>
        </is>
      </c>
      <c r="E11079" t="n">
        <v>302</v>
      </c>
    </row>
    <row r="11080">
      <c r="A11080" t="inlineStr">
        <is>
          <t>27BBBBB11080Z5</t>
        </is>
      </c>
      <c r="B11080" t="inlineStr">
        <is>
          <t>Jul-2020</t>
        </is>
      </c>
      <c r="C11080" s="2" t="n">
        <v>44880</v>
      </c>
      <c r="D11080" t="inlineStr">
        <is>
          <t>NON-NIL</t>
        </is>
      </c>
      <c r="E11080" t="n">
        <v>642</v>
      </c>
    </row>
    <row r="11081">
      <c r="A11081" t="inlineStr">
        <is>
          <t>27BBBBB11081Z5</t>
        </is>
      </c>
      <c r="B11081" t="inlineStr">
        <is>
          <t>Dec-2022</t>
        </is>
      </c>
      <c r="C11081" s="2" t="n">
        <v>44382</v>
      </c>
      <c r="D11081" t="inlineStr">
        <is>
          <t>NON-NIL</t>
        </is>
      </c>
      <c r="E11081" t="n">
        <v>2118</v>
      </c>
    </row>
    <row r="11082">
      <c r="A11082" t="inlineStr">
        <is>
          <t>27BBBBB11082Z5</t>
        </is>
      </c>
      <c r="B11082" t="inlineStr">
        <is>
          <t>Sep-2018</t>
        </is>
      </c>
      <c r="C11082" s="2" t="n">
        <v>44069</v>
      </c>
      <c r="D11082" t="inlineStr">
        <is>
          <t>NIL</t>
        </is>
      </c>
      <c r="E11082" t="n">
        <v>1643</v>
      </c>
    </row>
    <row r="11083">
      <c r="A11083" t="inlineStr">
        <is>
          <t>27BBBBB11083Z5</t>
        </is>
      </c>
      <c r="B11083" t="inlineStr">
        <is>
          <t>Aug-2018</t>
        </is>
      </c>
      <c r="C11083" s="2" t="n">
        <v>43755</v>
      </c>
      <c r="D11083" t="inlineStr">
        <is>
          <t>NON-NIL</t>
        </is>
      </c>
      <c r="E11083" t="n">
        <v>1307</v>
      </c>
    </row>
    <row r="11084">
      <c r="A11084" t="inlineStr">
        <is>
          <t>27BBBBB11084Z5</t>
        </is>
      </c>
      <c r="B11084" t="inlineStr">
        <is>
          <t>Nov-2017</t>
        </is>
      </c>
      <c r="C11084" s="2" t="n">
        <v>43460</v>
      </c>
      <c r="D11084" t="inlineStr">
        <is>
          <t>NON-NIL</t>
        </is>
      </c>
      <c r="E11084" t="n">
        <v>914</v>
      </c>
    </row>
    <row r="11085">
      <c r="A11085" t="inlineStr">
        <is>
          <t>27BBBBB11085Z5</t>
        </is>
      </c>
      <c r="B11085" t="inlineStr">
        <is>
          <t>Aug-2017</t>
        </is>
      </c>
      <c r="C11085" s="2" t="n">
        <v>43421</v>
      </c>
      <c r="D11085" t="inlineStr">
        <is>
          <t>NON-NIL</t>
        </is>
      </c>
      <c r="E11085" t="n">
        <v>1751</v>
      </c>
    </row>
    <row r="11086">
      <c r="A11086" t="inlineStr">
        <is>
          <t>27BBBBB11086Z5</t>
        </is>
      </c>
      <c r="B11086" t="inlineStr">
        <is>
          <t>Dec-2018</t>
        </is>
      </c>
      <c r="C11086" s="2" t="n">
        <v>43792</v>
      </c>
      <c r="D11086" t="inlineStr">
        <is>
          <t>NON-NIL</t>
        </is>
      </c>
      <c r="E11086" t="n">
        <v>846</v>
      </c>
    </row>
    <row r="11087">
      <c r="A11087" t="inlineStr">
        <is>
          <t>27BBBBB11087Z5</t>
        </is>
      </c>
      <c r="B11087" t="inlineStr">
        <is>
          <t>Jul-2017</t>
        </is>
      </c>
      <c r="C11087" s="2" t="n">
        <v>43435</v>
      </c>
      <c r="D11087" t="inlineStr">
        <is>
          <t>NIL</t>
        </is>
      </c>
      <c r="E11087" t="n">
        <v>2700</v>
      </c>
    </row>
    <row r="11088">
      <c r="A11088" t="inlineStr">
        <is>
          <t>27BBBBB11088Z5</t>
        </is>
      </c>
      <c r="B11088" t="inlineStr">
        <is>
          <t>Jul-2017</t>
        </is>
      </c>
      <c r="C11088" s="2" t="n">
        <v>43023</v>
      </c>
      <c r="D11088" t="inlineStr">
        <is>
          <t>NON-NIL</t>
        </is>
      </c>
      <c r="E11088" t="n">
        <v>865</v>
      </c>
    </row>
    <row r="11089">
      <c r="A11089" t="inlineStr">
        <is>
          <t>27BBBBB11089Z5</t>
        </is>
      </c>
      <c r="B11089" t="inlineStr">
        <is>
          <t>Jul-2018</t>
        </is>
      </c>
      <c r="C11089" s="2" t="n">
        <v>43629</v>
      </c>
      <c r="D11089" t="inlineStr">
        <is>
          <t>NON-NIL</t>
        </is>
      </c>
      <c r="E11089" t="n">
        <v>1925</v>
      </c>
    </row>
    <row r="11090">
      <c r="A11090" t="inlineStr">
        <is>
          <t>27BBBBB11090Z5</t>
        </is>
      </c>
      <c r="B11090" t="inlineStr">
        <is>
          <t>Jan-2018</t>
        </is>
      </c>
      <c r="C11090" s="2" t="n">
        <v>43937</v>
      </c>
      <c r="D11090" t="inlineStr">
        <is>
          <t>NIL</t>
        </is>
      </c>
      <c r="E11090" t="n">
        <v>2474</v>
      </c>
    </row>
    <row r="11091">
      <c r="A11091" t="inlineStr">
        <is>
          <t>27BBBBB11091Z5</t>
        </is>
      </c>
      <c r="B11091" t="inlineStr">
        <is>
          <t>Dec-2022</t>
        </is>
      </c>
      <c r="C11091" s="2" t="n">
        <v>44213</v>
      </c>
      <c r="D11091" t="inlineStr">
        <is>
          <t>NON-NIL</t>
        </is>
      </c>
      <c r="E11091" t="n">
        <v>2066</v>
      </c>
    </row>
    <row r="11092">
      <c r="A11092" t="inlineStr">
        <is>
          <t>27BBBBB11092Z5</t>
        </is>
      </c>
      <c r="B11092" t="inlineStr">
        <is>
          <t>Mar-2021</t>
        </is>
      </c>
      <c r="C11092" s="2" t="n">
        <v>45481</v>
      </c>
      <c r="D11092" t="inlineStr">
        <is>
          <t>NON-NIL</t>
        </is>
      </c>
      <c r="E11092" t="n">
        <v>293</v>
      </c>
    </row>
    <row r="11093">
      <c r="A11093" t="inlineStr">
        <is>
          <t>27BBBBB11093Z5</t>
        </is>
      </c>
      <c r="B11093" t="inlineStr">
        <is>
          <t>Jul-2020</t>
        </is>
      </c>
      <c r="C11093" s="2" t="n">
        <v>44111</v>
      </c>
      <c r="D11093" t="inlineStr">
        <is>
          <t>NON-NIL</t>
        </is>
      </c>
      <c r="E11093" t="n">
        <v>1112</v>
      </c>
    </row>
    <row r="11094">
      <c r="A11094" t="inlineStr">
        <is>
          <t>27BBBBB11094Z5</t>
        </is>
      </c>
      <c r="B11094" t="inlineStr">
        <is>
          <t>Oct-2017</t>
        </is>
      </c>
      <c r="C11094" s="2" t="n">
        <v>43554</v>
      </c>
      <c r="D11094" t="inlineStr">
        <is>
          <t>NIL</t>
        </is>
      </c>
      <c r="E11094" t="n">
        <v>1506</v>
      </c>
    </row>
    <row r="11095">
      <c r="A11095" t="inlineStr">
        <is>
          <t>27BBBBB11095Z5</t>
        </is>
      </c>
      <c r="B11095" t="inlineStr">
        <is>
          <t>Feb-2018</t>
        </is>
      </c>
      <c r="C11095" s="2" t="n">
        <v>44247</v>
      </c>
      <c r="D11095" t="inlineStr">
        <is>
          <t>NIL</t>
        </is>
      </c>
      <c r="E11095" t="n">
        <v>1720</v>
      </c>
    </row>
    <row r="11096">
      <c r="A11096" t="inlineStr">
        <is>
          <t>27BBBBB11096Z5</t>
        </is>
      </c>
      <c r="B11096" t="inlineStr">
        <is>
          <t>Jul-2017</t>
        </is>
      </c>
      <c r="C11096" s="2" t="n">
        <v>43264</v>
      </c>
      <c r="D11096" t="inlineStr">
        <is>
          <t>NON-NIL</t>
        </is>
      </c>
      <c r="E11096" t="n">
        <v>2467</v>
      </c>
    </row>
    <row r="11097">
      <c r="A11097" t="inlineStr">
        <is>
          <t>27BBBBB11097Z5</t>
        </is>
      </c>
      <c r="B11097" t="inlineStr">
        <is>
          <t>Jul-2017</t>
        </is>
      </c>
      <c r="C11097" s="2" t="n">
        <v>44388</v>
      </c>
      <c r="D11097" t="inlineStr">
        <is>
          <t>NON-NIL</t>
        </is>
      </c>
      <c r="E11097" t="n">
        <v>1965</v>
      </c>
    </row>
    <row r="11098">
      <c r="A11098" t="inlineStr">
        <is>
          <t>27BBBBB11098Z5</t>
        </is>
      </c>
      <c r="B11098" t="inlineStr">
        <is>
          <t>May-2018</t>
        </is>
      </c>
      <c r="C11098" s="2" t="n">
        <v>43930</v>
      </c>
      <c r="D11098" t="inlineStr">
        <is>
          <t>NON-NIL</t>
        </is>
      </c>
      <c r="E11098" t="n">
        <v>815</v>
      </c>
    </row>
    <row r="11099">
      <c r="A11099" t="inlineStr">
        <is>
          <t>27BBBBB11099Z5</t>
        </is>
      </c>
      <c r="B11099" t="inlineStr">
        <is>
          <t>Jun-2018</t>
        </is>
      </c>
      <c r="C11099" s="2" t="n">
        <v>44132</v>
      </c>
      <c r="D11099" t="inlineStr">
        <is>
          <t>NON-NIL</t>
        </is>
      </c>
      <c r="E11099" t="n">
        <v>1192</v>
      </c>
    </row>
    <row r="11100">
      <c r="A11100" t="inlineStr">
        <is>
          <t>27BBBBB11100Z5</t>
        </is>
      </c>
      <c r="B11100" t="inlineStr">
        <is>
          <t>Aug-2018</t>
        </is>
      </c>
      <c r="C11100" s="2" t="n">
        <v>43412</v>
      </c>
      <c r="D11100" t="inlineStr">
        <is>
          <t>NON-NIL</t>
        </is>
      </c>
      <c r="E11100" t="n">
        <v>713</v>
      </c>
    </row>
    <row r="11101">
      <c r="A11101" t="inlineStr">
        <is>
          <t>27BBBBB11101Z5</t>
        </is>
      </c>
      <c r="B11101" t="inlineStr">
        <is>
          <t>Nov-2018</t>
        </is>
      </c>
      <c r="C11101" s="2" t="n">
        <v>44285</v>
      </c>
      <c r="D11101" t="inlineStr">
        <is>
          <t>NON-NIL</t>
        </is>
      </c>
      <c r="E11101" t="n">
        <v>943</v>
      </c>
    </row>
    <row r="11102">
      <c r="A11102" t="inlineStr">
        <is>
          <t>27BBBBB11102Z5</t>
        </is>
      </c>
      <c r="B11102" t="inlineStr">
        <is>
          <t>Jun-2018</t>
        </is>
      </c>
      <c r="C11102" s="2" t="n">
        <v>43882</v>
      </c>
      <c r="D11102" t="inlineStr">
        <is>
          <t>NON-NIL</t>
        </is>
      </c>
      <c r="E11102" t="n">
        <v>1744</v>
      </c>
    </row>
    <row r="11103">
      <c r="A11103" t="inlineStr">
        <is>
          <t>27BBBBB11103Z5</t>
        </is>
      </c>
      <c r="B11103" t="inlineStr">
        <is>
          <t>Nov-2017</t>
        </is>
      </c>
      <c r="C11103" s="2" t="n">
        <v>43015</v>
      </c>
      <c r="D11103" t="inlineStr">
        <is>
          <t>NON-NIL</t>
        </is>
      </c>
      <c r="E11103" t="n">
        <v>1670</v>
      </c>
    </row>
    <row r="11104">
      <c r="A11104" t="inlineStr">
        <is>
          <t>27BBBBB11104Z5</t>
        </is>
      </c>
      <c r="B11104" t="inlineStr">
        <is>
          <t>May-2018</t>
        </is>
      </c>
      <c r="C11104" s="2" t="n">
        <v>43232</v>
      </c>
      <c r="D11104" t="inlineStr">
        <is>
          <t>NON-NIL</t>
        </is>
      </c>
      <c r="E11104" t="n">
        <v>927</v>
      </c>
    </row>
    <row r="11105">
      <c r="A11105" t="inlineStr">
        <is>
          <t>27BBBBB11105Z5</t>
        </is>
      </c>
      <c r="B11105" t="inlineStr">
        <is>
          <t>May-2018</t>
        </is>
      </c>
      <c r="C11105" s="2" t="n">
        <v>44380</v>
      </c>
      <c r="D11105" t="inlineStr">
        <is>
          <t>NON-NIL</t>
        </is>
      </c>
      <c r="E11105" t="n">
        <v>1324</v>
      </c>
    </row>
    <row r="11106">
      <c r="A11106" t="inlineStr">
        <is>
          <t>27BBBBB11106Z5</t>
        </is>
      </c>
      <c r="B11106" t="inlineStr">
        <is>
          <t>Jun-2018</t>
        </is>
      </c>
      <c r="C11106" s="2" t="n">
        <v>43233</v>
      </c>
      <c r="D11106" t="inlineStr">
        <is>
          <t>NIL</t>
        </is>
      </c>
      <c r="E11106" t="n">
        <v>212</v>
      </c>
    </row>
    <row r="11107">
      <c r="A11107" t="inlineStr">
        <is>
          <t>27BBBBB11107Z5</t>
        </is>
      </c>
      <c r="B11107" t="inlineStr">
        <is>
          <t>Sep-2017</t>
        </is>
      </c>
      <c r="C11107" s="2" t="n">
        <v>43938</v>
      </c>
      <c r="D11107" t="inlineStr">
        <is>
          <t>NON-NIL</t>
        </is>
      </c>
      <c r="E11107" t="n">
        <v>2383</v>
      </c>
    </row>
    <row r="11108">
      <c r="A11108" t="inlineStr">
        <is>
          <t>27BBBBB11108Z5</t>
        </is>
      </c>
      <c r="B11108" t="inlineStr">
        <is>
          <t>Dec-2022</t>
        </is>
      </c>
      <c r="C11108" s="2" t="n">
        <v>45064</v>
      </c>
      <c r="D11108" t="inlineStr">
        <is>
          <t>NON-NIL</t>
        </is>
      </c>
      <c r="E11108" t="n">
        <v>1755</v>
      </c>
    </row>
    <row r="11109">
      <c r="A11109" t="inlineStr">
        <is>
          <t>27BBBBB11109Z5</t>
        </is>
      </c>
      <c r="B11109" t="inlineStr">
        <is>
          <t>May-2020</t>
        </is>
      </c>
      <c r="C11109" s="2" t="n">
        <v>44854</v>
      </c>
      <c r="D11109" t="inlineStr">
        <is>
          <t>NIL</t>
        </is>
      </c>
      <c r="E11109" t="n">
        <v>1313</v>
      </c>
    </row>
    <row r="11110">
      <c r="A11110" t="inlineStr">
        <is>
          <t>27BBBBB11110Z5</t>
        </is>
      </c>
      <c r="B11110" t="inlineStr">
        <is>
          <t>Aug-2018</t>
        </is>
      </c>
      <c r="C11110" s="2" t="n">
        <v>44292</v>
      </c>
      <c r="D11110" t="inlineStr">
        <is>
          <t>NIL</t>
        </is>
      </c>
      <c r="E11110" t="n">
        <v>76</v>
      </c>
    </row>
    <row r="11111">
      <c r="A11111" t="inlineStr">
        <is>
          <t>27BBBBB11111Z5</t>
        </is>
      </c>
      <c r="B11111" t="inlineStr">
        <is>
          <t>May-2020</t>
        </is>
      </c>
      <c r="C11111" s="2" t="n">
        <v>44729</v>
      </c>
      <c r="D11111" t="inlineStr">
        <is>
          <t>NON-NIL</t>
        </is>
      </c>
      <c r="E11111" t="n">
        <v>2348</v>
      </c>
    </row>
    <row r="11112">
      <c r="A11112" t="inlineStr">
        <is>
          <t>27BBBBB11112Z5</t>
        </is>
      </c>
      <c r="B11112" t="inlineStr">
        <is>
          <t>Nov-2017</t>
        </is>
      </c>
      <c r="C11112" s="2" t="n">
        <v>43616</v>
      </c>
      <c r="D11112" t="inlineStr">
        <is>
          <t>NON-NIL</t>
        </is>
      </c>
      <c r="E11112" t="n">
        <v>2558</v>
      </c>
    </row>
    <row r="11113">
      <c r="A11113" t="inlineStr">
        <is>
          <t>27BBBBB11113Z5</t>
        </is>
      </c>
      <c r="B11113" t="inlineStr">
        <is>
          <t>Sep-2018</t>
        </is>
      </c>
      <c r="C11113" s="2" t="n">
        <v>43875</v>
      </c>
      <c r="D11113" t="inlineStr">
        <is>
          <t>NON-NIL</t>
        </is>
      </c>
      <c r="E11113" t="n">
        <v>1559</v>
      </c>
    </row>
    <row r="11114">
      <c r="A11114" t="inlineStr">
        <is>
          <t>27BBBBB11114Z5</t>
        </is>
      </c>
      <c r="B11114" t="inlineStr">
        <is>
          <t>Dec-2024</t>
        </is>
      </c>
      <c r="C11114" s="2" t="n">
        <v>45762</v>
      </c>
      <c r="D11114" t="inlineStr">
        <is>
          <t>NIL</t>
        </is>
      </c>
      <c r="E11114" t="n">
        <v>138</v>
      </c>
    </row>
    <row r="11115">
      <c r="A11115" t="inlineStr">
        <is>
          <t>27BBBBB11115Z5</t>
        </is>
      </c>
      <c r="B11115" t="inlineStr">
        <is>
          <t>Dec-2022</t>
        </is>
      </c>
      <c r="C11115" s="2" t="n">
        <v>43544</v>
      </c>
      <c r="D11115" t="inlineStr">
        <is>
          <t>NIL</t>
        </is>
      </c>
      <c r="E11115" t="n">
        <v>1836</v>
      </c>
    </row>
    <row r="11116">
      <c r="A11116" t="inlineStr">
        <is>
          <t>27BBBBB11116Z5</t>
        </is>
      </c>
      <c r="B11116" t="inlineStr">
        <is>
          <t>Jan-2018</t>
        </is>
      </c>
      <c r="C11116" s="2" t="n">
        <v>44496</v>
      </c>
      <c r="D11116" t="inlineStr">
        <is>
          <t>NIL</t>
        </is>
      </c>
      <c r="E11116" t="n">
        <v>979</v>
      </c>
    </row>
    <row r="11117">
      <c r="A11117" t="inlineStr">
        <is>
          <t>27BBBBB11117Z5</t>
        </is>
      </c>
      <c r="B11117" t="inlineStr">
        <is>
          <t>Sep-2018</t>
        </is>
      </c>
      <c r="C11117" s="2" t="n">
        <v>43199</v>
      </c>
      <c r="D11117" t="inlineStr">
        <is>
          <t>NON-NIL</t>
        </is>
      </c>
      <c r="E11117" t="n">
        <v>1359</v>
      </c>
    </row>
    <row r="11118">
      <c r="A11118" t="inlineStr">
        <is>
          <t>27BBBBB11118Z5</t>
        </is>
      </c>
      <c r="B11118" t="inlineStr">
        <is>
          <t>Sep-2017</t>
        </is>
      </c>
      <c r="C11118" s="2" t="n">
        <v>43192</v>
      </c>
      <c r="D11118" t="inlineStr">
        <is>
          <t>NON-NIL</t>
        </is>
      </c>
      <c r="E11118" t="n">
        <v>1280</v>
      </c>
    </row>
    <row r="11119">
      <c r="A11119" t="inlineStr">
        <is>
          <t>27BBBBB11119Z5</t>
        </is>
      </c>
      <c r="B11119" t="inlineStr">
        <is>
          <t>Dec-2018</t>
        </is>
      </c>
      <c r="C11119" s="2" t="n">
        <v>43614</v>
      </c>
      <c r="D11119" t="inlineStr">
        <is>
          <t>NON-NIL</t>
        </is>
      </c>
      <c r="E11119" t="n">
        <v>2533</v>
      </c>
    </row>
    <row r="11120">
      <c r="A11120" t="inlineStr">
        <is>
          <t>27BBBBB11120Z5</t>
        </is>
      </c>
      <c r="B11120" t="inlineStr">
        <is>
          <t>Mar-2020</t>
        </is>
      </c>
      <c r="C11120" s="2" t="n">
        <v>44115</v>
      </c>
      <c r="D11120" t="inlineStr">
        <is>
          <t>NON-NIL</t>
        </is>
      </c>
      <c r="E11120" t="n">
        <v>534</v>
      </c>
    </row>
    <row r="11121">
      <c r="A11121" t="inlineStr">
        <is>
          <t>27BBBBB11121Z5</t>
        </is>
      </c>
      <c r="B11121" t="inlineStr">
        <is>
          <t>Feb-2018</t>
        </is>
      </c>
      <c r="C11121" s="2" t="n">
        <v>43457</v>
      </c>
      <c r="D11121" t="inlineStr">
        <is>
          <t>NIL</t>
        </is>
      </c>
      <c r="E11121" t="n">
        <v>743</v>
      </c>
    </row>
    <row r="11122">
      <c r="A11122" t="inlineStr">
        <is>
          <t>27BBBBB11122Z5</t>
        </is>
      </c>
      <c r="B11122" t="inlineStr">
        <is>
          <t>Mar-2023</t>
        </is>
      </c>
      <c r="C11122" s="2" t="n">
        <v>43812</v>
      </c>
      <c r="D11122" t="inlineStr">
        <is>
          <t>NIL</t>
        </is>
      </c>
      <c r="E11122" t="n">
        <v>2465</v>
      </c>
    </row>
    <row r="11123">
      <c r="A11123" t="inlineStr">
        <is>
          <t>27BBBBB11123Z5</t>
        </is>
      </c>
      <c r="B11123" t="inlineStr">
        <is>
          <t>Apr-2020</t>
        </is>
      </c>
      <c r="C11123" s="2" t="n">
        <v>43954</v>
      </c>
      <c r="D11123" t="inlineStr">
        <is>
          <t>NON-NIL</t>
        </is>
      </c>
      <c r="E11123" t="n">
        <v>1172</v>
      </c>
    </row>
    <row r="11124">
      <c r="A11124" t="inlineStr">
        <is>
          <t>27BBBBB11124Z5</t>
        </is>
      </c>
      <c r="B11124" t="inlineStr">
        <is>
          <t>Jan-2018</t>
        </is>
      </c>
      <c r="C11124" s="2" t="n">
        <v>43791</v>
      </c>
      <c r="D11124" t="inlineStr">
        <is>
          <t>NON-NIL</t>
        </is>
      </c>
      <c r="E11124" t="n">
        <v>1875</v>
      </c>
    </row>
    <row r="11125">
      <c r="A11125" t="inlineStr">
        <is>
          <t>27BBBBB11125Z5</t>
        </is>
      </c>
      <c r="B11125" t="inlineStr">
        <is>
          <t>Jan-2021</t>
        </is>
      </c>
      <c r="C11125" s="2" t="n">
        <v>45833</v>
      </c>
      <c r="D11125" t="inlineStr">
        <is>
          <t>NON-NIL</t>
        </is>
      </c>
      <c r="E11125" t="n">
        <v>1052</v>
      </c>
    </row>
    <row r="11126">
      <c r="A11126" t="inlineStr">
        <is>
          <t>27BBBBB11126Z5</t>
        </is>
      </c>
      <c r="B11126" t="inlineStr">
        <is>
          <t>Mar-2023</t>
        </is>
      </c>
      <c r="C11126" s="2" t="n">
        <v>45329</v>
      </c>
      <c r="D11126" t="inlineStr">
        <is>
          <t>NON-NIL</t>
        </is>
      </c>
      <c r="E11126" t="n">
        <v>1174</v>
      </c>
    </row>
    <row r="11127">
      <c r="A11127" t="inlineStr">
        <is>
          <t>27BBBBB11127Z5</t>
        </is>
      </c>
      <c r="B11127" t="inlineStr">
        <is>
          <t>Mar-2023</t>
        </is>
      </c>
      <c r="C11127" s="2" t="n">
        <v>44131</v>
      </c>
      <c r="D11127" t="inlineStr">
        <is>
          <t>NIL</t>
        </is>
      </c>
      <c r="E11127" t="n">
        <v>1430</v>
      </c>
    </row>
    <row r="11128">
      <c r="A11128" t="inlineStr">
        <is>
          <t>27BBBBB11128Z5</t>
        </is>
      </c>
      <c r="B11128" t="inlineStr">
        <is>
          <t>Aug-2017</t>
        </is>
      </c>
      <c r="C11128" s="2" t="n">
        <v>43355</v>
      </c>
      <c r="D11128" t="inlineStr">
        <is>
          <t>NIL</t>
        </is>
      </c>
      <c r="E11128" t="n">
        <v>2293</v>
      </c>
    </row>
    <row r="11129">
      <c r="A11129" t="inlineStr">
        <is>
          <t>27BBBBB11129Z5</t>
        </is>
      </c>
      <c r="B11129" t="inlineStr">
        <is>
          <t>Mar-2021</t>
        </is>
      </c>
      <c r="C11129" s="2" t="n">
        <v>44180</v>
      </c>
      <c r="D11129" t="inlineStr">
        <is>
          <t>NON-NIL</t>
        </is>
      </c>
      <c r="E11129" t="n">
        <v>966</v>
      </c>
    </row>
    <row r="11130">
      <c r="A11130" t="inlineStr">
        <is>
          <t>27BBBBB11130Z5</t>
        </is>
      </c>
      <c r="B11130" t="inlineStr">
        <is>
          <t>Jul-2018</t>
        </is>
      </c>
      <c r="C11130" s="2" t="n">
        <v>44102</v>
      </c>
      <c r="D11130" t="inlineStr">
        <is>
          <t>NIL</t>
        </is>
      </c>
      <c r="E11130" t="n">
        <v>433</v>
      </c>
    </row>
    <row r="11131">
      <c r="A11131" t="inlineStr">
        <is>
          <t>27BBBBB11131Z5</t>
        </is>
      </c>
      <c r="B11131" t="inlineStr">
        <is>
          <t>Apr-2020</t>
        </is>
      </c>
      <c r="C11131" s="2" t="n">
        <v>44038</v>
      </c>
      <c r="D11131" t="inlineStr">
        <is>
          <t>NON-NIL</t>
        </is>
      </c>
      <c r="E11131" t="n">
        <v>2949</v>
      </c>
    </row>
    <row r="11132">
      <c r="A11132" t="inlineStr">
        <is>
          <t>27BBBBB11132Z5</t>
        </is>
      </c>
      <c r="B11132" t="inlineStr">
        <is>
          <t>Mar-2021</t>
        </is>
      </c>
      <c r="C11132" s="2" t="n">
        <v>45429</v>
      </c>
      <c r="D11132" t="inlineStr">
        <is>
          <t>NON-NIL</t>
        </is>
      </c>
      <c r="E11132" t="n">
        <v>339</v>
      </c>
    </row>
    <row r="11133">
      <c r="A11133" t="inlineStr">
        <is>
          <t>27BBBBB11133Z5</t>
        </is>
      </c>
      <c r="B11133" t="inlineStr">
        <is>
          <t>Dec-2022</t>
        </is>
      </c>
      <c r="C11133" s="2" t="n">
        <v>43587</v>
      </c>
      <c r="D11133" t="inlineStr">
        <is>
          <t>NON-NIL</t>
        </is>
      </c>
      <c r="E11133" t="n">
        <v>1615</v>
      </c>
    </row>
    <row r="11134">
      <c r="A11134" t="inlineStr">
        <is>
          <t>27BBBBB11134Z5</t>
        </is>
      </c>
      <c r="B11134" t="inlineStr">
        <is>
          <t>Mar-2023</t>
        </is>
      </c>
      <c r="C11134" s="2" t="n">
        <v>45825</v>
      </c>
      <c r="D11134" t="inlineStr">
        <is>
          <t>NON-NIL</t>
        </is>
      </c>
      <c r="E11134" t="n">
        <v>1835</v>
      </c>
    </row>
    <row r="11135">
      <c r="A11135" t="inlineStr">
        <is>
          <t>27BBBBB11135Z5</t>
        </is>
      </c>
      <c r="B11135" t="inlineStr">
        <is>
          <t>Apr-2020</t>
        </is>
      </c>
      <c r="C11135" s="2" t="n">
        <v>44337</v>
      </c>
      <c r="D11135" t="inlineStr">
        <is>
          <t>NIL</t>
        </is>
      </c>
      <c r="E11135" t="n">
        <v>522</v>
      </c>
    </row>
    <row r="11136">
      <c r="A11136" t="inlineStr">
        <is>
          <t>27BBBBB11136Z5</t>
        </is>
      </c>
      <c r="B11136" t="inlineStr">
        <is>
          <t>Dec-2018</t>
        </is>
      </c>
      <c r="C11136" s="2" t="n">
        <v>43320</v>
      </c>
      <c r="D11136" t="inlineStr">
        <is>
          <t>NIL</t>
        </is>
      </c>
      <c r="E11136" t="n">
        <v>1899</v>
      </c>
    </row>
    <row r="11137">
      <c r="A11137" t="inlineStr">
        <is>
          <t>27BBBBB11137Z5</t>
        </is>
      </c>
      <c r="B11137" t="inlineStr">
        <is>
          <t>Mar-2023</t>
        </is>
      </c>
      <c r="C11137" s="2" t="n">
        <v>45692</v>
      </c>
      <c r="D11137" t="inlineStr">
        <is>
          <t>NIL</t>
        </is>
      </c>
      <c r="E11137" t="n">
        <v>2918</v>
      </c>
    </row>
    <row r="11138">
      <c r="A11138" t="inlineStr">
        <is>
          <t>27BBBBB11138Z5</t>
        </is>
      </c>
      <c r="B11138" t="inlineStr">
        <is>
          <t>Oct-2018</t>
        </is>
      </c>
      <c r="C11138" s="2" t="n">
        <v>43990</v>
      </c>
      <c r="D11138" t="inlineStr">
        <is>
          <t>NON-NIL</t>
        </is>
      </c>
      <c r="E11138" t="n">
        <v>2753</v>
      </c>
    </row>
    <row r="11139">
      <c r="A11139" t="inlineStr">
        <is>
          <t>27BBBBB11139Z5</t>
        </is>
      </c>
      <c r="B11139" t="inlineStr">
        <is>
          <t>Dec-2017</t>
        </is>
      </c>
      <c r="C11139" s="2" t="n">
        <v>43883</v>
      </c>
      <c r="D11139" t="inlineStr">
        <is>
          <t>NON-NIL</t>
        </is>
      </c>
      <c r="E11139" t="n">
        <v>2357</v>
      </c>
    </row>
    <row r="11140">
      <c r="A11140" t="inlineStr">
        <is>
          <t>27BBBBB11140Z5</t>
        </is>
      </c>
      <c r="B11140" t="inlineStr">
        <is>
          <t>Jul-2017</t>
        </is>
      </c>
      <c r="C11140" s="2" t="n">
        <v>44223</v>
      </c>
      <c r="D11140" t="inlineStr">
        <is>
          <t>NIL</t>
        </is>
      </c>
      <c r="E11140" t="n">
        <v>124</v>
      </c>
    </row>
    <row r="11141">
      <c r="A11141" t="inlineStr">
        <is>
          <t>27BBBBB11141Z5</t>
        </is>
      </c>
      <c r="B11141" t="inlineStr">
        <is>
          <t>May-2020</t>
        </is>
      </c>
      <c r="C11141" s="2" t="n">
        <v>43882</v>
      </c>
      <c r="D11141" t="inlineStr">
        <is>
          <t>NON-NIL</t>
        </is>
      </c>
      <c r="E11141" t="n">
        <v>1413</v>
      </c>
    </row>
    <row r="11142">
      <c r="A11142" t="inlineStr">
        <is>
          <t>27BBBBB11142Z5</t>
        </is>
      </c>
      <c r="B11142" t="inlineStr">
        <is>
          <t>Oct-2017</t>
        </is>
      </c>
      <c r="C11142" s="2" t="n">
        <v>43267</v>
      </c>
      <c r="D11142" t="inlineStr">
        <is>
          <t>NON-NIL</t>
        </is>
      </c>
      <c r="E11142" t="n">
        <v>2522</v>
      </c>
    </row>
    <row r="11143">
      <c r="A11143" t="inlineStr">
        <is>
          <t>27BBBBB11143Z5</t>
        </is>
      </c>
      <c r="B11143" t="inlineStr">
        <is>
          <t>Jun-2020</t>
        </is>
      </c>
      <c r="C11143" s="2" t="n">
        <v>44039</v>
      </c>
      <c r="D11143" t="inlineStr">
        <is>
          <t>NON-NIL</t>
        </is>
      </c>
      <c r="E11143" t="n">
        <v>1878</v>
      </c>
    </row>
    <row r="11144">
      <c r="A11144" t="inlineStr">
        <is>
          <t>27BBBBB11144Z5</t>
        </is>
      </c>
      <c r="B11144" t="inlineStr">
        <is>
          <t>Sep-2017</t>
        </is>
      </c>
      <c r="C11144" s="2" t="n">
        <v>43712</v>
      </c>
      <c r="D11144" t="inlineStr">
        <is>
          <t>NIL</t>
        </is>
      </c>
      <c r="E11144" t="n">
        <v>1009</v>
      </c>
    </row>
    <row r="11145">
      <c r="A11145" t="inlineStr">
        <is>
          <t>27BBBBB11145Z5</t>
        </is>
      </c>
      <c r="B11145" t="inlineStr">
        <is>
          <t>Oct-2018</t>
        </is>
      </c>
      <c r="C11145" s="2" t="n">
        <v>42995</v>
      </c>
      <c r="D11145" t="inlineStr">
        <is>
          <t>NIL</t>
        </is>
      </c>
      <c r="E11145" t="n">
        <v>2062</v>
      </c>
    </row>
    <row r="11146">
      <c r="A11146" t="inlineStr">
        <is>
          <t>27BBBBB11146Z5</t>
        </is>
      </c>
      <c r="B11146" t="inlineStr">
        <is>
          <t>Jun-2020</t>
        </is>
      </c>
      <c r="C11146" s="2" t="n">
        <v>44080</v>
      </c>
      <c r="D11146" t="inlineStr">
        <is>
          <t>NIL</t>
        </is>
      </c>
      <c r="E11146" t="n">
        <v>94</v>
      </c>
    </row>
    <row r="11147">
      <c r="A11147" t="inlineStr">
        <is>
          <t>27BBBBB11147Z5</t>
        </is>
      </c>
      <c r="B11147" t="inlineStr">
        <is>
          <t>Jul-2020</t>
        </is>
      </c>
      <c r="C11147" s="2" t="n">
        <v>44740</v>
      </c>
      <c r="D11147" t="inlineStr">
        <is>
          <t>NIL</t>
        </is>
      </c>
      <c r="E11147" t="n">
        <v>1439</v>
      </c>
    </row>
    <row r="11148">
      <c r="A11148" t="inlineStr">
        <is>
          <t>27BBBBB11148Z5</t>
        </is>
      </c>
      <c r="B11148" t="inlineStr">
        <is>
          <t>Jun-2018</t>
        </is>
      </c>
      <c r="C11148" s="2" t="n">
        <v>43264</v>
      </c>
      <c r="D11148" t="inlineStr">
        <is>
          <t>NON-NIL</t>
        </is>
      </c>
      <c r="E11148" t="n">
        <v>2105</v>
      </c>
    </row>
    <row r="11149">
      <c r="A11149" t="inlineStr">
        <is>
          <t>27BBBBB11149Z5</t>
        </is>
      </c>
      <c r="B11149" t="inlineStr">
        <is>
          <t>Mar-2018</t>
        </is>
      </c>
      <c r="C11149" s="2" t="n">
        <v>43669</v>
      </c>
      <c r="D11149" t="inlineStr">
        <is>
          <t>NIL</t>
        </is>
      </c>
      <c r="E11149" t="n">
        <v>587</v>
      </c>
    </row>
    <row r="11150">
      <c r="A11150" t="inlineStr">
        <is>
          <t>27BBBBB11150Z5</t>
        </is>
      </c>
      <c r="B11150" t="inlineStr">
        <is>
          <t>Sep-2018</t>
        </is>
      </c>
      <c r="C11150" s="2" t="n">
        <v>44415</v>
      </c>
      <c r="D11150" t="inlineStr">
        <is>
          <t>NIL</t>
        </is>
      </c>
      <c r="E11150" t="n">
        <v>10</v>
      </c>
    </row>
    <row r="11151">
      <c r="A11151" t="inlineStr">
        <is>
          <t>27BBBBB11151Z5</t>
        </is>
      </c>
      <c r="B11151" t="inlineStr">
        <is>
          <t>Jun-2018</t>
        </is>
      </c>
      <c r="C11151" s="2" t="n">
        <v>44266</v>
      </c>
      <c r="D11151" t="inlineStr">
        <is>
          <t>NIL</t>
        </is>
      </c>
      <c r="E11151" t="n">
        <v>2747</v>
      </c>
    </row>
    <row r="11152">
      <c r="A11152" t="inlineStr">
        <is>
          <t>27BBBBB11152Z5</t>
        </is>
      </c>
      <c r="B11152" t="inlineStr">
        <is>
          <t>Nov-2018</t>
        </is>
      </c>
      <c r="C11152" s="2" t="n">
        <v>44346</v>
      </c>
      <c r="D11152" t="inlineStr">
        <is>
          <t>NIL</t>
        </is>
      </c>
      <c r="E11152" t="n">
        <v>1263</v>
      </c>
    </row>
    <row r="11153">
      <c r="A11153" t="inlineStr">
        <is>
          <t>27BBBBB11153Z5</t>
        </is>
      </c>
      <c r="B11153" t="inlineStr">
        <is>
          <t>Mar-2021</t>
        </is>
      </c>
      <c r="C11153" s="2" t="n">
        <v>45690</v>
      </c>
      <c r="D11153" t="inlineStr">
        <is>
          <t>NON-NIL</t>
        </is>
      </c>
      <c r="E11153" t="n">
        <v>2753</v>
      </c>
    </row>
    <row r="11154">
      <c r="A11154" t="inlineStr">
        <is>
          <t>27BBBBB11154Z5</t>
        </is>
      </c>
      <c r="B11154" t="inlineStr">
        <is>
          <t>Sep-2018</t>
        </is>
      </c>
      <c r="C11154" s="2" t="n">
        <v>44034</v>
      </c>
      <c r="D11154" t="inlineStr">
        <is>
          <t>NON-NIL</t>
        </is>
      </c>
      <c r="E11154" t="n">
        <v>447</v>
      </c>
    </row>
    <row r="11155">
      <c r="A11155" t="inlineStr">
        <is>
          <t>27BBBBB11155Z5</t>
        </is>
      </c>
      <c r="B11155" t="inlineStr">
        <is>
          <t>Jun-2018</t>
        </is>
      </c>
      <c r="C11155" s="2" t="n">
        <v>44461</v>
      </c>
      <c r="D11155" t="inlineStr">
        <is>
          <t>NON-NIL</t>
        </is>
      </c>
      <c r="E11155" t="n">
        <v>1949</v>
      </c>
    </row>
    <row r="11156">
      <c r="A11156" t="inlineStr">
        <is>
          <t>27BBBBB11156Z5</t>
        </is>
      </c>
      <c r="B11156" t="inlineStr">
        <is>
          <t>Mar-2020</t>
        </is>
      </c>
      <c r="C11156" s="2" t="n">
        <v>44739</v>
      </c>
      <c r="D11156" t="inlineStr">
        <is>
          <t>NIL</t>
        </is>
      </c>
      <c r="E11156" t="n">
        <v>2073</v>
      </c>
    </row>
    <row r="11157">
      <c r="A11157" t="inlineStr">
        <is>
          <t>27BBBBB11157Z5</t>
        </is>
      </c>
      <c r="B11157" t="inlineStr">
        <is>
          <t>Aug-2018</t>
        </is>
      </c>
      <c r="C11157" s="2" t="n">
        <v>44040</v>
      </c>
      <c r="D11157" t="inlineStr">
        <is>
          <t>NON-NIL</t>
        </is>
      </c>
      <c r="E11157" t="n">
        <v>1907</v>
      </c>
    </row>
    <row r="11158">
      <c r="A11158" t="inlineStr">
        <is>
          <t>27BBBBB11158Z5</t>
        </is>
      </c>
      <c r="B11158" t="inlineStr">
        <is>
          <t>Aug-2018</t>
        </is>
      </c>
      <c r="C11158" s="2" t="n">
        <v>43174</v>
      </c>
      <c r="D11158" t="inlineStr">
        <is>
          <t>NON-NIL</t>
        </is>
      </c>
      <c r="E11158" t="n">
        <v>2851</v>
      </c>
    </row>
    <row r="11159">
      <c r="A11159" t="inlineStr">
        <is>
          <t>27BBBBB11159Z5</t>
        </is>
      </c>
      <c r="B11159" t="inlineStr">
        <is>
          <t>Jan-2021</t>
        </is>
      </c>
      <c r="C11159" s="2" t="n">
        <v>45826</v>
      </c>
      <c r="D11159" t="inlineStr">
        <is>
          <t>NON-NIL</t>
        </is>
      </c>
      <c r="E11159" t="n">
        <v>1843</v>
      </c>
    </row>
    <row r="11160">
      <c r="A11160" t="inlineStr">
        <is>
          <t>27BBBBB11160Z5</t>
        </is>
      </c>
      <c r="B11160" t="inlineStr">
        <is>
          <t>Dec-2017</t>
        </is>
      </c>
      <c r="C11160" s="2" t="n">
        <v>44456</v>
      </c>
      <c r="D11160" t="inlineStr">
        <is>
          <t>NIL</t>
        </is>
      </c>
      <c r="E11160" t="n">
        <v>807</v>
      </c>
    </row>
    <row r="11161">
      <c r="A11161" t="inlineStr">
        <is>
          <t>27BBBBB11161Z5</t>
        </is>
      </c>
      <c r="B11161" t="inlineStr">
        <is>
          <t>Apr-2018</t>
        </is>
      </c>
      <c r="C11161" s="2" t="n">
        <v>43708</v>
      </c>
      <c r="D11161" t="inlineStr">
        <is>
          <t>NIL</t>
        </is>
      </c>
      <c r="E11161" t="n">
        <v>2837</v>
      </c>
    </row>
    <row r="11162">
      <c r="A11162" t="inlineStr">
        <is>
          <t>27BBBBB11162Z5</t>
        </is>
      </c>
      <c r="B11162" t="inlineStr">
        <is>
          <t>Sep-2018</t>
        </is>
      </c>
      <c r="C11162" s="2" t="n">
        <v>43964</v>
      </c>
      <c r="D11162" t="inlineStr">
        <is>
          <t>NIL</t>
        </is>
      </c>
      <c r="E11162" t="n">
        <v>2012</v>
      </c>
    </row>
    <row r="11163">
      <c r="A11163" t="inlineStr">
        <is>
          <t>27BBBBB11163Z5</t>
        </is>
      </c>
      <c r="B11163" t="inlineStr">
        <is>
          <t>Oct-2018</t>
        </is>
      </c>
      <c r="C11163" s="2" t="n">
        <v>43090</v>
      </c>
      <c r="D11163" t="inlineStr">
        <is>
          <t>NIL</t>
        </is>
      </c>
      <c r="E11163" t="n">
        <v>2780</v>
      </c>
    </row>
    <row r="11164">
      <c r="A11164" t="inlineStr">
        <is>
          <t>27BBBBB11164Z5</t>
        </is>
      </c>
      <c r="B11164" t="inlineStr">
        <is>
          <t>May-2020</t>
        </is>
      </c>
      <c r="C11164" s="2" t="n">
        <v>44152</v>
      </c>
      <c r="D11164" t="inlineStr">
        <is>
          <t>NIL</t>
        </is>
      </c>
      <c r="E11164" t="n">
        <v>844</v>
      </c>
    </row>
    <row r="11165">
      <c r="A11165" t="inlineStr">
        <is>
          <t>27BBBBB11165Z5</t>
        </is>
      </c>
      <c r="B11165" t="inlineStr">
        <is>
          <t>Oct-2018</t>
        </is>
      </c>
      <c r="C11165" s="2" t="n">
        <v>44011</v>
      </c>
      <c r="D11165" t="inlineStr">
        <is>
          <t>NON-NIL</t>
        </is>
      </c>
      <c r="E11165" t="n">
        <v>1058</v>
      </c>
    </row>
    <row r="11166">
      <c r="A11166" t="inlineStr">
        <is>
          <t>27BBBBB11166Z5</t>
        </is>
      </c>
      <c r="B11166" t="inlineStr">
        <is>
          <t>Oct-2017</t>
        </is>
      </c>
      <c r="C11166" s="2" t="n">
        <v>43171</v>
      </c>
      <c r="D11166" t="inlineStr">
        <is>
          <t>NON-NIL</t>
        </is>
      </c>
      <c r="E11166" t="n">
        <v>1854</v>
      </c>
    </row>
    <row r="11167">
      <c r="A11167" t="inlineStr">
        <is>
          <t>27BBBBB11167Z5</t>
        </is>
      </c>
      <c r="B11167" t="inlineStr">
        <is>
          <t>Mar-2018</t>
        </is>
      </c>
      <c r="C11167" s="2" t="n">
        <v>43881</v>
      </c>
      <c r="D11167" t="inlineStr">
        <is>
          <t>NIL</t>
        </is>
      </c>
      <c r="E11167" t="n">
        <v>1874</v>
      </c>
    </row>
    <row r="11168">
      <c r="A11168" t="inlineStr">
        <is>
          <t>27BBBBB11168Z5</t>
        </is>
      </c>
      <c r="B11168" t="inlineStr">
        <is>
          <t>Mar-2020</t>
        </is>
      </c>
      <c r="C11168" s="2" t="n">
        <v>44239</v>
      </c>
      <c r="D11168" t="inlineStr">
        <is>
          <t>NON-NIL</t>
        </is>
      </c>
      <c r="E11168" t="n">
        <v>2111</v>
      </c>
    </row>
    <row r="11169">
      <c r="A11169" t="inlineStr">
        <is>
          <t>27BBBBB11169Z5</t>
        </is>
      </c>
      <c r="B11169" t="inlineStr">
        <is>
          <t>Mar-2018</t>
        </is>
      </c>
      <c r="C11169" s="2" t="n">
        <v>44011</v>
      </c>
      <c r="D11169" t="inlineStr">
        <is>
          <t>NON-NIL</t>
        </is>
      </c>
      <c r="E11169" t="n">
        <v>2205</v>
      </c>
    </row>
    <row r="11170">
      <c r="A11170" t="inlineStr">
        <is>
          <t>27BBBBB11170Z5</t>
        </is>
      </c>
      <c r="B11170" t="inlineStr">
        <is>
          <t>Aug-2018</t>
        </is>
      </c>
      <c r="C11170" s="2" t="n">
        <v>44462</v>
      </c>
      <c r="D11170" t="inlineStr">
        <is>
          <t>NIL</t>
        </is>
      </c>
      <c r="E11170" t="n">
        <v>2280</v>
      </c>
    </row>
    <row r="11171">
      <c r="A11171" t="inlineStr">
        <is>
          <t>27BBBBB11171Z5</t>
        </is>
      </c>
      <c r="B11171" t="inlineStr">
        <is>
          <t>Dec-2017</t>
        </is>
      </c>
      <c r="C11171" s="2" t="n">
        <v>43469</v>
      </c>
      <c r="D11171" t="inlineStr">
        <is>
          <t>NON-NIL</t>
        </is>
      </c>
      <c r="E11171" t="n">
        <v>2443</v>
      </c>
    </row>
    <row r="11172">
      <c r="A11172" t="inlineStr">
        <is>
          <t>27BBBBB11172Z5</t>
        </is>
      </c>
      <c r="B11172" t="inlineStr">
        <is>
          <t>Dec-2018</t>
        </is>
      </c>
      <c r="C11172" s="2" t="n">
        <v>43828</v>
      </c>
      <c r="D11172" t="inlineStr">
        <is>
          <t>NIL</t>
        </is>
      </c>
      <c r="E11172" t="n">
        <v>2578</v>
      </c>
    </row>
    <row r="11173">
      <c r="A11173" t="inlineStr">
        <is>
          <t>27BBBBB11173Z5</t>
        </is>
      </c>
      <c r="B11173" t="inlineStr">
        <is>
          <t>Aug-2018</t>
        </is>
      </c>
      <c r="C11173" s="2" t="n">
        <v>44010</v>
      </c>
      <c r="D11173" t="inlineStr">
        <is>
          <t>NON-NIL</t>
        </is>
      </c>
      <c r="E11173" t="n">
        <v>1435</v>
      </c>
    </row>
    <row r="11174">
      <c r="A11174" t="inlineStr">
        <is>
          <t>27BBBBB11174Z5</t>
        </is>
      </c>
      <c r="B11174" t="inlineStr">
        <is>
          <t>Sep-2017</t>
        </is>
      </c>
      <c r="C11174" s="2" t="n">
        <v>43375</v>
      </c>
      <c r="D11174" t="inlineStr">
        <is>
          <t>NIL</t>
        </is>
      </c>
      <c r="E11174" t="n">
        <v>669</v>
      </c>
    </row>
    <row r="11175">
      <c r="A11175" t="inlineStr">
        <is>
          <t>27BBBBB11175Z5</t>
        </is>
      </c>
      <c r="B11175" t="inlineStr">
        <is>
          <t>Oct-2018</t>
        </is>
      </c>
      <c r="C11175" s="2" t="n">
        <v>44213</v>
      </c>
      <c r="D11175" t="inlineStr">
        <is>
          <t>NON-NIL</t>
        </is>
      </c>
      <c r="E11175" t="n">
        <v>874</v>
      </c>
    </row>
    <row r="11176">
      <c r="A11176" t="inlineStr">
        <is>
          <t>27BBBBB11176Z5</t>
        </is>
      </c>
      <c r="B11176" t="inlineStr">
        <is>
          <t>Sep-2017</t>
        </is>
      </c>
      <c r="C11176" s="2" t="n">
        <v>43592</v>
      </c>
      <c r="D11176" t="inlineStr">
        <is>
          <t>NIL</t>
        </is>
      </c>
      <c r="E11176" t="n">
        <v>2194</v>
      </c>
    </row>
    <row r="11177">
      <c r="A11177" t="inlineStr">
        <is>
          <t>27BBBBB11177Z5</t>
        </is>
      </c>
      <c r="B11177" t="inlineStr">
        <is>
          <t>Sep-2017</t>
        </is>
      </c>
      <c r="C11177" s="2" t="n">
        <v>43650</v>
      </c>
      <c r="D11177" t="inlineStr">
        <is>
          <t>NIL</t>
        </is>
      </c>
      <c r="E11177" t="n">
        <v>1141</v>
      </c>
    </row>
    <row r="11178">
      <c r="A11178" t="inlineStr">
        <is>
          <t>27BBBBB11178Z5</t>
        </is>
      </c>
      <c r="B11178" t="inlineStr">
        <is>
          <t>Mar-2023</t>
        </is>
      </c>
      <c r="C11178" s="2" t="n">
        <v>44250</v>
      </c>
      <c r="D11178" t="inlineStr">
        <is>
          <t>NON-NIL</t>
        </is>
      </c>
      <c r="E11178" t="n">
        <v>2620</v>
      </c>
    </row>
    <row r="11179">
      <c r="A11179" t="inlineStr">
        <is>
          <t>27BBBBB11179Z5</t>
        </is>
      </c>
      <c r="B11179" t="inlineStr">
        <is>
          <t>Oct-2017</t>
        </is>
      </c>
      <c r="C11179" s="2" t="n">
        <v>44432</v>
      </c>
      <c r="D11179" t="inlineStr">
        <is>
          <t>NIL</t>
        </is>
      </c>
      <c r="E11179" t="n">
        <v>2431</v>
      </c>
    </row>
    <row r="11180">
      <c r="A11180" t="inlineStr">
        <is>
          <t>27BBBBB11180Z5</t>
        </is>
      </c>
      <c r="B11180" t="inlineStr">
        <is>
          <t>Mar-2023</t>
        </is>
      </c>
      <c r="C11180" s="2" t="n">
        <v>43896</v>
      </c>
      <c r="D11180" t="inlineStr">
        <is>
          <t>NON-NIL</t>
        </is>
      </c>
      <c r="E11180" t="n">
        <v>2846</v>
      </c>
    </row>
    <row r="11181">
      <c r="A11181" t="inlineStr">
        <is>
          <t>27BBBBB11181Z5</t>
        </is>
      </c>
      <c r="B11181" t="inlineStr">
        <is>
          <t>Oct-2017</t>
        </is>
      </c>
      <c r="C11181" s="2" t="n">
        <v>44305</v>
      </c>
      <c r="D11181" t="inlineStr">
        <is>
          <t>NON-NIL</t>
        </is>
      </c>
      <c r="E11181" t="n">
        <v>867</v>
      </c>
    </row>
    <row r="11182">
      <c r="A11182" t="inlineStr">
        <is>
          <t>27BBBBB11182Z5</t>
        </is>
      </c>
      <c r="B11182" t="inlineStr">
        <is>
          <t>Apr-2020</t>
        </is>
      </c>
      <c r="C11182" s="2" t="n">
        <v>44418</v>
      </c>
      <c r="D11182" t="inlineStr">
        <is>
          <t>NON-NIL</t>
        </is>
      </c>
      <c r="E11182" t="n">
        <v>351</v>
      </c>
    </row>
    <row r="11183">
      <c r="A11183" t="inlineStr">
        <is>
          <t>27BBBBB11183Z5</t>
        </is>
      </c>
      <c r="B11183" t="inlineStr">
        <is>
          <t>Jun-2020</t>
        </is>
      </c>
      <c r="C11183" s="2" t="n">
        <v>44161</v>
      </c>
      <c r="D11183" t="inlineStr">
        <is>
          <t>NON-NIL</t>
        </is>
      </c>
      <c r="E11183" t="n">
        <v>2854</v>
      </c>
    </row>
    <row r="11184">
      <c r="A11184" t="inlineStr">
        <is>
          <t>27BBBBB11184Z5</t>
        </is>
      </c>
      <c r="B11184" t="inlineStr">
        <is>
          <t>Nov-2018</t>
        </is>
      </c>
      <c r="C11184" s="2" t="n">
        <v>44071</v>
      </c>
      <c r="D11184" t="inlineStr">
        <is>
          <t>NIL</t>
        </is>
      </c>
      <c r="E11184" t="n">
        <v>793</v>
      </c>
    </row>
    <row r="11185">
      <c r="A11185" t="inlineStr">
        <is>
          <t>27BBBBB11185Z5</t>
        </is>
      </c>
      <c r="B11185" t="inlineStr">
        <is>
          <t>Mar-2021</t>
        </is>
      </c>
      <c r="C11185" s="2" t="n">
        <v>43484</v>
      </c>
      <c r="D11185" t="inlineStr">
        <is>
          <t>NIL</t>
        </is>
      </c>
      <c r="E11185" t="n">
        <v>2037</v>
      </c>
    </row>
    <row r="11186">
      <c r="A11186" t="inlineStr">
        <is>
          <t>27BBBBB11186Z5</t>
        </is>
      </c>
      <c r="B11186" t="inlineStr">
        <is>
          <t>Apr-2020</t>
        </is>
      </c>
      <c r="C11186" s="2" t="n">
        <v>44037</v>
      </c>
      <c r="D11186" t="inlineStr">
        <is>
          <t>NIL</t>
        </is>
      </c>
      <c r="E11186" t="n">
        <v>2875</v>
      </c>
    </row>
    <row r="11187">
      <c r="A11187" t="inlineStr">
        <is>
          <t>27BBBBB11187Z5</t>
        </is>
      </c>
      <c r="B11187" t="inlineStr">
        <is>
          <t>May-2018</t>
        </is>
      </c>
      <c r="C11187" s="2" t="n">
        <v>44160</v>
      </c>
      <c r="D11187" t="inlineStr">
        <is>
          <t>NON-NIL</t>
        </is>
      </c>
      <c r="E11187" t="n">
        <v>587</v>
      </c>
    </row>
    <row r="11188">
      <c r="A11188" t="inlineStr">
        <is>
          <t>27BBBBB11188Z5</t>
        </is>
      </c>
      <c r="B11188" t="inlineStr">
        <is>
          <t>Dec-2022</t>
        </is>
      </c>
      <c r="C11188" s="2" t="n">
        <v>44545</v>
      </c>
      <c r="D11188" t="inlineStr">
        <is>
          <t>NIL</t>
        </is>
      </c>
      <c r="E11188" t="n">
        <v>1184</v>
      </c>
    </row>
    <row r="11189">
      <c r="A11189" t="inlineStr">
        <is>
          <t>27BBBBB11189Z5</t>
        </is>
      </c>
      <c r="B11189" t="inlineStr">
        <is>
          <t>Feb-2018</t>
        </is>
      </c>
      <c r="C11189" s="2" t="n">
        <v>43026</v>
      </c>
      <c r="D11189" t="inlineStr">
        <is>
          <t>NON-NIL</t>
        </is>
      </c>
      <c r="E11189" t="n">
        <v>1926</v>
      </c>
    </row>
    <row r="11190">
      <c r="A11190" t="inlineStr">
        <is>
          <t>27BBBBB11190Z5</t>
        </is>
      </c>
      <c r="B11190" t="inlineStr">
        <is>
          <t>Dec-2024</t>
        </is>
      </c>
      <c r="C11190" s="2" t="n">
        <v>44681</v>
      </c>
      <c r="D11190" t="inlineStr">
        <is>
          <t>NIL</t>
        </is>
      </c>
      <c r="E11190" t="n">
        <v>1618</v>
      </c>
    </row>
    <row r="11191">
      <c r="A11191" t="inlineStr">
        <is>
          <t>27BBBBB11191Z5</t>
        </is>
      </c>
      <c r="B11191" t="inlineStr">
        <is>
          <t>Oct-2018</t>
        </is>
      </c>
      <c r="C11191" s="2" t="n">
        <v>43153</v>
      </c>
      <c r="D11191" t="inlineStr">
        <is>
          <t>NIL</t>
        </is>
      </c>
      <c r="E11191" t="n">
        <v>965</v>
      </c>
    </row>
    <row r="11192">
      <c r="A11192" t="inlineStr">
        <is>
          <t>27BBBBB11192Z5</t>
        </is>
      </c>
      <c r="B11192" t="inlineStr">
        <is>
          <t>Mar-2020</t>
        </is>
      </c>
      <c r="C11192" s="2" t="n">
        <v>44904</v>
      </c>
      <c r="D11192" t="inlineStr">
        <is>
          <t>NIL</t>
        </is>
      </c>
      <c r="E11192" t="n">
        <v>877</v>
      </c>
    </row>
    <row r="11193">
      <c r="A11193" t="inlineStr">
        <is>
          <t>27BBBBB11193Z5</t>
        </is>
      </c>
      <c r="B11193" t="inlineStr">
        <is>
          <t>Jul-2020</t>
        </is>
      </c>
      <c r="C11193" s="2" t="n">
        <v>44852</v>
      </c>
      <c r="D11193" t="inlineStr">
        <is>
          <t>NON-NIL</t>
        </is>
      </c>
      <c r="E11193" t="n">
        <v>2175</v>
      </c>
    </row>
    <row r="11194">
      <c r="A11194" t="inlineStr">
        <is>
          <t>27BBBBB11194Z5</t>
        </is>
      </c>
      <c r="B11194" t="inlineStr">
        <is>
          <t>Dec-2018</t>
        </is>
      </c>
      <c r="C11194" s="2" t="n">
        <v>43903</v>
      </c>
      <c r="D11194" t="inlineStr">
        <is>
          <t>NON-NIL</t>
        </is>
      </c>
      <c r="E11194" t="n">
        <v>725</v>
      </c>
    </row>
    <row r="11195">
      <c r="A11195" t="inlineStr">
        <is>
          <t>27BBBBB11195Z5</t>
        </is>
      </c>
      <c r="B11195" t="inlineStr">
        <is>
          <t>Dec-2022</t>
        </is>
      </c>
      <c r="C11195" s="2" t="n">
        <v>44590</v>
      </c>
      <c r="D11195" t="inlineStr">
        <is>
          <t>NIL</t>
        </is>
      </c>
      <c r="E11195" t="n">
        <v>2017</v>
      </c>
    </row>
    <row r="11196">
      <c r="A11196" t="inlineStr">
        <is>
          <t>27BBBBB11196Z5</t>
        </is>
      </c>
      <c r="B11196" t="inlineStr">
        <is>
          <t>Nov-2017</t>
        </is>
      </c>
      <c r="C11196" s="2" t="n">
        <v>43551</v>
      </c>
      <c r="D11196" t="inlineStr">
        <is>
          <t>NIL</t>
        </is>
      </c>
      <c r="E11196" t="n">
        <v>1778</v>
      </c>
    </row>
    <row r="11197">
      <c r="A11197" t="inlineStr">
        <is>
          <t>27BBBBB11197Z5</t>
        </is>
      </c>
      <c r="B11197" t="inlineStr">
        <is>
          <t>Jan-2021</t>
        </is>
      </c>
      <c r="C11197" s="2" t="n">
        <v>45377</v>
      </c>
      <c r="D11197" t="inlineStr">
        <is>
          <t>NON-NIL</t>
        </is>
      </c>
      <c r="E11197" t="n">
        <v>518</v>
      </c>
    </row>
    <row r="11198">
      <c r="A11198" t="inlineStr">
        <is>
          <t>27BBBBB11198Z5</t>
        </is>
      </c>
      <c r="B11198" t="inlineStr">
        <is>
          <t>Jan-2018</t>
        </is>
      </c>
      <c r="C11198" s="2" t="n">
        <v>44415</v>
      </c>
      <c r="D11198" t="inlineStr">
        <is>
          <t>NON-NIL</t>
        </is>
      </c>
      <c r="E11198" t="n">
        <v>1701</v>
      </c>
    </row>
    <row r="11199">
      <c r="A11199" t="inlineStr">
        <is>
          <t>27BBBBB11199Z5</t>
        </is>
      </c>
      <c r="B11199" t="inlineStr">
        <is>
          <t>Feb-2018</t>
        </is>
      </c>
      <c r="C11199" s="2" t="n">
        <v>43873</v>
      </c>
      <c r="D11199" t="inlineStr">
        <is>
          <t>NIL</t>
        </is>
      </c>
      <c r="E11199" t="n">
        <v>64</v>
      </c>
    </row>
    <row r="11200">
      <c r="A11200" t="inlineStr">
        <is>
          <t>27BBBBB11200Z5</t>
        </is>
      </c>
      <c r="B11200" t="inlineStr">
        <is>
          <t>Jun-2020</t>
        </is>
      </c>
      <c r="C11200" s="2" t="n">
        <v>44878</v>
      </c>
      <c r="D11200" t="inlineStr">
        <is>
          <t>NON-NIL</t>
        </is>
      </c>
      <c r="E11200" t="n">
        <v>781</v>
      </c>
    </row>
    <row r="11201">
      <c r="A11201" t="inlineStr">
        <is>
          <t>27BBBBB11201Z5</t>
        </is>
      </c>
      <c r="B11201" t="inlineStr">
        <is>
          <t>Jan-2018</t>
        </is>
      </c>
      <c r="C11201" s="2" t="n">
        <v>43617</v>
      </c>
      <c r="D11201" t="inlineStr">
        <is>
          <t>NON-NIL</t>
        </is>
      </c>
      <c r="E11201" t="n">
        <v>307</v>
      </c>
    </row>
    <row r="11202">
      <c r="A11202" t="inlineStr">
        <is>
          <t>27BBBBB11202Z5</t>
        </is>
      </c>
      <c r="B11202" t="inlineStr">
        <is>
          <t>Dec-2022</t>
        </is>
      </c>
      <c r="C11202" s="2" t="n">
        <v>44259</v>
      </c>
      <c r="D11202" t="inlineStr">
        <is>
          <t>NIL</t>
        </is>
      </c>
      <c r="E11202" t="n">
        <v>2180</v>
      </c>
    </row>
    <row r="11203">
      <c r="A11203" t="inlineStr">
        <is>
          <t>27BBBBB11203Z5</t>
        </is>
      </c>
      <c r="B11203" t="inlineStr">
        <is>
          <t>May-2018</t>
        </is>
      </c>
      <c r="C11203" s="2" t="n">
        <v>43205</v>
      </c>
      <c r="D11203" t="inlineStr">
        <is>
          <t>NON-NIL</t>
        </is>
      </c>
      <c r="E11203" t="n">
        <v>2037</v>
      </c>
    </row>
    <row r="11204">
      <c r="A11204" t="inlineStr">
        <is>
          <t>27BBBBB11204Z5</t>
        </is>
      </c>
      <c r="B11204" t="inlineStr">
        <is>
          <t>Sep-2017</t>
        </is>
      </c>
      <c r="C11204" s="2" t="n">
        <v>44096</v>
      </c>
      <c r="D11204" t="inlineStr">
        <is>
          <t>NON-NIL</t>
        </is>
      </c>
      <c r="E11204" t="n">
        <v>937</v>
      </c>
    </row>
    <row r="11205">
      <c r="A11205" t="inlineStr">
        <is>
          <t>27BBBBB11205Z5</t>
        </is>
      </c>
      <c r="B11205" t="inlineStr">
        <is>
          <t>Jun-2018</t>
        </is>
      </c>
      <c r="C11205" s="2" t="n">
        <v>43347</v>
      </c>
      <c r="D11205" t="inlineStr">
        <is>
          <t>NIL</t>
        </is>
      </c>
      <c r="E11205" t="n">
        <v>1864</v>
      </c>
    </row>
    <row r="11206">
      <c r="A11206" t="inlineStr">
        <is>
          <t>27BBBBB11206Z5</t>
        </is>
      </c>
      <c r="B11206" t="inlineStr">
        <is>
          <t>Sep-2018</t>
        </is>
      </c>
      <c r="C11206" s="2" t="n">
        <v>44495</v>
      </c>
      <c r="D11206" t="inlineStr">
        <is>
          <t>NIL</t>
        </is>
      </c>
      <c r="E11206" t="n">
        <v>488</v>
      </c>
    </row>
    <row r="11207">
      <c r="A11207" t="inlineStr">
        <is>
          <t>27BBBBB11207Z5</t>
        </is>
      </c>
      <c r="B11207" t="inlineStr">
        <is>
          <t>Nov-2018</t>
        </is>
      </c>
      <c r="C11207" s="2" t="n">
        <v>43872</v>
      </c>
      <c r="D11207" t="inlineStr">
        <is>
          <t>NIL</t>
        </is>
      </c>
      <c r="E11207" t="n">
        <v>1547</v>
      </c>
    </row>
    <row r="11208">
      <c r="A11208" t="inlineStr">
        <is>
          <t>27BBBBB11208Z5</t>
        </is>
      </c>
      <c r="B11208" t="inlineStr">
        <is>
          <t>Jun-2020</t>
        </is>
      </c>
      <c r="C11208" s="2" t="n">
        <v>44232</v>
      </c>
      <c r="D11208" t="inlineStr">
        <is>
          <t>NON-NIL</t>
        </is>
      </c>
      <c r="E11208" t="n">
        <v>1282</v>
      </c>
    </row>
    <row r="11209">
      <c r="A11209" t="inlineStr">
        <is>
          <t>27BBBBB11209Z5</t>
        </is>
      </c>
      <c r="B11209" t="inlineStr">
        <is>
          <t>Dec-2024</t>
        </is>
      </c>
      <c r="C11209" s="2" t="n">
        <v>45459</v>
      </c>
      <c r="D11209" t="inlineStr">
        <is>
          <t>NON-NIL</t>
        </is>
      </c>
      <c r="E11209" t="n">
        <v>2102</v>
      </c>
    </row>
    <row r="11210">
      <c r="A11210" t="inlineStr">
        <is>
          <t>27BBBBB11210Z5</t>
        </is>
      </c>
      <c r="B11210" t="inlineStr">
        <is>
          <t>Feb-2018</t>
        </is>
      </c>
      <c r="C11210" s="2" t="n">
        <v>44080</v>
      </c>
      <c r="D11210" t="inlineStr">
        <is>
          <t>NON-NIL</t>
        </is>
      </c>
      <c r="E11210" t="n">
        <v>1187</v>
      </c>
    </row>
    <row r="11211">
      <c r="A11211" t="inlineStr">
        <is>
          <t>27BBBBB11211Z5</t>
        </is>
      </c>
      <c r="B11211" t="inlineStr">
        <is>
          <t>Oct-2017</t>
        </is>
      </c>
      <c r="C11211" s="2" t="n">
        <v>43358</v>
      </c>
      <c r="D11211" t="inlineStr">
        <is>
          <t>NON-NIL</t>
        </is>
      </c>
      <c r="E11211" t="n">
        <v>953</v>
      </c>
    </row>
    <row r="11212">
      <c r="A11212" t="inlineStr">
        <is>
          <t>27BBBBB11212Z5</t>
        </is>
      </c>
      <c r="B11212" t="inlineStr">
        <is>
          <t>Oct-2017</t>
        </is>
      </c>
      <c r="C11212" s="2" t="n">
        <v>44376</v>
      </c>
      <c r="D11212" t="inlineStr">
        <is>
          <t>NIL</t>
        </is>
      </c>
      <c r="E11212" t="n">
        <v>774</v>
      </c>
    </row>
    <row r="11213">
      <c r="A11213" t="inlineStr">
        <is>
          <t>27BBBBB11213Z5</t>
        </is>
      </c>
      <c r="B11213" t="inlineStr">
        <is>
          <t>Jun-2020</t>
        </is>
      </c>
      <c r="C11213" s="2" t="n">
        <v>44363</v>
      </c>
      <c r="D11213" t="inlineStr">
        <is>
          <t>NON-NIL</t>
        </is>
      </c>
      <c r="E11213" t="n">
        <v>2592</v>
      </c>
    </row>
    <row r="11214">
      <c r="A11214" t="inlineStr">
        <is>
          <t>27BBBBB11214Z5</t>
        </is>
      </c>
      <c r="B11214" t="inlineStr">
        <is>
          <t>Apr-2020</t>
        </is>
      </c>
      <c r="C11214" s="2" t="n">
        <v>44174</v>
      </c>
      <c r="D11214" t="inlineStr">
        <is>
          <t>NON-NIL</t>
        </is>
      </c>
      <c r="E11214" t="n">
        <v>2096</v>
      </c>
    </row>
    <row r="11215">
      <c r="A11215" t="inlineStr">
        <is>
          <t>27BBBBB11215Z5</t>
        </is>
      </c>
      <c r="B11215" t="inlineStr">
        <is>
          <t>Mar-2023</t>
        </is>
      </c>
      <c r="C11215" s="2" t="n">
        <v>44391</v>
      </c>
      <c r="D11215" t="inlineStr">
        <is>
          <t>NON-NIL</t>
        </is>
      </c>
      <c r="E11215" t="n">
        <v>203</v>
      </c>
    </row>
    <row r="11216">
      <c r="A11216" t="inlineStr">
        <is>
          <t>27BBBBB11216Z5</t>
        </is>
      </c>
      <c r="B11216" t="inlineStr">
        <is>
          <t>Sep-2017</t>
        </is>
      </c>
      <c r="C11216" s="2" t="n">
        <v>43186</v>
      </c>
      <c r="D11216" t="inlineStr">
        <is>
          <t>NON-NIL</t>
        </is>
      </c>
      <c r="E11216" t="n">
        <v>2007</v>
      </c>
    </row>
    <row r="11217">
      <c r="A11217" t="inlineStr">
        <is>
          <t>27BBBBB11217Z5</t>
        </is>
      </c>
      <c r="B11217" t="inlineStr">
        <is>
          <t>Oct-2017</t>
        </is>
      </c>
      <c r="C11217" s="2" t="n">
        <v>43039</v>
      </c>
      <c r="D11217" t="inlineStr">
        <is>
          <t>NIL</t>
        </is>
      </c>
      <c r="E11217" t="n">
        <v>194</v>
      </c>
    </row>
    <row r="11218">
      <c r="A11218" t="inlineStr">
        <is>
          <t>27BBBBB11218Z5</t>
        </is>
      </c>
      <c r="B11218" t="inlineStr">
        <is>
          <t>Feb-2018</t>
        </is>
      </c>
      <c r="C11218" s="2" t="n">
        <v>43960</v>
      </c>
      <c r="D11218" t="inlineStr">
        <is>
          <t>NIL</t>
        </is>
      </c>
      <c r="E11218" t="n">
        <v>2653</v>
      </c>
    </row>
    <row r="11219">
      <c r="A11219" t="inlineStr">
        <is>
          <t>27BBBBB11219Z5</t>
        </is>
      </c>
      <c r="B11219" t="inlineStr">
        <is>
          <t>Mar-2023</t>
        </is>
      </c>
      <c r="C11219" s="2" t="n">
        <v>44347</v>
      </c>
      <c r="D11219" t="inlineStr">
        <is>
          <t>NIL</t>
        </is>
      </c>
      <c r="E11219" t="n">
        <v>342</v>
      </c>
    </row>
    <row r="11220">
      <c r="A11220" t="inlineStr">
        <is>
          <t>27BBBBB11220Z5</t>
        </is>
      </c>
      <c r="B11220" t="inlineStr">
        <is>
          <t>Sep-2017</t>
        </is>
      </c>
      <c r="C11220" s="2" t="n">
        <v>43238</v>
      </c>
      <c r="D11220" t="inlineStr">
        <is>
          <t>NON-NIL</t>
        </is>
      </c>
      <c r="E11220" t="n">
        <v>2485</v>
      </c>
    </row>
    <row r="11221">
      <c r="A11221" t="inlineStr">
        <is>
          <t>27BBBBB11221Z5</t>
        </is>
      </c>
      <c r="B11221" t="inlineStr">
        <is>
          <t>Sep-2018</t>
        </is>
      </c>
      <c r="C11221" s="2" t="n">
        <v>44239</v>
      </c>
      <c r="D11221" t="inlineStr">
        <is>
          <t>NON-NIL</t>
        </is>
      </c>
      <c r="E11221" t="n">
        <v>1044</v>
      </c>
    </row>
    <row r="11222">
      <c r="A11222" t="inlineStr">
        <is>
          <t>27BBBBB11222Z5</t>
        </is>
      </c>
      <c r="B11222" t="inlineStr">
        <is>
          <t>May-2018</t>
        </is>
      </c>
      <c r="C11222" s="2" t="n">
        <v>43271</v>
      </c>
      <c r="D11222" t="inlineStr">
        <is>
          <t>NON-NIL</t>
        </is>
      </c>
      <c r="E11222" t="n">
        <v>2605</v>
      </c>
    </row>
    <row r="11223">
      <c r="A11223" t="inlineStr">
        <is>
          <t>27BBBBB11223Z5</t>
        </is>
      </c>
      <c r="B11223" t="inlineStr">
        <is>
          <t>Aug-2018</t>
        </is>
      </c>
      <c r="C11223" s="2" t="n">
        <v>44283</v>
      </c>
      <c r="D11223" t="inlineStr">
        <is>
          <t>NON-NIL</t>
        </is>
      </c>
      <c r="E11223" t="n">
        <v>1565</v>
      </c>
    </row>
    <row r="11224">
      <c r="A11224" t="inlineStr">
        <is>
          <t>27BBBBB11224Z5</t>
        </is>
      </c>
      <c r="B11224" t="inlineStr">
        <is>
          <t>Jun-2020</t>
        </is>
      </c>
      <c r="C11224" s="2" t="n">
        <v>44206</v>
      </c>
      <c r="D11224" t="inlineStr">
        <is>
          <t>NON-NIL</t>
        </is>
      </c>
      <c r="E11224" t="n">
        <v>614</v>
      </c>
    </row>
    <row r="11225">
      <c r="A11225" t="inlineStr">
        <is>
          <t>27BBBBB11225Z5</t>
        </is>
      </c>
      <c r="B11225" t="inlineStr">
        <is>
          <t>Nov-2018</t>
        </is>
      </c>
      <c r="C11225" s="2" t="n">
        <v>43277</v>
      </c>
      <c r="D11225" t="inlineStr">
        <is>
          <t>NIL</t>
        </is>
      </c>
      <c r="E11225" t="n">
        <v>2000</v>
      </c>
    </row>
    <row r="11226">
      <c r="A11226" t="inlineStr">
        <is>
          <t>27BBBBB11226Z5</t>
        </is>
      </c>
      <c r="B11226" t="inlineStr">
        <is>
          <t>Aug-2018</t>
        </is>
      </c>
      <c r="C11226" s="2" t="n">
        <v>43740</v>
      </c>
      <c r="D11226" t="inlineStr">
        <is>
          <t>NIL</t>
        </is>
      </c>
      <c r="E11226" t="n">
        <v>1838</v>
      </c>
    </row>
    <row r="11227">
      <c r="A11227" t="inlineStr">
        <is>
          <t>27BBBBB11227Z5</t>
        </is>
      </c>
      <c r="B11227" t="inlineStr">
        <is>
          <t>Nov-2018</t>
        </is>
      </c>
      <c r="C11227" s="2" t="n">
        <v>44027</v>
      </c>
      <c r="D11227" t="inlineStr">
        <is>
          <t>NIL</t>
        </is>
      </c>
      <c r="E11227" t="n">
        <v>363</v>
      </c>
    </row>
    <row r="11228">
      <c r="A11228" t="inlineStr">
        <is>
          <t>27BBBBB11228Z5</t>
        </is>
      </c>
      <c r="B11228" t="inlineStr">
        <is>
          <t>Feb-2018</t>
        </is>
      </c>
      <c r="C11228" s="2" t="n">
        <v>42992</v>
      </c>
      <c r="D11228" t="inlineStr">
        <is>
          <t>NON-NIL</t>
        </is>
      </c>
      <c r="E11228" t="n">
        <v>1724</v>
      </c>
    </row>
    <row r="11229">
      <c r="A11229" t="inlineStr">
        <is>
          <t>27BBBBB11229Z5</t>
        </is>
      </c>
      <c r="B11229" t="inlineStr">
        <is>
          <t>Oct-2018</t>
        </is>
      </c>
      <c r="C11229" s="2" t="n">
        <v>43127</v>
      </c>
      <c r="D11229" t="inlineStr">
        <is>
          <t>NIL</t>
        </is>
      </c>
      <c r="E11229" t="n">
        <v>2592</v>
      </c>
    </row>
    <row r="11230">
      <c r="A11230" t="inlineStr">
        <is>
          <t>27BBBBB11230Z5</t>
        </is>
      </c>
      <c r="B11230" t="inlineStr">
        <is>
          <t>Jan-2018</t>
        </is>
      </c>
      <c r="C11230" s="2" t="n">
        <v>44336</v>
      </c>
      <c r="D11230" t="inlineStr">
        <is>
          <t>NON-NIL</t>
        </is>
      </c>
      <c r="E11230" t="n">
        <v>2178</v>
      </c>
    </row>
    <row r="11231">
      <c r="A11231" t="inlineStr">
        <is>
          <t>27BBBBB11231Z5</t>
        </is>
      </c>
      <c r="B11231" t="inlineStr">
        <is>
          <t>Aug-2018</t>
        </is>
      </c>
      <c r="C11231" s="2" t="n">
        <v>44052</v>
      </c>
      <c r="D11231" t="inlineStr">
        <is>
          <t>NON-NIL</t>
        </is>
      </c>
      <c r="E11231" t="n">
        <v>918</v>
      </c>
    </row>
    <row r="11232">
      <c r="A11232" t="inlineStr">
        <is>
          <t>27BBBBB11232Z5</t>
        </is>
      </c>
      <c r="B11232" t="inlineStr">
        <is>
          <t>Jan-2018</t>
        </is>
      </c>
      <c r="C11232" s="2" t="n">
        <v>44067</v>
      </c>
      <c r="D11232" t="inlineStr">
        <is>
          <t>NIL</t>
        </is>
      </c>
      <c r="E11232" t="n">
        <v>2939</v>
      </c>
    </row>
    <row r="11233">
      <c r="A11233" t="inlineStr">
        <is>
          <t>27BBBBB11233Z5</t>
        </is>
      </c>
      <c r="B11233" t="inlineStr">
        <is>
          <t>Aug-2018</t>
        </is>
      </c>
      <c r="C11233" s="2" t="n">
        <v>44437</v>
      </c>
      <c r="D11233" t="inlineStr">
        <is>
          <t>NON-NIL</t>
        </is>
      </c>
      <c r="E11233" t="n">
        <v>2728</v>
      </c>
    </row>
    <row r="11234">
      <c r="A11234" t="inlineStr">
        <is>
          <t>27BBBBB11234Z5</t>
        </is>
      </c>
      <c r="B11234" t="inlineStr">
        <is>
          <t>Jun-2018</t>
        </is>
      </c>
      <c r="C11234" s="2" t="n">
        <v>44272</v>
      </c>
      <c r="D11234" t="inlineStr">
        <is>
          <t>NON-NIL</t>
        </is>
      </c>
      <c r="E11234" t="n">
        <v>2873</v>
      </c>
    </row>
    <row r="11235">
      <c r="A11235" t="inlineStr">
        <is>
          <t>27BBBBB11235Z5</t>
        </is>
      </c>
      <c r="B11235" t="inlineStr">
        <is>
          <t>Mar-2023</t>
        </is>
      </c>
      <c r="C11235" s="2" t="n">
        <v>45692</v>
      </c>
      <c r="D11235" t="inlineStr">
        <is>
          <t>NIL</t>
        </is>
      </c>
      <c r="E11235" t="n">
        <v>1817</v>
      </c>
    </row>
    <row r="11236">
      <c r="A11236" t="inlineStr">
        <is>
          <t>27BBBBB11236Z5</t>
        </is>
      </c>
      <c r="B11236" t="inlineStr">
        <is>
          <t>Feb-2018</t>
        </is>
      </c>
      <c r="C11236" s="2" t="n">
        <v>44211</v>
      </c>
      <c r="D11236" t="inlineStr">
        <is>
          <t>NON-NIL</t>
        </is>
      </c>
      <c r="E11236" t="n">
        <v>1058</v>
      </c>
    </row>
    <row r="11237">
      <c r="A11237" t="inlineStr">
        <is>
          <t>27BBBBB11237Z5</t>
        </is>
      </c>
      <c r="B11237" t="inlineStr">
        <is>
          <t>Dec-2018</t>
        </is>
      </c>
      <c r="C11237" s="2" t="n">
        <v>44287</v>
      </c>
      <c r="D11237" t="inlineStr">
        <is>
          <t>NIL</t>
        </is>
      </c>
      <c r="E11237" t="n">
        <v>1698</v>
      </c>
    </row>
    <row r="11238">
      <c r="A11238" t="inlineStr">
        <is>
          <t>27BBBBB11238Z5</t>
        </is>
      </c>
      <c r="B11238" t="inlineStr">
        <is>
          <t>Jul-2018</t>
        </is>
      </c>
      <c r="C11238" s="2" t="n">
        <v>43109</v>
      </c>
      <c r="D11238" t="inlineStr">
        <is>
          <t>NON-NIL</t>
        </is>
      </c>
      <c r="E11238" t="n">
        <v>2307</v>
      </c>
    </row>
    <row r="11239">
      <c r="A11239" t="inlineStr">
        <is>
          <t>27BBBBB11239Z5</t>
        </is>
      </c>
      <c r="B11239" t="inlineStr">
        <is>
          <t>Nov-2018</t>
        </is>
      </c>
      <c r="C11239" s="2" t="n">
        <v>43891</v>
      </c>
      <c r="D11239" t="inlineStr">
        <is>
          <t>NIL</t>
        </is>
      </c>
      <c r="E11239" t="n">
        <v>111</v>
      </c>
    </row>
    <row r="11240">
      <c r="A11240" t="inlineStr">
        <is>
          <t>27BBBBB11240Z5</t>
        </is>
      </c>
      <c r="B11240" t="inlineStr">
        <is>
          <t>Nov-2018</t>
        </is>
      </c>
      <c r="C11240" s="2" t="n">
        <v>44432</v>
      </c>
      <c r="D11240" t="inlineStr">
        <is>
          <t>NIL</t>
        </is>
      </c>
      <c r="E11240" t="n">
        <v>2983</v>
      </c>
    </row>
    <row r="11241">
      <c r="A11241" t="inlineStr">
        <is>
          <t>27BBBBB11241Z5</t>
        </is>
      </c>
      <c r="B11241" t="inlineStr">
        <is>
          <t>Apr-2020</t>
        </is>
      </c>
      <c r="C11241" s="2" t="n">
        <v>44718</v>
      </c>
      <c r="D11241" t="inlineStr">
        <is>
          <t>NIL</t>
        </is>
      </c>
      <c r="E11241" t="n">
        <v>2536</v>
      </c>
    </row>
    <row r="11242">
      <c r="A11242" t="inlineStr">
        <is>
          <t>27BBBBB11242Z5</t>
        </is>
      </c>
      <c r="B11242" t="inlineStr">
        <is>
          <t>Nov-2017</t>
        </is>
      </c>
      <c r="C11242" s="2" t="n">
        <v>43554</v>
      </c>
      <c r="D11242" t="inlineStr">
        <is>
          <t>NON-NIL</t>
        </is>
      </c>
      <c r="E11242" t="n">
        <v>2446</v>
      </c>
    </row>
    <row r="11243">
      <c r="A11243" t="inlineStr">
        <is>
          <t>27BBBBB11243Z5</t>
        </is>
      </c>
      <c r="B11243" t="inlineStr">
        <is>
          <t>Aug-2017</t>
        </is>
      </c>
      <c r="C11243" s="2" t="n">
        <v>44119</v>
      </c>
      <c r="D11243" t="inlineStr">
        <is>
          <t>NON-NIL</t>
        </is>
      </c>
      <c r="E11243" t="n">
        <v>1923</v>
      </c>
    </row>
    <row r="11244">
      <c r="A11244" t="inlineStr">
        <is>
          <t>27BBBBB11244Z5</t>
        </is>
      </c>
      <c r="B11244" t="inlineStr">
        <is>
          <t>Nov-2017</t>
        </is>
      </c>
      <c r="C11244" s="2" t="n">
        <v>43137</v>
      </c>
      <c r="D11244" t="inlineStr">
        <is>
          <t>NON-NIL</t>
        </is>
      </c>
      <c r="E11244" t="n">
        <v>2939</v>
      </c>
    </row>
    <row r="11245">
      <c r="A11245" t="inlineStr">
        <is>
          <t>27BBBBB11245Z5</t>
        </is>
      </c>
      <c r="B11245" t="inlineStr">
        <is>
          <t>Jun-2018</t>
        </is>
      </c>
      <c r="C11245" s="2" t="n">
        <v>43687</v>
      </c>
      <c r="D11245" t="inlineStr">
        <is>
          <t>NIL</t>
        </is>
      </c>
      <c r="E11245" t="n">
        <v>576</v>
      </c>
    </row>
    <row r="11246">
      <c r="A11246" t="inlineStr">
        <is>
          <t>27BBBBB11246Z5</t>
        </is>
      </c>
      <c r="B11246" t="inlineStr">
        <is>
          <t>Dec-2024</t>
        </is>
      </c>
      <c r="C11246" s="2" t="n">
        <v>44848</v>
      </c>
      <c r="D11246" t="inlineStr">
        <is>
          <t>NIL</t>
        </is>
      </c>
      <c r="E11246" t="n">
        <v>1531</v>
      </c>
    </row>
    <row r="11247">
      <c r="A11247" t="inlineStr">
        <is>
          <t>27BBBBB11247Z5</t>
        </is>
      </c>
      <c r="B11247" t="inlineStr">
        <is>
          <t>Dec-2024</t>
        </is>
      </c>
      <c r="C11247" s="2" t="n">
        <v>45553</v>
      </c>
      <c r="D11247" t="inlineStr">
        <is>
          <t>NON-NIL</t>
        </is>
      </c>
      <c r="E11247" t="n">
        <v>2653</v>
      </c>
    </row>
    <row r="11248">
      <c r="A11248" t="inlineStr">
        <is>
          <t>27BBBBB11248Z5</t>
        </is>
      </c>
      <c r="B11248" t="inlineStr">
        <is>
          <t>Nov-2018</t>
        </is>
      </c>
      <c r="C11248" s="2" t="n">
        <v>43183</v>
      </c>
      <c r="D11248" t="inlineStr">
        <is>
          <t>NIL</t>
        </is>
      </c>
      <c r="E11248" t="n">
        <v>582</v>
      </c>
    </row>
    <row r="11249">
      <c r="A11249" t="inlineStr">
        <is>
          <t>27BBBBB11249Z5</t>
        </is>
      </c>
      <c r="B11249" t="inlineStr">
        <is>
          <t>Jun-2020</t>
        </is>
      </c>
      <c r="C11249" s="2" t="n">
        <v>44422</v>
      </c>
      <c r="D11249" t="inlineStr">
        <is>
          <t>NIL</t>
        </is>
      </c>
      <c r="E11249" t="n">
        <v>586</v>
      </c>
    </row>
    <row r="11250">
      <c r="A11250" t="inlineStr">
        <is>
          <t>27BBBBB11250Z5</t>
        </is>
      </c>
      <c r="B11250" t="inlineStr">
        <is>
          <t>Mar-2023</t>
        </is>
      </c>
      <c r="C11250" s="2" t="n">
        <v>44337</v>
      </c>
      <c r="D11250" t="inlineStr">
        <is>
          <t>NIL</t>
        </is>
      </c>
      <c r="E11250" t="n">
        <v>1024</v>
      </c>
    </row>
    <row r="11251">
      <c r="A11251" t="inlineStr">
        <is>
          <t>27BBBBB11251Z5</t>
        </is>
      </c>
      <c r="B11251" t="inlineStr">
        <is>
          <t>Jul-2017</t>
        </is>
      </c>
      <c r="C11251" s="2" t="n">
        <v>44525</v>
      </c>
      <c r="D11251" t="inlineStr">
        <is>
          <t>NON-NIL</t>
        </is>
      </c>
      <c r="E11251" t="n">
        <v>2533</v>
      </c>
    </row>
    <row r="11252">
      <c r="A11252" t="inlineStr">
        <is>
          <t>27BBBBB11252Z5</t>
        </is>
      </c>
      <c r="B11252" t="inlineStr">
        <is>
          <t>Dec-2024</t>
        </is>
      </c>
      <c r="C11252" s="2" t="n">
        <v>43659</v>
      </c>
      <c r="D11252" t="inlineStr">
        <is>
          <t>NON-NIL</t>
        </is>
      </c>
      <c r="E11252" t="n">
        <v>961</v>
      </c>
    </row>
    <row r="11253">
      <c r="A11253" t="inlineStr">
        <is>
          <t>27BBBBB11253Z5</t>
        </is>
      </c>
      <c r="B11253" t="inlineStr">
        <is>
          <t>Sep-2017</t>
        </is>
      </c>
      <c r="C11253" s="2" t="n">
        <v>43382</v>
      </c>
      <c r="D11253" t="inlineStr">
        <is>
          <t>NIL</t>
        </is>
      </c>
      <c r="E11253" t="n">
        <v>441</v>
      </c>
    </row>
    <row r="11254">
      <c r="A11254" t="inlineStr">
        <is>
          <t>27BBBBB11254Z5</t>
        </is>
      </c>
      <c r="B11254" t="inlineStr">
        <is>
          <t>Jun-2020</t>
        </is>
      </c>
      <c r="C11254" s="2" t="n">
        <v>44146</v>
      </c>
      <c r="D11254" t="inlineStr">
        <is>
          <t>NON-NIL</t>
        </is>
      </c>
      <c r="E11254" t="n">
        <v>1696</v>
      </c>
    </row>
    <row r="11255">
      <c r="A11255" t="inlineStr">
        <is>
          <t>27BBBBB11255Z5</t>
        </is>
      </c>
      <c r="B11255" t="inlineStr">
        <is>
          <t>Mar-2021</t>
        </is>
      </c>
      <c r="C11255" s="2" t="n">
        <v>45730</v>
      </c>
      <c r="D11255" t="inlineStr">
        <is>
          <t>NIL</t>
        </is>
      </c>
      <c r="E11255" t="n">
        <v>2406</v>
      </c>
    </row>
    <row r="11256">
      <c r="A11256" t="inlineStr">
        <is>
          <t>27BBBBB11256Z5</t>
        </is>
      </c>
      <c r="B11256" t="inlineStr">
        <is>
          <t>Jul-2018</t>
        </is>
      </c>
      <c r="C11256" s="2" t="n">
        <v>43409</v>
      </c>
      <c r="D11256" t="inlineStr">
        <is>
          <t>NON-NIL</t>
        </is>
      </c>
      <c r="E11256" t="n">
        <v>2057</v>
      </c>
    </row>
    <row r="11257">
      <c r="A11257" t="inlineStr">
        <is>
          <t>27BBBBB11257Z5</t>
        </is>
      </c>
      <c r="B11257" t="inlineStr">
        <is>
          <t>Apr-2020</t>
        </is>
      </c>
      <c r="C11257" s="2" t="n">
        <v>44315</v>
      </c>
      <c r="D11257" t="inlineStr">
        <is>
          <t>NON-NIL</t>
        </is>
      </c>
      <c r="E11257" t="n">
        <v>1394</v>
      </c>
    </row>
    <row r="11258">
      <c r="A11258" t="inlineStr">
        <is>
          <t>27BBBBB11258Z5</t>
        </is>
      </c>
      <c r="B11258" t="inlineStr">
        <is>
          <t>Mar-2020</t>
        </is>
      </c>
      <c r="C11258" s="2" t="n">
        <v>44429</v>
      </c>
      <c r="D11258" t="inlineStr">
        <is>
          <t>NON-NIL</t>
        </is>
      </c>
      <c r="E11258" t="n">
        <v>2568</v>
      </c>
    </row>
    <row r="11259">
      <c r="A11259" t="inlineStr">
        <is>
          <t>27BBBBB11259Z5</t>
        </is>
      </c>
      <c r="B11259" t="inlineStr">
        <is>
          <t>Jul-2020</t>
        </is>
      </c>
      <c r="C11259" s="2" t="n">
        <v>44545</v>
      </c>
      <c r="D11259" t="inlineStr">
        <is>
          <t>NON-NIL</t>
        </is>
      </c>
      <c r="E11259" t="n">
        <v>8</v>
      </c>
    </row>
    <row r="11260">
      <c r="A11260" t="inlineStr">
        <is>
          <t>27BBBBB11260Z5</t>
        </is>
      </c>
      <c r="B11260" t="inlineStr">
        <is>
          <t>Sep-2017</t>
        </is>
      </c>
      <c r="C11260" s="2" t="n">
        <v>44387</v>
      </c>
      <c r="D11260" t="inlineStr">
        <is>
          <t>NON-NIL</t>
        </is>
      </c>
      <c r="E11260" t="n">
        <v>679</v>
      </c>
    </row>
    <row r="11261">
      <c r="A11261" t="inlineStr">
        <is>
          <t>27BBBBB11261Z5</t>
        </is>
      </c>
      <c r="B11261" t="inlineStr">
        <is>
          <t>Oct-2018</t>
        </is>
      </c>
      <c r="C11261" s="2" t="n">
        <v>43960</v>
      </c>
      <c r="D11261" t="inlineStr">
        <is>
          <t>NON-NIL</t>
        </is>
      </c>
      <c r="E11261" t="n">
        <v>867</v>
      </c>
    </row>
    <row r="11262">
      <c r="A11262" t="inlineStr">
        <is>
          <t>27BBBBB11262Z5</t>
        </is>
      </c>
      <c r="B11262" t="inlineStr">
        <is>
          <t>Dec-2022</t>
        </is>
      </c>
      <c r="C11262" s="2" t="n">
        <v>45817</v>
      </c>
      <c r="D11262" t="inlineStr">
        <is>
          <t>NON-NIL</t>
        </is>
      </c>
      <c r="E11262" t="n">
        <v>1072</v>
      </c>
    </row>
    <row r="11263">
      <c r="A11263" t="inlineStr">
        <is>
          <t>27BBBBB11263Z5</t>
        </is>
      </c>
      <c r="B11263" t="inlineStr">
        <is>
          <t>Jan-2021</t>
        </is>
      </c>
      <c r="C11263" s="2" t="n">
        <v>44849</v>
      </c>
      <c r="D11263" t="inlineStr">
        <is>
          <t>NON-NIL</t>
        </is>
      </c>
      <c r="E11263" t="n">
        <v>869</v>
      </c>
    </row>
    <row r="11264">
      <c r="A11264" t="inlineStr">
        <is>
          <t>27BBBBB11264Z5</t>
        </is>
      </c>
      <c r="B11264" t="inlineStr">
        <is>
          <t>Mar-2023</t>
        </is>
      </c>
      <c r="C11264" s="2" t="n">
        <v>45231</v>
      </c>
      <c r="D11264" t="inlineStr">
        <is>
          <t>NON-NIL</t>
        </is>
      </c>
      <c r="E11264" t="n">
        <v>494</v>
      </c>
    </row>
    <row r="11265">
      <c r="A11265" t="inlineStr">
        <is>
          <t>27BBBBB11265Z5</t>
        </is>
      </c>
      <c r="B11265" t="inlineStr">
        <is>
          <t>Mar-2018</t>
        </is>
      </c>
      <c r="C11265" s="2" t="n">
        <v>44147</v>
      </c>
      <c r="D11265" t="inlineStr">
        <is>
          <t>NIL</t>
        </is>
      </c>
      <c r="E11265" t="n">
        <v>2188</v>
      </c>
    </row>
    <row r="11266">
      <c r="A11266" t="inlineStr">
        <is>
          <t>27BBBBB11266Z5</t>
        </is>
      </c>
      <c r="B11266" t="inlineStr">
        <is>
          <t>Jul-2018</t>
        </is>
      </c>
      <c r="C11266" s="2" t="n">
        <v>43493</v>
      </c>
      <c r="D11266" t="inlineStr">
        <is>
          <t>NIL</t>
        </is>
      </c>
      <c r="E11266" t="n">
        <v>473</v>
      </c>
    </row>
    <row r="11267">
      <c r="A11267" t="inlineStr">
        <is>
          <t>27BBBBB11267Z5</t>
        </is>
      </c>
      <c r="B11267" t="inlineStr">
        <is>
          <t>Dec-2018</t>
        </is>
      </c>
      <c r="C11267" s="2" t="n">
        <v>44508</v>
      </c>
      <c r="D11267" t="inlineStr">
        <is>
          <t>NIL</t>
        </is>
      </c>
      <c r="E11267" t="n">
        <v>68</v>
      </c>
    </row>
    <row r="11268">
      <c r="A11268" t="inlineStr">
        <is>
          <t>27BBBBB11268Z5</t>
        </is>
      </c>
      <c r="B11268" t="inlineStr">
        <is>
          <t>Sep-2017</t>
        </is>
      </c>
      <c r="C11268" s="2" t="n">
        <v>44263</v>
      </c>
      <c r="D11268" t="inlineStr">
        <is>
          <t>NIL</t>
        </is>
      </c>
      <c r="E11268" t="n">
        <v>2389</v>
      </c>
    </row>
    <row r="11269">
      <c r="A11269" t="inlineStr">
        <is>
          <t>27BBBBB11269Z5</t>
        </is>
      </c>
      <c r="B11269" t="inlineStr">
        <is>
          <t>Jul-2017</t>
        </is>
      </c>
      <c r="C11269" s="2" t="n">
        <v>43015</v>
      </c>
      <c r="D11269" t="inlineStr">
        <is>
          <t>NIL</t>
        </is>
      </c>
      <c r="E11269" t="n">
        <v>2982</v>
      </c>
    </row>
    <row r="11270">
      <c r="A11270" t="inlineStr">
        <is>
          <t>27BBBBB11270Z5</t>
        </is>
      </c>
      <c r="B11270" t="inlineStr">
        <is>
          <t>Jun-2020</t>
        </is>
      </c>
      <c r="C11270" s="2" t="n">
        <v>44000</v>
      </c>
      <c r="D11270" t="inlineStr">
        <is>
          <t>NIL</t>
        </is>
      </c>
      <c r="E11270" t="n">
        <v>1822</v>
      </c>
    </row>
    <row r="11271">
      <c r="A11271" t="inlineStr">
        <is>
          <t>27BBBBB11271Z5</t>
        </is>
      </c>
      <c r="B11271" t="inlineStr">
        <is>
          <t>Mar-2020</t>
        </is>
      </c>
      <c r="C11271" s="2" t="n">
        <v>44684</v>
      </c>
      <c r="D11271" t="inlineStr">
        <is>
          <t>NIL</t>
        </is>
      </c>
      <c r="E11271" t="n">
        <v>1542</v>
      </c>
    </row>
    <row r="11272">
      <c r="A11272" t="inlineStr">
        <is>
          <t>27BBBBB11272Z5</t>
        </is>
      </c>
      <c r="B11272" t="inlineStr">
        <is>
          <t>Jul-2018</t>
        </is>
      </c>
      <c r="C11272" s="2" t="n">
        <v>44160</v>
      </c>
      <c r="D11272" t="inlineStr">
        <is>
          <t>NIL</t>
        </is>
      </c>
      <c r="E11272" t="n">
        <v>547</v>
      </c>
    </row>
    <row r="11273">
      <c r="A11273" t="inlineStr">
        <is>
          <t>27BBBBB11273Z5</t>
        </is>
      </c>
      <c r="B11273" t="inlineStr">
        <is>
          <t>Jul-2017</t>
        </is>
      </c>
      <c r="C11273" s="2" t="n">
        <v>43602</v>
      </c>
      <c r="D11273" t="inlineStr">
        <is>
          <t>NIL</t>
        </is>
      </c>
      <c r="E11273" t="n">
        <v>55</v>
      </c>
    </row>
    <row r="11274">
      <c r="A11274" t="inlineStr">
        <is>
          <t>27BBBBB11274Z5</t>
        </is>
      </c>
      <c r="B11274" t="inlineStr">
        <is>
          <t>Apr-2020</t>
        </is>
      </c>
      <c r="C11274" s="2" t="n">
        <v>44232</v>
      </c>
      <c r="D11274" t="inlineStr">
        <is>
          <t>NIL</t>
        </is>
      </c>
      <c r="E11274" t="n">
        <v>2164</v>
      </c>
    </row>
    <row r="11275">
      <c r="A11275" t="inlineStr">
        <is>
          <t>27BBBBB11275Z5</t>
        </is>
      </c>
      <c r="B11275" t="inlineStr">
        <is>
          <t>Dec-2022</t>
        </is>
      </c>
      <c r="C11275" s="2" t="n">
        <v>44134</v>
      </c>
      <c r="D11275" t="inlineStr">
        <is>
          <t>NIL</t>
        </is>
      </c>
      <c r="E11275" t="n">
        <v>724</v>
      </c>
    </row>
    <row r="11276">
      <c r="A11276" t="inlineStr">
        <is>
          <t>27BBBBB11276Z5</t>
        </is>
      </c>
      <c r="B11276" t="inlineStr">
        <is>
          <t>Jul-2020</t>
        </is>
      </c>
      <c r="C11276" s="2" t="n">
        <v>44558</v>
      </c>
      <c r="D11276" t="inlineStr">
        <is>
          <t>NIL</t>
        </is>
      </c>
      <c r="E11276" t="n">
        <v>2295</v>
      </c>
    </row>
    <row r="11277">
      <c r="A11277" t="inlineStr">
        <is>
          <t>27BBBBB11277Z5</t>
        </is>
      </c>
      <c r="B11277" t="inlineStr">
        <is>
          <t>Jun-2018</t>
        </is>
      </c>
      <c r="C11277" s="2" t="n">
        <v>43651</v>
      </c>
      <c r="D11277" t="inlineStr">
        <is>
          <t>NIL</t>
        </is>
      </c>
      <c r="E11277" t="n">
        <v>107</v>
      </c>
    </row>
    <row r="11278">
      <c r="A11278" t="inlineStr">
        <is>
          <t>27BBBBB11278Z5</t>
        </is>
      </c>
      <c r="B11278" t="inlineStr">
        <is>
          <t>Mar-2021</t>
        </is>
      </c>
      <c r="C11278" s="2" t="n">
        <v>43996</v>
      </c>
      <c r="D11278" t="inlineStr">
        <is>
          <t>NIL</t>
        </is>
      </c>
      <c r="E11278" t="n">
        <v>886</v>
      </c>
    </row>
    <row r="11279">
      <c r="A11279" t="inlineStr">
        <is>
          <t>27BBBBB11279Z5</t>
        </is>
      </c>
      <c r="B11279" t="inlineStr">
        <is>
          <t>May-2018</t>
        </is>
      </c>
      <c r="C11279" s="2" t="n">
        <v>43189</v>
      </c>
      <c r="D11279" t="inlineStr">
        <is>
          <t>NIL</t>
        </is>
      </c>
      <c r="E11279" t="n">
        <v>1007</v>
      </c>
    </row>
    <row r="11280">
      <c r="A11280" t="inlineStr">
        <is>
          <t>27BBBBB11280Z5</t>
        </is>
      </c>
      <c r="B11280" t="inlineStr">
        <is>
          <t>Nov-2018</t>
        </is>
      </c>
      <c r="C11280" s="2" t="n">
        <v>44004</v>
      </c>
      <c r="D11280" t="inlineStr">
        <is>
          <t>NIL</t>
        </is>
      </c>
      <c r="E11280" t="n">
        <v>2221</v>
      </c>
    </row>
    <row r="11281">
      <c r="A11281" t="inlineStr">
        <is>
          <t>27BBBBB11281Z5</t>
        </is>
      </c>
      <c r="B11281" t="inlineStr">
        <is>
          <t>Jan-2021</t>
        </is>
      </c>
      <c r="C11281" s="2" t="n">
        <v>44846</v>
      </c>
      <c r="D11281" t="inlineStr">
        <is>
          <t>NON-NIL</t>
        </is>
      </c>
      <c r="E11281" t="n">
        <v>2765</v>
      </c>
    </row>
    <row r="11282">
      <c r="A11282" t="inlineStr">
        <is>
          <t>27BBBBB11282Z5</t>
        </is>
      </c>
      <c r="B11282" t="inlineStr">
        <is>
          <t>Jul-2020</t>
        </is>
      </c>
      <c r="C11282" s="2" t="n">
        <v>44825</v>
      </c>
      <c r="D11282" t="inlineStr">
        <is>
          <t>NON-NIL</t>
        </is>
      </c>
      <c r="E11282" t="n">
        <v>1956</v>
      </c>
    </row>
    <row r="11283">
      <c r="A11283" t="inlineStr">
        <is>
          <t>27BBBBB11283Z5</t>
        </is>
      </c>
      <c r="B11283" t="inlineStr">
        <is>
          <t>Apr-2020</t>
        </is>
      </c>
      <c r="C11283" s="2" t="n">
        <v>44624</v>
      </c>
      <c r="D11283" t="inlineStr">
        <is>
          <t>NIL</t>
        </is>
      </c>
      <c r="E11283" t="n">
        <v>2987</v>
      </c>
    </row>
    <row r="11284">
      <c r="A11284" t="inlineStr">
        <is>
          <t>27BBBBB11284Z5</t>
        </is>
      </c>
      <c r="B11284" t="inlineStr">
        <is>
          <t>Aug-2017</t>
        </is>
      </c>
      <c r="C11284" s="2" t="n">
        <v>43243</v>
      </c>
      <c r="D11284" t="inlineStr">
        <is>
          <t>NIL</t>
        </is>
      </c>
      <c r="E11284" t="n">
        <v>1450</v>
      </c>
    </row>
    <row r="11285">
      <c r="A11285" t="inlineStr">
        <is>
          <t>27BBBBB11285Z5</t>
        </is>
      </c>
      <c r="B11285" t="inlineStr">
        <is>
          <t>Mar-2020</t>
        </is>
      </c>
      <c r="C11285" s="2" t="n">
        <v>44894</v>
      </c>
      <c r="D11285" t="inlineStr">
        <is>
          <t>NON-NIL</t>
        </is>
      </c>
      <c r="E11285" t="n">
        <v>6</v>
      </c>
    </row>
    <row r="11286">
      <c r="A11286" t="inlineStr">
        <is>
          <t>27BBBBB11286Z5</t>
        </is>
      </c>
      <c r="B11286" t="inlineStr">
        <is>
          <t>Aug-2017</t>
        </is>
      </c>
      <c r="C11286" s="2" t="n">
        <v>43029</v>
      </c>
      <c r="D11286" t="inlineStr">
        <is>
          <t>NIL</t>
        </is>
      </c>
      <c r="E11286" t="n">
        <v>78</v>
      </c>
    </row>
    <row r="11287">
      <c r="A11287" t="inlineStr">
        <is>
          <t>27BBBBB11287Z5</t>
        </is>
      </c>
      <c r="B11287" t="inlineStr">
        <is>
          <t>Mar-2018</t>
        </is>
      </c>
      <c r="C11287" s="2" t="n">
        <v>44278</v>
      </c>
      <c r="D11287" t="inlineStr">
        <is>
          <t>NON-NIL</t>
        </is>
      </c>
      <c r="E11287" t="n">
        <v>2113</v>
      </c>
    </row>
    <row r="11288">
      <c r="A11288" t="inlineStr">
        <is>
          <t>27BBBBB11288Z5</t>
        </is>
      </c>
      <c r="B11288" t="inlineStr">
        <is>
          <t>Jan-2018</t>
        </is>
      </c>
      <c r="C11288" s="2" t="n">
        <v>43652</v>
      </c>
      <c r="D11288" t="inlineStr">
        <is>
          <t>NIL</t>
        </is>
      </c>
      <c r="E11288" t="n">
        <v>2909</v>
      </c>
    </row>
    <row r="11289">
      <c r="A11289" t="inlineStr">
        <is>
          <t>27BBBBB11289Z5</t>
        </is>
      </c>
      <c r="B11289" t="inlineStr">
        <is>
          <t>Apr-2018</t>
        </is>
      </c>
      <c r="C11289" s="2" t="n">
        <v>44530</v>
      </c>
      <c r="D11289" t="inlineStr">
        <is>
          <t>NIL</t>
        </is>
      </c>
      <c r="E11289" t="n">
        <v>2638</v>
      </c>
    </row>
    <row r="11290">
      <c r="A11290" t="inlineStr">
        <is>
          <t>27BBBBB11290Z5</t>
        </is>
      </c>
      <c r="B11290" t="inlineStr">
        <is>
          <t>May-2018</t>
        </is>
      </c>
      <c r="C11290" s="2" t="n">
        <v>43029</v>
      </c>
      <c r="D11290" t="inlineStr">
        <is>
          <t>NON-NIL</t>
        </is>
      </c>
      <c r="E11290" t="n">
        <v>1716</v>
      </c>
    </row>
    <row r="11291">
      <c r="A11291" t="inlineStr">
        <is>
          <t>27BBBBB11291Z5</t>
        </is>
      </c>
      <c r="B11291" t="inlineStr">
        <is>
          <t>Jun-2018</t>
        </is>
      </c>
      <c r="C11291" s="2" t="n">
        <v>43242</v>
      </c>
      <c r="D11291" t="inlineStr">
        <is>
          <t>NIL</t>
        </is>
      </c>
      <c r="E11291" t="n">
        <v>825</v>
      </c>
    </row>
    <row r="11292">
      <c r="A11292" t="inlineStr">
        <is>
          <t>27BBBBB11292Z5</t>
        </is>
      </c>
      <c r="B11292" t="inlineStr">
        <is>
          <t>May-2018</t>
        </is>
      </c>
      <c r="C11292" s="2" t="n">
        <v>43906</v>
      </c>
      <c r="D11292" t="inlineStr">
        <is>
          <t>NIL</t>
        </is>
      </c>
      <c r="E11292" t="n">
        <v>2947</v>
      </c>
    </row>
    <row r="11293">
      <c r="A11293" t="inlineStr">
        <is>
          <t>27BBBBB11293Z5</t>
        </is>
      </c>
      <c r="B11293" t="inlineStr">
        <is>
          <t>Oct-2017</t>
        </is>
      </c>
      <c r="C11293" s="2" t="n">
        <v>44104</v>
      </c>
      <c r="D11293" t="inlineStr">
        <is>
          <t>NIL</t>
        </is>
      </c>
      <c r="E11293" t="n">
        <v>1716</v>
      </c>
    </row>
    <row r="11294">
      <c r="A11294" t="inlineStr">
        <is>
          <t>27BBBBB11294Z5</t>
        </is>
      </c>
      <c r="B11294" t="inlineStr">
        <is>
          <t>May-2018</t>
        </is>
      </c>
      <c r="C11294" s="2" t="n">
        <v>43013</v>
      </c>
      <c r="D11294" t="inlineStr">
        <is>
          <t>NIL</t>
        </is>
      </c>
      <c r="E11294" t="n">
        <v>2452</v>
      </c>
    </row>
    <row r="11295">
      <c r="A11295" t="inlineStr">
        <is>
          <t>27BBBBB11295Z5</t>
        </is>
      </c>
      <c r="B11295" t="inlineStr">
        <is>
          <t>Nov-2018</t>
        </is>
      </c>
      <c r="C11295" s="2" t="n">
        <v>44322</v>
      </c>
      <c r="D11295" t="inlineStr">
        <is>
          <t>NIL</t>
        </is>
      </c>
      <c r="E11295" t="n">
        <v>1654</v>
      </c>
    </row>
    <row r="11296">
      <c r="A11296" t="inlineStr">
        <is>
          <t>27BBBBB11296Z5</t>
        </is>
      </c>
      <c r="B11296" t="inlineStr">
        <is>
          <t>Mar-2023</t>
        </is>
      </c>
      <c r="C11296" s="2" t="n">
        <v>44891</v>
      </c>
      <c r="D11296" t="inlineStr">
        <is>
          <t>NIL</t>
        </is>
      </c>
      <c r="E11296" t="n">
        <v>1435</v>
      </c>
    </row>
    <row r="11297">
      <c r="A11297" t="inlineStr">
        <is>
          <t>27BBBBB11297Z5</t>
        </is>
      </c>
      <c r="B11297" t="inlineStr">
        <is>
          <t>Nov-2017</t>
        </is>
      </c>
      <c r="C11297" s="2" t="n">
        <v>43834</v>
      </c>
      <c r="D11297" t="inlineStr">
        <is>
          <t>NIL</t>
        </is>
      </c>
      <c r="E11297" t="n">
        <v>385</v>
      </c>
    </row>
    <row r="11298">
      <c r="A11298" t="inlineStr">
        <is>
          <t>27BBBBB11298Z5</t>
        </is>
      </c>
      <c r="B11298" t="inlineStr">
        <is>
          <t>May-2020</t>
        </is>
      </c>
      <c r="C11298" s="2" t="n">
        <v>44142</v>
      </c>
      <c r="D11298" t="inlineStr">
        <is>
          <t>NON-NIL</t>
        </is>
      </c>
      <c r="E11298" t="n">
        <v>1130</v>
      </c>
    </row>
    <row r="11299">
      <c r="A11299" t="inlineStr">
        <is>
          <t>27BBBBB11299Z5</t>
        </is>
      </c>
      <c r="B11299" t="inlineStr">
        <is>
          <t>Jul-2017</t>
        </is>
      </c>
      <c r="C11299" s="2" t="n">
        <v>44407</v>
      </c>
      <c r="D11299" t="inlineStr">
        <is>
          <t>NIL</t>
        </is>
      </c>
      <c r="E11299" t="n">
        <v>593</v>
      </c>
    </row>
    <row r="11300">
      <c r="A11300" t="inlineStr">
        <is>
          <t>27BBBBB11300Z5</t>
        </is>
      </c>
      <c r="B11300" t="inlineStr">
        <is>
          <t>Apr-2020</t>
        </is>
      </c>
      <c r="C11300" s="2" t="n">
        <v>44700</v>
      </c>
      <c r="D11300" t="inlineStr">
        <is>
          <t>NON-NIL</t>
        </is>
      </c>
      <c r="E11300" t="n">
        <v>1710</v>
      </c>
    </row>
    <row r="11301">
      <c r="A11301" t="inlineStr">
        <is>
          <t>27BBBBB11301Z5</t>
        </is>
      </c>
      <c r="B11301" t="inlineStr">
        <is>
          <t>Mar-2018</t>
        </is>
      </c>
      <c r="C11301" s="2" t="n">
        <v>43192</v>
      </c>
      <c r="D11301" t="inlineStr">
        <is>
          <t>NON-NIL</t>
        </is>
      </c>
      <c r="E11301" t="n">
        <v>2451</v>
      </c>
    </row>
    <row r="11302">
      <c r="A11302" t="inlineStr">
        <is>
          <t>27BBBBB11302Z5</t>
        </is>
      </c>
      <c r="B11302" t="inlineStr">
        <is>
          <t>Jul-2020</t>
        </is>
      </c>
      <c r="C11302" s="2" t="n">
        <v>44479</v>
      </c>
      <c r="D11302" t="inlineStr">
        <is>
          <t>NON-NIL</t>
        </is>
      </c>
      <c r="E11302" t="n">
        <v>2014</v>
      </c>
    </row>
    <row r="11303">
      <c r="A11303" t="inlineStr">
        <is>
          <t>27BBBBB11303Z5</t>
        </is>
      </c>
      <c r="B11303" t="inlineStr">
        <is>
          <t>Aug-2018</t>
        </is>
      </c>
      <c r="C11303" s="2" t="n">
        <v>43926</v>
      </c>
      <c r="D11303" t="inlineStr">
        <is>
          <t>NIL</t>
        </is>
      </c>
      <c r="E11303" t="n">
        <v>2394</v>
      </c>
    </row>
    <row r="11304">
      <c r="A11304" t="inlineStr">
        <is>
          <t>27BBBBB11304Z5</t>
        </is>
      </c>
      <c r="B11304" t="inlineStr">
        <is>
          <t>Nov-2017</t>
        </is>
      </c>
      <c r="C11304" s="2" t="n">
        <v>43198</v>
      </c>
      <c r="D11304" t="inlineStr">
        <is>
          <t>NON-NIL</t>
        </is>
      </c>
      <c r="E11304" t="n">
        <v>1859</v>
      </c>
    </row>
    <row r="11305">
      <c r="A11305" t="inlineStr">
        <is>
          <t>27BBBBB11305Z5</t>
        </is>
      </c>
      <c r="B11305" t="inlineStr">
        <is>
          <t>Dec-2018</t>
        </is>
      </c>
      <c r="C11305" s="2" t="n">
        <v>44492</v>
      </c>
      <c r="D11305" t="inlineStr">
        <is>
          <t>NIL</t>
        </is>
      </c>
      <c r="E11305" t="n">
        <v>678</v>
      </c>
    </row>
    <row r="11306">
      <c r="A11306" t="inlineStr">
        <is>
          <t>27BBBBB11306Z5</t>
        </is>
      </c>
      <c r="B11306" t="inlineStr">
        <is>
          <t>Oct-2017</t>
        </is>
      </c>
      <c r="C11306" s="2" t="n">
        <v>44414</v>
      </c>
      <c r="D11306" t="inlineStr">
        <is>
          <t>NIL</t>
        </is>
      </c>
      <c r="E11306" t="n">
        <v>2809</v>
      </c>
    </row>
    <row r="11307">
      <c r="A11307" t="inlineStr">
        <is>
          <t>27BBBBB11307Z5</t>
        </is>
      </c>
      <c r="B11307" t="inlineStr">
        <is>
          <t>Nov-2017</t>
        </is>
      </c>
      <c r="C11307" s="2" t="n">
        <v>43626</v>
      </c>
      <c r="D11307" t="inlineStr">
        <is>
          <t>NIL</t>
        </is>
      </c>
      <c r="E11307" t="n">
        <v>2045</v>
      </c>
    </row>
    <row r="11308">
      <c r="A11308" t="inlineStr">
        <is>
          <t>27BBBBB11308Z5</t>
        </is>
      </c>
      <c r="B11308" t="inlineStr">
        <is>
          <t>Jul-2018</t>
        </is>
      </c>
      <c r="C11308" s="2" t="n">
        <v>43113</v>
      </c>
      <c r="D11308" t="inlineStr">
        <is>
          <t>NIL</t>
        </is>
      </c>
      <c r="E11308" t="n">
        <v>2402</v>
      </c>
    </row>
    <row r="11309">
      <c r="A11309" t="inlineStr">
        <is>
          <t>27BBBBB11309Z5</t>
        </is>
      </c>
      <c r="B11309" t="inlineStr">
        <is>
          <t>Jan-2021</t>
        </is>
      </c>
      <c r="C11309" s="2" t="n">
        <v>43997</v>
      </c>
      <c r="D11309" t="inlineStr">
        <is>
          <t>NON-NIL</t>
        </is>
      </c>
      <c r="E11309" t="n">
        <v>3</v>
      </c>
    </row>
    <row r="11310">
      <c r="A11310" t="inlineStr">
        <is>
          <t>27BBBBB11310Z5</t>
        </is>
      </c>
      <c r="B11310" t="inlineStr">
        <is>
          <t>Aug-2018</t>
        </is>
      </c>
      <c r="C11310" s="2" t="n">
        <v>44278</v>
      </c>
      <c r="D11310" t="inlineStr">
        <is>
          <t>NON-NIL</t>
        </is>
      </c>
      <c r="E11310" t="n">
        <v>921</v>
      </c>
    </row>
    <row r="11311">
      <c r="A11311" t="inlineStr">
        <is>
          <t>27BBBBB11311Z5</t>
        </is>
      </c>
      <c r="B11311" t="inlineStr">
        <is>
          <t>May-2020</t>
        </is>
      </c>
      <c r="C11311" s="2" t="n">
        <v>44618</v>
      </c>
      <c r="D11311" t="inlineStr">
        <is>
          <t>NON-NIL</t>
        </is>
      </c>
      <c r="E11311" t="n">
        <v>431</v>
      </c>
    </row>
    <row r="11312">
      <c r="A11312" t="inlineStr">
        <is>
          <t>27BBBBB11312Z5</t>
        </is>
      </c>
      <c r="B11312" t="inlineStr">
        <is>
          <t>Nov-2017</t>
        </is>
      </c>
      <c r="C11312" s="2" t="n">
        <v>44479</v>
      </c>
      <c r="D11312" t="inlineStr">
        <is>
          <t>NIL</t>
        </is>
      </c>
      <c r="E11312" t="n">
        <v>471</v>
      </c>
    </row>
    <row r="11313">
      <c r="A11313" t="inlineStr">
        <is>
          <t>27BBBBB11313Z5</t>
        </is>
      </c>
      <c r="B11313" t="inlineStr">
        <is>
          <t>Dec-2022</t>
        </is>
      </c>
      <c r="C11313" s="2" t="n">
        <v>44026</v>
      </c>
      <c r="D11313" t="inlineStr">
        <is>
          <t>NIL</t>
        </is>
      </c>
      <c r="E11313" t="n">
        <v>1892</v>
      </c>
    </row>
    <row r="11314">
      <c r="A11314" t="inlineStr">
        <is>
          <t>27BBBBB11314Z5</t>
        </is>
      </c>
      <c r="B11314" t="inlineStr">
        <is>
          <t>Apr-2020</t>
        </is>
      </c>
      <c r="C11314" s="2" t="n">
        <v>44143</v>
      </c>
      <c r="D11314" t="inlineStr">
        <is>
          <t>NIL</t>
        </is>
      </c>
      <c r="E11314" t="n">
        <v>1086</v>
      </c>
    </row>
    <row r="11315">
      <c r="A11315" t="inlineStr">
        <is>
          <t>27BBBBB11315Z5</t>
        </is>
      </c>
      <c r="B11315" t="inlineStr">
        <is>
          <t>Jul-2020</t>
        </is>
      </c>
      <c r="C11315" s="2" t="n">
        <v>44901</v>
      </c>
      <c r="D11315" t="inlineStr">
        <is>
          <t>NIL</t>
        </is>
      </c>
      <c r="E11315" t="n">
        <v>635</v>
      </c>
    </row>
    <row r="11316">
      <c r="A11316" t="inlineStr">
        <is>
          <t>27BBBBB11316Z5</t>
        </is>
      </c>
      <c r="B11316" t="inlineStr">
        <is>
          <t>Dec-2017</t>
        </is>
      </c>
      <c r="C11316" s="2" t="n">
        <v>44476</v>
      </c>
      <c r="D11316" t="inlineStr">
        <is>
          <t>NIL</t>
        </is>
      </c>
      <c r="E11316" t="n">
        <v>2954</v>
      </c>
    </row>
    <row r="11317">
      <c r="A11317" t="inlineStr">
        <is>
          <t>27BBBBB11317Z5</t>
        </is>
      </c>
      <c r="B11317" t="inlineStr">
        <is>
          <t>Jan-2021</t>
        </is>
      </c>
      <c r="C11317" s="2" t="n">
        <v>44842</v>
      </c>
      <c r="D11317" t="inlineStr">
        <is>
          <t>NON-NIL</t>
        </is>
      </c>
      <c r="E11317" t="n">
        <v>1080</v>
      </c>
    </row>
    <row r="11318">
      <c r="A11318" t="inlineStr">
        <is>
          <t>27BBBBB11318Z5</t>
        </is>
      </c>
      <c r="B11318" t="inlineStr">
        <is>
          <t>Sep-2018</t>
        </is>
      </c>
      <c r="C11318" s="2" t="n">
        <v>43525</v>
      </c>
      <c r="D11318" t="inlineStr">
        <is>
          <t>NON-NIL</t>
        </is>
      </c>
      <c r="E11318" t="n">
        <v>503</v>
      </c>
    </row>
    <row r="11319">
      <c r="A11319" t="inlineStr">
        <is>
          <t>27BBBBB11319Z5</t>
        </is>
      </c>
      <c r="B11319" t="inlineStr">
        <is>
          <t>May-2020</t>
        </is>
      </c>
      <c r="C11319" s="2" t="n">
        <v>44091</v>
      </c>
      <c r="D11319" t="inlineStr">
        <is>
          <t>NON-NIL</t>
        </is>
      </c>
      <c r="E11319" t="n">
        <v>64</v>
      </c>
    </row>
    <row r="11320">
      <c r="A11320" t="inlineStr">
        <is>
          <t>27BBBBB11320Z5</t>
        </is>
      </c>
      <c r="B11320" t="inlineStr">
        <is>
          <t>Mar-2018</t>
        </is>
      </c>
      <c r="C11320" s="2" t="n">
        <v>43421</v>
      </c>
      <c r="D11320" t="inlineStr">
        <is>
          <t>NON-NIL</t>
        </is>
      </c>
      <c r="E11320" t="n">
        <v>765</v>
      </c>
    </row>
    <row r="11321">
      <c r="A11321" t="inlineStr">
        <is>
          <t>27BBBBB11321Z5</t>
        </is>
      </c>
      <c r="B11321" t="inlineStr">
        <is>
          <t>Jul-2020</t>
        </is>
      </c>
      <c r="C11321" s="2" t="n">
        <v>44911</v>
      </c>
      <c r="D11321" t="inlineStr">
        <is>
          <t>NIL</t>
        </is>
      </c>
      <c r="E11321" t="n">
        <v>981</v>
      </c>
    </row>
    <row r="11322">
      <c r="A11322" t="inlineStr">
        <is>
          <t>27BBBBB11322Z5</t>
        </is>
      </c>
      <c r="B11322" t="inlineStr">
        <is>
          <t>Mar-2023</t>
        </is>
      </c>
      <c r="C11322" s="2" t="n">
        <v>44895</v>
      </c>
      <c r="D11322" t="inlineStr">
        <is>
          <t>NIL</t>
        </is>
      </c>
      <c r="E11322" t="n">
        <v>331</v>
      </c>
    </row>
    <row r="11323">
      <c r="A11323" t="inlineStr">
        <is>
          <t>27BBBBB11323Z5</t>
        </is>
      </c>
      <c r="B11323" t="inlineStr">
        <is>
          <t>Jun-2018</t>
        </is>
      </c>
      <c r="C11323" s="2" t="n">
        <v>44028</v>
      </c>
      <c r="D11323" t="inlineStr">
        <is>
          <t>NIL</t>
        </is>
      </c>
      <c r="E11323" t="n">
        <v>1947</v>
      </c>
    </row>
    <row r="11324">
      <c r="A11324" t="inlineStr">
        <is>
          <t>27BBBBB11324Z5</t>
        </is>
      </c>
      <c r="B11324" t="inlineStr">
        <is>
          <t>Jan-2021</t>
        </is>
      </c>
      <c r="C11324" s="2" t="n">
        <v>43501</v>
      </c>
      <c r="D11324" t="inlineStr">
        <is>
          <t>NIL</t>
        </is>
      </c>
      <c r="E11324" t="n">
        <v>1045</v>
      </c>
    </row>
    <row r="11325">
      <c r="A11325" t="inlineStr">
        <is>
          <t>27BBBBB11325Z5</t>
        </is>
      </c>
      <c r="B11325" t="inlineStr">
        <is>
          <t>May-2020</t>
        </is>
      </c>
      <c r="C11325" s="2" t="n">
        <v>44572</v>
      </c>
      <c r="D11325" t="inlineStr">
        <is>
          <t>NIL</t>
        </is>
      </c>
      <c r="E11325" t="n">
        <v>2138</v>
      </c>
    </row>
    <row r="11326">
      <c r="A11326" t="inlineStr">
        <is>
          <t>27BBBBB11326Z5</t>
        </is>
      </c>
      <c r="B11326" t="inlineStr">
        <is>
          <t>Jun-2018</t>
        </is>
      </c>
      <c r="C11326" s="2" t="n">
        <v>44071</v>
      </c>
      <c r="D11326" t="inlineStr">
        <is>
          <t>NIL</t>
        </is>
      </c>
      <c r="E11326" t="n">
        <v>900</v>
      </c>
    </row>
    <row r="11327">
      <c r="A11327" t="inlineStr">
        <is>
          <t>27BBBBB11327Z5</t>
        </is>
      </c>
      <c r="B11327" t="inlineStr">
        <is>
          <t>Apr-2018</t>
        </is>
      </c>
      <c r="C11327" s="2" t="n">
        <v>43496</v>
      </c>
      <c r="D11327" t="inlineStr">
        <is>
          <t>NON-NIL</t>
        </is>
      </c>
      <c r="E11327" t="n">
        <v>936</v>
      </c>
    </row>
    <row r="11328">
      <c r="A11328" t="inlineStr">
        <is>
          <t>27BBBBB11328Z5</t>
        </is>
      </c>
      <c r="B11328" t="inlineStr">
        <is>
          <t>Jul-2020</t>
        </is>
      </c>
      <c r="C11328" s="2" t="n">
        <v>44268</v>
      </c>
      <c r="D11328" t="inlineStr">
        <is>
          <t>NIL</t>
        </is>
      </c>
      <c r="E11328" t="n">
        <v>372</v>
      </c>
    </row>
    <row r="11329">
      <c r="A11329" t="inlineStr">
        <is>
          <t>27BBBBB11329Z5</t>
        </is>
      </c>
      <c r="B11329" t="inlineStr">
        <is>
          <t>Sep-2017</t>
        </is>
      </c>
      <c r="C11329" s="2" t="n">
        <v>43070</v>
      </c>
      <c r="D11329" t="inlineStr">
        <is>
          <t>NON-NIL</t>
        </is>
      </c>
      <c r="E11329" t="n">
        <v>1971</v>
      </c>
    </row>
    <row r="11330">
      <c r="A11330" t="inlineStr">
        <is>
          <t>27BBBBB11330Z5</t>
        </is>
      </c>
      <c r="B11330" t="inlineStr">
        <is>
          <t>Aug-2017</t>
        </is>
      </c>
      <c r="C11330" s="2" t="n">
        <v>43055</v>
      </c>
      <c r="D11330" t="inlineStr">
        <is>
          <t>NIL</t>
        </is>
      </c>
      <c r="E11330" t="n">
        <v>2026</v>
      </c>
    </row>
    <row r="11331">
      <c r="A11331" t="inlineStr">
        <is>
          <t>27BBBBB11331Z5</t>
        </is>
      </c>
      <c r="B11331" t="inlineStr">
        <is>
          <t>Dec-2024</t>
        </is>
      </c>
      <c r="C11331" s="2" t="n">
        <v>44072</v>
      </c>
      <c r="D11331" t="inlineStr">
        <is>
          <t>NIL</t>
        </is>
      </c>
      <c r="E11331" t="n">
        <v>2328</v>
      </c>
    </row>
    <row r="11332">
      <c r="A11332" t="inlineStr">
        <is>
          <t>27BBBBB11332Z5</t>
        </is>
      </c>
      <c r="B11332" t="inlineStr">
        <is>
          <t>Jul-2018</t>
        </is>
      </c>
      <c r="C11332" s="2" t="n">
        <v>43373</v>
      </c>
      <c r="D11332" t="inlineStr">
        <is>
          <t>NIL</t>
        </is>
      </c>
      <c r="E11332" t="n">
        <v>2921</v>
      </c>
    </row>
    <row r="11333">
      <c r="A11333" t="inlineStr">
        <is>
          <t>27BBBBB11333Z5</t>
        </is>
      </c>
      <c r="B11333" t="inlineStr">
        <is>
          <t>Mar-2020</t>
        </is>
      </c>
      <c r="C11333" s="2" t="n">
        <v>43865</v>
      </c>
      <c r="D11333" t="inlineStr">
        <is>
          <t>NIL</t>
        </is>
      </c>
      <c r="E11333" t="n">
        <v>2844</v>
      </c>
    </row>
    <row r="11334">
      <c r="A11334" t="inlineStr">
        <is>
          <t>27BBBBB11334Z5</t>
        </is>
      </c>
      <c r="B11334" t="inlineStr">
        <is>
          <t>Dec-2024</t>
        </is>
      </c>
      <c r="C11334" s="2" t="n">
        <v>43638</v>
      </c>
      <c r="D11334" t="inlineStr">
        <is>
          <t>NON-NIL</t>
        </is>
      </c>
      <c r="E11334" t="n">
        <v>2591</v>
      </c>
    </row>
    <row r="11335">
      <c r="A11335" t="inlineStr">
        <is>
          <t>27BBBBB11335Z5</t>
        </is>
      </c>
      <c r="B11335" t="inlineStr">
        <is>
          <t>Aug-2018</t>
        </is>
      </c>
      <c r="C11335" s="2" t="n">
        <v>43229</v>
      </c>
      <c r="D11335" t="inlineStr">
        <is>
          <t>NIL</t>
        </is>
      </c>
      <c r="E11335" t="n">
        <v>2014</v>
      </c>
    </row>
    <row r="11336">
      <c r="A11336" t="inlineStr">
        <is>
          <t>27BBBBB11336Z5</t>
        </is>
      </c>
      <c r="B11336" t="inlineStr">
        <is>
          <t>Nov-2018</t>
        </is>
      </c>
      <c r="C11336" s="2" t="n">
        <v>43683</v>
      </c>
      <c r="D11336" t="inlineStr">
        <is>
          <t>NON-NIL</t>
        </is>
      </c>
      <c r="E11336" t="n">
        <v>1745</v>
      </c>
    </row>
    <row r="11337">
      <c r="A11337" t="inlineStr">
        <is>
          <t>27BBBBB11337Z5</t>
        </is>
      </c>
      <c r="B11337" t="inlineStr">
        <is>
          <t>Sep-2018</t>
        </is>
      </c>
      <c r="C11337" s="2" t="n">
        <v>43142</v>
      </c>
      <c r="D11337" t="inlineStr">
        <is>
          <t>NIL</t>
        </is>
      </c>
      <c r="E11337" t="n">
        <v>890</v>
      </c>
    </row>
    <row r="11338">
      <c r="A11338" t="inlineStr">
        <is>
          <t>27BBBBB11338Z5</t>
        </is>
      </c>
      <c r="B11338" t="inlineStr">
        <is>
          <t>May-2020</t>
        </is>
      </c>
      <c r="C11338" s="2" t="n">
        <v>43925</v>
      </c>
      <c r="D11338" t="inlineStr">
        <is>
          <t>NIL</t>
        </is>
      </c>
      <c r="E11338" t="n">
        <v>1784</v>
      </c>
    </row>
    <row r="11339">
      <c r="A11339" t="inlineStr">
        <is>
          <t>27BBBBB11339Z5</t>
        </is>
      </c>
      <c r="B11339" t="inlineStr">
        <is>
          <t>Oct-2018</t>
        </is>
      </c>
      <c r="C11339" s="2" t="n">
        <v>43545</v>
      </c>
      <c r="D11339" t="inlineStr">
        <is>
          <t>NIL</t>
        </is>
      </c>
      <c r="E11339" t="n">
        <v>137</v>
      </c>
    </row>
    <row r="11340">
      <c r="A11340" t="inlineStr">
        <is>
          <t>27BBBBB11340Z5</t>
        </is>
      </c>
      <c r="B11340" t="inlineStr">
        <is>
          <t>Nov-2017</t>
        </is>
      </c>
      <c r="C11340" s="2" t="n">
        <v>43129</v>
      </c>
      <c r="D11340" t="inlineStr">
        <is>
          <t>NIL</t>
        </is>
      </c>
      <c r="E11340" t="n">
        <v>117</v>
      </c>
    </row>
    <row r="11341">
      <c r="A11341" t="inlineStr">
        <is>
          <t>27BBBBB11341Z5</t>
        </is>
      </c>
      <c r="B11341" t="inlineStr">
        <is>
          <t>Mar-2023</t>
        </is>
      </c>
      <c r="C11341" s="2" t="n">
        <v>45251</v>
      </c>
      <c r="D11341" t="inlineStr">
        <is>
          <t>NON-NIL</t>
        </is>
      </c>
      <c r="E11341" t="n">
        <v>963</v>
      </c>
    </row>
    <row r="11342">
      <c r="A11342" t="inlineStr">
        <is>
          <t>27BBBBB11342Z5</t>
        </is>
      </c>
      <c r="B11342" t="inlineStr">
        <is>
          <t>Dec-2017</t>
        </is>
      </c>
      <c r="C11342" s="2" t="n">
        <v>44433</v>
      </c>
      <c r="D11342" t="inlineStr">
        <is>
          <t>NON-NIL</t>
        </is>
      </c>
      <c r="E11342" t="n">
        <v>1851</v>
      </c>
    </row>
    <row r="11343">
      <c r="A11343" t="inlineStr">
        <is>
          <t>27BBBBB11343Z5</t>
        </is>
      </c>
      <c r="B11343" t="inlineStr">
        <is>
          <t>Feb-2018</t>
        </is>
      </c>
      <c r="C11343" s="2" t="n">
        <v>44119</v>
      </c>
      <c r="D11343" t="inlineStr">
        <is>
          <t>NON-NIL</t>
        </is>
      </c>
      <c r="E11343" t="n">
        <v>2132</v>
      </c>
    </row>
    <row r="11344">
      <c r="A11344" t="inlineStr">
        <is>
          <t>27BBBBB11344Z5</t>
        </is>
      </c>
      <c r="B11344" t="inlineStr">
        <is>
          <t>Apr-2020</t>
        </is>
      </c>
      <c r="C11344" s="2" t="n">
        <v>44420</v>
      </c>
      <c r="D11344" t="inlineStr">
        <is>
          <t>NIL</t>
        </is>
      </c>
      <c r="E11344" t="n">
        <v>630</v>
      </c>
    </row>
    <row r="11345">
      <c r="A11345" t="inlineStr">
        <is>
          <t>27BBBBB11345Z5</t>
        </is>
      </c>
      <c r="B11345" t="inlineStr">
        <is>
          <t>Nov-2018</t>
        </is>
      </c>
      <c r="C11345" s="2" t="n">
        <v>44341</v>
      </c>
      <c r="D11345" t="inlineStr">
        <is>
          <t>NON-NIL</t>
        </is>
      </c>
      <c r="E11345" t="n">
        <v>1217</v>
      </c>
    </row>
    <row r="11346">
      <c r="A11346" t="inlineStr">
        <is>
          <t>27BBBBB11346Z5</t>
        </is>
      </c>
      <c r="B11346" t="inlineStr">
        <is>
          <t>Jul-2020</t>
        </is>
      </c>
      <c r="C11346" s="2" t="n">
        <v>44674</v>
      </c>
      <c r="D11346" t="inlineStr">
        <is>
          <t>NON-NIL</t>
        </is>
      </c>
      <c r="E11346" t="n">
        <v>511</v>
      </c>
    </row>
    <row r="11347">
      <c r="A11347" t="inlineStr">
        <is>
          <t>27BBBBB11347Z5</t>
        </is>
      </c>
      <c r="B11347" t="inlineStr">
        <is>
          <t>Nov-2017</t>
        </is>
      </c>
      <c r="C11347" s="2" t="n">
        <v>43713</v>
      </c>
      <c r="D11347" t="inlineStr">
        <is>
          <t>NON-NIL</t>
        </is>
      </c>
      <c r="E11347" t="n">
        <v>1016</v>
      </c>
    </row>
    <row r="11348">
      <c r="A11348" t="inlineStr">
        <is>
          <t>27BBBBB11348Z5</t>
        </is>
      </c>
      <c r="B11348" t="inlineStr">
        <is>
          <t>Jul-2017</t>
        </is>
      </c>
      <c r="C11348" s="2" t="n">
        <v>43608</v>
      </c>
      <c r="D11348" t="inlineStr">
        <is>
          <t>NON-NIL</t>
        </is>
      </c>
      <c r="E11348" t="n">
        <v>2071</v>
      </c>
    </row>
    <row r="11349">
      <c r="A11349" t="inlineStr">
        <is>
          <t>27BBBBB11349Z5</t>
        </is>
      </c>
      <c r="B11349" t="inlineStr">
        <is>
          <t>May-2020</t>
        </is>
      </c>
      <c r="C11349" s="2" t="n">
        <v>44281</v>
      </c>
      <c r="D11349" t="inlineStr">
        <is>
          <t>NIL</t>
        </is>
      </c>
      <c r="E11349" t="n">
        <v>2148</v>
      </c>
    </row>
    <row r="11350">
      <c r="A11350" t="inlineStr">
        <is>
          <t>27BBBBB11350Z5</t>
        </is>
      </c>
      <c r="B11350" t="inlineStr">
        <is>
          <t>Nov-2017</t>
        </is>
      </c>
      <c r="C11350" s="2" t="n">
        <v>43396</v>
      </c>
      <c r="D11350" t="inlineStr">
        <is>
          <t>NIL</t>
        </is>
      </c>
      <c r="E11350" t="n">
        <v>261</v>
      </c>
    </row>
    <row r="11351">
      <c r="A11351" t="inlineStr">
        <is>
          <t>27BBBBB11351Z5</t>
        </is>
      </c>
      <c r="B11351" t="inlineStr">
        <is>
          <t>Oct-2018</t>
        </is>
      </c>
      <c r="C11351" s="2" t="n">
        <v>43884</v>
      </c>
      <c r="D11351" t="inlineStr">
        <is>
          <t>NON-NIL</t>
        </is>
      </c>
      <c r="E11351" t="n">
        <v>946</v>
      </c>
    </row>
    <row r="11352">
      <c r="A11352" t="inlineStr">
        <is>
          <t>27BBBBB11352Z5</t>
        </is>
      </c>
      <c r="B11352" t="inlineStr">
        <is>
          <t>Aug-2018</t>
        </is>
      </c>
      <c r="C11352" s="2" t="n">
        <v>44438</v>
      </c>
      <c r="D11352" t="inlineStr">
        <is>
          <t>NON-NIL</t>
        </is>
      </c>
      <c r="E11352" t="n">
        <v>2418</v>
      </c>
    </row>
    <row r="11353">
      <c r="A11353" t="inlineStr">
        <is>
          <t>27BBBBB11353Z5</t>
        </is>
      </c>
      <c r="B11353" t="inlineStr">
        <is>
          <t>May-2020</t>
        </is>
      </c>
      <c r="C11353" s="2" t="n">
        <v>44317</v>
      </c>
      <c r="D11353" t="inlineStr">
        <is>
          <t>NIL</t>
        </is>
      </c>
      <c r="E11353" t="n">
        <v>1296</v>
      </c>
    </row>
    <row r="11354">
      <c r="A11354" t="inlineStr">
        <is>
          <t>27BBBBB11354Z5</t>
        </is>
      </c>
      <c r="B11354" t="inlineStr">
        <is>
          <t>Jul-2020</t>
        </is>
      </c>
      <c r="C11354" s="2" t="n">
        <v>44363</v>
      </c>
      <c r="D11354" t="inlineStr">
        <is>
          <t>NON-NIL</t>
        </is>
      </c>
      <c r="E11354" t="n">
        <v>2255</v>
      </c>
    </row>
    <row r="11355">
      <c r="A11355" t="inlineStr">
        <is>
          <t>27BBBBB11355Z5</t>
        </is>
      </c>
      <c r="B11355" t="inlineStr">
        <is>
          <t>Sep-2017</t>
        </is>
      </c>
      <c r="C11355" s="2" t="n">
        <v>43886</v>
      </c>
      <c r="D11355" t="inlineStr">
        <is>
          <t>NON-NIL</t>
        </is>
      </c>
      <c r="E11355" t="n">
        <v>2681</v>
      </c>
    </row>
    <row r="11356">
      <c r="A11356" t="inlineStr">
        <is>
          <t>27BBBBB11356Z5</t>
        </is>
      </c>
      <c r="B11356" t="inlineStr">
        <is>
          <t>Dec-2024</t>
        </is>
      </c>
      <c r="C11356" s="2" t="n">
        <v>44866</v>
      </c>
      <c r="D11356" t="inlineStr">
        <is>
          <t>NON-NIL</t>
        </is>
      </c>
      <c r="E11356" t="n">
        <v>2548</v>
      </c>
    </row>
    <row r="11357">
      <c r="A11357" t="inlineStr">
        <is>
          <t>27BBBBB11357Z5</t>
        </is>
      </c>
      <c r="B11357" t="inlineStr">
        <is>
          <t>May-2018</t>
        </is>
      </c>
      <c r="C11357" s="2" t="n">
        <v>44053</v>
      </c>
      <c r="D11357" t="inlineStr">
        <is>
          <t>NON-NIL</t>
        </is>
      </c>
      <c r="E11357" t="n">
        <v>2661</v>
      </c>
    </row>
    <row r="11358">
      <c r="A11358" t="inlineStr">
        <is>
          <t>27BBBBB11358Z5</t>
        </is>
      </c>
      <c r="B11358" t="inlineStr">
        <is>
          <t>Dec-2018</t>
        </is>
      </c>
      <c r="C11358" s="2" t="n">
        <v>43013</v>
      </c>
      <c r="D11358" t="inlineStr">
        <is>
          <t>NON-NIL</t>
        </is>
      </c>
      <c r="E11358" t="n">
        <v>1547</v>
      </c>
    </row>
    <row r="11359">
      <c r="A11359" t="inlineStr">
        <is>
          <t>27BBBBB11359Z5</t>
        </is>
      </c>
      <c r="B11359" t="inlineStr">
        <is>
          <t>Nov-2018</t>
        </is>
      </c>
      <c r="C11359" s="2" t="n">
        <v>44257</v>
      </c>
      <c r="D11359" t="inlineStr">
        <is>
          <t>NON-NIL</t>
        </is>
      </c>
      <c r="E11359" t="n">
        <v>1548</v>
      </c>
    </row>
    <row r="11360">
      <c r="A11360" t="inlineStr">
        <is>
          <t>27BBBBB11360Z5</t>
        </is>
      </c>
      <c r="B11360" t="inlineStr">
        <is>
          <t>Mar-2021</t>
        </is>
      </c>
      <c r="C11360" s="2" t="n">
        <v>43684</v>
      </c>
      <c r="D11360" t="inlineStr">
        <is>
          <t>NON-NIL</t>
        </is>
      </c>
      <c r="E11360" t="n">
        <v>2668</v>
      </c>
    </row>
    <row r="11361">
      <c r="A11361" t="inlineStr">
        <is>
          <t>27BBBBB11361Z5</t>
        </is>
      </c>
      <c r="B11361" t="inlineStr">
        <is>
          <t>Dec-2018</t>
        </is>
      </c>
      <c r="C11361" s="2" t="n">
        <v>44408</v>
      </c>
      <c r="D11361" t="inlineStr">
        <is>
          <t>NON-NIL</t>
        </is>
      </c>
      <c r="E11361" t="n">
        <v>105</v>
      </c>
    </row>
    <row r="11362">
      <c r="A11362" t="inlineStr">
        <is>
          <t>27BBBBB11362Z5</t>
        </is>
      </c>
      <c r="B11362" t="inlineStr">
        <is>
          <t>Oct-2018</t>
        </is>
      </c>
      <c r="C11362" s="2" t="n">
        <v>43676</v>
      </c>
      <c r="D11362" t="inlineStr">
        <is>
          <t>NON-NIL</t>
        </is>
      </c>
      <c r="E11362" t="n">
        <v>1717</v>
      </c>
    </row>
    <row r="11363">
      <c r="A11363" t="inlineStr">
        <is>
          <t>27BBBBB11363Z5</t>
        </is>
      </c>
      <c r="B11363" t="inlineStr">
        <is>
          <t>Jan-2018</t>
        </is>
      </c>
      <c r="C11363" s="2" t="n">
        <v>44013</v>
      </c>
      <c r="D11363" t="inlineStr">
        <is>
          <t>NON-NIL</t>
        </is>
      </c>
      <c r="E11363" t="n">
        <v>2970</v>
      </c>
    </row>
    <row r="11364">
      <c r="A11364" t="inlineStr">
        <is>
          <t>27BBBBB11364Z5</t>
        </is>
      </c>
      <c r="B11364" t="inlineStr">
        <is>
          <t>Dec-2017</t>
        </is>
      </c>
      <c r="C11364" s="2" t="n">
        <v>43380</v>
      </c>
      <c r="D11364" t="inlineStr">
        <is>
          <t>NIL</t>
        </is>
      </c>
      <c r="E11364" t="n">
        <v>2188</v>
      </c>
    </row>
    <row r="11365">
      <c r="A11365" t="inlineStr">
        <is>
          <t>27BBBBB11365Z5</t>
        </is>
      </c>
      <c r="B11365" t="inlineStr">
        <is>
          <t>Dec-2018</t>
        </is>
      </c>
      <c r="C11365" s="2" t="n">
        <v>43468</v>
      </c>
      <c r="D11365" t="inlineStr">
        <is>
          <t>NIL</t>
        </is>
      </c>
      <c r="E11365" t="n">
        <v>185</v>
      </c>
    </row>
    <row r="11366">
      <c r="A11366" t="inlineStr">
        <is>
          <t>27BBBBB11366Z5</t>
        </is>
      </c>
      <c r="B11366" t="inlineStr">
        <is>
          <t>Jun-2020</t>
        </is>
      </c>
      <c r="C11366" s="2" t="n">
        <v>43978</v>
      </c>
      <c r="D11366" t="inlineStr">
        <is>
          <t>NON-NIL</t>
        </is>
      </c>
      <c r="E11366" t="n">
        <v>2339</v>
      </c>
    </row>
    <row r="11367">
      <c r="A11367" t="inlineStr">
        <is>
          <t>27BBBBB11367Z5</t>
        </is>
      </c>
      <c r="B11367" t="inlineStr">
        <is>
          <t>Jun-2018</t>
        </is>
      </c>
      <c r="C11367" s="2" t="n">
        <v>44014</v>
      </c>
      <c r="D11367" t="inlineStr">
        <is>
          <t>NIL</t>
        </is>
      </c>
      <c r="E11367" t="n">
        <v>2845</v>
      </c>
    </row>
    <row r="11368">
      <c r="A11368" t="inlineStr">
        <is>
          <t>27BBBBB11368Z5</t>
        </is>
      </c>
      <c r="B11368" t="inlineStr">
        <is>
          <t>Mar-2018</t>
        </is>
      </c>
      <c r="C11368" s="2" t="n">
        <v>44157</v>
      </c>
      <c r="D11368" t="inlineStr">
        <is>
          <t>NON-NIL</t>
        </is>
      </c>
      <c r="E11368" t="n">
        <v>1700</v>
      </c>
    </row>
    <row r="11369">
      <c r="A11369" t="inlineStr">
        <is>
          <t>27BBBBB11369Z5</t>
        </is>
      </c>
      <c r="B11369" t="inlineStr">
        <is>
          <t>Jun-2020</t>
        </is>
      </c>
      <c r="C11369" s="2" t="n">
        <v>44687</v>
      </c>
      <c r="D11369" t="inlineStr">
        <is>
          <t>NIL</t>
        </is>
      </c>
      <c r="E11369" t="n">
        <v>893</v>
      </c>
    </row>
    <row r="11370">
      <c r="A11370" t="inlineStr">
        <is>
          <t>27BBBBB11370Z5</t>
        </is>
      </c>
      <c r="B11370" t="inlineStr">
        <is>
          <t>May-2018</t>
        </is>
      </c>
      <c r="C11370" s="2" t="n">
        <v>43790</v>
      </c>
      <c r="D11370" t="inlineStr">
        <is>
          <t>NIL</t>
        </is>
      </c>
      <c r="E11370" t="n">
        <v>789</v>
      </c>
    </row>
    <row r="11371">
      <c r="A11371" t="inlineStr">
        <is>
          <t>27BBBBB11371Z5</t>
        </is>
      </c>
      <c r="B11371" t="inlineStr">
        <is>
          <t>Jun-2020</t>
        </is>
      </c>
      <c r="C11371" s="2" t="n">
        <v>43882</v>
      </c>
      <c r="D11371" t="inlineStr">
        <is>
          <t>NIL</t>
        </is>
      </c>
      <c r="E11371" t="n">
        <v>1389</v>
      </c>
    </row>
    <row r="11372">
      <c r="A11372" t="inlineStr">
        <is>
          <t>27BBBBB11372Z5</t>
        </is>
      </c>
      <c r="B11372" t="inlineStr">
        <is>
          <t>Mar-2021</t>
        </is>
      </c>
      <c r="C11372" s="2" t="n">
        <v>44789</v>
      </c>
      <c r="D11372" t="inlineStr">
        <is>
          <t>NON-NIL</t>
        </is>
      </c>
      <c r="E11372" t="n">
        <v>1969</v>
      </c>
    </row>
    <row r="11373">
      <c r="A11373" t="inlineStr">
        <is>
          <t>27BBBBB11373Z5</t>
        </is>
      </c>
      <c r="B11373" t="inlineStr">
        <is>
          <t>Dec-2018</t>
        </is>
      </c>
      <c r="C11373" s="2" t="n">
        <v>43093</v>
      </c>
      <c r="D11373" t="inlineStr">
        <is>
          <t>NON-NIL</t>
        </is>
      </c>
      <c r="E11373" t="n">
        <v>2423</v>
      </c>
    </row>
    <row r="11374">
      <c r="A11374" t="inlineStr">
        <is>
          <t>27BBBBB11374Z5</t>
        </is>
      </c>
      <c r="B11374" t="inlineStr">
        <is>
          <t>Apr-2018</t>
        </is>
      </c>
      <c r="C11374" s="2" t="n">
        <v>43744</v>
      </c>
      <c r="D11374" t="inlineStr">
        <is>
          <t>NIL</t>
        </is>
      </c>
      <c r="E11374" t="n">
        <v>615</v>
      </c>
    </row>
    <row r="11375">
      <c r="A11375" t="inlineStr">
        <is>
          <t>27BBBBB11375Z5</t>
        </is>
      </c>
      <c r="B11375" t="inlineStr">
        <is>
          <t>Jun-2020</t>
        </is>
      </c>
      <c r="C11375" s="2" t="n">
        <v>44538</v>
      </c>
      <c r="D11375" t="inlineStr">
        <is>
          <t>NIL</t>
        </is>
      </c>
      <c r="E11375" t="n">
        <v>1143</v>
      </c>
    </row>
    <row r="11376">
      <c r="A11376" t="inlineStr">
        <is>
          <t>27BBBBB11376Z5</t>
        </is>
      </c>
      <c r="B11376" t="inlineStr">
        <is>
          <t>Jun-2020</t>
        </is>
      </c>
      <c r="C11376" s="2" t="n">
        <v>44670</v>
      </c>
      <c r="D11376" t="inlineStr">
        <is>
          <t>NON-NIL</t>
        </is>
      </c>
      <c r="E11376" t="n">
        <v>1267</v>
      </c>
    </row>
    <row r="11377">
      <c r="A11377" t="inlineStr">
        <is>
          <t>27BBBBB11377Z5</t>
        </is>
      </c>
      <c r="B11377" t="inlineStr">
        <is>
          <t>Sep-2018</t>
        </is>
      </c>
      <c r="C11377" s="2" t="n">
        <v>43029</v>
      </c>
      <c r="D11377" t="inlineStr">
        <is>
          <t>NIL</t>
        </is>
      </c>
      <c r="E11377" t="n">
        <v>834</v>
      </c>
    </row>
    <row r="11378">
      <c r="A11378" t="inlineStr">
        <is>
          <t>27BBBBB11378Z5</t>
        </is>
      </c>
      <c r="B11378" t="inlineStr">
        <is>
          <t>Sep-2018</t>
        </is>
      </c>
      <c r="C11378" s="2" t="n">
        <v>43662</v>
      </c>
      <c r="D11378" t="inlineStr">
        <is>
          <t>NON-NIL</t>
        </is>
      </c>
      <c r="E11378" t="n">
        <v>2766</v>
      </c>
    </row>
    <row r="11379">
      <c r="A11379" t="inlineStr">
        <is>
          <t>27BBBBB11379Z5</t>
        </is>
      </c>
      <c r="B11379" t="inlineStr">
        <is>
          <t>Oct-2017</t>
        </is>
      </c>
      <c r="C11379" s="2" t="n">
        <v>44186</v>
      </c>
      <c r="D11379" t="inlineStr">
        <is>
          <t>NIL</t>
        </is>
      </c>
      <c r="E11379" t="n">
        <v>1025</v>
      </c>
    </row>
    <row r="11380">
      <c r="A11380" t="inlineStr">
        <is>
          <t>27BBBBB11380Z5</t>
        </is>
      </c>
      <c r="B11380" t="inlineStr">
        <is>
          <t>Dec-2017</t>
        </is>
      </c>
      <c r="C11380" s="2" t="n">
        <v>43486</v>
      </c>
      <c r="D11380" t="inlineStr">
        <is>
          <t>NON-NIL</t>
        </is>
      </c>
      <c r="E11380" t="n">
        <v>2610</v>
      </c>
    </row>
    <row r="11381">
      <c r="A11381" t="inlineStr">
        <is>
          <t>27BBBBB11381Z5</t>
        </is>
      </c>
      <c r="B11381" t="inlineStr">
        <is>
          <t>May-2020</t>
        </is>
      </c>
      <c r="C11381" s="2" t="n">
        <v>44660</v>
      </c>
      <c r="D11381" t="inlineStr">
        <is>
          <t>NIL</t>
        </is>
      </c>
      <c r="E11381" t="n">
        <v>1245</v>
      </c>
    </row>
    <row r="11382">
      <c r="A11382" t="inlineStr">
        <is>
          <t>27BBBBB11382Z5</t>
        </is>
      </c>
      <c r="B11382" t="inlineStr">
        <is>
          <t>Jan-2021</t>
        </is>
      </c>
      <c r="C11382" s="2" t="n">
        <v>43836</v>
      </c>
      <c r="D11382" t="inlineStr">
        <is>
          <t>NON-NIL</t>
        </is>
      </c>
      <c r="E11382" t="n">
        <v>2923</v>
      </c>
    </row>
    <row r="11383">
      <c r="A11383" t="inlineStr">
        <is>
          <t>27BBBBB11383Z5</t>
        </is>
      </c>
      <c r="B11383" t="inlineStr">
        <is>
          <t>May-2020</t>
        </is>
      </c>
      <c r="C11383" s="2" t="n">
        <v>44851</v>
      </c>
      <c r="D11383" t="inlineStr">
        <is>
          <t>NON-NIL</t>
        </is>
      </c>
      <c r="E11383" t="n">
        <v>2360</v>
      </c>
    </row>
    <row r="11384">
      <c r="A11384" t="inlineStr">
        <is>
          <t>27BBBBB11384Z5</t>
        </is>
      </c>
      <c r="B11384" t="inlineStr">
        <is>
          <t>Sep-2018</t>
        </is>
      </c>
      <c r="C11384" s="2" t="n">
        <v>43481</v>
      </c>
      <c r="D11384" t="inlineStr">
        <is>
          <t>NON-NIL</t>
        </is>
      </c>
      <c r="E11384" t="n">
        <v>2250</v>
      </c>
    </row>
    <row r="11385">
      <c r="A11385" t="inlineStr">
        <is>
          <t>27BBBBB11385Z5</t>
        </is>
      </c>
      <c r="B11385" t="inlineStr">
        <is>
          <t>Feb-2018</t>
        </is>
      </c>
      <c r="C11385" s="2" t="n">
        <v>44073</v>
      </c>
      <c r="D11385" t="inlineStr">
        <is>
          <t>NON-NIL</t>
        </is>
      </c>
      <c r="E11385" t="n">
        <v>178</v>
      </c>
    </row>
    <row r="11386">
      <c r="A11386" t="inlineStr">
        <is>
          <t>27BBBBB11386Z5</t>
        </is>
      </c>
      <c r="B11386" t="inlineStr">
        <is>
          <t>Dec-2022</t>
        </is>
      </c>
      <c r="C11386" s="2" t="n">
        <v>44553</v>
      </c>
      <c r="D11386" t="inlineStr">
        <is>
          <t>NIL</t>
        </is>
      </c>
      <c r="E11386" t="n">
        <v>459</v>
      </c>
    </row>
    <row r="11387">
      <c r="A11387" t="inlineStr">
        <is>
          <t>27BBBBB11387Z5</t>
        </is>
      </c>
      <c r="B11387" t="inlineStr">
        <is>
          <t>Nov-2018</t>
        </is>
      </c>
      <c r="C11387" s="2" t="n">
        <v>43198</v>
      </c>
      <c r="D11387" t="inlineStr">
        <is>
          <t>NIL</t>
        </is>
      </c>
      <c r="E11387" t="n">
        <v>436</v>
      </c>
    </row>
    <row r="11388">
      <c r="A11388" t="inlineStr">
        <is>
          <t>27BBBBB11388Z5</t>
        </is>
      </c>
      <c r="B11388" t="inlineStr">
        <is>
          <t>Dec-2018</t>
        </is>
      </c>
      <c r="C11388" s="2" t="n">
        <v>43166</v>
      </c>
      <c r="D11388" t="inlineStr">
        <is>
          <t>NON-NIL</t>
        </is>
      </c>
      <c r="E11388" t="n">
        <v>2123</v>
      </c>
    </row>
    <row r="11389">
      <c r="A11389" t="inlineStr">
        <is>
          <t>27BBBBB11389Z5</t>
        </is>
      </c>
      <c r="B11389" t="inlineStr">
        <is>
          <t>Jun-2018</t>
        </is>
      </c>
      <c r="C11389" s="2" t="n">
        <v>42982</v>
      </c>
      <c r="D11389" t="inlineStr">
        <is>
          <t>NON-NIL</t>
        </is>
      </c>
      <c r="E11389" t="n">
        <v>428</v>
      </c>
    </row>
    <row r="11390">
      <c r="A11390" t="inlineStr">
        <is>
          <t>27BBBBB11390Z5</t>
        </is>
      </c>
      <c r="B11390" t="inlineStr">
        <is>
          <t>Dec-2024</t>
        </is>
      </c>
      <c r="C11390" s="2" t="n">
        <v>45766</v>
      </c>
      <c r="D11390" t="inlineStr">
        <is>
          <t>NON-NIL</t>
        </is>
      </c>
      <c r="E11390" t="n">
        <v>2371</v>
      </c>
    </row>
    <row r="11391">
      <c r="A11391" t="inlineStr">
        <is>
          <t>27BBBBB11391Z5</t>
        </is>
      </c>
      <c r="B11391" t="inlineStr">
        <is>
          <t>Mar-2020</t>
        </is>
      </c>
      <c r="C11391" s="2" t="n">
        <v>44703</v>
      </c>
      <c r="D11391" t="inlineStr">
        <is>
          <t>NIL</t>
        </is>
      </c>
      <c r="E11391" t="n">
        <v>1037</v>
      </c>
    </row>
    <row r="11392">
      <c r="A11392" t="inlineStr">
        <is>
          <t>27BBBBB11392Z5</t>
        </is>
      </c>
      <c r="B11392" t="inlineStr">
        <is>
          <t>Jun-2020</t>
        </is>
      </c>
      <c r="C11392" s="2" t="n">
        <v>44406</v>
      </c>
      <c r="D11392" t="inlineStr">
        <is>
          <t>NIL</t>
        </is>
      </c>
      <c r="E11392" t="n">
        <v>1670</v>
      </c>
    </row>
    <row r="11393">
      <c r="A11393" t="inlineStr">
        <is>
          <t>27BBBBB11393Z5</t>
        </is>
      </c>
      <c r="B11393" t="inlineStr">
        <is>
          <t>Jul-2020</t>
        </is>
      </c>
      <c r="C11393" s="2" t="n">
        <v>43907</v>
      </c>
      <c r="D11393" t="inlineStr">
        <is>
          <t>NIL</t>
        </is>
      </c>
      <c r="E11393" t="n">
        <v>1271</v>
      </c>
    </row>
    <row r="11394">
      <c r="A11394" t="inlineStr">
        <is>
          <t>27BBBBB11394Z5</t>
        </is>
      </c>
      <c r="B11394" t="inlineStr">
        <is>
          <t>Oct-2018</t>
        </is>
      </c>
      <c r="C11394" s="2" t="n">
        <v>44282</v>
      </c>
      <c r="D11394" t="inlineStr">
        <is>
          <t>NIL</t>
        </is>
      </c>
      <c r="E11394" t="n">
        <v>2675</v>
      </c>
    </row>
    <row r="11395">
      <c r="A11395" t="inlineStr">
        <is>
          <t>27BBBBB11395Z5</t>
        </is>
      </c>
      <c r="B11395" t="inlineStr">
        <is>
          <t>Nov-2017</t>
        </is>
      </c>
      <c r="C11395" s="2" t="n">
        <v>43253</v>
      </c>
      <c r="D11395" t="inlineStr">
        <is>
          <t>NON-NIL</t>
        </is>
      </c>
      <c r="E11395" t="n">
        <v>2180</v>
      </c>
    </row>
    <row r="11396">
      <c r="A11396" t="inlineStr">
        <is>
          <t>27BBBBB11396Z5</t>
        </is>
      </c>
      <c r="B11396" t="inlineStr">
        <is>
          <t>Dec-2022</t>
        </is>
      </c>
      <c r="C11396" s="2" t="n">
        <v>44306</v>
      </c>
      <c r="D11396" t="inlineStr">
        <is>
          <t>NIL</t>
        </is>
      </c>
      <c r="E11396" t="n">
        <v>2565</v>
      </c>
    </row>
    <row r="11397">
      <c r="A11397" t="inlineStr">
        <is>
          <t>27BBBBB11397Z5</t>
        </is>
      </c>
      <c r="B11397" t="inlineStr">
        <is>
          <t>Dec-2022</t>
        </is>
      </c>
      <c r="C11397" s="2" t="n">
        <v>45837</v>
      </c>
      <c r="D11397" t="inlineStr">
        <is>
          <t>NIL</t>
        </is>
      </c>
      <c r="E11397" t="n">
        <v>1827</v>
      </c>
    </row>
    <row r="11398">
      <c r="A11398" t="inlineStr">
        <is>
          <t>27BBBBB11398Z5</t>
        </is>
      </c>
      <c r="B11398" t="inlineStr">
        <is>
          <t>Mar-2020</t>
        </is>
      </c>
      <c r="C11398" s="2" t="n">
        <v>44189</v>
      </c>
      <c r="D11398" t="inlineStr">
        <is>
          <t>NIL</t>
        </is>
      </c>
      <c r="E11398" t="n">
        <v>2934</v>
      </c>
    </row>
    <row r="11399">
      <c r="A11399" t="inlineStr">
        <is>
          <t>27BBBBB11399Z5</t>
        </is>
      </c>
      <c r="B11399" t="inlineStr">
        <is>
          <t>Apr-2020</t>
        </is>
      </c>
      <c r="C11399" s="2" t="n">
        <v>44244</v>
      </c>
      <c r="D11399" t="inlineStr">
        <is>
          <t>NIL</t>
        </is>
      </c>
      <c r="E11399" t="n">
        <v>2097</v>
      </c>
    </row>
    <row r="11400">
      <c r="A11400" t="inlineStr">
        <is>
          <t>27BBBBB11400Z5</t>
        </is>
      </c>
      <c r="B11400" t="inlineStr">
        <is>
          <t>Jun-2018</t>
        </is>
      </c>
      <c r="C11400" s="2" t="n">
        <v>44532</v>
      </c>
      <c r="D11400" t="inlineStr">
        <is>
          <t>NON-NIL</t>
        </is>
      </c>
      <c r="E11400" t="n">
        <v>919</v>
      </c>
    </row>
    <row r="11401">
      <c r="A11401" t="inlineStr">
        <is>
          <t>27BBBBB11401Z5</t>
        </is>
      </c>
      <c r="B11401" t="inlineStr">
        <is>
          <t>Dec-2017</t>
        </is>
      </c>
      <c r="C11401" s="2" t="n">
        <v>43898</v>
      </c>
      <c r="D11401" t="inlineStr">
        <is>
          <t>NON-NIL</t>
        </is>
      </c>
      <c r="E11401" t="n">
        <v>2787</v>
      </c>
    </row>
    <row r="11402">
      <c r="A11402" t="inlineStr">
        <is>
          <t>27BBBBB11402Z5</t>
        </is>
      </c>
      <c r="B11402" t="inlineStr">
        <is>
          <t>Sep-2018</t>
        </is>
      </c>
      <c r="C11402" s="2" t="n">
        <v>43887</v>
      </c>
      <c r="D11402" t="inlineStr">
        <is>
          <t>NIL</t>
        </is>
      </c>
      <c r="E11402" t="n">
        <v>1460</v>
      </c>
    </row>
    <row r="11403">
      <c r="A11403" t="inlineStr">
        <is>
          <t>27BBBBB11403Z5</t>
        </is>
      </c>
      <c r="B11403" t="inlineStr">
        <is>
          <t>Jun-2018</t>
        </is>
      </c>
      <c r="C11403" s="2" t="n">
        <v>44271</v>
      </c>
      <c r="D11403" t="inlineStr">
        <is>
          <t>NIL</t>
        </is>
      </c>
      <c r="E11403" t="n">
        <v>860</v>
      </c>
    </row>
    <row r="11404">
      <c r="A11404" t="inlineStr">
        <is>
          <t>27BBBBB11404Z5</t>
        </is>
      </c>
      <c r="B11404" t="inlineStr">
        <is>
          <t>Sep-2018</t>
        </is>
      </c>
      <c r="C11404" s="2" t="n">
        <v>43103</v>
      </c>
      <c r="D11404" t="inlineStr">
        <is>
          <t>NIL</t>
        </is>
      </c>
      <c r="E11404" t="n">
        <v>2769</v>
      </c>
    </row>
    <row r="11405">
      <c r="A11405" t="inlineStr">
        <is>
          <t>27BBBBB11405Z5</t>
        </is>
      </c>
      <c r="B11405" t="inlineStr">
        <is>
          <t>May-2020</t>
        </is>
      </c>
      <c r="C11405" s="2" t="n">
        <v>44613</v>
      </c>
      <c r="D11405" t="inlineStr">
        <is>
          <t>NIL</t>
        </is>
      </c>
      <c r="E11405" t="n">
        <v>1260</v>
      </c>
    </row>
    <row r="11406">
      <c r="A11406" t="inlineStr">
        <is>
          <t>27BBBBB11406Z5</t>
        </is>
      </c>
      <c r="B11406" t="inlineStr">
        <is>
          <t>Jul-2020</t>
        </is>
      </c>
      <c r="C11406" s="2" t="n">
        <v>44799</v>
      </c>
      <c r="D11406" t="inlineStr">
        <is>
          <t>NON-NIL</t>
        </is>
      </c>
      <c r="E11406" t="n">
        <v>1671</v>
      </c>
    </row>
    <row r="11407">
      <c r="A11407" t="inlineStr">
        <is>
          <t>27BBBBB11407Z5</t>
        </is>
      </c>
      <c r="B11407" t="inlineStr">
        <is>
          <t>Jun-2020</t>
        </is>
      </c>
      <c r="C11407" s="2" t="n">
        <v>44478</v>
      </c>
      <c r="D11407" t="inlineStr">
        <is>
          <t>NIL</t>
        </is>
      </c>
      <c r="E11407" t="n">
        <v>1386</v>
      </c>
    </row>
    <row r="11408">
      <c r="A11408" t="inlineStr">
        <is>
          <t>27BBBBB11408Z5</t>
        </is>
      </c>
      <c r="B11408" t="inlineStr">
        <is>
          <t>Dec-2024</t>
        </is>
      </c>
      <c r="C11408" s="2" t="n">
        <v>44286</v>
      </c>
      <c r="D11408" t="inlineStr">
        <is>
          <t>NON-NIL</t>
        </is>
      </c>
      <c r="E11408" t="n">
        <v>2438</v>
      </c>
    </row>
    <row r="11409">
      <c r="A11409" t="inlineStr">
        <is>
          <t>27BBBBB11409Z5</t>
        </is>
      </c>
      <c r="B11409" t="inlineStr">
        <is>
          <t>May-2020</t>
        </is>
      </c>
      <c r="C11409" s="2" t="n">
        <v>44815</v>
      </c>
      <c r="D11409" t="inlineStr">
        <is>
          <t>NON-NIL</t>
        </is>
      </c>
      <c r="E11409" t="n">
        <v>1797</v>
      </c>
    </row>
    <row r="11410">
      <c r="A11410" t="inlineStr">
        <is>
          <t>27BBBBB11410Z5</t>
        </is>
      </c>
      <c r="B11410" t="inlineStr">
        <is>
          <t>Mar-2018</t>
        </is>
      </c>
      <c r="C11410" s="2" t="n">
        <v>43512</v>
      </c>
      <c r="D11410" t="inlineStr">
        <is>
          <t>NON-NIL</t>
        </is>
      </c>
      <c r="E11410" t="n">
        <v>314</v>
      </c>
    </row>
    <row r="11411">
      <c r="A11411" t="inlineStr">
        <is>
          <t>27BBBBB11411Z5</t>
        </is>
      </c>
      <c r="B11411" t="inlineStr">
        <is>
          <t>Aug-2017</t>
        </is>
      </c>
      <c r="C11411" s="2" t="n">
        <v>43137</v>
      </c>
      <c r="D11411" t="inlineStr">
        <is>
          <t>NON-NIL</t>
        </is>
      </c>
      <c r="E11411" t="n">
        <v>2333</v>
      </c>
    </row>
    <row r="11412">
      <c r="A11412" t="inlineStr">
        <is>
          <t>27BBBBB11412Z5</t>
        </is>
      </c>
      <c r="B11412" t="inlineStr">
        <is>
          <t>Dec-2018</t>
        </is>
      </c>
      <c r="C11412" s="2" t="n">
        <v>43431</v>
      </c>
      <c r="D11412" t="inlineStr">
        <is>
          <t>NON-NIL</t>
        </is>
      </c>
      <c r="E11412" t="n">
        <v>1478</v>
      </c>
    </row>
    <row r="11413">
      <c r="A11413" t="inlineStr">
        <is>
          <t>27BBBBB11413Z5</t>
        </is>
      </c>
      <c r="B11413" t="inlineStr">
        <is>
          <t>Jun-2018</t>
        </is>
      </c>
      <c r="C11413" s="2" t="n">
        <v>43431</v>
      </c>
      <c r="D11413" t="inlineStr">
        <is>
          <t>NON-NIL</t>
        </is>
      </c>
      <c r="E11413" t="n">
        <v>1699</v>
      </c>
    </row>
    <row r="11414">
      <c r="A11414" t="inlineStr">
        <is>
          <t>27BBBBB11414Z5</t>
        </is>
      </c>
      <c r="B11414" t="inlineStr">
        <is>
          <t>Nov-2017</t>
        </is>
      </c>
      <c r="C11414" s="2" t="n">
        <v>43355</v>
      </c>
      <c r="D11414" t="inlineStr">
        <is>
          <t>NIL</t>
        </is>
      </c>
      <c r="E11414" t="n">
        <v>284</v>
      </c>
    </row>
    <row r="11415">
      <c r="A11415" t="inlineStr">
        <is>
          <t>27BBBBB11415Z5</t>
        </is>
      </c>
      <c r="B11415" t="inlineStr">
        <is>
          <t>Sep-2018</t>
        </is>
      </c>
      <c r="C11415" s="2" t="n">
        <v>44084</v>
      </c>
      <c r="D11415" t="inlineStr">
        <is>
          <t>NIL</t>
        </is>
      </c>
      <c r="E11415" t="n">
        <v>1126</v>
      </c>
    </row>
    <row r="11416">
      <c r="A11416" t="inlineStr">
        <is>
          <t>27BBBBB11416Z5</t>
        </is>
      </c>
      <c r="B11416" t="inlineStr">
        <is>
          <t>Jul-2020</t>
        </is>
      </c>
      <c r="C11416" s="2" t="n">
        <v>43857</v>
      </c>
      <c r="D11416" t="inlineStr">
        <is>
          <t>NIL</t>
        </is>
      </c>
      <c r="E11416" t="n">
        <v>2127</v>
      </c>
    </row>
    <row r="11417">
      <c r="A11417" t="inlineStr">
        <is>
          <t>27BBBBB11417Z5</t>
        </is>
      </c>
      <c r="B11417" t="inlineStr">
        <is>
          <t>May-2020</t>
        </is>
      </c>
      <c r="C11417" s="2" t="n">
        <v>44619</v>
      </c>
      <c r="D11417" t="inlineStr">
        <is>
          <t>NON-NIL</t>
        </is>
      </c>
      <c r="E11417" t="n">
        <v>777</v>
      </c>
    </row>
    <row r="11418">
      <c r="A11418" t="inlineStr">
        <is>
          <t>27BBBBB11418Z5</t>
        </is>
      </c>
      <c r="B11418" t="inlineStr">
        <is>
          <t>Jul-2020</t>
        </is>
      </c>
      <c r="C11418" s="2" t="n">
        <v>44537</v>
      </c>
      <c r="D11418" t="inlineStr">
        <is>
          <t>NON-NIL</t>
        </is>
      </c>
      <c r="E11418" t="n">
        <v>305</v>
      </c>
    </row>
    <row r="11419">
      <c r="A11419" t="inlineStr">
        <is>
          <t>27BBBBB11419Z5</t>
        </is>
      </c>
      <c r="B11419" t="inlineStr">
        <is>
          <t>Aug-2018</t>
        </is>
      </c>
      <c r="C11419" s="2" t="n">
        <v>43072</v>
      </c>
      <c r="D11419" t="inlineStr">
        <is>
          <t>NON-NIL</t>
        </is>
      </c>
      <c r="E11419" t="n">
        <v>60</v>
      </c>
    </row>
    <row r="11420">
      <c r="A11420" t="inlineStr">
        <is>
          <t>27BBBBB11420Z5</t>
        </is>
      </c>
      <c r="B11420" t="inlineStr">
        <is>
          <t>Nov-2017</t>
        </is>
      </c>
      <c r="C11420" s="2" t="n">
        <v>44146</v>
      </c>
      <c r="D11420" t="inlineStr">
        <is>
          <t>NON-NIL</t>
        </is>
      </c>
      <c r="E11420" t="n">
        <v>732</v>
      </c>
    </row>
    <row r="11421">
      <c r="A11421" t="inlineStr">
        <is>
          <t>27BBBBB11421Z5</t>
        </is>
      </c>
      <c r="B11421" t="inlineStr">
        <is>
          <t>Oct-2018</t>
        </is>
      </c>
      <c r="C11421" s="2" t="n">
        <v>43202</v>
      </c>
      <c r="D11421" t="inlineStr">
        <is>
          <t>NIL</t>
        </is>
      </c>
      <c r="E11421" t="n">
        <v>547</v>
      </c>
    </row>
    <row r="11422">
      <c r="A11422" t="inlineStr">
        <is>
          <t>27BBBBB11422Z5</t>
        </is>
      </c>
      <c r="B11422" t="inlineStr">
        <is>
          <t>Mar-2020</t>
        </is>
      </c>
      <c r="C11422" s="2" t="n">
        <v>44358</v>
      </c>
      <c r="D11422" t="inlineStr">
        <is>
          <t>NON-NIL</t>
        </is>
      </c>
      <c r="E11422" t="n">
        <v>1393</v>
      </c>
    </row>
    <row r="11423">
      <c r="A11423" t="inlineStr">
        <is>
          <t>27BBBBB11423Z5</t>
        </is>
      </c>
      <c r="B11423" t="inlineStr">
        <is>
          <t>Jun-2020</t>
        </is>
      </c>
      <c r="C11423" s="2" t="n">
        <v>44421</v>
      </c>
      <c r="D11423" t="inlineStr">
        <is>
          <t>NON-NIL</t>
        </is>
      </c>
      <c r="E11423" t="n">
        <v>2362</v>
      </c>
    </row>
    <row r="11424">
      <c r="A11424" t="inlineStr">
        <is>
          <t>27BBBBB11424Z5</t>
        </is>
      </c>
      <c r="B11424" t="inlineStr">
        <is>
          <t>Jan-2021</t>
        </is>
      </c>
      <c r="C11424" s="2" t="n">
        <v>45389</v>
      </c>
      <c r="D11424" t="inlineStr">
        <is>
          <t>NIL</t>
        </is>
      </c>
      <c r="E11424" t="n">
        <v>1764</v>
      </c>
    </row>
    <row r="11425">
      <c r="A11425" t="inlineStr">
        <is>
          <t>27BBBBB11425Z5</t>
        </is>
      </c>
      <c r="B11425" t="inlineStr">
        <is>
          <t>Sep-2017</t>
        </is>
      </c>
      <c r="C11425" s="2" t="n">
        <v>43458</v>
      </c>
      <c r="D11425" t="inlineStr">
        <is>
          <t>NIL</t>
        </is>
      </c>
      <c r="E11425" t="n">
        <v>1100</v>
      </c>
    </row>
    <row r="11426">
      <c r="A11426" t="inlineStr">
        <is>
          <t>27BBBBB11426Z5</t>
        </is>
      </c>
      <c r="B11426" t="inlineStr">
        <is>
          <t>Apr-2018</t>
        </is>
      </c>
      <c r="C11426" s="2" t="n">
        <v>43982</v>
      </c>
      <c r="D11426" t="inlineStr">
        <is>
          <t>NIL</t>
        </is>
      </c>
      <c r="E11426" t="n">
        <v>2530</v>
      </c>
    </row>
    <row r="11427">
      <c r="A11427" t="inlineStr">
        <is>
          <t>27BBBBB11427Z5</t>
        </is>
      </c>
      <c r="B11427" t="inlineStr">
        <is>
          <t>Mar-2018</t>
        </is>
      </c>
      <c r="C11427" s="2" t="n">
        <v>43121</v>
      </c>
      <c r="D11427" t="inlineStr">
        <is>
          <t>NON-NIL</t>
        </is>
      </c>
      <c r="E11427" t="n">
        <v>1488</v>
      </c>
    </row>
    <row r="11428">
      <c r="A11428" t="inlineStr">
        <is>
          <t>27BBBBB11428Z5</t>
        </is>
      </c>
      <c r="B11428" t="inlineStr">
        <is>
          <t>Oct-2018</t>
        </is>
      </c>
      <c r="C11428" s="2" t="n">
        <v>43245</v>
      </c>
      <c r="D11428" t="inlineStr">
        <is>
          <t>NIL</t>
        </is>
      </c>
      <c r="E11428" t="n">
        <v>206</v>
      </c>
    </row>
    <row r="11429">
      <c r="A11429" t="inlineStr">
        <is>
          <t>27BBBBB11429Z5</t>
        </is>
      </c>
      <c r="B11429" t="inlineStr">
        <is>
          <t>Dec-2018</t>
        </is>
      </c>
      <c r="C11429" s="2" t="n">
        <v>44173</v>
      </c>
      <c r="D11429" t="inlineStr">
        <is>
          <t>NON-NIL</t>
        </is>
      </c>
      <c r="E11429" t="n">
        <v>274</v>
      </c>
    </row>
    <row r="11430">
      <c r="A11430" t="inlineStr">
        <is>
          <t>27BBBBB11430Z5</t>
        </is>
      </c>
      <c r="B11430" t="inlineStr">
        <is>
          <t>Jun-2020</t>
        </is>
      </c>
      <c r="C11430" s="2" t="n">
        <v>44116</v>
      </c>
      <c r="D11430" t="inlineStr">
        <is>
          <t>NON-NIL</t>
        </is>
      </c>
      <c r="E11430" t="n">
        <v>2404</v>
      </c>
    </row>
    <row r="11431">
      <c r="A11431" t="inlineStr">
        <is>
          <t>27BBBBB11431Z5</t>
        </is>
      </c>
      <c r="B11431" t="inlineStr">
        <is>
          <t>Apr-2018</t>
        </is>
      </c>
      <c r="C11431" s="2" t="n">
        <v>43480</v>
      </c>
      <c r="D11431" t="inlineStr">
        <is>
          <t>NON-NIL</t>
        </is>
      </c>
      <c r="E11431" t="n">
        <v>1426</v>
      </c>
    </row>
    <row r="11432">
      <c r="A11432" t="inlineStr">
        <is>
          <t>27BBBBB11432Z5</t>
        </is>
      </c>
      <c r="B11432" t="inlineStr">
        <is>
          <t>Mar-2021</t>
        </is>
      </c>
      <c r="C11432" s="2" t="n">
        <v>44948</v>
      </c>
      <c r="D11432" t="inlineStr">
        <is>
          <t>NIL</t>
        </is>
      </c>
      <c r="E11432" t="n">
        <v>1904</v>
      </c>
    </row>
    <row r="11433">
      <c r="A11433" t="inlineStr">
        <is>
          <t>27BBBBB11433Z5</t>
        </is>
      </c>
      <c r="B11433" t="inlineStr">
        <is>
          <t>Jan-2021</t>
        </is>
      </c>
      <c r="C11433" s="2" t="n">
        <v>44352</v>
      </c>
      <c r="D11433" t="inlineStr">
        <is>
          <t>NON-NIL</t>
        </is>
      </c>
      <c r="E11433" t="n">
        <v>549</v>
      </c>
    </row>
    <row r="11434">
      <c r="A11434" t="inlineStr">
        <is>
          <t>27BBBBB11434Z5</t>
        </is>
      </c>
      <c r="B11434" t="inlineStr">
        <is>
          <t>Feb-2018</t>
        </is>
      </c>
      <c r="C11434" s="2" t="n">
        <v>43499</v>
      </c>
      <c r="D11434" t="inlineStr">
        <is>
          <t>NIL</t>
        </is>
      </c>
      <c r="E11434" t="n">
        <v>2763</v>
      </c>
    </row>
    <row r="11435">
      <c r="A11435" t="inlineStr">
        <is>
          <t>27BBBBB11435Z5</t>
        </is>
      </c>
      <c r="B11435" t="inlineStr">
        <is>
          <t>Feb-2018</t>
        </is>
      </c>
      <c r="C11435" s="2" t="n">
        <v>43955</v>
      </c>
      <c r="D11435" t="inlineStr">
        <is>
          <t>NIL</t>
        </is>
      </c>
      <c r="E11435" t="n">
        <v>828</v>
      </c>
    </row>
    <row r="11436">
      <c r="A11436" t="inlineStr">
        <is>
          <t>27BBBBB11436Z5</t>
        </is>
      </c>
      <c r="B11436" t="inlineStr">
        <is>
          <t>Dec-2018</t>
        </is>
      </c>
      <c r="C11436" s="2" t="n">
        <v>44169</v>
      </c>
      <c r="D11436" t="inlineStr">
        <is>
          <t>NIL</t>
        </is>
      </c>
      <c r="E11436" t="n">
        <v>1366</v>
      </c>
    </row>
    <row r="11437">
      <c r="A11437" t="inlineStr">
        <is>
          <t>27BBBBB11437Z5</t>
        </is>
      </c>
      <c r="B11437" t="inlineStr">
        <is>
          <t>Aug-2018</t>
        </is>
      </c>
      <c r="C11437" s="2" t="n">
        <v>43615</v>
      </c>
      <c r="D11437" t="inlineStr">
        <is>
          <t>NON-NIL</t>
        </is>
      </c>
      <c r="E11437" t="n">
        <v>1768</v>
      </c>
    </row>
    <row r="11438">
      <c r="A11438" t="inlineStr">
        <is>
          <t>27BBBBB11438Z5</t>
        </is>
      </c>
      <c r="B11438" t="inlineStr">
        <is>
          <t>Jul-2018</t>
        </is>
      </c>
      <c r="C11438" s="2" t="n">
        <v>44386</v>
      </c>
      <c r="D11438" t="inlineStr">
        <is>
          <t>NIL</t>
        </is>
      </c>
      <c r="E11438" t="n">
        <v>1974</v>
      </c>
    </row>
    <row r="11439">
      <c r="A11439" t="inlineStr">
        <is>
          <t>27BBBBB11439Z5</t>
        </is>
      </c>
      <c r="B11439" t="inlineStr">
        <is>
          <t>Jul-2020</t>
        </is>
      </c>
      <c r="C11439" s="2" t="n">
        <v>44664</v>
      </c>
      <c r="D11439" t="inlineStr">
        <is>
          <t>NIL</t>
        </is>
      </c>
      <c r="E11439" t="n">
        <v>2160</v>
      </c>
    </row>
    <row r="11440">
      <c r="A11440" t="inlineStr">
        <is>
          <t>27BBBBB11440Z5</t>
        </is>
      </c>
      <c r="B11440" t="inlineStr">
        <is>
          <t>Oct-2018</t>
        </is>
      </c>
      <c r="C11440" s="2" t="n">
        <v>43477</v>
      </c>
      <c r="D11440" t="inlineStr">
        <is>
          <t>NIL</t>
        </is>
      </c>
      <c r="E11440" t="n">
        <v>2622</v>
      </c>
    </row>
    <row r="11441">
      <c r="A11441" t="inlineStr">
        <is>
          <t>27BBBBB11441Z5</t>
        </is>
      </c>
      <c r="B11441" t="inlineStr">
        <is>
          <t>May-2018</t>
        </is>
      </c>
      <c r="C11441" s="2" t="n">
        <v>44170</v>
      </c>
      <c r="D11441" t="inlineStr">
        <is>
          <t>NON-NIL</t>
        </is>
      </c>
      <c r="E11441" t="n">
        <v>813</v>
      </c>
    </row>
    <row r="11442">
      <c r="A11442" t="inlineStr">
        <is>
          <t>27BBBBB11442Z5</t>
        </is>
      </c>
      <c r="B11442" t="inlineStr">
        <is>
          <t>Oct-2018</t>
        </is>
      </c>
      <c r="C11442" s="2" t="n">
        <v>43419</v>
      </c>
      <c r="D11442" t="inlineStr">
        <is>
          <t>NON-NIL</t>
        </is>
      </c>
      <c r="E11442" t="n">
        <v>2327</v>
      </c>
    </row>
    <row r="11443">
      <c r="A11443" t="inlineStr">
        <is>
          <t>27BBBBB11443Z5</t>
        </is>
      </c>
      <c r="B11443" t="inlineStr">
        <is>
          <t>May-2020</t>
        </is>
      </c>
      <c r="C11443" s="2" t="n">
        <v>44070</v>
      </c>
      <c r="D11443" t="inlineStr">
        <is>
          <t>NIL</t>
        </is>
      </c>
      <c r="E11443" t="n">
        <v>1432</v>
      </c>
    </row>
    <row r="11444">
      <c r="A11444" t="inlineStr">
        <is>
          <t>27BBBBB11444Z5</t>
        </is>
      </c>
      <c r="B11444" t="inlineStr">
        <is>
          <t>Nov-2018</t>
        </is>
      </c>
      <c r="C11444" s="2" t="n">
        <v>42919</v>
      </c>
      <c r="D11444" t="inlineStr">
        <is>
          <t>NON-NIL</t>
        </is>
      </c>
      <c r="E11444" t="n">
        <v>2412</v>
      </c>
    </row>
    <row r="11445">
      <c r="A11445" t="inlineStr">
        <is>
          <t>27BBBBB11445Z5</t>
        </is>
      </c>
      <c r="B11445" t="inlineStr">
        <is>
          <t>Jun-2020</t>
        </is>
      </c>
      <c r="C11445" s="2" t="n">
        <v>44394</v>
      </c>
      <c r="D11445" t="inlineStr">
        <is>
          <t>NON-NIL</t>
        </is>
      </c>
      <c r="E11445" t="n">
        <v>1744</v>
      </c>
    </row>
    <row r="11446">
      <c r="A11446" t="inlineStr">
        <is>
          <t>27BBBBB11446Z5</t>
        </is>
      </c>
      <c r="B11446" t="inlineStr">
        <is>
          <t>May-2020</t>
        </is>
      </c>
      <c r="C11446" s="2" t="n">
        <v>44615</v>
      </c>
      <c r="D11446" t="inlineStr">
        <is>
          <t>NIL</t>
        </is>
      </c>
      <c r="E11446" t="n">
        <v>1979</v>
      </c>
    </row>
    <row r="11447">
      <c r="A11447" t="inlineStr">
        <is>
          <t>27BBBBB11447Z5</t>
        </is>
      </c>
      <c r="B11447" t="inlineStr">
        <is>
          <t>Feb-2018</t>
        </is>
      </c>
      <c r="C11447" s="2" t="n">
        <v>44030</v>
      </c>
      <c r="D11447" t="inlineStr">
        <is>
          <t>NON-NIL</t>
        </is>
      </c>
      <c r="E11447" t="n">
        <v>535</v>
      </c>
    </row>
    <row r="11448">
      <c r="A11448" t="inlineStr">
        <is>
          <t>27BBBBB11448Z5</t>
        </is>
      </c>
      <c r="B11448" t="inlineStr">
        <is>
          <t>Mar-2018</t>
        </is>
      </c>
      <c r="C11448" s="2" t="n">
        <v>44044</v>
      </c>
      <c r="D11448" t="inlineStr">
        <is>
          <t>NON-NIL</t>
        </is>
      </c>
      <c r="E11448" t="n">
        <v>780</v>
      </c>
    </row>
    <row r="11449">
      <c r="A11449" t="inlineStr">
        <is>
          <t>27BBBBB11449Z5</t>
        </is>
      </c>
      <c r="B11449" t="inlineStr">
        <is>
          <t>May-2018</t>
        </is>
      </c>
      <c r="C11449" s="2" t="n">
        <v>44283</v>
      </c>
      <c r="D11449" t="inlineStr">
        <is>
          <t>NIL</t>
        </is>
      </c>
      <c r="E11449" t="n">
        <v>743</v>
      </c>
    </row>
    <row r="11450">
      <c r="A11450" t="inlineStr">
        <is>
          <t>27BBBBB11450Z5</t>
        </is>
      </c>
      <c r="B11450" t="inlineStr">
        <is>
          <t>Oct-2017</t>
        </is>
      </c>
      <c r="C11450" s="2" t="n">
        <v>43753</v>
      </c>
      <c r="D11450" t="inlineStr">
        <is>
          <t>NIL</t>
        </is>
      </c>
      <c r="E11450" t="n">
        <v>919</v>
      </c>
    </row>
    <row r="11451">
      <c r="A11451" t="inlineStr">
        <is>
          <t>27BBBBB11451Z5</t>
        </is>
      </c>
      <c r="B11451" t="inlineStr">
        <is>
          <t>Oct-2018</t>
        </is>
      </c>
      <c r="C11451" s="2" t="n">
        <v>43653</v>
      </c>
      <c r="D11451" t="inlineStr">
        <is>
          <t>NIL</t>
        </is>
      </c>
      <c r="E11451" t="n">
        <v>1663</v>
      </c>
    </row>
    <row r="11452">
      <c r="A11452" t="inlineStr">
        <is>
          <t>27BBBBB11452Z5</t>
        </is>
      </c>
      <c r="B11452" t="inlineStr">
        <is>
          <t>Sep-2017</t>
        </is>
      </c>
      <c r="C11452" s="2" t="n">
        <v>43462</v>
      </c>
      <c r="D11452" t="inlineStr">
        <is>
          <t>NIL</t>
        </is>
      </c>
      <c r="E11452" t="n">
        <v>703</v>
      </c>
    </row>
    <row r="11453">
      <c r="A11453" t="inlineStr">
        <is>
          <t>27BBBBB11453Z5</t>
        </is>
      </c>
      <c r="B11453" t="inlineStr">
        <is>
          <t>Mar-2023</t>
        </is>
      </c>
      <c r="C11453" s="2" t="n">
        <v>45071</v>
      </c>
      <c r="D11453" t="inlineStr">
        <is>
          <t>NON-NIL</t>
        </is>
      </c>
      <c r="E11453" t="n">
        <v>892</v>
      </c>
    </row>
    <row r="11454">
      <c r="A11454" t="inlineStr">
        <is>
          <t>27BBBBB11454Z5</t>
        </is>
      </c>
      <c r="B11454" t="inlineStr">
        <is>
          <t>Oct-2018</t>
        </is>
      </c>
      <c r="C11454" s="2" t="n">
        <v>43781</v>
      </c>
      <c r="D11454" t="inlineStr">
        <is>
          <t>NIL</t>
        </is>
      </c>
      <c r="E11454" t="n">
        <v>1192</v>
      </c>
    </row>
    <row r="11455">
      <c r="A11455" t="inlineStr">
        <is>
          <t>27BBBBB11455Z5</t>
        </is>
      </c>
      <c r="B11455" t="inlineStr">
        <is>
          <t>Aug-2017</t>
        </is>
      </c>
      <c r="C11455" s="2" t="n">
        <v>44167</v>
      </c>
      <c r="D11455" t="inlineStr">
        <is>
          <t>NIL</t>
        </is>
      </c>
      <c r="E11455" t="n">
        <v>2471</v>
      </c>
    </row>
    <row r="11456">
      <c r="A11456" t="inlineStr">
        <is>
          <t>27BBBBB11456Z5</t>
        </is>
      </c>
      <c r="B11456" t="inlineStr">
        <is>
          <t>Mar-2023</t>
        </is>
      </c>
      <c r="C11456" s="2" t="n">
        <v>44554</v>
      </c>
      <c r="D11456" t="inlineStr">
        <is>
          <t>NIL</t>
        </is>
      </c>
      <c r="E11456" t="n">
        <v>695</v>
      </c>
    </row>
    <row r="11457">
      <c r="A11457" t="inlineStr">
        <is>
          <t>27BBBBB11457Z5</t>
        </is>
      </c>
      <c r="B11457" t="inlineStr">
        <is>
          <t>Dec-2024</t>
        </is>
      </c>
      <c r="C11457" s="2" t="n">
        <v>44133</v>
      </c>
      <c r="D11457" t="inlineStr">
        <is>
          <t>NON-NIL</t>
        </is>
      </c>
      <c r="E11457" t="n">
        <v>1174</v>
      </c>
    </row>
    <row r="11458">
      <c r="A11458" t="inlineStr">
        <is>
          <t>27BBBBB11458Z5</t>
        </is>
      </c>
      <c r="B11458" t="inlineStr">
        <is>
          <t>Sep-2018</t>
        </is>
      </c>
      <c r="C11458" s="2" t="n">
        <v>42959</v>
      </c>
      <c r="D11458" t="inlineStr">
        <is>
          <t>NIL</t>
        </is>
      </c>
      <c r="E11458" t="n">
        <v>1051</v>
      </c>
    </row>
    <row r="11459">
      <c r="A11459" t="inlineStr">
        <is>
          <t>27BBBBB11459Z5</t>
        </is>
      </c>
      <c r="B11459" t="inlineStr">
        <is>
          <t>May-2020</t>
        </is>
      </c>
      <c r="C11459" s="2" t="n">
        <v>44224</v>
      </c>
      <c r="D11459" t="inlineStr">
        <is>
          <t>NIL</t>
        </is>
      </c>
      <c r="E11459" t="n">
        <v>2405</v>
      </c>
    </row>
    <row r="11460">
      <c r="A11460" t="inlineStr">
        <is>
          <t>27BBBBB11460Z5</t>
        </is>
      </c>
      <c r="B11460" t="inlineStr">
        <is>
          <t>Dec-2022</t>
        </is>
      </c>
      <c r="C11460" s="2" t="n">
        <v>44224</v>
      </c>
      <c r="D11460" t="inlineStr">
        <is>
          <t>NON-NIL</t>
        </is>
      </c>
      <c r="E11460" t="n">
        <v>2841</v>
      </c>
    </row>
    <row r="11461">
      <c r="A11461" t="inlineStr">
        <is>
          <t>27BBBBB11461Z5</t>
        </is>
      </c>
      <c r="B11461" t="inlineStr">
        <is>
          <t>Apr-2018</t>
        </is>
      </c>
      <c r="C11461" s="2" t="n">
        <v>44179</v>
      </c>
      <c r="D11461" t="inlineStr">
        <is>
          <t>NIL</t>
        </is>
      </c>
      <c r="E11461" t="n">
        <v>2265</v>
      </c>
    </row>
    <row r="11462">
      <c r="A11462" t="inlineStr">
        <is>
          <t>27BBBBB11462Z5</t>
        </is>
      </c>
      <c r="B11462" t="inlineStr">
        <is>
          <t>Mar-2021</t>
        </is>
      </c>
      <c r="C11462" s="2" t="n">
        <v>45812</v>
      </c>
      <c r="D11462" t="inlineStr">
        <is>
          <t>NIL</t>
        </is>
      </c>
      <c r="E11462" t="n">
        <v>364</v>
      </c>
    </row>
    <row r="11463">
      <c r="A11463" t="inlineStr">
        <is>
          <t>27BBBBB11463Z5</t>
        </is>
      </c>
      <c r="B11463" t="inlineStr">
        <is>
          <t>Sep-2018</t>
        </is>
      </c>
      <c r="C11463" s="2" t="n">
        <v>43431</v>
      </c>
      <c r="D11463" t="inlineStr">
        <is>
          <t>NON-NIL</t>
        </is>
      </c>
      <c r="E11463" t="n">
        <v>2536</v>
      </c>
    </row>
    <row r="11464">
      <c r="A11464" t="inlineStr">
        <is>
          <t>27BBBBB11464Z5</t>
        </is>
      </c>
      <c r="B11464" t="inlineStr">
        <is>
          <t>Mar-2018</t>
        </is>
      </c>
      <c r="C11464" s="2" t="n">
        <v>43650</v>
      </c>
      <c r="D11464" t="inlineStr">
        <is>
          <t>NON-NIL</t>
        </is>
      </c>
      <c r="E11464" t="n">
        <v>1977</v>
      </c>
    </row>
    <row r="11465">
      <c r="A11465" t="inlineStr">
        <is>
          <t>27BBBBB11465Z5</t>
        </is>
      </c>
      <c r="B11465" t="inlineStr">
        <is>
          <t>Jan-2018</t>
        </is>
      </c>
      <c r="C11465" s="2" t="n">
        <v>44090</v>
      </c>
      <c r="D11465" t="inlineStr">
        <is>
          <t>NIL</t>
        </is>
      </c>
      <c r="E11465" t="n">
        <v>397</v>
      </c>
    </row>
    <row r="11466">
      <c r="A11466" t="inlineStr">
        <is>
          <t>27BBBBB11466Z5</t>
        </is>
      </c>
      <c r="B11466" t="inlineStr">
        <is>
          <t>Oct-2017</t>
        </is>
      </c>
      <c r="C11466" s="2" t="n">
        <v>43203</v>
      </c>
      <c r="D11466" t="inlineStr">
        <is>
          <t>NIL</t>
        </is>
      </c>
      <c r="E11466" t="n">
        <v>2346</v>
      </c>
    </row>
    <row r="11467">
      <c r="A11467" t="inlineStr">
        <is>
          <t>27BBBBB11467Z5</t>
        </is>
      </c>
      <c r="B11467" t="inlineStr">
        <is>
          <t>Jul-2018</t>
        </is>
      </c>
      <c r="C11467" s="2" t="n">
        <v>43054</v>
      </c>
      <c r="D11467" t="inlineStr">
        <is>
          <t>NON-NIL</t>
        </is>
      </c>
      <c r="E11467" t="n">
        <v>767</v>
      </c>
    </row>
    <row r="11468">
      <c r="A11468" t="inlineStr">
        <is>
          <t>27BBBBB11468Z5</t>
        </is>
      </c>
      <c r="B11468" t="inlineStr">
        <is>
          <t>Jan-2021</t>
        </is>
      </c>
      <c r="C11468" s="2" t="n">
        <v>43592</v>
      </c>
      <c r="D11468" t="inlineStr">
        <is>
          <t>NIL</t>
        </is>
      </c>
      <c r="E11468" t="n">
        <v>296</v>
      </c>
    </row>
    <row r="11469">
      <c r="A11469" t="inlineStr">
        <is>
          <t>27BBBBB11469Z5</t>
        </is>
      </c>
      <c r="B11469" t="inlineStr">
        <is>
          <t>Jul-2017</t>
        </is>
      </c>
      <c r="C11469" s="2" t="n">
        <v>43198</v>
      </c>
      <c r="D11469" t="inlineStr">
        <is>
          <t>NIL</t>
        </is>
      </c>
      <c r="E11469" t="n">
        <v>1912</v>
      </c>
    </row>
    <row r="11470">
      <c r="A11470" t="inlineStr">
        <is>
          <t>27BBBBB11470Z5</t>
        </is>
      </c>
      <c r="B11470" t="inlineStr">
        <is>
          <t>Oct-2017</t>
        </is>
      </c>
      <c r="C11470" s="2" t="n">
        <v>44019</v>
      </c>
      <c r="D11470" t="inlineStr">
        <is>
          <t>NIL</t>
        </is>
      </c>
      <c r="E11470" t="n">
        <v>545</v>
      </c>
    </row>
    <row r="11471">
      <c r="A11471" t="inlineStr">
        <is>
          <t>27BBBBB11471Z5</t>
        </is>
      </c>
      <c r="B11471" t="inlineStr">
        <is>
          <t>Jul-2020</t>
        </is>
      </c>
      <c r="C11471" s="2" t="n">
        <v>43860</v>
      </c>
      <c r="D11471" t="inlineStr">
        <is>
          <t>NON-NIL</t>
        </is>
      </c>
      <c r="E11471" t="n">
        <v>1080</v>
      </c>
    </row>
    <row r="11472">
      <c r="A11472" t="inlineStr">
        <is>
          <t>27BBBBB11472Z5</t>
        </is>
      </c>
      <c r="B11472" t="inlineStr">
        <is>
          <t>Jul-2018</t>
        </is>
      </c>
      <c r="C11472" s="2" t="n">
        <v>44449</v>
      </c>
      <c r="D11472" t="inlineStr">
        <is>
          <t>NON-NIL</t>
        </is>
      </c>
      <c r="E11472" t="n">
        <v>1409</v>
      </c>
    </row>
    <row r="11473">
      <c r="A11473" t="inlineStr">
        <is>
          <t>27BBBBB11473Z5</t>
        </is>
      </c>
      <c r="B11473" t="inlineStr">
        <is>
          <t>Jul-2017</t>
        </is>
      </c>
      <c r="C11473" s="2" t="n">
        <v>43914</v>
      </c>
      <c r="D11473" t="inlineStr">
        <is>
          <t>NON-NIL</t>
        </is>
      </c>
      <c r="E11473" t="n">
        <v>117</v>
      </c>
    </row>
    <row r="11474">
      <c r="A11474" t="inlineStr">
        <is>
          <t>27BBBBB11474Z5</t>
        </is>
      </c>
      <c r="B11474" t="inlineStr">
        <is>
          <t>Dec-2024</t>
        </is>
      </c>
      <c r="C11474" s="2" t="n">
        <v>44566</v>
      </c>
      <c r="D11474" t="inlineStr">
        <is>
          <t>NON-NIL</t>
        </is>
      </c>
      <c r="E11474" t="n">
        <v>292</v>
      </c>
    </row>
    <row r="11475">
      <c r="A11475" t="inlineStr">
        <is>
          <t>27BBBBB11475Z5</t>
        </is>
      </c>
      <c r="B11475" t="inlineStr">
        <is>
          <t>Jul-2020</t>
        </is>
      </c>
      <c r="C11475" s="2" t="n">
        <v>44105</v>
      </c>
      <c r="D11475" t="inlineStr">
        <is>
          <t>NIL</t>
        </is>
      </c>
      <c r="E11475" t="n">
        <v>1033</v>
      </c>
    </row>
    <row r="11476">
      <c r="A11476" t="inlineStr">
        <is>
          <t>27BBBBB11476Z5</t>
        </is>
      </c>
      <c r="B11476" t="inlineStr">
        <is>
          <t>Oct-2018</t>
        </is>
      </c>
      <c r="C11476" s="2" t="n">
        <v>43139</v>
      </c>
      <c r="D11476" t="inlineStr">
        <is>
          <t>NON-NIL</t>
        </is>
      </c>
      <c r="E11476" t="n">
        <v>332</v>
      </c>
    </row>
    <row r="11477">
      <c r="A11477" t="inlineStr">
        <is>
          <t>27BBBBB11477Z5</t>
        </is>
      </c>
      <c r="B11477" t="inlineStr">
        <is>
          <t>Sep-2017</t>
        </is>
      </c>
      <c r="C11477" s="2" t="n">
        <v>43737</v>
      </c>
      <c r="D11477" t="inlineStr">
        <is>
          <t>NON-NIL</t>
        </is>
      </c>
      <c r="E11477" t="n">
        <v>838</v>
      </c>
    </row>
    <row r="11478">
      <c r="A11478" t="inlineStr">
        <is>
          <t>27BBBBB11478Z5</t>
        </is>
      </c>
      <c r="B11478" t="inlineStr">
        <is>
          <t>Dec-2022</t>
        </is>
      </c>
      <c r="C11478" s="2" t="n">
        <v>45217</v>
      </c>
      <c r="D11478" t="inlineStr">
        <is>
          <t>NON-NIL</t>
        </is>
      </c>
      <c r="E11478" t="n">
        <v>1395</v>
      </c>
    </row>
    <row r="11479">
      <c r="A11479" t="inlineStr">
        <is>
          <t>27BBBBB11479Z5</t>
        </is>
      </c>
      <c r="B11479" t="inlineStr">
        <is>
          <t>Aug-2017</t>
        </is>
      </c>
      <c r="C11479" s="2" t="n">
        <v>43727</v>
      </c>
      <c r="D11479" t="inlineStr">
        <is>
          <t>NON-NIL</t>
        </is>
      </c>
      <c r="E11479" t="n">
        <v>1771</v>
      </c>
    </row>
    <row r="11480">
      <c r="A11480" t="inlineStr">
        <is>
          <t>27BBBBB11480Z5</t>
        </is>
      </c>
      <c r="B11480" t="inlineStr">
        <is>
          <t>Sep-2017</t>
        </is>
      </c>
      <c r="C11480" s="2" t="n">
        <v>43546</v>
      </c>
      <c r="D11480" t="inlineStr">
        <is>
          <t>NON-NIL</t>
        </is>
      </c>
      <c r="E11480" t="n">
        <v>2840</v>
      </c>
    </row>
    <row r="11481">
      <c r="A11481" t="inlineStr">
        <is>
          <t>27BBBBB11481Z5</t>
        </is>
      </c>
      <c r="B11481" t="inlineStr">
        <is>
          <t>Oct-2017</t>
        </is>
      </c>
      <c r="C11481" s="2" t="n">
        <v>43117</v>
      </c>
      <c r="D11481" t="inlineStr">
        <is>
          <t>NON-NIL</t>
        </is>
      </c>
      <c r="E11481" t="n">
        <v>1892</v>
      </c>
    </row>
    <row r="11482">
      <c r="A11482" t="inlineStr">
        <is>
          <t>27BBBBB11482Z5</t>
        </is>
      </c>
      <c r="B11482" t="inlineStr">
        <is>
          <t>Jul-2018</t>
        </is>
      </c>
      <c r="C11482" s="2" t="n">
        <v>44408</v>
      </c>
      <c r="D11482" t="inlineStr">
        <is>
          <t>NON-NIL</t>
        </is>
      </c>
      <c r="E11482" t="n">
        <v>2390</v>
      </c>
    </row>
    <row r="11483">
      <c r="A11483" t="inlineStr">
        <is>
          <t>27BBBBB11483Z5</t>
        </is>
      </c>
      <c r="B11483" t="inlineStr">
        <is>
          <t>Jan-2018</t>
        </is>
      </c>
      <c r="C11483" s="2" t="n">
        <v>44192</v>
      </c>
      <c r="D11483" t="inlineStr">
        <is>
          <t>NIL</t>
        </is>
      </c>
      <c r="E11483" t="n">
        <v>460</v>
      </c>
    </row>
    <row r="11484">
      <c r="A11484" t="inlineStr">
        <is>
          <t>27BBBBB11484Z5</t>
        </is>
      </c>
      <c r="B11484" t="inlineStr">
        <is>
          <t>Jul-2017</t>
        </is>
      </c>
      <c r="C11484" s="2" t="n">
        <v>44167</v>
      </c>
      <c r="D11484" t="inlineStr">
        <is>
          <t>NIL</t>
        </is>
      </c>
      <c r="E11484" t="n">
        <v>2828</v>
      </c>
    </row>
    <row r="11485">
      <c r="A11485" t="inlineStr">
        <is>
          <t>27BBBBB11485Z5</t>
        </is>
      </c>
      <c r="B11485" t="inlineStr">
        <is>
          <t>May-2020</t>
        </is>
      </c>
      <c r="C11485" s="2" t="n">
        <v>44760</v>
      </c>
      <c r="D11485" t="inlineStr">
        <is>
          <t>NIL</t>
        </is>
      </c>
      <c r="E11485" t="n">
        <v>2324</v>
      </c>
    </row>
    <row r="11486">
      <c r="A11486" t="inlineStr">
        <is>
          <t>27BBBBB11486Z5</t>
        </is>
      </c>
      <c r="B11486" t="inlineStr">
        <is>
          <t>May-2018</t>
        </is>
      </c>
      <c r="C11486" s="2" t="n">
        <v>43232</v>
      </c>
      <c r="D11486" t="inlineStr">
        <is>
          <t>NON-NIL</t>
        </is>
      </c>
      <c r="E11486" t="n">
        <v>891</v>
      </c>
    </row>
    <row r="11487">
      <c r="A11487" t="inlineStr">
        <is>
          <t>27BBBBB11487Z5</t>
        </is>
      </c>
      <c r="B11487" t="inlineStr">
        <is>
          <t>Jan-2021</t>
        </is>
      </c>
      <c r="C11487" s="2" t="n">
        <v>45144</v>
      </c>
      <c r="D11487" t="inlineStr">
        <is>
          <t>NON-NIL</t>
        </is>
      </c>
      <c r="E11487" t="n">
        <v>1229</v>
      </c>
    </row>
    <row r="11488">
      <c r="A11488" t="inlineStr">
        <is>
          <t>27BBBBB11488Z5</t>
        </is>
      </c>
      <c r="B11488" t="inlineStr">
        <is>
          <t>Oct-2017</t>
        </is>
      </c>
      <c r="C11488" s="2" t="n">
        <v>43306</v>
      </c>
      <c r="D11488" t="inlineStr">
        <is>
          <t>NIL</t>
        </is>
      </c>
      <c r="E11488" t="n">
        <v>2924</v>
      </c>
    </row>
    <row r="11489">
      <c r="A11489" t="inlineStr">
        <is>
          <t>27BBBBB11489Z5</t>
        </is>
      </c>
      <c r="B11489" t="inlineStr">
        <is>
          <t>Mar-2018</t>
        </is>
      </c>
      <c r="C11489" s="2" t="n">
        <v>44490</v>
      </c>
      <c r="D11489" t="inlineStr">
        <is>
          <t>NON-NIL</t>
        </is>
      </c>
      <c r="E11489" t="n">
        <v>3</v>
      </c>
    </row>
    <row r="11490">
      <c r="A11490" t="inlineStr">
        <is>
          <t>27BBBBB11490Z5</t>
        </is>
      </c>
      <c r="B11490" t="inlineStr">
        <is>
          <t>Mar-2018</t>
        </is>
      </c>
      <c r="C11490" s="2" t="n">
        <v>43848</v>
      </c>
      <c r="D11490" t="inlineStr">
        <is>
          <t>NON-NIL</t>
        </is>
      </c>
      <c r="E11490" t="n">
        <v>1126</v>
      </c>
    </row>
    <row r="11491">
      <c r="A11491" t="inlineStr">
        <is>
          <t>27BBBBB11491Z5</t>
        </is>
      </c>
      <c r="B11491" t="inlineStr">
        <is>
          <t>Nov-2017</t>
        </is>
      </c>
      <c r="C11491" s="2" t="n">
        <v>43459</v>
      </c>
      <c r="D11491" t="inlineStr">
        <is>
          <t>NIL</t>
        </is>
      </c>
      <c r="E11491" t="n">
        <v>2148</v>
      </c>
    </row>
    <row r="11492">
      <c r="A11492" t="inlineStr">
        <is>
          <t>27BBBBB11492Z5</t>
        </is>
      </c>
      <c r="B11492" t="inlineStr">
        <is>
          <t>Feb-2018</t>
        </is>
      </c>
      <c r="C11492" s="2" t="n">
        <v>43822</v>
      </c>
      <c r="D11492" t="inlineStr">
        <is>
          <t>NIL</t>
        </is>
      </c>
      <c r="E11492" t="n">
        <v>2392</v>
      </c>
    </row>
    <row r="11493">
      <c r="A11493" t="inlineStr">
        <is>
          <t>27BBBBB11493Z5</t>
        </is>
      </c>
      <c r="B11493" t="inlineStr">
        <is>
          <t>Jul-2017</t>
        </is>
      </c>
      <c r="C11493" s="2" t="n">
        <v>44561</v>
      </c>
      <c r="D11493" t="inlineStr">
        <is>
          <t>NIL</t>
        </is>
      </c>
      <c r="E11493" t="n">
        <v>2005</v>
      </c>
    </row>
    <row r="11494">
      <c r="A11494" t="inlineStr">
        <is>
          <t>27BBBBB11494Z5</t>
        </is>
      </c>
      <c r="B11494" t="inlineStr">
        <is>
          <t>Oct-2017</t>
        </is>
      </c>
      <c r="C11494" s="2" t="n">
        <v>44267</v>
      </c>
      <c r="D11494" t="inlineStr">
        <is>
          <t>NIL</t>
        </is>
      </c>
      <c r="E11494" t="n">
        <v>1711</v>
      </c>
    </row>
    <row r="11495">
      <c r="A11495" t="inlineStr">
        <is>
          <t>27BBBBB11495Z5</t>
        </is>
      </c>
      <c r="B11495" t="inlineStr">
        <is>
          <t>Jul-2020</t>
        </is>
      </c>
      <c r="C11495" s="2" t="n">
        <v>44480</v>
      </c>
      <c r="D11495" t="inlineStr">
        <is>
          <t>NIL</t>
        </is>
      </c>
      <c r="E11495" t="n">
        <v>2572</v>
      </c>
    </row>
    <row r="11496">
      <c r="A11496" t="inlineStr">
        <is>
          <t>27BBBBB11496Z5</t>
        </is>
      </c>
      <c r="B11496" t="inlineStr">
        <is>
          <t>Aug-2017</t>
        </is>
      </c>
      <c r="C11496" s="2" t="n">
        <v>43802</v>
      </c>
      <c r="D11496" t="inlineStr">
        <is>
          <t>NIL</t>
        </is>
      </c>
      <c r="E11496" t="n">
        <v>2152</v>
      </c>
    </row>
    <row r="11497">
      <c r="A11497" t="inlineStr">
        <is>
          <t>27BBBBB11497Z5</t>
        </is>
      </c>
      <c r="B11497" t="inlineStr">
        <is>
          <t>Jan-2018</t>
        </is>
      </c>
      <c r="C11497" s="2" t="n">
        <v>43597</v>
      </c>
      <c r="D11497" t="inlineStr">
        <is>
          <t>NON-NIL</t>
        </is>
      </c>
      <c r="E11497" t="n">
        <v>1063</v>
      </c>
    </row>
    <row r="11498">
      <c r="A11498" t="inlineStr">
        <is>
          <t>27BBBBB11498Z5</t>
        </is>
      </c>
      <c r="B11498" t="inlineStr">
        <is>
          <t>Apr-2020</t>
        </is>
      </c>
      <c r="C11498" s="2" t="n">
        <v>44724</v>
      </c>
      <c r="D11498" t="inlineStr">
        <is>
          <t>NON-NIL</t>
        </is>
      </c>
      <c r="E11498" t="n">
        <v>1145</v>
      </c>
    </row>
    <row r="11499">
      <c r="A11499" t="inlineStr">
        <is>
          <t>27BBBBB11499Z5</t>
        </is>
      </c>
      <c r="B11499" t="inlineStr">
        <is>
          <t>Sep-2018</t>
        </is>
      </c>
      <c r="C11499" s="2" t="n">
        <v>43147</v>
      </c>
      <c r="D11499" t="inlineStr">
        <is>
          <t>NIL</t>
        </is>
      </c>
      <c r="E11499" t="n">
        <v>1935</v>
      </c>
    </row>
    <row r="11500">
      <c r="A11500" t="inlineStr">
        <is>
          <t>27BBBBB11500Z5</t>
        </is>
      </c>
      <c r="B11500" t="inlineStr">
        <is>
          <t>Dec-2024</t>
        </is>
      </c>
      <c r="C11500" s="2" t="n">
        <v>44106</v>
      </c>
      <c r="D11500" t="inlineStr">
        <is>
          <t>NIL</t>
        </is>
      </c>
      <c r="E11500" t="n">
        <v>1469</v>
      </c>
    </row>
    <row r="11501">
      <c r="A11501" t="inlineStr">
        <is>
          <t>27BBBBB11501Z5</t>
        </is>
      </c>
      <c r="B11501" t="inlineStr">
        <is>
          <t>Apr-2020</t>
        </is>
      </c>
      <c r="C11501" s="2" t="n">
        <v>44517</v>
      </c>
      <c r="D11501" t="inlineStr">
        <is>
          <t>NON-NIL</t>
        </is>
      </c>
      <c r="E11501" t="n">
        <v>487</v>
      </c>
    </row>
    <row r="11502">
      <c r="A11502" t="inlineStr">
        <is>
          <t>27BBBBB11502Z5</t>
        </is>
      </c>
      <c r="B11502" t="inlineStr">
        <is>
          <t>Aug-2017</t>
        </is>
      </c>
      <c r="C11502" s="2" t="n">
        <v>43846</v>
      </c>
      <c r="D11502" t="inlineStr">
        <is>
          <t>NIL</t>
        </is>
      </c>
      <c r="E11502" t="n">
        <v>1346</v>
      </c>
    </row>
    <row r="11503">
      <c r="A11503" t="inlineStr">
        <is>
          <t>27BBBBB11503Z5</t>
        </is>
      </c>
      <c r="B11503" t="inlineStr">
        <is>
          <t>Jul-2020</t>
        </is>
      </c>
      <c r="C11503" s="2" t="n">
        <v>44352</v>
      </c>
      <c r="D11503" t="inlineStr">
        <is>
          <t>NON-NIL</t>
        </is>
      </c>
      <c r="E11503" t="n">
        <v>1862</v>
      </c>
    </row>
    <row r="11504">
      <c r="A11504" t="inlineStr">
        <is>
          <t>27BBBBB11504Z5</t>
        </is>
      </c>
      <c r="B11504" t="inlineStr">
        <is>
          <t>Dec-2024</t>
        </is>
      </c>
      <c r="C11504" s="2" t="n">
        <v>43497</v>
      </c>
      <c r="D11504" t="inlineStr">
        <is>
          <t>NIL</t>
        </is>
      </c>
      <c r="E11504" t="n">
        <v>2020</v>
      </c>
    </row>
    <row r="11505">
      <c r="A11505" t="inlineStr">
        <is>
          <t>27BBBBB11505Z5</t>
        </is>
      </c>
      <c r="B11505" t="inlineStr">
        <is>
          <t>Jun-2020</t>
        </is>
      </c>
      <c r="C11505" s="2" t="n">
        <v>44207</v>
      </c>
      <c r="D11505" t="inlineStr">
        <is>
          <t>NIL</t>
        </is>
      </c>
      <c r="E11505" t="n">
        <v>462</v>
      </c>
    </row>
    <row r="11506">
      <c r="A11506" t="inlineStr">
        <is>
          <t>27BBBBB11506Z5</t>
        </is>
      </c>
      <c r="B11506" t="inlineStr">
        <is>
          <t>Apr-2018</t>
        </is>
      </c>
      <c r="C11506" s="2" t="n">
        <v>43850</v>
      </c>
      <c r="D11506" t="inlineStr">
        <is>
          <t>NON-NIL</t>
        </is>
      </c>
      <c r="E11506" t="n">
        <v>531</v>
      </c>
    </row>
    <row r="11507">
      <c r="A11507" t="inlineStr">
        <is>
          <t>27BBBBB11507Z5</t>
        </is>
      </c>
      <c r="B11507" t="inlineStr">
        <is>
          <t>Dec-2017</t>
        </is>
      </c>
      <c r="C11507" s="2" t="n">
        <v>43977</v>
      </c>
      <c r="D11507" t="inlineStr">
        <is>
          <t>NIL</t>
        </is>
      </c>
      <c r="E11507" t="n">
        <v>2817</v>
      </c>
    </row>
    <row r="11508">
      <c r="A11508" t="inlineStr">
        <is>
          <t>27BBBBB11508Z5</t>
        </is>
      </c>
      <c r="B11508" t="inlineStr">
        <is>
          <t>Mar-2018</t>
        </is>
      </c>
      <c r="C11508" s="2" t="n">
        <v>43273</v>
      </c>
      <c r="D11508" t="inlineStr">
        <is>
          <t>NIL</t>
        </is>
      </c>
      <c r="E11508" t="n">
        <v>810</v>
      </c>
    </row>
    <row r="11509">
      <c r="A11509" t="inlineStr">
        <is>
          <t>27BBBBB11509Z5</t>
        </is>
      </c>
      <c r="B11509" t="inlineStr">
        <is>
          <t>Oct-2017</t>
        </is>
      </c>
      <c r="C11509" s="2" t="n">
        <v>44239</v>
      </c>
      <c r="D11509" t="inlineStr">
        <is>
          <t>NIL</t>
        </is>
      </c>
      <c r="E11509" t="n">
        <v>2913</v>
      </c>
    </row>
    <row r="11510">
      <c r="A11510" t="inlineStr">
        <is>
          <t>27BBBBB11510Z5</t>
        </is>
      </c>
      <c r="B11510" t="inlineStr">
        <is>
          <t>Mar-2021</t>
        </is>
      </c>
      <c r="C11510" s="2" t="n">
        <v>45564</v>
      </c>
      <c r="D11510" t="inlineStr">
        <is>
          <t>NON-NIL</t>
        </is>
      </c>
      <c r="E11510" t="n">
        <v>1746</v>
      </c>
    </row>
    <row r="11511">
      <c r="A11511" t="inlineStr">
        <is>
          <t>27BBBBB11511Z5</t>
        </is>
      </c>
      <c r="B11511" t="inlineStr">
        <is>
          <t>Oct-2017</t>
        </is>
      </c>
      <c r="C11511" s="2" t="n">
        <v>43825</v>
      </c>
      <c r="D11511" t="inlineStr">
        <is>
          <t>NON-NIL</t>
        </is>
      </c>
      <c r="E11511" t="n">
        <v>2343</v>
      </c>
    </row>
    <row r="11512">
      <c r="A11512" t="inlineStr">
        <is>
          <t>27BBBBB11512Z5</t>
        </is>
      </c>
      <c r="B11512" t="inlineStr">
        <is>
          <t>Dec-2017</t>
        </is>
      </c>
      <c r="C11512" s="2" t="n">
        <v>43772</v>
      </c>
      <c r="D11512" t="inlineStr">
        <is>
          <t>NON-NIL</t>
        </is>
      </c>
      <c r="E11512" t="n">
        <v>2331</v>
      </c>
    </row>
    <row r="11513">
      <c r="A11513" t="inlineStr">
        <is>
          <t>27BBBBB11513Z5</t>
        </is>
      </c>
      <c r="B11513" t="inlineStr">
        <is>
          <t>Mar-2020</t>
        </is>
      </c>
      <c r="C11513" s="2" t="n">
        <v>44275</v>
      </c>
      <c r="D11513" t="inlineStr">
        <is>
          <t>NON-NIL</t>
        </is>
      </c>
      <c r="E11513" t="n">
        <v>2623</v>
      </c>
    </row>
    <row r="11514">
      <c r="A11514" t="inlineStr">
        <is>
          <t>27BBBBB11514Z5</t>
        </is>
      </c>
      <c r="B11514" t="inlineStr">
        <is>
          <t>Nov-2018</t>
        </is>
      </c>
      <c r="C11514" s="2" t="n">
        <v>44012</v>
      </c>
      <c r="D11514" t="inlineStr">
        <is>
          <t>NON-NIL</t>
        </is>
      </c>
      <c r="E11514" t="n">
        <v>2294</v>
      </c>
    </row>
    <row r="11515">
      <c r="A11515" t="inlineStr">
        <is>
          <t>27BBBBB11515Z5</t>
        </is>
      </c>
      <c r="B11515" t="inlineStr">
        <is>
          <t>Dec-2018</t>
        </is>
      </c>
      <c r="C11515" s="2" t="n">
        <v>44255</v>
      </c>
      <c r="D11515" t="inlineStr">
        <is>
          <t>NIL</t>
        </is>
      </c>
      <c r="E11515" t="n">
        <v>2239</v>
      </c>
    </row>
    <row r="11516">
      <c r="A11516" t="inlineStr">
        <is>
          <t>27BBBBB11516Z5</t>
        </is>
      </c>
      <c r="B11516" t="inlineStr">
        <is>
          <t>Oct-2017</t>
        </is>
      </c>
      <c r="C11516" s="2" t="n">
        <v>43977</v>
      </c>
      <c r="D11516" t="inlineStr">
        <is>
          <t>NON-NIL</t>
        </is>
      </c>
      <c r="E11516" t="n">
        <v>1570</v>
      </c>
    </row>
    <row r="11517">
      <c r="A11517" t="inlineStr">
        <is>
          <t>27BBBBB11517Z5</t>
        </is>
      </c>
      <c r="B11517" t="inlineStr">
        <is>
          <t>Sep-2018</t>
        </is>
      </c>
      <c r="C11517" s="2" t="n">
        <v>44535</v>
      </c>
      <c r="D11517" t="inlineStr">
        <is>
          <t>NIL</t>
        </is>
      </c>
      <c r="E11517" t="n">
        <v>1798</v>
      </c>
    </row>
    <row r="11518">
      <c r="A11518" t="inlineStr">
        <is>
          <t>27BBBBB11518Z5</t>
        </is>
      </c>
      <c r="B11518" t="inlineStr">
        <is>
          <t>Oct-2017</t>
        </is>
      </c>
      <c r="C11518" s="2" t="n">
        <v>43973</v>
      </c>
      <c r="D11518" t="inlineStr">
        <is>
          <t>NON-NIL</t>
        </is>
      </c>
      <c r="E11518" t="n">
        <v>101</v>
      </c>
    </row>
    <row r="11519">
      <c r="A11519" t="inlineStr">
        <is>
          <t>27BBBBB11519Z5</t>
        </is>
      </c>
      <c r="B11519" t="inlineStr">
        <is>
          <t>Jun-2020</t>
        </is>
      </c>
      <c r="C11519" s="2" t="n">
        <v>44861</v>
      </c>
      <c r="D11519" t="inlineStr">
        <is>
          <t>NIL</t>
        </is>
      </c>
      <c r="E11519" t="n">
        <v>1273</v>
      </c>
    </row>
    <row r="11520">
      <c r="A11520" t="inlineStr">
        <is>
          <t>27BBBBB11520Z5</t>
        </is>
      </c>
      <c r="B11520" t="inlineStr">
        <is>
          <t>Aug-2018</t>
        </is>
      </c>
      <c r="C11520" s="2" t="n">
        <v>43427</v>
      </c>
      <c r="D11520" t="inlineStr">
        <is>
          <t>NON-NIL</t>
        </is>
      </c>
      <c r="E11520" t="n">
        <v>2209</v>
      </c>
    </row>
    <row r="11521">
      <c r="A11521" t="inlineStr">
        <is>
          <t>27BBBBB11521Z5</t>
        </is>
      </c>
      <c r="B11521" t="inlineStr">
        <is>
          <t>Aug-2017</t>
        </is>
      </c>
      <c r="C11521" s="2" t="n">
        <v>44038</v>
      </c>
      <c r="D11521" t="inlineStr">
        <is>
          <t>NIL</t>
        </is>
      </c>
      <c r="E11521" t="n">
        <v>1490</v>
      </c>
    </row>
    <row r="11522">
      <c r="A11522" t="inlineStr">
        <is>
          <t>27BBBBB11522Z5</t>
        </is>
      </c>
      <c r="B11522" t="inlineStr">
        <is>
          <t>May-2020</t>
        </is>
      </c>
      <c r="C11522" s="2" t="n">
        <v>44809</v>
      </c>
      <c r="D11522" t="inlineStr">
        <is>
          <t>NIL</t>
        </is>
      </c>
      <c r="E11522" t="n">
        <v>1783</v>
      </c>
    </row>
    <row r="11523">
      <c r="A11523" t="inlineStr">
        <is>
          <t>27BBBBB11523Z5</t>
        </is>
      </c>
      <c r="B11523" t="inlineStr">
        <is>
          <t>Jan-2018</t>
        </is>
      </c>
      <c r="C11523" s="2" t="n">
        <v>43404</v>
      </c>
      <c r="D11523" t="inlineStr">
        <is>
          <t>NIL</t>
        </is>
      </c>
      <c r="E11523" t="n">
        <v>2627</v>
      </c>
    </row>
    <row r="11524">
      <c r="A11524" t="inlineStr">
        <is>
          <t>27BBBBB11524Z5</t>
        </is>
      </c>
      <c r="B11524" t="inlineStr">
        <is>
          <t>May-2020</t>
        </is>
      </c>
      <c r="C11524" s="2" t="n">
        <v>44168</v>
      </c>
      <c r="D11524" t="inlineStr">
        <is>
          <t>NIL</t>
        </is>
      </c>
      <c r="E11524" t="n">
        <v>303</v>
      </c>
    </row>
    <row r="11525">
      <c r="A11525" t="inlineStr">
        <is>
          <t>27BBBBB11525Z5</t>
        </is>
      </c>
      <c r="B11525" t="inlineStr">
        <is>
          <t>Nov-2018</t>
        </is>
      </c>
      <c r="C11525" s="2" t="n">
        <v>43711</v>
      </c>
      <c r="D11525" t="inlineStr">
        <is>
          <t>NIL</t>
        </is>
      </c>
      <c r="E11525" t="n">
        <v>1096</v>
      </c>
    </row>
    <row r="11526">
      <c r="A11526" t="inlineStr">
        <is>
          <t>27BBBBB11526Z5</t>
        </is>
      </c>
      <c r="B11526" t="inlineStr">
        <is>
          <t>Jul-2020</t>
        </is>
      </c>
      <c r="C11526" s="2" t="n">
        <v>44258</v>
      </c>
      <c r="D11526" t="inlineStr">
        <is>
          <t>NIL</t>
        </is>
      </c>
      <c r="E11526" t="n">
        <v>2858</v>
      </c>
    </row>
    <row r="11527">
      <c r="A11527" t="inlineStr">
        <is>
          <t>27BBBBB11527Z5</t>
        </is>
      </c>
      <c r="B11527" t="inlineStr">
        <is>
          <t>Mar-2021</t>
        </is>
      </c>
      <c r="C11527" s="2" t="n">
        <v>43856</v>
      </c>
      <c r="D11527" t="inlineStr">
        <is>
          <t>NIL</t>
        </is>
      </c>
      <c r="E11527" t="n">
        <v>2925</v>
      </c>
    </row>
    <row r="11528">
      <c r="A11528" t="inlineStr">
        <is>
          <t>27BBBBB11528Z5</t>
        </is>
      </c>
      <c r="B11528" t="inlineStr">
        <is>
          <t>Nov-2018</t>
        </is>
      </c>
      <c r="C11528" s="2" t="n">
        <v>43020</v>
      </c>
      <c r="D11528" t="inlineStr">
        <is>
          <t>NIL</t>
        </is>
      </c>
      <c r="E11528" t="n">
        <v>2955</v>
      </c>
    </row>
    <row r="11529">
      <c r="A11529" t="inlineStr">
        <is>
          <t>27BBBBB11529Z5</t>
        </is>
      </c>
      <c r="B11529" t="inlineStr">
        <is>
          <t>Nov-2018</t>
        </is>
      </c>
      <c r="C11529" s="2" t="n">
        <v>44274</v>
      </c>
      <c r="D11529" t="inlineStr">
        <is>
          <t>NON-NIL</t>
        </is>
      </c>
      <c r="E11529" t="n">
        <v>1373</v>
      </c>
    </row>
    <row r="11530">
      <c r="A11530" t="inlineStr">
        <is>
          <t>27BBBBB11530Z5</t>
        </is>
      </c>
      <c r="B11530" t="inlineStr">
        <is>
          <t>Aug-2017</t>
        </is>
      </c>
      <c r="C11530" s="2" t="n">
        <v>43334</v>
      </c>
      <c r="D11530" t="inlineStr">
        <is>
          <t>NIL</t>
        </is>
      </c>
      <c r="E11530" t="n">
        <v>1588</v>
      </c>
    </row>
    <row r="11531">
      <c r="A11531" t="inlineStr">
        <is>
          <t>27BBBBB11531Z5</t>
        </is>
      </c>
      <c r="B11531" t="inlineStr">
        <is>
          <t>May-2020</t>
        </is>
      </c>
      <c r="C11531" s="2" t="n">
        <v>44607</v>
      </c>
      <c r="D11531" t="inlineStr">
        <is>
          <t>NON-NIL</t>
        </is>
      </c>
      <c r="E11531" t="n">
        <v>2667</v>
      </c>
    </row>
    <row r="11532">
      <c r="A11532" t="inlineStr">
        <is>
          <t>27BBBBB11532Z5</t>
        </is>
      </c>
      <c r="B11532" t="inlineStr">
        <is>
          <t>May-2018</t>
        </is>
      </c>
      <c r="C11532" s="2" t="n">
        <v>44254</v>
      </c>
      <c r="D11532" t="inlineStr">
        <is>
          <t>NON-NIL</t>
        </is>
      </c>
      <c r="E11532" t="n">
        <v>2032</v>
      </c>
    </row>
    <row r="11533">
      <c r="A11533" t="inlineStr">
        <is>
          <t>27BBBBB11533Z5</t>
        </is>
      </c>
      <c r="B11533" t="inlineStr">
        <is>
          <t>May-2018</t>
        </is>
      </c>
      <c r="C11533" s="2" t="n">
        <v>43117</v>
      </c>
      <c r="D11533" t="inlineStr">
        <is>
          <t>NON-NIL</t>
        </is>
      </c>
      <c r="E11533" t="n">
        <v>2890</v>
      </c>
    </row>
    <row r="11534">
      <c r="A11534" t="inlineStr">
        <is>
          <t>27BBBBB11534Z5</t>
        </is>
      </c>
      <c r="B11534" t="inlineStr">
        <is>
          <t>Dec-2022</t>
        </is>
      </c>
      <c r="C11534" s="2" t="n">
        <v>44008</v>
      </c>
      <c r="D11534" t="inlineStr">
        <is>
          <t>NIL</t>
        </is>
      </c>
      <c r="E11534" t="n">
        <v>2153</v>
      </c>
    </row>
    <row r="11535">
      <c r="A11535" t="inlineStr">
        <is>
          <t>27BBBBB11535Z5</t>
        </is>
      </c>
      <c r="B11535" t="inlineStr">
        <is>
          <t>Mar-2021</t>
        </is>
      </c>
      <c r="C11535" s="2" t="n">
        <v>43814</v>
      </c>
      <c r="D11535" t="inlineStr">
        <is>
          <t>NON-NIL</t>
        </is>
      </c>
      <c r="E11535" t="n">
        <v>2525</v>
      </c>
    </row>
    <row r="11536">
      <c r="A11536" t="inlineStr">
        <is>
          <t>27BBBBB11536Z5</t>
        </is>
      </c>
      <c r="B11536" t="inlineStr">
        <is>
          <t>Jul-2017</t>
        </is>
      </c>
      <c r="C11536" s="2" t="n">
        <v>42945</v>
      </c>
      <c r="D11536" t="inlineStr">
        <is>
          <t>NON-NIL</t>
        </is>
      </c>
      <c r="E11536" t="n">
        <v>1656</v>
      </c>
    </row>
    <row r="11537">
      <c r="A11537" t="inlineStr">
        <is>
          <t>27BBBBB11537Z5</t>
        </is>
      </c>
      <c r="B11537" t="inlineStr">
        <is>
          <t>Aug-2018</t>
        </is>
      </c>
      <c r="C11537" s="2" t="n">
        <v>43412</v>
      </c>
      <c r="D11537" t="inlineStr">
        <is>
          <t>NIL</t>
        </is>
      </c>
      <c r="E11537" t="n">
        <v>533</v>
      </c>
    </row>
    <row r="11538">
      <c r="A11538" t="inlineStr">
        <is>
          <t>27BBBBB11538Z5</t>
        </is>
      </c>
      <c r="B11538" t="inlineStr">
        <is>
          <t>Jun-2018</t>
        </is>
      </c>
      <c r="C11538" s="2" t="n">
        <v>44029</v>
      </c>
      <c r="D11538" t="inlineStr">
        <is>
          <t>NIL</t>
        </is>
      </c>
      <c r="E11538" t="n">
        <v>1786</v>
      </c>
    </row>
    <row r="11539">
      <c r="A11539" t="inlineStr">
        <is>
          <t>27BBBBB11539Z5</t>
        </is>
      </c>
      <c r="B11539" t="inlineStr">
        <is>
          <t>Jul-2017</t>
        </is>
      </c>
      <c r="C11539" s="2" t="n">
        <v>44475</v>
      </c>
      <c r="D11539" t="inlineStr">
        <is>
          <t>NIL</t>
        </is>
      </c>
      <c r="E11539" t="n">
        <v>615</v>
      </c>
    </row>
    <row r="11540">
      <c r="A11540" t="inlineStr">
        <is>
          <t>27BBBBB11540Z5</t>
        </is>
      </c>
      <c r="B11540" t="inlineStr">
        <is>
          <t>Jan-2018</t>
        </is>
      </c>
      <c r="C11540" s="2" t="n">
        <v>43893</v>
      </c>
      <c r="D11540" t="inlineStr">
        <is>
          <t>NON-NIL</t>
        </is>
      </c>
      <c r="E11540" t="n">
        <v>2384</v>
      </c>
    </row>
    <row r="11541">
      <c r="A11541" t="inlineStr">
        <is>
          <t>27BBBBB11541Z5</t>
        </is>
      </c>
      <c r="B11541" t="inlineStr">
        <is>
          <t>May-2020</t>
        </is>
      </c>
      <c r="C11541" s="2" t="n">
        <v>44371</v>
      </c>
      <c r="D11541" t="inlineStr">
        <is>
          <t>NON-NIL</t>
        </is>
      </c>
      <c r="E11541" t="n">
        <v>237</v>
      </c>
    </row>
    <row r="11542">
      <c r="A11542" t="inlineStr">
        <is>
          <t>27BBBBB11542Z5</t>
        </is>
      </c>
      <c r="B11542" t="inlineStr">
        <is>
          <t>Jun-2018</t>
        </is>
      </c>
      <c r="C11542" s="2" t="n">
        <v>43440</v>
      </c>
      <c r="D11542" t="inlineStr">
        <is>
          <t>NON-NIL</t>
        </is>
      </c>
      <c r="E11542" t="n">
        <v>682</v>
      </c>
    </row>
    <row r="11543">
      <c r="A11543" t="inlineStr">
        <is>
          <t>27BBBBB11543Z5</t>
        </is>
      </c>
      <c r="B11543" t="inlineStr">
        <is>
          <t>Jul-2020</t>
        </is>
      </c>
      <c r="C11543" s="2" t="n">
        <v>44143</v>
      </c>
      <c r="D11543" t="inlineStr">
        <is>
          <t>NIL</t>
        </is>
      </c>
      <c r="E11543" t="n">
        <v>1036</v>
      </c>
    </row>
    <row r="11544">
      <c r="A11544" t="inlineStr">
        <is>
          <t>27BBBBB11544Z5</t>
        </is>
      </c>
      <c r="B11544" t="inlineStr">
        <is>
          <t>May-2020</t>
        </is>
      </c>
      <c r="C11544" s="2" t="n">
        <v>44625</v>
      </c>
      <c r="D11544" t="inlineStr">
        <is>
          <t>NON-NIL</t>
        </is>
      </c>
      <c r="E11544" t="n">
        <v>2530</v>
      </c>
    </row>
    <row r="11545">
      <c r="A11545" t="inlineStr">
        <is>
          <t>27BBBBB11545Z5</t>
        </is>
      </c>
      <c r="B11545" t="inlineStr">
        <is>
          <t>May-2020</t>
        </is>
      </c>
      <c r="C11545" s="2" t="n">
        <v>44467</v>
      </c>
      <c r="D11545" t="inlineStr">
        <is>
          <t>NIL</t>
        </is>
      </c>
      <c r="E11545" t="n">
        <v>579</v>
      </c>
    </row>
    <row r="11546">
      <c r="A11546" t="inlineStr">
        <is>
          <t>27BBBBB11546Z5</t>
        </is>
      </c>
      <c r="B11546" t="inlineStr">
        <is>
          <t>Jul-2017</t>
        </is>
      </c>
      <c r="C11546" s="2" t="n">
        <v>43657</v>
      </c>
      <c r="D11546" t="inlineStr">
        <is>
          <t>NON-NIL</t>
        </is>
      </c>
      <c r="E11546" t="n">
        <v>2312</v>
      </c>
    </row>
    <row r="11547">
      <c r="A11547" t="inlineStr">
        <is>
          <t>27BBBBB11547Z5</t>
        </is>
      </c>
      <c r="B11547" t="inlineStr">
        <is>
          <t>Dec-2017</t>
        </is>
      </c>
      <c r="C11547" s="2" t="n">
        <v>44526</v>
      </c>
      <c r="D11547" t="inlineStr">
        <is>
          <t>NON-NIL</t>
        </is>
      </c>
      <c r="E11547" t="n">
        <v>1923</v>
      </c>
    </row>
    <row r="11548">
      <c r="A11548" t="inlineStr">
        <is>
          <t>27BBBBB11548Z5</t>
        </is>
      </c>
      <c r="B11548" t="inlineStr">
        <is>
          <t>Mar-2021</t>
        </is>
      </c>
      <c r="C11548" s="2" t="n">
        <v>44894</v>
      </c>
      <c r="D11548" t="inlineStr">
        <is>
          <t>NIL</t>
        </is>
      </c>
      <c r="E11548" t="n">
        <v>950</v>
      </c>
    </row>
    <row r="11549">
      <c r="A11549" t="inlineStr">
        <is>
          <t>27BBBBB11549Z5</t>
        </is>
      </c>
      <c r="B11549" t="inlineStr">
        <is>
          <t>Jul-2017</t>
        </is>
      </c>
      <c r="C11549" s="2" t="n">
        <v>44234</v>
      </c>
      <c r="D11549" t="inlineStr">
        <is>
          <t>NIL</t>
        </is>
      </c>
      <c r="E11549" t="n">
        <v>2763</v>
      </c>
    </row>
    <row r="11550">
      <c r="A11550" t="inlineStr">
        <is>
          <t>27BBBBB11550Z5</t>
        </is>
      </c>
      <c r="B11550" t="inlineStr">
        <is>
          <t>Oct-2018</t>
        </is>
      </c>
      <c r="C11550" s="2" t="n">
        <v>43388</v>
      </c>
      <c r="D11550" t="inlineStr">
        <is>
          <t>NIL</t>
        </is>
      </c>
      <c r="E11550" t="n">
        <v>2315</v>
      </c>
    </row>
    <row r="11551">
      <c r="A11551" t="inlineStr">
        <is>
          <t>27BBBBB11551Z5</t>
        </is>
      </c>
      <c r="B11551" t="inlineStr">
        <is>
          <t>Oct-2018</t>
        </is>
      </c>
      <c r="C11551" s="2" t="n">
        <v>44540</v>
      </c>
      <c r="D11551" t="inlineStr">
        <is>
          <t>NIL</t>
        </is>
      </c>
      <c r="E11551" t="n">
        <v>2317</v>
      </c>
    </row>
    <row r="11552">
      <c r="A11552" t="inlineStr">
        <is>
          <t>27BBBBB11552Z5</t>
        </is>
      </c>
      <c r="B11552" t="inlineStr">
        <is>
          <t>Dec-2022</t>
        </is>
      </c>
      <c r="C11552" s="2" t="n">
        <v>43829</v>
      </c>
      <c r="D11552" t="inlineStr">
        <is>
          <t>NON-NIL</t>
        </is>
      </c>
      <c r="E11552" t="n">
        <v>255</v>
      </c>
    </row>
    <row r="11553">
      <c r="A11553" t="inlineStr">
        <is>
          <t>27BBBBB11553Z5</t>
        </is>
      </c>
      <c r="B11553" t="inlineStr">
        <is>
          <t>Mar-2021</t>
        </is>
      </c>
      <c r="C11553" s="2" t="n">
        <v>44211</v>
      </c>
      <c r="D11553" t="inlineStr">
        <is>
          <t>NIL</t>
        </is>
      </c>
      <c r="E11553" t="n">
        <v>1788</v>
      </c>
    </row>
    <row r="11554">
      <c r="A11554" t="inlineStr">
        <is>
          <t>27BBBBB11554Z5</t>
        </is>
      </c>
      <c r="B11554" t="inlineStr">
        <is>
          <t>Mar-2023</t>
        </is>
      </c>
      <c r="C11554" s="2" t="n">
        <v>45543</v>
      </c>
      <c r="D11554" t="inlineStr">
        <is>
          <t>NIL</t>
        </is>
      </c>
      <c r="E11554" t="n">
        <v>2209</v>
      </c>
    </row>
    <row r="11555">
      <c r="A11555" t="inlineStr">
        <is>
          <t>27BBBBB11555Z5</t>
        </is>
      </c>
      <c r="B11555" t="inlineStr">
        <is>
          <t>Oct-2017</t>
        </is>
      </c>
      <c r="C11555" s="2" t="n">
        <v>43507</v>
      </c>
      <c r="D11555" t="inlineStr">
        <is>
          <t>NON-NIL</t>
        </is>
      </c>
      <c r="E11555" t="n">
        <v>2976</v>
      </c>
    </row>
    <row r="11556">
      <c r="A11556" t="inlineStr">
        <is>
          <t>27BBBBB11556Z5</t>
        </is>
      </c>
      <c r="B11556" t="inlineStr">
        <is>
          <t>Mar-2021</t>
        </is>
      </c>
      <c r="C11556" s="2" t="n">
        <v>44477</v>
      </c>
      <c r="D11556" t="inlineStr">
        <is>
          <t>NON-NIL</t>
        </is>
      </c>
      <c r="E11556" t="n">
        <v>1351</v>
      </c>
    </row>
    <row r="11557">
      <c r="A11557" t="inlineStr">
        <is>
          <t>27BBBBB11557Z5</t>
        </is>
      </c>
      <c r="B11557" t="inlineStr">
        <is>
          <t>Mar-2021</t>
        </is>
      </c>
      <c r="C11557" s="2" t="n">
        <v>43536</v>
      </c>
      <c r="D11557" t="inlineStr">
        <is>
          <t>NON-NIL</t>
        </is>
      </c>
      <c r="E11557" t="n">
        <v>2663</v>
      </c>
    </row>
    <row r="11558">
      <c r="A11558" t="inlineStr">
        <is>
          <t>27BBBBB11558Z5</t>
        </is>
      </c>
      <c r="B11558" t="inlineStr">
        <is>
          <t>Aug-2018</t>
        </is>
      </c>
      <c r="C11558" s="2" t="n">
        <v>43787</v>
      </c>
      <c r="D11558" t="inlineStr">
        <is>
          <t>NON-NIL</t>
        </is>
      </c>
      <c r="E11558" t="n">
        <v>1160</v>
      </c>
    </row>
    <row r="11559">
      <c r="A11559" t="inlineStr">
        <is>
          <t>27BBBBB11559Z5</t>
        </is>
      </c>
      <c r="B11559" t="inlineStr">
        <is>
          <t>Aug-2017</t>
        </is>
      </c>
      <c r="C11559" s="2" t="n">
        <v>43905</v>
      </c>
      <c r="D11559" t="inlineStr">
        <is>
          <t>NIL</t>
        </is>
      </c>
      <c r="E11559" t="n">
        <v>990</v>
      </c>
    </row>
    <row r="11560">
      <c r="A11560" t="inlineStr">
        <is>
          <t>27BBBBB11560Z5</t>
        </is>
      </c>
      <c r="B11560" t="inlineStr">
        <is>
          <t>Mar-2021</t>
        </is>
      </c>
      <c r="C11560" s="2" t="n">
        <v>45356</v>
      </c>
      <c r="D11560" t="inlineStr">
        <is>
          <t>NIL</t>
        </is>
      </c>
      <c r="E11560" t="n">
        <v>1371</v>
      </c>
    </row>
    <row r="11561">
      <c r="A11561" t="inlineStr">
        <is>
          <t>27BBBBB11561Z5</t>
        </is>
      </c>
      <c r="B11561" t="inlineStr">
        <is>
          <t>Oct-2018</t>
        </is>
      </c>
      <c r="C11561" s="2" t="n">
        <v>44202</v>
      </c>
      <c r="D11561" t="inlineStr">
        <is>
          <t>NIL</t>
        </is>
      </c>
      <c r="E11561" t="n">
        <v>493</v>
      </c>
    </row>
    <row r="11562">
      <c r="A11562" t="inlineStr">
        <is>
          <t>27BBBBB11562Z5</t>
        </is>
      </c>
      <c r="B11562" t="inlineStr">
        <is>
          <t>Mar-2021</t>
        </is>
      </c>
      <c r="C11562" s="2" t="n">
        <v>44412</v>
      </c>
      <c r="D11562" t="inlineStr">
        <is>
          <t>NIL</t>
        </is>
      </c>
      <c r="E11562" t="n">
        <v>1817</v>
      </c>
    </row>
    <row r="11563">
      <c r="A11563" t="inlineStr">
        <is>
          <t>27BBBBB11563Z5</t>
        </is>
      </c>
      <c r="B11563" t="inlineStr">
        <is>
          <t>May-2020</t>
        </is>
      </c>
      <c r="C11563" s="2" t="n">
        <v>44172</v>
      </c>
      <c r="D11563" t="inlineStr">
        <is>
          <t>NIL</t>
        </is>
      </c>
      <c r="E11563" t="n">
        <v>1305</v>
      </c>
    </row>
    <row r="11564">
      <c r="A11564" t="inlineStr">
        <is>
          <t>27BBBBB11564Z5</t>
        </is>
      </c>
      <c r="B11564" t="inlineStr">
        <is>
          <t>Aug-2018</t>
        </is>
      </c>
      <c r="C11564" s="2" t="n">
        <v>43759</v>
      </c>
      <c r="D11564" t="inlineStr">
        <is>
          <t>NIL</t>
        </is>
      </c>
      <c r="E11564" t="n">
        <v>2584</v>
      </c>
    </row>
    <row r="11565">
      <c r="A11565" t="inlineStr">
        <is>
          <t>27BBBBB11565Z5</t>
        </is>
      </c>
      <c r="B11565" t="inlineStr">
        <is>
          <t>May-2018</t>
        </is>
      </c>
      <c r="C11565" s="2" t="n">
        <v>43860</v>
      </c>
      <c r="D11565" t="inlineStr">
        <is>
          <t>NIL</t>
        </is>
      </c>
      <c r="E11565" t="n">
        <v>759</v>
      </c>
    </row>
    <row r="11566">
      <c r="A11566" t="inlineStr">
        <is>
          <t>27BBBBB11566Z5</t>
        </is>
      </c>
      <c r="B11566" t="inlineStr">
        <is>
          <t>Jan-2021</t>
        </is>
      </c>
      <c r="C11566" s="2" t="n">
        <v>43744</v>
      </c>
      <c r="D11566" t="inlineStr">
        <is>
          <t>NON-NIL</t>
        </is>
      </c>
      <c r="E11566" t="n">
        <v>2163</v>
      </c>
    </row>
    <row r="11567">
      <c r="A11567" t="inlineStr">
        <is>
          <t>27BBBBB11567Z5</t>
        </is>
      </c>
      <c r="B11567" t="inlineStr">
        <is>
          <t>Apr-2018</t>
        </is>
      </c>
      <c r="C11567" s="2" t="n">
        <v>43493</v>
      </c>
      <c r="D11567" t="inlineStr">
        <is>
          <t>NON-NIL</t>
        </is>
      </c>
      <c r="E11567" t="n">
        <v>1607</v>
      </c>
    </row>
    <row r="11568">
      <c r="A11568" t="inlineStr">
        <is>
          <t>27BBBBB11568Z5</t>
        </is>
      </c>
      <c r="B11568" t="inlineStr">
        <is>
          <t>May-2018</t>
        </is>
      </c>
      <c r="C11568" s="2" t="n">
        <v>43582</v>
      </c>
      <c r="D11568" t="inlineStr">
        <is>
          <t>NIL</t>
        </is>
      </c>
      <c r="E11568" t="n">
        <v>214</v>
      </c>
    </row>
    <row r="11569">
      <c r="A11569" t="inlineStr">
        <is>
          <t>27BBBBB11569Z5</t>
        </is>
      </c>
      <c r="B11569" t="inlineStr">
        <is>
          <t>Mar-2021</t>
        </is>
      </c>
      <c r="C11569" s="2" t="n">
        <v>43866</v>
      </c>
      <c r="D11569" t="inlineStr">
        <is>
          <t>NIL</t>
        </is>
      </c>
      <c r="E11569" t="n">
        <v>814</v>
      </c>
    </row>
    <row r="11570">
      <c r="A11570" t="inlineStr">
        <is>
          <t>27BBBBB11570Z5</t>
        </is>
      </c>
      <c r="B11570" t="inlineStr">
        <is>
          <t>Dec-2017</t>
        </is>
      </c>
      <c r="C11570" s="2" t="n">
        <v>42921</v>
      </c>
      <c r="D11570" t="inlineStr">
        <is>
          <t>NON-NIL</t>
        </is>
      </c>
      <c r="E11570" t="n">
        <v>2005</v>
      </c>
    </row>
    <row r="11571">
      <c r="A11571" t="inlineStr">
        <is>
          <t>27BBBBB11571Z5</t>
        </is>
      </c>
      <c r="B11571" t="inlineStr">
        <is>
          <t>Mar-2021</t>
        </is>
      </c>
      <c r="C11571" s="2" t="n">
        <v>44299</v>
      </c>
      <c r="D11571" t="inlineStr">
        <is>
          <t>NON-NIL</t>
        </is>
      </c>
      <c r="E11571" t="n">
        <v>433</v>
      </c>
    </row>
    <row r="11572">
      <c r="A11572" t="inlineStr">
        <is>
          <t>27BBBBB11572Z5</t>
        </is>
      </c>
      <c r="B11572" t="inlineStr">
        <is>
          <t>Jul-2020</t>
        </is>
      </c>
      <c r="C11572" s="2" t="n">
        <v>44404</v>
      </c>
      <c r="D11572" t="inlineStr">
        <is>
          <t>NIL</t>
        </is>
      </c>
      <c r="E11572" t="n">
        <v>711</v>
      </c>
    </row>
    <row r="11573">
      <c r="A11573" t="inlineStr">
        <is>
          <t>27BBBBB11573Z5</t>
        </is>
      </c>
      <c r="B11573" t="inlineStr">
        <is>
          <t>Jan-2021</t>
        </is>
      </c>
      <c r="C11573" s="2" t="n">
        <v>43597</v>
      </c>
      <c r="D11573" t="inlineStr">
        <is>
          <t>NON-NIL</t>
        </is>
      </c>
      <c r="E11573" t="n">
        <v>457</v>
      </c>
    </row>
    <row r="11574">
      <c r="A11574" t="inlineStr">
        <is>
          <t>27BBBBB11574Z5</t>
        </is>
      </c>
      <c r="B11574" t="inlineStr">
        <is>
          <t>Dec-2017</t>
        </is>
      </c>
      <c r="C11574" s="2" t="n">
        <v>43901</v>
      </c>
      <c r="D11574" t="inlineStr">
        <is>
          <t>NON-NIL</t>
        </is>
      </c>
      <c r="E11574" t="n">
        <v>2032</v>
      </c>
    </row>
    <row r="11575">
      <c r="A11575" t="inlineStr">
        <is>
          <t>27BBBBB11575Z5</t>
        </is>
      </c>
      <c r="B11575" t="inlineStr">
        <is>
          <t>Oct-2017</t>
        </is>
      </c>
      <c r="C11575" s="2" t="n">
        <v>44190</v>
      </c>
      <c r="D11575" t="inlineStr">
        <is>
          <t>NIL</t>
        </is>
      </c>
      <c r="E11575" t="n">
        <v>236</v>
      </c>
    </row>
    <row r="11576">
      <c r="A11576" t="inlineStr">
        <is>
          <t>27BBBBB11576Z5</t>
        </is>
      </c>
      <c r="B11576" t="inlineStr">
        <is>
          <t>Oct-2017</t>
        </is>
      </c>
      <c r="C11576" s="2" t="n">
        <v>43793</v>
      </c>
      <c r="D11576" t="inlineStr">
        <is>
          <t>NON-NIL</t>
        </is>
      </c>
      <c r="E11576" t="n">
        <v>2665</v>
      </c>
    </row>
    <row r="11577">
      <c r="A11577" t="inlineStr">
        <is>
          <t>27BBBBB11577Z5</t>
        </is>
      </c>
      <c r="B11577" t="inlineStr">
        <is>
          <t>Jul-2018</t>
        </is>
      </c>
      <c r="C11577" s="2" t="n">
        <v>43004</v>
      </c>
      <c r="D11577" t="inlineStr">
        <is>
          <t>NIL</t>
        </is>
      </c>
      <c r="E11577" t="n">
        <v>2695</v>
      </c>
    </row>
    <row r="11578">
      <c r="A11578" t="inlineStr">
        <is>
          <t>27BBBBB11578Z5</t>
        </is>
      </c>
      <c r="B11578" t="inlineStr">
        <is>
          <t>Dec-2018</t>
        </is>
      </c>
      <c r="C11578" s="2" t="n">
        <v>43201</v>
      </c>
      <c r="D11578" t="inlineStr">
        <is>
          <t>NIL</t>
        </is>
      </c>
      <c r="E11578" t="n">
        <v>2764</v>
      </c>
    </row>
    <row r="11579">
      <c r="A11579" t="inlineStr">
        <is>
          <t>27BBBBB11579Z5</t>
        </is>
      </c>
      <c r="B11579" t="inlineStr">
        <is>
          <t>Dec-2022</t>
        </is>
      </c>
      <c r="C11579" s="2" t="n">
        <v>44155</v>
      </c>
      <c r="D11579" t="inlineStr">
        <is>
          <t>NON-NIL</t>
        </is>
      </c>
      <c r="E11579" t="n">
        <v>571</v>
      </c>
    </row>
    <row r="11580">
      <c r="A11580" t="inlineStr">
        <is>
          <t>27BBBBB11580Z5</t>
        </is>
      </c>
      <c r="B11580" t="inlineStr">
        <is>
          <t>Jul-2018</t>
        </is>
      </c>
      <c r="C11580" s="2" t="n">
        <v>43639</v>
      </c>
      <c r="D11580" t="inlineStr">
        <is>
          <t>NON-NIL</t>
        </is>
      </c>
      <c r="E11580" t="n">
        <v>1375</v>
      </c>
    </row>
    <row r="11581">
      <c r="A11581" t="inlineStr">
        <is>
          <t>27BBBBB11581Z5</t>
        </is>
      </c>
      <c r="B11581" t="inlineStr">
        <is>
          <t>Dec-2022</t>
        </is>
      </c>
      <c r="C11581" s="2" t="n">
        <v>44954</v>
      </c>
      <c r="D11581" t="inlineStr">
        <is>
          <t>NIL</t>
        </is>
      </c>
      <c r="E11581" t="n">
        <v>2498</v>
      </c>
    </row>
    <row r="11582">
      <c r="A11582" t="inlineStr">
        <is>
          <t>27BBBBB11582Z5</t>
        </is>
      </c>
      <c r="B11582" t="inlineStr">
        <is>
          <t>Feb-2018</t>
        </is>
      </c>
      <c r="C11582" s="2" t="n">
        <v>44227</v>
      </c>
      <c r="D11582" t="inlineStr">
        <is>
          <t>NIL</t>
        </is>
      </c>
      <c r="E11582" t="n">
        <v>2004</v>
      </c>
    </row>
    <row r="11583">
      <c r="A11583" t="inlineStr">
        <is>
          <t>27BBBBB11583Z5</t>
        </is>
      </c>
      <c r="B11583" t="inlineStr">
        <is>
          <t>Aug-2018</t>
        </is>
      </c>
      <c r="C11583" s="2" t="n">
        <v>43928</v>
      </c>
      <c r="D11583" t="inlineStr">
        <is>
          <t>NIL</t>
        </is>
      </c>
      <c r="E11583" t="n">
        <v>844</v>
      </c>
    </row>
    <row r="11584">
      <c r="A11584" t="inlineStr">
        <is>
          <t>27BBBBB11584Z5</t>
        </is>
      </c>
      <c r="B11584" t="inlineStr">
        <is>
          <t>May-2020</t>
        </is>
      </c>
      <c r="C11584" s="2" t="n">
        <v>43912</v>
      </c>
      <c r="D11584" t="inlineStr">
        <is>
          <t>NIL</t>
        </is>
      </c>
      <c r="E11584" t="n">
        <v>719</v>
      </c>
    </row>
    <row r="11585">
      <c r="A11585" t="inlineStr">
        <is>
          <t>27BBBBB11585Z5</t>
        </is>
      </c>
      <c r="B11585" t="inlineStr">
        <is>
          <t>Mar-2020</t>
        </is>
      </c>
      <c r="C11585" s="2" t="n">
        <v>44219</v>
      </c>
      <c r="D11585" t="inlineStr">
        <is>
          <t>NIL</t>
        </is>
      </c>
      <c r="E11585" t="n">
        <v>2257</v>
      </c>
    </row>
    <row r="11586">
      <c r="A11586" t="inlineStr">
        <is>
          <t>27BBBBB11586Z5</t>
        </is>
      </c>
      <c r="B11586" t="inlineStr">
        <is>
          <t>Apr-2018</t>
        </is>
      </c>
      <c r="C11586" s="2" t="n">
        <v>44024</v>
      </c>
      <c r="D11586" t="inlineStr">
        <is>
          <t>NON-NIL</t>
        </is>
      </c>
      <c r="E11586" t="n">
        <v>368</v>
      </c>
    </row>
    <row r="11587">
      <c r="A11587" t="inlineStr">
        <is>
          <t>27BBBBB11587Z5</t>
        </is>
      </c>
      <c r="B11587" t="inlineStr">
        <is>
          <t>Jun-2020</t>
        </is>
      </c>
      <c r="C11587" s="2" t="n">
        <v>44013</v>
      </c>
      <c r="D11587" t="inlineStr">
        <is>
          <t>NIL</t>
        </is>
      </c>
      <c r="E11587" t="n">
        <v>1649</v>
      </c>
    </row>
    <row r="11588">
      <c r="A11588" t="inlineStr">
        <is>
          <t>27BBBBB11588Z5</t>
        </is>
      </c>
      <c r="B11588" t="inlineStr">
        <is>
          <t>Jul-2017</t>
        </is>
      </c>
      <c r="C11588" s="2" t="n">
        <v>43973</v>
      </c>
      <c r="D11588" t="inlineStr">
        <is>
          <t>NON-NIL</t>
        </is>
      </c>
      <c r="E11588" t="n">
        <v>2645</v>
      </c>
    </row>
    <row r="11589">
      <c r="A11589" t="inlineStr">
        <is>
          <t>27BBBBB11589Z5</t>
        </is>
      </c>
      <c r="B11589" t="inlineStr">
        <is>
          <t>Dec-2024</t>
        </is>
      </c>
      <c r="C11589" s="2" t="n">
        <v>43994</v>
      </c>
      <c r="D11589" t="inlineStr">
        <is>
          <t>NIL</t>
        </is>
      </c>
      <c r="E11589" t="n">
        <v>1777</v>
      </c>
    </row>
    <row r="11590">
      <c r="A11590" t="inlineStr">
        <is>
          <t>27BBBBB11590Z5</t>
        </is>
      </c>
      <c r="B11590" t="inlineStr">
        <is>
          <t>Apr-2018</t>
        </is>
      </c>
      <c r="C11590" s="2" t="n">
        <v>44165</v>
      </c>
      <c r="D11590" t="inlineStr">
        <is>
          <t>NON-NIL</t>
        </is>
      </c>
      <c r="E11590" t="n">
        <v>721</v>
      </c>
    </row>
    <row r="11591">
      <c r="A11591" t="inlineStr">
        <is>
          <t>27BBBBB11591Z5</t>
        </is>
      </c>
      <c r="B11591" t="inlineStr">
        <is>
          <t>Jul-2017</t>
        </is>
      </c>
      <c r="C11591" s="2" t="n">
        <v>43207</v>
      </c>
      <c r="D11591" t="inlineStr">
        <is>
          <t>NON-NIL</t>
        </is>
      </c>
      <c r="E11591" t="n">
        <v>2141</v>
      </c>
    </row>
    <row r="11592">
      <c r="A11592" t="inlineStr">
        <is>
          <t>27BBBBB11592Z5</t>
        </is>
      </c>
      <c r="B11592" t="inlineStr">
        <is>
          <t>Sep-2017</t>
        </is>
      </c>
      <c r="C11592" s="2" t="n">
        <v>43962</v>
      </c>
      <c r="D11592" t="inlineStr">
        <is>
          <t>NIL</t>
        </is>
      </c>
      <c r="E11592" t="n">
        <v>767</v>
      </c>
    </row>
    <row r="11593">
      <c r="A11593" t="inlineStr">
        <is>
          <t>27BBBBB11593Z5</t>
        </is>
      </c>
      <c r="B11593" t="inlineStr">
        <is>
          <t>May-2018</t>
        </is>
      </c>
      <c r="C11593" s="2" t="n">
        <v>43276</v>
      </c>
      <c r="D11593" t="inlineStr">
        <is>
          <t>NON-NIL</t>
        </is>
      </c>
      <c r="E11593" t="n">
        <v>1247</v>
      </c>
    </row>
    <row r="11594">
      <c r="A11594" t="inlineStr">
        <is>
          <t>27BBBBB11594Z5</t>
        </is>
      </c>
      <c r="B11594" t="inlineStr">
        <is>
          <t>Dec-2018</t>
        </is>
      </c>
      <c r="C11594" s="2" t="n">
        <v>44525</v>
      </c>
      <c r="D11594" t="inlineStr">
        <is>
          <t>NON-NIL</t>
        </is>
      </c>
      <c r="E11594" t="n">
        <v>833</v>
      </c>
    </row>
    <row r="11595">
      <c r="A11595" t="inlineStr">
        <is>
          <t>27BBBBB11595Z5</t>
        </is>
      </c>
      <c r="B11595" t="inlineStr">
        <is>
          <t>Oct-2017</t>
        </is>
      </c>
      <c r="C11595" s="2" t="n">
        <v>43940</v>
      </c>
      <c r="D11595" t="inlineStr">
        <is>
          <t>NIL</t>
        </is>
      </c>
      <c r="E11595" t="n">
        <v>1748</v>
      </c>
    </row>
    <row r="11596">
      <c r="A11596" t="inlineStr">
        <is>
          <t>27BBBBB11596Z5</t>
        </is>
      </c>
      <c r="B11596" t="inlineStr">
        <is>
          <t>Dec-2018</t>
        </is>
      </c>
      <c r="C11596" s="2" t="n">
        <v>43187</v>
      </c>
      <c r="D11596" t="inlineStr">
        <is>
          <t>NIL</t>
        </is>
      </c>
      <c r="E11596" t="n">
        <v>1435</v>
      </c>
    </row>
    <row r="11597">
      <c r="A11597" t="inlineStr">
        <is>
          <t>27BBBBB11597Z5</t>
        </is>
      </c>
      <c r="B11597" t="inlineStr">
        <is>
          <t>May-2020</t>
        </is>
      </c>
      <c r="C11597" s="2" t="n">
        <v>44512</v>
      </c>
      <c r="D11597" t="inlineStr">
        <is>
          <t>NON-NIL</t>
        </is>
      </c>
      <c r="E11597" t="n">
        <v>1999</v>
      </c>
    </row>
    <row r="11598">
      <c r="A11598" t="inlineStr">
        <is>
          <t>27BBBBB11598Z5</t>
        </is>
      </c>
      <c r="B11598" t="inlineStr">
        <is>
          <t>May-2020</t>
        </is>
      </c>
      <c r="C11598" s="2" t="n">
        <v>44010</v>
      </c>
      <c r="D11598" t="inlineStr">
        <is>
          <t>NIL</t>
        </is>
      </c>
      <c r="E11598" t="n">
        <v>43</v>
      </c>
    </row>
    <row r="11599">
      <c r="A11599" t="inlineStr">
        <is>
          <t>27BBBBB11599Z5</t>
        </is>
      </c>
      <c r="B11599" t="inlineStr">
        <is>
          <t>Sep-2017</t>
        </is>
      </c>
      <c r="C11599" s="2" t="n">
        <v>43288</v>
      </c>
      <c r="D11599" t="inlineStr">
        <is>
          <t>NON-NIL</t>
        </is>
      </c>
      <c r="E11599" t="n">
        <v>2049</v>
      </c>
    </row>
    <row r="11600">
      <c r="A11600" t="inlineStr">
        <is>
          <t>27BBBBB11600Z5</t>
        </is>
      </c>
      <c r="B11600" t="inlineStr">
        <is>
          <t>Dec-2024</t>
        </is>
      </c>
      <c r="C11600" s="2" t="n">
        <v>44723</v>
      </c>
      <c r="D11600" t="inlineStr">
        <is>
          <t>NON-NIL</t>
        </is>
      </c>
      <c r="E11600" t="n">
        <v>466</v>
      </c>
    </row>
    <row r="11601">
      <c r="A11601" t="inlineStr">
        <is>
          <t>27BBBBB11601Z5</t>
        </is>
      </c>
      <c r="B11601" t="inlineStr">
        <is>
          <t>Sep-2018</t>
        </is>
      </c>
      <c r="C11601" s="2" t="n">
        <v>43047</v>
      </c>
      <c r="D11601" t="inlineStr">
        <is>
          <t>NON-NIL</t>
        </is>
      </c>
      <c r="E11601" t="n">
        <v>1174</v>
      </c>
    </row>
    <row r="11602">
      <c r="A11602" t="inlineStr">
        <is>
          <t>27BBBBB11602Z5</t>
        </is>
      </c>
      <c r="B11602" t="inlineStr">
        <is>
          <t>Apr-2018</t>
        </is>
      </c>
      <c r="C11602" s="2" t="n">
        <v>44469</v>
      </c>
      <c r="D11602" t="inlineStr">
        <is>
          <t>NIL</t>
        </is>
      </c>
      <c r="E11602" t="n">
        <v>2400</v>
      </c>
    </row>
    <row r="11603">
      <c r="A11603" t="inlineStr">
        <is>
          <t>27BBBBB11603Z5</t>
        </is>
      </c>
      <c r="B11603" t="inlineStr">
        <is>
          <t>Jul-2018</t>
        </is>
      </c>
      <c r="C11603" s="2" t="n">
        <v>43052</v>
      </c>
      <c r="D11603" t="inlineStr">
        <is>
          <t>NIL</t>
        </is>
      </c>
      <c r="E11603" t="n">
        <v>2003</v>
      </c>
    </row>
    <row r="11604">
      <c r="A11604" t="inlineStr">
        <is>
          <t>27BBBBB11604Z5</t>
        </is>
      </c>
      <c r="B11604" t="inlineStr">
        <is>
          <t>Jul-2020</t>
        </is>
      </c>
      <c r="C11604" s="2" t="n">
        <v>44220</v>
      </c>
      <c r="D11604" t="inlineStr">
        <is>
          <t>NIL</t>
        </is>
      </c>
      <c r="E11604" t="n">
        <v>1284</v>
      </c>
    </row>
    <row r="11605">
      <c r="A11605" t="inlineStr">
        <is>
          <t>27BBBBB11605Z5</t>
        </is>
      </c>
      <c r="B11605" t="inlineStr">
        <is>
          <t>Nov-2017</t>
        </is>
      </c>
      <c r="C11605" s="2" t="n">
        <v>43405</v>
      </c>
      <c r="D11605" t="inlineStr">
        <is>
          <t>NON-NIL</t>
        </is>
      </c>
      <c r="E11605" t="n">
        <v>2310</v>
      </c>
    </row>
    <row r="11606">
      <c r="A11606" t="inlineStr">
        <is>
          <t>27BBBBB11606Z5</t>
        </is>
      </c>
      <c r="B11606" t="inlineStr">
        <is>
          <t>Apr-2020</t>
        </is>
      </c>
      <c r="C11606" s="2" t="n">
        <v>44231</v>
      </c>
      <c r="D11606" t="inlineStr">
        <is>
          <t>NON-NIL</t>
        </is>
      </c>
      <c r="E11606" t="n">
        <v>2945</v>
      </c>
    </row>
    <row r="11607">
      <c r="A11607" t="inlineStr">
        <is>
          <t>27BBBBB11607Z5</t>
        </is>
      </c>
      <c r="B11607" t="inlineStr">
        <is>
          <t>Nov-2017</t>
        </is>
      </c>
      <c r="C11607" s="2" t="n">
        <v>43761</v>
      </c>
      <c r="D11607" t="inlineStr">
        <is>
          <t>NON-NIL</t>
        </is>
      </c>
      <c r="E11607" t="n">
        <v>404</v>
      </c>
    </row>
    <row r="11608">
      <c r="A11608" t="inlineStr">
        <is>
          <t>27BBBBB11608Z5</t>
        </is>
      </c>
      <c r="B11608" t="inlineStr">
        <is>
          <t>Dec-2024</t>
        </is>
      </c>
      <c r="C11608" s="2" t="n">
        <v>45830</v>
      </c>
      <c r="D11608" t="inlineStr">
        <is>
          <t>NIL</t>
        </is>
      </c>
      <c r="E11608" t="n">
        <v>792</v>
      </c>
    </row>
    <row r="11609">
      <c r="A11609" t="inlineStr">
        <is>
          <t>27BBBBB11609Z5</t>
        </is>
      </c>
      <c r="B11609" t="inlineStr">
        <is>
          <t>Dec-2017</t>
        </is>
      </c>
      <c r="C11609" s="2" t="n">
        <v>42946</v>
      </c>
      <c r="D11609" t="inlineStr">
        <is>
          <t>NON-NIL</t>
        </is>
      </c>
      <c r="E11609" t="n">
        <v>2143</v>
      </c>
    </row>
    <row r="11610">
      <c r="A11610" t="inlineStr">
        <is>
          <t>27BBBBB11610Z5</t>
        </is>
      </c>
      <c r="B11610" t="inlineStr">
        <is>
          <t>May-2018</t>
        </is>
      </c>
      <c r="C11610" s="2" t="n">
        <v>43354</v>
      </c>
      <c r="D11610" t="inlineStr">
        <is>
          <t>NON-NIL</t>
        </is>
      </c>
      <c r="E11610" t="n">
        <v>1073</v>
      </c>
    </row>
    <row r="11611">
      <c r="A11611" t="inlineStr">
        <is>
          <t>27BBBBB11611Z5</t>
        </is>
      </c>
      <c r="B11611" t="inlineStr">
        <is>
          <t>Dec-2022</t>
        </is>
      </c>
      <c r="C11611" s="2" t="n">
        <v>45641</v>
      </c>
      <c r="D11611" t="inlineStr">
        <is>
          <t>NON-NIL</t>
        </is>
      </c>
      <c r="E11611" t="n">
        <v>2110</v>
      </c>
    </row>
    <row r="11612">
      <c r="A11612" t="inlineStr">
        <is>
          <t>27BBBBB11612Z5</t>
        </is>
      </c>
      <c r="B11612" t="inlineStr">
        <is>
          <t>Aug-2017</t>
        </is>
      </c>
      <c r="C11612" s="2" t="n">
        <v>43454</v>
      </c>
      <c r="D11612" t="inlineStr">
        <is>
          <t>NIL</t>
        </is>
      </c>
      <c r="E11612" t="n">
        <v>2575</v>
      </c>
    </row>
    <row r="11613">
      <c r="A11613" t="inlineStr">
        <is>
          <t>27BBBBB11613Z5</t>
        </is>
      </c>
      <c r="B11613" t="inlineStr">
        <is>
          <t>Sep-2018</t>
        </is>
      </c>
      <c r="C11613" s="2" t="n">
        <v>43730</v>
      </c>
      <c r="D11613" t="inlineStr">
        <is>
          <t>NON-NIL</t>
        </is>
      </c>
      <c r="E11613" t="n">
        <v>603</v>
      </c>
    </row>
    <row r="11614">
      <c r="A11614" t="inlineStr">
        <is>
          <t>27BBBBB11614Z5</t>
        </is>
      </c>
      <c r="B11614" t="inlineStr">
        <is>
          <t>Jan-2018</t>
        </is>
      </c>
      <c r="C11614" s="2" t="n">
        <v>44261</v>
      </c>
      <c r="D11614" t="inlineStr">
        <is>
          <t>NIL</t>
        </is>
      </c>
      <c r="E11614" t="n">
        <v>1670</v>
      </c>
    </row>
    <row r="11615">
      <c r="A11615" t="inlineStr">
        <is>
          <t>27BBBBB11615Z5</t>
        </is>
      </c>
      <c r="B11615" t="inlineStr">
        <is>
          <t>Mar-2020</t>
        </is>
      </c>
      <c r="C11615" s="2" t="n">
        <v>44251</v>
      </c>
      <c r="D11615" t="inlineStr">
        <is>
          <t>NIL</t>
        </is>
      </c>
      <c r="E11615" t="n">
        <v>2461</v>
      </c>
    </row>
    <row r="11616">
      <c r="A11616" t="inlineStr">
        <is>
          <t>27BBBBB11616Z5</t>
        </is>
      </c>
      <c r="B11616" t="inlineStr">
        <is>
          <t>Oct-2017</t>
        </is>
      </c>
      <c r="C11616" s="2" t="n">
        <v>43529</v>
      </c>
      <c r="D11616" t="inlineStr">
        <is>
          <t>NON-NIL</t>
        </is>
      </c>
      <c r="E11616" t="n">
        <v>732</v>
      </c>
    </row>
    <row r="11617">
      <c r="A11617" t="inlineStr">
        <is>
          <t>27BBBBB11617Z5</t>
        </is>
      </c>
      <c r="B11617" t="inlineStr">
        <is>
          <t>Jul-2017</t>
        </is>
      </c>
      <c r="C11617" s="2" t="n">
        <v>42938</v>
      </c>
      <c r="D11617" t="inlineStr">
        <is>
          <t>NIL</t>
        </is>
      </c>
      <c r="E11617" t="n">
        <v>2536</v>
      </c>
    </row>
    <row r="11618">
      <c r="A11618" t="inlineStr">
        <is>
          <t>27BBBBB11618Z5</t>
        </is>
      </c>
      <c r="B11618" t="inlineStr">
        <is>
          <t>Sep-2017</t>
        </is>
      </c>
      <c r="C11618" s="2" t="n">
        <v>43197</v>
      </c>
      <c r="D11618" t="inlineStr">
        <is>
          <t>NON-NIL</t>
        </is>
      </c>
      <c r="E11618" t="n">
        <v>1866</v>
      </c>
    </row>
    <row r="11619">
      <c r="A11619" t="inlineStr">
        <is>
          <t>27BBBBB11619Z5</t>
        </is>
      </c>
      <c r="B11619" t="inlineStr">
        <is>
          <t>Feb-2018</t>
        </is>
      </c>
      <c r="C11619" s="2" t="n">
        <v>43934</v>
      </c>
      <c r="D11619" t="inlineStr">
        <is>
          <t>NIL</t>
        </is>
      </c>
      <c r="E11619" t="n">
        <v>488</v>
      </c>
    </row>
    <row r="11620">
      <c r="A11620" t="inlineStr">
        <is>
          <t>27BBBBB11620Z5</t>
        </is>
      </c>
      <c r="B11620" t="inlineStr">
        <is>
          <t>Aug-2017</t>
        </is>
      </c>
      <c r="C11620" s="2" t="n">
        <v>43592</v>
      </c>
      <c r="D11620" t="inlineStr">
        <is>
          <t>NON-NIL</t>
        </is>
      </c>
      <c r="E11620" t="n">
        <v>1881</v>
      </c>
    </row>
    <row r="11621">
      <c r="A11621" t="inlineStr">
        <is>
          <t>27BBBBB11621Z5</t>
        </is>
      </c>
      <c r="B11621" t="inlineStr">
        <is>
          <t>Jan-2021</t>
        </is>
      </c>
      <c r="C11621" s="2" t="n">
        <v>44417</v>
      </c>
      <c r="D11621" t="inlineStr">
        <is>
          <t>NIL</t>
        </is>
      </c>
      <c r="E11621" t="n">
        <v>2103</v>
      </c>
    </row>
    <row r="11622">
      <c r="A11622" t="inlineStr">
        <is>
          <t>27BBBBB11622Z5</t>
        </is>
      </c>
      <c r="B11622" t="inlineStr">
        <is>
          <t>Aug-2017</t>
        </is>
      </c>
      <c r="C11622" s="2" t="n">
        <v>43776</v>
      </c>
      <c r="D11622" t="inlineStr">
        <is>
          <t>NON-NIL</t>
        </is>
      </c>
      <c r="E11622" t="n">
        <v>1359</v>
      </c>
    </row>
    <row r="11623">
      <c r="A11623" t="inlineStr">
        <is>
          <t>27BBBBB11623Z5</t>
        </is>
      </c>
      <c r="B11623" t="inlineStr">
        <is>
          <t>Nov-2017</t>
        </is>
      </c>
      <c r="C11623" s="2" t="n">
        <v>43649</v>
      </c>
      <c r="D11623" t="inlineStr">
        <is>
          <t>NON-NIL</t>
        </is>
      </c>
      <c r="E11623" t="n">
        <v>1928</v>
      </c>
    </row>
    <row r="11624">
      <c r="A11624" t="inlineStr">
        <is>
          <t>27BBBBB11624Z5</t>
        </is>
      </c>
      <c r="B11624" t="inlineStr">
        <is>
          <t>Jul-2017</t>
        </is>
      </c>
      <c r="C11624" s="2" t="n">
        <v>43619</v>
      </c>
      <c r="D11624" t="inlineStr">
        <is>
          <t>NON-NIL</t>
        </is>
      </c>
      <c r="E11624" t="n">
        <v>831</v>
      </c>
    </row>
    <row r="11625">
      <c r="A11625" t="inlineStr">
        <is>
          <t>27BBBBB11625Z5</t>
        </is>
      </c>
      <c r="B11625" t="inlineStr">
        <is>
          <t>Apr-2018</t>
        </is>
      </c>
      <c r="C11625" s="2" t="n">
        <v>43314</v>
      </c>
      <c r="D11625" t="inlineStr">
        <is>
          <t>NON-NIL</t>
        </is>
      </c>
      <c r="E11625" t="n">
        <v>999</v>
      </c>
    </row>
    <row r="11626">
      <c r="A11626" t="inlineStr">
        <is>
          <t>27BBBBB11626Z5</t>
        </is>
      </c>
      <c r="B11626" t="inlineStr">
        <is>
          <t>Jun-2018</t>
        </is>
      </c>
      <c r="C11626" s="2" t="n">
        <v>43733</v>
      </c>
      <c r="D11626" t="inlineStr">
        <is>
          <t>NON-NIL</t>
        </is>
      </c>
      <c r="E11626" t="n">
        <v>246</v>
      </c>
    </row>
    <row r="11627">
      <c r="A11627" t="inlineStr">
        <is>
          <t>27BBBBB11627Z5</t>
        </is>
      </c>
      <c r="B11627" t="inlineStr">
        <is>
          <t>Nov-2017</t>
        </is>
      </c>
      <c r="C11627" s="2" t="n">
        <v>44467</v>
      </c>
      <c r="D11627" t="inlineStr">
        <is>
          <t>NON-NIL</t>
        </is>
      </c>
      <c r="E11627" t="n">
        <v>1981</v>
      </c>
    </row>
    <row r="11628">
      <c r="A11628" t="inlineStr">
        <is>
          <t>27BBBBB11628Z5</t>
        </is>
      </c>
      <c r="B11628" t="inlineStr">
        <is>
          <t>Sep-2017</t>
        </is>
      </c>
      <c r="C11628" s="2" t="n">
        <v>43568</v>
      </c>
      <c r="D11628" t="inlineStr">
        <is>
          <t>NIL</t>
        </is>
      </c>
      <c r="E11628" t="n">
        <v>1127</v>
      </c>
    </row>
    <row r="11629">
      <c r="A11629" t="inlineStr">
        <is>
          <t>27BBBBB11629Z5</t>
        </is>
      </c>
      <c r="B11629" t="inlineStr">
        <is>
          <t>Jan-2021</t>
        </is>
      </c>
      <c r="C11629" s="2" t="n">
        <v>44753</v>
      </c>
      <c r="D11629" t="inlineStr">
        <is>
          <t>NON-NIL</t>
        </is>
      </c>
      <c r="E11629" t="n">
        <v>1968</v>
      </c>
    </row>
    <row r="11630">
      <c r="A11630" t="inlineStr">
        <is>
          <t>27BBBBB11630Z5</t>
        </is>
      </c>
      <c r="B11630" t="inlineStr">
        <is>
          <t>Dec-2022</t>
        </is>
      </c>
      <c r="C11630" s="2" t="n">
        <v>44577</v>
      </c>
      <c r="D11630" t="inlineStr">
        <is>
          <t>NIL</t>
        </is>
      </c>
      <c r="E11630" t="n">
        <v>1207</v>
      </c>
    </row>
    <row r="11631">
      <c r="A11631" t="inlineStr">
        <is>
          <t>27BBBBB11631Z5</t>
        </is>
      </c>
      <c r="B11631" t="inlineStr">
        <is>
          <t>Mar-2018</t>
        </is>
      </c>
      <c r="C11631" s="2" t="n">
        <v>44100</v>
      </c>
      <c r="D11631" t="inlineStr">
        <is>
          <t>NIL</t>
        </is>
      </c>
      <c r="E11631" t="n">
        <v>1969</v>
      </c>
    </row>
    <row r="11632">
      <c r="A11632" t="inlineStr">
        <is>
          <t>27BBBBB11632Z5</t>
        </is>
      </c>
      <c r="B11632" t="inlineStr">
        <is>
          <t>Sep-2017</t>
        </is>
      </c>
      <c r="C11632" s="2" t="n">
        <v>43054</v>
      </c>
      <c r="D11632" t="inlineStr">
        <is>
          <t>NIL</t>
        </is>
      </c>
      <c r="E11632" t="n">
        <v>2703</v>
      </c>
    </row>
    <row r="11633">
      <c r="A11633" t="inlineStr">
        <is>
          <t>27BBBBB11633Z5</t>
        </is>
      </c>
      <c r="B11633" t="inlineStr">
        <is>
          <t>Nov-2018</t>
        </is>
      </c>
      <c r="C11633" s="2" t="n">
        <v>44529</v>
      </c>
      <c r="D11633" t="inlineStr">
        <is>
          <t>NIL</t>
        </is>
      </c>
      <c r="E11633" t="n">
        <v>1973</v>
      </c>
    </row>
    <row r="11634">
      <c r="A11634" t="inlineStr">
        <is>
          <t>27BBBBB11634Z5</t>
        </is>
      </c>
      <c r="B11634" t="inlineStr">
        <is>
          <t>Mar-2020</t>
        </is>
      </c>
      <c r="C11634" s="2" t="n">
        <v>43958</v>
      </c>
      <c r="D11634" t="inlineStr">
        <is>
          <t>NON-NIL</t>
        </is>
      </c>
      <c r="E11634" t="n">
        <v>2355</v>
      </c>
    </row>
    <row r="11635">
      <c r="A11635" t="inlineStr">
        <is>
          <t>27BBBBB11635Z5</t>
        </is>
      </c>
      <c r="B11635" t="inlineStr">
        <is>
          <t>Jun-2020</t>
        </is>
      </c>
      <c r="C11635" s="2" t="n">
        <v>43908</v>
      </c>
      <c r="D11635" t="inlineStr">
        <is>
          <t>NON-NIL</t>
        </is>
      </c>
      <c r="E11635" t="n">
        <v>271</v>
      </c>
    </row>
    <row r="11636">
      <c r="A11636" t="inlineStr">
        <is>
          <t>27BBBBB11636Z5</t>
        </is>
      </c>
      <c r="B11636" t="inlineStr">
        <is>
          <t>Jun-2020</t>
        </is>
      </c>
      <c r="C11636" s="2" t="n">
        <v>44894</v>
      </c>
      <c r="D11636" t="inlineStr">
        <is>
          <t>NON-NIL</t>
        </is>
      </c>
      <c r="E11636" t="n">
        <v>1492</v>
      </c>
    </row>
    <row r="11637">
      <c r="A11637" t="inlineStr">
        <is>
          <t>27BBBBB11637Z5</t>
        </is>
      </c>
      <c r="B11637" t="inlineStr">
        <is>
          <t>Aug-2018</t>
        </is>
      </c>
      <c r="C11637" s="2" t="n">
        <v>43855</v>
      </c>
      <c r="D11637" t="inlineStr">
        <is>
          <t>NIL</t>
        </is>
      </c>
      <c r="E11637" t="n">
        <v>2244</v>
      </c>
    </row>
    <row r="11638">
      <c r="A11638" t="inlineStr">
        <is>
          <t>27BBBBB11638Z5</t>
        </is>
      </c>
      <c r="B11638" t="inlineStr">
        <is>
          <t>Jun-2018</t>
        </is>
      </c>
      <c r="C11638" s="2" t="n">
        <v>43798</v>
      </c>
      <c r="D11638" t="inlineStr">
        <is>
          <t>NON-NIL</t>
        </is>
      </c>
      <c r="E11638" t="n">
        <v>2727</v>
      </c>
    </row>
    <row r="11639">
      <c r="A11639" t="inlineStr">
        <is>
          <t>27BBBBB11639Z5</t>
        </is>
      </c>
      <c r="B11639" t="inlineStr">
        <is>
          <t>Nov-2018</t>
        </is>
      </c>
      <c r="C11639" s="2" t="n">
        <v>44037</v>
      </c>
      <c r="D11639" t="inlineStr">
        <is>
          <t>NIL</t>
        </is>
      </c>
      <c r="E11639" t="n">
        <v>2980</v>
      </c>
    </row>
    <row r="11640">
      <c r="A11640" t="inlineStr">
        <is>
          <t>27BBBBB11640Z5</t>
        </is>
      </c>
      <c r="B11640" t="inlineStr">
        <is>
          <t>Jul-2017</t>
        </is>
      </c>
      <c r="C11640" s="2" t="n">
        <v>43158</v>
      </c>
      <c r="D11640" t="inlineStr">
        <is>
          <t>NIL</t>
        </is>
      </c>
      <c r="E11640" t="n">
        <v>1331</v>
      </c>
    </row>
    <row r="11641">
      <c r="A11641" t="inlineStr">
        <is>
          <t>27BBBBB11641Z5</t>
        </is>
      </c>
      <c r="B11641" t="inlineStr">
        <is>
          <t>Jan-2021</t>
        </is>
      </c>
      <c r="C11641" s="2" t="n">
        <v>44457</v>
      </c>
      <c r="D11641" t="inlineStr">
        <is>
          <t>NIL</t>
        </is>
      </c>
      <c r="E11641" t="n">
        <v>1400</v>
      </c>
    </row>
    <row r="11642">
      <c r="A11642" t="inlineStr">
        <is>
          <t>27BBBBB11642Z5</t>
        </is>
      </c>
      <c r="B11642" t="inlineStr">
        <is>
          <t>Jan-2018</t>
        </is>
      </c>
      <c r="C11642" s="2" t="n">
        <v>43299</v>
      </c>
      <c r="D11642" t="inlineStr">
        <is>
          <t>NIL</t>
        </is>
      </c>
      <c r="E11642" t="n">
        <v>1457</v>
      </c>
    </row>
    <row r="11643">
      <c r="A11643" t="inlineStr">
        <is>
          <t>27BBBBB11643Z5</t>
        </is>
      </c>
      <c r="B11643" t="inlineStr">
        <is>
          <t>Jul-2020</t>
        </is>
      </c>
      <c r="C11643" s="2" t="n">
        <v>44615</v>
      </c>
      <c r="D11643" t="inlineStr">
        <is>
          <t>NIL</t>
        </is>
      </c>
      <c r="E11643" t="n">
        <v>1703</v>
      </c>
    </row>
    <row r="11644">
      <c r="A11644" t="inlineStr">
        <is>
          <t>27BBBBB11644Z5</t>
        </is>
      </c>
      <c r="B11644" t="inlineStr">
        <is>
          <t>Jul-2017</t>
        </is>
      </c>
      <c r="C11644" s="2" t="n">
        <v>44544</v>
      </c>
      <c r="D11644" t="inlineStr">
        <is>
          <t>NON-NIL</t>
        </is>
      </c>
      <c r="E11644" t="n">
        <v>1</v>
      </c>
    </row>
    <row r="11645">
      <c r="A11645" t="inlineStr">
        <is>
          <t>27BBBBB11645Z5</t>
        </is>
      </c>
      <c r="B11645" t="inlineStr">
        <is>
          <t>Jul-2020</t>
        </is>
      </c>
      <c r="C11645" s="2" t="n">
        <v>44096</v>
      </c>
      <c r="D11645" t="inlineStr">
        <is>
          <t>NON-NIL</t>
        </is>
      </c>
      <c r="E11645" t="n">
        <v>1425</v>
      </c>
    </row>
    <row r="11646">
      <c r="A11646" t="inlineStr">
        <is>
          <t>27BBBBB11646Z5</t>
        </is>
      </c>
      <c r="B11646" t="inlineStr">
        <is>
          <t>Jul-2020</t>
        </is>
      </c>
      <c r="C11646" s="2" t="n">
        <v>44005</v>
      </c>
      <c r="D11646" t="inlineStr">
        <is>
          <t>NON-NIL</t>
        </is>
      </c>
      <c r="E11646" t="n">
        <v>347</v>
      </c>
    </row>
    <row r="11647">
      <c r="A11647" t="inlineStr">
        <is>
          <t>27BBBBB11647Z5</t>
        </is>
      </c>
      <c r="B11647" t="inlineStr">
        <is>
          <t>Mar-2020</t>
        </is>
      </c>
      <c r="C11647" s="2" t="n">
        <v>44439</v>
      </c>
      <c r="D11647" t="inlineStr">
        <is>
          <t>NON-NIL</t>
        </is>
      </c>
      <c r="E11647" t="n">
        <v>1302</v>
      </c>
    </row>
    <row r="11648">
      <c r="A11648" t="inlineStr">
        <is>
          <t>27BBBBB11648Z5</t>
        </is>
      </c>
      <c r="B11648" t="inlineStr">
        <is>
          <t>Nov-2017</t>
        </is>
      </c>
      <c r="C11648" s="2" t="n">
        <v>43945</v>
      </c>
      <c r="D11648" t="inlineStr">
        <is>
          <t>NIL</t>
        </is>
      </c>
      <c r="E11648" t="n">
        <v>319</v>
      </c>
    </row>
    <row r="11649">
      <c r="A11649" t="inlineStr">
        <is>
          <t>27BBBBB11649Z5</t>
        </is>
      </c>
      <c r="B11649" t="inlineStr">
        <is>
          <t>May-2018</t>
        </is>
      </c>
      <c r="C11649" s="2" t="n">
        <v>43385</v>
      </c>
      <c r="D11649" t="inlineStr">
        <is>
          <t>NIL</t>
        </is>
      </c>
      <c r="E11649" t="n">
        <v>2057</v>
      </c>
    </row>
    <row r="11650">
      <c r="A11650" t="inlineStr">
        <is>
          <t>27BBBBB11650Z5</t>
        </is>
      </c>
      <c r="B11650" t="inlineStr">
        <is>
          <t>Apr-2020</t>
        </is>
      </c>
      <c r="C11650" s="2" t="n">
        <v>44673</v>
      </c>
      <c r="D11650" t="inlineStr">
        <is>
          <t>NIL</t>
        </is>
      </c>
      <c r="E11650" t="n">
        <v>428</v>
      </c>
    </row>
    <row r="11651">
      <c r="A11651" t="inlineStr">
        <is>
          <t>27BBBBB11651Z5</t>
        </is>
      </c>
      <c r="B11651" t="inlineStr">
        <is>
          <t>Jun-2020</t>
        </is>
      </c>
      <c r="C11651" s="2" t="n">
        <v>43897</v>
      </c>
      <c r="D11651" t="inlineStr">
        <is>
          <t>NON-NIL</t>
        </is>
      </c>
      <c r="E11651" t="n">
        <v>711</v>
      </c>
    </row>
    <row r="11652">
      <c r="A11652" t="inlineStr">
        <is>
          <t>27BBBBB11652Z5</t>
        </is>
      </c>
      <c r="B11652" t="inlineStr">
        <is>
          <t>Dec-2018</t>
        </is>
      </c>
      <c r="C11652" s="2" t="n">
        <v>43173</v>
      </c>
      <c r="D11652" t="inlineStr">
        <is>
          <t>NIL</t>
        </is>
      </c>
      <c r="E11652" t="n">
        <v>1800</v>
      </c>
    </row>
    <row r="11653">
      <c r="A11653" t="inlineStr">
        <is>
          <t>27BBBBB11653Z5</t>
        </is>
      </c>
      <c r="B11653" t="inlineStr">
        <is>
          <t>Jun-2020</t>
        </is>
      </c>
      <c r="C11653" s="2" t="n">
        <v>44492</v>
      </c>
      <c r="D11653" t="inlineStr">
        <is>
          <t>NIL</t>
        </is>
      </c>
      <c r="E11653" t="n">
        <v>1130</v>
      </c>
    </row>
    <row r="11654">
      <c r="A11654" t="inlineStr">
        <is>
          <t>27BBBBB11654Z5</t>
        </is>
      </c>
      <c r="B11654" t="inlineStr">
        <is>
          <t>Dec-2022</t>
        </is>
      </c>
      <c r="C11654" s="2" t="n">
        <v>45785</v>
      </c>
      <c r="D11654" t="inlineStr">
        <is>
          <t>NON-NIL</t>
        </is>
      </c>
      <c r="E11654" t="n">
        <v>2121</v>
      </c>
    </row>
    <row r="11655">
      <c r="A11655" t="inlineStr">
        <is>
          <t>27BBBBB11655Z5</t>
        </is>
      </c>
      <c r="B11655" t="inlineStr">
        <is>
          <t>Jun-2020</t>
        </is>
      </c>
      <c r="C11655" s="2" t="n">
        <v>44820</v>
      </c>
      <c r="D11655" t="inlineStr">
        <is>
          <t>NON-NIL</t>
        </is>
      </c>
      <c r="E11655" t="n">
        <v>1701</v>
      </c>
    </row>
    <row r="11656">
      <c r="A11656" t="inlineStr">
        <is>
          <t>27BBBBB11656Z5</t>
        </is>
      </c>
      <c r="B11656" t="inlineStr">
        <is>
          <t>Sep-2018</t>
        </is>
      </c>
      <c r="C11656" s="2" t="n">
        <v>43549</v>
      </c>
      <c r="D11656" t="inlineStr">
        <is>
          <t>NON-NIL</t>
        </is>
      </c>
      <c r="E11656" t="n">
        <v>2615</v>
      </c>
    </row>
    <row r="11657">
      <c r="A11657" t="inlineStr">
        <is>
          <t>27BBBBB11657Z5</t>
        </is>
      </c>
      <c r="B11657" t="inlineStr">
        <is>
          <t>Jan-2018</t>
        </is>
      </c>
      <c r="C11657" s="2" t="n">
        <v>43742</v>
      </c>
      <c r="D11657" t="inlineStr">
        <is>
          <t>NIL</t>
        </is>
      </c>
      <c r="E11657" t="n">
        <v>643</v>
      </c>
    </row>
    <row r="11658">
      <c r="A11658" t="inlineStr">
        <is>
          <t>27BBBBB11658Z5</t>
        </is>
      </c>
      <c r="B11658" t="inlineStr">
        <is>
          <t>Dec-2017</t>
        </is>
      </c>
      <c r="C11658" s="2" t="n">
        <v>43575</v>
      </c>
      <c r="D11658" t="inlineStr">
        <is>
          <t>NIL</t>
        </is>
      </c>
      <c r="E11658" t="n">
        <v>919</v>
      </c>
    </row>
    <row r="11659">
      <c r="A11659" t="inlineStr">
        <is>
          <t>27BBBBB11659Z5</t>
        </is>
      </c>
      <c r="B11659" t="inlineStr">
        <is>
          <t>Nov-2017</t>
        </is>
      </c>
      <c r="C11659" s="2" t="n">
        <v>44331</v>
      </c>
      <c r="D11659" t="inlineStr">
        <is>
          <t>NON-NIL</t>
        </is>
      </c>
      <c r="E11659" t="n">
        <v>1624</v>
      </c>
    </row>
    <row r="11660">
      <c r="A11660" t="inlineStr">
        <is>
          <t>27BBBBB11660Z5</t>
        </is>
      </c>
      <c r="B11660" t="inlineStr">
        <is>
          <t>Sep-2018</t>
        </is>
      </c>
      <c r="C11660" s="2" t="n">
        <v>43895</v>
      </c>
      <c r="D11660" t="inlineStr">
        <is>
          <t>NIL</t>
        </is>
      </c>
      <c r="E11660" t="n">
        <v>2047</v>
      </c>
    </row>
    <row r="11661">
      <c r="A11661" t="inlineStr">
        <is>
          <t>27BBBBB11661Z5</t>
        </is>
      </c>
      <c r="B11661" t="inlineStr">
        <is>
          <t>May-2020</t>
        </is>
      </c>
      <c r="C11661" s="2" t="n">
        <v>44291</v>
      </c>
      <c r="D11661" t="inlineStr">
        <is>
          <t>NIL</t>
        </is>
      </c>
      <c r="E11661" t="n">
        <v>515</v>
      </c>
    </row>
    <row r="11662">
      <c r="A11662" t="inlineStr">
        <is>
          <t>27BBBBB11662Z5</t>
        </is>
      </c>
      <c r="B11662" t="inlineStr">
        <is>
          <t>Mar-2023</t>
        </is>
      </c>
      <c r="C11662" s="2" t="n">
        <v>45094</v>
      </c>
      <c r="D11662" t="inlineStr">
        <is>
          <t>NON-NIL</t>
        </is>
      </c>
      <c r="E11662" t="n">
        <v>1952</v>
      </c>
    </row>
    <row r="11663">
      <c r="A11663" t="inlineStr">
        <is>
          <t>27BBBBB11663Z5</t>
        </is>
      </c>
      <c r="B11663" t="inlineStr">
        <is>
          <t>Sep-2017</t>
        </is>
      </c>
      <c r="C11663" s="2" t="n">
        <v>43079</v>
      </c>
      <c r="D11663" t="inlineStr">
        <is>
          <t>NON-NIL</t>
        </is>
      </c>
      <c r="E11663" t="n">
        <v>320</v>
      </c>
    </row>
    <row r="11664">
      <c r="A11664" t="inlineStr">
        <is>
          <t>27BBBBB11664Z5</t>
        </is>
      </c>
      <c r="B11664" t="inlineStr">
        <is>
          <t>Nov-2018</t>
        </is>
      </c>
      <c r="C11664" s="2" t="n">
        <v>43908</v>
      </c>
      <c r="D11664" t="inlineStr">
        <is>
          <t>NIL</t>
        </is>
      </c>
      <c r="E11664" t="n">
        <v>1210</v>
      </c>
    </row>
    <row r="11665">
      <c r="A11665" t="inlineStr">
        <is>
          <t>27BBBBB11665Z5</t>
        </is>
      </c>
      <c r="B11665" t="inlineStr">
        <is>
          <t>Jan-2021</t>
        </is>
      </c>
      <c r="C11665" s="2" t="n">
        <v>45492</v>
      </c>
      <c r="D11665" t="inlineStr">
        <is>
          <t>NON-NIL</t>
        </is>
      </c>
      <c r="E11665" t="n">
        <v>1908</v>
      </c>
    </row>
    <row r="11666">
      <c r="A11666" t="inlineStr">
        <is>
          <t>27BBBBB11666Z5</t>
        </is>
      </c>
      <c r="B11666" t="inlineStr">
        <is>
          <t>Nov-2018</t>
        </is>
      </c>
      <c r="C11666" s="2" t="n">
        <v>43545</v>
      </c>
      <c r="D11666" t="inlineStr">
        <is>
          <t>NIL</t>
        </is>
      </c>
      <c r="E11666" t="n">
        <v>1557</v>
      </c>
    </row>
    <row r="11667">
      <c r="A11667" t="inlineStr">
        <is>
          <t>27BBBBB11667Z5</t>
        </is>
      </c>
      <c r="B11667" t="inlineStr">
        <is>
          <t>May-2018</t>
        </is>
      </c>
      <c r="C11667" s="2" t="n">
        <v>44105</v>
      </c>
      <c r="D11667" t="inlineStr">
        <is>
          <t>NON-NIL</t>
        </is>
      </c>
      <c r="E11667" t="n">
        <v>2464</v>
      </c>
    </row>
    <row r="11668">
      <c r="A11668" t="inlineStr">
        <is>
          <t>27BBBBB11668Z5</t>
        </is>
      </c>
      <c r="B11668" t="inlineStr">
        <is>
          <t>Nov-2018</t>
        </is>
      </c>
      <c r="C11668" s="2" t="n">
        <v>44522</v>
      </c>
      <c r="D11668" t="inlineStr">
        <is>
          <t>NON-NIL</t>
        </is>
      </c>
      <c r="E11668" t="n">
        <v>929</v>
      </c>
    </row>
    <row r="11669">
      <c r="A11669" t="inlineStr">
        <is>
          <t>27BBBBB11669Z5</t>
        </is>
      </c>
      <c r="B11669" t="inlineStr">
        <is>
          <t>Jul-2018</t>
        </is>
      </c>
      <c r="C11669" s="2" t="n">
        <v>44503</v>
      </c>
      <c r="D11669" t="inlineStr">
        <is>
          <t>NIL</t>
        </is>
      </c>
      <c r="E11669" t="n">
        <v>140</v>
      </c>
    </row>
    <row r="11670">
      <c r="A11670" t="inlineStr">
        <is>
          <t>27BBBBB11670Z5</t>
        </is>
      </c>
      <c r="B11670" t="inlineStr">
        <is>
          <t>Sep-2017</t>
        </is>
      </c>
      <c r="C11670" s="2" t="n">
        <v>43895</v>
      </c>
      <c r="D11670" t="inlineStr">
        <is>
          <t>NIL</t>
        </is>
      </c>
      <c r="E11670" t="n">
        <v>2756</v>
      </c>
    </row>
    <row r="11671">
      <c r="A11671" t="inlineStr">
        <is>
          <t>27BBBBB11671Z5</t>
        </is>
      </c>
      <c r="B11671" t="inlineStr">
        <is>
          <t>Oct-2017</t>
        </is>
      </c>
      <c r="C11671" s="2" t="n">
        <v>43069</v>
      </c>
      <c r="D11671" t="inlineStr">
        <is>
          <t>NON-NIL</t>
        </is>
      </c>
      <c r="E11671" t="n">
        <v>763</v>
      </c>
    </row>
    <row r="11672">
      <c r="A11672" t="inlineStr">
        <is>
          <t>27BBBBB11672Z5</t>
        </is>
      </c>
      <c r="B11672" t="inlineStr">
        <is>
          <t>Feb-2018</t>
        </is>
      </c>
      <c r="C11672" s="2" t="n">
        <v>43034</v>
      </c>
      <c r="D11672" t="inlineStr">
        <is>
          <t>NIL</t>
        </is>
      </c>
      <c r="E11672" t="n">
        <v>2280</v>
      </c>
    </row>
    <row r="11673">
      <c r="A11673" t="inlineStr">
        <is>
          <t>27BBBBB11673Z5</t>
        </is>
      </c>
      <c r="B11673" t="inlineStr">
        <is>
          <t>Feb-2018</t>
        </is>
      </c>
      <c r="C11673" s="2" t="n">
        <v>44395</v>
      </c>
      <c r="D11673" t="inlineStr">
        <is>
          <t>NON-NIL</t>
        </is>
      </c>
      <c r="E11673" t="n">
        <v>595</v>
      </c>
    </row>
    <row r="11674">
      <c r="A11674" t="inlineStr">
        <is>
          <t>27BBBBB11674Z5</t>
        </is>
      </c>
      <c r="B11674" t="inlineStr">
        <is>
          <t>Dec-2024</t>
        </is>
      </c>
      <c r="C11674" s="2" t="n">
        <v>45022</v>
      </c>
      <c r="D11674" t="inlineStr">
        <is>
          <t>NIL</t>
        </is>
      </c>
      <c r="E11674" t="n">
        <v>2685</v>
      </c>
    </row>
    <row r="11675">
      <c r="A11675" t="inlineStr">
        <is>
          <t>27BBBBB11675Z5</t>
        </is>
      </c>
      <c r="B11675" t="inlineStr">
        <is>
          <t>Dec-2024</t>
        </is>
      </c>
      <c r="C11675" s="2" t="n">
        <v>44423</v>
      </c>
      <c r="D11675" t="inlineStr">
        <is>
          <t>NON-NIL</t>
        </is>
      </c>
      <c r="E11675" t="n">
        <v>1636</v>
      </c>
    </row>
    <row r="11676">
      <c r="A11676" t="inlineStr">
        <is>
          <t>27BBBBB11676Z5</t>
        </is>
      </c>
      <c r="B11676" t="inlineStr">
        <is>
          <t>Dec-2022</t>
        </is>
      </c>
      <c r="C11676" s="2" t="n">
        <v>44270</v>
      </c>
      <c r="D11676" t="inlineStr">
        <is>
          <t>NIL</t>
        </is>
      </c>
      <c r="E11676" t="n">
        <v>1855</v>
      </c>
    </row>
    <row r="11677">
      <c r="A11677" t="inlineStr">
        <is>
          <t>27BBBBB11677Z5</t>
        </is>
      </c>
      <c r="B11677" t="inlineStr">
        <is>
          <t>Nov-2018</t>
        </is>
      </c>
      <c r="C11677" s="2" t="n">
        <v>44174</v>
      </c>
      <c r="D11677" t="inlineStr">
        <is>
          <t>NIL</t>
        </is>
      </c>
      <c r="E11677" t="n">
        <v>743</v>
      </c>
    </row>
    <row r="11678">
      <c r="A11678" t="inlineStr">
        <is>
          <t>27BBBBB11678Z5</t>
        </is>
      </c>
      <c r="B11678" t="inlineStr">
        <is>
          <t>Feb-2018</t>
        </is>
      </c>
      <c r="C11678" s="2" t="n">
        <v>43744</v>
      </c>
      <c r="D11678" t="inlineStr">
        <is>
          <t>NON-NIL</t>
        </is>
      </c>
      <c r="E11678" t="n">
        <v>992</v>
      </c>
    </row>
    <row r="11679">
      <c r="A11679" t="inlineStr">
        <is>
          <t>27BBBBB11679Z5</t>
        </is>
      </c>
      <c r="B11679" t="inlineStr">
        <is>
          <t>May-2020</t>
        </is>
      </c>
      <c r="C11679" s="2" t="n">
        <v>44700</v>
      </c>
      <c r="D11679" t="inlineStr">
        <is>
          <t>NIL</t>
        </is>
      </c>
      <c r="E11679" t="n">
        <v>1783</v>
      </c>
    </row>
    <row r="11680">
      <c r="A11680" t="inlineStr">
        <is>
          <t>27BBBBB11680Z5</t>
        </is>
      </c>
      <c r="B11680" t="inlineStr">
        <is>
          <t>Mar-2020</t>
        </is>
      </c>
      <c r="C11680" s="2" t="n">
        <v>44706</v>
      </c>
      <c r="D11680" t="inlineStr">
        <is>
          <t>NIL</t>
        </is>
      </c>
      <c r="E11680" t="n">
        <v>2962</v>
      </c>
    </row>
    <row r="11681">
      <c r="A11681" t="inlineStr">
        <is>
          <t>27BBBBB11681Z5</t>
        </is>
      </c>
      <c r="B11681" t="inlineStr">
        <is>
          <t>Sep-2018</t>
        </is>
      </c>
      <c r="C11681" s="2" t="n">
        <v>44045</v>
      </c>
      <c r="D11681" t="inlineStr">
        <is>
          <t>NON-NIL</t>
        </is>
      </c>
      <c r="E11681" t="n">
        <v>148</v>
      </c>
    </row>
    <row r="11682">
      <c r="A11682" t="inlineStr">
        <is>
          <t>27BBBBB11682Z5</t>
        </is>
      </c>
      <c r="B11682" t="inlineStr">
        <is>
          <t>Jul-2017</t>
        </is>
      </c>
      <c r="C11682" s="2" t="n">
        <v>43125</v>
      </c>
      <c r="D11682" t="inlineStr">
        <is>
          <t>NON-NIL</t>
        </is>
      </c>
      <c r="E11682" t="n">
        <v>2994</v>
      </c>
    </row>
    <row r="11683">
      <c r="A11683" t="inlineStr">
        <is>
          <t>27BBBBB11683Z5</t>
        </is>
      </c>
      <c r="B11683" t="inlineStr">
        <is>
          <t>Mar-2018</t>
        </is>
      </c>
      <c r="C11683" s="2" t="n">
        <v>43598</v>
      </c>
      <c r="D11683" t="inlineStr">
        <is>
          <t>NIL</t>
        </is>
      </c>
      <c r="E11683" t="n">
        <v>2203</v>
      </c>
    </row>
    <row r="11684">
      <c r="A11684" t="inlineStr">
        <is>
          <t>27BBBBB11684Z5</t>
        </is>
      </c>
      <c r="B11684" t="inlineStr">
        <is>
          <t>Jul-2020</t>
        </is>
      </c>
      <c r="C11684" s="2" t="n">
        <v>44918</v>
      </c>
      <c r="D11684" t="inlineStr">
        <is>
          <t>NIL</t>
        </is>
      </c>
      <c r="E11684" t="n">
        <v>540</v>
      </c>
    </row>
    <row r="11685">
      <c r="A11685" t="inlineStr">
        <is>
          <t>27BBBBB11685Z5</t>
        </is>
      </c>
      <c r="B11685" t="inlineStr">
        <is>
          <t>Nov-2017</t>
        </is>
      </c>
      <c r="C11685" s="2" t="n">
        <v>43107</v>
      </c>
      <c r="D11685" t="inlineStr">
        <is>
          <t>NON-NIL</t>
        </is>
      </c>
      <c r="E11685" t="n">
        <v>1265</v>
      </c>
    </row>
    <row r="11686">
      <c r="A11686" t="inlineStr">
        <is>
          <t>27BBBBB11686Z5</t>
        </is>
      </c>
      <c r="B11686" t="inlineStr">
        <is>
          <t>Jul-2017</t>
        </is>
      </c>
      <c r="C11686" s="2" t="n">
        <v>43232</v>
      </c>
      <c r="D11686" t="inlineStr">
        <is>
          <t>NIL</t>
        </is>
      </c>
      <c r="E11686" t="n">
        <v>999</v>
      </c>
    </row>
    <row r="11687">
      <c r="A11687" t="inlineStr">
        <is>
          <t>27BBBBB11687Z5</t>
        </is>
      </c>
      <c r="B11687" t="inlineStr">
        <is>
          <t>Sep-2017</t>
        </is>
      </c>
      <c r="C11687" s="2" t="n">
        <v>43742</v>
      </c>
      <c r="D11687" t="inlineStr">
        <is>
          <t>NON-NIL</t>
        </is>
      </c>
      <c r="E11687" t="n">
        <v>1015</v>
      </c>
    </row>
    <row r="11688">
      <c r="A11688" t="inlineStr">
        <is>
          <t>27BBBBB11688Z5</t>
        </is>
      </c>
      <c r="B11688" t="inlineStr">
        <is>
          <t>Jul-2017</t>
        </is>
      </c>
      <c r="C11688" s="2" t="n">
        <v>43368</v>
      </c>
      <c r="D11688" t="inlineStr">
        <is>
          <t>NON-NIL</t>
        </is>
      </c>
      <c r="E11688" t="n">
        <v>2844</v>
      </c>
    </row>
    <row r="11689">
      <c r="A11689" t="inlineStr">
        <is>
          <t>27BBBBB11689Z5</t>
        </is>
      </c>
      <c r="B11689" t="inlineStr">
        <is>
          <t>Mar-2020</t>
        </is>
      </c>
      <c r="C11689" s="2" t="n">
        <v>43952</v>
      </c>
      <c r="D11689" t="inlineStr">
        <is>
          <t>NIL</t>
        </is>
      </c>
      <c r="E11689" t="n">
        <v>2254</v>
      </c>
    </row>
    <row r="11690">
      <c r="A11690" t="inlineStr">
        <is>
          <t>27BBBBB11690Z5</t>
        </is>
      </c>
      <c r="B11690" t="inlineStr">
        <is>
          <t>Sep-2017</t>
        </is>
      </c>
      <c r="C11690" s="2" t="n">
        <v>43968</v>
      </c>
      <c r="D11690" t="inlineStr">
        <is>
          <t>NIL</t>
        </is>
      </c>
      <c r="E11690" t="n">
        <v>64</v>
      </c>
    </row>
    <row r="11691">
      <c r="A11691" t="inlineStr">
        <is>
          <t>27BBBBB11691Z5</t>
        </is>
      </c>
      <c r="B11691" t="inlineStr">
        <is>
          <t>Dec-2017</t>
        </is>
      </c>
      <c r="C11691" s="2" t="n">
        <v>43171</v>
      </c>
      <c r="D11691" t="inlineStr">
        <is>
          <t>NIL</t>
        </is>
      </c>
      <c r="E11691" t="n">
        <v>1431</v>
      </c>
    </row>
    <row r="11692">
      <c r="A11692" t="inlineStr">
        <is>
          <t>27BBBBB11692Z5</t>
        </is>
      </c>
      <c r="B11692" t="inlineStr">
        <is>
          <t>Aug-2017</t>
        </is>
      </c>
      <c r="C11692" s="2" t="n">
        <v>43290</v>
      </c>
      <c r="D11692" t="inlineStr">
        <is>
          <t>NON-NIL</t>
        </is>
      </c>
      <c r="E11692" t="n">
        <v>1016</v>
      </c>
    </row>
    <row r="11693">
      <c r="A11693" t="inlineStr">
        <is>
          <t>27BBBBB11693Z5</t>
        </is>
      </c>
      <c r="B11693" t="inlineStr">
        <is>
          <t>Dec-2018</t>
        </is>
      </c>
      <c r="C11693" s="2" t="n">
        <v>43060</v>
      </c>
      <c r="D11693" t="inlineStr">
        <is>
          <t>NIL</t>
        </is>
      </c>
      <c r="E11693" t="n">
        <v>2799</v>
      </c>
    </row>
    <row r="11694">
      <c r="A11694" t="inlineStr">
        <is>
          <t>27BBBBB11694Z5</t>
        </is>
      </c>
      <c r="B11694" t="inlineStr">
        <is>
          <t>Jul-2020</t>
        </is>
      </c>
      <c r="C11694" s="2" t="n">
        <v>43849</v>
      </c>
      <c r="D11694" t="inlineStr">
        <is>
          <t>NON-NIL</t>
        </is>
      </c>
      <c r="E11694" t="n">
        <v>1170</v>
      </c>
    </row>
    <row r="11695">
      <c r="A11695" t="inlineStr">
        <is>
          <t>27BBBBB11695Z5</t>
        </is>
      </c>
      <c r="B11695" t="inlineStr">
        <is>
          <t>Aug-2018</t>
        </is>
      </c>
      <c r="C11695" s="2" t="n">
        <v>44198</v>
      </c>
      <c r="D11695" t="inlineStr">
        <is>
          <t>NON-NIL</t>
        </is>
      </c>
      <c r="E11695" t="n">
        <v>2467</v>
      </c>
    </row>
    <row r="11696">
      <c r="A11696" t="inlineStr">
        <is>
          <t>27BBBBB11696Z5</t>
        </is>
      </c>
      <c r="B11696" t="inlineStr">
        <is>
          <t>Jun-2018</t>
        </is>
      </c>
      <c r="C11696" s="2" t="n">
        <v>44214</v>
      </c>
      <c r="D11696" t="inlineStr">
        <is>
          <t>NON-NIL</t>
        </is>
      </c>
      <c r="E11696" t="n">
        <v>2530</v>
      </c>
    </row>
    <row r="11697">
      <c r="A11697" t="inlineStr">
        <is>
          <t>27BBBBB11697Z5</t>
        </is>
      </c>
      <c r="B11697" t="inlineStr">
        <is>
          <t>Feb-2018</t>
        </is>
      </c>
      <c r="C11697" s="2" t="n">
        <v>44335</v>
      </c>
      <c r="D11697" t="inlineStr">
        <is>
          <t>NON-NIL</t>
        </is>
      </c>
      <c r="E11697" t="n">
        <v>2852</v>
      </c>
    </row>
    <row r="11698">
      <c r="A11698" t="inlineStr">
        <is>
          <t>27BBBBB11698Z5</t>
        </is>
      </c>
      <c r="B11698" t="inlineStr">
        <is>
          <t>Jun-2020</t>
        </is>
      </c>
      <c r="C11698" s="2" t="n">
        <v>44641</v>
      </c>
      <c r="D11698" t="inlineStr">
        <is>
          <t>NON-NIL</t>
        </is>
      </c>
      <c r="E11698" t="n">
        <v>1065</v>
      </c>
    </row>
    <row r="11699">
      <c r="A11699" t="inlineStr">
        <is>
          <t>27BBBBB11699Z5</t>
        </is>
      </c>
      <c r="B11699" t="inlineStr">
        <is>
          <t>Jun-2018</t>
        </is>
      </c>
      <c r="C11699" s="2" t="n">
        <v>43578</v>
      </c>
      <c r="D11699" t="inlineStr">
        <is>
          <t>NIL</t>
        </is>
      </c>
      <c r="E11699" t="n">
        <v>276</v>
      </c>
    </row>
    <row r="11700">
      <c r="A11700" t="inlineStr">
        <is>
          <t>27BBBBB11700Z5</t>
        </is>
      </c>
      <c r="B11700" t="inlineStr">
        <is>
          <t>Mar-2023</t>
        </is>
      </c>
      <c r="C11700" s="2" t="n">
        <v>45636</v>
      </c>
      <c r="D11700" t="inlineStr">
        <is>
          <t>NIL</t>
        </is>
      </c>
      <c r="E11700" t="n">
        <v>2240</v>
      </c>
    </row>
    <row r="11701">
      <c r="A11701" t="inlineStr">
        <is>
          <t>27BBBBB11701Z5</t>
        </is>
      </c>
      <c r="B11701" t="inlineStr">
        <is>
          <t>Jul-2020</t>
        </is>
      </c>
      <c r="C11701" s="2" t="n">
        <v>44474</v>
      </c>
      <c r="D11701" t="inlineStr">
        <is>
          <t>NON-NIL</t>
        </is>
      </c>
      <c r="E11701" t="n">
        <v>1210</v>
      </c>
    </row>
    <row r="11702">
      <c r="A11702" t="inlineStr">
        <is>
          <t>27BBBBB11702Z5</t>
        </is>
      </c>
      <c r="B11702" t="inlineStr">
        <is>
          <t>Mar-2023</t>
        </is>
      </c>
      <c r="C11702" s="2" t="n">
        <v>44553</v>
      </c>
      <c r="D11702" t="inlineStr">
        <is>
          <t>NON-NIL</t>
        </is>
      </c>
      <c r="E11702" t="n">
        <v>966</v>
      </c>
    </row>
    <row r="11703">
      <c r="A11703" t="inlineStr">
        <is>
          <t>27BBBBB11703Z5</t>
        </is>
      </c>
      <c r="B11703" t="inlineStr">
        <is>
          <t>Apr-2018</t>
        </is>
      </c>
      <c r="C11703" s="2" t="n">
        <v>44027</v>
      </c>
      <c r="D11703" t="inlineStr">
        <is>
          <t>NON-NIL</t>
        </is>
      </c>
      <c r="E11703" t="n">
        <v>258</v>
      </c>
    </row>
    <row r="11704">
      <c r="A11704" t="inlineStr">
        <is>
          <t>27BBBBB11704Z5</t>
        </is>
      </c>
      <c r="B11704" t="inlineStr">
        <is>
          <t>Nov-2018</t>
        </is>
      </c>
      <c r="C11704" s="2" t="n">
        <v>43372</v>
      </c>
      <c r="D11704" t="inlineStr">
        <is>
          <t>NIL</t>
        </is>
      </c>
      <c r="E11704" t="n">
        <v>2430</v>
      </c>
    </row>
    <row r="11705">
      <c r="A11705" t="inlineStr">
        <is>
          <t>27BBBBB11705Z5</t>
        </is>
      </c>
      <c r="B11705" t="inlineStr">
        <is>
          <t>May-2018</t>
        </is>
      </c>
      <c r="C11705" s="2" t="n">
        <v>44561</v>
      </c>
      <c r="D11705" t="inlineStr">
        <is>
          <t>NIL</t>
        </is>
      </c>
      <c r="E11705" t="n">
        <v>1610</v>
      </c>
    </row>
    <row r="11706">
      <c r="A11706" t="inlineStr">
        <is>
          <t>27BBBBB11706Z5</t>
        </is>
      </c>
      <c r="B11706" t="inlineStr">
        <is>
          <t>Jun-2020</t>
        </is>
      </c>
      <c r="C11706" s="2" t="n">
        <v>43883</v>
      </c>
      <c r="D11706" t="inlineStr">
        <is>
          <t>NIL</t>
        </is>
      </c>
      <c r="E11706" t="n">
        <v>195</v>
      </c>
    </row>
    <row r="11707">
      <c r="A11707" t="inlineStr">
        <is>
          <t>27BBBBB11707Z5</t>
        </is>
      </c>
      <c r="B11707" t="inlineStr">
        <is>
          <t>Apr-2020</t>
        </is>
      </c>
      <c r="C11707" s="2" t="n">
        <v>44857</v>
      </c>
      <c r="D11707" t="inlineStr">
        <is>
          <t>NON-NIL</t>
        </is>
      </c>
      <c r="E11707" t="n">
        <v>1335</v>
      </c>
    </row>
    <row r="11708">
      <c r="A11708" t="inlineStr">
        <is>
          <t>27BBBBB11708Z5</t>
        </is>
      </c>
      <c r="B11708" t="inlineStr">
        <is>
          <t>Dec-2017</t>
        </is>
      </c>
      <c r="C11708" s="2" t="n">
        <v>44342</v>
      </c>
      <c r="D11708" t="inlineStr">
        <is>
          <t>NON-NIL</t>
        </is>
      </c>
      <c r="E11708" t="n">
        <v>1697</v>
      </c>
    </row>
    <row r="11709">
      <c r="A11709" t="inlineStr">
        <is>
          <t>27BBBBB11709Z5</t>
        </is>
      </c>
      <c r="B11709" t="inlineStr">
        <is>
          <t>Sep-2017</t>
        </is>
      </c>
      <c r="C11709" s="2" t="n">
        <v>44154</v>
      </c>
      <c r="D11709" t="inlineStr">
        <is>
          <t>NIL</t>
        </is>
      </c>
      <c r="E11709" t="n">
        <v>711</v>
      </c>
    </row>
    <row r="11710">
      <c r="A11710" t="inlineStr">
        <is>
          <t>27BBBBB11710Z5</t>
        </is>
      </c>
      <c r="B11710" t="inlineStr">
        <is>
          <t>Mar-2018</t>
        </is>
      </c>
      <c r="C11710" s="2" t="n">
        <v>43234</v>
      </c>
      <c r="D11710" t="inlineStr">
        <is>
          <t>NON-NIL</t>
        </is>
      </c>
      <c r="E11710" t="n">
        <v>1092</v>
      </c>
    </row>
    <row r="11711">
      <c r="A11711" t="inlineStr">
        <is>
          <t>27BBBBB11711Z5</t>
        </is>
      </c>
      <c r="B11711" t="inlineStr">
        <is>
          <t>Jan-2018</t>
        </is>
      </c>
      <c r="C11711" s="2" t="n">
        <v>43478</v>
      </c>
      <c r="D11711" t="inlineStr">
        <is>
          <t>NIL</t>
        </is>
      </c>
      <c r="E11711" t="n">
        <v>2153</v>
      </c>
    </row>
    <row r="11712">
      <c r="A11712" t="inlineStr">
        <is>
          <t>27BBBBB11712Z5</t>
        </is>
      </c>
      <c r="B11712" t="inlineStr">
        <is>
          <t>Dec-2024</t>
        </is>
      </c>
      <c r="C11712" s="2" t="n">
        <v>44552</v>
      </c>
      <c r="D11712" t="inlineStr">
        <is>
          <t>NIL</t>
        </is>
      </c>
      <c r="E11712" t="n">
        <v>1096</v>
      </c>
    </row>
    <row r="11713">
      <c r="A11713" t="inlineStr">
        <is>
          <t>27BBBBB11713Z5</t>
        </is>
      </c>
      <c r="B11713" t="inlineStr">
        <is>
          <t>Jan-2018</t>
        </is>
      </c>
      <c r="C11713" s="2" t="n">
        <v>43581</v>
      </c>
      <c r="D11713" t="inlineStr">
        <is>
          <t>NIL</t>
        </is>
      </c>
      <c r="E11713" t="n">
        <v>1057</v>
      </c>
    </row>
    <row r="11714">
      <c r="A11714" t="inlineStr">
        <is>
          <t>27BBBBB11714Z5</t>
        </is>
      </c>
      <c r="B11714" t="inlineStr">
        <is>
          <t>Nov-2018</t>
        </is>
      </c>
      <c r="C11714" s="2" t="n">
        <v>43144</v>
      </c>
      <c r="D11714" t="inlineStr">
        <is>
          <t>NON-NIL</t>
        </is>
      </c>
      <c r="E11714" t="n">
        <v>2228</v>
      </c>
    </row>
    <row r="11715">
      <c r="A11715" t="inlineStr">
        <is>
          <t>27BBBBB11715Z5</t>
        </is>
      </c>
      <c r="B11715" t="inlineStr">
        <is>
          <t>Jun-2018</t>
        </is>
      </c>
      <c r="C11715" s="2" t="n">
        <v>43392</v>
      </c>
      <c r="D11715" t="inlineStr">
        <is>
          <t>NON-NIL</t>
        </is>
      </c>
      <c r="E11715" t="n">
        <v>2087</v>
      </c>
    </row>
    <row r="11716">
      <c r="A11716" t="inlineStr">
        <is>
          <t>27BBBBB11716Z5</t>
        </is>
      </c>
      <c r="B11716" t="inlineStr">
        <is>
          <t>Jan-2018</t>
        </is>
      </c>
      <c r="C11716" s="2" t="n">
        <v>43085</v>
      </c>
      <c r="D11716" t="inlineStr">
        <is>
          <t>NON-NIL</t>
        </is>
      </c>
      <c r="E11716" t="n">
        <v>2422</v>
      </c>
    </row>
    <row r="11717">
      <c r="A11717" t="inlineStr">
        <is>
          <t>27BBBBB11717Z5</t>
        </is>
      </c>
      <c r="B11717" t="inlineStr">
        <is>
          <t>Dec-2017</t>
        </is>
      </c>
      <c r="C11717" s="2" t="n">
        <v>43489</v>
      </c>
      <c r="D11717" t="inlineStr">
        <is>
          <t>NIL</t>
        </is>
      </c>
      <c r="E11717" t="n">
        <v>1143</v>
      </c>
    </row>
    <row r="11718">
      <c r="A11718" t="inlineStr">
        <is>
          <t>27BBBBB11718Z5</t>
        </is>
      </c>
      <c r="B11718" t="inlineStr">
        <is>
          <t>Sep-2018</t>
        </is>
      </c>
      <c r="C11718" s="2" t="n">
        <v>43373</v>
      </c>
      <c r="D11718" t="inlineStr">
        <is>
          <t>NON-NIL</t>
        </is>
      </c>
      <c r="E11718" t="n">
        <v>537</v>
      </c>
    </row>
    <row r="11719">
      <c r="A11719" t="inlineStr">
        <is>
          <t>27BBBBB11719Z5</t>
        </is>
      </c>
      <c r="B11719" t="inlineStr">
        <is>
          <t>May-2018</t>
        </is>
      </c>
      <c r="C11719" s="2" t="n">
        <v>44514</v>
      </c>
      <c r="D11719" t="inlineStr">
        <is>
          <t>NON-NIL</t>
        </is>
      </c>
      <c r="E11719" t="n">
        <v>1818</v>
      </c>
    </row>
    <row r="11720">
      <c r="A11720" t="inlineStr">
        <is>
          <t>27BBBBB11720Z5</t>
        </is>
      </c>
      <c r="B11720" t="inlineStr">
        <is>
          <t>Jan-2018</t>
        </is>
      </c>
      <c r="C11720" s="2" t="n">
        <v>42953</v>
      </c>
      <c r="D11720" t="inlineStr">
        <is>
          <t>NON-NIL</t>
        </is>
      </c>
      <c r="E11720" t="n">
        <v>952</v>
      </c>
    </row>
    <row r="11721">
      <c r="A11721" t="inlineStr">
        <is>
          <t>27BBBBB11721Z5</t>
        </is>
      </c>
      <c r="B11721" t="inlineStr">
        <is>
          <t>Dec-2018</t>
        </is>
      </c>
      <c r="C11721" s="2" t="n">
        <v>43682</v>
      </c>
      <c r="D11721" t="inlineStr">
        <is>
          <t>NON-NIL</t>
        </is>
      </c>
      <c r="E11721" t="n">
        <v>2607</v>
      </c>
    </row>
    <row r="11722">
      <c r="A11722" t="inlineStr">
        <is>
          <t>27BBBBB11722Z5</t>
        </is>
      </c>
      <c r="B11722" t="inlineStr">
        <is>
          <t>Jul-2020</t>
        </is>
      </c>
      <c r="C11722" s="2" t="n">
        <v>44612</v>
      </c>
      <c r="D11722" t="inlineStr">
        <is>
          <t>NIL</t>
        </is>
      </c>
      <c r="E11722" t="n">
        <v>2751</v>
      </c>
    </row>
    <row r="11723">
      <c r="A11723" t="inlineStr">
        <is>
          <t>27BBBBB11723Z5</t>
        </is>
      </c>
      <c r="B11723" t="inlineStr">
        <is>
          <t>Mar-2020</t>
        </is>
      </c>
      <c r="C11723" s="2" t="n">
        <v>43914</v>
      </c>
      <c r="D11723" t="inlineStr">
        <is>
          <t>NIL</t>
        </is>
      </c>
      <c r="E11723" t="n">
        <v>1584</v>
      </c>
    </row>
    <row r="11724">
      <c r="A11724" t="inlineStr">
        <is>
          <t>27BBBBB11724Z5</t>
        </is>
      </c>
      <c r="B11724" t="inlineStr">
        <is>
          <t>Feb-2018</t>
        </is>
      </c>
      <c r="C11724" s="2" t="n">
        <v>44211</v>
      </c>
      <c r="D11724" t="inlineStr">
        <is>
          <t>NON-NIL</t>
        </is>
      </c>
      <c r="E11724" t="n">
        <v>659</v>
      </c>
    </row>
    <row r="11725">
      <c r="A11725" t="inlineStr">
        <is>
          <t>27BBBBB11725Z5</t>
        </is>
      </c>
      <c r="B11725" t="inlineStr">
        <is>
          <t>Jul-2020</t>
        </is>
      </c>
      <c r="C11725" s="2" t="n">
        <v>44532</v>
      </c>
      <c r="D11725" t="inlineStr">
        <is>
          <t>NON-NIL</t>
        </is>
      </c>
      <c r="E11725" t="n">
        <v>2478</v>
      </c>
    </row>
    <row r="11726">
      <c r="A11726" t="inlineStr">
        <is>
          <t>27BBBBB11726Z5</t>
        </is>
      </c>
      <c r="B11726" t="inlineStr">
        <is>
          <t>Oct-2018</t>
        </is>
      </c>
      <c r="C11726" s="2" t="n">
        <v>43815</v>
      </c>
      <c r="D11726" t="inlineStr">
        <is>
          <t>NIL</t>
        </is>
      </c>
      <c r="E11726" t="n">
        <v>1542</v>
      </c>
    </row>
    <row r="11727">
      <c r="A11727" t="inlineStr">
        <is>
          <t>27BBBBB11727Z5</t>
        </is>
      </c>
      <c r="B11727" t="inlineStr">
        <is>
          <t>Dec-2017</t>
        </is>
      </c>
      <c r="C11727" s="2" t="n">
        <v>43619</v>
      </c>
      <c r="D11727" t="inlineStr">
        <is>
          <t>NON-NIL</t>
        </is>
      </c>
      <c r="E11727" t="n">
        <v>1702</v>
      </c>
    </row>
    <row r="11728">
      <c r="A11728" t="inlineStr">
        <is>
          <t>27BBBBB11728Z5</t>
        </is>
      </c>
      <c r="B11728" t="inlineStr">
        <is>
          <t>Nov-2017</t>
        </is>
      </c>
      <c r="C11728" s="2" t="n">
        <v>43187</v>
      </c>
      <c r="D11728" t="inlineStr">
        <is>
          <t>NON-NIL</t>
        </is>
      </c>
      <c r="E11728" t="n">
        <v>2054</v>
      </c>
    </row>
    <row r="11729">
      <c r="A11729" t="inlineStr">
        <is>
          <t>27BBBBB11729Z5</t>
        </is>
      </c>
      <c r="B11729" t="inlineStr">
        <is>
          <t>Dec-2017</t>
        </is>
      </c>
      <c r="C11729" s="2" t="n">
        <v>43488</v>
      </c>
      <c r="D11729" t="inlineStr">
        <is>
          <t>NIL</t>
        </is>
      </c>
      <c r="E11729" t="n">
        <v>2253</v>
      </c>
    </row>
    <row r="11730">
      <c r="A11730" t="inlineStr">
        <is>
          <t>27BBBBB11730Z5</t>
        </is>
      </c>
      <c r="B11730" t="inlineStr">
        <is>
          <t>Nov-2017</t>
        </is>
      </c>
      <c r="C11730" s="2" t="n">
        <v>43531</v>
      </c>
      <c r="D11730" t="inlineStr">
        <is>
          <t>NON-NIL</t>
        </is>
      </c>
      <c r="E11730" t="n">
        <v>1484</v>
      </c>
    </row>
    <row r="11731">
      <c r="A11731" t="inlineStr">
        <is>
          <t>27BBBBB11731Z5</t>
        </is>
      </c>
      <c r="B11731" t="inlineStr">
        <is>
          <t>Feb-2018</t>
        </is>
      </c>
      <c r="C11731" s="2" t="n">
        <v>44381</v>
      </c>
      <c r="D11731" t="inlineStr">
        <is>
          <t>NON-NIL</t>
        </is>
      </c>
      <c r="E11731" t="n">
        <v>703</v>
      </c>
    </row>
    <row r="11732">
      <c r="A11732" t="inlineStr">
        <is>
          <t>27BBBBB11732Z5</t>
        </is>
      </c>
      <c r="B11732" t="inlineStr">
        <is>
          <t>Mar-2018</t>
        </is>
      </c>
      <c r="C11732" s="2" t="n">
        <v>44499</v>
      </c>
      <c r="D11732" t="inlineStr">
        <is>
          <t>NIL</t>
        </is>
      </c>
      <c r="E11732" t="n">
        <v>159</v>
      </c>
    </row>
    <row r="11733">
      <c r="A11733" t="inlineStr">
        <is>
          <t>27BBBBB11733Z5</t>
        </is>
      </c>
      <c r="B11733" t="inlineStr">
        <is>
          <t>Aug-2017</t>
        </is>
      </c>
      <c r="C11733" s="2" t="n">
        <v>44164</v>
      </c>
      <c r="D11733" t="inlineStr">
        <is>
          <t>NIL</t>
        </is>
      </c>
      <c r="E11733" t="n">
        <v>2803</v>
      </c>
    </row>
    <row r="11734">
      <c r="A11734" t="inlineStr">
        <is>
          <t>27BBBBB11734Z5</t>
        </is>
      </c>
      <c r="B11734" t="inlineStr">
        <is>
          <t>Jul-2020</t>
        </is>
      </c>
      <c r="C11734" s="2" t="n">
        <v>44677</v>
      </c>
      <c r="D11734" t="inlineStr">
        <is>
          <t>NON-NIL</t>
        </is>
      </c>
      <c r="E11734" t="n">
        <v>638</v>
      </c>
    </row>
    <row r="11735">
      <c r="A11735" t="inlineStr">
        <is>
          <t>27BBBBB11735Z5</t>
        </is>
      </c>
      <c r="B11735" t="inlineStr">
        <is>
          <t>Dec-2018</t>
        </is>
      </c>
      <c r="C11735" s="2" t="n">
        <v>42929</v>
      </c>
      <c r="D11735" t="inlineStr">
        <is>
          <t>NON-NIL</t>
        </is>
      </c>
      <c r="E11735" t="n">
        <v>153</v>
      </c>
    </row>
    <row r="11736">
      <c r="A11736" t="inlineStr">
        <is>
          <t>27BBBBB11736Z5</t>
        </is>
      </c>
      <c r="B11736" t="inlineStr">
        <is>
          <t>Oct-2018</t>
        </is>
      </c>
      <c r="C11736" s="2" t="n">
        <v>44405</v>
      </c>
      <c r="D11736" t="inlineStr">
        <is>
          <t>NON-NIL</t>
        </is>
      </c>
      <c r="E11736" t="n">
        <v>282</v>
      </c>
    </row>
    <row r="11737">
      <c r="A11737" t="inlineStr">
        <is>
          <t>27BBBBB11737Z5</t>
        </is>
      </c>
      <c r="B11737" t="inlineStr">
        <is>
          <t>Nov-2018</t>
        </is>
      </c>
      <c r="C11737" s="2" t="n">
        <v>43989</v>
      </c>
      <c r="D11737" t="inlineStr">
        <is>
          <t>NIL</t>
        </is>
      </c>
      <c r="E11737" t="n">
        <v>1395</v>
      </c>
    </row>
    <row r="11738">
      <c r="A11738" t="inlineStr">
        <is>
          <t>27BBBBB11738Z5</t>
        </is>
      </c>
      <c r="B11738" t="inlineStr">
        <is>
          <t>Nov-2018</t>
        </is>
      </c>
      <c r="C11738" s="2" t="n">
        <v>43562</v>
      </c>
      <c r="D11738" t="inlineStr">
        <is>
          <t>NIL</t>
        </is>
      </c>
      <c r="E11738" t="n">
        <v>605</v>
      </c>
    </row>
    <row r="11739">
      <c r="A11739" t="inlineStr">
        <is>
          <t>27BBBBB11739Z5</t>
        </is>
      </c>
      <c r="B11739" t="inlineStr">
        <is>
          <t>Sep-2018</t>
        </is>
      </c>
      <c r="C11739" s="2" t="n">
        <v>44120</v>
      </c>
      <c r="D11739" t="inlineStr">
        <is>
          <t>NIL</t>
        </is>
      </c>
      <c r="E11739" t="n">
        <v>1481</v>
      </c>
    </row>
    <row r="11740">
      <c r="A11740" t="inlineStr">
        <is>
          <t>27BBBBB11740Z5</t>
        </is>
      </c>
      <c r="B11740" t="inlineStr">
        <is>
          <t>Jul-2018</t>
        </is>
      </c>
      <c r="C11740" s="2" t="n">
        <v>43210</v>
      </c>
      <c r="D11740" t="inlineStr">
        <is>
          <t>NON-NIL</t>
        </is>
      </c>
      <c r="E11740" t="n">
        <v>1466</v>
      </c>
    </row>
    <row r="11741">
      <c r="A11741" t="inlineStr">
        <is>
          <t>27BBBBB11741Z5</t>
        </is>
      </c>
      <c r="B11741" t="inlineStr">
        <is>
          <t>Mar-2020</t>
        </is>
      </c>
      <c r="C11741" s="2" t="n">
        <v>44022</v>
      </c>
      <c r="D11741" t="inlineStr">
        <is>
          <t>NON-NIL</t>
        </is>
      </c>
      <c r="E11741" t="n">
        <v>1357</v>
      </c>
    </row>
    <row r="11742">
      <c r="A11742" t="inlineStr">
        <is>
          <t>27BBBBB11742Z5</t>
        </is>
      </c>
      <c r="B11742" t="inlineStr">
        <is>
          <t>Apr-2018</t>
        </is>
      </c>
      <c r="C11742" s="2" t="n">
        <v>43309</v>
      </c>
      <c r="D11742" t="inlineStr">
        <is>
          <t>NON-NIL</t>
        </is>
      </c>
      <c r="E11742" t="n">
        <v>2510</v>
      </c>
    </row>
    <row r="11743">
      <c r="A11743" t="inlineStr">
        <is>
          <t>27BBBBB11743Z5</t>
        </is>
      </c>
      <c r="B11743" t="inlineStr">
        <is>
          <t>Jan-2021</t>
        </is>
      </c>
      <c r="C11743" s="2" t="n">
        <v>45131</v>
      </c>
      <c r="D11743" t="inlineStr">
        <is>
          <t>NON-NIL</t>
        </is>
      </c>
      <c r="E11743" t="n">
        <v>236</v>
      </c>
    </row>
    <row r="11744">
      <c r="A11744" t="inlineStr">
        <is>
          <t>27BBBBB11744Z5</t>
        </is>
      </c>
      <c r="B11744" t="inlineStr">
        <is>
          <t>Apr-2020</t>
        </is>
      </c>
      <c r="C11744" s="2" t="n">
        <v>44836</v>
      </c>
      <c r="D11744" t="inlineStr">
        <is>
          <t>NIL</t>
        </is>
      </c>
      <c r="E11744" t="n">
        <v>2075</v>
      </c>
    </row>
    <row r="11745">
      <c r="A11745" t="inlineStr">
        <is>
          <t>27BBBBB11745Z5</t>
        </is>
      </c>
      <c r="B11745" t="inlineStr">
        <is>
          <t>Apr-2020</t>
        </is>
      </c>
      <c r="C11745" s="2" t="n">
        <v>44251</v>
      </c>
      <c r="D11745" t="inlineStr">
        <is>
          <t>NIL</t>
        </is>
      </c>
      <c r="E11745" t="n">
        <v>2738</v>
      </c>
    </row>
    <row r="11746">
      <c r="A11746" t="inlineStr">
        <is>
          <t>27BBBBB11746Z5</t>
        </is>
      </c>
      <c r="B11746" t="inlineStr">
        <is>
          <t>Sep-2017</t>
        </is>
      </c>
      <c r="C11746" s="2" t="n">
        <v>44480</v>
      </c>
      <c r="D11746" t="inlineStr">
        <is>
          <t>NIL</t>
        </is>
      </c>
      <c r="E11746" t="n">
        <v>2095</v>
      </c>
    </row>
    <row r="11747">
      <c r="A11747" t="inlineStr">
        <is>
          <t>27BBBBB11747Z5</t>
        </is>
      </c>
      <c r="B11747" t="inlineStr">
        <is>
          <t>Sep-2017</t>
        </is>
      </c>
      <c r="C11747" s="2" t="n">
        <v>43129</v>
      </c>
      <c r="D11747" t="inlineStr">
        <is>
          <t>NIL</t>
        </is>
      </c>
      <c r="E11747" t="n">
        <v>450</v>
      </c>
    </row>
    <row r="11748">
      <c r="A11748" t="inlineStr">
        <is>
          <t>27BBBBB11748Z5</t>
        </is>
      </c>
      <c r="B11748" t="inlineStr">
        <is>
          <t>Dec-2018</t>
        </is>
      </c>
      <c r="C11748" s="2" t="n">
        <v>44531</v>
      </c>
      <c r="D11748" t="inlineStr">
        <is>
          <t>NIL</t>
        </is>
      </c>
      <c r="E11748" t="n">
        <v>354</v>
      </c>
    </row>
    <row r="11749">
      <c r="A11749" t="inlineStr">
        <is>
          <t>27BBBBB11749Z5</t>
        </is>
      </c>
      <c r="B11749" t="inlineStr">
        <is>
          <t>Feb-2018</t>
        </is>
      </c>
      <c r="C11749" s="2" t="n">
        <v>44296</v>
      </c>
      <c r="D11749" t="inlineStr">
        <is>
          <t>NIL</t>
        </is>
      </c>
      <c r="E11749" t="n">
        <v>1482</v>
      </c>
    </row>
    <row r="11750">
      <c r="A11750" t="inlineStr">
        <is>
          <t>27BBBBB11750Z5</t>
        </is>
      </c>
      <c r="B11750" t="inlineStr">
        <is>
          <t>May-2020</t>
        </is>
      </c>
      <c r="C11750" s="2" t="n">
        <v>44122</v>
      </c>
      <c r="D11750" t="inlineStr">
        <is>
          <t>NIL</t>
        </is>
      </c>
      <c r="E11750" t="n">
        <v>1702</v>
      </c>
    </row>
    <row r="11751">
      <c r="A11751" t="inlineStr">
        <is>
          <t>27BBBBB11751Z5</t>
        </is>
      </c>
      <c r="B11751" t="inlineStr">
        <is>
          <t>Jan-2018</t>
        </is>
      </c>
      <c r="C11751" s="2" t="n">
        <v>43613</v>
      </c>
      <c r="D11751" t="inlineStr">
        <is>
          <t>NON-NIL</t>
        </is>
      </c>
      <c r="E11751" t="n">
        <v>565</v>
      </c>
    </row>
    <row r="11752">
      <c r="A11752" t="inlineStr">
        <is>
          <t>27BBBBB11752Z5</t>
        </is>
      </c>
      <c r="B11752" t="inlineStr">
        <is>
          <t>Jun-2020</t>
        </is>
      </c>
      <c r="C11752" s="2" t="n">
        <v>44388</v>
      </c>
      <c r="D11752" t="inlineStr">
        <is>
          <t>NIL</t>
        </is>
      </c>
      <c r="E11752" t="n">
        <v>1202</v>
      </c>
    </row>
    <row r="11753">
      <c r="A11753" t="inlineStr">
        <is>
          <t>27BBBBB11753Z5</t>
        </is>
      </c>
      <c r="B11753" t="inlineStr">
        <is>
          <t>Mar-2018</t>
        </is>
      </c>
      <c r="C11753" s="2" t="n">
        <v>42981</v>
      </c>
      <c r="D11753" t="inlineStr">
        <is>
          <t>NON-NIL</t>
        </is>
      </c>
      <c r="E11753" t="n">
        <v>2883</v>
      </c>
    </row>
    <row r="11754">
      <c r="A11754" t="inlineStr">
        <is>
          <t>27BBBBB11754Z5</t>
        </is>
      </c>
      <c r="B11754" t="inlineStr">
        <is>
          <t>Dec-2018</t>
        </is>
      </c>
      <c r="C11754" s="2" t="n">
        <v>44069</v>
      </c>
      <c r="D11754" t="inlineStr">
        <is>
          <t>NIL</t>
        </is>
      </c>
      <c r="E11754" t="n">
        <v>730</v>
      </c>
    </row>
    <row r="11755">
      <c r="A11755" t="inlineStr">
        <is>
          <t>27BBBBB11755Z5</t>
        </is>
      </c>
      <c r="B11755" t="inlineStr">
        <is>
          <t>Sep-2017</t>
        </is>
      </c>
      <c r="C11755" s="2" t="n">
        <v>43838</v>
      </c>
      <c r="D11755" t="inlineStr">
        <is>
          <t>NON-NIL</t>
        </is>
      </c>
      <c r="E11755" t="n">
        <v>721</v>
      </c>
    </row>
    <row r="11756">
      <c r="A11756" t="inlineStr">
        <is>
          <t>27BBBBB11756Z5</t>
        </is>
      </c>
      <c r="B11756" t="inlineStr">
        <is>
          <t>Aug-2017</t>
        </is>
      </c>
      <c r="C11756" s="2" t="n">
        <v>43853</v>
      </c>
      <c r="D11756" t="inlineStr">
        <is>
          <t>NON-NIL</t>
        </is>
      </c>
      <c r="E11756" t="n">
        <v>1227</v>
      </c>
    </row>
    <row r="11757">
      <c r="A11757" t="inlineStr">
        <is>
          <t>27BBBBB11757Z5</t>
        </is>
      </c>
      <c r="B11757" t="inlineStr">
        <is>
          <t>Oct-2018</t>
        </is>
      </c>
      <c r="C11757" s="2" t="n">
        <v>43184</v>
      </c>
      <c r="D11757" t="inlineStr">
        <is>
          <t>NIL</t>
        </is>
      </c>
      <c r="E11757" t="n">
        <v>1941</v>
      </c>
    </row>
    <row r="11758">
      <c r="A11758" t="inlineStr">
        <is>
          <t>27BBBBB11758Z5</t>
        </is>
      </c>
      <c r="B11758" t="inlineStr">
        <is>
          <t>Aug-2018</t>
        </is>
      </c>
      <c r="C11758" s="2" t="n">
        <v>44259</v>
      </c>
      <c r="D11758" t="inlineStr">
        <is>
          <t>NON-NIL</t>
        </is>
      </c>
      <c r="E11758" t="n">
        <v>1015</v>
      </c>
    </row>
    <row r="11759">
      <c r="A11759" t="inlineStr">
        <is>
          <t>27BBBBB11759Z5</t>
        </is>
      </c>
      <c r="B11759" t="inlineStr">
        <is>
          <t>Mar-2020</t>
        </is>
      </c>
      <c r="C11759" s="2" t="n">
        <v>43965</v>
      </c>
      <c r="D11759" t="inlineStr">
        <is>
          <t>NIL</t>
        </is>
      </c>
      <c r="E11759" t="n">
        <v>1934</v>
      </c>
    </row>
    <row r="11760">
      <c r="A11760" t="inlineStr">
        <is>
          <t>27BBBBB11760Z5</t>
        </is>
      </c>
      <c r="B11760" t="inlineStr">
        <is>
          <t>Dec-2017</t>
        </is>
      </c>
      <c r="C11760" s="2" t="n">
        <v>43257</v>
      </c>
      <c r="D11760" t="inlineStr">
        <is>
          <t>NIL</t>
        </is>
      </c>
      <c r="E11760" t="n">
        <v>1826</v>
      </c>
    </row>
    <row r="11761">
      <c r="A11761" t="inlineStr">
        <is>
          <t>27BBBBB11761Z5</t>
        </is>
      </c>
      <c r="B11761" t="inlineStr">
        <is>
          <t>May-2018</t>
        </is>
      </c>
      <c r="C11761" s="2" t="n">
        <v>43162</v>
      </c>
      <c r="D11761" t="inlineStr">
        <is>
          <t>NIL</t>
        </is>
      </c>
      <c r="E11761" t="n">
        <v>2612</v>
      </c>
    </row>
    <row r="11762">
      <c r="A11762" t="inlineStr">
        <is>
          <t>27BBBBB11762Z5</t>
        </is>
      </c>
      <c r="B11762" t="inlineStr">
        <is>
          <t>Dec-2022</t>
        </is>
      </c>
      <c r="C11762" s="2" t="n">
        <v>45555</v>
      </c>
      <c r="D11762" t="inlineStr">
        <is>
          <t>NON-NIL</t>
        </is>
      </c>
      <c r="E11762" t="n">
        <v>32</v>
      </c>
    </row>
    <row r="11763">
      <c r="A11763" t="inlineStr">
        <is>
          <t>27BBBBB11763Z5</t>
        </is>
      </c>
      <c r="B11763" t="inlineStr">
        <is>
          <t>Mar-2021</t>
        </is>
      </c>
      <c r="C11763" s="2" t="n">
        <v>44509</v>
      </c>
      <c r="D11763" t="inlineStr">
        <is>
          <t>NON-NIL</t>
        </is>
      </c>
      <c r="E11763" t="n">
        <v>2448</v>
      </c>
    </row>
    <row r="11764">
      <c r="A11764" t="inlineStr">
        <is>
          <t>27BBBBB11764Z5</t>
        </is>
      </c>
      <c r="B11764" t="inlineStr">
        <is>
          <t>Jun-2018</t>
        </is>
      </c>
      <c r="C11764" s="2" t="n">
        <v>44160</v>
      </c>
      <c r="D11764" t="inlineStr">
        <is>
          <t>NIL</t>
        </is>
      </c>
      <c r="E11764" t="n">
        <v>2158</v>
      </c>
    </row>
    <row r="11765">
      <c r="A11765" t="inlineStr">
        <is>
          <t>27BBBBB11765Z5</t>
        </is>
      </c>
      <c r="B11765" t="inlineStr">
        <is>
          <t>Mar-2020</t>
        </is>
      </c>
      <c r="C11765" s="2" t="n">
        <v>44850</v>
      </c>
      <c r="D11765" t="inlineStr">
        <is>
          <t>NON-NIL</t>
        </is>
      </c>
      <c r="E11765" t="n">
        <v>619</v>
      </c>
    </row>
    <row r="11766">
      <c r="A11766" t="inlineStr">
        <is>
          <t>27BBBBB11766Z5</t>
        </is>
      </c>
      <c r="B11766" t="inlineStr">
        <is>
          <t>Dec-2022</t>
        </is>
      </c>
      <c r="C11766" s="2" t="n">
        <v>45002</v>
      </c>
      <c r="D11766" t="inlineStr">
        <is>
          <t>NIL</t>
        </is>
      </c>
      <c r="E11766" t="n">
        <v>2491</v>
      </c>
    </row>
    <row r="11767">
      <c r="A11767" t="inlineStr">
        <is>
          <t>27BBBBB11767Z5</t>
        </is>
      </c>
      <c r="B11767" t="inlineStr">
        <is>
          <t>Dec-2024</t>
        </is>
      </c>
      <c r="C11767" s="2" t="n">
        <v>45238</v>
      </c>
      <c r="D11767" t="inlineStr">
        <is>
          <t>NON-NIL</t>
        </is>
      </c>
      <c r="E11767" t="n">
        <v>301</v>
      </c>
    </row>
    <row r="11768">
      <c r="A11768" t="inlineStr">
        <is>
          <t>27BBBBB11768Z5</t>
        </is>
      </c>
      <c r="B11768" t="inlineStr">
        <is>
          <t>Jan-2021</t>
        </is>
      </c>
      <c r="C11768" s="2" t="n">
        <v>45102</v>
      </c>
      <c r="D11768" t="inlineStr">
        <is>
          <t>NON-NIL</t>
        </is>
      </c>
      <c r="E11768" t="n">
        <v>2878</v>
      </c>
    </row>
    <row r="11769">
      <c r="A11769" t="inlineStr">
        <is>
          <t>27BBBBB11769Z5</t>
        </is>
      </c>
      <c r="B11769" t="inlineStr">
        <is>
          <t>Oct-2018</t>
        </is>
      </c>
      <c r="C11769" s="2" t="n">
        <v>43621</v>
      </c>
      <c r="D11769" t="inlineStr">
        <is>
          <t>NON-NIL</t>
        </is>
      </c>
      <c r="E11769" t="n">
        <v>2982</v>
      </c>
    </row>
    <row r="11770">
      <c r="A11770" t="inlineStr">
        <is>
          <t>27BBBBB11770Z5</t>
        </is>
      </c>
      <c r="B11770" t="inlineStr">
        <is>
          <t>Oct-2017</t>
        </is>
      </c>
      <c r="C11770" s="2" t="n">
        <v>43092</v>
      </c>
      <c r="D11770" t="inlineStr">
        <is>
          <t>NON-NIL</t>
        </is>
      </c>
      <c r="E11770" t="n">
        <v>2043</v>
      </c>
    </row>
    <row r="11771">
      <c r="A11771" t="inlineStr">
        <is>
          <t>27BBBBB11771Z5</t>
        </is>
      </c>
      <c r="B11771" t="inlineStr">
        <is>
          <t>Jul-2018</t>
        </is>
      </c>
      <c r="C11771" s="2" t="n">
        <v>43259</v>
      </c>
      <c r="D11771" t="inlineStr">
        <is>
          <t>NON-NIL</t>
        </is>
      </c>
      <c r="E11771" t="n">
        <v>2686</v>
      </c>
    </row>
    <row r="11772">
      <c r="A11772" t="inlineStr">
        <is>
          <t>27BBBBB11772Z5</t>
        </is>
      </c>
      <c r="B11772" t="inlineStr">
        <is>
          <t>Mar-2018</t>
        </is>
      </c>
      <c r="C11772" s="2" t="n">
        <v>44090</v>
      </c>
      <c r="D11772" t="inlineStr">
        <is>
          <t>NON-NIL</t>
        </is>
      </c>
      <c r="E11772" t="n">
        <v>2559</v>
      </c>
    </row>
    <row r="11773">
      <c r="A11773" t="inlineStr">
        <is>
          <t>27BBBBB11773Z5</t>
        </is>
      </c>
      <c r="B11773" t="inlineStr">
        <is>
          <t>Sep-2018</t>
        </is>
      </c>
      <c r="C11773" s="2" t="n">
        <v>44440</v>
      </c>
      <c r="D11773" t="inlineStr">
        <is>
          <t>NIL</t>
        </is>
      </c>
      <c r="E11773" t="n">
        <v>1663</v>
      </c>
    </row>
    <row r="11774">
      <c r="A11774" t="inlineStr">
        <is>
          <t>27BBBBB11774Z5</t>
        </is>
      </c>
      <c r="B11774" t="inlineStr">
        <is>
          <t>Jan-2021</t>
        </is>
      </c>
      <c r="C11774" s="2" t="n">
        <v>43945</v>
      </c>
      <c r="D11774" t="inlineStr">
        <is>
          <t>NON-NIL</t>
        </is>
      </c>
      <c r="E11774" t="n">
        <v>327</v>
      </c>
    </row>
    <row r="11775">
      <c r="A11775" t="inlineStr">
        <is>
          <t>27BBBBB11775Z5</t>
        </is>
      </c>
      <c r="B11775" t="inlineStr">
        <is>
          <t>Mar-2021</t>
        </is>
      </c>
      <c r="C11775" s="2" t="n">
        <v>43466</v>
      </c>
      <c r="D11775" t="inlineStr">
        <is>
          <t>NIL</t>
        </is>
      </c>
      <c r="E11775" t="n">
        <v>2866</v>
      </c>
    </row>
    <row r="11776">
      <c r="A11776" t="inlineStr">
        <is>
          <t>27BBBBB11776Z5</t>
        </is>
      </c>
      <c r="B11776" t="inlineStr">
        <is>
          <t>Sep-2018</t>
        </is>
      </c>
      <c r="C11776" s="2" t="n">
        <v>43797</v>
      </c>
      <c r="D11776" t="inlineStr">
        <is>
          <t>NIL</t>
        </is>
      </c>
      <c r="E11776" t="n">
        <v>61</v>
      </c>
    </row>
    <row r="11777">
      <c r="A11777" t="inlineStr">
        <is>
          <t>27BBBBB11777Z5</t>
        </is>
      </c>
      <c r="B11777" t="inlineStr">
        <is>
          <t>Mar-2020</t>
        </is>
      </c>
      <c r="C11777" s="2" t="n">
        <v>43934</v>
      </c>
      <c r="D11777" t="inlineStr">
        <is>
          <t>NIL</t>
        </is>
      </c>
      <c r="E11777" t="n">
        <v>2577</v>
      </c>
    </row>
    <row r="11778">
      <c r="A11778" t="inlineStr">
        <is>
          <t>27BBBBB11778Z5</t>
        </is>
      </c>
      <c r="B11778" t="inlineStr">
        <is>
          <t>Mar-2021</t>
        </is>
      </c>
      <c r="C11778" s="2" t="n">
        <v>44935</v>
      </c>
      <c r="D11778" t="inlineStr">
        <is>
          <t>NON-NIL</t>
        </is>
      </c>
      <c r="E11778" t="n">
        <v>924</v>
      </c>
    </row>
    <row r="11779">
      <c r="A11779" t="inlineStr">
        <is>
          <t>27BBBBB11779Z5</t>
        </is>
      </c>
      <c r="B11779" t="inlineStr">
        <is>
          <t>Jan-2021</t>
        </is>
      </c>
      <c r="C11779" s="2" t="n">
        <v>43507</v>
      </c>
      <c r="D11779" t="inlineStr">
        <is>
          <t>NON-NIL</t>
        </is>
      </c>
      <c r="E11779" t="n">
        <v>1468</v>
      </c>
    </row>
    <row r="11780">
      <c r="A11780" t="inlineStr">
        <is>
          <t>27BBBBB11780Z5</t>
        </is>
      </c>
      <c r="B11780" t="inlineStr">
        <is>
          <t>Nov-2017</t>
        </is>
      </c>
      <c r="C11780" s="2" t="n">
        <v>43301</v>
      </c>
      <c r="D11780" t="inlineStr">
        <is>
          <t>NIL</t>
        </is>
      </c>
      <c r="E11780" t="n">
        <v>2412</v>
      </c>
    </row>
    <row r="11781">
      <c r="A11781" t="inlineStr">
        <is>
          <t>27BBBBB11781Z5</t>
        </is>
      </c>
      <c r="B11781" t="inlineStr">
        <is>
          <t>Oct-2017</t>
        </is>
      </c>
      <c r="C11781" s="2" t="n">
        <v>43328</v>
      </c>
      <c r="D11781" t="inlineStr">
        <is>
          <t>NON-NIL</t>
        </is>
      </c>
      <c r="E11781" t="n">
        <v>2713</v>
      </c>
    </row>
    <row r="11782">
      <c r="A11782" t="inlineStr">
        <is>
          <t>27BBBBB11782Z5</t>
        </is>
      </c>
      <c r="B11782" t="inlineStr">
        <is>
          <t>Jan-2018</t>
        </is>
      </c>
      <c r="C11782" s="2" t="n">
        <v>44408</v>
      </c>
      <c r="D11782" t="inlineStr">
        <is>
          <t>NON-NIL</t>
        </is>
      </c>
      <c r="E11782" t="n">
        <v>1284</v>
      </c>
    </row>
    <row r="11783">
      <c r="A11783" t="inlineStr">
        <is>
          <t>27BBBBB11783Z5</t>
        </is>
      </c>
      <c r="B11783" t="inlineStr">
        <is>
          <t>Mar-2023</t>
        </is>
      </c>
      <c r="C11783" s="2" t="n">
        <v>45449</v>
      </c>
      <c r="D11783" t="inlineStr">
        <is>
          <t>NON-NIL</t>
        </is>
      </c>
      <c r="E11783" t="n">
        <v>1677</v>
      </c>
    </row>
    <row r="11784">
      <c r="A11784" t="inlineStr">
        <is>
          <t>27BBBBB11784Z5</t>
        </is>
      </c>
      <c r="B11784" t="inlineStr">
        <is>
          <t>Dec-2024</t>
        </is>
      </c>
      <c r="C11784" s="2" t="n">
        <v>45473</v>
      </c>
      <c r="D11784" t="inlineStr">
        <is>
          <t>NON-NIL</t>
        </is>
      </c>
      <c r="E11784" t="n">
        <v>1554</v>
      </c>
    </row>
    <row r="11785">
      <c r="A11785" t="inlineStr">
        <is>
          <t>27BBBBB11785Z5</t>
        </is>
      </c>
      <c r="B11785" t="inlineStr">
        <is>
          <t>May-2018</t>
        </is>
      </c>
      <c r="C11785" s="2" t="n">
        <v>43531</v>
      </c>
      <c r="D11785" t="inlineStr">
        <is>
          <t>NIL</t>
        </is>
      </c>
      <c r="E11785" t="n">
        <v>250</v>
      </c>
    </row>
    <row r="11786">
      <c r="A11786" t="inlineStr">
        <is>
          <t>27BBBBB11786Z5</t>
        </is>
      </c>
      <c r="B11786" t="inlineStr">
        <is>
          <t>Apr-2020</t>
        </is>
      </c>
      <c r="C11786" s="2" t="n">
        <v>44926</v>
      </c>
      <c r="D11786" t="inlineStr">
        <is>
          <t>NON-NIL</t>
        </is>
      </c>
      <c r="E11786" t="n">
        <v>1547</v>
      </c>
    </row>
    <row r="11787">
      <c r="A11787" t="inlineStr">
        <is>
          <t>27BBBBB11787Z5</t>
        </is>
      </c>
      <c r="B11787" t="inlineStr">
        <is>
          <t>Jul-2018</t>
        </is>
      </c>
      <c r="C11787" s="2" t="n">
        <v>43500</v>
      </c>
      <c r="D11787" t="inlineStr">
        <is>
          <t>NON-NIL</t>
        </is>
      </c>
      <c r="E11787" t="n">
        <v>247</v>
      </c>
    </row>
    <row r="11788">
      <c r="A11788" t="inlineStr">
        <is>
          <t>27BBBBB11788Z5</t>
        </is>
      </c>
      <c r="B11788" t="inlineStr">
        <is>
          <t>Sep-2018</t>
        </is>
      </c>
      <c r="C11788" s="2" t="n">
        <v>42991</v>
      </c>
      <c r="D11788" t="inlineStr">
        <is>
          <t>NON-NIL</t>
        </is>
      </c>
      <c r="E11788" t="n">
        <v>805</v>
      </c>
    </row>
    <row r="11789">
      <c r="A11789" t="inlineStr">
        <is>
          <t>27BBBBB11789Z5</t>
        </is>
      </c>
      <c r="B11789" t="inlineStr">
        <is>
          <t>Oct-2017</t>
        </is>
      </c>
      <c r="C11789" s="2" t="n">
        <v>43968</v>
      </c>
      <c r="D11789" t="inlineStr">
        <is>
          <t>NIL</t>
        </is>
      </c>
      <c r="E11789" t="n">
        <v>1255</v>
      </c>
    </row>
    <row r="11790">
      <c r="A11790" t="inlineStr">
        <is>
          <t>27BBBBB11790Z5</t>
        </is>
      </c>
      <c r="B11790" t="inlineStr">
        <is>
          <t>Mar-2018</t>
        </is>
      </c>
      <c r="C11790" s="2" t="n">
        <v>44393</v>
      </c>
      <c r="D11790" t="inlineStr">
        <is>
          <t>NIL</t>
        </is>
      </c>
      <c r="E11790" t="n">
        <v>293</v>
      </c>
    </row>
    <row r="11791">
      <c r="A11791" t="inlineStr">
        <is>
          <t>27BBBBB11791Z5</t>
        </is>
      </c>
      <c r="B11791" t="inlineStr">
        <is>
          <t>Jul-2017</t>
        </is>
      </c>
      <c r="C11791" s="2" t="n">
        <v>43242</v>
      </c>
      <c r="D11791" t="inlineStr">
        <is>
          <t>NIL</t>
        </is>
      </c>
      <c r="E11791" t="n">
        <v>2411</v>
      </c>
    </row>
    <row r="11792">
      <c r="A11792" t="inlineStr">
        <is>
          <t>27BBBBB11792Z5</t>
        </is>
      </c>
      <c r="B11792" t="inlineStr">
        <is>
          <t>Jan-2021</t>
        </is>
      </c>
      <c r="C11792" s="2" t="n">
        <v>43619</v>
      </c>
      <c r="D11792" t="inlineStr">
        <is>
          <t>NIL</t>
        </is>
      </c>
      <c r="E11792" t="n">
        <v>1623</v>
      </c>
    </row>
    <row r="11793">
      <c r="A11793" t="inlineStr">
        <is>
          <t>27BBBBB11793Z5</t>
        </is>
      </c>
      <c r="B11793" t="inlineStr">
        <is>
          <t>Oct-2018</t>
        </is>
      </c>
      <c r="C11793" s="2" t="n">
        <v>43506</v>
      </c>
      <c r="D11793" t="inlineStr">
        <is>
          <t>NON-NIL</t>
        </is>
      </c>
      <c r="E11793" t="n">
        <v>858</v>
      </c>
    </row>
    <row r="11794">
      <c r="A11794" t="inlineStr">
        <is>
          <t>27BBBBB11794Z5</t>
        </is>
      </c>
      <c r="B11794" t="inlineStr">
        <is>
          <t>Jul-2018</t>
        </is>
      </c>
      <c r="C11794" s="2" t="n">
        <v>44348</v>
      </c>
      <c r="D11794" t="inlineStr">
        <is>
          <t>NIL</t>
        </is>
      </c>
      <c r="E11794" t="n">
        <v>2532</v>
      </c>
    </row>
    <row r="11795">
      <c r="A11795" t="inlineStr">
        <is>
          <t>27BBBBB11795Z5</t>
        </is>
      </c>
      <c r="B11795" t="inlineStr">
        <is>
          <t>Feb-2018</t>
        </is>
      </c>
      <c r="C11795" s="2" t="n">
        <v>43582</v>
      </c>
      <c r="D11795" t="inlineStr">
        <is>
          <t>NIL</t>
        </is>
      </c>
      <c r="E11795" t="n">
        <v>2139</v>
      </c>
    </row>
    <row r="11796">
      <c r="A11796" t="inlineStr">
        <is>
          <t>27BBBBB11796Z5</t>
        </is>
      </c>
      <c r="B11796" t="inlineStr">
        <is>
          <t>May-2018</t>
        </is>
      </c>
      <c r="C11796" s="2" t="n">
        <v>43966</v>
      </c>
      <c r="D11796" t="inlineStr">
        <is>
          <t>NIL</t>
        </is>
      </c>
      <c r="E11796" t="n">
        <v>1211</v>
      </c>
    </row>
    <row r="11797">
      <c r="A11797" t="inlineStr">
        <is>
          <t>27BBBBB11797Z5</t>
        </is>
      </c>
      <c r="B11797" t="inlineStr">
        <is>
          <t>Jul-2017</t>
        </is>
      </c>
      <c r="C11797" s="2" t="n">
        <v>43799</v>
      </c>
      <c r="D11797" t="inlineStr">
        <is>
          <t>NON-NIL</t>
        </is>
      </c>
      <c r="E11797" t="n">
        <v>2273</v>
      </c>
    </row>
    <row r="11798">
      <c r="A11798" t="inlineStr">
        <is>
          <t>27BBBBB11798Z5</t>
        </is>
      </c>
      <c r="B11798" t="inlineStr">
        <is>
          <t>Dec-2018</t>
        </is>
      </c>
      <c r="C11798" s="2" t="n">
        <v>44101</v>
      </c>
      <c r="D11798" t="inlineStr">
        <is>
          <t>NIL</t>
        </is>
      </c>
      <c r="E11798" t="n">
        <v>2834</v>
      </c>
    </row>
    <row r="11799">
      <c r="A11799" t="inlineStr">
        <is>
          <t>27BBBBB11799Z5</t>
        </is>
      </c>
      <c r="B11799" t="inlineStr">
        <is>
          <t>Mar-2023</t>
        </is>
      </c>
      <c r="C11799" s="2" t="n">
        <v>45596</v>
      </c>
      <c r="D11799" t="inlineStr">
        <is>
          <t>NIL</t>
        </is>
      </c>
      <c r="E11799" t="n">
        <v>2792</v>
      </c>
    </row>
    <row r="11800">
      <c r="A11800" t="inlineStr">
        <is>
          <t>27BBBBB11800Z5</t>
        </is>
      </c>
      <c r="B11800" t="inlineStr">
        <is>
          <t>Jan-2018</t>
        </is>
      </c>
      <c r="C11800" s="2" t="n">
        <v>43601</v>
      </c>
      <c r="D11800" t="inlineStr">
        <is>
          <t>NIL</t>
        </is>
      </c>
      <c r="E11800" t="n">
        <v>1038</v>
      </c>
    </row>
    <row r="11801">
      <c r="A11801" t="inlineStr">
        <is>
          <t>27BBBBB11801Z5</t>
        </is>
      </c>
      <c r="B11801" t="inlineStr">
        <is>
          <t>Jul-2018</t>
        </is>
      </c>
      <c r="C11801" s="2" t="n">
        <v>43293</v>
      </c>
      <c r="D11801" t="inlineStr">
        <is>
          <t>NON-NIL</t>
        </is>
      </c>
      <c r="E11801" t="n">
        <v>1800</v>
      </c>
    </row>
    <row r="11802">
      <c r="A11802" t="inlineStr">
        <is>
          <t>27BBBBB11802Z5</t>
        </is>
      </c>
      <c r="B11802" t="inlineStr">
        <is>
          <t>Aug-2017</t>
        </is>
      </c>
      <c r="C11802" s="2" t="n">
        <v>43297</v>
      </c>
      <c r="D11802" t="inlineStr">
        <is>
          <t>NIL</t>
        </is>
      </c>
      <c r="E11802" t="n">
        <v>2769</v>
      </c>
    </row>
    <row r="11803">
      <c r="A11803" t="inlineStr">
        <is>
          <t>27BBBBB11803Z5</t>
        </is>
      </c>
      <c r="B11803" t="inlineStr">
        <is>
          <t>Oct-2018</t>
        </is>
      </c>
      <c r="C11803" s="2" t="n">
        <v>44526</v>
      </c>
      <c r="D11803" t="inlineStr">
        <is>
          <t>NON-NIL</t>
        </is>
      </c>
      <c r="E11803" t="n">
        <v>237</v>
      </c>
    </row>
    <row r="11804">
      <c r="A11804" t="inlineStr">
        <is>
          <t>27BBBBB11804Z5</t>
        </is>
      </c>
      <c r="B11804" t="inlineStr">
        <is>
          <t>Nov-2017</t>
        </is>
      </c>
      <c r="C11804" s="2" t="n">
        <v>43595</v>
      </c>
      <c r="D11804" t="inlineStr">
        <is>
          <t>NIL</t>
        </is>
      </c>
      <c r="E11804" t="n">
        <v>2232</v>
      </c>
    </row>
    <row r="11805">
      <c r="A11805" t="inlineStr">
        <is>
          <t>27BBBBB11805Z5</t>
        </is>
      </c>
      <c r="B11805" t="inlineStr">
        <is>
          <t>Dec-2022</t>
        </is>
      </c>
      <c r="C11805" s="2" t="n">
        <v>44446</v>
      </c>
      <c r="D11805" t="inlineStr">
        <is>
          <t>NON-NIL</t>
        </is>
      </c>
      <c r="E11805" t="n">
        <v>2966</v>
      </c>
    </row>
    <row r="11806">
      <c r="A11806" t="inlineStr">
        <is>
          <t>27BBBBB11806Z5</t>
        </is>
      </c>
      <c r="B11806" t="inlineStr">
        <is>
          <t>Mar-2020</t>
        </is>
      </c>
      <c r="C11806" s="2" t="n">
        <v>44850</v>
      </c>
      <c r="D11806" t="inlineStr">
        <is>
          <t>NON-NIL</t>
        </is>
      </c>
      <c r="E11806" t="n">
        <v>2426</v>
      </c>
    </row>
    <row r="11807">
      <c r="A11807" t="inlineStr">
        <is>
          <t>27BBBBB11807Z5</t>
        </is>
      </c>
      <c r="B11807" t="inlineStr">
        <is>
          <t>Oct-2017</t>
        </is>
      </c>
      <c r="C11807" s="2" t="n">
        <v>42951</v>
      </c>
      <c r="D11807" t="inlineStr">
        <is>
          <t>NIL</t>
        </is>
      </c>
      <c r="E11807" t="n">
        <v>2710</v>
      </c>
    </row>
    <row r="11808">
      <c r="A11808" t="inlineStr">
        <is>
          <t>27BBBBB11808Z5</t>
        </is>
      </c>
      <c r="B11808" t="inlineStr">
        <is>
          <t>Nov-2017</t>
        </is>
      </c>
      <c r="C11808" s="2" t="n">
        <v>42935</v>
      </c>
      <c r="D11808" t="inlineStr">
        <is>
          <t>NON-NIL</t>
        </is>
      </c>
      <c r="E11808" t="n">
        <v>2344</v>
      </c>
    </row>
    <row r="11809">
      <c r="A11809" t="inlineStr">
        <is>
          <t>27BBBBB11809Z5</t>
        </is>
      </c>
      <c r="B11809" t="inlineStr">
        <is>
          <t>Jun-2018</t>
        </is>
      </c>
      <c r="C11809" s="2" t="n">
        <v>43956</v>
      </c>
      <c r="D11809" t="inlineStr">
        <is>
          <t>NIL</t>
        </is>
      </c>
      <c r="E11809" t="n">
        <v>2576</v>
      </c>
    </row>
    <row r="11810">
      <c r="A11810" t="inlineStr">
        <is>
          <t>27BBBBB11810Z5</t>
        </is>
      </c>
      <c r="B11810" t="inlineStr">
        <is>
          <t>Jun-2018</t>
        </is>
      </c>
      <c r="C11810" s="2" t="n">
        <v>43045</v>
      </c>
      <c r="D11810" t="inlineStr">
        <is>
          <t>NON-NIL</t>
        </is>
      </c>
      <c r="E11810" t="n">
        <v>2883</v>
      </c>
    </row>
    <row r="11811">
      <c r="A11811" t="inlineStr">
        <is>
          <t>27BBBBB11811Z5</t>
        </is>
      </c>
      <c r="B11811" t="inlineStr">
        <is>
          <t>Apr-2018</t>
        </is>
      </c>
      <c r="C11811" s="2" t="n">
        <v>44190</v>
      </c>
      <c r="D11811" t="inlineStr">
        <is>
          <t>NIL</t>
        </is>
      </c>
      <c r="E11811" t="n">
        <v>1088</v>
      </c>
    </row>
    <row r="11812">
      <c r="A11812" t="inlineStr">
        <is>
          <t>27BBBBB11812Z5</t>
        </is>
      </c>
      <c r="B11812" t="inlineStr">
        <is>
          <t>Jun-2018</t>
        </is>
      </c>
      <c r="C11812" s="2" t="n">
        <v>43665</v>
      </c>
      <c r="D11812" t="inlineStr">
        <is>
          <t>NIL</t>
        </is>
      </c>
      <c r="E11812" t="n">
        <v>1462</v>
      </c>
    </row>
    <row r="11813">
      <c r="A11813" t="inlineStr">
        <is>
          <t>27BBBBB11813Z5</t>
        </is>
      </c>
      <c r="B11813" t="inlineStr">
        <is>
          <t>Jan-2018</t>
        </is>
      </c>
      <c r="C11813" s="2" t="n">
        <v>44427</v>
      </c>
      <c r="D11813" t="inlineStr">
        <is>
          <t>NON-NIL</t>
        </is>
      </c>
      <c r="E11813" t="n">
        <v>1706</v>
      </c>
    </row>
    <row r="11814">
      <c r="A11814" t="inlineStr">
        <is>
          <t>27BBBBB11814Z5</t>
        </is>
      </c>
      <c r="B11814" t="inlineStr">
        <is>
          <t>Jul-2017</t>
        </is>
      </c>
      <c r="C11814" s="2" t="n">
        <v>43600</v>
      </c>
      <c r="D11814" t="inlineStr">
        <is>
          <t>NIL</t>
        </is>
      </c>
      <c r="E11814" t="n">
        <v>386</v>
      </c>
    </row>
    <row r="11815">
      <c r="A11815" t="inlineStr">
        <is>
          <t>27BBBBB11815Z5</t>
        </is>
      </c>
      <c r="B11815" t="inlineStr">
        <is>
          <t>Mar-2020</t>
        </is>
      </c>
      <c r="C11815" s="2" t="n">
        <v>44474</v>
      </c>
      <c r="D11815" t="inlineStr">
        <is>
          <t>NIL</t>
        </is>
      </c>
      <c r="E11815" t="n">
        <v>908</v>
      </c>
    </row>
    <row r="11816">
      <c r="A11816" t="inlineStr">
        <is>
          <t>27BBBBB11816Z5</t>
        </is>
      </c>
      <c r="B11816" t="inlineStr">
        <is>
          <t>Jan-2021</t>
        </is>
      </c>
      <c r="C11816" s="2" t="n">
        <v>45153</v>
      </c>
      <c r="D11816" t="inlineStr">
        <is>
          <t>NIL</t>
        </is>
      </c>
      <c r="E11816" t="n">
        <v>973</v>
      </c>
    </row>
    <row r="11817">
      <c r="A11817" t="inlineStr">
        <is>
          <t>27BBBBB11817Z5</t>
        </is>
      </c>
      <c r="B11817" t="inlineStr">
        <is>
          <t>Oct-2018</t>
        </is>
      </c>
      <c r="C11817" s="2" t="n">
        <v>44463</v>
      </c>
      <c r="D11817" t="inlineStr">
        <is>
          <t>NON-NIL</t>
        </is>
      </c>
      <c r="E11817" t="n">
        <v>1295</v>
      </c>
    </row>
    <row r="11818">
      <c r="A11818" t="inlineStr">
        <is>
          <t>27BBBBB11818Z5</t>
        </is>
      </c>
      <c r="B11818" t="inlineStr">
        <is>
          <t>Feb-2018</t>
        </is>
      </c>
      <c r="C11818" s="2" t="n">
        <v>43527</v>
      </c>
      <c r="D11818" t="inlineStr">
        <is>
          <t>NIL</t>
        </is>
      </c>
      <c r="E11818" t="n">
        <v>1054</v>
      </c>
    </row>
    <row r="11819">
      <c r="A11819" t="inlineStr">
        <is>
          <t>27BBBBB11819Z5</t>
        </is>
      </c>
      <c r="B11819" t="inlineStr">
        <is>
          <t>Jun-2018</t>
        </is>
      </c>
      <c r="C11819" s="2" t="n">
        <v>44173</v>
      </c>
      <c r="D11819" t="inlineStr">
        <is>
          <t>NIL</t>
        </is>
      </c>
      <c r="E11819" t="n">
        <v>607</v>
      </c>
    </row>
    <row r="11820">
      <c r="A11820" t="inlineStr">
        <is>
          <t>27BBBBB11820Z5</t>
        </is>
      </c>
      <c r="B11820" t="inlineStr">
        <is>
          <t>Jun-2018</t>
        </is>
      </c>
      <c r="C11820" s="2" t="n">
        <v>44541</v>
      </c>
      <c r="D11820" t="inlineStr">
        <is>
          <t>NIL</t>
        </is>
      </c>
      <c r="E11820" t="n">
        <v>2920</v>
      </c>
    </row>
    <row r="11821">
      <c r="A11821" t="inlineStr">
        <is>
          <t>27BBBBB11821Z5</t>
        </is>
      </c>
      <c r="B11821" t="inlineStr">
        <is>
          <t>Jul-2018</t>
        </is>
      </c>
      <c r="C11821" s="2" t="n">
        <v>44010</v>
      </c>
      <c r="D11821" t="inlineStr">
        <is>
          <t>NON-NIL</t>
        </is>
      </c>
      <c r="E11821" t="n">
        <v>2241</v>
      </c>
    </row>
    <row r="11822">
      <c r="A11822" t="inlineStr">
        <is>
          <t>27BBBBB11822Z5</t>
        </is>
      </c>
      <c r="B11822" t="inlineStr">
        <is>
          <t>Aug-2018</t>
        </is>
      </c>
      <c r="C11822" s="2" t="n">
        <v>44319</v>
      </c>
      <c r="D11822" t="inlineStr">
        <is>
          <t>NON-NIL</t>
        </is>
      </c>
      <c r="E11822" t="n">
        <v>811</v>
      </c>
    </row>
    <row r="11823">
      <c r="A11823" t="inlineStr">
        <is>
          <t>27BBBBB11823Z5</t>
        </is>
      </c>
      <c r="B11823" t="inlineStr">
        <is>
          <t>Jan-2018</t>
        </is>
      </c>
      <c r="C11823" s="2" t="n">
        <v>43151</v>
      </c>
      <c r="D11823" t="inlineStr">
        <is>
          <t>NIL</t>
        </is>
      </c>
      <c r="E11823" t="n">
        <v>1096</v>
      </c>
    </row>
    <row r="11824">
      <c r="A11824" t="inlineStr">
        <is>
          <t>27BBBBB11824Z5</t>
        </is>
      </c>
      <c r="B11824" t="inlineStr">
        <is>
          <t>Mar-2023</t>
        </is>
      </c>
      <c r="C11824" s="2" t="n">
        <v>44995</v>
      </c>
      <c r="D11824" t="inlineStr">
        <is>
          <t>NIL</t>
        </is>
      </c>
      <c r="E11824" t="n">
        <v>2362</v>
      </c>
    </row>
    <row r="11825">
      <c r="A11825" t="inlineStr">
        <is>
          <t>27BBBBB11825Z5</t>
        </is>
      </c>
      <c r="B11825" t="inlineStr">
        <is>
          <t>Jul-2020</t>
        </is>
      </c>
      <c r="C11825" s="2" t="n">
        <v>44121</v>
      </c>
      <c r="D11825" t="inlineStr">
        <is>
          <t>NIL</t>
        </is>
      </c>
      <c r="E11825" t="n">
        <v>2577</v>
      </c>
    </row>
    <row r="11826">
      <c r="A11826" t="inlineStr">
        <is>
          <t>27BBBBB11826Z5</t>
        </is>
      </c>
      <c r="B11826" t="inlineStr">
        <is>
          <t>Dec-2024</t>
        </is>
      </c>
      <c r="C11826" s="2" t="n">
        <v>45495</v>
      </c>
      <c r="D11826" t="inlineStr">
        <is>
          <t>NON-NIL</t>
        </is>
      </c>
      <c r="E11826" t="n">
        <v>253</v>
      </c>
    </row>
    <row r="11827">
      <c r="A11827" t="inlineStr">
        <is>
          <t>27BBBBB11827Z5</t>
        </is>
      </c>
      <c r="B11827" t="inlineStr">
        <is>
          <t>Nov-2018</t>
        </is>
      </c>
      <c r="C11827" s="2" t="n">
        <v>44548</v>
      </c>
      <c r="D11827" t="inlineStr">
        <is>
          <t>NIL</t>
        </is>
      </c>
      <c r="E11827" t="n">
        <v>2459</v>
      </c>
    </row>
    <row r="11828">
      <c r="A11828" t="inlineStr">
        <is>
          <t>27BBBBB11828Z5</t>
        </is>
      </c>
      <c r="B11828" t="inlineStr">
        <is>
          <t>Jun-2018</t>
        </is>
      </c>
      <c r="C11828" s="2" t="n">
        <v>44260</v>
      </c>
      <c r="D11828" t="inlineStr">
        <is>
          <t>NON-NIL</t>
        </is>
      </c>
      <c r="E11828" t="n">
        <v>24</v>
      </c>
    </row>
    <row r="11829">
      <c r="A11829" t="inlineStr">
        <is>
          <t>27BBBBB11829Z5</t>
        </is>
      </c>
      <c r="B11829" t="inlineStr">
        <is>
          <t>Aug-2018</t>
        </is>
      </c>
      <c r="C11829" s="2" t="n">
        <v>43422</v>
      </c>
      <c r="D11829" t="inlineStr">
        <is>
          <t>NON-NIL</t>
        </is>
      </c>
      <c r="E11829" t="n">
        <v>399</v>
      </c>
    </row>
    <row r="11830">
      <c r="A11830" t="inlineStr">
        <is>
          <t>27BBBBB11830Z5</t>
        </is>
      </c>
      <c r="B11830" t="inlineStr">
        <is>
          <t>Jul-2018</t>
        </is>
      </c>
      <c r="C11830" s="2" t="n">
        <v>42976</v>
      </c>
      <c r="D11830" t="inlineStr">
        <is>
          <t>NON-NIL</t>
        </is>
      </c>
      <c r="E11830" t="n">
        <v>373</v>
      </c>
    </row>
    <row r="11831">
      <c r="A11831" t="inlineStr">
        <is>
          <t>27BBBBB11831Z5</t>
        </is>
      </c>
      <c r="B11831" t="inlineStr">
        <is>
          <t>May-2020</t>
        </is>
      </c>
      <c r="C11831" s="2" t="n">
        <v>44346</v>
      </c>
      <c r="D11831" t="inlineStr">
        <is>
          <t>NON-NIL</t>
        </is>
      </c>
      <c r="E11831" t="n">
        <v>2828</v>
      </c>
    </row>
    <row r="11832">
      <c r="A11832" t="inlineStr">
        <is>
          <t>27BBBBB11832Z5</t>
        </is>
      </c>
      <c r="B11832" t="inlineStr">
        <is>
          <t>Mar-2018</t>
        </is>
      </c>
      <c r="C11832" s="2" t="n">
        <v>44059</v>
      </c>
      <c r="D11832" t="inlineStr">
        <is>
          <t>NIL</t>
        </is>
      </c>
      <c r="E11832" t="n">
        <v>214</v>
      </c>
    </row>
    <row r="11833">
      <c r="A11833" t="inlineStr">
        <is>
          <t>27BBBBB11833Z5</t>
        </is>
      </c>
      <c r="B11833" t="inlineStr">
        <is>
          <t>Jan-2021</t>
        </is>
      </c>
      <c r="C11833" s="2" t="n">
        <v>44273</v>
      </c>
      <c r="D11833" t="inlineStr">
        <is>
          <t>NON-NIL</t>
        </is>
      </c>
      <c r="E11833" t="n">
        <v>252</v>
      </c>
    </row>
    <row r="11834">
      <c r="A11834" t="inlineStr">
        <is>
          <t>27BBBBB11834Z5</t>
        </is>
      </c>
      <c r="B11834" t="inlineStr">
        <is>
          <t>Jan-2021</t>
        </is>
      </c>
      <c r="C11834" s="2" t="n">
        <v>45199</v>
      </c>
      <c r="D11834" t="inlineStr">
        <is>
          <t>NON-NIL</t>
        </is>
      </c>
      <c r="E11834" t="n">
        <v>2876</v>
      </c>
    </row>
    <row r="11835">
      <c r="A11835" t="inlineStr">
        <is>
          <t>27BBBBB11835Z5</t>
        </is>
      </c>
      <c r="B11835" t="inlineStr">
        <is>
          <t>Jun-2018</t>
        </is>
      </c>
      <c r="C11835" s="2" t="n">
        <v>43096</v>
      </c>
      <c r="D11835" t="inlineStr">
        <is>
          <t>NIL</t>
        </is>
      </c>
      <c r="E11835" t="n">
        <v>2194</v>
      </c>
    </row>
    <row r="11836">
      <c r="A11836" t="inlineStr">
        <is>
          <t>27BBBBB11836Z5</t>
        </is>
      </c>
      <c r="B11836" t="inlineStr">
        <is>
          <t>Oct-2017</t>
        </is>
      </c>
      <c r="C11836" s="2" t="n">
        <v>43186</v>
      </c>
      <c r="D11836" t="inlineStr">
        <is>
          <t>NIL</t>
        </is>
      </c>
      <c r="E11836" t="n">
        <v>2161</v>
      </c>
    </row>
    <row r="11837">
      <c r="A11837" t="inlineStr">
        <is>
          <t>27BBBBB11837Z5</t>
        </is>
      </c>
      <c r="B11837" t="inlineStr">
        <is>
          <t>Mar-2018</t>
        </is>
      </c>
      <c r="C11837" s="2" t="n">
        <v>43035</v>
      </c>
      <c r="D11837" t="inlineStr">
        <is>
          <t>NON-NIL</t>
        </is>
      </c>
      <c r="E11837" t="n">
        <v>1590</v>
      </c>
    </row>
    <row r="11838">
      <c r="A11838" t="inlineStr">
        <is>
          <t>27BBBBB11838Z5</t>
        </is>
      </c>
      <c r="B11838" t="inlineStr">
        <is>
          <t>Jul-2018</t>
        </is>
      </c>
      <c r="C11838" s="2" t="n">
        <v>43930</v>
      </c>
      <c r="D11838" t="inlineStr">
        <is>
          <t>NIL</t>
        </is>
      </c>
      <c r="E11838" t="n">
        <v>2879</v>
      </c>
    </row>
    <row r="11839">
      <c r="A11839" t="inlineStr">
        <is>
          <t>27BBBBB11839Z5</t>
        </is>
      </c>
      <c r="B11839" t="inlineStr">
        <is>
          <t>Mar-2020</t>
        </is>
      </c>
      <c r="C11839" s="2" t="n">
        <v>43895</v>
      </c>
      <c r="D11839" t="inlineStr">
        <is>
          <t>NON-NIL</t>
        </is>
      </c>
      <c r="E11839" t="n">
        <v>2342</v>
      </c>
    </row>
    <row r="11840">
      <c r="A11840" t="inlineStr">
        <is>
          <t>27BBBBB11840Z5</t>
        </is>
      </c>
      <c r="B11840" t="inlineStr">
        <is>
          <t>Jul-2017</t>
        </is>
      </c>
      <c r="C11840" s="2" t="n">
        <v>43833</v>
      </c>
      <c r="D11840" t="inlineStr">
        <is>
          <t>NIL</t>
        </is>
      </c>
      <c r="E11840" t="n">
        <v>1250</v>
      </c>
    </row>
    <row r="11841">
      <c r="A11841" t="inlineStr">
        <is>
          <t>27BBBBB11841Z5</t>
        </is>
      </c>
      <c r="B11841" t="inlineStr">
        <is>
          <t>Feb-2018</t>
        </is>
      </c>
      <c r="C11841" s="2" t="n">
        <v>43314</v>
      </c>
      <c r="D11841" t="inlineStr">
        <is>
          <t>NON-NIL</t>
        </is>
      </c>
      <c r="E11841" t="n">
        <v>511</v>
      </c>
    </row>
    <row r="11842">
      <c r="A11842" t="inlineStr">
        <is>
          <t>27BBBBB11842Z5</t>
        </is>
      </c>
      <c r="B11842" t="inlineStr">
        <is>
          <t>Jul-2018</t>
        </is>
      </c>
      <c r="C11842" s="2" t="n">
        <v>42920</v>
      </c>
      <c r="D11842" t="inlineStr">
        <is>
          <t>NON-NIL</t>
        </is>
      </c>
      <c r="E11842" t="n">
        <v>816</v>
      </c>
    </row>
    <row r="11843">
      <c r="A11843" t="inlineStr">
        <is>
          <t>27BBBBB11843Z5</t>
        </is>
      </c>
      <c r="B11843" t="inlineStr">
        <is>
          <t>Aug-2017</t>
        </is>
      </c>
      <c r="C11843" s="2" t="n">
        <v>43274</v>
      </c>
      <c r="D11843" t="inlineStr">
        <is>
          <t>NON-NIL</t>
        </is>
      </c>
      <c r="E11843" t="n">
        <v>2261</v>
      </c>
    </row>
    <row r="11844">
      <c r="A11844" t="inlineStr">
        <is>
          <t>27BBBBB11844Z5</t>
        </is>
      </c>
      <c r="B11844" t="inlineStr">
        <is>
          <t>Mar-2023</t>
        </is>
      </c>
      <c r="C11844" s="2" t="n">
        <v>44441</v>
      </c>
      <c r="D11844" t="inlineStr">
        <is>
          <t>NON-NIL</t>
        </is>
      </c>
      <c r="E11844" t="n">
        <v>2941</v>
      </c>
    </row>
    <row r="11845">
      <c r="A11845" t="inlineStr">
        <is>
          <t>27BBBBB11845Z5</t>
        </is>
      </c>
      <c r="B11845" t="inlineStr">
        <is>
          <t>Jul-2018</t>
        </is>
      </c>
      <c r="C11845" s="2" t="n">
        <v>44535</v>
      </c>
      <c r="D11845" t="inlineStr">
        <is>
          <t>NIL</t>
        </is>
      </c>
      <c r="E11845" t="n">
        <v>2755</v>
      </c>
    </row>
    <row r="11846">
      <c r="A11846" t="inlineStr">
        <is>
          <t>27BBBBB11846Z5</t>
        </is>
      </c>
      <c r="B11846" t="inlineStr">
        <is>
          <t>Apr-2018</t>
        </is>
      </c>
      <c r="C11846" s="2" t="n">
        <v>43032</v>
      </c>
      <c r="D11846" t="inlineStr">
        <is>
          <t>NON-NIL</t>
        </is>
      </c>
      <c r="E11846" t="n">
        <v>859</v>
      </c>
    </row>
    <row r="11847">
      <c r="A11847" t="inlineStr">
        <is>
          <t>27BBBBB11847Z5</t>
        </is>
      </c>
      <c r="B11847" t="inlineStr">
        <is>
          <t>Jan-2021</t>
        </is>
      </c>
      <c r="C11847" s="2" t="n">
        <v>45587</v>
      </c>
      <c r="D11847" t="inlineStr">
        <is>
          <t>NIL</t>
        </is>
      </c>
      <c r="E11847" t="n">
        <v>1170</v>
      </c>
    </row>
    <row r="11848">
      <c r="A11848" t="inlineStr">
        <is>
          <t>27BBBBB11848Z5</t>
        </is>
      </c>
      <c r="B11848" t="inlineStr">
        <is>
          <t>Jan-2021</t>
        </is>
      </c>
      <c r="C11848" s="2" t="n">
        <v>45244</v>
      </c>
      <c r="D11848" t="inlineStr">
        <is>
          <t>NON-NIL</t>
        </is>
      </c>
      <c r="E11848" t="n">
        <v>271</v>
      </c>
    </row>
    <row r="11849">
      <c r="A11849" t="inlineStr">
        <is>
          <t>27BBBBB11849Z5</t>
        </is>
      </c>
      <c r="B11849" t="inlineStr">
        <is>
          <t>Oct-2017</t>
        </is>
      </c>
      <c r="C11849" s="2" t="n">
        <v>43919</v>
      </c>
      <c r="D11849" t="inlineStr">
        <is>
          <t>NON-NIL</t>
        </is>
      </c>
      <c r="E11849" t="n">
        <v>2553</v>
      </c>
    </row>
    <row r="11850">
      <c r="A11850" t="inlineStr">
        <is>
          <t>27BBBBB11850Z5</t>
        </is>
      </c>
      <c r="B11850" t="inlineStr">
        <is>
          <t>Mar-2023</t>
        </is>
      </c>
      <c r="C11850" s="2" t="n">
        <v>44945</v>
      </c>
      <c r="D11850" t="inlineStr">
        <is>
          <t>NIL</t>
        </is>
      </c>
      <c r="E11850" t="n">
        <v>2151</v>
      </c>
    </row>
    <row r="11851">
      <c r="A11851" t="inlineStr">
        <is>
          <t>27BBBBB11851Z5</t>
        </is>
      </c>
      <c r="B11851" t="inlineStr">
        <is>
          <t>Sep-2018</t>
        </is>
      </c>
      <c r="C11851" s="2" t="n">
        <v>43744</v>
      </c>
      <c r="D11851" t="inlineStr">
        <is>
          <t>NON-NIL</t>
        </is>
      </c>
      <c r="E11851" t="n">
        <v>2331</v>
      </c>
    </row>
    <row r="11852">
      <c r="A11852" t="inlineStr">
        <is>
          <t>27BBBBB11852Z5</t>
        </is>
      </c>
      <c r="B11852" t="inlineStr">
        <is>
          <t>Nov-2018</t>
        </is>
      </c>
      <c r="C11852" s="2" t="n">
        <v>44134</v>
      </c>
      <c r="D11852" t="inlineStr">
        <is>
          <t>NON-NIL</t>
        </is>
      </c>
      <c r="E11852" t="n">
        <v>2582</v>
      </c>
    </row>
    <row r="11853">
      <c r="A11853" t="inlineStr">
        <is>
          <t>27BBBBB11853Z5</t>
        </is>
      </c>
      <c r="B11853" t="inlineStr">
        <is>
          <t>Aug-2018</t>
        </is>
      </c>
      <c r="C11853" s="2" t="n">
        <v>43537</v>
      </c>
      <c r="D11853" t="inlineStr">
        <is>
          <t>NON-NIL</t>
        </is>
      </c>
      <c r="E11853" t="n">
        <v>848</v>
      </c>
    </row>
    <row r="11854">
      <c r="A11854" t="inlineStr">
        <is>
          <t>27BBBBB11854Z5</t>
        </is>
      </c>
      <c r="B11854" t="inlineStr">
        <is>
          <t>Feb-2018</t>
        </is>
      </c>
      <c r="C11854" s="2" t="n">
        <v>43097</v>
      </c>
      <c r="D11854" t="inlineStr">
        <is>
          <t>NIL</t>
        </is>
      </c>
      <c r="E11854" t="n">
        <v>1283</v>
      </c>
    </row>
    <row r="11855">
      <c r="A11855" t="inlineStr">
        <is>
          <t>27BBBBB11855Z5</t>
        </is>
      </c>
      <c r="B11855" t="inlineStr">
        <is>
          <t>Mar-2018</t>
        </is>
      </c>
      <c r="C11855" s="2" t="n">
        <v>43918</v>
      </c>
      <c r="D11855" t="inlineStr">
        <is>
          <t>NON-NIL</t>
        </is>
      </c>
      <c r="E11855" t="n">
        <v>1558</v>
      </c>
    </row>
    <row r="11856">
      <c r="A11856" t="inlineStr">
        <is>
          <t>27BBBBB11856Z5</t>
        </is>
      </c>
      <c r="B11856" t="inlineStr">
        <is>
          <t>Jul-2017</t>
        </is>
      </c>
      <c r="C11856" s="2" t="n">
        <v>44046</v>
      </c>
      <c r="D11856" t="inlineStr">
        <is>
          <t>NIL</t>
        </is>
      </c>
      <c r="E11856" t="n">
        <v>84</v>
      </c>
    </row>
    <row r="11857">
      <c r="A11857" t="inlineStr">
        <is>
          <t>27BBBBB11857Z5</t>
        </is>
      </c>
      <c r="B11857" t="inlineStr">
        <is>
          <t>Sep-2018</t>
        </is>
      </c>
      <c r="C11857" s="2" t="n">
        <v>44181</v>
      </c>
      <c r="D11857" t="inlineStr">
        <is>
          <t>NIL</t>
        </is>
      </c>
      <c r="E11857" t="n">
        <v>2786</v>
      </c>
    </row>
    <row r="11858">
      <c r="A11858" t="inlineStr">
        <is>
          <t>27BBBBB11858Z5</t>
        </is>
      </c>
      <c r="B11858" t="inlineStr">
        <is>
          <t>Oct-2018</t>
        </is>
      </c>
      <c r="C11858" s="2" t="n">
        <v>43727</v>
      </c>
      <c r="D11858" t="inlineStr">
        <is>
          <t>NIL</t>
        </is>
      </c>
      <c r="E11858" t="n">
        <v>741</v>
      </c>
    </row>
    <row r="11859">
      <c r="A11859" t="inlineStr">
        <is>
          <t>27BBBBB11859Z5</t>
        </is>
      </c>
      <c r="B11859" t="inlineStr">
        <is>
          <t>Apr-2018</t>
        </is>
      </c>
      <c r="C11859" s="2" t="n">
        <v>43168</v>
      </c>
      <c r="D11859" t="inlineStr">
        <is>
          <t>NON-NIL</t>
        </is>
      </c>
      <c r="E11859" t="n">
        <v>2561</v>
      </c>
    </row>
    <row r="11860">
      <c r="A11860" t="inlineStr">
        <is>
          <t>27BBBBB11860Z5</t>
        </is>
      </c>
      <c r="B11860" t="inlineStr">
        <is>
          <t>Sep-2017</t>
        </is>
      </c>
      <c r="C11860" s="2" t="n">
        <v>44182</v>
      </c>
      <c r="D11860" t="inlineStr">
        <is>
          <t>NIL</t>
        </is>
      </c>
      <c r="E11860" t="n">
        <v>2996</v>
      </c>
    </row>
    <row r="11861">
      <c r="A11861" t="inlineStr">
        <is>
          <t>27BBBBB11861Z5</t>
        </is>
      </c>
      <c r="B11861" t="inlineStr">
        <is>
          <t>Aug-2017</t>
        </is>
      </c>
      <c r="C11861" s="2" t="n">
        <v>44505</v>
      </c>
      <c r="D11861" t="inlineStr">
        <is>
          <t>NIL</t>
        </is>
      </c>
      <c r="E11861" t="n">
        <v>1287</v>
      </c>
    </row>
    <row r="11862">
      <c r="A11862" t="inlineStr">
        <is>
          <t>27BBBBB11862Z5</t>
        </is>
      </c>
      <c r="B11862" t="inlineStr">
        <is>
          <t>Jul-2017</t>
        </is>
      </c>
      <c r="C11862" s="2" t="n">
        <v>43927</v>
      </c>
      <c r="D11862" t="inlineStr">
        <is>
          <t>NON-NIL</t>
        </is>
      </c>
      <c r="E11862" t="n">
        <v>770</v>
      </c>
    </row>
    <row r="11863">
      <c r="A11863" t="inlineStr">
        <is>
          <t>27BBBBB11863Z5</t>
        </is>
      </c>
      <c r="B11863" t="inlineStr">
        <is>
          <t>Sep-2018</t>
        </is>
      </c>
      <c r="C11863" s="2" t="n">
        <v>43356</v>
      </c>
      <c r="D11863" t="inlineStr">
        <is>
          <t>NIL</t>
        </is>
      </c>
      <c r="E11863" t="n">
        <v>1335</v>
      </c>
    </row>
    <row r="11864">
      <c r="A11864" t="inlineStr">
        <is>
          <t>27BBBBB11864Z5</t>
        </is>
      </c>
      <c r="B11864" t="inlineStr">
        <is>
          <t>Jul-2017</t>
        </is>
      </c>
      <c r="C11864" s="2" t="n">
        <v>43290</v>
      </c>
      <c r="D11864" t="inlineStr">
        <is>
          <t>NIL</t>
        </is>
      </c>
      <c r="E11864" t="n">
        <v>1768</v>
      </c>
    </row>
    <row r="11865">
      <c r="A11865" t="inlineStr">
        <is>
          <t>27BBBBB11865Z5</t>
        </is>
      </c>
      <c r="B11865" t="inlineStr">
        <is>
          <t>Oct-2018</t>
        </is>
      </c>
      <c r="C11865" s="2" t="n">
        <v>44397</v>
      </c>
      <c r="D11865" t="inlineStr">
        <is>
          <t>NIL</t>
        </is>
      </c>
      <c r="E11865" t="n">
        <v>824</v>
      </c>
    </row>
    <row r="11866">
      <c r="A11866" t="inlineStr">
        <is>
          <t>27BBBBB11866Z5</t>
        </is>
      </c>
      <c r="B11866" t="inlineStr">
        <is>
          <t>Jun-2020</t>
        </is>
      </c>
      <c r="C11866" s="2" t="n">
        <v>44100</v>
      </c>
      <c r="D11866" t="inlineStr">
        <is>
          <t>NON-NIL</t>
        </is>
      </c>
      <c r="E11866" t="n">
        <v>2166</v>
      </c>
    </row>
    <row r="11867">
      <c r="A11867" t="inlineStr">
        <is>
          <t>27BBBBB11867Z5</t>
        </is>
      </c>
      <c r="B11867" t="inlineStr">
        <is>
          <t>Oct-2017</t>
        </is>
      </c>
      <c r="C11867" s="2" t="n">
        <v>43438</v>
      </c>
      <c r="D11867" t="inlineStr">
        <is>
          <t>NON-NIL</t>
        </is>
      </c>
      <c r="E11867" t="n">
        <v>2445</v>
      </c>
    </row>
    <row r="11868">
      <c r="A11868" t="inlineStr">
        <is>
          <t>27BBBBB11868Z5</t>
        </is>
      </c>
      <c r="B11868" t="inlineStr">
        <is>
          <t>Jul-2018</t>
        </is>
      </c>
      <c r="C11868" s="2" t="n">
        <v>44501</v>
      </c>
      <c r="D11868" t="inlineStr">
        <is>
          <t>NON-NIL</t>
        </is>
      </c>
      <c r="E11868" t="n">
        <v>1545</v>
      </c>
    </row>
    <row r="11869">
      <c r="A11869" t="inlineStr">
        <is>
          <t>27BBBBB11869Z5</t>
        </is>
      </c>
      <c r="B11869" t="inlineStr">
        <is>
          <t>Oct-2018</t>
        </is>
      </c>
      <c r="C11869" s="2" t="n">
        <v>43080</v>
      </c>
      <c r="D11869" t="inlineStr">
        <is>
          <t>NON-NIL</t>
        </is>
      </c>
      <c r="E11869" t="n">
        <v>2325</v>
      </c>
    </row>
    <row r="11870">
      <c r="A11870" t="inlineStr">
        <is>
          <t>27BBBBB11870Z5</t>
        </is>
      </c>
      <c r="B11870" t="inlineStr">
        <is>
          <t>Nov-2018</t>
        </is>
      </c>
      <c r="C11870" s="2" t="n">
        <v>43418</v>
      </c>
      <c r="D11870" t="inlineStr">
        <is>
          <t>NON-NIL</t>
        </is>
      </c>
      <c r="E11870" t="n">
        <v>1258</v>
      </c>
    </row>
    <row r="11871">
      <c r="A11871" t="inlineStr">
        <is>
          <t>27BBBBB11871Z5</t>
        </is>
      </c>
      <c r="B11871" t="inlineStr">
        <is>
          <t>Dec-2018</t>
        </is>
      </c>
      <c r="C11871" s="2" t="n">
        <v>44036</v>
      </c>
      <c r="D11871" t="inlineStr">
        <is>
          <t>NON-NIL</t>
        </is>
      </c>
      <c r="E11871" t="n">
        <v>2132</v>
      </c>
    </row>
    <row r="11872">
      <c r="A11872" t="inlineStr">
        <is>
          <t>27BBBBB11872Z5</t>
        </is>
      </c>
      <c r="B11872" t="inlineStr">
        <is>
          <t>Jul-2020</t>
        </is>
      </c>
      <c r="C11872" s="2" t="n">
        <v>44869</v>
      </c>
      <c r="D11872" t="inlineStr">
        <is>
          <t>NON-NIL</t>
        </is>
      </c>
      <c r="E11872" t="n">
        <v>2892</v>
      </c>
    </row>
    <row r="11873">
      <c r="A11873" t="inlineStr">
        <is>
          <t>27BBBBB11873Z5</t>
        </is>
      </c>
      <c r="B11873" t="inlineStr">
        <is>
          <t>Mar-2021</t>
        </is>
      </c>
      <c r="C11873" s="2" t="n">
        <v>44268</v>
      </c>
      <c r="D11873" t="inlineStr">
        <is>
          <t>NIL</t>
        </is>
      </c>
      <c r="E11873" t="n">
        <v>638</v>
      </c>
    </row>
    <row r="11874">
      <c r="A11874" t="inlineStr">
        <is>
          <t>27BBBBB11874Z5</t>
        </is>
      </c>
      <c r="B11874" t="inlineStr">
        <is>
          <t>Mar-2020</t>
        </is>
      </c>
      <c r="C11874" s="2" t="n">
        <v>44377</v>
      </c>
      <c r="D11874" t="inlineStr">
        <is>
          <t>NON-NIL</t>
        </is>
      </c>
      <c r="E11874" t="n">
        <v>1506</v>
      </c>
    </row>
    <row r="11875">
      <c r="A11875" t="inlineStr">
        <is>
          <t>27BBBBB11875Z5</t>
        </is>
      </c>
      <c r="B11875" t="inlineStr">
        <is>
          <t>Oct-2018</t>
        </is>
      </c>
      <c r="C11875" s="2" t="n">
        <v>43770</v>
      </c>
      <c r="D11875" t="inlineStr">
        <is>
          <t>NIL</t>
        </is>
      </c>
      <c r="E11875" t="n">
        <v>2642</v>
      </c>
    </row>
    <row r="11876">
      <c r="A11876" t="inlineStr">
        <is>
          <t>27BBBBB11876Z5</t>
        </is>
      </c>
      <c r="B11876" t="inlineStr">
        <is>
          <t>Mar-2023</t>
        </is>
      </c>
      <c r="C11876" s="2" t="n">
        <v>44021</v>
      </c>
      <c r="D11876" t="inlineStr">
        <is>
          <t>NON-NIL</t>
        </is>
      </c>
      <c r="E11876" t="n">
        <v>2419</v>
      </c>
    </row>
    <row r="11877">
      <c r="A11877" t="inlineStr">
        <is>
          <t>27BBBBB11877Z5</t>
        </is>
      </c>
      <c r="B11877" t="inlineStr">
        <is>
          <t>Oct-2017</t>
        </is>
      </c>
      <c r="C11877" s="2" t="n">
        <v>43177</v>
      </c>
      <c r="D11877" t="inlineStr">
        <is>
          <t>NON-NIL</t>
        </is>
      </c>
      <c r="E11877" t="n">
        <v>1673</v>
      </c>
    </row>
    <row r="11878">
      <c r="A11878" t="inlineStr">
        <is>
          <t>27BBBBB11878Z5</t>
        </is>
      </c>
      <c r="B11878" t="inlineStr">
        <is>
          <t>Mar-2020</t>
        </is>
      </c>
      <c r="C11878" s="2" t="n">
        <v>43875</v>
      </c>
      <c r="D11878" t="inlineStr">
        <is>
          <t>NIL</t>
        </is>
      </c>
      <c r="E11878" t="n">
        <v>1501</v>
      </c>
    </row>
    <row r="11879">
      <c r="A11879" t="inlineStr">
        <is>
          <t>27BBBBB11879Z5</t>
        </is>
      </c>
      <c r="B11879" t="inlineStr">
        <is>
          <t>Apr-2020</t>
        </is>
      </c>
      <c r="C11879" s="2" t="n">
        <v>44611</v>
      </c>
      <c r="D11879" t="inlineStr">
        <is>
          <t>NIL</t>
        </is>
      </c>
      <c r="E11879" t="n">
        <v>1778</v>
      </c>
    </row>
    <row r="11880">
      <c r="A11880" t="inlineStr">
        <is>
          <t>27BBBBB11880Z5</t>
        </is>
      </c>
      <c r="B11880" t="inlineStr">
        <is>
          <t>Aug-2018</t>
        </is>
      </c>
      <c r="C11880" s="2" t="n">
        <v>43536</v>
      </c>
      <c r="D11880" t="inlineStr">
        <is>
          <t>NIL</t>
        </is>
      </c>
      <c r="E11880" t="n">
        <v>330</v>
      </c>
    </row>
    <row r="11881">
      <c r="A11881" t="inlineStr">
        <is>
          <t>27BBBBB11881Z5</t>
        </is>
      </c>
      <c r="B11881" t="inlineStr">
        <is>
          <t>Oct-2018</t>
        </is>
      </c>
      <c r="C11881" s="2" t="n">
        <v>43463</v>
      </c>
      <c r="D11881" t="inlineStr">
        <is>
          <t>NIL</t>
        </is>
      </c>
      <c r="E11881" t="n">
        <v>2431</v>
      </c>
    </row>
    <row r="11882">
      <c r="A11882" t="inlineStr">
        <is>
          <t>27BBBBB11882Z5</t>
        </is>
      </c>
      <c r="B11882" t="inlineStr">
        <is>
          <t>Jul-2020</t>
        </is>
      </c>
      <c r="C11882" s="2" t="n">
        <v>43915</v>
      </c>
      <c r="D11882" t="inlineStr">
        <is>
          <t>NIL</t>
        </is>
      </c>
      <c r="E11882" t="n">
        <v>2910</v>
      </c>
    </row>
    <row r="11883">
      <c r="A11883" t="inlineStr">
        <is>
          <t>27BBBBB11883Z5</t>
        </is>
      </c>
      <c r="B11883" t="inlineStr">
        <is>
          <t>Feb-2018</t>
        </is>
      </c>
      <c r="C11883" s="2" t="n">
        <v>42965</v>
      </c>
      <c r="D11883" t="inlineStr">
        <is>
          <t>NIL</t>
        </is>
      </c>
      <c r="E11883" t="n">
        <v>2291</v>
      </c>
    </row>
    <row r="11884">
      <c r="A11884" t="inlineStr">
        <is>
          <t>27BBBBB11884Z5</t>
        </is>
      </c>
      <c r="B11884" t="inlineStr">
        <is>
          <t>Oct-2018</t>
        </is>
      </c>
      <c r="C11884" s="2" t="n">
        <v>44329</v>
      </c>
      <c r="D11884" t="inlineStr">
        <is>
          <t>NIL</t>
        </is>
      </c>
      <c r="E11884" t="n">
        <v>805</v>
      </c>
    </row>
    <row r="11885">
      <c r="A11885" t="inlineStr">
        <is>
          <t>27BBBBB11885Z5</t>
        </is>
      </c>
      <c r="B11885" t="inlineStr">
        <is>
          <t>Dec-2017</t>
        </is>
      </c>
      <c r="C11885" s="2" t="n">
        <v>44240</v>
      </c>
      <c r="D11885" t="inlineStr">
        <is>
          <t>NIL</t>
        </is>
      </c>
      <c r="E11885" t="n">
        <v>1745</v>
      </c>
    </row>
    <row r="11886">
      <c r="A11886" t="inlineStr">
        <is>
          <t>27BBBBB11886Z5</t>
        </is>
      </c>
      <c r="B11886" t="inlineStr">
        <is>
          <t>Mar-2023</t>
        </is>
      </c>
      <c r="C11886" s="2" t="n">
        <v>45263</v>
      </c>
      <c r="D11886" t="inlineStr">
        <is>
          <t>NIL</t>
        </is>
      </c>
      <c r="E11886" t="n">
        <v>1259</v>
      </c>
    </row>
    <row r="11887">
      <c r="A11887" t="inlineStr">
        <is>
          <t>27BBBBB11887Z5</t>
        </is>
      </c>
      <c r="B11887" t="inlineStr">
        <is>
          <t>Aug-2018</t>
        </is>
      </c>
      <c r="C11887" s="2" t="n">
        <v>44481</v>
      </c>
      <c r="D11887" t="inlineStr">
        <is>
          <t>NON-NIL</t>
        </is>
      </c>
      <c r="E11887" t="n">
        <v>2566</v>
      </c>
    </row>
    <row r="11888">
      <c r="A11888" t="inlineStr">
        <is>
          <t>27BBBBB11888Z5</t>
        </is>
      </c>
      <c r="B11888" t="inlineStr">
        <is>
          <t>Dec-2024</t>
        </is>
      </c>
      <c r="C11888" s="2" t="n">
        <v>43718</v>
      </c>
      <c r="D11888" t="inlineStr">
        <is>
          <t>NIL</t>
        </is>
      </c>
      <c r="E11888" t="n">
        <v>382</v>
      </c>
    </row>
    <row r="11889">
      <c r="A11889" t="inlineStr">
        <is>
          <t>27BBBBB11889Z5</t>
        </is>
      </c>
      <c r="B11889" t="inlineStr">
        <is>
          <t>Nov-2017</t>
        </is>
      </c>
      <c r="C11889" s="2" t="n">
        <v>43963</v>
      </c>
      <c r="D11889" t="inlineStr">
        <is>
          <t>NON-NIL</t>
        </is>
      </c>
      <c r="E11889" t="n">
        <v>2444</v>
      </c>
    </row>
    <row r="11890">
      <c r="A11890" t="inlineStr">
        <is>
          <t>27BBBBB11890Z5</t>
        </is>
      </c>
      <c r="B11890" t="inlineStr">
        <is>
          <t>Dec-2022</t>
        </is>
      </c>
      <c r="C11890" s="2" t="n">
        <v>43812</v>
      </c>
      <c r="D11890" t="inlineStr">
        <is>
          <t>NIL</t>
        </is>
      </c>
      <c r="E11890" t="n">
        <v>580</v>
      </c>
    </row>
    <row r="11891">
      <c r="A11891" t="inlineStr">
        <is>
          <t>27BBBBB11891Z5</t>
        </is>
      </c>
      <c r="B11891" t="inlineStr">
        <is>
          <t>Oct-2017</t>
        </is>
      </c>
      <c r="C11891" s="2" t="n">
        <v>43490</v>
      </c>
      <c r="D11891" t="inlineStr">
        <is>
          <t>NON-NIL</t>
        </is>
      </c>
      <c r="E11891" t="n">
        <v>1400</v>
      </c>
    </row>
    <row r="11892">
      <c r="A11892" t="inlineStr">
        <is>
          <t>27BBBBB11892Z5</t>
        </is>
      </c>
      <c r="B11892" t="inlineStr">
        <is>
          <t>Dec-2024</t>
        </is>
      </c>
      <c r="C11892" s="2" t="n">
        <v>44145</v>
      </c>
      <c r="D11892" t="inlineStr">
        <is>
          <t>NON-NIL</t>
        </is>
      </c>
      <c r="E11892" t="n">
        <v>743</v>
      </c>
    </row>
    <row r="11893">
      <c r="A11893" t="inlineStr">
        <is>
          <t>27BBBBB11893Z5</t>
        </is>
      </c>
      <c r="B11893" t="inlineStr">
        <is>
          <t>Jul-2020</t>
        </is>
      </c>
      <c r="C11893" s="2" t="n">
        <v>44880</v>
      </c>
      <c r="D11893" t="inlineStr">
        <is>
          <t>NON-NIL</t>
        </is>
      </c>
      <c r="E11893" t="n">
        <v>927</v>
      </c>
    </row>
    <row r="11894">
      <c r="A11894" t="inlineStr">
        <is>
          <t>27BBBBB11894Z5</t>
        </is>
      </c>
      <c r="B11894" t="inlineStr">
        <is>
          <t>Jul-2020</t>
        </is>
      </c>
      <c r="C11894" s="2" t="n">
        <v>44705</v>
      </c>
      <c r="D11894" t="inlineStr">
        <is>
          <t>NIL</t>
        </is>
      </c>
      <c r="E11894" t="n">
        <v>759</v>
      </c>
    </row>
    <row r="11895">
      <c r="A11895" t="inlineStr">
        <is>
          <t>27BBBBB11895Z5</t>
        </is>
      </c>
      <c r="B11895" t="inlineStr">
        <is>
          <t>Dec-2024</t>
        </is>
      </c>
      <c r="C11895" s="2" t="n">
        <v>44050</v>
      </c>
      <c r="D11895" t="inlineStr">
        <is>
          <t>NIL</t>
        </is>
      </c>
      <c r="E11895" t="n">
        <v>290</v>
      </c>
    </row>
    <row r="11896">
      <c r="A11896" t="inlineStr">
        <is>
          <t>27BBBBB11896Z5</t>
        </is>
      </c>
      <c r="B11896" t="inlineStr">
        <is>
          <t>Oct-2018</t>
        </is>
      </c>
      <c r="C11896" s="2" t="n">
        <v>43035</v>
      </c>
      <c r="D11896" t="inlineStr">
        <is>
          <t>NON-NIL</t>
        </is>
      </c>
      <c r="E11896" t="n">
        <v>197</v>
      </c>
    </row>
    <row r="11897">
      <c r="A11897" t="inlineStr">
        <is>
          <t>27BBBBB11897Z5</t>
        </is>
      </c>
      <c r="B11897" t="inlineStr">
        <is>
          <t>Sep-2018</t>
        </is>
      </c>
      <c r="C11897" s="2" t="n">
        <v>43599</v>
      </c>
      <c r="D11897" t="inlineStr">
        <is>
          <t>NON-NIL</t>
        </is>
      </c>
      <c r="E11897" t="n">
        <v>2992</v>
      </c>
    </row>
    <row r="11898">
      <c r="A11898" t="inlineStr">
        <is>
          <t>27BBBBB11898Z5</t>
        </is>
      </c>
      <c r="B11898" t="inlineStr">
        <is>
          <t>Dec-2018</t>
        </is>
      </c>
      <c r="C11898" s="2" t="n">
        <v>42933</v>
      </c>
      <c r="D11898" t="inlineStr">
        <is>
          <t>NON-NIL</t>
        </is>
      </c>
      <c r="E11898" t="n">
        <v>1977</v>
      </c>
    </row>
    <row r="11899">
      <c r="A11899" t="inlineStr">
        <is>
          <t>27BBBBB11899Z5</t>
        </is>
      </c>
      <c r="B11899" t="inlineStr">
        <is>
          <t>Mar-2023</t>
        </is>
      </c>
      <c r="C11899" s="2" t="n">
        <v>45775</v>
      </c>
      <c r="D11899" t="inlineStr">
        <is>
          <t>NON-NIL</t>
        </is>
      </c>
      <c r="E11899" t="n">
        <v>264</v>
      </c>
    </row>
    <row r="11900">
      <c r="A11900" t="inlineStr">
        <is>
          <t>27BBBBB11900Z5</t>
        </is>
      </c>
      <c r="B11900" t="inlineStr">
        <is>
          <t>Dec-2017</t>
        </is>
      </c>
      <c r="C11900" s="2" t="n">
        <v>44506</v>
      </c>
      <c r="D11900" t="inlineStr">
        <is>
          <t>NON-NIL</t>
        </is>
      </c>
      <c r="E11900" t="n">
        <v>1093</v>
      </c>
    </row>
    <row r="11901">
      <c r="A11901" t="inlineStr">
        <is>
          <t>27BBBBB11901Z5</t>
        </is>
      </c>
      <c r="B11901" t="inlineStr">
        <is>
          <t>Nov-2017</t>
        </is>
      </c>
      <c r="C11901" s="2" t="n">
        <v>44057</v>
      </c>
      <c r="D11901" t="inlineStr">
        <is>
          <t>NON-NIL</t>
        </is>
      </c>
      <c r="E11901" t="n">
        <v>2322</v>
      </c>
    </row>
    <row r="11902">
      <c r="A11902" t="inlineStr">
        <is>
          <t>27BBBBB11902Z5</t>
        </is>
      </c>
      <c r="B11902" t="inlineStr">
        <is>
          <t>Sep-2018</t>
        </is>
      </c>
      <c r="C11902" s="2" t="n">
        <v>43022</v>
      </c>
      <c r="D11902" t="inlineStr">
        <is>
          <t>NON-NIL</t>
        </is>
      </c>
      <c r="E11902" t="n">
        <v>966</v>
      </c>
    </row>
    <row r="11903">
      <c r="A11903" t="inlineStr">
        <is>
          <t>27BBBBB11903Z5</t>
        </is>
      </c>
      <c r="B11903" t="inlineStr">
        <is>
          <t>Nov-2017</t>
        </is>
      </c>
      <c r="C11903" s="2" t="n">
        <v>43778</v>
      </c>
      <c r="D11903" t="inlineStr">
        <is>
          <t>NON-NIL</t>
        </is>
      </c>
      <c r="E11903" t="n">
        <v>1697</v>
      </c>
    </row>
    <row r="11904">
      <c r="A11904" t="inlineStr">
        <is>
          <t>27BBBBB11904Z5</t>
        </is>
      </c>
      <c r="B11904" t="inlineStr">
        <is>
          <t>Sep-2018</t>
        </is>
      </c>
      <c r="C11904" s="2" t="n">
        <v>44139</v>
      </c>
      <c r="D11904" t="inlineStr">
        <is>
          <t>NIL</t>
        </is>
      </c>
      <c r="E11904" t="n">
        <v>450</v>
      </c>
    </row>
    <row r="11905">
      <c r="A11905" t="inlineStr">
        <is>
          <t>27BBBBB11905Z5</t>
        </is>
      </c>
      <c r="B11905" t="inlineStr">
        <is>
          <t>Aug-2018</t>
        </is>
      </c>
      <c r="C11905" s="2" t="n">
        <v>43974</v>
      </c>
      <c r="D11905" t="inlineStr">
        <is>
          <t>NON-NIL</t>
        </is>
      </c>
      <c r="E11905" t="n">
        <v>2829</v>
      </c>
    </row>
    <row r="11906">
      <c r="A11906" t="inlineStr">
        <is>
          <t>27BBBBB11906Z5</t>
        </is>
      </c>
      <c r="B11906" t="inlineStr">
        <is>
          <t>Oct-2017</t>
        </is>
      </c>
      <c r="C11906" s="2" t="n">
        <v>44030</v>
      </c>
      <c r="D11906" t="inlineStr">
        <is>
          <t>NIL</t>
        </is>
      </c>
      <c r="E11906" t="n">
        <v>2891</v>
      </c>
    </row>
    <row r="11907">
      <c r="A11907" t="inlineStr">
        <is>
          <t>27BBBBB11907Z5</t>
        </is>
      </c>
      <c r="B11907" t="inlineStr">
        <is>
          <t>Mar-2018</t>
        </is>
      </c>
      <c r="C11907" s="2" t="n">
        <v>43875</v>
      </c>
      <c r="D11907" t="inlineStr">
        <is>
          <t>NON-NIL</t>
        </is>
      </c>
      <c r="E11907" t="n">
        <v>564</v>
      </c>
    </row>
    <row r="11908">
      <c r="A11908" t="inlineStr">
        <is>
          <t>27BBBBB11908Z5</t>
        </is>
      </c>
      <c r="B11908" t="inlineStr">
        <is>
          <t>Nov-2017</t>
        </is>
      </c>
      <c r="C11908" s="2" t="n">
        <v>43261</v>
      </c>
      <c r="D11908" t="inlineStr">
        <is>
          <t>NIL</t>
        </is>
      </c>
      <c r="E11908" t="n">
        <v>1065</v>
      </c>
    </row>
    <row r="11909">
      <c r="A11909" t="inlineStr">
        <is>
          <t>27BBBBB11909Z5</t>
        </is>
      </c>
      <c r="B11909" t="inlineStr">
        <is>
          <t>Mar-2021</t>
        </is>
      </c>
      <c r="C11909" s="2" t="n">
        <v>45324</v>
      </c>
      <c r="D11909" t="inlineStr">
        <is>
          <t>NIL</t>
        </is>
      </c>
      <c r="E11909" t="n">
        <v>421</v>
      </c>
    </row>
    <row r="11910">
      <c r="A11910" t="inlineStr">
        <is>
          <t>27BBBBB11910Z5</t>
        </is>
      </c>
      <c r="B11910" t="inlineStr">
        <is>
          <t>Jan-2021</t>
        </is>
      </c>
      <c r="C11910" s="2" t="n">
        <v>45823</v>
      </c>
      <c r="D11910" t="inlineStr">
        <is>
          <t>NON-NIL</t>
        </is>
      </c>
      <c r="E11910" t="n">
        <v>529</v>
      </c>
    </row>
    <row r="11911">
      <c r="A11911" t="inlineStr">
        <is>
          <t>27BBBBB11911Z5</t>
        </is>
      </c>
      <c r="B11911" t="inlineStr">
        <is>
          <t>Aug-2018</t>
        </is>
      </c>
      <c r="C11911" s="2" t="n">
        <v>44531</v>
      </c>
      <c r="D11911" t="inlineStr">
        <is>
          <t>NON-NIL</t>
        </is>
      </c>
      <c r="E11911" t="n">
        <v>1425</v>
      </c>
    </row>
    <row r="11912">
      <c r="A11912" t="inlineStr">
        <is>
          <t>27BBBBB11912Z5</t>
        </is>
      </c>
      <c r="B11912" t="inlineStr">
        <is>
          <t>Jan-2018</t>
        </is>
      </c>
      <c r="C11912" s="2" t="n">
        <v>43328</v>
      </c>
      <c r="D11912" t="inlineStr">
        <is>
          <t>NIL</t>
        </is>
      </c>
      <c r="E11912" t="n">
        <v>1607</v>
      </c>
    </row>
    <row r="11913">
      <c r="A11913" t="inlineStr">
        <is>
          <t>27BBBBB11913Z5</t>
        </is>
      </c>
      <c r="B11913" t="inlineStr">
        <is>
          <t>Mar-2023</t>
        </is>
      </c>
      <c r="C11913" s="2" t="n">
        <v>45268</v>
      </c>
      <c r="D11913" t="inlineStr">
        <is>
          <t>NON-NIL</t>
        </is>
      </c>
      <c r="E11913" t="n">
        <v>896</v>
      </c>
    </row>
    <row r="11914">
      <c r="A11914" t="inlineStr">
        <is>
          <t>27BBBBB11914Z5</t>
        </is>
      </c>
      <c r="B11914" t="inlineStr">
        <is>
          <t>Apr-2020</t>
        </is>
      </c>
      <c r="C11914" s="2" t="n">
        <v>44492</v>
      </c>
      <c r="D11914" t="inlineStr">
        <is>
          <t>NON-NIL</t>
        </is>
      </c>
      <c r="E11914" t="n">
        <v>1051</v>
      </c>
    </row>
    <row r="11915">
      <c r="A11915" t="inlineStr">
        <is>
          <t>27BBBBB11915Z5</t>
        </is>
      </c>
      <c r="B11915" t="inlineStr">
        <is>
          <t>Oct-2018</t>
        </is>
      </c>
      <c r="C11915" s="2" t="n">
        <v>44441</v>
      </c>
      <c r="D11915" t="inlineStr">
        <is>
          <t>NON-NIL</t>
        </is>
      </c>
      <c r="E11915" t="n">
        <v>1454</v>
      </c>
    </row>
    <row r="11916">
      <c r="A11916" t="inlineStr">
        <is>
          <t>27BBBBB11916Z5</t>
        </is>
      </c>
      <c r="B11916" t="inlineStr">
        <is>
          <t>Aug-2018</t>
        </is>
      </c>
      <c r="C11916" s="2" t="n">
        <v>43974</v>
      </c>
      <c r="D11916" t="inlineStr">
        <is>
          <t>NIL</t>
        </is>
      </c>
      <c r="E11916" t="n">
        <v>1343</v>
      </c>
    </row>
    <row r="11917">
      <c r="A11917" t="inlineStr">
        <is>
          <t>27BBBBB11917Z5</t>
        </is>
      </c>
      <c r="B11917" t="inlineStr">
        <is>
          <t>Dec-2024</t>
        </is>
      </c>
      <c r="C11917" s="2" t="n">
        <v>44529</v>
      </c>
      <c r="D11917" t="inlineStr">
        <is>
          <t>NIL</t>
        </is>
      </c>
      <c r="E11917" t="n">
        <v>1918</v>
      </c>
    </row>
    <row r="11918">
      <c r="A11918" t="inlineStr">
        <is>
          <t>27BBBBB11918Z5</t>
        </is>
      </c>
      <c r="B11918" t="inlineStr">
        <is>
          <t>Jun-2020</t>
        </is>
      </c>
      <c r="C11918" s="2" t="n">
        <v>44823</v>
      </c>
      <c r="D11918" t="inlineStr">
        <is>
          <t>NIL</t>
        </is>
      </c>
      <c r="E11918" t="n">
        <v>2303</v>
      </c>
    </row>
    <row r="11919">
      <c r="A11919" t="inlineStr">
        <is>
          <t>27BBBBB11919Z5</t>
        </is>
      </c>
      <c r="B11919" t="inlineStr">
        <is>
          <t>Mar-2021</t>
        </is>
      </c>
      <c r="C11919" s="2" t="n">
        <v>44834</v>
      </c>
      <c r="D11919" t="inlineStr">
        <is>
          <t>NON-NIL</t>
        </is>
      </c>
      <c r="E11919" t="n">
        <v>318</v>
      </c>
    </row>
    <row r="11920">
      <c r="A11920" t="inlineStr">
        <is>
          <t>27BBBBB11920Z5</t>
        </is>
      </c>
      <c r="B11920" t="inlineStr">
        <is>
          <t>Aug-2018</t>
        </is>
      </c>
      <c r="C11920" s="2" t="n">
        <v>44008</v>
      </c>
      <c r="D11920" t="inlineStr">
        <is>
          <t>NON-NIL</t>
        </is>
      </c>
      <c r="E11920" t="n">
        <v>1993</v>
      </c>
    </row>
    <row r="11921">
      <c r="A11921" t="inlineStr">
        <is>
          <t>27BBBBB11921Z5</t>
        </is>
      </c>
      <c r="B11921" t="inlineStr">
        <is>
          <t>Aug-2017</t>
        </is>
      </c>
      <c r="C11921" s="2" t="n">
        <v>42949</v>
      </c>
      <c r="D11921" t="inlineStr">
        <is>
          <t>NIL</t>
        </is>
      </c>
      <c r="E11921" t="n">
        <v>2279</v>
      </c>
    </row>
    <row r="11922">
      <c r="A11922" t="inlineStr">
        <is>
          <t>27BBBBB11922Z5</t>
        </is>
      </c>
      <c r="B11922" t="inlineStr">
        <is>
          <t>Mar-2018</t>
        </is>
      </c>
      <c r="C11922" s="2" t="n">
        <v>44034</v>
      </c>
      <c r="D11922" t="inlineStr">
        <is>
          <t>NON-NIL</t>
        </is>
      </c>
      <c r="E11922" t="n">
        <v>1464</v>
      </c>
    </row>
    <row r="11923">
      <c r="A11923" t="inlineStr">
        <is>
          <t>27BBBBB11923Z5</t>
        </is>
      </c>
      <c r="B11923" t="inlineStr">
        <is>
          <t>Aug-2018</t>
        </is>
      </c>
      <c r="C11923" s="2" t="n">
        <v>43518</v>
      </c>
      <c r="D11923" t="inlineStr">
        <is>
          <t>NIL</t>
        </is>
      </c>
      <c r="E11923" t="n">
        <v>916</v>
      </c>
    </row>
    <row r="11924">
      <c r="A11924" t="inlineStr">
        <is>
          <t>27BBBBB11924Z5</t>
        </is>
      </c>
      <c r="B11924" t="inlineStr">
        <is>
          <t>Jun-2018</t>
        </is>
      </c>
      <c r="C11924" s="2" t="n">
        <v>43743</v>
      </c>
      <c r="D11924" t="inlineStr">
        <is>
          <t>NON-NIL</t>
        </is>
      </c>
      <c r="E11924" t="n">
        <v>1738</v>
      </c>
    </row>
    <row r="11925">
      <c r="A11925" t="inlineStr">
        <is>
          <t>27BBBBB11925Z5</t>
        </is>
      </c>
      <c r="B11925" t="inlineStr">
        <is>
          <t>Oct-2017</t>
        </is>
      </c>
      <c r="C11925" s="2" t="n">
        <v>43068</v>
      </c>
      <c r="D11925" t="inlineStr">
        <is>
          <t>NON-NIL</t>
        </is>
      </c>
      <c r="E11925" t="n">
        <v>1706</v>
      </c>
    </row>
    <row r="11926">
      <c r="A11926" t="inlineStr">
        <is>
          <t>27BBBBB11926Z5</t>
        </is>
      </c>
      <c r="B11926" t="inlineStr">
        <is>
          <t>Apr-2018</t>
        </is>
      </c>
      <c r="C11926" s="2" t="n">
        <v>43030</v>
      </c>
      <c r="D11926" t="inlineStr">
        <is>
          <t>NON-NIL</t>
        </is>
      </c>
      <c r="E11926" t="n">
        <v>2203</v>
      </c>
    </row>
    <row r="11927">
      <c r="A11927" t="inlineStr">
        <is>
          <t>27BBBBB11927Z5</t>
        </is>
      </c>
      <c r="B11927" t="inlineStr">
        <is>
          <t>Oct-2018</t>
        </is>
      </c>
      <c r="C11927" s="2" t="n">
        <v>43350</v>
      </c>
      <c r="D11927" t="inlineStr">
        <is>
          <t>NON-NIL</t>
        </is>
      </c>
      <c r="E11927" t="n">
        <v>732</v>
      </c>
    </row>
    <row r="11928">
      <c r="A11928" t="inlineStr">
        <is>
          <t>27BBBBB11928Z5</t>
        </is>
      </c>
      <c r="B11928" t="inlineStr">
        <is>
          <t>Dec-2017</t>
        </is>
      </c>
      <c r="C11928" s="2" t="n">
        <v>44338</v>
      </c>
      <c r="D11928" t="inlineStr">
        <is>
          <t>NIL</t>
        </is>
      </c>
      <c r="E11928" t="n">
        <v>1471</v>
      </c>
    </row>
    <row r="11929">
      <c r="A11929" t="inlineStr">
        <is>
          <t>27BBBBB11929Z5</t>
        </is>
      </c>
      <c r="B11929" t="inlineStr">
        <is>
          <t>Jan-2018</t>
        </is>
      </c>
      <c r="C11929" s="2" t="n">
        <v>44013</v>
      </c>
      <c r="D11929" t="inlineStr">
        <is>
          <t>NON-NIL</t>
        </is>
      </c>
      <c r="E11929" t="n">
        <v>470</v>
      </c>
    </row>
    <row r="11930">
      <c r="A11930" t="inlineStr">
        <is>
          <t>27BBBBB11930Z5</t>
        </is>
      </c>
      <c r="B11930" t="inlineStr">
        <is>
          <t>Jun-2020</t>
        </is>
      </c>
      <c r="C11930" s="2" t="n">
        <v>44916</v>
      </c>
      <c r="D11930" t="inlineStr">
        <is>
          <t>NIL</t>
        </is>
      </c>
      <c r="E11930" t="n">
        <v>1823</v>
      </c>
    </row>
    <row r="11931">
      <c r="A11931" t="inlineStr">
        <is>
          <t>27BBBBB11931Z5</t>
        </is>
      </c>
      <c r="B11931" t="inlineStr">
        <is>
          <t>Mar-2021</t>
        </is>
      </c>
      <c r="C11931" s="2" t="n">
        <v>44475</v>
      </c>
      <c r="D11931" t="inlineStr">
        <is>
          <t>NIL</t>
        </is>
      </c>
      <c r="E11931" t="n">
        <v>1030</v>
      </c>
    </row>
    <row r="11932">
      <c r="A11932" t="inlineStr">
        <is>
          <t>27BBBBB11932Z5</t>
        </is>
      </c>
      <c r="B11932" t="inlineStr">
        <is>
          <t>Feb-2018</t>
        </is>
      </c>
      <c r="C11932" s="2" t="n">
        <v>43022</v>
      </c>
      <c r="D11932" t="inlineStr">
        <is>
          <t>NIL</t>
        </is>
      </c>
      <c r="E11932" t="n">
        <v>2983</v>
      </c>
    </row>
    <row r="11933">
      <c r="A11933" t="inlineStr">
        <is>
          <t>27BBBBB11933Z5</t>
        </is>
      </c>
      <c r="B11933" t="inlineStr">
        <is>
          <t>Dec-2017</t>
        </is>
      </c>
      <c r="C11933" s="2" t="n">
        <v>43019</v>
      </c>
      <c r="D11933" t="inlineStr">
        <is>
          <t>NON-NIL</t>
        </is>
      </c>
      <c r="E11933" t="n">
        <v>2089</v>
      </c>
    </row>
    <row r="11934">
      <c r="A11934" t="inlineStr">
        <is>
          <t>27BBBBB11934Z5</t>
        </is>
      </c>
      <c r="B11934" t="inlineStr">
        <is>
          <t>Sep-2017</t>
        </is>
      </c>
      <c r="C11934" s="2" t="n">
        <v>44050</v>
      </c>
      <c r="D11934" t="inlineStr">
        <is>
          <t>NIL</t>
        </is>
      </c>
      <c r="E11934" t="n">
        <v>1752</v>
      </c>
    </row>
    <row r="11935">
      <c r="A11935" t="inlineStr">
        <is>
          <t>27BBBBB11935Z5</t>
        </is>
      </c>
      <c r="B11935" t="inlineStr">
        <is>
          <t>Apr-2020</t>
        </is>
      </c>
      <c r="C11935" s="2" t="n">
        <v>44075</v>
      </c>
      <c r="D11935" t="inlineStr">
        <is>
          <t>NIL</t>
        </is>
      </c>
      <c r="E11935" t="n">
        <v>1025</v>
      </c>
    </row>
    <row r="11936">
      <c r="A11936" t="inlineStr">
        <is>
          <t>27BBBBB11936Z5</t>
        </is>
      </c>
      <c r="B11936" t="inlineStr">
        <is>
          <t>Nov-2018</t>
        </is>
      </c>
      <c r="C11936" s="2" t="n">
        <v>44194</v>
      </c>
      <c r="D11936" t="inlineStr">
        <is>
          <t>NON-NIL</t>
        </is>
      </c>
      <c r="E11936" t="n">
        <v>407</v>
      </c>
    </row>
    <row r="11937">
      <c r="A11937" t="inlineStr">
        <is>
          <t>27BBBBB11937Z5</t>
        </is>
      </c>
      <c r="B11937" t="inlineStr">
        <is>
          <t>Jun-2020</t>
        </is>
      </c>
      <c r="C11937" s="2" t="n">
        <v>44332</v>
      </c>
      <c r="D11937" t="inlineStr">
        <is>
          <t>NON-NIL</t>
        </is>
      </c>
      <c r="E11937" t="n">
        <v>879</v>
      </c>
    </row>
    <row r="11938">
      <c r="A11938" t="inlineStr">
        <is>
          <t>27BBBBB11938Z5</t>
        </is>
      </c>
      <c r="B11938" t="inlineStr">
        <is>
          <t>Dec-2018</t>
        </is>
      </c>
      <c r="C11938" s="2" t="n">
        <v>44029</v>
      </c>
      <c r="D11938" t="inlineStr">
        <is>
          <t>NON-NIL</t>
        </is>
      </c>
      <c r="E11938" t="n">
        <v>2831</v>
      </c>
    </row>
    <row r="11939">
      <c r="A11939" t="inlineStr">
        <is>
          <t>27BBBBB11939Z5</t>
        </is>
      </c>
      <c r="B11939" t="inlineStr">
        <is>
          <t>Nov-2017</t>
        </is>
      </c>
      <c r="C11939" s="2" t="n">
        <v>43429</v>
      </c>
      <c r="D11939" t="inlineStr">
        <is>
          <t>NIL</t>
        </is>
      </c>
      <c r="E11939" t="n">
        <v>2841</v>
      </c>
    </row>
    <row r="11940">
      <c r="A11940" t="inlineStr">
        <is>
          <t>27BBBBB11940Z5</t>
        </is>
      </c>
      <c r="B11940" t="inlineStr">
        <is>
          <t>Dec-2022</t>
        </is>
      </c>
      <c r="C11940" s="2" t="n">
        <v>43596</v>
      </c>
      <c r="D11940" t="inlineStr">
        <is>
          <t>NIL</t>
        </is>
      </c>
      <c r="E11940" t="n">
        <v>1222</v>
      </c>
    </row>
    <row r="11941">
      <c r="A11941" t="inlineStr">
        <is>
          <t>27BBBBB11941Z5</t>
        </is>
      </c>
      <c r="B11941" t="inlineStr">
        <is>
          <t>Feb-2018</t>
        </is>
      </c>
      <c r="C11941" s="2" t="n">
        <v>43234</v>
      </c>
      <c r="D11941" t="inlineStr">
        <is>
          <t>NON-NIL</t>
        </is>
      </c>
      <c r="E11941" t="n">
        <v>24</v>
      </c>
    </row>
    <row r="11942">
      <c r="A11942" t="inlineStr">
        <is>
          <t>27BBBBB11942Z5</t>
        </is>
      </c>
      <c r="B11942" t="inlineStr">
        <is>
          <t>May-2018</t>
        </is>
      </c>
      <c r="C11942" s="2" t="n">
        <v>42991</v>
      </c>
      <c r="D11942" t="inlineStr">
        <is>
          <t>NON-NIL</t>
        </is>
      </c>
      <c r="E11942" t="n">
        <v>2357</v>
      </c>
    </row>
    <row r="11943">
      <c r="A11943" t="inlineStr">
        <is>
          <t>27BBBBB11943Z5</t>
        </is>
      </c>
      <c r="B11943" t="inlineStr">
        <is>
          <t>Sep-2017</t>
        </is>
      </c>
      <c r="C11943" s="2" t="n">
        <v>43120</v>
      </c>
      <c r="D11943" t="inlineStr">
        <is>
          <t>NIL</t>
        </is>
      </c>
      <c r="E11943" t="n">
        <v>2180</v>
      </c>
    </row>
    <row r="11944">
      <c r="A11944" t="inlineStr">
        <is>
          <t>27BBBBB11944Z5</t>
        </is>
      </c>
      <c r="B11944" t="inlineStr">
        <is>
          <t>Aug-2017</t>
        </is>
      </c>
      <c r="C11944" s="2" t="n">
        <v>44452</v>
      </c>
      <c r="D11944" t="inlineStr">
        <is>
          <t>NIL</t>
        </is>
      </c>
      <c r="E11944" t="n">
        <v>2629</v>
      </c>
    </row>
    <row r="11945">
      <c r="A11945" t="inlineStr">
        <is>
          <t>27BBBBB11945Z5</t>
        </is>
      </c>
      <c r="B11945" t="inlineStr">
        <is>
          <t>Dec-2018</t>
        </is>
      </c>
      <c r="C11945" s="2" t="n">
        <v>43079</v>
      </c>
      <c r="D11945" t="inlineStr">
        <is>
          <t>NIL</t>
        </is>
      </c>
      <c r="E11945" t="n">
        <v>1936</v>
      </c>
    </row>
    <row r="11946">
      <c r="A11946" t="inlineStr">
        <is>
          <t>27BBBBB11946Z5</t>
        </is>
      </c>
      <c r="B11946" t="inlineStr">
        <is>
          <t>Mar-2020</t>
        </is>
      </c>
      <c r="C11946" s="2" t="n">
        <v>44786</v>
      </c>
      <c r="D11946" t="inlineStr">
        <is>
          <t>NIL</t>
        </is>
      </c>
      <c r="E11946" t="n">
        <v>1150</v>
      </c>
    </row>
    <row r="11947">
      <c r="A11947" t="inlineStr">
        <is>
          <t>27BBBBB11947Z5</t>
        </is>
      </c>
      <c r="B11947" t="inlineStr">
        <is>
          <t>Mar-2023</t>
        </is>
      </c>
      <c r="C11947" s="2" t="n">
        <v>43747</v>
      </c>
      <c r="D11947" t="inlineStr">
        <is>
          <t>NON-NIL</t>
        </is>
      </c>
      <c r="E11947" t="n">
        <v>1042</v>
      </c>
    </row>
    <row r="11948">
      <c r="A11948" t="inlineStr">
        <is>
          <t>27BBBBB11948Z5</t>
        </is>
      </c>
      <c r="B11948" t="inlineStr">
        <is>
          <t>Dec-2017</t>
        </is>
      </c>
      <c r="C11948" s="2" t="n">
        <v>43182</v>
      </c>
      <c r="D11948" t="inlineStr">
        <is>
          <t>NON-NIL</t>
        </is>
      </c>
      <c r="E11948" t="n">
        <v>1298</v>
      </c>
    </row>
    <row r="11949">
      <c r="A11949" t="inlineStr">
        <is>
          <t>27BBBBB11949Z5</t>
        </is>
      </c>
      <c r="B11949" t="inlineStr">
        <is>
          <t>Mar-2018</t>
        </is>
      </c>
      <c r="C11949" s="2" t="n">
        <v>44063</v>
      </c>
      <c r="D11949" t="inlineStr">
        <is>
          <t>NON-NIL</t>
        </is>
      </c>
      <c r="E11949" t="n">
        <v>463</v>
      </c>
    </row>
    <row r="11950">
      <c r="A11950" t="inlineStr">
        <is>
          <t>27BBBBB11950Z5</t>
        </is>
      </c>
      <c r="B11950" t="inlineStr">
        <is>
          <t>Dec-2024</t>
        </is>
      </c>
      <c r="C11950" s="2" t="n">
        <v>43685</v>
      </c>
      <c r="D11950" t="inlineStr">
        <is>
          <t>NIL</t>
        </is>
      </c>
      <c r="E11950" t="n">
        <v>4</v>
      </c>
    </row>
    <row r="11951">
      <c r="A11951" t="inlineStr">
        <is>
          <t>27BBBBB11951Z5</t>
        </is>
      </c>
      <c r="B11951" t="inlineStr">
        <is>
          <t>Nov-2017</t>
        </is>
      </c>
      <c r="C11951" s="2" t="n">
        <v>43046</v>
      </c>
      <c r="D11951" t="inlineStr">
        <is>
          <t>NIL</t>
        </is>
      </c>
      <c r="E11951" t="n">
        <v>903</v>
      </c>
    </row>
    <row r="11952">
      <c r="A11952" t="inlineStr">
        <is>
          <t>27BBBBB11952Z5</t>
        </is>
      </c>
      <c r="B11952" t="inlineStr">
        <is>
          <t>Jun-2020</t>
        </is>
      </c>
      <c r="C11952" s="2" t="n">
        <v>44246</v>
      </c>
      <c r="D11952" t="inlineStr">
        <is>
          <t>NON-NIL</t>
        </is>
      </c>
      <c r="E11952" t="n">
        <v>166</v>
      </c>
    </row>
    <row r="11953">
      <c r="A11953" t="inlineStr">
        <is>
          <t>27BBBBB11953Z5</t>
        </is>
      </c>
      <c r="B11953" t="inlineStr">
        <is>
          <t>Sep-2018</t>
        </is>
      </c>
      <c r="C11953" s="2" t="n">
        <v>43952</v>
      </c>
      <c r="D11953" t="inlineStr">
        <is>
          <t>NIL</t>
        </is>
      </c>
      <c r="E11953" t="n">
        <v>1082</v>
      </c>
    </row>
    <row r="11954">
      <c r="A11954" t="inlineStr">
        <is>
          <t>27BBBBB11954Z5</t>
        </is>
      </c>
      <c r="B11954" t="inlineStr">
        <is>
          <t>Dec-2017</t>
        </is>
      </c>
      <c r="C11954" s="2" t="n">
        <v>43796</v>
      </c>
      <c r="D11954" t="inlineStr">
        <is>
          <t>NON-NIL</t>
        </is>
      </c>
      <c r="E11954" t="n">
        <v>1013</v>
      </c>
    </row>
    <row r="11955">
      <c r="A11955" t="inlineStr">
        <is>
          <t>27BBBBB11955Z5</t>
        </is>
      </c>
      <c r="B11955" t="inlineStr">
        <is>
          <t>Dec-2017</t>
        </is>
      </c>
      <c r="C11955" s="2" t="n">
        <v>43923</v>
      </c>
      <c r="D11955" t="inlineStr">
        <is>
          <t>NON-NIL</t>
        </is>
      </c>
      <c r="E11955" t="n">
        <v>2321</v>
      </c>
    </row>
    <row r="11956">
      <c r="A11956" t="inlineStr">
        <is>
          <t>27BBBBB11956Z5</t>
        </is>
      </c>
      <c r="B11956" t="inlineStr">
        <is>
          <t>Jan-2018</t>
        </is>
      </c>
      <c r="C11956" s="2" t="n">
        <v>43458</v>
      </c>
      <c r="D11956" t="inlineStr">
        <is>
          <t>NON-NIL</t>
        </is>
      </c>
      <c r="E11956" t="n">
        <v>1312</v>
      </c>
    </row>
    <row r="11957">
      <c r="A11957" t="inlineStr">
        <is>
          <t>27BBBBB11957Z5</t>
        </is>
      </c>
      <c r="B11957" t="inlineStr">
        <is>
          <t>Jun-2018</t>
        </is>
      </c>
      <c r="C11957" s="2" t="n">
        <v>44312</v>
      </c>
      <c r="D11957" t="inlineStr">
        <is>
          <t>NIL</t>
        </is>
      </c>
      <c r="E11957" t="n">
        <v>1334</v>
      </c>
    </row>
    <row r="11958">
      <c r="A11958" t="inlineStr">
        <is>
          <t>27BBBBB11958Z5</t>
        </is>
      </c>
      <c r="B11958" t="inlineStr">
        <is>
          <t>Jun-2020</t>
        </is>
      </c>
      <c r="C11958" s="2" t="n">
        <v>44533</v>
      </c>
      <c r="D11958" t="inlineStr">
        <is>
          <t>NON-NIL</t>
        </is>
      </c>
      <c r="E11958" t="n">
        <v>2209</v>
      </c>
    </row>
    <row r="11959">
      <c r="A11959" t="inlineStr">
        <is>
          <t>27BBBBB11959Z5</t>
        </is>
      </c>
      <c r="B11959" t="inlineStr">
        <is>
          <t>Mar-2021</t>
        </is>
      </c>
      <c r="C11959" s="2" t="n">
        <v>45298</v>
      </c>
      <c r="D11959" t="inlineStr">
        <is>
          <t>NON-NIL</t>
        </is>
      </c>
      <c r="E11959" t="n">
        <v>995</v>
      </c>
    </row>
    <row r="11960">
      <c r="A11960" t="inlineStr">
        <is>
          <t>27BBBBB11960Z5</t>
        </is>
      </c>
      <c r="B11960" t="inlineStr">
        <is>
          <t>Dec-2017</t>
        </is>
      </c>
      <c r="C11960" s="2" t="n">
        <v>43397</v>
      </c>
      <c r="D11960" t="inlineStr">
        <is>
          <t>NON-NIL</t>
        </is>
      </c>
      <c r="E11960" t="n">
        <v>1747</v>
      </c>
    </row>
    <row r="11961">
      <c r="A11961" t="inlineStr">
        <is>
          <t>27BBBBB11961Z5</t>
        </is>
      </c>
      <c r="B11961" t="inlineStr">
        <is>
          <t>Dec-2024</t>
        </is>
      </c>
      <c r="C11961" s="2" t="n">
        <v>44697</v>
      </c>
      <c r="D11961" t="inlineStr">
        <is>
          <t>NIL</t>
        </is>
      </c>
      <c r="E11961" t="n">
        <v>2339</v>
      </c>
    </row>
    <row r="11962">
      <c r="A11962" t="inlineStr">
        <is>
          <t>27BBBBB11962Z5</t>
        </is>
      </c>
      <c r="B11962" t="inlineStr">
        <is>
          <t>Sep-2018</t>
        </is>
      </c>
      <c r="C11962" s="2" t="n">
        <v>44273</v>
      </c>
      <c r="D11962" t="inlineStr">
        <is>
          <t>NON-NIL</t>
        </is>
      </c>
      <c r="E11962" t="n">
        <v>2580</v>
      </c>
    </row>
    <row r="11963">
      <c r="A11963" t="inlineStr">
        <is>
          <t>27BBBBB11963Z5</t>
        </is>
      </c>
      <c r="B11963" t="inlineStr">
        <is>
          <t>Nov-2017</t>
        </is>
      </c>
      <c r="C11963" s="2" t="n">
        <v>43234</v>
      </c>
      <c r="D11963" t="inlineStr">
        <is>
          <t>NON-NIL</t>
        </is>
      </c>
      <c r="E11963" t="n">
        <v>1273</v>
      </c>
    </row>
    <row r="11964">
      <c r="A11964" t="inlineStr">
        <is>
          <t>27BBBBB11964Z5</t>
        </is>
      </c>
      <c r="B11964" t="inlineStr">
        <is>
          <t>Sep-2017</t>
        </is>
      </c>
      <c r="C11964" s="2" t="n">
        <v>44394</v>
      </c>
      <c r="D11964" t="inlineStr">
        <is>
          <t>NON-NIL</t>
        </is>
      </c>
      <c r="E11964" t="n">
        <v>1434</v>
      </c>
    </row>
    <row r="11965">
      <c r="A11965" t="inlineStr">
        <is>
          <t>27BBBBB11965Z5</t>
        </is>
      </c>
      <c r="B11965" t="inlineStr">
        <is>
          <t>Jan-2018</t>
        </is>
      </c>
      <c r="C11965" s="2" t="n">
        <v>44451</v>
      </c>
      <c r="D11965" t="inlineStr">
        <is>
          <t>NON-NIL</t>
        </is>
      </c>
      <c r="E11965" t="n">
        <v>1976</v>
      </c>
    </row>
    <row r="11966">
      <c r="A11966" t="inlineStr">
        <is>
          <t>27BBBBB11966Z5</t>
        </is>
      </c>
      <c r="B11966" t="inlineStr">
        <is>
          <t>Sep-2018</t>
        </is>
      </c>
      <c r="C11966" s="2" t="n">
        <v>43658</v>
      </c>
      <c r="D11966" t="inlineStr">
        <is>
          <t>NIL</t>
        </is>
      </c>
      <c r="E11966" t="n">
        <v>1690</v>
      </c>
    </row>
    <row r="11967">
      <c r="A11967" t="inlineStr">
        <is>
          <t>27BBBBB11967Z5</t>
        </is>
      </c>
      <c r="B11967" t="inlineStr">
        <is>
          <t>Nov-2017</t>
        </is>
      </c>
      <c r="C11967" s="2" t="n">
        <v>43161</v>
      </c>
      <c r="D11967" t="inlineStr">
        <is>
          <t>NIL</t>
        </is>
      </c>
      <c r="E11967" t="n">
        <v>580</v>
      </c>
    </row>
    <row r="11968">
      <c r="A11968" t="inlineStr">
        <is>
          <t>27BBBBB11968Z5</t>
        </is>
      </c>
      <c r="B11968" t="inlineStr">
        <is>
          <t>Oct-2018</t>
        </is>
      </c>
      <c r="C11968" s="2" t="n">
        <v>43383</v>
      </c>
      <c r="D11968" t="inlineStr">
        <is>
          <t>NON-NIL</t>
        </is>
      </c>
      <c r="E11968" t="n">
        <v>2256</v>
      </c>
    </row>
    <row r="11969">
      <c r="A11969" t="inlineStr">
        <is>
          <t>27BBBBB11969Z5</t>
        </is>
      </c>
      <c r="B11969" t="inlineStr">
        <is>
          <t>Jan-2021</t>
        </is>
      </c>
      <c r="C11969" s="2" t="n">
        <v>43724</v>
      </c>
      <c r="D11969" t="inlineStr">
        <is>
          <t>NIL</t>
        </is>
      </c>
      <c r="E11969" t="n">
        <v>1805</v>
      </c>
    </row>
    <row r="11970">
      <c r="A11970" t="inlineStr">
        <is>
          <t>27BBBBB11970Z5</t>
        </is>
      </c>
      <c r="B11970" t="inlineStr">
        <is>
          <t>Dec-2022</t>
        </is>
      </c>
      <c r="C11970" s="2" t="n">
        <v>43713</v>
      </c>
      <c r="D11970" t="inlineStr">
        <is>
          <t>NIL</t>
        </is>
      </c>
      <c r="E11970" t="n">
        <v>1201</v>
      </c>
    </row>
    <row r="11971">
      <c r="A11971" t="inlineStr">
        <is>
          <t>27BBBBB11971Z5</t>
        </is>
      </c>
      <c r="B11971" t="inlineStr">
        <is>
          <t>Oct-2018</t>
        </is>
      </c>
      <c r="C11971" s="2" t="n">
        <v>43673</v>
      </c>
      <c r="D11971" t="inlineStr">
        <is>
          <t>NON-NIL</t>
        </is>
      </c>
      <c r="E11971" t="n">
        <v>1954</v>
      </c>
    </row>
    <row r="11972">
      <c r="A11972" t="inlineStr">
        <is>
          <t>27BBBBB11972Z5</t>
        </is>
      </c>
      <c r="B11972" t="inlineStr">
        <is>
          <t>Dec-2024</t>
        </is>
      </c>
      <c r="C11972" s="2" t="n">
        <v>43488</v>
      </c>
      <c r="D11972" t="inlineStr">
        <is>
          <t>NON-NIL</t>
        </is>
      </c>
      <c r="E11972" t="n">
        <v>2718</v>
      </c>
    </row>
    <row r="11973">
      <c r="A11973" t="inlineStr">
        <is>
          <t>27BBBBB11973Z5</t>
        </is>
      </c>
      <c r="B11973" t="inlineStr">
        <is>
          <t>Oct-2018</t>
        </is>
      </c>
      <c r="C11973" s="2" t="n">
        <v>42991</v>
      </c>
      <c r="D11973" t="inlineStr">
        <is>
          <t>NIL</t>
        </is>
      </c>
      <c r="E11973" t="n">
        <v>279</v>
      </c>
    </row>
    <row r="11974">
      <c r="A11974" t="inlineStr">
        <is>
          <t>27BBBBB11974Z5</t>
        </is>
      </c>
      <c r="B11974" t="inlineStr">
        <is>
          <t>Mar-2018</t>
        </is>
      </c>
      <c r="C11974" s="2" t="n">
        <v>43903</v>
      </c>
      <c r="D11974" t="inlineStr">
        <is>
          <t>NON-NIL</t>
        </is>
      </c>
      <c r="E11974" t="n">
        <v>1477</v>
      </c>
    </row>
    <row r="11975">
      <c r="A11975" t="inlineStr">
        <is>
          <t>27BBBBB11975Z5</t>
        </is>
      </c>
      <c r="B11975" t="inlineStr">
        <is>
          <t>Dec-2024</t>
        </is>
      </c>
      <c r="C11975" s="2" t="n">
        <v>44759</v>
      </c>
      <c r="D11975" t="inlineStr">
        <is>
          <t>NIL</t>
        </is>
      </c>
      <c r="E11975" t="n">
        <v>328</v>
      </c>
    </row>
    <row r="11976">
      <c r="A11976" t="inlineStr">
        <is>
          <t>27BBBBB11976Z5</t>
        </is>
      </c>
      <c r="B11976" t="inlineStr">
        <is>
          <t>May-2020</t>
        </is>
      </c>
      <c r="C11976" s="2" t="n">
        <v>44389</v>
      </c>
      <c r="D11976" t="inlineStr">
        <is>
          <t>NIL</t>
        </is>
      </c>
      <c r="E11976" t="n">
        <v>840</v>
      </c>
    </row>
    <row r="11977">
      <c r="A11977" t="inlineStr">
        <is>
          <t>27BBBBB11977Z5</t>
        </is>
      </c>
      <c r="B11977" t="inlineStr">
        <is>
          <t>Dec-2022</t>
        </is>
      </c>
      <c r="C11977" s="2" t="n">
        <v>44592</v>
      </c>
      <c r="D11977" t="inlineStr">
        <is>
          <t>NON-NIL</t>
        </is>
      </c>
      <c r="E11977" t="n">
        <v>2484</v>
      </c>
    </row>
    <row r="11978">
      <c r="A11978" t="inlineStr">
        <is>
          <t>27BBBBB11978Z5</t>
        </is>
      </c>
      <c r="B11978" t="inlineStr">
        <is>
          <t>Mar-2020</t>
        </is>
      </c>
      <c r="C11978" s="2" t="n">
        <v>44290</v>
      </c>
      <c r="D11978" t="inlineStr">
        <is>
          <t>NIL</t>
        </is>
      </c>
      <c r="E11978" t="n">
        <v>2185</v>
      </c>
    </row>
    <row r="11979">
      <c r="A11979" t="inlineStr">
        <is>
          <t>27BBBBB11979Z5</t>
        </is>
      </c>
      <c r="B11979" t="inlineStr">
        <is>
          <t>Mar-2018</t>
        </is>
      </c>
      <c r="C11979" s="2" t="n">
        <v>43599</v>
      </c>
      <c r="D11979" t="inlineStr">
        <is>
          <t>NON-NIL</t>
        </is>
      </c>
      <c r="E11979" t="n">
        <v>1328</v>
      </c>
    </row>
    <row r="11980">
      <c r="A11980" t="inlineStr">
        <is>
          <t>27BBBBB11980Z5</t>
        </is>
      </c>
      <c r="B11980" t="inlineStr">
        <is>
          <t>Apr-2018</t>
        </is>
      </c>
      <c r="C11980" s="2" t="n">
        <v>43302</v>
      </c>
      <c r="D11980" t="inlineStr">
        <is>
          <t>NIL</t>
        </is>
      </c>
      <c r="E11980" t="n">
        <v>1835</v>
      </c>
    </row>
    <row r="11981">
      <c r="A11981" t="inlineStr">
        <is>
          <t>27BBBBB11981Z5</t>
        </is>
      </c>
      <c r="B11981" t="inlineStr">
        <is>
          <t>Aug-2017</t>
        </is>
      </c>
      <c r="C11981" s="2" t="n">
        <v>43796</v>
      </c>
      <c r="D11981" t="inlineStr">
        <is>
          <t>NON-NIL</t>
        </is>
      </c>
      <c r="E11981" t="n">
        <v>2276</v>
      </c>
    </row>
    <row r="11982">
      <c r="A11982" t="inlineStr">
        <is>
          <t>27BBBBB11982Z5</t>
        </is>
      </c>
      <c r="B11982" t="inlineStr">
        <is>
          <t>Jan-2018</t>
        </is>
      </c>
      <c r="C11982" s="2" t="n">
        <v>43708</v>
      </c>
      <c r="D11982" t="inlineStr">
        <is>
          <t>NON-NIL</t>
        </is>
      </c>
      <c r="E11982" t="n">
        <v>1742</v>
      </c>
    </row>
    <row r="11983">
      <c r="A11983" t="inlineStr">
        <is>
          <t>27BBBBB11983Z5</t>
        </is>
      </c>
      <c r="B11983" t="inlineStr">
        <is>
          <t>Jul-2017</t>
        </is>
      </c>
      <c r="C11983" s="2" t="n">
        <v>44311</v>
      </c>
      <c r="D11983" t="inlineStr">
        <is>
          <t>NON-NIL</t>
        </is>
      </c>
      <c r="E11983" t="n">
        <v>2342</v>
      </c>
    </row>
    <row r="11984">
      <c r="A11984" t="inlineStr">
        <is>
          <t>27BBBBB11984Z5</t>
        </is>
      </c>
      <c r="B11984" t="inlineStr">
        <is>
          <t>Aug-2018</t>
        </is>
      </c>
      <c r="C11984" s="2" t="n">
        <v>43981</v>
      </c>
      <c r="D11984" t="inlineStr">
        <is>
          <t>NON-NIL</t>
        </is>
      </c>
      <c r="E11984" t="n">
        <v>2354</v>
      </c>
    </row>
    <row r="11985">
      <c r="A11985" t="inlineStr">
        <is>
          <t>27BBBBB11985Z5</t>
        </is>
      </c>
      <c r="B11985" t="inlineStr">
        <is>
          <t>Apr-2020</t>
        </is>
      </c>
      <c r="C11985" s="2" t="n">
        <v>44088</v>
      </c>
      <c r="D11985" t="inlineStr">
        <is>
          <t>NON-NIL</t>
        </is>
      </c>
      <c r="E11985" t="n">
        <v>990</v>
      </c>
    </row>
    <row r="11986">
      <c r="A11986" t="inlineStr">
        <is>
          <t>27BBBBB11986Z5</t>
        </is>
      </c>
      <c r="B11986" t="inlineStr">
        <is>
          <t>Jul-2020</t>
        </is>
      </c>
      <c r="C11986" s="2" t="n">
        <v>43935</v>
      </c>
      <c r="D11986" t="inlineStr">
        <is>
          <t>NIL</t>
        </is>
      </c>
      <c r="E11986" t="n">
        <v>1318</v>
      </c>
    </row>
    <row r="11987">
      <c r="A11987" t="inlineStr">
        <is>
          <t>27BBBBB11987Z5</t>
        </is>
      </c>
      <c r="B11987" t="inlineStr">
        <is>
          <t>Mar-2021</t>
        </is>
      </c>
      <c r="C11987" s="2" t="n">
        <v>44373</v>
      </c>
      <c r="D11987" t="inlineStr">
        <is>
          <t>NIL</t>
        </is>
      </c>
      <c r="E11987" t="n">
        <v>76</v>
      </c>
    </row>
    <row r="11988">
      <c r="A11988" t="inlineStr">
        <is>
          <t>27BBBBB11988Z5</t>
        </is>
      </c>
      <c r="B11988" t="inlineStr">
        <is>
          <t>Jun-2018</t>
        </is>
      </c>
      <c r="C11988" s="2" t="n">
        <v>43461</v>
      </c>
      <c r="D11988" t="inlineStr">
        <is>
          <t>NIL</t>
        </is>
      </c>
      <c r="E11988" t="n">
        <v>259</v>
      </c>
    </row>
    <row r="11989">
      <c r="A11989" t="inlineStr">
        <is>
          <t>27BBBBB11989Z5</t>
        </is>
      </c>
      <c r="B11989" t="inlineStr">
        <is>
          <t>Jul-2018</t>
        </is>
      </c>
      <c r="C11989" s="2" t="n">
        <v>44248</v>
      </c>
      <c r="D11989" t="inlineStr">
        <is>
          <t>NON-NIL</t>
        </is>
      </c>
      <c r="E11989" t="n">
        <v>2830</v>
      </c>
    </row>
    <row r="11990">
      <c r="A11990" t="inlineStr">
        <is>
          <t>27BBBBB11990Z5</t>
        </is>
      </c>
      <c r="B11990" t="inlineStr">
        <is>
          <t>Jul-2017</t>
        </is>
      </c>
      <c r="C11990" s="2" t="n">
        <v>43468</v>
      </c>
      <c r="D11990" t="inlineStr">
        <is>
          <t>NIL</t>
        </is>
      </c>
      <c r="E11990" t="n">
        <v>1083</v>
      </c>
    </row>
    <row r="11991">
      <c r="A11991" t="inlineStr">
        <is>
          <t>27BBBBB11991Z5</t>
        </is>
      </c>
      <c r="B11991" t="inlineStr">
        <is>
          <t>Dec-2024</t>
        </is>
      </c>
      <c r="C11991" s="2" t="n">
        <v>45770</v>
      </c>
      <c r="D11991" t="inlineStr">
        <is>
          <t>NIL</t>
        </is>
      </c>
      <c r="E11991" t="n">
        <v>680</v>
      </c>
    </row>
    <row r="11992">
      <c r="A11992" t="inlineStr">
        <is>
          <t>27BBBBB11992Z5</t>
        </is>
      </c>
      <c r="B11992" t="inlineStr">
        <is>
          <t>Dec-2024</t>
        </is>
      </c>
      <c r="C11992" s="2" t="n">
        <v>44138</v>
      </c>
      <c r="D11992" t="inlineStr">
        <is>
          <t>NON-NIL</t>
        </is>
      </c>
      <c r="E11992" t="n">
        <v>195</v>
      </c>
    </row>
    <row r="11993">
      <c r="A11993" t="inlineStr">
        <is>
          <t>27BBBBB11993Z5</t>
        </is>
      </c>
      <c r="B11993" t="inlineStr">
        <is>
          <t>Dec-2024</t>
        </is>
      </c>
      <c r="C11993" s="2" t="n">
        <v>45251</v>
      </c>
      <c r="D11993" t="inlineStr">
        <is>
          <t>NON-NIL</t>
        </is>
      </c>
      <c r="E11993" t="n">
        <v>2923</v>
      </c>
    </row>
    <row r="11994">
      <c r="A11994" t="inlineStr">
        <is>
          <t>27BBBBB11994Z5</t>
        </is>
      </c>
      <c r="B11994" t="inlineStr">
        <is>
          <t>Aug-2018</t>
        </is>
      </c>
      <c r="C11994" s="2" t="n">
        <v>42958</v>
      </c>
      <c r="D11994" t="inlineStr">
        <is>
          <t>NON-NIL</t>
        </is>
      </c>
      <c r="E11994" t="n">
        <v>1035</v>
      </c>
    </row>
    <row r="11995">
      <c r="A11995" t="inlineStr">
        <is>
          <t>27BBBBB11995Z5</t>
        </is>
      </c>
      <c r="B11995" t="inlineStr">
        <is>
          <t>Aug-2017</t>
        </is>
      </c>
      <c r="C11995" s="2" t="n">
        <v>43687</v>
      </c>
      <c r="D11995" t="inlineStr">
        <is>
          <t>NON-NIL</t>
        </is>
      </c>
      <c r="E11995" t="n">
        <v>1569</v>
      </c>
    </row>
    <row r="11996">
      <c r="A11996" t="inlineStr">
        <is>
          <t>27BBBBB11996Z5</t>
        </is>
      </c>
      <c r="B11996" t="inlineStr">
        <is>
          <t>Dec-2017</t>
        </is>
      </c>
      <c r="C11996" s="2" t="n">
        <v>43871</v>
      </c>
      <c r="D11996" t="inlineStr">
        <is>
          <t>NON-NIL</t>
        </is>
      </c>
      <c r="E11996" t="n">
        <v>1667</v>
      </c>
    </row>
    <row r="11997">
      <c r="A11997" t="inlineStr">
        <is>
          <t>27BBBBB11997Z5</t>
        </is>
      </c>
      <c r="B11997" t="inlineStr">
        <is>
          <t>Jan-2018</t>
        </is>
      </c>
      <c r="C11997" s="2" t="n">
        <v>43973</v>
      </c>
      <c r="D11997" t="inlineStr">
        <is>
          <t>NIL</t>
        </is>
      </c>
      <c r="E11997" t="n">
        <v>18</v>
      </c>
    </row>
    <row r="11998">
      <c r="A11998" t="inlineStr">
        <is>
          <t>27BBBBB11998Z5</t>
        </is>
      </c>
      <c r="B11998" t="inlineStr">
        <is>
          <t>Jan-2018</t>
        </is>
      </c>
      <c r="C11998" s="2" t="n">
        <v>43317</v>
      </c>
      <c r="D11998" t="inlineStr">
        <is>
          <t>NIL</t>
        </is>
      </c>
      <c r="E11998" t="n">
        <v>790</v>
      </c>
    </row>
    <row r="11999">
      <c r="A11999" t="inlineStr">
        <is>
          <t>27BBBBB11999Z5</t>
        </is>
      </c>
      <c r="B11999" t="inlineStr">
        <is>
          <t>Dec-2024</t>
        </is>
      </c>
      <c r="C11999" s="2" t="n">
        <v>45397</v>
      </c>
      <c r="D11999" t="inlineStr">
        <is>
          <t>NON-NIL</t>
        </is>
      </c>
      <c r="E11999" t="n">
        <v>2175</v>
      </c>
    </row>
    <row r="12000">
      <c r="A12000" t="inlineStr">
        <is>
          <t>27BBBBB12000Z5</t>
        </is>
      </c>
      <c r="B12000" t="inlineStr">
        <is>
          <t>Jul-2020</t>
        </is>
      </c>
      <c r="C12000" s="2" t="n">
        <v>44767</v>
      </c>
      <c r="D12000" t="inlineStr">
        <is>
          <t>NIL</t>
        </is>
      </c>
      <c r="E12000" t="n">
        <v>1888</v>
      </c>
    </row>
    <row r="12001">
      <c r="A12001" t="inlineStr">
        <is>
          <t>27BBBBB12001Z5</t>
        </is>
      </c>
      <c r="B12001" t="inlineStr">
        <is>
          <t>Sep-2018</t>
        </is>
      </c>
      <c r="C12001" s="2" t="n">
        <v>43710</v>
      </c>
      <c r="D12001" t="inlineStr">
        <is>
          <t>NON-NIL</t>
        </is>
      </c>
      <c r="E12001" t="n">
        <v>1803</v>
      </c>
    </row>
    <row r="12002">
      <c r="A12002" t="inlineStr">
        <is>
          <t>27BBBBB12002Z5</t>
        </is>
      </c>
      <c r="B12002" t="inlineStr">
        <is>
          <t>Jun-2020</t>
        </is>
      </c>
      <c r="C12002" s="2" t="n">
        <v>44551</v>
      </c>
      <c r="D12002" t="inlineStr">
        <is>
          <t>NIL</t>
        </is>
      </c>
      <c r="E12002" t="n">
        <v>450</v>
      </c>
    </row>
    <row r="12003">
      <c r="A12003" t="inlineStr">
        <is>
          <t>27BBBBB12003Z5</t>
        </is>
      </c>
      <c r="B12003" t="inlineStr">
        <is>
          <t>Jan-2018</t>
        </is>
      </c>
      <c r="C12003" s="2" t="n">
        <v>44296</v>
      </c>
      <c r="D12003" t="inlineStr">
        <is>
          <t>NIL</t>
        </is>
      </c>
      <c r="E12003" t="n">
        <v>591</v>
      </c>
    </row>
    <row r="12004">
      <c r="A12004" t="inlineStr">
        <is>
          <t>27BBBBB12004Z5</t>
        </is>
      </c>
      <c r="B12004" t="inlineStr">
        <is>
          <t>Mar-2020</t>
        </is>
      </c>
      <c r="C12004" s="2" t="n">
        <v>44832</v>
      </c>
      <c r="D12004" t="inlineStr">
        <is>
          <t>NON-NIL</t>
        </is>
      </c>
      <c r="E12004" t="n">
        <v>1375</v>
      </c>
    </row>
    <row r="12005">
      <c r="A12005" t="inlineStr">
        <is>
          <t>27BBBBB12005Z5</t>
        </is>
      </c>
      <c r="B12005" t="inlineStr">
        <is>
          <t>Nov-2017</t>
        </is>
      </c>
      <c r="C12005" s="2" t="n">
        <v>44100</v>
      </c>
      <c r="D12005" t="inlineStr">
        <is>
          <t>NON-NIL</t>
        </is>
      </c>
      <c r="E12005" t="n">
        <v>1083</v>
      </c>
    </row>
    <row r="12006">
      <c r="A12006" t="inlineStr">
        <is>
          <t>27BBBBB12006Z5</t>
        </is>
      </c>
      <c r="B12006" t="inlineStr">
        <is>
          <t>Nov-2018</t>
        </is>
      </c>
      <c r="C12006" s="2" t="n">
        <v>44283</v>
      </c>
      <c r="D12006" t="inlineStr">
        <is>
          <t>NIL</t>
        </is>
      </c>
      <c r="E12006" t="n">
        <v>2412</v>
      </c>
    </row>
    <row r="12007">
      <c r="A12007" t="inlineStr">
        <is>
          <t>27BBBBB12007Z5</t>
        </is>
      </c>
      <c r="B12007" t="inlineStr">
        <is>
          <t>Dec-2018</t>
        </is>
      </c>
      <c r="C12007" s="2" t="n">
        <v>43951</v>
      </c>
      <c r="D12007" t="inlineStr">
        <is>
          <t>NON-NIL</t>
        </is>
      </c>
      <c r="E12007" t="n">
        <v>511</v>
      </c>
    </row>
    <row r="12008">
      <c r="A12008" t="inlineStr">
        <is>
          <t>27BBBBB12008Z5</t>
        </is>
      </c>
      <c r="B12008" t="inlineStr">
        <is>
          <t>Dec-2024</t>
        </is>
      </c>
      <c r="C12008" s="2" t="n">
        <v>43932</v>
      </c>
      <c r="D12008" t="inlineStr">
        <is>
          <t>NIL</t>
        </is>
      </c>
      <c r="E12008" t="n">
        <v>2412</v>
      </c>
    </row>
    <row r="12009">
      <c r="A12009" t="inlineStr">
        <is>
          <t>27BBBBB12009Z5</t>
        </is>
      </c>
      <c r="B12009" t="inlineStr">
        <is>
          <t>Jun-2018</t>
        </is>
      </c>
      <c r="C12009" s="2" t="n">
        <v>43577</v>
      </c>
      <c r="D12009" t="inlineStr">
        <is>
          <t>NON-NIL</t>
        </is>
      </c>
      <c r="E12009" t="n">
        <v>942</v>
      </c>
    </row>
    <row r="12010">
      <c r="A12010" t="inlineStr">
        <is>
          <t>27BBBBB12010Z5</t>
        </is>
      </c>
      <c r="B12010" t="inlineStr">
        <is>
          <t>Apr-2018</t>
        </is>
      </c>
      <c r="C12010" s="2" t="n">
        <v>43033</v>
      </c>
      <c r="D12010" t="inlineStr">
        <is>
          <t>NON-NIL</t>
        </is>
      </c>
      <c r="E12010" t="n">
        <v>1096</v>
      </c>
    </row>
    <row r="12011">
      <c r="A12011" t="inlineStr">
        <is>
          <t>27BBBBB12011Z5</t>
        </is>
      </c>
      <c r="B12011" t="inlineStr">
        <is>
          <t>Jun-2020</t>
        </is>
      </c>
      <c r="C12011" s="2" t="n">
        <v>43992</v>
      </c>
      <c r="D12011" t="inlineStr">
        <is>
          <t>NON-NIL</t>
        </is>
      </c>
      <c r="E12011" t="n">
        <v>2702</v>
      </c>
    </row>
    <row r="12012">
      <c r="A12012" t="inlineStr">
        <is>
          <t>27BBBBB12012Z5</t>
        </is>
      </c>
      <c r="B12012" t="inlineStr">
        <is>
          <t>Dec-2017</t>
        </is>
      </c>
      <c r="C12012" s="2" t="n">
        <v>43581</v>
      </c>
      <c r="D12012" t="inlineStr">
        <is>
          <t>NON-NIL</t>
        </is>
      </c>
      <c r="E12012" t="n">
        <v>2908</v>
      </c>
    </row>
    <row r="12013">
      <c r="A12013" t="inlineStr">
        <is>
          <t>27BBBBB12013Z5</t>
        </is>
      </c>
      <c r="B12013" t="inlineStr">
        <is>
          <t>Dec-2018</t>
        </is>
      </c>
      <c r="C12013" s="2" t="n">
        <v>43031</v>
      </c>
      <c r="D12013" t="inlineStr">
        <is>
          <t>NIL</t>
        </is>
      </c>
      <c r="E12013" t="n">
        <v>2029</v>
      </c>
    </row>
    <row r="12014">
      <c r="A12014" t="inlineStr">
        <is>
          <t>27BBBBB12014Z5</t>
        </is>
      </c>
      <c r="B12014" t="inlineStr">
        <is>
          <t>Mar-2023</t>
        </is>
      </c>
      <c r="C12014" s="2" t="n">
        <v>45534</v>
      </c>
      <c r="D12014" t="inlineStr">
        <is>
          <t>NON-NIL</t>
        </is>
      </c>
      <c r="E12014" t="n">
        <v>2446</v>
      </c>
    </row>
    <row r="12015">
      <c r="A12015" t="inlineStr">
        <is>
          <t>27BBBBB12015Z5</t>
        </is>
      </c>
      <c r="B12015" t="inlineStr">
        <is>
          <t>Oct-2018</t>
        </is>
      </c>
      <c r="C12015" s="2" t="n">
        <v>43894</v>
      </c>
      <c r="D12015" t="inlineStr">
        <is>
          <t>NIL</t>
        </is>
      </c>
      <c r="E12015" t="n">
        <v>2241</v>
      </c>
    </row>
    <row r="12016">
      <c r="A12016" t="inlineStr">
        <is>
          <t>27BBBBB12016Z5</t>
        </is>
      </c>
      <c r="B12016" t="inlineStr">
        <is>
          <t>Dec-2018</t>
        </is>
      </c>
      <c r="C12016" s="2" t="n">
        <v>43851</v>
      </c>
      <c r="D12016" t="inlineStr">
        <is>
          <t>NIL</t>
        </is>
      </c>
      <c r="E12016" t="n">
        <v>1769</v>
      </c>
    </row>
    <row r="12017">
      <c r="A12017" t="inlineStr">
        <is>
          <t>27BBBBB12017Z5</t>
        </is>
      </c>
      <c r="B12017" t="inlineStr">
        <is>
          <t>Jul-2017</t>
        </is>
      </c>
      <c r="C12017" s="2" t="n">
        <v>43662</v>
      </c>
      <c r="D12017" t="inlineStr">
        <is>
          <t>NIL</t>
        </is>
      </c>
      <c r="E12017" t="n">
        <v>314</v>
      </c>
    </row>
    <row r="12018">
      <c r="A12018" t="inlineStr">
        <is>
          <t>27BBBBB12018Z5</t>
        </is>
      </c>
      <c r="B12018" t="inlineStr">
        <is>
          <t>Jul-2017</t>
        </is>
      </c>
      <c r="C12018" s="2" t="n">
        <v>44298</v>
      </c>
      <c r="D12018" t="inlineStr">
        <is>
          <t>NIL</t>
        </is>
      </c>
      <c r="E12018" t="n">
        <v>1448</v>
      </c>
    </row>
    <row r="12019">
      <c r="A12019" t="inlineStr">
        <is>
          <t>27BBBBB12019Z5</t>
        </is>
      </c>
      <c r="B12019" t="inlineStr">
        <is>
          <t>Jan-2018</t>
        </is>
      </c>
      <c r="C12019" s="2" t="n">
        <v>43647</v>
      </c>
      <c r="D12019" t="inlineStr">
        <is>
          <t>NIL</t>
        </is>
      </c>
      <c r="E12019" t="n">
        <v>2513</v>
      </c>
    </row>
    <row r="12020">
      <c r="A12020" t="inlineStr">
        <is>
          <t>27BBBBB12020Z5</t>
        </is>
      </c>
      <c r="B12020" t="inlineStr">
        <is>
          <t>Apr-2020</t>
        </is>
      </c>
      <c r="C12020" s="2" t="n">
        <v>44501</v>
      </c>
      <c r="D12020" t="inlineStr">
        <is>
          <t>NIL</t>
        </is>
      </c>
      <c r="E12020" t="n">
        <v>1324</v>
      </c>
    </row>
    <row r="12021">
      <c r="A12021" t="inlineStr">
        <is>
          <t>27BBBBB12021Z5</t>
        </is>
      </c>
      <c r="B12021" t="inlineStr">
        <is>
          <t>Nov-2018</t>
        </is>
      </c>
      <c r="C12021" s="2" t="n">
        <v>43042</v>
      </c>
      <c r="D12021" t="inlineStr">
        <is>
          <t>NIL</t>
        </is>
      </c>
      <c r="E12021" t="n">
        <v>107</v>
      </c>
    </row>
    <row r="12022">
      <c r="A12022" t="inlineStr">
        <is>
          <t>27BBBBB12022Z5</t>
        </is>
      </c>
      <c r="B12022" t="inlineStr">
        <is>
          <t>Mar-2023</t>
        </is>
      </c>
      <c r="C12022" s="2" t="n">
        <v>45787</v>
      </c>
      <c r="D12022" t="inlineStr">
        <is>
          <t>NON-NIL</t>
        </is>
      </c>
      <c r="E12022" t="n">
        <v>792</v>
      </c>
    </row>
    <row r="12023">
      <c r="A12023" t="inlineStr">
        <is>
          <t>27BBBBB12023Z5</t>
        </is>
      </c>
      <c r="B12023" t="inlineStr">
        <is>
          <t>Sep-2017</t>
        </is>
      </c>
      <c r="C12023" s="2" t="n">
        <v>43994</v>
      </c>
      <c r="D12023" t="inlineStr">
        <is>
          <t>NIL</t>
        </is>
      </c>
      <c r="E12023" t="n">
        <v>129</v>
      </c>
    </row>
    <row r="12024">
      <c r="A12024" t="inlineStr">
        <is>
          <t>27BBBBB12024Z5</t>
        </is>
      </c>
      <c r="B12024" t="inlineStr">
        <is>
          <t>Mar-2020</t>
        </is>
      </c>
      <c r="C12024" s="2" t="n">
        <v>44919</v>
      </c>
      <c r="D12024" t="inlineStr">
        <is>
          <t>NON-NIL</t>
        </is>
      </c>
      <c r="E12024" t="n">
        <v>995</v>
      </c>
    </row>
    <row r="12025">
      <c r="A12025" t="inlineStr">
        <is>
          <t>27BBBBB12025Z5</t>
        </is>
      </c>
      <c r="B12025" t="inlineStr">
        <is>
          <t>Jan-2018</t>
        </is>
      </c>
      <c r="C12025" s="2" t="n">
        <v>44410</v>
      </c>
      <c r="D12025" t="inlineStr">
        <is>
          <t>NIL</t>
        </is>
      </c>
      <c r="E12025" t="n">
        <v>1658</v>
      </c>
    </row>
    <row r="12026">
      <c r="A12026" t="inlineStr">
        <is>
          <t>27BBBBB12026Z5</t>
        </is>
      </c>
      <c r="B12026" t="inlineStr">
        <is>
          <t>Jul-2018</t>
        </is>
      </c>
      <c r="C12026" s="2" t="n">
        <v>44550</v>
      </c>
      <c r="D12026" t="inlineStr">
        <is>
          <t>NON-NIL</t>
        </is>
      </c>
      <c r="E12026" t="n">
        <v>2537</v>
      </c>
    </row>
    <row r="12027">
      <c r="A12027" t="inlineStr">
        <is>
          <t>27BBBBB12027Z5</t>
        </is>
      </c>
      <c r="B12027" t="inlineStr">
        <is>
          <t>Feb-2018</t>
        </is>
      </c>
      <c r="C12027" s="2" t="n">
        <v>43843</v>
      </c>
      <c r="D12027" t="inlineStr">
        <is>
          <t>NIL</t>
        </is>
      </c>
      <c r="E12027" t="n">
        <v>1300</v>
      </c>
    </row>
    <row r="12028">
      <c r="A12028" t="inlineStr">
        <is>
          <t>27BBBBB12028Z5</t>
        </is>
      </c>
      <c r="B12028" t="inlineStr">
        <is>
          <t>Aug-2017</t>
        </is>
      </c>
      <c r="C12028" s="2" t="n">
        <v>43104</v>
      </c>
      <c r="D12028" t="inlineStr">
        <is>
          <t>NIL</t>
        </is>
      </c>
      <c r="E12028" t="n">
        <v>858</v>
      </c>
    </row>
    <row r="12029">
      <c r="A12029" t="inlineStr">
        <is>
          <t>27BBBBB12029Z5</t>
        </is>
      </c>
      <c r="B12029" t="inlineStr">
        <is>
          <t>Nov-2018</t>
        </is>
      </c>
      <c r="C12029" s="2" t="n">
        <v>43002</v>
      </c>
      <c r="D12029" t="inlineStr">
        <is>
          <t>NIL</t>
        </is>
      </c>
      <c r="E12029" t="n">
        <v>1635</v>
      </c>
    </row>
    <row r="12030">
      <c r="A12030" t="inlineStr">
        <is>
          <t>27BBBBB12030Z5</t>
        </is>
      </c>
      <c r="B12030" t="inlineStr">
        <is>
          <t>Oct-2017</t>
        </is>
      </c>
      <c r="C12030" s="2" t="n">
        <v>44331</v>
      </c>
      <c r="D12030" t="inlineStr">
        <is>
          <t>NON-NIL</t>
        </is>
      </c>
      <c r="E12030" t="n">
        <v>2051</v>
      </c>
    </row>
    <row r="12031">
      <c r="A12031" t="inlineStr">
        <is>
          <t>27BBBBB12031Z5</t>
        </is>
      </c>
      <c r="B12031" t="inlineStr">
        <is>
          <t>Mar-2021</t>
        </is>
      </c>
      <c r="C12031" s="2" t="n">
        <v>45408</v>
      </c>
      <c r="D12031" t="inlineStr">
        <is>
          <t>NIL</t>
        </is>
      </c>
      <c r="E12031" t="n">
        <v>29</v>
      </c>
    </row>
    <row r="12032">
      <c r="A12032" t="inlineStr">
        <is>
          <t>27BBBBB12032Z5</t>
        </is>
      </c>
      <c r="B12032" t="inlineStr">
        <is>
          <t>Oct-2017</t>
        </is>
      </c>
      <c r="C12032" s="2" t="n">
        <v>44150</v>
      </c>
      <c r="D12032" t="inlineStr">
        <is>
          <t>NIL</t>
        </is>
      </c>
      <c r="E12032" t="n">
        <v>1226</v>
      </c>
    </row>
    <row r="12033">
      <c r="A12033" t="inlineStr">
        <is>
          <t>27BBBBB12033Z5</t>
        </is>
      </c>
      <c r="B12033" t="inlineStr">
        <is>
          <t>Jun-2020</t>
        </is>
      </c>
      <c r="C12033" s="2" t="n">
        <v>44399</v>
      </c>
      <c r="D12033" t="inlineStr">
        <is>
          <t>NIL</t>
        </is>
      </c>
      <c r="E12033" t="n">
        <v>2287</v>
      </c>
    </row>
    <row r="12034">
      <c r="A12034" t="inlineStr">
        <is>
          <t>27BBBBB12034Z5</t>
        </is>
      </c>
      <c r="B12034" t="inlineStr">
        <is>
          <t>Apr-2020</t>
        </is>
      </c>
      <c r="C12034" s="2" t="n">
        <v>44151</v>
      </c>
      <c r="D12034" t="inlineStr">
        <is>
          <t>NIL</t>
        </is>
      </c>
      <c r="E12034" t="n">
        <v>1143</v>
      </c>
    </row>
    <row r="12035">
      <c r="A12035" t="inlineStr">
        <is>
          <t>27BBBBB12035Z5</t>
        </is>
      </c>
      <c r="B12035" t="inlineStr">
        <is>
          <t>Dec-2018</t>
        </is>
      </c>
      <c r="C12035" s="2" t="n">
        <v>43269</v>
      </c>
      <c r="D12035" t="inlineStr">
        <is>
          <t>NIL</t>
        </is>
      </c>
      <c r="E12035" t="n">
        <v>708</v>
      </c>
    </row>
    <row r="12036">
      <c r="A12036" t="inlineStr">
        <is>
          <t>27BBBBB12036Z5</t>
        </is>
      </c>
      <c r="B12036" t="inlineStr">
        <is>
          <t>Apr-2018</t>
        </is>
      </c>
      <c r="C12036" s="2" t="n">
        <v>43862</v>
      </c>
      <c r="D12036" t="inlineStr">
        <is>
          <t>NIL</t>
        </is>
      </c>
      <c r="E12036" t="n">
        <v>1427</v>
      </c>
    </row>
    <row r="12037">
      <c r="A12037" t="inlineStr">
        <is>
          <t>27BBBBB12037Z5</t>
        </is>
      </c>
      <c r="B12037" t="inlineStr">
        <is>
          <t>May-2020</t>
        </is>
      </c>
      <c r="C12037" s="2" t="n">
        <v>44498</v>
      </c>
      <c r="D12037" t="inlineStr">
        <is>
          <t>NIL</t>
        </is>
      </c>
      <c r="E12037" t="n">
        <v>1305</v>
      </c>
    </row>
    <row r="12038">
      <c r="A12038" t="inlineStr">
        <is>
          <t>27BBBBB12038Z5</t>
        </is>
      </c>
      <c r="B12038" t="inlineStr">
        <is>
          <t>Sep-2017</t>
        </is>
      </c>
      <c r="C12038" s="2" t="n">
        <v>43608</v>
      </c>
      <c r="D12038" t="inlineStr">
        <is>
          <t>NIL</t>
        </is>
      </c>
      <c r="E12038" t="n">
        <v>2101</v>
      </c>
    </row>
    <row r="12039">
      <c r="A12039" t="inlineStr">
        <is>
          <t>27BBBBB12039Z5</t>
        </is>
      </c>
      <c r="B12039" t="inlineStr">
        <is>
          <t>Dec-2024</t>
        </is>
      </c>
      <c r="C12039" s="2" t="n">
        <v>44942</v>
      </c>
      <c r="D12039" t="inlineStr">
        <is>
          <t>NON-NIL</t>
        </is>
      </c>
      <c r="E12039" t="n">
        <v>2286</v>
      </c>
    </row>
    <row r="12040">
      <c r="A12040" t="inlineStr">
        <is>
          <t>27BBBBB12040Z5</t>
        </is>
      </c>
      <c r="B12040" t="inlineStr">
        <is>
          <t>Mar-2021</t>
        </is>
      </c>
      <c r="C12040" s="2" t="n">
        <v>44919</v>
      </c>
      <c r="D12040" t="inlineStr">
        <is>
          <t>NON-NIL</t>
        </is>
      </c>
      <c r="E12040" t="n">
        <v>2976</v>
      </c>
    </row>
    <row r="12041">
      <c r="A12041" t="inlineStr">
        <is>
          <t>27BBBBB12041Z5</t>
        </is>
      </c>
      <c r="B12041" t="inlineStr">
        <is>
          <t>Sep-2017</t>
        </is>
      </c>
      <c r="C12041" s="2" t="n">
        <v>43099</v>
      </c>
      <c r="D12041" t="inlineStr">
        <is>
          <t>NON-NIL</t>
        </is>
      </c>
      <c r="E12041" t="n">
        <v>2594</v>
      </c>
    </row>
    <row r="12042">
      <c r="A12042" t="inlineStr">
        <is>
          <t>27BBBBB12042Z5</t>
        </is>
      </c>
      <c r="B12042" t="inlineStr">
        <is>
          <t>Apr-2020</t>
        </is>
      </c>
      <c r="C12042" s="2" t="n">
        <v>43894</v>
      </c>
      <c r="D12042" t="inlineStr">
        <is>
          <t>NIL</t>
        </is>
      </c>
      <c r="E12042" t="n">
        <v>480</v>
      </c>
    </row>
    <row r="12043">
      <c r="A12043" t="inlineStr">
        <is>
          <t>27BBBBB12043Z5</t>
        </is>
      </c>
      <c r="B12043" t="inlineStr">
        <is>
          <t>Feb-2018</t>
        </is>
      </c>
      <c r="C12043" s="2" t="n">
        <v>43986</v>
      </c>
      <c r="D12043" t="inlineStr">
        <is>
          <t>NON-NIL</t>
        </is>
      </c>
      <c r="E12043" t="n">
        <v>2222</v>
      </c>
    </row>
    <row r="12044">
      <c r="A12044" t="inlineStr">
        <is>
          <t>27BBBBB12044Z5</t>
        </is>
      </c>
      <c r="B12044" t="inlineStr">
        <is>
          <t>Jul-2018</t>
        </is>
      </c>
      <c r="C12044" s="2" t="n">
        <v>43060</v>
      </c>
      <c r="D12044" t="inlineStr">
        <is>
          <t>NIL</t>
        </is>
      </c>
      <c r="E12044" t="n">
        <v>2968</v>
      </c>
    </row>
    <row r="12045">
      <c r="A12045" t="inlineStr">
        <is>
          <t>27BBBBB12045Z5</t>
        </is>
      </c>
      <c r="B12045" t="inlineStr">
        <is>
          <t>Jul-2020</t>
        </is>
      </c>
      <c r="C12045" s="2" t="n">
        <v>44310</v>
      </c>
      <c r="D12045" t="inlineStr">
        <is>
          <t>NON-NIL</t>
        </is>
      </c>
      <c r="E12045" t="n">
        <v>2960</v>
      </c>
    </row>
    <row r="12046">
      <c r="A12046" t="inlineStr">
        <is>
          <t>27BBBBB12046Z5</t>
        </is>
      </c>
      <c r="B12046" t="inlineStr">
        <is>
          <t>Apr-2020</t>
        </is>
      </c>
      <c r="C12046" s="2" t="n">
        <v>44854</v>
      </c>
      <c r="D12046" t="inlineStr">
        <is>
          <t>NON-NIL</t>
        </is>
      </c>
      <c r="E12046" t="n">
        <v>595</v>
      </c>
    </row>
    <row r="12047">
      <c r="A12047" t="inlineStr">
        <is>
          <t>27BBBBB12047Z5</t>
        </is>
      </c>
      <c r="B12047" t="inlineStr">
        <is>
          <t>Jan-2021</t>
        </is>
      </c>
      <c r="C12047" s="2" t="n">
        <v>45474</v>
      </c>
      <c r="D12047" t="inlineStr">
        <is>
          <t>NIL</t>
        </is>
      </c>
      <c r="E12047" t="n">
        <v>590</v>
      </c>
    </row>
    <row r="12048">
      <c r="A12048" t="inlineStr">
        <is>
          <t>27BBBBB12048Z5</t>
        </is>
      </c>
      <c r="B12048" t="inlineStr">
        <is>
          <t>Mar-2020</t>
        </is>
      </c>
      <c r="C12048" s="2" t="n">
        <v>43847</v>
      </c>
      <c r="D12048" t="inlineStr">
        <is>
          <t>NON-NIL</t>
        </is>
      </c>
      <c r="E12048" t="n">
        <v>647</v>
      </c>
    </row>
    <row r="12049">
      <c r="A12049" t="inlineStr">
        <is>
          <t>27BBBBB12049Z5</t>
        </is>
      </c>
      <c r="B12049" t="inlineStr">
        <is>
          <t>Apr-2018</t>
        </is>
      </c>
      <c r="C12049" s="2" t="n">
        <v>42951</v>
      </c>
      <c r="D12049" t="inlineStr">
        <is>
          <t>NIL</t>
        </is>
      </c>
      <c r="E12049" t="n">
        <v>2039</v>
      </c>
    </row>
    <row r="12050">
      <c r="A12050" t="inlineStr">
        <is>
          <t>27BBBBB12050Z5</t>
        </is>
      </c>
      <c r="B12050" t="inlineStr">
        <is>
          <t>Apr-2018</t>
        </is>
      </c>
      <c r="C12050" s="2" t="n">
        <v>43699</v>
      </c>
      <c r="D12050" t="inlineStr">
        <is>
          <t>NIL</t>
        </is>
      </c>
      <c r="E12050" t="n">
        <v>2502</v>
      </c>
    </row>
    <row r="12051">
      <c r="A12051" t="inlineStr">
        <is>
          <t>27BBBBB12051Z5</t>
        </is>
      </c>
      <c r="B12051" t="inlineStr">
        <is>
          <t>Nov-2018</t>
        </is>
      </c>
      <c r="C12051" s="2" t="n">
        <v>43167</v>
      </c>
      <c r="D12051" t="inlineStr">
        <is>
          <t>NON-NIL</t>
        </is>
      </c>
      <c r="E12051" t="n">
        <v>1274</v>
      </c>
    </row>
    <row r="12052">
      <c r="A12052" t="inlineStr">
        <is>
          <t>27BBBBB12052Z5</t>
        </is>
      </c>
      <c r="B12052" t="inlineStr">
        <is>
          <t>Apr-2018</t>
        </is>
      </c>
      <c r="C12052" s="2" t="n">
        <v>43396</v>
      </c>
      <c r="D12052" t="inlineStr">
        <is>
          <t>NIL</t>
        </is>
      </c>
      <c r="E12052" t="n">
        <v>2616</v>
      </c>
    </row>
    <row r="12053">
      <c r="A12053" t="inlineStr">
        <is>
          <t>27BBBBB12053Z5</t>
        </is>
      </c>
      <c r="B12053" t="inlineStr">
        <is>
          <t>Oct-2018</t>
        </is>
      </c>
      <c r="C12053" s="2" t="n">
        <v>43330</v>
      </c>
      <c r="D12053" t="inlineStr">
        <is>
          <t>NIL</t>
        </is>
      </c>
      <c r="E12053" t="n">
        <v>2487</v>
      </c>
    </row>
    <row r="12054">
      <c r="A12054" t="inlineStr">
        <is>
          <t>27BBBBB12054Z5</t>
        </is>
      </c>
      <c r="B12054" t="inlineStr">
        <is>
          <t>Aug-2017</t>
        </is>
      </c>
      <c r="C12054" s="2" t="n">
        <v>42985</v>
      </c>
      <c r="D12054" t="inlineStr">
        <is>
          <t>NIL</t>
        </is>
      </c>
      <c r="E12054" t="n">
        <v>1637</v>
      </c>
    </row>
    <row r="12055">
      <c r="A12055" t="inlineStr">
        <is>
          <t>27BBBBB12055Z5</t>
        </is>
      </c>
      <c r="B12055" t="inlineStr">
        <is>
          <t>Dec-2017</t>
        </is>
      </c>
      <c r="C12055" s="2" t="n">
        <v>44184</v>
      </c>
      <c r="D12055" t="inlineStr">
        <is>
          <t>NIL</t>
        </is>
      </c>
      <c r="E12055" t="n">
        <v>2997</v>
      </c>
    </row>
    <row r="12056">
      <c r="A12056" t="inlineStr">
        <is>
          <t>27BBBBB12056Z5</t>
        </is>
      </c>
      <c r="B12056" t="inlineStr">
        <is>
          <t>Feb-2018</t>
        </is>
      </c>
      <c r="C12056" s="2" t="n">
        <v>44163</v>
      </c>
      <c r="D12056" t="inlineStr">
        <is>
          <t>NIL</t>
        </is>
      </c>
      <c r="E12056" t="n">
        <v>1062</v>
      </c>
    </row>
    <row r="12057">
      <c r="A12057" t="inlineStr">
        <is>
          <t>27BBBBB12057Z5</t>
        </is>
      </c>
      <c r="B12057" t="inlineStr">
        <is>
          <t>Oct-2017</t>
        </is>
      </c>
      <c r="C12057" s="2" t="n">
        <v>42944</v>
      </c>
      <c r="D12057" t="inlineStr">
        <is>
          <t>NON-NIL</t>
        </is>
      </c>
      <c r="E12057" t="n">
        <v>216</v>
      </c>
    </row>
    <row r="12058">
      <c r="A12058" t="inlineStr">
        <is>
          <t>27BBBBB12058Z5</t>
        </is>
      </c>
      <c r="B12058" t="inlineStr">
        <is>
          <t>Jul-2018</t>
        </is>
      </c>
      <c r="C12058" s="2" t="n">
        <v>43392</v>
      </c>
      <c r="D12058" t="inlineStr">
        <is>
          <t>NIL</t>
        </is>
      </c>
      <c r="E12058" t="n">
        <v>463</v>
      </c>
    </row>
    <row r="12059">
      <c r="A12059" t="inlineStr">
        <is>
          <t>27BBBBB12059Z5</t>
        </is>
      </c>
      <c r="B12059" t="inlineStr">
        <is>
          <t>Mar-2018</t>
        </is>
      </c>
      <c r="C12059" s="2" t="n">
        <v>43872</v>
      </c>
      <c r="D12059" t="inlineStr">
        <is>
          <t>NON-NIL</t>
        </is>
      </c>
      <c r="E12059" t="n">
        <v>2035</v>
      </c>
    </row>
    <row r="12060">
      <c r="A12060" t="inlineStr">
        <is>
          <t>27BBBBB12060Z5</t>
        </is>
      </c>
      <c r="B12060" t="inlineStr">
        <is>
          <t>Jan-2018</t>
        </is>
      </c>
      <c r="C12060" s="2" t="n">
        <v>42957</v>
      </c>
      <c r="D12060" t="inlineStr">
        <is>
          <t>NIL</t>
        </is>
      </c>
      <c r="E12060" t="n">
        <v>2952</v>
      </c>
    </row>
    <row r="12061">
      <c r="A12061" t="inlineStr">
        <is>
          <t>27BBBBB12061Z5</t>
        </is>
      </c>
      <c r="B12061" t="inlineStr">
        <is>
          <t>Apr-2020</t>
        </is>
      </c>
      <c r="C12061" s="2" t="n">
        <v>44043</v>
      </c>
      <c r="D12061" t="inlineStr">
        <is>
          <t>NON-NIL</t>
        </is>
      </c>
      <c r="E12061" t="n">
        <v>1191</v>
      </c>
    </row>
    <row r="12062">
      <c r="A12062" t="inlineStr">
        <is>
          <t>27BBBBB12062Z5</t>
        </is>
      </c>
      <c r="B12062" t="inlineStr">
        <is>
          <t>Jul-2018</t>
        </is>
      </c>
      <c r="C12062" s="2" t="n">
        <v>43069</v>
      </c>
      <c r="D12062" t="inlineStr">
        <is>
          <t>NIL</t>
        </is>
      </c>
      <c r="E12062" t="n">
        <v>1283</v>
      </c>
    </row>
    <row r="12063">
      <c r="A12063" t="inlineStr">
        <is>
          <t>27BBBBB12063Z5</t>
        </is>
      </c>
      <c r="B12063" t="inlineStr">
        <is>
          <t>Dec-2018</t>
        </is>
      </c>
      <c r="C12063" s="2" t="n">
        <v>44338</v>
      </c>
      <c r="D12063" t="inlineStr">
        <is>
          <t>NON-NIL</t>
        </is>
      </c>
      <c r="E12063" t="n">
        <v>867</v>
      </c>
    </row>
    <row r="12064">
      <c r="A12064" t="inlineStr">
        <is>
          <t>27BBBBB12064Z5</t>
        </is>
      </c>
      <c r="B12064" t="inlineStr">
        <is>
          <t>Aug-2017</t>
        </is>
      </c>
      <c r="C12064" s="2" t="n">
        <v>43980</v>
      </c>
      <c r="D12064" t="inlineStr">
        <is>
          <t>NON-NIL</t>
        </is>
      </c>
      <c r="E12064" t="n">
        <v>1907</v>
      </c>
    </row>
    <row r="12065">
      <c r="A12065" t="inlineStr">
        <is>
          <t>27BBBBB12065Z5</t>
        </is>
      </c>
      <c r="B12065" t="inlineStr">
        <is>
          <t>Mar-2018</t>
        </is>
      </c>
      <c r="C12065" s="2" t="n">
        <v>43718</v>
      </c>
      <c r="D12065" t="inlineStr">
        <is>
          <t>NIL</t>
        </is>
      </c>
      <c r="E12065" t="n">
        <v>317</v>
      </c>
    </row>
    <row r="12066">
      <c r="A12066" t="inlineStr">
        <is>
          <t>27BBBBB12066Z5</t>
        </is>
      </c>
      <c r="B12066" t="inlineStr">
        <is>
          <t>Dec-2022</t>
        </is>
      </c>
      <c r="C12066" s="2" t="n">
        <v>45822</v>
      </c>
      <c r="D12066" t="inlineStr">
        <is>
          <t>NON-NIL</t>
        </is>
      </c>
      <c r="E12066" t="n">
        <v>1406</v>
      </c>
    </row>
    <row r="12067">
      <c r="A12067" t="inlineStr">
        <is>
          <t>27BBBBB12067Z5</t>
        </is>
      </c>
      <c r="B12067" t="inlineStr">
        <is>
          <t>Mar-2021</t>
        </is>
      </c>
      <c r="C12067" s="2" t="n">
        <v>44102</v>
      </c>
      <c r="D12067" t="inlineStr">
        <is>
          <t>NIL</t>
        </is>
      </c>
      <c r="E12067" t="n">
        <v>2975</v>
      </c>
    </row>
    <row r="12068">
      <c r="A12068" t="inlineStr">
        <is>
          <t>27BBBBB12068Z5</t>
        </is>
      </c>
      <c r="B12068" t="inlineStr">
        <is>
          <t>Aug-2018</t>
        </is>
      </c>
      <c r="C12068" s="2" t="n">
        <v>43179</v>
      </c>
      <c r="D12068" t="inlineStr">
        <is>
          <t>NIL</t>
        </is>
      </c>
      <c r="E12068" t="n">
        <v>2488</v>
      </c>
    </row>
    <row r="12069">
      <c r="A12069" t="inlineStr">
        <is>
          <t>27BBBBB12069Z5</t>
        </is>
      </c>
      <c r="B12069" t="inlineStr">
        <is>
          <t>Jul-2017</t>
        </is>
      </c>
      <c r="C12069" s="2" t="n">
        <v>43307</v>
      </c>
      <c r="D12069" t="inlineStr">
        <is>
          <t>NON-NIL</t>
        </is>
      </c>
      <c r="E12069" t="n">
        <v>305</v>
      </c>
    </row>
    <row r="12070">
      <c r="A12070" t="inlineStr">
        <is>
          <t>27BBBBB12070Z5</t>
        </is>
      </c>
      <c r="B12070" t="inlineStr">
        <is>
          <t>Jul-2020</t>
        </is>
      </c>
      <c r="C12070" s="2" t="n">
        <v>44626</v>
      </c>
      <c r="D12070" t="inlineStr">
        <is>
          <t>NON-NIL</t>
        </is>
      </c>
      <c r="E12070" t="n">
        <v>1100</v>
      </c>
    </row>
    <row r="12071">
      <c r="A12071" t="inlineStr">
        <is>
          <t>27BBBBB12071Z5</t>
        </is>
      </c>
      <c r="B12071" t="inlineStr">
        <is>
          <t>Feb-2018</t>
        </is>
      </c>
      <c r="C12071" s="2" t="n">
        <v>43957</v>
      </c>
      <c r="D12071" t="inlineStr">
        <is>
          <t>NON-NIL</t>
        </is>
      </c>
      <c r="E12071" t="n">
        <v>1038</v>
      </c>
    </row>
    <row r="12072">
      <c r="A12072" t="inlineStr">
        <is>
          <t>27BBBBB12072Z5</t>
        </is>
      </c>
      <c r="B12072" t="inlineStr">
        <is>
          <t>Oct-2017</t>
        </is>
      </c>
      <c r="C12072" s="2" t="n">
        <v>44241</v>
      </c>
      <c r="D12072" t="inlineStr">
        <is>
          <t>NIL</t>
        </is>
      </c>
      <c r="E12072" t="n">
        <v>1783</v>
      </c>
    </row>
    <row r="12073">
      <c r="A12073" t="inlineStr">
        <is>
          <t>27BBBBB12073Z5</t>
        </is>
      </c>
      <c r="B12073" t="inlineStr">
        <is>
          <t>Feb-2018</t>
        </is>
      </c>
      <c r="C12073" s="2" t="n">
        <v>43249</v>
      </c>
      <c r="D12073" t="inlineStr">
        <is>
          <t>NON-NIL</t>
        </is>
      </c>
      <c r="E12073" t="n">
        <v>744</v>
      </c>
    </row>
    <row r="12074">
      <c r="A12074" t="inlineStr">
        <is>
          <t>27BBBBB12074Z5</t>
        </is>
      </c>
      <c r="B12074" t="inlineStr">
        <is>
          <t>Feb-2018</t>
        </is>
      </c>
      <c r="C12074" s="2" t="n">
        <v>43896</v>
      </c>
      <c r="D12074" t="inlineStr">
        <is>
          <t>NON-NIL</t>
        </is>
      </c>
      <c r="E12074" t="n">
        <v>839</v>
      </c>
    </row>
    <row r="12075">
      <c r="A12075" t="inlineStr">
        <is>
          <t>27BBBBB12075Z5</t>
        </is>
      </c>
      <c r="B12075" t="inlineStr">
        <is>
          <t>Mar-2018</t>
        </is>
      </c>
      <c r="C12075" s="2" t="n">
        <v>43586</v>
      </c>
      <c r="D12075" t="inlineStr">
        <is>
          <t>NON-NIL</t>
        </is>
      </c>
      <c r="E12075" t="n">
        <v>669</v>
      </c>
    </row>
    <row r="12076">
      <c r="A12076" t="inlineStr">
        <is>
          <t>27BBBBB12076Z5</t>
        </is>
      </c>
      <c r="B12076" t="inlineStr">
        <is>
          <t>Mar-2023</t>
        </is>
      </c>
      <c r="C12076" s="2" t="n">
        <v>45241</v>
      </c>
      <c r="D12076" t="inlineStr">
        <is>
          <t>NIL</t>
        </is>
      </c>
      <c r="E12076" t="n">
        <v>1517</v>
      </c>
    </row>
    <row r="12077">
      <c r="A12077" t="inlineStr">
        <is>
          <t>27BBBBB12077Z5</t>
        </is>
      </c>
      <c r="B12077" t="inlineStr">
        <is>
          <t>Dec-2024</t>
        </is>
      </c>
      <c r="C12077" s="2" t="n">
        <v>44314</v>
      </c>
      <c r="D12077" t="inlineStr">
        <is>
          <t>NON-NIL</t>
        </is>
      </c>
      <c r="E12077" t="n">
        <v>513</v>
      </c>
    </row>
    <row r="12078">
      <c r="A12078" t="inlineStr">
        <is>
          <t>27BBBBB12078Z5</t>
        </is>
      </c>
      <c r="B12078" t="inlineStr">
        <is>
          <t>Jul-2020</t>
        </is>
      </c>
      <c r="C12078" s="2" t="n">
        <v>44174</v>
      </c>
      <c r="D12078" t="inlineStr">
        <is>
          <t>NON-NIL</t>
        </is>
      </c>
      <c r="E12078" t="n">
        <v>2879</v>
      </c>
    </row>
    <row r="12079">
      <c r="A12079" t="inlineStr">
        <is>
          <t>27BBBBB12079Z5</t>
        </is>
      </c>
      <c r="B12079" t="inlineStr">
        <is>
          <t>Sep-2018</t>
        </is>
      </c>
      <c r="C12079" s="2" t="n">
        <v>43453</v>
      </c>
      <c r="D12079" t="inlineStr">
        <is>
          <t>NIL</t>
        </is>
      </c>
      <c r="E12079" t="n">
        <v>1985</v>
      </c>
    </row>
    <row r="12080">
      <c r="A12080" t="inlineStr">
        <is>
          <t>27BBBBB12080Z5</t>
        </is>
      </c>
      <c r="B12080" t="inlineStr">
        <is>
          <t>Aug-2018</t>
        </is>
      </c>
      <c r="C12080" s="2" t="n">
        <v>43727</v>
      </c>
      <c r="D12080" t="inlineStr">
        <is>
          <t>NON-NIL</t>
        </is>
      </c>
      <c r="E12080" t="n">
        <v>190</v>
      </c>
    </row>
    <row r="12081">
      <c r="A12081" t="inlineStr">
        <is>
          <t>27BBBBB12081Z5</t>
        </is>
      </c>
      <c r="B12081" t="inlineStr">
        <is>
          <t>Mar-2021</t>
        </is>
      </c>
      <c r="C12081" s="2" t="n">
        <v>45785</v>
      </c>
      <c r="D12081" t="inlineStr">
        <is>
          <t>NON-NIL</t>
        </is>
      </c>
      <c r="E12081" t="n">
        <v>1307</v>
      </c>
    </row>
    <row r="12082">
      <c r="A12082" t="inlineStr">
        <is>
          <t>27BBBBB12082Z5</t>
        </is>
      </c>
      <c r="B12082" t="inlineStr">
        <is>
          <t>Apr-2018</t>
        </is>
      </c>
      <c r="C12082" s="2" t="n">
        <v>43643</v>
      </c>
      <c r="D12082" t="inlineStr">
        <is>
          <t>NIL</t>
        </is>
      </c>
      <c r="E12082" t="n">
        <v>2608</v>
      </c>
    </row>
    <row r="12083">
      <c r="A12083" t="inlineStr">
        <is>
          <t>27BBBBB12083Z5</t>
        </is>
      </c>
      <c r="B12083" t="inlineStr">
        <is>
          <t>May-2020</t>
        </is>
      </c>
      <c r="C12083" s="2" t="n">
        <v>44482</v>
      </c>
      <c r="D12083" t="inlineStr">
        <is>
          <t>NON-NIL</t>
        </is>
      </c>
      <c r="E12083" t="n">
        <v>1163</v>
      </c>
    </row>
    <row r="12084">
      <c r="A12084" t="inlineStr">
        <is>
          <t>27BBBBB12084Z5</t>
        </is>
      </c>
      <c r="B12084" t="inlineStr">
        <is>
          <t>Mar-2020</t>
        </is>
      </c>
      <c r="C12084" s="2" t="n">
        <v>44522</v>
      </c>
      <c r="D12084" t="inlineStr">
        <is>
          <t>NIL</t>
        </is>
      </c>
      <c r="E12084" t="n">
        <v>1855</v>
      </c>
    </row>
    <row r="12085">
      <c r="A12085" t="inlineStr">
        <is>
          <t>27BBBBB12085Z5</t>
        </is>
      </c>
      <c r="B12085" t="inlineStr">
        <is>
          <t>Aug-2018</t>
        </is>
      </c>
      <c r="C12085" s="2" t="n">
        <v>43525</v>
      </c>
      <c r="D12085" t="inlineStr">
        <is>
          <t>NIL</t>
        </is>
      </c>
      <c r="E12085" t="n">
        <v>1218</v>
      </c>
    </row>
    <row r="12086">
      <c r="A12086" t="inlineStr">
        <is>
          <t>27BBBBB12086Z5</t>
        </is>
      </c>
      <c r="B12086" t="inlineStr">
        <is>
          <t>Mar-2021</t>
        </is>
      </c>
      <c r="C12086" s="2" t="n">
        <v>44451</v>
      </c>
      <c r="D12086" t="inlineStr">
        <is>
          <t>NIL</t>
        </is>
      </c>
      <c r="E12086" t="n">
        <v>1967</v>
      </c>
    </row>
    <row r="12087">
      <c r="A12087" t="inlineStr">
        <is>
          <t>27BBBBB12087Z5</t>
        </is>
      </c>
      <c r="B12087" t="inlineStr">
        <is>
          <t>Feb-2018</t>
        </is>
      </c>
      <c r="C12087" s="2" t="n">
        <v>44049</v>
      </c>
      <c r="D12087" t="inlineStr">
        <is>
          <t>NON-NIL</t>
        </is>
      </c>
      <c r="E12087" t="n">
        <v>2176</v>
      </c>
    </row>
    <row r="12088">
      <c r="A12088" t="inlineStr">
        <is>
          <t>27BBBBB12088Z5</t>
        </is>
      </c>
      <c r="B12088" t="inlineStr">
        <is>
          <t>Dec-2018</t>
        </is>
      </c>
      <c r="C12088" s="2" t="n">
        <v>43888</v>
      </c>
      <c r="D12088" t="inlineStr">
        <is>
          <t>NON-NIL</t>
        </is>
      </c>
      <c r="E12088" t="n">
        <v>304</v>
      </c>
    </row>
    <row r="12089">
      <c r="A12089" t="inlineStr">
        <is>
          <t>27BBBBB12089Z5</t>
        </is>
      </c>
      <c r="B12089" t="inlineStr">
        <is>
          <t>Jul-2017</t>
        </is>
      </c>
      <c r="C12089" s="2" t="n">
        <v>43032</v>
      </c>
      <c r="D12089" t="inlineStr">
        <is>
          <t>NON-NIL</t>
        </is>
      </c>
      <c r="E12089" t="n">
        <v>2551</v>
      </c>
    </row>
    <row r="12090">
      <c r="A12090" t="inlineStr">
        <is>
          <t>27BBBBB12090Z5</t>
        </is>
      </c>
      <c r="B12090" t="inlineStr">
        <is>
          <t>Mar-2018</t>
        </is>
      </c>
      <c r="C12090" s="2" t="n">
        <v>44018</v>
      </c>
      <c r="D12090" t="inlineStr">
        <is>
          <t>NIL</t>
        </is>
      </c>
      <c r="E12090" t="n">
        <v>1939</v>
      </c>
    </row>
    <row r="12091">
      <c r="A12091" t="inlineStr">
        <is>
          <t>27BBBBB12091Z5</t>
        </is>
      </c>
      <c r="B12091" t="inlineStr">
        <is>
          <t>Aug-2017</t>
        </is>
      </c>
      <c r="C12091" s="2" t="n">
        <v>44481</v>
      </c>
      <c r="D12091" t="inlineStr">
        <is>
          <t>NON-NIL</t>
        </is>
      </c>
      <c r="E12091" t="n">
        <v>2445</v>
      </c>
    </row>
    <row r="12092">
      <c r="A12092" t="inlineStr">
        <is>
          <t>27BBBBB12092Z5</t>
        </is>
      </c>
      <c r="B12092" t="inlineStr">
        <is>
          <t>Aug-2017</t>
        </is>
      </c>
      <c r="C12092" s="2" t="n">
        <v>44050</v>
      </c>
      <c r="D12092" t="inlineStr">
        <is>
          <t>NON-NIL</t>
        </is>
      </c>
      <c r="E12092" t="n">
        <v>2674</v>
      </c>
    </row>
    <row r="12093">
      <c r="A12093" t="inlineStr">
        <is>
          <t>27BBBBB12093Z5</t>
        </is>
      </c>
      <c r="B12093" t="inlineStr">
        <is>
          <t>Oct-2017</t>
        </is>
      </c>
      <c r="C12093" s="2" t="n">
        <v>43351</v>
      </c>
      <c r="D12093" t="inlineStr">
        <is>
          <t>NIL</t>
        </is>
      </c>
      <c r="E12093" t="n">
        <v>2516</v>
      </c>
    </row>
    <row r="12094">
      <c r="A12094" t="inlineStr">
        <is>
          <t>27BBBBB12094Z5</t>
        </is>
      </c>
      <c r="B12094" t="inlineStr">
        <is>
          <t>Sep-2018</t>
        </is>
      </c>
      <c r="C12094" s="2" t="n">
        <v>43236</v>
      </c>
      <c r="D12094" t="inlineStr">
        <is>
          <t>NON-NIL</t>
        </is>
      </c>
      <c r="E12094" t="n">
        <v>2098</v>
      </c>
    </row>
    <row r="12095">
      <c r="A12095" t="inlineStr">
        <is>
          <t>27BBBBB12095Z5</t>
        </is>
      </c>
      <c r="B12095" t="inlineStr">
        <is>
          <t>Aug-2017</t>
        </is>
      </c>
      <c r="C12095" s="2" t="n">
        <v>43228</v>
      </c>
      <c r="D12095" t="inlineStr">
        <is>
          <t>NIL</t>
        </is>
      </c>
      <c r="E12095" t="n">
        <v>2128</v>
      </c>
    </row>
    <row r="12096">
      <c r="A12096" t="inlineStr">
        <is>
          <t>27BBBBB12096Z5</t>
        </is>
      </c>
      <c r="B12096" t="inlineStr">
        <is>
          <t>Dec-2017</t>
        </is>
      </c>
      <c r="C12096" s="2" t="n">
        <v>43013</v>
      </c>
      <c r="D12096" t="inlineStr">
        <is>
          <t>NON-NIL</t>
        </is>
      </c>
      <c r="E12096" t="n">
        <v>1197</v>
      </c>
    </row>
    <row r="12097">
      <c r="A12097" t="inlineStr">
        <is>
          <t>27BBBBB12097Z5</t>
        </is>
      </c>
      <c r="B12097" t="inlineStr">
        <is>
          <t>Jul-2018</t>
        </is>
      </c>
      <c r="C12097" s="2" t="n">
        <v>42964</v>
      </c>
      <c r="D12097" t="inlineStr">
        <is>
          <t>NIL</t>
        </is>
      </c>
      <c r="E12097" t="n">
        <v>2159</v>
      </c>
    </row>
    <row r="12098">
      <c r="A12098" t="inlineStr">
        <is>
          <t>27BBBBB12098Z5</t>
        </is>
      </c>
      <c r="B12098" t="inlineStr">
        <is>
          <t>Nov-2018</t>
        </is>
      </c>
      <c r="C12098" s="2" t="n">
        <v>44310</v>
      </c>
      <c r="D12098" t="inlineStr">
        <is>
          <t>NIL</t>
        </is>
      </c>
      <c r="E12098" t="n">
        <v>1675</v>
      </c>
    </row>
    <row r="12099">
      <c r="A12099" t="inlineStr">
        <is>
          <t>27BBBBB12099Z5</t>
        </is>
      </c>
      <c r="B12099" t="inlineStr">
        <is>
          <t>Nov-2018</t>
        </is>
      </c>
      <c r="C12099" s="2" t="n">
        <v>43655</v>
      </c>
      <c r="D12099" t="inlineStr">
        <is>
          <t>NON-NIL</t>
        </is>
      </c>
      <c r="E12099" t="n">
        <v>2187</v>
      </c>
    </row>
    <row r="12100">
      <c r="A12100" t="inlineStr">
        <is>
          <t>27BBBBB12100Z5</t>
        </is>
      </c>
      <c r="B12100" t="inlineStr">
        <is>
          <t>Aug-2018</t>
        </is>
      </c>
      <c r="C12100" s="2" t="n">
        <v>42994</v>
      </c>
      <c r="D12100" t="inlineStr">
        <is>
          <t>NIL</t>
        </is>
      </c>
      <c r="E12100" t="n">
        <v>1419</v>
      </c>
    </row>
    <row r="12101">
      <c r="A12101" t="inlineStr">
        <is>
          <t>27BBBBB12101Z5</t>
        </is>
      </c>
      <c r="B12101" t="inlineStr">
        <is>
          <t>Mar-2023</t>
        </is>
      </c>
      <c r="C12101" s="2" t="n">
        <v>45608</v>
      </c>
      <c r="D12101" t="inlineStr">
        <is>
          <t>NIL</t>
        </is>
      </c>
      <c r="E12101" t="n">
        <v>1048</v>
      </c>
    </row>
    <row r="12102">
      <c r="A12102" t="inlineStr">
        <is>
          <t>27BBBBB12102Z5</t>
        </is>
      </c>
      <c r="B12102" t="inlineStr">
        <is>
          <t>Feb-2018</t>
        </is>
      </c>
      <c r="C12102" s="2" t="n">
        <v>44188</v>
      </c>
      <c r="D12102" t="inlineStr">
        <is>
          <t>NIL</t>
        </is>
      </c>
      <c r="E12102" t="n">
        <v>2498</v>
      </c>
    </row>
    <row r="12103">
      <c r="A12103" t="inlineStr">
        <is>
          <t>27BBBBB12103Z5</t>
        </is>
      </c>
      <c r="B12103" t="inlineStr">
        <is>
          <t>Mar-2021</t>
        </is>
      </c>
      <c r="C12103" s="2" t="n">
        <v>45649</v>
      </c>
      <c r="D12103" t="inlineStr">
        <is>
          <t>NIL</t>
        </is>
      </c>
      <c r="E12103" t="n">
        <v>2672</v>
      </c>
    </row>
    <row r="12104">
      <c r="A12104" t="inlineStr">
        <is>
          <t>27BBBBB12104Z5</t>
        </is>
      </c>
      <c r="B12104" t="inlineStr">
        <is>
          <t>Nov-2018</t>
        </is>
      </c>
      <c r="C12104" s="2" t="n">
        <v>43797</v>
      </c>
      <c r="D12104" t="inlineStr">
        <is>
          <t>NON-NIL</t>
        </is>
      </c>
      <c r="E12104" t="n">
        <v>1924</v>
      </c>
    </row>
    <row r="12105">
      <c r="A12105" t="inlineStr">
        <is>
          <t>27BBBBB12105Z5</t>
        </is>
      </c>
      <c r="B12105" t="inlineStr">
        <is>
          <t>May-2018</t>
        </is>
      </c>
      <c r="C12105" s="2" t="n">
        <v>42927</v>
      </c>
      <c r="D12105" t="inlineStr">
        <is>
          <t>NON-NIL</t>
        </is>
      </c>
      <c r="E12105" t="n">
        <v>1227</v>
      </c>
    </row>
    <row r="12106">
      <c r="A12106" t="inlineStr">
        <is>
          <t>27BBBBB12106Z5</t>
        </is>
      </c>
      <c r="B12106" t="inlineStr">
        <is>
          <t>Aug-2018</t>
        </is>
      </c>
      <c r="C12106" s="2" t="n">
        <v>43469</v>
      </c>
      <c r="D12106" t="inlineStr">
        <is>
          <t>NIL</t>
        </is>
      </c>
      <c r="E12106" t="n">
        <v>2905</v>
      </c>
    </row>
    <row r="12107">
      <c r="A12107" t="inlineStr">
        <is>
          <t>27BBBBB12107Z5</t>
        </is>
      </c>
      <c r="B12107" t="inlineStr">
        <is>
          <t>Aug-2017</t>
        </is>
      </c>
      <c r="C12107" s="2" t="n">
        <v>43928</v>
      </c>
      <c r="D12107" t="inlineStr">
        <is>
          <t>NON-NIL</t>
        </is>
      </c>
      <c r="E12107" t="n">
        <v>745</v>
      </c>
    </row>
    <row r="12108">
      <c r="A12108" t="inlineStr">
        <is>
          <t>27BBBBB12108Z5</t>
        </is>
      </c>
      <c r="B12108" t="inlineStr">
        <is>
          <t>Aug-2017</t>
        </is>
      </c>
      <c r="C12108" s="2" t="n">
        <v>43873</v>
      </c>
      <c r="D12108" t="inlineStr">
        <is>
          <t>NIL</t>
        </is>
      </c>
      <c r="E12108" t="n">
        <v>767</v>
      </c>
    </row>
    <row r="12109">
      <c r="A12109" t="inlineStr">
        <is>
          <t>27BBBBB12109Z5</t>
        </is>
      </c>
      <c r="B12109" t="inlineStr">
        <is>
          <t>Dec-2018</t>
        </is>
      </c>
      <c r="C12109" s="2" t="n">
        <v>43238</v>
      </c>
      <c r="D12109" t="inlineStr">
        <is>
          <t>NON-NIL</t>
        </is>
      </c>
      <c r="E12109" t="n">
        <v>920</v>
      </c>
    </row>
    <row r="12110">
      <c r="A12110" t="inlineStr">
        <is>
          <t>27BBBBB12110Z5</t>
        </is>
      </c>
      <c r="B12110" t="inlineStr">
        <is>
          <t>Mar-2020</t>
        </is>
      </c>
      <c r="C12110" s="2" t="n">
        <v>44921</v>
      </c>
      <c r="D12110" t="inlineStr">
        <is>
          <t>NIL</t>
        </is>
      </c>
      <c r="E12110" t="n">
        <v>2369</v>
      </c>
    </row>
    <row r="12111">
      <c r="A12111" t="inlineStr">
        <is>
          <t>27BBBBB12111Z5</t>
        </is>
      </c>
      <c r="B12111" t="inlineStr">
        <is>
          <t>Mar-2021</t>
        </is>
      </c>
      <c r="C12111" s="2" t="n">
        <v>45657</v>
      </c>
      <c r="D12111" t="inlineStr">
        <is>
          <t>NON-NIL</t>
        </is>
      </c>
      <c r="E12111" t="n">
        <v>923</v>
      </c>
    </row>
    <row r="12112">
      <c r="A12112" t="inlineStr">
        <is>
          <t>27BBBBB12112Z5</t>
        </is>
      </c>
      <c r="B12112" t="inlineStr">
        <is>
          <t>Oct-2018</t>
        </is>
      </c>
      <c r="C12112" s="2" t="n">
        <v>43854</v>
      </c>
      <c r="D12112" t="inlineStr">
        <is>
          <t>NON-NIL</t>
        </is>
      </c>
      <c r="E12112" t="n">
        <v>1829</v>
      </c>
    </row>
    <row r="12113">
      <c r="A12113" t="inlineStr">
        <is>
          <t>27BBBBB12113Z5</t>
        </is>
      </c>
      <c r="B12113" t="inlineStr">
        <is>
          <t>Jul-2020</t>
        </is>
      </c>
      <c r="C12113" s="2" t="n">
        <v>44629</v>
      </c>
      <c r="D12113" t="inlineStr">
        <is>
          <t>NIL</t>
        </is>
      </c>
      <c r="E12113" t="n">
        <v>104</v>
      </c>
    </row>
    <row r="12114">
      <c r="A12114" t="inlineStr">
        <is>
          <t>27BBBBB12114Z5</t>
        </is>
      </c>
      <c r="B12114" t="inlineStr">
        <is>
          <t>Apr-2018</t>
        </is>
      </c>
      <c r="C12114" s="2" t="n">
        <v>44516</v>
      </c>
      <c r="D12114" t="inlineStr">
        <is>
          <t>NON-NIL</t>
        </is>
      </c>
      <c r="E12114" t="n">
        <v>294</v>
      </c>
    </row>
    <row r="12115">
      <c r="A12115" t="inlineStr">
        <is>
          <t>27BBBBB12115Z5</t>
        </is>
      </c>
      <c r="B12115" t="inlineStr">
        <is>
          <t>Aug-2017</t>
        </is>
      </c>
      <c r="C12115" s="2" t="n">
        <v>44373</v>
      </c>
      <c r="D12115" t="inlineStr">
        <is>
          <t>NON-NIL</t>
        </is>
      </c>
      <c r="E12115" t="n">
        <v>2195</v>
      </c>
    </row>
    <row r="12116">
      <c r="A12116" t="inlineStr">
        <is>
          <t>27BBBBB12116Z5</t>
        </is>
      </c>
      <c r="B12116" t="inlineStr">
        <is>
          <t>Jul-2020</t>
        </is>
      </c>
      <c r="C12116" s="2" t="n">
        <v>44275</v>
      </c>
      <c r="D12116" t="inlineStr">
        <is>
          <t>NON-NIL</t>
        </is>
      </c>
      <c r="E12116" t="n">
        <v>2254</v>
      </c>
    </row>
    <row r="12117">
      <c r="A12117" t="inlineStr">
        <is>
          <t>27BBBBB12117Z5</t>
        </is>
      </c>
      <c r="B12117" t="inlineStr">
        <is>
          <t>Dec-2024</t>
        </is>
      </c>
      <c r="C12117" s="2" t="n">
        <v>44737</v>
      </c>
      <c r="D12117" t="inlineStr">
        <is>
          <t>NON-NIL</t>
        </is>
      </c>
      <c r="E12117" t="n">
        <v>166</v>
      </c>
    </row>
    <row r="12118">
      <c r="A12118" t="inlineStr">
        <is>
          <t>27BBBBB12118Z5</t>
        </is>
      </c>
      <c r="B12118" t="inlineStr">
        <is>
          <t>Aug-2017</t>
        </is>
      </c>
      <c r="C12118" s="2" t="n">
        <v>43684</v>
      </c>
      <c r="D12118" t="inlineStr">
        <is>
          <t>NON-NIL</t>
        </is>
      </c>
      <c r="E12118" t="n">
        <v>571</v>
      </c>
    </row>
    <row r="12119">
      <c r="A12119" t="inlineStr">
        <is>
          <t>27BBBBB12119Z5</t>
        </is>
      </c>
      <c r="B12119" t="inlineStr">
        <is>
          <t>Jun-2018</t>
        </is>
      </c>
      <c r="C12119" s="2" t="n">
        <v>43062</v>
      </c>
      <c r="D12119" t="inlineStr">
        <is>
          <t>NON-NIL</t>
        </is>
      </c>
      <c r="E12119" t="n">
        <v>2656</v>
      </c>
    </row>
    <row r="12120">
      <c r="A12120" t="inlineStr">
        <is>
          <t>27BBBBB12120Z5</t>
        </is>
      </c>
      <c r="B12120" t="inlineStr">
        <is>
          <t>Nov-2018</t>
        </is>
      </c>
      <c r="C12120" s="2" t="n">
        <v>44169</v>
      </c>
      <c r="D12120" t="inlineStr">
        <is>
          <t>NIL</t>
        </is>
      </c>
      <c r="E12120" t="n">
        <v>2795</v>
      </c>
    </row>
    <row r="12121">
      <c r="A12121" t="inlineStr">
        <is>
          <t>27BBBBB12121Z5</t>
        </is>
      </c>
      <c r="B12121" t="inlineStr">
        <is>
          <t>Jun-2018</t>
        </is>
      </c>
      <c r="C12121" s="2" t="n">
        <v>43635</v>
      </c>
      <c r="D12121" t="inlineStr">
        <is>
          <t>NIL</t>
        </is>
      </c>
      <c r="E12121" t="n">
        <v>2013</v>
      </c>
    </row>
    <row r="12122">
      <c r="A12122" t="inlineStr">
        <is>
          <t>27BBBBB12122Z5</t>
        </is>
      </c>
      <c r="B12122" t="inlineStr">
        <is>
          <t>Oct-2018</t>
        </is>
      </c>
      <c r="C12122" s="2" t="n">
        <v>43961</v>
      </c>
      <c r="D12122" t="inlineStr">
        <is>
          <t>NON-NIL</t>
        </is>
      </c>
      <c r="E12122" t="n">
        <v>930</v>
      </c>
    </row>
    <row r="12123">
      <c r="A12123" t="inlineStr">
        <is>
          <t>27BBBBB12123Z5</t>
        </is>
      </c>
      <c r="B12123" t="inlineStr">
        <is>
          <t>Mar-2020</t>
        </is>
      </c>
      <c r="C12123" s="2" t="n">
        <v>44588</v>
      </c>
      <c r="D12123" t="inlineStr">
        <is>
          <t>NIL</t>
        </is>
      </c>
      <c r="E12123" t="n">
        <v>2483</v>
      </c>
    </row>
    <row r="12124">
      <c r="A12124" t="inlineStr">
        <is>
          <t>27BBBBB12124Z5</t>
        </is>
      </c>
      <c r="B12124" t="inlineStr">
        <is>
          <t>Oct-2017</t>
        </is>
      </c>
      <c r="C12124" s="2" t="n">
        <v>44007</v>
      </c>
      <c r="D12124" t="inlineStr">
        <is>
          <t>NIL</t>
        </is>
      </c>
      <c r="E12124" t="n">
        <v>1185</v>
      </c>
    </row>
    <row r="12125">
      <c r="A12125" t="inlineStr">
        <is>
          <t>27BBBBB12125Z5</t>
        </is>
      </c>
      <c r="B12125" t="inlineStr">
        <is>
          <t>Apr-2020</t>
        </is>
      </c>
      <c r="C12125" s="2" t="n">
        <v>44913</v>
      </c>
      <c r="D12125" t="inlineStr">
        <is>
          <t>NIL</t>
        </is>
      </c>
      <c r="E12125" t="n">
        <v>1349</v>
      </c>
    </row>
    <row r="12126">
      <c r="A12126" t="inlineStr">
        <is>
          <t>27BBBBB12126Z5</t>
        </is>
      </c>
      <c r="B12126" t="inlineStr">
        <is>
          <t>Aug-2017</t>
        </is>
      </c>
      <c r="C12126" s="2" t="n">
        <v>44494</v>
      </c>
      <c r="D12126" t="inlineStr">
        <is>
          <t>NIL</t>
        </is>
      </c>
      <c r="E12126" t="n">
        <v>1738</v>
      </c>
    </row>
    <row r="12127">
      <c r="A12127" t="inlineStr">
        <is>
          <t>27BBBBB12127Z5</t>
        </is>
      </c>
      <c r="B12127" t="inlineStr">
        <is>
          <t>Mar-2021</t>
        </is>
      </c>
      <c r="C12127" s="2" t="n">
        <v>44913</v>
      </c>
      <c r="D12127" t="inlineStr">
        <is>
          <t>NIL</t>
        </is>
      </c>
      <c r="E12127" t="n">
        <v>2170</v>
      </c>
    </row>
    <row r="12128">
      <c r="A12128" t="inlineStr">
        <is>
          <t>27BBBBB12128Z5</t>
        </is>
      </c>
      <c r="B12128" t="inlineStr">
        <is>
          <t>Dec-2024</t>
        </is>
      </c>
      <c r="C12128" s="2" t="n">
        <v>45426</v>
      </c>
      <c r="D12128" t="inlineStr">
        <is>
          <t>NIL</t>
        </is>
      </c>
      <c r="E12128" t="n">
        <v>1314</v>
      </c>
    </row>
    <row r="12129">
      <c r="A12129" t="inlineStr">
        <is>
          <t>27BBBBB12129Z5</t>
        </is>
      </c>
      <c r="B12129" t="inlineStr">
        <is>
          <t>Apr-2020</t>
        </is>
      </c>
      <c r="C12129" s="2" t="n">
        <v>44749</v>
      </c>
      <c r="D12129" t="inlineStr">
        <is>
          <t>NIL</t>
        </is>
      </c>
      <c r="E12129" t="n">
        <v>19</v>
      </c>
    </row>
    <row r="12130">
      <c r="A12130" t="inlineStr">
        <is>
          <t>27BBBBB12130Z5</t>
        </is>
      </c>
      <c r="B12130" t="inlineStr">
        <is>
          <t>Jan-2021</t>
        </is>
      </c>
      <c r="C12130" s="2" t="n">
        <v>45299</v>
      </c>
      <c r="D12130" t="inlineStr">
        <is>
          <t>NON-NIL</t>
        </is>
      </c>
      <c r="E12130" t="n">
        <v>1997</v>
      </c>
    </row>
    <row r="12131">
      <c r="A12131" t="inlineStr">
        <is>
          <t>27BBBBB12131Z5</t>
        </is>
      </c>
      <c r="B12131" t="inlineStr">
        <is>
          <t>Dec-2018</t>
        </is>
      </c>
      <c r="C12131" s="2" t="n">
        <v>43142</v>
      </c>
      <c r="D12131" t="inlineStr">
        <is>
          <t>NIL</t>
        </is>
      </c>
      <c r="E12131" t="n">
        <v>2179</v>
      </c>
    </row>
    <row r="12132">
      <c r="A12132" t="inlineStr">
        <is>
          <t>27BBBBB12132Z5</t>
        </is>
      </c>
      <c r="B12132" t="inlineStr">
        <is>
          <t>Jan-2021</t>
        </is>
      </c>
      <c r="C12132" s="2" t="n">
        <v>45720</v>
      </c>
      <c r="D12132" t="inlineStr">
        <is>
          <t>NIL</t>
        </is>
      </c>
      <c r="E12132" t="n">
        <v>1002</v>
      </c>
    </row>
    <row r="12133">
      <c r="A12133" t="inlineStr">
        <is>
          <t>27BBBBB12133Z5</t>
        </is>
      </c>
      <c r="B12133" t="inlineStr">
        <is>
          <t>Aug-2017</t>
        </is>
      </c>
      <c r="C12133" s="2" t="n">
        <v>43677</v>
      </c>
      <c r="D12133" t="inlineStr">
        <is>
          <t>NON-NIL</t>
        </is>
      </c>
      <c r="E12133" t="n">
        <v>1394</v>
      </c>
    </row>
    <row r="12134">
      <c r="A12134" t="inlineStr">
        <is>
          <t>27BBBBB12134Z5</t>
        </is>
      </c>
      <c r="B12134" t="inlineStr">
        <is>
          <t>Mar-2018</t>
        </is>
      </c>
      <c r="C12134" s="2" t="n">
        <v>43122</v>
      </c>
      <c r="D12134" t="inlineStr">
        <is>
          <t>NIL</t>
        </is>
      </c>
      <c r="E12134" t="n">
        <v>38</v>
      </c>
    </row>
    <row r="12135">
      <c r="A12135" t="inlineStr">
        <is>
          <t>27BBBBB12135Z5</t>
        </is>
      </c>
      <c r="B12135" t="inlineStr">
        <is>
          <t>Jan-2018</t>
        </is>
      </c>
      <c r="C12135" s="2" t="n">
        <v>43117</v>
      </c>
      <c r="D12135" t="inlineStr">
        <is>
          <t>NON-NIL</t>
        </is>
      </c>
      <c r="E12135" t="n">
        <v>2396</v>
      </c>
    </row>
    <row r="12136">
      <c r="A12136" t="inlineStr">
        <is>
          <t>27BBBBB12136Z5</t>
        </is>
      </c>
      <c r="B12136" t="inlineStr">
        <is>
          <t>Apr-2020</t>
        </is>
      </c>
      <c r="C12136" s="2" t="n">
        <v>44629</v>
      </c>
      <c r="D12136" t="inlineStr">
        <is>
          <t>NIL</t>
        </is>
      </c>
      <c r="E12136" t="n">
        <v>315</v>
      </c>
    </row>
    <row r="12137">
      <c r="A12137" t="inlineStr">
        <is>
          <t>27BBBBB12137Z5</t>
        </is>
      </c>
      <c r="B12137" t="inlineStr">
        <is>
          <t>Jan-2021</t>
        </is>
      </c>
      <c r="C12137" s="2" t="n">
        <v>44303</v>
      </c>
      <c r="D12137" t="inlineStr">
        <is>
          <t>NIL</t>
        </is>
      </c>
      <c r="E12137" t="n">
        <v>806</v>
      </c>
    </row>
    <row r="12138">
      <c r="A12138" t="inlineStr">
        <is>
          <t>27BBBBB12138Z5</t>
        </is>
      </c>
      <c r="B12138" t="inlineStr">
        <is>
          <t>Dec-2018</t>
        </is>
      </c>
      <c r="C12138" s="2" t="n">
        <v>43162</v>
      </c>
      <c r="D12138" t="inlineStr">
        <is>
          <t>NON-NIL</t>
        </is>
      </c>
      <c r="E12138" t="n">
        <v>1481</v>
      </c>
    </row>
    <row r="12139">
      <c r="A12139" t="inlineStr">
        <is>
          <t>27BBBBB12139Z5</t>
        </is>
      </c>
      <c r="B12139" t="inlineStr">
        <is>
          <t>Sep-2017</t>
        </is>
      </c>
      <c r="C12139" s="2" t="n">
        <v>43447</v>
      </c>
      <c r="D12139" t="inlineStr">
        <is>
          <t>NIL</t>
        </is>
      </c>
      <c r="E12139" t="n">
        <v>2585</v>
      </c>
    </row>
    <row r="12140">
      <c r="A12140" t="inlineStr">
        <is>
          <t>27BBBBB12140Z5</t>
        </is>
      </c>
      <c r="B12140" t="inlineStr">
        <is>
          <t>Mar-2018</t>
        </is>
      </c>
      <c r="C12140" s="2" t="n">
        <v>43351</v>
      </c>
      <c r="D12140" t="inlineStr">
        <is>
          <t>NIL</t>
        </is>
      </c>
      <c r="E12140" t="n">
        <v>2478</v>
      </c>
    </row>
    <row r="12141">
      <c r="A12141" t="inlineStr">
        <is>
          <t>27BBBBB12141Z5</t>
        </is>
      </c>
      <c r="B12141" t="inlineStr">
        <is>
          <t>Mar-2018</t>
        </is>
      </c>
      <c r="C12141" s="2" t="n">
        <v>43243</v>
      </c>
      <c r="D12141" t="inlineStr">
        <is>
          <t>NIL</t>
        </is>
      </c>
      <c r="E12141" t="n">
        <v>2143</v>
      </c>
    </row>
    <row r="12142">
      <c r="A12142" t="inlineStr">
        <is>
          <t>27BBBBB12142Z5</t>
        </is>
      </c>
      <c r="B12142" t="inlineStr">
        <is>
          <t>Jul-2020</t>
        </is>
      </c>
      <c r="C12142" s="2" t="n">
        <v>44459</v>
      </c>
      <c r="D12142" t="inlineStr">
        <is>
          <t>NIL</t>
        </is>
      </c>
      <c r="E12142" t="n">
        <v>1743</v>
      </c>
    </row>
    <row r="12143">
      <c r="A12143" t="inlineStr">
        <is>
          <t>27BBBBB12143Z5</t>
        </is>
      </c>
      <c r="B12143" t="inlineStr">
        <is>
          <t>Apr-2018</t>
        </is>
      </c>
      <c r="C12143" s="2" t="n">
        <v>43594</v>
      </c>
      <c r="D12143" t="inlineStr">
        <is>
          <t>NIL</t>
        </is>
      </c>
      <c r="E12143" t="n">
        <v>957</v>
      </c>
    </row>
    <row r="12144">
      <c r="A12144" t="inlineStr">
        <is>
          <t>27BBBBB12144Z5</t>
        </is>
      </c>
      <c r="B12144" t="inlineStr">
        <is>
          <t>Dec-2018</t>
        </is>
      </c>
      <c r="C12144" s="2" t="n">
        <v>43543</v>
      </c>
      <c r="D12144" t="inlineStr">
        <is>
          <t>NON-NIL</t>
        </is>
      </c>
      <c r="E12144" t="n">
        <v>664</v>
      </c>
    </row>
    <row r="12145">
      <c r="A12145" t="inlineStr">
        <is>
          <t>27BBBBB12145Z5</t>
        </is>
      </c>
      <c r="B12145" t="inlineStr">
        <is>
          <t>Apr-2018</t>
        </is>
      </c>
      <c r="C12145" s="2" t="n">
        <v>43837</v>
      </c>
      <c r="D12145" t="inlineStr">
        <is>
          <t>NON-NIL</t>
        </is>
      </c>
      <c r="E12145" t="n">
        <v>437</v>
      </c>
    </row>
    <row r="12146">
      <c r="A12146" t="inlineStr">
        <is>
          <t>27BBBBB12146Z5</t>
        </is>
      </c>
      <c r="B12146" t="inlineStr">
        <is>
          <t>Apr-2020</t>
        </is>
      </c>
      <c r="C12146" s="2" t="n">
        <v>44781</v>
      </c>
      <c r="D12146" t="inlineStr">
        <is>
          <t>NIL</t>
        </is>
      </c>
      <c r="E12146" t="n">
        <v>1365</v>
      </c>
    </row>
    <row r="12147">
      <c r="A12147" t="inlineStr">
        <is>
          <t>27BBBBB12147Z5</t>
        </is>
      </c>
      <c r="B12147" t="inlineStr">
        <is>
          <t>Sep-2018</t>
        </is>
      </c>
      <c r="C12147" s="2" t="n">
        <v>43137</v>
      </c>
      <c r="D12147" t="inlineStr">
        <is>
          <t>NIL</t>
        </is>
      </c>
      <c r="E12147" t="n">
        <v>2125</v>
      </c>
    </row>
    <row r="12148">
      <c r="A12148" t="inlineStr">
        <is>
          <t>27BBBBB12148Z5</t>
        </is>
      </c>
      <c r="B12148" t="inlineStr">
        <is>
          <t>Jun-2018</t>
        </is>
      </c>
      <c r="C12148" s="2" t="n">
        <v>43338</v>
      </c>
      <c r="D12148" t="inlineStr">
        <is>
          <t>NIL</t>
        </is>
      </c>
      <c r="E12148" t="n">
        <v>568</v>
      </c>
    </row>
    <row r="12149">
      <c r="A12149" t="inlineStr">
        <is>
          <t>27BBBBB12149Z5</t>
        </is>
      </c>
      <c r="B12149" t="inlineStr">
        <is>
          <t>Jan-2018</t>
        </is>
      </c>
      <c r="C12149" s="2" t="n">
        <v>44484</v>
      </c>
      <c r="D12149" t="inlineStr">
        <is>
          <t>NIL</t>
        </is>
      </c>
      <c r="E12149" t="n">
        <v>2499</v>
      </c>
    </row>
    <row r="12150">
      <c r="A12150" t="inlineStr">
        <is>
          <t>27BBBBB12150Z5</t>
        </is>
      </c>
      <c r="B12150" t="inlineStr">
        <is>
          <t>Jun-2018</t>
        </is>
      </c>
      <c r="C12150" s="2" t="n">
        <v>43168</v>
      </c>
      <c r="D12150" t="inlineStr">
        <is>
          <t>NIL</t>
        </is>
      </c>
      <c r="E12150" t="n">
        <v>402</v>
      </c>
    </row>
    <row r="12151">
      <c r="A12151" t="inlineStr">
        <is>
          <t>27BBBBB12151Z5</t>
        </is>
      </c>
      <c r="B12151" t="inlineStr">
        <is>
          <t>Jul-2020</t>
        </is>
      </c>
      <c r="C12151" s="2" t="n">
        <v>44506</v>
      </c>
      <c r="D12151" t="inlineStr">
        <is>
          <t>NON-NIL</t>
        </is>
      </c>
      <c r="E12151" t="n">
        <v>2602</v>
      </c>
    </row>
    <row r="12152">
      <c r="A12152" t="inlineStr">
        <is>
          <t>27BBBBB12152Z5</t>
        </is>
      </c>
      <c r="B12152" t="inlineStr">
        <is>
          <t>Nov-2018</t>
        </is>
      </c>
      <c r="C12152" s="2" t="n">
        <v>43819</v>
      </c>
      <c r="D12152" t="inlineStr">
        <is>
          <t>NON-NIL</t>
        </is>
      </c>
      <c r="E12152" t="n">
        <v>172</v>
      </c>
    </row>
    <row r="12153">
      <c r="A12153" t="inlineStr">
        <is>
          <t>27BBBBB12153Z5</t>
        </is>
      </c>
      <c r="B12153" t="inlineStr">
        <is>
          <t>Nov-2018</t>
        </is>
      </c>
      <c r="C12153" s="2" t="n">
        <v>43827</v>
      </c>
      <c r="D12153" t="inlineStr">
        <is>
          <t>NON-NIL</t>
        </is>
      </c>
      <c r="E12153" t="n">
        <v>1578</v>
      </c>
    </row>
    <row r="12154">
      <c r="A12154" t="inlineStr">
        <is>
          <t>27BBBBB12154Z5</t>
        </is>
      </c>
      <c r="B12154" t="inlineStr">
        <is>
          <t>Oct-2018</t>
        </is>
      </c>
      <c r="C12154" s="2" t="n">
        <v>43456</v>
      </c>
      <c r="D12154" t="inlineStr">
        <is>
          <t>NIL</t>
        </is>
      </c>
      <c r="E12154" t="n">
        <v>2539</v>
      </c>
    </row>
    <row r="12155">
      <c r="A12155" t="inlineStr">
        <is>
          <t>27BBBBB12155Z5</t>
        </is>
      </c>
      <c r="B12155" t="inlineStr">
        <is>
          <t>Jul-2017</t>
        </is>
      </c>
      <c r="C12155" s="2" t="n">
        <v>44303</v>
      </c>
      <c r="D12155" t="inlineStr">
        <is>
          <t>NON-NIL</t>
        </is>
      </c>
      <c r="E12155" t="n">
        <v>445</v>
      </c>
    </row>
    <row r="12156">
      <c r="A12156" t="inlineStr">
        <is>
          <t>27BBBBB12156Z5</t>
        </is>
      </c>
      <c r="B12156" t="inlineStr">
        <is>
          <t>Mar-2018</t>
        </is>
      </c>
      <c r="C12156" s="2" t="n">
        <v>43360</v>
      </c>
      <c r="D12156" t="inlineStr">
        <is>
          <t>NON-NIL</t>
        </is>
      </c>
      <c r="E12156" t="n">
        <v>1555</v>
      </c>
    </row>
    <row r="12157">
      <c r="A12157" t="inlineStr">
        <is>
          <t>27BBBBB12157Z5</t>
        </is>
      </c>
      <c r="B12157" t="inlineStr">
        <is>
          <t>Jun-2020</t>
        </is>
      </c>
      <c r="C12157" s="2" t="n">
        <v>44338</v>
      </c>
      <c r="D12157" t="inlineStr">
        <is>
          <t>NIL</t>
        </is>
      </c>
      <c r="E12157" t="n">
        <v>102</v>
      </c>
    </row>
    <row r="12158">
      <c r="A12158" t="inlineStr">
        <is>
          <t>27BBBBB12158Z5</t>
        </is>
      </c>
      <c r="B12158" t="inlineStr">
        <is>
          <t>Dec-2018</t>
        </is>
      </c>
      <c r="C12158" s="2" t="n">
        <v>43230</v>
      </c>
      <c r="D12158" t="inlineStr">
        <is>
          <t>NIL</t>
        </is>
      </c>
      <c r="E12158" t="n">
        <v>747</v>
      </c>
    </row>
    <row r="12159">
      <c r="A12159" t="inlineStr">
        <is>
          <t>27BBBBB12159Z5</t>
        </is>
      </c>
      <c r="B12159" t="inlineStr">
        <is>
          <t>May-2020</t>
        </is>
      </c>
      <c r="C12159" s="2" t="n">
        <v>43976</v>
      </c>
      <c r="D12159" t="inlineStr">
        <is>
          <t>NIL</t>
        </is>
      </c>
      <c r="E12159" t="n">
        <v>498</v>
      </c>
    </row>
    <row r="12160">
      <c r="A12160" t="inlineStr">
        <is>
          <t>27BBBBB12160Z5</t>
        </is>
      </c>
      <c r="B12160" t="inlineStr">
        <is>
          <t>May-2018</t>
        </is>
      </c>
      <c r="C12160" s="2" t="n">
        <v>42948</v>
      </c>
      <c r="D12160" t="inlineStr">
        <is>
          <t>NIL</t>
        </is>
      </c>
      <c r="E12160" t="n">
        <v>1209</v>
      </c>
    </row>
    <row r="12161">
      <c r="A12161" t="inlineStr">
        <is>
          <t>27BBBBB12161Z5</t>
        </is>
      </c>
      <c r="B12161" t="inlineStr">
        <is>
          <t>Jun-2020</t>
        </is>
      </c>
      <c r="C12161" s="2" t="n">
        <v>44876</v>
      </c>
      <c r="D12161" t="inlineStr">
        <is>
          <t>NON-NIL</t>
        </is>
      </c>
      <c r="E12161" t="n">
        <v>2646</v>
      </c>
    </row>
    <row r="12162">
      <c r="A12162" t="inlineStr">
        <is>
          <t>27BBBBB12162Z5</t>
        </is>
      </c>
      <c r="B12162" t="inlineStr">
        <is>
          <t>Sep-2017</t>
        </is>
      </c>
      <c r="C12162" s="2" t="n">
        <v>44218</v>
      </c>
      <c r="D12162" t="inlineStr">
        <is>
          <t>NIL</t>
        </is>
      </c>
      <c r="E12162" t="n">
        <v>1216</v>
      </c>
    </row>
    <row r="12163">
      <c r="A12163" t="inlineStr">
        <is>
          <t>27BBBBB12163Z5</t>
        </is>
      </c>
      <c r="B12163" t="inlineStr">
        <is>
          <t>Sep-2017</t>
        </is>
      </c>
      <c r="C12163" s="2" t="n">
        <v>43755</v>
      </c>
      <c r="D12163" t="inlineStr">
        <is>
          <t>NIL</t>
        </is>
      </c>
      <c r="E12163" t="n">
        <v>1470</v>
      </c>
    </row>
    <row r="12164">
      <c r="A12164" t="inlineStr">
        <is>
          <t>27BBBBB12164Z5</t>
        </is>
      </c>
      <c r="B12164" t="inlineStr">
        <is>
          <t>May-2018</t>
        </is>
      </c>
      <c r="C12164" s="2" t="n">
        <v>44556</v>
      </c>
      <c r="D12164" t="inlineStr">
        <is>
          <t>NON-NIL</t>
        </is>
      </c>
      <c r="E12164" t="n">
        <v>1983</v>
      </c>
    </row>
    <row r="12165">
      <c r="A12165" t="inlineStr">
        <is>
          <t>27BBBBB12165Z5</t>
        </is>
      </c>
      <c r="B12165" t="inlineStr">
        <is>
          <t>Nov-2018</t>
        </is>
      </c>
      <c r="C12165" s="2" t="n">
        <v>43991</v>
      </c>
      <c r="D12165" t="inlineStr">
        <is>
          <t>NON-NIL</t>
        </is>
      </c>
      <c r="E12165" t="n">
        <v>356</v>
      </c>
    </row>
    <row r="12166">
      <c r="A12166" t="inlineStr">
        <is>
          <t>27BBBBB12166Z5</t>
        </is>
      </c>
      <c r="B12166" t="inlineStr">
        <is>
          <t>Apr-2018</t>
        </is>
      </c>
      <c r="C12166" s="2" t="n">
        <v>43627</v>
      </c>
      <c r="D12166" t="inlineStr">
        <is>
          <t>NON-NIL</t>
        </is>
      </c>
      <c r="E12166" t="n">
        <v>1172</v>
      </c>
    </row>
    <row r="12167">
      <c r="A12167" t="inlineStr">
        <is>
          <t>27BBBBB12167Z5</t>
        </is>
      </c>
      <c r="B12167" t="inlineStr">
        <is>
          <t>Oct-2018</t>
        </is>
      </c>
      <c r="C12167" s="2" t="n">
        <v>43412</v>
      </c>
      <c r="D12167" t="inlineStr">
        <is>
          <t>NON-NIL</t>
        </is>
      </c>
      <c r="E12167" t="n">
        <v>1410</v>
      </c>
    </row>
    <row r="12168">
      <c r="A12168" t="inlineStr">
        <is>
          <t>27BBBBB12168Z5</t>
        </is>
      </c>
      <c r="B12168" t="inlineStr">
        <is>
          <t>Dec-2018</t>
        </is>
      </c>
      <c r="C12168" s="2" t="n">
        <v>43852</v>
      </c>
      <c r="D12168" t="inlineStr">
        <is>
          <t>NON-NIL</t>
        </is>
      </c>
      <c r="E12168" t="n">
        <v>2042</v>
      </c>
    </row>
    <row r="12169">
      <c r="A12169" t="inlineStr">
        <is>
          <t>27BBBBB12169Z5</t>
        </is>
      </c>
      <c r="B12169" t="inlineStr">
        <is>
          <t>Jul-2018</t>
        </is>
      </c>
      <c r="C12169" s="2" t="n">
        <v>43898</v>
      </c>
      <c r="D12169" t="inlineStr">
        <is>
          <t>NIL</t>
        </is>
      </c>
      <c r="E12169" t="n">
        <v>1582</v>
      </c>
    </row>
    <row r="12170">
      <c r="A12170" t="inlineStr">
        <is>
          <t>27BBBBB12170Z5</t>
        </is>
      </c>
      <c r="B12170" t="inlineStr">
        <is>
          <t>Dec-2022</t>
        </is>
      </c>
      <c r="C12170" s="2" t="n">
        <v>44389</v>
      </c>
      <c r="D12170" t="inlineStr">
        <is>
          <t>NON-NIL</t>
        </is>
      </c>
      <c r="E12170" t="n">
        <v>1092</v>
      </c>
    </row>
    <row r="12171">
      <c r="A12171" t="inlineStr">
        <is>
          <t>27BBBBB12171Z5</t>
        </is>
      </c>
      <c r="B12171" t="inlineStr">
        <is>
          <t>Oct-2018</t>
        </is>
      </c>
      <c r="C12171" s="2" t="n">
        <v>43857</v>
      </c>
      <c r="D12171" t="inlineStr">
        <is>
          <t>NON-NIL</t>
        </is>
      </c>
      <c r="E12171" t="n">
        <v>962</v>
      </c>
    </row>
    <row r="12172">
      <c r="A12172" t="inlineStr">
        <is>
          <t>27BBBBB12172Z5</t>
        </is>
      </c>
      <c r="B12172" t="inlineStr">
        <is>
          <t>Jan-2018</t>
        </is>
      </c>
      <c r="C12172" s="2" t="n">
        <v>43085</v>
      </c>
      <c r="D12172" t="inlineStr">
        <is>
          <t>NIL</t>
        </is>
      </c>
      <c r="E12172" t="n">
        <v>2351</v>
      </c>
    </row>
    <row r="12173">
      <c r="A12173" t="inlineStr">
        <is>
          <t>27BBBBB12173Z5</t>
        </is>
      </c>
      <c r="B12173" t="inlineStr">
        <is>
          <t>Sep-2018</t>
        </is>
      </c>
      <c r="C12173" s="2" t="n">
        <v>43624</v>
      </c>
      <c r="D12173" t="inlineStr">
        <is>
          <t>NON-NIL</t>
        </is>
      </c>
      <c r="E12173" t="n">
        <v>1510</v>
      </c>
    </row>
    <row r="12174">
      <c r="A12174" t="inlineStr">
        <is>
          <t>27BBBBB12174Z5</t>
        </is>
      </c>
      <c r="B12174" t="inlineStr">
        <is>
          <t>Feb-2018</t>
        </is>
      </c>
      <c r="C12174" s="2" t="n">
        <v>43044</v>
      </c>
      <c r="D12174" t="inlineStr">
        <is>
          <t>NON-NIL</t>
        </is>
      </c>
      <c r="E12174" t="n">
        <v>1332</v>
      </c>
    </row>
    <row r="12175">
      <c r="A12175" t="inlineStr">
        <is>
          <t>27BBBBB12175Z5</t>
        </is>
      </c>
      <c r="B12175" t="inlineStr">
        <is>
          <t>Jan-2018</t>
        </is>
      </c>
      <c r="C12175" s="2" t="n">
        <v>43872</v>
      </c>
      <c r="D12175" t="inlineStr">
        <is>
          <t>NIL</t>
        </is>
      </c>
      <c r="E12175" t="n">
        <v>2040</v>
      </c>
    </row>
    <row r="12176">
      <c r="A12176" t="inlineStr">
        <is>
          <t>27BBBBB12176Z5</t>
        </is>
      </c>
      <c r="B12176" t="inlineStr">
        <is>
          <t>Mar-2018</t>
        </is>
      </c>
      <c r="C12176" s="2" t="n">
        <v>44291</v>
      </c>
      <c r="D12176" t="inlineStr">
        <is>
          <t>NON-NIL</t>
        </is>
      </c>
      <c r="E12176" t="n">
        <v>402</v>
      </c>
    </row>
    <row r="12177">
      <c r="A12177" t="inlineStr">
        <is>
          <t>27BBBBB12177Z5</t>
        </is>
      </c>
      <c r="B12177" t="inlineStr">
        <is>
          <t>Jan-2018</t>
        </is>
      </c>
      <c r="C12177" s="2" t="n">
        <v>43072</v>
      </c>
      <c r="D12177" t="inlineStr">
        <is>
          <t>NON-NIL</t>
        </is>
      </c>
      <c r="E12177" t="n">
        <v>889</v>
      </c>
    </row>
    <row r="12178">
      <c r="A12178" t="inlineStr">
        <is>
          <t>27BBBBB12178Z5</t>
        </is>
      </c>
      <c r="B12178" t="inlineStr">
        <is>
          <t>Mar-2020</t>
        </is>
      </c>
      <c r="C12178" s="2" t="n">
        <v>44674</v>
      </c>
      <c r="D12178" t="inlineStr">
        <is>
          <t>NIL</t>
        </is>
      </c>
      <c r="E12178" t="n">
        <v>1680</v>
      </c>
    </row>
    <row r="12179">
      <c r="A12179" t="inlineStr">
        <is>
          <t>27BBBBB12179Z5</t>
        </is>
      </c>
      <c r="B12179" t="inlineStr">
        <is>
          <t>Sep-2017</t>
        </is>
      </c>
      <c r="C12179" s="2" t="n">
        <v>44079</v>
      </c>
      <c r="D12179" t="inlineStr">
        <is>
          <t>NIL</t>
        </is>
      </c>
      <c r="E12179" t="n">
        <v>2155</v>
      </c>
    </row>
    <row r="12180">
      <c r="A12180" t="inlineStr">
        <is>
          <t>27BBBBB12180Z5</t>
        </is>
      </c>
      <c r="B12180" t="inlineStr">
        <is>
          <t>Mar-2021</t>
        </is>
      </c>
      <c r="C12180" s="2" t="n">
        <v>44159</v>
      </c>
      <c r="D12180" t="inlineStr">
        <is>
          <t>NON-NIL</t>
        </is>
      </c>
      <c r="E12180" t="n">
        <v>2597</v>
      </c>
    </row>
    <row r="12181">
      <c r="A12181" t="inlineStr">
        <is>
          <t>27BBBBB12181Z5</t>
        </is>
      </c>
      <c r="B12181" t="inlineStr">
        <is>
          <t>Apr-2020</t>
        </is>
      </c>
      <c r="C12181" s="2" t="n">
        <v>44306</v>
      </c>
      <c r="D12181" t="inlineStr">
        <is>
          <t>NIL</t>
        </is>
      </c>
      <c r="E12181" t="n">
        <v>1810</v>
      </c>
    </row>
    <row r="12182">
      <c r="A12182" t="inlineStr">
        <is>
          <t>27BBBBB12182Z5</t>
        </is>
      </c>
      <c r="B12182" t="inlineStr">
        <is>
          <t>Jun-2020</t>
        </is>
      </c>
      <c r="C12182" s="2" t="n">
        <v>44590</v>
      </c>
      <c r="D12182" t="inlineStr">
        <is>
          <t>NIL</t>
        </is>
      </c>
      <c r="E12182" t="n">
        <v>1070</v>
      </c>
    </row>
    <row r="12183">
      <c r="A12183" t="inlineStr">
        <is>
          <t>27BBBBB12183Z5</t>
        </is>
      </c>
      <c r="B12183" t="inlineStr">
        <is>
          <t>Sep-2018</t>
        </is>
      </c>
      <c r="C12183" s="2" t="n">
        <v>43600</v>
      </c>
      <c r="D12183" t="inlineStr">
        <is>
          <t>NON-NIL</t>
        </is>
      </c>
      <c r="E12183" t="n">
        <v>2964</v>
      </c>
    </row>
    <row r="12184">
      <c r="A12184" t="inlineStr">
        <is>
          <t>27BBBBB12184Z5</t>
        </is>
      </c>
      <c r="B12184" t="inlineStr">
        <is>
          <t>Aug-2017</t>
        </is>
      </c>
      <c r="C12184" s="2" t="n">
        <v>44515</v>
      </c>
      <c r="D12184" t="inlineStr">
        <is>
          <t>NON-NIL</t>
        </is>
      </c>
      <c r="E12184" t="n">
        <v>1248</v>
      </c>
    </row>
    <row r="12185">
      <c r="A12185" t="inlineStr">
        <is>
          <t>27BBBBB12185Z5</t>
        </is>
      </c>
      <c r="B12185" t="inlineStr">
        <is>
          <t>Jun-2020</t>
        </is>
      </c>
      <c r="C12185" s="2" t="n">
        <v>44082</v>
      </c>
      <c r="D12185" t="inlineStr">
        <is>
          <t>NON-NIL</t>
        </is>
      </c>
      <c r="E12185" t="n">
        <v>509</v>
      </c>
    </row>
    <row r="12186">
      <c r="A12186" t="inlineStr">
        <is>
          <t>27BBBBB12186Z5</t>
        </is>
      </c>
      <c r="B12186" t="inlineStr">
        <is>
          <t>Oct-2018</t>
        </is>
      </c>
      <c r="C12186" s="2" t="n">
        <v>43547</v>
      </c>
      <c r="D12186" t="inlineStr">
        <is>
          <t>NON-NIL</t>
        </is>
      </c>
      <c r="E12186" t="n">
        <v>126</v>
      </c>
    </row>
    <row r="12187">
      <c r="A12187" t="inlineStr">
        <is>
          <t>27BBBBB12187Z5</t>
        </is>
      </c>
      <c r="B12187" t="inlineStr">
        <is>
          <t>Oct-2017</t>
        </is>
      </c>
      <c r="C12187" s="2" t="n">
        <v>44296</v>
      </c>
      <c r="D12187" t="inlineStr">
        <is>
          <t>NIL</t>
        </is>
      </c>
      <c r="E12187" t="n">
        <v>2814</v>
      </c>
    </row>
    <row r="12188">
      <c r="A12188" t="inlineStr">
        <is>
          <t>27BBBBB12188Z5</t>
        </is>
      </c>
      <c r="B12188" t="inlineStr">
        <is>
          <t>May-2018</t>
        </is>
      </c>
      <c r="C12188" s="2" t="n">
        <v>44145</v>
      </c>
      <c r="D12188" t="inlineStr">
        <is>
          <t>NON-NIL</t>
        </is>
      </c>
      <c r="E12188" t="n">
        <v>2509</v>
      </c>
    </row>
    <row r="12189">
      <c r="A12189" t="inlineStr">
        <is>
          <t>27BBBBB12189Z5</t>
        </is>
      </c>
      <c r="B12189" t="inlineStr">
        <is>
          <t>Dec-2024</t>
        </is>
      </c>
      <c r="C12189" s="2" t="n">
        <v>44480</v>
      </c>
      <c r="D12189" t="inlineStr">
        <is>
          <t>NIL</t>
        </is>
      </c>
      <c r="E12189" t="n">
        <v>2250</v>
      </c>
    </row>
    <row r="12190">
      <c r="A12190" t="inlineStr">
        <is>
          <t>27BBBBB12190Z5</t>
        </is>
      </c>
      <c r="B12190" t="inlineStr">
        <is>
          <t>Jun-2018</t>
        </is>
      </c>
      <c r="C12190" s="2" t="n">
        <v>43905</v>
      </c>
      <c r="D12190" t="inlineStr">
        <is>
          <t>NIL</t>
        </is>
      </c>
      <c r="E12190" t="n">
        <v>2440</v>
      </c>
    </row>
    <row r="12191">
      <c r="A12191" t="inlineStr">
        <is>
          <t>27BBBBB12191Z5</t>
        </is>
      </c>
      <c r="B12191" t="inlineStr">
        <is>
          <t>Jan-2021</t>
        </is>
      </c>
      <c r="C12191" s="2" t="n">
        <v>45283</v>
      </c>
      <c r="D12191" t="inlineStr">
        <is>
          <t>NON-NIL</t>
        </is>
      </c>
      <c r="E12191" t="n">
        <v>354</v>
      </c>
    </row>
    <row r="12192">
      <c r="A12192" t="inlineStr">
        <is>
          <t>27BBBBB12192Z5</t>
        </is>
      </c>
      <c r="B12192" t="inlineStr">
        <is>
          <t>Jul-2018</t>
        </is>
      </c>
      <c r="C12192" s="2" t="n">
        <v>43463</v>
      </c>
      <c r="D12192" t="inlineStr">
        <is>
          <t>NON-NIL</t>
        </is>
      </c>
      <c r="E12192" t="n">
        <v>1831</v>
      </c>
    </row>
    <row r="12193">
      <c r="A12193" t="inlineStr">
        <is>
          <t>27BBBBB12193Z5</t>
        </is>
      </c>
      <c r="B12193" t="inlineStr">
        <is>
          <t>Dec-2018</t>
        </is>
      </c>
      <c r="C12193" s="2" t="n">
        <v>43585</v>
      </c>
      <c r="D12193" t="inlineStr">
        <is>
          <t>NON-NIL</t>
        </is>
      </c>
      <c r="E12193" t="n">
        <v>2979</v>
      </c>
    </row>
    <row r="12194">
      <c r="A12194" t="inlineStr">
        <is>
          <t>27BBBBB12194Z5</t>
        </is>
      </c>
      <c r="B12194" t="inlineStr">
        <is>
          <t>Mar-2018</t>
        </is>
      </c>
      <c r="C12194" s="2" t="n">
        <v>43319</v>
      </c>
      <c r="D12194" t="inlineStr">
        <is>
          <t>NON-NIL</t>
        </is>
      </c>
      <c r="E12194" t="n">
        <v>1551</v>
      </c>
    </row>
    <row r="12195">
      <c r="A12195" t="inlineStr">
        <is>
          <t>27BBBBB12195Z5</t>
        </is>
      </c>
      <c r="B12195" t="inlineStr">
        <is>
          <t>Dec-2017</t>
        </is>
      </c>
      <c r="C12195" s="2" t="n">
        <v>43087</v>
      </c>
      <c r="D12195" t="inlineStr">
        <is>
          <t>NIL</t>
        </is>
      </c>
      <c r="E12195" t="n">
        <v>2106</v>
      </c>
    </row>
    <row r="12196">
      <c r="A12196" t="inlineStr">
        <is>
          <t>27BBBBB12196Z5</t>
        </is>
      </c>
      <c r="B12196" t="inlineStr">
        <is>
          <t>Mar-2020</t>
        </is>
      </c>
      <c r="C12196" s="2" t="n">
        <v>44830</v>
      </c>
      <c r="D12196" t="inlineStr">
        <is>
          <t>NON-NIL</t>
        </is>
      </c>
      <c r="E12196" t="n">
        <v>2265</v>
      </c>
    </row>
    <row r="12197">
      <c r="A12197" t="inlineStr">
        <is>
          <t>27BBBBB12197Z5</t>
        </is>
      </c>
      <c r="B12197" t="inlineStr">
        <is>
          <t>Mar-2021</t>
        </is>
      </c>
      <c r="C12197" s="2" t="n">
        <v>44920</v>
      </c>
      <c r="D12197" t="inlineStr">
        <is>
          <t>NON-NIL</t>
        </is>
      </c>
      <c r="E12197" t="n">
        <v>685</v>
      </c>
    </row>
    <row r="12198">
      <c r="A12198" t="inlineStr">
        <is>
          <t>27BBBBB12198Z5</t>
        </is>
      </c>
      <c r="B12198" t="inlineStr">
        <is>
          <t>Aug-2017</t>
        </is>
      </c>
      <c r="C12198" s="2" t="n">
        <v>43941</v>
      </c>
      <c r="D12198" t="inlineStr">
        <is>
          <t>NON-NIL</t>
        </is>
      </c>
      <c r="E12198" t="n">
        <v>2998</v>
      </c>
    </row>
    <row r="12199">
      <c r="A12199" t="inlineStr">
        <is>
          <t>27BBBBB12199Z5</t>
        </is>
      </c>
      <c r="B12199" t="inlineStr">
        <is>
          <t>Mar-2023</t>
        </is>
      </c>
      <c r="C12199" s="2" t="n">
        <v>45762</v>
      </c>
      <c r="D12199" t="inlineStr">
        <is>
          <t>NIL</t>
        </is>
      </c>
      <c r="E12199" t="n">
        <v>958</v>
      </c>
    </row>
    <row r="12200">
      <c r="A12200" t="inlineStr">
        <is>
          <t>27BBBBB12200Z5</t>
        </is>
      </c>
      <c r="B12200" t="inlineStr">
        <is>
          <t>Dec-2022</t>
        </is>
      </c>
      <c r="C12200" s="2" t="n">
        <v>45810</v>
      </c>
      <c r="D12200" t="inlineStr">
        <is>
          <t>NON-NIL</t>
        </is>
      </c>
      <c r="E12200" t="n">
        <v>444</v>
      </c>
    </row>
    <row r="12201">
      <c r="A12201" t="inlineStr">
        <is>
          <t>27BBBBB12201Z5</t>
        </is>
      </c>
      <c r="B12201" t="inlineStr">
        <is>
          <t>Apr-2020</t>
        </is>
      </c>
      <c r="C12201" s="2" t="n">
        <v>43856</v>
      </c>
      <c r="D12201" t="inlineStr">
        <is>
          <t>NON-NIL</t>
        </is>
      </c>
      <c r="E12201" t="n">
        <v>2009</v>
      </c>
    </row>
    <row r="12202">
      <c r="A12202" t="inlineStr">
        <is>
          <t>27BBBBB12202Z5</t>
        </is>
      </c>
      <c r="B12202" t="inlineStr">
        <is>
          <t>Sep-2018</t>
        </is>
      </c>
      <c r="C12202" s="2" t="n">
        <v>43168</v>
      </c>
      <c r="D12202" t="inlineStr">
        <is>
          <t>NON-NIL</t>
        </is>
      </c>
      <c r="E12202" t="n">
        <v>2862</v>
      </c>
    </row>
    <row r="12203">
      <c r="A12203" t="inlineStr">
        <is>
          <t>27BBBBB12203Z5</t>
        </is>
      </c>
      <c r="B12203" t="inlineStr">
        <is>
          <t>Oct-2018</t>
        </is>
      </c>
      <c r="C12203" s="2" t="n">
        <v>43381</v>
      </c>
      <c r="D12203" t="inlineStr">
        <is>
          <t>NIL</t>
        </is>
      </c>
      <c r="E12203" t="n">
        <v>2136</v>
      </c>
    </row>
    <row r="12204">
      <c r="A12204" t="inlineStr">
        <is>
          <t>27BBBBB12204Z5</t>
        </is>
      </c>
      <c r="B12204" t="inlineStr">
        <is>
          <t>Jun-2018</t>
        </is>
      </c>
      <c r="C12204" s="2" t="n">
        <v>44442</v>
      </c>
      <c r="D12204" t="inlineStr">
        <is>
          <t>NON-NIL</t>
        </is>
      </c>
      <c r="E12204" t="n">
        <v>718</v>
      </c>
    </row>
    <row r="12205">
      <c r="A12205" t="inlineStr">
        <is>
          <t>27BBBBB12205Z5</t>
        </is>
      </c>
      <c r="B12205" t="inlineStr">
        <is>
          <t>Jul-2018</t>
        </is>
      </c>
      <c r="C12205" s="2" t="n">
        <v>43283</v>
      </c>
      <c r="D12205" t="inlineStr">
        <is>
          <t>NIL</t>
        </is>
      </c>
      <c r="E12205" t="n">
        <v>2523</v>
      </c>
    </row>
    <row r="12206">
      <c r="A12206" t="inlineStr">
        <is>
          <t>27BBBBB12206Z5</t>
        </is>
      </c>
      <c r="B12206" t="inlineStr">
        <is>
          <t>May-2020</t>
        </is>
      </c>
      <c r="C12206" s="2" t="n">
        <v>44199</v>
      </c>
      <c r="D12206" t="inlineStr">
        <is>
          <t>NON-NIL</t>
        </is>
      </c>
      <c r="E12206" t="n">
        <v>354</v>
      </c>
    </row>
    <row r="12207">
      <c r="A12207" t="inlineStr">
        <is>
          <t>27BBBBB12207Z5</t>
        </is>
      </c>
      <c r="B12207" t="inlineStr">
        <is>
          <t>Jun-2018</t>
        </is>
      </c>
      <c r="C12207" s="2" t="n">
        <v>43098</v>
      </c>
      <c r="D12207" t="inlineStr">
        <is>
          <t>NIL</t>
        </is>
      </c>
      <c r="E12207" t="n">
        <v>1160</v>
      </c>
    </row>
    <row r="12208">
      <c r="A12208" t="inlineStr">
        <is>
          <t>27BBBBB12208Z5</t>
        </is>
      </c>
      <c r="B12208" t="inlineStr">
        <is>
          <t>Jun-2020</t>
        </is>
      </c>
      <c r="C12208" s="2" t="n">
        <v>43915</v>
      </c>
      <c r="D12208" t="inlineStr">
        <is>
          <t>NIL</t>
        </is>
      </c>
      <c r="E12208" t="n">
        <v>1895</v>
      </c>
    </row>
    <row r="12209">
      <c r="A12209" t="inlineStr">
        <is>
          <t>27BBBBB12209Z5</t>
        </is>
      </c>
      <c r="B12209" t="inlineStr">
        <is>
          <t>Mar-2018</t>
        </is>
      </c>
      <c r="C12209" s="2" t="n">
        <v>44158</v>
      </c>
      <c r="D12209" t="inlineStr">
        <is>
          <t>NON-NIL</t>
        </is>
      </c>
      <c r="E12209" t="n">
        <v>418</v>
      </c>
    </row>
    <row r="12210">
      <c r="A12210" t="inlineStr">
        <is>
          <t>27BBBBB12210Z5</t>
        </is>
      </c>
      <c r="B12210" t="inlineStr">
        <is>
          <t>Jan-2018</t>
        </is>
      </c>
      <c r="C12210" s="2" t="n">
        <v>44223</v>
      </c>
      <c r="D12210" t="inlineStr">
        <is>
          <t>NON-NIL</t>
        </is>
      </c>
      <c r="E12210" t="n">
        <v>1061</v>
      </c>
    </row>
    <row r="12211">
      <c r="A12211" t="inlineStr">
        <is>
          <t>27BBBBB12211Z5</t>
        </is>
      </c>
      <c r="B12211" t="inlineStr">
        <is>
          <t>Sep-2017</t>
        </is>
      </c>
      <c r="C12211" s="2" t="n">
        <v>43179</v>
      </c>
      <c r="D12211" t="inlineStr">
        <is>
          <t>NON-NIL</t>
        </is>
      </c>
      <c r="E12211" t="n">
        <v>1100</v>
      </c>
    </row>
    <row r="12212">
      <c r="A12212" t="inlineStr">
        <is>
          <t>27BBBBB12212Z5</t>
        </is>
      </c>
      <c r="B12212" t="inlineStr">
        <is>
          <t>Oct-2017</t>
        </is>
      </c>
      <c r="C12212" s="2" t="n">
        <v>43981</v>
      </c>
      <c r="D12212" t="inlineStr">
        <is>
          <t>NON-NIL</t>
        </is>
      </c>
      <c r="E12212" t="n">
        <v>74</v>
      </c>
    </row>
    <row r="12213">
      <c r="A12213" t="inlineStr">
        <is>
          <t>27BBBBB12213Z5</t>
        </is>
      </c>
      <c r="B12213" t="inlineStr">
        <is>
          <t>Nov-2018</t>
        </is>
      </c>
      <c r="C12213" s="2" t="n">
        <v>43148</v>
      </c>
      <c r="D12213" t="inlineStr">
        <is>
          <t>NON-NIL</t>
        </is>
      </c>
      <c r="E12213" t="n">
        <v>1107</v>
      </c>
    </row>
    <row r="12214">
      <c r="A12214" t="inlineStr">
        <is>
          <t>27BBBBB12214Z5</t>
        </is>
      </c>
      <c r="B12214" t="inlineStr">
        <is>
          <t>Dec-2018</t>
        </is>
      </c>
      <c r="C12214" s="2" t="n">
        <v>43900</v>
      </c>
      <c r="D12214" t="inlineStr">
        <is>
          <t>NON-NIL</t>
        </is>
      </c>
      <c r="E12214" t="n">
        <v>826</v>
      </c>
    </row>
    <row r="12215">
      <c r="A12215" t="inlineStr">
        <is>
          <t>27BBBBB12215Z5</t>
        </is>
      </c>
      <c r="B12215" t="inlineStr">
        <is>
          <t>Apr-2020</t>
        </is>
      </c>
      <c r="C12215" s="2" t="n">
        <v>44805</v>
      </c>
      <c r="D12215" t="inlineStr">
        <is>
          <t>NON-NIL</t>
        </is>
      </c>
      <c r="E12215" t="n">
        <v>1287</v>
      </c>
    </row>
    <row r="12216">
      <c r="A12216" t="inlineStr">
        <is>
          <t>27BBBBB12216Z5</t>
        </is>
      </c>
      <c r="B12216" t="inlineStr">
        <is>
          <t>Oct-2017</t>
        </is>
      </c>
      <c r="C12216" s="2" t="n">
        <v>43839</v>
      </c>
      <c r="D12216" t="inlineStr">
        <is>
          <t>NIL</t>
        </is>
      </c>
      <c r="E12216" t="n">
        <v>2291</v>
      </c>
    </row>
    <row r="12217">
      <c r="A12217" t="inlineStr">
        <is>
          <t>27BBBBB12217Z5</t>
        </is>
      </c>
      <c r="B12217" t="inlineStr">
        <is>
          <t>May-2020</t>
        </is>
      </c>
      <c r="C12217" s="2" t="n">
        <v>44556</v>
      </c>
      <c r="D12217" t="inlineStr">
        <is>
          <t>NIL</t>
        </is>
      </c>
      <c r="E12217" t="n">
        <v>1485</v>
      </c>
    </row>
    <row r="12218">
      <c r="A12218" t="inlineStr">
        <is>
          <t>27BBBBB12218Z5</t>
        </is>
      </c>
      <c r="B12218" t="inlineStr">
        <is>
          <t>Nov-2017</t>
        </is>
      </c>
      <c r="C12218" s="2" t="n">
        <v>44310</v>
      </c>
      <c r="D12218" t="inlineStr">
        <is>
          <t>NON-NIL</t>
        </is>
      </c>
      <c r="E12218" t="n">
        <v>1202</v>
      </c>
    </row>
    <row r="12219">
      <c r="A12219" t="inlineStr">
        <is>
          <t>27BBBBB12219Z5</t>
        </is>
      </c>
      <c r="B12219" t="inlineStr">
        <is>
          <t>Jun-2020</t>
        </is>
      </c>
      <c r="C12219" s="2" t="n">
        <v>44758</v>
      </c>
      <c r="D12219" t="inlineStr">
        <is>
          <t>NIL</t>
        </is>
      </c>
      <c r="E12219" t="n">
        <v>1149</v>
      </c>
    </row>
    <row r="12220">
      <c r="A12220" t="inlineStr">
        <is>
          <t>27BBBBB12220Z5</t>
        </is>
      </c>
      <c r="B12220" t="inlineStr">
        <is>
          <t>Mar-2021</t>
        </is>
      </c>
      <c r="C12220" s="2" t="n">
        <v>45021</v>
      </c>
      <c r="D12220" t="inlineStr">
        <is>
          <t>NON-NIL</t>
        </is>
      </c>
      <c r="E12220" t="n">
        <v>1849</v>
      </c>
    </row>
    <row r="12221">
      <c r="A12221" t="inlineStr">
        <is>
          <t>27BBBBB12221Z5</t>
        </is>
      </c>
      <c r="B12221" t="inlineStr">
        <is>
          <t>Sep-2017</t>
        </is>
      </c>
      <c r="C12221" s="2" t="n">
        <v>44220</v>
      </c>
      <c r="D12221" t="inlineStr">
        <is>
          <t>NON-NIL</t>
        </is>
      </c>
      <c r="E12221" t="n">
        <v>921</v>
      </c>
    </row>
    <row r="12222">
      <c r="A12222" t="inlineStr">
        <is>
          <t>27BBBBB12222Z5</t>
        </is>
      </c>
      <c r="B12222" t="inlineStr">
        <is>
          <t>Dec-2024</t>
        </is>
      </c>
      <c r="C12222" s="2" t="n">
        <v>45272</v>
      </c>
      <c r="D12222" t="inlineStr">
        <is>
          <t>NON-NIL</t>
        </is>
      </c>
      <c r="E12222" t="n">
        <v>2599</v>
      </c>
    </row>
    <row r="12223">
      <c r="A12223" t="inlineStr">
        <is>
          <t>27BBBBB12223Z5</t>
        </is>
      </c>
      <c r="B12223" t="inlineStr">
        <is>
          <t>Jun-2020</t>
        </is>
      </c>
      <c r="C12223" s="2" t="n">
        <v>43968</v>
      </c>
      <c r="D12223" t="inlineStr">
        <is>
          <t>NON-NIL</t>
        </is>
      </c>
      <c r="E12223" t="n">
        <v>1857</v>
      </c>
    </row>
    <row r="12224">
      <c r="A12224" t="inlineStr">
        <is>
          <t>27BBBBB12224Z5</t>
        </is>
      </c>
      <c r="B12224" t="inlineStr">
        <is>
          <t>Mar-2021</t>
        </is>
      </c>
      <c r="C12224" s="2" t="n">
        <v>45657</v>
      </c>
      <c r="D12224" t="inlineStr">
        <is>
          <t>NON-NIL</t>
        </is>
      </c>
      <c r="E12224" t="n">
        <v>730</v>
      </c>
    </row>
    <row r="12225">
      <c r="A12225" t="inlineStr">
        <is>
          <t>27BBBBB12225Z5</t>
        </is>
      </c>
      <c r="B12225" t="inlineStr">
        <is>
          <t>Mar-2020</t>
        </is>
      </c>
      <c r="C12225" s="2" t="n">
        <v>44306</v>
      </c>
      <c r="D12225" t="inlineStr">
        <is>
          <t>NIL</t>
        </is>
      </c>
      <c r="E12225" t="n">
        <v>1601</v>
      </c>
    </row>
    <row r="12226">
      <c r="A12226" t="inlineStr">
        <is>
          <t>27BBBBB12226Z5</t>
        </is>
      </c>
      <c r="B12226" t="inlineStr">
        <is>
          <t>Jul-2017</t>
        </is>
      </c>
      <c r="C12226" s="2" t="n">
        <v>44020</v>
      </c>
      <c r="D12226" t="inlineStr">
        <is>
          <t>NIL</t>
        </is>
      </c>
      <c r="E12226" t="n">
        <v>2514</v>
      </c>
    </row>
    <row r="12227">
      <c r="A12227" t="inlineStr">
        <is>
          <t>27BBBBB12227Z5</t>
        </is>
      </c>
      <c r="B12227" t="inlineStr">
        <is>
          <t>Dec-2017</t>
        </is>
      </c>
      <c r="C12227" s="2" t="n">
        <v>42952</v>
      </c>
      <c r="D12227" t="inlineStr">
        <is>
          <t>NIL</t>
        </is>
      </c>
      <c r="E12227" t="n">
        <v>2070</v>
      </c>
    </row>
    <row r="12228">
      <c r="A12228" t="inlineStr">
        <is>
          <t>27BBBBB12228Z5</t>
        </is>
      </c>
      <c r="B12228" t="inlineStr">
        <is>
          <t>Dec-2017</t>
        </is>
      </c>
      <c r="C12228" s="2" t="n">
        <v>44102</v>
      </c>
      <c r="D12228" t="inlineStr">
        <is>
          <t>NON-NIL</t>
        </is>
      </c>
      <c r="E12228" t="n">
        <v>851</v>
      </c>
    </row>
    <row r="12229">
      <c r="A12229" t="inlineStr">
        <is>
          <t>27BBBBB12229Z5</t>
        </is>
      </c>
      <c r="B12229" t="inlineStr">
        <is>
          <t>Mar-2023</t>
        </is>
      </c>
      <c r="C12229" s="2" t="n">
        <v>44999</v>
      </c>
      <c r="D12229" t="inlineStr">
        <is>
          <t>NON-NIL</t>
        </is>
      </c>
      <c r="E12229" t="n">
        <v>2877</v>
      </c>
    </row>
    <row r="12230">
      <c r="A12230" t="inlineStr">
        <is>
          <t>27BBBBB12230Z5</t>
        </is>
      </c>
      <c r="B12230" t="inlineStr">
        <is>
          <t>Feb-2018</t>
        </is>
      </c>
      <c r="C12230" s="2" t="n">
        <v>43266</v>
      </c>
      <c r="D12230" t="inlineStr">
        <is>
          <t>NON-NIL</t>
        </is>
      </c>
      <c r="E12230" t="n">
        <v>2059</v>
      </c>
    </row>
    <row r="12231">
      <c r="A12231" t="inlineStr">
        <is>
          <t>27BBBBB12231Z5</t>
        </is>
      </c>
      <c r="B12231" t="inlineStr">
        <is>
          <t>Oct-2018</t>
        </is>
      </c>
      <c r="C12231" s="2" t="n">
        <v>44038</v>
      </c>
      <c r="D12231" t="inlineStr">
        <is>
          <t>NON-NIL</t>
        </is>
      </c>
      <c r="E12231" t="n">
        <v>60</v>
      </c>
    </row>
    <row r="12232">
      <c r="A12232" t="inlineStr">
        <is>
          <t>27BBBBB12232Z5</t>
        </is>
      </c>
      <c r="B12232" t="inlineStr">
        <is>
          <t>Jan-2021</t>
        </is>
      </c>
      <c r="C12232" s="2" t="n">
        <v>44029</v>
      </c>
      <c r="D12232" t="inlineStr">
        <is>
          <t>NIL</t>
        </is>
      </c>
      <c r="E12232" t="n">
        <v>274</v>
      </c>
    </row>
    <row r="12233">
      <c r="A12233" t="inlineStr">
        <is>
          <t>27BBBBB12233Z5</t>
        </is>
      </c>
      <c r="B12233" t="inlineStr">
        <is>
          <t>Nov-2017</t>
        </is>
      </c>
      <c r="C12233" s="2" t="n">
        <v>44214</v>
      </c>
      <c r="D12233" t="inlineStr">
        <is>
          <t>NON-NIL</t>
        </is>
      </c>
      <c r="E12233" t="n">
        <v>1047</v>
      </c>
    </row>
    <row r="12234">
      <c r="A12234" t="inlineStr">
        <is>
          <t>27BBBBB12234Z5</t>
        </is>
      </c>
      <c r="B12234" t="inlineStr">
        <is>
          <t>Dec-2022</t>
        </is>
      </c>
      <c r="C12234" s="2" t="n">
        <v>45155</v>
      </c>
      <c r="D12234" t="inlineStr">
        <is>
          <t>NON-NIL</t>
        </is>
      </c>
      <c r="E12234" t="n">
        <v>421</v>
      </c>
    </row>
    <row r="12235">
      <c r="A12235" t="inlineStr">
        <is>
          <t>27BBBBB12235Z5</t>
        </is>
      </c>
      <c r="B12235" t="inlineStr">
        <is>
          <t>Jan-2021</t>
        </is>
      </c>
      <c r="C12235" s="2" t="n">
        <v>45204</v>
      </c>
      <c r="D12235" t="inlineStr">
        <is>
          <t>NIL</t>
        </is>
      </c>
      <c r="E12235" t="n">
        <v>2695</v>
      </c>
    </row>
    <row r="12236">
      <c r="A12236" t="inlineStr">
        <is>
          <t>27BBBBB12236Z5</t>
        </is>
      </c>
      <c r="B12236" t="inlineStr">
        <is>
          <t>Jul-2018</t>
        </is>
      </c>
      <c r="C12236" s="2" t="n">
        <v>43698</v>
      </c>
      <c r="D12236" t="inlineStr">
        <is>
          <t>NON-NIL</t>
        </is>
      </c>
      <c r="E12236" t="n">
        <v>1384</v>
      </c>
    </row>
    <row r="12237">
      <c r="A12237" t="inlineStr">
        <is>
          <t>27BBBBB12237Z5</t>
        </is>
      </c>
      <c r="B12237" t="inlineStr">
        <is>
          <t>Mar-2020</t>
        </is>
      </c>
      <c r="C12237" s="2" t="n">
        <v>44470</v>
      </c>
      <c r="D12237" t="inlineStr">
        <is>
          <t>NIL</t>
        </is>
      </c>
      <c r="E12237" t="n">
        <v>2973</v>
      </c>
    </row>
    <row r="12238">
      <c r="A12238" t="inlineStr">
        <is>
          <t>27BBBBB12238Z5</t>
        </is>
      </c>
      <c r="B12238" t="inlineStr">
        <is>
          <t>Jul-2017</t>
        </is>
      </c>
      <c r="C12238" s="2" t="n">
        <v>43893</v>
      </c>
      <c r="D12238" t="inlineStr">
        <is>
          <t>NON-NIL</t>
        </is>
      </c>
      <c r="E12238" t="n">
        <v>363</v>
      </c>
    </row>
    <row r="12239">
      <c r="A12239" t="inlineStr">
        <is>
          <t>27BBBBB12239Z5</t>
        </is>
      </c>
      <c r="B12239" t="inlineStr">
        <is>
          <t>Jan-2018</t>
        </is>
      </c>
      <c r="C12239" s="2" t="n">
        <v>44112</v>
      </c>
      <c r="D12239" t="inlineStr">
        <is>
          <t>NIL</t>
        </is>
      </c>
      <c r="E12239" t="n">
        <v>2827</v>
      </c>
    </row>
    <row r="12240">
      <c r="A12240" t="inlineStr">
        <is>
          <t>27BBBBB12240Z5</t>
        </is>
      </c>
      <c r="B12240" t="inlineStr">
        <is>
          <t>Apr-2018</t>
        </is>
      </c>
      <c r="C12240" s="2" t="n">
        <v>44324</v>
      </c>
      <c r="D12240" t="inlineStr">
        <is>
          <t>NON-NIL</t>
        </is>
      </c>
      <c r="E12240" t="n">
        <v>1063</v>
      </c>
    </row>
    <row r="12241">
      <c r="A12241" t="inlineStr">
        <is>
          <t>27BBBBB12241Z5</t>
        </is>
      </c>
      <c r="B12241" t="inlineStr">
        <is>
          <t>Jul-2020</t>
        </is>
      </c>
      <c r="C12241" s="2" t="n">
        <v>44096</v>
      </c>
      <c r="D12241" t="inlineStr">
        <is>
          <t>NIL</t>
        </is>
      </c>
      <c r="E12241" t="n">
        <v>2088</v>
      </c>
    </row>
    <row r="12242">
      <c r="A12242" t="inlineStr">
        <is>
          <t>27BBBBB12242Z5</t>
        </is>
      </c>
      <c r="B12242" t="inlineStr">
        <is>
          <t>Mar-2020</t>
        </is>
      </c>
      <c r="C12242" s="2" t="n">
        <v>44796</v>
      </c>
      <c r="D12242" t="inlineStr">
        <is>
          <t>NON-NIL</t>
        </is>
      </c>
      <c r="E12242" t="n">
        <v>863</v>
      </c>
    </row>
    <row r="12243">
      <c r="A12243" t="inlineStr">
        <is>
          <t>27BBBBB12243Z5</t>
        </is>
      </c>
      <c r="B12243" t="inlineStr">
        <is>
          <t>Jan-2021</t>
        </is>
      </c>
      <c r="C12243" s="2" t="n">
        <v>44519</v>
      </c>
      <c r="D12243" t="inlineStr">
        <is>
          <t>NON-NIL</t>
        </is>
      </c>
      <c r="E12243" t="n">
        <v>1641</v>
      </c>
    </row>
    <row r="12244">
      <c r="A12244" t="inlineStr">
        <is>
          <t>27BBBBB12244Z5</t>
        </is>
      </c>
      <c r="B12244" t="inlineStr">
        <is>
          <t>Nov-2017</t>
        </is>
      </c>
      <c r="C12244" s="2" t="n">
        <v>44128</v>
      </c>
      <c r="D12244" t="inlineStr">
        <is>
          <t>NON-NIL</t>
        </is>
      </c>
      <c r="E12244" t="n">
        <v>398</v>
      </c>
    </row>
    <row r="12245">
      <c r="A12245" t="inlineStr">
        <is>
          <t>27BBBBB12245Z5</t>
        </is>
      </c>
      <c r="B12245" t="inlineStr">
        <is>
          <t>Sep-2017</t>
        </is>
      </c>
      <c r="C12245" s="2" t="n">
        <v>44472</v>
      </c>
      <c r="D12245" t="inlineStr">
        <is>
          <t>NON-NIL</t>
        </is>
      </c>
      <c r="E12245" t="n">
        <v>488</v>
      </c>
    </row>
    <row r="12246">
      <c r="A12246" t="inlineStr">
        <is>
          <t>27BBBBB12246Z5</t>
        </is>
      </c>
      <c r="B12246" t="inlineStr">
        <is>
          <t>Mar-2023</t>
        </is>
      </c>
      <c r="C12246" s="2" t="n">
        <v>44438</v>
      </c>
      <c r="D12246" t="inlineStr">
        <is>
          <t>NON-NIL</t>
        </is>
      </c>
      <c r="E12246" t="n">
        <v>178</v>
      </c>
    </row>
    <row r="12247">
      <c r="A12247" t="inlineStr">
        <is>
          <t>27BBBBB12247Z5</t>
        </is>
      </c>
      <c r="B12247" t="inlineStr">
        <is>
          <t>Dec-2018</t>
        </is>
      </c>
      <c r="C12247" s="2" t="n">
        <v>43314</v>
      </c>
      <c r="D12247" t="inlineStr">
        <is>
          <t>NIL</t>
        </is>
      </c>
      <c r="E12247" t="n">
        <v>280</v>
      </c>
    </row>
    <row r="12248">
      <c r="A12248" t="inlineStr">
        <is>
          <t>27BBBBB12248Z5</t>
        </is>
      </c>
      <c r="B12248" t="inlineStr">
        <is>
          <t>Aug-2018</t>
        </is>
      </c>
      <c r="C12248" s="2" t="n">
        <v>43793</v>
      </c>
      <c r="D12248" t="inlineStr">
        <is>
          <t>NIL</t>
        </is>
      </c>
      <c r="E12248" t="n">
        <v>2900</v>
      </c>
    </row>
    <row r="12249">
      <c r="A12249" t="inlineStr">
        <is>
          <t>27BBBBB12249Z5</t>
        </is>
      </c>
      <c r="B12249" t="inlineStr">
        <is>
          <t>Dec-2022</t>
        </is>
      </c>
      <c r="C12249" s="2" t="n">
        <v>43995</v>
      </c>
      <c r="D12249" t="inlineStr">
        <is>
          <t>NON-NIL</t>
        </is>
      </c>
      <c r="E12249" t="n">
        <v>297</v>
      </c>
    </row>
    <row r="12250">
      <c r="A12250" t="inlineStr">
        <is>
          <t>27BBBBB12250Z5</t>
        </is>
      </c>
      <c r="B12250" t="inlineStr">
        <is>
          <t>Jul-2018</t>
        </is>
      </c>
      <c r="C12250" s="2" t="n">
        <v>43677</v>
      </c>
      <c r="D12250" t="inlineStr">
        <is>
          <t>NON-NIL</t>
        </is>
      </c>
      <c r="E12250" t="n">
        <v>1944</v>
      </c>
    </row>
    <row r="12251">
      <c r="A12251" t="inlineStr">
        <is>
          <t>27BBBBB12251Z5</t>
        </is>
      </c>
      <c r="B12251" t="inlineStr">
        <is>
          <t>Jan-2018</t>
        </is>
      </c>
      <c r="C12251" s="2" t="n">
        <v>43957</v>
      </c>
      <c r="D12251" t="inlineStr">
        <is>
          <t>NON-NIL</t>
        </is>
      </c>
      <c r="E12251" t="n">
        <v>2265</v>
      </c>
    </row>
    <row r="12252">
      <c r="A12252" t="inlineStr">
        <is>
          <t>27BBBBB12252Z5</t>
        </is>
      </c>
      <c r="B12252" t="inlineStr">
        <is>
          <t>Jul-2020</t>
        </is>
      </c>
      <c r="C12252" s="2" t="n">
        <v>43855</v>
      </c>
      <c r="D12252" t="inlineStr">
        <is>
          <t>NON-NIL</t>
        </is>
      </c>
      <c r="E12252" t="n">
        <v>1786</v>
      </c>
    </row>
    <row r="12253">
      <c r="A12253" t="inlineStr">
        <is>
          <t>27BBBBB12253Z5</t>
        </is>
      </c>
      <c r="B12253" t="inlineStr">
        <is>
          <t>Sep-2017</t>
        </is>
      </c>
      <c r="C12253" s="2" t="n">
        <v>42933</v>
      </c>
      <c r="D12253" t="inlineStr">
        <is>
          <t>NON-NIL</t>
        </is>
      </c>
      <c r="E12253" t="n">
        <v>675</v>
      </c>
    </row>
    <row r="12254">
      <c r="A12254" t="inlineStr">
        <is>
          <t>27BBBBB12254Z5</t>
        </is>
      </c>
      <c r="B12254" t="inlineStr">
        <is>
          <t>Oct-2017</t>
        </is>
      </c>
      <c r="C12254" s="2" t="n">
        <v>43860</v>
      </c>
      <c r="D12254" t="inlineStr">
        <is>
          <t>NON-NIL</t>
        </is>
      </c>
      <c r="E12254" t="n">
        <v>1715</v>
      </c>
    </row>
    <row r="12255">
      <c r="A12255" t="inlineStr">
        <is>
          <t>27BBBBB12255Z5</t>
        </is>
      </c>
      <c r="B12255" t="inlineStr">
        <is>
          <t>Dec-2017</t>
        </is>
      </c>
      <c r="C12255" s="2" t="n">
        <v>43791</v>
      </c>
      <c r="D12255" t="inlineStr">
        <is>
          <t>NIL</t>
        </is>
      </c>
      <c r="E12255" t="n">
        <v>845</v>
      </c>
    </row>
    <row r="12256">
      <c r="A12256" t="inlineStr">
        <is>
          <t>27BBBBB12256Z5</t>
        </is>
      </c>
      <c r="B12256" t="inlineStr">
        <is>
          <t>Feb-2018</t>
        </is>
      </c>
      <c r="C12256" s="2" t="n">
        <v>44507</v>
      </c>
      <c r="D12256" t="inlineStr">
        <is>
          <t>NIL</t>
        </is>
      </c>
      <c r="E12256" t="n">
        <v>2995</v>
      </c>
    </row>
    <row r="12257">
      <c r="A12257" t="inlineStr">
        <is>
          <t>27BBBBB12257Z5</t>
        </is>
      </c>
      <c r="B12257" t="inlineStr">
        <is>
          <t>Mar-2021</t>
        </is>
      </c>
      <c r="C12257" s="2" t="n">
        <v>44475</v>
      </c>
      <c r="D12257" t="inlineStr">
        <is>
          <t>NIL</t>
        </is>
      </c>
      <c r="E12257" t="n">
        <v>606</v>
      </c>
    </row>
    <row r="12258">
      <c r="A12258" t="inlineStr">
        <is>
          <t>27BBBBB12258Z5</t>
        </is>
      </c>
      <c r="B12258" t="inlineStr">
        <is>
          <t>Apr-2018</t>
        </is>
      </c>
      <c r="C12258" s="2" t="n">
        <v>43773</v>
      </c>
      <c r="D12258" t="inlineStr">
        <is>
          <t>NON-NIL</t>
        </is>
      </c>
      <c r="E12258" t="n">
        <v>1536</v>
      </c>
    </row>
    <row r="12259">
      <c r="A12259" t="inlineStr">
        <is>
          <t>27BBBBB12259Z5</t>
        </is>
      </c>
      <c r="B12259" t="inlineStr">
        <is>
          <t>Mar-2023</t>
        </is>
      </c>
      <c r="C12259" s="2" t="n">
        <v>45508</v>
      </c>
      <c r="D12259" t="inlineStr">
        <is>
          <t>NON-NIL</t>
        </is>
      </c>
      <c r="E12259" t="n">
        <v>2996</v>
      </c>
    </row>
    <row r="12260">
      <c r="A12260" t="inlineStr">
        <is>
          <t>27BBBBB12260Z5</t>
        </is>
      </c>
      <c r="B12260" t="inlineStr">
        <is>
          <t>Mar-2021</t>
        </is>
      </c>
      <c r="C12260" s="2" t="n">
        <v>44260</v>
      </c>
      <c r="D12260" t="inlineStr">
        <is>
          <t>NON-NIL</t>
        </is>
      </c>
      <c r="E12260" t="n">
        <v>2357</v>
      </c>
    </row>
    <row r="12261">
      <c r="A12261" t="inlineStr">
        <is>
          <t>27BBBBB12261Z5</t>
        </is>
      </c>
      <c r="B12261" t="inlineStr">
        <is>
          <t>Dec-2024</t>
        </is>
      </c>
      <c r="C12261" s="2" t="n">
        <v>45666</v>
      </c>
      <c r="D12261" t="inlineStr">
        <is>
          <t>NIL</t>
        </is>
      </c>
      <c r="E12261" t="n">
        <v>10</v>
      </c>
    </row>
    <row r="12262">
      <c r="A12262" t="inlineStr">
        <is>
          <t>27BBBBB12262Z5</t>
        </is>
      </c>
      <c r="B12262" t="inlineStr">
        <is>
          <t>Jun-2020</t>
        </is>
      </c>
      <c r="C12262" s="2" t="n">
        <v>44862</v>
      </c>
      <c r="D12262" t="inlineStr">
        <is>
          <t>NON-NIL</t>
        </is>
      </c>
      <c r="E12262" t="n">
        <v>2905</v>
      </c>
    </row>
    <row r="12263">
      <c r="A12263" t="inlineStr">
        <is>
          <t>27BBBBB12263Z5</t>
        </is>
      </c>
      <c r="B12263" t="inlineStr">
        <is>
          <t>May-2020</t>
        </is>
      </c>
      <c r="C12263" s="2" t="n">
        <v>44260</v>
      </c>
      <c r="D12263" t="inlineStr">
        <is>
          <t>NON-NIL</t>
        </is>
      </c>
      <c r="E12263" t="n">
        <v>2299</v>
      </c>
    </row>
    <row r="12264">
      <c r="A12264" t="inlineStr">
        <is>
          <t>27BBBBB12264Z5</t>
        </is>
      </c>
      <c r="B12264" t="inlineStr">
        <is>
          <t>Jun-2018</t>
        </is>
      </c>
      <c r="C12264" s="2" t="n">
        <v>43157</v>
      </c>
      <c r="D12264" t="inlineStr">
        <is>
          <t>NON-NIL</t>
        </is>
      </c>
      <c r="E12264" t="n">
        <v>2821</v>
      </c>
    </row>
    <row r="12265">
      <c r="A12265" t="inlineStr">
        <is>
          <t>27BBBBB12265Z5</t>
        </is>
      </c>
      <c r="B12265" t="inlineStr">
        <is>
          <t>Apr-2020</t>
        </is>
      </c>
      <c r="C12265" s="2" t="n">
        <v>44604</v>
      </c>
      <c r="D12265" t="inlineStr">
        <is>
          <t>NIL</t>
        </is>
      </c>
      <c r="E12265" t="n">
        <v>860</v>
      </c>
    </row>
    <row r="12266">
      <c r="A12266" t="inlineStr">
        <is>
          <t>27BBBBB12266Z5</t>
        </is>
      </c>
      <c r="B12266" t="inlineStr">
        <is>
          <t>Dec-2024</t>
        </is>
      </c>
      <c r="C12266" s="2" t="n">
        <v>44004</v>
      </c>
      <c r="D12266" t="inlineStr">
        <is>
          <t>NIL</t>
        </is>
      </c>
      <c r="E12266" t="n">
        <v>2736</v>
      </c>
    </row>
    <row r="12267">
      <c r="A12267" t="inlineStr">
        <is>
          <t>27BBBBB12267Z5</t>
        </is>
      </c>
      <c r="B12267" t="inlineStr">
        <is>
          <t>Sep-2017</t>
        </is>
      </c>
      <c r="C12267" s="2" t="n">
        <v>43262</v>
      </c>
      <c r="D12267" t="inlineStr">
        <is>
          <t>NON-NIL</t>
        </is>
      </c>
      <c r="E12267" t="n">
        <v>2331</v>
      </c>
    </row>
    <row r="12268">
      <c r="A12268" t="inlineStr">
        <is>
          <t>27BBBBB12268Z5</t>
        </is>
      </c>
      <c r="B12268" t="inlineStr">
        <is>
          <t>Jun-2018</t>
        </is>
      </c>
      <c r="C12268" s="2" t="n">
        <v>43477</v>
      </c>
      <c r="D12268" t="inlineStr">
        <is>
          <t>NIL</t>
        </is>
      </c>
      <c r="E12268" t="n">
        <v>2754</v>
      </c>
    </row>
    <row r="12269">
      <c r="A12269" t="inlineStr">
        <is>
          <t>27BBBBB12269Z5</t>
        </is>
      </c>
      <c r="B12269" t="inlineStr">
        <is>
          <t>Dec-2017</t>
        </is>
      </c>
      <c r="C12269" s="2" t="n">
        <v>44111</v>
      </c>
      <c r="D12269" t="inlineStr">
        <is>
          <t>NIL</t>
        </is>
      </c>
      <c r="E12269" t="n">
        <v>768</v>
      </c>
    </row>
    <row r="12270">
      <c r="A12270" t="inlineStr">
        <is>
          <t>27BBBBB12270Z5</t>
        </is>
      </c>
      <c r="B12270" t="inlineStr">
        <is>
          <t>Nov-2017</t>
        </is>
      </c>
      <c r="C12270" s="2" t="n">
        <v>43601</v>
      </c>
      <c r="D12270" t="inlineStr">
        <is>
          <t>NIL</t>
        </is>
      </c>
      <c r="E12270" t="n">
        <v>1723</v>
      </c>
    </row>
    <row r="12271">
      <c r="A12271" t="inlineStr">
        <is>
          <t>27BBBBB12271Z5</t>
        </is>
      </c>
      <c r="B12271" t="inlineStr">
        <is>
          <t>Oct-2017</t>
        </is>
      </c>
      <c r="C12271" s="2" t="n">
        <v>43555</v>
      </c>
      <c r="D12271" t="inlineStr">
        <is>
          <t>NON-NIL</t>
        </is>
      </c>
      <c r="E12271" t="n">
        <v>911</v>
      </c>
    </row>
    <row r="12272">
      <c r="A12272" t="inlineStr">
        <is>
          <t>27BBBBB12272Z5</t>
        </is>
      </c>
      <c r="B12272" t="inlineStr">
        <is>
          <t>Mar-2023</t>
        </is>
      </c>
      <c r="C12272" s="2" t="n">
        <v>45608</v>
      </c>
      <c r="D12272" t="inlineStr">
        <is>
          <t>NIL</t>
        </is>
      </c>
      <c r="E12272" t="n">
        <v>1410</v>
      </c>
    </row>
    <row r="12273">
      <c r="A12273" t="inlineStr">
        <is>
          <t>27BBBBB12273Z5</t>
        </is>
      </c>
      <c r="B12273" t="inlineStr">
        <is>
          <t>Sep-2017</t>
        </is>
      </c>
      <c r="C12273" s="2" t="n">
        <v>43575</v>
      </c>
      <c r="D12273" t="inlineStr">
        <is>
          <t>NON-NIL</t>
        </is>
      </c>
      <c r="E12273" t="n">
        <v>2738</v>
      </c>
    </row>
    <row r="12274">
      <c r="A12274" t="inlineStr">
        <is>
          <t>27BBBBB12274Z5</t>
        </is>
      </c>
      <c r="B12274" t="inlineStr">
        <is>
          <t>Jan-2021</t>
        </is>
      </c>
      <c r="C12274" s="2" t="n">
        <v>44210</v>
      </c>
      <c r="D12274" t="inlineStr">
        <is>
          <t>NON-NIL</t>
        </is>
      </c>
      <c r="E12274" t="n">
        <v>1972</v>
      </c>
    </row>
    <row r="12275">
      <c r="A12275" t="inlineStr">
        <is>
          <t>27BBBBB12275Z5</t>
        </is>
      </c>
      <c r="B12275" t="inlineStr">
        <is>
          <t>Nov-2018</t>
        </is>
      </c>
      <c r="C12275" s="2" t="n">
        <v>44520</v>
      </c>
      <c r="D12275" t="inlineStr">
        <is>
          <t>NIL</t>
        </is>
      </c>
      <c r="E12275" t="n">
        <v>1196</v>
      </c>
    </row>
    <row r="12276">
      <c r="A12276" t="inlineStr">
        <is>
          <t>27BBBBB12276Z5</t>
        </is>
      </c>
      <c r="B12276" t="inlineStr">
        <is>
          <t>Aug-2017</t>
        </is>
      </c>
      <c r="C12276" s="2" t="n">
        <v>43506</v>
      </c>
      <c r="D12276" t="inlineStr">
        <is>
          <t>NON-NIL</t>
        </is>
      </c>
      <c r="E12276" t="n">
        <v>1715</v>
      </c>
    </row>
    <row r="12277">
      <c r="A12277" t="inlineStr">
        <is>
          <t>27BBBBB12277Z5</t>
        </is>
      </c>
      <c r="B12277" t="inlineStr">
        <is>
          <t>Jun-2018</t>
        </is>
      </c>
      <c r="C12277" s="2" t="n">
        <v>43032</v>
      </c>
      <c r="D12277" t="inlineStr">
        <is>
          <t>NON-NIL</t>
        </is>
      </c>
      <c r="E12277" t="n">
        <v>1779</v>
      </c>
    </row>
    <row r="12278">
      <c r="A12278" t="inlineStr">
        <is>
          <t>27BBBBB12278Z5</t>
        </is>
      </c>
      <c r="B12278" t="inlineStr">
        <is>
          <t>Mar-2023</t>
        </is>
      </c>
      <c r="C12278" s="2" t="n">
        <v>44473</v>
      </c>
      <c r="D12278" t="inlineStr">
        <is>
          <t>NIL</t>
        </is>
      </c>
      <c r="E12278" t="n">
        <v>2876</v>
      </c>
    </row>
    <row r="12279">
      <c r="A12279" t="inlineStr">
        <is>
          <t>27BBBBB12279Z5</t>
        </is>
      </c>
      <c r="B12279" t="inlineStr">
        <is>
          <t>Nov-2018</t>
        </is>
      </c>
      <c r="C12279" s="2" t="n">
        <v>43281</v>
      </c>
      <c r="D12279" t="inlineStr">
        <is>
          <t>NIL</t>
        </is>
      </c>
      <c r="E12279" t="n">
        <v>690</v>
      </c>
    </row>
    <row r="12280">
      <c r="A12280" t="inlineStr">
        <is>
          <t>27BBBBB12280Z5</t>
        </is>
      </c>
      <c r="B12280" t="inlineStr">
        <is>
          <t>Aug-2018</t>
        </is>
      </c>
      <c r="C12280" s="2" t="n">
        <v>43768</v>
      </c>
      <c r="D12280" t="inlineStr">
        <is>
          <t>NIL</t>
        </is>
      </c>
      <c r="E12280" t="n">
        <v>2245</v>
      </c>
    </row>
    <row r="12281">
      <c r="A12281" t="inlineStr">
        <is>
          <t>27BBBBB12281Z5</t>
        </is>
      </c>
      <c r="B12281" t="inlineStr">
        <is>
          <t>Jul-2018</t>
        </is>
      </c>
      <c r="C12281" s="2" t="n">
        <v>43718</v>
      </c>
      <c r="D12281" t="inlineStr">
        <is>
          <t>NIL</t>
        </is>
      </c>
      <c r="E12281" t="n">
        <v>2835</v>
      </c>
    </row>
    <row r="12282">
      <c r="A12282" t="inlineStr">
        <is>
          <t>27BBBBB12282Z5</t>
        </is>
      </c>
      <c r="B12282" t="inlineStr">
        <is>
          <t>Sep-2017</t>
        </is>
      </c>
      <c r="C12282" s="2" t="n">
        <v>43648</v>
      </c>
      <c r="D12282" t="inlineStr">
        <is>
          <t>NIL</t>
        </is>
      </c>
      <c r="E12282" t="n">
        <v>2623</v>
      </c>
    </row>
    <row r="12283">
      <c r="A12283" t="inlineStr">
        <is>
          <t>27BBBBB12283Z5</t>
        </is>
      </c>
      <c r="B12283" t="inlineStr">
        <is>
          <t>Oct-2018</t>
        </is>
      </c>
      <c r="C12283" s="2" t="n">
        <v>43117</v>
      </c>
      <c r="D12283" t="inlineStr">
        <is>
          <t>NON-NIL</t>
        </is>
      </c>
      <c r="E12283" t="n">
        <v>1810</v>
      </c>
    </row>
    <row r="12284">
      <c r="A12284" t="inlineStr">
        <is>
          <t>27BBBBB12284Z5</t>
        </is>
      </c>
      <c r="B12284" t="inlineStr">
        <is>
          <t>Aug-2018</t>
        </is>
      </c>
      <c r="C12284" s="2" t="n">
        <v>43846</v>
      </c>
      <c r="D12284" t="inlineStr">
        <is>
          <t>NON-NIL</t>
        </is>
      </c>
      <c r="E12284" t="n">
        <v>1772</v>
      </c>
    </row>
    <row r="12285">
      <c r="A12285" t="inlineStr">
        <is>
          <t>27BBBBB12285Z5</t>
        </is>
      </c>
      <c r="B12285" t="inlineStr">
        <is>
          <t>Jul-2018</t>
        </is>
      </c>
      <c r="C12285" s="2" t="n">
        <v>43262</v>
      </c>
      <c r="D12285" t="inlineStr">
        <is>
          <t>NIL</t>
        </is>
      </c>
      <c r="E12285" t="n">
        <v>786</v>
      </c>
    </row>
    <row r="12286">
      <c r="A12286" t="inlineStr">
        <is>
          <t>27BBBBB12286Z5</t>
        </is>
      </c>
      <c r="B12286" t="inlineStr">
        <is>
          <t>May-2018</t>
        </is>
      </c>
      <c r="C12286" s="2" t="n">
        <v>43757</v>
      </c>
      <c r="D12286" t="inlineStr">
        <is>
          <t>NON-NIL</t>
        </is>
      </c>
      <c r="E12286" t="n">
        <v>252</v>
      </c>
    </row>
    <row r="12287">
      <c r="A12287" t="inlineStr">
        <is>
          <t>27BBBBB12287Z5</t>
        </is>
      </c>
      <c r="B12287" t="inlineStr">
        <is>
          <t>Mar-2020</t>
        </is>
      </c>
      <c r="C12287" s="2" t="n">
        <v>44371</v>
      </c>
      <c r="D12287" t="inlineStr">
        <is>
          <t>NON-NIL</t>
        </is>
      </c>
      <c r="E12287" t="n">
        <v>1567</v>
      </c>
    </row>
    <row r="12288">
      <c r="A12288" t="inlineStr">
        <is>
          <t>27BBBBB12288Z5</t>
        </is>
      </c>
      <c r="B12288" t="inlineStr">
        <is>
          <t>Apr-2020</t>
        </is>
      </c>
      <c r="C12288" s="2" t="n">
        <v>44838</v>
      </c>
      <c r="D12288" t="inlineStr">
        <is>
          <t>NON-NIL</t>
        </is>
      </c>
      <c r="E12288" t="n">
        <v>1425</v>
      </c>
    </row>
    <row r="12289">
      <c r="A12289" t="inlineStr">
        <is>
          <t>27BBBBB12289Z5</t>
        </is>
      </c>
      <c r="B12289" t="inlineStr">
        <is>
          <t>Aug-2017</t>
        </is>
      </c>
      <c r="C12289" s="2" t="n">
        <v>43019</v>
      </c>
      <c r="D12289" t="inlineStr">
        <is>
          <t>NON-NIL</t>
        </is>
      </c>
      <c r="E12289" t="n">
        <v>1949</v>
      </c>
    </row>
    <row r="12290">
      <c r="A12290" t="inlineStr">
        <is>
          <t>27BBBBB12290Z5</t>
        </is>
      </c>
      <c r="B12290" t="inlineStr">
        <is>
          <t>Apr-2020</t>
        </is>
      </c>
      <c r="C12290" s="2" t="n">
        <v>44676</v>
      </c>
      <c r="D12290" t="inlineStr">
        <is>
          <t>NIL</t>
        </is>
      </c>
      <c r="E12290" t="n">
        <v>1674</v>
      </c>
    </row>
    <row r="12291">
      <c r="A12291" t="inlineStr">
        <is>
          <t>27BBBBB12291Z5</t>
        </is>
      </c>
      <c r="B12291" t="inlineStr">
        <is>
          <t>Nov-2017</t>
        </is>
      </c>
      <c r="C12291" s="2" t="n">
        <v>43664</v>
      </c>
      <c r="D12291" t="inlineStr">
        <is>
          <t>NON-NIL</t>
        </is>
      </c>
      <c r="E12291" t="n">
        <v>2163</v>
      </c>
    </row>
    <row r="12292">
      <c r="A12292" t="inlineStr">
        <is>
          <t>27BBBBB12292Z5</t>
        </is>
      </c>
      <c r="B12292" t="inlineStr">
        <is>
          <t>Apr-2020</t>
        </is>
      </c>
      <c r="C12292" s="2" t="n">
        <v>44827</v>
      </c>
      <c r="D12292" t="inlineStr">
        <is>
          <t>NON-NIL</t>
        </is>
      </c>
      <c r="E12292" t="n">
        <v>495</v>
      </c>
    </row>
    <row r="12293">
      <c r="A12293" t="inlineStr">
        <is>
          <t>27BBBBB12293Z5</t>
        </is>
      </c>
      <c r="B12293" t="inlineStr">
        <is>
          <t>May-2020</t>
        </is>
      </c>
      <c r="C12293" s="2" t="n">
        <v>44600</v>
      </c>
      <c r="D12293" t="inlineStr">
        <is>
          <t>NIL</t>
        </is>
      </c>
      <c r="E12293" t="n">
        <v>2330</v>
      </c>
    </row>
    <row r="12294">
      <c r="A12294" t="inlineStr">
        <is>
          <t>27BBBBB12294Z5</t>
        </is>
      </c>
      <c r="B12294" t="inlineStr">
        <is>
          <t>Jul-2018</t>
        </is>
      </c>
      <c r="C12294" s="2" t="n">
        <v>44065</v>
      </c>
      <c r="D12294" t="inlineStr">
        <is>
          <t>NIL</t>
        </is>
      </c>
      <c r="E12294" t="n">
        <v>2311</v>
      </c>
    </row>
    <row r="12295">
      <c r="A12295" t="inlineStr">
        <is>
          <t>27BBBBB12295Z5</t>
        </is>
      </c>
      <c r="B12295" t="inlineStr">
        <is>
          <t>Nov-2017</t>
        </is>
      </c>
      <c r="C12295" s="2" t="n">
        <v>44031</v>
      </c>
      <c r="D12295" t="inlineStr">
        <is>
          <t>NIL</t>
        </is>
      </c>
      <c r="E12295" t="n">
        <v>13</v>
      </c>
    </row>
    <row r="12296">
      <c r="A12296" t="inlineStr">
        <is>
          <t>27BBBBB12296Z5</t>
        </is>
      </c>
      <c r="B12296" t="inlineStr">
        <is>
          <t>Nov-2018</t>
        </is>
      </c>
      <c r="C12296" s="2" t="n">
        <v>43837</v>
      </c>
      <c r="D12296" t="inlineStr">
        <is>
          <t>NIL</t>
        </is>
      </c>
      <c r="E12296" t="n">
        <v>1998</v>
      </c>
    </row>
    <row r="12297">
      <c r="A12297" t="inlineStr">
        <is>
          <t>27BBBBB12297Z5</t>
        </is>
      </c>
      <c r="B12297" t="inlineStr">
        <is>
          <t>May-2020</t>
        </is>
      </c>
      <c r="C12297" s="2" t="n">
        <v>44643</v>
      </c>
      <c r="D12297" t="inlineStr">
        <is>
          <t>NIL</t>
        </is>
      </c>
      <c r="E12297" t="n">
        <v>473</v>
      </c>
    </row>
    <row r="12298">
      <c r="A12298" t="inlineStr">
        <is>
          <t>27BBBBB12298Z5</t>
        </is>
      </c>
      <c r="B12298" t="inlineStr">
        <is>
          <t>Jun-2018</t>
        </is>
      </c>
      <c r="C12298" s="2" t="n">
        <v>43727</v>
      </c>
      <c r="D12298" t="inlineStr">
        <is>
          <t>NON-NIL</t>
        </is>
      </c>
      <c r="E12298" t="n">
        <v>2095</v>
      </c>
    </row>
    <row r="12299">
      <c r="A12299" t="inlineStr">
        <is>
          <t>27BBBBB12299Z5</t>
        </is>
      </c>
      <c r="B12299" t="inlineStr">
        <is>
          <t>Dec-2018</t>
        </is>
      </c>
      <c r="C12299" s="2" t="n">
        <v>43692</v>
      </c>
      <c r="D12299" t="inlineStr">
        <is>
          <t>NIL</t>
        </is>
      </c>
      <c r="E12299" t="n">
        <v>642</v>
      </c>
    </row>
    <row r="12300">
      <c r="A12300" t="inlineStr">
        <is>
          <t>27BBBBB12300Z5</t>
        </is>
      </c>
      <c r="B12300" t="inlineStr">
        <is>
          <t>Dec-2017</t>
        </is>
      </c>
      <c r="C12300" s="2" t="n">
        <v>43786</v>
      </c>
      <c r="D12300" t="inlineStr">
        <is>
          <t>NIL</t>
        </is>
      </c>
      <c r="E12300" t="n">
        <v>1144</v>
      </c>
    </row>
    <row r="12301">
      <c r="A12301" t="inlineStr">
        <is>
          <t>27BBBBB12301Z5</t>
        </is>
      </c>
      <c r="B12301" t="inlineStr">
        <is>
          <t>Oct-2018</t>
        </is>
      </c>
      <c r="C12301" s="2" t="n">
        <v>43133</v>
      </c>
      <c r="D12301" t="inlineStr">
        <is>
          <t>NON-NIL</t>
        </is>
      </c>
      <c r="E12301" t="n">
        <v>2696</v>
      </c>
    </row>
    <row r="12302">
      <c r="A12302" t="inlineStr">
        <is>
          <t>27BBBBB12302Z5</t>
        </is>
      </c>
      <c r="B12302" t="inlineStr">
        <is>
          <t>Oct-2017</t>
        </is>
      </c>
      <c r="C12302" s="2" t="n">
        <v>44395</v>
      </c>
      <c r="D12302" t="inlineStr">
        <is>
          <t>NIL</t>
        </is>
      </c>
      <c r="E12302" t="n">
        <v>2698</v>
      </c>
    </row>
    <row r="12303">
      <c r="A12303" t="inlineStr">
        <is>
          <t>27BBBBB12303Z5</t>
        </is>
      </c>
      <c r="B12303" t="inlineStr">
        <is>
          <t>Feb-2018</t>
        </is>
      </c>
      <c r="C12303" s="2" t="n">
        <v>43726</v>
      </c>
      <c r="D12303" t="inlineStr">
        <is>
          <t>NIL</t>
        </is>
      </c>
      <c r="E12303" t="n">
        <v>326</v>
      </c>
    </row>
    <row r="12304">
      <c r="A12304" t="inlineStr">
        <is>
          <t>27BBBBB12304Z5</t>
        </is>
      </c>
      <c r="B12304" t="inlineStr">
        <is>
          <t>Jun-2020</t>
        </is>
      </c>
      <c r="C12304" s="2" t="n">
        <v>44839</v>
      </c>
      <c r="D12304" t="inlineStr">
        <is>
          <t>NON-NIL</t>
        </is>
      </c>
      <c r="E12304" t="n">
        <v>1771</v>
      </c>
    </row>
    <row r="12305">
      <c r="A12305" t="inlineStr">
        <is>
          <t>27BBBBB12305Z5</t>
        </is>
      </c>
      <c r="B12305" t="inlineStr">
        <is>
          <t>Dec-2017</t>
        </is>
      </c>
      <c r="C12305" s="2" t="n">
        <v>43710</v>
      </c>
      <c r="D12305" t="inlineStr">
        <is>
          <t>NIL</t>
        </is>
      </c>
      <c r="E12305" t="n">
        <v>393</v>
      </c>
    </row>
    <row r="12306">
      <c r="A12306" t="inlineStr">
        <is>
          <t>27BBBBB12306Z5</t>
        </is>
      </c>
      <c r="B12306" t="inlineStr">
        <is>
          <t>Nov-2018</t>
        </is>
      </c>
      <c r="C12306" s="2" t="n">
        <v>43388</v>
      </c>
      <c r="D12306" t="inlineStr">
        <is>
          <t>NON-NIL</t>
        </is>
      </c>
      <c r="E12306" t="n">
        <v>1949</v>
      </c>
    </row>
    <row r="12307">
      <c r="A12307" t="inlineStr">
        <is>
          <t>27BBBBB12307Z5</t>
        </is>
      </c>
      <c r="B12307" t="inlineStr">
        <is>
          <t>Dec-2022</t>
        </is>
      </c>
      <c r="C12307" s="2" t="n">
        <v>45763</v>
      </c>
      <c r="D12307" t="inlineStr">
        <is>
          <t>NON-NIL</t>
        </is>
      </c>
      <c r="E12307" t="n">
        <v>508</v>
      </c>
    </row>
    <row r="12308">
      <c r="A12308" t="inlineStr">
        <is>
          <t>27BBBBB12308Z5</t>
        </is>
      </c>
      <c r="B12308" t="inlineStr">
        <is>
          <t>Mar-2021</t>
        </is>
      </c>
      <c r="C12308" s="2" t="n">
        <v>45345</v>
      </c>
      <c r="D12308" t="inlineStr">
        <is>
          <t>NIL</t>
        </is>
      </c>
      <c r="E12308" t="n">
        <v>2973</v>
      </c>
    </row>
    <row r="12309">
      <c r="A12309" t="inlineStr">
        <is>
          <t>27BBBBB12309Z5</t>
        </is>
      </c>
      <c r="B12309" t="inlineStr">
        <is>
          <t>Dec-2024</t>
        </is>
      </c>
      <c r="C12309" s="2" t="n">
        <v>45672</v>
      </c>
      <c r="D12309" t="inlineStr">
        <is>
          <t>NON-NIL</t>
        </is>
      </c>
      <c r="E12309" t="n">
        <v>254</v>
      </c>
    </row>
    <row r="12310">
      <c r="A12310" t="inlineStr">
        <is>
          <t>27BBBBB12310Z5</t>
        </is>
      </c>
      <c r="B12310" t="inlineStr">
        <is>
          <t>Sep-2017</t>
        </is>
      </c>
      <c r="C12310" s="2" t="n">
        <v>43448</v>
      </c>
      <c r="D12310" t="inlineStr">
        <is>
          <t>NON-NIL</t>
        </is>
      </c>
      <c r="E12310" t="n">
        <v>34</v>
      </c>
    </row>
    <row r="12311">
      <c r="A12311" t="inlineStr">
        <is>
          <t>27BBBBB12311Z5</t>
        </is>
      </c>
      <c r="B12311" t="inlineStr">
        <is>
          <t>Dec-2024</t>
        </is>
      </c>
      <c r="C12311" s="2" t="n">
        <v>45143</v>
      </c>
      <c r="D12311" t="inlineStr">
        <is>
          <t>NON-NIL</t>
        </is>
      </c>
      <c r="E12311" t="n">
        <v>2285</v>
      </c>
    </row>
    <row r="12312">
      <c r="A12312" t="inlineStr">
        <is>
          <t>27BBBBB12312Z5</t>
        </is>
      </c>
      <c r="B12312" t="inlineStr">
        <is>
          <t>Jul-2017</t>
        </is>
      </c>
      <c r="C12312" s="2" t="n">
        <v>43498</v>
      </c>
      <c r="D12312" t="inlineStr">
        <is>
          <t>NON-NIL</t>
        </is>
      </c>
      <c r="E12312" t="n">
        <v>2315</v>
      </c>
    </row>
    <row r="12313">
      <c r="A12313" t="inlineStr">
        <is>
          <t>27BBBBB12313Z5</t>
        </is>
      </c>
      <c r="B12313" t="inlineStr">
        <is>
          <t>May-2018</t>
        </is>
      </c>
      <c r="C12313" s="2" t="n">
        <v>43886</v>
      </c>
      <c r="D12313" t="inlineStr">
        <is>
          <t>NON-NIL</t>
        </is>
      </c>
      <c r="E12313" t="n">
        <v>1505</v>
      </c>
    </row>
    <row r="12314">
      <c r="A12314" t="inlineStr">
        <is>
          <t>27BBBBB12314Z5</t>
        </is>
      </c>
      <c r="B12314" t="inlineStr">
        <is>
          <t>May-2018</t>
        </is>
      </c>
      <c r="C12314" s="2" t="n">
        <v>43283</v>
      </c>
      <c r="D12314" t="inlineStr">
        <is>
          <t>NON-NIL</t>
        </is>
      </c>
      <c r="E12314" t="n">
        <v>2848</v>
      </c>
    </row>
    <row r="12315">
      <c r="A12315" t="inlineStr">
        <is>
          <t>27BBBBB12315Z5</t>
        </is>
      </c>
      <c r="B12315" t="inlineStr">
        <is>
          <t>Aug-2018</t>
        </is>
      </c>
      <c r="C12315" s="2" t="n">
        <v>43810</v>
      </c>
      <c r="D12315" t="inlineStr">
        <is>
          <t>NON-NIL</t>
        </is>
      </c>
      <c r="E12315" t="n">
        <v>1042</v>
      </c>
    </row>
    <row r="12316">
      <c r="A12316" t="inlineStr">
        <is>
          <t>27BBBBB12316Z5</t>
        </is>
      </c>
      <c r="B12316" t="inlineStr">
        <is>
          <t>Jul-2020</t>
        </is>
      </c>
      <c r="C12316" s="2" t="n">
        <v>43970</v>
      </c>
      <c r="D12316" t="inlineStr">
        <is>
          <t>NON-NIL</t>
        </is>
      </c>
      <c r="E12316" t="n">
        <v>1471</v>
      </c>
    </row>
    <row r="12317">
      <c r="A12317" t="inlineStr">
        <is>
          <t>27BBBBB12317Z5</t>
        </is>
      </c>
      <c r="B12317" t="inlineStr">
        <is>
          <t>Sep-2018</t>
        </is>
      </c>
      <c r="C12317" s="2" t="n">
        <v>42947</v>
      </c>
      <c r="D12317" t="inlineStr">
        <is>
          <t>NIL</t>
        </is>
      </c>
      <c r="E12317" t="n">
        <v>2528</v>
      </c>
    </row>
    <row r="12318">
      <c r="A12318" t="inlineStr">
        <is>
          <t>27BBBBB12318Z5</t>
        </is>
      </c>
      <c r="B12318" t="inlineStr">
        <is>
          <t>Aug-2017</t>
        </is>
      </c>
      <c r="C12318" s="2" t="n">
        <v>43855</v>
      </c>
      <c r="D12318" t="inlineStr">
        <is>
          <t>NON-NIL</t>
        </is>
      </c>
      <c r="E12318" t="n">
        <v>1420</v>
      </c>
    </row>
    <row r="12319">
      <c r="A12319" t="inlineStr">
        <is>
          <t>27BBBBB12319Z5</t>
        </is>
      </c>
      <c r="B12319" t="inlineStr">
        <is>
          <t>May-2020</t>
        </is>
      </c>
      <c r="C12319" s="2" t="n">
        <v>43989</v>
      </c>
      <c r="D12319" t="inlineStr">
        <is>
          <t>NON-NIL</t>
        </is>
      </c>
      <c r="E12319" t="n">
        <v>1088</v>
      </c>
    </row>
    <row r="12320">
      <c r="A12320" t="inlineStr">
        <is>
          <t>27BBBBB12320Z5</t>
        </is>
      </c>
      <c r="B12320" t="inlineStr">
        <is>
          <t>Jun-2020</t>
        </is>
      </c>
      <c r="C12320" s="2" t="n">
        <v>44259</v>
      </c>
      <c r="D12320" t="inlineStr">
        <is>
          <t>NIL</t>
        </is>
      </c>
      <c r="E12320" t="n">
        <v>2152</v>
      </c>
    </row>
    <row r="12321">
      <c r="A12321" t="inlineStr">
        <is>
          <t>27BBBBB12321Z5</t>
        </is>
      </c>
      <c r="B12321" t="inlineStr">
        <is>
          <t>Jul-2020</t>
        </is>
      </c>
      <c r="C12321" s="2" t="n">
        <v>43893</v>
      </c>
      <c r="D12321" t="inlineStr">
        <is>
          <t>NON-NIL</t>
        </is>
      </c>
      <c r="E12321" t="n">
        <v>2897</v>
      </c>
    </row>
    <row r="12322">
      <c r="A12322" t="inlineStr">
        <is>
          <t>27BBBBB12322Z5</t>
        </is>
      </c>
      <c r="B12322" t="inlineStr">
        <is>
          <t>Aug-2017</t>
        </is>
      </c>
      <c r="C12322" s="2" t="n">
        <v>44526</v>
      </c>
      <c r="D12322" t="inlineStr">
        <is>
          <t>NIL</t>
        </is>
      </c>
      <c r="E12322" t="n">
        <v>2427</v>
      </c>
    </row>
    <row r="12323">
      <c r="A12323" t="inlineStr">
        <is>
          <t>27BBBBB12323Z5</t>
        </is>
      </c>
      <c r="B12323" t="inlineStr">
        <is>
          <t>May-2018</t>
        </is>
      </c>
      <c r="C12323" s="2" t="n">
        <v>43735</v>
      </c>
      <c r="D12323" t="inlineStr">
        <is>
          <t>NIL</t>
        </is>
      </c>
      <c r="E12323" t="n">
        <v>2755</v>
      </c>
    </row>
    <row r="12324">
      <c r="A12324" t="inlineStr">
        <is>
          <t>27BBBBB12324Z5</t>
        </is>
      </c>
      <c r="B12324" t="inlineStr">
        <is>
          <t>Dec-2022</t>
        </is>
      </c>
      <c r="C12324" s="2" t="n">
        <v>45772</v>
      </c>
      <c r="D12324" t="inlineStr">
        <is>
          <t>NON-NIL</t>
        </is>
      </c>
      <c r="E12324" t="n">
        <v>1072</v>
      </c>
    </row>
    <row r="12325">
      <c r="A12325" t="inlineStr">
        <is>
          <t>27BBBBB12325Z5</t>
        </is>
      </c>
      <c r="B12325" t="inlineStr">
        <is>
          <t>Jul-2020</t>
        </is>
      </c>
      <c r="C12325" s="2" t="n">
        <v>44510</v>
      </c>
      <c r="D12325" t="inlineStr">
        <is>
          <t>NIL</t>
        </is>
      </c>
      <c r="E12325" t="n">
        <v>615</v>
      </c>
    </row>
    <row r="12326">
      <c r="A12326" t="inlineStr">
        <is>
          <t>27BBBBB12326Z5</t>
        </is>
      </c>
      <c r="B12326" t="inlineStr">
        <is>
          <t>May-2020</t>
        </is>
      </c>
      <c r="C12326" s="2" t="n">
        <v>44153</v>
      </c>
      <c r="D12326" t="inlineStr">
        <is>
          <t>NIL</t>
        </is>
      </c>
      <c r="E12326" t="n">
        <v>2021</v>
      </c>
    </row>
    <row r="12327">
      <c r="A12327" t="inlineStr">
        <is>
          <t>27BBBBB12327Z5</t>
        </is>
      </c>
      <c r="B12327" t="inlineStr">
        <is>
          <t>Mar-2023</t>
        </is>
      </c>
      <c r="C12327" s="2" t="n">
        <v>45609</v>
      </c>
      <c r="D12327" t="inlineStr">
        <is>
          <t>NON-NIL</t>
        </is>
      </c>
      <c r="E12327" t="n">
        <v>364</v>
      </c>
    </row>
    <row r="12328">
      <c r="A12328" t="inlineStr">
        <is>
          <t>27BBBBB12328Z5</t>
        </is>
      </c>
      <c r="B12328" t="inlineStr">
        <is>
          <t>May-2018</t>
        </is>
      </c>
      <c r="C12328" s="2" t="n">
        <v>43093</v>
      </c>
      <c r="D12328" t="inlineStr">
        <is>
          <t>NON-NIL</t>
        </is>
      </c>
      <c r="E12328" t="n">
        <v>1685</v>
      </c>
    </row>
    <row r="12329">
      <c r="A12329" t="inlineStr">
        <is>
          <t>27BBBBB12329Z5</t>
        </is>
      </c>
      <c r="B12329" t="inlineStr">
        <is>
          <t>Dec-2024</t>
        </is>
      </c>
      <c r="C12329" s="2" t="n">
        <v>43853</v>
      </c>
      <c r="D12329" t="inlineStr">
        <is>
          <t>NON-NIL</t>
        </is>
      </c>
      <c r="E12329" t="n">
        <v>1487</v>
      </c>
    </row>
    <row r="12330">
      <c r="A12330" t="inlineStr">
        <is>
          <t>27BBBBB12330Z5</t>
        </is>
      </c>
      <c r="B12330" t="inlineStr">
        <is>
          <t>Mar-2020</t>
        </is>
      </c>
      <c r="C12330" s="2" t="n">
        <v>44711</v>
      </c>
      <c r="D12330" t="inlineStr">
        <is>
          <t>NIL</t>
        </is>
      </c>
      <c r="E12330" t="n">
        <v>348</v>
      </c>
    </row>
    <row r="12331">
      <c r="A12331" t="inlineStr">
        <is>
          <t>27BBBBB12331Z5</t>
        </is>
      </c>
      <c r="B12331" t="inlineStr">
        <is>
          <t>Jun-2020</t>
        </is>
      </c>
      <c r="C12331" s="2" t="n">
        <v>44252</v>
      </c>
      <c r="D12331" t="inlineStr">
        <is>
          <t>NON-NIL</t>
        </is>
      </c>
      <c r="E12331" t="n">
        <v>1125</v>
      </c>
    </row>
    <row r="12332">
      <c r="A12332" t="inlineStr">
        <is>
          <t>27BBBBB12332Z5</t>
        </is>
      </c>
      <c r="B12332" t="inlineStr">
        <is>
          <t>Jan-2018</t>
        </is>
      </c>
      <c r="C12332" s="2" t="n">
        <v>44340</v>
      </c>
      <c r="D12332" t="inlineStr">
        <is>
          <t>NON-NIL</t>
        </is>
      </c>
      <c r="E12332" t="n">
        <v>2948</v>
      </c>
    </row>
    <row r="12333">
      <c r="A12333" t="inlineStr">
        <is>
          <t>27BBBBB12333Z5</t>
        </is>
      </c>
      <c r="B12333" t="inlineStr">
        <is>
          <t>Dec-2017</t>
        </is>
      </c>
      <c r="C12333" s="2" t="n">
        <v>43134</v>
      </c>
      <c r="D12333" t="inlineStr">
        <is>
          <t>NON-NIL</t>
        </is>
      </c>
      <c r="E12333" t="n">
        <v>1554</v>
      </c>
    </row>
    <row r="12334">
      <c r="A12334" t="inlineStr">
        <is>
          <t>27BBBBB12334Z5</t>
        </is>
      </c>
      <c r="B12334" t="inlineStr">
        <is>
          <t>Mar-2018</t>
        </is>
      </c>
      <c r="C12334" s="2" t="n">
        <v>43024</v>
      </c>
      <c r="D12334" t="inlineStr">
        <is>
          <t>NIL</t>
        </is>
      </c>
      <c r="E12334" t="n">
        <v>2477</v>
      </c>
    </row>
    <row r="12335">
      <c r="A12335" t="inlineStr">
        <is>
          <t>27BBBBB12335Z5</t>
        </is>
      </c>
      <c r="B12335" t="inlineStr">
        <is>
          <t>Dec-2024</t>
        </is>
      </c>
      <c r="C12335" s="2" t="n">
        <v>44410</v>
      </c>
      <c r="D12335" t="inlineStr">
        <is>
          <t>NIL</t>
        </is>
      </c>
      <c r="E12335" t="n">
        <v>1915</v>
      </c>
    </row>
    <row r="12336">
      <c r="A12336" t="inlineStr">
        <is>
          <t>27BBBBB12336Z5</t>
        </is>
      </c>
      <c r="B12336" t="inlineStr">
        <is>
          <t>Jul-2020</t>
        </is>
      </c>
      <c r="C12336" s="2" t="n">
        <v>44088</v>
      </c>
      <c r="D12336" t="inlineStr">
        <is>
          <t>NON-NIL</t>
        </is>
      </c>
      <c r="E12336" t="n">
        <v>2852</v>
      </c>
    </row>
    <row r="12337">
      <c r="A12337" t="inlineStr">
        <is>
          <t>27BBBBB12337Z5</t>
        </is>
      </c>
      <c r="B12337" t="inlineStr">
        <is>
          <t>May-2020</t>
        </is>
      </c>
      <c r="C12337" s="2" t="n">
        <v>44597</v>
      </c>
      <c r="D12337" t="inlineStr">
        <is>
          <t>NIL</t>
        </is>
      </c>
      <c r="E12337" t="n">
        <v>1162</v>
      </c>
    </row>
    <row r="12338">
      <c r="A12338" t="inlineStr">
        <is>
          <t>27BBBBB12338Z5</t>
        </is>
      </c>
      <c r="B12338" t="inlineStr">
        <is>
          <t>Jan-2021</t>
        </is>
      </c>
      <c r="C12338" s="2" t="n">
        <v>44066</v>
      </c>
      <c r="D12338" t="inlineStr">
        <is>
          <t>NIL</t>
        </is>
      </c>
      <c r="E12338" t="n">
        <v>1042</v>
      </c>
    </row>
    <row r="12339">
      <c r="A12339" t="inlineStr">
        <is>
          <t>27BBBBB12339Z5</t>
        </is>
      </c>
      <c r="B12339" t="inlineStr">
        <is>
          <t>May-2018</t>
        </is>
      </c>
      <c r="C12339" s="2" t="n">
        <v>43504</v>
      </c>
      <c r="D12339" t="inlineStr">
        <is>
          <t>NON-NIL</t>
        </is>
      </c>
      <c r="E12339" t="n">
        <v>2135</v>
      </c>
    </row>
    <row r="12340">
      <c r="A12340" t="inlineStr">
        <is>
          <t>27BBBBB12340Z5</t>
        </is>
      </c>
      <c r="B12340" t="inlineStr">
        <is>
          <t>Sep-2017</t>
        </is>
      </c>
      <c r="C12340" s="2" t="n">
        <v>43788</v>
      </c>
      <c r="D12340" t="inlineStr">
        <is>
          <t>NON-NIL</t>
        </is>
      </c>
      <c r="E12340" t="n">
        <v>2792</v>
      </c>
    </row>
    <row r="12341">
      <c r="A12341" t="inlineStr">
        <is>
          <t>27BBBBB12341Z5</t>
        </is>
      </c>
      <c r="B12341" t="inlineStr">
        <is>
          <t>Jun-2018</t>
        </is>
      </c>
      <c r="C12341" s="2" t="n">
        <v>43633</v>
      </c>
      <c r="D12341" t="inlineStr">
        <is>
          <t>NIL</t>
        </is>
      </c>
      <c r="E12341" t="n">
        <v>160</v>
      </c>
    </row>
    <row r="12342">
      <c r="A12342" t="inlineStr">
        <is>
          <t>27BBBBB12342Z5</t>
        </is>
      </c>
      <c r="B12342" t="inlineStr">
        <is>
          <t>Dec-2018</t>
        </is>
      </c>
      <c r="C12342" s="2" t="n">
        <v>43723</v>
      </c>
      <c r="D12342" t="inlineStr">
        <is>
          <t>NIL</t>
        </is>
      </c>
      <c r="E12342" t="n">
        <v>151</v>
      </c>
    </row>
    <row r="12343">
      <c r="A12343" t="inlineStr">
        <is>
          <t>27BBBBB12343Z5</t>
        </is>
      </c>
      <c r="B12343" t="inlineStr">
        <is>
          <t>Sep-2018</t>
        </is>
      </c>
      <c r="C12343" s="2" t="n">
        <v>43695</v>
      </c>
      <c r="D12343" t="inlineStr">
        <is>
          <t>NON-NIL</t>
        </is>
      </c>
      <c r="E12343" t="n">
        <v>2354</v>
      </c>
    </row>
    <row r="12344">
      <c r="A12344" t="inlineStr">
        <is>
          <t>27BBBBB12344Z5</t>
        </is>
      </c>
      <c r="B12344" t="inlineStr">
        <is>
          <t>Dec-2022</t>
        </is>
      </c>
      <c r="C12344" s="2" t="n">
        <v>44569</v>
      </c>
      <c r="D12344" t="inlineStr">
        <is>
          <t>NIL</t>
        </is>
      </c>
      <c r="E12344" t="n">
        <v>297</v>
      </c>
    </row>
    <row r="12345">
      <c r="A12345" t="inlineStr">
        <is>
          <t>27BBBBB12345Z5</t>
        </is>
      </c>
      <c r="B12345" t="inlineStr">
        <is>
          <t>Sep-2018</t>
        </is>
      </c>
      <c r="C12345" s="2" t="n">
        <v>42978</v>
      </c>
      <c r="D12345" t="inlineStr">
        <is>
          <t>NIL</t>
        </is>
      </c>
      <c r="E12345" t="n">
        <v>2746</v>
      </c>
    </row>
    <row r="12346">
      <c r="A12346" t="inlineStr">
        <is>
          <t>27BBBBB12346Z5</t>
        </is>
      </c>
      <c r="B12346" t="inlineStr">
        <is>
          <t>Aug-2017</t>
        </is>
      </c>
      <c r="C12346" s="2" t="n">
        <v>43109</v>
      </c>
      <c r="D12346" t="inlineStr">
        <is>
          <t>NON-NIL</t>
        </is>
      </c>
      <c r="E12346" t="n">
        <v>1891</v>
      </c>
    </row>
    <row r="12347">
      <c r="A12347" t="inlineStr">
        <is>
          <t>27BBBBB12347Z5</t>
        </is>
      </c>
      <c r="B12347" t="inlineStr">
        <is>
          <t>Jul-2020</t>
        </is>
      </c>
      <c r="C12347" s="2" t="n">
        <v>44538</v>
      </c>
      <c r="D12347" t="inlineStr">
        <is>
          <t>NON-NIL</t>
        </is>
      </c>
      <c r="E12347" t="n">
        <v>2297</v>
      </c>
    </row>
    <row r="12348">
      <c r="A12348" t="inlineStr">
        <is>
          <t>27BBBBB12348Z5</t>
        </is>
      </c>
      <c r="B12348" t="inlineStr">
        <is>
          <t>Jul-2018</t>
        </is>
      </c>
      <c r="C12348" s="2" t="n">
        <v>43249</v>
      </c>
      <c r="D12348" t="inlineStr">
        <is>
          <t>NIL</t>
        </is>
      </c>
      <c r="E12348" t="n">
        <v>2072</v>
      </c>
    </row>
    <row r="12349">
      <c r="A12349" t="inlineStr">
        <is>
          <t>27BBBBB12349Z5</t>
        </is>
      </c>
      <c r="B12349" t="inlineStr">
        <is>
          <t>Dec-2024</t>
        </is>
      </c>
      <c r="C12349" s="2" t="n">
        <v>43564</v>
      </c>
      <c r="D12349" t="inlineStr">
        <is>
          <t>NIL</t>
        </is>
      </c>
      <c r="E12349" t="n">
        <v>2623</v>
      </c>
    </row>
    <row r="12350">
      <c r="A12350" t="inlineStr">
        <is>
          <t>27BBBBB12350Z5</t>
        </is>
      </c>
      <c r="B12350" t="inlineStr">
        <is>
          <t>Aug-2018</t>
        </is>
      </c>
      <c r="C12350" s="2" t="n">
        <v>43405</v>
      </c>
      <c r="D12350" t="inlineStr">
        <is>
          <t>NON-NIL</t>
        </is>
      </c>
      <c r="E12350" t="n">
        <v>153</v>
      </c>
    </row>
    <row r="12351">
      <c r="A12351" t="inlineStr">
        <is>
          <t>27BBBBB12351Z5</t>
        </is>
      </c>
      <c r="B12351" t="inlineStr">
        <is>
          <t>Dec-2017</t>
        </is>
      </c>
      <c r="C12351" s="2" t="n">
        <v>42930</v>
      </c>
      <c r="D12351" t="inlineStr">
        <is>
          <t>NON-NIL</t>
        </is>
      </c>
      <c r="E12351" t="n">
        <v>512</v>
      </c>
    </row>
    <row r="12352">
      <c r="A12352" t="inlineStr">
        <is>
          <t>27BBBBB12352Z5</t>
        </is>
      </c>
      <c r="B12352" t="inlineStr">
        <is>
          <t>Dec-2018</t>
        </is>
      </c>
      <c r="C12352" s="2" t="n">
        <v>43782</v>
      </c>
      <c r="D12352" t="inlineStr">
        <is>
          <t>NON-NIL</t>
        </is>
      </c>
      <c r="E12352" t="n">
        <v>204</v>
      </c>
    </row>
    <row r="12353">
      <c r="A12353" t="inlineStr">
        <is>
          <t>27BBBBB12353Z5</t>
        </is>
      </c>
      <c r="B12353" t="inlineStr">
        <is>
          <t>Mar-2018</t>
        </is>
      </c>
      <c r="C12353" s="2" t="n">
        <v>43477</v>
      </c>
      <c r="D12353" t="inlineStr">
        <is>
          <t>NIL</t>
        </is>
      </c>
      <c r="E12353" t="n">
        <v>2955</v>
      </c>
    </row>
    <row r="12354">
      <c r="A12354" t="inlineStr">
        <is>
          <t>27BBBBB12354Z5</t>
        </is>
      </c>
      <c r="B12354" t="inlineStr">
        <is>
          <t>Mar-2021</t>
        </is>
      </c>
      <c r="C12354" s="2" t="n">
        <v>45500</v>
      </c>
      <c r="D12354" t="inlineStr">
        <is>
          <t>NON-NIL</t>
        </is>
      </c>
      <c r="E12354" t="n">
        <v>1846</v>
      </c>
    </row>
    <row r="12355">
      <c r="A12355" t="inlineStr">
        <is>
          <t>27BBBBB12355Z5</t>
        </is>
      </c>
      <c r="B12355" t="inlineStr">
        <is>
          <t>Mar-2023</t>
        </is>
      </c>
      <c r="C12355" s="2" t="n">
        <v>43721</v>
      </c>
      <c r="D12355" t="inlineStr">
        <is>
          <t>NON-NIL</t>
        </is>
      </c>
      <c r="E12355" t="n">
        <v>478</v>
      </c>
    </row>
    <row r="12356">
      <c r="A12356" t="inlineStr">
        <is>
          <t>27BBBBB12356Z5</t>
        </is>
      </c>
      <c r="B12356" t="inlineStr">
        <is>
          <t>Dec-2018</t>
        </is>
      </c>
      <c r="C12356" s="2" t="n">
        <v>43684</v>
      </c>
      <c r="D12356" t="inlineStr">
        <is>
          <t>NIL</t>
        </is>
      </c>
      <c r="E12356" t="n">
        <v>1550</v>
      </c>
    </row>
    <row r="12357">
      <c r="A12357" t="inlineStr">
        <is>
          <t>27BBBBB12357Z5</t>
        </is>
      </c>
      <c r="B12357" t="inlineStr">
        <is>
          <t>Nov-2018</t>
        </is>
      </c>
      <c r="C12357" s="2" t="n">
        <v>43944</v>
      </c>
      <c r="D12357" t="inlineStr">
        <is>
          <t>NON-NIL</t>
        </is>
      </c>
      <c r="E12357" t="n">
        <v>718</v>
      </c>
    </row>
    <row r="12358">
      <c r="A12358" t="inlineStr">
        <is>
          <t>27BBBBB12358Z5</t>
        </is>
      </c>
      <c r="B12358" t="inlineStr">
        <is>
          <t>Aug-2017</t>
        </is>
      </c>
      <c r="C12358" s="2" t="n">
        <v>43547</v>
      </c>
      <c r="D12358" t="inlineStr">
        <is>
          <t>NIL</t>
        </is>
      </c>
      <c r="E12358" t="n">
        <v>2616</v>
      </c>
    </row>
    <row r="12359">
      <c r="A12359" t="inlineStr">
        <is>
          <t>27BBBBB12359Z5</t>
        </is>
      </c>
      <c r="B12359" t="inlineStr">
        <is>
          <t>Sep-2018</t>
        </is>
      </c>
      <c r="C12359" s="2" t="n">
        <v>43969</v>
      </c>
      <c r="D12359" t="inlineStr">
        <is>
          <t>NIL</t>
        </is>
      </c>
      <c r="E12359" t="n">
        <v>2702</v>
      </c>
    </row>
    <row r="12360">
      <c r="A12360" t="inlineStr">
        <is>
          <t>27BBBBB12360Z5</t>
        </is>
      </c>
      <c r="B12360" t="inlineStr">
        <is>
          <t>Dec-2022</t>
        </is>
      </c>
      <c r="C12360" s="2" t="n">
        <v>44762</v>
      </c>
      <c r="D12360" t="inlineStr">
        <is>
          <t>NIL</t>
        </is>
      </c>
      <c r="E12360" t="n">
        <v>1209</v>
      </c>
    </row>
    <row r="12361">
      <c r="A12361" t="inlineStr">
        <is>
          <t>27BBBBB12361Z5</t>
        </is>
      </c>
      <c r="B12361" t="inlineStr">
        <is>
          <t>Sep-2017</t>
        </is>
      </c>
      <c r="C12361" s="2" t="n">
        <v>42956</v>
      </c>
      <c r="D12361" t="inlineStr">
        <is>
          <t>NIL</t>
        </is>
      </c>
      <c r="E12361" t="n">
        <v>1591</v>
      </c>
    </row>
    <row r="12362">
      <c r="A12362" t="inlineStr">
        <is>
          <t>27BBBBB12362Z5</t>
        </is>
      </c>
      <c r="B12362" t="inlineStr">
        <is>
          <t>Mar-2021</t>
        </is>
      </c>
      <c r="C12362" s="2" t="n">
        <v>44781</v>
      </c>
      <c r="D12362" t="inlineStr">
        <is>
          <t>NIL</t>
        </is>
      </c>
      <c r="E12362" t="n">
        <v>1482</v>
      </c>
    </row>
    <row r="12363">
      <c r="A12363" t="inlineStr">
        <is>
          <t>27BBBBB12363Z5</t>
        </is>
      </c>
      <c r="B12363" t="inlineStr">
        <is>
          <t>Sep-2018</t>
        </is>
      </c>
      <c r="C12363" s="2" t="n">
        <v>43651</v>
      </c>
      <c r="D12363" t="inlineStr">
        <is>
          <t>NON-NIL</t>
        </is>
      </c>
      <c r="E12363" t="n">
        <v>2444</v>
      </c>
    </row>
    <row r="12364">
      <c r="A12364" t="inlineStr">
        <is>
          <t>27BBBBB12364Z5</t>
        </is>
      </c>
      <c r="B12364" t="inlineStr">
        <is>
          <t>Aug-2017</t>
        </is>
      </c>
      <c r="C12364" s="2" t="n">
        <v>43826</v>
      </c>
      <c r="D12364" t="inlineStr">
        <is>
          <t>NIL</t>
        </is>
      </c>
      <c r="E12364" t="n">
        <v>812</v>
      </c>
    </row>
    <row r="12365">
      <c r="A12365" t="inlineStr">
        <is>
          <t>27BBBBB12365Z5</t>
        </is>
      </c>
      <c r="B12365" t="inlineStr">
        <is>
          <t>Mar-2020</t>
        </is>
      </c>
      <c r="C12365" s="2" t="n">
        <v>44373</v>
      </c>
      <c r="D12365" t="inlineStr">
        <is>
          <t>NON-NIL</t>
        </is>
      </c>
      <c r="E12365" t="n">
        <v>2942</v>
      </c>
    </row>
    <row r="12366">
      <c r="A12366" t="inlineStr">
        <is>
          <t>27BBBBB12366Z5</t>
        </is>
      </c>
      <c r="B12366" t="inlineStr">
        <is>
          <t>Dec-2024</t>
        </is>
      </c>
      <c r="C12366" s="2" t="n">
        <v>45637</v>
      </c>
      <c r="D12366" t="inlineStr">
        <is>
          <t>NIL</t>
        </is>
      </c>
      <c r="E12366" t="n">
        <v>2598</v>
      </c>
    </row>
    <row r="12367">
      <c r="A12367" t="inlineStr">
        <is>
          <t>27BBBBB12367Z5</t>
        </is>
      </c>
      <c r="B12367" t="inlineStr">
        <is>
          <t>Jul-2020</t>
        </is>
      </c>
      <c r="C12367" s="2" t="n">
        <v>44355</v>
      </c>
      <c r="D12367" t="inlineStr">
        <is>
          <t>NON-NIL</t>
        </is>
      </c>
      <c r="E12367" t="n">
        <v>867</v>
      </c>
    </row>
    <row r="12368">
      <c r="A12368" t="inlineStr">
        <is>
          <t>27BBBBB12368Z5</t>
        </is>
      </c>
      <c r="B12368" t="inlineStr">
        <is>
          <t>Mar-2018</t>
        </is>
      </c>
      <c r="C12368" s="2" t="n">
        <v>42940</v>
      </c>
      <c r="D12368" t="inlineStr">
        <is>
          <t>NON-NIL</t>
        </is>
      </c>
      <c r="E12368" t="n">
        <v>1866</v>
      </c>
    </row>
    <row r="12369">
      <c r="A12369" t="inlineStr">
        <is>
          <t>27BBBBB12369Z5</t>
        </is>
      </c>
      <c r="B12369" t="inlineStr">
        <is>
          <t>Sep-2017</t>
        </is>
      </c>
      <c r="C12369" s="2" t="n">
        <v>43869</v>
      </c>
      <c r="D12369" t="inlineStr">
        <is>
          <t>NON-NIL</t>
        </is>
      </c>
      <c r="E12369" t="n">
        <v>1863</v>
      </c>
    </row>
    <row r="12370">
      <c r="A12370" t="inlineStr">
        <is>
          <t>27BBBBB12370Z5</t>
        </is>
      </c>
      <c r="B12370" t="inlineStr">
        <is>
          <t>May-2018</t>
        </is>
      </c>
      <c r="C12370" s="2" t="n">
        <v>44416</v>
      </c>
      <c r="D12370" t="inlineStr">
        <is>
          <t>NIL</t>
        </is>
      </c>
      <c r="E12370" t="n">
        <v>2413</v>
      </c>
    </row>
    <row r="12371">
      <c r="A12371" t="inlineStr">
        <is>
          <t>27BBBBB12371Z5</t>
        </is>
      </c>
      <c r="B12371" t="inlineStr">
        <is>
          <t>Mar-2018</t>
        </is>
      </c>
      <c r="C12371" s="2" t="n">
        <v>43741</v>
      </c>
      <c r="D12371" t="inlineStr">
        <is>
          <t>NIL</t>
        </is>
      </c>
      <c r="E12371" t="n">
        <v>1175</v>
      </c>
    </row>
    <row r="12372">
      <c r="A12372" t="inlineStr">
        <is>
          <t>27BBBBB12372Z5</t>
        </is>
      </c>
      <c r="B12372" t="inlineStr">
        <is>
          <t>Jan-2018</t>
        </is>
      </c>
      <c r="C12372" s="2" t="n">
        <v>43047</v>
      </c>
      <c r="D12372" t="inlineStr">
        <is>
          <t>NON-NIL</t>
        </is>
      </c>
      <c r="E12372" t="n">
        <v>734</v>
      </c>
    </row>
    <row r="12373">
      <c r="A12373" t="inlineStr">
        <is>
          <t>27BBBBB12373Z5</t>
        </is>
      </c>
      <c r="B12373" t="inlineStr">
        <is>
          <t>Jul-2017</t>
        </is>
      </c>
      <c r="C12373" s="2" t="n">
        <v>44040</v>
      </c>
      <c r="D12373" t="inlineStr">
        <is>
          <t>NIL</t>
        </is>
      </c>
      <c r="E12373" t="n">
        <v>1491</v>
      </c>
    </row>
    <row r="12374">
      <c r="A12374" t="inlineStr">
        <is>
          <t>27BBBBB12374Z5</t>
        </is>
      </c>
      <c r="B12374" t="inlineStr">
        <is>
          <t>Dec-2024</t>
        </is>
      </c>
      <c r="C12374" s="2" t="n">
        <v>45552</v>
      </c>
      <c r="D12374" t="inlineStr">
        <is>
          <t>NIL</t>
        </is>
      </c>
      <c r="E12374" t="n">
        <v>2629</v>
      </c>
    </row>
    <row r="12375">
      <c r="A12375" t="inlineStr">
        <is>
          <t>27BBBBB12375Z5</t>
        </is>
      </c>
      <c r="B12375" t="inlineStr">
        <is>
          <t>Nov-2017</t>
        </is>
      </c>
      <c r="C12375" s="2" t="n">
        <v>44125</v>
      </c>
      <c r="D12375" t="inlineStr">
        <is>
          <t>NIL</t>
        </is>
      </c>
      <c r="E12375" t="n">
        <v>1356</v>
      </c>
    </row>
    <row r="12376">
      <c r="A12376" t="inlineStr">
        <is>
          <t>27BBBBB12376Z5</t>
        </is>
      </c>
      <c r="B12376" t="inlineStr">
        <is>
          <t>Sep-2017</t>
        </is>
      </c>
      <c r="C12376" s="2" t="n">
        <v>44503</v>
      </c>
      <c r="D12376" t="inlineStr">
        <is>
          <t>NON-NIL</t>
        </is>
      </c>
      <c r="E12376" t="n">
        <v>687</v>
      </c>
    </row>
    <row r="12377">
      <c r="A12377" t="inlineStr">
        <is>
          <t>27BBBBB12377Z5</t>
        </is>
      </c>
      <c r="B12377" t="inlineStr">
        <is>
          <t>Dec-2018</t>
        </is>
      </c>
      <c r="C12377" s="2" t="n">
        <v>43086</v>
      </c>
      <c r="D12377" t="inlineStr">
        <is>
          <t>NON-NIL</t>
        </is>
      </c>
      <c r="E12377" t="n">
        <v>1864</v>
      </c>
    </row>
    <row r="12378">
      <c r="A12378" t="inlineStr">
        <is>
          <t>27BBBBB12378Z5</t>
        </is>
      </c>
      <c r="B12378" t="inlineStr">
        <is>
          <t>Jan-2021</t>
        </is>
      </c>
      <c r="C12378" s="2" t="n">
        <v>44227</v>
      </c>
      <c r="D12378" t="inlineStr">
        <is>
          <t>NON-NIL</t>
        </is>
      </c>
      <c r="E12378" t="n">
        <v>2537</v>
      </c>
    </row>
    <row r="12379">
      <c r="A12379" t="inlineStr">
        <is>
          <t>27BBBBB12379Z5</t>
        </is>
      </c>
      <c r="B12379" t="inlineStr">
        <is>
          <t>Jul-2018</t>
        </is>
      </c>
      <c r="C12379" s="2" t="n">
        <v>44528</v>
      </c>
      <c r="D12379" t="inlineStr">
        <is>
          <t>NON-NIL</t>
        </is>
      </c>
      <c r="E12379" t="n">
        <v>1127</v>
      </c>
    </row>
    <row r="12380">
      <c r="A12380" t="inlineStr">
        <is>
          <t>27BBBBB12380Z5</t>
        </is>
      </c>
      <c r="B12380" t="inlineStr">
        <is>
          <t>Sep-2017</t>
        </is>
      </c>
      <c r="C12380" s="2" t="n">
        <v>42928</v>
      </c>
      <c r="D12380" t="inlineStr">
        <is>
          <t>NIL</t>
        </is>
      </c>
      <c r="E12380" t="n">
        <v>295</v>
      </c>
    </row>
    <row r="12381">
      <c r="A12381" t="inlineStr">
        <is>
          <t>27BBBBB12381Z5</t>
        </is>
      </c>
      <c r="B12381" t="inlineStr">
        <is>
          <t>Nov-2017</t>
        </is>
      </c>
      <c r="C12381" s="2" t="n">
        <v>43954</v>
      </c>
      <c r="D12381" t="inlineStr">
        <is>
          <t>NIL</t>
        </is>
      </c>
      <c r="E12381" t="n">
        <v>2899</v>
      </c>
    </row>
    <row r="12382">
      <c r="A12382" t="inlineStr">
        <is>
          <t>27BBBBB12382Z5</t>
        </is>
      </c>
      <c r="B12382" t="inlineStr">
        <is>
          <t>Mar-2018</t>
        </is>
      </c>
      <c r="C12382" s="2" t="n">
        <v>43473</v>
      </c>
      <c r="D12382" t="inlineStr">
        <is>
          <t>NIL</t>
        </is>
      </c>
      <c r="E12382" t="n">
        <v>253</v>
      </c>
    </row>
    <row r="12383">
      <c r="A12383" t="inlineStr">
        <is>
          <t>27BBBBB12383Z5</t>
        </is>
      </c>
      <c r="B12383" t="inlineStr">
        <is>
          <t>Jun-2020</t>
        </is>
      </c>
      <c r="C12383" s="2" t="n">
        <v>44827</v>
      </c>
      <c r="D12383" t="inlineStr">
        <is>
          <t>NIL</t>
        </is>
      </c>
      <c r="E12383" t="n">
        <v>272</v>
      </c>
    </row>
    <row r="12384">
      <c r="A12384" t="inlineStr">
        <is>
          <t>27BBBBB12384Z5</t>
        </is>
      </c>
      <c r="B12384" t="inlineStr">
        <is>
          <t>Jul-2017</t>
        </is>
      </c>
      <c r="C12384" s="2" t="n">
        <v>43959</v>
      </c>
      <c r="D12384" t="inlineStr">
        <is>
          <t>NIL</t>
        </is>
      </c>
      <c r="E12384" t="n">
        <v>2843</v>
      </c>
    </row>
    <row r="12385">
      <c r="A12385" t="inlineStr">
        <is>
          <t>27BBBBB12385Z5</t>
        </is>
      </c>
      <c r="B12385" t="inlineStr">
        <is>
          <t>Oct-2018</t>
        </is>
      </c>
      <c r="C12385" s="2" t="n">
        <v>42958</v>
      </c>
      <c r="D12385" t="inlineStr">
        <is>
          <t>NIL</t>
        </is>
      </c>
      <c r="E12385" t="n">
        <v>1387</v>
      </c>
    </row>
    <row r="12386">
      <c r="A12386" t="inlineStr">
        <is>
          <t>27BBBBB12386Z5</t>
        </is>
      </c>
      <c r="B12386" t="inlineStr">
        <is>
          <t>Jan-2018</t>
        </is>
      </c>
      <c r="C12386" s="2" t="n">
        <v>43931</v>
      </c>
      <c r="D12386" t="inlineStr">
        <is>
          <t>NON-NIL</t>
        </is>
      </c>
      <c r="E12386" t="n">
        <v>2553</v>
      </c>
    </row>
    <row r="12387">
      <c r="A12387" t="inlineStr">
        <is>
          <t>27BBBBB12387Z5</t>
        </is>
      </c>
      <c r="B12387" t="inlineStr">
        <is>
          <t>Mar-2020</t>
        </is>
      </c>
      <c r="C12387" s="2" t="n">
        <v>44923</v>
      </c>
      <c r="D12387" t="inlineStr">
        <is>
          <t>NON-NIL</t>
        </is>
      </c>
      <c r="E12387" t="n">
        <v>265</v>
      </c>
    </row>
    <row r="12388">
      <c r="A12388" t="inlineStr">
        <is>
          <t>27BBBBB12388Z5</t>
        </is>
      </c>
      <c r="B12388" t="inlineStr">
        <is>
          <t>Apr-2020</t>
        </is>
      </c>
      <c r="C12388" s="2" t="n">
        <v>44640</v>
      </c>
      <c r="D12388" t="inlineStr">
        <is>
          <t>NON-NIL</t>
        </is>
      </c>
      <c r="E12388" t="n">
        <v>624</v>
      </c>
    </row>
    <row r="12389">
      <c r="A12389" t="inlineStr">
        <is>
          <t>27BBBBB12389Z5</t>
        </is>
      </c>
      <c r="B12389" t="inlineStr">
        <is>
          <t>Dec-2018</t>
        </is>
      </c>
      <c r="C12389" s="2" t="n">
        <v>43520</v>
      </c>
      <c r="D12389" t="inlineStr">
        <is>
          <t>NON-NIL</t>
        </is>
      </c>
      <c r="E12389" t="n">
        <v>1356</v>
      </c>
    </row>
    <row r="12390">
      <c r="A12390" t="inlineStr">
        <is>
          <t>27BBBBB12390Z5</t>
        </is>
      </c>
      <c r="B12390" t="inlineStr">
        <is>
          <t>Apr-2018</t>
        </is>
      </c>
      <c r="C12390" s="2" t="n">
        <v>43041</v>
      </c>
      <c r="D12390" t="inlineStr">
        <is>
          <t>NON-NIL</t>
        </is>
      </c>
      <c r="E12390" t="n">
        <v>1122</v>
      </c>
    </row>
    <row r="12391">
      <c r="A12391" t="inlineStr">
        <is>
          <t>27BBBBB12391Z5</t>
        </is>
      </c>
      <c r="B12391" t="inlineStr">
        <is>
          <t>Jul-2020</t>
        </is>
      </c>
      <c r="C12391" s="2" t="n">
        <v>44831</v>
      </c>
      <c r="D12391" t="inlineStr">
        <is>
          <t>NON-NIL</t>
        </is>
      </c>
      <c r="E12391" t="n">
        <v>1785</v>
      </c>
    </row>
    <row r="12392">
      <c r="A12392" t="inlineStr">
        <is>
          <t>27BBBBB12392Z5</t>
        </is>
      </c>
      <c r="B12392" t="inlineStr">
        <is>
          <t>Dec-2018</t>
        </is>
      </c>
      <c r="C12392" s="2" t="n">
        <v>44163</v>
      </c>
      <c r="D12392" t="inlineStr">
        <is>
          <t>NON-NIL</t>
        </is>
      </c>
      <c r="E12392" t="n">
        <v>2414</v>
      </c>
    </row>
    <row r="12393">
      <c r="A12393" t="inlineStr">
        <is>
          <t>27BBBBB12393Z5</t>
        </is>
      </c>
      <c r="B12393" t="inlineStr">
        <is>
          <t>Dec-2024</t>
        </is>
      </c>
      <c r="C12393" s="2" t="n">
        <v>45802</v>
      </c>
      <c r="D12393" t="inlineStr">
        <is>
          <t>NIL</t>
        </is>
      </c>
      <c r="E12393" t="n">
        <v>870</v>
      </c>
    </row>
    <row r="12394">
      <c r="A12394" t="inlineStr">
        <is>
          <t>27BBBBB12394Z5</t>
        </is>
      </c>
      <c r="B12394" t="inlineStr">
        <is>
          <t>Nov-2017</t>
        </is>
      </c>
      <c r="C12394" s="2" t="n">
        <v>44405</v>
      </c>
      <c r="D12394" t="inlineStr">
        <is>
          <t>NIL</t>
        </is>
      </c>
      <c r="E12394" t="n">
        <v>2875</v>
      </c>
    </row>
    <row r="12395">
      <c r="A12395" t="inlineStr">
        <is>
          <t>27BBBBB12395Z5</t>
        </is>
      </c>
      <c r="B12395" t="inlineStr">
        <is>
          <t>Nov-2018</t>
        </is>
      </c>
      <c r="C12395" s="2" t="n">
        <v>43528</v>
      </c>
      <c r="D12395" t="inlineStr">
        <is>
          <t>NIL</t>
        </is>
      </c>
      <c r="E12395" t="n">
        <v>2368</v>
      </c>
    </row>
    <row r="12396">
      <c r="A12396" t="inlineStr">
        <is>
          <t>27BBBBB12396Z5</t>
        </is>
      </c>
      <c r="B12396" t="inlineStr">
        <is>
          <t>May-2018</t>
        </is>
      </c>
      <c r="C12396" s="2" t="n">
        <v>42947</v>
      </c>
      <c r="D12396" t="inlineStr">
        <is>
          <t>NIL</t>
        </is>
      </c>
      <c r="E12396" t="n">
        <v>39</v>
      </c>
    </row>
    <row r="12397">
      <c r="A12397" t="inlineStr">
        <is>
          <t>27BBBBB12397Z5</t>
        </is>
      </c>
      <c r="B12397" t="inlineStr">
        <is>
          <t>Oct-2017</t>
        </is>
      </c>
      <c r="C12397" s="2" t="n">
        <v>44495</v>
      </c>
      <c r="D12397" t="inlineStr">
        <is>
          <t>NON-NIL</t>
        </is>
      </c>
      <c r="E12397" t="n">
        <v>2858</v>
      </c>
    </row>
    <row r="12398">
      <c r="A12398" t="inlineStr">
        <is>
          <t>27BBBBB12398Z5</t>
        </is>
      </c>
      <c r="B12398" t="inlineStr">
        <is>
          <t>May-2020</t>
        </is>
      </c>
      <c r="C12398" s="2" t="n">
        <v>44625</v>
      </c>
      <c r="D12398" t="inlineStr">
        <is>
          <t>NIL</t>
        </is>
      </c>
      <c r="E12398" t="n">
        <v>2772</v>
      </c>
    </row>
    <row r="12399">
      <c r="A12399" t="inlineStr">
        <is>
          <t>27BBBBB12399Z5</t>
        </is>
      </c>
      <c r="B12399" t="inlineStr">
        <is>
          <t>Jun-2018</t>
        </is>
      </c>
      <c r="C12399" s="2" t="n">
        <v>43465</v>
      </c>
      <c r="D12399" t="inlineStr">
        <is>
          <t>NIL</t>
        </is>
      </c>
      <c r="E12399" t="n">
        <v>2403</v>
      </c>
    </row>
    <row r="12400">
      <c r="A12400" t="inlineStr">
        <is>
          <t>27BBBBB12400Z5</t>
        </is>
      </c>
      <c r="B12400" t="inlineStr">
        <is>
          <t>Nov-2018</t>
        </is>
      </c>
      <c r="C12400" s="2" t="n">
        <v>44087</v>
      </c>
      <c r="D12400" t="inlineStr">
        <is>
          <t>NIL</t>
        </is>
      </c>
      <c r="E12400" t="n">
        <v>716</v>
      </c>
    </row>
    <row r="12401">
      <c r="A12401" t="inlineStr">
        <is>
          <t>27BBBBB12401Z5</t>
        </is>
      </c>
      <c r="B12401" t="inlineStr">
        <is>
          <t>Aug-2017</t>
        </is>
      </c>
      <c r="C12401" s="2" t="n">
        <v>44145</v>
      </c>
      <c r="D12401" t="inlineStr">
        <is>
          <t>NIL</t>
        </is>
      </c>
      <c r="E12401" t="n">
        <v>1746</v>
      </c>
    </row>
    <row r="12402">
      <c r="A12402" t="inlineStr">
        <is>
          <t>27BBBBB12402Z5</t>
        </is>
      </c>
      <c r="B12402" t="inlineStr">
        <is>
          <t>Mar-2021</t>
        </is>
      </c>
      <c r="C12402" s="2" t="n">
        <v>44790</v>
      </c>
      <c r="D12402" t="inlineStr">
        <is>
          <t>NON-NIL</t>
        </is>
      </c>
      <c r="E12402" t="n">
        <v>1293</v>
      </c>
    </row>
    <row r="12403">
      <c r="A12403" t="inlineStr">
        <is>
          <t>27BBBBB12403Z5</t>
        </is>
      </c>
      <c r="B12403" t="inlineStr">
        <is>
          <t>Dec-2017</t>
        </is>
      </c>
      <c r="C12403" s="2" t="n">
        <v>43396</v>
      </c>
      <c r="D12403" t="inlineStr">
        <is>
          <t>NON-NIL</t>
        </is>
      </c>
      <c r="E12403" t="n">
        <v>1724</v>
      </c>
    </row>
    <row r="12404">
      <c r="A12404" t="inlineStr">
        <is>
          <t>27BBBBB12404Z5</t>
        </is>
      </c>
      <c r="B12404" t="inlineStr">
        <is>
          <t>Dec-2017</t>
        </is>
      </c>
      <c r="C12404" s="2" t="n">
        <v>43750</v>
      </c>
      <c r="D12404" t="inlineStr">
        <is>
          <t>NON-NIL</t>
        </is>
      </c>
      <c r="E12404" t="n">
        <v>816</v>
      </c>
    </row>
    <row r="12405">
      <c r="A12405" t="inlineStr">
        <is>
          <t>27BBBBB12405Z5</t>
        </is>
      </c>
      <c r="B12405" t="inlineStr">
        <is>
          <t>Sep-2018</t>
        </is>
      </c>
      <c r="C12405" s="2" t="n">
        <v>44349</v>
      </c>
      <c r="D12405" t="inlineStr">
        <is>
          <t>NON-NIL</t>
        </is>
      </c>
      <c r="E12405" t="n">
        <v>302</v>
      </c>
    </row>
    <row r="12406">
      <c r="A12406" t="inlineStr">
        <is>
          <t>27BBBBB12406Z5</t>
        </is>
      </c>
      <c r="B12406" t="inlineStr">
        <is>
          <t>May-2018</t>
        </is>
      </c>
      <c r="C12406" s="2" t="n">
        <v>43850</v>
      </c>
      <c r="D12406" t="inlineStr">
        <is>
          <t>NIL</t>
        </is>
      </c>
      <c r="E12406" t="n">
        <v>2034</v>
      </c>
    </row>
    <row r="12407">
      <c r="A12407" t="inlineStr">
        <is>
          <t>27BBBBB12407Z5</t>
        </is>
      </c>
      <c r="B12407" t="inlineStr">
        <is>
          <t>Jul-2020</t>
        </is>
      </c>
      <c r="C12407" s="2" t="n">
        <v>43925</v>
      </c>
      <c r="D12407" t="inlineStr">
        <is>
          <t>NIL</t>
        </is>
      </c>
      <c r="E12407" t="n">
        <v>2166</v>
      </c>
    </row>
    <row r="12408">
      <c r="A12408" t="inlineStr">
        <is>
          <t>27BBBBB12408Z5</t>
        </is>
      </c>
      <c r="B12408" t="inlineStr">
        <is>
          <t>Oct-2018</t>
        </is>
      </c>
      <c r="C12408" s="2" t="n">
        <v>43204</v>
      </c>
      <c r="D12408" t="inlineStr">
        <is>
          <t>NON-NIL</t>
        </is>
      </c>
      <c r="E12408" t="n">
        <v>548</v>
      </c>
    </row>
    <row r="12409">
      <c r="A12409" t="inlineStr">
        <is>
          <t>27BBBBB12409Z5</t>
        </is>
      </c>
      <c r="B12409" t="inlineStr">
        <is>
          <t>Jan-2021</t>
        </is>
      </c>
      <c r="C12409" s="2" t="n">
        <v>43973</v>
      </c>
      <c r="D12409" t="inlineStr">
        <is>
          <t>NON-NIL</t>
        </is>
      </c>
      <c r="E12409" t="n">
        <v>2065</v>
      </c>
    </row>
    <row r="12410">
      <c r="A12410" t="inlineStr">
        <is>
          <t>27BBBBB12410Z5</t>
        </is>
      </c>
      <c r="B12410" t="inlineStr">
        <is>
          <t>Nov-2018</t>
        </is>
      </c>
      <c r="C12410" s="2" t="n">
        <v>43259</v>
      </c>
      <c r="D12410" t="inlineStr">
        <is>
          <t>NIL</t>
        </is>
      </c>
      <c r="E12410" t="n">
        <v>2757</v>
      </c>
    </row>
    <row r="12411">
      <c r="A12411" t="inlineStr">
        <is>
          <t>27BBBBB12411Z5</t>
        </is>
      </c>
      <c r="B12411" t="inlineStr">
        <is>
          <t>Jan-2021</t>
        </is>
      </c>
      <c r="C12411" s="2" t="n">
        <v>43772</v>
      </c>
      <c r="D12411" t="inlineStr">
        <is>
          <t>NON-NIL</t>
        </is>
      </c>
      <c r="E12411" t="n">
        <v>1263</v>
      </c>
    </row>
    <row r="12412">
      <c r="A12412" t="inlineStr">
        <is>
          <t>27BBBBB12412Z5</t>
        </is>
      </c>
      <c r="B12412" t="inlineStr">
        <is>
          <t>Dec-2018</t>
        </is>
      </c>
      <c r="C12412" s="2" t="n">
        <v>43837</v>
      </c>
      <c r="D12412" t="inlineStr">
        <is>
          <t>NON-NIL</t>
        </is>
      </c>
      <c r="E12412" t="n">
        <v>1916</v>
      </c>
    </row>
    <row r="12413">
      <c r="A12413" t="inlineStr">
        <is>
          <t>27BBBBB12413Z5</t>
        </is>
      </c>
      <c r="B12413" t="inlineStr">
        <is>
          <t>Jul-2018</t>
        </is>
      </c>
      <c r="C12413" s="2" t="n">
        <v>44145</v>
      </c>
      <c r="D12413" t="inlineStr">
        <is>
          <t>NIL</t>
        </is>
      </c>
      <c r="E12413" t="n">
        <v>576</v>
      </c>
    </row>
    <row r="12414">
      <c r="A12414" t="inlineStr">
        <is>
          <t>27BBBBB12414Z5</t>
        </is>
      </c>
      <c r="B12414" t="inlineStr">
        <is>
          <t>May-2018</t>
        </is>
      </c>
      <c r="C12414" s="2" t="n">
        <v>44430</v>
      </c>
      <c r="D12414" t="inlineStr">
        <is>
          <t>NON-NIL</t>
        </is>
      </c>
      <c r="E12414" t="n">
        <v>746</v>
      </c>
    </row>
    <row r="12415">
      <c r="A12415" t="inlineStr">
        <is>
          <t>27BBBBB12415Z5</t>
        </is>
      </c>
      <c r="B12415" t="inlineStr">
        <is>
          <t>Jul-2018</t>
        </is>
      </c>
      <c r="C12415" s="2" t="n">
        <v>43017</v>
      </c>
      <c r="D12415" t="inlineStr">
        <is>
          <t>NON-NIL</t>
        </is>
      </c>
      <c r="E12415" t="n">
        <v>1164</v>
      </c>
    </row>
    <row r="12416">
      <c r="A12416" t="inlineStr">
        <is>
          <t>27BBBBB12416Z5</t>
        </is>
      </c>
      <c r="B12416" t="inlineStr">
        <is>
          <t>Mar-2021</t>
        </is>
      </c>
      <c r="C12416" s="2" t="n">
        <v>43591</v>
      </c>
      <c r="D12416" t="inlineStr">
        <is>
          <t>NIL</t>
        </is>
      </c>
      <c r="E12416" t="n">
        <v>1440</v>
      </c>
    </row>
    <row r="12417">
      <c r="A12417" t="inlineStr">
        <is>
          <t>27BBBBB12417Z5</t>
        </is>
      </c>
      <c r="B12417" t="inlineStr">
        <is>
          <t>Jun-2020</t>
        </is>
      </c>
      <c r="C12417" s="2" t="n">
        <v>44137</v>
      </c>
      <c r="D12417" t="inlineStr">
        <is>
          <t>NIL</t>
        </is>
      </c>
      <c r="E12417" t="n">
        <v>2162</v>
      </c>
    </row>
    <row r="12418">
      <c r="A12418" t="inlineStr">
        <is>
          <t>27BBBBB12418Z5</t>
        </is>
      </c>
      <c r="B12418" t="inlineStr">
        <is>
          <t>Aug-2017</t>
        </is>
      </c>
      <c r="C12418" s="2" t="n">
        <v>43386</v>
      </c>
      <c r="D12418" t="inlineStr">
        <is>
          <t>NIL</t>
        </is>
      </c>
      <c r="E12418" t="n">
        <v>2325</v>
      </c>
    </row>
    <row r="12419">
      <c r="A12419" t="inlineStr">
        <is>
          <t>27BBBBB12419Z5</t>
        </is>
      </c>
      <c r="B12419" t="inlineStr">
        <is>
          <t>Dec-2018</t>
        </is>
      </c>
      <c r="C12419" s="2" t="n">
        <v>44051</v>
      </c>
      <c r="D12419" t="inlineStr">
        <is>
          <t>NIL</t>
        </is>
      </c>
      <c r="E12419" t="n">
        <v>636</v>
      </c>
    </row>
    <row r="12420">
      <c r="A12420" t="inlineStr">
        <is>
          <t>27BBBBB12420Z5</t>
        </is>
      </c>
      <c r="B12420" t="inlineStr">
        <is>
          <t>May-2018</t>
        </is>
      </c>
      <c r="C12420" s="2" t="n">
        <v>44238</v>
      </c>
      <c r="D12420" t="inlineStr">
        <is>
          <t>NIL</t>
        </is>
      </c>
      <c r="E12420" t="n">
        <v>1504</v>
      </c>
    </row>
    <row r="12421">
      <c r="A12421" t="inlineStr">
        <is>
          <t>27BBBBB12421Z5</t>
        </is>
      </c>
      <c r="B12421" t="inlineStr">
        <is>
          <t>Nov-2017</t>
        </is>
      </c>
      <c r="C12421" s="2" t="n">
        <v>43427</v>
      </c>
      <c r="D12421" t="inlineStr">
        <is>
          <t>NON-NIL</t>
        </is>
      </c>
      <c r="E12421" t="n">
        <v>2264</v>
      </c>
    </row>
    <row r="12422">
      <c r="A12422" t="inlineStr">
        <is>
          <t>27BBBBB12422Z5</t>
        </is>
      </c>
      <c r="B12422" t="inlineStr">
        <is>
          <t>Mar-2023</t>
        </is>
      </c>
      <c r="C12422" s="2" t="n">
        <v>44633</v>
      </c>
      <c r="D12422" t="inlineStr">
        <is>
          <t>NON-NIL</t>
        </is>
      </c>
      <c r="E12422" t="n">
        <v>2744</v>
      </c>
    </row>
    <row r="12423">
      <c r="A12423" t="inlineStr">
        <is>
          <t>27BBBBB12423Z5</t>
        </is>
      </c>
      <c r="B12423" t="inlineStr">
        <is>
          <t>Oct-2017</t>
        </is>
      </c>
      <c r="C12423" s="2" t="n">
        <v>43217</v>
      </c>
      <c r="D12423" t="inlineStr">
        <is>
          <t>NON-NIL</t>
        </is>
      </c>
      <c r="E12423" t="n">
        <v>1236</v>
      </c>
    </row>
    <row r="12424">
      <c r="A12424" t="inlineStr">
        <is>
          <t>27BBBBB12424Z5</t>
        </is>
      </c>
      <c r="B12424" t="inlineStr">
        <is>
          <t>Mar-2020</t>
        </is>
      </c>
      <c r="C12424" s="2" t="n">
        <v>44820</v>
      </c>
      <c r="D12424" t="inlineStr">
        <is>
          <t>NON-NIL</t>
        </is>
      </c>
      <c r="E12424" t="n">
        <v>2209</v>
      </c>
    </row>
    <row r="12425">
      <c r="A12425" t="inlineStr">
        <is>
          <t>27BBBBB12425Z5</t>
        </is>
      </c>
      <c r="B12425" t="inlineStr">
        <is>
          <t>Oct-2018</t>
        </is>
      </c>
      <c r="C12425" s="2" t="n">
        <v>44203</v>
      </c>
      <c r="D12425" t="inlineStr">
        <is>
          <t>NIL</t>
        </is>
      </c>
      <c r="E12425" t="n">
        <v>1772</v>
      </c>
    </row>
    <row r="12426">
      <c r="A12426" t="inlineStr">
        <is>
          <t>27BBBBB12426Z5</t>
        </is>
      </c>
      <c r="B12426" t="inlineStr">
        <is>
          <t>Nov-2018</t>
        </is>
      </c>
      <c r="C12426" s="2" t="n">
        <v>43650</v>
      </c>
      <c r="D12426" t="inlineStr">
        <is>
          <t>NON-NIL</t>
        </is>
      </c>
      <c r="E12426" t="n">
        <v>1295</v>
      </c>
    </row>
    <row r="12427">
      <c r="A12427" t="inlineStr">
        <is>
          <t>27BBBBB12427Z5</t>
        </is>
      </c>
      <c r="B12427" t="inlineStr">
        <is>
          <t>Dec-2024</t>
        </is>
      </c>
      <c r="C12427" s="2" t="n">
        <v>44960</v>
      </c>
      <c r="D12427" t="inlineStr">
        <is>
          <t>NIL</t>
        </is>
      </c>
      <c r="E12427" t="n">
        <v>1470</v>
      </c>
    </row>
    <row r="12428">
      <c r="A12428" t="inlineStr">
        <is>
          <t>27BBBBB12428Z5</t>
        </is>
      </c>
      <c r="B12428" t="inlineStr">
        <is>
          <t>Jul-2020</t>
        </is>
      </c>
      <c r="C12428" s="2" t="n">
        <v>44104</v>
      </c>
      <c r="D12428" t="inlineStr">
        <is>
          <t>NON-NIL</t>
        </is>
      </c>
      <c r="E12428" t="n">
        <v>970</v>
      </c>
    </row>
    <row r="12429">
      <c r="A12429" t="inlineStr">
        <is>
          <t>27BBBBB12429Z5</t>
        </is>
      </c>
      <c r="B12429" t="inlineStr">
        <is>
          <t>Jul-2017</t>
        </is>
      </c>
      <c r="C12429" s="2" t="n">
        <v>43530</v>
      </c>
      <c r="D12429" t="inlineStr">
        <is>
          <t>NON-NIL</t>
        </is>
      </c>
      <c r="E12429" t="n">
        <v>999</v>
      </c>
    </row>
    <row r="12430">
      <c r="A12430" t="inlineStr">
        <is>
          <t>27BBBBB12430Z5</t>
        </is>
      </c>
      <c r="B12430" t="inlineStr">
        <is>
          <t>May-2020</t>
        </is>
      </c>
      <c r="C12430" s="2" t="n">
        <v>44449</v>
      </c>
      <c r="D12430" t="inlineStr">
        <is>
          <t>NIL</t>
        </is>
      </c>
      <c r="E12430" t="n">
        <v>1127</v>
      </c>
    </row>
    <row r="12431">
      <c r="A12431" t="inlineStr">
        <is>
          <t>27BBBBB12431Z5</t>
        </is>
      </c>
      <c r="B12431" t="inlineStr">
        <is>
          <t>Aug-2018</t>
        </is>
      </c>
      <c r="C12431" s="2" t="n">
        <v>43460</v>
      </c>
      <c r="D12431" t="inlineStr">
        <is>
          <t>NON-NIL</t>
        </is>
      </c>
      <c r="E12431" t="n">
        <v>650</v>
      </c>
    </row>
    <row r="12432">
      <c r="A12432" t="inlineStr">
        <is>
          <t>27BBBBB12432Z5</t>
        </is>
      </c>
      <c r="B12432" t="inlineStr">
        <is>
          <t>Dec-2017</t>
        </is>
      </c>
      <c r="C12432" s="2" t="n">
        <v>42997</v>
      </c>
      <c r="D12432" t="inlineStr">
        <is>
          <t>NIL</t>
        </is>
      </c>
      <c r="E12432" t="n">
        <v>2508</v>
      </c>
    </row>
    <row r="12433">
      <c r="A12433" t="inlineStr">
        <is>
          <t>27BBBBB12433Z5</t>
        </is>
      </c>
      <c r="B12433" t="inlineStr">
        <is>
          <t>Apr-2018</t>
        </is>
      </c>
      <c r="C12433" s="2" t="n">
        <v>44065</v>
      </c>
      <c r="D12433" t="inlineStr">
        <is>
          <t>NIL</t>
        </is>
      </c>
      <c r="E12433" t="n">
        <v>1446</v>
      </c>
    </row>
    <row r="12434">
      <c r="A12434" t="inlineStr">
        <is>
          <t>27BBBBB12434Z5</t>
        </is>
      </c>
      <c r="B12434" t="inlineStr">
        <is>
          <t>Feb-2018</t>
        </is>
      </c>
      <c r="C12434" s="2" t="n">
        <v>44521</v>
      </c>
      <c r="D12434" t="inlineStr">
        <is>
          <t>NIL</t>
        </is>
      </c>
      <c r="E12434" t="n">
        <v>419</v>
      </c>
    </row>
    <row r="12435">
      <c r="A12435" t="inlineStr">
        <is>
          <t>27BBBBB12435Z5</t>
        </is>
      </c>
      <c r="B12435" t="inlineStr">
        <is>
          <t>May-2020</t>
        </is>
      </c>
      <c r="C12435" s="2" t="n">
        <v>44597</v>
      </c>
      <c r="D12435" t="inlineStr">
        <is>
          <t>NON-NIL</t>
        </is>
      </c>
      <c r="E12435" t="n">
        <v>994</v>
      </c>
    </row>
    <row r="12436">
      <c r="A12436" t="inlineStr">
        <is>
          <t>27BBBBB12436Z5</t>
        </is>
      </c>
      <c r="B12436" t="inlineStr">
        <is>
          <t>Dec-2022</t>
        </is>
      </c>
      <c r="C12436" s="2" t="n">
        <v>45475</v>
      </c>
      <c r="D12436" t="inlineStr">
        <is>
          <t>NIL</t>
        </is>
      </c>
      <c r="E12436" t="n">
        <v>2614</v>
      </c>
    </row>
    <row r="12437">
      <c r="A12437" t="inlineStr">
        <is>
          <t>27BBBBB12437Z5</t>
        </is>
      </c>
      <c r="B12437" t="inlineStr">
        <is>
          <t>Aug-2018</t>
        </is>
      </c>
      <c r="C12437" s="2" t="n">
        <v>44226</v>
      </c>
      <c r="D12437" t="inlineStr">
        <is>
          <t>NIL</t>
        </is>
      </c>
      <c r="E12437" t="n">
        <v>1312</v>
      </c>
    </row>
    <row r="12438">
      <c r="A12438" t="inlineStr">
        <is>
          <t>27BBBBB12438Z5</t>
        </is>
      </c>
      <c r="B12438" t="inlineStr">
        <is>
          <t>Dec-2022</t>
        </is>
      </c>
      <c r="C12438" s="2" t="n">
        <v>45778</v>
      </c>
      <c r="D12438" t="inlineStr">
        <is>
          <t>NON-NIL</t>
        </is>
      </c>
      <c r="E12438" t="n">
        <v>1403</v>
      </c>
    </row>
    <row r="12439">
      <c r="A12439" t="inlineStr">
        <is>
          <t>27BBBBB12439Z5</t>
        </is>
      </c>
      <c r="B12439" t="inlineStr">
        <is>
          <t>Dec-2018</t>
        </is>
      </c>
      <c r="C12439" s="2" t="n">
        <v>44284</v>
      </c>
      <c r="D12439" t="inlineStr">
        <is>
          <t>NIL</t>
        </is>
      </c>
      <c r="E12439" t="n">
        <v>2205</v>
      </c>
    </row>
    <row r="12440">
      <c r="A12440" t="inlineStr">
        <is>
          <t>27BBBBB12440Z5</t>
        </is>
      </c>
      <c r="B12440" t="inlineStr">
        <is>
          <t>Mar-2021</t>
        </is>
      </c>
      <c r="C12440" s="2" t="n">
        <v>44831</v>
      </c>
      <c r="D12440" t="inlineStr">
        <is>
          <t>NIL</t>
        </is>
      </c>
      <c r="E12440" t="n">
        <v>363</v>
      </c>
    </row>
    <row r="12441">
      <c r="A12441" t="inlineStr">
        <is>
          <t>27BBBBB12441Z5</t>
        </is>
      </c>
      <c r="B12441" t="inlineStr">
        <is>
          <t>Apr-2018</t>
        </is>
      </c>
      <c r="C12441" s="2" t="n">
        <v>44153</v>
      </c>
      <c r="D12441" t="inlineStr">
        <is>
          <t>NON-NIL</t>
        </is>
      </c>
      <c r="E12441" t="n">
        <v>1870</v>
      </c>
    </row>
    <row r="12442">
      <c r="A12442" t="inlineStr">
        <is>
          <t>27BBBBB12442Z5</t>
        </is>
      </c>
      <c r="B12442" t="inlineStr">
        <is>
          <t>Jul-2020</t>
        </is>
      </c>
      <c r="C12442" s="2" t="n">
        <v>44514</v>
      </c>
      <c r="D12442" t="inlineStr">
        <is>
          <t>NON-NIL</t>
        </is>
      </c>
      <c r="E12442" t="n">
        <v>1610</v>
      </c>
    </row>
    <row r="12443">
      <c r="A12443" t="inlineStr">
        <is>
          <t>27BBBBB12443Z5</t>
        </is>
      </c>
      <c r="B12443" t="inlineStr">
        <is>
          <t>Oct-2018</t>
        </is>
      </c>
      <c r="C12443" s="2" t="n">
        <v>43734</v>
      </c>
      <c r="D12443" t="inlineStr">
        <is>
          <t>NIL</t>
        </is>
      </c>
      <c r="E12443" t="n">
        <v>708</v>
      </c>
    </row>
    <row r="12444">
      <c r="A12444" t="inlineStr">
        <is>
          <t>27BBBBB12444Z5</t>
        </is>
      </c>
      <c r="B12444" t="inlineStr">
        <is>
          <t>Mar-2021</t>
        </is>
      </c>
      <c r="C12444" s="2" t="n">
        <v>44626</v>
      </c>
      <c r="D12444" t="inlineStr">
        <is>
          <t>NON-NIL</t>
        </is>
      </c>
      <c r="E12444" t="n">
        <v>206</v>
      </c>
    </row>
    <row r="12445">
      <c r="A12445" t="inlineStr">
        <is>
          <t>27BBBBB12445Z5</t>
        </is>
      </c>
      <c r="B12445" t="inlineStr">
        <is>
          <t>Dec-2024</t>
        </is>
      </c>
      <c r="C12445" s="2" t="n">
        <v>43778</v>
      </c>
      <c r="D12445" t="inlineStr">
        <is>
          <t>NIL</t>
        </is>
      </c>
      <c r="E12445" t="n">
        <v>1182</v>
      </c>
    </row>
    <row r="12446">
      <c r="A12446" t="inlineStr">
        <is>
          <t>27BBBBB12446Z5</t>
        </is>
      </c>
      <c r="B12446" t="inlineStr">
        <is>
          <t>Jan-2018</t>
        </is>
      </c>
      <c r="C12446" s="2" t="n">
        <v>43283</v>
      </c>
      <c r="D12446" t="inlineStr">
        <is>
          <t>NIL</t>
        </is>
      </c>
      <c r="E12446" t="n">
        <v>1300</v>
      </c>
    </row>
    <row r="12447">
      <c r="A12447" t="inlineStr">
        <is>
          <t>27BBBBB12447Z5</t>
        </is>
      </c>
      <c r="B12447" t="inlineStr">
        <is>
          <t>Jan-2021</t>
        </is>
      </c>
      <c r="C12447" s="2" t="n">
        <v>44576</v>
      </c>
      <c r="D12447" t="inlineStr">
        <is>
          <t>NIL</t>
        </is>
      </c>
      <c r="E12447" t="n">
        <v>916</v>
      </c>
    </row>
    <row r="12448">
      <c r="A12448" t="inlineStr">
        <is>
          <t>27BBBBB12448Z5</t>
        </is>
      </c>
      <c r="B12448" t="inlineStr">
        <is>
          <t>Oct-2018</t>
        </is>
      </c>
      <c r="C12448" s="2" t="n">
        <v>43253</v>
      </c>
      <c r="D12448" t="inlineStr">
        <is>
          <t>NIL</t>
        </is>
      </c>
      <c r="E12448" t="n">
        <v>2015</v>
      </c>
    </row>
    <row r="12449">
      <c r="A12449" t="inlineStr">
        <is>
          <t>27BBBBB12449Z5</t>
        </is>
      </c>
      <c r="B12449" t="inlineStr">
        <is>
          <t>Dec-2022</t>
        </is>
      </c>
      <c r="C12449" s="2" t="n">
        <v>45738</v>
      </c>
      <c r="D12449" t="inlineStr">
        <is>
          <t>NON-NIL</t>
        </is>
      </c>
      <c r="E12449" t="n">
        <v>2288</v>
      </c>
    </row>
    <row r="12450">
      <c r="A12450" t="inlineStr">
        <is>
          <t>27BBBBB12450Z5</t>
        </is>
      </c>
      <c r="B12450" t="inlineStr">
        <is>
          <t>Apr-2018</t>
        </is>
      </c>
      <c r="C12450" s="2" t="n">
        <v>43525</v>
      </c>
      <c r="D12450" t="inlineStr">
        <is>
          <t>NIL</t>
        </is>
      </c>
      <c r="E12450" t="n">
        <v>1437</v>
      </c>
    </row>
    <row r="12451">
      <c r="A12451" t="inlineStr">
        <is>
          <t>27BBBBB12451Z5</t>
        </is>
      </c>
      <c r="B12451" t="inlineStr">
        <is>
          <t>Mar-2023</t>
        </is>
      </c>
      <c r="C12451" s="2" t="n">
        <v>43661</v>
      </c>
      <c r="D12451" t="inlineStr">
        <is>
          <t>NON-NIL</t>
        </is>
      </c>
      <c r="E12451" t="n">
        <v>1644</v>
      </c>
    </row>
    <row r="12452">
      <c r="A12452" t="inlineStr">
        <is>
          <t>27BBBBB12452Z5</t>
        </is>
      </c>
      <c r="B12452" t="inlineStr">
        <is>
          <t>Dec-2018</t>
        </is>
      </c>
      <c r="C12452" s="2" t="n">
        <v>44429</v>
      </c>
      <c r="D12452" t="inlineStr">
        <is>
          <t>NIL</t>
        </is>
      </c>
      <c r="E12452" t="n">
        <v>2280</v>
      </c>
    </row>
    <row r="12453">
      <c r="A12453" t="inlineStr">
        <is>
          <t>27BBBBB12453Z5</t>
        </is>
      </c>
      <c r="B12453" t="inlineStr">
        <is>
          <t>Jul-2018</t>
        </is>
      </c>
      <c r="C12453" s="2" t="n">
        <v>44405</v>
      </c>
      <c r="D12453" t="inlineStr">
        <is>
          <t>NIL</t>
        </is>
      </c>
      <c r="E12453" t="n">
        <v>1947</v>
      </c>
    </row>
    <row r="12454">
      <c r="A12454" t="inlineStr">
        <is>
          <t>27BBBBB12454Z5</t>
        </is>
      </c>
      <c r="B12454" t="inlineStr">
        <is>
          <t>Mar-2018</t>
        </is>
      </c>
      <c r="C12454" s="2" t="n">
        <v>44010</v>
      </c>
      <c r="D12454" t="inlineStr">
        <is>
          <t>NON-NIL</t>
        </is>
      </c>
      <c r="E12454" t="n">
        <v>767</v>
      </c>
    </row>
    <row r="12455">
      <c r="A12455" t="inlineStr">
        <is>
          <t>27BBBBB12455Z5</t>
        </is>
      </c>
      <c r="B12455" t="inlineStr">
        <is>
          <t>Mar-2020</t>
        </is>
      </c>
      <c r="C12455" s="2" t="n">
        <v>44875</v>
      </c>
      <c r="D12455" t="inlineStr">
        <is>
          <t>NON-NIL</t>
        </is>
      </c>
      <c r="E12455" t="n">
        <v>1886</v>
      </c>
    </row>
    <row r="12456">
      <c r="A12456" t="inlineStr">
        <is>
          <t>27BBBBB12456Z5</t>
        </is>
      </c>
      <c r="B12456" t="inlineStr">
        <is>
          <t>Mar-2021</t>
        </is>
      </c>
      <c r="C12456" s="2" t="n">
        <v>44969</v>
      </c>
      <c r="D12456" t="inlineStr">
        <is>
          <t>NON-NIL</t>
        </is>
      </c>
      <c r="E12456" t="n">
        <v>1169</v>
      </c>
    </row>
    <row r="12457">
      <c r="A12457" t="inlineStr">
        <is>
          <t>27BBBBB12457Z5</t>
        </is>
      </c>
      <c r="B12457" t="inlineStr">
        <is>
          <t>Nov-2017</t>
        </is>
      </c>
      <c r="C12457" s="2" t="n">
        <v>43242</v>
      </c>
      <c r="D12457" t="inlineStr">
        <is>
          <t>NIL</t>
        </is>
      </c>
      <c r="E12457" t="n">
        <v>2321</v>
      </c>
    </row>
    <row r="12458">
      <c r="A12458" t="inlineStr">
        <is>
          <t>27BBBBB12458Z5</t>
        </is>
      </c>
      <c r="B12458" t="inlineStr">
        <is>
          <t>Dec-2017</t>
        </is>
      </c>
      <c r="C12458" s="2" t="n">
        <v>43550</v>
      </c>
      <c r="D12458" t="inlineStr">
        <is>
          <t>NON-NIL</t>
        </is>
      </c>
      <c r="E12458" t="n">
        <v>756</v>
      </c>
    </row>
    <row r="12459">
      <c r="A12459" t="inlineStr">
        <is>
          <t>27BBBBB12459Z5</t>
        </is>
      </c>
      <c r="B12459" t="inlineStr">
        <is>
          <t>Mar-2023</t>
        </is>
      </c>
      <c r="C12459" s="2" t="n">
        <v>43551</v>
      </c>
      <c r="D12459" t="inlineStr">
        <is>
          <t>NIL</t>
        </is>
      </c>
      <c r="E12459" t="n">
        <v>1914</v>
      </c>
    </row>
    <row r="12460">
      <c r="A12460" t="inlineStr">
        <is>
          <t>27BBBBB12460Z5</t>
        </is>
      </c>
      <c r="B12460" t="inlineStr">
        <is>
          <t>Dec-2017</t>
        </is>
      </c>
      <c r="C12460" s="2" t="n">
        <v>43932</v>
      </c>
      <c r="D12460" t="inlineStr">
        <is>
          <t>NON-NIL</t>
        </is>
      </c>
      <c r="E12460" t="n">
        <v>2735</v>
      </c>
    </row>
    <row r="12461">
      <c r="A12461" t="inlineStr">
        <is>
          <t>27BBBBB12461Z5</t>
        </is>
      </c>
      <c r="B12461" t="inlineStr">
        <is>
          <t>Jun-2018</t>
        </is>
      </c>
      <c r="C12461" s="2" t="n">
        <v>44481</v>
      </c>
      <c r="D12461" t="inlineStr">
        <is>
          <t>NIL</t>
        </is>
      </c>
      <c r="E12461" t="n">
        <v>1535</v>
      </c>
    </row>
    <row r="12462">
      <c r="A12462" t="inlineStr">
        <is>
          <t>27BBBBB12462Z5</t>
        </is>
      </c>
      <c r="B12462" t="inlineStr">
        <is>
          <t>Nov-2018</t>
        </is>
      </c>
      <c r="C12462" s="2" t="n">
        <v>44070</v>
      </c>
      <c r="D12462" t="inlineStr">
        <is>
          <t>NIL</t>
        </is>
      </c>
      <c r="E12462" t="n">
        <v>2420</v>
      </c>
    </row>
    <row r="12463">
      <c r="A12463" t="inlineStr">
        <is>
          <t>27BBBBB12463Z5</t>
        </is>
      </c>
      <c r="B12463" t="inlineStr">
        <is>
          <t>Apr-2018</t>
        </is>
      </c>
      <c r="C12463" s="2" t="n">
        <v>43270</v>
      </c>
      <c r="D12463" t="inlineStr">
        <is>
          <t>NON-NIL</t>
        </is>
      </c>
      <c r="E12463" t="n">
        <v>2337</v>
      </c>
    </row>
    <row r="12464">
      <c r="A12464" t="inlineStr">
        <is>
          <t>27BBBBB12464Z5</t>
        </is>
      </c>
      <c r="B12464" t="inlineStr">
        <is>
          <t>Jul-2018</t>
        </is>
      </c>
      <c r="C12464" s="2" t="n">
        <v>43291</v>
      </c>
      <c r="D12464" t="inlineStr">
        <is>
          <t>NIL</t>
        </is>
      </c>
      <c r="E12464" t="n">
        <v>1830</v>
      </c>
    </row>
    <row r="12465">
      <c r="A12465" t="inlineStr">
        <is>
          <t>27BBBBB12465Z5</t>
        </is>
      </c>
      <c r="B12465" t="inlineStr">
        <is>
          <t>Apr-2018</t>
        </is>
      </c>
      <c r="C12465" s="2" t="n">
        <v>43127</v>
      </c>
      <c r="D12465" t="inlineStr">
        <is>
          <t>NIL</t>
        </is>
      </c>
      <c r="E12465" t="n">
        <v>2762</v>
      </c>
    </row>
    <row r="12466">
      <c r="A12466" t="inlineStr">
        <is>
          <t>27BBBBB12466Z5</t>
        </is>
      </c>
      <c r="B12466" t="inlineStr">
        <is>
          <t>Oct-2017</t>
        </is>
      </c>
      <c r="C12466" s="2" t="n">
        <v>43287</v>
      </c>
      <c r="D12466" t="inlineStr">
        <is>
          <t>NIL</t>
        </is>
      </c>
      <c r="E12466" t="n">
        <v>1013</v>
      </c>
    </row>
    <row r="12467">
      <c r="A12467" t="inlineStr">
        <is>
          <t>27BBBBB12467Z5</t>
        </is>
      </c>
      <c r="B12467" t="inlineStr">
        <is>
          <t>Mar-2020</t>
        </is>
      </c>
      <c r="C12467" s="2" t="n">
        <v>44482</v>
      </c>
      <c r="D12467" t="inlineStr">
        <is>
          <t>NIL</t>
        </is>
      </c>
      <c r="E12467" t="n">
        <v>446</v>
      </c>
    </row>
    <row r="12468">
      <c r="A12468" t="inlineStr">
        <is>
          <t>27BBBBB12468Z5</t>
        </is>
      </c>
      <c r="B12468" t="inlineStr">
        <is>
          <t>Jul-2018</t>
        </is>
      </c>
      <c r="C12468" s="2" t="n">
        <v>43887</v>
      </c>
      <c r="D12468" t="inlineStr">
        <is>
          <t>NIL</t>
        </is>
      </c>
      <c r="E12468" t="n">
        <v>1810</v>
      </c>
    </row>
    <row r="12469">
      <c r="A12469" t="inlineStr">
        <is>
          <t>27BBBBB12469Z5</t>
        </is>
      </c>
      <c r="B12469" t="inlineStr">
        <is>
          <t>Mar-2018</t>
        </is>
      </c>
      <c r="C12469" s="2" t="n">
        <v>44281</v>
      </c>
      <c r="D12469" t="inlineStr">
        <is>
          <t>NON-NIL</t>
        </is>
      </c>
      <c r="E12469" t="n">
        <v>1765</v>
      </c>
    </row>
    <row r="12470">
      <c r="A12470" t="inlineStr">
        <is>
          <t>27BBBBB12470Z5</t>
        </is>
      </c>
      <c r="B12470" t="inlineStr">
        <is>
          <t>Dec-2024</t>
        </is>
      </c>
      <c r="C12470" s="2" t="n">
        <v>44188</v>
      </c>
      <c r="D12470" t="inlineStr">
        <is>
          <t>NIL</t>
        </is>
      </c>
      <c r="E12470" t="n">
        <v>183</v>
      </c>
    </row>
    <row r="12471">
      <c r="A12471" t="inlineStr">
        <is>
          <t>27BBBBB12471Z5</t>
        </is>
      </c>
      <c r="B12471" t="inlineStr">
        <is>
          <t>Dec-2017</t>
        </is>
      </c>
      <c r="C12471" s="2" t="n">
        <v>43111</v>
      </c>
      <c r="D12471" t="inlineStr">
        <is>
          <t>NON-NIL</t>
        </is>
      </c>
      <c r="E12471" t="n">
        <v>1100</v>
      </c>
    </row>
    <row r="12472">
      <c r="A12472" t="inlineStr">
        <is>
          <t>27BBBBB12472Z5</t>
        </is>
      </c>
      <c r="B12472" t="inlineStr">
        <is>
          <t>Mar-2021</t>
        </is>
      </c>
      <c r="C12472" s="2" t="n">
        <v>44717</v>
      </c>
      <c r="D12472" t="inlineStr">
        <is>
          <t>NIL</t>
        </is>
      </c>
      <c r="E12472" t="n">
        <v>992</v>
      </c>
    </row>
    <row r="12473">
      <c r="A12473" t="inlineStr">
        <is>
          <t>27BBBBB12473Z5</t>
        </is>
      </c>
      <c r="B12473" t="inlineStr">
        <is>
          <t>Dec-2018</t>
        </is>
      </c>
      <c r="C12473" s="2" t="n">
        <v>44169</v>
      </c>
      <c r="D12473" t="inlineStr">
        <is>
          <t>NIL</t>
        </is>
      </c>
      <c r="E12473" t="n">
        <v>2629</v>
      </c>
    </row>
    <row r="12474">
      <c r="A12474" t="inlineStr">
        <is>
          <t>27BBBBB12474Z5</t>
        </is>
      </c>
      <c r="B12474" t="inlineStr">
        <is>
          <t>Mar-2018</t>
        </is>
      </c>
      <c r="C12474" s="2" t="n">
        <v>44315</v>
      </c>
      <c r="D12474" t="inlineStr">
        <is>
          <t>NON-NIL</t>
        </is>
      </c>
      <c r="E12474" t="n">
        <v>1358</v>
      </c>
    </row>
    <row r="12475">
      <c r="A12475" t="inlineStr">
        <is>
          <t>27BBBBB12475Z5</t>
        </is>
      </c>
      <c r="B12475" t="inlineStr">
        <is>
          <t>Dec-2018</t>
        </is>
      </c>
      <c r="C12475" s="2" t="n">
        <v>43472</v>
      </c>
      <c r="D12475" t="inlineStr">
        <is>
          <t>NIL</t>
        </is>
      </c>
      <c r="E12475" t="n">
        <v>1907</v>
      </c>
    </row>
    <row r="12476">
      <c r="A12476" t="inlineStr">
        <is>
          <t>27BBBBB12476Z5</t>
        </is>
      </c>
      <c r="B12476" t="inlineStr">
        <is>
          <t>Mar-2018</t>
        </is>
      </c>
      <c r="C12476" s="2" t="n">
        <v>42923</v>
      </c>
      <c r="D12476" t="inlineStr">
        <is>
          <t>NIL</t>
        </is>
      </c>
      <c r="E12476" t="n">
        <v>2626</v>
      </c>
    </row>
    <row r="12477">
      <c r="A12477" t="inlineStr">
        <is>
          <t>27BBBBB12477Z5</t>
        </is>
      </c>
      <c r="B12477" t="inlineStr">
        <is>
          <t>Oct-2018</t>
        </is>
      </c>
      <c r="C12477" s="2" t="n">
        <v>44257</v>
      </c>
      <c r="D12477" t="inlineStr">
        <is>
          <t>NIL</t>
        </is>
      </c>
      <c r="E12477" t="n">
        <v>1555</v>
      </c>
    </row>
    <row r="12478">
      <c r="A12478" t="inlineStr">
        <is>
          <t>27BBBBB12478Z5</t>
        </is>
      </c>
      <c r="B12478" t="inlineStr">
        <is>
          <t>May-2020</t>
        </is>
      </c>
      <c r="C12478" s="2" t="n">
        <v>44090</v>
      </c>
      <c r="D12478" t="inlineStr">
        <is>
          <t>NIL</t>
        </is>
      </c>
      <c r="E12478" t="n">
        <v>2459</v>
      </c>
    </row>
    <row r="12479">
      <c r="A12479" t="inlineStr">
        <is>
          <t>27BBBBB12479Z5</t>
        </is>
      </c>
      <c r="B12479" t="inlineStr">
        <is>
          <t>Dec-2022</t>
        </is>
      </c>
      <c r="C12479" s="2" t="n">
        <v>44044</v>
      </c>
      <c r="D12479" t="inlineStr">
        <is>
          <t>NIL</t>
        </is>
      </c>
      <c r="E12479" t="n">
        <v>1804</v>
      </c>
    </row>
    <row r="12480">
      <c r="A12480" t="inlineStr">
        <is>
          <t>27BBBBB12480Z5</t>
        </is>
      </c>
      <c r="B12480" t="inlineStr">
        <is>
          <t>May-2018</t>
        </is>
      </c>
      <c r="C12480" s="2" t="n">
        <v>43123</v>
      </c>
      <c r="D12480" t="inlineStr">
        <is>
          <t>NON-NIL</t>
        </is>
      </c>
      <c r="E12480" t="n">
        <v>2279</v>
      </c>
    </row>
    <row r="12481">
      <c r="A12481" t="inlineStr">
        <is>
          <t>27BBBBB12481Z5</t>
        </is>
      </c>
      <c r="B12481" t="inlineStr">
        <is>
          <t>Apr-2020</t>
        </is>
      </c>
      <c r="C12481" s="2" t="n">
        <v>44522</v>
      </c>
      <c r="D12481" t="inlineStr">
        <is>
          <t>NON-NIL</t>
        </is>
      </c>
      <c r="E12481" t="n">
        <v>612</v>
      </c>
    </row>
    <row r="12482">
      <c r="A12482" t="inlineStr">
        <is>
          <t>27BBBBB12482Z5</t>
        </is>
      </c>
      <c r="B12482" t="inlineStr">
        <is>
          <t>Dec-2024</t>
        </is>
      </c>
      <c r="C12482" s="2" t="n">
        <v>44360</v>
      </c>
      <c r="D12482" t="inlineStr">
        <is>
          <t>NIL</t>
        </is>
      </c>
      <c r="E12482" t="n">
        <v>1059</v>
      </c>
    </row>
    <row r="12483">
      <c r="A12483" t="inlineStr">
        <is>
          <t>27BBBBB12483Z5</t>
        </is>
      </c>
      <c r="B12483" t="inlineStr">
        <is>
          <t>Jun-2018</t>
        </is>
      </c>
      <c r="C12483" s="2" t="n">
        <v>44300</v>
      </c>
      <c r="D12483" t="inlineStr">
        <is>
          <t>NIL</t>
        </is>
      </c>
      <c r="E12483" t="n">
        <v>2848</v>
      </c>
    </row>
    <row r="12484">
      <c r="A12484" t="inlineStr">
        <is>
          <t>27BBBBB12484Z5</t>
        </is>
      </c>
      <c r="B12484" t="inlineStr">
        <is>
          <t>Mar-2018</t>
        </is>
      </c>
      <c r="C12484" s="2" t="n">
        <v>43247</v>
      </c>
      <c r="D12484" t="inlineStr">
        <is>
          <t>NON-NIL</t>
        </is>
      </c>
      <c r="E12484" t="n">
        <v>1658</v>
      </c>
    </row>
    <row r="12485">
      <c r="A12485" t="inlineStr">
        <is>
          <t>27BBBBB12485Z5</t>
        </is>
      </c>
      <c r="B12485" t="inlineStr">
        <is>
          <t>Mar-2020</t>
        </is>
      </c>
      <c r="C12485" s="2" t="n">
        <v>44723</v>
      </c>
      <c r="D12485" t="inlineStr">
        <is>
          <t>NIL</t>
        </is>
      </c>
      <c r="E12485" t="n">
        <v>1964</v>
      </c>
    </row>
    <row r="12486">
      <c r="A12486" t="inlineStr">
        <is>
          <t>27BBBBB12486Z5</t>
        </is>
      </c>
      <c r="B12486" t="inlineStr">
        <is>
          <t>Oct-2017</t>
        </is>
      </c>
      <c r="C12486" s="2" t="n">
        <v>42993</v>
      </c>
      <c r="D12486" t="inlineStr">
        <is>
          <t>NON-NIL</t>
        </is>
      </c>
      <c r="E12486" t="n">
        <v>1115</v>
      </c>
    </row>
    <row r="12487">
      <c r="A12487" t="inlineStr">
        <is>
          <t>27BBBBB12487Z5</t>
        </is>
      </c>
      <c r="B12487" t="inlineStr">
        <is>
          <t>Dec-2022</t>
        </is>
      </c>
      <c r="C12487" s="2" t="n">
        <v>43834</v>
      </c>
      <c r="D12487" t="inlineStr">
        <is>
          <t>NIL</t>
        </is>
      </c>
      <c r="E12487" t="n">
        <v>1051</v>
      </c>
    </row>
    <row r="12488">
      <c r="A12488" t="inlineStr">
        <is>
          <t>27BBBBB12488Z5</t>
        </is>
      </c>
      <c r="B12488" t="inlineStr">
        <is>
          <t>Mar-2020</t>
        </is>
      </c>
      <c r="C12488" s="2" t="n">
        <v>44578</v>
      </c>
      <c r="D12488" t="inlineStr">
        <is>
          <t>NON-NIL</t>
        </is>
      </c>
      <c r="E12488" t="n">
        <v>2207</v>
      </c>
    </row>
    <row r="12489">
      <c r="A12489" t="inlineStr">
        <is>
          <t>27BBBBB12489Z5</t>
        </is>
      </c>
      <c r="B12489" t="inlineStr">
        <is>
          <t>Dec-2018</t>
        </is>
      </c>
      <c r="C12489" s="2" t="n">
        <v>44321</v>
      </c>
      <c r="D12489" t="inlineStr">
        <is>
          <t>NIL</t>
        </is>
      </c>
      <c r="E12489" t="n">
        <v>2440</v>
      </c>
    </row>
    <row r="12490">
      <c r="A12490" t="inlineStr">
        <is>
          <t>27BBBBB12490Z5</t>
        </is>
      </c>
      <c r="B12490" t="inlineStr">
        <is>
          <t>Sep-2017</t>
        </is>
      </c>
      <c r="C12490" s="2" t="n">
        <v>43168</v>
      </c>
      <c r="D12490" t="inlineStr">
        <is>
          <t>NIL</t>
        </is>
      </c>
      <c r="E12490" t="n">
        <v>575</v>
      </c>
    </row>
    <row r="12491">
      <c r="A12491" t="inlineStr">
        <is>
          <t>27BBBBB12491Z5</t>
        </is>
      </c>
      <c r="B12491" t="inlineStr">
        <is>
          <t>Mar-2020</t>
        </is>
      </c>
      <c r="C12491" s="2" t="n">
        <v>43989</v>
      </c>
      <c r="D12491" t="inlineStr">
        <is>
          <t>NON-NIL</t>
        </is>
      </c>
      <c r="E12491" t="n">
        <v>1091</v>
      </c>
    </row>
    <row r="12492">
      <c r="A12492" t="inlineStr">
        <is>
          <t>27BBBBB12492Z5</t>
        </is>
      </c>
      <c r="B12492" t="inlineStr">
        <is>
          <t>Dec-2024</t>
        </is>
      </c>
      <c r="C12492" s="2" t="n">
        <v>44060</v>
      </c>
      <c r="D12492" t="inlineStr">
        <is>
          <t>NON-NIL</t>
        </is>
      </c>
      <c r="E12492" t="n">
        <v>2524</v>
      </c>
    </row>
    <row r="12493">
      <c r="A12493" t="inlineStr">
        <is>
          <t>27BBBBB12493Z5</t>
        </is>
      </c>
      <c r="B12493" t="inlineStr">
        <is>
          <t>Mar-2018</t>
        </is>
      </c>
      <c r="C12493" s="2" t="n">
        <v>43152</v>
      </c>
      <c r="D12493" t="inlineStr">
        <is>
          <t>NIL</t>
        </is>
      </c>
      <c r="E12493" t="n">
        <v>363</v>
      </c>
    </row>
    <row r="12494">
      <c r="A12494" t="inlineStr">
        <is>
          <t>27BBBBB12494Z5</t>
        </is>
      </c>
      <c r="B12494" t="inlineStr">
        <is>
          <t>Sep-2018</t>
        </is>
      </c>
      <c r="C12494" s="2" t="n">
        <v>44324</v>
      </c>
      <c r="D12494" t="inlineStr">
        <is>
          <t>NIL</t>
        </is>
      </c>
      <c r="E12494" t="n">
        <v>851</v>
      </c>
    </row>
    <row r="12495">
      <c r="A12495" t="inlineStr">
        <is>
          <t>27BBBBB12495Z5</t>
        </is>
      </c>
      <c r="B12495" t="inlineStr">
        <is>
          <t>Dec-2022</t>
        </is>
      </c>
      <c r="C12495" s="2" t="n">
        <v>44505</v>
      </c>
      <c r="D12495" t="inlineStr">
        <is>
          <t>NON-NIL</t>
        </is>
      </c>
      <c r="E12495" t="n">
        <v>1601</v>
      </c>
    </row>
    <row r="12496">
      <c r="A12496" t="inlineStr">
        <is>
          <t>27BBBBB12496Z5</t>
        </is>
      </c>
      <c r="B12496" t="inlineStr">
        <is>
          <t>Jul-2017</t>
        </is>
      </c>
      <c r="C12496" s="2" t="n">
        <v>43394</v>
      </c>
      <c r="D12496" t="inlineStr">
        <is>
          <t>NIL</t>
        </is>
      </c>
      <c r="E12496" t="n">
        <v>2326</v>
      </c>
    </row>
    <row r="12497">
      <c r="A12497" t="inlineStr">
        <is>
          <t>27BBBBB12497Z5</t>
        </is>
      </c>
      <c r="B12497" t="inlineStr">
        <is>
          <t>Jul-2017</t>
        </is>
      </c>
      <c r="C12497" s="2" t="n">
        <v>43167</v>
      </c>
      <c r="D12497" t="inlineStr">
        <is>
          <t>NIL</t>
        </is>
      </c>
      <c r="E12497" t="n">
        <v>410</v>
      </c>
    </row>
    <row r="12498">
      <c r="A12498" t="inlineStr">
        <is>
          <t>27BBBBB12498Z5</t>
        </is>
      </c>
      <c r="B12498" t="inlineStr">
        <is>
          <t>Oct-2018</t>
        </is>
      </c>
      <c r="C12498" s="2" t="n">
        <v>43133</v>
      </c>
      <c r="D12498" t="inlineStr">
        <is>
          <t>NON-NIL</t>
        </is>
      </c>
      <c r="E12498" t="n">
        <v>368</v>
      </c>
    </row>
    <row r="12499">
      <c r="A12499" t="inlineStr">
        <is>
          <t>27BBBBB12499Z5</t>
        </is>
      </c>
      <c r="B12499" t="inlineStr">
        <is>
          <t>Nov-2018</t>
        </is>
      </c>
      <c r="C12499" s="2" t="n">
        <v>43031</v>
      </c>
      <c r="D12499" t="inlineStr">
        <is>
          <t>NIL</t>
        </is>
      </c>
      <c r="E12499" t="n">
        <v>1703</v>
      </c>
    </row>
    <row r="12500">
      <c r="A12500" t="inlineStr">
        <is>
          <t>27BBBBB12500Z5</t>
        </is>
      </c>
      <c r="B12500" t="inlineStr">
        <is>
          <t>Dec-2022</t>
        </is>
      </c>
      <c r="C12500" s="2" t="n">
        <v>44320</v>
      </c>
      <c r="D12500" t="inlineStr">
        <is>
          <t>NIL</t>
        </is>
      </c>
      <c r="E12500" t="n">
        <v>920</v>
      </c>
    </row>
    <row r="12501">
      <c r="A12501" t="inlineStr">
        <is>
          <t>27BBBBB12501Z5</t>
        </is>
      </c>
      <c r="B12501" t="inlineStr">
        <is>
          <t>Jul-2020</t>
        </is>
      </c>
      <c r="C12501" s="2" t="n">
        <v>44373</v>
      </c>
      <c r="D12501" t="inlineStr">
        <is>
          <t>NON-NIL</t>
        </is>
      </c>
      <c r="E12501" t="n">
        <v>2484</v>
      </c>
    </row>
    <row r="12502">
      <c r="A12502" t="inlineStr">
        <is>
          <t>27BBBBB12502Z5</t>
        </is>
      </c>
      <c r="B12502" t="inlineStr">
        <is>
          <t>Nov-2017</t>
        </is>
      </c>
      <c r="C12502" s="2" t="n">
        <v>43134</v>
      </c>
      <c r="D12502" t="inlineStr">
        <is>
          <t>NIL</t>
        </is>
      </c>
      <c r="E12502" t="n">
        <v>904</v>
      </c>
    </row>
    <row r="12503">
      <c r="A12503" t="inlineStr">
        <is>
          <t>27BBBBB12503Z5</t>
        </is>
      </c>
      <c r="B12503" t="inlineStr">
        <is>
          <t>Jul-2020</t>
        </is>
      </c>
      <c r="C12503" s="2" t="n">
        <v>44128</v>
      </c>
      <c r="D12503" t="inlineStr">
        <is>
          <t>NON-NIL</t>
        </is>
      </c>
      <c r="E12503" t="n">
        <v>2589</v>
      </c>
    </row>
    <row r="12504">
      <c r="A12504" t="inlineStr">
        <is>
          <t>27BBBBB12504Z5</t>
        </is>
      </c>
      <c r="B12504" t="inlineStr">
        <is>
          <t>Oct-2017</t>
        </is>
      </c>
      <c r="C12504" s="2" t="n">
        <v>43902</v>
      </c>
      <c r="D12504" t="inlineStr">
        <is>
          <t>NIL</t>
        </is>
      </c>
      <c r="E12504" t="n">
        <v>2097</v>
      </c>
    </row>
    <row r="12505">
      <c r="A12505" t="inlineStr">
        <is>
          <t>27BBBBB12505Z5</t>
        </is>
      </c>
      <c r="B12505" t="inlineStr">
        <is>
          <t>May-2018</t>
        </is>
      </c>
      <c r="C12505" s="2" t="n">
        <v>43713</v>
      </c>
      <c r="D12505" t="inlineStr">
        <is>
          <t>NIL</t>
        </is>
      </c>
      <c r="E12505" t="n">
        <v>1556</v>
      </c>
    </row>
    <row r="12506">
      <c r="A12506" t="inlineStr">
        <is>
          <t>27BBBBB12506Z5</t>
        </is>
      </c>
      <c r="B12506" t="inlineStr">
        <is>
          <t>Jul-2020</t>
        </is>
      </c>
      <c r="C12506" s="2" t="n">
        <v>44795</v>
      </c>
      <c r="D12506" t="inlineStr">
        <is>
          <t>NIL</t>
        </is>
      </c>
      <c r="E12506" t="n">
        <v>1124</v>
      </c>
    </row>
    <row r="12507">
      <c r="A12507" t="inlineStr">
        <is>
          <t>27BBBBB12507Z5</t>
        </is>
      </c>
      <c r="B12507" t="inlineStr">
        <is>
          <t>Dec-2018</t>
        </is>
      </c>
      <c r="C12507" s="2" t="n">
        <v>44222</v>
      </c>
      <c r="D12507" t="inlineStr">
        <is>
          <t>NIL</t>
        </is>
      </c>
      <c r="E12507" t="n">
        <v>1494</v>
      </c>
    </row>
    <row r="12508">
      <c r="A12508" t="inlineStr">
        <is>
          <t>27BBBBB12508Z5</t>
        </is>
      </c>
      <c r="B12508" t="inlineStr">
        <is>
          <t>Jul-2020</t>
        </is>
      </c>
      <c r="C12508" s="2" t="n">
        <v>44307</v>
      </c>
      <c r="D12508" t="inlineStr">
        <is>
          <t>NIL</t>
        </is>
      </c>
      <c r="E12508" t="n">
        <v>130</v>
      </c>
    </row>
    <row r="12509">
      <c r="A12509" t="inlineStr">
        <is>
          <t>27BBBBB12509Z5</t>
        </is>
      </c>
      <c r="B12509" t="inlineStr">
        <is>
          <t>Jul-2020</t>
        </is>
      </c>
      <c r="C12509" s="2" t="n">
        <v>44039</v>
      </c>
      <c r="D12509" t="inlineStr">
        <is>
          <t>NIL</t>
        </is>
      </c>
      <c r="E12509" t="n">
        <v>2866</v>
      </c>
    </row>
    <row r="12510">
      <c r="A12510" t="inlineStr">
        <is>
          <t>27BBBBB12510Z5</t>
        </is>
      </c>
      <c r="B12510" t="inlineStr">
        <is>
          <t>Oct-2018</t>
        </is>
      </c>
      <c r="C12510" s="2" t="n">
        <v>44307</v>
      </c>
      <c r="D12510" t="inlineStr">
        <is>
          <t>NIL</t>
        </is>
      </c>
      <c r="E12510" t="n">
        <v>2761</v>
      </c>
    </row>
    <row r="12511">
      <c r="A12511" t="inlineStr">
        <is>
          <t>27BBBBB12511Z5</t>
        </is>
      </c>
      <c r="B12511" t="inlineStr">
        <is>
          <t>Jun-2018</t>
        </is>
      </c>
      <c r="C12511" s="2" t="n">
        <v>43647</v>
      </c>
      <c r="D12511" t="inlineStr">
        <is>
          <t>NIL</t>
        </is>
      </c>
      <c r="E12511" t="n">
        <v>315</v>
      </c>
    </row>
    <row r="12512">
      <c r="A12512" t="inlineStr">
        <is>
          <t>27BBBBB12512Z5</t>
        </is>
      </c>
      <c r="B12512" t="inlineStr">
        <is>
          <t>Mar-2023</t>
        </is>
      </c>
      <c r="C12512" s="2" t="n">
        <v>43565</v>
      </c>
      <c r="D12512" t="inlineStr">
        <is>
          <t>NON-NIL</t>
        </is>
      </c>
      <c r="E12512" t="n">
        <v>615</v>
      </c>
    </row>
    <row r="12513">
      <c r="A12513" t="inlineStr">
        <is>
          <t>27BBBBB12513Z5</t>
        </is>
      </c>
      <c r="B12513" t="inlineStr">
        <is>
          <t>Sep-2017</t>
        </is>
      </c>
      <c r="C12513" s="2" t="n">
        <v>43246</v>
      </c>
      <c r="D12513" t="inlineStr">
        <is>
          <t>NIL</t>
        </is>
      </c>
      <c r="E12513" t="n">
        <v>1690</v>
      </c>
    </row>
    <row r="12514">
      <c r="A12514" t="inlineStr">
        <is>
          <t>27BBBBB12514Z5</t>
        </is>
      </c>
      <c r="B12514" t="inlineStr">
        <is>
          <t>Mar-2021</t>
        </is>
      </c>
      <c r="C12514" s="2" t="n">
        <v>44691</v>
      </c>
      <c r="D12514" t="inlineStr">
        <is>
          <t>NIL</t>
        </is>
      </c>
      <c r="E12514" t="n">
        <v>1031</v>
      </c>
    </row>
    <row r="12515">
      <c r="A12515" t="inlineStr">
        <is>
          <t>27BBBBB12515Z5</t>
        </is>
      </c>
      <c r="B12515" t="inlineStr">
        <is>
          <t>Mar-2020</t>
        </is>
      </c>
      <c r="C12515" s="2" t="n">
        <v>44600</v>
      </c>
      <c r="D12515" t="inlineStr">
        <is>
          <t>NIL</t>
        </is>
      </c>
      <c r="E12515" t="n">
        <v>1693</v>
      </c>
    </row>
    <row r="12516">
      <c r="A12516" t="inlineStr">
        <is>
          <t>27BBBBB12516Z5</t>
        </is>
      </c>
      <c r="B12516" t="inlineStr">
        <is>
          <t>May-2018</t>
        </is>
      </c>
      <c r="C12516" s="2" t="n">
        <v>44540</v>
      </c>
      <c r="D12516" t="inlineStr">
        <is>
          <t>NIL</t>
        </is>
      </c>
      <c r="E12516" t="n">
        <v>2213</v>
      </c>
    </row>
    <row r="12517">
      <c r="A12517" t="inlineStr">
        <is>
          <t>27BBBBB12517Z5</t>
        </is>
      </c>
      <c r="B12517" t="inlineStr">
        <is>
          <t>Jul-2020</t>
        </is>
      </c>
      <c r="C12517" s="2" t="n">
        <v>44856</v>
      </c>
      <c r="D12517" t="inlineStr">
        <is>
          <t>NIL</t>
        </is>
      </c>
      <c r="E12517" t="n">
        <v>2541</v>
      </c>
    </row>
    <row r="12518">
      <c r="A12518" t="inlineStr">
        <is>
          <t>27BBBBB12518Z5</t>
        </is>
      </c>
      <c r="B12518" t="inlineStr">
        <is>
          <t>Jul-2017</t>
        </is>
      </c>
      <c r="C12518" s="2" t="n">
        <v>43340</v>
      </c>
      <c r="D12518" t="inlineStr">
        <is>
          <t>NIL</t>
        </is>
      </c>
      <c r="E12518" t="n">
        <v>472</v>
      </c>
    </row>
    <row r="12519">
      <c r="A12519" t="inlineStr">
        <is>
          <t>27BBBBB12519Z5</t>
        </is>
      </c>
      <c r="B12519" t="inlineStr">
        <is>
          <t>Dec-2018</t>
        </is>
      </c>
      <c r="C12519" s="2" t="n">
        <v>43780</v>
      </c>
      <c r="D12519" t="inlineStr">
        <is>
          <t>NIL</t>
        </is>
      </c>
      <c r="E12519" t="n">
        <v>2473</v>
      </c>
    </row>
    <row r="12520">
      <c r="A12520" t="inlineStr">
        <is>
          <t>27BBBBB12520Z5</t>
        </is>
      </c>
      <c r="B12520" t="inlineStr">
        <is>
          <t>Aug-2017</t>
        </is>
      </c>
      <c r="C12520" s="2" t="n">
        <v>44106</v>
      </c>
      <c r="D12520" t="inlineStr">
        <is>
          <t>NIL</t>
        </is>
      </c>
      <c r="E12520" t="n">
        <v>1655</v>
      </c>
    </row>
    <row r="12521">
      <c r="A12521" t="inlineStr">
        <is>
          <t>27BBBBB12521Z5</t>
        </is>
      </c>
      <c r="B12521" t="inlineStr">
        <is>
          <t>Jul-2018</t>
        </is>
      </c>
      <c r="C12521" s="2" t="n">
        <v>43707</v>
      </c>
      <c r="D12521" t="inlineStr">
        <is>
          <t>NON-NIL</t>
        </is>
      </c>
      <c r="E12521" t="n">
        <v>1399</v>
      </c>
    </row>
    <row r="12522">
      <c r="A12522" t="inlineStr">
        <is>
          <t>27BBBBB12522Z5</t>
        </is>
      </c>
      <c r="B12522" t="inlineStr">
        <is>
          <t>Jan-2021</t>
        </is>
      </c>
      <c r="C12522" s="2" t="n">
        <v>43692</v>
      </c>
      <c r="D12522" t="inlineStr">
        <is>
          <t>NON-NIL</t>
        </is>
      </c>
      <c r="E12522" t="n">
        <v>1656</v>
      </c>
    </row>
    <row r="12523">
      <c r="A12523" t="inlineStr">
        <is>
          <t>27BBBBB12523Z5</t>
        </is>
      </c>
      <c r="B12523" t="inlineStr">
        <is>
          <t>Nov-2017</t>
        </is>
      </c>
      <c r="C12523" s="2" t="n">
        <v>43433</v>
      </c>
      <c r="D12523" t="inlineStr">
        <is>
          <t>NON-NIL</t>
        </is>
      </c>
      <c r="E12523" t="n">
        <v>1376</v>
      </c>
    </row>
    <row r="12524">
      <c r="A12524" t="inlineStr">
        <is>
          <t>27BBBBB12524Z5</t>
        </is>
      </c>
      <c r="B12524" t="inlineStr">
        <is>
          <t>May-2018</t>
        </is>
      </c>
      <c r="C12524" s="2" t="n">
        <v>43319</v>
      </c>
      <c r="D12524" t="inlineStr">
        <is>
          <t>NIL</t>
        </is>
      </c>
      <c r="E12524" t="n">
        <v>2793</v>
      </c>
    </row>
    <row r="12525">
      <c r="A12525" t="inlineStr">
        <is>
          <t>27BBBBB12525Z5</t>
        </is>
      </c>
      <c r="B12525" t="inlineStr">
        <is>
          <t>Aug-2017</t>
        </is>
      </c>
      <c r="C12525" s="2" t="n">
        <v>44178</v>
      </c>
      <c r="D12525" t="inlineStr">
        <is>
          <t>NIL</t>
        </is>
      </c>
      <c r="E12525" t="n">
        <v>1094</v>
      </c>
    </row>
    <row r="12526">
      <c r="A12526" t="inlineStr">
        <is>
          <t>27BBBBB12526Z5</t>
        </is>
      </c>
      <c r="B12526" t="inlineStr">
        <is>
          <t>Nov-2017</t>
        </is>
      </c>
      <c r="C12526" s="2" t="n">
        <v>44081</v>
      </c>
      <c r="D12526" t="inlineStr">
        <is>
          <t>NON-NIL</t>
        </is>
      </c>
      <c r="E12526" t="n">
        <v>1627</v>
      </c>
    </row>
    <row r="12527">
      <c r="A12527" t="inlineStr">
        <is>
          <t>27BBBBB12527Z5</t>
        </is>
      </c>
      <c r="B12527" t="inlineStr">
        <is>
          <t>May-2018</t>
        </is>
      </c>
      <c r="C12527" s="2" t="n">
        <v>44041</v>
      </c>
      <c r="D12527" t="inlineStr">
        <is>
          <t>NON-NIL</t>
        </is>
      </c>
      <c r="E12527" t="n">
        <v>386</v>
      </c>
    </row>
    <row r="12528">
      <c r="A12528" t="inlineStr">
        <is>
          <t>27BBBBB12528Z5</t>
        </is>
      </c>
      <c r="B12528" t="inlineStr">
        <is>
          <t>Feb-2018</t>
        </is>
      </c>
      <c r="C12528" s="2" t="n">
        <v>43886</v>
      </c>
      <c r="D12528" t="inlineStr">
        <is>
          <t>NON-NIL</t>
        </is>
      </c>
      <c r="E12528" t="n">
        <v>658</v>
      </c>
    </row>
    <row r="12529">
      <c r="A12529" t="inlineStr">
        <is>
          <t>27BBBBB12529Z5</t>
        </is>
      </c>
      <c r="B12529" t="inlineStr">
        <is>
          <t>Oct-2018</t>
        </is>
      </c>
      <c r="C12529" s="2" t="n">
        <v>43580</v>
      </c>
      <c r="D12529" t="inlineStr">
        <is>
          <t>NON-NIL</t>
        </is>
      </c>
      <c r="E12529" t="n">
        <v>1453</v>
      </c>
    </row>
    <row r="12530">
      <c r="A12530" t="inlineStr">
        <is>
          <t>27BBBBB12530Z5</t>
        </is>
      </c>
      <c r="B12530" t="inlineStr">
        <is>
          <t>Nov-2018</t>
        </is>
      </c>
      <c r="C12530" s="2" t="n">
        <v>43081</v>
      </c>
      <c r="D12530" t="inlineStr">
        <is>
          <t>NON-NIL</t>
        </is>
      </c>
      <c r="E12530" t="n">
        <v>941</v>
      </c>
    </row>
    <row r="12531">
      <c r="A12531" t="inlineStr">
        <is>
          <t>27BBBBB12531Z5</t>
        </is>
      </c>
      <c r="B12531" t="inlineStr">
        <is>
          <t>Jul-2017</t>
        </is>
      </c>
      <c r="C12531" s="2" t="n">
        <v>43215</v>
      </c>
      <c r="D12531" t="inlineStr">
        <is>
          <t>NIL</t>
        </is>
      </c>
      <c r="E12531" t="n">
        <v>1174</v>
      </c>
    </row>
    <row r="12532">
      <c r="A12532" t="inlineStr">
        <is>
          <t>27BBBBB12532Z5</t>
        </is>
      </c>
      <c r="B12532" t="inlineStr">
        <is>
          <t>Jun-2018</t>
        </is>
      </c>
      <c r="C12532" s="2" t="n">
        <v>44163</v>
      </c>
      <c r="D12532" t="inlineStr">
        <is>
          <t>NIL</t>
        </is>
      </c>
      <c r="E12532" t="n">
        <v>1987</v>
      </c>
    </row>
    <row r="12533">
      <c r="A12533" t="inlineStr">
        <is>
          <t>27BBBBB12533Z5</t>
        </is>
      </c>
      <c r="B12533" t="inlineStr">
        <is>
          <t>Mar-2018</t>
        </is>
      </c>
      <c r="C12533" s="2" t="n">
        <v>44493</v>
      </c>
      <c r="D12533" t="inlineStr">
        <is>
          <t>NON-NIL</t>
        </is>
      </c>
      <c r="E12533" t="n">
        <v>2724</v>
      </c>
    </row>
    <row r="12534">
      <c r="A12534" t="inlineStr">
        <is>
          <t>27BBBBB12534Z5</t>
        </is>
      </c>
      <c r="B12534" t="inlineStr">
        <is>
          <t>Dec-2024</t>
        </is>
      </c>
      <c r="C12534" s="2" t="n">
        <v>45197</v>
      </c>
      <c r="D12534" t="inlineStr">
        <is>
          <t>NIL</t>
        </is>
      </c>
      <c r="E12534" t="n">
        <v>2735</v>
      </c>
    </row>
    <row r="12535">
      <c r="A12535" t="inlineStr">
        <is>
          <t>27BBBBB12535Z5</t>
        </is>
      </c>
      <c r="B12535" t="inlineStr">
        <is>
          <t>Oct-2017</t>
        </is>
      </c>
      <c r="C12535" s="2" t="n">
        <v>43755</v>
      </c>
      <c r="D12535" t="inlineStr">
        <is>
          <t>NON-NIL</t>
        </is>
      </c>
      <c r="E12535" t="n">
        <v>2186</v>
      </c>
    </row>
    <row r="12536">
      <c r="A12536" t="inlineStr">
        <is>
          <t>27BBBBB12536Z5</t>
        </is>
      </c>
      <c r="B12536" t="inlineStr">
        <is>
          <t>May-2018</t>
        </is>
      </c>
      <c r="C12536" s="2" t="n">
        <v>43642</v>
      </c>
      <c r="D12536" t="inlineStr">
        <is>
          <t>NON-NIL</t>
        </is>
      </c>
      <c r="E12536" t="n">
        <v>1828</v>
      </c>
    </row>
    <row r="12537">
      <c r="A12537" t="inlineStr">
        <is>
          <t>27BBBBB12537Z5</t>
        </is>
      </c>
      <c r="B12537" t="inlineStr">
        <is>
          <t>Mar-2023</t>
        </is>
      </c>
      <c r="C12537" s="2" t="n">
        <v>45176</v>
      </c>
      <c r="D12537" t="inlineStr">
        <is>
          <t>NIL</t>
        </is>
      </c>
      <c r="E12537" t="n">
        <v>1351</v>
      </c>
    </row>
    <row r="12538">
      <c r="A12538" t="inlineStr">
        <is>
          <t>27BBBBB12538Z5</t>
        </is>
      </c>
      <c r="B12538" t="inlineStr">
        <is>
          <t>Nov-2018</t>
        </is>
      </c>
      <c r="C12538" s="2" t="n">
        <v>43886</v>
      </c>
      <c r="D12538" t="inlineStr">
        <is>
          <t>NIL</t>
        </is>
      </c>
      <c r="E12538" t="n">
        <v>1855</v>
      </c>
    </row>
    <row r="12539">
      <c r="A12539" t="inlineStr">
        <is>
          <t>27BBBBB12539Z5</t>
        </is>
      </c>
      <c r="B12539" t="inlineStr">
        <is>
          <t>Jul-2018</t>
        </is>
      </c>
      <c r="C12539" s="2" t="n">
        <v>43353</v>
      </c>
      <c r="D12539" t="inlineStr">
        <is>
          <t>NIL</t>
        </is>
      </c>
      <c r="E12539" t="n">
        <v>625</v>
      </c>
    </row>
    <row r="12540">
      <c r="A12540" t="inlineStr">
        <is>
          <t>27BBBBB12540Z5</t>
        </is>
      </c>
      <c r="B12540" t="inlineStr">
        <is>
          <t>Apr-2020</t>
        </is>
      </c>
      <c r="C12540" s="2" t="n">
        <v>44630</v>
      </c>
      <c r="D12540" t="inlineStr">
        <is>
          <t>NON-NIL</t>
        </is>
      </c>
      <c r="E12540" t="n">
        <v>137</v>
      </c>
    </row>
    <row r="12541">
      <c r="A12541" t="inlineStr">
        <is>
          <t>27BBBBB12541Z5</t>
        </is>
      </c>
      <c r="B12541" t="inlineStr">
        <is>
          <t>Nov-2018</t>
        </is>
      </c>
      <c r="C12541" s="2" t="n">
        <v>43175</v>
      </c>
      <c r="D12541" t="inlineStr">
        <is>
          <t>NIL</t>
        </is>
      </c>
      <c r="E12541" t="n">
        <v>2087</v>
      </c>
    </row>
    <row r="12542">
      <c r="A12542" t="inlineStr">
        <is>
          <t>27BBBBB12542Z5</t>
        </is>
      </c>
      <c r="B12542" t="inlineStr">
        <is>
          <t>Mar-2018</t>
        </is>
      </c>
      <c r="C12542" s="2" t="n">
        <v>44090</v>
      </c>
      <c r="D12542" t="inlineStr">
        <is>
          <t>NON-NIL</t>
        </is>
      </c>
      <c r="E12542" t="n">
        <v>2675</v>
      </c>
    </row>
    <row r="12543">
      <c r="A12543" t="inlineStr">
        <is>
          <t>27BBBBB12543Z5</t>
        </is>
      </c>
      <c r="B12543" t="inlineStr">
        <is>
          <t>Dec-2022</t>
        </is>
      </c>
      <c r="C12543" s="2" t="n">
        <v>45655</v>
      </c>
      <c r="D12543" t="inlineStr">
        <is>
          <t>NIL</t>
        </is>
      </c>
      <c r="E12543" t="n">
        <v>1652</v>
      </c>
    </row>
    <row r="12544">
      <c r="A12544" t="inlineStr">
        <is>
          <t>27BBBBB12544Z5</t>
        </is>
      </c>
      <c r="B12544" t="inlineStr">
        <is>
          <t>Mar-2018</t>
        </is>
      </c>
      <c r="C12544" s="2" t="n">
        <v>44516</v>
      </c>
      <c r="D12544" t="inlineStr">
        <is>
          <t>NON-NIL</t>
        </is>
      </c>
      <c r="E12544" t="n">
        <v>2445</v>
      </c>
    </row>
    <row r="12545">
      <c r="A12545" t="inlineStr">
        <is>
          <t>27BBBBB12545Z5</t>
        </is>
      </c>
      <c r="B12545" t="inlineStr">
        <is>
          <t>Mar-2023</t>
        </is>
      </c>
      <c r="C12545" s="2" t="n">
        <v>45218</v>
      </c>
      <c r="D12545" t="inlineStr">
        <is>
          <t>NIL</t>
        </is>
      </c>
      <c r="E12545" t="n">
        <v>380</v>
      </c>
    </row>
    <row r="12546">
      <c r="A12546" t="inlineStr">
        <is>
          <t>27BBBBB12546Z5</t>
        </is>
      </c>
      <c r="B12546" t="inlineStr">
        <is>
          <t>Dec-2018</t>
        </is>
      </c>
      <c r="C12546" s="2" t="n">
        <v>43991</v>
      </c>
      <c r="D12546" t="inlineStr">
        <is>
          <t>NON-NIL</t>
        </is>
      </c>
      <c r="E12546" t="n">
        <v>2616</v>
      </c>
    </row>
    <row r="12547">
      <c r="A12547" t="inlineStr">
        <is>
          <t>27BBBBB12547Z5</t>
        </is>
      </c>
      <c r="B12547" t="inlineStr">
        <is>
          <t>Oct-2017</t>
        </is>
      </c>
      <c r="C12547" s="2" t="n">
        <v>44199</v>
      </c>
      <c r="D12547" t="inlineStr">
        <is>
          <t>NON-NIL</t>
        </is>
      </c>
      <c r="E12547" t="n">
        <v>2441</v>
      </c>
    </row>
    <row r="12548">
      <c r="A12548" t="inlineStr">
        <is>
          <t>27BBBBB12548Z5</t>
        </is>
      </c>
      <c r="B12548" t="inlineStr">
        <is>
          <t>Nov-2018</t>
        </is>
      </c>
      <c r="C12548" s="2" t="n">
        <v>43964</v>
      </c>
      <c r="D12548" t="inlineStr">
        <is>
          <t>NIL</t>
        </is>
      </c>
      <c r="E12548" t="n">
        <v>781</v>
      </c>
    </row>
    <row r="12549">
      <c r="A12549" t="inlineStr">
        <is>
          <t>27BBBBB12549Z5</t>
        </is>
      </c>
      <c r="B12549" t="inlineStr">
        <is>
          <t>Jun-2018</t>
        </is>
      </c>
      <c r="C12549" s="2" t="n">
        <v>43148</v>
      </c>
      <c r="D12549" t="inlineStr">
        <is>
          <t>NON-NIL</t>
        </is>
      </c>
      <c r="E12549" t="n">
        <v>2950</v>
      </c>
    </row>
    <row r="12550">
      <c r="A12550" t="inlineStr">
        <is>
          <t>27BBBBB12550Z5</t>
        </is>
      </c>
      <c r="B12550" t="inlineStr">
        <is>
          <t>Jul-2017</t>
        </is>
      </c>
      <c r="C12550" s="2" t="n">
        <v>44534</v>
      </c>
      <c r="D12550" t="inlineStr">
        <is>
          <t>NON-NIL</t>
        </is>
      </c>
      <c r="E12550" t="n">
        <v>2072</v>
      </c>
    </row>
    <row r="12551">
      <c r="A12551" t="inlineStr">
        <is>
          <t>27BBBBB12551Z5</t>
        </is>
      </c>
      <c r="B12551" t="inlineStr">
        <is>
          <t>Jul-2018</t>
        </is>
      </c>
      <c r="C12551" s="2" t="n">
        <v>43041</v>
      </c>
      <c r="D12551" t="inlineStr">
        <is>
          <t>NON-NIL</t>
        </is>
      </c>
      <c r="E12551" t="n">
        <v>2762</v>
      </c>
    </row>
    <row r="12552">
      <c r="A12552" t="inlineStr">
        <is>
          <t>27BBBBB12552Z5</t>
        </is>
      </c>
      <c r="B12552" t="inlineStr">
        <is>
          <t>Jul-2017</t>
        </is>
      </c>
      <c r="C12552" s="2" t="n">
        <v>43600</v>
      </c>
      <c r="D12552" t="inlineStr">
        <is>
          <t>NON-NIL</t>
        </is>
      </c>
      <c r="E12552" t="n">
        <v>2066</v>
      </c>
    </row>
    <row r="12553">
      <c r="A12553" t="inlineStr">
        <is>
          <t>27BBBBB12553Z5</t>
        </is>
      </c>
      <c r="B12553" t="inlineStr">
        <is>
          <t>Oct-2017</t>
        </is>
      </c>
      <c r="C12553" s="2" t="n">
        <v>43529</v>
      </c>
      <c r="D12553" t="inlineStr">
        <is>
          <t>NON-NIL</t>
        </is>
      </c>
      <c r="E12553" t="n">
        <v>2368</v>
      </c>
    </row>
    <row r="12554">
      <c r="A12554" t="inlineStr">
        <is>
          <t>27BBBBB12554Z5</t>
        </is>
      </c>
      <c r="B12554" t="inlineStr">
        <is>
          <t>May-2020</t>
        </is>
      </c>
      <c r="C12554" s="2" t="n">
        <v>44044</v>
      </c>
      <c r="D12554" t="inlineStr">
        <is>
          <t>NIL</t>
        </is>
      </c>
      <c r="E12554" t="n">
        <v>753</v>
      </c>
    </row>
    <row r="12555">
      <c r="A12555" t="inlineStr">
        <is>
          <t>27BBBBB12555Z5</t>
        </is>
      </c>
      <c r="B12555" t="inlineStr">
        <is>
          <t>Jun-2018</t>
        </is>
      </c>
      <c r="C12555" s="2" t="n">
        <v>43152</v>
      </c>
      <c r="D12555" t="inlineStr">
        <is>
          <t>NON-NIL</t>
        </is>
      </c>
      <c r="E12555" t="n">
        <v>1954</v>
      </c>
    </row>
    <row r="12556">
      <c r="A12556" t="inlineStr">
        <is>
          <t>27BBBBB12556Z5</t>
        </is>
      </c>
      <c r="B12556" t="inlineStr">
        <is>
          <t>May-2018</t>
        </is>
      </c>
      <c r="C12556" s="2" t="n">
        <v>43362</v>
      </c>
      <c r="D12556" t="inlineStr">
        <is>
          <t>NIL</t>
        </is>
      </c>
      <c r="E12556" t="n">
        <v>2395</v>
      </c>
    </row>
    <row r="12557">
      <c r="A12557" t="inlineStr">
        <is>
          <t>27BBBBB12557Z5</t>
        </is>
      </c>
      <c r="B12557" t="inlineStr">
        <is>
          <t>Oct-2017</t>
        </is>
      </c>
      <c r="C12557" s="2" t="n">
        <v>43654</v>
      </c>
      <c r="D12557" t="inlineStr">
        <is>
          <t>NON-NIL</t>
        </is>
      </c>
      <c r="E12557" t="n">
        <v>2329</v>
      </c>
    </row>
    <row r="12558">
      <c r="A12558" t="inlineStr">
        <is>
          <t>27BBBBB12558Z5</t>
        </is>
      </c>
      <c r="B12558" t="inlineStr">
        <is>
          <t>Aug-2017</t>
        </is>
      </c>
      <c r="C12558" s="2" t="n">
        <v>44499</v>
      </c>
      <c r="D12558" t="inlineStr">
        <is>
          <t>NIL</t>
        </is>
      </c>
      <c r="E12558" t="n">
        <v>2160</v>
      </c>
    </row>
    <row r="12559">
      <c r="A12559" t="inlineStr">
        <is>
          <t>27BBBBB12559Z5</t>
        </is>
      </c>
      <c r="B12559" t="inlineStr">
        <is>
          <t>Mar-2020</t>
        </is>
      </c>
      <c r="C12559" s="2" t="n">
        <v>44026</v>
      </c>
      <c r="D12559" t="inlineStr">
        <is>
          <t>NIL</t>
        </is>
      </c>
      <c r="E12559" t="n">
        <v>1052</v>
      </c>
    </row>
    <row r="12560">
      <c r="A12560" t="inlineStr">
        <is>
          <t>27BBBBB12560Z5</t>
        </is>
      </c>
      <c r="B12560" t="inlineStr">
        <is>
          <t>Oct-2017</t>
        </is>
      </c>
      <c r="C12560" s="2" t="n">
        <v>44403</v>
      </c>
      <c r="D12560" t="inlineStr">
        <is>
          <t>NIL</t>
        </is>
      </c>
      <c r="E12560" t="n">
        <v>189</v>
      </c>
    </row>
    <row r="12561">
      <c r="A12561" t="inlineStr">
        <is>
          <t>27BBBBB12561Z5</t>
        </is>
      </c>
      <c r="B12561" t="inlineStr">
        <is>
          <t>Apr-2020</t>
        </is>
      </c>
      <c r="C12561" s="2" t="n">
        <v>44783</v>
      </c>
      <c r="D12561" t="inlineStr">
        <is>
          <t>NIL</t>
        </is>
      </c>
      <c r="E12561" t="n">
        <v>2406</v>
      </c>
    </row>
    <row r="12562">
      <c r="A12562" t="inlineStr">
        <is>
          <t>27BBBBB12562Z5</t>
        </is>
      </c>
      <c r="B12562" t="inlineStr">
        <is>
          <t>Jan-2018</t>
        </is>
      </c>
      <c r="C12562" s="2" t="n">
        <v>44306</v>
      </c>
      <c r="D12562" t="inlineStr">
        <is>
          <t>NON-NIL</t>
        </is>
      </c>
      <c r="E12562" t="n">
        <v>651</v>
      </c>
    </row>
    <row r="12563">
      <c r="A12563" t="inlineStr">
        <is>
          <t>27BBBBB12563Z5</t>
        </is>
      </c>
      <c r="B12563" t="inlineStr">
        <is>
          <t>May-2018</t>
        </is>
      </c>
      <c r="C12563" s="2" t="n">
        <v>44063</v>
      </c>
      <c r="D12563" t="inlineStr">
        <is>
          <t>NON-NIL</t>
        </is>
      </c>
      <c r="E12563" t="n">
        <v>131</v>
      </c>
    </row>
    <row r="12564">
      <c r="A12564" t="inlineStr">
        <is>
          <t>27BBBBB12564Z5</t>
        </is>
      </c>
      <c r="B12564" t="inlineStr">
        <is>
          <t>Jul-2020</t>
        </is>
      </c>
      <c r="C12564" s="2" t="n">
        <v>44429</v>
      </c>
      <c r="D12564" t="inlineStr">
        <is>
          <t>NIL</t>
        </is>
      </c>
      <c r="E12564" t="n">
        <v>2376</v>
      </c>
    </row>
    <row r="12565">
      <c r="A12565" t="inlineStr">
        <is>
          <t>27BBBBB12565Z5</t>
        </is>
      </c>
      <c r="B12565" t="inlineStr">
        <is>
          <t>Jan-2018</t>
        </is>
      </c>
      <c r="C12565" s="2" t="n">
        <v>43425</v>
      </c>
      <c r="D12565" t="inlineStr">
        <is>
          <t>NON-NIL</t>
        </is>
      </c>
      <c r="E12565" t="n">
        <v>840</v>
      </c>
    </row>
    <row r="12566">
      <c r="A12566" t="inlineStr">
        <is>
          <t>27BBBBB12566Z5</t>
        </is>
      </c>
      <c r="B12566" t="inlineStr">
        <is>
          <t>Dec-2024</t>
        </is>
      </c>
      <c r="C12566" s="2" t="n">
        <v>44180</v>
      </c>
      <c r="D12566" t="inlineStr">
        <is>
          <t>NON-NIL</t>
        </is>
      </c>
      <c r="E12566" t="n">
        <v>137</v>
      </c>
    </row>
    <row r="12567">
      <c r="A12567" t="inlineStr">
        <is>
          <t>27BBBBB12567Z5</t>
        </is>
      </c>
      <c r="B12567" t="inlineStr">
        <is>
          <t>Dec-2018</t>
        </is>
      </c>
      <c r="C12567" s="2" t="n">
        <v>44399</v>
      </c>
      <c r="D12567" t="inlineStr">
        <is>
          <t>NIL</t>
        </is>
      </c>
      <c r="E12567" t="n">
        <v>2081</v>
      </c>
    </row>
    <row r="12568">
      <c r="A12568" t="inlineStr">
        <is>
          <t>27BBBBB12568Z5</t>
        </is>
      </c>
      <c r="B12568" t="inlineStr">
        <is>
          <t>Dec-2017</t>
        </is>
      </c>
      <c r="C12568" s="2" t="n">
        <v>44013</v>
      </c>
      <c r="D12568" t="inlineStr">
        <is>
          <t>NON-NIL</t>
        </is>
      </c>
      <c r="E12568" t="n">
        <v>740</v>
      </c>
    </row>
    <row r="12569">
      <c r="A12569" t="inlineStr">
        <is>
          <t>27BBBBB12569Z5</t>
        </is>
      </c>
      <c r="B12569" t="inlineStr">
        <is>
          <t>Mar-2021</t>
        </is>
      </c>
      <c r="C12569" s="2" t="n">
        <v>44293</v>
      </c>
      <c r="D12569" t="inlineStr">
        <is>
          <t>NON-NIL</t>
        </is>
      </c>
      <c r="E12569" t="n">
        <v>1648</v>
      </c>
    </row>
    <row r="12570">
      <c r="A12570" t="inlineStr">
        <is>
          <t>27BBBBB12570Z5</t>
        </is>
      </c>
      <c r="B12570" t="inlineStr">
        <is>
          <t>Mar-2021</t>
        </is>
      </c>
      <c r="C12570" s="2" t="n">
        <v>44817</v>
      </c>
      <c r="D12570" t="inlineStr">
        <is>
          <t>NON-NIL</t>
        </is>
      </c>
      <c r="E12570" t="n">
        <v>1718</v>
      </c>
    </row>
    <row r="12571">
      <c r="A12571" t="inlineStr">
        <is>
          <t>27BBBBB12571Z5</t>
        </is>
      </c>
      <c r="B12571" t="inlineStr">
        <is>
          <t>Jun-2018</t>
        </is>
      </c>
      <c r="C12571" s="2" t="n">
        <v>43524</v>
      </c>
      <c r="D12571" t="inlineStr">
        <is>
          <t>NON-NIL</t>
        </is>
      </c>
      <c r="E12571" t="n">
        <v>565</v>
      </c>
    </row>
    <row r="12572">
      <c r="A12572" t="inlineStr">
        <is>
          <t>27BBBBB12572Z5</t>
        </is>
      </c>
      <c r="B12572" t="inlineStr">
        <is>
          <t>Aug-2017</t>
        </is>
      </c>
      <c r="C12572" s="2" t="n">
        <v>43181</v>
      </c>
      <c r="D12572" t="inlineStr">
        <is>
          <t>NON-NIL</t>
        </is>
      </c>
      <c r="E12572" t="n">
        <v>890</v>
      </c>
    </row>
    <row r="12573">
      <c r="A12573" t="inlineStr">
        <is>
          <t>27BBBBB12573Z5</t>
        </is>
      </c>
      <c r="B12573" t="inlineStr">
        <is>
          <t>Mar-2021</t>
        </is>
      </c>
      <c r="C12573" s="2" t="n">
        <v>45021</v>
      </c>
      <c r="D12573" t="inlineStr">
        <is>
          <t>NON-NIL</t>
        </is>
      </c>
      <c r="E12573" t="n">
        <v>2123</v>
      </c>
    </row>
    <row r="12574">
      <c r="A12574" t="inlineStr">
        <is>
          <t>27BBBBB12574Z5</t>
        </is>
      </c>
      <c r="B12574" t="inlineStr">
        <is>
          <t>Aug-2017</t>
        </is>
      </c>
      <c r="C12574" s="2" t="n">
        <v>42941</v>
      </c>
      <c r="D12574" t="inlineStr">
        <is>
          <t>NIL</t>
        </is>
      </c>
      <c r="E12574" t="n">
        <v>2629</v>
      </c>
    </row>
    <row r="12575">
      <c r="A12575" t="inlineStr">
        <is>
          <t>27BBBBB12575Z5</t>
        </is>
      </c>
      <c r="B12575" t="inlineStr">
        <is>
          <t>Dec-2024</t>
        </is>
      </c>
      <c r="C12575" s="2" t="n">
        <v>44501</v>
      </c>
      <c r="D12575" t="inlineStr">
        <is>
          <t>NIL</t>
        </is>
      </c>
      <c r="E12575" t="n">
        <v>1665</v>
      </c>
    </row>
    <row r="12576">
      <c r="A12576" t="inlineStr">
        <is>
          <t>27BBBBB12576Z5</t>
        </is>
      </c>
      <c r="B12576" t="inlineStr">
        <is>
          <t>Dec-2018</t>
        </is>
      </c>
      <c r="C12576" s="2" t="n">
        <v>43646</v>
      </c>
      <c r="D12576" t="inlineStr">
        <is>
          <t>NON-NIL</t>
        </is>
      </c>
      <c r="E12576" t="n">
        <v>256</v>
      </c>
    </row>
    <row r="12577">
      <c r="A12577" t="inlineStr">
        <is>
          <t>27BBBBB12577Z5</t>
        </is>
      </c>
      <c r="B12577" t="inlineStr">
        <is>
          <t>Aug-2018</t>
        </is>
      </c>
      <c r="C12577" s="2" t="n">
        <v>43627</v>
      </c>
      <c r="D12577" t="inlineStr">
        <is>
          <t>NIL</t>
        </is>
      </c>
      <c r="E12577" t="n">
        <v>337</v>
      </c>
    </row>
    <row r="12578">
      <c r="A12578" t="inlineStr">
        <is>
          <t>27BBBBB12578Z5</t>
        </is>
      </c>
      <c r="B12578" t="inlineStr">
        <is>
          <t>Aug-2018</t>
        </is>
      </c>
      <c r="C12578" s="2" t="n">
        <v>44272</v>
      </c>
      <c r="D12578" t="inlineStr">
        <is>
          <t>NIL</t>
        </is>
      </c>
      <c r="E12578" t="n">
        <v>2544</v>
      </c>
    </row>
    <row r="12579">
      <c r="A12579" t="inlineStr">
        <is>
          <t>27BBBBB12579Z5</t>
        </is>
      </c>
      <c r="B12579" t="inlineStr">
        <is>
          <t>Jan-2021</t>
        </is>
      </c>
      <c r="C12579" s="2" t="n">
        <v>44291</v>
      </c>
      <c r="D12579" t="inlineStr">
        <is>
          <t>NIL</t>
        </is>
      </c>
      <c r="E12579" t="n">
        <v>2308</v>
      </c>
    </row>
    <row r="12580">
      <c r="A12580" t="inlineStr">
        <is>
          <t>27BBBBB12580Z5</t>
        </is>
      </c>
      <c r="B12580" t="inlineStr">
        <is>
          <t>Sep-2018</t>
        </is>
      </c>
      <c r="C12580" s="2" t="n">
        <v>43419</v>
      </c>
      <c r="D12580" t="inlineStr">
        <is>
          <t>NIL</t>
        </is>
      </c>
      <c r="E12580" t="n">
        <v>197</v>
      </c>
    </row>
    <row r="12581">
      <c r="A12581" t="inlineStr">
        <is>
          <t>27BBBBB12581Z5</t>
        </is>
      </c>
      <c r="B12581" t="inlineStr">
        <is>
          <t>Dec-2024</t>
        </is>
      </c>
      <c r="C12581" s="2" t="n">
        <v>45541</v>
      </c>
      <c r="D12581" t="inlineStr">
        <is>
          <t>NON-NIL</t>
        </is>
      </c>
      <c r="E12581" t="n">
        <v>2086</v>
      </c>
    </row>
    <row r="12582">
      <c r="A12582" t="inlineStr">
        <is>
          <t>27BBBBB12582Z5</t>
        </is>
      </c>
      <c r="B12582" t="inlineStr">
        <is>
          <t>Apr-2020</t>
        </is>
      </c>
      <c r="C12582" s="2" t="n">
        <v>44325</v>
      </c>
      <c r="D12582" t="inlineStr">
        <is>
          <t>NON-NIL</t>
        </is>
      </c>
      <c r="E12582" t="n">
        <v>2019</v>
      </c>
    </row>
    <row r="12583">
      <c r="A12583" t="inlineStr">
        <is>
          <t>27BBBBB12583Z5</t>
        </is>
      </c>
      <c r="B12583" t="inlineStr">
        <is>
          <t>Sep-2018</t>
        </is>
      </c>
      <c r="C12583" s="2" t="n">
        <v>44335</v>
      </c>
      <c r="D12583" t="inlineStr">
        <is>
          <t>NIL</t>
        </is>
      </c>
      <c r="E12583" t="n">
        <v>1228</v>
      </c>
    </row>
    <row r="12584">
      <c r="A12584" t="inlineStr">
        <is>
          <t>27BBBBB12584Z5</t>
        </is>
      </c>
      <c r="B12584" t="inlineStr">
        <is>
          <t>Mar-2023</t>
        </is>
      </c>
      <c r="C12584" s="2" t="n">
        <v>44231</v>
      </c>
      <c r="D12584" t="inlineStr">
        <is>
          <t>NON-NIL</t>
        </is>
      </c>
      <c r="E12584" t="n">
        <v>2926</v>
      </c>
    </row>
    <row r="12585">
      <c r="A12585" t="inlineStr">
        <is>
          <t>27BBBBB12585Z5</t>
        </is>
      </c>
      <c r="B12585" t="inlineStr">
        <is>
          <t>May-2020</t>
        </is>
      </c>
      <c r="C12585" s="2" t="n">
        <v>44080</v>
      </c>
      <c r="D12585" t="inlineStr">
        <is>
          <t>NON-NIL</t>
        </is>
      </c>
      <c r="E12585" t="n">
        <v>714</v>
      </c>
    </row>
    <row r="12586">
      <c r="A12586" t="inlineStr">
        <is>
          <t>27BBBBB12586Z5</t>
        </is>
      </c>
      <c r="B12586" t="inlineStr">
        <is>
          <t>Mar-2020</t>
        </is>
      </c>
      <c r="C12586" s="2" t="n">
        <v>43939</v>
      </c>
      <c r="D12586" t="inlineStr">
        <is>
          <t>NIL</t>
        </is>
      </c>
      <c r="E12586" t="n">
        <v>111</v>
      </c>
    </row>
    <row r="12587">
      <c r="A12587" t="inlineStr">
        <is>
          <t>27BBBBB12587Z5</t>
        </is>
      </c>
      <c r="B12587" t="inlineStr">
        <is>
          <t>Aug-2018</t>
        </is>
      </c>
      <c r="C12587" s="2" t="n">
        <v>44160</v>
      </c>
      <c r="D12587" t="inlineStr">
        <is>
          <t>NON-NIL</t>
        </is>
      </c>
      <c r="E12587" t="n">
        <v>1724</v>
      </c>
    </row>
    <row r="12588">
      <c r="A12588" t="inlineStr">
        <is>
          <t>27BBBBB12588Z5</t>
        </is>
      </c>
      <c r="B12588" t="inlineStr">
        <is>
          <t>Apr-2020</t>
        </is>
      </c>
      <c r="C12588" s="2" t="n">
        <v>44438</v>
      </c>
      <c r="D12588" t="inlineStr">
        <is>
          <t>NON-NIL</t>
        </is>
      </c>
      <c r="E12588" t="n">
        <v>2457</v>
      </c>
    </row>
    <row r="12589">
      <c r="A12589" t="inlineStr">
        <is>
          <t>27BBBBB12589Z5</t>
        </is>
      </c>
      <c r="B12589" t="inlineStr">
        <is>
          <t>Oct-2018</t>
        </is>
      </c>
      <c r="C12589" s="2" t="n">
        <v>43541</v>
      </c>
      <c r="D12589" t="inlineStr">
        <is>
          <t>NIL</t>
        </is>
      </c>
      <c r="E12589" t="n">
        <v>1279</v>
      </c>
    </row>
    <row r="12590">
      <c r="A12590" t="inlineStr">
        <is>
          <t>27BBBBB12590Z5</t>
        </is>
      </c>
      <c r="B12590" t="inlineStr">
        <is>
          <t>May-2018</t>
        </is>
      </c>
      <c r="C12590" s="2" t="n">
        <v>43133</v>
      </c>
      <c r="D12590" t="inlineStr">
        <is>
          <t>NON-NIL</t>
        </is>
      </c>
      <c r="E12590" t="n">
        <v>894</v>
      </c>
    </row>
    <row r="12591">
      <c r="A12591" t="inlineStr">
        <is>
          <t>27BBBBB12591Z5</t>
        </is>
      </c>
      <c r="B12591" t="inlineStr">
        <is>
          <t>Jul-2018</t>
        </is>
      </c>
      <c r="C12591" s="2" t="n">
        <v>43662</v>
      </c>
      <c r="D12591" t="inlineStr">
        <is>
          <t>NIL</t>
        </is>
      </c>
      <c r="E12591" t="n">
        <v>1529</v>
      </c>
    </row>
    <row r="12592">
      <c r="A12592" t="inlineStr">
        <is>
          <t>27BBBBB12592Z5</t>
        </is>
      </c>
      <c r="B12592" t="inlineStr">
        <is>
          <t>Dec-2024</t>
        </is>
      </c>
      <c r="C12592" s="2" t="n">
        <v>45567</v>
      </c>
      <c r="D12592" t="inlineStr">
        <is>
          <t>NON-NIL</t>
        </is>
      </c>
      <c r="E12592" t="n">
        <v>1162</v>
      </c>
    </row>
    <row r="12593">
      <c r="A12593" t="inlineStr">
        <is>
          <t>27BBBBB12593Z5</t>
        </is>
      </c>
      <c r="B12593" t="inlineStr">
        <is>
          <t>Feb-2018</t>
        </is>
      </c>
      <c r="C12593" s="2" t="n">
        <v>43514</v>
      </c>
      <c r="D12593" t="inlineStr">
        <is>
          <t>NON-NIL</t>
        </is>
      </c>
      <c r="E12593" t="n">
        <v>2391</v>
      </c>
    </row>
    <row r="12594">
      <c r="A12594" t="inlineStr">
        <is>
          <t>27BBBBB12594Z5</t>
        </is>
      </c>
      <c r="B12594" t="inlineStr">
        <is>
          <t>Dec-2017</t>
        </is>
      </c>
      <c r="C12594" s="2" t="n">
        <v>42944</v>
      </c>
      <c r="D12594" t="inlineStr">
        <is>
          <t>NIL</t>
        </is>
      </c>
      <c r="E12594" t="n">
        <v>2927</v>
      </c>
    </row>
    <row r="12595">
      <c r="A12595" t="inlineStr">
        <is>
          <t>27BBBBB12595Z5</t>
        </is>
      </c>
      <c r="B12595" t="inlineStr">
        <is>
          <t>Dec-2024</t>
        </is>
      </c>
      <c r="C12595" s="2" t="n">
        <v>43900</v>
      </c>
      <c r="D12595" t="inlineStr">
        <is>
          <t>NIL</t>
        </is>
      </c>
      <c r="E12595" t="n">
        <v>1200</v>
      </c>
    </row>
    <row r="12596">
      <c r="A12596" t="inlineStr">
        <is>
          <t>27BBBBB12596Z5</t>
        </is>
      </c>
      <c r="B12596" t="inlineStr">
        <is>
          <t>Dec-2018</t>
        </is>
      </c>
      <c r="C12596" s="2" t="n">
        <v>43228</v>
      </c>
      <c r="D12596" t="inlineStr">
        <is>
          <t>NIL</t>
        </is>
      </c>
      <c r="E12596" t="n">
        <v>708</v>
      </c>
    </row>
    <row r="12597">
      <c r="A12597" t="inlineStr">
        <is>
          <t>27BBBBB12597Z5</t>
        </is>
      </c>
      <c r="B12597" t="inlineStr">
        <is>
          <t>Mar-2018</t>
        </is>
      </c>
      <c r="C12597" s="2" t="n">
        <v>43779</v>
      </c>
      <c r="D12597" t="inlineStr">
        <is>
          <t>NIL</t>
        </is>
      </c>
      <c r="E12597" t="n">
        <v>809</v>
      </c>
    </row>
    <row r="12598">
      <c r="A12598" t="inlineStr">
        <is>
          <t>27BBBBB12598Z5</t>
        </is>
      </c>
      <c r="B12598" t="inlineStr">
        <is>
          <t>Nov-2018</t>
        </is>
      </c>
      <c r="C12598" s="2" t="n">
        <v>43404</v>
      </c>
      <c r="D12598" t="inlineStr">
        <is>
          <t>NIL</t>
        </is>
      </c>
      <c r="E12598" t="n">
        <v>2103</v>
      </c>
    </row>
    <row r="12599">
      <c r="A12599" t="inlineStr">
        <is>
          <t>27BBBBB12599Z5</t>
        </is>
      </c>
      <c r="B12599" t="inlineStr">
        <is>
          <t>Aug-2017</t>
        </is>
      </c>
      <c r="C12599" s="2" t="n">
        <v>43292</v>
      </c>
      <c r="D12599" t="inlineStr">
        <is>
          <t>NON-NIL</t>
        </is>
      </c>
      <c r="E12599" t="n">
        <v>2793</v>
      </c>
    </row>
    <row r="12600">
      <c r="A12600" t="inlineStr">
        <is>
          <t>27BBBBB12600Z5</t>
        </is>
      </c>
      <c r="B12600" t="inlineStr">
        <is>
          <t>Jan-2018</t>
        </is>
      </c>
      <c r="C12600" s="2" t="n">
        <v>43579</v>
      </c>
      <c r="D12600" t="inlineStr">
        <is>
          <t>NIL</t>
        </is>
      </c>
      <c r="E12600" t="n">
        <v>2687</v>
      </c>
    </row>
    <row r="12601">
      <c r="A12601" t="inlineStr">
        <is>
          <t>27BBBBB12601Z5</t>
        </is>
      </c>
      <c r="B12601" t="inlineStr">
        <is>
          <t>Apr-2020</t>
        </is>
      </c>
      <c r="C12601" s="2" t="n">
        <v>44355</v>
      </c>
      <c r="D12601" t="inlineStr">
        <is>
          <t>NIL</t>
        </is>
      </c>
      <c r="E12601" t="n">
        <v>432</v>
      </c>
    </row>
    <row r="12602">
      <c r="A12602" t="inlineStr">
        <is>
          <t>27BBBBB12602Z5</t>
        </is>
      </c>
      <c r="B12602" t="inlineStr">
        <is>
          <t>Sep-2018</t>
        </is>
      </c>
      <c r="C12602" s="2" t="n">
        <v>43398</v>
      </c>
      <c r="D12602" t="inlineStr">
        <is>
          <t>NON-NIL</t>
        </is>
      </c>
      <c r="E12602" t="n">
        <v>301</v>
      </c>
    </row>
    <row r="12603">
      <c r="A12603" t="inlineStr">
        <is>
          <t>27BBBBB12603Z5</t>
        </is>
      </c>
      <c r="B12603" t="inlineStr">
        <is>
          <t>Sep-2018</t>
        </is>
      </c>
      <c r="C12603" s="2" t="n">
        <v>44031</v>
      </c>
      <c r="D12603" t="inlineStr">
        <is>
          <t>NON-NIL</t>
        </is>
      </c>
      <c r="E12603" t="n">
        <v>1479</v>
      </c>
    </row>
    <row r="12604">
      <c r="A12604" t="inlineStr">
        <is>
          <t>27BBBBB12604Z5</t>
        </is>
      </c>
      <c r="B12604" t="inlineStr">
        <is>
          <t>Nov-2018</t>
        </is>
      </c>
      <c r="C12604" s="2" t="n">
        <v>43920</v>
      </c>
      <c r="D12604" t="inlineStr">
        <is>
          <t>NON-NIL</t>
        </is>
      </c>
      <c r="E12604" t="n">
        <v>2254</v>
      </c>
    </row>
    <row r="12605">
      <c r="A12605" t="inlineStr">
        <is>
          <t>27BBBBB12605Z5</t>
        </is>
      </c>
      <c r="B12605" t="inlineStr">
        <is>
          <t>Jul-2018</t>
        </is>
      </c>
      <c r="C12605" s="2" t="n">
        <v>44247</v>
      </c>
      <c r="D12605" t="inlineStr">
        <is>
          <t>NIL</t>
        </is>
      </c>
      <c r="E12605" t="n">
        <v>2277</v>
      </c>
    </row>
    <row r="12606">
      <c r="A12606" t="inlineStr">
        <is>
          <t>27BBBBB12606Z5</t>
        </is>
      </c>
      <c r="B12606" t="inlineStr">
        <is>
          <t>May-2018</t>
        </is>
      </c>
      <c r="C12606" s="2" t="n">
        <v>43888</v>
      </c>
      <c r="D12606" t="inlineStr">
        <is>
          <t>NON-NIL</t>
        </is>
      </c>
      <c r="E12606" t="n">
        <v>798</v>
      </c>
    </row>
    <row r="12607">
      <c r="A12607" t="inlineStr">
        <is>
          <t>27BBBBB12607Z5</t>
        </is>
      </c>
      <c r="B12607" t="inlineStr">
        <is>
          <t>Jan-2018</t>
        </is>
      </c>
      <c r="C12607" s="2" t="n">
        <v>43112</v>
      </c>
      <c r="D12607" t="inlineStr">
        <is>
          <t>NIL</t>
        </is>
      </c>
      <c r="E12607" t="n">
        <v>1699</v>
      </c>
    </row>
    <row r="12608">
      <c r="A12608" t="inlineStr">
        <is>
          <t>27BBBBB12608Z5</t>
        </is>
      </c>
      <c r="B12608" t="inlineStr">
        <is>
          <t>Mar-2018</t>
        </is>
      </c>
      <c r="C12608" s="2" t="n">
        <v>43835</v>
      </c>
      <c r="D12608" t="inlineStr">
        <is>
          <t>NON-NIL</t>
        </is>
      </c>
      <c r="E12608" t="n">
        <v>276</v>
      </c>
    </row>
    <row r="12609">
      <c r="A12609" t="inlineStr">
        <is>
          <t>27BBBBB12609Z5</t>
        </is>
      </c>
      <c r="B12609" t="inlineStr">
        <is>
          <t>Aug-2017</t>
        </is>
      </c>
      <c r="C12609" s="2" t="n">
        <v>43601</v>
      </c>
      <c r="D12609" t="inlineStr">
        <is>
          <t>NIL</t>
        </is>
      </c>
      <c r="E12609" t="n">
        <v>2954</v>
      </c>
    </row>
    <row r="12610">
      <c r="A12610" t="inlineStr">
        <is>
          <t>27BBBBB12610Z5</t>
        </is>
      </c>
      <c r="B12610" t="inlineStr">
        <is>
          <t>Aug-2018</t>
        </is>
      </c>
      <c r="C12610" s="2" t="n">
        <v>42960</v>
      </c>
      <c r="D12610" t="inlineStr">
        <is>
          <t>NON-NIL</t>
        </is>
      </c>
      <c r="E12610" t="n">
        <v>1163</v>
      </c>
    </row>
    <row r="12611">
      <c r="A12611" t="inlineStr">
        <is>
          <t>27BBBBB12611Z5</t>
        </is>
      </c>
      <c r="B12611" t="inlineStr">
        <is>
          <t>Jul-2020</t>
        </is>
      </c>
      <c r="C12611" s="2" t="n">
        <v>44220</v>
      </c>
      <c r="D12611" t="inlineStr">
        <is>
          <t>NIL</t>
        </is>
      </c>
      <c r="E12611" t="n">
        <v>2365</v>
      </c>
    </row>
    <row r="12612">
      <c r="A12612" t="inlineStr">
        <is>
          <t>27BBBBB12612Z5</t>
        </is>
      </c>
      <c r="B12612" t="inlineStr">
        <is>
          <t>Dec-2018</t>
        </is>
      </c>
      <c r="C12612" s="2" t="n">
        <v>44113</v>
      </c>
      <c r="D12612" t="inlineStr">
        <is>
          <t>NIL</t>
        </is>
      </c>
      <c r="E12612" t="n">
        <v>2530</v>
      </c>
    </row>
    <row r="12613">
      <c r="A12613" t="inlineStr">
        <is>
          <t>27BBBBB12613Z5</t>
        </is>
      </c>
      <c r="B12613" t="inlineStr">
        <is>
          <t>Jul-2017</t>
        </is>
      </c>
      <c r="C12613" s="2" t="n">
        <v>43873</v>
      </c>
      <c r="D12613" t="inlineStr">
        <is>
          <t>NON-NIL</t>
        </is>
      </c>
      <c r="E12613" t="n">
        <v>198</v>
      </c>
    </row>
    <row r="12614">
      <c r="A12614" t="inlineStr">
        <is>
          <t>27BBBBB12614Z5</t>
        </is>
      </c>
      <c r="B12614" t="inlineStr">
        <is>
          <t>Apr-2018</t>
        </is>
      </c>
      <c r="C12614" s="2" t="n">
        <v>44504</v>
      </c>
      <c r="D12614" t="inlineStr">
        <is>
          <t>NIL</t>
        </is>
      </c>
      <c r="E12614" t="n">
        <v>2981</v>
      </c>
    </row>
    <row r="12615">
      <c r="A12615" t="inlineStr">
        <is>
          <t>27BBBBB12615Z5</t>
        </is>
      </c>
      <c r="B12615" t="inlineStr">
        <is>
          <t>Feb-2018</t>
        </is>
      </c>
      <c r="C12615" s="2" t="n">
        <v>43115</v>
      </c>
      <c r="D12615" t="inlineStr">
        <is>
          <t>NON-NIL</t>
        </is>
      </c>
      <c r="E12615" t="n">
        <v>2325</v>
      </c>
    </row>
    <row r="12616">
      <c r="A12616" t="inlineStr">
        <is>
          <t>27BBBBB12616Z5</t>
        </is>
      </c>
      <c r="B12616" t="inlineStr">
        <is>
          <t>Dec-2024</t>
        </is>
      </c>
      <c r="C12616" s="2" t="n">
        <v>45815</v>
      </c>
      <c r="D12616" t="inlineStr">
        <is>
          <t>NON-NIL</t>
        </is>
      </c>
      <c r="E12616" t="n">
        <v>24</v>
      </c>
    </row>
    <row r="12617">
      <c r="A12617" t="inlineStr">
        <is>
          <t>27BBBBB12617Z5</t>
        </is>
      </c>
      <c r="B12617" t="inlineStr">
        <is>
          <t>Mar-2018</t>
        </is>
      </c>
      <c r="C12617" s="2" t="n">
        <v>43748</v>
      </c>
      <c r="D12617" t="inlineStr">
        <is>
          <t>NIL</t>
        </is>
      </c>
      <c r="E12617" t="n">
        <v>2187</v>
      </c>
    </row>
    <row r="12618">
      <c r="A12618" t="inlineStr">
        <is>
          <t>27BBBBB12618Z5</t>
        </is>
      </c>
      <c r="B12618" t="inlineStr">
        <is>
          <t>Sep-2017</t>
        </is>
      </c>
      <c r="C12618" s="2" t="n">
        <v>43592</v>
      </c>
      <c r="D12618" t="inlineStr">
        <is>
          <t>NIL</t>
        </is>
      </c>
      <c r="E12618" t="n">
        <v>872</v>
      </c>
    </row>
    <row r="12619">
      <c r="A12619" t="inlineStr">
        <is>
          <t>27BBBBB12619Z5</t>
        </is>
      </c>
      <c r="B12619" t="inlineStr">
        <is>
          <t>Mar-2021</t>
        </is>
      </c>
      <c r="C12619" s="2" t="n">
        <v>45013</v>
      </c>
      <c r="D12619" t="inlineStr">
        <is>
          <t>NIL</t>
        </is>
      </c>
      <c r="E12619" t="n">
        <v>186</v>
      </c>
    </row>
    <row r="12620">
      <c r="A12620" t="inlineStr">
        <is>
          <t>27BBBBB12620Z5</t>
        </is>
      </c>
      <c r="B12620" t="inlineStr">
        <is>
          <t>Oct-2017</t>
        </is>
      </c>
      <c r="C12620" s="2" t="n">
        <v>44289</v>
      </c>
      <c r="D12620" t="inlineStr">
        <is>
          <t>NIL</t>
        </is>
      </c>
      <c r="E12620" t="n">
        <v>2960</v>
      </c>
    </row>
    <row r="12621">
      <c r="A12621" t="inlineStr">
        <is>
          <t>27BBBBB12621Z5</t>
        </is>
      </c>
      <c r="B12621" t="inlineStr">
        <is>
          <t>Jan-2021</t>
        </is>
      </c>
      <c r="C12621" s="2" t="n">
        <v>45146</v>
      </c>
      <c r="D12621" t="inlineStr">
        <is>
          <t>NIL</t>
        </is>
      </c>
      <c r="E12621" t="n">
        <v>1692</v>
      </c>
    </row>
    <row r="12622">
      <c r="A12622" t="inlineStr">
        <is>
          <t>27BBBBB12622Z5</t>
        </is>
      </c>
      <c r="B12622" t="inlineStr">
        <is>
          <t>Mar-2018</t>
        </is>
      </c>
      <c r="C12622" s="2" t="n">
        <v>43087</v>
      </c>
      <c r="D12622" t="inlineStr">
        <is>
          <t>NON-NIL</t>
        </is>
      </c>
      <c r="E12622" t="n">
        <v>1584</v>
      </c>
    </row>
    <row r="12623">
      <c r="A12623" t="inlineStr">
        <is>
          <t>27BBBBB12623Z5</t>
        </is>
      </c>
      <c r="B12623" t="inlineStr">
        <is>
          <t>Nov-2018</t>
        </is>
      </c>
      <c r="C12623" s="2" t="n">
        <v>44540</v>
      </c>
      <c r="D12623" t="inlineStr">
        <is>
          <t>NIL</t>
        </is>
      </c>
      <c r="E12623" t="n">
        <v>2716</v>
      </c>
    </row>
    <row r="12624">
      <c r="A12624" t="inlineStr">
        <is>
          <t>27BBBBB12624Z5</t>
        </is>
      </c>
      <c r="B12624" t="inlineStr">
        <is>
          <t>Jan-2021</t>
        </is>
      </c>
      <c r="C12624" s="2" t="n">
        <v>44474</v>
      </c>
      <c r="D12624" t="inlineStr">
        <is>
          <t>NON-NIL</t>
        </is>
      </c>
      <c r="E12624" t="n">
        <v>2976</v>
      </c>
    </row>
    <row r="12625">
      <c r="A12625" t="inlineStr">
        <is>
          <t>27BBBBB12625Z5</t>
        </is>
      </c>
      <c r="B12625" t="inlineStr">
        <is>
          <t>Jan-2021</t>
        </is>
      </c>
      <c r="C12625" s="2" t="n">
        <v>45467</v>
      </c>
      <c r="D12625" t="inlineStr">
        <is>
          <t>NON-NIL</t>
        </is>
      </c>
      <c r="E12625" t="n">
        <v>978</v>
      </c>
    </row>
    <row r="12626">
      <c r="A12626" t="inlineStr">
        <is>
          <t>27BBBBB12626Z5</t>
        </is>
      </c>
      <c r="B12626" t="inlineStr">
        <is>
          <t>Dec-2022</t>
        </is>
      </c>
      <c r="C12626" s="2" t="n">
        <v>43759</v>
      </c>
      <c r="D12626" t="inlineStr">
        <is>
          <t>NIL</t>
        </is>
      </c>
      <c r="E12626" t="n">
        <v>2326</v>
      </c>
    </row>
    <row r="12627">
      <c r="A12627" t="inlineStr">
        <is>
          <t>27BBBBB12627Z5</t>
        </is>
      </c>
      <c r="B12627" t="inlineStr">
        <is>
          <t>Mar-2021</t>
        </is>
      </c>
      <c r="C12627" s="2" t="n">
        <v>45269</v>
      </c>
      <c r="D12627" t="inlineStr">
        <is>
          <t>NIL</t>
        </is>
      </c>
      <c r="E12627" t="n">
        <v>2946</v>
      </c>
    </row>
    <row r="12628">
      <c r="A12628" t="inlineStr">
        <is>
          <t>27BBBBB12628Z5</t>
        </is>
      </c>
      <c r="B12628" t="inlineStr">
        <is>
          <t>Oct-2017</t>
        </is>
      </c>
      <c r="C12628" s="2" t="n">
        <v>43948</v>
      </c>
      <c r="D12628" t="inlineStr">
        <is>
          <t>NIL</t>
        </is>
      </c>
      <c r="E12628" t="n">
        <v>352</v>
      </c>
    </row>
    <row r="12629">
      <c r="A12629" t="inlineStr">
        <is>
          <t>27BBBBB12629Z5</t>
        </is>
      </c>
      <c r="B12629" t="inlineStr">
        <is>
          <t>Jul-2020</t>
        </is>
      </c>
      <c r="C12629" s="2" t="n">
        <v>44664</v>
      </c>
      <c r="D12629" t="inlineStr">
        <is>
          <t>NIL</t>
        </is>
      </c>
      <c r="E12629" t="n">
        <v>2080</v>
      </c>
    </row>
    <row r="12630">
      <c r="A12630" t="inlineStr">
        <is>
          <t>27BBBBB12630Z5</t>
        </is>
      </c>
      <c r="B12630" t="inlineStr">
        <is>
          <t>Dec-2018</t>
        </is>
      </c>
      <c r="C12630" s="2" t="n">
        <v>43871</v>
      </c>
      <c r="D12630" t="inlineStr">
        <is>
          <t>NON-NIL</t>
        </is>
      </c>
      <c r="E12630" t="n">
        <v>1472</v>
      </c>
    </row>
    <row r="12631">
      <c r="A12631" t="inlineStr">
        <is>
          <t>27BBBBB12631Z5</t>
        </is>
      </c>
      <c r="B12631" t="inlineStr">
        <is>
          <t>Dec-2022</t>
        </is>
      </c>
      <c r="C12631" s="2" t="n">
        <v>44454</v>
      </c>
      <c r="D12631" t="inlineStr">
        <is>
          <t>NON-NIL</t>
        </is>
      </c>
      <c r="E12631" t="n">
        <v>340</v>
      </c>
    </row>
    <row r="12632">
      <c r="A12632" t="inlineStr">
        <is>
          <t>27BBBBB12632Z5</t>
        </is>
      </c>
      <c r="B12632" t="inlineStr">
        <is>
          <t>Nov-2018</t>
        </is>
      </c>
      <c r="C12632" s="2" t="n">
        <v>44404</v>
      </c>
      <c r="D12632" t="inlineStr">
        <is>
          <t>NON-NIL</t>
        </is>
      </c>
      <c r="E12632" t="n">
        <v>2264</v>
      </c>
    </row>
    <row r="12633">
      <c r="A12633" t="inlineStr">
        <is>
          <t>27BBBBB12633Z5</t>
        </is>
      </c>
      <c r="B12633" t="inlineStr">
        <is>
          <t>Aug-2018</t>
        </is>
      </c>
      <c r="C12633" s="2" t="n">
        <v>43355</v>
      </c>
      <c r="D12633" t="inlineStr">
        <is>
          <t>NON-NIL</t>
        </is>
      </c>
      <c r="E12633" t="n">
        <v>2193</v>
      </c>
    </row>
    <row r="12634">
      <c r="A12634" t="inlineStr">
        <is>
          <t>27BBBBB12634Z5</t>
        </is>
      </c>
      <c r="B12634" t="inlineStr">
        <is>
          <t>Apr-2018</t>
        </is>
      </c>
      <c r="C12634" s="2" t="n">
        <v>44475</v>
      </c>
      <c r="D12634" t="inlineStr">
        <is>
          <t>NON-NIL</t>
        </is>
      </c>
      <c r="E12634" t="n">
        <v>1891</v>
      </c>
    </row>
    <row r="12635">
      <c r="A12635" t="inlineStr">
        <is>
          <t>27BBBBB12635Z5</t>
        </is>
      </c>
      <c r="B12635" t="inlineStr">
        <is>
          <t>Jul-2020</t>
        </is>
      </c>
      <c r="C12635" s="2" t="n">
        <v>44115</v>
      </c>
      <c r="D12635" t="inlineStr">
        <is>
          <t>NON-NIL</t>
        </is>
      </c>
      <c r="E12635" t="n">
        <v>1852</v>
      </c>
    </row>
    <row r="12636">
      <c r="A12636" t="inlineStr">
        <is>
          <t>27BBBBB12636Z5</t>
        </is>
      </c>
      <c r="B12636" t="inlineStr">
        <is>
          <t>Mar-2020</t>
        </is>
      </c>
      <c r="C12636" s="2" t="n">
        <v>44537</v>
      </c>
      <c r="D12636" t="inlineStr">
        <is>
          <t>NIL</t>
        </is>
      </c>
      <c r="E12636" t="n">
        <v>889</v>
      </c>
    </row>
    <row r="12637">
      <c r="A12637" t="inlineStr">
        <is>
          <t>27BBBBB12637Z5</t>
        </is>
      </c>
      <c r="B12637" t="inlineStr">
        <is>
          <t>May-2018</t>
        </is>
      </c>
      <c r="C12637" s="2" t="n">
        <v>43623</v>
      </c>
      <c r="D12637" t="inlineStr">
        <is>
          <t>NIL</t>
        </is>
      </c>
      <c r="E12637" t="n">
        <v>2635</v>
      </c>
    </row>
    <row r="12638">
      <c r="A12638" t="inlineStr">
        <is>
          <t>27BBBBB12638Z5</t>
        </is>
      </c>
      <c r="B12638" t="inlineStr">
        <is>
          <t>May-2018</t>
        </is>
      </c>
      <c r="C12638" s="2" t="n">
        <v>43364</v>
      </c>
      <c r="D12638" t="inlineStr">
        <is>
          <t>NIL</t>
        </is>
      </c>
      <c r="E12638" t="n">
        <v>665</v>
      </c>
    </row>
    <row r="12639">
      <c r="A12639" t="inlineStr">
        <is>
          <t>27BBBBB12639Z5</t>
        </is>
      </c>
      <c r="B12639" t="inlineStr">
        <is>
          <t>May-2018</t>
        </is>
      </c>
      <c r="C12639" s="2" t="n">
        <v>43600</v>
      </c>
      <c r="D12639" t="inlineStr">
        <is>
          <t>NON-NIL</t>
        </is>
      </c>
      <c r="E12639" t="n">
        <v>1423</v>
      </c>
    </row>
    <row r="12640">
      <c r="A12640" t="inlineStr">
        <is>
          <t>27BBBBB12640Z5</t>
        </is>
      </c>
      <c r="B12640" t="inlineStr">
        <is>
          <t>Apr-2020</t>
        </is>
      </c>
      <c r="C12640" s="2" t="n">
        <v>44813</v>
      </c>
      <c r="D12640" t="inlineStr">
        <is>
          <t>NON-NIL</t>
        </is>
      </c>
      <c r="E12640" t="n">
        <v>2237</v>
      </c>
    </row>
    <row r="12641">
      <c r="A12641" t="inlineStr">
        <is>
          <t>27BBBBB12641Z5</t>
        </is>
      </c>
      <c r="B12641" t="inlineStr">
        <is>
          <t>Dec-2024</t>
        </is>
      </c>
      <c r="C12641" s="2" t="n">
        <v>45695</v>
      </c>
      <c r="D12641" t="inlineStr">
        <is>
          <t>NON-NIL</t>
        </is>
      </c>
      <c r="E12641" t="n">
        <v>1607</v>
      </c>
    </row>
    <row r="12642">
      <c r="A12642" t="inlineStr">
        <is>
          <t>27BBBBB12642Z5</t>
        </is>
      </c>
      <c r="B12642" t="inlineStr">
        <is>
          <t>Apr-2020</t>
        </is>
      </c>
      <c r="C12642" s="2" t="n">
        <v>44739</v>
      </c>
      <c r="D12642" t="inlineStr">
        <is>
          <t>NIL</t>
        </is>
      </c>
      <c r="E12642" t="n">
        <v>1253</v>
      </c>
    </row>
    <row r="12643">
      <c r="A12643" t="inlineStr">
        <is>
          <t>27BBBBB12643Z5</t>
        </is>
      </c>
      <c r="B12643" t="inlineStr">
        <is>
          <t>Dec-2017</t>
        </is>
      </c>
      <c r="C12643" s="2" t="n">
        <v>43283</v>
      </c>
      <c r="D12643" t="inlineStr">
        <is>
          <t>NIL</t>
        </is>
      </c>
      <c r="E12643" t="n">
        <v>656</v>
      </c>
    </row>
    <row r="12644">
      <c r="A12644" t="inlineStr">
        <is>
          <t>27BBBBB12644Z5</t>
        </is>
      </c>
      <c r="B12644" t="inlineStr">
        <is>
          <t>Apr-2018</t>
        </is>
      </c>
      <c r="C12644" s="2" t="n">
        <v>43491</v>
      </c>
      <c r="D12644" t="inlineStr">
        <is>
          <t>NON-NIL</t>
        </is>
      </c>
      <c r="E12644" t="n">
        <v>2715</v>
      </c>
    </row>
    <row r="12645">
      <c r="A12645" t="inlineStr">
        <is>
          <t>27BBBBB12645Z5</t>
        </is>
      </c>
      <c r="B12645" t="inlineStr">
        <is>
          <t>Nov-2018</t>
        </is>
      </c>
      <c r="C12645" s="2" t="n">
        <v>44171</v>
      </c>
      <c r="D12645" t="inlineStr">
        <is>
          <t>NIL</t>
        </is>
      </c>
      <c r="E12645" t="n">
        <v>701</v>
      </c>
    </row>
    <row r="12646">
      <c r="A12646" t="inlineStr">
        <is>
          <t>27BBBBB12646Z5</t>
        </is>
      </c>
      <c r="B12646" t="inlineStr">
        <is>
          <t>Jul-2020</t>
        </is>
      </c>
      <c r="C12646" s="2" t="n">
        <v>44282</v>
      </c>
      <c r="D12646" t="inlineStr">
        <is>
          <t>NON-NIL</t>
        </is>
      </c>
      <c r="E12646" t="n">
        <v>138</v>
      </c>
    </row>
    <row r="12647">
      <c r="A12647" t="inlineStr">
        <is>
          <t>27BBBBB12647Z5</t>
        </is>
      </c>
      <c r="B12647" t="inlineStr">
        <is>
          <t>Jul-2020</t>
        </is>
      </c>
      <c r="C12647" s="2" t="n">
        <v>44097</v>
      </c>
      <c r="D12647" t="inlineStr">
        <is>
          <t>NON-NIL</t>
        </is>
      </c>
      <c r="E12647" t="n">
        <v>124</v>
      </c>
    </row>
    <row r="12648">
      <c r="A12648" t="inlineStr">
        <is>
          <t>27BBBBB12648Z5</t>
        </is>
      </c>
      <c r="B12648" t="inlineStr">
        <is>
          <t>Nov-2017</t>
        </is>
      </c>
      <c r="C12648" s="2" t="n">
        <v>43448</v>
      </c>
      <c r="D12648" t="inlineStr">
        <is>
          <t>NIL</t>
        </is>
      </c>
      <c r="E12648" t="n">
        <v>2080</v>
      </c>
    </row>
    <row r="12649">
      <c r="A12649" t="inlineStr">
        <is>
          <t>27BBBBB12649Z5</t>
        </is>
      </c>
      <c r="B12649" t="inlineStr">
        <is>
          <t>Oct-2018</t>
        </is>
      </c>
      <c r="C12649" s="2" t="n">
        <v>44091</v>
      </c>
      <c r="D12649" t="inlineStr">
        <is>
          <t>NON-NIL</t>
        </is>
      </c>
      <c r="E12649" t="n">
        <v>2068</v>
      </c>
    </row>
    <row r="12650">
      <c r="A12650" t="inlineStr">
        <is>
          <t>27BBBBB12650Z5</t>
        </is>
      </c>
      <c r="B12650" t="inlineStr">
        <is>
          <t>May-2018</t>
        </is>
      </c>
      <c r="C12650" s="2" t="n">
        <v>44123</v>
      </c>
      <c r="D12650" t="inlineStr">
        <is>
          <t>NIL</t>
        </is>
      </c>
      <c r="E12650" t="n">
        <v>2147</v>
      </c>
    </row>
    <row r="12651">
      <c r="A12651" t="inlineStr">
        <is>
          <t>27BBBBB12651Z5</t>
        </is>
      </c>
      <c r="B12651" t="inlineStr">
        <is>
          <t>Jul-2020</t>
        </is>
      </c>
      <c r="C12651" s="2" t="n">
        <v>44630</v>
      </c>
      <c r="D12651" t="inlineStr">
        <is>
          <t>NON-NIL</t>
        </is>
      </c>
      <c r="E12651" t="n">
        <v>2021</v>
      </c>
    </row>
    <row r="12652">
      <c r="A12652" t="inlineStr">
        <is>
          <t>27BBBBB12652Z5</t>
        </is>
      </c>
      <c r="B12652" t="inlineStr">
        <is>
          <t>Mar-2021</t>
        </is>
      </c>
      <c r="C12652" s="2" t="n">
        <v>43936</v>
      </c>
      <c r="D12652" t="inlineStr">
        <is>
          <t>NON-NIL</t>
        </is>
      </c>
      <c r="E12652" t="n">
        <v>2353</v>
      </c>
    </row>
    <row r="12653">
      <c r="A12653" t="inlineStr">
        <is>
          <t>27BBBBB12653Z5</t>
        </is>
      </c>
      <c r="B12653" t="inlineStr">
        <is>
          <t>Sep-2017</t>
        </is>
      </c>
      <c r="C12653" s="2" t="n">
        <v>43800</v>
      </c>
      <c r="D12653" t="inlineStr">
        <is>
          <t>NON-NIL</t>
        </is>
      </c>
      <c r="E12653" t="n">
        <v>2281</v>
      </c>
    </row>
    <row r="12654">
      <c r="A12654" t="inlineStr">
        <is>
          <t>27BBBBB12654Z5</t>
        </is>
      </c>
      <c r="B12654" t="inlineStr">
        <is>
          <t>Jul-2020</t>
        </is>
      </c>
      <c r="C12654" s="2" t="n">
        <v>43862</v>
      </c>
      <c r="D12654" t="inlineStr">
        <is>
          <t>NIL</t>
        </is>
      </c>
      <c r="E12654" t="n">
        <v>1491</v>
      </c>
    </row>
    <row r="12655">
      <c r="A12655" t="inlineStr">
        <is>
          <t>27BBBBB12655Z5</t>
        </is>
      </c>
      <c r="B12655" t="inlineStr">
        <is>
          <t>May-2020</t>
        </is>
      </c>
      <c r="C12655" s="2" t="n">
        <v>44499</v>
      </c>
      <c r="D12655" t="inlineStr">
        <is>
          <t>NIL</t>
        </is>
      </c>
      <c r="E12655" t="n">
        <v>12</v>
      </c>
    </row>
    <row r="12656">
      <c r="A12656" t="inlineStr">
        <is>
          <t>27BBBBB12656Z5</t>
        </is>
      </c>
      <c r="B12656" t="inlineStr">
        <is>
          <t>Sep-2017</t>
        </is>
      </c>
      <c r="C12656" s="2" t="n">
        <v>44217</v>
      </c>
      <c r="D12656" t="inlineStr">
        <is>
          <t>NIL</t>
        </is>
      </c>
      <c r="E12656" t="n">
        <v>2187</v>
      </c>
    </row>
    <row r="12657">
      <c r="A12657" t="inlineStr">
        <is>
          <t>27BBBBB12657Z5</t>
        </is>
      </c>
      <c r="B12657" t="inlineStr">
        <is>
          <t>Mar-2021</t>
        </is>
      </c>
      <c r="C12657" s="2" t="n">
        <v>44577</v>
      </c>
      <c r="D12657" t="inlineStr">
        <is>
          <t>NIL</t>
        </is>
      </c>
      <c r="E12657" t="n">
        <v>1475</v>
      </c>
    </row>
    <row r="12658">
      <c r="A12658" t="inlineStr">
        <is>
          <t>27BBBBB12658Z5</t>
        </is>
      </c>
      <c r="B12658" t="inlineStr">
        <is>
          <t>May-2020</t>
        </is>
      </c>
      <c r="C12658" s="2" t="n">
        <v>44209</v>
      </c>
      <c r="D12658" t="inlineStr">
        <is>
          <t>NON-NIL</t>
        </is>
      </c>
      <c r="E12658" t="n">
        <v>1139</v>
      </c>
    </row>
    <row r="12659">
      <c r="A12659" t="inlineStr">
        <is>
          <t>27BBBBB12659Z5</t>
        </is>
      </c>
      <c r="B12659" t="inlineStr">
        <is>
          <t>Jul-2017</t>
        </is>
      </c>
      <c r="C12659" s="2" t="n">
        <v>43561</v>
      </c>
      <c r="D12659" t="inlineStr">
        <is>
          <t>NIL</t>
        </is>
      </c>
      <c r="E12659" t="n">
        <v>1987</v>
      </c>
    </row>
    <row r="12660">
      <c r="A12660" t="inlineStr">
        <is>
          <t>27BBBBB12660Z5</t>
        </is>
      </c>
      <c r="B12660" t="inlineStr">
        <is>
          <t>Apr-2020</t>
        </is>
      </c>
      <c r="C12660" s="2" t="n">
        <v>44512</v>
      </c>
      <c r="D12660" t="inlineStr">
        <is>
          <t>NIL</t>
        </is>
      </c>
      <c r="E12660" t="n">
        <v>284</v>
      </c>
    </row>
    <row r="12661">
      <c r="A12661" t="inlineStr">
        <is>
          <t>27BBBBB12661Z5</t>
        </is>
      </c>
      <c r="B12661" t="inlineStr">
        <is>
          <t>Apr-2020</t>
        </is>
      </c>
      <c r="C12661" s="2" t="n">
        <v>44038</v>
      </c>
      <c r="D12661" t="inlineStr">
        <is>
          <t>NON-NIL</t>
        </is>
      </c>
      <c r="E12661" t="n">
        <v>1500</v>
      </c>
    </row>
    <row r="12662">
      <c r="A12662" t="inlineStr">
        <is>
          <t>27BBBBB12662Z5</t>
        </is>
      </c>
      <c r="B12662" t="inlineStr">
        <is>
          <t>Mar-2020</t>
        </is>
      </c>
      <c r="C12662" s="2" t="n">
        <v>44564</v>
      </c>
      <c r="D12662" t="inlineStr">
        <is>
          <t>NIL</t>
        </is>
      </c>
      <c r="E12662" t="n">
        <v>441</v>
      </c>
    </row>
    <row r="12663">
      <c r="A12663" t="inlineStr">
        <is>
          <t>27BBBBB12663Z5</t>
        </is>
      </c>
      <c r="B12663" t="inlineStr">
        <is>
          <t>Apr-2018</t>
        </is>
      </c>
      <c r="C12663" s="2" t="n">
        <v>43719</v>
      </c>
      <c r="D12663" t="inlineStr">
        <is>
          <t>NIL</t>
        </is>
      </c>
      <c r="E12663" t="n">
        <v>210</v>
      </c>
    </row>
    <row r="12664">
      <c r="A12664" t="inlineStr">
        <is>
          <t>27BBBBB12664Z5</t>
        </is>
      </c>
      <c r="B12664" t="inlineStr">
        <is>
          <t>Apr-2020</t>
        </is>
      </c>
      <c r="C12664" s="2" t="n">
        <v>44850</v>
      </c>
      <c r="D12664" t="inlineStr">
        <is>
          <t>NON-NIL</t>
        </is>
      </c>
      <c r="E12664" t="n">
        <v>2587</v>
      </c>
    </row>
    <row r="12665">
      <c r="A12665" t="inlineStr">
        <is>
          <t>27BBBBB12665Z5</t>
        </is>
      </c>
      <c r="B12665" t="inlineStr">
        <is>
          <t>Mar-2021</t>
        </is>
      </c>
      <c r="C12665" s="2" t="n">
        <v>43884</v>
      </c>
      <c r="D12665" t="inlineStr">
        <is>
          <t>NON-NIL</t>
        </is>
      </c>
      <c r="E12665" t="n">
        <v>1951</v>
      </c>
    </row>
    <row r="12666">
      <c r="A12666" t="inlineStr">
        <is>
          <t>27BBBBB12666Z5</t>
        </is>
      </c>
      <c r="B12666" t="inlineStr">
        <is>
          <t>Aug-2018</t>
        </is>
      </c>
      <c r="C12666" s="2" t="n">
        <v>43777</v>
      </c>
      <c r="D12666" t="inlineStr">
        <is>
          <t>NON-NIL</t>
        </is>
      </c>
      <c r="E12666" t="n">
        <v>2821</v>
      </c>
    </row>
    <row r="12667">
      <c r="A12667" t="inlineStr">
        <is>
          <t>27BBBBB12667Z5</t>
        </is>
      </c>
      <c r="B12667" t="inlineStr">
        <is>
          <t>Aug-2017</t>
        </is>
      </c>
      <c r="C12667" s="2" t="n">
        <v>43023</v>
      </c>
      <c r="D12667" t="inlineStr">
        <is>
          <t>NON-NIL</t>
        </is>
      </c>
      <c r="E12667" t="n">
        <v>533</v>
      </c>
    </row>
    <row r="12668">
      <c r="A12668" t="inlineStr">
        <is>
          <t>27BBBBB12668Z5</t>
        </is>
      </c>
      <c r="B12668" t="inlineStr">
        <is>
          <t>Jul-2017</t>
        </is>
      </c>
      <c r="C12668" s="2" t="n">
        <v>43345</v>
      </c>
      <c r="D12668" t="inlineStr">
        <is>
          <t>NIL</t>
        </is>
      </c>
      <c r="E12668" t="n">
        <v>2885</v>
      </c>
    </row>
    <row r="12669">
      <c r="A12669" t="inlineStr">
        <is>
          <t>27BBBBB12669Z5</t>
        </is>
      </c>
      <c r="B12669" t="inlineStr">
        <is>
          <t>Mar-2021</t>
        </is>
      </c>
      <c r="C12669" s="2" t="n">
        <v>44091</v>
      </c>
      <c r="D12669" t="inlineStr">
        <is>
          <t>NON-NIL</t>
        </is>
      </c>
      <c r="E12669" t="n">
        <v>2207</v>
      </c>
    </row>
    <row r="12670">
      <c r="A12670" t="inlineStr">
        <is>
          <t>27BBBBB12670Z5</t>
        </is>
      </c>
      <c r="B12670" t="inlineStr">
        <is>
          <t>Dec-2024</t>
        </is>
      </c>
      <c r="C12670" s="2" t="n">
        <v>44982</v>
      </c>
      <c r="D12670" t="inlineStr">
        <is>
          <t>NON-NIL</t>
        </is>
      </c>
      <c r="E12670" t="n">
        <v>631</v>
      </c>
    </row>
    <row r="12671">
      <c r="A12671" t="inlineStr">
        <is>
          <t>27BBBBB12671Z5</t>
        </is>
      </c>
      <c r="B12671" t="inlineStr">
        <is>
          <t>Jul-2020</t>
        </is>
      </c>
      <c r="C12671" s="2" t="n">
        <v>44920</v>
      </c>
      <c r="D12671" t="inlineStr">
        <is>
          <t>NIL</t>
        </is>
      </c>
      <c r="E12671" t="n">
        <v>2106</v>
      </c>
    </row>
    <row r="12672">
      <c r="A12672" t="inlineStr">
        <is>
          <t>27BBBBB12672Z5</t>
        </is>
      </c>
      <c r="B12672" t="inlineStr">
        <is>
          <t>May-2018</t>
        </is>
      </c>
      <c r="C12672" s="2" t="n">
        <v>44255</v>
      </c>
      <c r="D12672" t="inlineStr">
        <is>
          <t>NON-NIL</t>
        </is>
      </c>
      <c r="E12672" t="n">
        <v>421</v>
      </c>
    </row>
    <row r="12673">
      <c r="A12673" t="inlineStr">
        <is>
          <t>27BBBBB12673Z5</t>
        </is>
      </c>
      <c r="B12673" t="inlineStr">
        <is>
          <t>Nov-2017</t>
        </is>
      </c>
      <c r="C12673" s="2" t="n">
        <v>43152</v>
      </c>
      <c r="D12673" t="inlineStr">
        <is>
          <t>NON-NIL</t>
        </is>
      </c>
      <c r="E12673" t="n">
        <v>1921</v>
      </c>
    </row>
    <row r="12674">
      <c r="A12674" t="inlineStr">
        <is>
          <t>27BBBBB12674Z5</t>
        </is>
      </c>
      <c r="B12674" t="inlineStr">
        <is>
          <t>Nov-2018</t>
        </is>
      </c>
      <c r="C12674" s="2" t="n">
        <v>43639</v>
      </c>
      <c r="D12674" t="inlineStr">
        <is>
          <t>NON-NIL</t>
        </is>
      </c>
      <c r="E12674" t="n">
        <v>208</v>
      </c>
    </row>
    <row r="12675">
      <c r="A12675" t="inlineStr">
        <is>
          <t>27BBBBB12675Z5</t>
        </is>
      </c>
      <c r="B12675" t="inlineStr">
        <is>
          <t>May-2020</t>
        </is>
      </c>
      <c r="C12675" s="2" t="n">
        <v>44455</v>
      </c>
      <c r="D12675" t="inlineStr">
        <is>
          <t>NON-NIL</t>
        </is>
      </c>
      <c r="E12675" t="n">
        <v>2248</v>
      </c>
    </row>
    <row r="12676">
      <c r="A12676" t="inlineStr">
        <is>
          <t>27BBBBB12676Z5</t>
        </is>
      </c>
      <c r="B12676" t="inlineStr">
        <is>
          <t>Aug-2017</t>
        </is>
      </c>
      <c r="C12676" s="2" t="n">
        <v>43512</v>
      </c>
      <c r="D12676" t="inlineStr">
        <is>
          <t>NON-NIL</t>
        </is>
      </c>
      <c r="E12676" t="n">
        <v>2884</v>
      </c>
    </row>
    <row r="12677">
      <c r="A12677" t="inlineStr">
        <is>
          <t>27BBBBB12677Z5</t>
        </is>
      </c>
      <c r="B12677" t="inlineStr">
        <is>
          <t>May-2018</t>
        </is>
      </c>
      <c r="C12677" s="2" t="n">
        <v>42966</v>
      </c>
      <c r="D12677" t="inlineStr">
        <is>
          <t>NON-NIL</t>
        </is>
      </c>
      <c r="E12677" t="n">
        <v>538</v>
      </c>
    </row>
    <row r="12678">
      <c r="A12678" t="inlineStr">
        <is>
          <t>27BBBBB12678Z5</t>
        </is>
      </c>
      <c r="B12678" t="inlineStr">
        <is>
          <t>Jul-2020</t>
        </is>
      </c>
      <c r="C12678" s="2" t="n">
        <v>44052</v>
      </c>
      <c r="D12678" t="inlineStr">
        <is>
          <t>NON-NIL</t>
        </is>
      </c>
      <c r="E12678" t="n">
        <v>2835</v>
      </c>
    </row>
    <row r="12679">
      <c r="A12679" t="inlineStr">
        <is>
          <t>27BBBBB12679Z5</t>
        </is>
      </c>
      <c r="B12679" t="inlineStr">
        <is>
          <t>Mar-2020</t>
        </is>
      </c>
      <c r="C12679" s="2" t="n">
        <v>44185</v>
      </c>
      <c r="D12679" t="inlineStr">
        <is>
          <t>NIL</t>
        </is>
      </c>
      <c r="E12679" t="n">
        <v>1867</v>
      </c>
    </row>
    <row r="12680">
      <c r="A12680" t="inlineStr">
        <is>
          <t>27BBBBB12680Z5</t>
        </is>
      </c>
      <c r="B12680" t="inlineStr">
        <is>
          <t>Oct-2018</t>
        </is>
      </c>
      <c r="C12680" s="2" t="n">
        <v>43706</v>
      </c>
      <c r="D12680" t="inlineStr">
        <is>
          <t>NON-NIL</t>
        </is>
      </c>
      <c r="E12680" t="n">
        <v>2468</v>
      </c>
    </row>
    <row r="12681">
      <c r="A12681" t="inlineStr">
        <is>
          <t>27BBBBB12681Z5</t>
        </is>
      </c>
      <c r="B12681" t="inlineStr">
        <is>
          <t>Sep-2018</t>
        </is>
      </c>
      <c r="C12681" s="2" t="n">
        <v>43921</v>
      </c>
      <c r="D12681" t="inlineStr">
        <is>
          <t>NIL</t>
        </is>
      </c>
      <c r="E12681" t="n">
        <v>1980</v>
      </c>
    </row>
    <row r="12682">
      <c r="A12682" t="inlineStr">
        <is>
          <t>27BBBBB12682Z5</t>
        </is>
      </c>
      <c r="B12682" t="inlineStr">
        <is>
          <t>May-2018</t>
        </is>
      </c>
      <c r="C12682" s="2" t="n">
        <v>44150</v>
      </c>
      <c r="D12682" t="inlineStr">
        <is>
          <t>NIL</t>
        </is>
      </c>
      <c r="E12682" t="n">
        <v>133</v>
      </c>
    </row>
    <row r="12683">
      <c r="A12683" t="inlineStr">
        <is>
          <t>27BBBBB12683Z5</t>
        </is>
      </c>
      <c r="B12683" t="inlineStr">
        <is>
          <t>Mar-2023</t>
        </is>
      </c>
      <c r="C12683" s="2" t="n">
        <v>43579</v>
      </c>
      <c r="D12683" t="inlineStr">
        <is>
          <t>NON-NIL</t>
        </is>
      </c>
      <c r="E12683" t="n">
        <v>492</v>
      </c>
    </row>
    <row r="12684">
      <c r="A12684" t="inlineStr">
        <is>
          <t>27BBBBB12684Z5</t>
        </is>
      </c>
      <c r="B12684" t="inlineStr">
        <is>
          <t>May-2020</t>
        </is>
      </c>
      <c r="C12684" s="2" t="n">
        <v>44764</v>
      </c>
      <c r="D12684" t="inlineStr">
        <is>
          <t>NON-NIL</t>
        </is>
      </c>
      <c r="E12684" t="n">
        <v>2197</v>
      </c>
    </row>
    <row r="12685">
      <c r="A12685" t="inlineStr">
        <is>
          <t>27BBBBB12685Z5</t>
        </is>
      </c>
      <c r="B12685" t="inlineStr">
        <is>
          <t>May-2020</t>
        </is>
      </c>
      <c r="C12685" s="2" t="n">
        <v>44406</v>
      </c>
      <c r="D12685" t="inlineStr">
        <is>
          <t>NON-NIL</t>
        </is>
      </c>
      <c r="E12685" t="n">
        <v>1045</v>
      </c>
    </row>
    <row r="12686">
      <c r="A12686" t="inlineStr">
        <is>
          <t>27BBBBB12686Z5</t>
        </is>
      </c>
      <c r="B12686" t="inlineStr">
        <is>
          <t>Jun-2018</t>
        </is>
      </c>
      <c r="C12686" s="2" t="n">
        <v>43095</v>
      </c>
      <c r="D12686" t="inlineStr">
        <is>
          <t>NON-NIL</t>
        </is>
      </c>
      <c r="E12686" t="n">
        <v>149</v>
      </c>
    </row>
    <row r="12687">
      <c r="A12687" t="inlineStr">
        <is>
          <t>27BBBBB12687Z5</t>
        </is>
      </c>
      <c r="B12687" t="inlineStr">
        <is>
          <t>Feb-2018</t>
        </is>
      </c>
      <c r="C12687" s="2" t="n">
        <v>43042</v>
      </c>
      <c r="D12687" t="inlineStr">
        <is>
          <t>NIL</t>
        </is>
      </c>
      <c r="E12687" t="n">
        <v>1599</v>
      </c>
    </row>
    <row r="12688">
      <c r="A12688" t="inlineStr">
        <is>
          <t>27BBBBB12688Z5</t>
        </is>
      </c>
      <c r="B12688" t="inlineStr">
        <is>
          <t>Jan-2021</t>
        </is>
      </c>
      <c r="C12688" s="2" t="n">
        <v>45555</v>
      </c>
      <c r="D12688" t="inlineStr">
        <is>
          <t>NON-NIL</t>
        </is>
      </c>
      <c r="E12688" t="n">
        <v>913</v>
      </c>
    </row>
    <row r="12689">
      <c r="A12689" t="inlineStr">
        <is>
          <t>27BBBBB12689Z5</t>
        </is>
      </c>
      <c r="B12689" t="inlineStr">
        <is>
          <t>Mar-2023</t>
        </is>
      </c>
      <c r="C12689" s="2" t="n">
        <v>44468</v>
      </c>
      <c r="D12689" t="inlineStr">
        <is>
          <t>NIL</t>
        </is>
      </c>
      <c r="E12689" t="n">
        <v>437</v>
      </c>
    </row>
    <row r="12690">
      <c r="A12690" t="inlineStr">
        <is>
          <t>27BBBBB12690Z5</t>
        </is>
      </c>
      <c r="B12690" t="inlineStr">
        <is>
          <t>May-2018</t>
        </is>
      </c>
      <c r="C12690" s="2" t="n">
        <v>44053</v>
      </c>
      <c r="D12690" t="inlineStr">
        <is>
          <t>NON-NIL</t>
        </is>
      </c>
      <c r="E12690" t="n">
        <v>832</v>
      </c>
    </row>
    <row r="12691">
      <c r="A12691" t="inlineStr">
        <is>
          <t>27BBBBB12691Z5</t>
        </is>
      </c>
      <c r="B12691" t="inlineStr">
        <is>
          <t>Dec-2024</t>
        </is>
      </c>
      <c r="C12691" s="2" t="n">
        <v>43644</v>
      </c>
      <c r="D12691" t="inlineStr">
        <is>
          <t>NIL</t>
        </is>
      </c>
      <c r="E12691" t="n">
        <v>945</v>
      </c>
    </row>
    <row r="12692">
      <c r="A12692" t="inlineStr">
        <is>
          <t>27BBBBB12692Z5</t>
        </is>
      </c>
      <c r="B12692" t="inlineStr">
        <is>
          <t>Sep-2017</t>
        </is>
      </c>
      <c r="C12692" s="2" t="n">
        <v>43416</v>
      </c>
      <c r="D12692" t="inlineStr">
        <is>
          <t>NON-NIL</t>
        </is>
      </c>
      <c r="E12692" t="n">
        <v>2264</v>
      </c>
    </row>
    <row r="12693">
      <c r="A12693" t="inlineStr">
        <is>
          <t>27BBBBB12693Z5</t>
        </is>
      </c>
      <c r="B12693" t="inlineStr">
        <is>
          <t>Oct-2018</t>
        </is>
      </c>
      <c r="C12693" s="2" t="n">
        <v>43501</v>
      </c>
      <c r="D12693" t="inlineStr">
        <is>
          <t>NIL</t>
        </is>
      </c>
      <c r="E12693" t="n">
        <v>535</v>
      </c>
    </row>
    <row r="12694">
      <c r="A12694" t="inlineStr">
        <is>
          <t>27BBBBB12694Z5</t>
        </is>
      </c>
      <c r="B12694" t="inlineStr">
        <is>
          <t>Oct-2018</t>
        </is>
      </c>
      <c r="C12694" s="2" t="n">
        <v>43474</v>
      </c>
      <c r="D12694" t="inlineStr">
        <is>
          <t>NIL</t>
        </is>
      </c>
      <c r="E12694" t="n">
        <v>1340</v>
      </c>
    </row>
    <row r="12695">
      <c r="A12695" t="inlineStr">
        <is>
          <t>27BBBBB12695Z5</t>
        </is>
      </c>
      <c r="B12695" t="inlineStr">
        <is>
          <t>Nov-2017</t>
        </is>
      </c>
      <c r="C12695" s="2" t="n">
        <v>43533</v>
      </c>
      <c r="D12695" t="inlineStr">
        <is>
          <t>NIL</t>
        </is>
      </c>
      <c r="E12695" t="n">
        <v>1188</v>
      </c>
    </row>
    <row r="12696">
      <c r="A12696" t="inlineStr">
        <is>
          <t>27BBBBB12696Z5</t>
        </is>
      </c>
      <c r="B12696" t="inlineStr">
        <is>
          <t>Feb-2018</t>
        </is>
      </c>
      <c r="C12696" s="2" t="n">
        <v>44123</v>
      </c>
      <c r="D12696" t="inlineStr">
        <is>
          <t>NON-NIL</t>
        </is>
      </c>
      <c r="E12696" t="n">
        <v>78</v>
      </c>
    </row>
    <row r="12697">
      <c r="A12697" t="inlineStr">
        <is>
          <t>27BBBBB12697Z5</t>
        </is>
      </c>
      <c r="B12697" t="inlineStr">
        <is>
          <t>Oct-2017</t>
        </is>
      </c>
      <c r="C12697" s="2" t="n">
        <v>42967</v>
      </c>
      <c r="D12697" t="inlineStr">
        <is>
          <t>NON-NIL</t>
        </is>
      </c>
      <c r="E12697" t="n">
        <v>2765</v>
      </c>
    </row>
    <row r="12698">
      <c r="A12698" t="inlineStr">
        <is>
          <t>27BBBBB12698Z5</t>
        </is>
      </c>
      <c r="B12698" t="inlineStr">
        <is>
          <t>Dec-2018</t>
        </is>
      </c>
      <c r="C12698" s="2" t="n">
        <v>43983</v>
      </c>
      <c r="D12698" t="inlineStr">
        <is>
          <t>NIL</t>
        </is>
      </c>
      <c r="E12698" t="n">
        <v>1852</v>
      </c>
    </row>
    <row r="12699">
      <c r="A12699" t="inlineStr">
        <is>
          <t>27BBBBB12699Z5</t>
        </is>
      </c>
      <c r="B12699" t="inlineStr">
        <is>
          <t>Apr-2018</t>
        </is>
      </c>
      <c r="C12699" s="2" t="n">
        <v>43467</v>
      </c>
      <c r="D12699" t="inlineStr">
        <is>
          <t>NIL</t>
        </is>
      </c>
      <c r="E12699" t="n">
        <v>458</v>
      </c>
    </row>
    <row r="12700">
      <c r="A12700" t="inlineStr">
        <is>
          <t>27BBBBB12700Z5</t>
        </is>
      </c>
      <c r="B12700" t="inlineStr">
        <is>
          <t>Apr-2020</t>
        </is>
      </c>
      <c r="C12700" s="2" t="n">
        <v>44198</v>
      </c>
      <c r="D12700" t="inlineStr">
        <is>
          <t>NON-NIL</t>
        </is>
      </c>
      <c r="E12700" t="n">
        <v>1731</v>
      </c>
    </row>
    <row r="12701">
      <c r="A12701" t="inlineStr">
        <is>
          <t>27BBBBB12701Z5</t>
        </is>
      </c>
      <c r="B12701" t="inlineStr">
        <is>
          <t>Feb-2018</t>
        </is>
      </c>
      <c r="C12701" s="2" t="n">
        <v>43837</v>
      </c>
      <c r="D12701" t="inlineStr">
        <is>
          <t>NON-NIL</t>
        </is>
      </c>
      <c r="E12701" t="n">
        <v>707</v>
      </c>
    </row>
    <row r="12702">
      <c r="A12702" t="inlineStr">
        <is>
          <t>27BBBBB12702Z5</t>
        </is>
      </c>
      <c r="B12702" t="inlineStr">
        <is>
          <t>Dec-2018</t>
        </is>
      </c>
      <c r="C12702" s="2" t="n">
        <v>44466</v>
      </c>
      <c r="D12702" t="inlineStr">
        <is>
          <t>NIL</t>
        </is>
      </c>
      <c r="E12702" t="n">
        <v>1299</v>
      </c>
    </row>
    <row r="12703">
      <c r="A12703" t="inlineStr">
        <is>
          <t>27BBBBB12703Z5</t>
        </is>
      </c>
      <c r="B12703" t="inlineStr">
        <is>
          <t>Jul-2017</t>
        </is>
      </c>
      <c r="C12703" s="2" t="n">
        <v>44218</v>
      </c>
      <c r="D12703" t="inlineStr">
        <is>
          <t>NON-NIL</t>
        </is>
      </c>
      <c r="E12703" t="n">
        <v>561</v>
      </c>
    </row>
    <row r="12704">
      <c r="A12704" t="inlineStr">
        <is>
          <t>27BBBBB12704Z5</t>
        </is>
      </c>
      <c r="B12704" t="inlineStr">
        <is>
          <t>Mar-2018</t>
        </is>
      </c>
      <c r="C12704" s="2" t="n">
        <v>44407</v>
      </c>
      <c r="D12704" t="inlineStr">
        <is>
          <t>NIL</t>
        </is>
      </c>
      <c r="E12704" t="n">
        <v>1252</v>
      </c>
    </row>
    <row r="12705">
      <c r="A12705" t="inlineStr">
        <is>
          <t>27BBBBB12705Z5</t>
        </is>
      </c>
      <c r="B12705" t="inlineStr">
        <is>
          <t>Jun-2018</t>
        </is>
      </c>
      <c r="C12705" s="2" t="n">
        <v>43289</v>
      </c>
      <c r="D12705" t="inlineStr">
        <is>
          <t>NIL</t>
        </is>
      </c>
      <c r="E12705" t="n">
        <v>1043</v>
      </c>
    </row>
    <row r="12706">
      <c r="A12706" t="inlineStr">
        <is>
          <t>27BBBBB12706Z5</t>
        </is>
      </c>
      <c r="B12706" t="inlineStr">
        <is>
          <t>Jan-2018</t>
        </is>
      </c>
      <c r="C12706" s="2" t="n">
        <v>42932</v>
      </c>
      <c r="D12706" t="inlineStr">
        <is>
          <t>NIL</t>
        </is>
      </c>
      <c r="E12706" t="n">
        <v>1103</v>
      </c>
    </row>
    <row r="12707">
      <c r="A12707" t="inlineStr">
        <is>
          <t>27BBBBB12707Z5</t>
        </is>
      </c>
      <c r="B12707" t="inlineStr">
        <is>
          <t>May-2020</t>
        </is>
      </c>
      <c r="C12707" s="2" t="n">
        <v>43894</v>
      </c>
      <c r="D12707" t="inlineStr">
        <is>
          <t>NON-NIL</t>
        </is>
      </c>
      <c r="E12707" t="n">
        <v>769</v>
      </c>
    </row>
    <row r="12708">
      <c r="A12708" t="inlineStr">
        <is>
          <t>27BBBBB12708Z5</t>
        </is>
      </c>
      <c r="B12708" t="inlineStr">
        <is>
          <t>Dec-2024</t>
        </is>
      </c>
      <c r="C12708" s="2" t="n">
        <v>45604</v>
      </c>
      <c r="D12708" t="inlineStr">
        <is>
          <t>NON-NIL</t>
        </is>
      </c>
      <c r="E12708" t="n">
        <v>2677</v>
      </c>
    </row>
    <row r="12709">
      <c r="A12709" t="inlineStr">
        <is>
          <t>27BBBBB12709Z5</t>
        </is>
      </c>
      <c r="B12709" t="inlineStr">
        <is>
          <t>Mar-2020</t>
        </is>
      </c>
      <c r="C12709" s="2" t="n">
        <v>44866</v>
      </c>
      <c r="D12709" t="inlineStr">
        <is>
          <t>NON-NIL</t>
        </is>
      </c>
      <c r="E12709" t="n">
        <v>1807</v>
      </c>
    </row>
    <row r="12710">
      <c r="A12710" t="inlineStr">
        <is>
          <t>27BBBBB12710Z5</t>
        </is>
      </c>
      <c r="B12710" t="inlineStr">
        <is>
          <t>May-2018</t>
        </is>
      </c>
      <c r="C12710" s="2" t="n">
        <v>44095</v>
      </c>
      <c r="D12710" t="inlineStr">
        <is>
          <t>NON-NIL</t>
        </is>
      </c>
      <c r="E12710" t="n">
        <v>357</v>
      </c>
    </row>
    <row r="12711">
      <c r="A12711" t="inlineStr">
        <is>
          <t>27BBBBB12711Z5</t>
        </is>
      </c>
      <c r="B12711" t="inlineStr">
        <is>
          <t>Nov-2018</t>
        </is>
      </c>
      <c r="C12711" s="2" t="n">
        <v>43723</v>
      </c>
      <c r="D12711" t="inlineStr">
        <is>
          <t>NON-NIL</t>
        </is>
      </c>
      <c r="E12711" t="n">
        <v>1549</v>
      </c>
    </row>
    <row r="12712">
      <c r="A12712" t="inlineStr">
        <is>
          <t>27BBBBB12712Z5</t>
        </is>
      </c>
      <c r="B12712" t="inlineStr">
        <is>
          <t>Oct-2017</t>
        </is>
      </c>
      <c r="C12712" s="2" t="n">
        <v>43433</v>
      </c>
      <c r="D12712" t="inlineStr">
        <is>
          <t>NIL</t>
        </is>
      </c>
      <c r="E12712" t="n">
        <v>773</v>
      </c>
    </row>
    <row r="12713">
      <c r="A12713" t="inlineStr">
        <is>
          <t>27BBBBB12713Z5</t>
        </is>
      </c>
      <c r="B12713" t="inlineStr">
        <is>
          <t>Mar-2021</t>
        </is>
      </c>
      <c r="C12713" s="2" t="n">
        <v>44802</v>
      </c>
      <c r="D12713" t="inlineStr">
        <is>
          <t>NON-NIL</t>
        </is>
      </c>
      <c r="E12713" t="n">
        <v>2661</v>
      </c>
    </row>
    <row r="12714">
      <c r="A12714" t="inlineStr">
        <is>
          <t>27BBBBB12714Z5</t>
        </is>
      </c>
      <c r="B12714" t="inlineStr">
        <is>
          <t>Mar-2018</t>
        </is>
      </c>
      <c r="C12714" s="2" t="n">
        <v>42968</v>
      </c>
      <c r="D12714" t="inlineStr">
        <is>
          <t>NON-NIL</t>
        </is>
      </c>
      <c r="E12714" t="n">
        <v>112</v>
      </c>
    </row>
    <row r="12715">
      <c r="A12715" t="inlineStr">
        <is>
          <t>27BBBBB12715Z5</t>
        </is>
      </c>
      <c r="B12715" t="inlineStr">
        <is>
          <t>Jul-2017</t>
        </is>
      </c>
      <c r="C12715" s="2" t="n">
        <v>43606</v>
      </c>
      <c r="D12715" t="inlineStr">
        <is>
          <t>NIL</t>
        </is>
      </c>
      <c r="E12715" t="n">
        <v>752</v>
      </c>
    </row>
    <row r="12716">
      <c r="A12716" t="inlineStr">
        <is>
          <t>27BBBBB12716Z5</t>
        </is>
      </c>
      <c r="B12716" t="inlineStr">
        <is>
          <t>Jun-2018</t>
        </is>
      </c>
      <c r="C12716" s="2" t="n">
        <v>44058</v>
      </c>
      <c r="D12716" t="inlineStr">
        <is>
          <t>NON-NIL</t>
        </is>
      </c>
      <c r="E12716" t="n">
        <v>1214</v>
      </c>
    </row>
    <row r="12717">
      <c r="A12717" t="inlineStr">
        <is>
          <t>27BBBBB12717Z5</t>
        </is>
      </c>
      <c r="B12717" t="inlineStr">
        <is>
          <t>Dec-2018</t>
        </is>
      </c>
      <c r="C12717" s="2" t="n">
        <v>44546</v>
      </c>
      <c r="D12717" t="inlineStr">
        <is>
          <t>NON-NIL</t>
        </is>
      </c>
      <c r="E12717" t="n">
        <v>2554</v>
      </c>
    </row>
    <row r="12718">
      <c r="A12718" t="inlineStr">
        <is>
          <t>27BBBBB12718Z5</t>
        </is>
      </c>
      <c r="B12718" t="inlineStr">
        <is>
          <t>Oct-2018</t>
        </is>
      </c>
      <c r="C12718" s="2" t="n">
        <v>43057</v>
      </c>
      <c r="D12718" t="inlineStr">
        <is>
          <t>NIL</t>
        </is>
      </c>
      <c r="E12718" t="n">
        <v>298</v>
      </c>
    </row>
    <row r="12719">
      <c r="A12719" t="inlineStr">
        <is>
          <t>27BBBBB12719Z5</t>
        </is>
      </c>
      <c r="B12719" t="inlineStr">
        <is>
          <t>Jul-2017</t>
        </is>
      </c>
      <c r="C12719" s="2" t="n">
        <v>43772</v>
      </c>
      <c r="D12719" t="inlineStr">
        <is>
          <t>NIL</t>
        </is>
      </c>
      <c r="E12719" t="n">
        <v>1510</v>
      </c>
    </row>
    <row r="12720">
      <c r="A12720" t="inlineStr">
        <is>
          <t>27BBBBB12720Z5</t>
        </is>
      </c>
      <c r="B12720" t="inlineStr">
        <is>
          <t>Sep-2018</t>
        </is>
      </c>
      <c r="C12720" s="2" t="n">
        <v>43844</v>
      </c>
      <c r="D12720" t="inlineStr">
        <is>
          <t>NIL</t>
        </is>
      </c>
      <c r="E12720" t="n">
        <v>2408</v>
      </c>
    </row>
    <row r="12721">
      <c r="A12721" t="inlineStr">
        <is>
          <t>27BBBBB12721Z5</t>
        </is>
      </c>
      <c r="B12721" t="inlineStr">
        <is>
          <t>Dec-2024</t>
        </is>
      </c>
      <c r="C12721" s="2" t="n">
        <v>45261</v>
      </c>
      <c r="D12721" t="inlineStr">
        <is>
          <t>NIL</t>
        </is>
      </c>
      <c r="E12721" t="n">
        <v>2574</v>
      </c>
    </row>
    <row r="12722">
      <c r="A12722" t="inlineStr">
        <is>
          <t>27BBBBB12722Z5</t>
        </is>
      </c>
      <c r="B12722" t="inlineStr">
        <is>
          <t>Mar-2018</t>
        </is>
      </c>
      <c r="C12722" s="2" t="n">
        <v>43090</v>
      </c>
      <c r="D12722" t="inlineStr">
        <is>
          <t>NIL</t>
        </is>
      </c>
      <c r="E12722" t="n">
        <v>2584</v>
      </c>
    </row>
    <row r="12723">
      <c r="A12723" t="inlineStr">
        <is>
          <t>27BBBBB12723Z5</t>
        </is>
      </c>
      <c r="B12723" t="inlineStr">
        <is>
          <t>Sep-2018</t>
        </is>
      </c>
      <c r="C12723" s="2" t="n">
        <v>43023</v>
      </c>
      <c r="D12723" t="inlineStr">
        <is>
          <t>NIL</t>
        </is>
      </c>
      <c r="E12723" t="n">
        <v>1198</v>
      </c>
    </row>
    <row r="12724">
      <c r="A12724" t="inlineStr">
        <is>
          <t>27BBBBB12724Z5</t>
        </is>
      </c>
      <c r="B12724" t="inlineStr">
        <is>
          <t>Jun-2018</t>
        </is>
      </c>
      <c r="C12724" s="2" t="n">
        <v>43893</v>
      </c>
      <c r="D12724" t="inlineStr">
        <is>
          <t>NIL</t>
        </is>
      </c>
      <c r="E12724" t="n">
        <v>29</v>
      </c>
    </row>
    <row r="12725">
      <c r="A12725" t="inlineStr">
        <is>
          <t>27BBBBB12725Z5</t>
        </is>
      </c>
      <c r="B12725" t="inlineStr">
        <is>
          <t>Sep-2018</t>
        </is>
      </c>
      <c r="C12725" s="2" t="n">
        <v>43128</v>
      </c>
      <c r="D12725" t="inlineStr">
        <is>
          <t>NIL</t>
        </is>
      </c>
      <c r="E12725" t="n">
        <v>238</v>
      </c>
    </row>
    <row r="12726">
      <c r="A12726" t="inlineStr">
        <is>
          <t>27BBBBB12726Z5</t>
        </is>
      </c>
      <c r="B12726" t="inlineStr">
        <is>
          <t>Dec-2017</t>
        </is>
      </c>
      <c r="C12726" s="2" t="n">
        <v>43588</v>
      </c>
      <c r="D12726" t="inlineStr">
        <is>
          <t>NIL</t>
        </is>
      </c>
      <c r="E12726" t="n">
        <v>2755</v>
      </c>
    </row>
    <row r="12727">
      <c r="A12727" t="inlineStr">
        <is>
          <t>27BBBBB12727Z5</t>
        </is>
      </c>
      <c r="B12727" t="inlineStr">
        <is>
          <t>Apr-2020</t>
        </is>
      </c>
      <c r="C12727" s="2" t="n">
        <v>44630</v>
      </c>
      <c r="D12727" t="inlineStr">
        <is>
          <t>NON-NIL</t>
        </is>
      </c>
      <c r="E12727" t="n">
        <v>1842</v>
      </c>
    </row>
    <row r="12728">
      <c r="A12728" t="inlineStr">
        <is>
          <t>27BBBBB12728Z5</t>
        </is>
      </c>
      <c r="B12728" t="inlineStr">
        <is>
          <t>Jun-2020</t>
        </is>
      </c>
      <c r="C12728" s="2" t="n">
        <v>44279</v>
      </c>
      <c r="D12728" t="inlineStr">
        <is>
          <t>NON-NIL</t>
        </is>
      </c>
      <c r="E12728" t="n">
        <v>955</v>
      </c>
    </row>
    <row r="12729">
      <c r="A12729" t="inlineStr">
        <is>
          <t>27BBBBB12729Z5</t>
        </is>
      </c>
      <c r="B12729" t="inlineStr">
        <is>
          <t>Jun-2020</t>
        </is>
      </c>
      <c r="C12729" s="2" t="n">
        <v>44231</v>
      </c>
      <c r="D12729" t="inlineStr">
        <is>
          <t>NON-NIL</t>
        </is>
      </c>
      <c r="E12729" t="n">
        <v>296</v>
      </c>
    </row>
    <row r="12730">
      <c r="A12730" t="inlineStr">
        <is>
          <t>27BBBBB12730Z5</t>
        </is>
      </c>
      <c r="B12730" t="inlineStr">
        <is>
          <t>Dec-2022</t>
        </is>
      </c>
      <c r="C12730" s="2" t="n">
        <v>45305</v>
      </c>
      <c r="D12730" t="inlineStr">
        <is>
          <t>NIL</t>
        </is>
      </c>
      <c r="E12730" t="n">
        <v>2917</v>
      </c>
    </row>
    <row r="12731">
      <c r="A12731" t="inlineStr">
        <is>
          <t>27BBBBB12731Z5</t>
        </is>
      </c>
      <c r="B12731" t="inlineStr">
        <is>
          <t>Jul-2017</t>
        </is>
      </c>
      <c r="C12731" s="2" t="n">
        <v>43640</v>
      </c>
      <c r="D12731" t="inlineStr">
        <is>
          <t>NIL</t>
        </is>
      </c>
      <c r="E12731" t="n">
        <v>1043</v>
      </c>
    </row>
    <row r="12732">
      <c r="A12732" t="inlineStr">
        <is>
          <t>27BBBBB12732Z5</t>
        </is>
      </c>
      <c r="B12732" t="inlineStr">
        <is>
          <t>Jan-2021</t>
        </is>
      </c>
      <c r="C12732" s="2" t="n">
        <v>45022</v>
      </c>
      <c r="D12732" t="inlineStr">
        <is>
          <t>NON-NIL</t>
        </is>
      </c>
      <c r="E12732" t="n">
        <v>1813</v>
      </c>
    </row>
    <row r="12733">
      <c r="A12733" t="inlineStr">
        <is>
          <t>27BBBBB12733Z5</t>
        </is>
      </c>
      <c r="B12733" t="inlineStr">
        <is>
          <t>Dec-2018</t>
        </is>
      </c>
      <c r="C12733" s="2" t="n">
        <v>43476</v>
      </c>
      <c r="D12733" t="inlineStr">
        <is>
          <t>NON-NIL</t>
        </is>
      </c>
      <c r="E12733" t="n">
        <v>1607</v>
      </c>
    </row>
    <row r="12734">
      <c r="A12734" t="inlineStr">
        <is>
          <t>27BBBBB12734Z5</t>
        </is>
      </c>
      <c r="B12734" t="inlineStr">
        <is>
          <t>Mar-2023</t>
        </is>
      </c>
      <c r="C12734" s="2" t="n">
        <v>45016</v>
      </c>
      <c r="D12734" t="inlineStr">
        <is>
          <t>NIL</t>
        </is>
      </c>
      <c r="E12734" t="n">
        <v>1804</v>
      </c>
    </row>
    <row r="12735">
      <c r="A12735" t="inlineStr">
        <is>
          <t>27BBBBB12735Z5</t>
        </is>
      </c>
      <c r="B12735" t="inlineStr">
        <is>
          <t>Oct-2017</t>
        </is>
      </c>
      <c r="C12735" s="2" t="n">
        <v>43336</v>
      </c>
      <c r="D12735" t="inlineStr">
        <is>
          <t>NIL</t>
        </is>
      </c>
      <c r="E12735" t="n">
        <v>555</v>
      </c>
    </row>
    <row r="12736">
      <c r="A12736" t="inlineStr">
        <is>
          <t>27BBBBB12736Z5</t>
        </is>
      </c>
      <c r="B12736" t="inlineStr">
        <is>
          <t>Jul-2020</t>
        </is>
      </c>
      <c r="C12736" s="2" t="n">
        <v>44407</v>
      </c>
      <c r="D12736" t="inlineStr">
        <is>
          <t>NIL</t>
        </is>
      </c>
      <c r="E12736" t="n">
        <v>443</v>
      </c>
    </row>
    <row r="12737">
      <c r="A12737" t="inlineStr">
        <is>
          <t>27BBBBB12737Z5</t>
        </is>
      </c>
      <c r="B12737" t="inlineStr">
        <is>
          <t>Feb-2018</t>
        </is>
      </c>
      <c r="C12737" s="2" t="n">
        <v>44412</v>
      </c>
      <c r="D12737" t="inlineStr">
        <is>
          <t>NIL</t>
        </is>
      </c>
      <c r="E12737" t="n">
        <v>1624</v>
      </c>
    </row>
    <row r="12738">
      <c r="A12738" t="inlineStr">
        <is>
          <t>27BBBBB12738Z5</t>
        </is>
      </c>
      <c r="B12738" t="inlineStr">
        <is>
          <t>Jun-2018</t>
        </is>
      </c>
      <c r="C12738" s="2" t="n">
        <v>43419</v>
      </c>
      <c r="D12738" t="inlineStr">
        <is>
          <t>NON-NIL</t>
        </is>
      </c>
      <c r="E12738" t="n">
        <v>965</v>
      </c>
    </row>
    <row r="12739">
      <c r="A12739" t="inlineStr">
        <is>
          <t>27BBBBB12739Z5</t>
        </is>
      </c>
      <c r="B12739" t="inlineStr">
        <is>
          <t>Feb-2018</t>
        </is>
      </c>
      <c r="C12739" s="2" t="n">
        <v>44074</v>
      </c>
      <c r="D12739" t="inlineStr">
        <is>
          <t>NON-NIL</t>
        </is>
      </c>
      <c r="E12739" t="n">
        <v>2188</v>
      </c>
    </row>
    <row r="12740">
      <c r="A12740" t="inlineStr">
        <is>
          <t>27BBBBB12740Z5</t>
        </is>
      </c>
      <c r="B12740" t="inlineStr">
        <is>
          <t>Jun-2018</t>
        </is>
      </c>
      <c r="C12740" s="2" t="n">
        <v>43021</v>
      </c>
      <c r="D12740" t="inlineStr">
        <is>
          <t>NIL</t>
        </is>
      </c>
      <c r="E12740" t="n">
        <v>1798</v>
      </c>
    </row>
    <row r="12741">
      <c r="A12741" t="inlineStr">
        <is>
          <t>27BBBBB12741Z5</t>
        </is>
      </c>
      <c r="B12741" t="inlineStr">
        <is>
          <t>Jun-2018</t>
        </is>
      </c>
      <c r="C12741" s="2" t="n">
        <v>43286</v>
      </c>
      <c r="D12741" t="inlineStr">
        <is>
          <t>NIL</t>
        </is>
      </c>
      <c r="E12741" t="n">
        <v>999</v>
      </c>
    </row>
    <row r="12742">
      <c r="A12742" t="inlineStr">
        <is>
          <t>27BBBBB12742Z5</t>
        </is>
      </c>
      <c r="B12742" t="inlineStr">
        <is>
          <t>Jun-2018</t>
        </is>
      </c>
      <c r="C12742" s="2" t="n">
        <v>43677</v>
      </c>
      <c r="D12742" t="inlineStr">
        <is>
          <t>NON-NIL</t>
        </is>
      </c>
      <c r="E12742" t="n">
        <v>2559</v>
      </c>
    </row>
    <row r="12743">
      <c r="A12743" t="inlineStr">
        <is>
          <t>27BBBBB12743Z5</t>
        </is>
      </c>
      <c r="B12743" t="inlineStr">
        <is>
          <t>Apr-2020</t>
        </is>
      </c>
      <c r="C12743" s="2" t="n">
        <v>44208</v>
      </c>
      <c r="D12743" t="inlineStr">
        <is>
          <t>NIL</t>
        </is>
      </c>
      <c r="E12743" t="n">
        <v>2102</v>
      </c>
    </row>
    <row r="12744">
      <c r="A12744" t="inlineStr">
        <is>
          <t>27BBBBB12744Z5</t>
        </is>
      </c>
      <c r="B12744" t="inlineStr">
        <is>
          <t>Jul-2018</t>
        </is>
      </c>
      <c r="C12744" s="2" t="n">
        <v>43866</v>
      </c>
      <c r="D12744" t="inlineStr">
        <is>
          <t>NON-NIL</t>
        </is>
      </c>
      <c r="E12744" t="n">
        <v>142</v>
      </c>
    </row>
    <row r="12745">
      <c r="A12745" t="inlineStr">
        <is>
          <t>27BBBBB12745Z5</t>
        </is>
      </c>
      <c r="B12745" t="inlineStr">
        <is>
          <t>Oct-2017</t>
        </is>
      </c>
      <c r="C12745" s="2" t="n">
        <v>44159</v>
      </c>
      <c r="D12745" t="inlineStr">
        <is>
          <t>NIL</t>
        </is>
      </c>
      <c r="E12745" t="n">
        <v>801</v>
      </c>
    </row>
    <row r="12746">
      <c r="A12746" t="inlineStr">
        <is>
          <t>27BBBBB12746Z5</t>
        </is>
      </c>
      <c r="B12746" t="inlineStr">
        <is>
          <t>May-2020</t>
        </is>
      </c>
      <c r="C12746" s="2" t="n">
        <v>44452</v>
      </c>
      <c r="D12746" t="inlineStr">
        <is>
          <t>NON-NIL</t>
        </is>
      </c>
      <c r="E12746" t="n">
        <v>882</v>
      </c>
    </row>
    <row r="12747">
      <c r="A12747" t="inlineStr">
        <is>
          <t>27BBBBB12747Z5</t>
        </is>
      </c>
      <c r="B12747" t="inlineStr">
        <is>
          <t>Jun-2020</t>
        </is>
      </c>
      <c r="C12747" s="2" t="n">
        <v>44712</v>
      </c>
      <c r="D12747" t="inlineStr">
        <is>
          <t>NON-NIL</t>
        </is>
      </c>
      <c r="E12747" t="n">
        <v>2827</v>
      </c>
    </row>
    <row r="12748">
      <c r="A12748" t="inlineStr">
        <is>
          <t>27BBBBB12748Z5</t>
        </is>
      </c>
      <c r="B12748" t="inlineStr">
        <is>
          <t>Mar-2020</t>
        </is>
      </c>
      <c r="C12748" s="2" t="n">
        <v>44059</v>
      </c>
      <c r="D12748" t="inlineStr">
        <is>
          <t>NON-NIL</t>
        </is>
      </c>
      <c r="E12748" t="n">
        <v>902</v>
      </c>
    </row>
    <row r="12749">
      <c r="A12749" t="inlineStr">
        <is>
          <t>27BBBBB12749Z5</t>
        </is>
      </c>
      <c r="B12749" t="inlineStr">
        <is>
          <t>Dec-2017</t>
        </is>
      </c>
      <c r="C12749" s="2" t="n">
        <v>43934</v>
      </c>
      <c r="D12749" t="inlineStr">
        <is>
          <t>NON-NIL</t>
        </is>
      </c>
      <c r="E12749" t="n">
        <v>833</v>
      </c>
    </row>
    <row r="12750">
      <c r="A12750" t="inlineStr">
        <is>
          <t>27BBBBB12750Z5</t>
        </is>
      </c>
      <c r="B12750" t="inlineStr">
        <is>
          <t>May-2020</t>
        </is>
      </c>
      <c r="C12750" s="2" t="n">
        <v>44487</v>
      </c>
      <c r="D12750" t="inlineStr">
        <is>
          <t>NON-NIL</t>
        </is>
      </c>
      <c r="E12750" t="n">
        <v>2797</v>
      </c>
    </row>
    <row r="12751">
      <c r="A12751" t="inlineStr">
        <is>
          <t>27BBBBB12751Z5</t>
        </is>
      </c>
      <c r="B12751" t="inlineStr">
        <is>
          <t>Nov-2018</t>
        </is>
      </c>
      <c r="C12751" s="2" t="n">
        <v>43635</v>
      </c>
      <c r="D12751" t="inlineStr">
        <is>
          <t>NIL</t>
        </is>
      </c>
      <c r="E12751" t="n">
        <v>1116</v>
      </c>
    </row>
    <row r="12752">
      <c r="A12752" t="inlineStr">
        <is>
          <t>27BBBBB12752Z5</t>
        </is>
      </c>
      <c r="B12752" t="inlineStr">
        <is>
          <t>May-2020</t>
        </is>
      </c>
      <c r="C12752" s="2" t="n">
        <v>44106</v>
      </c>
      <c r="D12752" t="inlineStr">
        <is>
          <t>NIL</t>
        </is>
      </c>
      <c r="E12752" t="n">
        <v>1976</v>
      </c>
    </row>
    <row r="12753">
      <c r="A12753" t="inlineStr">
        <is>
          <t>27BBBBB12753Z5</t>
        </is>
      </c>
      <c r="B12753" t="inlineStr">
        <is>
          <t>Mar-2021</t>
        </is>
      </c>
      <c r="C12753" s="2" t="n">
        <v>43684</v>
      </c>
      <c r="D12753" t="inlineStr">
        <is>
          <t>NON-NIL</t>
        </is>
      </c>
      <c r="E12753" t="n">
        <v>2060</v>
      </c>
    </row>
    <row r="12754">
      <c r="A12754" t="inlineStr">
        <is>
          <t>27BBBBB12754Z5</t>
        </is>
      </c>
      <c r="B12754" t="inlineStr">
        <is>
          <t>May-2018</t>
        </is>
      </c>
      <c r="C12754" s="2" t="n">
        <v>43674</v>
      </c>
      <c r="D12754" t="inlineStr">
        <is>
          <t>NIL</t>
        </is>
      </c>
      <c r="E12754" t="n">
        <v>780</v>
      </c>
    </row>
    <row r="12755">
      <c r="A12755" t="inlineStr">
        <is>
          <t>27BBBBB12755Z5</t>
        </is>
      </c>
      <c r="B12755" t="inlineStr">
        <is>
          <t>Oct-2017</t>
        </is>
      </c>
      <c r="C12755" s="2" t="n">
        <v>44431</v>
      </c>
      <c r="D12755" t="inlineStr">
        <is>
          <t>NIL</t>
        </is>
      </c>
      <c r="E12755" t="n">
        <v>2167</v>
      </c>
    </row>
    <row r="12756">
      <c r="A12756" t="inlineStr">
        <is>
          <t>27BBBBB12756Z5</t>
        </is>
      </c>
      <c r="B12756" t="inlineStr">
        <is>
          <t>Mar-2018</t>
        </is>
      </c>
      <c r="C12756" s="2" t="n">
        <v>43370</v>
      </c>
      <c r="D12756" t="inlineStr">
        <is>
          <t>NON-NIL</t>
        </is>
      </c>
      <c r="E12756" t="n">
        <v>1559</v>
      </c>
    </row>
    <row r="12757">
      <c r="A12757" t="inlineStr">
        <is>
          <t>27BBBBB12757Z5</t>
        </is>
      </c>
      <c r="B12757" t="inlineStr">
        <is>
          <t>Sep-2017</t>
        </is>
      </c>
      <c r="C12757" s="2" t="n">
        <v>43071</v>
      </c>
      <c r="D12757" t="inlineStr">
        <is>
          <t>NIL</t>
        </is>
      </c>
      <c r="E12757" t="n">
        <v>1473</v>
      </c>
    </row>
    <row r="12758">
      <c r="A12758" t="inlineStr">
        <is>
          <t>27BBBBB12758Z5</t>
        </is>
      </c>
      <c r="B12758" t="inlineStr">
        <is>
          <t>Jul-2020</t>
        </is>
      </c>
      <c r="C12758" s="2" t="n">
        <v>44874</v>
      </c>
      <c r="D12758" t="inlineStr">
        <is>
          <t>NON-NIL</t>
        </is>
      </c>
      <c r="E12758" t="n">
        <v>1466</v>
      </c>
    </row>
    <row r="12759">
      <c r="A12759" t="inlineStr">
        <is>
          <t>27BBBBB12759Z5</t>
        </is>
      </c>
      <c r="B12759" t="inlineStr">
        <is>
          <t>Oct-2018</t>
        </is>
      </c>
      <c r="C12759" s="2" t="n">
        <v>43871</v>
      </c>
      <c r="D12759" t="inlineStr">
        <is>
          <t>NON-NIL</t>
        </is>
      </c>
      <c r="E12759" t="n">
        <v>102</v>
      </c>
    </row>
    <row r="12760">
      <c r="A12760" t="inlineStr">
        <is>
          <t>27BBBBB12760Z5</t>
        </is>
      </c>
      <c r="B12760" t="inlineStr">
        <is>
          <t>Dec-2017</t>
        </is>
      </c>
      <c r="C12760" s="2" t="n">
        <v>44206</v>
      </c>
      <c r="D12760" t="inlineStr">
        <is>
          <t>NON-NIL</t>
        </is>
      </c>
      <c r="E12760" t="n">
        <v>1439</v>
      </c>
    </row>
    <row r="12761">
      <c r="A12761" t="inlineStr">
        <is>
          <t>27BBBBB12761Z5</t>
        </is>
      </c>
      <c r="B12761" t="inlineStr">
        <is>
          <t>Jun-2020</t>
        </is>
      </c>
      <c r="C12761" s="2" t="n">
        <v>43846</v>
      </c>
      <c r="D12761" t="inlineStr">
        <is>
          <t>NIL</t>
        </is>
      </c>
      <c r="E12761" t="n">
        <v>315</v>
      </c>
    </row>
    <row r="12762">
      <c r="A12762" t="inlineStr">
        <is>
          <t>27BBBBB12762Z5</t>
        </is>
      </c>
      <c r="B12762" t="inlineStr">
        <is>
          <t>Oct-2017</t>
        </is>
      </c>
      <c r="C12762" s="2" t="n">
        <v>43067</v>
      </c>
      <c r="D12762" t="inlineStr">
        <is>
          <t>NIL</t>
        </is>
      </c>
      <c r="E12762" t="n">
        <v>2341</v>
      </c>
    </row>
    <row r="12763">
      <c r="A12763" t="inlineStr">
        <is>
          <t>27BBBBB12763Z5</t>
        </is>
      </c>
      <c r="B12763" t="inlineStr">
        <is>
          <t>May-2018</t>
        </is>
      </c>
      <c r="C12763" s="2" t="n">
        <v>42976</v>
      </c>
      <c r="D12763" t="inlineStr">
        <is>
          <t>NON-NIL</t>
        </is>
      </c>
      <c r="E12763" t="n">
        <v>700</v>
      </c>
    </row>
    <row r="12764">
      <c r="A12764" t="inlineStr">
        <is>
          <t>27BBBBB12764Z5</t>
        </is>
      </c>
      <c r="B12764" t="inlineStr">
        <is>
          <t>Dec-2018</t>
        </is>
      </c>
      <c r="C12764" s="2" t="n">
        <v>43604</v>
      </c>
      <c r="D12764" t="inlineStr">
        <is>
          <t>NIL</t>
        </is>
      </c>
      <c r="E12764" t="n">
        <v>2956</v>
      </c>
    </row>
    <row r="12765">
      <c r="A12765" t="inlineStr">
        <is>
          <t>27BBBBB12765Z5</t>
        </is>
      </c>
      <c r="B12765" t="inlineStr">
        <is>
          <t>Dec-2024</t>
        </is>
      </c>
      <c r="C12765" s="2" t="n">
        <v>43644</v>
      </c>
      <c r="D12765" t="inlineStr">
        <is>
          <t>NIL</t>
        </is>
      </c>
      <c r="E12765" t="n">
        <v>414</v>
      </c>
    </row>
    <row r="12766">
      <c r="A12766" t="inlineStr">
        <is>
          <t>27BBBBB12766Z5</t>
        </is>
      </c>
      <c r="B12766" t="inlineStr">
        <is>
          <t>Jul-2017</t>
        </is>
      </c>
      <c r="C12766" s="2" t="n">
        <v>43813</v>
      </c>
      <c r="D12766" t="inlineStr">
        <is>
          <t>NIL</t>
        </is>
      </c>
      <c r="E12766" t="n">
        <v>2803</v>
      </c>
    </row>
    <row r="12767">
      <c r="A12767" t="inlineStr">
        <is>
          <t>27BBBBB12767Z5</t>
        </is>
      </c>
      <c r="B12767" t="inlineStr">
        <is>
          <t>Aug-2017</t>
        </is>
      </c>
      <c r="C12767" s="2" t="n">
        <v>43953</v>
      </c>
      <c r="D12767" t="inlineStr">
        <is>
          <t>NON-NIL</t>
        </is>
      </c>
      <c r="E12767" t="n">
        <v>2022</v>
      </c>
    </row>
    <row r="12768">
      <c r="A12768" t="inlineStr">
        <is>
          <t>27BBBBB12768Z5</t>
        </is>
      </c>
      <c r="B12768" t="inlineStr">
        <is>
          <t>Mar-2020</t>
        </is>
      </c>
      <c r="C12768" s="2" t="n">
        <v>43918</v>
      </c>
      <c r="D12768" t="inlineStr">
        <is>
          <t>NON-NIL</t>
        </is>
      </c>
      <c r="E12768" t="n">
        <v>1217</v>
      </c>
    </row>
    <row r="12769">
      <c r="A12769" t="inlineStr">
        <is>
          <t>27BBBBB12769Z5</t>
        </is>
      </c>
      <c r="B12769" t="inlineStr">
        <is>
          <t>May-2018</t>
        </is>
      </c>
      <c r="C12769" s="2" t="n">
        <v>43751</v>
      </c>
      <c r="D12769" t="inlineStr">
        <is>
          <t>NIL</t>
        </is>
      </c>
      <c r="E12769" t="n">
        <v>1125</v>
      </c>
    </row>
    <row r="12770">
      <c r="A12770" t="inlineStr">
        <is>
          <t>27BBBBB12770Z5</t>
        </is>
      </c>
      <c r="B12770" t="inlineStr">
        <is>
          <t>Oct-2018</t>
        </is>
      </c>
      <c r="C12770" s="2" t="n">
        <v>44210</v>
      </c>
      <c r="D12770" t="inlineStr">
        <is>
          <t>NIL</t>
        </is>
      </c>
      <c r="E12770" t="n">
        <v>1822</v>
      </c>
    </row>
    <row r="12771">
      <c r="A12771" t="inlineStr">
        <is>
          <t>27BBBBB12771Z5</t>
        </is>
      </c>
      <c r="B12771" t="inlineStr">
        <is>
          <t>Dec-2017</t>
        </is>
      </c>
      <c r="C12771" s="2" t="n">
        <v>44429</v>
      </c>
      <c r="D12771" t="inlineStr">
        <is>
          <t>NIL</t>
        </is>
      </c>
      <c r="E12771" t="n">
        <v>249</v>
      </c>
    </row>
    <row r="12772">
      <c r="A12772" t="inlineStr">
        <is>
          <t>27BBBBB12772Z5</t>
        </is>
      </c>
      <c r="B12772" t="inlineStr">
        <is>
          <t>Aug-2017</t>
        </is>
      </c>
      <c r="C12772" s="2" t="n">
        <v>44090</v>
      </c>
      <c r="D12772" t="inlineStr">
        <is>
          <t>NIL</t>
        </is>
      </c>
      <c r="E12772" t="n">
        <v>154</v>
      </c>
    </row>
    <row r="12773">
      <c r="A12773" t="inlineStr">
        <is>
          <t>27BBBBB12773Z5</t>
        </is>
      </c>
      <c r="B12773" t="inlineStr">
        <is>
          <t>Aug-2018</t>
        </is>
      </c>
      <c r="C12773" s="2" t="n">
        <v>43357</v>
      </c>
      <c r="D12773" t="inlineStr">
        <is>
          <t>NIL</t>
        </is>
      </c>
      <c r="E12773" t="n">
        <v>2284</v>
      </c>
    </row>
    <row r="12774">
      <c r="A12774" t="inlineStr">
        <is>
          <t>27BBBBB12774Z5</t>
        </is>
      </c>
      <c r="B12774" t="inlineStr">
        <is>
          <t>Jul-2018</t>
        </is>
      </c>
      <c r="C12774" s="2" t="n">
        <v>44203</v>
      </c>
      <c r="D12774" t="inlineStr">
        <is>
          <t>NIL</t>
        </is>
      </c>
      <c r="E12774" t="n">
        <v>1757</v>
      </c>
    </row>
    <row r="12775">
      <c r="A12775" t="inlineStr">
        <is>
          <t>27BBBBB12775Z5</t>
        </is>
      </c>
      <c r="B12775" t="inlineStr">
        <is>
          <t>Aug-2017</t>
        </is>
      </c>
      <c r="C12775" s="2" t="n">
        <v>43233</v>
      </c>
      <c r="D12775" t="inlineStr">
        <is>
          <t>NIL</t>
        </is>
      </c>
      <c r="E12775" t="n">
        <v>600</v>
      </c>
    </row>
    <row r="12776">
      <c r="A12776" t="inlineStr">
        <is>
          <t>27BBBBB12776Z5</t>
        </is>
      </c>
      <c r="B12776" t="inlineStr">
        <is>
          <t>Sep-2018</t>
        </is>
      </c>
      <c r="C12776" s="2" t="n">
        <v>44515</v>
      </c>
      <c r="D12776" t="inlineStr">
        <is>
          <t>NON-NIL</t>
        </is>
      </c>
      <c r="E12776" t="n">
        <v>2728</v>
      </c>
    </row>
    <row r="12777">
      <c r="A12777" t="inlineStr">
        <is>
          <t>27BBBBB12777Z5</t>
        </is>
      </c>
      <c r="B12777" t="inlineStr">
        <is>
          <t>Nov-2017</t>
        </is>
      </c>
      <c r="C12777" s="2" t="n">
        <v>44349</v>
      </c>
      <c r="D12777" t="inlineStr">
        <is>
          <t>NIL</t>
        </is>
      </c>
      <c r="E12777" t="n">
        <v>1937</v>
      </c>
    </row>
    <row r="12778">
      <c r="A12778" t="inlineStr">
        <is>
          <t>27BBBBB12778Z5</t>
        </is>
      </c>
      <c r="B12778" t="inlineStr">
        <is>
          <t>Dec-2018</t>
        </is>
      </c>
      <c r="C12778" s="2" t="n">
        <v>44280</v>
      </c>
      <c r="D12778" t="inlineStr">
        <is>
          <t>NIL</t>
        </is>
      </c>
      <c r="E12778" t="n">
        <v>2850</v>
      </c>
    </row>
    <row r="12779">
      <c r="A12779" t="inlineStr">
        <is>
          <t>27BBBBB12779Z5</t>
        </is>
      </c>
      <c r="B12779" t="inlineStr">
        <is>
          <t>Sep-2018</t>
        </is>
      </c>
      <c r="C12779" s="2" t="n">
        <v>43821</v>
      </c>
      <c r="D12779" t="inlineStr">
        <is>
          <t>NIL</t>
        </is>
      </c>
      <c r="E12779" t="n">
        <v>235</v>
      </c>
    </row>
    <row r="12780">
      <c r="A12780" t="inlineStr">
        <is>
          <t>27BBBBB12780Z5</t>
        </is>
      </c>
      <c r="B12780" t="inlineStr">
        <is>
          <t>Mar-2021</t>
        </is>
      </c>
      <c r="C12780" s="2" t="n">
        <v>44923</v>
      </c>
      <c r="D12780" t="inlineStr">
        <is>
          <t>NIL</t>
        </is>
      </c>
      <c r="E12780" t="n">
        <v>2692</v>
      </c>
    </row>
    <row r="12781">
      <c r="A12781" t="inlineStr">
        <is>
          <t>27BBBBB12781Z5</t>
        </is>
      </c>
      <c r="B12781" t="inlineStr">
        <is>
          <t>Sep-2017</t>
        </is>
      </c>
      <c r="C12781" s="2" t="n">
        <v>44359</v>
      </c>
      <c r="D12781" t="inlineStr">
        <is>
          <t>NIL</t>
        </is>
      </c>
      <c r="E12781" t="n">
        <v>692</v>
      </c>
    </row>
    <row r="12782">
      <c r="A12782" t="inlineStr">
        <is>
          <t>27BBBBB12782Z5</t>
        </is>
      </c>
      <c r="B12782" t="inlineStr">
        <is>
          <t>Jun-2018</t>
        </is>
      </c>
      <c r="C12782" s="2" t="n">
        <v>44364</v>
      </c>
      <c r="D12782" t="inlineStr">
        <is>
          <t>NON-NIL</t>
        </is>
      </c>
      <c r="E12782" t="n">
        <v>371</v>
      </c>
    </row>
    <row r="12783">
      <c r="A12783" t="inlineStr">
        <is>
          <t>27BBBBB12783Z5</t>
        </is>
      </c>
      <c r="B12783" t="inlineStr">
        <is>
          <t>Nov-2017</t>
        </is>
      </c>
      <c r="C12783" s="2" t="n">
        <v>43083</v>
      </c>
      <c r="D12783" t="inlineStr">
        <is>
          <t>NIL</t>
        </is>
      </c>
      <c r="E12783" t="n">
        <v>2943</v>
      </c>
    </row>
    <row r="12784">
      <c r="A12784" t="inlineStr">
        <is>
          <t>27BBBBB12784Z5</t>
        </is>
      </c>
      <c r="B12784" t="inlineStr">
        <is>
          <t>Jun-2020</t>
        </is>
      </c>
      <c r="C12784" s="2" t="n">
        <v>44272</v>
      </c>
      <c r="D12784" t="inlineStr">
        <is>
          <t>NIL</t>
        </is>
      </c>
      <c r="E12784" t="n">
        <v>2079</v>
      </c>
    </row>
    <row r="12785">
      <c r="A12785" t="inlineStr">
        <is>
          <t>27BBBBB12785Z5</t>
        </is>
      </c>
      <c r="B12785" t="inlineStr">
        <is>
          <t>Feb-2018</t>
        </is>
      </c>
      <c r="C12785" s="2" t="n">
        <v>43377</v>
      </c>
      <c r="D12785" t="inlineStr">
        <is>
          <t>NIL</t>
        </is>
      </c>
      <c r="E12785" t="n">
        <v>879</v>
      </c>
    </row>
    <row r="12786">
      <c r="A12786" t="inlineStr">
        <is>
          <t>27BBBBB12786Z5</t>
        </is>
      </c>
      <c r="B12786" t="inlineStr">
        <is>
          <t>Apr-2018</t>
        </is>
      </c>
      <c r="C12786" s="2" t="n">
        <v>43801</v>
      </c>
      <c r="D12786" t="inlineStr">
        <is>
          <t>NIL</t>
        </is>
      </c>
      <c r="E12786" t="n">
        <v>707</v>
      </c>
    </row>
    <row r="12787">
      <c r="A12787" t="inlineStr">
        <is>
          <t>27BBBBB12787Z5</t>
        </is>
      </c>
      <c r="B12787" t="inlineStr">
        <is>
          <t>Aug-2018</t>
        </is>
      </c>
      <c r="C12787" s="2" t="n">
        <v>43431</v>
      </c>
      <c r="D12787" t="inlineStr">
        <is>
          <t>NIL</t>
        </is>
      </c>
      <c r="E12787" t="n">
        <v>1036</v>
      </c>
    </row>
    <row r="12788">
      <c r="A12788" t="inlineStr">
        <is>
          <t>27BBBBB12788Z5</t>
        </is>
      </c>
      <c r="B12788" t="inlineStr">
        <is>
          <t>Jul-2017</t>
        </is>
      </c>
      <c r="C12788" s="2" t="n">
        <v>42986</v>
      </c>
      <c r="D12788" t="inlineStr">
        <is>
          <t>NIL</t>
        </is>
      </c>
      <c r="E12788" t="n">
        <v>1980</v>
      </c>
    </row>
    <row r="12789">
      <c r="A12789" t="inlineStr">
        <is>
          <t>27BBBBB12789Z5</t>
        </is>
      </c>
      <c r="B12789" t="inlineStr">
        <is>
          <t>Mar-2018</t>
        </is>
      </c>
      <c r="C12789" s="2" t="n">
        <v>43263</v>
      </c>
      <c r="D12789" t="inlineStr">
        <is>
          <t>NON-NIL</t>
        </is>
      </c>
      <c r="E12789" t="n">
        <v>2527</v>
      </c>
    </row>
    <row r="12790">
      <c r="A12790" t="inlineStr">
        <is>
          <t>27BBBBB12790Z5</t>
        </is>
      </c>
      <c r="B12790" t="inlineStr">
        <is>
          <t>Oct-2017</t>
        </is>
      </c>
      <c r="C12790" s="2" t="n">
        <v>43493</v>
      </c>
      <c r="D12790" t="inlineStr">
        <is>
          <t>NON-NIL</t>
        </is>
      </c>
      <c r="E12790" t="n">
        <v>1967</v>
      </c>
    </row>
    <row r="12791">
      <c r="A12791" t="inlineStr">
        <is>
          <t>27BBBBB12791Z5</t>
        </is>
      </c>
      <c r="B12791" t="inlineStr">
        <is>
          <t>Feb-2018</t>
        </is>
      </c>
      <c r="C12791" s="2" t="n">
        <v>44041</v>
      </c>
      <c r="D12791" t="inlineStr">
        <is>
          <t>NIL</t>
        </is>
      </c>
      <c r="E12791" t="n">
        <v>910</v>
      </c>
    </row>
    <row r="12792">
      <c r="A12792" t="inlineStr">
        <is>
          <t>27BBBBB12792Z5</t>
        </is>
      </c>
      <c r="B12792" t="inlineStr">
        <is>
          <t>Dec-2024</t>
        </is>
      </c>
      <c r="C12792" s="2" t="n">
        <v>44336</v>
      </c>
      <c r="D12792" t="inlineStr">
        <is>
          <t>NON-NIL</t>
        </is>
      </c>
      <c r="E12792" t="n">
        <v>1948</v>
      </c>
    </row>
    <row r="12793">
      <c r="A12793" t="inlineStr">
        <is>
          <t>27BBBBB12793Z5</t>
        </is>
      </c>
      <c r="B12793" t="inlineStr">
        <is>
          <t>Aug-2017</t>
        </is>
      </c>
      <c r="C12793" s="2" t="n">
        <v>43829</v>
      </c>
      <c r="D12793" t="inlineStr">
        <is>
          <t>NON-NIL</t>
        </is>
      </c>
      <c r="E12793" t="n">
        <v>664</v>
      </c>
    </row>
    <row r="12794">
      <c r="A12794" t="inlineStr">
        <is>
          <t>27BBBBB12794Z5</t>
        </is>
      </c>
      <c r="B12794" t="inlineStr">
        <is>
          <t>Jan-2021</t>
        </is>
      </c>
      <c r="C12794" s="2" t="n">
        <v>45585</v>
      </c>
      <c r="D12794" t="inlineStr">
        <is>
          <t>NIL</t>
        </is>
      </c>
      <c r="E12794" t="n">
        <v>2793</v>
      </c>
    </row>
    <row r="12795">
      <c r="A12795" t="inlineStr">
        <is>
          <t>27BBBBB12795Z5</t>
        </is>
      </c>
      <c r="B12795" t="inlineStr">
        <is>
          <t>Dec-2024</t>
        </is>
      </c>
      <c r="C12795" s="2" t="n">
        <v>44885</v>
      </c>
      <c r="D12795" t="inlineStr">
        <is>
          <t>NON-NIL</t>
        </is>
      </c>
      <c r="E12795" t="n">
        <v>77</v>
      </c>
    </row>
    <row r="12796">
      <c r="A12796" t="inlineStr">
        <is>
          <t>27BBBBB12796Z5</t>
        </is>
      </c>
      <c r="B12796" t="inlineStr">
        <is>
          <t>May-2018</t>
        </is>
      </c>
      <c r="C12796" s="2" t="n">
        <v>43197</v>
      </c>
      <c r="D12796" t="inlineStr">
        <is>
          <t>NON-NIL</t>
        </is>
      </c>
      <c r="E12796" t="n">
        <v>2597</v>
      </c>
    </row>
    <row r="12797">
      <c r="A12797" t="inlineStr">
        <is>
          <t>27BBBBB12797Z5</t>
        </is>
      </c>
      <c r="B12797" t="inlineStr">
        <is>
          <t>Apr-2018</t>
        </is>
      </c>
      <c r="C12797" s="2" t="n">
        <v>42937</v>
      </c>
      <c r="D12797" t="inlineStr">
        <is>
          <t>NON-NIL</t>
        </is>
      </c>
      <c r="E12797" t="n">
        <v>2039</v>
      </c>
    </row>
    <row r="12798">
      <c r="A12798" t="inlineStr">
        <is>
          <t>27BBBBB12798Z5</t>
        </is>
      </c>
      <c r="B12798" t="inlineStr">
        <is>
          <t>Mar-2023</t>
        </is>
      </c>
      <c r="C12798" s="2" t="n">
        <v>45281</v>
      </c>
      <c r="D12798" t="inlineStr">
        <is>
          <t>NIL</t>
        </is>
      </c>
      <c r="E12798" t="n">
        <v>72</v>
      </c>
    </row>
    <row r="12799">
      <c r="A12799" t="inlineStr">
        <is>
          <t>27BBBBB12799Z5</t>
        </is>
      </c>
      <c r="B12799" t="inlineStr">
        <is>
          <t>Aug-2017</t>
        </is>
      </c>
      <c r="C12799" s="2" t="n">
        <v>43210</v>
      </c>
      <c r="D12799" t="inlineStr">
        <is>
          <t>NON-NIL</t>
        </is>
      </c>
      <c r="E12799" t="n">
        <v>1394</v>
      </c>
    </row>
    <row r="12800">
      <c r="A12800" t="inlineStr">
        <is>
          <t>27BBBBB12800Z5</t>
        </is>
      </c>
      <c r="B12800" t="inlineStr">
        <is>
          <t>Jan-2021</t>
        </is>
      </c>
      <c r="C12800" s="2" t="n">
        <v>45494</v>
      </c>
      <c r="D12800" t="inlineStr">
        <is>
          <t>NON-NIL</t>
        </is>
      </c>
      <c r="E12800" t="n">
        <v>2213</v>
      </c>
    </row>
    <row r="12801">
      <c r="A12801" t="inlineStr">
        <is>
          <t>27BBBBB12801Z5</t>
        </is>
      </c>
      <c r="B12801" t="inlineStr">
        <is>
          <t>Oct-2018</t>
        </is>
      </c>
      <c r="C12801" s="2" t="n">
        <v>44300</v>
      </c>
      <c r="D12801" t="inlineStr">
        <is>
          <t>NON-NIL</t>
        </is>
      </c>
      <c r="E12801" t="n">
        <v>2232</v>
      </c>
    </row>
    <row r="12802">
      <c r="A12802" t="inlineStr">
        <is>
          <t>27BBBBB12802Z5</t>
        </is>
      </c>
      <c r="B12802" t="inlineStr">
        <is>
          <t>Oct-2017</t>
        </is>
      </c>
      <c r="C12802" s="2" t="n">
        <v>43163</v>
      </c>
      <c r="D12802" t="inlineStr">
        <is>
          <t>NON-NIL</t>
        </is>
      </c>
      <c r="E12802" t="n">
        <v>1151</v>
      </c>
    </row>
    <row r="12803">
      <c r="A12803" t="inlineStr">
        <is>
          <t>27BBBBB12803Z5</t>
        </is>
      </c>
      <c r="B12803" t="inlineStr">
        <is>
          <t>Apr-2020</t>
        </is>
      </c>
      <c r="C12803" s="2" t="n">
        <v>43932</v>
      </c>
      <c r="D12803" t="inlineStr">
        <is>
          <t>NIL</t>
        </is>
      </c>
      <c r="E12803" t="n">
        <v>1250</v>
      </c>
    </row>
    <row r="12804">
      <c r="A12804" t="inlineStr">
        <is>
          <t>27BBBBB12804Z5</t>
        </is>
      </c>
      <c r="B12804" t="inlineStr">
        <is>
          <t>Dec-2022</t>
        </is>
      </c>
      <c r="C12804" s="2" t="n">
        <v>45685</v>
      </c>
      <c r="D12804" t="inlineStr">
        <is>
          <t>NIL</t>
        </is>
      </c>
      <c r="E12804" t="n">
        <v>2087</v>
      </c>
    </row>
    <row r="12805">
      <c r="A12805" t="inlineStr">
        <is>
          <t>27BBBBB12805Z5</t>
        </is>
      </c>
      <c r="B12805" t="inlineStr">
        <is>
          <t>Mar-2020</t>
        </is>
      </c>
      <c r="C12805" s="2" t="n">
        <v>44723</v>
      </c>
      <c r="D12805" t="inlineStr">
        <is>
          <t>NON-NIL</t>
        </is>
      </c>
      <c r="E12805" t="n">
        <v>1361</v>
      </c>
    </row>
    <row r="12806">
      <c r="A12806" t="inlineStr">
        <is>
          <t>27BBBBB12806Z5</t>
        </is>
      </c>
      <c r="B12806" t="inlineStr">
        <is>
          <t>Jan-2018</t>
        </is>
      </c>
      <c r="C12806" s="2" t="n">
        <v>44236</v>
      </c>
      <c r="D12806" t="inlineStr">
        <is>
          <t>NON-NIL</t>
        </is>
      </c>
      <c r="E12806" t="n">
        <v>2678</v>
      </c>
    </row>
    <row r="12807">
      <c r="A12807" t="inlineStr">
        <is>
          <t>27BBBBB12807Z5</t>
        </is>
      </c>
      <c r="B12807" t="inlineStr">
        <is>
          <t>Oct-2018</t>
        </is>
      </c>
      <c r="C12807" s="2" t="n">
        <v>43736</v>
      </c>
      <c r="D12807" t="inlineStr">
        <is>
          <t>NIL</t>
        </is>
      </c>
      <c r="E12807" t="n">
        <v>203</v>
      </c>
    </row>
    <row r="12808">
      <c r="A12808" t="inlineStr">
        <is>
          <t>27BBBBB12808Z5</t>
        </is>
      </c>
      <c r="B12808" t="inlineStr">
        <is>
          <t>Sep-2018</t>
        </is>
      </c>
      <c r="C12808" s="2" t="n">
        <v>43253</v>
      </c>
      <c r="D12808" t="inlineStr">
        <is>
          <t>NON-NIL</t>
        </is>
      </c>
      <c r="E12808" t="n">
        <v>529</v>
      </c>
    </row>
    <row r="12809">
      <c r="A12809" t="inlineStr">
        <is>
          <t>27BBBBB12809Z5</t>
        </is>
      </c>
      <c r="B12809" t="inlineStr">
        <is>
          <t>Sep-2018</t>
        </is>
      </c>
      <c r="C12809" s="2" t="n">
        <v>44467</v>
      </c>
      <c r="D12809" t="inlineStr">
        <is>
          <t>NON-NIL</t>
        </is>
      </c>
      <c r="E12809" t="n">
        <v>1863</v>
      </c>
    </row>
    <row r="12810">
      <c r="A12810" t="inlineStr">
        <is>
          <t>27BBBBB12810Z5</t>
        </is>
      </c>
      <c r="B12810" t="inlineStr">
        <is>
          <t>May-2020</t>
        </is>
      </c>
      <c r="C12810" s="2" t="n">
        <v>44274</v>
      </c>
      <c r="D12810" t="inlineStr">
        <is>
          <t>NIL</t>
        </is>
      </c>
      <c r="E12810" t="n">
        <v>2280</v>
      </c>
    </row>
    <row r="12811">
      <c r="A12811" t="inlineStr">
        <is>
          <t>27BBBBB12811Z5</t>
        </is>
      </c>
      <c r="B12811" t="inlineStr">
        <is>
          <t>Dec-2024</t>
        </is>
      </c>
      <c r="C12811" s="2" t="n">
        <v>44194</v>
      </c>
      <c r="D12811" t="inlineStr">
        <is>
          <t>NIL</t>
        </is>
      </c>
      <c r="E12811" t="n">
        <v>812</v>
      </c>
    </row>
    <row r="12812">
      <c r="A12812" t="inlineStr">
        <is>
          <t>27BBBBB12812Z5</t>
        </is>
      </c>
      <c r="B12812" t="inlineStr">
        <is>
          <t>Sep-2017</t>
        </is>
      </c>
      <c r="C12812" s="2" t="n">
        <v>44533</v>
      </c>
      <c r="D12812" t="inlineStr">
        <is>
          <t>NIL</t>
        </is>
      </c>
      <c r="E12812" t="n">
        <v>1022</v>
      </c>
    </row>
    <row r="12813">
      <c r="A12813" t="inlineStr">
        <is>
          <t>27BBBBB12813Z5</t>
        </is>
      </c>
      <c r="B12813" t="inlineStr">
        <is>
          <t>Dec-2018</t>
        </is>
      </c>
      <c r="C12813" s="2" t="n">
        <v>43693</v>
      </c>
      <c r="D12813" t="inlineStr">
        <is>
          <t>NIL</t>
        </is>
      </c>
      <c r="E12813" t="n">
        <v>1839</v>
      </c>
    </row>
    <row r="12814">
      <c r="A12814" t="inlineStr">
        <is>
          <t>27BBBBB12814Z5</t>
        </is>
      </c>
      <c r="B12814" t="inlineStr">
        <is>
          <t>Mar-2020</t>
        </is>
      </c>
      <c r="C12814" s="2" t="n">
        <v>44153</v>
      </c>
      <c r="D12814" t="inlineStr">
        <is>
          <t>NON-NIL</t>
        </is>
      </c>
      <c r="E12814" t="n">
        <v>1160</v>
      </c>
    </row>
    <row r="12815">
      <c r="A12815" t="inlineStr">
        <is>
          <t>27BBBBB12815Z5</t>
        </is>
      </c>
      <c r="B12815" t="inlineStr">
        <is>
          <t>Jul-2018</t>
        </is>
      </c>
      <c r="C12815" s="2" t="n">
        <v>44423</v>
      </c>
      <c r="D12815" t="inlineStr">
        <is>
          <t>NIL</t>
        </is>
      </c>
      <c r="E12815" t="n">
        <v>651</v>
      </c>
    </row>
    <row r="12816">
      <c r="A12816" t="inlineStr">
        <is>
          <t>27BBBBB12816Z5</t>
        </is>
      </c>
      <c r="B12816" t="inlineStr">
        <is>
          <t>Dec-2017</t>
        </is>
      </c>
      <c r="C12816" s="2" t="n">
        <v>43194</v>
      </c>
      <c r="D12816" t="inlineStr">
        <is>
          <t>NON-NIL</t>
        </is>
      </c>
      <c r="E12816" t="n">
        <v>1105</v>
      </c>
    </row>
    <row r="12817">
      <c r="A12817" t="inlineStr">
        <is>
          <t>27BBBBB12817Z5</t>
        </is>
      </c>
      <c r="B12817" t="inlineStr">
        <is>
          <t>Apr-2018</t>
        </is>
      </c>
      <c r="C12817" s="2" t="n">
        <v>43685</v>
      </c>
      <c r="D12817" t="inlineStr">
        <is>
          <t>NIL</t>
        </is>
      </c>
      <c r="E12817" t="n">
        <v>2534</v>
      </c>
    </row>
    <row r="12818">
      <c r="A12818" t="inlineStr">
        <is>
          <t>27BBBBB12818Z5</t>
        </is>
      </c>
      <c r="B12818" t="inlineStr">
        <is>
          <t>Jul-2018</t>
        </is>
      </c>
      <c r="C12818" s="2" t="n">
        <v>44262</v>
      </c>
      <c r="D12818" t="inlineStr">
        <is>
          <t>NIL</t>
        </is>
      </c>
      <c r="E12818" t="n">
        <v>2747</v>
      </c>
    </row>
    <row r="12819">
      <c r="A12819" t="inlineStr">
        <is>
          <t>27BBBBB12819Z5</t>
        </is>
      </c>
      <c r="B12819" t="inlineStr">
        <is>
          <t>Apr-2020</t>
        </is>
      </c>
      <c r="C12819" s="2" t="n">
        <v>44109</v>
      </c>
      <c r="D12819" t="inlineStr">
        <is>
          <t>NON-NIL</t>
        </is>
      </c>
      <c r="E12819" t="n">
        <v>1684</v>
      </c>
    </row>
    <row r="12820">
      <c r="A12820" t="inlineStr">
        <is>
          <t>27BBBBB12820Z5</t>
        </is>
      </c>
      <c r="B12820" t="inlineStr">
        <is>
          <t>Mar-2020</t>
        </is>
      </c>
      <c r="C12820" s="2" t="n">
        <v>44041</v>
      </c>
      <c r="D12820" t="inlineStr">
        <is>
          <t>NON-NIL</t>
        </is>
      </c>
      <c r="E12820" t="n">
        <v>1585</v>
      </c>
    </row>
    <row r="12821">
      <c r="A12821" t="inlineStr">
        <is>
          <t>27BBBBB12821Z5</t>
        </is>
      </c>
      <c r="B12821" t="inlineStr">
        <is>
          <t>Dec-2024</t>
        </is>
      </c>
      <c r="C12821" s="2" t="n">
        <v>45795</v>
      </c>
      <c r="D12821" t="inlineStr">
        <is>
          <t>NON-NIL</t>
        </is>
      </c>
      <c r="E12821" t="n">
        <v>806</v>
      </c>
    </row>
    <row r="12822">
      <c r="A12822" t="inlineStr">
        <is>
          <t>27BBBBB12822Z5</t>
        </is>
      </c>
      <c r="B12822" t="inlineStr">
        <is>
          <t>Jan-2018</t>
        </is>
      </c>
      <c r="C12822" s="2" t="n">
        <v>42923</v>
      </c>
      <c r="D12822" t="inlineStr">
        <is>
          <t>NIL</t>
        </is>
      </c>
      <c r="E12822" t="n">
        <v>1179</v>
      </c>
    </row>
    <row r="12823">
      <c r="A12823" t="inlineStr">
        <is>
          <t>27BBBBB12823Z5</t>
        </is>
      </c>
      <c r="B12823" t="inlineStr">
        <is>
          <t>Sep-2017</t>
        </is>
      </c>
      <c r="C12823" s="2" t="n">
        <v>43560</v>
      </c>
      <c r="D12823" t="inlineStr">
        <is>
          <t>NON-NIL</t>
        </is>
      </c>
      <c r="E12823" t="n">
        <v>1106</v>
      </c>
    </row>
    <row r="12824">
      <c r="A12824" t="inlineStr">
        <is>
          <t>27BBBBB12824Z5</t>
        </is>
      </c>
      <c r="B12824" t="inlineStr">
        <is>
          <t>Mar-2020</t>
        </is>
      </c>
      <c r="C12824" s="2" t="n">
        <v>44716</v>
      </c>
      <c r="D12824" t="inlineStr">
        <is>
          <t>NON-NIL</t>
        </is>
      </c>
      <c r="E12824" t="n">
        <v>2825</v>
      </c>
    </row>
    <row r="12825">
      <c r="A12825" t="inlineStr">
        <is>
          <t>27BBBBB12825Z5</t>
        </is>
      </c>
      <c r="B12825" t="inlineStr">
        <is>
          <t>Mar-2020</t>
        </is>
      </c>
      <c r="C12825" s="2" t="n">
        <v>44358</v>
      </c>
      <c r="D12825" t="inlineStr">
        <is>
          <t>NON-NIL</t>
        </is>
      </c>
      <c r="E12825" t="n">
        <v>1852</v>
      </c>
    </row>
    <row r="12826">
      <c r="A12826" t="inlineStr">
        <is>
          <t>27BBBBB12826Z5</t>
        </is>
      </c>
      <c r="B12826" t="inlineStr">
        <is>
          <t>Oct-2017</t>
        </is>
      </c>
      <c r="C12826" s="2" t="n">
        <v>44401</v>
      </c>
      <c r="D12826" t="inlineStr">
        <is>
          <t>NON-NIL</t>
        </is>
      </c>
      <c r="E12826" t="n">
        <v>2036</v>
      </c>
    </row>
    <row r="12827">
      <c r="A12827" t="inlineStr">
        <is>
          <t>27BBBBB12827Z5</t>
        </is>
      </c>
      <c r="B12827" t="inlineStr">
        <is>
          <t>Jun-2018</t>
        </is>
      </c>
      <c r="C12827" s="2" t="n">
        <v>44448</v>
      </c>
      <c r="D12827" t="inlineStr">
        <is>
          <t>NON-NIL</t>
        </is>
      </c>
      <c r="E12827" t="n">
        <v>2344</v>
      </c>
    </row>
    <row r="12828">
      <c r="A12828" t="inlineStr">
        <is>
          <t>27BBBBB12828Z5</t>
        </is>
      </c>
      <c r="B12828" t="inlineStr">
        <is>
          <t>Jun-2020</t>
        </is>
      </c>
      <c r="C12828" s="2" t="n">
        <v>44418</v>
      </c>
      <c r="D12828" t="inlineStr">
        <is>
          <t>NON-NIL</t>
        </is>
      </c>
      <c r="E12828" t="n">
        <v>2614</v>
      </c>
    </row>
    <row r="12829">
      <c r="A12829" t="inlineStr">
        <is>
          <t>27BBBBB12829Z5</t>
        </is>
      </c>
      <c r="B12829" t="inlineStr">
        <is>
          <t>Aug-2018</t>
        </is>
      </c>
      <c r="C12829" s="2" t="n">
        <v>43544</v>
      </c>
      <c r="D12829" t="inlineStr">
        <is>
          <t>NIL</t>
        </is>
      </c>
      <c r="E12829" t="n">
        <v>2983</v>
      </c>
    </row>
    <row r="12830">
      <c r="A12830" t="inlineStr">
        <is>
          <t>27BBBBB12830Z5</t>
        </is>
      </c>
      <c r="B12830" t="inlineStr">
        <is>
          <t>Jul-2017</t>
        </is>
      </c>
      <c r="C12830" s="2" t="n">
        <v>44133</v>
      </c>
      <c r="D12830" t="inlineStr">
        <is>
          <t>NIL</t>
        </is>
      </c>
      <c r="E12830" t="n">
        <v>2253</v>
      </c>
    </row>
    <row r="12831">
      <c r="A12831" t="inlineStr">
        <is>
          <t>27BBBBB12831Z5</t>
        </is>
      </c>
      <c r="B12831" t="inlineStr">
        <is>
          <t>Sep-2017</t>
        </is>
      </c>
      <c r="C12831" s="2" t="n">
        <v>43585</v>
      </c>
      <c r="D12831" t="inlineStr">
        <is>
          <t>NON-NIL</t>
        </is>
      </c>
      <c r="E12831" t="n">
        <v>213</v>
      </c>
    </row>
    <row r="12832">
      <c r="A12832" t="inlineStr">
        <is>
          <t>27BBBBB12832Z5</t>
        </is>
      </c>
      <c r="B12832" t="inlineStr">
        <is>
          <t>Jun-2020</t>
        </is>
      </c>
      <c r="C12832" s="2" t="n">
        <v>44608</v>
      </c>
      <c r="D12832" t="inlineStr">
        <is>
          <t>NON-NIL</t>
        </is>
      </c>
      <c r="E12832" t="n">
        <v>241</v>
      </c>
    </row>
    <row r="12833">
      <c r="A12833" t="inlineStr">
        <is>
          <t>27BBBBB12833Z5</t>
        </is>
      </c>
      <c r="B12833" t="inlineStr">
        <is>
          <t>Mar-2023</t>
        </is>
      </c>
      <c r="C12833" s="2" t="n">
        <v>44290</v>
      </c>
      <c r="D12833" t="inlineStr">
        <is>
          <t>NIL</t>
        </is>
      </c>
      <c r="E12833" t="n">
        <v>2705</v>
      </c>
    </row>
    <row r="12834">
      <c r="A12834" t="inlineStr">
        <is>
          <t>27BBBBB12834Z5</t>
        </is>
      </c>
      <c r="B12834" t="inlineStr">
        <is>
          <t>Jan-2021</t>
        </is>
      </c>
      <c r="C12834" s="2" t="n">
        <v>44918</v>
      </c>
      <c r="D12834" t="inlineStr">
        <is>
          <t>NON-NIL</t>
        </is>
      </c>
      <c r="E12834" t="n">
        <v>2792</v>
      </c>
    </row>
    <row r="12835">
      <c r="A12835" t="inlineStr">
        <is>
          <t>27BBBBB12835Z5</t>
        </is>
      </c>
      <c r="B12835" t="inlineStr">
        <is>
          <t>Dec-2017</t>
        </is>
      </c>
      <c r="C12835" s="2" t="n">
        <v>43792</v>
      </c>
      <c r="D12835" t="inlineStr">
        <is>
          <t>NON-NIL</t>
        </is>
      </c>
      <c r="E12835" t="n">
        <v>2779</v>
      </c>
    </row>
    <row r="12836">
      <c r="A12836" t="inlineStr">
        <is>
          <t>27BBBBB12836Z5</t>
        </is>
      </c>
      <c r="B12836" t="inlineStr">
        <is>
          <t>May-2020</t>
        </is>
      </c>
      <c r="C12836" s="2" t="n">
        <v>43928</v>
      </c>
      <c r="D12836" t="inlineStr">
        <is>
          <t>NON-NIL</t>
        </is>
      </c>
      <c r="E12836" t="n">
        <v>2878</v>
      </c>
    </row>
    <row r="12837">
      <c r="A12837" t="inlineStr">
        <is>
          <t>27BBBBB12837Z5</t>
        </is>
      </c>
      <c r="B12837" t="inlineStr">
        <is>
          <t>Mar-2020</t>
        </is>
      </c>
      <c r="C12837" s="2" t="n">
        <v>44527</v>
      </c>
      <c r="D12837" t="inlineStr">
        <is>
          <t>NON-NIL</t>
        </is>
      </c>
      <c r="E12837" t="n">
        <v>370</v>
      </c>
    </row>
    <row r="12838">
      <c r="A12838" t="inlineStr">
        <is>
          <t>27BBBBB12838Z5</t>
        </is>
      </c>
      <c r="B12838" t="inlineStr">
        <is>
          <t>Apr-2018</t>
        </is>
      </c>
      <c r="C12838" s="2" t="n">
        <v>44460</v>
      </c>
      <c r="D12838" t="inlineStr">
        <is>
          <t>NON-NIL</t>
        </is>
      </c>
      <c r="E12838" t="n">
        <v>1863</v>
      </c>
    </row>
    <row r="12839">
      <c r="A12839" t="inlineStr">
        <is>
          <t>27BBBBB12839Z5</t>
        </is>
      </c>
      <c r="B12839" t="inlineStr">
        <is>
          <t>Nov-2017</t>
        </is>
      </c>
      <c r="C12839" s="2" t="n">
        <v>44226</v>
      </c>
      <c r="D12839" t="inlineStr">
        <is>
          <t>NIL</t>
        </is>
      </c>
      <c r="E12839" t="n">
        <v>2299</v>
      </c>
    </row>
    <row r="12840">
      <c r="A12840" t="inlineStr">
        <is>
          <t>27BBBBB12840Z5</t>
        </is>
      </c>
      <c r="B12840" t="inlineStr">
        <is>
          <t>Oct-2017</t>
        </is>
      </c>
      <c r="C12840" s="2" t="n">
        <v>43692</v>
      </c>
      <c r="D12840" t="inlineStr">
        <is>
          <t>NIL</t>
        </is>
      </c>
      <c r="E12840" t="n">
        <v>1329</v>
      </c>
    </row>
    <row r="12841">
      <c r="A12841" t="inlineStr">
        <is>
          <t>27BBBBB12841Z5</t>
        </is>
      </c>
      <c r="B12841" t="inlineStr">
        <is>
          <t>Apr-2020</t>
        </is>
      </c>
      <c r="C12841" s="2" t="n">
        <v>44690</v>
      </c>
      <c r="D12841" t="inlineStr">
        <is>
          <t>NIL</t>
        </is>
      </c>
      <c r="E12841" t="n">
        <v>1328</v>
      </c>
    </row>
    <row r="12842">
      <c r="A12842" t="inlineStr">
        <is>
          <t>27BBBBB12842Z5</t>
        </is>
      </c>
      <c r="B12842" t="inlineStr">
        <is>
          <t>Nov-2017</t>
        </is>
      </c>
      <c r="C12842" s="2" t="n">
        <v>43703</v>
      </c>
      <c r="D12842" t="inlineStr">
        <is>
          <t>NON-NIL</t>
        </is>
      </c>
      <c r="E12842" t="n">
        <v>325</v>
      </c>
    </row>
    <row r="12843">
      <c r="A12843" t="inlineStr">
        <is>
          <t>27BBBBB12843Z5</t>
        </is>
      </c>
      <c r="B12843" t="inlineStr">
        <is>
          <t>Aug-2018</t>
        </is>
      </c>
      <c r="C12843" s="2" t="n">
        <v>44128</v>
      </c>
      <c r="D12843" t="inlineStr">
        <is>
          <t>NON-NIL</t>
        </is>
      </c>
      <c r="E12843" t="n">
        <v>1876</v>
      </c>
    </row>
    <row r="12844">
      <c r="A12844" t="inlineStr">
        <is>
          <t>27BBBBB12844Z5</t>
        </is>
      </c>
      <c r="B12844" t="inlineStr">
        <is>
          <t>Dec-2018</t>
        </is>
      </c>
      <c r="C12844" s="2" t="n">
        <v>44421</v>
      </c>
      <c r="D12844" t="inlineStr">
        <is>
          <t>NIL</t>
        </is>
      </c>
      <c r="E12844" t="n">
        <v>2441</v>
      </c>
    </row>
    <row r="12845">
      <c r="A12845" t="inlineStr">
        <is>
          <t>27BBBBB12845Z5</t>
        </is>
      </c>
      <c r="B12845" t="inlineStr">
        <is>
          <t>Oct-2018</t>
        </is>
      </c>
      <c r="C12845" s="2" t="n">
        <v>43715</v>
      </c>
      <c r="D12845" t="inlineStr">
        <is>
          <t>NON-NIL</t>
        </is>
      </c>
      <c r="E12845" t="n">
        <v>2982</v>
      </c>
    </row>
    <row r="12846">
      <c r="A12846" t="inlineStr">
        <is>
          <t>27BBBBB12846Z5</t>
        </is>
      </c>
      <c r="B12846" t="inlineStr">
        <is>
          <t>Jun-2020</t>
        </is>
      </c>
      <c r="C12846" s="2" t="n">
        <v>44281</v>
      </c>
      <c r="D12846" t="inlineStr">
        <is>
          <t>NIL</t>
        </is>
      </c>
      <c r="E12846" t="n">
        <v>1247</v>
      </c>
    </row>
    <row r="12847">
      <c r="A12847" t="inlineStr">
        <is>
          <t>27BBBBB12847Z5</t>
        </is>
      </c>
      <c r="B12847" t="inlineStr">
        <is>
          <t>Dec-2018</t>
        </is>
      </c>
      <c r="C12847" s="2" t="n">
        <v>43106</v>
      </c>
      <c r="D12847" t="inlineStr">
        <is>
          <t>NIL</t>
        </is>
      </c>
      <c r="E12847" t="n">
        <v>1084</v>
      </c>
    </row>
    <row r="12848">
      <c r="A12848" t="inlineStr">
        <is>
          <t>27BBBBB12848Z5</t>
        </is>
      </c>
      <c r="B12848" t="inlineStr">
        <is>
          <t>Dec-2022</t>
        </is>
      </c>
      <c r="C12848" s="2" t="n">
        <v>45469</v>
      </c>
      <c r="D12848" t="inlineStr">
        <is>
          <t>NON-NIL</t>
        </is>
      </c>
      <c r="E12848" t="n">
        <v>1744</v>
      </c>
    </row>
    <row r="12849">
      <c r="A12849" t="inlineStr">
        <is>
          <t>27BBBBB12849Z5</t>
        </is>
      </c>
      <c r="B12849" t="inlineStr">
        <is>
          <t>Aug-2017</t>
        </is>
      </c>
      <c r="C12849" s="2" t="n">
        <v>43581</v>
      </c>
      <c r="D12849" t="inlineStr">
        <is>
          <t>NIL</t>
        </is>
      </c>
      <c r="E12849" t="n">
        <v>2831</v>
      </c>
    </row>
    <row r="12850">
      <c r="A12850" t="inlineStr">
        <is>
          <t>27BBBBB12850Z5</t>
        </is>
      </c>
      <c r="B12850" t="inlineStr">
        <is>
          <t>Nov-2017</t>
        </is>
      </c>
      <c r="C12850" s="2" t="n">
        <v>43011</v>
      </c>
      <c r="D12850" t="inlineStr">
        <is>
          <t>NON-NIL</t>
        </is>
      </c>
      <c r="E12850" t="n">
        <v>1377</v>
      </c>
    </row>
    <row r="12851">
      <c r="A12851" t="inlineStr">
        <is>
          <t>27BBBBB12851Z5</t>
        </is>
      </c>
      <c r="B12851" t="inlineStr">
        <is>
          <t>Sep-2017</t>
        </is>
      </c>
      <c r="C12851" s="2" t="n">
        <v>43562</v>
      </c>
      <c r="D12851" t="inlineStr">
        <is>
          <t>NON-NIL</t>
        </is>
      </c>
      <c r="E12851" t="n">
        <v>571</v>
      </c>
    </row>
    <row r="12852">
      <c r="A12852" t="inlineStr">
        <is>
          <t>27BBBBB12852Z5</t>
        </is>
      </c>
      <c r="B12852" t="inlineStr">
        <is>
          <t>Dec-2022</t>
        </is>
      </c>
      <c r="C12852" s="2" t="n">
        <v>43568</v>
      </c>
      <c r="D12852" t="inlineStr">
        <is>
          <t>NIL</t>
        </is>
      </c>
      <c r="E12852" t="n">
        <v>1030</v>
      </c>
    </row>
    <row r="12853">
      <c r="A12853" t="inlineStr">
        <is>
          <t>27BBBBB12853Z5</t>
        </is>
      </c>
      <c r="B12853" t="inlineStr">
        <is>
          <t>May-2020</t>
        </is>
      </c>
      <c r="C12853" s="2" t="n">
        <v>44062</v>
      </c>
      <c r="D12853" t="inlineStr">
        <is>
          <t>NIL</t>
        </is>
      </c>
      <c r="E12853" t="n">
        <v>1436</v>
      </c>
    </row>
    <row r="12854">
      <c r="A12854" t="inlineStr">
        <is>
          <t>27BBBBB12854Z5</t>
        </is>
      </c>
      <c r="B12854" t="inlineStr">
        <is>
          <t>Jan-2018</t>
        </is>
      </c>
      <c r="C12854" s="2" t="n">
        <v>43690</v>
      </c>
      <c r="D12854" t="inlineStr">
        <is>
          <t>NIL</t>
        </is>
      </c>
      <c r="E12854" t="n">
        <v>1771</v>
      </c>
    </row>
    <row r="12855">
      <c r="A12855" t="inlineStr">
        <is>
          <t>27BBBBB12855Z5</t>
        </is>
      </c>
      <c r="B12855" t="inlineStr">
        <is>
          <t>Jan-2018</t>
        </is>
      </c>
      <c r="C12855" s="2" t="n">
        <v>44131</v>
      </c>
      <c r="D12855" t="inlineStr">
        <is>
          <t>NON-NIL</t>
        </is>
      </c>
      <c r="E12855" t="n">
        <v>1016</v>
      </c>
    </row>
    <row r="12856">
      <c r="A12856" t="inlineStr">
        <is>
          <t>27BBBBB12856Z5</t>
        </is>
      </c>
      <c r="B12856" t="inlineStr">
        <is>
          <t>Dec-2018</t>
        </is>
      </c>
      <c r="C12856" s="2" t="n">
        <v>43583</v>
      </c>
      <c r="D12856" t="inlineStr">
        <is>
          <t>NON-NIL</t>
        </is>
      </c>
      <c r="E12856" t="n">
        <v>2462</v>
      </c>
    </row>
    <row r="12857">
      <c r="A12857" t="inlineStr">
        <is>
          <t>27BBBBB12857Z5</t>
        </is>
      </c>
      <c r="B12857" t="inlineStr">
        <is>
          <t>Aug-2017</t>
        </is>
      </c>
      <c r="C12857" s="2" t="n">
        <v>43659</v>
      </c>
      <c r="D12857" t="inlineStr">
        <is>
          <t>NIL</t>
        </is>
      </c>
      <c r="E12857" t="n">
        <v>1546</v>
      </c>
    </row>
    <row r="12858">
      <c r="A12858" t="inlineStr">
        <is>
          <t>27BBBBB12858Z5</t>
        </is>
      </c>
      <c r="B12858" t="inlineStr">
        <is>
          <t>Nov-2017</t>
        </is>
      </c>
      <c r="C12858" s="2" t="n">
        <v>43624</v>
      </c>
      <c r="D12858" t="inlineStr">
        <is>
          <t>NON-NIL</t>
        </is>
      </c>
      <c r="E12858" t="n">
        <v>2795</v>
      </c>
    </row>
    <row r="12859">
      <c r="A12859" t="inlineStr">
        <is>
          <t>27BBBBB12859Z5</t>
        </is>
      </c>
      <c r="B12859" t="inlineStr">
        <is>
          <t>Jul-2018</t>
        </is>
      </c>
      <c r="C12859" s="2" t="n">
        <v>43674</v>
      </c>
      <c r="D12859" t="inlineStr">
        <is>
          <t>NON-NIL</t>
        </is>
      </c>
      <c r="E12859" t="n">
        <v>2137</v>
      </c>
    </row>
    <row r="12860">
      <c r="A12860" t="inlineStr">
        <is>
          <t>27BBBBB12860Z5</t>
        </is>
      </c>
      <c r="B12860" t="inlineStr">
        <is>
          <t>Oct-2017</t>
        </is>
      </c>
      <c r="C12860" s="2" t="n">
        <v>44119</v>
      </c>
      <c r="D12860" t="inlineStr">
        <is>
          <t>NIL</t>
        </is>
      </c>
      <c r="E12860" t="n">
        <v>446</v>
      </c>
    </row>
    <row r="12861">
      <c r="A12861" t="inlineStr">
        <is>
          <t>27BBBBB12861Z5</t>
        </is>
      </c>
      <c r="B12861" t="inlineStr">
        <is>
          <t>Dec-2022</t>
        </is>
      </c>
      <c r="C12861" s="2" t="n">
        <v>43908</v>
      </c>
      <c r="D12861" t="inlineStr">
        <is>
          <t>NON-NIL</t>
        </is>
      </c>
      <c r="E12861" t="n">
        <v>201</v>
      </c>
    </row>
    <row r="12862">
      <c r="A12862" t="inlineStr">
        <is>
          <t>27BBBBB12862Z5</t>
        </is>
      </c>
      <c r="B12862" t="inlineStr">
        <is>
          <t>Dec-2022</t>
        </is>
      </c>
      <c r="C12862" s="2" t="n">
        <v>45404</v>
      </c>
      <c r="D12862" t="inlineStr">
        <is>
          <t>NIL</t>
        </is>
      </c>
      <c r="E12862" t="n">
        <v>2757</v>
      </c>
    </row>
    <row r="12863">
      <c r="A12863" t="inlineStr">
        <is>
          <t>27BBBBB12863Z5</t>
        </is>
      </c>
      <c r="B12863" t="inlineStr">
        <is>
          <t>Oct-2017</t>
        </is>
      </c>
      <c r="C12863" s="2" t="n">
        <v>43136</v>
      </c>
      <c r="D12863" t="inlineStr">
        <is>
          <t>NON-NIL</t>
        </is>
      </c>
      <c r="E12863" t="n">
        <v>1721</v>
      </c>
    </row>
    <row r="12864">
      <c r="A12864" t="inlineStr">
        <is>
          <t>27BBBBB12864Z5</t>
        </is>
      </c>
      <c r="B12864" t="inlineStr">
        <is>
          <t>Mar-2018</t>
        </is>
      </c>
      <c r="C12864" s="2" t="n">
        <v>43409</v>
      </c>
      <c r="D12864" t="inlineStr">
        <is>
          <t>NON-NIL</t>
        </is>
      </c>
      <c r="E12864" t="n">
        <v>133</v>
      </c>
    </row>
    <row r="12865">
      <c r="A12865" t="inlineStr">
        <is>
          <t>27BBBBB12865Z5</t>
        </is>
      </c>
      <c r="B12865" t="inlineStr">
        <is>
          <t>Jul-2018</t>
        </is>
      </c>
      <c r="C12865" s="2" t="n">
        <v>43876</v>
      </c>
      <c r="D12865" t="inlineStr">
        <is>
          <t>NON-NIL</t>
        </is>
      </c>
      <c r="E12865" t="n">
        <v>570</v>
      </c>
    </row>
    <row r="12866">
      <c r="A12866" t="inlineStr">
        <is>
          <t>27BBBBB12866Z5</t>
        </is>
      </c>
      <c r="B12866" t="inlineStr">
        <is>
          <t>Mar-2018</t>
        </is>
      </c>
      <c r="C12866" s="2" t="n">
        <v>43868</v>
      </c>
      <c r="D12866" t="inlineStr">
        <is>
          <t>NON-NIL</t>
        </is>
      </c>
      <c r="E12866" t="n">
        <v>84</v>
      </c>
    </row>
    <row r="12867">
      <c r="A12867" t="inlineStr">
        <is>
          <t>27BBBBB12867Z5</t>
        </is>
      </c>
      <c r="B12867" t="inlineStr">
        <is>
          <t>Oct-2018</t>
        </is>
      </c>
      <c r="C12867" s="2" t="n">
        <v>44533</v>
      </c>
      <c r="D12867" t="inlineStr">
        <is>
          <t>NIL</t>
        </is>
      </c>
      <c r="E12867" t="n">
        <v>714</v>
      </c>
    </row>
    <row r="12868">
      <c r="A12868" t="inlineStr">
        <is>
          <t>27BBBBB12868Z5</t>
        </is>
      </c>
      <c r="B12868" t="inlineStr">
        <is>
          <t>Apr-2020</t>
        </is>
      </c>
      <c r="C12868" s="2" t="n">
        <v>44744</v>
      </c>
      <c r="D12868" t="inlineStr">
        <is>
          <t>NIL</t>
        </is>
      </c>
      <c r="E12868" t="n">
        <v>1450</v>
      </c>
    </row>
    <row r="12869">
      <c r="A12869" t="inlineStr">
        <is>
          <t>27BBBBB12869Z5</t>
        </is>
      </c>
      <c r="B12869" t="inlineStr">
        <is>
          <t>Dec-2018</t>
        </is>
      </c>
      <c r="C12869" s="2" t="n">
        <v>44427</v>
      </c>
      <c r="D12869" t="inlineStr">
        <is>
          <t>NON-NIL</t>
        </is>
      </c>
      <c r="E12869" t="n">
        <v>438</v>
      </c>
    </row>
    <row r="12870">
      <c r="A12870" t="inlineStr">
        <is>
          <t>27BBBBB12870Z5</t>
        </is>
      </c>
      <c r="B12870" t="inlineStr">
        <is>
          <t>Feb-2018</t>
        </is>
      </c>
      <c r="C12870" s="2" t="n">
        <v>43196</v>
      </c>
      <c r="D12870" t="inlineStr">
        <is>
          <t>NIL</t>
        </is>
      </c>
      <c r="E12870" t="n">
        <v>2104</v>
      </c>
    </row>
    <row r="12871">
      <c r="A12871" t="inlineStr">
        <is>
          <t>27BBBBB12871Z5</t>
        </is>
      </c>
      <c r="B12871" t="inlineStr">
        <is>
          <t>Oct-2018</t>
        </is>
      </c>
      <c r="C12871" s="2" t="n">
        <v>43641</v>
      </c>
      <c r="D12871" t="inlineStr">
        <is>
          <t>NON-NIL</t>
        </is>
      </c>
      <c r="E12871" t="n">
        <v>617</v>
      </c>
    </row>
    <row r="12872">
      <c r="A12872" t="inlineStr">
        <is>
          <t>27BBBBB12872Z5</t>
        </is>
      </c>
      <c r="B12872" t="inlineStr">
        <is>
          <t>May-2020</t>
        </is>
      </c>
      <c r="C12872" s="2" t="n">
        <v>44888</v>
      </c>
      <c r="D12872" t="inlineStr">
        <is>
          <t>NIL</t>
        </is>
      </c>
      <c r="E12872" t="n">
        <v>93</v>
      </c>
    </row>
    <row r="12873">
      <c r="A12873" t="inlineStr">
        <is>
          <t>27BBBBB12873Z5</t>
        </is>
      </c>
      <c r="B12873" t="inlineStr">
        <is>
          <t>Jun-2018</t>
        </is>
      </c>
      <c r="C12873" s="2" t="n">
        <v>43726</v>
      </c>
      <c r="D12873" t="inlineStr">
        <is>
          <t>NON-NIL</t>
        </is>
      </c>
      <c r="E12873" t="n">
        <v>1240</v>
      </c>
    </row>
    <row r="12874">
      <c r="A12874" t="inlineStr">
        <is>
          <t>27BBBBB12874Z5</t>
        </is>
      </c>
      <c r="B12874" t="inlineStr">
        <is>
          <t>Sep-2017</t>
        </is>
      </c>
      <c r="C12874" s="2" t="n">
        <v>43980</v>
      </c>
      <c r="D12874" t="inlineStr">
        <is>
          <t>NIL</t>
        </is>
      </c>
      <c r="E12874" t="n">
        <v>2650</v>
      </c>
    </row>
    <row r="12875">
      <c r="A12875" t="inlineStr">
        <is>
          <t>27BBBBB12875Z5</t>
        </is>
      </c>
      <c r="B12875" t="inlineStr">
        <is>
          <t>Mar-2020</t>
        </is>
      </c>
      <c r="C12875" s="2" t="n">
        <v>44443</v>
      </c>
      <c r="D12875" t="inlineStr">
        <is>
          <t>NIL</t>
        </is>
      </c>
      <c r="E12875" t="n">
        <v>160</v>
      </c>
    </row>
    <row r="12876">
      <c r="A12876" t="inlineStr">
        <is>
          <t>27BBBBB12876Z5</t>
        </is>
      </c>
      <c r="B12876" t="inlineStr">
        <is>
          <t>May-2018</t>
        </is>
      </c>
      <c r="C12876" s="2" t="n">
        <v>42993</v>
      </c>
      <c r="D12876" t="inlineStr">
        <is>
          <t>NON-NIL</t>
        </is>
      </c>
      <c r="E12876" t="n">
        <v>1111</v>
      </c>
    </row>
    <row r="12877">
      <c r="A12877" t="inlineStr">
        <is>
          <t>27BBBBB12877Z5</t>
        </is>
      </c>
      <c r="B12877" t="inlineStr">
        <is>
          <t>Dec-2018</t>
        </is>
      </c>
      <c r="C12877" s="2" t="n">
        <v>43334</v>
      </c>
      <c r="D12877" t="inlineStr">
        <is>
          <t>NIL</t>
        </is>
      </c>
      <c r="E12877" t="n">
        <v>1929</v>
      </c>
    </row>
    <row r="12878">
      <c r="A12878" t="inlineStr">
        <is>
          <t>27BBBBB12878Z5</t>
        </is>
      </c>
      <c r="B12878" t="inlineStr">
        <is>
          <t>Jan-2018</t>
        </is>
      </c>
      <c r="C12878" s="2" t="n">
        <v>44427</v>
      </c>
      <c r="D12878" t="inlineStr">
        <is>
          <t>NIL</t>
        </is>
      </c>
      <c r="E12878" t="n">
        <v>89</v>
      </c>
    </row>
    <row r="12879">
      <c r="A12879" t="inlineStr">
        <is>
          <t>27BBBBB12879Z5</t>
        </is>
      </c>
      <c r="B12879" t="inlineStr">
        <is>
          <t>Dec-2018</t>
        </is>
      </c>
      <c r="C12879" s="2" t="n">
        <v>43722</v>
      </c>
      <c r="D12879" t="inlineStr">
        <is>
          <t>NON-NIL</t>
        </is>
      </c>
      <c r="E12879" t="n">
        <v>2775</v>
      </c>
    </row>
    <row r="12880">
      <c r="A12880" t="inlineStr">
        <is>
          <t>27BBBBB12880Z5</t>
        </is>
      </c>
      <c r="B12880" t="inlineStr">
        <is>
          <t>Oct-2018</t>
        </is>
      </c>
      <c r="C12880" s="2" t="n">
        <v>44035</v>
      </c>
      <c r="D12880" t="inlineStr">
        <is>
          <t>NON-NIL</t>
        </is>
      </c>
      <c r="E12880" t="n">
        <v>2364</v>
      </c>
    </row>
    <row r="12881">
      <c r="A12881" t="inlineStr">
        <is>
          <t>27BBBBB12881Z5</t>
        </is>
      </c>
      <c r="B12881" t="inlineStr">
        <is>
          <t>Oct-2018</t>
        </is>
      </c>
      <c r="C12881" s="2" t="n">
        <v>44521</v>
      </c>
      <c r="D12881" t="inlineStr">
        <is>
          <t>NIL</t>
        </is>
      </c>
      <c r="E12881" t="n">
        <v>1144</v>
      </c>
    </row>
    <row r="12882">
      <c r="A12882" t="inlineStr">
        <is>
          <t>27BBBBB12882Z5</t>
        </is>
      </c>
      <c r="B12882" t="inlineStr">
        <is>
          <t>Oct-2017</t>
        </is>
      </c>
      <c r="C12882" s="2" t="n">
        <v>44469</v>
      </c>
      <c r="D12882" t="inlineStr">
        <is>
          <t>NON-NIL</t>
        </is>
      </c>
      <c r="E12882" t="n">
        <v>1939</v>
      </c>
    </row>
    <row r="12883">
      <c r="A12883" t="inlineStr">
        <is>
          <t>27BBBBB12883Z5</t>
        </is>
      </c>
      <c r="B12883" t="inlineStr">
        <is>
          <t>Mar-2018</t>
        </is>
      </c>
      <c r="C12883" s="2" t="n">
        <v>43188</v>
      </c>
      <c r="D12883" t="inlineStr">
        <is>
          <t>NON-NIL</t>
        </is>
      </c>
      <c r="E12883" t="n">
        <v>840</v>
      </c>
    </row>
    <row r="12884">
      <c r="A12884" t="inlineStr">
        <is>
          <t>27BBBBB12884Z5</t>
        </is>
      </c>
      <c r="B12884" t="inlineStr">
        <is>
          <t>Nov-2017</t>
        </is>
      </c>
      <c r="C12884" s="2" t="n">
        <v>43072</v>
      </c>
      <c r="D12884" t="inlineStr">
        <is>
          <t>NON-NIL</t>
        </is>
      </c>
      <c r="E12884" t="n">
        <v>2933</v>
      </c>
    </row>
    <row r="12885">
      <c r="A12885" t="inlineStr">
        <is>
          <t>27BBBBB12885Z5</t>
        </is>
      </c>
      <c r="B12885" t="inlineStr">
        <is>
          <t>Mar-2023</t>
        </is>
      </c>
      <c r="C12885" s="2" t="n">
        <v>45190</v>
      </c>
      <c r="D12885" t="inlineStr">
        <is>
          <t>NON-NIL</t>
        </is>
      </c>
      <c r="E12885" t="n">
        <v>2623</v>
      </c>
    </row>
    <row r="12886">
      <c r="A12886" t="inlineStr">
        <is>
          <t>27BBBBB12886Z5</t>
        </is>
      </c>
      <c r="B12886" t="inlineStr">
        <is>
          <t>Dec-2018</t>
        </is>
      </c>
      <c r="C12886" s="2" t="n">
        <v>43216</v>
      </c>
      <c r="D12886" t="inlineStr">
        <is>
          <t>NIL</t>
        </is>
      </c>
      <c r="E12886" t="n">
        <v>1980</v>
      </c>
    </row>
    <row r="12887">
      <c r="A12887" t="inlineStr">
        <is>
          <t>27BBBBB12887Z5</t>
        </is>
      </c>
      <c r="B12887" t="inlineStr">
        <is>
          <t>Jan-2018</t>
        </is>
      </c>
      <c r="C12887" s="2" t="n">
        <v>43021</v>
      </c>
      <c r="D12887" t="inlineStr">
        <is>
          <t>NON-NIL</t>
        </is>
      </c>
      <c r="E12887" t="n">
        <v>1020</v>
      </c>
    </row>
    <row r="12888">
      <c r="A12888" t="inlineStr">
        <is>
          <t>27BBBBB12888Z5</t>
        </is>
      </c>
      <c r="B12888" t="inlineStr">
        <is>
          <t>Jan-2021</t>
        </is>
      </c>
      <c r="C12888" s="2" t="n">
        <v>44447</v>
      </c>
      <c r="D12888" t="inlineStr">
        <is>
          <t>NON-NIL</t>
        </is>
      </c>
      <c r="E12888" t="n">
        <v>129</v>
      </c>
    </row>
    <row r="12889">
      <c r="A12889" t="inlineStr">
        <is>
          <t>27BBBBB12889Z5</t>
        </is>
      </c>
      <c r="B12889" t="inlineStr">
        <is>
          <t>Oct-2018</t>
        </is>
      </c>
      <c r="C12889" s="2" t="n">
        <v>43347</v>
      </c>
      <c r="D12889" t="inlineStr">
        <is>
          <t>NON-NIL</t>
        </is>
      </c>
      <c r="E12889" t="n">
        <v>2291</v>
      </c>
    </row>
    <row r="12890">
      <c r="A12890" t="inlineStr">
        <is>
          <t>27BBBBB12890Z5</t>
        </is>
      </c>
      <c r="B12890" t="inlineStr">
        <is>
          <t>May-2018</t>
        </is>
      </c>
      <c r="C12890" s="2" t="n">
        <v>44525</v>
      </c>
      <c r="D12890" t="inlineStr">
        <is>
          <t>NON-NIL</t>
        </is>
      </c>
      <c r="E12890" t="n">
        <v>1976</v>
      </c>
    </row>
    <row r="12891">
      <c r="A12891" t="inlineStr">
        <is>
          <t>27BBBBB12891Z5</t>
        </is>
      </c>
      <c r="B12891" t="inlineStr">
        <is>
          <t>May-2018</t>
        </is>
      </c>
      <c r="C12891" s="2" t="n">
        <v>44013</v>
      </c>
      <c r="D12891" t="inlineStr">
        <is>
          <t>NON-NIL</t>
        </is>
      </c>
      <c r="E12891" t="n">
        <v>2663</v>
      </c>
    </row>
    <row r="12892">
      <c r="A12892" t="inlineStr">
        <is>
          <t>27BBBBB12892Z5</t>
        </is>
      </c>
      <c r="B12892" t="inlineStr">
        <is>
          <t>Mar-2020</t>
        </is>
      </c>
      <c r="C12892" s="2" t="n">
        <v>43838</v>
      </c>
      <c r="D12892" t="inlineStr">
        <is>
          <t>NIL</t>
        </is>
      </c>
      <c r="E12892" t="n">
        <v>2908</v>
      </c>
    </row>
    <row r="12893">
      <c r="A12893" t="inlineStr">
        <is>
          <t>27BBBBB12893Z5</t>
        </is>
      </c>
      <c r="B12893" t="inlineStr">
        <is>
          <t>Jun-2020</t>
        </is>
      </c>
      <c r="C12893" s="2" t="n">
        <v>44809</v>
      </c>
      <c r="D12893" t="inlineStr">
        <is>
          <t>NON-NIL</t>
        </is>
      </c>
      <c r="E12893" t="n">
        <v>2420</v>
      </c>
    </row>
    <row r="12894">
      <c r="A12894" t="inlineStr">
        <is>
          <t>27BBBBB12894Z5</t>
        </is>
      </c>
      <c r="B12894" t="inlineStr">
        <is>
          <t>Mar-2020</t>
        </is>
      </c>
      <c r="C12894" s="2" t="n">
        <v>44280</v>
      </c>
      <c r="D12894" t="inlineStr">
        <is>
          <t>NON-NIL</t>
        </is>
      </c>
      <c r="E12894" t="n">
        <v>1415</v>
      </c>
    </row>
    <row r="12895">
      <c r="A12895" t="inlineStr">
        <is>
          <t>27BBBBB12895Z5</t>
        </is>
      </c>
      <c r="B12895" t="inlineStr">
        <is>
          <t>Sep-2018</t>
        </is>
      </c>
      <c r="C12895" s="2" t="n">
        <v>44547</v>
      </c>
      <c r="D12895" t="inlineStr">
        <is>
          <t>NIL</t>
        </is>
      </c>
      <c r="E12895" t="n">
        <v>2014</v>
      </c>
    </row>
    <row r="12896">
      <c r="A12896" t="inlineStr">
        <is>
          <t>27BBBBB12896Z5</t>
        </is>
      </c>
      <c r="B12896" t="inlineStr">
        <is>
          <t>Aug-2017</t>
        </is>
      </c>
      <c r="C12896" s="2" t="n">
        <v>44376</v>
      </c>
      <c r="D12896" t="inlineStr">
        <is>
          <t>NON-NIL</t>
        </is>
      </c>
      <c r="E12896" t="n">
        <v>1508</v>
      </c>
    </row>
    <row r="12897">
      <c r="A12897" t="inlineStr">
        <is>
          <t>27BBBBB12897Z5</t>
        </is>
      </c>
      <c r="B12897" t="inlineStr">
        <is>
          <t>Jan-2018</t>
        </is>
      </c>
      <c r="C12897" s="2" t="n">
        <v>44426</v>
      </c>
      <c r="D12897" t="inlineStr">
        <is>
          <t>NIL</t>
        </is>
      </c>
      <c r="E12897" t="n">
        <v>1558</v>
      </c>
    </row>
    <row r="12898">
      <c r="A12898" t="inlineStr">
        <is>
          <t>27BBBBB12898Z5</t>
        </is>
      </c>
      <c r="B12898" t="inlineStr">
        <is>
          <t>Jul-2018</t>
        </is>
      </c>
      <c r="C12898" s="2" t="n">
        <v>44540</v>
      </c>
      <c r="D12898" t="inlineStr">
        <is>
          <t>NON-NIL</t>
        </is>
      </c>
      <c r="E12898" t="n">
        <v>231</v>
      </c>
    </row>
    <row r="12899">
      <c r="A12899" t="inlineStr">
        <is>
          <t>27BBBBB12899Z5</t>
        </is>
      </c>
      <c r="B12899" t="inlineStr">
        <is>
          <t>Apr-2018</t>
        </is>
      </c>
      <c r="C12899" s="2" t="n">
        <v>43386</v>
      </c>
      <c r="D12899" t="inlineStr">
        <is>
          <t>NON-NIL</t>
        </is>
      </c>
      <c r="E12899" t="n">
        <v>1107</v>
      </c>
    </row>
    <row r="12900">
      <c r="A12900" t="inlineStr">
        <is>
          <t>27BBBBB12900Z5</t>
        </is>
      </c>
      <c r="B12900" t="inlineStr">
        <is>
          <t>Dec-2018</t>
        </is>
      </c>
      <c r="C12900" s="2" t="n">
        <v>43512</v>
      </c>
      <c r="D12900" t="inlineStr">
        <is>
          <t>NON-NIL</t>
        </is>
      </c>
      <c r="E12900" t="n">
        <v>1785</v>
      </c>
    </row>
    <row r="12901">
      <c r="A12901" t="inlineStr">
        <is>
          <t>27BBBBB12901Z5</t>
        </is>
      </c>
      <c r="B12901" t="inlineStr">
        <is>
          <t>Jan-2021</t>
        </is>
      </c>
      <c r="C12901" s="2" t="n">
        <v>43919</v>
      </c>
      <c r="D12901" t="inlineStr">
        <is>
          <t>NIL</t>
        </is>
      </c>
      <c r="E12901" t="n">
        <v>1822</v>
      </c>
    </row>
    <row r="12902">
      <c r="A12902" t="inlineStr">
        <is>
          <t>27BBBBB12902Z5</t>
        </is>
      </c>
      <c r="B12902" t="inlineStr">
        <is>
          <t>Dec-2022</t>
        </is>
      </c>
      <c r="C12902" s="2" t="n">
        <v>45354</v>
      </c>
      <c r="D12902" t="inlineStr">
        <is>
          <t>NIL</t>
        </is>
      </c>
      <c r="E12902" t="n">
        <v>1668</v>
      </c>
    </row>
    <row r="12903">
      <c r="A12903" t="inlineStr">
        <is>
          <t>27BBBBB12903Z5</t>
        </is>
      </c>
      <c r="B12903" t="inlineStr">
        <is>
          <t>Nov-2017</t>
        </is>
      </c>
      <c r="C12903" s="2" t="n">
        <v>43401</v>
      </c>
      <c r="D12903" t="inlineStr">
        <is>
          <t>NIL</t>
        </is>
      </c>
      <c r="E12903" t="n">
        <v>751</v>
      </c>
    </row>
    <row r="12904">
      <c r="A12904" t="inlineStr">
        <is>
          <t>27BBBBB12904Z5</t>
        </is>
      </c>
      <c r="B12904" t="inlineStr">
        <is>
          <t>Dec-2022</t>
        </is>
      </c>
      <c r="C12904" s="2" t="n">
        <v>44617</v>
      </c>
      <c r="D12904" t="inlineStr">
        <is>
          <t>NIL</t>
        </is>
      </c>
      <c r="E12904" t="n">
        <v>2345</v>
      </c>
    </row>
    <row r="12905">
      <c r="A12905" t="inlineStr">
        <is>
          <t>27BBBBB12905Z5</t>
        </is>
      </c>
      <c r="B12905" t="inlineStr">
        <is>
          <t>Dec-2024</t>
        </is>
      </c>
      <c r="C12905" s="2" t="n">
        <v>45522</v>
      </c>
      <c r="D12905" t="inlineStr">
        <is>
          <t>NIL</t>
        </is>
      </c>
      <c r="E12905" t="n">
        <v>867</v>
      </c>
    </row>
    <row r="12906">
      <c r="A12906" t="inlineStr">
        <is>
          <t>27BBBBB12906Z5</t>
        </is>
      </c>
      <c r="B12906" t="inlineStr">
        <is>
          <t>Jul-2020</t>
        </is>
      </c>
      <c r="C12906" s="2" t="n">
        <v>44205</v>
      </c>
      <c r="D12906" t="inlineStr">
        <is>
          <t>NIL</t>
        </is>
      </c>
      <c r="E12906" t="n">
        <v>525</v>
      </c>
    </row>
    <row r="12907">
      <c r="A12907" t="inlineStr">
        <is>
          <t>27BBBBB12907Z5</t>
        </is>
      </c>
      <c r="B12907" t="inlineStr">
        <is>
          <t>Jul-2020</t>
        </is>
      </c>
      <c r="C12907" s="2" t="n">
        <v>44842</v>
      </c>
      <c r="D12907" t="inlineStr">
        <is>
          <t>NIL</t>
        </is>
      </c>
      <c r="E12907" t="n">
        <v>2972</v>
      </c>
    </row>
    <row r="12908">
      <c r="A12908" t="inlineStr">
        <is>
          <t>27BBBBB12908Z5</t>
        </is>
      </c>
      <c r="B12908" t="inlineStr">
        <is>
          <t>Dec-2024</t>
        </is>
      </c>
      <c r="C12908" s="2" t="n">
        <v>44929</v>
      </c>
      <c r="D12908" t="inlineStr">
        <is>
          <t>NON-NIL</t>
        </is>
      </c>
      <c r="E12908" t="n">
        <v>1377</v>
      </c>
    </row>
    <row r="12909">
      <c r="A12909" t="inlineStr">
        <is>
          <t>27BBBBB12909Z5</t>
        </is>
      </c>
      <c r="B12909" t="inlineStr">
        <is>
          <t>Dec-2017</t>
        </is>
      </c>
      <c r="C12909" s="2" t="n">
        <v>43288</v>
      </c>
      <c r="D12909" t="inlineStr">
        <is>
          <t>NON-NIL</t>
        </is>
      </c>
      <c r="E12909" t="n">
        <v>725</v>
      </c>
    </row>
    <row r="12910">
      <c r="A12910" t="inlineStr">
        <is>
          <t>27BBBBB12910Z5</t>
        </is>
      </c>
      <c r="B12910" t="inlineStr">
        <is>
          <t>May-2018</t>
        </is>
      </c>
      <c r="C12910" s="2" t="n">
        <v>43565</v>
      </c>
      <c r="D12910" t="inlineStr">
        <is>
          <t>NON-NIL</t>
        </is>
      </c>
      <c r="E12910" t="n">
        <v>2175</v>
      </c>
    </row>
    <row r="12911">
      <c r="A12911" t="inlineStr">
        <is>
          <t>27BBBBB12911Z5</t>
        </is>
      </c>
      <c r="B12911" t="inlineStr">
        <is>
          <t>Feb-2018</t>
        </is>
      </c>
      <c r="C12911" s="2" t="n">
        <v>43159</v>
      </c>
      <c r="D12911" t="inlineStr">
        <is>
          <t>NON-NIL</t>
        </is>
      </c>
      <c r="E12911" t="n">
        <v>709</v>
      </c>
    </row>
    <row r="12912">
      <c r="A12912" t="inlineStr">
        <is>
          <t>27BBBBB12912Z5</t>
        </is>
      </c>
      <c r="B12912" t="inlineStr">
        <is>
          <t>Jul-2020</t>
        </is>
      </c>
      <c r="C12912" s="2" t="n">
        <v>44117</v>
      </c>
      <c r="D12912" t="inlineStr">
        <is>
          <t>NIL</t>
        </is>
      </c>
      <c r="E12912" t="n">
        <v>153</v>
      </c>
    </row>
    <row r="12913">
      <c r="A12913" t="inlineStr">
        <is>
          <t>27BBBBB12913Z5</t>
        </is>
      </c>
      <c r="B12913" t="inlineStr">
        <is>
          <t>Dec-2024</t>
        </is>
      </c>
      <c r="C12913" s="2" t="n">
        <v>43917</v>
      </c>
      <c r="D12913" t="inlineStr">
        <is>
          <t>NIL</t>
        </is>
      </c>
      <c r="E12913" t="n">
        <v>2001</v>
      </c>
    </row>
    <row r="12914">
      <c r="A12914" t="inlineStr">
        <is>
          <t>27BBBBB12914Z5</t>
        </is>
      </c>
      <c r="B12914" t="inlineStr">
        <is>
          <t>Apr-2020</t>
        </is>
      </c>
      <c r="C12914" s="2" t="n">
        <v>44615</v>
      </c>
      <c r="D12914" t="inlineStr">
        <is>
          <t>NON-NIL</t>
        </is>
      </c>
      <c r="E12914" t="n">
        <v>395</v>
      </c>
    </row>
    <row r="12915">
      <c r="A12915" t="inlineStr">
        <is>
          <t>27BBBBB12915Z5</t>
        </is>
      </c>
      <c r="B12915" t="inlineStr">
        <is>
          <t>Dec-2024</t>
        </is>
      </c>
      <c r="C12915" s="2" t="n">
        <v>44691</v>
      </c>
      <c r="D12915" t="inlineStr">
        <is>
          <t>NON-NIL</t>
        </is>
      </c>
      <c r="E12915" t="n">
        <v>246</v>
      </c>
    </row>
    <row r="12916">
      <c r="A12916" t="inlineStr">
        <is>
          <t>27BBBBB12916Z5</t>
        </is>
      </c>
      <c r="B12916" t="inlineStr">
        <is>
          <t>Jan-2021</t>
        </is>
      </c>
      <c r="C12916" s="2" t="n">
        <v>45707</v>
      </c>
      <c r="D12916" t="inlineStr">
        <is>
          <t>NON-NIL</t>
        </is>
      </c>
      <c r="E12916" t="n">
        <v>1082</v>
      </c>
    </row>
    <row r="12917">
      <c r="A12917" t="inlineStr">
        <is>
          <t>27BBBBB12917Z5</t>
        </is>
      </c>
      <c r="B12917" t="inlineStr">
        <is>
          <t>Apr-2020</t>
        </is>
      </c>
      <c r="C12917" s="2" t="n">
        <v>43990</v>
      </c>
      <c r="D12917" t="inlineStr">
        <is>
          <t>NIL</t>
        </is>
      </c>
      <c r="E12917" t="n">
        <v>1187</v>
      </c>
    </row>
    <row r="12918">
      <c r="A12918" t="inlineStr">
        <is>
          <t>27BBBBB12918Z5</t>
        </is>
      </c>
      <c r="B12918" t="inlineStr">
        <is>
          <t>Jan-2021</t>
        </is>
      </c>
      <c r="C12918" s="2" t="n">
        <v>45709</v>
      </c>
      <c r="D12918" t="inlineStr">
        <is>
          <t>NON-NIL</t>
        </is>
      </c>
      <c r="E12918" t="n">
        <v>1773</v>
      </c>
    </row>
    <row r="12919">
      <c r="A12919" t="inlineStr">
        <is>
          <t>27BBBBB12919Z5</t>
        </is>
      </c>
      <c r="B12919" t="inlineStr">
        <is>
          <t>Dec-2018</t>
        </is>
      </c>
      <c r="C12919" s="2" t="n">
        <v>43025</v>
      </c>
      <c r="D12919" t="inlineStr">
        <is>
          <t>NIL</t>
        </is>
      </c>
      <c r="E12919" t="n">
        <v>447</v>
      </c>
    </row>
    <row r="12920">
      <c r="A12920" t="inlineStr">
        <is>
          <t>27BBBBB12920Z5</t>
        </is>
      </c>
      <c r="B12920" t="inlineStr">
        <is>
          <t>May-2018</t>
        </is>
      </c>
      <c r="C12920" s="2" t="n">
        <v>43735</v>
      </c>
      <c r="D12920" t="inlineStr">
        <is>
          <t>NIL</t>
        </is>
      </c>
      <c r="E12920" t="n">
        <v>472</v>
      </c>
    </row>
    <row r="12921">
      <c r="A12921" t="inlineStr">
        <is>
          <t>27BBBBB12921Z5</t>
        </is>
      </c>
      <c r="B12921" t="inlineStr">
        <is>
          <t>Mar-2018</t>
        </is>
      </c>
      <c r="C12921" s="2" t="n">
        <v>43350</v>
      </c>
      <c r="D12921" t="inlineStr">
        <is>
          <t>NON-NIL</t>
        </is>
      </c>
      <c r="E12921" t="n">
        <v>1891</v>
      </c>
    </row>
    <row r="12922">
      <c r="A12922" t="inlineStr">
        <is>
          <t>27BBBBB12922Z5</t>
        </is>
      </c>
      <c r="B12922" t="inlineStr">
        <is>
          <t>Jul-2017</t>
        </is>
      </c>
      <c r="C12922" s="2" t="n">
        <v>44288</v>
      </c>
      <c r="D12922" t="inlineStr">
        <is>
          <t>NIL</t>
        </is>
      </c>
      <c r="E12922" t="n">
        <v>1258</v>
      </c>
    </row>
    <row r="12923">
      <c r="A12923" t="inlineStr">
        <is>
          <t>27BBBBB12923Z5</t>
        </is>
      </c>
      <c r="B12923" t="inlineStr">
        <is>
          <t>Jan-2018</t>
        </is>
      </c>
      <c r="C12923" s="2" t="n">
        <v>43967</v>
      </c>
      <c r="D12923" t="inlineStr">
        <is>
          <t>NIL</t>
        </is>
      </c>
      <c r="E12923" t="n">
        <v>2965</v>
      </c>
    </row>
    <row r="12924">
      <c r="A12924" t="inlineStr">
        <is>
          <t>27BBBBB12924Z5</t>
        </is>
      </c>
      <c r="B12924" t="inlineStr">
        <is>
          <t>Jul-2017</t>
        </is>
      </c>
      <c r="C12924" s="2" t="n">
        <v>44389</v>
      </c>
      <c r="D12924" t="inlineStr">
        <is>
          <t>NON-NIL</t>
        </is>
      </c>
      <c r="E12924" t="n">
        <v>1208</v>
      </c>
    </row>
    <row r="12925">
      <c r="A12925" t="inlineStr">
        <is>
          <t>27BBBBB12925Z5</t>
        </is>
      </c>
      <c r="B12925" t="inlineStr">
        <is>
          <t>Jul-2018</t>
        </is>
      </c>
      <c r="C12925" s="2" t="n">
        <v>43332</v>
      </c>
      <c r="D12925" t="inlineStr">
        <is>
          <t>NON-NIL</t>
        </is>
      </c>
      <c r="E12925" t="n">
        <v>2194</v>
      </c>
    </row>
    <row r="12926">
      <c r="A12926" t="inlineStr">
        <is>
          <t>27BBBBB12926Z5</t>
        </is>
      </c>
      <c r="B12926" t="inlineStr">
        <is>
          <t>May-2018</t>
        </is>
      </c>
      <c r="C12926" s="2" t="n">
        <v>43178</v>
      </c>
      <c r="D12926" t="inlineStr">
        <is>
          <t>NIL</t>
        </is>
      </c>
      <c r="E12926" t="n">
        <v>367</v>
      </c>
    </row>
    <row r="12927">
      <c r="A12927" t="inlineStr">
        <is>
          <t>27BBBBB12927Z5</t>
        </is>
      </c>
      <c r="B12927" t="inlineStr">
        <is>
          <t>Aug-2017</t>
        </is>
      </c>
      <c r="C12927" s="2" t="n">
        <v>43168</v>
      </c>
      <c r="D12927" t="inlineStr">
        <is>
          <t>NON-NIL</t>
        </is>
      </c>
      <c r="E12927" t="n">
        <v>2463</v>
      </c>
    </row>
    <row r="12928">
      <c r="A12928" t="inlineStr">
        <is>
          <t>27BBBBB12928Z5</t>
        </is>
      </c>
      <c r="B12928" t="inlineStr">
        <is>
          <t>Jul-2020</t>
        </is>
      </c>
      <c r="C12928" s="2" t="n">
        <v>44175</v>
      </c>
      <c r="D12928" t="inlineStr">
        <is>
          <t>NIL</t>
        </is>
      </c>
      <c r="E12928" t="n">
        <v>1880</v>
      </c>
    </row>
    <row r="12929">
      <c r="A12929" t="inlineStr">
        <is>
          <t>27BBBBB12929Z5</t>
        </is>
      </c>
      <c r="B12929" t="inlineStr">
        <is>
          <t>Oct-2018</t>
        </is>
      </c>
      <c r="C12929" s="2" t="n">
        <v>42995</v>
      </c>
      <c r="D12929" t="inlineStr">
        <is>
          <t>NON-NIL</t>
        </is>
      </c>
      <c r="E12929" t="n">
        <v>2002</v>
      </c>
    </row>
    <row r="12930">
      <c r="A12930" t="inlineStr">
        <is>
          <t>27BBBBB12930Z5</t>
        </is>
      </c>
      <c r="B12930" t="inlineStr">
        <is>
          <t>Oct-2018</t>
        </is>
      </c>
      <c r="C12930" s="2" t="n">
        <v>44405</v>
      </c>
      <c r="D12930" t="inlineStr">
        <is>
          <t>NIL</t>
        </is>
      </c>
      <c r="E12930" t="n">
        <v>2545</v>
      </c>
    </row>
    <row r="12931">
      <c r="A12931" t="inlineStr">
        <is>
          <t>27BBBBB12931Z5</t>
        </is>
      </c>
      <c r="B12931" t="inlineStr">
        <is>
          <t>Oct-2018</t>
        </is>
      </c>
      <c r="C12931" s="2" t="n">
        <v>43683</v>
      </c>
      <c r="D12931" t="inlineStr">
        <is>
          <t>NIL</t>
        </is>
      </c>
      <c r="E12931" t="n">
        <v>898</v>
      </c>
    </row>
    <row r="12932">
      <c r="A12932" t="inlineStr">
        <is>
          <t>27BBBBB12932Z5</t>
        </is>
      </c>
      <c r="B12932" t="inlineStr">
        <is>
          <t>Jan-2018</t>
        </is>
      </c>
      <c r="C12932" s="2" t="n">
        <v>44556</v>
      </c>
      <c r="D12932" t="inlineStr">
        <is>
          <t>NON-NIL</t>
        </is>
      </c>
      <c r="E12932" t="n">
        <v>1719</v>
      </c>
    </row>
    <row r="12933">
      <c r="A12933" t="inlineStr">
        <is>
          <t>27BBBBB12933Z5</t>
        </is>
      </c>
      <c r="B12933" t="inlineStr">
        <is>
          <t>Jun-2018</t>
        </is>
      </c>
      <c r="C12933" s="2" t="n">
        <v>43841</v>
      </c>
      <c r="D12933" t="inlineStr">
        <is>
          <t>NIL</t>
        </is>
      </c>
      <c r="E12933" t="n">
        <v>624</v>
      </c>
    </row>
    <row r="12934">
      <c r="A12934" t="inlineStr">
        <is>
          <t>27BBBBB12934Z5</t>
        </is>
      </c>
      <c r="B12934" t="inlineStr">
        <is>
          <t>Mar-2020</t>
        </is>
      </c>
      <c r="C12934" s="2" t="n">
        <v>44456</v>
      </c>
      <c r="D12934" t="inlineStr">
        <is>
          <t>NON-NIL</t>
        </is>
      </c>
      <c r="E12934" t="n">
        <v>117</v>
      </c>
    </row>
    <row r="12935">
      <c r="A12935" t="inlineStr">
        <is>
          <t>27BBBBB12935Z5</t>
        </is>
      </c>
      <c r="B12935" t="inlineStr">
        <is>
          <t>Oct-2017</t>
        </is>
      </c>
      <c r="C12935" s="2" t="n">
        <v>43223</v>
      </c>
      <c r="D12935" t="inlineStr">
        <is>
          <t>NON-NIL</t>
        </is>
      </c>
      <c r="E12935" t="n">
        <v>1400</v>
      </c>
    </row>
    <row r="12936">
      <c r="A12936" t="inlineStr">
        <is>
          <t>27BBBBB12936Z5</t>
        </is>
      </c>
      <c r="B12936" t="inlineStr">
        <is>
          <t>Dec-2017</t>
        </is>
      </c>
      <c r="C12936" s="2" t="n">
        <v>44454</v>
      </c>
      <c r="D12936" t="inlineStr">
        <is>
          <t>NON-NIL</t>
        </is>
      </c>
      <c r="E12936" t="n">
        <v>2871</v>
      </c>
    </row>
    <row r="12937">
      <c r="A12937" t="inlineStr">
        <is>
          <t>27BBBBB12937Z5</t>
        </is>
      </c>
      <c r="B12937" t="inlineStr">
        <is>
          <t>Mar-2020</t>
        </is>
      </c>
      <c r="C12937" s="2" t="n">
        <v>44304</v>
      </c>
      <c r="D12937" t="inlineStr">
        <is>
          <t>NIL</t>
        </is>
      </c>
      <c r="E12937" t="n">
        <v>2050</v>
      </c>
    </row>
    <row r="12938">
      <c r="A12938" t="inlineStr">
        <is>
          <t>27BBBBB12938Z5</t>
        </is>
      </c>
      <c r="B12938" t="inlineStr">
        <is>
          <t>Apr-2020</t>
        </is>
      </c>
      <c r="C12938" s="2" t="n">
        <v>44368</v>
      </c>
      <c r="D12938" t="inlineStr">
        <is>
          <t>NON-NIL</t>
        </is>
      </c>
      <c r="E12938" t="n">
        <v>2991</v>
      </c>
    </row>
    <row r="12939">
      <c r="A12939" t="inlineStr">
        <is>
          <t>27BBBBB12939Z5</t>
        </is>
      </c>
      <c r="B12939" t="inlineStr">
        <is>
          <t>Dec-2017</t>
        </is>
      </c>
      <c r="C12939" s="2" t="n">
        <v>43790</v>
      </c>
      <c r="D12939" t="inlineStr">
        <is>
          <t>NON-NIL</t>
        </is>
      </c>
      <c r="E12939" t="n">
        <v>202</v>
      </c>
    </row>
    <row r="12940">
      <c r="A12940" t="inlineStr">
        <is>
          <t>27BBBBB12940Z5</t>
        </is>
      </c>
      <c r="B12940" t="inlineStr">
        <is>
          <t>Oct-2018</t>
        </is>
      </c>
      <c r="C12940" s="2" t="n">
        <v>44373</v>
      </c>
      <c r="D12940" t="inlineStr">
        <is>
          <t>NIL</t>
        </is>
      </c>
      <c r="E12940" t="n">
        <v>1878</v>
      </c>
    </row>
    <row r="12941">
      <c r="A12941" t="inlineStr">
        <is>
          <t>27BBBBB12941Z5</t>
        </is>
      </c>
      <c r="B12941" t="inlineStr">
        <is>
          <t>Apr-2020</t>
        </is>
      </c>
      <c r="C12941" s="2" t="n">
        <v>43852</v>
      </c>
      <c r="D12941" t="inlineStr">
        <is>
          <t>NON-NIL</t>
        </is>
      </c>
      <c r="E12941" t="n">
        <v>988</v>
      </c>
    </row>
    <row r="12942">
      <c r="A12942" t="inlineStr">
        <is>
          <t>27BBBBB12942Z5</t>
        </is>
      </c>
      <c r="B12942" t="inlineStr">
        <is>
          <t>Jan-2018</t>
        </is>
      </c>
      <c r="C12942" s="2" t="n">
        <v>44260</v>
      </c>
      <c r="D12942" t="inlineStr">
        <is>
          <t>NIL</t>
        </is>
      </c>
      <c r="E12942" t="n">
        <v>2189</v>
      </c>
    </row>
    <row r="12943">
      <c r="A12943" t="inlineStr">
        <is>
          <t>27BBBBB12943Z5</t>
        </is>
      </c>
      <c r="B12943" t="inlineStr">
        <is>
          <t>May-2020</t>
        </is>
      </c>
      <c r="C12943" s="2" t="n">
        <v>44002</v>
      </c>
      <c r="D12943" t="inlineStr">
        <is>
          <t>NON-NIL</t>
        </is>
      </c>
      <c r="E12943" t="n">
        <v>2486</v>
      </c>
    </row>
    <row r="12944">
      <c r="A12944" t="inlineStr">
        <is>
          <t>27BBBBB12944Z5</t>
        </is>
      </c>
      <c r="B12944" t="inlineStr">
        <is>
          <t>Oct-2018</t>
        </is>
      </c>
      <c r="C12944" s="2" t="n">
        <v>44305</v>
      </c>
      <c r="D12944" t="inlineStr">
        <is>
          <t>NON-NIL</t>
        </is>
      </c>
      <c r="E12944" t="n">
        <v>244</v>
      </c>
    </row>
    <row r="12945">
      <c r="A12945" t="inlineStr">
        <is>
          <t>27BBBBB12945Z5</t>
        </is>
      </c>
      <c r="B12945" t="inlineStr">
        <is>
          <t>Sep-2018</t>
        </is>
      </c>
      <c r="C12945" s="2" t="n">
        <v>44065</v>
      </c>
      <c r="D12945" t="inlineStr">
        <is>
          <t>NIL</t>
        </is>
      </c>
      <c r="E12945" t="n">
        <v>2836</v>
      </c>
    </row>
    <row r="12946">
      <c r="A12946" t="inlineStr">
        <is>
          <t>27BBBBB12946Z5</t>
        </is>
      </c>
      <c r="B12946" t="inlineStr">
        <is>
          <t>Nov-2018</t>
        </is>
      </c>
      <c r="C12946" s="2" t="n">
        <v>43995</v>
      </c>
      <c r="D12946" t="inlineStr">
        <is>
          <t>NON-NIL</t>
        </is>
      </c>
      <c r="E12946" t="n">
        <v>1413</v>
      </c>
    </row>
    <row r="12947">
      <c r="A12947" t="inlineStr">
        <is>
          <t>27BBBBB12947Z5</t>
        </is>
      </c>
      <c r="B12947" t="inlineStr">
        <is>
          <t>Jun-2018</t>
        </is>
      </c>
      <c r="C12947" s="2" t="n">
        <v>44064</v>
      </c>
      <c r="D12947" t="inlineStr">
        <is>
          <t>NIL</t>
        </is>
      </c>
      <c r="E12947" t="n">
        <v>2576</v>
      </c>
    </row>
    <row r="12948">
      <c r="A12948" t="inlineStr">
        <is>
          <t>27BBBBB12948Z5</t>
        </is>
      </c>
      <c r="B12948" t="inlineStr">
        <is>
          <t>Jan-2018</t>
        </is>
      </c>
      <c r="C12948" s="2" t="n">
        <v>43588</v>
      </c>
      <c r="D12948" t="inlineStr">
        <is>
          <t>NON-NIL</t>
        </is>
      </c>
      <c r="E12948" t="n">
        <v>1630</v>
      </c>
    </row>
    <row r="12949">
      <c r="A12949" t="inlineStr">
        <is>
          <t>27BBBBB12949Z5</t>
        </is>
      </c>
      <c r="B12949" t="inlineStr">
        <is>
          <t>Jul-2020</t>
        </is>
      </c>
      <c r="C12949" s="2" t="n">
        <v>44657</v>
      </c>
      <c r="D12949" t="inlineStr">
        <is>
          <t>NON-NIL</t>
        </is>
      </c>
      <c r="E12949" t="n">
        <v>604</v>
      </c>
    </row>
    <row r="12950">
      <c r="A12950" t="inlineStr">
        <is>
          <t>27BBBBB12950Z5</t>
        </is>
      </c>
      <c r="B12950" t="inlineStr">
        <is>
          <t>Nov-2017</t>
        </is>
      </c>
      <c r="C12950" s="2" t="n">
        <v>43981</v>
      </c>
      <c r="D12950" t="inlineStr">
        <is>
          <t>NON-NIL</t>
        </is>
      </c>
      <c r="E12950" t="n">
        <v>1400</v>
      </c>
    </row>
    <row r="12951">
      <c r="A12951" t="inlineStr">
        <is>
          <t>27BBBBB12951Z5</t>
        </is>
      </c>
      <c r="B12951" t="inlineStr">
        <is>
          <t>Feb-2018</t>
        </is>
      </c>
      <c r="C12951" s="2" t="n">
        <v>44388</v>
      </c>
      <c r="D12951" t="inlineStr">
        <is>
          <t>NIL</t>
        </is>
      </c>
      <c r="E12951" t="n">
        <v>2506</v>
      </c>
    </row>
    <row r="12952">
      <c r="A12952" t="inlineStr">
        <is>
          <t>27BBBBB12952Z5</t>
        </is>
      </c>
      <c r="B12952" t="inlineStr">
        <is>
          <t>Dec-2022</t>
        </is>
      </c>
      <c r="C12952" s="2" t="n">
        <v>45121</v>
      </c>
      <c r="D12952" t="inlineStr">
        <is>
          <t>NON-NIL</t>
        </is>
      </c>
      <c r="E12952" t="n">
        <v>252</v>
      </c>
    </row>
    <row r="12953">
      <c r="A12953" t="inlineStr">
        <is>
          <t>27BBBBB12953Z5</t>
        </is>
      </c>
      <c r="B12953" t="inlineStr">
        <is>
          <t>Sep-2017</t>
        </is>
      </c>
      <c r="C12953" s="2" t="n">
        <v>43013</v>
      </c>
      <c r="D12953" t="inlineStr">
        <is>
          <t>NIL</t>
        </is>
      </c>
      <c r="E12953" t="n">
        <v>1390</v>
      </c>
    </row>
    <row r="12954">
      <c r="A12954" t="inlineStr">
        <is>
          <t>27BBBBB12954Z5</t>
        </is>
      </c>
      <c r="B12954" t="inlineStr">
        <is>
          <t>Jul-2018</t>
        </is>
      </c>
      <c r="C12954" s="2" t="n">
        <v>44297</v>
      </c>
      <c r="D12954" t="inlineStr">
        <is>
          <t>NIL</t>
        </is>
      </c>
      <c r="E12954" t="n">
        <v>2543</v>
      </c>
    </row>
    <row r="12955">
      <c r="A12955" t="inlineStr">
        <is>
          <t>27BBBBB12955Z5</t>
        </is>
      </c>
      <c r="B12955" t="inlineStr">
        <is>
          <t>Mar-2020</t>
        </is>
      </c>
      <c r="C12955" s="2" t="n">
        <v>44729</v>
      </c>
      <c r="D12955" t="inlineStr">
        <is>
          <t>NON-NIL</t>
        </is>
      </c>
      <c r="E12955" t="n">
        <v>2340</v>
      </c>
    </row>
    <row r="12956">
      <c r="A12956" t="inlineStr">
        <is>
          <t>27BBBBB12956Z5</t>
        </is>
      </c>
      <c r="B12956" t="inlineStr">
        <is>
          <t>Apr-2020</t>
        </is>
      </c>
      <c r="C12956" s="2" t="n">
        <v>44739</v>
      </c>
      <c r="D12956" t="inlineStr">
        <is>
          <t>NIL</t>
        </is>
      </c>
      <c r="E12956" t="n">
        <v>1160</v>
      </c>
    </row>
    <row r="12957">
      <c r="A12957" t="inlineStr">
        <is>
          <t>27BBBBB12957Z5</t>
        </is>
      </c>
      <c r="B12957" t="inlineStr">
        <is>
          <t>Aug-2018</t>
        </is>
      </c>
      <c r="C12957" s="2" t="n">
        <v>43975</v>
      </c>
      <c r="D12957" t="inlineStr">
        <is>
          <t>NON-NIL</t>
        </is>
      </c>
      <c r="E12957" t="n">
        <v>2592</v>
      </c>
    </row>
    <row r="12958">
      <c r="A12958" t="inlineStr">
        <is>
          <t>27BBBBB12958Z5</t>
        </is>
      </c>
      <c r="B12958" t="inlineStr">
        <is>
          <t>Jan-2018</t>
        </is>
      </c>
      <c r="C12958" s="2" t="n">
        <v>43183</v>
      </c>
      <c r="D12958" t="inlineStr">
        <is>
          <t>NON-NIL</t>
        </is>
      </c>
      <c r="E12958" t="n">
        <v>1894</v>
      </c>
    </row>
    <row r="12959">
      <c r="A12959" t="inlineStr">
        <is>
          <t>27BBBBB12959Z5</t>
        </is>
      </c>
      <c r="B12959" t="inlineStr">
        <is>
          <t>May-2018</t>
        </is>
      </c>
      <c r="C12959" s="2" t="n">
        <v>43472</v>
      </c>
      <c r="D12959" t="inlineStr">
        <is>
          <t>NIL</t>
        </is>
      </c>
      <c r="E12959" t="n">
        <v>1344</v>
      </c>
    </row>
    <row r="12960">
      <c r="A12960" t="inlineStr">
        <is>
          <t>27BBBBB12960Z5</t>
        </is>
      </c>
      <c r="B12960" t="inlineStr">
        <is>
          <t>Jun-2018</t>
        </is>
      </c>
      <c r="C12960" s="2" t="n">
        <v>43651</v>
      </c>
      <c r="D12960" t="inlineStr">
        <is>
          <t>NIL</t>
        </is>
      </c>
      <c r="E12960" t="n">
        <v>2230</v>
      </c>
    </row>
    <row r="12961">
      <c r="A12961" t="inlineStr">
        <is>
          <t>27BBBBB12961Z5</t>
        </is>
      </c>
      <c r="B12961" t="inlineStr">
        <is>
          <t>May-2020</t>
        </is>
      </c>
      <c r="C12961" s="2" t="n">
        <v>44227</v>
      </c>
      <c r="D12961" t="inlineStr">
        <is>
          <t>NON-NIL</t>
        </is>
      </c>
      <c r="E12961" t="n">
        <v>2251</v>
      </c>
    </row>
    <row r="12962">
      <c r="A12962" t="inlineStr">
        <is>
          <t>27BBBBB12962Z5</t>
        </is>
      </c>
      <c r="B12962" t="inlineStr">
        <is>
          <t>Mar-2018</t>
        </is>
      </c>
      <c r="C12962" s="2" t="n">
        <v>42922</v>
      </c>
      <c r="D12962" t="inlineStr">
        <is>
          <t>NIL</t>
        </is>
      </c>
      <c r="E12962" t="n">
        <v>1622</v>
      </c>
    </row>
    <row r="12963">
      <c r="A12963" t="inlineStr">
        <is>
          <t>27BBBBB12963Z5</t>
        </is>
      </c>
      <c r="B12963" t="inlineStr">
        <is>
          <t>Dec-2022</t>
        </is>
      </c>
      <c r="C12963" s="2" t="n">
        <v>43986</v>
      </c>
      <c r="D12963" t="inlineStr">
        <is>
          <t>NON-NIL</t>
        </is>
      </c>
      <c r="E12963" t="n">
        <v>1325</v>
      </c>
    </row>
    <row r="12964">
      <c r="A12964" t="inlineStr">
        <is>
          <t>27BBBBB12964Z5</t>
        </is>
      </c>
      <c r="B12964" t="inlineStr">
        <is>
          <t>Apr-2018</t>
        </is>
      </c>
      <c r="C12964" s="2" t="n">
        <v>43553</v>
      </c>
      <c r="D12964" t="inlineStr">
        <is>
          <t>NON-NIL</t>
        </is>
      </c>
      <c r="E12964" t="n">
        <v>1976</v>
      </c>
    </row>
    <row r="12965">
      <c r="A12965" t="inlineStr">
        <is>
          <t>27BBBBB12965Z5</t>
        </is>
      </c>
      <c r="B12965" t="inlineStr">
        <is>
          <t>Mar-2020</t>
        </is>
      </c>
      <c r="C12965" s="2" t="n">
        <v>44087</v>
      </c>
      <c r="D12965" t="inlineStr">
        <is>
          <t>NON-NIL</t>
        </is>
      </c>
      <c r="E12965" t="n">
        <v>26</v>
      </c>
    </row>
    <row r="12966">
      <c r="A12966" t="inlineStr">
        <is>
          <t>27BBBBB12966Z5</t>
        </is>
      </c>
      <c r="B12966" t="inlineStr">
        <is>
          <t>Mar-2020</t>
        </is>
      </c>
      <c r="C12966" s="2" t="n">
        <v>44174</v>
      </c>
      <c r="D12966" t="inlineStr">
        <is>
          <t>NON-NIL</t>
        </is>
      </c>
      <c r="E12966" t="n">
        <v>2138</v>
      </c>
    </row>
    <row r="12967">
      <c r="A12967" t="inlineStr">
        <is>
          <t>27BBBBB12967Z5</t>
        </is>
      </c>
      <c r="B12967" t="inlineStr">
        <is>
          <t>Mar-2020</t>
        </is>
      </c>
      <c r="C12967" s="2" t="n">
        <v>44914</v>
      </c>
      <c r="D12967" t="inlineStr">
        <is>
          <t>NIL</t>
        </is>
      </c>
      <c r="E12967" t="n">
        <v>585</v>
      </c>
    </row>
    <row r="12968">
      <c r="A12968" t="inlineStr">
        <is>
          <t>27BBBBB12968Z5</t>
        </is>
      </c>
      <c r="B12968" t="inlineStr">
        <is>
          <t>Jun-2020</t>
        </is>
      </c>
      <c r="C12968" s="2" t="n">
        <v>44015</v>
      </c>
      <c r="D12968" t="inlineStr">
        <is>
          <t>NIL</t>
        </is>
      </c>
      <c r="E12968" t="n">
        <v>2923</v>
      </c>
    </row>
    <row r="12969">
      <c r="A12969" t="inlineStr">
        <is>
          <t>27BBBBB12969Z5</t>
        </is>
      </c>
      <c r="B12969" t="inlineStr">
        <is>
          <t>Dec-2018</t>
        </is>
      </c>
      <c r="C12969" s="2" t="n">
        <v>43566</v>
      </c>
      <c r="D12969" t="inlineStr">
        <is>
          <t>NON-NIL</t>
        </is>
      </c>
      <c r="E12969" t="n">
        <v>896</v>
      </c>
    </row>
    <row r="12970">
      <c r="A12970" t="inlineStr">
        <is>
          <t>27BBBBB12970Z5</t>
        </is>
      </c>
      <c r="B12970" t="inlineStr">
        <is>
          <t>Mar-2023</t>
        </is>
      </c>
      <c r="C12970" s="2" t="n">
        <v>44309</v>
      </c>
      <c r="D12970" t="inlineStr">
        <is>
          <t>NIL</t>
        </is>
      </c>
      <c r="E12970" t="n">
        <v>2432</v>
      </c>
    </row>
    <row r="12971">
      <c r="A12971" t="inlineStr">
        <is>
          <t>27BBBBB12971Z5</t>
        </is>
      </c>
      <c r="B12971" t="inlineStr">
        <is>
          <t>Jun-2018</t>
        </is>
      </c>
      <c r="C12971" s="2" t="n">
        <v>43814</v>
      </c>
      <c r="D12971" t="inlineStr">
        <is>
          <t>NON-NIL</t>
        </is>
      </c>
      <c r="E12971" t="n">
        <v>2900</v>
      </c>
    </row>
    <row r="12972">
      <c r="A12972" t="inlineStr">
        <is>
          <t>27BBBBB12972Z5</t>
        </is>
      </c>
      <c r="B12972" t="inlineStr">
        <is>
          <t>Jun-2018</t>
        </is>
      </c>
      <c r="C12972" s="2" t="n">
        <v>42953</v>
      </c>
      <c r="D12972" t="inlineStr">
        <is>
          <t>NON-NIL</t>
        </is>
      </c>
      <c r="E12972" t="n">
        <v>2704</v>
      </c>
    </row>
    <row r="12973">
      <c r="A12973" t="inlineStr">
        <is>
          <t>27BBBBB12973Z5</t>
        </is>
      </c>
      <c r="B12973" t="inlineStr">
        <is>
          <t>May-2020</t>
        </is>
      </c>
      <c r="C12973" s="2" t="n">
        <v>44099</v>
      </c>
      <c r="D12973" t="inlineStr">
        <is>
          <t>NON-NIL</t>
        </is>
      </c>
      <c r="E12973" t="n">
        <v>1611</v>
      </c>
    </row>
    <row r="12974">
      <c r="A12974" t="inlineStr">
        <is>
          <t>27BBBBB12974Z5</t>
        </is>
      </c>
      <c r="B12974" t="inlineStr">
        <is>
          <t>Jan-2018</t>
        </is>
      </c>
      <c r="C12974" s="2" t="n">
        <v>43040</v>
      </c>
      <c r="D12974" t="inlineStr">
        <is>
          <t>NIL</t>
        </is>
      </c>
      <c r="E12974" t="n">
        <v>202</v>
      </c>
    </row>
    <row r="12975">
      <c r="A12975" t="inlineStr">
        <is>
          <t>27BBBBB12975Z5</t>
        </is>
      </c>
      <c r="B12975" t="inlineStr">
        <is>
          <t>Aug-2017</t>
        </is>
      </c>
      <c r="C12975" s="2" t="n">
        <v>42992</v>
      </c>
      <c r="D12975" t="inlineStr">
        <is>
          <t>NIL</t>
        </is>
      </c>
      <c r="E12975" t="n">
        <v>2828</v>
      </c>
    </row>
    <row r="12976">
      <c r="A12976" t="inlineStr">
        <is>
          <t>27BBBBB12976Z5</t>
        </is>
      </c>
      <c r="B12976" t="inlineStr">
        <is>
          <t>Dec-2018</t>
        </is>
      </c>
      <c r="C12976" s="2" t="n">
        <v>43141</v>
      </c>
      <c r="D12976" t="inlineStr">
        <is>
          <t>NIL</t>
        </is>
      </c>
      <c r="E12976" t="n">
        <v>1853</v>
      </c>
    </row>
    <row r="12977">
      <c r="A12977" t="inlineStr">
        <is>
          <t>27BBBBB12977Z5</t>
        </is>
      </c>
      <c r="B12977" t="inlineStr">
        <is>
          <t>Mar-2018</t>
        </is>
      </c>
      <c r="C12977" s="2" t="n">
        <v>43142</v>
      </c>
      <c r="D12977" t="inlineStr">
        <is>
          <t>NIL</t>
        </is>
      </c>
      <c r="E12977" t="n">
        <v>1775</v>
      </c>
    </row>
    <row r="12978">
      <c r="A12978" t="inlineStr">
        <is>
          <t>27BBBBB12978Z5</t>
        </is>
      </c>
      <c r="B12978" t="inlineStr">
        <is>
          <t>May-2020</t>
        </is>
      </c>
      <c r="C12978" s="2" t="n">
        <v>43929</v>
      </c>
      <c r="D12978" t="inlineStr">
        <is>
          <t>NIL</t>
        </is>
      </c>
      <c r="E12978" t="n">
        <v>2533</v>
      </c>
    </row>
    <row r="12979">
      <c r="A12979" t="inlineStr">
        <is>
          <t>27BBBBB12979Z5</t>
        </is>
      </c>
      <c r="B12979" t="inlineStr">
        <is>
          <t>Sep-2017</t>
        </is>
      </c>
      <c r="C12979" s="2" t="n">
        <v>43025</v>
      </c>
      <c r="D12979" t="inlineStr">
        <is>
          <t>NIL</t>
        </is>
      </c>
      <c r="E12979" t="n">
        <v>301</v>
      </c>
    </row>
    <row r="12980">
      <c r="A12980" t="inlineStr">
        <is>
          <t>27BBBBB12980Z5</t>
        </is>
      </c>
      <c r="B12980" t="inlineStr">
        <is>
          <t>Nov-2017</t>
        </is>
      </c>
      <c r="C12980" s="2" t="n">
        <v>43995</v>
      </c>
      <c r="D12980" t="inlineStr">
        <is>
          <t>NIL</t>
        </is>
      </c>
      <c r="E12980" t="n">
        <v>1827</v>
      </c>
    </row>
    <row r="12981">
      <c r="A12981" t="inlineStr">
        <is>
          <t>27BBBBB12981Z5</t>
        </is>
      </c>
      <c r="B12981" t="inlineStr">
        <is>
          <t>Jun-2020</t>
        </is>
      </c>
      <c r="C12981" s="2" t="n">
        <v>44122</v>
      </c>
      <c r="D12981" t="inlineStr">
        <is>
          <t>NON-NIL</t>
        </is>
      </c>
      <c r="E12981" t="n">
        <v>2672</v>
      </c>
    </row>
    <row r="12982">
      <c r="A12982" t="inlineStr">
        <is>
          <t>27BBBBB12982Z5</t>
        </is>
      </c>
      <c r="B12982" t="inlineStr">
        <is>
          <t>Jan-2021</t>
        </is>
      </c>
      <c r="C12982" s="2" t="n">
        <v>44618</v>
      </c>
      <c r="D12982" t="inlineStr">
        <is>
          <t>NON-NIL</t>
        </is>
      </c>
      <c r="E12982" t="n">
        <v>1043</v>
      </c>
    </row>
    <row r="12983">
      <c r="A12983" t="inlineStr">
        <is>
          <t>27BBBBB12983Z5</t>
        </is>
      </c>
      <c r="B12983" t="inlineStr">
        <is>
          <t>Jul-2018</t>
        </is>
      </c>
      <c r="C12983" s="2" t="n">
        <v>44513</v>
      </c>
      <c r="D12983" t="inlineStr">
        <is>
          <t>NIL</t>
        </is>
      </c>
      <c r="E12983" t="n">
        <v>726</v>
      </c>
    </row>
    <row r="12984">
      <c r="A12984" t="inlineStr">
        <is>
          <t>27BBBBB12984Z5</t>
        </is>
      </c>
      <c r="B12984" t="inlineStr">
        <is>
          <t>Jul-2018</t>
        </is>
      </c>
      <c r="C12984" s="2" t="n">
        <v>44521</v>
      </c>
      <c r="D12984" t="inlineStr">
        <is>
          <t>NON-NIL</t>
        </is>
      </c>
      <c r="E12984" t="n">
        <v>1165</v>
      </c>
    </row>
    <row r="12985">
      <c r="A12985" t="inlineStr">
        <is>
          <t>27BBBBB12985Z5</t>
        </is>
      </c>
      <c r="B12985" t="inlineStr">
        <is>
          <t>Aug-2017</t>
        </is>
      </c>
      <c r="C12985" s="2" t="n">
        <v>43937</v>
      </c>
      <c r="D12985" t="inlineStr">
        <is>
          <t>NON-NIL</t>
        </is>
      </c>
      <c r="E12985" t="n">
        <v>992</v>
      </c>
    </row>
    <row r="12986">
      <c r="A12986" t="inlineStr">
        <is>
          <t>27BBBBB12986Z5</t>
        </is>
      </c>
      <c r="B12986" t="inlineStr">
        <is>
          <t>Dec-2018</t>
        </is>
      </c>
      <c r="C12986" s="2" t="n">
        <v>43714</v>
      </c>
      <c r="D12986" t="inlineStr">
        <is>
          <t>NIL</t>
        </is>
      </c>
      <c r="E12986" t="n">
        <v>2578</v>
      </c>
    </row>
    <row r="12987">
      <c r="A12987" t="inlineStr">
        <is>
          <t>27BBBBB12987Z5</t>
        </is>
      </c>
      <c r="B12987" t="inlineStr">
        <is>
          <t>Sep-2017</t>
        </is>
      </c>
      <c r="C12987" s="2" t="n">
        <v>43963</v>
      </c>
      <c r="D12987" t="inlineStr">
        <is>
          <t>NON-NIL</t>
        </is>
      </c>
      <c r="E12987" t="n">
        <v>931</v>
      </c>
    </row>
    <row r="12988">
      <c r="A12988" t="inlineStr">
        <is>
          <t>27BBBBB12988Z5</t>
        </is>
      </c>
      <c r="B12988" t="inlineStr">
        <is>
          <t>Mar-2018</t>
        </is>
      </c>
      <c r="C12988" s="2" t="n">
        <v>43603</v>
      </c>
      <c r="D12988" t="inlineStr">
        <is>
          <t>NON-NIL</t>
        </is>
      </c>
      <c r="E12988" t="n">
        <v>1286</v>
      </c>
    </row>
    <row r="12989">
      <c r="A12989" t="inlineStr">
        <is>
          <t>27BBBBB12989Z5</t>
        </is>
      </c>
      <c r="B12989" t="inlineStr">
        <is>
          <t>Mar-2021</t>
        </is>
      </c>
      <c r="C12989" s="2" t="n">
        <v>44707</v>
      </c>
      <c r="D12989" t="inlineStr">
        <is>
          <t>NON-NIL</t>
        </is>
      </c>
      <c r="E12989" t="n">
        <v>49</v>
      </c>
    </row>
    <row r="12990">
      <c r="A12990" t="inlineStr">
        <is>
          <t>27BBBBB12990Z5</t>
        </is>
      </c>
      <c r="B12990" t="inlineStr">
        <is>
          <t>Aug-2018</t>
        </is>
      </c>
      <c r="C12990" s="2" t="n">
        <v>42988</v>
      </c>
      <c r="D12990" t="inlineStr">
        <is>
          <t>NON-NIL</t>
        </is>
      </c>
      <c r="E12990" t="n">
        <v>2048</v>
      </c>
    </row>
    <row r="12991">
      <c r="A12991" t="inlineStr">
        <is>
          <t>27BBBBB12991Z5</t>
        </is>
      </c>
      <c r="B12991" t="inlineStr">
        <is>
          <t>Aug-2017</t>
        </is>
      </c>
      <c r="C12991" s="2" t="n">
        <v>43666</v>
      </c>
      <c r="D12991" t="inlineStr">
        <is>
          <t>NON-NIL</t>
        </is>
      </c>
      <c r="E12991" t="n">
        <v>18</v>
      </c>
    </row>
    <row r="12992">
      <c r="A12992" t="inlineStr">
        <is>
          <t>27BBBBB12992Z5</t>
        </is>
      </c>
      <c r="B12992" t="inlineStr">
        <is>
          <t>Sep-2018</t>
        </is>
      </c>
      <c r="C12992" s="2" t="n">
        <v>43147</v>
      </c>
      <c r="D12992" t="inlineStr">
        <is>
          <t>NIL</t>
        </is>
      </c>
      <c r="E12992" t="n">
        <v>2422</v>
      </c>
    </row>
    <row r="12993">
      <c r="A12993" t="inlineStr">
        <is>
          <t>27BBBBB12993Z5</t>
        </is>
      </c>
      <c r="B12993" t="inlineStr">
        <is>
          <t>Nov-2018</t>
        </is>
      </c>
      <c r="C12993" s="2" t="n">
        <v>44183</v>
      </c>
      <c r="D12993" t="inlineStr">
        <is>
          <t>NON-NIL</t>
        </is>
      </c>
      <c r="E12993" t="n">
        <v>2320</v>
      </c>
    </row>
    <row r="12994">
      <c r="A12994" t="inlineStr">
        <is>
          <t>27BBBBB12994Z5</t>
        </is>
      </c>
      <c r="B12994" t="inlineStr">
        <is>
          <t>Jul-2017</t>
        </is>
      </c>
      <c r="C12994" s="2" t="n">
        <v>43140</v>
      </c>
      <c r="D12994" t="inlineStr">
        <is>
          <t>NIL</t>
        </is>
      </c>
      <c r="E12994" t="n">
        <v>2010</v>
      </c>
    </row>
    <row r="12995">
      <c r="A12995" t="inlineStr">
        <is>
          <t>27BBBBB12995Z5</t>
        </is>
      </c>
      <c r="B12995" t="inlineStr">
        <is>
          <t>Jul-2020</t>
        </is>
      </c>
      <c r="C12995" s="2" t="n">
        <v>44704</v>
      </c>
      <c r="D12995" t="inlineStr">
        <is>
          <t>NIL</t>
        </is>
      </c>
      <c r="E12995" t="n">
        <v>334</v>
      </c>
    </row>
    <row r="12996">
      <c r="A12996" t="inlineStr">
        <is>
          <t>27BBBBB12996Z5</t>
        </is>
      </c>
      <c r="B12996" t="inlineStr">
        <is>
          <t>May-2018</t>
        </is>
      </c>
      <c r="C12996" s="2" t="n">
        <v>43944</v>
      </c>
      <c r="D12996" t="inlineStr">
        <is>
          <t>NON-NIL</t>
        </is>
      </c>
      <c r="E12996" t="n">
        <v>955</v>
      </c>
    </row>
    <row r="12997">
      <c r="A12997" t="inlineStr">
        <is>
          <t>27BBBBB12997Z5</t>
        </is>
      </c>
      <c r="B12997" t="inlineStr">
        <is>
          <t>Sep-2017</t>
        </is>
      </c>
      <c r="C12997" s="2" t="n">
        <v>43482</v>
      </c>
      <c r="D12997" t="inlineStr">
        <is>
          <t>NON-NIL</t>
        </is>
      </c>
      <c r="E12997" t="n">
        <v>2754</v>
      </c>
    </row>
    <row r="12998">
      <c r="A12998" t="inlineStr">
        <is>
          <t>27BBBBB12998Z5</t>
        </is>
      </c>
      <c r="B12998" t="inlineStr">
        <is>
          <t>Aug-2017</t>
        </is>
      </c>
      <c r="C12998" s="2" t="n">
        <v>44268</v>
      </c>
      <c r="D12998" t="inlineStr">
        <is>
          <t>NIL</t>
        </is>
      </c>
      <c r="E12998" t="n">
        <v>1018</v>
      </c>
    </row>
    <row r="12999">
      <c r="A12999" t="inlineStr">
        <is>
          <t>27BBBBB12999Z5</t>
        </is>
      </c>
      <c r="B12999" t="inlineStr">
        <is>
          <t>Oct-2017</t>
        </is>
      </c>
      <c r="C12999" s="2" t="n">
        <v>43675</v>
      </c>
      <c r="D12999" t="inlineStr">
        <is>
          <t>NIL</t>
        </is>
      </c>
      <c r="E12999" t="n">
        <v>863</v>
      </c>
    </row>
    <row r="13000">
      <c r="A13000" t="inlineStr">
        <is>
          <t>27BBBBB13000Z5</t>
        </is>
      </c>
      <c r="B13000" t="inlineStr">
        <is>
          <t>Jun-2018</t>
        </is>
      </c>
      <c r="C13000" s="2" t="n">
        <v>43263</v>
      </c>
      <c r="D13000" t="inlineStr">
        <is>
          <t>NON-NIL</t>
        </is>
      </c>
      <c r="E13000" t="n">
        <v>805</v>
      </c>
    </row>
    <row r="13001">
      <c r="A13001" t="inlineStr">
        <is>
          <t>27BBBBB13001Z5</t>
        </is>
      </c>
      <c r="B13001" t="inlineStr">
        <is>
          <t>Mar-2021</t>
        </is>
      </c>
      <c r="C13001" s="2" t="n">
        <v>44209</v>
      </c>
      <c r="D13001" t="inlineStr">
        <is>
          <t>NIL</t>
        </is>
      </c>
      <c r="E13001" t="n">
        <v>141</v>
      </c>
    </row>
    <row r="13002">
      <c r="A13002" t="inlineStr">
        <is>
          <t>27BBBBB13002Z5</t>
        </is>
      </c>
      <c r="B13002" t="inlineStr">
        <is>
          <t>Dec-2018</t>
        </is>
      </c>
      <c r="C13002" s="2" t="n">
        <v>44207</v>
      </c>
      <c r="D13002" t="inlineStr">
        <is>
          <t>NIL</t>
        </is>
      </c>
      <c r="E13002" t="n">
        <v>758</v>
      </c>
    </row>
    <row r="13003">
      <c r="A13003" t="inlineStr">
        <is>
          <t>27BBBBB13003Z5</t>
        </is>
      </c>
      <c r="B13003" t="inlineStr">
        <is>
          <t>Jun-2020</t>
        </is>
      </c>
      <c r="C13003" s="2" t="n">
        <v>44849</v>
      </c>
      <c r="D13003" t="inlineStr">
        <is>
          <t>NON-NIL</t>
        </is>
      </c>
      <c r="E13003" t="n">
        <v>2483</v>
      </c>
    </row>
    <row r="13004">
      <c r="A13004" t="inlineStr">
        <is>
          <t>27BBBBB13004Z5</t>
        </is>
      </c>
      <c r="B13004" t="inlineStr">
        <is>
          <t>Apr-2020</t>
        </is>
      </c>
      <c r="C13004" s="2" t="n">
        <v>44324</v>
      </c>
      <c r="D13004" t="inlineStr">
        <is>
          <t>NIL</t>
        </is>
      </c>
      <c r="E13004" t="n">
        <v>2460</v>
      </c>
    </row>
    <row r="13005">
      <c r="A13005" t="inlineStr">
        <is>
          <t>27BBBBB13005Z5</t>
        </is>
      </c>
      <c r="B13005" t="inlineStr">
        <is>
          <t>Aug-2017</t>
        </is>
      </c>
      <c r="C13005" s="2" t="n">
        <v>42931</v>
      </c>
      <c r="D13005" t="inlineStr">
        <is>
          <t>NIL</t>
        </is>
      </c>
      <c r="E13005" t="n">
        <v>380</v>
      </c>
    </row>
    <row r="13006">
      <c r="A13006" t="inlineStr">
        <is>
          <t>27BBBBB13006Z5</t>
        </is>
      </c>
      <c r="B13006" t="inlineStr">
        <is>
          <t>Nov-2017</t>
        </is>
      </c>
      <c r="C13006" s="2" t="n">
        <v>43966</v>
      </c>
      <c r="D13006" t="inlineStr">
        <is>
          <t>NON-NIL</t>
        </is>
      </c>
      <c r="E13006" t="n">
        <v>221</v>
      </c>
    </row>
    <row r="13007">
      <c r="A13007" t="inlineStr">
        <is>
          <t>27BBBBB13007Z5</t>
        </is>
      </c>
      <c r="B13007" t="inlineStr">
        <is>
          <t>Mar-2021</t>
        </is>
      </c>
      <c r="C13007" s="2" t="n">
        <v>43869</v>
      </c>
      <c r="D13007" t="inlineStr">
        <is>
          <t>NON-NIL</t>
        </is>
      </c>
      <c r="E13007" t="n">
        <v>574</v>
      </c>
    </row>
    <row r="13008">
      <c r="A13008" t="inlineStr">
        <is>
          <t>27BBBBB13008Z5</t>
        </is>
      </c>
      <c r="B13008" t="inlineStr">
        <is>
          <t>Dec-2024</t>
        </is>
      </c>
      <c r="C13008" s="2" t="n">
        <v>44376</v>
      </c>
      <c r="D13008" t="inlineStr">
        <is>
          <t>NON-NIL</t>
        </is>
      </c>
      <c r="E13008" t="n">
        <v>2881</v>
      </c>
    </row>
    <row r="13009">
      <c r="A13009" t="inlineStr">
        <is>
          <t>27BBBBB13009Z5</t>
        </is>
      </c>
      <c r="B13009" t="inlineStr">
        <is>
          <t>Mar-2018</t>
        </is>
      </c>
      <c r="C13009" s="2" t="n">
        <v>43722</v>
      </c>
      <c r="D13009" t="inlineStr">
        <is>
          <t>NON-NIL</t>
        </is>
      </c>
      <c r="E13009" t="n">
        <v>1993</v>
      </c>
    </row>
    <row r="13010">
      <c r="A13010" t="inlineStr">
        <is>
          <t>27BBBBB13010Z5</t>
        </is>
      </c>
      <c r="B13010" t="inlineStr">
        <is>
          <t>May-2020</t>
        </is>
      </c>
      <c r="C13010" s="2" t="n">
        <v>44579</v>
      </c>
      <c r="D13010" t="inlineStr">
        <is>
          <t>NIL</t>
        </is>
      </c>
      <c r="E13010" t="n">
        <v>1628</v>
      </c>
    </row>
    <row r="13011">
      <c r="A13011" t="inlineStr">
        <is>
          <t>27BBBBB13011Z5</t>
        </is>
      </c>
      <c r="B13011" t="inlineStr">
        <is>
          <t>Dec-2018</t>
        </is>
      </c>
      <c r="C13011" s="2" t="n">
        <v>44468</v>
      </c>
      <c r="D13011" t="inlineStr">
        <is>
          <t>NIL</t>
        </is>
      </c>
      <c r="E13011" t="n">
        <v>2179</v>
      </c>
    </row>
    <row r="13012">
      <c r="A13012" t="inlineStr">
        <is>
          <t>27BBBBB13012Z5</t>
        </is>
      </c>
      <c r="B13012" t="inlineStr">
        <is>
          <t>Mar-2023</t>
        </is>
      </c>
      <c r="C13012" s="2" t="n">
        <v>44107</v>
      </c>
      <c r="D13012" t="inlineStr">
        <is>
          <t>NON-NIL</t>
        </is>
      </c>
      <c r="E13012" t="n">
        <v>2095</v>
      </c>
    </row>
    <row r="13013">
      <c r="A13013" t="inlineStr">
        <is>
          <t>27BBBBB13013Z5</t>
        </is>
      </c>
      <c r="B13013" t="inlineStr">
        <is>
          <t>Sep-2017</t>
        </is>
      </c>
      <c r="C13013" s="2" t="n">
        <v>44561</v>
      </c>
      <c r="D13013" t="inlineStr">
        <is>
          <t>NON-NIL</t>
        </is>
      </c>
      <c r="E13013" t="n">
        <v>1077</v>
      </c>
    </row>
    <row r="13014">
      <c r="A13014" t="inlineStr">
        <is>
          <t>27BBBBB13014Z5</t>
        </is>
      </c>
      <c r="B13014" t="inlineStr">
        <is>
          <t>Nov-2017</t>
        </is>
      </c>
      <c r="C13014" s="2" t="n">
        <v>43403</v>
      </c>
      <c r="D13014" t="inlineStr">
        <is>
          <t>NIL</t>
        </is>
      </c>
      <c r="E13014" t="n">
        <v>2385</v>
      </c>
    </row>
    <row r="13015">
      <c r="A13015" t="inlineStr">
        <is>
          <t>27BBBBB13015Z5</t>
        </is>
      </c>
      <c r="B13015" t="inlineStr">
        <is>
          <t>Sep-2017</t>
        </is>
      </c>
      <c r="C13015" s="2" t="n">
        <v>44128</v>
      </c>
      <c r="D13015" t="inlineStr">
        <is>
          <t>NON-NIL</t>
        </is>
      </c>
      <c r="E13015" t="n">
        <v>2492</v>
      </c>
    </row>
    <row r="13016">
      <c r="A13016" t="inlineStr">
        <is>
          <t>27BBBBB13016Z5</t>
        </is>
      </c>
      <c r="B13016" t="inlineStr">
        <is>
          <t>Nov-2018</t>
        </is>
      </c>
      <c r="C13016" s="2" t="n">
        <v>44039</v>
      </c>
      <c r="D13016" t="inlineStr">
        <is>
          <t>NIL</t>
        </is>
      </c>
      <c r="E13016" t="n">
        <v>2863</v>
      </c>
    </row>
    <row r="13017">
      <c r="A13017" t="inlineStr">
        <is>
          <t>27BBBBB13017Z5</t>
        </is>
      </c>
      <c r="B13017" t="inlineStr">
        <is>
          <t>Mar-2018</t>
        </is>
      </c>
      <c r="C13017" s="2" t="n">
        <v>44100</v>
      </c>
      <c r="D13017" t="inlineStr">
        <is>
          <t>NIL</t>
        </is>
      </c>
      <c r="E13017" t="n">
        <v>2440</v>
      </c>
    </row>
    <row r="13018">
      <c r="A13018" t="inlineStr">
        <is>
          <t>27BBBBB13018Z5</t>
        </is>
      </c>
      <c r="B13018" t="inlineStr">
        <is>
          <t>Dec-2018</t>
        </is>
      </c>
      <c r="C13018" s="2" t="n">
        <v>44247</v>
      </c>
      <c r="D13018" t="inlineStr">
        <is>
          <t>NIL</t>
        </is>
      </c>
      <c r="E13018" t="n">
        <v>1981</v>
      </c>
    </row>
    <row r="13019">
      <c r="A13019" t="inlineStr">
        <is>
          <t>27BBBBB13019Z5</t>
        </is>
      </c>
      <c r="B13019" t="inlineStr">
        <is>
          <t>Mar-2023</t>
        </is>
      </c>
      <c r="C13019" s="2" t="n">
        <v>43480</v>
      </c>
      <c r="D13019" t="inlineStr">
        <is>
          <t>NIL</t>
        </is>
      </c>
      <c r="E13019" t="n">
        <v>477</v>
      </c>
    </row>
    <row r="13020">
      <c r="A13020" t="inlineStr">
        <is>
          <t>27BBBBB13020Z5</t>
        </is>
      </c>
      <c r="B13020" t="inlineStr">
        <is>
          <t>Jun-2018</t>
        </is>
      </c>
      <c r="C13020" s="2" t="n">
        <v>44156</v>
      </c>
      <c r="D13020" t="inlineStr">
        <is>
          <t>NIL</t>
        </is>
      </c>
      <c r="E13020" t="n">
        <v>2353</v>
      </c>
    </row>
    <row r="13021">
      <c r="A13021" t="inlineStr">
        <is>
          <t>27BBBBB13021Z5</t>
        </is>
      </c>
      <c r="B13021" t="inlineStr">
        <is>
          <t>Jan-2021</t>
        </is>
      </c>
      <c r="C13021" s="2" t="n">
        <v>45372</v>
      </c>
      <c r="D13021" t="inlineStr">
        <is>
          <t>NON-NIL</t>
        </is>
      </c>
      <c r="E13021" t="n">
        <v>35</v>
      </c>
    </row>
    <row r="13022">
      <c r="A13022" t="inlineStr">
        <is>
          <t>27BBBBB13022Z5</t>
        </is>
      </c>
      <c r="B13022" t="inlineStr">
        <is>
          <t>Mar-2021</t>
        </is>
      </c>
      <c r="C13022" s="2" t="n">
        <v>45311</v>
      </c>
      <c r="D13022" t="inlineStr">
        <is>
          <t>NON-NIL</t>
        </is>
      </c>
      <c r="E13022" t="n">
        <v>1110</v>
      </c>
    </row>
    <row r="13023">
      <c r="A13023" t="inlineStr">
        <is>
          <t>27BBBBB13023Z5</t>
        </is>
      </c>
      <c r="B13023" t="inlineStr">
        <is>
          <t>Feb-2018</t>
        </is>
      </c>
      <c r="C13023" s="2" t="n">
        <v>44206</v>
      </c>
      <c r="D13023" t="inlineStr">
        <is>
          <t>NON-NIL</t>
        </is>
      </c>
      <c r="E13023" t="n">
        <v>1937</v>
      </c>
    </row>
    <row r="13024">
      <c r="A13024" t="inlineStr">
        <is>
          <t>27BBBBB13024Z5</t>
        </is>
      </c>
      <c r="B13024" t="inlineStr">
        <is>
          <t>May-2020</t>
        </is>
      </c>
      <c r="C13024" s="2" t="n">
        <v>44869</v>
      </c>
      <c r="D13024" t="inlineStr">
        <is>
          <t>NIL</t>
        </is>
      </c>
      <c r="E13024" t="n">
        <v>354</v>
      </c>
    </row>
    <row r="13025">
      <c r="A13025" t="inlineStr">
        <is>
          <t>27BBBBB13025Z5</t>
        </is>
      </c>
      <c r="B13025" t="inlineStr">
        <is>
          <t>Mar-2023</t>
        </is>
      </c>
      <c r="C13025" s="2" t="n">
        <v>45376</v>
      </c>
      <c r="D13025" t="inlineStr">
        <is>
          <t>NIL</t>
        </is>
      </c>
      <c r="E13025" t="n">
        <v>2277</v>
      </c>
    </row>
    <row r="13026">
      <c r="A13026" t="inlineStr">
        <is>
          <t>27BBBBB13026Z5</t>
        </is>
      </c>
      <c r="B13026" t="inlineStr">
        <is>
          <t>Dec-2022</t>
        </is>
      </c>
      <c r="C13026" s="2" t="n">
        <v>45783</v>
      </c>
      <c r="D13026" t="inlineStr">
        <is>
          <t>NIL</t>
        </is>
      </c>
      <c r="E13026" t="n">
        <v>1161</v>
      </c>
    </row>
    <row r="13027">
      <c r="A13027" t="inlineStr">
        <is>
          <t>27BBBBB13027Z5</t>
        </is>
      </c>
      <c r="B13027" t="inlineStr">
        <is>
          <t>Jun-2018</t>
        </is>
      </c>
      <c r="C13027" s="2" t="n">
        <v>43666</v>
      </c>
      <c r="D13027" t="inlineStr">
        <is>
          <t>NIL</t>
        </is>
      </c>
      <c r="E13027" t="n">
        <v>1446</v>
      </c>
    </row>
    <row r="13028">
      <c r="A13028" t="inlineStr">
        <is>
          <t>27BBBBB13028Z5</t>
        </is>
      </c>
      <c r="B13028" t="inlineStr">
        <is>
          <t>Aug-2018</t>
        </is>
      </c>
      <c r="C13028" s="2" t="n">
        <v>44229</v>
      </c>
      <c r="D13028" t="inlineStr">
        <is>
          <t>NON-NIL</t>
        </is>
      </c>
      <c r="E13028" t="n">
        <v>2626</v>
      </c>
    </row>
    <row r="13029">
      <c r="A13029" t="inlineStr">
        <is>
          <t>27BBBBB13029Z5</t>
        </is>
      </c>
      <c r="B13029" t="inlineStr">
        <is>
          <t>Jun-2020</t>
        </is>
      </c>
      <c r="C13029" s="2" t="n">
        <v>44158</v>
      </c>
      <c r="D13029" t="inlineStr">
        <is>
          <t>NIL</t>
        </is>
      </c>
      <c r="E13029" t="n">
        <v>547</v>
      </c>
    </row>
    <row r="13030">
      <c r="A13030" t="inlineStr">
        <is>
          <t>27BBBBB13030Z5</t>
        </is>
      </c>
      <c r="B13030" t="inlineStr">
        <is>
          <t>Mar-2018</t>
        </is>
      </c>
      <c r="C13030" s="2" t="n">
        <v>43466</v>
      </c>
      <c r="D13030" t="inlineStr">
        <is>
          <t>NON-NIL</t>
        </is>
      </c>
      <c r="E13030" t="n">
        <v>1247</v>
      </c>
    </row>
    <row r="13031">
      <c r="A13031" t="inlineStr">
        <is>
          <t>27BBBBB13031Z5</t>
        </is>
      </c>
      <c r="B13031" t="inlineStr">
        <is>
          <t>Mar-2021</t>
        </is>
      </c>
      <c r="C13031" s="2" t="n">
        <v>44098</v>
      </c>
      <c r="D13031" t="inlineStr">
        <is>
          <t>NON-NIL</t>
        </is>
      </c>
      <c r="E13031" t="n">
        <v>2378</v>
      </c>
    </row>
    <row r="13032">
      <c r="A13032" t="inlineStr">
        <is>
          <t>27BBBBB13032Z5</t>
        </is>
      </c>
      <c r="B13032" t="inlineStr">
        <is>
          <t>Mar-2023</t>
        </is>
      </c>
      <c r="C13032" s="2" t="n">
        <v>44980</v>
      </c>
      <c r="D13032" t="inlineStr">
        <is>
          <t>NIL</t>
        </is>
      </c>
      <c r="E13032" t="n">
        <v>2887</v>
      </c>
    </row>
    <row r="13033">
      <c r="A13033" t="inlineStr">
        <is>
          <t>27BBBBB13033Z5</t>
        </is>
      </c>
      <c r="B13033" t="inlineStr">
        <is>
          <t>May-2018</t>
        </is>
      </c>
      <c r="C13033" s="2" t="n">
        <v>43255</v>
      </c>
      <c r="D13033" t="inlineStr">
        <is>
          <t>NIL</t>
        </is>
      </c>
      <c r="E13033" t="n">
        <v>1172</v>
      </c>
    </row>
    <row r="13034">
      <c r="A13034" t="inlineStr">
        <is>
          <t>27BBBBB13034Z5</t>
        </is>
      </c>
      <c r="B13034" t="inlineStr">
        <is>
          <t>Nov-2017</t>
        </is>
      </c>
      <c r="C13034" s="2" t="n">
        <v>44339</v>
      </c>
      <c r="D13034" t="inlineStr">
        <is>
          <t>NIL</t>
        </is>
      </c>
      <c r="E13034" t="n">
        <v>2621</v>
      </c>
    </row>
    <row r="13035">
      <c r="A13035" t="inlineStr">
        <is>
          <t>27BBBBB13035Z5</t>
        </is>
      </c>
      <c r="B13035" t="inlineStr">
        <is>
          <t>Mar-2020</t>
        </is>
      </c>
      <c r="C13035" s="2" t="n">
        <v>43854</v>
      </c>
      <c r="D13035" t="inlineStr">
        <is>
          <t>NON-NIL</t>
        </is>
      </c>
      <c r="E13035" t="n">
        <v>627</v>
      </c>
    </row>
    <row r="13036">
      <c r="A13036" t="inlineStr">
        <is>
          <t>27BBBBB13036Z5</t>
        </is>
      </c>
      <c r="B13036" t="inlineStr">
        <is>
          <t>Jun-2020</t>
        </is>
      </c>
      <c r="C13036" s="2" t="n">
        <v>44543</v>
      </c>
      <c r="D13036" t="inlineStr">
        <is>
          <t>NON-NIL</t>
        </is>
      </c>
      <c r="E13036" t="n">
        <v>954</v>
      </c>
    </row>
    <row r="13037">
      <c r="A13037" t="inlineStr">
        <is>
          <t>27BBBBB13037Z5</t>
        </is>
      </c>
      <c r="B13037" t="inlineStr">
        <is>
          <t>Dec-2017</t>
        </is>
      </c>
      <c r="C13037" s="2" t="n">
        <v>44221</v>
      </c>
      <c r="D13037" t="inlineStr">
        <is>
          <t>NIL</t>
        </is>
      </c>
      <c r="E13037" t="n">
        <v>768</v>
      </c>
    </row>
    <row r="13038">
      <c r="A13038" t="inlineStr">
        <is>
          <t>27BBBBB13038Z5</t>
        </is>
      </c>
      <c r="B13038" t="inlineStr">
        <is>
          <t>Jan-2021</t>
        </is>
      </c>
      <c r="C13038" s="2" t="n">
        <v>45425</v>
      </c>
      <c r="D13038" t="inlineStr">
        <is>
          <t>NIL</t>
        </is>
      </c>
      <c r="E13038" t="n">
        <v>1964</v>
      </c>
    </row>
    <row r="13039">
      <c r="A13039" t="inlineStr">
        <is>
          <t>27BBBBB13039Z5</t>
        </is>
      </c>
      <c r="B13039" t="inlineStr">
        <is>
          <t>Oct-2018</t>
        </is>
      </c>
      <c r="C13039" s="2" t="n">
        <v>43192</v>
      </c>
      <c r="D13039" t="inlineStr">
        <is>
          <t>NIL</t>
        </is>
      </c>
      <c r="E13039" t="n">
        <v>1127</v>
      </c>
    </row>
    <row r="13040">
      <c r="A13040" t="inlineStr">
        <is>
          <t>27BBBBB13040Z5</t>
        </is>
      </c>
      <c r="B13040" t="inlineStr">
        <is>
          <t>Mar-2018</t>
        </is>
      </c>
      <c r="C13040" s="2" t="n">
        <v>43140</v>
      </c>
      <c r="D13040" t="inlineStr">
        <is>
          <t>NON-NIL</t>
        </is>
      </c>
      <c r="E13040" t="n">
        <v>1633</v>
      </c>
    </row>
    <row r="13041">
      <c r="A13041" t="inlineStr">
        <is>
          <t>27BBBBB13041Z5</t>
        </is>
      </c>
      <c r="B13041" t="inlineStr">
        <is>
          <t>Feb-2018</t>
        </is>
      </c>
      <c r="C13041" s="2" t="n">
        <v>43302</v>
      </c>
      <c r="D13041" t="inlineStr">
        <is>
          <t>NIL</t>
        </is>
      </c>
      <c r="E13041" t="n">
        <v>1900</v>
      </c>
    </row>
    <row r="13042">
      <c r="A13042" t="inlineStr">
        <is>
          <t>27BBBBB13042Z5</t>
        </is>
      </c>
      <c r="B13042" t="inlineStr">
        <is>
          <t>Nov-2018</t>
        </is>
      </c>
      <c r="C13042" s="2" t="n">
        <v>44051</v>
      </c>
      <c r="D13042" t="inlineStr">
        <is>
          <t>NON-NIL</t>
        </is>
      </c>
      <c r="E13042" t="n">
        <v>1313</v>
      </c>
    </row>
    <row r="13043">
      <c r="A13043" t="inlineStr">
        <is>
          <t>27BBBBB13043Z5</t>
        </is>
      </c>
      <c r="B13043" t="inlineStr">
        <is>
          <t>Dec-2022</t>
        </is>
      </c>
      <c r="C13043" s="2" t="n">
        <v>44363</v>
      </c>
      <c r="D13043" t="inlineStr">
        <is>
          <t>NIL</t>
        </is>
      </c>
      <c r="E13043" t="n">
        <v>1339</v>
      </c>
    </row>
    <row r="13044">
      <c r="A13044" t="inlineStr">
        <is>
          <t>27BBBBB13044Z5</t>
        </is>
      </c>
      <c r="B13044" t="inlineStr">
        <is>
          <t>Jul-2017</t>
        </is>
      </c>
      <c r="C13044" s="2" t="n">
        <v>43811</v>
      </c>
      <c r="D13044" t="inlineStr">
        <is>
          <t>NON-NIL</t>
        </is>
      </c>
      <c r="E13044" t="n">
        <v>1533</v>
      </c>
    </row>
    <row r="13045">
      <c r="A13045" t="inlineStr">
        <is>
          <t>27BBBBB13045Z5</t>
        </is>
      </c>
      <c r="B13045" t="inlineStr">
        <is>
          <t>Nov-2018</t>
        </is>
      </c>
      <c r="C13045" s="2" t="n">
        <v>44385</v>
      </c>
      <c r="D13045" t="inlineStr">
        <is>
          <t>NON-NIL</t>
        </is>
      </c>
      <c r="E13045" t="n">
        <v>616</v>
      </c>
    </row>
    <row r="13046">
      <c r="A13046" t="inlineStr">
        <is>
          <t>27BBBBB13046Z5</t>
        </is>
      </c>
      <c r="B13046" t="inlineStr">
        <is>
          <t>Jun-2018</t>
        </is>
      </c>
      <c r="C13046" s="2" t="n">
        <v>43917</v>
      </c>
      <c r="D13046" t="inlineStr">
        <is>
          <t>NIL</t>
        </is>
      </c>
      <c r="E13046" t="n">
        <v>1116</v>
      </c>
    </row>
    <row r="13047">
      <c r="A13047" t="inlineStr">
        <is>
          <t>27BBBBB13047Z5</t>
        </is>
      </c>
      <c r="B13047" t="inlineStr">
        <is>
          <t>Dec-2022</t>
        </is>
      </c>
      <c r="C13047" s="2" t="n">
        <v>44102</v>
      </c>
      <c r="D13047" t="inlineStr">
        <is>
          <t>NON-NIL</t>
        </is>
      </c>
      <c r="E13047" t="n">
        <v>2314</v>
      </c>
    </row>
    <row r="13048">
      <c r="A13048" t="inlineStr">
        <is>
          <t>27BBBBB13048Z5</t>
        </is>
      </c>
      <c r="B13048" t="inlineStr">
        <is>
          <t>Nov-2018</t>
        </is>
      </c>
      <c r="C13048" s="2" t="n">
        <v>43878</v>
      </c>
      <c r="D13048" t="inlineStr">
        <is>
          <t>NON-NIL</t>
        </is>
      </c>
      <c r="E13048" t="n">
        <v>1084</v>
      </c>
    </row>
    <row r="13049">
      <c r="A13049" t="inlineStr">
        <is>
          <t>27BBBBB13049Z5</t>
        </is>
      </c>
      <c r="B13049" t="inlineStr">
        <is>
          <t>Jul-2017</t>
        </is>
      </c>
      <c r="C13049" s="2" t="n">
        <v>44473</v>
      </c>
      <c r="D13049" t="inlineStr">
        <is>
          <t>NIL</t>
        </is>
      </c>
      <c r="E13049" t="n">
        <v>2875</v>
      </c>
    </row>
    <row r="13050">
      <c r="A13050" t="inlineStr">
        <is>
          <t>27BBBBB13050Z5</t>
        </is>
      </c>
      <c r="B13050" t="inlineStr">
        <is>
          <t>Jul-2018</t>
        </is>
      </c>
      <c r="C13050" s="2" t="n">
        <v>44090</v>
      </c>
      <c r="D13050" t="inlineStr">
        <is>
          <t>NON-NIL</t>
        </is>
      </c>
      <c r="E13050" t="n">
        <v>1049</v>
      </c>
    </row>
    <row r="13051">
      <c r="A13051" t="inlineStr">
        <is>
          <t>27BBBBB13051Z5</t>
        </is>
      </c>
      <c r="B13051" t="inlineStr">
        <is>
          <t>Aug-2018</t>
        </is>
      </c>
      <c r="C13051" s="2" t="n">
        <v>44174</v>
      </c>
      <c r="D13051" t="inlineStr">
        <is>
          <t>NIL</t>
        </is>
      </c>
      <c r="E13051" t="n">
        <v>465</v>
      </c>
    </row>
    <row r="13052">
      <c r="A13052" t="inlineStr">
        <is>
          <t>27BBBBB13052Z5</t>
        </is>
      </c>
      <c r="B13052" t="inlineStr">
        <is>
          <t>Mar-2023</t>
        </is>
      </c>
      <c r="C13052" s="2" t="n">
        <v>45140</v>
      </c>
      <c r="D13052" t="inlineStr">
        <is>
          <t>NON-NIL</t>
        </is>
      </c>
      <c r="E13052" t="n">
        <v>1130</v>
      </c>
    </row>
    <row r="13053">
      <c r="A13053" t="inlineStr">
        <is>
          <t>27BBBBB13053Z5</t>
        </is>
      </c>
      <c r="B13053" t="inlineStr">
        <is>
          <t>Jun-2020</t>
        </is>
      </c>
      <c r="C13053" s="2" t="n">
        <v>44111</v>
      </c>
      <c r="D13053" t="inlineStr">
        <is>
          <t>NIL</t>
        </is>
      </c>
      <c r="E13053" t="n">
        <v>2952</v>
      </c>
    </row>
    <row r="13054">
      <c r="A13054" t="inlineStr">
        <is>
          <t>27BBBBB13054Z5</t>
        </is>
      </c>
      <c r="B13054" t="inlineStr">
        <is>
          <t>Sep-2018</t>
        </is>
      </c>
      <c r="C13054" s="2" t="n">
        <v>42936</v>
      </c>
      <c r="D13054" t="inlineStr">
        <is>
          <t>NIL</t>
        </is>
      </c>
      <c r="E13054" t="n">
        <v>2654</v>
      </c>
    </row>
    <row r="13055">
      <c r="A13055" t="inlineStr">
        <is>
          <t>27BBBBB13055Z5</t>
        </is>
      </c>
      <c r="B13055" t="inlineStr">
        <is>
          <t>Apr-2018</t>
        </is>
      </c>
      <c r="C13055" s="2" t="n">
        <v>43059</v>
      </c>
      <c r="D13055" t="inlineStr">
        <is>
          <t>NON-NIL</t>
        </is>
      </c>
      <c r="E13055" t="n">
        <v>1497</v>
      </c>
    </row>
    <row r="13056">
      <c r="A13056" t="inlineStr">
        <is>
          <t>27BBBBB13056Z5</t>
        </is>
      </c>
      <c r="B13056" t="inlineStr">
        <is>
          <t>Sep-2017</t>
        </is>
      </c>
      <c r="C13056" s="2" t="n">
        <v>44421</v>
      </c>
      <c r="D13056" t="inlineStr">
        <is>
          <t>NIL</t>
        </is>
      </c>
      <c r="E13056" t="n">
        <v>1424</v>
      </c>
    </row>
    <row r="13057">
      <c r="A13057" t="inlineStr">
        <is>
          <t>27BBBBB13057Z5</t>
        </is>
      </c>
      <c r="B13057" t="inlineStr">
        <is>
          <t>Mar-2021</t>
        </is>
      </c>
      <c r="C13057" s="2" t="n">
        <v>43918</v>
      </c>
      <c r="D13057" t="inlineStr">
        <is>
          <t>NON-NIL</t>
        </is>
      </c>
      <c r="E13057" t="n">
        <v>1997</v>
      </c>
    </row>
    <row r="13058">
      <c r="A13058" t="inlineStr">
        <is>
          <t>27BBBBB13058Z5</t>
        </is>
      </c>
      <c r="B13058" t="inlineStr">
        <is>
          <t>May-2018</t>
        </is>
      </c>
      <c r="C13058" s="2" t="n">
        <v>43879</v>
      </c>
      <c r="D13058" t="inlineStr">
        <is>
          <t>NON-NIL</t>
        </is>
      </c>
      <c r="E13058" t="n">
        <v>340</v>
      </c>
    </row>
    <row r="13059">
      <c r="A13059" t="inlineStr">
        <is>
          <t>27BBBBB13059Z5</t>
        </is>
      </c>
      <c r="B13059" t="inlineStr">
        <is>
          <t>May-2020</t>
        </is>
      </c>
      <c r="C13059" s="2" t="n">
        <v>44143</v>
      </c>
      <c r="D13059" t="inlineStr">
        <is>
          <t>NIL</t>
        </is>
      </c>
      <c r="E13059" t="n">
        <v>1525</v>
      </c>
    </row>
    <row r="13060">
      <c r="A13060" t="inlineStr">
        <is>
          <t>27BBBBB13060Z5</t>
        </is>
      </c>
      <c r="B13060" t="inlineStr">
        <is>
          <t>Mar-2023</t>
        </is>
      </c>
      <c r="C13060" s="2" t="n">
        <v>45516</v>
      </c>
      <c r="D13060" t="inlineStr">
        <is>
          <t>NON-NIL</t>
        </is>
      </c>
      <c r="E13060" t="n">
        <v>1551</v>
      </c>
    </row>
    <row r="13061">
      <c r="A13061" t="inlineStr">
        <is>
          <t>27BBBBB13061Z5</t>
        </is>
      </c>
      <c r="B13061" t="inlineStr">
        <is>
          <t>Jul-2018</t>
        </is>
      </c>
      <c r="C13061" s="2" t="n">
        <v>43242</v>
      </c>
      <c r="D13061" t="inlineStr">
        <is>
          <t>NON-NIL</t>
        </is>
      </c>
      <c r="E13061" t="n">
        <v>2509</v>
      </c>
    </row>
    <row r="13062">
      <c r="A13062" t="inlineStr">
        <is>
          <t>27BBBBB13062Z5</t>
        </is>
      </c>
      <c r="B13062" t="inlineStr">
        <is>
          <t>Aug-2017</t>
        </is>
      </c>
      <c r="C13062" s="2" t="n">
        <v>44114</v>
      </c>
      <c r="D13062" t="inlineStr">
        <is>
          <t>NIL</t>
        </is>
      </c>
      <c r="E13062" t="n">
        <v>343</v>
      </c>
    </row>
    <row r="13063">
      <c r="A13063" t="inlineStr">
        <is>
          <t>27BBBBB13063Z5</t>
        </is>
      </c>
      <c r="B13063" t="inlineStr">
        <is>
          <t>Apr-2020</t>
        </is>
      </c>
      <c r="C13063" s="2" t="n">
        <v>44714</v>
      </c>
      <c r="D13063" t="inlineStr">
        <is>
          <t>NIL</t>
        </is>
      </c>
      <c r="E13063" t="n">
        <v>672</v>
      </c>
    </row>
    <row r="13064">
      <c r="A13064" t="inlineStr">
        <is>
          <t>27BBBBB13064Z5</t>
        </is>
      </c>
      <c r="B13064" t="inlineStr">
        <is>
          <t>Feb-2018</t>
        </is>
      </c>
      <c r="C13064" s="2" t="n">
        <v>43711</v>
      </c>
      <c r="D13064" t="inlineStr">
        <is>
          <t>NIL</t>
        </is>
      </c>
      <c r="E13064" t="n">
        <v>1530</v>
      </c>
    </row>
    <row r="13065">
      <c r="A13065" t="inlineStr">
        <is>
          <t>27BBBBB13065Z5</t>
        </is>
      </c>
      <c r="B13065" t="inlineStr">
        <is>
          <t>Jan-2018</t>
        </is>
      </c>
      <c r="C13065" s="2" t="n">
        <v>43815</v>
      </c>
      <c r="D13065" t="inlineStr">
        <is>
          <t>NON-NIL</t>
        </is>
      </c>
      <c r="E13065" t="n">
        <v>870</v>
      </c>
    </row>
    <row r="13066">
      <c r="A13066" t="inlineStr">
        <is>
          <t>27BBBBB13066Z5</t>
        </is>
      </c>
      <c r="B13066" t="inlineStr">
        <is>
          <t>Aug-2017</t>
        </is>
      </c>
      <c r="C13066" s="2" t="n">
        <v>43843</v>
      </c>
      <c r="D13066" t="inlineStr">
        <is>
          <t>NIL</t>
        </is>
      </c>
      <c r="E13066" t="n">
        <v>491</v>
      </c>
    </row>
    <row r="13067">
      <c r="A13067" t="inlineStr">
        <is>
          <t>27BBBBB13067Z5</t>
        </is>
      </c>
      <c r="B13067" t="inlineStr">
        <is>
          <t>May-2020</t>
        </is>
      </c>
      <c r="C13067" s="2" t="n">
        <v>44262</v>
      </c>
      <c r="D13067" t="inlineStr">
        <is>
          <t>NIL</t>
        </is>
      </c>
      <c r="E13067" t="n">
        <v>2762</v>
      </c>
    </row>
    <row r="13068">
      <c r="A13068" t="inlineStr">
        <is>
          <t>27BBBBB13068Z5</t>
        </is>
      </c>
      <c r="B13068" t="inlineStr">
        <is>
          <t>Mar-2021</t>
        </is>
      </c>
      <c r="C13068" s="2" t="n">
        <v>45072</v>
      </c>
      <c r="D13068" t="inlineStr">
        <is>
          <t>NON-NIL</t>
        </is>
      </c>
      <c r="E13068" t="n">
        <v>2159</v>
      </c>
    </row>
    <row r="13069">
      <c r="A13069" t="inlineStr">
        <is>
          <t>27BBBBB13069Z5</t>
        </is>
      </c>
      <c r="B13069" t="inlineStr">
        <is>
          <t>Aug-2017</t>
        </is>
      </c>
      <c r="C13069" s="2" t="n">
        <v>43418</v>
      </c>
      <c r="D13069" t="inlineStr">
        <is>
          <t>NIL</t>
        </is>
      </c>
      <c r="E13069" t="n">
        <v>2712</v>
      </c>
    </row>
    <row r="13070">
      <c r="A13070" t="inlineStr">
        <is>
          <t>27BBBBB13070Z5</t>
        </is>
      </c>
      <c r="B13070" t="inlineStr">
        <is>
          <t>Jul-2020</t>
        </is>
      </c>
      <c r="C13070" s="2" t="n">
        <v>44105</v>
      </c>
      <c r="D13070" t="inlineStr">
        <is>
          <t>NIL</t>
        </is>
      </c>
      <c r="E13070" t="n">
        <v>404</v>
      </c>
    </row>
    <row r="13071">
      <c r="A13071" t="inlineStr">
        <is>
          <t>27BBBBB13071Z5</t>
        </is>
      </c>
      <c r="B13071" t="inlineStr">
        <is>
          <t>Aug-2018</t>
        </is>
      </c>
      <c r="C13071" s="2" t="n">
        <v>43543</v>
      </c>
      <c r="D13071" t="inlineStr">
        <is>
          <t>NON-NIL</t>
        </is>
      </c>
      <c r="E13071" t="n">
        <v>2187</v>
      </c>
    </row>
    <row r="13072">
      <c r="A13072" t="inlineStr">
        <is>
          <t>27BBBBB13072Z5</t>
        </is>
      </c>
      <c r="B13072" t="inlineStr">
        <is>
          <t>Jul-2018</t>
        </is>
      </c>
      <c r="C13072" s="2" t="n">
        <v>43439</v>
      </c>
      <c r="D13072" t="inlineStr">
        <is>
          <t>NIL</t>
        </is>
      </c>
      <c r="E13072" t="n">
        <v>2021</v>
      </c>
    </row>
    <row r="13073">
      <c r="A13073" t="inlineStr">
        <is>
          <t>27BBBBB13073Z5</t>
        </is>
      </c>
      <c r="B13073" t="inlineStr">
        <is>
          <t>Aug-2017</t>
        </is>
      </c>
      <c r="C13073" s="2" t="n">
        <v>43576</v>
      </c>
      <c r="D13073" t="inlineStr">
        <is>
          <t>NIL</t>
        </is>
      </c>
      <c r="E13073" t="n">
        <v>881</v>
      </c>
    </row>
    <row r="13074">
      <c r="A13074" t="inlineStr">
        <is>
          <t>27BBBBB13074Z5</t>
        </is>
      </c>
      <c r="B13074" t="inlineStr">
        <is>
          <t>Aug-2017</t>
        </is>
      </c>
      <c r="C13074" s="2" t="n">
        <v>43906</v>
      </c>
      <c r="D13074" t="inlineStr">
        <is>
          <t>NIL</t>
        </is>
      </c>
      <c r="E13074" t="n">
        <v>2961</v>
      </c>
    </row>
    <row r="13075">
      <c r="A13075" t="inlineStr">
        <is>
          <t>27BBBBB13075Z5</t>
        </is>
      </c>
      <c r="B13075" t="inlineStr">
        <is>
          <t>Apr-2018</t>
        </is>
      </c>
      <c r="C13075" s="2" t="n">
        <v>43773</v>
      </c>
      <c r="D13075" t="inlineStr">
        <is>
          <t>NIL</t>
        </is>
      </c>
      <c r="E13075" t="n">
        <v>460</v>
      </c>
    </row>
    <row r="13076">
      <c r="A13076" t="inlineStr">
        <is>
          <t>27BBBBB13076Z5</t>
        </is>
      </c>
      <c r="B13076" t="inlineStr">
        <is>
          <t>Aug-2017</t>
        </is>
      </c>
      <c r="C13076" s="2" t="n">
        <v>44185</v>
      </c>
      <c r="D13076" t="inlineStr">
        <is>
          <t>NON-NIL</t>
        </is>
      </c>
      <c r="E13076" t="n">
        <v>2105</v>
      </c>
    </row>
    <row r="13077">
      <c r="A13077" t="inlineStr">
        <is>
          <t>27BBBBB13077Z5</t>
        </is>
      </c>
      <c r="B13077" t="inlineStr">
        <is>
          <t>Oct-2018</t>
        </is>
      </c>
      <c r="C13077" s="2" t="n">
        <v>43260</v>
      </c>
      <c r="D13077" t="inlineStr">
        <is>
          <t>NON-NIL</t>
        </is>
      </c>
      <c r="E13077" t="n">
        <v>1215</v>
      </c>
    </row>
    <row r="13078">
      <c r="A13078" t="inlineStr">
        <is>
          <t>27BBBBB13078Z5</t>
        </is>
      </c>
      <c r="B13078" t="inlineStr">
        <is>
          <t>Sep-2017</t>
        </is>
      </c>
      <c r="C13078" s="2" t="n">
        <v>44492</v>
      </c>
      <c r="D13078" t="inlineStr">
        <is>
          <t>NIL</t>
        </is>
      </c>
      <c r="E13078" t="n">
        <v>2574</v>
      </c>
    </row>
    <row r="13079">
      <c r="A13079" t="inlineStr">
        <is>
          <t>27BBBBB13079Z5</t>
        </is>
      </c>
      <c r="B13079" t="inlineStr">
        <is>
          <t>Sep-2017</t>
        </is>
      </c>
      <c r="C13079" s="2" t="n">
        <v>44479</v>
      </c>
      <c r="D13079" t="inlineStr">
        <is>
          <t>NIL</t>
        </is>
      </c>
      <c r="E13079" t="n">
        <v>2345</v>
      </c>
    </row>
    <row r="13080">
      <c r="A13080" t="inlineStr">
        <is>
          <t>27BBBBB13080Z5</t>
        </is>
      </c>
      <c r="B13080" t="inlineStr">
        <is>
          <t>Oct-2018</t>
        </is>
      </c>
      <c r="C13080" s="2" t="n">
        <v>44389</v>
      </c>
      <c r="D13080" t="inlineStr">
        <is>
          <t>NIL</t>
        </is>
      </c>
      <c r="E13080" t="n">
        <v>45</v>
      </c>
    </row>
    <row r="13081">
      <c r="A13081" t="inlineStr">
        <is>
          <t>27BBBBB13081Z5</t>
        </is>
      </c>
      <c r="B13081" t="inlineStr">
        <is>
          <t>Dec-2022</t>
        </is>
      </c>
      <c r="C13081" s="2" t="n">
        <v>44333</v>
      </c>
      <c r="D13081" t="inlineStr">
        <is>
          <t>NIL</t>
        </is>
      </c>
      <c r="E13081" t="n">
        <v>255</v>
      </c>
    </row>
    <row r="13082">
      <c r="A13082" t="inlineStr">
        <is>
          <t>27BBBBB13082Z5</t>
        </is>
      </c>
      <c r="B13082" t="inlineStr">
        <is>
          <t>Jun-2018</t>
        </is>
      </c>
      <c r="C13082" s="2" t="n">
        <v>43115</v>
      </c>
      <c r="D13082" t="inlineStr">
        <is>
          <t>NON-NIL</t>
        </is>
      </c>
      <c r="E13082" t="n">
        <v>2187</v>
      </c>
    </row>
    <row r="13083">
      <c r="A13083" t="inlineStr">
        <is>
          <t>27BBBBB13083Z5</t>
        </is>
      </c>
      <c r="B13083" t="inlineStr">
        <is>
          <t>Sep-2017</t>
        </is>
      </c>
      <c r="C13083" s="2" t="n">
        <v>44513</v>
      </c>
      <c r="D13083" t="inlineStr">
        <is>
          <t>NON-NIL</t>
        </is>
      </c>
      <c r="E13083" t="n">
        <v>1758</v>
      </c>
    </row>
    <row r="13084">
      <c r="A13084" t="inlineStr">
        <is>
          <t>27BBBBB13084Z5</t>
        </is>
      </c>
      <c r="B13084" t="inlineStr">
        <is>
          <t>Mar-2021</t>
        </is>
      </c>
      <c r="C13084" s="2" t="n">
        <v>43932</v>
      </c>
      <c r="D13084" t="inlineStr">
        <is>
          <t>NIL</t>
        </is>
      </c>
      <c r="E13084" t="n">
        <v>1820</v>
      </c>
    </row>
    <row r="13085">
      <c r="A13085" t="inlineStr">
        <is>
          <t>27BBBBB13085Z5</t>
        </is>
      </c>
      <c r="B13085" t="inlineStr">
        <is>
          <t>Jul-2020</t>
        </is>
      </c>
      <c r="C13085" s="2" t="n">
        <v>44615</v>
      </c>
      <c r="D13085" t="inlineStr">
        <is>
          <t>NON-NIL</t>
        </is>
      </c>
      <c r="E13085" t="n">
        <v>971</v>
      </c>
    </row>
    <row r="13086">
      <c r="A13086" t="inlineStr">
        <is>
          <t>27BBBBB13086Z5</t>
        </is>
      </c>
      <c r="B13086" t="inlineStr">
        <is>
          <t>Dec-2022</t>
        </is>
      </c>
      <c r="C13086" s="2" t="n">
        <v>44071</v>
      </c>
      <c r="D13086" t="inlineStr">
        <is>
          <t>NON-NIL</t>
        </is>
      </c>
      <c r="E13086" t="n">
        <v>847</v>
      </c>
    </row>
    <row r="13087">
      <c r="A13087" t="inlineStr">
        <is>
          <t>27BBBBB13087Z5</t>
        </is>
      </c>
      <c r="B13087" t="inlineStr">
        <is>
          <t>Oct-2017</t>
        </is>
      </c>
      <c r="C13087" s="2" t="n">
        <v>43497</v>
      </c>
      <c r="D13087" t="inlineStr">
        <is>
          <t>NIL</t>
        </is>
      </c>
      <c r="E13087" t="n">
        <v>1071</v>
      </c>
    </row>
    <row r="13088">
      <c r="A13088" t="inlineStr">
        <is>
          <t>27BBBBB13088Z5</t>
        </is>
      </c>
      <c r="B13088" t="inlineStr">
        <is>
          <t>Feb-2018</t>
        </is>
      </c>
      <c r="C13088" s="2" t="n">
        <v>44019</v>
      </c>
      <c r="D13088" t="inlineStr">
        <is>
          <t>NIL</t>
        </is>
      </c>
      <c r="E13088" t="n">
        <v>2595</v>
      </c>
    </row>
    <row r="13089">
      <c r="A13089" t="inlineStr">
        <is>
          <t>27BBBBB13089Z5</t>
        </is>
      </c>
      <c r="B13089" t="inlineStr">
        <is>
          <t>Nov-2017</t>
        </is>
      </c>
      <c r="C13089" s="2" t="n">
        <v>43444</v>
      </c>
      <c r="D13089" t="inlineStr">
        <is>
          <t>NON-NIL</t>
        </is>
      </c>
      <c r="E13089" t="n">
        <v>767</v>
      </c>
    </row>
    <row r="13090">
      <c r="A13090" t="inlineStr">
        <is>
          <t>27BBBBB13090Z5</t>
        </is>
      </c>
      <c r="B13090" t="inlineStr">
        <is>
          <t>Mar-2020</t>
        </is>
      </c>
      <c r="C13090" s="2" t="n">
        <v>44517</v>
      </c>
      <c r="D13090" t="inlineStr">
        <is>
          <t>NIL</t>
        </is>
      </c>
      <c r="E13090" t="n">
        <v>1534</v>
      </c>
    </row>
    <row r="13091">
      <c r="A13091" t="inlineStr">
        <is>
          <t>27BBBBB13091Z5</t>
        </is>
      </c>
      <c r="B13091" t="inlineStr">
        <is>
          <t>Feb-2018</t>
        </is>
      </c>
      <c r="C13091" s="2" t="n">
        <v>44035</v>
      </c>
      <c r="D13091" t="inlineStr">
        <is>
          <t>NON-NIL</t>
        </is>
      </c>
      <c r="E13091" t="n">
        <v>391</v>
      </c>
    </row>
    <row r="13092">
      <c r="A13092" t="inlineStr">
        <is>
          <t>27BBBBB13092Z5</t>
        </is>
      </c>
      <c r="B13092" t="inlineStr">
        <is>
          <t>Aug-2017</t>
        </is>
      </c>
      <c r="C13092" s="2" t="n">
        <v>44514</v>
      </c>
      <c r="D13092" t="inlineStr">
        <is>
          <t>NIL</t>
        </is>
      </c>
      <c r="E13092" t="n">
        <v>1276</v>
      </c>
    </row>
    <row r="13093">
      <c r="A13093" t="inlineStr">
        <is>
          <t>27BBBBB13093Z5</t>
        </is>
      </c>
      <c r="B13093" t="inlineStr">
        <is>
          <t>Jul-2017</t>
        </is>
      </c>
      <c r="C13093" s="2" t="n">
        <v>44148</v>
      </c>
      <c r="D13093" t="inlineStr">
        <is>
          <t>NON-NIL</t>
        </is>
      </c>
      <c r="E13093" t="n">
        <v>1283</v>
      </c>
    </row>
    <row r="13094">
      <c r="A13094" t="inlineStr">
        <is>
          <t>27BBBBB13094Z5</t>
        </is>
      </c>
      <c r="B13094" t="inlineStr">
        <is>
          <t>Dec-2017</t>
        </is>
      </c>
      <c r="C13094" s="2" t="n">
        <v>44395</v>
      </c>
      <c r="D13094" t="inlineStr">
        <is>
          <t>NON-NIL</t>
        </is>
      </c>
      <c r="E13094" t="n">
        <v>106</v>
      </c>
    </row>
    <row r="13095">
      <c r="A13095" t="inlineStr">
        <is>
          <t>27BBBBB13095Z5</t>
        </is>
      </c>
      <c r="B13095" t="inlineStr">
        <is>
          <t>Jul-2020</t>
        </is>
      </c>
      <c r="C13095" s="2" t="n">
        <v>44644</v>
      </c>
      <c r="D13095" t="inlineStr">
        <is>
          <t>NON-NIL</t>
        </is>
      </c>
      <c r="E13095" t="n">
        <v>1510</v>
      </c>
    </row>
    <row r="13096">
      <c r="A13096" t="inlineStr">
        <is>
          <t>27BBBBB13096Z5</t>
        </is>
      </c>
      <c r="B13096" t="inlineStr">
        <is>
          <t>Jul-2020</t>
        </is>
      </c>
      <c r="C13096" s="2" t="n">
        <v>44382</v>
      </c>
      <c r="D13096" t="inlineStr">
        <is>
          <t>NIL</t>
        </is>
      </c>
      <c r="E13096" t="n">
        <v>504</v>
      </c>
    </row>
    <row r="13097">
      <c r="A13097" t="inlineStr">
        <is>
          <t>27BBBBB13097Z5</t>
        </is>
      </c>
      <c r="B13097" t="inlineStr">
        <is>
          <t>Oct-2017</t>
        </is>
      </c>
      <c r="C13097" s="2" t="n">
        <v>43373</v>
      </c>
      <c r="D13097" t="inlineStr">
        <is>
          <t>NIL</t>
        </is>
      </c>
      <c r="E13097" t="n">
        <v>2550</v>
      </c>
    </row>
    <row r="13098">
      <c r="A13098" t="inlineStr">
        <is>
          <t>27BBBBB13098Z5</t>
        </is>
      </c>
      <c r="B13098" t="inlineStr">
        <is>
          <t>Aug-2018</t>
        </is>
      </c>
      <c r="C13098" s="2" t="n">
        <v>43406</v>
      </c>
      <c r="D13098" t="inlineStr">
        <is>
          <t>NON-NIL</t>
        </is>
      </c>
      <c r="E13098" t="n">
        <v>1964</v>
      </c>
    </row>
    <row r="13099">
      <c r="A13099" t="inlineStr">
        <is>
          <t>27BBBBB13099Z5</t>
        </is>
      </c>
      <c r="B13099" t="inlineStr">
        <is>
          <t>Apr-2018</t>
        </is>
      </c>
      <c r="C13099" s="2" t="n">
        <v>43044</v>
      </c>
      <c r="D13099" t="inlineStr">
        <is>
          <t>NIL</t>
        </is>
      </c>
      <c r="E13099" t="n">
        <v>2489</v>
      </c>
    </row>
    <row r="13100">
      <c r="A13100" t="inlineStr">
        <is>
          <t>27BBBBB13100Z5</t>
        </is>
      </c>
      <c r="B13100" t="inlineStr">
        <is>
          <t>Mar-2021</t>
        </is>
      </c>
      <c r="C13100" s="2" t="n">
        <v>44547</v>
      </c>
      <c r="D13100" t="inlineStr">
        <is>
          <t>NIL</t>
        </is>
      </c>
      <c r="E13100" t="n">
        <v>658</v>
      </c>
    </row>
    <row r="13101">
      <c r="A13101" t="inlineStr">
        <is>
          <t>27BBBBB13101Z5</t>
        </is>
      </c>
      <c r="B13101" t="inlineStr">
        <is>
          <t>Nov-2018</t>
        </is>
      </c>
      <c r="C13101" s="2" t="n">
        <v>43650</v>
      </c>
      <c r="D13101" t="inlineStr">
        <is>
          <t>NIL</t>
        </is>
      </c>
      <c r="E13101" t="n">
        <v>712</v>
      </c>
    </row>
    <row r="13102">
      <c r="A13102" t="inlineStr">
        <is>
          <t>27BBBBB13102Z5</t>
        </is>
      </c>
      <c r="B13102" t="inlineStr">
        <is>
          <t>Aug-2017</t>
        </is>
      </c>
      <c r="C13102" s="2" t="n">
        <v>43554</v>
      </c>
      <c r="D13102" t="inlineStr">
        <is>
          <t>NIL</t>
        </is>
      </c>
      <c r="E13102" t="n">
        <v>956</v>
      </c>
    </row>
    <row r="13103">
      <c r="A13103" t="inlineStr">
        <is>
          <t>27BBBBB13103Z5</t>
        </is>
      </c>
      <c r="B13103" t="inlineStr">
        <is>
          <t>Jul-2020</t>
        </is>
      </c>
      <c r="C13103" s="2" t="n">
        <v>43848</v>
      </c>
      <c r="D13103" t="inlineStr">
        <is>
          <t>NIL</t>
        </is>
      </c>
      <c r="E13103" t="n">
        <v>1589</v>
      </c>
    </row>
    <row r="13104">
      <c r="A13104" t="inlineStr">
        <is>
          <t>27BBBBB13104Z5</t>
        </is>
      </c>
      <c r="B13104" t="inlineStr">
        <is>
          <t>Dec-2017</t>
        </is>
      </c>
      <c r="C13104" s="2" t="n">
        <v>43391</v>
      </c>
      <c r="D13104" t="inlineStr">
        <is>
          <t>NIL</t>
        </is>
      </c>
      <c r="E13104" t="n">
        <v>1302</v>
      </c>
    </row>
    <row r="13105">
      <c r="A13105" t="inlineStr">
        <is>
          <t>27BBBBB13105Z5</t>
        </is>
      </c>
      <c r="B13105" t="inlineStr">
        <is>
          <t>Jul-2017</t>
        </is>
      </c>
      <c r="C13105" s="2" t="n">
        <v>43468</v>
      </c>
      <c r="D13105" t="inlineStr">
        <is>
          <t>NON-NIL</t>
        </is>
      </c>
      <c r="E13105" t="n">
        <v>2221</v>
      </c>
    </row>
    <row r="13106">
      <c r="A13106" t="inlineStr">
        <is>
          <t>27BBBBB13106Z5</t>
        </is>
      </c>
      <c r="B13106" t="inlineStr">
        <is>
          <t>Nov-2017</t>
        </is>
      </c>
      <c r="C13106" s="2" t="n">
        <v>43878</v>
      </c>
      <c r="D13106" t="inlineStr">
        <is>
          <t>NON-NIL</t>
        </is>
      </c>
      <c r="E13106" t="n">
        <v>803</v>
      </c>
    </row>
    <row r="13107">
      <c r="A13107" t="inlineStr">
        <is>
          <t>27BBBBB13107Z5</t>
        </is>
      </c>
      <c r="B13107" t="inlineStr">
        <is>
          <t>Apr-2018</t>
        </is>
      </c>
      <c r="C13107" s="2" t="n">
        <v>44435</v>
      </c>
      <c r="D13107" t="inlineStr">
        <is>
          <t>NON-NIL</t>
        </is>
      </c>
      <c r="E13107" t="n">
        <v>1897</v>
      </c>
    </row>
    <row r="13108">
      <c r="A13108" t="inlineStr">
        <is>
          <t>27BBBBB13108Z5</t>
        </is>
      </c>
      <c r="B13108" t="inlineStr">
        <is>
          <t>Jul-2020</t>
        </is>
      </c>
      <c r="C13108" s="2" t="n">
        <v>44242</v>
      </c>
      <c r="D13108" t="inlineStr">
        <is>
          <t>NON-NIL</t>
        </is>
      </c>
      <c r="E13108" t="n">
        <v>1736</v>
      </c>
    </row>
    <row r="13109">
      <c r="A13109" t="inlineStr">
        <is>
          <t>27BBBBB13109Z5</t>
        </is>
      </c>
      <c r="B13109" t="inlineStr">
        <is>
          <t>Jun-2020</t>
        </is>
      </c>
      <c r="C13109" s="2" t="n">
        <v>44478</v>
      </c>
      <c r="D13109" t="inlineStr">
        <is>
          <t>NIL</t>
        </is>
      </c>
      <c r="E13109" t="n">
        <v>2969</v>
      </c>
    </row>
    <row r="13110">
      <c r="A13110" t="inlineStr">
        <is>
          <t>27BBBBB13110Z5</t>
        </is>
      </c>
      <c r="B13110" t="inlineStr">
        <is>
          <t>Aug-2018</t>
        </is>
      </c>
      <c r="C13110" s="2" t="n">
        <v>43901</v>
      </c>
      <c r="D13110" t="inlineStr">
        <is>
          <t>NON-NIL</t>
        </is>
      </c>
      <c r="E13110" t="n">
        <v>2535</v>
      </c>
    </row>
    <row r="13111">
      <c r="A13111" t="inlineStr">
        <is>
          <t>27BBBBB13111Z5</t>
        </is>
      </c>
      <c r="B13111" t="inlineStr">
        <is>
          <t>Apr-2020</t>
        </is>
      </c>
      <c r="C13111" s="2" t="n">
        <v>44889</v>
      </c>
      <c r="D13111" t="inlineStr">
        <is>
          <t>NIL</t>
        </is>
      </c>
      <c r="E13111" t="n">
        <v>1385</v>
      </c>
    </row>
    <row r="13112">
      <c r="A13112" t="inlineStr">
        <is>
          <t>27BBBBB13112Z5</t>
        </is>
      </c>
      <c r="B13112" t="inlineStr">
        <is>
          <t>Jan-2021</t>
        </is>
      </c>
      <c r="C13112" s="2" t="n">
        <v>43835</v>
      </c>
      <c r="D13112" t="inlineStr">
        <is>
          <t>NIL</t>
        </is>
      </c>
      <c r="E13112" t="n">
        <v>1843</v>
      </c>
    </row>
    <row r="13113">
      <c r="A13113" t="inlineStr">
        <is>
          <t>27BBBBB13113Z5</t>
        </is>
      </c>
      <c r="B13113" t="inlineStr">
        <is>
          <t>Sep-2018</t>
        </is>
      </c>
      <c r="C13113" s="2" t="n">
        <v>43422</v>
      </c>
      <c r="D13113" t="inlineStr">
        <is>
          <t>NON-NIL</t>
        </is>
      </c>
      <c r="E13113" t="n">
        <v>1765</v>
      </c>
    </row>
    <row r="13114">
      <c r="A13114" t="inlineStr">
        <is>
          <t>27BBBBB13114Z5</t>
        </is>
      </c>
      <c r="B13114" t="inlineStr">
        <is>
          <t>Jul-2018</t>
        </is>
      </c>
      <c r="C13114" s="2" t="n">
        <v>42945</v>
      </c>
      <c r="D13114" t="inlineStr">
        <is>
          <t>NON-NIL</t>
        </is>
      </c>
      <c r="E13114" t="n">
        <v>678</v>
      </c>
    </row>
    <row r="13115">
      <c r="A13115" t="inlineStr">
        <is>
          <t>27BBBBB13115Z5</t>
        </is>
      </c>
      <c r="B13115" t="inlineStr">
        <is>
          <t>Jun-2018</t>
        </is>
      </c>
      <c r="C13115" s="2" t="n">
        <v>44139</v>
      </c>
      <c r="D13115" t="inlineStr">
        <is>
          <t>NIL</t>
        </is>
      </c>
      <c r="E13115" t="n">
        <v>1877</v>
      </c>
    </row>
    <row r="13116">
      <c r="A13116" t="inlineStr">
        <is>
          <t>27BBBBB13116Z5</t>
        </is>
      </c>
      <c r="B13116" t="inlineStr">
        <is>
          <t>Oct-2018</t>
        </is>
      </c>
      <c r="C13116" s="2" t="n">
        <v>43244</v>
      </c>
      <c r="D13116" t="inlineStr">
        <is>
          <t>NON-NIL</t>
        </is>
      </c>
      <c r="E13116" t="n">
        <v>1305</v>
      </c>
    </row>
    <row r="13117">
      <c r="A13117" t="inlineStr">
        <is>
          <t>27BBBBB13117Z5</t>
        </is>
      </c>
      <c r="B13117" t="inlineStr">
        <is>
          <t>Sep-2018</t>
        </is>
      </c>
      <c r="C13117" s="2" t="n">
        <v>43493</v>
      </c>
      <c r="D13117" t="inlineStr">
        <is>
          <t>NON-NIL</t>
        </is>
      </c>
      <c r="E13117" t="n">
        <v>480</v>
      </c>
    </row>
    <row r="13118">
      <c r="A13118" t="inlineStr">
        <is>
          <t>27BBBBB13118Z5</t>
        </is>
      </c>
      <c r="B13118" t="inlineStr">
        <is>
          <t>Mar-2023</t>
        </is>
      </c>
      <c r="C13118" s="2" t="n">
        <v>44898</v>
      </c>
      <c r="D13118" t="inlineStr">
        <is>
          <t>NIL</t>
        </is>
      </c>
      <c r="E13118" t="n">
        <v>2514</v>
      </c>
    </row>
    <row r="13119">
      <c r="A13119" t="inlineStr">
        <is>
          <t>27BBBBB13119Z5</t>
        </is>
      </c>
      <c r="B13119" t="inlineStr">
        <is>
          <t>Jul-2018</t>
        </is>
      </c>
      <c r="C13119" s="2" t="n">
        <v>43728</v>
      </c>
      <c r="D13119" t="inlineStr">
        <is>
          <t>NIL</t>
        </is>
      </c>
      <c r="E13119" t="n">
        <v>2158</v>
      </c>
    </row>
    <row r="13120">
      <c r="A13120" t="inlineStr">
        <is>
          <t>27BBBBB13120Z5</t>
        </is>
      </c>
      <c r="B13120" t="inlineStr">
        <is>
          <t>Mar-2021</t>
        </is>
      </c>
      <c r="C13120" s="2" t="n">
        <v>45144</v>
      </c>
      <c r="D13120" t="inlineStr">
        <is>
          <t>NIL</t>
        </is>
      </c>
      <c r="E13120" t="n">
        <v>1253</v>
      </c>
    </row>
    <row r="13121">
      <c r="A13121" t="inlineStr">
        <is>
          <t>27BBBBB13121Z5</t>
        </is>
      </c>
      <c r="B13121" t="inlineStr">
        <is>
          <t>Nov-2018</t>
        </is>
      </c>
      <c r="C13121" s="2" t="n">
        <v>44140</v>
      </c>
      <c r="D13121" t="inlineStr">
        <is>
          <t>NON-NIL</t>
        </is>
      </c>
      <c r="E13121" t="n">
        <v>21</v>
      </c>
    </row>
    <row r="13122">
      <c r="A13122" t="inlineStr">
        <is>
          <t>27BBBBB13122Z5</t>
        </is>
      </c>
      <c r="B13122" t="inlineStr">
        <is>
          <t>May-2020</t>
        </is>
      </c>
      <c r="C13122" s="2" t="n">
        <v>43987</v>
      </c>
      <c r="D13122" t="inlineStr">
        <is>
          <t>NON-NIL</t>
        </is>
      </c>
      <c r="E13122" t="n">
        <v>360</v>
      </c>
    </row>
    <row r="13123">
      <c r="A13123" t="inlineStr">
        <is>
          <t>27BBBBB13123Z5</t>
        </is>
      </c>
      <c r="B13123" t="inlineStr">
        <is>
          <t>Dec-2024</t>
        </is>
      </c>
      <c r="C13123" s="2" t="n">
        <v>44669</v>
      </c>
      <c r="D13123" t="inlineStr">
        <is>
          <t>NON-NIL</t>
        </is>
      </c>
      <c r="E13123" t="n">
        <v>2237</v>
      </c>
    </row>
    <row r="13124">
      <c r="A13124" t="inlineStr">
        <is>
          <t>27BBBBB13124Z5</t>
        </is>
      </c>
      <c r="B13124" t="inlineStr">
        <is>
          <t>Sep-2018</t>
        </is>
      </c>
      <c r="C13124" s="2" t="n">
        <v>43315</v>
      </c>
      <c r="D13124" t="inlineStr">
        <is>
          <t>NON-NIL</t>
        </is>
      </c>
      <c r="E13124" t="n">
        <v>2224</v>
      </c>
    </row>
    <row r="13125">
      <c r="A13125" t="inlineStr">
        <is>
          <t>27BBBBB13125Z5</t>
        </is>
      </c>
      <c r="B13125" t="inlineStr">
        <is>
          <t>Mar-2023</t>
        </is>
      </c>
      <c r="C13125" s="2" t="n">
        <v>44680</v>
      </c>
      <c r="D13125" t="inlineStr">
        <is>
          <t>NON-NIL</t>
        </is>
      </c>
      <c r="E13125" t="n">
        <v>1564</v>
      </c>
    </row>
    <row r="13126">
      <c r="A13126" t="inlineStr">
        <is>
          <t>27BBBBB13126Z5</t>
        </is>
      </c>
      <c r="B13126" t="inlineStr">
        <is>
          <t>Sep-2017</t>
        </is>
      </c>
      <c r="C13126" s="2" t="n">
        <v>43974</v>
      </c>
      <c r="D13126" t="inlineStr">
        <is>
          <t>NIL</t>
        </is>
      </c>
      <c r="E13126" t="n">
        <v>961</v>
      </c>
    </row>
    <row r="13127">
      <c r="A13127" t="inlineStr">
        <is>
          <t>27BBBBB13127Z5</t>
        </is>
      </c>
      <c r="B13127" t="inlineStr">
        <is>
          <t>Apr-2018</t>
        </is>
      </c>
      <c r="C13127" s="2" t="n">
        <v>44185</v>
      </c>
      <c r="D13127" t="inlineStr">
        <is>
          <t>NIL</t>
        </is>
      </c>
      <c r="E13127" t="n">
        <v>2916</v>
      </c>
    </row>
    <row r="13128">
      <c r="A13128" t="inlineStr">
        <is>
          <t>27BBBBB13128Z5</t>
        </is>
      </c>
      <c r="B13128" t="inlineStr">
        <is>
          <t>Sep-2017</t>
        </is>
      </c>
      <c r="C13128" s="2" t="n">
        <v>44398</v>
      </c>
      <c r="D13128" t="inlineStr">
        <is>
          <t>NON-NIL</t>
        </is>
      </c>
      <c r="E13128" t="n">
        <v>1929</v>
      </c>
    </row>
    <row r="13129">
      <c r="A13129" t="inlineStr">
        <is>
          <t>27BBBBB13129Z5</t>
        </is>
      </c>
      <c r="B13129" t="inlineStr">
        <is>
          <t>Jun-2018</t>
        </is>
      </c>
      <c r="C13129" s="2" t="n">
        <v>43580</v>
      </c>
      <c r="D13129" t="inlineStr">
        <is>
          <t>NIL</t>
        </is>
      </c>
      <c r="E13129" t="n">
        <v>2627</v>
      </c>
    </row>
    <row r="13130">
      <c r="A13130" t="inlineStr">
        <is>
          <t>27BBBBB13130Z5</t>
        </is>
      </c>
      <c r="B13130" t="inlineStr">
        <is>
          <t>Jan-2018</t>
        </is>
      </c>
      <c r="C13130" s="2" t="n">
        <v>44490</v>
      </c>
      <c r="D13130" t="inlineStr">
        <is>
          <t>NIL</t>
        </is>
      </c>
      <c r="E13130" t="n">
        <v>3</v>
      </c>
    </row>
    <row r="13131">
      <c r="A13131" t="inlineStr">
        <is>
          <t>27BBBBB13131Z5</t>
        </is>
      </c>
      <c r="B13131" t="inlineStr">
        <is>
          <t>Apr-2020</t>
        </is>
      </c>
      <c r="C13131" s="2" t="n">
        <v>44239</v>
      </c>
      <c r="D13131" t="inlineStr">
        <is>
          <t>NIL</t>
        </is>
      </c>
      <c r="E13131" t="n">
        <v>2532</v>
      </c>
    </row>
    <row r="13132">
      <c r="A13132" t="inlineStr">
        <is>
          <t>27BBBBB13132Z5</t>
        </is>
      </c>
      <c r="B13132" t="inlineStr">
        <is>
          <t>Jun-2018</t>
        </is>
      </c>
      <c r="C13132" s="2" t="n">
        <v>43691</v>
      </c>
      <c r="D13132" t="inlineStr">
        <is>
          <t>NIL</t>
        </is>
      </c>
      <c r="E13132" t="n">
        <v>1864</v>
      </c>
    </row>
    <row r="13133">
      <c r="A13133" t="inlineStr">
        <is>
          <t>27BBBBB13133Z5</t>
        </is>
      </c>
      <c r="B13133" t="inlineStr">
        <is>
          <t>Apr-2020</t>
        </is>
      </c>
      <c r="C13133" s="2" t="n">
        <v>44799</v>
      </c>
      <c r="D13133" t="inlineStr">
        <is>
          <t>NIL</t>
        </is>
      </c>
      <c r="E13133" t="n">
        <v>1634</v>
      </c>
    </row>
    <row r="13134">
      <c r="A13134" t="inlineStr">
        <is>
          <t>27BBBBB13134Z5</t>
        </is>
      </c>
      <c r="B13134" t="inlineStr">
        <is>
          <t>Mar-2021</t>
        </is>
      </c>
      <c r="C13134" s="2" t="n">
        <v>45453</v>
      </c>
      <c r="D13134" t="inlineStr">
        <is>
          <t>NIL</t>
        </is>
      </c>
      <c r="E13134" t="n">
        <v>395</v>
      </c>
    </row>
    <row r="13135">
      <c r="A13135" t="inlineStr">
        <is>
          <t>27BBBBB13135Z5</t>
        </is>
      </c>
      <c r="B13135" t="inlineStr">
        <is>
          <t>Mar-2020</t>
        </is>
      </c>
      <c r="C13135" s="2" t="n">
        <v>44671</v>
      </c>
      <c r="D13135" t="inlineStr">
        <is>
          <t>NIL</t>
        </is>
      </c>
      <c r="E13135" t="n">
        <v>706</v>
      </c>
    </row>
    <row r="13136">
      <c r="A13136" t="inlineStr">
        <is>
          <t>27BBBBB13136Z5</t>
        </is>
      </c>
      <c r="B13136" t="inlineStr">
        <is>
          <t>Jan-2018</t>
        </is>
      </c>
      <c r="C13136" s="2" t="n">
        <v>43111</v>
      </c>
      <c r="D13136" t="inlineStr">
        <is>
          <t>NON-NIL</t>
        </is>
      </c>
      <c r="E13136" t="n">
        <v>531</v>
      </c>
    </row>
    <row r="13137">
      <c r="A13137" t="inlineStr">
        <is>
          <t>27BBBBB13137Z5</t>
        </is>
      </c>
      <c r="B13137" t="inlineStr">
        <is>
          <t>Oct-2017</t>
        </is>
      </c>
      <c r="C13137" s="2" t="n">
        <v>43120</v>
      </c>
      <c r="D13137" t="inlineStr">
        <is>
          <t>NIL</t>
        </is>
      </c>
      <c r="E13137" t="n">
        <v>1353</v>
      </c>
    </row>
    <row r="13138">
      <c r="A13138" t="inlineStr">
        <is>
          <t>27BBBBB13138Z5</t>
        </is>
      </c>
      <c r="B13138" t="inlineStr">
        <is>
          <t>Feb-2018</t>
        </is>
      </c>
      <c r="C13138" s="2" t="n">
        <v>43471</v>
      </c>
      <c r="D13138" t="inlineStr">
        <is>
          <t>NIL</t>
        </is>
      </c>
      <c r="E13138" t="n">
        <v>1121</v>
      </c>
    </row>
    <row r="13139">
      <c r="A13139" t="inlineStr">
        <is>
          <t>27BBBBB13139Z5</t>
        </is>
      </c>
      <c r="B13139" t="inlineStr">
        <is>
          <t>Mar-2018</t>
        </is>
      </c>
      <c r="C13139" s="2" t="n">
        <v>43471</v>
      </c>
      <c r="D13139" t="inlineStr">
        <is>
          <t>NON-NIL</t>
        </is>
      </c>
      <c r="E13139" t="n">
        <v>1</v>
      </c>
    </row>
    <row r="13140">
      <c r="A13140" t="inlineStr">
        <is>
          <t>27BBBBB13140Z5</t>
        </is>
      </c>
      <c r="B13140" t="inlineStr">
        <is>
          <t>Dec-2024</t>
        </is>
      </c>
      <c r="C13140" s="2" t="n">
        <v>45341</v>
      </c>
      <c r="D13140" t="inlineStr">
        <is>
          <t>NIL</t>
        </is>
      </c>
      <c r="E13140" t="n">
        <v>363</v>
      </c>
    </row>
    <row r="13141">
      <c r="A13141" t="inlineStr">
        <is>
          <t>27BBBBB13141Z5</t>
        </is>
      </c>
      <c r="B13141" t="inlineStr">
        <is>
          <t>Dec-2024</t>
        </is>
      </c>
      <c r="C13141" s="2" t="n">
        <v>43764</v>
      </c>
      <c r="D13141" t="inlineStr">
        <is>
          <t>NIL</t>
        </is>
      </c>
      <c r="E13141" t="n">
        <v>718</v>
      </c>
    </row>
    <row r="13142">
      <c r="A13142" t="inlineStr">
        <is>
          <t>27BBBBB13142Z5</t>
        </is>
      </c>
      <c r="B13142" t="inlineStr">
        <is>
          <t>May-2018</t>
        </is>
      </c>
      <c r="C13142" s="2" t="n">
        <v>44118</v>
      </c>
      <c r="D13142" t="inlineStr">
        <is>
          <t>NON-NIL</t>
        </is>
      </c>
      <c r="E13142" t="n">
        <v>1627</v>
      </c>
    </row>
    <row r="13143">
      <c r="A13143" t="inlineStr">
        <is>
          <t>27BBBBB13143Z5</t>
        </is>
      </c>
      <c r="B13143" t="inlineStr">
        <is>
          <t>Dec-2022</t>
        </is>
      </c>
      <c r="C13143" s="2" t="n">
        <v>45318</v>
      </c>
      <c r="D13143" t="inlineStr">
        <is>
          <t>NON-NIL</t>
        </is>
      </c>
      <c r="E13143" t="n">
        <v>1682</v>
      </c>
    </row>
    <row r="13144">
      <c r="A13144" t="inlineStr">
        <is>
          <t>27BBBBB13144Z5</t>
        </is>
      </c>
      <c r="B13144" t="inlineStr">
        <is>
          <t>Oct-2017</t>
        </is>
      </c>
      <c r="C13144" s="2" t="n">
        <v>43170</v>
      </c>
      <c r="D13144" t="inlineStr">
        <is>
          <t>NIL</t>
        </is>
      </c>
      <c r="E13144" t="n">
        <v>2500</v>
      </c>
    </row>
    <row r="13145">
      <c r="A13145" t="inlineStr">
        <is>
          <t>27BBBBB13145Z5</t>
        </is>
      </c>
      <c r="B13145" t="inlineStr">
        <is>
          <t>Jan-2018</t>
        </is>
      </c>
      <c r="C13145" s="2" t="n">
        <v>44380</v>
      </c>
      <c r="D13145" t="inlineStr">
        <is>
          <t>NON-NIL</t>
        </is>
      </c>
      <c r="E13145" t="n">
        <v>982</v>
      </c>
    </row>
    <row r="13146">
      <c r="A13146" t="inlineStr">
        <is>
          <t>27BBBBB13146Z5</t>
        </is>
      </c>
      <c r="B13146" t="inlineStr">
        <is>
          <t>Aug-2017</t>
        </is>
      </c>
      <c r="C13146" s="2" t="n">
        <v>43061</v>
      </c>
      <c r="D13146" t="inlineStr">
        <is>
          <t>NIL</t>
        </is>
      </c>
      <c r="E13146" t="n">
        <v>1648</v>
      </c>
    </row>
    <row r="13147">
      <c r="A13147" t="inlineStr">
        <is>
          <t>27BBBBB13147Z5</t>
        </is>
      </c>
      <c r="B13147" t="inlineStr">
        <is>
          <t>Jan-2018</t>
        </is>
      </c>
      <c r="C13147" s="2" t="n">
        <v>43355</v>
      </c>
      <c r="D13147" t="inlineStr">
        <is>
          <t>NON-NIL</t>
        </is>
      </c>
      <c r="E13147" t="n">
        <v>2422</v>
      </c>
    </row>
    <row r="13148">
      <c r="A13148" t="inlineStr">
        <is>
          <t>27BBBBB13148Z5</t>
        </is>
      </c>
      <c r="B13148" t="inlineStr">
        <is>
          <t>Oct-2018</t>
        </is>
      </c>
      <c r="C13148" s="2" t="n">
        <v>44455</v>
      </c>
      <c r="D13148" t="inlineStr">
        <is>
          <t>NON-NIL</t>
        </is>
      </c>
      <c r="E13148" t="n">
        <v>1950</v>
      </c>
    </row>
    <row r="13149">
      <c r="A13149" t="inlineStr">
        <is>
          <t>27BBBBB13149Z5</t>
        </is>
      </c>
      <c r="B13149" t="inlineStr">
        <is>
          <t>Oct-2018</t>
        </is>
      </c>
      <c r="C13149" s="2" t="n">
        <v>43948</v>
      </c>
      <c r="D13149" t="inlineStr">
        <is>
          <t>NON-NIL</t>
        </is>
      </c>
      <c r="E13149" t="n">
        <v>2796</v>
      </c>
    </row>
    <row r="13150">
      <c r="A13150" t="inlineStr">
        <is>
          <t>27BBBBB13150Z5</t>
        </is>
      </c>
      <c r="B13150" t="inlineStr">
        <is>
          <t>Oct-2018</t>
        </is>
      </c>
      <c r="C13150" s="2" t="n">
        <v>44388</v>
      </c>
      <c r="D13150" t="inlineStr">
        <is>
          <t>NON-NIL</t>
        </is>
      </c>
      <c r="E13150" t="n">
        <v>416</v>
      </c>
    </row>
    <row r="13151">
      <c r="A13151" t="inlineStr">
        <is>
          <t>27BBBBB13151Z5</t>
        </is>
      </c>
      <c r="B13151" t="inlineStr">
        <is>
          <t>Dec-2017</t>
        </is>
      </c>
      <c r="C13151" s="2" t="n">
        <v>43813</v>
      </c>
      <c r="D13151" t="inlineStr">
        <is>
          <t>NON-NIL</t>
        </is>
      </c>
      <c r="E13151" t="n">
        <v>1475</v>
      </c>
    </row>
    <row r="13152">
      <c r="A13152" t="inlineStr">
        <is>
          <t>27BBBBB13152Z5</t>
        </is>
      </c>
      <c r="B13152" t="inlineStr">
        <is>
          <t>Oct-2017</t>
        </is>
      </c>
      <c r="C13152" s="2" t="n">
        <v>44498</v>
      </c>
      <c r="D13152" t="inlineStr">
        <is>
          <t>NON-NIL</t>
        </is>
      </c>
      <c r="E13152" t="n">
        <v>2836</v>
      </c>
    </row>
    <row r="13153">
      <c r="A13153" t="inlineStr">
        <is>
          <t>27BBBBB13153Z5</t>
        </is>
      </c>
      <c r="B13153" t="inlineStr">
        <is>
          <t>Apr-2020</t>
        </is>
      </c>
      <c r="C13153" s="2" t="n">
        <v>44158</v>
      </c>
      <c r="D13153" t="inlineStr">
        <is>
          <t>NON-NIL</t>
        </is>
      </c>
      <c r="E13153" t="n">
        <v>2986</v>
      </c>
    </row>
    <row r="13154">
      <c r="A13154" t="inlineStr">
        <is>
          <t>27BBBBB13154Z5</t>
        </is>
      </c>
      <c r="B13154" t="inlineStr">
        <is>
          <t>Mar-2023</t>
        </is>
      </c>
      <c r="C13154" s="2" t="n">
        <v>43908</v>
      </c>
      <c r="D13154" t="inlineStr">
        <is>
          <t>NIL</t>
        </is>
      </c>
      <c r="E13154" t="n">
        <v>247</v>
      </c>
    </row>
    <row r="13155">
      <c r="A13155" t="inlineStr">
        <is>
          <t>27BBBBB13155Z5</t>
        </is>
      </c>
      <c r="B13155" t="inlineStr">
        <is>
          <t>Dec-2022</t>
        </is>
      </c>
      <c r="C13155" s="2" t="n">
        <v>45823</v>
      </c>
      <c r="D13155" t="inlineStr">
        <is>
          <t>NON-NIL</t>
        </is>
      </c>
      <c r="E13155" t="n">
        <v>2474</v>
      </c>
    </row>
    <row r="13156">
      <c r="A13156" t="inlineStr">
        <is>
          <t>27BBBBB13156Z5</t>
        </is>
      </c>
      <c r="B13156" t="inlineStr">
        <is>
          <t>Aug-2017</t>
        </is>
      </c>
      <c r="C13156" s="2" t="n">
        <v>42956</v>
      </c>
      <c r="D13156" t="inlineStr">
        <is>
          <t>NON-NIL</t>
        </is>
      </c>
      <c r="E13156" t="n">
        <v>347</v>
      </c>
    </row>
    <row r="13157">
      <c r="A13157" t="inlineStr">
        <is>
          <t>27BBBBB13157Z5</t>
        </is>
      </c>
      <c r="B13157" t="inlineStr">
        <is>
          <t>Nov-2018</t>
        </is>
      </c>
      <c r="C13157" s="2" t="n">
        <v>43055</v>
      </c>
      <c r="D13157" t="inlineStr">
        <is>
          <t>NIL</t>
        </is>
      </c>
      <c r="E13157" t="n">
        <v>1691</v>
      </c>
    </row>
    <row r="13158">
      <c r="A13158" t="inlineStr">
        <is>
          <t>27BBBBB13158Z5</t>
        </is>
      </c>
      <c r="B13158" t="inlineStr">
        <is>
          <t>Aug-2018</t>
        </is>
      </c>
      <c r="C13158" s="2" t="n">
        <v>43212</v>
      </c>
      <c r="D13158" t="inlineStr">
        <is>
          <t>NIL</t>
        </is>
      </c>
      <c r="E13158" t="n">
        <v>1677</v>
      </c>
    </row>
    <row r="13159">
      <c r="A13159" t="inlineStr">
        <is>
          <t>27BBBBB13159Z5</t>
        </is>
      </c>
      <c r="B13159" t="inlineStr">
        <is>
          <t>Jul-2018</t>
        </is>
      </c>
      <c r="C13159" s="2" t="n">
        <v>43790</v>
      </c>
      <c r="D13159" t="inlineStr">
        <is>
          <t>NIL</t>
        </is>
      </c>
      <c r="E13159" t="n">
        <v>28</v>
      </c>
    </row>
    <row r="13160">
      <c r="A13160" t="inlineStr">
        <is>
          <t>27BBBBB13160Z5</t>
        </is>
      </c>
      <c r="B13160" t="inlineStr">
        <is>
          <t>Dec-2024</t>
        </is>
      </c>
      <c r="C13160" s="2" t="n">
        <v>44158</v>
      </c>
      <c r="D13160" t="inlineStr">
        <is>
          <t>NIL</t>
        </is>
      </c>
      <c r="E13160" t="n">
        <v>330</v>
      </c>
    </row>
    <row r="13161">
      <c r="A13161" t="inlineStr">
        <is>
          <t>27BBBBB13161Z5</t>
        </is>
      </c>
      <c r="B13161" t="inlineStr">
        <is>
          <t>Sep-2017</t>
        </is>
      </c>
      <c r="C13161" s="2" t="n">
        <v>44352</v>
      </c>
      <c r="D13161" t="inlineStr">
        <is>
          <t>NON-NIL</t>
        </is>
      </c>
      <c r="E13161" t="n">
        <v>1117</v>
      </c>
    </row>
    <row r="13162">
      <c r="A13162" t="inlineStr">
        <is>
          <t>27BBBBB13162Z5</t>
        </is>
      </c>
      <c r="B13162" t="inlineStr">
        <is>
          <t>Jun-2018</t>
        </is>
      </c>
      <c r="C13162" s="2" t="n">
        <v>43149</v>
      </c>
      <c r="D13162" t="inlineStr">
        <is>
          <t>NIL</t>
        </is>
      </c>
      <c r="E13162" t="n">
        <v>1080</v>
      </c>
    </row>
    <row r="13163">
      <c r="A13163" t="inlineStr">
        <is>
          <t>27BBBBB13163Z5</t>
        </is>
      </c>
      <c r="B13163" t="inlineStr">
        <is>
          <t>Sep-2018</t>
        </is>
      </c>
      <c r="C13163" s="2" t="n">
        <v>43855</v>
      </c>
      <c r="D13163" t="inlineStr">
        <is>
          <t>NIL</t>
        </is>
      </c>
      <c r="E13163" t="n">
        <v>288</v>
      </c>
    </row>
    <row r="13164">
      <c r="A13164" t="inlineStr">
        <is>
          <t>27BBBBB13164Z5</t>
        </is>
      </c>
      <c r="B13164" t="inlineStr">
        <is>
          <t>Aug-2017</t>
        </is>
      </c>
      <c r="C13164" s="2" t="n">
        <v>43133</v>
      </c>
      <c r="D13164" t="inlineStr">
        <is>
          <t>NIL</t>
        </is>
      </c>
      <c r="E13164" t="n">
        <v>2985</v>
      </c>
    </row>
    <row r="13165">
      <c r="A13165" t="inlineStr">
        <is>
          <t>27BBBBB13165Z5</t>
        </is>
      </c>
      <c r="B13165" t="inlineStr">
        <is>
          <t>Jul-2017</t>
        </is>
      </c>
      <c r="C13165" s="2" t="n">
        <v>43748</v>
      </c>
      <c r="D13165" t="inlineStr">
        <is>
          <t>NIL</t>
        </is>
      </c>
      <c r="E13165" t="n">
        <v>11</v>
      </c>
    </row>
    <row r="13166">
      <c r="A13166" t="inlineStr">
        <is>
          <t>27BBBBB13166Z5</t>
        </is>
      </c>
      <c r="B13166" t="inlineStr">
        <is>
          <t>Feb-2018</t>
        </is>
      </c>
      <c r="C13166" s="2" t="n">
        <v>42929</v>
      </c>
      <c r="D13166" t="inlineStr">
        <is>
          <t>NON-NIL</t>
        </is>
      </c>
      <c r="E13166" t="n">
        <v>2393</v>
      </c>
    </row>
    <row r="13167">
      <c r="A13167" t="inlineStr">
        <is>
          <t>27BBBBB13167Z5</t>
        </is>
      </c>
      <c r="B13167" t="inlineStr">
        <is>
          <t>Oct-2018</t>
        </is>
      </c>
      <c r="C13167" s="2" t="n">
        <v>43375</v>
      </c>
      <c r="D13167" t="inlineStr">
        <is>
          <t>NON-NIL</t>
        </is>
      </c>
      <c r="E13167" t="n">
        <v>179</v>
      </c>
    </row>
    <row r="13168">
      <c r="A13168" t="inlineStr">
        <is>
          <t>27BBBBB13168Z5</t>
        </is>
      </c>
      <c r="B13168" t="inlineStr">
        <is>
          <t>Jul-2018</t>
        </is>
      </c>
      <c r="C13168" s="2" t="n">
        <v>43152</v>
      </c>
      <c r="D13168" t="inlineStr">
        <is>
          <t>NIL</t>
        </is>
      </c>
      <c r="E13168" t="n">
        <v>1140</v>
      </c>
    </row>
    <row r="13169">
      <c r="A13169" t="inlineStr">
        <is>
          <t>27BBBBB13169Z5</t>
        </is>
      </c>
      <c r="B13169" t="inlineStr">
        <is>
          <t>May-2018</t>
        </is>
      </c>
      <c r="C13169" s="2" t="n">
        <v>43669</v>
      </c>
      <c r="D13169" t="inlineStr">
        <is>
          <t>NON-NIL</t>
        </is>
      </c>
      <c r="E13169" t="n">
        <v>475</v>
      </c>
    </row>
    <row r="13170">
      <c r="A13170" t="inlineStr">
        <is>
          <t>27BBBBB13170Z5</t>
        </is>
      </c>
      <c r="B13170" t="inlineStr">
        <is>
          <t>Mar-2020</t>
        </is>
      </c>
      <c r="C13170" s="2" t="n">
        <v>44582</v>
      </c>
      <c r="D13170" t="inlineStr">
        <is>
          <t>NIL</t>
        </is>
      </c>
      <c r="E13170" t="n">
        <v>910</v>
      </c>
    </row>
    <row r="13171">
      <c r="A13171" t="inlineStr">
        <is>
          <t>27BBBBB13171Z5</t>
        </is>
      </c>
      <c r="B13171" t="inlineStr">
        <is>
          <t>Dec-2022</t>
        </is>
      </c>
      <c r="C13171" s="2" t="n">
        <v>43987</v>
      </c>
      <c r="D13171" t="inlineStr">
        <is>
          <t>NIL</t>
        </is>
      </c>
      <c r="E13171" t="n">
        <v>2645</v>
      </c>
    </row>
    <row r="13172">
      <c r="A13172" t="inlineStr">
        <is>
          <t>27BBBBB13172Z5</t>
        </is>
      </c>
      <c r="B13172" t="inlineStr">
        <is>
          <t>Nov-2017</t>
        </is>
      </c>
      <c r="C13172" s="2" t="n">
        <v>43780</v>
      </c>
      <c r="D13172" t="inlineStr">
        <is>
          <t>NON-NIL</t>
        </is>
      </c>
      <c r="E13172" t="n">
        <v>1364</v>
      </c>
    </row>
    <row r="13173">
      <c r="A13173" t="inlineStr">
        <is>
          <t>27BBBBB13173Z5</t>
        </is>
      </c>
      <c r="B13173" t="inlineStr">
        <is>
          <t>Aug-2017</t>
        </is>
      </c>
      <c r="C13173" s="2" t="n">
        <v>44149</v>
      </c>
      <c r="D13173" t="inlineStr">
        <is>
          <t>NIL</t>
        </is>
      </c>
      <c r="E13173" t="n">
        <v>496</v>
      </c>
    </row>
    <row r="13174">
      <c r="A13174" t="inlineStr">
        <is>
          <t>27BBBBB13174Z5</t>
        </is>
      </c>
      <c r="B13174" t="inlineStr">
        <is>
          <t>Oct-2018</t>
        </is>
      </c>
      <c r="C13174" s="2" t="n">
        <v>44216</v>
      </c>
      <c r="D13174" t="inlineStr">
        <is>
          <t>NIL</t>
        </is>
      </c>
      <c r="E13174" t="n">
        <v>2564</v>
      </c>
    </row>
    <row r="13175">
      <c r="A13175" t="inlineStr">
        <is>
          <t>27BBBBB13175Z5</t>
        </is>
      </c>
      <c r="B13175" t="inlineStr">
        <is>
          <t>Jul-2020</t>
        </is>
      </c>
      <c r="C13175" s="2" t="n">
        <v>44557</v>
      </c>
      <c r="D13175" t="inlineStr">
        <is>
          <t>NON-NIL</t>
        </is>
      </c>
      <c r="E13175" t="n">
        <v>2330</v>
      </c>
    </row>
    <row r="13176">
      <c r="A13176" t="inlineStr">
        <is>
          <t>27BBBBB13176Z5</t>
        </is>
      </c>
      <c r="B13176" t="inlineStr">
        <is>
          <t>Jan-2021</t>
        </is>
      </c>
      <c r="C13176" s="2" t="n">
        <v>44674</v>
      </c>
      <c r="D13176" t="inlineStr">
        <is>
          <t>NIL</t>
        </is>
      </c>
      <c r="E13176" t="n">
        <v>1150</v>
      </c>
    </row>
    <row r="13177">
      <c r="A13177" t="inlineStr">
        <is>
          <t>27BBBBB13177Z5</t>
        </is>
      </c>
      <c r="B13177" t="inlineStr">
        <is>
          <t>May-2018</t>
        </is>
      </c>
      <c r="C13177" s="2" t="n">
        <v>43822</v>
      </c>
      <c r="D13177" t="inlineStr">
        <is>
          <t>NON-NIL</t>
        </is>
      </c>
      <c r="E13177" t="n">
        <v>2014</v>
      </c>
    </row>
    <row r="13178">
      <c r="A13178" t="inlineStr">
        <is>
          <t>27BBBBB13178Z5</t>
        </is>
      </c>
      <c r="B13178" t="inlineStr">
        <is>
          <t>Oct-2017</t>
        </is>
      </c>
      <c r="C13178" s="2" t="n">
        <v>43445</v>
      </c>
      <c r="D13178" t="inlineStr">
        <is>
          <t>NIL</t>
        </is>
      </c>
      <c r="E13178" t="n">
        <v>1448</v>
      </c>
    </row>
    <row r="13179">
      <c r="A13179" t="inlineStr">
        <is>
          <t>27BBBBB13179Z5</t>
        </is>
      </c>
      <c r="B13179" t="inlineStr">
        <is>
          <t>Sep-2017</t>
        </is>
      </c>
      <c r="C13179" s="2" t="n">
        <v>43276</v>
      </c>
      <c r="D13179" t="inlineStr">
        <is>
          <t>NIL</t>
        </is>
      </c>
      <c r="E13179" t="n">
        <v>191</v>
      </c>
    </row>
    <row r="13180">
      <c r="A13180" t="inlineStr">
        <is>
          <t>27BBBBB13180Z5</t>
        </is>
      </c>
      <c r="B13180" t="inlineStr">
        <is>
          <t>Mar-2018</t>
        </is>
      </c>
      <c r="C13180" s="2" t="n">
        <v>44378</v>
      </c>
      <c r="D13180" t="inlineStr">
        <is>
          <t>NON-NIL</t>
        </is>
      </c>
      <c r="E13180" t="n">
        <v>2914</v>
      </c>
    </row>
    <row r="13181">
      <c r="A13181" t="inlineStr">
        <is>
          <t>27BBBBB13181Z5</t>
        </is>
      </c>
      <c r="B13181" t="inlineStr">
        <is>
          <t>Mar-2023</t>
        </is>
      </c>
      <c r="C13181" s="2" t="n">
        <v>43973</v>
      </c>
      <c r="D13181" t="inlineStr">
        <is>
          <t>NON-NIL</t>
        </is>
      </c>
      <c r="E13181" t="n">
        <v>2083</v>
      </c>
    </row>
    <row r="13182">
      <c r="A13182" t="inlineStr">
        <is>
          <t>27BBBBB13182Z5</t>
        </is>
      </c>
      <c r="B13182" t="inlineStr">
        <is>
          <t>Dec-2017</t>
        </is>
      </c>
      <c r="C13182" s="2" t="n">
        <v>44437</v>
      </c>
      <c r="D13182" t="inlineStr">
        <is>
          <t>NON-NIL</t>
        </is>
      </c>
      <c r="E13182" t="n">
        <v>906</v>
      </c>
    </row>
    <row r="13183">
      <c r="A13183" t="inlineStr">
        <is>
          <t>27BBBBB13183Z5</t>
        </is>
      </c>
      <c r="B13183" t="inlineStr">
        <is>
          <t>Mar-2023</t>
        </is>
      </c>
      <c r="C13183" s="2" t="n">
        <v>45071</v>
      </c>
      <c r="D13183" t="inlineStr">
        <is>
          <t>NON-NIL</t>
        </is>
      </c>
      <c r="E13183" t="n">
        <v>1777</v>
      </c>
    </row>
    <row r="13184">
      <c r="A13184" t="inlineStr">
        <is>
          <t>27BBBBB13184Z5</t>
        </is>
      </c>
      <c r="B13184" t="inlineStr">
        <is>
          <t>Nov-2018</t>
        </is>
      </c>
      <c r="C13184" s="2" t="n">
        <v>44400</v>
      </c>
      <c r="D13184" t="inlineStr">
        <is>
          <t>NON-NIL</t>
        </is>
      </c>
      <c r="E13184" t="n">
        <v>2953</v>
      </c>
    </row>
    <row r="13185">
      <c r="A13185" t="inlineStr">
        <is>
          <t>27BBBBB13185Z5</t>
        </is>
      </c>
      <c r="B13185" t="inlineStr">
        <is>
          <t>Dec-2018</t>
        </is>
      </c>
      <c r="C13185" s="2" t="n">
        <v>44477</v>
      </c>
      <c r="D13185" t="inlineStr">
        <is>
          <t>NON-NIL</t>
        </is>
      </c>
      <c r="E13185" t="n">
        <v>2537</v>
      </c>
    </row>
    <row r="13186">
      <c r="A13186" t="inlineStr">
        <is>
          <t>27BBBBB13186Z5</t>
        </is>
      </c>
      <c r="B13186" t="inlineStr">
        <is>
          <t>Oct-2018</t>
        </is>
      </c>
      <c r="C13186" s="2" t="n">
        <v>44204</v>
      </c>
      <c r="D13186" t="inlineStr">
        <is>
          <t>NON-NIL</t>
        </is>
      </c>
      <c r="E13186" t="n">
        <v>1084</v>
      </c>
    </row>
    <row r="13187">
      <c r="A13187" t="inlineStr">
        <is>
          <t>27BBBBB13187Z5</t>
        </is>
      </c>
      <c r="B13187" t="inlineStr">
        <is>
          <t>Mar-2021</t>
        </is>
      </c>
      <c r="C13187" s="2" t="n">
        <v>44402</v>
      </c>
      <c r="D13187" t="inlineStr">
        <is>
          <t>NIL</t>
        </is>
      </c>
      <c r="E13187" t="n">
        <v>614</v>
      </c>
    </row>
    <row r="13188">
      <c r="A13188" t="inlineStr">
        <is>
          <t>27BBBBB13188Z5</t>
        </is>
      </c>
      <c r="B13188" t="inlineStr">
        <is>
          <t>Sep-2018</t>
        </is>
      </c>
      <c r="C13188" s="2" t="n">
        <v>43966</v>
      </c>
      <c r="D13188" t="inlineStr">
        <is>
          <t>NIL</t>
        </is>
      </c>
      <c r="E13188" t="n">
        <v>319</v>
      </c>
    </row>
    <row r="13189">
      <c r="A13189" t="inlineStr">
        <is>
          <t>27BBBBB13189Z5</t>
        </is>
      </c>
      <c r="B13189" t="inlineStr">
        <is>
          <t>Sep-2018</t>
        </is>
      </c>
      <c r="C13189" s="2" t="n">
        <v>44403</v>
      </c>
      <c r="D13189" t="inlineStr">
        <is>
          <t>NON-NIL</t>
        </is>
      </c>
      <c r="E13189" t="n">
        <v>1361</v>
      </c>
    </row>
    <row r="13190">
      <c r="A13190" t="inlineStr">
        <is>
          <t>27BBBBB13190Z5</t>
        </is>
      </c>
      <c r="B13190" t="inlineStr">
        <is>
          <t>Dec-2024</t>
        </is>
      </c>
      <c r="C13190" s="2" t="n">
        <v>45254</v>
      </c>
      <c r="D13190" t="inlineStr">
        <is>
          <t>NIL</t>
        </is>
      </c>
      <c r="E13190" t="n">
        <v>2565</v>
      </c>
    </row>
    <row r="13191">
      <c r="A13191" t="inlineStr">
        <is>
          <t>27BBBBB13191Z5</t>
        </is>
      </c>
      <c r="B13191" t="inlineStr">
        <is>
          <t>Nov-2018</t>
        </is>
      </c>
      <c r="C13191" s="2" t="n">
        <v>43597</v>
      </c>
      <c r="D13191" t="inlineStr">
        <is>
          <t>NIL</t>
        </is>
      </c>
      <c r="E13191" t="n">
        <v>674</v>
      </c>
    </row>
    <row r="13192">
      <c r="A13192" t="inlineStr">
        <is>
          <t>27BBBBB13192Z5</t>
        </is>
      </c>
      <c r="B13192" t="inlineStr">
        <is>
          <t>Jul-2017</t>
        </is>
      </c>
      <c r="C13192" s="2" t="n">
        <v>43681</v>
      </c>
      <c r="D13192" t="inlineStr">
        <is>
          <t>NON-NIL</t>
        </is>
      </c>
      <c r="E13192" t="n">
        <v>153</v>
      </c>
    </row>
    <row r="13193">
      <c r="A13193" t="inlineStr">
        <is>
          <t>27BBBBB13193Z5</t>
        </is>
      </c>
      <c r="B13193" t="inlineStr">
        <is>
          <t>Mar-2018</t>
        </is>
      </c>
      <c r="C13193" s="2" t="n">
        <v>43957</v>
      </c>
      <c r="D13193" t="inlineStr">
        <is>
          <t>NIL</t>
        </is>
      </c>
      <c r="E13193" t="n">
        <v>1278</v>
      </c>
    </row>
    <row r="13194">
      <c r="A13194" t="inlineStr">
        <is>
          <t>27BBBBB13194Z5</t>
        </is>
      </c>
      <c r="B13194" t="inlineStr">
        <is>
          <t>Jun-2018</t>
        </is>
      </c>
      <c r="C13194" s="2" t="n">
        <v>44227</v>
      </c>
      <c r="D13194" t="inlineStr">
        <is>
          <t>NON-NIL</t>
        </is>
      </c>
      <c r="E13194" t="n">
        <v>1741</v>
      </c>
    </row>
    <row r="13195">
      <c r="A13195" t="inlineStr">
        <is>
          <t>27BBBBB13195Z5</t>
        </is>
      </c>
      <c r="B13195" t="inlineStr">
        <is>
          <t>Mar-2021</t>
        </is>
      </c>
      <c r="C13195" s="2" t="n">
        <v>45670</v>
      </c>
      <c r="D13195" t="inlineStr">
        <is>
          <t>NIL</t>
        </is>
      </c>
      <c r="E13195" t="n">
        <v>1407</v>
      </c>
    </row>
    <row r="13196">
      <c r="A13196" t="inlineStr">
        <is>
          <t>27BBBBB13196Z5</t>
        </is>
      </c>
      <c r="B13196" t="inlineStr">
        <is>
          <t>Apr-2018</t>
        </is>
      </c>
      <c r="C13196" s="2" t="n">
        <v>43055</v>
      </c>
      <c r="D13196" t="inlineStr">
        <is>
          <t>NIL</t>
        </is>
      </c>
      <c r="E13196" t="n">
        <v>2903</v>
      </c>
    </row>
    <row r="13197">
      <c r="A13197" t="inlineStr">
        <is>
          <t>27BBBBB13197Z5</t>
        </is>
      </c>
      <c r="B13197" t="inlineStr">
        <is>
          <t>Dec-2024</t>
        </is>
      </c>
      <c r="C13197" s="2" t="n">
        <v>44158</v>
      </c>
      <c r="D13197" t="inlineStr">
        <is>
          <t>NIL</t>
        </is>
      </c>
      <c r="E13197" t="n">
        <v>1162</v>
      </c>
    </row>
    <row r="13198">
      <c r="A13198" t="inlineStr">
        <is>
          <t>27BBBBB13198Z5</t>
        </is>
      </c>
      <c r="B13198" t="inlineStr">
        <is>
          <t>Jun-2020</t>
        </is>
      </c>
      <c r="C13198" s="2" t="n">
        <v>44707</v>
      </c>
      <c r="D13198" t="inlineStr">
        <is>
          <t>NIL</t>
        </is>
      </c>
      <c r="E13198" t="n">
        <v>1956</v>
      </c>
    </row>
    <row r="13199">
      <c r="A13199" t="inlineStr">
        <is>
          <t>27BBBBB13199Z5</t>
        </is>
      </c>
      <c r="B13199" t="inlineStr">
        <is>
          <t>Oct-2018</t>
        </is>
      </c>
      <c r="C13199" s="2" t="n">
        <v>44068</v>
      </c>
      <c r="D13199" t="inlineStr">
        <is>
          <t>NIL</t>
        </is>
      </c>
      <c r="E13199" t="n">
        <v>2296</v>
      </c>
    </row>
    <row r="13200">
      <c r="A13200" t="inlineStr">
        <is>
          <t>27BBBBB13200Z5</t>
        </is>
      </c>
      <c r="B13200" t="inlineStr">
        <is>
          <t>Mar-2023</t>
        </is>
      </c>
      <c r="C13200" s="2" t="n">
        <v>44632</v>
      </c>
      <c r="D13200" t="inlineStr">
        <is>
          <t>NIL</t>
        </is>
      </c>
      <c r="E13200" t="n">
        <v>2469</v>
      </c>
    </row>
    <row r="13201">
      <c r="A13201" t="inlineStr">
        <is>
          <t>27BBBBB13201Z5</t>
        </is>
      </c>
      <c r="B13201" t="inlineStr">
        <is>
          <t>Jul-2020</t>
        </is>
      </c>
      <c r="C13201" s="2" t="n">
        <v>44294</v>
      </c>
      <c r="D13201" t="inlineStr">
        <is>
          <t>NON-NIL</t>
        </is>
      </c>
      <c r="E13201" t="n">
        <v>2651</v>
      </c>
    </row>
    <row r="13202">
      <c r="A13202" t="inlineStr">
        <is>
          <t>27BBBBB13202Z5</t>
        </is>
      </c>
      <c r="B13202" t="inlineStr">
        <is>
          <t>Sep-2018</t>
        </is>
      </c>
      <c r="C13202" s="2" t="n">
        <v>44420</v>
      </c>
      <c r="D13202" t="inlineStr">
        <is>
          <t>NON-NIL</t>
        </is>
      </c>
      <c r="E13202" t="n">
        <v>1811</v>
      </c>
    </row>
    <row r="13203">
      <c r="A13203" t="inlineStr">
        <is>
          <t>27BBBBB13203Z5</t>
        </is>
      </c>
      <c r="B13203" t="inlineStr">
        <is>
          <t>Aug-2018</t>
        </is>
      </c>
      <c r="C13203" s="2" t="n">
        <v>43631</v>
      </c>
      <c r="D13203" t="inlineStr">
        <is>
          <t>NIL</t>
        </is>
      </c>
      <c r="E13203" t="n">
        <v>1393</v>
      </c>
    </row>
    <row r="13204">
      <c r="A13204" t="inlineStr">
        <is>
          <t>27BBBBB13204Z5</t>
        </is>
      </c>
      <c r="B13204" t="inlineStr">
        <is>
          <t>Apr-2018</t>
        </is>
      </c>
      <c r="C13204" s="2" t="n">
        <v>43940</v>
      </c>
      <c r="D13204" t="inlineStr">
        <is>
          <t>NON-NIL</t>
        </is>
      </c>
      <c r="E13204" t="n">
        <v>2030</v>
      </c>
    </row>
    <row r="13205">
      <c r="A13205" t="inlineStr">
        <is>
          <t>27BBBBB13205Z5</t>
        </is>
      </c>
      <c r="B13205" t="inlineStr">
        <is>
          <t>Mar-2018</t>
        </is>
      </c>
      <c r="C13205" s="2" t="n">
        <v>44557</v>
      </c>
      <c r="D13205" t="inlineStr">
        <is>
          <t>NON-NIL</t>
        </is>
      </c>
      <c r="E13205" t="n">
        <v>2671</v>
      </c>
    </row>
    <row r="13206">
      <c r="A13206" t="inlineStr">
        <is>
          <t>27BBBBB13206Z5</t>
        </is>
      </c>
      <c r="B13206" t="inlineStr">
        <is>
          <t>May-2018</t>
        </is>
      </c>
      <c r="C13206" s="2" t="n">
        <v>43354</v>
      </c>
      <c r="D13206" t="inlineStr">
        <is>
          <t>NIL</t>
        </is>
      </c>
      <c r="E13206" t="n">
        <v>1007</v>
      </c>
    </row>
    <row r="13207">
      <c r="A13207" t="inlineStr">
        <is>
          <t>27BBBBB13207Z5</t>
        </is>
      </c>
      <c r="B13207" t="inlineStr">
        <is>
          <t>Dec-2022</t>
        </is>
      </c>
      <c r="C13207" s="2" t="n">
        <v>45514</v>
      </c>
      <c r="D13207" t="inlineStr">
        <is>
          <t>NON-NIL</t>
        </is>
      </c>
      <c r="E13207" t="n">
        <v>1965</v>
      </c>
    </row>
    <row r="13208">
      <c r="A13208" t="inlineStr">
        <is>
          <t>27BBBBB13208Z5</t>
        </is>
      </c>
      <c r="B13208" t="inlineStr">
        <is>
          <t>Nov-2018</t>
        </is>
      </c>
      <c r="C13208" s="2" t="n">
        <v>43175</v>
      </c>
      <c r="D13208" t="inlineStr">
        <is>
          <t>NIL</t>
        </is>
      </c>
      <c r="E13208" t="n">
        <v>1749</v>
      </c>
    </row>
    <row r="13209">
      <c r="A13209" t="inlineStr">
        <is>
          <t>27BBBBB13209Z5</t>
        </is>
      </c>
      <c r="B13209" t="inlineStr">
        <is>
          <t>Dec-2017</t>
        </is>
      </c>
      <c r="C13209" s="2" t="n">
        <v>44314</v>
      </c>
      <c r="D13209" t="inlineStr">
        <is>
          <t>NON-NIL</t>
        </is>
      </c>
      <c r="E13209" t="n">
        <v>2643</v>
      </c>
    </row>
    <row r="13210">
      <c r="A13210" t="inlineStr">
        <is>
          <t>27BBBBB13210Z5</t>
        </is>
      </c>
      <c r="B13210" t="inlineStr">
        <is>
          <t>Dec-2018</t>
        </is>
      </c>
      <c r="C13210" s="2" t="n">
        <v>43473</v>
      </c>
      <c r="D13210" t="inlineStr">
        <is>
          <t>NIL</t>
        </is>
      </c>
      <c r="E13210" t="n">
        <v>2594</v>
      </c>
    </row>
    <row r="13211">
      <c r="A13211" t="inlineStr">
        <is>
          <t>27BBBBB13211Z5</t>
        </is>
      </c>
      <c r="B13211" t="inlineStr">
        <is>
          <t>Jan-2018</t>
        </is>
      </c>
      <c r="C13211" s="2" t="n">
        <v>43891</v>
      </c>
      <c r="D13211" t="inlineStr">
        <is>
          <t>NON-NIL</t>
        </is>
      </c>
      <c r="E13211" t="n">
        <v>162</v>
      </c>
    </row>
    <row r="13212">
      <c r="A13212" t="inlineStr">
        <is>
          <t>27BBBBB13212Z5</t>
        </is>
      </c>
      <c r="B13212" t="inlineStr">
        <is>
          <t>May-2018</t>
        </is>
      </c>
      <c r="C13212" s="2" t="n">
        <v>44207</v>
      </c>
      <c r="D13212" t="inlineStr">
        <is>
          <t>NIL</t>
        </is>
      </c>
      <c r="E13212" t="n">
        <v>1945</v>
      </c>
    </row>
    <row r="13213">
      <c r="A13213" t="inlineStr">
        <is>
          <t>27BBBBB13213Z5</t>
        </is>
      </c>
      <c r="B13213" t="inlineStr">
        <is>
          <t>Jul-2020</t>
        </is>
      </c>
      <c r="C13213" s="2" t="n">
        <v>43977</v>
      </c>
      <c r="D13213" t="inlineStr">
        <is>
          <t>NON-NIL</t>
        </is>
      </c>
      <c r="E13213" t="n">
        <v>1483</v>
      </c>
    </row>
    <row r="13214">
      <c r="A13214" t="inlineStr">
        <is>
          <t>27BBBBB13214Z5</t>
        </is>
      </c>
      <c r="B13214" t="inlineStr">
        <is>
          <t>Oct-2018</t>
        </is>
      </c>
      <c r="C13214" s="2" t="n">
        <v>44253</v>
      </c>
      <c r="D13214" t="inlineStr">
        <is>
          <t>NIL</t>
        </is>
      </c>
      <c r="E13214" t="n">
        <v>640</v>
      </c>
    </row>
    <row r="13215">
      <c r="A13215" t="inlineStr">
        <is>
          <t>27BBBBB13215Z5</t>
        </is>
      </c>
      <c r="B13215" t="inlineStr">
        <is>
          <t>Nov-2017</t>
        </is>
      </c>
      <c r="C13215" s="2" t="n">
        <v>44051</v>
      </c>
      <c r="D13215" t="inlineStr">
        <is>
          <t>NIL</t>
        </is>
      </c>
      <c r="E13215" t="n">
        <v>1774</v>
      </c>
    </row>
    <row r="13216">
      <c r="A13216" t="inlineStr">
        <is>
          <t>27BBBBB13216Z5</t>
        </is>
      </c>
      <c r="B13216" t="inlineStr">
        <is>
          <t>Oct-2017</t>
        </is>
      </c>
      <c r="C13216" s="2" t="n">
        <v>43321</v>
      </c>
      <c r="D13216" t="inlineStr">
        <is>
          <t>NIL</t>
        </is>
      </c>
      <c r="E13216" t="n">
        <v>1263</v>
      </c>
    </row>
    <row r="13217">
      <c r="A13217" t="inlineStr">
        <is>
          <t>27BBBBB13217Z5</t>
        </is>
      </c>
      <c r="B13217" t="inlineStr">
        <is>
          <t>Dec-2017</t>
        </is>
      </c>
      <c r="C13217" s="2" t="n">
        <v>42949</v>
      </c>
      <c r="D13217" t="inlineStr">
        <is>
          <t>NIL</t>
        </is>
      </c>
      <c r="E13217" t="n">
        <v>536</v>
      </c>
    </row>
    <row r="13218">
      <c r="A13218" t="inlineStr">
        <is>
          <t>27BBBBB13218Z5</t>
        </is>
      </c>
      <c r="B13218" t="inlineStr">
        <is>
          <t>Dec-2018</t>
        </is>
      </c>
      <c r="C13218" s="2" t="n">
        <v>43905</v>
      </c>
      <c r="D13218" t="inlineStr">
        <is>
          <t>NIL</t>
        </is>
      </c>
      <c r="E13218" t="n">
        <v>2814</v>
      </c>
    </row>
    <row r="13219">
      <c r="A13219" t="inlineStr">
        <is>
          <t>27BBBBB13219Z5</t>
        </is>
      </c>
      <c r="B13219" t="inlineStr">
        <is>
          <t>Apr-2018</t>
        </is>
      </c>
      <c r="C13219" s="2" t="n">
        <v>44395</v>
      </c>
      <c r="D13219" t="inlineStr">
        <is>
          <t>NIL</t>
        </is>
      </c>
      <c r="E13219" t="n">
        <v>828</v>
      </c>
    </row>
    <row r="13220">
      <c r="A13220" t="inlineStr">
        <is>
          <t>27BBBBB13220Z5</t>
        </is>
      </c>
      <c r="B13220" t="inlineStr">
        <is>
          <t>Aug-2018</t>
        </is>
      </c>
      <c r="C13220" s="2" t="n">
        <v>43285</v>
      </c>
      <c r="D13220" t="inlineStr">
        <is>
          <t>NON-NIL</t>
        </is>
      </c>
      <c r="E13220" t="n">
        <v>2569</v>
      </c>
    </row>
    <row r="13221">
      <c r="A13221" t="inlineStr">
        <is>
          <t>27BBBBB13221Z5</t>
        </is>
      </c>
      <c r="B13221" t="inlineStr">
        <is>
          <t>May-2018</t>
        </is>
      </c>
      <c r="C13221" s="2" t="n">
        <v>43715</v>
      </c>
      <c r="D13221" t="inlineStr">
        <is>
          <t>NIL</t>
        </is>
      </c>
      <c r="E13221" t="n">
        <v>2371</v>
      </c>
    </row>
    <row r="13222">
      <c r="A13222" t="inlineStr">
        <is>
          <t>27BBBBB13222Z5</t>
        </is>
      </c>
      <c r="B13222" t="inlineStr">
        <is>
          <t>Jun-2018</t>
        </is>
      </c>
      <c r="C13222" s="2" t="n">
        <v>43226</v>
      </c>
      <c r="D13222" t="inlineStr">
        <is>
          <t>NIL</t>
        </is>
      </c>
      <c r="E13222" t="n">
        <v>2988</v>
      </c>
    </row>
    <row r="13223">
      <c r="A13223" t="inlineStr">
        <is>
          <t>27BBBBB13223Z5</t>
        </is>
      </c>
      <c r="B13223" t="inlineStr">
        <is>
          <t>Mar-2023</t>
        </is>
      </c>
      <c r="C13223" s="2" t="n">
        <v>44671</v>
      </c>
      <c r="D13223" t="inlineStr">
        <is>
          <t>NIL</t>
        </is>
      </c>
      <c r="E13223" t="n">
        <v>2447</v>
      </c>
    </row>
    <row r="13224">
      <c r="A13224" t="inlineStr">
        <is>
          <t>27BBBBB13224Z5</t>
        </is>
      </c>
      <c r="B13224" t="inlineStr">
        <is>
          <t>Feb-2018</t>
        </is>
      </c>
      <c r="C13224" s="2" t="n">
        <v>43213</v>
      </c>
      <c r="D13224" t="inlineStr">
        <is>
          <t>NON-NIL</t>
        </is>
      </c>
      <c r="E13224" t="n">
        <v>1880</v>
      </c>
    </row>
    <row r="13225">
      <c r="A13225" t="inlineStr">
        <is>
          <t>27BBBBB13225Z5</t>
        </is>
      </c>
      <c r="B13225" t="inlineStr">
        <is>
          <t>Mar-2018</t>
        </is>
      </c>
      <c r="C13225" s="2" t="n">
        <v>44359</v>
      </c>
      <c r="D13225" t="inlineStr">
        <is>
          <t>NON-NIL</t>
        </is>
      </c>
      <c r="E13225" t="n">
        <v>625</v>
      </c>
    </row>
    <row r="13226">
      <c r="A13226" t="inlineStr">
        <is>
          <t>27BBBBB13226Z5</t>
        </is>
      </c>
      <c r="B13226" t="inlineStr">
        <is>
          <t>Dec-2024</t>
        </is>
      </c>
      <c r="C13226" s="2" t="n">
        <v>43675</v>
      </c>
      <c r="D13226" t="inlineStr">
        <is>
          <t>NIL</t>
        </is>
      </c>
      <c r="E13226" t="n">
        <v>1732</v>
      </c>
    </row>
    <row r="13227">
      <c r="A13227" t="inlineStr">
        <is>
          <t>27BBBBB13227Z5</t>
        </is>
      </c>
      <c r="B13227" t="inlineStr">
        <is>
          <t>Jun-2020</t>
        </is>
      </c>
      <c r="C13227" s="2" t="n">
        <v>43883</v>
      </c>
      <c r="D13227" t="inlineStr">
        <is>
          <t>NON-NIL</t>
        </is>
      </c>
      <c r="E13227" t="n">
        <v>1425</v>
      </c>
    </row>
    <row r="13228">
      <c r="A13228" t="inlineStr">
        <is>
          <t>27BBBBB13228Z5</t>
        </is>
      </c>
      <c r="B13228" t="inlineStr">
        <is>
          <t>Apr-2020</t>
        </is>
      </c>
      <c r="C13228" s="2" t="n">
        <v>44884</v>
      </c>
      <c r="D13228" t="inlineStr">
        <is>
          <t>NIL</t>
        </is>
      </c>
      <c r="E13228" t="n">
        <v>1826</v>
      </c>
    </row>
    <row r="13229">
      <c r="A13229" t="inlineStr">
        <is>
          <t>27BBBBB13229Z5</t>
        </is>
      </c>
      <c r="B13229" t="inlineStr">
        <is>
          <t>Mar-2021</t>
        </is>
      </c>
      <c r="C13229" s="2" t="n">
        <v>44359</v>
      </c>
      <c r="D13229" t="inlineStr">
        <is>
          <t>NIL</t>
        </is>
      </c>
      <c r="E13229" t="n">
        <v>403</v>
      </c>
    </row>
    <row r="13230">
      <c r="A13230" t="inlineStr">
        <is>
          <t>27BBBBB13230Z5</t>
        </is>
      </c>
      <c r="B13230" t="inlineStr">
        <is>
          <t>Aug-2018</t>
        </is>
      </c>
      <c r="C13230" s="2" t="n">
        <v>42969</v>
      </c>
      <c r="D13230" t="inlineStr">
        <is>
          <t>NIL</t>
        </is>
      </c>
      <c r="E13230" t="n">
        <v>2912</v>
      </c>
    </row>
    <row r="13231">
      <c r="A13231" t="inlineStr">
        <is>
          <t>27BBBBB13231Z5</t>
        </is>
      </c>
      <c r="B13231" t="inlineStr">
        <is>
          <t>Mar-2023</t>
        </is>
      </c>
      <c r="C13231" s="2" t="n">
        <v>43988</v>
      </c>
      <c r="D13231" t="inlineStr">
        <is>
          <t>NON-NIL</t>
        </is>
      </c>
      <c r="E13231" t="n">
        <v>2956</v>
      </c>
    </row>
    <row r="13232">
      <c r="A13232" t="inlineStr">
        <is>
          <t>27BBBBB13232Z5</t>
        </is>
      </c>
      <c r="B13232" t="inlineStr">
        <is>
          <t>Jul-2017</t>
        </is>
      </c>
      <c r="C13232" s="2" t="n">
        <v>44474</v>
      </c>
      <c r="D13232" t="inlineStr">
        <is>
          <t>NIL</t>
        </is>
      </c>
      <c r="E13232" t="n">
        <v>1748</v>
      </c>
    </row>
    <row r="13233">
      <c r="A13233" t="inlineStr">
        <is>
          <t>27BBBBB13233Z5</t>
        </is>
      </c>
      <c r="B13233" t="inlineStr">
        <is>
          <t>Aug-2017</t>
        </is>
      </c>
      <c r="C13233" s="2" t="n">
        <v>43319</v>
      </c>
      <c r="D13233" t="inlineStr">
        <is>
          <t>NON-NIL</t>
        </is>
      </c>
      <c r="E13233" t="n">
        <v>32</v>
      </c>
    </row>
    <row r="13234">
      <c r="A13234" t="inlineStr">
        <is>
          <t>27BBBBB13234Z5</t>
        </is>
      </c>
      <c r="B13234" t="inlineStr">
        <is>
          <t>Dec-2018</t>
        </is>
      </c>
      <c r="C13234" s="2" t="n">
        <v>43205</v>
      </c>
      <c r="D13234" t="inlineStr">
        <is>
          <t>NON-NIL</t>
        </is>
      </c>
      <c r="E13234" t="n">
        <v>2119</v>
      </c>
    </row>
    <row r="13235">
      <c r="A13235" t="inlineStr">
        <is>
          <t>27BBBBB13235Z5</t>
        </is>
      </c>
      <c r="B13235" t="inlineStr">
        <is>
          <t>Oct-2017</t>
        </is>
      </c>
      <c r="C13235" s="2" t="n">
        <v>43633</v>
      </c>
      <c r="D13235" t="inlineStr">
        <is>
          <t>NON-NIL</t>
        </is>
      </c>
      <c r="E13235" t="n">
        <v>2925</v>
      </c>
    </row>
    <row r="13236">
      <c r="A13236" t="inlineStr">
        <is>
          <t>27BBBBB13236Z5</t>
        </is>
      </c>
      <c r="B13236" t="inlineStr">
        <is>
          <t>Jun-2018</t>
        </is>
      </c>
      <c r="C13236" s="2" t="n">
        <v>44345</v>
      </c>
      <c r="D13236" t="inlineStr">
        <is>
          <t>NON-NIL</t>
        </is>
      </c>
      <c r="E13236" t="n">
        <v>2391</v>
      </c>
    </row>
    <row r="13237">
      <c r="A13237" t="inlineStr">
        <is>
          <t>27BBBBB13237Z5</t>
        </is>
      </c>
      <c r="B13237" t="inlineStr">
        <is>
          <t>Dec-2018</t>
        </is>
      </c>
      <c r="C13237" s="2" t="n">
        <v>43890</v>
      </c>
      <c r="D13237" t="inlineStr">
        <is>
          <t>NON-NIL</t>
        </is>
      </c>
      <c r="E13237" t="n">
        <v>2939</v>
      </c>
    </row>
    <row r="13238">
      <c r="A13238" t="inlineStr">
        <is>
          <t>27BBBBB13238Z5</t>
        </is>
      </c>
      <c r="B13238" t="inlineStr">
        <is>
          <t>Jun-2018</t>
        </is>
      </c>
      <c r="C13238" s="2" t="n">
        <v>44535</v>
      </c>
      <c r="D13238" t="inlineStr">
        <is>
          <t>NIL</t>
        </is>
      </c>
      <c r="E13238" t="n">
        <v>2138</v>
      </c>
    </row>
    <row r="13239">
      <c r="A13239" t="inlineStr">
        <is>
          <t>27BBBBB13239Z5</t>
        </is>
      </c>
      <c r="B13239" t="inlineStr">
        <is>
          <t>Mar-2023</t>
        </is>
      </c>
      <c r="C13239" s="2" t="n">
        <v>43749</v>
      </c>
      <c r="D13239" t="inlineStr">
        <is>
          <t>NIL</t>
        </is>
      </c>
      <c r="E13239" t="n">
        <v>2692</v>
      </c>
    </row>
    <row r="13240">
      <c r="A13240" t="inlineStr">
        <is>
          <t>27BBBBB13240Z5</t>
        </is>
      </c>
      <c r="B13240" t="inlineStr">
        <is>
          <t>Jul-2020</t>
        </is>
      </c>
      <c r="C13240" s="2" t="n">
        <v>44261</v>
      </c>
      <c r="D13240" t="inlineStr">
        <is>
          <t>NIL</t>
        </is>
      </c>
      <c r="E13240" t="n">
        <v>2518</v>
      </c>
    </row>
    <row r="13241">
      <c r="A13241" t="inlineStr">
        <is>
          <t>27BBBBB13241Z5</t>
        </is>
      </c>
      <c r="B13241" t="inlineStr">
        <is>
          <t>Apr-2020</t>
        </is>
      </c>
      <c r="C13241" s="2" t="n">
        <v>44293</v>
      </c>
      <c r="D13241" t="inlineStr">
        <is>
          <t>NON-NIL</t>
        </is>
      </c>
      <c r="E13241" t="n">
        <v>927</v>
      </c>
    </row>
    <row r="13242">
      <c r="A13242" t="inlineStr">
        <is>
          <t>27BBBBB13242Z5</t>
        </is>
      </c>
      <c r="B13242" t="inlineStr">
        <is>
          <t>Jun-2018</t>
        </is>
      </c>
      <c r="C13242" s="2" t="n">
        <v>43678</v>
      </c>
      <c r="D13242" t="inlineStr">
        <is>
          <t>NIL</t>
        </is>
      </c>
      <c r="E13242" t="n">
        <v>944</v>
      </c>
    </row>
    <row r="13243">
      <c r="A13243" t="inlineStr">
        <is>
          <t>27BBBBB13243Z5</t>
        </is>
      </c>
      <c r="B13243" t="inlineStr">
        <is>
          <t>Sep-2017</t>
        </is>
      </c>
      <c r="C13243" s="2" t="n">
        <v>43383</v>
      </c>
      <c r="D13243" t="inlineStr">
        <is>
          <t>NIL</t>
        </is>
      </c>
      <c r="E13243" t="n">
        <v>1359</v>
      </c>
    </row>
    <row r="13244">
      <c r="A13244" t="inlineStr">
        <is>
          <t>27BBBBB13244Z5</t>
        </is>
      </c>
      <c r="B13244" t="inlineStr">
        <is>
          <t>Nov-2018</t>
        </is>
      </c>
      <c r="C13244" s="2" t="n">
        <v>44393</v>
      </c>
      <c r="D13244" t="inlineStr">
        <is>
          <t>NON-NIL</t>
        </is>
      </c>
      <c r="E13244" t="n">
        <v>720</v>
      </c>
    </row>
    <row r="13245">
      <c r="A13245" t="inlineStr">
        <is>
          <t>27BBBBB13245Z5</t>
        </is>
      </c>
      <c r="B13245" t="inlineStr">
        <is>
          <t>Jul-2018</t>
        </is>
      </c>
      <c r="C13245" s="2" t="n">
        <v>43955</v>
      </c>
      <c r="D13245" t="inlineStr">
        <is>
          <t>NON-NIL</t>
        </is>
      </c>
      <c r="E13245" t="n">
        <v>77</v>
      </c>
    </row>
    <row r="13246">
      <c r="A13246" t="inlineStr">
        <is>
          <t>27BBBBB13246Z5</t>
        </is>
      </c>
      <c r="B13246" t="inlineStr">
        <is>
          <t>Feb-2018</t>
        </is>
      </c>
      <c r="C13246" s="2" t="n">
        <v>44018</v>
      </c>
      <c r="D13246" t="inlineStr">
        <is>
          <t>NON-NIL</t>
        </is>
      </c>
      <c r="E13246" t="n">
        <v>2585</v>
      </c>
    </row>
    <row r="13247">
      <c r="A13247" t="inlineStr">
        <is>
          <t>27BBBBB13247Z5</t>
        </is>
      </c>
      <c r="B13247" t="inlineStr">
        <is>
          <t>Mar-2021</t>
        </is>
      </c>
      <c r="C13247" s="2" t="n">
        <v>43502</v>
      </c>
      <c r="D13247" t="inlineStr">
        <is>
          <t>NON-NIL</t>
        </is>
      </c>
      <c r="E13247" t="n">
        <v>1102</v>
      </c>
    </row>
    <row r="13248">
      <c r="A13248" t="inlineStr">
        <is>
          <t>27BBBBB13248Z5</t>
        </is>
      </c>
      <c r="B13248" t="inlineStr">
        <is>
          <t>Dec-2022</t>
        </is>
      </c>
      <c r="C13248" s="2" t="n">
        <v>45738</v>
      </c>
      <c r="D13248" t="inlineStr">
        <is>
          <t>NON-NIL</t>
        </is>
      </c>
      <c r="E13248" t="n">
        <v>2675</v>
      </c>
    </row>
    <row r="13249">
      <c r="A13249" t="inlineStr">
        <is>
          <t>27BBBBB13249Z5</t>
        </is>
      </c>
      <c r="B13249" t="inlineStr">
        <is>
          <t>Aug-2017</t>
        </is>
      </c>
      <c r="C13249" s="2" t="n">
        <v>43134</v>
      </c>
      <c r="D13249" t="inlineStr">
        <is>
          <t>NIL</t>
        </is>
      </c>
      <c r="E13249" t="n">
        <v>321</v>
      </c>
    </row>
    <row r="13250">
      <c r="A13250" t="inlineStr">
        <is>
          <t>27BBBBB13250Z5</t>
        </is>
      </c>
      <c r="B13250" t="inlineStr">
        <is>
          <t>Jul-2018</t>
        </is>
      </c>
      <c r="C13250" s="2" t="n">
        <v>44271</v>
      </c>
      <c r="D13250" t="inlineStr">
        <is>
          <t>NIL</t>
        </is>
      </c>
      <c r="E13250" t="n">
        <v>605</v>
      </c>
    </row>
    <row r="13251">
      <c r="A13251" t="inlineStr">
        <is>
          <t>27BBBBB13251Z5</t>
        </is>
      </c>
      <c r="B13251" t="inlineStr">
        <is>
          <t>Apr-2020</t>
        </is>
      </c>
      <c r="C13251" s="2" t="n">
        <v>43950</v>
      </c>
      <c r="D13251" t="inlineStr">
        <is>
          <t>NIL</t>
        </is>
      </c>
      <c r="E13251" t="n">
        <v>196</v>
      </c>
    </row>
    <row r="13252">
      <c r="A13252" t="inlineStr">
        <is>
          <t>27BBBBB13252Z5</t>
        </is>
      </c>
      <c r="B13252" t="inlineStr">
        <is>
          <t>Apr-2018</t>
        </is>
      </c>
      <c r="C13252" s="2" t="n">
        <v>44309</v>
      </c>
      <c r="D13252" t="inlineStr">
        <is>
          <t>NIL</t>
        </is>
      </c>
      <c r="E13252" t="n">
        <v>426</v>
      </c>
    </row>
    <row r="13253">
      <c r="A13253" t="inlineStr">
        <is>
          <t>27BBBBB13253Z5</t>
        </is>
      </c>
      <c r="B13253" t="inlineStr">
        <is>
          <t>Apr-2020</t>
        </is>
      </c>
      <c r="C13253" s="2" t="n">
        <v>44277</v>
      </c>
      <c r="D13253" t="inlineStr">
        <is>
          <t>NON-NIL</t>
        </is>
      </c>
      <c r="E13253" t="n">
        <v>2846</v>
      </c>
    </row>
    <row r="13254">
      <c r="A13254" t="inlineStr">
        <is>
          <t>27BBBBB13254Z5</t>
        </is>
      </c>
      <c r="B13254" t="inlineStr">
        <is>
          <t>Jan-2021</t>
        </is>
      </c>
      <c r="C13254" s="2" t="n">
        <v>43628</v>
      </c>
      <c r="D13254" t="inlineStr">
        <is>
          <t>NON-NIL</t>
        </is>
      </c>
      <c r="E13254" t="n">
        <v>793</v>
      </c>
    </row>
    <row r="13255">
      <c r="A13255" t="inlineStr">
        <is>
          <t>27BBBBB13255Z5</t>
        </is>
      </c>
      <c r="B13255" t="inlineStr">
        <is>
          <t>Jan-2018</t>
        </is>
      </c>
      <c r="C13255" s="2" t="n">
        <v>43148</v>
      </c>
      <c r="D13255" t="inlineStr">
        <is>
          <t>NIL</t>
        </is>
      </c>
      <c r="E13255" t="n">
        <v>1506</v>
      </c>
    </row>
    <row r="13256">
      <c r="A13256" t="inlineStr">
        <is>
          <t>27BBBBB13256Z5</t>
        </is>
      </c>
      <c r="B13256" t="inlineStr">
        <is>
          <t>Aug-2018</t>
        </is>
      </c>
      <c r="C13256" s="2" t="n">
        <v>44341</v>
      </c>
      <c r="D13256" t="inlineStr">
        <is>
          <t>NON-NIL</t>
        </is>
      </c>
      <c r="E13256" t="n">
        <v>294</v>
      </c>
    </row>
    <row r="13257">
      <c r="A13257" t="inlineStr">
        <is>
          <t>27BBBBB13257Z5</t>
        </is>
      </c>
      <c r="B13257" t="inlineStr">
        <is>
          <t>Mar-2018</t>
        </is>
      </c>
      <c r="C13257" s="2" t="n">
        <v>43228</v>
      </c>
      <c r="D13257" t="inlineStr">
        <is>
          <t>NIL</t>
        </is>
      </c>
      <c r="E13257" t="n">
        <v>1573</v>
      </c>
    </row>
    <row r="13258">
      <c r="A13258" t="inlineStr">
        <is>
          <t>27BBBBB13258Z5</t>
        </is>
      </c>
      <c r="B13258" t="inlineStr">
        <is>
          <t>Nov-2017</t>
        </is>
      </c>
      <c r="C13258" s="2" t="n">
        <v>43147</v>
      </c>
      <c r="D13258" t="inlineStr">
        <is>
          <t>NON-NIL</t>
        </is>
      </c>
      <c r="E13258" t="n">
        <v>147</v>
      </c>
    </row>
    <row r="13259">
      <c r="A13259" t="inlineStr">
        <is>
          <t>27BBBBB13259Z5</t>
        </is>
      </c>
      <c r="B13259" t="inlineStr">
        <is>
          <t>Nov-2017</t>
        </is>
      </c>
      <c r="C13259" s="2" t="n">
        <v>43466</v>
      </c>
      <c r="D13259" t="inlineStr">
        <is>
          <t>NIL</t>
        </is>
      </c>
      <c r="E13259" t="n">
        <v>2669</v>
      </c>
    </row>
    <row r="13260">
      <c r="A13260" t="inlineStr">
        <is>
          <t>27BBBBB13260Z5</t>
        </is>
      </c>
      <c r="B13260" t="inlineStr">
        <is>
          <t>Apr-2018</t>
        </is>
      </c>
      <c r="C13260" s="2" t="n">
        <v>44324</v>
      </c>
      <c r="D13260" t="inlineStr">
        <is>
          <t>NIL</t>
        </is>
      </c>
      <c r="E13260" t="n">
        <v>433</v>
      </c>
    </row>
    <row r="13261">
      <c r="A13261" t="inlineStr">
        <is>
          <t>27BBBBB13261Z5</t>
        </is>
      </c>
      <c r="B13261" t="inlineStr">
        <is>
          <t>Oct-2018</t>
        </is>
      </c>
      <c r="C13261" s="2" t="n">
        <v>43149</v>
      </c>
      <c r="D13261" t="inlineStr">
        <is>
          <t>NIL</t>
        </is>
      </c>
      <c r="E13261" t="n">
        <v>1312</v>
      </c>
    </row>
    <row r="13262">
      <c r="A13262" t="inlineStr">
        <is>
          <t>27BBBBB13262Z5</t>
        </is>
      </c>
      <c r="B13262" t="inlineStr">
        <is>
          <t>Nov-2017</t>
        </is>
      </c>
      <c r="C13262" s="2" t="n">
        <v>43226</v>
      </c>
      <c r="D13262" t="inlineStr">
        <is>
          <t>NIL</t>
        </is>
      </c>
      <c r="E13262" t="n">
        <v>504</v>
      </c>
    </row>
    <row r="13263">
      <c r="A13263" t="inlineStr">
        <is>
          <t>27BBBBB13263Z5</t>
        </is>
      </c>
      <c r="B13263" t="inlineStr">
        <is>
          <t>Dec-2017</t>
        </is>
      </c>
      <c r="C13263" s="2" t="n">
        <v>44018</v>
      </c>
      <c r="D13263" t="inlineStr">
        <is>
          <t>NON-NIL</t>
        </is>
      </c>
      <c r="E13263" t="n">
        <v>369</v>
      </c>
    </row>
    <row r="13264">
      <c r="A13264" t="inlineStr">
        <is>
          <t>27BBBBB13264Z5</t>
        </is>
      </c>
      <c r="B13264" t="inlineStr">
        <is>
          <t>Dec-2022</t>
        </is>
      </c>
      <c r="C13264" s="2" t="n">
        <v>44963</v>
      </c>
      <c r="D13264" t="inlineStr">
        <is>
          <t>NIL</t>
        </is>
      </c>
      <c r="E13264" t="n">
        <v>1882</v>
      </c>
    </row>
    <row r="13265">
      <c r="A13265" t="inlineStr">
        <is>
          <t>27BBBBB13265Z5</t>
        </is>
      </c>
      <c r="B13265" t="inlineStr">
        <is>
          <t>Oct-2018</t>
        </is>
      </c>
      <c r="C13265" s="2" t="n">
        <v>43686</v>
      </c>
      <c r="D13265" t="inlineStr">
        <is>
          <t>NON-NIL</t>
        </is>
      </c>
      <c r="E13265" t="n">
        <v>2964</v>
      </c>
    </row>
    <row r="13266">
      <c r="A13266" t="inlineStr">
        <is>
          <t>27BBBBB13266Z5</t>
        </is>
      </c>
      <c r="B13266" t="inlineStr">
        <is>
          <t>Jun-2020</t>
        </is>
      </c>
      <c r="C13266" s="2" t="n">
        <v>44566</v>
      </c>
      <c r="D13266" t="inlineStr">
        <is>
          <t>NIL</t>
        </is>
      </c>
      <c r="E13266" t="n">
        <v>1472</v>
      </c>
    </row>
    <row r="13267">
      <c r="A13267" t="inlineStr">
        <is>
          <t>27BBBBB13267Z5</t>
        </is>
      </c>
      <c r="B13267" t="inlineStr">
        <is>
          <t>Feb-2018</t>
        </is>
      </c>
      <c r="C13267" s="2" t="n">
        <v>44465</v>
      </c>
      <c r="D13267" t="inlineStr">
        <is>
          <t>NIL</t>
        </is>
      </c>
      <c r="E13267" t="n">
        <v>1090</v>
      </c>
    </row>
    <row r="13268">
      <c r="A13268" t="inlineStr">
        <is>
          <t>27BBBBB13268Z5</t>
        </is>
      </c>
      <c r="B13268" t="inlineStr">
        <is>
          <t>Dec-2017</t>
        </is>
      </c>
      <c r="C13268" s="2" t="n">
        <v>43566</v>
      </c>
      <c r="D13268" t="inlineStr">
        <is>
          <t>NON-NIL</t>
        </is>
      </c>
      <c r="E13268" t="n">
        <v>2846</v>
      </c>
    </row>
    <row r="13269">
      <c r="A13269" t="inlineStr">
        <is>
          <t>27BBBBB13269Z5</t>
        </is>
      </c>
      <c r="B13269" t="inlineStr">
        <is>
          <t>Dec-2022</t>
        </is>
      </c>
      <c r="C13269" s="2" t="n">
        <v>45286</v>
      </c>
      <c r="D13269" t="inlineStr">
        <is>
          <t>NON-NIL</t>
        </is>
      </c>
      <c r="E13269" t="n">
        <v>2338</v>
      </c>
    </row>
    <row r="13270">
      <c r="A13270" t="inlineStr">
        <is>
          <t>27BBBBB13270Z5</t>
        </is>
      </c>
      <c r="B13270" t="inlineStr">
        <is>
          <t>May-2018</t>
        </is>
      </c>
      <c r="C13270" s="2" t="n">
        <v>43883</v>
      </c>
      <c r="D13270" t="inlineStr">
        <is>
          <t>NON-NIL</t>
        </is>
      </c>
      <c r="E13270" t="n">
        <v>709</v>
      </c>
    </row>
    <row r="13271">
      <c r="A13271" t="inlineStr">
        <is>
          <t>27BBBBB13271Z5</t>
        </is>
      </c>
      <c r="B13271" t="inlineStr">
        <is>
          <t>Apr-2018</t>
        </is>
      </c>
      <c r="C13271" s="2" t="n">
        <v>44102</v>
      </c>
      <c r="D13271" t="inlineStr">
        <is>
          <t>NIL</t>
        </is>
      </c>
      <c r="E13271" t="n">
        <v>2434</v>
      </c>
    </row>
    <row r="13272">
      <c r="A13272" t="inlineStr">
        <is>
          <t>27BBBBB13272Z5</t>
        </is>
      </c>
      <c r="B13272" t="inlineStr">
        <is>
          <t>Mar-2021</t>
        </is>
      </c>
      <c r="C13272" s="2" t="n">
        <v>45692</v>
      </c>
      <c r="D13272" t="inlineStr">
        <is>
          <t>NON-NIL</t>
        </is>
      </c>
      <c r="E13272" t="n">
        <v>2697</v>
      </c>
    </row>
    <row r="13273">
      <c r="A13273" t="inlineStr">
        <is>
          <t>27BBBBB13273Z5</t>
        </is>
      </c>
      <c r="B13273" t="inlineStr">
        <is>
          <t>Oct-2017</t>
        </is>
      </c>
      <c r="C13273" s="2" t="n">
        <v>43985</v>
      </c>
      <c r="D13273" t="inlineStr">
        <is>
          <t>NON-NIL</t>
        </is>
      </c>
      <c r="E13273" t="n">
        <v>1343</v>
      </c>
    </row>
    <row r="13274">
      <c r="A13274" t="inlineStr">
        <is>
          <t>27BBBBB13274Z5</t>
        </is>
      </c>
      <c r="B13274" t="inlineStr">
        <is>
          <t>Dec-2017</t>
        </is>
      </c>
      <c r="C13274" s="2" t="n">
        <v>43979</v>
      </c>
      <c r="D13274" t="inlineStr">
        <is>
          <t>NIL</t>
        </is>
      </c>
      <c r="E13274" t="n">
        <v>2117</v>
      </c>
    </row>
    <row r="13275">
      <c r="A13275" t="inlineStr">
        <is>
          <t>27BBBBB13275Z5</t>
        </is>
      </c>
      <c r="B13275" t="inlineStr">
        <is>
          <t>Oct-2017</t>
        </is>
      </c>
      <c r="C13275" s="2" t="n">
        <v>43828</v>
      </c>
      <c r="D13275" t="inlineStr">
        <is>
          <t>NIL</t>
        </is>
      </c>
      <c r="E13275" t="n">
        <v>666</v>
      </c>
    </row>
    <row r="13276">
      <c r="A13276" t="inlineStr">
        <is>
          <t>27BBBBB13276Z5</t>
        </is>
      </c>
      <c r="B13276" t="inlineStr">
        <is>
          <t>Aug-2018</t>
        </is>
      </c>
      <c r="C13276" s="2" t="n">
        <v>43187</v>
      </c>
      <c r="D13276" t="inlineStr">
        <is>
          <t>NON-NIL</t>
        </is>
      </c>
      <c r="E13276" t="n">
        <v>1288</v>
      </c>
    </row>
    <row r="13277">
      <c r="A13277" t="inlineStr">
        <is>
          <t>27BBBBB13277Z5</t>
        </is>
      </c>
      <c r="B13277" t="inlineStr">
        <is>
          <t>Dec-2018</t>
        </is>
      </c>
      <c r="C13277" s="2" t="n">
        <v>43649</v>
      </c>
      <c r="D13277" t="inlineStr">
        <is>
          <t>NIL</t>
        </is>
      </c>
      <c r="E13277" t="n">
        <v>612</v>
      </c>
    </row>
    <row r="13278">
      <c r="A13278" t="inlineStr">
        <is>
          <t>27BBBBB13278Z5</t>
        </is>
      </c>
      <c r="B13278" t="inlineStr">
        <is>
          <t>Apr-2018</t>
        </is>
      </c>
      <c r="C13278" s="2" t="n">
        <v>44288</v>
      </c>
      <c r="D13278" t="inlineStr">
        <is>
          <t>NIL</t>
        </is>
      </c>
      <c r="E13278" t="n">
        <v>330</v>
      </c>
    </row>
    <row r="13279">
      <c r="A13279" t="inlineStr">
        <is>
          <t>27BBBBB13279Z5</t>
        </is>
      </c>
      <c r="B13279" t="inlineStr">
        <is>
          <t>Aug-2018</t>
        </is>
      </c>
      <c r="C13279" s="2" t="n">
        <v>43834</v>
      </c>
      <c r="D13279" t="inlineStr">
        <is>
          <t>NIL</t>
        </is>
      </c>
      <c r="E13279" t="n">
        <v>213</v>
      </c>
    </row>
    <row r="13280">
      <c r="A13280" t="inlineStr">
        <is>
          <t>27BBBBB13280Z5</t>
        </is>
      </c>
      <c r="B13280" t="inlineStr">
        <is>
          <t>Dec-2018</t>
        </is>
      </c>
      <c r="C13280" s="2" t="n">
        <v>43387</v>
      </c>
      <c r="D13280" t="inlineStr">
        <is>
          <t>NON-NIL</t>
        </is>
      </c>
      <c r="E13280" t="n">
        <v>2823</v>
      </c>
    </row>
    <row r="13281">
      <c r="A13281" t="inlineStr">
        <is>
          <t>27BBBBB13281Z5</t>
        </is>
      </c>
      <c r="B13281" t="inlineStr">
        <is>
          <t>Jun-2020</t>
        </is>
      </c>
      <c r="C13281" s="2" t="n">
        <v>44710</v>
      </c>
      <c r="D13281" t="inlineStr">
        <is>
          <t>NIL</t>
        </is>
      </c>
      <c r="E13281" t="n">
        <v>2725</v>
      </c>
    </row>
    <row r="13282">
      <c r="A13282" t="inlineStr">
        <is>
          <t>27BBBBB13282Z5</t>
        </is>
      </c>
      <c r="B13282" t="inlineStr">
        <is>
          <t>Jul-2017</t>
        </is>
      </c>
      <c r="C13282" s="2" t="n">
        <v>43983</v>
      </c>
      <c r="D13282" t="inlineStr">
        <is>
          <t>NON-NIL</t>
        </is>
      </c>
      <c r="E13282" t="n">
        <v>700</v>
      </c>
    </row>
    <row r="13283">
      <c r="A13283" t="inlineStr">
        <is>
          <t>27BBBBB13283Z5</t>
        </is>
      </c>
      <c r="B13283" t="inlineStr">
        <is>
          <t>Dec-2017</t>
        </is>
      </c>
      <c r="C13283" s="2" t="n">
        <v>43749</v>
      </c>
      <c r="D13283" t="inlineStr">
        <is>
          <t>NON-NIL</t>
        </is>
      </c>
      <c r="E13283" t="n">
        <v>2494</v>
      </c>
    </row>
    <row r="13284">
      <c r="A13284" t="inlineStr">
        <is>
          <t>27BBBBB13284Z5</t>
        </is>
      </c>
      <c r="B13284" t="inlineStr">
        <is>
          <t>Sep-2017</t>
        </is>
      </c>
      <c r="C13284" s="2" t="n">
        <v>44144</v>
      </c>
      <c r="D13284" t="inlineStr">
        <is>
          <t>NON-NIL</t>
        </is>
      </c>
      <c r="E13284" t="n">
        <v>51</v>
      </c>
    </row>
    <row r="13285">
      <c r="A13285" t="inlineStr">
        <is>
          <t>27BBBBB13285Z5</t>
        </is>
      </c>
      <c r="B13285" t="inlineStr">
        <is>
          <t>Dec-2022</t>
        </is>
      </c>
      <c r="C13285" s="2" t="n">
        <v>45168</v>
      </c>
      <c r="D13285" t="inlineStr">
        <is>
          <t>NON-NIL</t>
        </is>
      </c>
      <c r="E13285" t="n">
        <v>2559</v>
      </c>
    </row>
    <row r="13286">
      <c r="A13286" t="inlineStr">
        <is>
          <t>27BBBBB13286Z5</t>
        </is>
      </c>
      <c r="B13286" t="inlineStr">
        <is>
          <t>Mar-2023</t>
        </is>
      </c>
      <c r="C13286" s="2" t="n">
        <v>44519</v>
      </c>
      <c r="D13286" t="inlineStr">
        <is>
          <t>NIL</t>
        </is>
      </c>
      <c r="E13286" t="n">
        <v>1337</v>
      </c>
    </row>
    <row r="13287">
      <c r="A13287" t="inlineStr">
        <is>
          <t>27BBBBB13287Z5</t>
        </is>
      </c>
      <c r="B13287" t="inlineStr">
        <is>
          <t>Aug-2017</t>
        </is>
      </c>
      <c r="C13287" s="2" t="n">
        <v>43669</v>
      </c>
      <c r="D13287" t="inlineStr">
        <is>
          <t>NON-NIL</t>
        </is>
      </c>
      <c r="E13287" t="n">
        <v>1556</v>
      </c>
    </row>
    <row r="13288">
      <c r="A13288" t="inlineStr">
        <is>
          <t>27BBBBB13288Z5</t>
        </is>
      </c>
      <c r="B13288" t="inlineStr">
        <is>
          <t>Jun-2020</t>
        </is>
      </c>
      <c r="C13288" s="2" t="n">
        <v>44142</v>
      </c>
      <c r="D13288" t="inlineStr">
        <is>
          <t>NON-NIL</t>
        </is>
      </c>
      <c r="E13288" t="n">
        <v>1380</v>
      </c>
    </row>
    <row r="13289">
      <c r="A13289" t="inlineStr">
        <is>
          <t>27BBBBB13289Z5</t>
        </is>
      </c>
      <c r="B13289" t="inlineStr">
        <is>
          <t>Jun-2018</t>
        </is>
      </c>
      <c r="C13289" s="2" t="n">
        <v>44121</v>
      </c>
      <c r="D13289" t="inlineStr">
        <is>
          <t>NIL</t>
        </is>
      </c>
      <c r="E13289" t="n">
        <v>830</v>
      </c>
    </row>
    <row r="13290">
      <c r="A13290" t="inlineStr">
        <is>
          <t>27BBBBB13290Z5</t>
        </is>
      </c>
      <c r="B13290" t="inlineStr">
        <is>
          <t>Dec-2018</t>
        </is>
      </c>
      <c r="C13290" s="2" t="n">
        <v>43438</v>
      </c>
      <c r="D13290" t="inlineStr">
        <is>
          <t>NIL</t>
        </is>
      </c>
      <c r="E13290" t="n">
        <v>2372</v>
      </c>
    </row>
    <row r="13291">
      <c r="A13291" t="inlineStr">
        <is>
          <t>27BBBBB13291Z5</t>
        </is>
      </c>
      <c r="B13291" t="inlineStr">
        <is>
          <t>Jul-2020</t>
        </is>
      </c>
      <c r="C13291" s="2" t="n">
        <v>44722</v>
      </c>
      <c r="D13291" t="inlineStr">
        <is>
          <t>NIL</t>
        </is>
      </c>
      <c r="E13291" t="n">
        <v>465</v>
      </c>
    </row>
    <row r="13292">
      <c r="A13292" t="inlineStr">
        <is>
          <t>27BBBBB13292Z5</t>
        </is>
      </c>
      <c r="B13292" t="inlineStr">
        <is>
          <t>Apr-2020</t>
        </is>
      </c>
      <c r="C13292" s="2" t="n">
        <v>44877</v>
      </c>
      <c r="D13292" t="inlineStr">
        <is>
          <t>NON-NIL</t>
        </is>
      </c>
      <c r="E13292" t="n">
        <v>2811</v>
      </c>
    </row>
    <row r="13293">
      <c r="A13293" t="inlineStr">
        <is>
          <t>27BBBBB13293Z5</t>
        </is>
      </c>
      <c r="B13293" t="inlineStr">
        <is>
          <t>Jan-2021</t>
        </is>
      </c>
      <c r="C13293" s="2" t="n">
        <v>43955</v>
      </c>
      <c r="D13293" t="inlineStr">
        <is>
          <t>NON-NIL</t>
        </is>
      </c>
      <c r="E13293" t="n">
        <v>1527</v>
      </c>
    </row>
    <row r="13294">
      <c r="A13294" t="inlineStr">
        <is>
          <t>27BBBBB13294Z5</t>
        </is>
      </c>
      <c r="B13294" t="inlineStr">
        <is>
          <t>May-2020</t>
        </is>
      </c>
      <c r="C13294" s="2" t="n">
        <v>44218</v>
      </c>
      <c r="D13294" t="inlineStr">
        <is>
          <t>NON-NIL</t>
        </is>
      </c>
      <c r="E13294" t="n">
        <v>1768</v>
      </c>
    </row>
    <row r="13295">
      <c r="A13295" t="inlineStr">
        <is>
          <t>27BBBBB13295Z5</t>
        </is>
      </c>
      <c r="B13295" t="inlineStr">
        <is>
          <t>Mar-2020</t>
        </is>
      </c>
      <c r="C13295" s="2" t="n">
        <v>44755</v>
      </c>
      <c r="D13295" t="inlineStr">
        <is>
          <t>NON-NIL</t>
        </is>
      </c>
      <c r="E13295" t="n">
        <v>2729</v>
      </c>
    </row>
    <row r="13296">
      <c r="A13296" t="inlineStr">
        <is>
          <t>27BBBBB13296Z5</t>
        </is>
      </c>
      <c r="B13296" t="inlineStr">
        <is>
          <t>Feb-2018</t>
        </is>
      </c>
      <c r="C13296" s="2" t="n">
        <v>43986</v>
      </c>
      <c r="D13296" t="inlineStr">
        <is>
          <t>NON-NIL</t>
        </is>
      </c>
      <c r="E13296" t="n">
        <v>1901</v>
      </c>
    </row>
    <row r="13297">
      <c r="A13297" t="inlineStr">
        <is>
          <t>27BBBBB13297Z5</t>
        </is>
      </c>
      <c r="B13297" t="inlineStr">
        <is>
          <t>Jan-2018</t>
        </is>
      </c>
      <c r="C13297" s="2" t="n">
        <v>43706</v>
      </c>
      <c r="D13297" t="inlineStr">
        <is>
          <t>NON-NIL</t>
        </is>
      </c>
      <c r="E13297" t="n">
        <v>2332</v>
      </c>
    </row>
    <row r="13298">
      <c r="A13298" t="inlineStr">
        <is>
          <t>27BBBBB13298Z5</t>
        </is>
      </c>
      <c r="B13298" t="inlineStr">
        <is>
          <t>Mar-2023</t>
        </is>
      </c>
      <c r="C13298" s="2" t="n">
        <v>44167</v>
      </c>
      <c r="D13298" t="inlineStr">
        <is>
          <t>NON-NIL</t>
        </is>
      </c>
      <c r="E13298" t="n">
        <v>1762</v>
      </c>
    </row>
    <row r="13299">
      <c r="A13299" t="inlineStr">
        <is>
          <t>27BBBBB13299Z5</t>
        </is>
      </c>
      <c r="B13299" t="inlineStr">
        <is>
          <t>Aug-2018</t>
        </is>
      </c>
      <c r="C13299" s="2" t="n">
        <v>43047</v>
      </c>
      <c r="D13299" t="inlineStr">
        <is>
          <t>NIL</t>
        </is>
      </c>
      <c r="E13299" t="n">
        <v>2830</v>
      </c>
    </row>
    <row r="13300">
      <c r="A13300" t="inlineStr">
        <is>
          <t>27BBBBB13300Z5</t>
        </is>
      </c>
      <c r="B13300" t="inlineStr">
        <is>
          <t>Jan-2018</t>
        </is>
      </c>
      <c r="C13300" s="2" t="n">
        <v>43125</v>
      </c>
      <c r="D13300" t="inlineStr">
        <is>
          <t>NON-NIL</t>
        </is>
      </c>
      <c r="E13300" t="n">
        <v>1581</v>
      </c>
    </row>
    <row r="13301">
      <c r="A13301" t="inlineStr">
        <is>
          <t>27BBBBB13301Z5</t>
        </is>
      </c>
      <c r="B13301" t="inlineStr">
        <is>
          <t>Mar-2021</t>
        </is>
      </c>
      <c r="C13301" s="2" t="n">
        <v>43962</v>
      </c>
      <c r="D13301" t="inlineStr">
        <is>
          <t>NON-NIL</t>
        </is>
      </c>
      <c r="E13301" t="n">
        <v>2563</v>
      </c>
    </row>
    <row r="13302">
      <c r="A13302" t="inlineStr">
        <is>
          <t>27BBBBB13302Z5</t>
        </is>
      </c>
      <c r="B13302" t="inlineStr">
        <is>
          <t>Jul-2020</t>
        </is>
      </c>
      <c r="C13302" s="2" t="n">
        <v>44857</v>
      </c>
      <c r="D13302" t="inlineStr">
        <is>
          <t>NON-NIL</t>
        </is>
      </c>
      <c r="E13302" t="n">
        <v>1498</v>
      </c>
    </row>
    <row r="13303">
      <c r="A13303" t="inlineStr">
        <is>
          <t>27BBBBB13303Z5</t>
        </is>
      </c>
      <c r="B13303" t="inlineStr">
        <is>
          <t>Jan-2021</t>
        </is>
      </c>
      <c r="C13303" s="2" t="n">
        <v>43475</v>
      </c>
      <c r="D13303" t="inlineStr">
        <is>
          <t>NON-NIL</t>
        </is>
      </c>
      <c r="E13303" t="n">
        <v>2898</v>
      </c>
    </row>
    <row r="13304">
      <c r="A13304" t="inlineStr">
        <is>
          <t>27BBBBB13304Z5</t>
        </is>
      </c>
      <c r="B13304" t="inlineStr">
        <is>
          <t>Nov-2018</t>
        </is>
      </c>
      <c r="C13304" s="2" t="n">
        <v>43878</v>
      </c>
      <c r="D13304" t="inlineStr">
        <is>
          <t>NIL</t>
        </is>
      </c>
      <c r="E13304" t="n">
        <v>2279</v>
      </c>
    </row>
    <row r="13305">
      <c r="A13305" t="inlineStr">
        <is>
          <t>27BBBBB13305Z5</t>
        </is>
      </c>
      <c r="B13305" t="inlineStr">
        <is>
          <t>Sep-2018</t>
        </is>
      </c>
      <c r="C13305" s="2" t="n">
        <v>43249</v>
      </c>
      <c r="D13305" t="inlineStr">
        <is>
          <t>NON-NIL</t>
        </is>
      </c>
      <c r="E13305" t="n">
        <v>174</v>
      </c>
    </row>
    <row r="13306">
      <c r="A13306" t="inlineStr">
        <is>
          <t>27BBBBB13306Z5</t>
        </is>
      </c>
      <c r="B13306" t="inlineStr">
        <is>
          <t>Oct-2017</t>
        </is>
      </c>
      <c r="C13306" s="2" t="n">
        <v>42941</v>
      </c>
      <c r="D13306" t="inlineStr">
        <is>
          <t>NON-NIL</t>
        </is>
      </c>
      <c r="E13306" t="n">
        <v>1919</v>
      </c>
    </row>
    <row r="13307">
      <c r="A13307" t="inlineStr">
        <is>
          <t>27BBBBB13307Z5</t>
        </is>
      </c>
      <c r="B13307" t="inlineStr">
        <is>
          <t>Jan-2021</t>
        </is>
      </c>
      <c r="C13307" s="2" t="n">
        <v>45071</v>
      </c>
      <c r="D13307" t="inlineStr">
        <is>
          <t>NON-NIL</t>
        </is>
      </c>
      <c r="E13307" t="n">
        <v>2577</v>
      </c>
    </row>
    <row r="13308">
      <c r="A13308" t="inlineStr">
        <is>
          <t>27BBBBB13308Z5</t>
        </is>
      </c>
      <c r="B13308" t="inlineStr">
        <is>
          <t>Jun-2020</t>
        </is>
      </c>
      <c r="C13308" s="2" t="n">
        <v>44549</v>
      </c>
      <c r="D13308" t="inlineStr">
        <is>
          <t>NON-NIL</t>
        </is>
      </c>
      <c r="E13308" t="n">
        <v>136</v>
      </c>
    </row>
    <row r="13309">
      <c r="A13309" t="inlineStr">
        <is>
          <t>27BBBBB13309Z5</t>
        </is>
      </c>
      <c r="B13309" t="inlineStr">
        <is>
          <t>Jun-2018</t>
        </is>
      </c>
      <c r="C13309" s="2" t="n">
        <v>43788</v>
      </c>
      <c r="D13309" t="inlineStr">
        <is>
          <t>NIL</t>
        </is>
      </c>
      <c r="E13309" t="n">
        <v>673</v>
      </c>
    </row>
    <row r="13310">
      <c r="A13310" t="inlineStr">
        <is>
          <t>27BBBBB13310Z5</t>
        </is>
      </c>
      <c r="B13310" t="inlineStr">
        <is>
          <t>Dec-2024</t>
        </is>
      </c>
      <c r="C13310" s="2" t="n">
        <v>43704</v>
      </c>
      <c r="D13310" t="inlineStr">
        <is>
          <t>NIL</t>
        </is>
      </c>
      <c r="E13310" t="n">
        <v>2144</v>
      </c>
    </row>
    <row r="13311">
      <c r="A13311" t="inlineStr">
        <is>
          <t>27BBBBB13311Z5</t>
        </is>
      </c>
      <c r="B13311" t="inlineStr">
        <is>
          <t>Sep-2018</t>
        </is>
      </c>
      <c r="C13311" s="2" t="n">
        <v>43339</v>
      </c>
      <c r="D13311" t="inlineStr">
        <is>
          <t>NIL</t>
        </is>
      </c>
      <c r="E13311" t="n">
        <v>2205</v>
      </c>
    </row>
    <row r="13312">
      <c r="A13312" t="inlineStr">
        <is>
          <t>27BBBBB13312Z5</t>
        </is>
      </c>
      <c r="B13312" t="inlineStr">
        <is>
          <t>Mar-2023</t>
        </is>
      </c>
      <c r="C13312" s="2" t="n">
        <v>44830</v>
      </c>
      <c r="D13312" t="inlineStr">
        <is>
          <t>NON-NIL</t>
        </is>
      </c>
      <c r="E13312" t="n">
        <v>1339</v>
      </c>
    </row>
    <row r="13313">
      <c r="A13313" t="inlineStr">
        <is>
          <t>27BBBBB13313Z5</t>
        </is>
      </c>
      <c r="B13313" t="inlineStr">
        <is>
          <t>Dec-2018</t>
        </is>
      </c>
      <c r="C13313" s="2" t="n">
        <v>44197</v>
      </c>
      <c r="D13313" t="inlineStr">
        <is>
          <t>NIL</t>
        </is>
      </c>
      <c r="E13313" t="n">
        <v>2622</v>
      </c>
    </row>
    <row r="13314">
      <c r="A13314" t="inlineStr">
        <is>
          <t>27BBBBB13314Z5</t>
        </is>
      </c>
      <c r="B13314" t="inlineStr">
        <is>
          <t>Dec-2024</t>
        </is>
      </c>
      <c r="C13314" s="2" t="n">
        <v>43693</v>
      </c>
      <c r="D13314" t="inlineStr">
        <is>
          <t>NON-NIL</t>
        </is>
      </c>
      <c r="E13314" t="n">
        <v>2572</v>
      </c>
    </row>
    <row r="13315">
      <c r="A13315" t="inlineStr">
        <is>
          <t>27BBBBB13315Z5</t>
        </is>
      </c>
      <c r="B13315" t="inlineStr">
        <is>
          <t>Feb-2018</t>
        </is>
      </c>
      <c r="C13315" s="2" t="n">
        <v>43967</v>
      </c>
      <c r="D13315" t="inlineStr">
        <is>
          <t>NIL</t>
        </is>
      </c>
      <c r="E13315" t="n">
        <v>1425</v>
      </c>
    </row>
    <row r="13316">
      <c r="A13316" t="inlineStr">
        <is>
          <t>27BBBBB13316Z5</t>
        </is>
      </c>
      <c r="B13316" t="inlineStr">
        <is>
          <t>Jun-2020</t>
        </is>
      </c>
      <c r="C13316" s="2" t="n">
        <v>44285</v>
      </c>
      <c r="D13316" t="inlineStr">
        <is>
          <t>NON-NIL</t>
        </is>
      </c>
      <c r="E13316" t="n">
        <v>1719</v>
      </c>
    </row>
    <row r="13317">
      <c r="A13317" t="inlineStr">
        <is>
          <t>27BBBBB13317Z5</t>
        </is>
      </c>
      <c r="B13317" t="inlineStr">
        <is>
          <t>May-2018</t>
        </is>
      </c>
      <c r="C13317" s="2" t="n">
        <v>42975</v>
      </c>
      <c r="D13317" t="inlineStr">
        <is>
          <t>NIL</t>
        </is>
      </c>
      <c r="E13317" t="n">
        <v>621</v>
      </c>
    </row>
    <row r="13318">
      <c r="A13318" t="inlineStr">
        <is>
          <t>27BBBBB13318Z5</t>
        </is>
      </c>
      <c r="B13318" t="inlineStr">
        <is>
          <t>Apr-2018</t>
        </is>
      </c>
      <c r="C13318" s="2" t="n">
        <v>44372</v>
      </c>
      <c r="D13318" t="inlineStr">
        <is>
          <t>NIL</t>
        </is>
      </c>
      <c r="E13318" t="n">
        <v>846</v>
      </c>
    </row>
    <row r="13319">
      <c r="A13319" t="inlineStr">
        <is>
          <t>27BBBBB13319Z5</t>
        </is>
      </c>
      <c r="B13319" t="inlineStr">
        <is>
          <t>Jul-2017</t>
        </is>
      </c>
      <c r="C13319" s="2" t="n">
        <v>43889</v>
      </c>
      <c r="D13319" t="inlineStr">
        <is>
          <t>NIL</t>
        </is>
      </c>
      <c r="E13319" t="n">
        <v>2876</v>
      </c>
    </row>
    <row r="13320">
      <c r="A13320" t="inlineStr">
        <is>
          <t>27BBBBB13320Z5</t>
        </is>
      </c>
      <c r="B13320" t="inlineStr">
        <is>
          <t>Feb-2018</t>
        </is>
      </c>
      <c r="C13320" s="2" t="n">
        <v>43005</v>
      </c>
      <c r="D13320" t="inlineStr">
        <is>
          <t>NON-NIL</t>
        </is>
      </c>
      <c r="E13320" t="n">
        <v>2634</v>
      </c>
    </row>
    <row r="13321">
      <c r="A13321" t="inlineStr">
        <is>
          <t>27BBBBB13321Z5</t>
        </is>
      </c>
      <c r="B13321" t="inlineStr">
        <is>
          <t>Mar-2018</t>
        </is>
      </c>
      <c r="C13321" s="2" t="n">
        <v>44445</v>
      </c>
      <c r="D13321" t="inlineStr">
        <is>
          <t>NIL</t>
        </is>
      </c>
      <c r="E13321" t="n">
        <v>954</v>
      </c>
    </row>
    <row r="13322">
      <c r="A13322" t="inlineStr">
        <is>
          <t>27BBBBB13322Z5</t>
        </is>
      </c>
      <c r="B13322" t="inlineStr">
        <is>
          <t>Dec-2024</t>
        </is>
      </c>
      <c r="C13322" s="2" t="n">
        <v>44735</v>
      </c>
      <c r="D13322" t="inlineStr">
        <is>
          <t>NIL</t>
        </is>
      </c>
      <c r="E13322" t="n">
        <v>1930</v>
      </c>
    </row>
    <row r="13323">
      <c r="A13323" t="inlineStr">
        <is>
          <t>27BBBBB13323Z5</t>
        </is>
      </c>
      <c r="B13323" t="inlineStr">
        <is>
          <t>May-2020</t>
        </is>
      </c>
      <c r="C13323" s="2" t="n">
        <v>44676</v>
      </c>
      <c r="D13323" t="inlineStr">
        <is>
          <t>NIL</t>
        </is>
      </c>
      <c r="E13323" t="n">
        <v>2054</v>
      </c>
    </row>
    <row r="13324">
      <c r="A13324" t="inlineStr">
        <is>
          <t>27BBBBB13324Z5</t>
        </is>
      </c>
      <c r="B13324" t="inlineStr">
        <is>
          <t>Mar-2020</t>
        </is>
      </c>
      <c r="C13324" s="2" t="n">
        <v>44503</v>
      </c>
      <c r="D13324" t="inlineStr">
        <is>
          <t>NON-NIL</t>
        </is>
      </c>
      <c r="E13324" t="n">
        <v>204</v>
      </c>
    </row>
    <row r="13325">
      <c r="A13325" t="inlineStr">
        <is>
          <t>27BBBBB13325Z5</t>
        </is>
      </c>
      <c r="B13325" t="inlineStr">
        <is>
          <t>Nov-2018</t>
        </is>
      </c>
      <c r="C13325" s="2" t="n">
        <v>44169</v>
      </c>
      <c r="D13325" t="inlineStr">
        <is>
          <t>NON-NIL</t>
        </is>
      </c>
      <c r="E13325" t="n">
        <v>2572</v>
      </c>
    </row>
    <row r="13326">
      <c r="A13326" t="inlineStr">
        <is>
          <t>27BBBBB13326Z5</t>
        </is>
      </c>
      <c r="B13326" t="inlineStr">
        <is>
          <t>Jul-2020</t>
        </is>
      </c>
      <c r="C13326" s="2" t="n">
        <v>44216</v>
      </c>
      <c r="D13326" t="inlineStr">
        <is>
          <t>NON-NIL</t>
        </is>
      </c>
      <c r="E13326" t="n">
        <v>1394</v>
      </c>
    </row>
    <row r="13327">
      <c r="A13327" t="inlineStr">
        <is>
          <t>27BBBBB13327Z5</t>
        </is>
      </c>
      <c r="B13327" t="inlineStr">
        <is>
          <t>Apr-2018</t>
        </is>
      </c>
      <c r="C13327" s="2" t="n">
        <v>43917</v>
      </c>
      <c r="D13327" t="inlineStr">
        <is>
          <t>NON-NIL</t>
        </is>
      </c>
      <c r="E13327" t="n">
        <v>1026</v>
      </c>
    </row>
    <row r="13328">
      <c r="A13328" t="inlineStr">
        <is>
          <t>27BBBBB13328Z5</t>
        </is>
      </c>
      <c r="B13328" t="inlineStr">
        <is>
          <t>Aug-2018</t>
        </is>
      </c>
      <c r="C13328" s="2" t="n">
        <v>44446</v>
      </c>
      <c r="D13328" t="inlineStr">
        <is>
          <t>NIL</t>
        </is>
      </c>
      <c r="E13328" t="n">
        <v>335</v>
      </c>
    </row>
    <row r="13329">
      <c r="A13329" t="inlineStr">
        <is>
          <t>27BBBBB13329Z5</t>
        </is>
      </c>
      <c r="B13329" t="inlineStr">
        <is>
          <t>Jun-2020</t>
        </is>
      </c>
      <c r="C13329" s="2" t="n">
        <v>44003</v>
      </c>
      <c r="D13329" t="inlineStr">
        <is>
          <t>NIL</t>
        </is>
      </c>
      <c r="E13329" t="n">
        <v>2291</v>
      </c>
    </row>
    <row r="13330">
      <c r="A13330" t="inlineStr">
        <is>
          <t>27BBBBB13330Z5</t>
        </is>
      </c>
      <c r="B13330" t="inlineStr">
        <is>
          <t>Mar-2018</t>
        </is>
      </c>
      <c r="C13330" s="2" t="n">
        <v>43303</v>
      </c>
      <c r="D13330" t="inlineStr">
        <is>
          <t>NIL</t>
        </is>
      </c>
      <c r="E13330" t="n">
        <v>346</v>
      </c>
    </row>
    <row r="13331">
      <c r="A13331" t="inlineStr">
        <is>
          <t>27BBBBB13331Z5</t>
        </is>
      </c>
      <c r="B13331" t="inlineStr">
        <is>
          <t>Aug-2018</t>
        </is>
      </c>
      <c r="C13331" s="2" t="n">
        <v>44485</v>
      </c>
      <c r="D13331" t="inlineStr">
        <is>
          <t>NIL</t>
        </is>
      </c>
      <c r="E13331" t="n">
        <v>1453</v>
      </c>
    </row>
    <row r="13332">
      <c r="A13332" t="inlineStr">
        <is>
          <t>27BBBBB13332Z5</t>
        </is>
      </c>
      <c r="B13332" t="inlineStr">
        <is>
          <t>Nov-2018</t>
        </is>
      </c>
      <c r="C13332" s="2" t="n">
        <v>43935</v>
      </c>
      <c r="D13332" t="inlineStr">
        <is>
          <t>NON-NIL</t>
        </is>
      </c>
      <c r="E13332" t="n">
        <v>426</v>
      </c>
    </row>
    <row r="13333">
      <c r="A13333" t="inlineStr">
        <is>
          <t>27BBBBB13333Z5</t>
        </is>
      </c>
      <c r="B13333" t="inlineStr">
        <is>
          <t>Mar-2018</t>
        </is>
      </c>
      <c r="C13333" s="2" t="n">
        <v>43725</v>
      </c>
      <c r="D13333" t="inlineStr">
        <is>
          <t>NIL</t>
        </is>
      </c>
      <c r="E13333" t="n">
        <v>223</v>
      </c>
    </row>
    <row r="13334">
      <c r="A13334" t="inlineStr">
        <is>
          <t>27BBBBB13334Z5</t>
        </is>
      </c>
      <c r="B13334" t="inlineStr">
        <is>
          <t>Nov-2017</t>
        </is>
      </c>
      <c r="C13334" s="2" t="n">
        <v>43562</v>
      </c>
      <c r="D13334" t="inlineStr">
        <is>
          <t>NIL</t>
        </is>
      </c>
      <c r="E13334" t="n">
        <v>79</v>
      </c>
    </row>
    <row r="13335">
      <c r="A13335" t="inlineStr">
        <is>
          <t>27BBBBB13335Z5</t>
        </is>
      </c>
      <c r="B13335" t="inlineStr">
        <is>
          <t>Jul-2017</t>
        </is>
      </c>
      <c r="C13335" s="2" t="n">
        <v>44189</v>
      </c>
      <c r="D13335" t="inlineStr">
        <is>
          <t>NON-NIL</t>
        </is>
      </c>
      <c r="E13335" t="n">
        <v>2898</v>
      </c>
    </row>
    <row r="13336">
      <c r="A13336" t="inlineStr">
        <is>
          <t>27BBBBB13336Z5</t>
        </is>
      </c>
      <c r="B13336" t="inlineStr">
        <is>
          <t>May-2020</t>
        </is>
      </c>
      <c r="C13336" s="2" t="n">
        <v>44886</v>
      </c>
      <c r="D13336" t="inlineStr">
        <is>
          <t>NON-NIL</t>
        </is>
      </c>
      <c r="E13336" t="n">
        <v>162</v>
      </c>
    </row>
    <row r="13337">
      <c r="A13337" t="inlineStr">
        <is>
          <t>27BBBBB13337Z5</t>
        </is>
      </c>
      <c r="B13337" t="inlineStr">
        <is>
          <t>Feb-2018</t>
        </is>
      </c>
      <c r="C13337" s="2" t="n">
        <v>44241</v>
      </c>
      <c r="D13337" t="inlineStr">
        <is>
          <t>NON-NIL</t>
        </is>
      </c>
      <c r="E13337" t="n">
        <v>1254</v>
      </c>
    </row>
    <row r="13338">
      <c r="A13338" t="inlineStr">
        <is>
          <t>27BBBBB13338Z5</t>
        </is>
      </c>
      <c r="B13338" t="inlineStr">
        <is>
          <t>Apr-2020</t>
        </is>
      </c>
      <c r="C13338" s="2" t="n">
        <v>43970</v>
      </c>
      <c r="D13338" t="inlineStr">
        <is>
          <t>NON-NIL</t>
        </is>
      </c>
      <c r="E13338" t="n">
        <v>2983</v>
      </c>
    </row>
    <row r="13339">
      <c r="A13339" t="inlineStr">
        <is>
          <t>27BBBBB13339Z5</t>
        </is>
      </c>
      <c r="B13339" t="inlineStr">
        <is>
          <t>Dec-2022</t>
        </is>
      </c>
      <c r="C13339" s="2" t="n">
        <v>44520</v>
      </c>
      <c r="D13339" t="inlineStr">
        <is>
          <t>NIL</t>
        </is>
      </c>
      <c r="E13339" t="n">
        <v>473</v>
      </c>
    </row>
    <row r="13340">
      <c r="A13340" t="inlineStr">
        <is>
          <t>27BBBBB13340Z5</t>
        </is>
      </c>
      <c r="B13340" t="inlineStr">
        <is>
          <t>Sep-2018</t>
        </is>
      </c>
      <c r="C13340" s="2" t="n">
        <v>43861</v>
      </c>
      <c r="D13340" t="inlineStr">
        <is>
          <t>NON-NIL</t>
        </is>
      </c>
      <c r="E13340" t="n">
        <v>2512</v>
      </c>
    </row>
    <row r="13341">
      <c r="A13341" t="inlineStr">
        <is>
          <t>27BBBBB13341Z5</t>
        </is>
      </c>
      <c r="B13341" t="inlineStr">
        <is>
          <t>Jun-2018</t>
        </is>
      </c>
      <c r="C13341" s="2" t="n">
        <v>42957</v>
      </c>
      <c r="D13341" t="inlineStr">
        <is>
          <t>NIL</t>
        </is>
      </c>
      <c r="E13341" t="n">
        <v>1294</v>
      </c>
    </row>
    <row r="13342">
      <c r="A13342" t="inlineStr">
        <is>
          <t>27BBBBB13342Z5</t>
        </is>
      </c>
      <c r="B13342" t="inlineStr">
        <is>
          <t>Mar-2018</t>
        </is>
      </c>
      <c r="C13342" s="2" t="n">
        <v>43437</v>
      </c>
      <c r="D13342" t="inlineStr">
        <is>
          <t>NIL</t>
        </is>
      </c>
      <c r="E13342" t="n">
        <v>1285</v>
      </c>
    </row>
    <row r="13343">
      <c r="A13343" t="inlineStr">
        <is>
          <t>27BBBBB13343Z5</t>
        </is>
      </c>
      <c r="B13343" t="inlineStr">
        <is>
          <t>Dec-2024</t>
        </is>
      </c>
      <c r="C13343" s="2" t="n">
        <v>44381</v>
      </c>
      <c r="D13343" t="inlineStr">
        <is>
          <t>NIL</t>
        </is>
      </c>
      <c r="E13343" t="n">
        <v>1297</v>
      </c>
    </row>
    <row r="13344">
      <c r="A13344" t="inlineStr">
        <is>
          <t>27BBBBB13344Z5</t>
        </is>
      </c>
      <c r="B13344" t="inlineStr">
        <is>
          <t>Dec-2022</t>
        </is>
      </c>
      <c r="C13344" s="2" t="n">
        <v>45595</v>
      </c>
      <c r="D13344" t="inlineStr">
        <is>
          <t>NIL</t>
        </is>
      </c>
      <c r="E13344" t="n">
        <v>779</v>
      </c>
    </row>
    <row r="13345">
      <c r="A13345" t="inlineStr">
        <is>
          <t>27BBBBB13345Z5</t>
        </is>
      </c>
      <c r="B13345" t="inlineStr">
        <is>
          <t>May-2018</t>
        </is>
      </c>
      <c r="C13345" s="2" t="n">
        <v>43671</v>
      </c>
      <c r="D13345" t="inlineStr">
        <is>
          <t>NIL</t>
        </is>
      </c>
      <c r="E13345" t="n">
        <v>736</v>
      </c>
    </row>
    <row r="13346">
      <c r="A13346" t="inlineStr">
        <is>
          <t>27BBBBB13346Z5</t>
        </is>
      </c>
      <c r="B13346" t="inlineStr">
        <is>
          <t>Dec-2024</t>
        </is>
      </c>
      <c r="C13346" s="2" t="n">
        <v>45162</v>
      </c>
      <c r="D13346" t="inlineStr">
        <is>
          <t>NON-NIL</t>
        </is>
      </c>
      <c r="E13346" t="n">
        <v>28</v>
      </c>
    </row>
    <row r="13347">
      <c r="A13347" t="inlineStr">
        <is>
          <t>27BBBBB13347Z5</t>
        </is>
      </c>
      <c r="B13347" t="inlineStr">
        <is>
          <t>Jul-2017</t>
        </is>
      </c>
      <c r="C13347" s="2" t="n">
        <v>44065</v>
      </c>
      <c r="D13347" t="inlineStr">
        <is>
          <t>NIL</t>
        </is>
      </c>
      <c r="E13347" t="n">
        <v>2276</v>
      </c>
    </row>
    <row r="13348">
      <c r="A13348" t="inlineStr">
        <is>
          <t>27BBBBB13348Z5</t>
        </is>
      </c>
      <c r="B13348" t="inlineStr">
        <is>
          <t>Jun-2020</t>
        </is>
      </c>
      <c r="C13348" s="2" t="n">
        <v>44743</v>
      </c>
      <c r="D13348" t="inlineStr">
        <is>
          <t>NON-NIL</t>
        </is>
      </c>
      <c r="E13348" t="n">
        <v>1318</v>
      </c>
    </row>
    <row r="13349">
      <c r="A13349" t="inlineStr">
        <is>
          <t>27BBBBB13349Z5</t>
        </is>
      </c>
      <c r="B13349" t="inlineStr">
        <is>
          <t>Apr-2020</t>
        </is>
      </c>
      <c r="C13349" s="2" t="n">
        <v>44646</v>
      </c>
      <c r="D13349" t="inlineStr">
        <is>
          <t>NIL</t>
        </is>
      </c>
      <c r="E13349" t="n">
        <v>1608</v>
      </c>
    </row>
    <row r="13350">
      <c r="A13350" t="inlineStr">
        <is>
          <t>27BBBBB13350Z5</t>
        </is>
      </c>
      <c r="B13350" t="inlineStr">
        <is>
          <t>Jun-2020</t>
        </is>
      </c>
      <c r="C13350" s="2" t="n">
        <v>44662</v>
      </c>
      <c r="D13350" t="inlineStr">
        <is>
          <t>NON-NIL</t>
        </is>
      </c>
      <c r="E13350" t="n">
        <v>1129</v>
      </c>
    </row>
    <row r="13351">
      <c r="A13351" t="inlineStr">
        <is>
          <t>27BBBBB13351Z5</t>
        </is>
      </c>
      <c r="B13351" t="inlineStr">
        <is>
          <t>Jan-2018</t>
        </is>
      </c>
      <c r="C13351" s="2" t="n">
        <v>42978</v>
      </c>
      <c r="D13351" t="inlineStr">
        <is>
          <t>NON-NIL</t>
        </is>
      </c>
      <c r="E13351" t="n">
        <v>1841</v>
      </c>
    </row>
    <row r="13352">
      <c r="A13352" t="inlineStr">
        <is>
          <t>27BBBBB13352Z5</t>
        </is>
      </c>
      <c r="B13352" t="inlineStr">
        <is>
          <t>Jan-2018</t>
        </is>
      </c>
      <c r="C13352" s="2" t="n">
        <v>43974</v>
      </c>
      <c r="D13352" t="inlineStr">
        <is>
          <t>NON-NIL</t>
        </is>
      </c>
      <c r="E13352" t="n">
        <v>1285</v>
      </c>
    </row>
    <row r="13353">
      <c r="A13353" t="inlineStr">
        <is>
          <t>27BBBBB13353Z5</t>
        </is>
      </c>
      <c r="B13353" t="inlineStr">
        <is>
          <t>Aug-2017</t>
        </is>
      </c>
      <c r="C13353" s="2" t="n">
        <v>43221</v>
      </c>
      <c r="D13353" t="inlineStr">
        <is>
          <t>NON-NIL</t>
        </is>
      </c>
      <c r="E13353" t="n">
        <v>2237</v>
      </c>
    </row>
    <row r="13354">
      <c r="A13354" t="inlineStr">
        <is>
          <t>27BBBBB13354Z5</t>
        </is>
      </c>
      <c r="B13354" t="inlineStr">
        <is>
          <t>Sep-2018</t>
        </is>
      </c>
      <c r="C13354" s="2" t="n">
        <v>44230</v>
      </c>
      <c r="D13354" t="inlineStr">
        <is>
          <t>NIL</t>
        </is>
      </c>
      <c r="E13354" t="n">
        <v>1594</v>
      </c>
    </row>
    <row r="13355">
      <c r="A13355" t="inlineStr">
        <is>
          <t>27BBBBB13355Z5</t>
        </is>
      </c>
      <c r="B13355" t="inlineStr">
        <is>
          <t>Dec-2017</t>
        </is>
      </c>
      <c r="C13355" s="2" t="n">
        <v>44479</v>
      </c>
      <c r="D13355" t="inlineStr">
        <is>
          <t>NIL</t>
        </is>
      </c>
      <c r="E13355" t="n">
        <v>2251</v>
      </c>
    </row>
    <row r="13356">
      <c r="A13356" t="inlineStr">
        <is>
          <t>27BBBBB13356Z5</t>
        </is>
      </c>
      <c r="B13356" t="inlineStr">
        <is>
          <t>Apr-2018</t>
        </is>
      </c>
      <c r="C13356" s="2" t="n">
        <v>43961</v>
      </c>
      <c r="D13356" t="inlineStr">
        <is>
          <t>NIL</t>
        </is>
      </c>
      <c r="E13356" t="n">
        <v>1837</v>
      </c>
    </row>
    <row r="13357">
      <c r="A13357" t="inlineStr">
        <is>
          <t>27BBBBB13357Z5</t>
        </is>
      </c>
      <c r="B13357" t="inlineStr">
        <is>
          <t>Sep-2018</t>
        </is>
      </c>
      <c r="C13357" s="2" t="n">
        <v>43443</v>
      </c>
      <c r="D13357" t="inlineStr">
        <is>
          <t>NON-NIL</t>
        </is>
      </c>
      <c r="E13357" t="n">
        <v>1301</v>
      </c>
    </row>
    <row r="13358">
      <c r="A13358" t="inlineStr">
        <is>
          <t>27BBBBB13358Z5</t>
        </is>
      </c>
      <c r="B13358" t="inlineStr">
        <is>
          <t>Mar-2023</t>
        </is>
      </c>
      <c r="C13358" s="2" t="n">
        <v>45627</v>
      </c>
      <c r="D13358" t="inlineStr">
        <is>
          <t>NON-NIL</t>
        </is>
      </c>
      <c r="E13358" t="n">
        <v>2291</v>
      </c>
    </row>
    <row r="13359">
      <c r="A13359" t="inlineStr">
        <is>
          <t>27BBBBB13359Z5</t>
        </is>
      </c>
      <c r="B13359" t="inlineStr">
        <is>
          <t>Jan-2021</t>
        </is>
      </c>
      <c r="C13359" s="2" t="n">
        <v>43952</v>
      </c>
      <c r="D13359" t="inlineStr">
        <is>
          <t>NIL</t>
        </is>
      </c>
      <c r="E13359" t="n">
        <v>1717</v>
      </c>
    </row>
    <row r="13360">
      <c r="A13360" t="inlineStr">
        <is>
          <t>27BBBBB13360Z5</t>
        </is>
      </c>
      <c r="B13360" t="inlineStr">
        <is>
          <t>Jul-2018</t>
        </is>
      </c>
      <c r="C13360" s="2" t="n">
        <v>43131</v>
      </c>
      <c r="D13360" t="inlineStr">
        <is>
          <t>NON-NIL</t>
        </is>
      </c>
      <c r="E13360" t="n">
        <v>986</v>
      </c>
    </row>
    <row r="13361">
      <c r="A13361" t="inlineStr">
        <is>
          <t>27BBBBB13361Z5</t>
        </is>
      </c>
      <c r="B13361" t="inlineStr">
        <is>
          <t>May-2020</t>
        </is>
      </c>
      <c r="C13361" s="2" t="n">
        <v>44395</v>
      </c>
      <c r="D13361" t="inlineStr">
        <is>
          <t>NON-NIL</t>
        </is>
      </c>
      <c r="E13361" t="n">
        <v>1193</v>
      </c>
    </row>
    <row r="13362">
      <c r="A13362" t="inlineStr">
        <is>
          <t>27BBBBB13362Z5</t>
        </is>
      </c>
      <c r="B13362" t="inlineStr">
        <is>
          <t>Dec-2017</t>
        </is>
      </c>
      <c r="C13362" s="2" t="n">
        <v>43297</v>
      </c>
      <c r="D13362" t="inlineStr">
        <is>
          <t>NIL</t>
        </is>
      </c>
      <c r="E13362" t="n">
        <v>2375</v>
      </c>
    </row>
    <row r="13363">
      <c r="A13363" t="inlineStr">
        <is>
          <t>27BBBBB13363Z5</t>
        </is>
      </c>
      <c r="B13363" t="inlineStr">
        <is>
          <t>Apr-2020</t>
        </is>
      </c>
      <c r="C13363" s="2" t="n">
        <v>43974</v>
      </c>
      <c r="D13363" t="inlineStr">
        <is>
          <t>NON-NIL</t>
        </is>
      </c>
      <c r="E13363" t="n">
        <v>805</v>
      </c>
    </row>
    <row r="13364">
      <c r="A13364" t="inlineStr">
        <is>
          <t>27BBBBB13364Z5</t>
        </is>
      </c>
      <c r="B13364" t="inlineStr">
        <is>
          <t>Oct-2017</t>
        </is>
      </c>
      <c r="C13364" s="2" t="n">
        <v>43651</v>
      </c>
      <c r="D13364" t="inlineStr">
        <is>
          <t>NIL</t>
        </is>
      </c>
      <c r="E13364" t="n">
        <v>2760</v>
      </c>
    </row>
    <row r="13365">
      <c r="A13365" t="inlineStr">
        <is>
          <t>27BBBBB13365Z5</t>
        </is>
      </c>
      <c r="B13365" t="inlineStr">
        <is>
          <t>Mar-2020</t>
        </is>
      </c>
      <c r="C13365" s="2" t="n">
        <v>44731</v>
      </c>
      <c r="D13365" t="inlineStr">
        <is>
          <t>NIL</t>
        </is>
      </c>
      <c r="E13365" t="n">
        <v>1972</v>
      </c>
    </row>
    <row r="13366">
      <c r="A13366" t="inlineStr">
        <is>
          <t>27BBBBB13366Z5</t>
        </is>
      </c>
      <c r="B13366" t="inlineStr">
        <is>
          <t>Oct-2017</t>
        </is>
      </c>
      <c r="C13366" s="2" t="n">
        <v>44220</v>
      </c>
      <c r="D13366" t="inlineStr">
        <is>
          <t>NIL</t>
        </is>
      </c>
      <c r="E13366" t="n">
        <v>629</v>
      </c>
    </row>
    <row r="13367">
      <c r="A13367" t="inlineStr">
        <is>
          <t>27BBBBB13367Z5</t>
        </is>
      </c>
      <c r="B13367" t="inlineStr">
        <is>
          <t>May-2020</t>
        </is>
      </c>
      <c r="C13367" s="2" t="n">
        <v>43911</v>
      </c>
      <c r="D13367" t="inlineStr">
        <is>
          <t>NIL</t>
        </is>
      </c>
      <c r="E13367" t="n">
        <v>2636</v>
      </c>
    </row>
    <row r="13368">
      <c r="A13368" t="inlineStr">
        <is>
          <t>27BBBBB13368Z5</t>
        </is>
      </c>
      <c r="B13368" t="inlineStr">
        <is>
          <t>Mar-2021</t>
        </is>
      </c>
      <c r="C13368" s="2" t="n">
        <v>44354</v>
      </c>
      <c r="D13368" t="inlineStr">
        <is>
          <t>NON-NIL</t>
        </is>
      </c>
      <c r="E13368" t="n">
        <v>2487</v>
      </c>
    </row>
    <row r="13369">
      <c r="A13369" t="inlineStr">
        <is>
          <t>27BBBBB13369Z5</t>
        </is>
      </c>
      <c r="B13369" t="inlineStr">
        <is>
          <t>Dec-2017</t>
        </is>
      </c>
      <c r="C13369" s="2" t="n">
        <v>43662</v>
      </c>
      <c r="D13369" t="inlineStr">
        <is>
          <t>NIL</t>
        </is>
      </c>
      <c r="E13369" t="n">
        <v>2505</v>
      </c>
    </row>
    <row r="13370">
      <c r="A13370" t="inlineStr">
        <is>
          <t>27BBBBB13370Z5</t>
        </is>
      </c>
      <c r="B13370" t="inlineStr">
        <is>
          <t>Jul-2020</t>
        </is>
      </c>
      <c r="C13370" s="2" t="n">
        <v>44655</v>
      </c>
      <c r="D13370" t="inlineStr">
        <is>
          <t>NIL</t>
        </is>
      </c>
      <c r="E13370" t="n">
        <v>2248</v>
      </c>
    </row>
    <row r="13371">
      <c r="A13371" t="inlineStr">
        <is>
          <t>27BBBBB13371Z5</t>
        </is>
      </c>
      <c r="B13371" t="inlineStr">
        <is>
          <t>Feb-2018</t>
        </is>
      </c>
      <c r="C13371" s="2" t="n">
        <v>42953</v>
      </c>
      <c r="D13371" t="inlineStr">
        <is>
          <t>NIL</t>
        </is>
      </c>
      <c r="E13371" t="n">
        <v>2088</v>
      </c>
    </row>
    <row r="13372">
      <c r="A13372" t="inlineStr">
        <is>
          <t>27BBBBB13372Z5</t>
        </is>
      </c>
      <c r="B13372" t="inlineStr">
        <is>
          <t>Aug-2018</t>
        </is>
      </c>
      <c r="C13372" s="2" t="n">
        <v>43272</v>
      </c>
      <c r="D13372" t="inlineStr">
        <is>
          <t>NIL</t>
        </is>
      </c>
      <c r="E13372" t="n">
        <v>2299</v>
      </c>
    </row>
    <row r="13373">
      <c r="A13373" t="inlineStr">
        <is>
          <t>27BBBBB13373Z5</t>
        </is>
      </c>
      <c r="B13373" t="inlineStr">
        <is>
          <t>Apr-2020</t>
        </is>
      </c>
      <c r="C13373" s="2" t="n">
        <v>44304</v>
      </c>
      <c r="D13373" t="inlineStr">
        <is>
          <t>NIL</t>
        </is>
      </c>
      <c r="E13373" t="n">
        <v>2229</v>
      </c>
    </row>
    <row r="13374">
      <c r="A13374" t="inlineStr">
        <is>
          <t>27BBBBB13374Z5</t>
        </is>
      </c>
      <c r="B13374" t="inlineStr">
        <is>
          <t>Mar-2018</t>
        </is>
      </c>
      <c r="C13374" s="2" t="n">
        <v>43004</v>
      </c>
      <c r="D13374" t="inlineStr">
        <is>
          <t>NIL</t>
        </is>
      </c>
      <c r="E13374" t="n">
        <v>1896</v>
      </c>
    </row>
    <row r="13375">
      <c r="A13375" t="inlineStr">
        <is>
          <t>27BBBBB13375Z5</t>
        </is>
      </c>
      <c r="B13375" t="inlineStr">
        <is>
          <t>Nov-2018</t>
        </is>
      </c>
      <c r="C13375" s="2" t="n">
        <v>43201</v>
      </c>
      <c r="D13375" t="inlineStr">
        <is>
          <t>NON-NIL</t>
        </is>
      </c>
      <c r="E13375" t="n">
        <v>2723</v>
      </c>
    </row>
    <row r="13376">
      <c r="A13376" t="inlineStr">
        <is>
          <t>27BBBBB13376Z5</t>
        </is>
      </c>
      <c r="B13376" t="inlineStr">
        <is>
          <t>May-2020</t>
        </is>
      </c>
      <c r="C13376" s="2" t="n">
        <v>44257</v>
      </c>
      <c r="D13376" t="inlineStr">
        <is>
          <t>NIL</t>
        </is>
      </c>
      <c r="E13376" t="n">
        <v>2783</v>
      </c>
    </row>
    <row r="13377">
      <c r="A13377" t="inlineStr">
        <is>
          <t>27BBBBB13377Z5</t>
        </is>
      </c>
      <c r="B13377" t="inlineStr">
        <is>
          <t>Jan-2018</t>
        </is>
      </c>
      <c r="C13377" s="2" t="n">
        <v>43266</v>
      </c>
      <c r="D13377" t="inlineStr">
        <is>
          <t>NON-NIL</t>
        </is>
      </c>
      <c r="E13377" t="n">
        <v>428</v>
      </c>
    </row>
    <row r="13378">
      <c r="A13378" t="inlineStr">
        <is>
          <t>27BBBBB13378Z5</t>
        </is>
      </c>
      <c r="B13378" t="inlineStr">
        <is>
          <t>Mar-2020</t>
        </is>
      </c>
      <c r="C13378" s="2" t="n">
        <v>44030</v>
      </c>
      <c r="D13378" t="inlineStr">
        <is>
          <t>NIL</t>
        </is>
      </c>
      <c r="E13378" t="n">
        <v>2613</v>
      </c>
    </row>
    <row r="13379">
      <c r="A13379" t="inlineStr">
        <is>
          <t>27BBBBB13379Z5</t>
        </is>
      </c>
      <c r="B13379" t="inlineStr">
        <is>
          <t>Aug-2017</t>
        </is>
      </c>
      <c r="C13379" s="2" t="n">
        <v>44311</v>
      </c>
      <c r="D13379" t="inlineStr">
        <is>
          <t>NIL</t>
        </is>
      </c>
      <c r="E13379" t="n">
        <v>525</v>
      </c>
    </row>
    <row r="13380">
      <c r="A13380" t="inlineStr">
        <is>
          <t>27BBBBB13380Z5</t>
        </is>
      </c>
      <c r="B13380" t="inlineStr">
        <is>
          <t>Dec-2024</t>
        </is>
      </c>
      <c r="C13380" s="2" t="n">
        <v>44879</v>
      </c>
      <c r="D13380" t="inlineStr">
        <is>
          <t>NIL</t>
        </is>
      </c>
      <c r="E13380" t="n">
        <v>1704</v>
      </c>
    </row>
    <row r="13381">
      <c r="A13381" t="inlineStr">
        <is>
          <t>27BBBBB13381Z5</t>
        </is>
      </c>
      <c r="B13381" t="inlineStr">
        <is>
          <t>Feb-2018</t>
        </is>
      </c>
      <c r="C13381" s="2" t="n">
        <v>43349</v>
      </c>
      <c r="D13381" t="inlineStr">
        <is>
          <t>NON-NIL</t>
        </is>
      </c>
      <c r="E13381" t="n">
        <v>1377</v>
      </c>
    </row>
    <row r="13382">
      <c r="A13382" t="inlineStr">
        <is>
          <t>27BBBBB13382Z5</t>
        </is>
      </c>
      <c r="B13382" t="inlineStr">
        <is>
          <t>Jan-2018</t>
        </is>
      </c>
      <c r="C13382" s="2" t="n">
        <v>44449</v>
      </c>
      <c r="D13382" t="inlineStr">
        <is>
          <t>NON-NIL</t>
        </is>
      </c>
      <c r="E13382" t="n">
        <v>750</v>
      </c>
    </row>
    <row r="13383">
      <c r="A13383" t="inlineStr">
        <is>
          <t>27BBBBB13383Z5</t>
        </is>
      </c>
      <c r="B13383" t="inlineStr">
        <is>
          <t>May-2020</t>
        </is>
      </c>
      <c r="C13383" s="2" t="n">
        <v>44056</v>
      </c>
      <c r="D13383" t="inlineStr">
        <is>
          <t>NIL</t>
        </is>
      </c>
      <c r="E13383" t="n">
        <v>1531</v>
      </c>
    </row>
    <row r="13384">
      <c r="A13384" t="inlineStr">
        <is>
          <t>27BBBBB13384Z5</t>
        </is>
      </c>
      <c r="B13384" t="inlineStr">
        <is>
          <t>Jun-2018</t>
        </is>
      </c>
      <c r="C13384" s="2" t="n">
        <v>44026</v>
      </c>
      <c r="D13384" t="inlineStr">
        <is>
          <t>NIL</t>
        </is>
      </c>
      <c r="E13384" t="n">
        <v>290</v>
      </c>
    </row>
    <row r="13385">
      <c r="A13385" t="inlineStr">
        <is>
          <t>27BBBBB13385Z5</t>
        </is>
      </c>
      <c r="B13385" t="inlineStr">
        <is>
          <t>Apr-2020</t>
        </is>
      </c>
      <c r="C13385" s="2" t="n">
        <v>44920</v>
      </c>
      <c r="D13385" t="inlineStr">
        <is>
          <t>NIL</t>
        </is>
      </c>
      <c r="E13385" t="n">
        <v>501</v>
      </c>
    </row>
    <row r="13386">
      <c r="A13386" t="inlineStr">
        <is>
          <t>27BBBBB13386Z5</t>
        </is>
      </c>
      <c r="B13386" t="inlineStr">
        <is>
          <t>Aug-2017</t>
        </is>
      </c>
      <c r="C13386" s="2" t="n">
        <v>43382</v>
      </c>
      <c r="D13386" t="inlineStr">
        <is>
          <t>NIL</t>
        </is>
      </c>
      <c r="E13386" t="n">
        <v>2806</v>
      </c>
    </row>
    <row r="13387">
      <c r="A13387" t="inlineStr">
        <is>
          <t>27BBBBB13387Z5</t>
        </is>
      </c>
      <c r="B13387" t="inlineStr">
        <is>
          <t>Jun-2018</t>
        </is>
      </c>
      <c r="C13387" s="2" t="n">
        <v>43222</v>
      </c>
      <c r="D13387" t="inlineStr">
        <is>
          <t>NON-NIL</t>
        </is>
      </c>
      <c r="E13387" t="n">
        <v>83</v>
      </c>
    </row>
    <row r="13388">
      <c r="A13388" t="inlineStr">
        <is>
          <t>27BBBBB13388Z5</t>
        </is>
      </c>
      <c r="B13388" t="inlineStr">
        <is>
          <t>Jan-2018</t>
        </is>
      </c>
      <c r="C13388" s="2" t="n">
        <v>43433</v>
      </c>
      <c r="D13388" t="inlineStr">
        <is>
          <t>NON-NIL</t>
        </is>
      </c>
      <c r="E13388" t="n">
        <v>2991</v>
      </c>
    </row>
    <row r="13389">
      <c r="A13389" t="inlineStr">
        <is>
          <t>27BBBBB13389Z5</t>
        </is>
      </c>
      <c r="B13389" t="inlineStr">
        <is>
          <t>Sep-2017</t>
        </is>
      </c>
      <c r="C13389" s="2" t="n">
        <v>44012</v>
      </c>
      <c r="D13389" t="inlineStr">
        <is>
          <t>NON-NIL</t>
        </is>
      </c>
      <c r="E13389" t="n">
        <v>1254</v>
      </c>
    </row>
    <row r="13390">
      <c r="A13390" t="inlineStr">
        <is>
          <t>27BBBBB13390Z5</t>
        </is>
      </c>
      <c r="B13390" t="inlineStr">
        <is>
          <t>Mar-2021</t>
        </is>
      </c>
      <c r="C13390" s="2" t="n">
        <v>43698</v>
      </c>
      <c r="D13390" t="inlineStr">
        <is>
          <t>NON-NIL</t>
        </is>
      </c>
      <c r="E13390" t="n">
        <v>861</v>
      </c>
    </row>
    <row r="13391">
      <c r="A13391" t="inlineStr">
        <is>
          <t>27BBBBB13391Z5</t>
        </is>
      </c>
      <c r="B13391" t="inlineStr">
        <is>
          <t>Nov-2018</t>
        </is>
      </c>
      <c r="C13391" s="2" t="n">
        <v>44358</v>
      </c>
      <c r="D13391" t="inlineStr">
        <is>
          <t>NIL</t>
        </is>
      </c>
      <c r="E13391" t="n">
        <v>2034</v>
      </c>
    </row>
    <row r="13392">
      <c r="A13392" t="inlineStr">
        <is>
          <t>27BBBBB13392Z5</t>
        </is>
      </c>
      <c r="B13392" t="inlineStr">
        <is>
          <t>Jun-2018</t>
        </is>
      </c>
      <c r="C13392" s="2" t="n">
        <v>43652</v>
      </c>
      <c r="D13392" t="inlineStr">
        <is>
          <t>NON-NIL</t>
        </is>
      </c>
      <c r="E13392" t="n">
        <v>147</v>
      </c>
    </row>
    <row r="13393">
      <c r="A13393" t="inlineStr">
        <is>
          <t>27BBBBB13393Z5</t>
        </is>
      </c>
      <c r="B13393" t="inlineStr">
        <is>
          <t>May-2018</t>
        </is>
      </c>
      <c r="C13393" s="2" t="n">
        <v>44479</v>
      </c>
      <c r="D13393" t="inlineStr">
        <is>
          <t>NON-NIL</t>
        </is>
      </c>
      <c r="E13393" t="n">
        <v>2739</v>
      </c>
    </row>
    <row r="13394">
      <c r="A13394" t="inlineStr">
        <is>
          <t>27BBBBB13394Z5</t>
        </is>
      </c>
      <c r="B13394" t="inlineStr">
        <is>
          <t>May-2020</t>
        </is>
      </c>
      <c r="C13394" s="2" t="n">
        <v>44482</v>
      </c>
      <c r="D13394" t="inlineStr">
        <is>
          <t>NON-NIL</t>
        </is>
      </c>
      <c r="E13394" t="n">
        <v>1246</v>
      </c>
    </row>
    <row r="13395">
      <c r="A13395" t="inlineStr">
        <is>
          <t>27BBBBB13395Z5</t>
        </is>
      </c>
      <c r="B13395" t="inlineStr">
        <is>
          <t>Mar-2018</t>
        </is>
      </c>
      <c r="C13395" s="2" t="n">
        <v>43564</v>
      </c>
      <c r="D13395" t="inlineStr">
        <is>
          <t>NIL</t>
        </is>
      </c>
      <c r="E13395" t="n">
        <v>1641</v>
      </c>
    </row>
    <row r="13396">
      <c r="A13396" t="inlineStr">
        <is>
          <t>27BBBBB13396Z5</t>
        </is>
      </c>
      <c r="B13396" t="inlineStr">
        <is>
          <t>Apr-2018</t>
        </is>
      </c>
      <c r="C13396" s="2" t="n">
        <v>43718</v>
      </c>
      <c r="D13396" t="inlineStr">
        <is>
          <t>NON-NIL</t>
        </is>
      </c>
      <c r="E13396" t="n">
        <v>99</v>
      </c>
    </row>
    <row r="13397">
      <c r="A13397" t="inlineStr">
        <is>
          <t>27BBBBB13397Z5</t>
        </is>
      </c>
      <c r="B13397" t="inlineStr">
        <is>
          <t>Oct-2018</t>
        </is>
      </c>
      <c r="C13397" s="2" t="n">
        <v>43254</v>
      </c>
      <c r="D13397" t="inlineStr">
        <is>
          <t>NIL</t>
        </is>
      </c>
      <c r="E13397" t="n">
        <v>373</v>
      </c>
    </row>
    <row r="13398">
      <c r="A13398" t="inlineStr">
        <is>
          <t>27BBBBB13398Z5</t>
        </is>
      </c>
      <c r="B13398" t="inlineStr">
        <is>
          <t>Dec-2022</t>
        </is>
      </c>
      <c r="C13398" s="2" t="n">
        <v>44488</v>
      </c>
      <c r="D13398" t="inlineStr">
        <is>
          <t>NON-NIL</t>
        </is>
      </c>
      <c r="E13398" t="n">
        <v>441</v>
      </c>
    </row>
    <row r="13399">
      <c r="A13399" t="inlineStr">
        <is>
          <t>27BBBBB13399Z5</t>
        </is>
      </c>
      <c r="B13399" t="inlineStr">
        <is>
          <t>Apr-2020</t>
        </is>
      </c>
      <c r="C13399" s="2" t="n">
        <v>44032</v>
      </c>
      <c r="D13399" t="inlineStr">
        <is>
          <t>NON-NIL</t>
        </is>
      </c>
      <c r="E13399" t="n">
        <v>623</v>
      </c>
    </row>
    <row r="13400">
      <c r="A13400" t="inlineStr">
        <is>
          <t>27BBBBB13400Z5</t>
        </is>
      </c>
      <c r="B13400" t="inlineStr">
        <is>
          <t>Dec-2018</t>
        </is>
      </c>
      <c r="C13400" s="2" t="n">
        <v>43971</v>
      </c>
      <c r="D13400" t="inlineStr">
        <is>
          <t>NON-NIL</t>
        </is>
      </c>
      <c r="E13400" t="n">
        <v>1122</v>
      </c>
    </row>
    <row r="13401">
      <c r="A13401" t="inlineStr">
        <is>
          <t>27BBBBB13401Z5</t>
        </is>
      </c>
      <c r="B13401" t="inlineStr">
        <is>
          <t>Dec-2018</t>
        </is>
      </c>
      <c r="C13401" s="2" t="n">
        <v>43367</v>
      </c>
      <c r="D13401" t="inlineStr">
        <is>
          <t>NON-NIL</t>
        </is>
      </c>
      <c r="E13401" t="n">
        <v>2002</v>
      </c>
    </row>
    <row r="13402">
      <c r="A13402" t="inlineStr">
        <is>
          <t>27BBBBB13402Z5</t>
        </is>
      </c>
      <c r="B13402" t="inlineStr">
        <is>
          <t>Mar-2021</t>
        </is>
      </c>
      <c r="C13402" s="2" t="n">
        <v>44842</v>
      </c>
      <c r="D13402" t="inlineStr">
        <is>
          <t>NIL</t>
        </is>
      </c>
      <c r="E13402" t="n">
        <v>2853</v>
      </c>
    </row>
    <row r="13403">
      <c r="A13403" t="inlineStr">
        <is>
          <t>27BBBBB13403Z5</t>
        </is>
      </c>
      <c r="B13403" t="inlineStr">
        <is>
          <t>Sep-2017</t>
        </is>
      </c>
      <c r="C13403" s="2" t="n">
        <v>43529</v>
      </c>
      <c r="D13403" t="inlineStr">
        <is>
          <t>NIL</t>
        </is>
      </c>
      <c r="E13403" t="n">
        <v>2152</v>
      </c>
    </row>
    <row r="13404">
      <c r="A13404" t="inlineStr">
        <is>
          <t>27BBBBB13404Z5</t>
        </is>
      </c>
      <c r="B13404" t="inlineStr">
        <is>
          <t>Oct-2017</t>
        </is>
      </c>
      <c r="C13404" s="2" t="n">
        <v>43020</v>
      </c>
      <c r="D13404" t="inlineStr">
        <is>
          <t>NIL</t>
        </is>
      </c>
      <c r="E13404" t="n">
        <v>1643</v>
      </c>
    </row>
    <row r="13405">
      <c r="A13405" t="inlineStr">
        <is>
          <t>27BBBBB13405Z5</t>
        </is>
      </c>
      <c r="B13405" t="inlineStr">
        <is>
          <t>Nov-2017</t>
        </is>
      </c>
      <c r="C13405" s="2" t="n">
        <v>43395</v>
      </c>
      <c r="D13405" t="inlineStr">
        <is>
          <t>NIL</t>
        </is>
      </c>
      <c r="E13405" t="n">
        <v>851</v>
      </c>
    </row>
    <row r="13406">
      <c r="A13406" t="inlineStr">
        <is>
          <t>27BBBBB13406Z5</t>
        </is>
      </c>
      <c r="B13406" t="inlineStr">
        <is>
          <t>Nov-2017</t>
        </is>
      </c>
      <c r="C13406" s="2" t="n">
        <v>44183</v>
      </c>
      <c r="D13406" t="inlineStr">
        <is>
          <t>NON-NIL</t>
        </is>
      </c>
      <c r="E13406" t="n">
        <v>339</v>
      </c>
    </row>
    <row r="13407">
      <c r="A13407" t="inlineStr">
        <is>
          <t>27BBBBB13407Z5</t>
        </is>
      </c>
      <c r="B13407" t="inlineStr">
        <is>
          <t>Mar-2020</t>
        </is>
      </c>
      <c r="C13407" s="2" t="n">
        <v>44329</v>
      </c>
      <c r="D13407" t="inlineStr">
        <is>
          <t>NIL</t>
        </is>
      </c>
      <c r="E13407" t="n">
        <v>36</v>
      </c>
    </row>
    <row r="13408">
      <c r="A13408" t="inlineStr">
        <is>
          <t>27BBBBB13408Z5</t>
        </is>
      </c>
      <c r="B13408" t="inlineStr">
        <is>
          <t>Nov-2017</t>
        </is>
      </c>
      <c r="C13408" s="2" t="n">
        <v>43004</v>
      </c>
      <c r="D13408" t="inlineStr">
        <is>
          <t>NON-NIL</t>
        </is>
      </c>
      <c r="E13408" t="n">
        <v>2510</v>
      </c>
    </row>
    <row r="13409">
      <c r="A13409" t="inlineStr">
        <is>
          <t>27BBBBB13409Z5</t>
        </is>
      </c>
      <c r="B13409" t="inlineStr">
        <is>
          <t>Jul-2017</t>
        </is>
      </c>
      <c r="C13409" s="2" t="n">
        <v>43711</v>
      </c>
      <c r="D13409" t="inlineStr">
        <is>
          <t>NON-NIL</t>
        </is>
      </c>
      <c r="E13409" t="n">
        <v>1825</v>
      </c>
    </row>
    <row r="13410">
      <c r="A13410" t="inlineStr">
        <is>
          <t>27BBBBB13410Z5</t>
        </is>
      </c>
      <c r="B13410" t="inlineStr">
        <is>
          <t>Jan-2018</t>
        </is>
      </c>
      <c r="C13410" s="2" t="n">
        <v>44154</v>
      </c>
      <c r="D13410" t="inlineStr">
        <is>
          <t>NON-NIL</t>
        </is>
      </c>
      <c r="E13410" t="n">
        <v>2922</v>
      </c>
    </row>
    <row r="13411">
      <c r="A13411" t="inlineStr">
        <is>
          <t>27BBBBB13411Z5</t>
        </is>
      </c>
      <c r="B13411" t="inlineStr">
        <is>
          <t>Nov-2018</t>
        </is>
      </c>
      <c r="C13411" s="2" t="n">
        <v>42990</v>
      </c>
      <c r="D13411" t="inlineStr">
        <is>
          <t>NIL</t>
        </is>
      </c>
      <c r="E13411" t="n">
        <v>2228</v>
      </c>
    </row>
    <row r="13412">
      <c r="A13412" t="inlineStr">
        <is>
          <t>27BBBBB13412Z5</t>
        </is>
      </c>
      <c r="B13412" t="inlineStr">
        <is>
          <t>Jan-2021</t>
        </is>
      </c>
      <c r="C13412" s="2" t="n">
        <v>43870</v>
      </c>
      <c r="D13412" t="inlineStr">
        <is>
          <t>NON-NIL</t>
        </is>
      </c>
      <c r="E13412" t="n">
        <v>1082</v>
      </c>
    </row>
    <row r="13413">
      <c r="A13413" t="inlineStr">
        <is>
          <t>27BBBBB13413Z5</t>
        </is>
      </c>
      <c r="B13413" t="inlineStr">
        <is>
          <t>Apr-2018</t>
        </is>
      </c>
      <c r="C13413" s="2" t="n">
        <v>43061</v>
      </c>
      <c r="D13413" t="inlineStr">
        <is>
          <t>NIL</t>
        </is>
      </c>
      <c r="E13413" t="n">
        <v>1910</v>
      </c>
    </row>
    <row r="13414">
      <c r="A13414" t="inlineStr">
        <is>
          <t>27BBBBB13414Z5</t>
        </is>
      </c>
      <c r="B13414" t="inlineStr">
        <is>
          <t>Aug-2017</t>
        </is>
      </c>
      <c r="C13414" s="2" t="n">
        <v>44488</v>
      </c>
      <c r="D13414" t="inlineStr">
        <is>
          <t>NON-NIL</t>
        </is>
      </c>
      <c r="E13414" t="n">
        <v>642</v>
      </c>
    </row>
    <row r="13415">
      <c r="A13415" t="inlineStr">
        <is>
          <t>27BBBBB13415Z5</t>
        </is>
      </c>
      <c r="B13415" t="inlineStr">
        <is>
          <t>Jan-2021</t>
        </is>
      </c>
      <c r="C13415" s="2" t="n">
        <v>44453</v>
      </c>
      <c r="D13415" t="inlineStr">
        <is>
          <t>NIL</t>
        </is>
      </c>
      <c r="E13415" t="n">
        <v>2939</v>
      </c>
    </row>
    <row r="13416">
      <c r="A13416" t="inlineStr">
        <is>
          <t>27BBBBB13416Z5</t>
        </is>
      </c>
      <c r="B13416" t="inlineStr">
        <is>
          <t>Dec-2018</t>
        </is>
      </c>
      <c r="C13416" s="2" t="n">
        <v>44138</v>
      </c>
      <c r="D13416" t="inlineStr">
        <is>
          <t>NON-NIL</t>
        </is>
      </c>
      <c r="E13416" t="n">
        <v>1650</v>
      </c>
    </row>
    <row r="13417">
      <c r="A13417" t="inlineStr">
        <is>
          <t>27BBBBB13417Z5</t>
        </is>
      </c>
      <c r="B13417" t="inlineStr">
        <is>
          <t>Jul-2018</t>
        </is>
      </c>
      <c r="C13417" s="2" t="n">
        <v>43811</v>
      </c>
      <c r="D13417" t="inlineStr">
        <is>
          <t>NIL</t>
        </is>
      </c>
      <c r="E13417" t="n">
        <v>2540</v>
      </c>
    </row>
    <row r="13418">
      <c r="A13418" t="inlineStr">
        <is>
          <t>27BBBBB13418Z5</t>
        </is>
      </c>
      <c r="B13418" t="inlineStr">
        <is>
          <t>Nov-2018</t>
        </is>
      </c>
      <c r="C13418" s="2" t="n">
        <v>43065</v>
      </c>
      <c r="D13418" t="inlineStr">
        <is>
          <t>NON-NIL</t>
        </is>
      </c>
      <c r="E13418" t="n">
        <v>2094</v>
      </c>
    </row>
    <row r="13419">
      <c r="A13419" t="inlineStr">
        <is>
          <t>27BBBBB13419Z5</t>
        </is>
      </c>
      <c r="B13419" t="inlineStr">
        <is>
          <t>Nov-2018</t>
        </is>
      </c>
      <c r="C13419" s="2" t="n">
        <v>43304</v>
      </c>
      <c r="D13419" t="inlineStr">
        <is>
          <t>NON-NIL</t>
        </is>
      </c>
      <c r="E13419" t="n">
        <v>2088</v>
      </c>
    </row>
    <row r="13420">
      <c r="A13420" t="inlineStr">
        <is>
          <t>27BBBBB13420Z5</t>
        </is>
      </c>
      <c r="B13420" t="inlineStr">
        <is>
          <t>May-2020</t>
        </is>
      </c>
      <c r="C13420" s="2" t="n">
        <v>44393</v>
      </c>
      <c r="D13420" t="inlineStr">
        <is>
          <t>NIL</t>
        </is>
      </c>
      <c r="E13420" t="n">
        <v>1128</v>
      </c>
    </row>
    <row r="13421">
      <c r="A13421" t="inlineStr">
        <is>
          <t>27BBBBB13421Z5</t>
        </is>
      </c>
      <c r="B13421" t="inlineStr">
        <is>
          <t>May-2020</t>
        </is>
      </c>
      <c r="C13421" s="2" t="n">
        <v>44021</v>
      </c>
      <c r="D13421" t="inlineStr">
        <is>
          <t>NON-NIL</t>
        </is>
      </c>
      <c r="E13421" t="n">
        <v>1773</v>
      </c>
    </row>
    <row r="13422">
      <c r="A13422" t="inlineStr">
        <is>
          <t>27BBBBB13422Z5</t>
        </is>
      </c>
      <c r="B13422" t="inlineStr">
        <is>
          <t>Mar-2021</t>
        </is>
      </c>
      <c r="C13422" s="2" t="n">
        <v>44872</v>
      </c>
      <c r="D13422" t="inlineStr">
        <is>
          <t>NIL</t>
        </is>
      </c>
      <c r="E13422" t="n">
        <v>1005</v>
      </c>
    </row>
    <row r="13423">
      <c r="A13423" t="inlineStr">
        <is>
          <t>27BBBBB13423Z5</t>
        </is>
      </c>
      <c r="B13423" t="inlineStr">
        <is>
          <t>Aug-2018</t>
        </is>
      </c>
      <c r="C13423" s="2" t="n">
        <v>42949</v>
      </c>
      <c r="D13423" t="inlineStr">
        <is>
          <t>NIL</t>
        </is>
      </c>
      <c r="E13423" t="n">
        <v>2457</v>
      </c>
    </row>
    <row r="13424">
      <c r="A13424" t="inlineStr">
        <is>
          <t>27BBBBB13424Z5</t>
        </is>
      </c>
      <c r="B13424" t="inlineStr">
        <is>
          <t>Sep-2017</t>
        </is>
      </c>
      <c r="C13424" s="2" t="n">
        <v>44152</v>
      </c>
      <c r="D13424" t="inlineStr">
        <is>
          <t>NIL</t>
        </is>
      </c>
      <c r="E13424" t="n">
        <v>87</v>
      </c>
    </row>
    <row r="13425">
      <c r="A13425" t="inlineStr">
        <is>
          <t>27BBBBB13425Z5</t>
        </is>
      </c>
      <c r="B13425" t="inlineStr">
        <is>
          <t>Jun-2018</t>
        </is>
      </c>
      <c r="C13425" s="2" t="n">
        <v>44298</v>
      </c>
      <c r="D13425" t="inlineStr">
        <is>
          <t>NIL</t>
        </is>
      </c>
      <c r="E13425" t="n">
        <v>633</v>
      </c>
    </row>
    <row r="13426">
      <c r="A13426" t="inlineStr">
        <is>
          <t>27BBBBB13426Z5</t>
        </is>
      </c>
      <c r="B13426" t="inlineStr">
        <is>
          <t>Sep-2018</t>
        </is>
      </c>
      <c r="C13426" s="2" t="n">
        <v>43049</v>
      </c>
      <c r="D13426" t="inlineStr">
        <is>
          <t>NIL</t>
        </is>
      </c>
      <c r="E13426" t="n">
        <v>245</v>
      </c>
    </row>
    <row r="13427">
      <c r="A13427" t="inlineStr">
        <is>
          <t>27BBBBB13427Z5</t>
        </is>
      </c>
      <c r="B13427" t="inlineStr">
        <is>
          <t>Mar-2020</t>
        </is>
      </c>
      <c r="C13427" s="2" t="n">
        <v>44886</v>
      </c>
      <c r="D13427" t="inlineStr">
        <is>
          <t>NON-NIL</t>
        </is>
      </c>
      <c r="E13427" t="n">
        <v>1083</v>
      </c>
    </row>
    <row r="13428">
      <c r="A13428" t="inlineStr">
        <is>
          <t>27BBBBB13428Z5</t>
        </is>
      </c>
      <c r="B13428" t="inlineStr">
        <is>
          <t>Dec-2022</t>
        </is>
      </c>
      <c r="C13428" s="2" t="n">
        <v>45133</v>
      </c>
      <c r="D13428" t="inlineStr">
        <is>
          <t>NON-NIL</t>
        </is>
      </c>
      <c r="E13428" t="n">
        <v>553</v>
      </c>
    </row>
    <row r="13429">
      <c r="A13429" t="inlineStr">
        <is>
          <t>27BBBBB13429Z5</t>
        </is>
      </c>
      <c r="B13429" t="inlineStr">
        <is>
          <t>Apr-2018</t>
        </is>
      </c>
      <c r="C13429" s="2" t="n">
        <v>44213</v>
      </c>
      <c r="D13429" t="inlineStr">
        <is>
          <t>NIL</t>
        </is>
      </c>
      <c r="E13429" t="n">
        <v>1746</v>
      </c>
    </row>
    <row r="13430">
      <c r="A13430" t="inlineStr">
        <is>
          <t>27BBBBB13430Z5</t>
        </is>
      </c>
      <c r="B13430" t="inlineStr">
        <is>
          <t>Jun-2018</t>
        </is>
      </c>
      <c r="C13430" s="2" t="n">
        <v>43192</v>
      </c>
      <c r="D13430" t="inlineStr">
        <is>
          <t>NIL</t>
        </is>
      </c>
      <c r="E13430" t="n">
        <v>1146</v>
      </c>
    </row>
    <row r="13431">
      <c r="A13431" t="inlineStr">
        <is>
          <t>27BBBBB13431Z5</t>
        </is>
      </c>
      <c r="B13431" t="inlineStr">
        <is>
          <t>Jan-2018</t>
        </is>
      </c>
      <c r="C13431" s="2" t="n">
        <v>43035</v>
      </c>
      <c r="D13431" t="inlineStr">
        <is>
          <t>NON-NIL</t>
        </is>
      </c>
      <c r="E13431" t="n">
        <v>175</v>
      </c>
    </row>
    <row r="13432">
      <c r="A13432" t="inlineStr">
        <is>
          <t>27BBBBB13432Z5</t>
        </is>
      </c>
      <c r="B13432" t="inlineStr">
        <is>
          <t>Jul-2018</t>
        </is>
      </c>
      <c r="C13432" s="2" t="n">
        <v>43366</v>
      </c>
      <c r="D13432" t="inlineStr">
        <is>
          <t>NIL</t>
        </is>
      </c>
      <c r="E13432" t="n">
        <v>1424</v>
      </c>
    </row>
    <row r="13433">
      <c r="A13433" t="inlineStr">
        <is>
          <t>27BBBBB13433Z5</t>
        </is>
      </c>
      <c r="B13433" t="inlineStr">
        <is>
          <t>Jan-2021</t>
        </is>
      </c>
      <c r="C13433" s="2" t="n">
        <v>44059</v>
      </c>
      <c r="D13433" t="inlineStr">
        <is>
          <t>NON-NIL</t>
        </is>
      </c>
      <c r="E13433" t="n">
        <v>1575</v>
      </c>
    </row>
    <row r="13434">
      <c r="A13434" t="inlineStr">
        <is>
          <t>27BBBBB13434Z5</t>
        </is>
      </c>
      <c r="B13434" t="inlineStr">
        <is>
          <t>Mar-2020</t>
        </is>
      </c>
      <c r="C13434" s="2" t="n">
        <v>44006</v>
      </c>
      <c r="D13434" t="inlineStr">
        <is>
          <t>NIL</t>
        </is>
      </c>
      <c r="E13434" t="n">
        <v>802</v>
      </c>
    </row>
    <row r="13435">
      <c r="A13435" t="inlineStr">
        <is>
          <t>27BBBBB13435Z5</t>
        </is>
      </c>
      <c r="B13435" t="inlineStr">
        <is>
          <t>Jun-2018</t>
        </is>
      </c>
      <c r="C13435" s="2" t="n">
        <v>43244</v>
      </c>
      <c r="D13435" t="inlineStr">
        <is>
          <t>NON-NIL</t>
        </is>
      </c>
      <c r="E13435" t="n">
        <v>2959</v>
      </c>
    </row>
    <row r="13436">
      <c r="A13436" t="inlineStr">
        <is>
          <t>27BBBBB13436Z5</t>
        </is>
      </c>
      <c r="B13436" t="inlineStr">
        <is>
          <t>Jun-2020</t>
        </is>
      </c>
      <c r="C13436" s="2" t="n">
        <v>44041</v>
      </c>
      <c r="D13436" t="inlineStr">
        <is>
          <t>NON-NIL</t>
        </is>
      </c>
      <c r="E13436" t="n">
        <v>1160</v>
      </c>
    </row>
    <row r="13437">
      <c r="A13437" t="inlineStr">
        <is>
          <t>27BBBBB13437Z5</t>
        </is>
      </c>
      <c r="B13437" t="inlineStr">
        <is>
          <t>Apr-2018</t>
        </is>
      </c>
      <c r="C13437" s="2" t="n">
        <v>43845</v>
      </c>
      <c r="D13437" t="inlineStr">
        <is>
          <t>NON-NIL</t>
        </is>
      </c>
      <c r="E13437" t="n">
        <v>2132</v>
      </c>
    </row>
    <row r="13438">
      <c r="A13438" t="inlineStr">
        <is>
          <t>27BBBBB13438Z5</t>
        </is>
      </c>
      <c r="B13438" t="inlineStr">
        <is>
          <t>Sep-2017</t>
        </is>
      </c>
      <c r="C13438" s="2" t="n">
        <v>44346</v>
      </c>
      <c r="D13438" t="inlineStr">
        <is>
          <t>NON-NIL</t>
        </is>
      </c>
      <c r="E13438" t="n">
        <v>2847</v>
      </c>
    </row>
    <row r="13439">
      <c r="A13439" t="inlineStr">
        <is>
          <t>27BBBBB13439Z5</t>
        </is>
      </c>
      <c r="B13439" t="inlineStr">
        <is>
          <t>Jul-2017</t>
        </is>
      </c>
      <c r="C13439" s="2" t="n">
        <v>43152</v>
      </c>
      <c r="D13439" t="inlineStr">
        <is>
          <t>NIL</t>
        </is>
      </c>
      <c r="E13439" t="n">
        <v>80</v>
      </c>
    </row>
    <row r="13440">
      <c r="A13440" t="inlineStr">
        <is>
          <t>27BBBBB13440Z5</t>
        </is>
      </c>
      <c r="B13440" t="inlineStr">
        <is>
          <t>Nov-2018</t>
        </is>
      </c>
      <c r="C13440" s="2" t="n">
        <v>43338</v>
      </c>
      <c r="D13440" t="inlineStr">
        <is>
          <t>NIL</t>
        </is>
      </c>
      <c r="E13440" t="n">
        <v>401</v>
      </c>
    </row>
    <row r="13441">
      <c r="A13441" t="inlineStr">
        <is>
          <t>27BBBBB13441Z5</t>
        </is>
      </c>
      <c r="B13441" t="inlineStr">
        <is>
          <t>Sep-2017</t>
        </is>
      </c>
      <c r="C13441" s="2" t="n">
        <v>43757</v>
      </c>
      <c r="D13441" t="inlineStr">
        <is>
          <t>NIL</t>
        </is>
      </c>
      <c r="E13441" t="n">
        <v>1095</v>
      </c>
    </row>
    <row r="13442">
      <c r="A13442" t="inlineStr">
        <is>
          <t>27BBBBB13442Z5</t>
        </is>
      </c>
      <c r="B13442" t="inlineStr">
        <is>
          <t>Oct-2018</t>
        </is>
      </c>
      <c r="C13442" s="2" t="n">
        <v>42948</v>
      </c>
      <c r="D13442" t="inlineStr">
        <is>
          <t>NIL</t>
        </is>
      </c>
      <c r="E13442" t="n">
        <v>1633</v>
      </c>
    </row>
    <row r="13443">
      <c r="A13443" t="inlineStr">
        <is>
          <t>27BBBBB13443Z5</t>
        </is>
      </c>
      <c r="B13443" t="inlineStr">
        <is>
          <t>Mar-2021</t>
        </is>
      </c>
      <c r="C13443" s="2" t="n">
        <v>44959</v>
      </c>
      <c r="D13443" t="inlineStr">
        <is>
          <t>NON-NIL</t>
        </is>
      </c>
      <c r="E13443" t="n">
        <v>492</v>
      </c>
    </row>
    <row r="13444">
      <c r="A13444" t="inlineStr">
        <is>
          <t>27BBBBB13444Z5</t>
        </is>
      </c>
      <c r="B13444" t="inlineStr">
        <is>
          <t>Nov-2018</t>
        </is>
      </c>
      <c r="C13444" s="2" t="n">
        <v>43405</v>
      </c>
      <c r="D13444" t="inlineStr">
        <is>
          <t>NON-NIL</t>
        </is>
      </c>
      <c r="E13444" t="n">
        <v>541</v>
      </c>
    </row>
    <row r="13445">
      <c r="A13445" t="inlineStr">
        <is>
          <t>27BBBBB13445Z5</t>
        </is>
      </c>
      <c r="B13445" t="inlineStr">
        <is>
          <t>Apr-2020</t>
        </is>
      </c>
      <c r="C13445" s="2" t="n">
        <v>44264</v>
      </c>
      <c r="D13445" t="inlineStr">
        <is>
          <t>NON-NIL</t>
        </is>
      </c>
      <c r="E13445" t="n">
        <v>872</v>
      </c>
    </row>
    <row r="13446">
      <c r="A13446" t="inlineStr">
        <is>
          <t>27BBBBB13446Z5</t>
        </is>
      </c>
      <c r="B13446" t="inlineStr">
        <is>
          <t>Oct-2017</t>
        </is>
      </c>
      <c r="C13446" s="2" t="n">
        <v>43888</v>
      </c>
      <c r="D13446" t="inlineStr">
        <is>
          <t>NON-NIL</t>
        </is>
      </c>
      <c r="E13446" t="n">
        <v>2655</v>
      </c>
    </row>
    <row r="13447">
      <c r="A13447" t="inlineStr">
        <is>
          <t>27BBBBB13447Z5</t>
        </is>
      </c>
      <c r="B13447" t="inlineStr">
        <is>
          <t>Jan-2021</t>
        </is>
      </c>
      <c r="C13447" s="2" t="n">
        <v>43826</v>
      </c>
      <c r="D13447" t="inlineStr">
        <is>
          <t>NON-NIL</t>
        </is>
      </c>
      <c r="E13447" t="n">
        <v>890</v>
      </c>
    </row>
    <row r="13448">
      <c r="A13448" t="inlineStr">
        <is>
          <t>27BBBBB13448Z5</t>
        </is>
      </c>
      <c r="B13448" t="inlineStr">
        <is>
          <t>Jul-2017</t>
        </is>
      </c>
      <c r="C13448" s="2" t="n">
        <v>43145</v>
      </c>
      <c r="D13448" t="inlineStr">
        <is>
          <t>NON-NIL</t>
        </is>
      </c>
      <c r="E13448" t="n">
        <v>2625</v>
      </c>
    </row>
    <row r="13449">
      <c r="A13449" t="inlineStr">
        <is>
          <t>27BBBBB13449Z5</t>
        </is>
      </c>
      <c r="B13449" t="inlineStr">
        <is>
          <t>Sep-2017</t>
        </is>
      </c>
      <c r="C13449" s="2" t="n">
        <v>43109</v>
      </c>
      <c r="D13449" t="inlineStr">
        <is>
          <t>NIL</t>
        </is>
      </c>
      <c r="E13449" t="n">
        <v>185</v>
      </c>
    </row>
    <row r="13450">
      <c r="A13450" t="inlineStr">
        <is>
          <t>27BBBBB13450Z5</t>
        </is>
      </c>
      <c r="B13450" t="inlineStr">
        <is>
          <t>Mar-2023</t>
        </is>
      </c>
      <c r="C13450" s="2" t="n">
        <v>44672</v>
      </c>
      <c r="D13450" t="inlineStr">
        <is>
          <t>NIL</t>
        </is>
      </c>
      <c r="E13450" t="n">
        <v>2731</v>
      </c>
    </row>
    <row r="13451">
      <c r="A13451" t="inlineStr">
        <is>
          <t>27BBBBB13451Z5</t>
        </is>
      </c>
      <c r="B13451" t="inlineStr">
        <is>
          <t>May-2018</t>
        </is>
      </c>
      <c r="C13451" s="2" t="n">
        <v>43760</v>
      </c>
      <c r="D13451" t="inlineStr">
        <is>
          <t>NON-NIL</t>
        </is>
      </c>
      <c r="E13451" t="n">
        <v>2470</v>
      </c>
    </row>
    <row r="13452">
      <c r="A13452" t="inlineStr">
        <is>
          <t>27BBBBB13452Z5</t>
        </is>
      </c>
      <c r="B13452" t="inlineStr">
        <is>
          <t>Jan-2021</t>
        </is>
      </c>
      <c r="C13452" s="2" t="n">
        <v>45712</v>
      </c>
      <c r="D13452" t="inlineStr">
        <is>
          <t>NON-NIL</t>
        </is>
      </c>
      <c r="E13452" t="n">
        <v>2065</v>
      </c>
    </row>
    <row r="13453">
      <c r="A13453" t="inlineStr">
        <is>
          <t>27BBBBB13453Z5</t>
        </is>
      </c>
      <c r="B13453" t="inlineStr">
        <is>
          <t>Aug-2018</t>
        </is>
      </c>
      <c r="C13453" s="2" t="n">
        <v>43448</v>
      </c>
      <c r="D13453" t="inlineStr">
        <is>
          <t>NIL</t>
        </is>
      </c>
      <c r="E13453" t="n">
        <v>2040</v>
      </c>
    </row>
    <row r="13454">
      <c r="A13454" t="inlineStr">
        <is>
          <t>27BBBBB13454Z5</t>
        </is>
      </c>
      <c r="B13454" t="inlineStr">
        <is>
          <t>Apr-2020</t>
        </is>
      </c>
      <c r="C13454" s="2" t="n">
        <v>44630</v>
      </c>
      <c r="D13454" t="inlineStr">
        <is>
          <t>NIL</t>
        </is>
      </c>
      <c r="E13454" t="n">
        <v>2200</v>
      </c>
    </row>
    <row r="13455">
      <c r="A13455" t="inlineStr">
        <is>
          <t>27BBBBB13455Z5</t>
        </is>
      </c>
      <c r="B13455" t="inlineStr">
        <is>
          <t>Apr-2018</t>
        </is>
      </c>
      <c r="C13455" s="2" t="n">
        <v>44485</v>
      </c>
      <c r="D13455" t="inlineStr">
        <is>
          <t>NIL</t>
        </is>
      </c>
      <c r="E13455" t="n">
        <v>1108</v>
      </c>
    </row>
    <row r="13456">
      <c r="A13456" t="inlineStr">
        <is>
          <t>27BBBBB13456Z5</t>
        </is>
      </c>
      <c r="B13456" t="inlineStr">
        <is>
          <t>Dec-2017</t>
        </is>
      </c>
      <c r="C13456" s="2" t="n">
        <v>44242</v>
      </c>
      <c r="D13456" t="inlineStr">
        <is>
          <t>NIL</t>
        </is>
      </c>
      <c r="E13456" t="n">
        <v>377</v>
      </c>
    </row>
    <row r="13457">
      <c r="A13457" t="inlineStr">
        <is>
          <t>27BBBBB13457Z5</t>
        </is>
      </c>
      <c r="B13457" t="inlineStr">
        <is>
          <t>Aug-2018</t>
        </is>
      </c>
      <c r="C13457" s="2" t="n">
        <v>44383</v>
      </c>
      <c r="D13457" t="inlineStr">
        <is>
          <t>NIL</t>
        </is>
      </c>
      <c r="E13457" t="n">
        <v>892</v>
      </c>
    </row>
    <row r="13458">
      <c r="A13458" t="inlineStr">
        <is>
          <t>27BBBBB13458Z5</t>
        </is>
      </c>
      <c r="B13458" t="inlineStr">
        <is>
          <t>Mar-2018</t>
        </is>
      </c>
      <c r="C13458" s="2" t="n">
        <v>44272</v>
      </c>
      <c r="D13458" t="inlineStr">
        <is>
          <t>NIL</t>
        </is>
      </c>
      <c r="E13458" t="n">
        <v>502</v>
      </c>
    </row>
    <row r="13459">
      <c r="A13459" t="inlineStr">
        <is>
          <t>27BBBBB13459Z5</t>
        </is>
      </c>
      <c r="B13459" t="inlineStr">
        <is>
          <t>Aug-2018</t>
        </is>
      </c>
      <c r="C13459" s="2" t="n">
        <v>43733</v>
      </c>
      <c r="D13459" t="inlineStr">
        <is>
          <t>NIL</t>
        </is>
      </c>
      <c r="E13459" t="n">
        <v>885</v>
      </c>
    </row>
    <row r="13460">
      <c r="A13460" t="inlineStr">
        <is>
          <t>27BBBBB13460Z5</t>
        </is>
      </c>
      <c r="B13460" t="inlineStr">
        <is>
          <t>Oct-2017</t>
        </is>
      </c>
      <c r="C13460" s="2" t="n">
        <v>43387</v>
      </c>
      <c r="D13460" t="inlineStr">
        <is>
          <t>NIL</t>
        </is>
      </c>
      <c r="E13460" t="n">
        <v>902</v>
      </c>
    </row>
    <row r="13461">
      <c r="A13461" t="inlineStr">
        <is>
          <t>27BBBBB13461Z5</t>
        </is>
      </c>
      <c r="B13461" t="inlineStr">
        <is>
          <t>Mar-2021</t>
        </is>
      </c>
      <c r="C13461" s="2" t="n">
        <v>45410</v>
      </c>
      <c r="D13461" t="inlineStr">
        <is>
          <t>NIL</t>
        </is>
      </c>
      <c r="E13461" t="n">
        <v>1647</v>
      </c>
    </row>
    <row r="13462">
      <c r="A13462" t="inlineStr">
        <is>
          <t>27BBBBB13462Z5</t>
        </is>
      </c>
      <c r="B13462" t="inlineStr">
        <is>
          <t>Sep-2017</t>
        </is>
      </c>
      <c r="C13462" s="2" t="n">
        <v>43931</v>
      </c>
      <c r="D13462" t="inlineStr">
        <is>
          <t>NON-NIL</t>
        </is>
      </c>
      <c r="E13462" t="n">
        <v>1073</v>
      </c>
    </row>
    <row r="13463">
      <c r="A13463" t="inlineStr">
        <is>
          <t>27BBBBB13463Z5</t>
        </is>
      </c>
      <c r="B13463" t="inlineStr">
        <is>
          <t>May-2020</t>
        </is>
      </c>
      <c r="C13463" s="2" t="n">
        <v>44922</v>
      </c>
      <c r="D13463" t="inlineStr">
        <is>
          <t>NIL</t>
        </is>
      </c>
      <c r="E13463" t="n">
        <v>1522</v>
      </c>
    </row>
    <row r="13464">
      <c r="A13464" t="inlineStr">
        <is>
          <t>27BBBBB13464Z5</t>
        </is>
      </c>
      <c r="B13464" t="inlineStr">
        <is>
          <t>Dec-2018</t>
        </is>
      </c>
      <c r="C13464" s="2" t="n">
        <v>43919</v>
      </c>
      <c r="D13464" t="inlineStr">
        <is>
          <t>NON-NIL</t>
        </is>
      </c>
      <c r="E13464" t="n">
        <v>2662</v>
      </c>
    </row>
    <row r="13465">
      <c r="A13465" t="inlineStr">
        <is>
          <t>27BBBBB13465Z5</t>
        </is>
      </c>
      <c r="B13465" t="inlineStr">
        <is>
          <t>Mar-2018</t>
        </is>
      </c>
      <c r="C13465" s="2" t="n">
        <v>43995</v>
      </c>
      <c r="D13465" t="inlineStr">
        <is>
          <t>NON-NIL</t>
        </is>
      </c>
      <c r="E13465" t="n">
        <v>823</v>
      </c>
    </row>
    <row r="13466">
      <c r="A13466" t="inlineStr">
        <is>
          <t>27BBBBB13466Z5</t>
        </is>
      </c>
      <c r="B13466" t="inlineStr">
        <is>
          <t>Oct-2017</t>
        </is>
      </c>
      <c r="C13466" s="2" t="n">
        <v>43201</v>
      </c>
      <c r="D13466" t="inlineStr">
        <is>
          <t>NON-NIL</t>
        </is>
      </c>
      <c r="E13466" t="n">
        <v>258</v>
      </c>
    </row>
    <row r="13467">
      <c r="A13467" t="inlineStr">
        <is>
          <t>27BBBBB13467Z5</t>
        </is>
      </c>
      <c r="B13467" t="inlineStr">
        <is>
          <t>Oct-2018</t>
        </is>
      </c>
      <c r="C13467" s="2" t="n">
        <v>44414</v>
      </c>
      <c r="D13467" t="inlineStr">
        <is>
          <t>NON-NIL</t>
        </is>
      </c>
      <c r="E13467" t="n">
        <v>2539</v>
      </c>
    </row>
    <row r="13468">
      <c r="A13468" t="inlineStr">
        <is>
          <t>27BBBBB13468Z5</t>
        </is>
      </c>
      <c r="B13468" t="inlineStr">
        <is>
          <t>Mar-2021</t>
        </is>
      </c>
      <c r="C13468" s="2" t="n">
        <v>43904</v>
      </c>
      <c r="D13468" t="inlineStr">
        <is>
          <t>NON-NIL</t>
        </is>
      </c>
      <c r="E13468" t="n">
        <v>1195</v>
      </c>
    </row>
    <row r="13469">
      <c r="A13469" t="inlineStr">
        <is>
          <t>27BBBBB13469Z5</t>
        </is>
      </c>
      <c r="B13469" t="inlineStr">
        <is>
          <t>Mar-2021</t>
        </is>
      </c>
      <c r="C13469" s="2" t="n">
        <v>45764</v>
      </c>
      <c r="D13469" t="inlineStr">
        <is>
          <t>NON-NIL</t>
        </is>
      </c>
      <c r="E13469" t="n">
        <v>2616</v>
      </c>
    </row>
    <row r="13470">
      <c r="A13470" t="inlineStr">
        <is>
          <t>27BBBBB13470Z5</t>
        </is>
      </c>
      <c r="B13470" t="inlineStr">
        <is>
          <t>Jul-2017</t>
        </is>
      </c>
      <c r="C13470" s="2" t="n">
        <v>43497</v>
      </c>
      <c r="D13470" t="inlineStr">
        <is>
          <t>NON-NIL</t>
        </is>
      </c>
      <c r="E13470" t="n">
        <v>2863</v>
      </c>
    </row>
    <row r="13471">
      <c r="A13471" t="inlineStr">
        <is>
          <t>27BBBBB13471Z5</t>
        </is>
      </c>
      <c r="B13471" t="inlineStr">
        <is>
          <t>Mar-2021</t>
        </is>
      </c>
      <c r="C13471" s="2" t="n">
        <v>44711</v>
      </c>
      <c r="D13471" t="inlineStr">
        <is>
          <t>NIL</t>
        </is>
      </c>
      <c r="E13471" t="n">
        <v>220</v>
      </c>
    </row>
    <row r="13472">
      <c r="A13472" t="inlineStr">
        <is>
          <t>27BBBBB13472Z5</t>
        </is>
      </c>
      <c r="B13472" t="inlineStr">
        <is>
          <t>Oct-2017</t>
        </is>
      </c>
      <c r="C13472" s="2" t="n">
        <v>44490</v>
      </c>
      <c r="D13472" t="inlineStr">
        <is>
          <t>NON-NIL</t>
        </is>
      </c>
      <c r="E13472" t="n">
        <v>2415</v>
      </c>
    </row>
    <row r="13473">
      <c r="A13473" t="inlineStr">
        <is>
          <t>27BBBBB13473Z5</t>
        </is>
      </c>
      <c r="B13473" t="inlineStr">
        <is>
          <t>Sep-2017</t>
        </is>
      </c>
      <c r="C13473" s="2" t="n">
        <v>43325</v>
      </c>
      <c r="D13473" t="inlineStr">
        <is>
          <t>NIL</t>
        </is>
      </c>
      <c r="E13473" t="n">
        <v>1998</v>
      </c>
    </row>
    <row r="13474">
      <c r="A13474" t="inlineStr">
        <is>
          <t>27BBBBB13474Z5</t>
        </is>
      </c>
      <c r="B13474" t="inlineStr">
        <is>
          <t>Aug-2017</t>
        </is>
      </c>
      <c r="C13474" s="2" t="n">
        <v>44080</v>
      </c>
      <c r="D13474" t="inlineStr">
        <is>
          <t>NON-NIL</t>
        </is>
      </c>
      <c r="E13474" t="n">
        <v>1908</v>
      </c>
    </row>
    <row r="13475">
      <c r="A13475" t="inlineStr">
        <is>
          <t>27BBBBB13475Z5</t>
        </is>
      </c>
      <c r="B13475" t="inlineStr">
        <is>
          <t>Dec-2024</t>
        </is>
      </c>
      <c r="C13475" s="2" t="n">
        <v>44145</v>
      </c>
      <c r="D13475" t="inlineStr">
        <is>
          <t>NON-NIL</t>
        </is>
      </c>
      <c r="E13475" t="n">
        <v>570</v>
      </c>
    </row>
    <row r="13476">
      <c r="A13476" t="inlineStr">
        <is>
          <t>27BBBBB13476Z5</t>
        </is>
      </c>
      <c r="B13476" t="inlineStr">
        <is>
          <t>Oct-2017</t>
        </is>
      </c>
      <c r="C13476" s="2" t="n">
        <v>43710</v>
      </c>
      <c r="D13476" t="inlineStr">
        <is>
          <t>NIL</t>
        </is>
      </c>
      <c r="E13476" t="n">
        <v>276</v>
      </c>
    </row>
    <row r="13477">
      <c r="A13477" t="inlineStr">
        <is>
          <t>27BBBBB13477Z5</t>
        </is>
      </c>
      <c r="B13477" t="inlineStr">
        <is>
          <t>May-2018</t>
        </is>
      </c>
      <c r="C13477" s="2" t="n">
        <v>43876</v>
      </c>
      <c r="D13477" t="inlineStr">
        <is>
          <t>NON-NIL</t>
        </is>
      </c>
      <c r="E13477" t="n">
        <v>1725</v>
      </c>
    </row>
    <row r="13478">
      <c r="A13478" t="inlineStr">
        <is>
          <t>27BBBBB13478Z5</t>
        </is>
      </c>
      <c r="B13478" t="inlineStr">
        <is>
          <t>Sep-2017</t>
        </is>
      </c>
      <c r="C13478" s="2" t="n">
        <v>43638</v>
      </c>
      <c r="D13478" t="inlineStr">
        <is>
          <t>NON-NIL</t>
        </is>
      </c>
      <c r="E13478" t="n">
        <v>1180</v>
      </c>
    </row>
    <row r="13479">
      <c r="A13479" t="inlineStr">
        <is>
          <t>27BBBBB13479Z5</t>
        </is>
      </c>
      <c r="B13479" t="inlineStr">
        <is>
          <t>Dec-2024</t>
        </is>
      </c>
      <c r="C13479" s="2" t="n">
        <v>44376</v>
      </c>
      <c r="D13479" t="inlineStr">
        <is>
          <t>NON-NIL</t>
        </is>
      </c>
      <c r="E13479" t="n">
        <v>1340</v>
      </c>
    </row>
    <row r="13480">
      <c r="A13480" t="inlineStr">
        <is>
          <t>27BBBBB13480Z5</t>
        </is>
      </c>
      <c r="B13480" t="inlineStr">
        <is>
          <t>May-2020</t>
        </is>
      </c>
      <c r="C13480" s="2" t="n">
        <v>44052</v>
      </c>
      <c r="D13480" t="inlineStr">
        <is>
          <t>NIL</t>
        </is>
      </c>
      <c r="E13480" t="n">
        <v>1563</v>
      </c>
    </row>
    <row r="13481">
      <c r="A13481" t="inlineStr">
        <is>
          <t>27BBBBB13481Z5</t>
        </is>
      </c>
      <c r="B13481" t="inlineStr">
        <is>
          <t>Mar-2018</t>
        </is>
      </c>
      <c r="C13481" s="2" t="n">
        <v>44528</v>
      </c>
      <c r="D13481" t="inlineStr">
        <is>
          <t>NIL</t>
        </is>
      </c>
      <c r="E13481" t="n">
        <v>2570</v>
      </c>
    </row>
    <row r="13482">
      <c r="A13482" t="inlineStr">
        <is>
          <t>27BBBBB13482Z5</t>
        </is>
      </c>
      <c r="B13482" t="inlineStr">
        <is>
          <t>Jul-2017</t>
        </is>
      </c>
      <c r="C13482" s="2" t="n">
        <v>43124</v>
      </c>
      <c r="D13482" t="inlineStr">
        <is>
          <t>NON-NIL</t>
        </is>
      </c>
      <c r="E13482" t="n">
        <v>2546</v>
      </c>
    </row>
    <row r="13483">
      <c r="A13483" t="inlineStr">
        <is>
          <t>27BBBBB13483Z5</t>
        </is>
      </c>
      <c r="B13483" t="inlineStr">
        <is>
          <t>Jun-2020</t>
        </is>
      </c>
      <c r="C13483" s="2" t="n">
        <v>44409</v>
      </c>
      <c r="D13483" t="inlineStr">
        <is>
          <t>NON-NIL</t>
        </is>
      </c>
      <c r="E13483" t="n">
        <v>574</v>
      </c>
    </row>
    <row r="13484">
      <c r="A13484" t="inlineStr">
        <is>
          <t>27BBBBB13484Z5</t>
        </is>
      </c>
      <c r="B13484" t="inlineStr">
        <is>
          <t>Mar-2020</t>
        </is>
      </c>
      <c r="C13484" s="2" t="n">
        <v>44711</v>
      </c>
      <c r="D13484" t="inlineStr">
        <is>
          <t>NON-NIL</t>
        </is>
      </c>
      <c r="E13484" t="n">
        <v>2652</v>
      </c>
    </row>
    <row r="13485">
      <c r="A13485" t="inlineStr">
        <is>
          <t>27BBBBB13485Z5</t>
        </is>
      </c>
      <c r="B13485" t="inlineStr">
        <is>
          <t>Dec-2017</t>
        </is>
      </c>
      <c r="C13485" s="2" t="n">
        <v>43549</v>
      </c>
      <c r="D13485" t="inlineStr">
        <is>
          <t>NIL</t>
        </is>
      </c>
      <c r="E13485" t="n">
        <v>1186</v>
      </c>
    </row>
    <row r="13486">
      <c r="A13486" t="inlineStr">
        <is>
          <t>27BBBBB13486Z5</t>
        </is>
      </c>
      <c r="B13486" t="inlineStr">
        <is>
          <t>May-2020</t>
        </is>
      </c>
      <c r="C13486" s="2" t="n">
        <v>44835</v>
      </c>
      <c r="D13486" t="inlineStr">
        <is>
          <t>NIL</t>
        </is>
      </c>
      <c r="E13486" t="n">
        <v>333</v>
      </c>
    </row>
    <row r="13487">
      <c r="A13487" t="inlineStr">
        <is>
          <t>27BBBBB13487Z5</t>
        </is>
      </c>
      <c r="B13487" t="inlineStr">
        <is>
          <t>Apr-2018</t>
        </is>
      </c>
      <c r="C13487" s="2" t="n">
        <v>44170</v>
      </c>
      <c r="D13487" t="inlineStr">
        <is>
          <t>NIL</t>
        </is>
      </c>
      <c r="E13487" t="n">
        <v>1842</v>
      </c>
    </row>
    <row r="13488">
      <c r="A13488" t="inlineStr">
        <is>
          <t>27BBBBB13488Z5</t>
        </is>
      </c>
      <c r="B13488" t="inlineStr">
        <is>
          <t>Mar-2020</t>
        </is>
      </c>
      <c r="C13488" s="2" t="n">
        <v>44034</v>
      </c>
      <c r="D13488" t="inlineStr">
        <is>
          <t>NIL</t>
        </is>
      </c>
      <c r="E13488" t="n">
        <v>666</v>
      </c>
    </row>
    <row r="13489">
      <c r="A13489" t="inlineStr">
        <is>
          <t>27BBBBB13489Z5</t>
        </is>
      </c>
      <c r="B13489" t="inlineStr">
        <is>
          <t>Jan-2021</t>
        </is>
      </c>
      <c r="C13489" s="2" t="n">
        <v>45007</v>
      </c>
      <c r="D13489" t="inlineStr">
        <is>
          <t>NON-NIL</t>
        </is>
      </c>
      <c r="E13489" t="n">
        <v>1274</v>
      </c>
    </row>
    <row r="13490">
      <c r="A13490" t="inlineStr">
        <is>
          <t>27BBBBB13490Z5</t>
        </is>
      </c>
      <c r="B13490" t="inlineStr">
        <is>
          <t>Jun-2020</t>
        </is>
      </c>
      <c r="C13490" s="2" t="n">
        <v>44133</v>
      </c>
      <c r="D13490" t="inlineStr">
        <is>
          <t>NIL</t>
        </is>
      </c>
      <c r="E13490" t="n">
        <v>1598</v>
      </c>
    </row>
    <row r="13491">
      <c r="A13491" t="inlineStr">
        <is>
          <t>27BBBBB13491Z5</t>
        </is>
      </c>
      <c r="B13491" t="inlineStr">
        <is>
          <t>Jul-2018</t>
        </is>
      </c>
      <c r="C13491" s="2" t="n">
        <v>44080</v>
      </c>
      <c r="D13491" t="inlineStr">
        <is>
          <t>NIL</t>
        </is>
      </c>
      <c r="E13491" t="n">
        <v>1113</v>
      </c>
    </row>
    <row r="13492">
      <c r="A13492" t="inlineStr">
        <is>
          <t>27BBBBB13492Z5</t>
        </is>
      </c>
      <c r="B13492" t="inlineStr">
        <is>
          <t>Aug-2018</t>
        </is>
      </c>
      <c r="C13492" s="2" t="n">
        <v>43408</v>
      </c>
      <c r="D13492" t="inlineStr">
        <is>
          <t>NON-NIL</t>
        </is>
      </c>
      <c r="E13492" t="n">
        <v>1162</v>
      </c>
    </row>
    <row r="13493">
      <c r="A13493" t="inlineStr">
        <is>
          <t>27BBBBB13493Z5</t>
        </is>
      </c>
      <c r="B13493" t="inlineStr">
        <is>
          <t>Jan-2018</t>
        </is>
      </c>
      <c r="C13493" s="2" t="n">
        <v>43042</v>
      </c>
      <c r="D13493" t="inlineStr">
        <is>
          <t>NON-NIL</t>
        </is>
      </c>
      <c r="E13493" t="n">
        <v>1117</v>
      </c>
    </row>
    <row r="13494">
      <c r="A13494" t="inlineStr">
        <is>
          <t>27BBBBB13494Z5</t>
        </is>
      </c>
      <c r="B13494" t="inlineStr">
        <is>
          <t>Jan-2021</t>
        </is>
      </c>
      <c r="C13494" s="2" t="n">
        <v>45380</v>
      </c>
      <c r="D13494" t="inlineStr">
        <is>
          <t>NON-NIL</t>
        </is>
      </c>
      <c r="E13494" t="n">
        <v>2671</v>
      </c>
    </row>
    <row r="13495">
      <c r="A13495" t="inlineStr">
        <is>
          <t>27BBBBB13495Z5</t>
        </is>
      </c>
      <c r="B13495" t="inlineStr">
        <is>
          <t>Apr-2020</t>
        </is>
      </c>
      <c r="C13495" s="2" t="n">
        <v>44851</v>
      </c>
      <c r="D13495" t="inlineStr">
        <is>
          <t>NON-NIL</t>
        </is>
      </c>
      <c r="E13495" t="n">
        <v>2646</v>
      </c>
    </row>
    <row r="13496">
      <c r="A13496" t="inlineStr">
        <is>
          <t>27BBBBB13496Z5</t>
        </is>
      </c>
      <c r="B13496" t="inlineStr">
        <is>
          <t>Mar-2023</t>
        </is>
      </c>
      <c r="C13496" s="2" t="n">
        <v>43850</v>
      </c>
      <c r="D13496" t="inlineStr">
        <is>
          <t>NON-NIL</t>
        </is>
      </c>
      <c r="E13496" t="n">
        <v>1806</v>
      </c>
    </row>
    <row r="13497">
      <c r="A13497" t="inlineStr">
        <is>
          <t>27BBBBB13497Z5</t>
        </is>
      </c>
      <c r="B13497" t="inlineStr">
        <is>
          <t>Jul-2018</t>
        </is>
      </c>
      <c r="C13497" s="2" t="n">
        <v>43010</v>
      </c>
      <c r="D13497" t="inlineStr">
        <is>
          <t>NON-NIL</t>
        </is>
      </c>
      <c r="E13497" t="n">
        <v>1999</v>
      </c>
    </row>
    <row r="13498">
      <c r="A13498" t="inlineStr">
        <is>
          <t>27BBBBB13498Z5</t>
        </is>
      </c>
      <c r="B13498" t="inlineStr">
        <is>
          <t>Dec-2022</t>
        </is>
      </c>
      <c r="C13498" s="2" t="n">
        <v>43491</v>
      </c>
      <c r="D13498" t="inlineStr">
        <is>
          <t>NIL</t>
        </is>
      </c>
      <c r="E13498" t="n">
        <v>371</v>
      </c>
    </row>
    <row r="13499">
      <c r="A13499" t="inlineStr">
        <is>
          <t>27BBBBB13499Z5</t>
        </is>
      </c>
      <c r="B13499" t="inlineStr">
        <is>
          <t>Dec-2017</t>
        </is>
      </c>
      <c r="C13499" s="2" t="n">
        <v>44304</v>
      </c>
      <c r="D13499" t="inlineStr">
        <is>
          <t>NIL</t>
        </is>
      </c>
      <c r="E13499" t="n">
        <v>89</v>
      </c>
    </row>
    <row r="13500">
      <c r="A13500" t="inlineStr">
        <is>
          <t>27BBBBB13500Z5</t>
        </is>
      </c>
      <c r="B13500" t="inlineStr">
        <is>
          <t>Nov-2017</t>
        </is>
      </c>
      <c r="C13500" s="2" t="n">
        <v>43530</v>
      </c>
      <c r="D13500" t="inlineStr">
        <is>
          <t>NIL</t>
        </is>
      </c>
      <c r="E13500" t="n">
        <v>283</v>
      </c>
    </row>
    <row r="13501">
      <c r="A13501" t="inlineStr">
        <is>
          <t>27BBBBB13501Z5</t>
        </is>
      </c>
      <c r="B13501" t="inlineStr">
        <is>
          <t>Dec-2024</t>
        </is>
      </c>
      <c r="C13501" s="2" t="n">
        <v>45744</v>
      </c>
      <c r="D13501" t="inlineStr">
        <is>
          <t>NIL</t>
        </is>
      </c>
      <c r="E13501" t="n">
        <v>149</v>
      </c>
    </row>
    <row r="13502">
      <c r="A13502" t="inlineStr">
        <is>
          <t>27BBBBB13502Z5</t>
        </is>
      </c>
      <c r="B13502" t="inlineStr">
        <is>
          <t>Jul-2017</t>
        </is>
      </c>
      <c r="C13502" s="2" t="n">
        <v>44171</v>
      </c>
      <c r="D13502" t="inlineStr">
        <is>
          <t>NIL</t>
        </is>
      </c>
      <c r="E13502" t="n">
        <v>2982</v>
      </c>
    </row>
    <row r="13503">
      <c r="A13503" t="inlineStr">
        <is>
          <t>27BBBBB13503Z5</t>
        </is>
      </c>
      <c r="B13503" t="inlineStr">
        <is>
          <t>May-2020</t>
        </is>
      </c>
      <c r="C13503" s="2" t="n">
        <v>44578</v>
      </c>
      <c r="D13503" t="inlineStr">
        <is>
          <t>NIL</t>
        </is>
      </c>
      <c r="E13503" t="n">
        <v>875</v>
      </c>
    </row>
    <row r="13504">
      <c r="A13504" t="inlineStr">
        <is>
          <t>27BBBBB13504Z5</t>
        </is>
      </c>
      <c r="B13504" t="inlineStr">
        <is>
          <t>Apr-2018</t>
        </is>
      </c>
      <c r="C13504" s="2" t="n">
        <v>43367</v>
      </c>
      <c r="D13504" t="inlineStr">
        <is>
          <t>NON-NIL</t>
        </is>
      </c>
      <c r="E13504" t="n">
        <v>1387</v>
      </c>
    </row>
    <row r="13505">
      <c r="A13505" t="inlineStr">
        <is>
          <t>27BBBBB13505Z5</t>
        </is>
      </c>
      <c r="B13505" t="inlineStr">
        <is>
          <t>Dec-2024</t>
        </is>
      </c>
      <c r="C13505" s="2" t="n">
        <v>44638</v>
      </c>
      <c r="D13505" t="inlineStr">
        <is>
          <t>NON-NIL</t>
        </is>
      </c>
      <c r="E13505" t="n">
        <v>50</v>
      </c>
    </row>
    <row r="13506">
      <c r="A13506" t="inlineStr">
        <is>
          <t>27BBBBB13506Z5</t>
        </is>
      </c>
      <c r="B13506" t="inlineStr">
        <is>
          <t>Dec-2017</t>
        </is>
      </c>
      <c r="C13506" s="2" t="n">
        <v>44068</v>
      </c>
      <c r="D13506" t="inlineStr">
        <is>
          <t>NIL</t>
        </is>
      </c>
      <c r="E13506" t="n">
        <v>2633</v>
      </c>
    </row>
    <row r="13507">
      <c r="A13507" t="inlineStr">
        <is>
          <t>27BBBBB13507Z5</t>
        </is>
      </c>
      <c r="B13507" t="inlineStr">
        <is>
          <t>Aug-2018</t>
        </is>
      </c>
      <c r="C13507" s="2" t="n">
        <v>43293</v>
      </c>
      <c r="D13507" t="inlineStr">
        <is>
          <t>NIL</t>
        </is>
      </c>
      <c r="E13507" t="n">
        <v>1571</v>
      </c>
    </row>
    <row r="13508">
      <c r="A13508" t="inlineStr">
        <is>
          <t>27BBBBB13508Z5</t>
        </is>
      </c>
      <c r="B13508" t="inlineStr">
        <is>
          <t>May-2018</t>
        </is>
      </c>
      <c r="C13508" s="2" t="n">
        <v>44080</v>
      </c>
      <c r="D13508" t="inlineStr">
        <is>
          <t>NON-NIL</t>
        </is>
      </c>
      <c r="E13508" t="n">
        <v>1741</v>
      </c>
    </row>
    <row r="13509">
      <c r="A13509" t="inlineStr">
        <is>
          <t>27BBBBB13509Z5</t>
        </is>
      </c>
      <c r="B13509" t="inlineStr">
        <is>
          <t>Sep-2018</t>
        </is>
      </c>
      <c r="C13509" s="2" t="n">
        <v>44346</v>
      </c>
      <c r="D13509" t="inlineStr">
        <is>
          <t>NON-NIL</t>
        </is>
      </c>
      <c r="E13509" t="n">
        <v>259</v>
      </c>
    </row>
    <row r="13510">
      <c r="A13510" t="inlineStr">
        <is>
          <t>27BBBBB13510Z5</t>
        </is>
      </c>
      <c r="B13510" t="inlineStr">
        <is>
          <t>Mar-2018</t>
        </is>
      </c>
      <c r="C13510" s="2" t="n">
        <v>44368</v>
      </c>
      <c r="D13510" t="inlineStr">
        <is>
          <t>NON-NIL</t>
        </is>
      </c>
      <c r="E13510" t="n">
        <v>2099</v>
      </c>
    </row>
    <row r="13511">
      <c r="A13511" t="inlineStr">
        <is>
          <t>27BBBBB13511Z5</t>
        </is>
      </c>
      <c r="B13511" t="inlineStr">
        <is>
          <t>Mar-2021</t>
        </is>
      </c>
      <c r="C13511" s="2" t="n">
        <v>44987</v>
      </c>
      <c r="D13511" t="inlineStr">
        <is>
          <t>NON-NIL</t>
        </is>
      </c>
      <c r="E13511" t="n">
        <v>1099</v>
      </c>
    </row>
    <row r="13512">
      <c r="A13512" t="inlineStr">
        <is>
          <t>27BBBBB13512Z5</t>
        </is>
      </c>
      <c r="B13512" t="inlineStr">
        <is>
          <t>Dec-2022</t>
        </is>
      </c>
      <c r="C13512" s="2" t="n">
        <v>45829</v>
      </c>
      <c r="D13512" t="inlineStr">
        <is>
          <t>NON-NIL</t>
        </is>
      </c>
      <c r="E13512" t="n">
        <v>1380</v>
      </c>
    </row>
    <row r="13513">
      <c r="A13513" t="inlineStr">
        <is>
          <t>27BBBBB13513Z5</t>
        </is>
      </c>
      <c r="B13513" t="inlineStr">
        <is>
          <t>Dec-2017</t>
        </is>
      </c>
      <c r="C13513" s="2" t="n">
        <v>43978</v>
      </c>
      <c r="D13513" t="inlineStr">
        <is>
          <t>NIL</t>
        </is>
      </c>
      <c r="E13513" t="n">
        <v>1308</v>
      </c>
    </row>
    <row r="13514">
      <c r="A13514" t="inlineStr">
        <is>
          <t>27BBBBB13514Z5</t>
        </is>
      </c>
      <c r="B13514" t="inlineStr">
        <is>
          <t>Mar-2021</t>
        </is>
      </c>
      <c r="C13514" s="2" t="n">
        <v>43660</v>
      </c>
      <c r="D13514" t="inlineStr">
        <is>
          <t>NIL</t>
        </is>
      </c>
      <c r="E13514" t="n">
        <v>833</v>
      </c>
    </row>
    <row r="13515">
      <c r="A13515" t="inlineStr">
        <is>
          <t>27BBBBB13515Z5</t>
        </is>
      </c>
      <c r="B13515" t="inlineStr">
        <is>
          <t>May-2020</t>
        </is>
      </c>
      <c r="C13515" s="2" t="n">
        <v>44644</v>
      </c>
      <c r="D13515" t="inlineStr">
        <is>
          <t>NON-NIL</t>
        </is>
      </c>
      <c r="E13515" t="n">
        <v>2121</v>
      </c>
    </row>
    <row r="13516">
      <c r="A13516" t="inlineStr">
        <is>
          <t>27BBBBB13516Z5</t>
        </is>
      </c>
      <c r="B13516" t="inlineStr">
        <is>
          <t>Aug-2017</t>
        </is>
      </c>
      <c r="C13516" s="2" t="n">
        <v>44270</v>
      </c>
      <c r="D13516" t="inlineStr">
        <is>
          <t>NIL</t>
        </is>
      </c>
      <c r="E13516" t="n">
        <v>677</v>
      </c>
    </row>
    <row r="13517">
      <c r="A13517" t="inlineStr">
        <is>
          <t>27BBBBB13517Z5</t>
        </is>
      </c>
      <c r="B13517" t="inlineStr">
        <is>
          <t>Dec-2024</t>
        </is>
      </c>
      <c r="C13517" s="2" t="n">
        <v>45372</v>
      </c>
      <c r="D13517" t="inlineStr">
        <is>
          <t>NIL</t>
        </is>
      </c>
      <c r="E13517" t="n">
        <v>1486</v>
      </c>
    </row>
    <row r="13518">
      <c r="A13518" t="inlineStr">
        <is>
          <t>27BBBBB13518Z5</t>
        </is>
      </c>
      <c r="B13518" t="inlineStr">
        <is>
          <t>Jun-2018</t>
        </is>
      </c>
      <c r="C13518" s="2" t="n">
        <v>44020</v>
      </c>
      <c r="D13518" t="inlineStr">
        <is>
          <t>NON-NIL</t>
        </is>
      </c>
      <c r="E13518" t="n">
        <v>2383</v>
      </c>
    </row>
    <row r="13519">
      <c r="A13519" t="inlineStr">
        <is>
          <t>27BBBBB13519Z5</t>
        </is>
      </c>
      <c r="B13519" t="inlineStr">
        <is>
          <t>Oct-2018</t>
        </is>
      </c>
      <c r="C13519" s="2" t="n">
        <v>43832</v>
      </c>
      <c r="D13519" t="inlineStr">
        <is>
          <t>NIL</t>
        </is>
      </c>
      <c r="E13519" t="n">
        <v>2537</v>
      </c>
    </row>
    <row r="13520">
      <c r="A13520" t="inlineStr">
        <is>
          <t>27BBBBB13520Z5</t>
        </is>
      </c>
      <c r="B13520" t="inlineStr">
        <is>
          <t>Nov-2018</t>
        </is>
      </c>
      <c r="C13520" s="2" t="n">
        <v>44180</v>
      </c>
      <c r="D13520" t="inlineStr">
        <is>
          <t>NON-NIL</t>
        </is>
      </c>
      <c r="E13520" t="n">
        <v>616</v>
      </c>
    </row>
    <row r="13521">
      <c r="A13521" t="inlineStr">
        <is>
          <t>27BBBBB13521Z5</t>
        </is>
      </c>
      <c r="B13521" t="inlineStr">
        <is>
          <t>May-2018</t>
        </is>
      </c>
      <c r="C13521" s="2" t="n">
        <v>43760</v>
      </c>
      <c r="D13521" t="inlineStr">
        <is>
          <t>NIL</t>
        </is>
      </c>
      <c r="E13521" t="n">
        <v>2742</v>
      </c>
    </row>
    <row r="13522">
      <c r="A13522" t="inlineStr">
        <is>
          <t>27BBBBB13522Z5</t>
        </is>
      </c>
      <c r="B13522" t="inlineStr">
        <is>
          <t>Jul-2020</t>
        </is>
      </c>
      <c r="C13522" s="2" t="n">
        <v>44815</v>
      </c>
      <c r="D13522" t="inlineStr">
        <is>
          <t>NON-NIL</t>
        </is>
      </c>
      <c r="E13522" t="n">
        <v>1694</v>
      </c>
    </row>
    <row r="13523">
      <c r="A13523" t="inlineStr">
        <is>
          <t>27BBBBB13523Z5</t>
        </is>
      </c>
      <c r="B13523" t="inlineStr">
        <is>
          <t>Dec-2018</t>
        </is>
      </c>
      <c r="C13523" s="2" t="n">
        <v>44270</v>
      </c>
      <c r="D13523" t="inlineStr">
        <is>
          <t>NON-NIL</t>
        </is>
      </c>
      <c r="E13523" t="n">
        <v>1005</v>
      </c>
    </row>
    <row r="13524">
      <c r="A13524" t="inlineStr">
        <is>
          <t>27BBBBB13524Z5</t>
        </is>
      </c>
      <c r="B13524" t="inlineStr">
        <is>
          <t>Mar-2020</t>
        </is>
      </c>
      <c r="C13524" s="2" t="n">
        <v>44860</v>
      </c>
      <c r="D13524" t="inlineStr">
        <is>
          <t>NON-NIL</t>
        </is>
      </c>
      <c r="E13524" t="n">
        <v>2593</v>
      </c>
    </row>
    <row r="13525">
      <c r="A13525" t="inlineStr">
        <is>
          <t>27BBBBB13525Z5</t>
        </is>
      </c>
      <c r="B13525" t="inlineStr">
        <is>
          <t>Aug-2017</t>
        </is>
      </c>
      <c r="C13525" s="2" t="n">
        <v>43660</v>
      </c>
      <c r="D13525" t="inlineStr">
        <is>
          <t>NON-NIL</t>
        </is>
      </c>
      <c r="E13525" t="n">
        <v>860</v>
      </c>
    </row>
    <row r="13526">
      <c r="A13526" t="inlineStr">
        <is>
          <t>27BBBBB13526Z5</t>
        </is>
      </c>
      <c r="B13526" t="inlineStr">
        <is>
          <t>Oct-2018</t>
        </is>
      </c>
      <c r="C13526" s="2" t="n">
        <v>43286</v>
      </c>
      <c r="D13526" t="inlineStr">
        <is>
          <t>NON-NIL</t>
        </is>
      </c>
      <c r="E13526" t="n">
        <v>2156</v>
      </c>
    </row>
    <row r="13527">
      <c r="A13527" t="inlineStr">
        <is>
          <t>27BBBBB13527Z5</t>
        </is>
      </c>
      <c r="B13527" t="inlineStr">
        <is>
          <t>Jan-2018</t>
        </is>
      </c>
      <c r="C13527" s="2" t="n">
        <v>44080</v>
      </c>
      <c r="D13527" t="inlineStr">
        <is>
          <t>NIL</t>
        </is>
      </c>
      <c r="E13527" t="n">
        <v>2732</v>
      </c>
    </row>
    <row r="13528">
      <c r="A13528" t="inlineStr">
        <is>
          <t>27BBBBB13528Z5</t>
        </is>
      </c>
      <c r="B13528" t="inlineStr">
        <is>
          <t>Sep-2017</t>
        </is>
      </c>
      <c r="C13528" s="2" t="n">
        <v>43356</v>
      </c>
      <c r="D13528" t="inlineStr">
        <is>
          <t>NON-NIL</t>
        </is>
      </c>
      <c r="E13528" t="n">
        <v>2</v>
      </c>
    </row>
    <row r="13529">
      <c r="A13529" t="inlineStr">
        <is>
          <t>27BBBBB13529Z5</t>
        </is>
      </c>
      <c r="B13529" t="inlineStr">
        <is>
          <t>Feb-2018</t>
        </is>
      </c>
      <c r="C13529" s="2" t="n">
        <v>44345</v>
      </c>
      <c r="D13529" t="inlineStr">
        <is>
          <t>NON-NIL</t>
        </is>
      </c>
      <c r="E13529" t="n">
        <v>185</v>
      </c>
    </row>
    <row r="13530">
      <c r="A13530" t="inlineStr">
        <is>
          <t>27BBBBB13530Z5</t>
        </is>
      </c>
      <c r="B13530" t="inlineStr">
        <is>
          <t>Oct-2018</t>
        </is>
      </c>
      <c r="C13530" s="2" t="n">
        <v>44281</v>
      </c>
      <c r="D13530" t="inlineStr">
        <is>
          <t>NIL</t>
        </is>
      </c>
      <c r="E13530" t="n">
        <v>2636</v>
      </c>
    </row>
    <row r="13531">
      <c r="A13531" t="inlineStr">
        <is>
          <t>27BBBBB13531Z5</t>
        </is>
      </c>
      <c r="B13531" t="inlineStr">
        <is>
          <t>Oct-2018</t>
        </is>
      </c>
      <c r="C13531" s="2" t="n">
        <v>43861</v>
      </c>
      <c r="D13531" t="inlineStr">
        <is>
          <t>NIL</t>
        </is>
      </c>
      <c r="E13531" t="n">
        <v>1401</v>
      </c>
    </row>
    <row r="13532">
      <c r="A13532" t="inlineStr">
        <is>
          <t>27BBBBB13532Z5</t>
        </is>
      </c>
      <c r="B13532" t="inlineStr">
        <is>
          <t>Aug-2017</t>
        </is>
      </c>
      <c r="C13532" s="2" t="n">
        <v>43713</v>
      </c>
      <c r="D13532" t="inlineStr">
        <is>
          <t>NIL</t>
        </is>
      </c>
      <c r="E13532" t="n">
        <v>992</v>
      </c>
    </row>
    <row r="13533">
      <c r="A13533" t="inlineStr">
        <is>
          <t>27BBBBB13533Z5</t>
        </is>
      </c>
      <c r="B13533" t="inlineStr">
        <is>
          <t>May-2020</t>
        </is>
      </c>
      <c r="C13533" s="2" t="n">
        <v>44913</v>
      </c>
      <c r="D13533" t="inlineStr">
        <is>
          <t>NIL</t>
        </is>
      </c>
      <c r="E13533" t="n">
        <v>1569</v>
      </c>
    </row>
    <row r="13534">
      <c r="A13534" t="inlineStr">
        <is>
          <t>27BBBBB13534Z5</t>
        </is>
      </c>
      <c r="B13534" t="inlineStr">
        <is>
          <t>Mar-2018</t>
        </is>
      </c>
      <c r="C13534" s="2" t="n">
        <v>44138</v>
      </c>
      <c r="D13534" t="inlineStr">
        <is>
          <t>NIL</t>
        </is>
      </c>
      <c r="E13534" t="n">
        <v>208</v>
      </c>
    </row>
    <row r="13535">
      <c r="A13535" t="inlineStr">
        <is>
          <t>27BBBBB13535Z5</t>
        </is>
      </c>
      <c r="B13535" t="inlineStr">
        <is>
          <t>Mar-2021</t>
        </is>
      </c>
      <c r="C13535" s="2" t="n">
        <v>44214</v>
      </c>
      <c r="D13535" t="inlineStr">
        <is>
          <t>NIL</t>
        </is>
      </c>
      <c r="E13535" t="n">
        <v>2019</v>
      </c>
    </row>
    <row r="13536">
      <c r="A13536" t="inlineStr">
        <is>
          <t>27BBBBB13536Z5</t>
        </is>
      </c>
      <c r="B13536" t="inlineStr">
        <is>
          <t>Jan-2018</t>
        </is>
      </c>
      <c r="C13536" s="2" t="n">
        <v>43307</v>
      </c>
      <c r="D13536" t="inlineStr">
        <is>
          <t>NIL</t>
        </is>
      </c>
      <c r="E13536" t="n">
        <v>2900</v>
      </c>
    </row>
    <row r="13537">
      <c r="A13537" t="inlineStr">
        <is>
          <t>27BBBBB13537Z5</t>
        </is>
      </c>
      <c r="B13537" t="inlineStr">
        <is>
          <t>Aug-2017</t>
        </is>
      </c>
      <c r="C13537" s="2" t="n">
        <v>43493</v>
      </c>
      <c r="D13537" t="inlineStr">
        <is>
          <t>NIL</t>
        </is>
      </c>
      <c r="E13537" t="n">
        <v>1191</v>
      </c>
    </row>
    <row r="13538">
      <c r="A13538" t="inlineStr">
        <is>
          <t>27BBBBB13538Z5</t>
        </is>
      </c>
      <c r="B13538" t="inlineStr">
        <is>
          <t>Oct-2018</t>
        </is>
      </c>
      <c r="C13538" s="2" t="n">
        <v>44160</v>
      </c>
      <c r="D13538" t="inlineStr">
        <is>
          <t>NON-NIL</t>
        </is>
      </c>
      <c r="E13538" t="n">
        <v>361</v>
      </c>
    </row>
    <row r="13539">
      <c r="A13539" t="inlineStr">
        <is>
          <t>27BBBBB13539Z5</t>
        </is>
      </c>
      <c r="B13539" t="inlineStr">
        <is>
          <t>Aug-2018</t>
        </is>
      </c>
      <c r="C13539" s="2" t="n">
        <v>43144</v>
      </c>
      <c r="D13539" t="inlineStr">
        <is>
          <t>NIL</t>
        </is>
      </c>
      <c r="E13539" t="n">
        <v>929</v>
      </c>
    </row>
    <row r="13540">
      <c r="A13540" t="inlineStr">
        <is>
          <t>27BBBBB13540Z5</t>
        </is>
      </c>
      <c r="B13540" t="inlineStr">
        <is>
          <t>Aug-2018</t>
        </is>
      </c>
      <c r="C13540" s="2" t="n">
        <v>43678</v>
      </c>
      <c r="D13540" t="inlineStr">
        <is>
          <t>NIL</t>
        </is>
      </c>
      <c r="E13540" t="n">
        <v>2210</v>
      </c>
    </row>
    <row r="13541">
      <c r="A13541" t="inlineStr">
        <is>
          <t>27BBBBB13541Z5</t>
        </is>
      </c>
      <c r="B13541" t="inlineStr">
        <is>
          <t>Apr-2020</t>
        </is>
      </c>
      <c r="C13541" s="2" t="n">
        <v>44236</v>
      </c>
      <c r="D13541" t="inlineStr">
        <is>
          <t>NIL</t>
        </is>
      </c>
      <c r="E13541" t="n">
        <v>933</v>
      </c>
    </row>
    <row r="13542">
      <c r="A13542" t="inlineStr">
        <is>
          <t>27BBBBB13542Z5</t>
        </is>
      </c>
      <c r="B13542" t="inlineStr">
        <is>
          <t>Dec-2024</t>
        </is>
      </c>
      <c r="C13542" s="2" t="n">
        <v>44801</v>
      </c>
      <c r="D13542" t="inlineStr">
        <is>
          <t>NON-NIL</t>
        </is>
      </c>
      <c r="E13542" t="n">
        <v>1306</v>
      </c>
    </row>
    <row r="13543">
      <c r="A13543" t="inlineStr">
        <is>
          <t>27BBBBB13543Z5</t>
        </is>
      </c>
      <c r="B13543" t="inlineStr">
        <is>
          <t>Jan-2021</t>
        </is>
      </c>
      <c r="C13543" s="2" t="n">
        <v>45302</v>
      </c>
      <c r="D13543" t="inlineStr">
        <is>
          <t>NON-NIL</t>
        </is>
      </c>
      <c r="E13543" t="n">
        <v>1201</v>
      </c>
    </row>
    <row r="13544">
      <c r="A13544" t="inlineStr">
        <is>
          <t>27BBBBB13544Z5</t>
        </is>
      </c>
      <c r="B13544" t="inlineStr">
        <is>
          <t>Jun-2018</t>
        </is>
      </c>
      <c r="C13544" s="2" t="n">
        <v>44021</v>
      </c>
      <c r="D13544" t="inlineStr">
        <is>
          <t>NIL</t>
        </is>
      </c>
      <c r="E13544" t="n">
        <v>1442</v>
      </c>
    </row>
    <row r="13545">
      <c r="A13545" t="inlineStr">
        <is>
          <t>27BBBBB13545Z5</t>
        </is>
      </c>
      <c r="B13545" t="inlineStr">
        <is>
          <t>May-2020</t>
        </is>
      </c>
      <c r="C13545" s="2" t="n">
        <v>44759</v>
      </c>
      <c r="D13545" t="inlineStr">
        <is>
          <t>NON-NIL</t>
        </is>
      </c>
      <c r="E13545" t="n">
        <v>702</v>
      </c>
    </row>
    <row r="13546">
      <c r="A13546" t="inlineStr">
        <is>
          <t>27BBBBB13546Z5</t>
        </is>
      </c>
      <c r="B13546" t="inlineStr">
        <is>
          <t>Feb-2018</t>
        </is>
      </c>
      <c r="C13546" s="2" t="n">
        <v>43932</v>
      </c>
      <c r="D13546" t="inlineStr">
        <is>
          <t>NON-NIL</t>
        </is>
      </c>
      <c r="E13546" t="n">
        <v>746</v>
      </c>
    </row>
    <row r="13547">
      <c r="A13547" t="inlineStr">
        <is>
          <t>27BBBBB13547Z5</t>
        </is>
      </c>
      <c r="B13547" t="inlineStr">
        <is>
          <t>Jul-2017</t>
        </is>
      </c>
      <c r="C13547" s="2" t="n">
        <v>43450</v>
      </c>
      <c r="D13547" t="inlineStr">
        <is>
          <t>NIL</t>
        </is>
      </c>
      <c r="E13547" t="n">
        <v>2334</v>
      </c>
    </row>
    <row r="13548">
      <c r="A13548" t="inlineStr">
        <is>
          <t>27BBBBB13548Z5</t>
        </is>
      </c>
      <c r="B13548" t="inlineStr">
        <is>
          <t>Jan-2018</t>
        </is>
      </c>
      <c r="C13548" s="2" t="n">
        <v>43490</v>
      </c>
      <c r="D13548" t="inlineStr">
        <is>
          <t>NON-NIL</t>
        </is>
      </c>
      <c r="E13548" t="n">
        <v>854</v>
      </c>
    </row>
    <row r="13549">
      <c r="A13549" t="inlineStr">
        <is>
          <t>27BBBBB13549Z5</t>
        </is>
      </c>
      <c r="B13549" t="inlineStr">
        <is>
          <t>Jul-2017</t>
        </is>
      </c>
      <c r="C13549" s="2" t="n">
        <v>43377</v>
      </c>
      <c r="D13549" t="inlineStr">
        <is>
          <t>NON-NIL</t>
        </is>
      </c>
      <c r="E13549" t="n">
        <v>416</v>
      </c>
    </row>
    <row r="13550">
      <c r="A13550" t="inlineStr">
        <is>
          <t>27BBBBB13550Z5</t>
        </is>
      </c>
      <c r="B13550" t="inlineStr">
        <is>
          <t>Mar-2020</t>
        </is>
      </c>
      <c r="C13550" s="2" t="n">
        <v>44400</v>
      </c>
      <c r="D13550" t="inlineStr">
        <is>
          <t>NON-NIL</t>
        </is>
      </c>
      <c r="E13550" t="n">
        <v>2200</v>
      </c>
    </row>
    <row r="13551">
      <c r="A13551" t="inlineStr">
        <is>
          <t>27BBBBB13551Z5</t>
        </is>
      </c>
      <c r="B13551" t="inlineStr">
        <is>
          <t>Oct-2018</t>
        </is>
      </c>
      <c r="C13551" s="2" t="n">
        <v>43989</v>
      </c>
      <c r="D13551" t="inlineStr">
        <is>
          <t>NON-NIL</t>
        </is>
      </c>
      <c r="E13551" t="n">
        <v>2819</v>
      </c>
    </row>
    <row r="13552">
      <c r="A13552" t="inlineStr">
        <is>
          <t>27BBBBB13552Z5</t>
        </is>
      </c>
      <c r="B13552" t="inlineStr">
        <is>
          <t>Oct-2017</t>
        </is>
      </c>
      <c r="C13552" s="2" t="n">
        <v>43409</v>
      </c>
      <c r="D13552" t="inlineStr">
        <is>
          <t>NON-NIL</t>
        </is>
      </c>
      <c r="E13552" t="n">
        <v>116</v>
      </c>
    </row>
    <row r="13553">
      <c r="A13553" t="inlineStr">
        <is>
          <t>27BBBBB13553Z5</t>
        </is>
      </c>
      <c r="B13553" t="inlineStr">
        <is>
          <t>Feb-2018</t>
        </is>
      </c>
      <c r="C13553" s="2" t="n">
        <v>44305</v>
      </c>
      <c r="D13553" t="inlineStr">
        <is>
          <t>NON-NIL</t>
        </is>
      </c>
      <c r="E13553" t="n">
        <v>1097</v>
      </c>
    </row>
    <row r="13554">
      <c r="A13554" t="inlineStr">
        <is>
          <t>27BBBBB13554Z5</t>
        </is>
      </c>
      <c r="B13554" t="inlineStr">
        <is>
          <t>Jan-2018</t>
        </is>
      </c>
      <c r="C13554" s="2" t="n">
        <v>43318</v>
      </c>
      <c r="D13554" t="inlineStr">
        <is>
          <t>NON-NIL</t>
        </is>
      </c>
      <c r="E13554" t="n">
        <v>1610</v>
      </c>
    </row>
    <row r="13555">
      <c r="A13555" t="inlineStr">
        <is>
          <t>27BBBBB13555Z5</t>
        </is>
      </c>
      <c r="B13555" t="inlineStr">
        <is>
          <t>Jun-2018</t>
        </is>
      </c>
      <c r="C13555" s="2" t="n">
        <v>43975</v>
      </c>
      <c r="D13555" t="inlineStr">
        <is>
          <t>NIL</t>
        </is>
      </c>
      <c r="E13555" t="n">
        <v>2498</v>
      </c>
    </row>
    <row r="13556">
      <c r="A13556" t="inlineStr">
        <is>
          <t>27BBBBB13556Z5</t>
        </is>
      </c>
      <c r="B13556" t="inlineStr">
        <is>
          <t>Jul-2020</t>
        </is>
      </c>
      <c r="C13556" s="2" t="n">
        <v>44335</v>
      </c>
      <c r="D13556" t="inlineStr">
        <is>
          <t>NIL</t>
        </is>
      </c>
      <c r="E13556" t="n">
        <v>4</v>
      </c>
    </row>
    <row r="13557">
      <c r="A13557" t="inlineStr">
        <is>
          <t>27BBBBB13557Z5</t>
        </is>
      </c>
      <c r="B13557" t="inlineStr">
        <is>
          <t>Apr-2020</t>
        </is>
      </c>
      <c r="C13557" s="2" t="n">
        <v>44629</v>
      </c>
      <c r="D13557" t="inlineStr">
        <is>
          <t>NON-NIL</t>
        </is>
      </c>
      <c r="E13557" t="n">
        <v>1859</v>
      </c>
    </row>
    <row r="13558">
      <c r="A13558" t="inlineStr">
        <is>
          <t>27BBBBB13558Z5</t>
        </is>
      </c>
      <c r="B13558" t="inlineStr">
        <is>
          <t>May-2020</t>
        </is>
      </c>
      <c r="C13558" s="2" t="n">
        <v>44200</v>
      </c>
      <c r="D13558" t="inlineStr">
        <is>
          <t>NIL</t>
        </is>
      </c>
      <c r="E13558" t="n">
        <v>1740</v>
      </c>
    </row>
    <row r="13559">
      <c r="A13559" t="inlineStr">
        <is>
          <t>27BBBBB13559Z5</t>
        </is>
      </c>
      <c r="B13559" t="inlineStr">
        <is>
          <t>Dec-2017</t>
        </is>
      </c>
      <c r="C13559" s="2" t="n">
        <v>43557</v>
      </c>
      <c r="D13559" t="inlineStr">
        <is>
          <t>NON-NIL</t>
        </is>
      </c>
      <c r="E13559" t="n">
        <v>2260</v>
      </c>
    </row>
    <row r="13560">
      <c r="A13560" t="inlineStr">
        <is>
          <t>27BBBBB13560Z5</t>
        </is>
      </c>
      <c r="B13560" t="inlineStr">
        <is>
          <t>May-2018</t>
        </is>
      </c>
      <c r="C13560" s="2" t="n">
        <v>43832</v>
      </c>
      <c r="D13560" t="inlineStr">
        <is>
          <t>NON-NIL</t>
        </is>
      </c>
      <c r="E13560" t="n">
        <v>863</v>
      </c>
    </row>
    <row r="13561">
      <c r="A13561" t="inlineStr">
        <is>
          <t>27BBBBB13561Z5</t>
        </is>
      </c>
      <c r="B13561" t="inlineStr">
        <is>
          <t>Apr-2018</t>
        </is>
      </c>
      <c r="C13561" s="2" t="n">
        <v>43853</v>
      </c>
      <c r="D13561" t="inlineStr">
        <is>
          <t>NON-NIL</t>
        </is>
      </c>
      <c r="E13561" t="n">
        <v>2293</v>
      </c>
    </row>
    <row r="13562">
      <c r="A13562" t="inlineStr">
        <is>
          <t>27BBBBB13562Z5</t>
        </is>
      </c>
      <c r="B13562" t="inlineStr">
        <is>
          <t>Jun-2018</t>
        </is>
      </c>
      <c r="C13562" s="2" t="n">
        <v>42932</v>
      </c>
      <c r="D13562" t="inlineStr">
        <is>
          <t>NIL</t>
        </is>
      </c>
      <c r="E13562" t="n">
        <v>2084</v>
      </c>
    </row>
    <row r="13563">
      <c r="A13563" t="inlineStr">
        <is>
          <t>27BBBBB13563Z5</t>
        </is>
      </c>
      <c r="B13563" t="inlineStr">
        <is>
          <t>May-2020</t>
        </is>
      </c>
      <c r="C13563" s="2" t="n">
        <v>44709</v>
      </c>
      <c r="D13563" t="inlineStr">
        <is>
          <t>NIL</t>
        </is>
      </c>
      <c r="E13563" t="n">
        <v>158</v>
      </c>
    </row>
    <row r="13564">
      <c r="A13564" t="inlineStr">
        <is>
          <t>27BBBBB13564Z5</t>
        </is>
      </c>
      <c r="B13564" t="inlineStr">
        <is>
          <t>May-2018</t>
        </is>
      </c>
      <c r="C13564" s="2" t="n">
        <v>44292</v>
      </c>
      <c r="D13564" t="inlineStr">
        <is>
          <t>NON-NIL</t>
        </is>
      </c>
      <c r="E13564" t="n">
        <v>620</v>
      </c>
    </row>
    <row r="13565">
      <c r="A13565" t="inlineStr">
        <is>
          <t>27BBBBB13565Z5</t>
        </is>
      </c>
      <c r="B13565" t="inlineStr">
        <is>
          <t>Aug-2018</t>
        </is>
      </c>
      <c r="C13565" s="2" t="n">
        <v>44256</v>
      </c>
      <c r="D13565" t="inlineStr">
        <is>
          <t>NON-NIL</t>
        </is>
      </c>
      <c r="E13565" t="n">
        <v>596</v>
      </c>
    </row>
    <row r="13566">
      <c r="A13566" t="inlineStr">
        <is>
          <t>27BBBBB13566Z5</t>
        </is>
      </c>
      <c r="B13566" t="inlineStr">
        <is>
          <t>Nov-2018</t>
        </is>
      </c>
      <c r="C13566" s="2" t="n">
        <v>44313</v>
      </c>
      <c r="D13566" t="inlineStr">
        <is>
          <t>NON-NIL</t>
        </is>
      </c>
      <c r="E13566" t="n">
        <v>1618</v>
      </c>
    </row>
    <row r="13567">
      <c r="A13567" t="inlineStr">
        <is>
          <t>27BBBBB13567Z5</t>
        </is>
      </c>
      <c r="B13567" t="inlineStr">
        <is>
          <t>Jul-2020</t>
        </is>
      </c>
      <c r="C13567" s="2" t="n">
        <v>43994</v>
      </c>
      <c r="D13567" t="inlineStr">
        <is>
          <t>NON-NIL</t>
        </is>
      </c>
      <c r="E13567" t="n">
        <v>2387</v>
      </c>
    </row>
    <row r="13568">
      <c r="A13568" t="inlineStr">
        <is>
          <t>27BBBBB13568Z5</t>
        </is>
      </c>
      <c r="B13568" t="inlineStr">
        <is>
          <t>Jul-2018</t>
        </is>
      </c>
      <c r="C13568" s="2" t="n">
        <v>43573</v>
      </c>
      <c r="D13568" t="inlineStr">
        <is>
          <t>NON-NIL</t>
        </is>
      </c>
      <c r="E13568" t="n">
        <v>932</v>
      </c>
    </row>
    <row r="13569">
      <c r="A13569" t="inlineStr">
        <is>
          <t>27BBBBB13569Z5</t>
        </is>
      </c>
      <c r="B13569" t="inlineStr">
        <is>
          <t>Mar-2020</t>
        </is>
      </c>
      <c r="C13569" s="2" t="n">
        <v>44076</v>
      </c>
      <c r="D13569" t="inlineStr">
        <is>
          <t>NIL</t>
        </is>
      </c>
      <c r="E13569" t="n">
        <v>1446</v>
      </c>
    </row>
    <row r="13570">
      <c r="A13570" t="inlineStr">
        <is>
          <t>27BBBBB13570Z5</t>
        </is>
      </c>
      <c r="B13570" t="inlineStr">
        <is>
          <t>Sep-2017</t>
        </is>
      </c>
      <c r="C13570" s="2" t="n">
        <v>42922</v>
      </c>
      <c r="D13570" t="inlineStr">
        <is>
          <t>NON-NIL</t>
        </is>
      </c>
      <c r="E13570" t="n">
        <v>1495</v>
      </c>
    </row>
    <row r="13571">
      <c r="A13571" t="inlineStr">
        <is>
          <t>27BBBBB13571Z5</t>
        </is>
      </c>
      <c r="B13571" t="inlineStr">
        <is>
          <t>Aug-2018</t>
        </is>
      </c>
      <c r="C13571" s="2" t="n">
        <v>44244</v>
      </c>
      <c r="D13571" t="inlineStr">
        <is>
          <t>NON-NIL</t>
        </is>
      </c>
      <c r="E13571" t="n">
        <v>2579</v>
      </c>
    </row>
    <row r="13572">
      <c r="A13572" t="inlineStr">
        <is>
          <t>27BBBBB13572Z5</t>
        </is>
      </c>
      <c r="B13572" t="inlineStr">
        <is>
          <t>Sep-2018</t>
        </is>
      </c>
      <c r="C13572" s="2" t="n">
        <v>43419</v>
      </c>
      <c r="D13572" t="inlineStr">
        <is>
          <t>NIL</t>
        </is>
      </c>
      <c r="E13572" t="n">
        <v>685</v>
      </c>
    </row>
    <row r="13573">
      <c r="A13573" t="inlineStr">
        <is>
          <t>27BBBBB13573Z5</t>
        </is>
      </c>
      <c r="B13573" t="inlineStr">
        <is>
          <t>Jul-2018</t>
        </is>
      </c>
      <c r="C13573" s="2" t="n">
        <v>43599</v>
      </c>
      <c r="D13573" t="inlineStr">
        <is>
          <t>NON-NIL</t>
        </is>
      </c>
      <c r="E13573" t="n">
        <v>2742</v>
      </c>
    </row>
    <row r="13574">
      <c r="A13574" t="inlineStr">
        <is>
          <t>27BBBBB13574Z5</t>
        </is>
      </c>
      <c r="B13574" t="inlineStr">
        <is>
          <t>Dec-2022</t>
        </is>
      </c>
      <c r="C13574" s="2" t="n">
        <v>45778</v>
      </c>
      <c r="D13574" t="inlineStr">
        <is>
          <t>NIL</t>
        </is>
      </c>
      <c r="E13574" t="n">
        <v>861</v>
      </c>
    </row>
    <row r="13575">
      <c r="A13575" t="inlineStr">
        <is>
          <t>27BBBBB13575Z5</t>
        </is>
      </c>
      <c r="B13575" t="inlineStr">
        <is>
          <t>Mar-2023</t>
        </is>
      </c>
      <c r="C13575" s="2" t="n">
        <v>43898</v>
      </c>
      <c r="D13575" t="inlineStr">
        <is>
          <t>NIL</t>
        </is>
      </c>
      <c r="E13575" t="n">
        <v>2509</v>
      </c>
    </row>
    <row r="13576">
      <c r="A13576" t="inlineStr">
        <is>
          <t>27BBBBB13576Z5</t>
        </is>
      </c>
      <c r="B13576" t="inlineStr">
        <is>
          <t>May-2020</t>
        </is>
      </c>
      <c r="C13576" s="2" t="n">
        <v>44335</v>
      </c>
      <c r="D13576" t="inlineStr">
        <is>
          <t>NIL</t>
        </is>
      </c>
      <c r="E13576" t="n">
        <v>1456</v>
      </c>
    </row>
    <row r="13577">
      <c r="A13577" t="inlineStr">
        <is>
          <t>27BBBBB13577Z5</t>
        </is>
      </c>
      <c r="B13577" t="inlineStr">
        <is>
          <t>Dec-2017</t>
        </is>
      </c>
      <c r="C13577" s="2" t="n">
        <v>43418</v>
      </c>
      <c r="D13577" t="inlineStr">
        <is>
          <t>NIL</t>
        </is>
      </c>
      <c r="E13577" t="n">
        <v>2699</v>
      </c>
    </row>
    <row r="13578">
      <c r="A13578" t="inlineStr">
        <is>
          <t>27BBBBB13578Z5</t>
        </is>
      </c>
      <c r="B13578" t="inlineStr">
        <is>
          <t>Jul-2017</t>
        </is>
      </c>
      <c r="C13578" s="2" t="n">
        <v>43606</v>
      </c>
      <c r="D13578" t="inlineStr">
        <is>
          <t>NIL</t>
        </is>
      </c>
      <c r="E13578" t="n">
        <v>1739</v>
      </c>
    </row>
    <row r="13579">
      <c r="A13579" t="inlineStr">
        <is>
          <t>27BBBBB13579Z5</t>
        </is>
      </c>
      <c r="B13579" t="inlineStr">
        <is>
          <t>Dec-2022</t>
        </is>
      </c>
      <c r="C13579" s="2" t="n">
        <v>45146</v>
      </c>
      <c r="D13579" t="inlineStr">
        <is>
          <t>NON-NIL</t>
        </is>
      </c>
      <c r="E13579" t="n">
        <v>590</v>
      </c>
    </row>
    <row r="13580">
      <c r="A13580" t="inlineStr">
        <is>
          <t>27BBBBB13580Z5</t>
        </is>
      </c>
      <c r="B13580" t="inlineStr">
        <is>
          <t>Mar-2023</t>
        </is>
      </c>
      <c r="C13580" s="2" t="n">
        <v>44320</v>
      </c>
      <c r="D13580" t="inlineStr">
        <is>
          <t>NON-NIL</t>
        </is>
      </c>
      <c r="E13580" t="n">
        <v>954</v>
      </c>
    </row>
    <row r="13581">
      <c r="A13581" t="inlineStr">
        <is>
          <t>27BBBBB13581Z5</t>
        </is>
      </c>
      <c r="B13581" t="inlineStr">
        <is>
          <t>Sep-2017</t>
        </is>
      </c>
      <c r="C13581" s="2" t="n">
        <v>44084</v>
      </c>
      <c r="D13581" t="inlineStr">
        <is>
          <t>NON-NIL</t>
        </is>
      </c>
      <c r="E13581" t="n">
        <v>1544</v>
      </c>
    </row>
    <row r="13582">
      <c r="A13582" t="inlineStr">
        <is>
          <t>27BBBBB13582Z5</t>
        </is>
      </c>
      <c r="B13582" t="inlineStr">
        <is>
          <t>May-2018</t>
        </is>
      </c>
      <c r="C13582" s="2" t="n">
        <v>44438</v>
      </c>
      <c r="D13582" t="inlineStr">
        <is>
          <t>NON-NIL</t>
        </is>
      </c>
      <c r="E13582" t="n">
        <v>1196</v>
      </c>
    </row>
    <row r="13583">
      <c r="A13583" t="inlineStr">
        <is>
          <t>27BBBBB13583Z5</t>
        </is>
      </c>
      <c r="B13583" t="inlineStr">
        <is>
          <t>Apr-2020</t>
        </is>
      </c>
      <c r="C13583" s="2" t="n">
        <v>44889</v>
      </c>
      <c r="D13583" t="inlineStr">
        <is>
          <t>NIL</t>
        </is>
      </c>
      <c r="E13583" t="n">
        <v>1718</v>
      </c>
    </row>
    <row r="13584">
      <c r="A13584" t="inlineStr">
        <is>
          <t>27BBBBB13584Z5</t>
        </is>
      </c>
      <c r="B13584" t="inlineStr">
        <is>
          <t>Mar-2023</t>
        </is>
      </c>
      <c r="C13584" s="2" t="n">
        <v>44658</v>
      </c>
      <c r="D13584" t="inlineStr">
        <is>
          <t>NON-NIL</t>
        </is>
      </c>
      <c r="E13584" t="n">
        <v>1618</v>
      </c>
    </row>
    <row r="13585">
      <c r="A13585" t="inlineStr">
        <is>
          <t>27BBBBB13585Z5</t>
        </is>
      </c>
      <c r="B13585" t="inlineStr">
        <is>
          <t>Dec-2017</t>
        </is>
      </c>
      <c r="C13585" s="2" t="n">
        <v>43468</v>
      </c>
      <c r="D13585" t="inlineStr">
        <is>
          <t>NIL</t>
        </is>
      </c>
      <c r="E13585" t="n">
        <v>2876</v>
      </c>
    </row>
    <row r="13586">
      <c r="A13586" t="inlineStr">
        <is>
          <t>27BBBBB13586Z5</t>
        </is>
      </c>
      <c r="B13586" t="inlineStr">
        <is>
          <t>Dec-2022</t>
        </is>
      </c>
      <c r="C13586" s="2" t="n">
        <v>43951</v>
      </c>
      <c r="D13586" t="inlineStr">
        <is>
          <t>NON-NIL</t>
        </is>
      </c>
      <c r="E13586" t="n">
        <v>817</v>
      </c>
    </row>
    <row r="13587">
      <c r="A13587" t="inlineStr">
        <is>
          <t>27BBBBB13587Z5</t>
        </is>
      </c>
      <c r="B13587" t="inlineStr">
        <is>
          <t>May-2018</t>
        </is>
      </c>
      <c r="C13587" s="2" t="n">
        <v>43807</v>
      </c>
      <c r="D13587" t="inlineStr">
        <is>
          <t>NIL</t>
        </is>
      </c>
      <c r="E13587" t="n">
        <v>983</v>
      </c>
    </row>
    <row r="13588">
      <c r="A13588" t="inlineStr">
        <is>
          <t>27BBBBB13588Z5</t>
        </is>
      </c>
      <c r="B13588" t="inlineStr">
        <is>
          <t>Mar-2018</t>
        </is>
      </c>
      <c r="C13588" s="2" t="n">
        <v>43070</v>
      </c>
      <c r="D13588" t="inlineStr">
        <is>
          <t>NIL</t>
        </is>
      </c>
      <c r="E13588" t="n">
        <v>1122</v>
      </c>
    </row>
    <row r="13589">
      <c r="A13589" t="inlineStr">
        <is>
          <t>27BBBBB13589Z5</t>
        </is>
      </c>
      <c r="B13589" t="inlineStr">
        <is>
          <t>Aug-2018</t>
        </is>
      </c>
      <c r="C13589" s="2" t="n">
        <v>43289</v>
      </c>
      <c r="D13589" t="inlineStr">
        <is>
          <t>NON-NIL</t>
        </is>
      </c>
      <c r="E13589" t="n">
        <v>2348</v>
      </c>
    </row>
    <row r="13590">
      <c r="A13590" t="inlineStr">
        <is>
          <t>27BBBBB13590Z5</t>
        </is>
      </c>
      <c r="B13590" t="inlineStr">
        <is>
          <t>Dec-2022</t>
        </is>
      </c>
      <c r="C13590" s="2" t="n">
        <v>44827</v>
      </c>
      <c r="D13590" t="inlineStr">
        <is>
          <t>NON-NIL</t>
        </is>
      </c>
      <c r="E13590" t="n">
        <v>417</v>
      </c>
    </row>
    <row r="13591">
      <c r="A13591" t="inlineStr">
        <is>
          <t>27BBBBB13591Z5</t>
        </is>
      </c>
      <c r="B13591" t="inlineStr">
        <is>
          <t>Nov-2017</t>
        </is>
      </c>
      <c r="C13591" s="2" t="n">
        <v>44530</v>
      </c>
      <c r="D13591" t="inlineStr">
        <is>
          <t>NIL</t>
        </is>
      </c>
      <c r="E13591" t="n">
        <v>2763</v>
      </c>
    </row>
    <row r="13592">
      <c r="A13592" t="inlineStr">
        <is>
          <t>27BBBBB13592Z5</t>
        </is>
      </c>
      <c r="B13592" t="inlineStr">
        <is>
          <t>Apr-2020</t>
        </is>
      </c>
      <c r="C13592" s="2" t="n">
        <v>44395</v>
      </c>
      <c r="D13592" t="inlineStr">
        <is>
          <t>NIL</t>
        </is>
      </c>
      <c r="E13592" t="n">
        <v>32</v>
      </c>
    </row>
    <row r="13593">
      <c r="A13593" t="inlineStr">
        <is>
          <t>27BBBBB13593Z5</t>
        </is>
      </c>
      <c r="B13593" t="inlineStr">
        <is>
          <t>May-2018</t>
        </is>
      </c>
      <c r="C13593" s="2" t="n">
        <v>44301</v>
      </c>
      <c r="D13593" t="inlineStr">
        <is>
          <t>NON-NIL</t>
        </is>
      </c>
      <c r="E13593" t="n">
        <v>869</v>
      </c>
    </row>
    <row r="13594">
      <c r="A13594" t="inlineStr">
        <is>
          <t>27BBBBB13594Z5</t>
        </is>
      </c>
      <c r="B13594" t="inlineStr">
        <is>
          <t>Mar-2018</t>
        </is>
      </c>
      <c r="C13594" s="2" t="n">
        <v>43042</v>
      </c>
      <c r="D13594" t="inlineStr">
        <is>
          <t>NIL</t>
        </is>
      </c>
      <c r="E13594" t="n">
        <v>2429</v>
      </c>
    </row>
    <row r="13595">
      <c r="A13595" t="inlineStr">
        <is>
          <t>27BBBBB13595Z5</t>
        </is>
      </c>
      <c r="B13595" t="inlineStr">
        <is>
          <t>Apr-2018</t>
        </is>
      </c>
      <c r="C13595" s="2" t="n">
        <v>43760</v>
      </c>
      <c r="D13595" t="inlineStr">
        <is>
          <t>NON-NIL</t>
        </is>
      </c>
      <c r="E13595" t="n">
        <v>1169</v>
      </c>
    </row>
    <row r="13596">
      <c r="A13596" t="inlineStr">
        <is>
          <t>27BBBBB13596Z5</t>
        </is>
      </c>
      <c r="B13596" t="inlineStr">
        <is>
          <t>Nov-2018</t>
        </is>
      </c>
      <c r="C13596" s="2" t="n">
        <v>42949</v>
      </c>
      <c r="D13596" t="inlineStr">
        <is>
          <t>NON-NIL</t>
        </is>
      </c>
      <c r="E13596" t="n">
        <v>435</v>
      </c>
    </row>
    <row r="13597">
      <c r="A13597" t="inlineStr">
        <is>
          <t>27BBBBB13597Z5</t>
        </is>
      </c>
      <c r="B13597" t="inlineStr">
        <is>
          <t>Sep-2017</t>
        </is>
      </c>
      <c r="C13597" s="2" t="n">
        <v>43537</v>
      </c>
      <c r="D13597" t="inlineStr">
        <is>
          <t>NON-NIL</t>
        </is>
      </c>
      <c r="E13597" t="n">
        <v>1870</v>
      </c>
    </row>
    <row r="13598">
      <c r="A13598" t="inlineStr">
        <is>
          <t>27BBBBB13598Z5</t>
        </is>
      </c>
      <c r="B13598" t="inlineStr">
        <is>
          <t>Jun-2018</t>
        </is>
      </c>
      <c r="C13598" s="2" t="n">
        <v>43352</v>
      </c>
      <c r="D13598" t="inlineStr">
        <is>
          <t>NIL</t>
        </is>
      </c>
      <c r="E13598" t="n">
        <v>2426</v>
      </c>
    </row>
    <row r="13599">
      <c r="A13599" t="inlineStr">
        <is>
          <t>27BBBBB13599Z5</t>
        </is>
      </c>
      <c r="B13599" t="inlineStr">
        <is>
          <t>May-2018</t>
        </is>
      </c>
      <c r="C13599" s="2" t="n">
        <v>44295</v>
      </c>
      <c r="D13599" t="inlineStr">
        <is>
          <t>NIL</t>
        </is>
      </c>
      <c r="E13599" t="n">
        <v>1463</v>
      </c>
    </row>
    <row r="13600">
      <c r="A13600" t="inlineStr">
        <is>
          <t>27BBBBB13600Z5</t>
        </is>
      </c>
      <c r="B13600" t="inlineStr">
        <is>
          <t>May-2020</t>
        </is>
      </c>
      <c r="C13600" s="2" t="n">
        <v>44762</v>
      </c>
      <c r="D13600" t="inlineStr">
        <is>
          <t>NON-NIL</t>
        </is>
      </c>
      <c r="E13600" t="n">
        <v>1752</v>
      </c>
    </row>
    <row r="13601">
      <c r="A13601" t="inlineStr">
        <is>
          <t>27BBBBB13601Z5</t>
        </is>
      </c>
      <c r="B13601" t="inlineStr">
        <is>
          <t>Jul-2017</t>
        </is>
      </c>
      <c r="C13601" s="2" t="n">
        <v>43768</v>
      </c>
      <c r="D13601" t="inlineStr">
        <is>
          <t>NON-NIL</t>
        </is>
      </c>
      <c r="E13601" t="n">
        <v>2057</v>
      </c>
    </row>
    <row r="13602">
      <c r="A13602" t="inlineStr">
        <is>
          <t>27BBBBB13602Z5</t>
        </is>
      </c>
      <c r="B13602" t="inlineStr">
        <is>
          <t>Jul-2017</t>
        </is>
      </c>
      <c r="C13602" s="2" t="n">
        <v>44026</v>
      </c>
      <c r="D13602" t="inlineStr">
        <is>
          <t>NIL</t>
        </is>
      </c>
      <c r="E13602" t="n">
        <v>381</v>
      </c>
    </row>
    <row r="13603">
      <c r="A13603" t="inlineStr">
        <is>
          <t>27BBBBB13603Z5</t>
        </is>
      </c>
      <c r="B13603" t="inlineStr">
        <is>
          <t>Dec-2017</t>
        </is>
      </c>
      <c r="C13603" s="2" t="n">
        <v>43442</v>
      </c>
      <c r="D13603" t="inlineStr">
        <is>
          <t>NON-NIL</t>
        </is>
      </c>
      <c r="E13603" t="n">
        <v>2681</v>
      </c>
    </row>
    <row r="13604">
      <c r="A13604" t="inlineStr">
        <is>
          <t>27BBBBB13604Z5</t>
        </is>
      </c>
      <c r="B13604" t="inlineStr">
        <is>
          <t>Jun-2018</t>
        </is>
      </c>
      <c r="C13604" s="2" t="n">
        <v>43322</v>
      </c>
      <c r="D13604" t="inlineStr">
        <is>
          <t>NIL</t>
        </is>
      </c>
      <c r="E13604" t="n">
        <v>1993</v>
      </c>
    </row>
    <row r="13605">
      <c r="A13605" t="inlineStr">
        <is>
          <t>27BBBBB13605Z5</t>
        </is>
      </c>
      <c r="B13605" t="inlineStr">
        <is>
          <t>Jan-2021</t>
        </is>
      </c>
      <c r="C13605" s="2" t="n">
        <v>44096</v>
      </c>
      <c r="D13605" t="inlineStr">
        <is>
          <t>NIL</t>
        </is>
      </c>
      <c r="E13605" t="n">
        <v>2402</v>
      </c>
    </row>
    <row r="13606">
      <c r="A13606" t="inlineStr">
        <is>
          <t>27BBBBB13606Z5</t>
        </is>
      </c>
      <c r="B13606" t="inlineStr">
        <is>
          <t>Mar-2021</t>
        </is>
      </c>
      <c r="C13606" s="2" t="n">
        <v>45803</v>
      </c>
      <c r="D13606" t="inlineStr">
        <is>
          <t>NON-NIL</t>
        </is>
      </c>
      <c r="E13606" t="n">
        <v>1374</v>
      </c>
    </row>
    <row r="13607">
      <c r="A13607" t="inlineStr">
        <is>
          <t>27BBBBB13607Z5</t>
        </is>
      </c>
      <c r="B13607" t="inlineStr">
        <is>
          <t>Nov-2017</t>
        </is>
      </c>
      <c r="C13607" s="2" t="n">
        <v>43057</v>
      </c>
      <c r="D13607" t="inlineStr">
        <is>
          <t>NON-NIL</t>
        </is>
      </c>
      <c r="E13607" t="n">
        <v>1826</v>
      </c>
    </row>
    <row r="13608">
      <c r="A13608" t="inlineStr">
        <is>
          <t>27BBBBB13608Z5</t>
        </is>
      </c>
      <c r="B13608" t="inlineStr">
        <is>
          <t>Dec-2017</t>
        </is>
      </c>
      <c r="C13608" s="2" t="n">
        <v>44369</v>
      </c>
      <c r="D13608" t="inlineStr">
        <is>
          <t>NIL</t>
        </is>
      </c>
      <c r="E13608" t="n">
        <v>405</v>
      </c>
    </row>
    <row r="13609">
      <c r="A13609" t="inlineStr">
        <is>
          <t>27BBBBB13609Z5</t>
        </is>
      </c>
      <c r="B13609" t="inlineStr">
        <is>
          <t>Mar-2018</t>
        </is>
      </c>
      <c r="C13609" s="2" t="n">
        <v>44059</v>
      </c>
      <c r="D13609" t="inlineStr">
        <is>
          <t>NON-NIL</t>
        </is>
      </c>
      <c r="E13609" t="n">
        <v>2581</v>
      </c>
    </row>
    <row r="13610">
      <c r="A13610" t="inlineStr">
        <is>
          <t>27BBBBB13610Z5</t>
        </is>
      </c>
      <c r="B13610" t="inlineStr">
        <is>
          <t>May-2018</t>
        </is>
      </c>
      <c r="C13610" s="2" t="n">
        <v>43664</v>
      </c>
      <c r="D13610" t="inlineStr">
        <is>
          <t>NON-NIL</t>
        </is>
      </c>
      <c r="E13610" t="n">
        <v>2332</v>
      </c>
    </row>
    <row r="13611">
      <c r="A13611" t="inlineStr">
        <is>
          <t>27BBBBB13611Z5</t>
        </is>
      </c>
      <c r="B13611" t="inlineStr">
        <is>
          <t>Aug-2018</t>
        </is>
      </c>
      <c r="C13611" s="2" t="n">
        <v>43953</v>
      </c>
      <c r="D13611" t="inlineStr">
        <is>
          <t>NON-NIL</t>
        </is>
      </c>
      <c r="E13611" t="n">
        <v>482</v>
      </c>
    </row>
    <row r="13612">
      <c r="A13612" t="inlineStr">
        <is>
          <t>27BBBBB13612Z5</t>
        </is>
      </c>
      <c r="B13612" t="inlineStr">
        <is>
          <t>Jan-2018</t>
        </is>
      </c>
      <c r="C13612" s="2" t="n">
        <v>44051</v>
      </c>
      <c r="D13612" t="inlineStr">
        <is>
          <t>NIL</t>
        </is>
      </c>
      <c r="E13612" t="n">
        <v>2156</v>
      </c>
    </row>
    <row r="13613">
      <c r="A13613" t="inlineStr">
        <is>
          <t>27BBBBB13613Z5</t>
        </is>
      </c>
      <c r="B13613" t="inlineStr">
        <is>
          <t>Dec-2018</t>
        </is>
      </c>
      <c r="C13613" s="2" t="n">
        <v>44055</v>
      </c>
      <c r="D13613" t="inlineStr">
        <is>
          <t>NON-NIL</t>
        </is>
      </c>
      <c r="E13613" t="n">
        <v>1374</v>
      </c>
    </row>
    <row r="13614">
      <c r="A13614" t="inlineStr">
        <is>
          <t>27BBBBB13614Z5</t>
        </is>
      </c>
      <c r="B13614" t="inlineStr">
        <is>
          <t>Jul-2018</t>
        </is>
      </c>
      <c r="C13614" s="2" t="n">
        <v>44129</v>
      </c>
      <c r="D13614" t="inlineStr">
        <is>
          <t>NIL</t>
        </is>
      </c>
      <c r="E13614" t="n">
        <v>2271</v>
      </c>
    </row>
    <row r="13615">
      <c r="A13615" t="inlineStr">
        <is>
          <t>27BBBBB13615Z5</t>
        </is>
      </c>
      <c r="B13615" t="inlineStr">
        <is>
          <t>Jan-2021</t>
        </is>
      </c>
      <c r="C13615" s="2" t="n">
        <v>44750</v>
      </c>
      <c r="D13615" t="inlineStr">
        <is>
          <t>NON-NIL</t>
        </is>
      </c>
      <c r="E13615" t="n">
        <v>2467</v>
      </c>
    </row>
    <row r="13616">
      <c r="A13616" t="inlineStr">
        <is>
          <t>27BBBBB13616Z5</t>
        </is>
      </c>
      <c r="B13616" t="inlineStr">
        <is>
          <t>Mar-2023</t>
        </is>
      </c>
      <c r="C13616" s="2" t="n">
        <v>43988</v>
      </c>
      <c r="D13616" t="inlineStr">
        <is>
          <t>NIL</t>
        </is>
      </c>
      <c r="E13616" t="n">
        <v>629</v>
      </c>
    </row>
    <row r="13617">
      <c r="A13617" t="inlineStr">
        <is>
          <t>27BBBBB13617Z5</t>
        </is>
      </c>
      <c r="B13617" t="inlineStr">
        <is>
          <t>Dec-2018</t>
        </is>
      </c>
      <c r="C13617" s="2" t="n">
        <v>44223</v>
      </c>
      <c r="D13617" t="inlineStr">
        <is>
          <t>NIL</t>
        </is>
      </c>
      <c r="E13617" t="n">
        <v>1404</v>
      </c>
    </row>
    <row r="13618">
      <c r="A13618" t="inlineStr">
        <is>
          <t>27BBBBB13618Z5</t>
        </is>
      </c>
      <c r="B13618" t="inlineStr">
        <is>
          <t>Nov-2017</t>
        </is>
      </c>
      <c r="C13618" s="2" t="n">
        <v>44484</v>
      </c>
      <c r="D13618" t="inlineStr">
        <is>
          <t>NON-NIL</t>
        </is>
      </c>
      <c r="E13618" t="n">
        <v>1544</v>
      </c>
    </row>
    <row r="13619">
      <c r="A13619" t="inlineStr">
        <is>
          <t>27BBBBB13619Z5</t>
        </is>
      </c>
      <c r="B13619" t="inlineStr">
        <is>
          <t>Mar-2023</t>
        </is>
      </c>
      <c r="C13619" s="2" t="n">
        <v>45435</v>
      </c>
      <c r="D13619" t="inlineStr">
        <is>
          <t>NON-NIL</t>
        </is>
      </c>
      <c r="E13619" t="n">
        <v>1560</v>
      </c>
    </row>
    <row r="13620">
      <c r="A13620" t="inlineStr">
        <is>
          <t>27BBBBB13620Z5</t>
        </is>
      </c>
      <c r="B13620" t="inlineStr">
        <is>
          <t>Aug-2018</t>
        </is>
      </c>
      <c r="C13620" s="2" t="n">
        <v>43883</v>
      </c>
      <c r="D13620" t="inlineStr">
        <is>
          <t>NIL</t>
        </is>
      </c>
      <c r="E13620" t="n">
        <v>2654</v>
      </c>
    </row>
    <row r="13621">
      <c r="A13621" t="inlineStr">
        <is>
          <t>27BBBBB13621Z5</t>
        </is>
      </c>
      <c r="B13621" t="inlineStr">
        <is>
          <t>Oct-2017</t>
        </is>
      </c>
      <c r="C13621" s="2" t="n">
        <v>43674</v>
      </c>
      <c r="D13621" t="inlineStr">
        <is>
          <t>NON-NIL</t>
        </is>
      </c>
      <c r="E13621" t="n">
        <v>511</v>
      </c>
    </row>
    <row r="13622">
      <c r="A13622" t="inlineStr">
        <is>
          <t>27BBBBB13622Z5</t>
        </is>
      </c>
      <c r="B13622" t="inlineStr">
        <is>
          <t>Sep-2018</t>
        </is>
      </c>
      <c r="C13622" s="2" t="n">
        <v>43121</v>
      </c>
      <c r="D13622" t="inlineStr">
        <is>
          <t>NON-NIL</t>
        </is>
      </c>
      <c r="E13622" t="n">
        <v>1903</v>
      </c>
    </row>
    <row r="13623">
      <c r="A13623" t="inlineStr">
        <is>
          <t>27BBBBB13623Z5</t>
        </is>
      </c>
      <c r="B13623" t="inlineStr">
        <is>
          <t>Apr-2020</t>
        </is>
      </c>
      <c r="C13623" s="2" t="n">
        <v>44611</v>
      </c>
      <c r="D13623" t="inlineStr">
        <is>
          <t>NON-NIL</t>
        </is>
      </c>
      <c r="E13623" t="n">
        <v>331</v>
      </c>
    </row>
    <row r="13624">
      <c r="A13624" t="inlineStr">
        <is>
          <t>27BBBBB13624Z5</t>
        </is>
      </c>
      <c r="B13624" t="inlineStr">
        <is>
          <t>Apr-2020</t>
        </is>
      </c>
      <c r="C13624" s="2" t="n">
        <v>43846</v>
      </c>
      <c r="D13624" t="inlineStr">
        <is>
          <t>NON-NIL</t>
        </is>
      </c>
      <c r="E13624" t="n">
        <v>1629</v>
      </c>
    </row>
    <row r="13625">
      <c r="A13625" t="inlineStr">
        <is>
          <t>27BBBBB13625Z5</t>
        </is>
      </c>
      <c r="B13625" t="inlineStr">
        <is>
          <t>Jul-2020</t>
        </is>
      </c>
      <c r="C13625" s="2" t="n">
        <v>44569</v>
      </c>
      <c r="D13625" t="inlineStr">
        <is>
          <t>NIL</t>
        </is>
      </c>
      <c r="E13625" t="n">
        <v>1533</v>
      </c>
    </row>
    <row r="13626">
      <c r="A13626" t="inlineStr">
        <is>
          <t>27BBBBB13626Z5</t>
        </is>
      </c>
      <c r="B13626" t="inlineStr">
        <is>
          <t>Nov-2017</t>
        </is>
      </c>
      <c r="C13626" s="2" t="n">
        <v>42969</v>
      </c>
      <c r="D13626" t="inlineStr">
        <is>
          <t>NIL</t>
        </is>
      </c>
      <c r="E13626" t="n">
        <v>1346</v>
      </c>
    </row>
    <row r="13627">
      <c r="A13627" t="inlineStr">
        <is>
          <t>27BBBBB13627Z5</t>
        </is>
      </c>
      <c r="B13627" t="inlineStr">
        <is>
          <t>Aug-2017</t>
        </is>
      </c>
      <c r="C13627" s="2" t="n">
        <v>43956</v>
      </c>
      <c r="D13627" t="inlineStr">
        <is>
          <t>NIL</t>
        </is>
      </c>
      <c r="E13627" t="n">
        <v>1614</v>
      </c>
    </row>
    <row r="13628">
      <c r="A13628" t="inlineStr">
        <is>
          <t>27BBBBB13628Z5</t>
        </is>
      </c>
      <c r="B13628" t="inlineStr">
        <is>
          <t>Nov-2018</t>
        </is>
      </c>
      <c r="C13628" s="2" t="n">
        <v>43755</v>
      </c>
      <c r="D13628" t="inlineStr">
        <is>
          <t>NIL</t>
        </is>
      </c>
      <c r="E13628" t="n">
        <v>1778</v>
      </c>
    </row>
    <row r="13629">
      <c r="A13629" t="inlineStr">
        <is>
          <t>27BBBBB13629Z5</t>
        </is>
      </c>
      <c r="B13629" t="inlineStr">
        <is>
          <t>Oct-2018</t>
        </is>
      </c>
      <c r="C13629" s="2" t="n">
        <v>43996</v>
      </c>
      <c r="D13629" t="inlineStr">
        <is>
          <t>NON-NIL</t>
        </is>
      </c>
      <c r="E13629" t="n">
        <v>1270</v>
      </c>
    </row>
    <row r="13630">
      <c r="A13630" t="inlineStr">
        <is>
          <t>27BBBBB13630Z5</t>
        </is>
      </c>
      <c r="B13630" t="inlineStr">
        <is>
          <t>Mar-2020</t>
        </is>
      </c>
      <c r="C13630" s="2" t="n">
        <v>44683</v>
      </c>
      <c r="D13630" t="inlineStr">
        <is>
          <t>NON-NIL</t>
        </is>
      </c>
      <c r="E13630" t="n">
        <v>350</v>
      </c>
    </row>
    <row r="13631">
      <c r="A13631" t="inlineStr">
        <is>
          <t>27BBBBB13631Z5</t>
        </is>
      </c>
      <c r="B13631" t="inlineStr">
        <is>
          <t>Oct-2017</t>
        </is>
      </c>
      <c r="C13631" s="2" t="n">
        <v>43404</v>
      </c>
      <c r="D13631" t="inlineStr">
        <is>
          <t>NON-NIL</t>
        </is>
      </c>
      <c r="E13631" t="n">
        <v>2700</v>
      </c>
    </row>
    <row r="13632">
      <c r="A13632" t="inlineStr">
        <is>
          <t>27BBBBB13632Z5</t>
        </is>
      </c>
      <c r="B13632" t="inlineStr">
        <is>
          <t>Mar-2021</t>
        </is>
      </c>
      <c r="C13632" s="2" t="n">
        <v>45641</v>
      </c>
      <c r="D13632" t="inlineStr">
        <is>
          <t>NIL</t>
        </is>
      </c>
      <c r="E13632" t="n">
        <v>2689</v>
      </c>
    </row>
    <row r="13633">
      <c r="A13633" t="inlineStr">
        <is>
          <t>27BBBBB13633Z5</t>
        </is>
      </c>
      <c r="B13633" t="inlineStr">
        <is>
          <t>Oct-2018</t>
        </is>
      </c>
      <c r="C13633" s="2" t="n">
        <v>44323</v>
      </c>
      <c r="D13633" t="inlineStr">
        <is>
          <t>NIL</t>
        </is>
      </c>
      <c r="E13633" t="n">
        <v>89</v>
      </c>
    </row>
    <row r="13634">
      <c r="A13634" t="inlineStr">
        <is>
          <t>27BBBBB13634Z5</t>
        </is>
      </c>
      <c r="B13634" t="inlineStr">
        <is>
          <t>May-2020</t>
        </is>
      </c>
      <c r="C13634" s="2" t="n">
        <v>44609</v>
      </c>
      <c r="D13634" t="inlineStr">
        <is>
          <t>NIL</t>
        </is>
      </c>
      <c r="E13634" t="n">
        <v>354</v>
      </c>
    </row>
    <row r="13635">
      <c r="A13635" t="inlineStr">
        <is>
          <t>27BBBBB13635Z5</t>
        </is>
      </c>
      <c r="B13635" t="inlineStr">
        <is>
          <t>Apr-2020</t>
        </is>
      </c>
      <c r="C13635" s="2" t="n">
        <v>44150</v>
      </c>
      <c r="D13635" t="inlineStr">
        <is>
          <t>NIL</t>
        </is>
      </c>
      <c r="E13635" t="n">
        <v>622</v>
      </c>
    </row>
    <row r="13636">
      <c r="A13636" t="inlineStr">
        <is>
          <t>27BBBBB13636Z5</t>
        </is>
      </c>
      <c r="B13636" t="inlineStr">
        <is>
          <t>Apr-2018</t>
        </is>
      </c>
      <c r="C13636" s="2" t="n">
        <v>43566</v>
      </c>
      <c r="D13636" t="inlineStr">
        <is>
          <t>NIL</t>
        </is>
      </c>
      <c r="E13636" t="n">
        <v>1800</v>
      </c>
    </row>
    <row r="13637">
      <c r="A13637" t="inlineStr">
        <is>
          <t>27BBBBB13637Z5</t>
        </is>
      </c>
      <c r="B13637" t="inlineStr">
        <is>
          <t>Jul-2018</t>
        </is>
      </c>
      <c r="C13637" s="2" t="n">
        <v>43285</v>
      </c>
      <c r="D13637" t="inlineStr">
        <is>
          <t>NON-NIL</t>
        </is>
      </c>
      <c r="E13637" t="n">
        <v>2177</v>
      </c>
    </row>
    <row r="13638">
      <c r="A13638" t="inlineStr">
        <is>
          <t>27BBBBB13638Z5</t>
        </is>
      </c>
      <c r="B13638" t="inlineStr">
        <is>
          <t>Jul-2018</t>
        </is>
      </c>
      <c r="C13638" s="2" t="n">
        <v>43471</v>
      </c>
      <c r="D13638" t="inlineStr">
        <is>
          <t>NON-NIL</t>
        </is>
      </c>
      <c r="E13638" t="n">
        <v>2353</v>
      </c>
    </row>
    <row r="13639">
      <c r="A13639" t="inlineStr">
        <is>
          <t>27BBBBB13639Z5</t>
        </is>
      </c>
      <c r="B13639" t="inlineStr">
        <is>
          <t>Mar-2021</t>
        </is>
      </c>
      <c r="C13639" s="2" t="n">
        <v>45678</v>
      </c>
      <c r="D13639" t="inlineStr">
        <is>
          <t>NIL</t>
        </is>
      </c>
      <c r="E13639" t="n">
        <v>1421</v>
      </c>
    </row>
    <row r="13640">
      <c r="A13640" t="inlineStr">
        <is>
          <t>27BBBBB13640Z5</t>
        </is>
      </c>
      <c r="B13640" t="inlineStr">
        <is>
          <t>Mar-2020</t>
        </is>
      </c>
      <c r="C13640" s="2" t="n">
        <v>44530</v>
      </c>
      <c r="D13640" t="inlineStr">
        <is>
          <t>NIL</t>
        </is>
      </c>
      <c r="E13640" t="n">
        <v>2608</v>
      </c>
    </row>
    <row r="13641">
      <c r="A13641" t="inlineStr">
        <is>
          <t>27BBBBB13641Z5</t>
        </is>
      </c>
      <c r="B13641" t="inlineStr">
        <is>
          <t>Dec-2024</t>
        </is>
      </c>
      <c r="C13641" s="2" t="n">
        <v>45338</v>
      </c>
      <c r="D13641" t="inlineStr">
        <is>
          <t>NON-NIL</t>
        </is>
      </c>
      <c r="E13641" t="n">
        <v>1104</v>
      </c>
    </row>
    <row r="13642">
      <c r="A13642" t="inlineStr">
        <is>
          <t>27BBBBB13642Z5</t>
        </is>
      </c>
      <c r="B13642" t="inlineStr">
        <is>
          <t>Feb-2018</t>
        </is>
      </c>
      <c r="C13642" s="2" t="n">
        <v>43501</v>
      </c>
      <c r="D13642" t="inlineStr">
        <is>
          <t>NIL</t>
        </is>
      </c>
      <c r="E13642" t="n">
        <v>581</v>
      </c>
    </row>
    <row r="13643">
      <c r="A13643" t="inlineStr">
        <is>
          <t>27BBBBB13643Z5</t>
        </is>
      </c>
      <c r="B13643" t="inlineStr">
        <is>
          <t>Sep-2017</t>
        </is>
      </c>
      <c r="C13643" s="2" t="n">
        <v>44172</v>
      </c>
      <c r="D13643" t="inlineStr">
        <is>
          <t>NON-NIL</t>
        </is>
      </c>
      <c r="E13643" t="n">
        <v>254</v>
      </c>
    </row>
    <row r="13644">
      <c r="A13644" t="inlineStr">
        <is>
          <t>27BBBBB13644Z5</t>
        </is>
      </c>
      <c r="B13644" t="inlineStr">
        <is>
          <t>Dec-2017</t>
        </is>
      </c>
      <c r="C13644" s="2" t="n">
        <v>42953</v>
      </c>
      <c r="D13644" t="inlineStr">
        <is>
          <t>NON-NIL</t>
        </is>
      </c>
      <c r="E13644" t="n">
        <v>902</v>
      </c>
    </row>
    <row r="13645">
      <c r="A13645" t="inlineStr">
        <is>
          <t>27BBBBB13645Z5</t>
        </is>
      </c>
      <c r="B13645" t="inlineStr">
        <is>
          <t>Mar-2018</t>
        </is>
      </c>
      <c r="C13645" s="2" t="n">
        <v>43975</v>
      </c>
      <c r="D13645" t="inlineStr">
        <is>
          <t>NIL</t>
        </is>
      </c>
      <c r="E13645" t="n">
        <v>692</v>
      </c>
    </row>
    <row r="13646">
      <c r="A13646" t="inlineStr">
        <is>
          <t>27BBBBB13646Z5</t>
        </is>
      </c>
      <c r="B13646" t="inlineStr">
        <is>
          <t>Feb-2018</t>
        </is>
      </c>
      <c r="C13646" s="2" t="n">
        <v>43543</v>
      </c>
      <c r="D13646" t="inlineStr">
        <is>
          <t>NON-NIL</t>
        </is>
      </c>
      <c r="E13646" t="n">
        <v>799</v>
      </c>
    </row>
    <row r="13647">
      <c r="A13647" t="inlineStr">
        <is>
          <t>27BBBBB13647Z5</t>
        </is>
      </c>
      <c r="B13647" t="inlineStr">
        <is>
          <t>Mar-2018</t>
        </is>
      </c>
      <c r="C13647" s="2" t="n">
        <v>43093</v>
      </c>
      <c r="D13647" t="inlineStr">
        <is>
          <t>NON-NIL</t>
        </is>
      </c>
      <c r="E13647" t="n">
        <v>666</v>
      </c>
    </row>
    <row r="13648">
      <c r="A13648" t="inlineStr">
        <is>
          <t>27BBBBB13648Z5</t>
        </is>
      </c>
      <c r="B13648" t="inlineStr">
        <is>
          <t>Oct-2017</t>
        </is>
      </c>
      <c r="C13648" s="2" t="n">
        <v>43346</v>
      </c>
      <c r="D13648" t="inlineStr">
        <is>
          <t>NON-NIL</t>
        </is>
      </c>
      <c r="E13648" t="n">
        <v>1965</v>
      </c>
    </row>
    <row r="13649">
      <c r="A13649" t="inlineStr">
        <is>
          <t>27BBBBB13649Z5</t>
        </is>
      </c>
      <c r="B13649" t="inlineStr">
        <is>
          <t>May-2020</t>
        </is>
      </c>
      <c r="C13649" s="2" t="n">
        <v>44470</v>
      </c>
      <c r="D13649" t="inlineStr">
        <is>
          <t>NIL</t>
        </is>
      </c>
      <c r="E13649" t="n">
        <v>2631</v>
      </c>
    </row>
    <row r="13650">
      <c r="A13650" t="inlineStr">
        <is>
          <t>27BBBBB13650Z5</t>
        </is>
      </c>
      <c r="B13650" t="inlineStr">
        <is>
          <t>Sep-2018</t>
        </is>
      </c>
      <c r="C13650" s="2" t="n">
        <v>43150</v>
      </c>
      <c r="D13650" t="inlineStr">
        <is>
          <t>NON-NIL</t>
        </is>
      </c>
      <c r="E13650" t="n">
        <v>1243</v>
      </c>
    </row>
    <row r="13651">
      <c r="A13651" t="inlineStr">
        <is>
          <t>27BBBBB13651Z5</t>
        </is>
      </c>
      <c r="B13651" t="inlineStr">
        <is>
          <t>Nov-2018</t>
        </is>
      </c>
      <c r="C13651" s="2" t="n">
        <v>43638</v>
      </c>
      <c r="D13651" t="inlineStr">
        <is>
          <t>NIL</t>
        </is>
      </c>
      <c r="E13651" t="n">
        <v>1905</v>
      </c>
    </row>
    <row r="13652">
      <c r="A13652" t="inlineStr">
        <is>
          <t>27BBBBB13652Z5</t>
        </is>
      </c>
      <c r="B13652" t="inlineStr">
        <is>
          <t>Sep-2017</t>
        </is>
      </c>
      <c r="C13652" s="2" t="n">
        <v>43417</v>
      </c>
      <c r="D13652" t="inlineStr">
        <is>
          <t>NON-NIL</t>
        </is>
      </c>
      <c r="E13652" t="n">
        <v>1365</v>
      </c>
    </row>
    <row r="13653">
      <c r="A13653" t="inlineStr">
        <is>
          <t>27BBBBB13653Z5</t>
        </is>
      </c>
      <c r="B13653" t="inlineStr">
        <is>
          <t>Dec-2022</t>
        </is>
      </c>
      <c r="C13653" s="2" t="n">
        <v>45077</v>
      </c>
      <c r="D13653" t="inlineStr">
        <is>
          <t>NON-NIL</t>
        </is>
      </c>
      <c r="E13653" t="n">
        <v>1478</v>
      </c>
    </row>
    <row r="13654">
      <c r="A13654" t="inlineStr">
        <is>
          <t>27BBBBB13654Z5</t>
        </is>
      </c>
      <c r="B13654" t="inlineStr">
        <is>
          <t>Dec-2018</t>
        </is>
      </c>
      <c r="C13654" s="2" t="n">
        <v>43692</v>
      </c>
      <c r="D13654" t="inlineStr">
        <is>
          <t>NIL</t>
        </is>
      </c>
      <c r="E13654" t="n">
        <v>1761</v>
      </c>
    </row>
    <row r="13655">
      <c r="A13655" t="inlineStr">
        <is>
          <t>27BBBBB13655Z5</t>
        </is>
      </c>
      <c r="B13655" t="inlineStr">
        <is>
          <t>Mar-2023</t>
        </is>
      </c>
      <c r="C13655" s="2" t="n">
        <v>44120</v>
      </c>
      <c r="D13655" t="inlineStr">
        <is>
          <t>NON-NIL</t>
        </is>
      </c>
      <c r="E13655" t="n">
        <v>2060</v>
      </c>
    </row>
    <row r="13656">
      <c r="A13656" t="inlineStr">
        <is>
          <t>27BBBBB13656Z5</t>
        </is>
      </c>
      <c r="B13656" t="inlineStr">
        <is>
          <t>Mar-2018</t>
        </is>
      </c>
      <c r="C13656" s="2" t="n">
        <v>44510</v>
      </c>
      <c r="D13656" t="inlineStr">
        <is>
          <t>NIL</t>
        </is>
      </c>
      <c r="E13656" t="n">
        <v>2257</v>
      </c>
    </row>
    <row r="13657">
      <c r="A13657" t="inlineStr">
        <is>
          <t>27BBBBB13657Z5</t>
        </is>
      </c>
      <c r="B13657" t="inlineStr">
        <is>
          <t>Nov-2018</t>
        </is>
      </c>
      <c r="C13657" s="2" t="n">
        <v>44189</v>
      </c>
      <c r="D13657" t="inlineStr">
        <is>
          <t>NIL</t>
        </is>
      </c>
      <c r="E13657" t="n">
        <v>2982</v>
      </c>
    </row>
    <row r="13658">
      <c r="A13658" t="inlineStr">
        <is>
          <t>27BBBBB13658Z5</t>
        </is>
      </c>
      <c r="B13658" t="inlineStr">
        <is>
          <t>Feb-2018</t>
        </is>
      </c>
      <c r="C13658" s="2" t="n">
        <v>44338</v>
      </c>
      <c r="D13658" t="inlineStr">
        <is>
          <t>NIL</t>
        </is>
      </c>
      <c r="E13658" t="n">
        <v>2668</v>
      </c>
    </row>
    <row r="13659">
      <c r="A13659" t="inlineStr">
        <is>
          <t>27BBBBB13659Z5</t>
        </is>
      </c>
      <c r="B13659" t="inlineStr">
        <is>
          <t>Jul-2020</t>
        </is>
      </c>
      <c r="C13659" s="2" t="n">
        <v>44345</v>
      </c>
      <c r="D13659" t="inlineStr">
        <is>
          <t>NON-NIL</t>
        </is>
      </c>
      <c r="E13659" t="n">
        <v>2313</v>
      </c>
    </row>
    <row r="13660">
      <c r="A13660" t="inlineStr">
        <is>
          <t>27BBBBB13660Z5</t>
        </is>
      </c>
      <c r="B13660" t="inlineStr">
        <is>
          <t>Jan-2021</t>
        </is>
      </c>
      <c r="C13660" s="2" t="n">
        <v>45702</v>
      </c>
      <c r="D13660" t="inlineStr">
        <is>
          <t>NIL</t>
        </is>
      </c>
      <c r="E13660" t="n">
        <v>2961</v>
      </c>
    </row>
    <row r="13661">
      <c r="A13661" t="inlineStr">
        <is>
          <t>27BBBBB13661Z5</t>
        </is>
      </c>
      <c r="B13661" t="inlineStr">
        <is>
          <t>Nov-2018</t>
        </is>
      </c>
      <c r="C13661" s="2" t="n">
        <v>44345</v>
      </c>
      <c r="D13661" t="inlineStr">
        <is>
          <t>NON-NIL</t>
        </is>
      </c>
      <c r="E13661" t="n">
        <v>2116</v>
      </c>
    </row>
    <row r="13662">
      <c r="A13662" t="inlineStr">
        <is>
          <t>27BBBBB13662Z5</t>
        </is>
      </c>
      <c r="B13662" t="inlineStr">
        <is>
          <t>Oct-2017</t>
        </is>
      </c>
      <c r="C13662" s="2" t="n">
        <v>43207</v>
      </c>
      <c r="D13662" t="inlineStr">
        <is>
          <t>NIL</t>
        </is>
      </c>
      <c r="E13662" t="n">
        <v>2608</v>
      </c>
    </row>
    <row r="13663">
      <c r="A13663" t="inlineStr">
        <is>
          <t>27BBBBB13663Z5</t>
        </is>
      </c>
      <c r="B13663" t="inlineStr">
        <is>
          <t>Nov-2018</t>
        </is>
      </c>
      <c r="C13663" s="2" t="n">
        <v>44306</v>
      </c>
      <c r="D13663" t="inlineStr">
        <is>
          <t>NON-NIL</t>
        </is>
      </c>
      <c r="E13663" t="n">
        <v>1863</v>
      </c>
    </row>
    <row r="13664">
      <c r="A13664" t="inlineStr">
        <is>
          <t>27BBBBB13664Z5</t>
        </is>
      </c>
      <c r="B13664" t="inlineStr">
        <is>
          <t>Feb-2018</t>
        </is>
      </c>
      <c r="C13664" s="2" t="n">
        <v>44132</v>
      </c>
      <c r="D13664" t="inlineStr">
        <is>
          <t>NON-NIL</t>
        </is>
      </c>
      <c r="E13664" t="n">
        <v>2455</v>
      </c>
    </row>
    <row r="13665">
      <c r="A13665" t="inlineStr">
        <is>
          <t>27BBBBB13665Z5</t>
        </is>
      </c>
      <c r="B13665" t="inlineStr">
        <is>
          <t>Jul-2018</t>
        </is>
      </c>
      <c r="C13665" s="2" t="n">
        <v>42972</v>
      </c>
      <c r="D13665" t="inlineStr">
        <is>
          <t>NIL</t>
        </is>
      </c>
      <c r="E13665" t="n">
        <v>2156</v>
      </c>
    </row>
    <row r="13666">
      <c r="A13666" t="inlineStr">
        <is>
          <t>27BBBBB13666Z5</t>
        </is>
      </c>
      <c r="B13666" t="inlineStr">
        <is>
          <t>Aug-2018</t>
        </is>
      </c>
      <c r="C13666" s="2" t="n">
        <v>44395</v>
      </c>
      <c r="D13666" t="inlineStr">
        <is>
          <t>NIL</t>
        </is>
      </c>
      <c r="E13666" t="n">
        <v>2684</v>
      </c>
    </row>
    <row r="13667">
      <c r="A13667" t="inlineStr">
        <is>
          <t>27BBBBB13667Z5</t>
        </is>
      </c>
      <c r="B13667" t="inlineStr">
        <is>
          <t>Oct-2018</t>
        </is>
      </c>
      <c r="C13667" s="2" t="n">
        <v>43990</v>
      </c>
      <c r="D13667" t="inlineStr">
        <is>
          <t>NIL</t>
        </is>
      </c>
      <c r="E13667" t="n">
        <v>1189</v>
      </c>
    </row>
    <row r="13668">
      <c r="A13668" t="inlineStr">
        <is>
          <t>27BBBBB13668Z5</t>
        </is>
      </c>
      <c r="B13668" t="inlineStr">
        <is>
          <t>Mar-2020</t>
        </is>
      </c>
      <c r="C13668" s="2" t="n">
        <v>43904</v>
      </c>
      <c r="D13668" t="inlineStr">
        <is>
          <t>NIL</t>
        </is>
      </c>
      <c r="E13668" t="n">
        <v>853</v>
      </c>
    </row>
    <row r="13669">
      <c r="A13669" t="inlineStr">
        <is>
          <t>27BBBBB13669Z5</t>
        </is>
      </c>
      <c r="B13669" t="inlineStr">
        <is>
          <t>Dec-2017</t>
        </is>
      </c>
      <c r="C13669" s="2" t="n">
        <v>44425</v>
      </c>
      <c r="D13669" t="inlineStr">
        <is>
          <t>NON-NIL</t>
        </is>
      </c>
      <c r="E13669" t="n">
        <v>803</v>
      </c>
    </row>
    <row r="13670">
      <c r="A13670" t="inlineStr">
        <is>
          <t>27BBBBB13670Z5</t>
        </is>
      </c>
      <c r="B13670" t="inlineStr">
        <is>
          <t>Oct-2017</t>
        </is>
      </c>
      <c r="C13670" s="2" t="n">
        <v>43282</v>
      </c>
      <c r="D13670" t="inlineStr">
        <is>
          <t>NON-NIL</t>
        </is>
      </c>
      <c r="E13670" t="n">
        <v>2645</v>
      </c>
    </row>
    <row r="13671">
      <c r="A13671" t="inlineStr">
        <is>
          <t>27BBBBB13671Z5</t>
        </is>
      </c>
      <c r="B13671" t="inlineStr">
        <is>
          <t>Oct-2017</t>
        </is>
      </c>
      <c r="C13671" s="2" t="n">
        <v>44512</v>
      </c>
      <c r="D13671" t="inlineStr">
        <is>
          <t>NON-NIL</t>
        </is>
      </c>
      <c r="E13671" t="n">
        <v>1793</v>
      </c>
    </row>
    <row r="13672">
      <c r="A13672" t="inlineStr">
        <is>
          <t>27BBBBB13672Z5</t>
        </is>
      </c>
      <c r="B13672" t="inlineStr">
        <is>
          <t>Aug-2018</t>
        </is>
      </c>
      <c r="C13672" s="2" t="n">
        <v>44139</v>
      </c>
      <c r="D13672" t="inlineStr">
        <is>
          <t>NIL</t>
        </is>
      </c>
      <c r="E13672" t="n">
        <v>2745</v>
      </c>
    </row>
    <row r="13673">
      <c r="A13673" t="inlineStr">
        <is>
          <t>27BBBBB13673Z5</t>
        </is>
      </c>
      <c r="B13673" t="inlineStr">
        <is>
          <t>Aug-2018</t>
        </is>
      </c>
      <c r="C13673" s="2" t="n">
        <v>43888</v>
      </c>
      <c r="D13673" t="inlineStr">
        <is>
          <t>NIL</t>
        </is>
      </c>
      <c r="E13673" t="n">
        <v>980</v>
      </c>
    </row>
    <row r="13674">
      <c r="A13674" t="inlineStr">
        <is>
          <t>27BBBBB13674Z5</t>
        </is>
      </c>
      <c r="B13674" t="inlineStr">
        <is>
          <t>Mar-2020</t>
        </is>
      </c>
      <c r="C13674" s="2" t="n">
        <v>43869</v>
      </c>
      <c r="D13674" t="inlineStr">
        <is>
          <t>NON-NIL</t>
        </is>
      </c>
      <c r="E13674" t="n">
        <v>2730</v>
      </c>
    </row>
    <row r="13675">
      <c r="A13675" t="inlineStr">
        <is>
          <t>27BBBBB13675Z5</t>
        </is>
      </c>
      <c r="B13675" t="inlineStr">
        <is>
          <t>Aug-2017</t>
        </is>
      </c>
      <c r="C13675" s="2" t="n">
        <v>43982</v>
      </c>
      <c r="D13675" t="inlineStr">
        <is>
          <t>NON-NIL</t>
        </is>
      </c>
      <c r="E13675" t="n">
        <v>1055</v>
      </c>
    </row>
    <row r="13676">
      <c r="A13676" t="inlineStr">
        <is>
          <t>27BBBBB13676Z5</t>
        </is>
      </c>
      <c r="B13676" t="inlineStr">
        <is>
          <t>Nov-2017</t>
        </is>
      </c>
      <c r="C13676" s="2" t="n">
        <v>43482</v>
      </c>
      <c r="D13676" t="inlineStr">
        <is>
          <t>NIL</t>
        </is>
      </c>
      <c r="E13676" t="n">
        <v>491</v>
      </c>
    </row>
    <row r="13677">
      <c r="A13677" t="inlineStr">
        <is>
          <t>27BBBBB13677Z5</t>
        </is>
      </c>
      <c r="B13677" t="inlineStr">
        <is>
          <t>Dec-2024</t>
        </is>
      </c>
      <c r="C13677" s="2" t="n">
        <v>44070</v>
      </c>
      <c r="D13677" t="inlineStr">
        <is>
          <t>NIL</t>
        </is>
      </c>
      <c r="E13677" t="n">
        <v>1973</v>
      </c>
    </row>
    <row r="13678">
      <c r="A13678" t="inlineStr">
        <is>
          <t>27BBBBB13678Z5</t>
        </is>
      </c>
      <c r="B13678" t="inlineStr">
        <is>
          <t>Jan-2018</t>
        </is>
      </c>
      <c r="C13678" s="2" t="n">
        <v>43094</v>
      </c>
      <c r="D13678" t="inlineStr">
        <is>
          <t>NON-NIL</t>
        </is>
      </c>
      <c r="E13678" t="n">
        <v>1199</v>
      </c>
    </row>
    <row r="13679">
      <c r="A13679" t="inlineStr">
        <is>
          <t>27BBBBB13679Z5</t>
        </is>
      </c>
      <c r="B13679" t="inlineStr">
        <is>
          <t>Nov-2017</t>
        </is>
      </c>
      <c r="C13679" s="2" t="n">
        <v>43096</v>
      </c>
      <c r="D13679" t="inlineStr">
        <is>
          <t>NIL</t>
        </is>
      </c>
      <c r="E13679" t="n">
        <v>1463</v>
      </c>
    </row>
    <row r="13680">
      <c r="A13680" t="inlineStr">
        <is>
          <t>27BBBBB13680Z5</t>
        </is>
      </c>
      <c r="B13680" t="inlineStr">
        <is>
          <t>Nov-2018</t>
        </is>
      </c>
      <c r="C13680" s="2" t="n">
        <v>44005</v>
      </c>
      <c r="D13680" t="inlineStr">
        <is>
          <t>NON-NIL</t>
        </is>
      </c>
      <c r="E13680" t="n">
        <v>209</v>
      </c>
    </row>
    <row r="13681">
      <c r="A13681" t="inlineStr">
        <is>
          <t>27BBBBB13681Z5</t>
        </is>
      </c>
      <c r="B13681" t="inlineStr">
        <is>
          <t>Jul-2018</t>
        </is>
      </c>
      <c r="C13681" s="2" t="n">
        <v>43579</v>
      </c>
      <c r="D13681" t="inlineStr">
        <is>
          <t>NON-NIL</t>
        </is>
      </c>
      <c r="E13681" t="n">
        <v>215</v>
      </c>
    </row>
    <row r="13682">
      <c r="A13682" t="inlineStr">
        <is>
          <t>27BBBBB13682Z5</t>
        </is>
      </c>
      <c r="B13682" t="inlineStr">
        <is>
          <t>Dec-2017</t>
        </is>
      </c>
      <c r="C13682" s="2" t="n">
        <v>44293</v>
      </c>
      <c r="D13682" t="inlineStr">
        <is>
          <t>NON-NIL</t>
        </is>
      </c>
      <c r="E13682" t="n">
        <v>1092</v>
      </c>
    </row>
    <row r="13683">
      <c r="A13683" t="inlineStr">
        <is>
          <t>27BBBBB13683Z5</t>
        </is>
      </c>
      <c r="B13683" t="inlineStr">
        <is>
          <t>Jan-2021</t>
        </is>
      </c>
      <c r="C13683" s="2" t="n">
        <v>44966</v>
      </c>
      <c r="D13683" t="inlineStr">
        <is>
          <t>NIL</t>
        </is>
      </c>
      <c r="E13683" t="n">
        <v>230</v>
      </c>
    </row>
    <row r="13684">
      <c r="A13684" t="inlineStr">
        <is>
          <t>27BBBBB13684Z5</t>
        </is>
      </c>
      <c r="B13684" t="inlineStr">
        <is>
          <t>Mar-2020</t>
        </is>
      </c>
      <c r="C13684" s="2" t="n">
        <v>44911</v>
      </c>
      <c r="D13684" t="inlineStr">
        <is>
          <t>NIL</t>
        </is>
      </c>
      <c r="E13684" t="n">
        <v>1208</v>
      </c>
    </row>
    <row r="13685">
      <c r="A13685" t="inlineStr">
        <is>
          <t>27BBBBB13685Z5</t>
        </is>
      </c>
      <c r="B13685" t="inlineStr">
        <is>
          <t>Nov-2018</t>
        </is>
      </c>
      <c r="C13685" s="2" t="n">
        <v>43156</v>
      </c>
      <c r="D13685" t="inlineStr">
        <is>
          <t>NON-NIL</t>
        </is>
      </c>
      <c r="E13685" t="n">
        <v>1211</v>
      </c>
    </row>
    <row r="13686">
      <c r="A13686" t="inlineStr">
        <is>
          <t>27BBBBB13686Z5</t>
        </is>
      </c>
      <c r="B13686" t="inlineStr">
        <is>
          <t>Dec-2018</t>
        </is>
      </c>
      <c r="C13686" s="2" t="n">
        <v>43017</v>
      </c>
      <c r="D13686" t="inlineStr">
        <is>
          <t>NON-NIL</t>
        </is>
      </c>
      <c r="E13686" t="n">
        <v>2809</v>
      </c>
    </row>
    <row r="13687">
      <c r="A13687" t="inlineStr">
        <is>
          <t>27BBBBB13687Z5</t>
        </is>
      </c>
      <c r="B13687" t="inlineStr">
        <is>
          <t>Jul-2017</t>
        </is>
      </c>
      <c r="C13687" s="2" t="n">
        <v>43013</v>
      </c>
      <c r="D13687" t="inlineStr">
        <is>
          <t>NON-NIL</t>
        </is>
      </c>
      <c r="E13687" t="n">
        <v>379</v>
      </c>
    </row>
    <row r="13688">
      <c r="A13688" t="inlineStr">
        <is>
          <t>27BBBBB13688Z5</t>
        </is>
      </c>
      <c r="B13688" t="inlineStr">
        <is>
          <t>Aug-2018</t>
        </is>
      </c>
      <c r="C13688" s="2" t="n">
        <v>43945</v>
      </c>
      <c r="D13688" t="inlineStr">
        <is>
          <t>NON-NIL</t>
        </is>
      </c>
      <c r="E13688" t="n">
        <v>62</v>
      </c>
    </row>
    <row r="13689">
      <c r="A13689" t="inlineStr">
        <is>
          <t>27BBBBB13689Z5</t>
        </is>
      </c>
      <c r="B13689" t="inlineStr">
        <is>
          <t>May-2018</t>
        </is>
      </c>
      <c r="C13689" s="2" t="n">
        <v>43200</v>
      </c>
      <c r="D13689" t="inlineStr">
        <is>
          <t>NIL</t>
        </is>
      </c>
      <c r="E13689" t="n">
        <v>1361</v>
      </c>
    </row>
    <row r="13690">
      <c r="A13690" t="inlineStr">
        <is>
          <t>27BBBBB13690Z5</t>
        </is>
      </c>
      <c r="B13690" t="inlineStr">
        <is>
          <t>Mar-2018</t>
        </is>
      </c>
      <c r="C13690" s="2" t="n">
        <v>43172</v>
      </c>
      <c r="D13690" t="inlineStr">
        <is>
          <t>NIL</t>
        </is>
      </c>
      <c r="E13690" t="n">
        <v>1856</v>
      </c>
    </row>
    <row r="13691">
      <c r="A13691" t="inlineStr">
        <is>
          <t>27BBBBB13691Z5</t>
        </is>
      </c>
      <c r="B13691" t="inlineStr">
        <is>
          <t>Dec-2024</t>
        </is>
      </c>
      <c r="C13691" s="2" t="n">
        <v>44381</v>
      </c>
      <c r="D13691" t="inlineStr">
        <is>
          <t>NON-NIL</t>
        </is>
      </c>
      <c r="E13691" t="n">
        <v>613</v>
      </c>
    </row>
    <row r="13692">
      <c r="A13692" t="inlineStr">
        <is>
          <t>27BBBBB13692Z5</t>
        </is>
      </c>
      <c r="B13692" t="inlineStr">
        <is>
          <t>Aug-2017</t>
        </is>
      </c>
      <c r="C13692" s="2" t="n">
        <v>43999</v>
      </c>
      <c r="D13692" t="inlineStr">
        <is>
          <t>NIL</t>
        </is>
      </c>
      <c r="E13692" t="n">
        <v>744</v>
      </c>
    </row>
    <row r="13693">
      <c r="A13693" t="inlineStr">
        <is>
          <t>27BBBBB13693Z5</t>
        </is>
      </c>
      <c r="B13693" t="inlineStr">
        <is>
          <t>Jun-2018</t>
        </is>
      </c>
      <c r="C13693" s="2" t="n">
        <v>43832</v>
      </c>
      <c r="D13693" t="inlineStr">
        <is>
          <t>NON-NIL</t>
        </is>
      </c>
      <c r="E13693" t="n">
        <v>1595</v>
      </c>
    </row>
    <row r="13694">
      <c r="A13694" t="inlineStr">
        <is>
          <t>27BBBBB13694Z5</t>
        </is>
      </c>
      <c r="B13694" t="inlineStr">
        <is>
          <t>May-2018</t>
        </is>
      </c>
      <c r="C13694" s="2" t="n">
        <v>44229</v>
      </c>
      <c r="D13694" t="inlineStr">
        <is>
          <t>NON-NIL</t>
        </is>
      </c>
      <c r="E13694" t="n">
        <v>2616</v>
      </c>
    </row>
    <row r="13695">
      <c r="A13695" t="inlineStr">
        <is>
          <t>27BBBBB13695Z5</t>
        </is>
      </c>
      <c r="B13695" t="inlineStr">
        <is>
          <t>Mar-2018</t>
        </is>
      </c>
      <c r="C13695" s="2" t="n">
        <v>43991</v>
      </c>
      <c r="D13695" t="inlineStr">
        <is>
          <t>NIL</t>
        </is>
      </c>
      <c r="E13695" t="n">
        <v>1764</v>
      </c>
    </row>
    <row r="13696">
      <c r="A13696" t="inlineStr">
        <is>
          <t>27BBBBB13696Z5</t>
        </is>
      </c>
      <c r="B13696" t="inlineStr">
        <is>
          <t>Jan-2018</t>
        </is>
      </c>
      <c r="C13696" s="2" t="n">
        <v>44258</v>
      </c>
      <c r="D13696" t="inlineStr">
        <is>
          <t>NON-NIL</t>
        </is>
      </c>
      <c r="E13696" t="n">
        <v>1211</v>
      </c>
    </row>
    <row r="13697">
      <c r="A13697" t="inlineStr">
        <is>
          <t>27BBBBB13697Z5</t>
        </is>
      </c>
      <c r="B13697" t="inlineStr">
        <is>
          <t>Jan-2021</t>
        </is>
      </c>
      <c r="C13697" s="2" t="n">
        <v>45083</v>
      </c>
      <c r="D13697" t="inlineStr">
        <is>
          <t>NIL</t>
        </is>
      </c>
      <c r="E13697" t="n">
        <v>667</v>
      </c>
    </row>
    <row r="13698">
      <c r="A13698" t="inlineStr">
        <is>
          <t>27BBBBB13698Z5</t>
        </is>
      </c>
      <c r="B13698" t="inlineStr">
        <is>
          <t>Feb-2018</t>
        </is>
      </c>
      <c r="C13698" s="2" t="n">
        <v>43512</v>
      </c>
      <c r="D13698" t="inlineStr">
        <is>
          <t>NIL</t>
        </is>
      </c>
      <c r="E13698" t="n">
        <v>2001</v>
      </c>
    </row>
    <row r="13699">
      <c r="A13699" t="inlineStr">
        <is>
          <t>27BBBBB13699Z5</t>
        </is>
      </c>
      <c r="B13699" t="inlineStr">
        <is>
          <t>Jul-2017</t>
        </is>
      </c>
      <c r="C13699" s="2" t="n">
        <v>43286</v>
      </c>
      <c r="D13699" t="inlineStr">
        <is>
          <t>NON-NIL</t>
        </is>
      </c>
      <c r="E13699" t="n">
        <v>2649</v>
      </c>
    </row>
    <row r="13700">
      <c r="A13700" t="inlineStr">
        <is>
          <t>27BBBBB13700Z5</t>
        </is>
      </c>
      <c r="B13700" t="inlineStr">
        <is>
          <t>Sep-2018</t>
        </is>
      </c>
      <c r="C13700" s="2" t="n">
        <v>44393</v>
      </c>
      <c r="D13700" t="inlineStr">
        <is>
          <t>NIL</t>
        </is>
      </c>
      <c r="E13700" t="n">
        <v>2689</v>
      </c>
    </row>
    <row r="13701">
      <c r="A13701" t="inlineStr">
        <is>
          <t>27BBBBB13701Z5</t>
        </is>
      </c>
      <c r="B13701" t="inlineStr">
        <is>
          <t>Aug-2018</t>
        </is>
      </c>
      <c r="C13701" s="2" t="n">
        <v>43001</v>
      </c>
      <c r="D13701" t="inlineStr">
        <is>
          <t>NIL</t>
        </is>
      </c>
      <c r="E13701" t="n">
        <v>2060</v>
      </c>
    </row>
    <row r="13702">
      <c r="A13702" t="inlineStr">
        <is>
          <t>27BBBBB13702Z5</t>
        </is>
      </c>
      <c r="B13702" t="inlineStr">
        <is>
          <t>Dec-2024</t>
        </is>
      </c>
      <c r="C13702" s="2" t="n">
        <v>45654</v>
      </c>
      <c r="D13702" t="inlineStr">
        <is>
          <t>NIL</t>
        </is>
      </c>
      <c r="E13702" t="n">
        <v>962</v>
      </c>
    </row>
    <row r="13703">
      <c r="A13703" t="inlineStr">
        <is>
          <t>27BBBBB13703Z5</t>
        </is>
      </c>
      <c r="B13703" t="inlineStr">
        <is>
          <t>Nov-2018</t>
        </is>
      </c>
      <c r="C13703" s="2" t="n">
        <v>43155</v>
      </c>
      <c r="D13703" t="inlineStr">
        <is>
          <t>NON-NIL</t>
        </is>
      </c>
      <c r="E13703" t="n">
        <v>1292</v>
      </c>
    </row>
    <row r="13704">
      <c r="A13704" t="inlineStr">
        <is>
          <t>27BBBBB13704Z5</t>
        </is>
      </c>
      <c r="B13704" t="inlineStr">
        <is>
          <t>Apr-2020</t>
        </is>
      </c>
      <c r="C13704" s="2" t="n">
        <v>43857</v>
      </c>
      <c r="D13704" t="inlineStr">
        <is>
          <t>NON-NIL</t>
        </is>
      </c>
      <c r="E13704" t="n">
        <v>52</v>
      </c>
    </row>
    <row r="13705">
      <c r="A13705" t="inlineStr">
        <is>
          <t>27BBBBB13705Z5</t>
        </is>
      </c>
      <c r="B13705" t="inlineStr">
        <is>
          <t>Sep-2018</t>
        </is>
      </c>
      <c r="C13705" s="2" t="n">
        <v>44206</v>
      </c>
      <c r="D13705" t="inlineStr">
        <is>
          <t>NIL</t>
        </is>
      </c>
      <c r="E13705" t="n">
        <v>1196</v>
      </c>
    </row>
    <row r="13706">
      <c r="A13706" t="inlineStr">
        <is>
          <t>27BBBBB13706Z5</t>
        </is>
      </c>
      <c r="B13706" t="inlineStr">
        <is>
          <t>Jan-2021</t>
        </is>
      </c>
      <c r="C13706" s="2" t="n">
        <v>45724</v>
      </c>
      <c r="D13706" t="inlineStr">
        <is>
          <t>NIL</t>
        </is>
      </c>
      <c r="E13706" t="n">
        <v>1212</v>
      </c>
    </row>
    <row r="13707">
      <c r="A13707" t="inlineStr">
        <is>
          <t>27BBBBB13707Z5</t>
        </is>
      </c>
      <c r="B13707" t="inlineStr">
        <is>
          <t>Mar-2020</t>
        </is>
      </c>
      <c r="C13707" s="2" t="n">
        <v>44430</v>
      </c>
      <c r="D13707" t="inlineStr">
        <is>
          <t>NON-NIL</t>
        </is>
      </c>
      <c r="E13707" t="n">
        <v>385</v>
      </c>
    </row>
    <row r="13708">
      <c r="A13708" t="inlineStr">
        <is>
          <t>27BBBBB13708Z5</t>
        </is>
      </c>
      <c r="B13708" t="inlineStr">
        <is>
          <t>Sep-2017</t>
        </is>
      </c>
      <c r="C13708" s="2" t="n">
        <v>43158</v>
      </c>
      <c r="D13708" t="inlineStr">
        <is>
          <t>NON-NIL</t>
        </is>
      </c>
      <c r="E13708" t="n">
        <v>2893</v>
      </c>
    </row>
    <row r="13709">
      <c r="A13709" t="inlineStr">
        <is>
          <t>27BBBBB13709Z5</t>
        </is>
      </c>
      <c r="B13709" t="inlineStr">
        <is>
          <t>Mar-2018</t>
        </is>
      </c>
      <c r="C13709" s="2" t="n">
        <v>44074</v>
      </c>
      <c r="D13709" t="inlineStr">
        <is>
          <t>NON-NIL</t>
        </is>
      </c>
      <c r="E13709" t="n">
        <v>1024</v>
      </c>
    </row>
    <row r="13710">
      <c r="A13710" t="inlineStr">
        <is>
          <t>27BBBBB13710Z5</t>
        </is>
      </c>
      <c r="B13710" t="inlineStr">
        <is>
          <t>May-2020</t>
        </is>
      </c>
      <c r="C13710" s="2" t="n">
        <v>44405</v>
      </c>
      <c r="D13710" t="inlineStr">
        <is>
          <t>NON-NIL</t>
        </is>
      </c>
      <c r="E13710" t="n">
        <v>2746</v>
      </c>
    </row>
    <row r="13711">
      <c r="A13711" t="inlineStr">
        <is>
          <t>27BBBBB13711Z5</t>
        </is>
      </c>
      <c r="B13711" t="inlineStr">
        <is>
          <t>Aug-2017</t>
        </is>
      </c>
      <c r="C13711" s="2" t="n">
        <v>44144</v>
      </c>
      <c r="D13711" t="inlineStr">
        <is>
          <t>NON-NIL</t>
        </is>
      </c>
      <c r="E13711" t="n">
        <v>2942</v>
      </c>
    </row>
    <row r="13712">
      <c r="A13712" t="inlineStr">
        <is>
          <t>27BBBBB13712Z5</t>
        </is>
      </c>
      <c r="B13712" t="inlineStr">
        <is>
          <t>Apr-2018</t>
        </is>
      </c>
      <c r="C13712" s="2" t="n">
        <v>44096</v>
      </c>
      <c r="D13712" t="inlineStr">
        <is>
          <t>NON-NIL</t>
        </is>
      </c>
      <c r="E13712" t="n">
        <v>1320</v>
      </c>
    </row>
    <row r="13713">
      <c r="A13713" t="inlineStr">
        <is>
          <t>27BBBBB13713Z5</t>
        </is>
      </c>
      <c r="B13713" t="inlineStr">
        <is>
          <t>Mar-2018</t>
        </is>
      </c>
      <c r="C13713" s="2" t="n">
        <v>43681</v>
      </c>
      <c r="D13713" t="inlineStr">
        <is>
          <t>NIL</t>
        </is>
      </c>
      <c r="E13713" t="n">
        <v>225</v>
      </c>
    </row>
    <row r="13714">
      <c r="A13714" t="inlineStr">
        <is>
          <t>27BBBBB13714Z5</t>
        </is>
      </c>
      <c r="B13714" t="inlineStr">
        <is>
          <t>Dec-2024</t>
        </is>
      </c>
      <c r="C13714" s="2" t="n">
        <v>43552</v>
      </c>
      <c r="D13714" t="inlineStr">
        <is>
          <t>NIL</t>
        </is>
      </c>
      <c r="E13714" t="n">
        <v>2003</v>
      </c>
    </row>
    <row r="13715">
      <c r="A13715" t="inlineStr">
        <is>
          <t>27BBBBB13715Z5</t>
        </is>
      </c>
      <c r="B13715" t="inlineStr">
        <is>
          <t>Feb-2018</t>
        </is>
      </c>
      <c r="C13715" s="2" t="n">
        <v>43670</v>
      </c>
      <c r="D13715" t="inlineStr">
        <is>
          <t>NIL</t>
        </is>
      </c>
      <c r="E13715" t="n">
        <v>377</v>
      </c>
    </row>
    <row r="13716">
      <c r="A13716" t="inlineStr">
        <is>
          <t>27BBBBB13716Z5</t>
        </is>
      </c>
      <c r="B13716" t="inlineStr">
        <is>
          <t>May-2018</t>
        </is>
      </c>
      <c r="C13716" s="2" t="n">
        <v>44258</v>
      </c>
      <c r="D13716" t="inlineStr">
        <is>
          <t>NIL</t>
        </is>
      </c>
      <c r="E13716" t="n">
        <v>1133</v>
      </c>
    </row>
    <row r="13717">
      <c r="A13717" t="inlineStr">
        <is>
          <t>27BBBBB13717Z5</t>
        </is>
      </c>
      <c r="B13717" t="inlineStr">
        <is>
          <t>Nov-2018</t>
        </is>
      </c>
      <c r="C13717" s="2" t="n">
        <v>43498</v>
      </c>
      <c r="D13717" t="inlineStr">
        <is>
          <t>NIL</t>
        </is>
      </c>
      <c r="E13717" t="n">
        <v>2386</v>
      </c>
    </row>
    <row r="13718">
      <c r="A13718" t="inlineStr">
        <is>
          <t>27BBBBB13718Z5</t>
        </is>
      </c>
      <c r="B13718" t="inlineStr">
        <is>
          <t>Dec-2022</t>
        </is>
      </c>
      <c r="C13718" s="2" t="n">
        <v>45753</v>
      </c>
      <c r="D13718" t="inlineStr">
        <is>
          <t>NIL</t>
        </is>
      </c>
      <c r="E13718" t="n">
        <v>1250</v>
      </c>
    </row>
    <row r="13719">
      <c r="A13719" t="inlineStr">
        <is>
          <t>27BBBBB13719Z5</t>
        </is>
      </c>
      <c r="B13719" t="inlineStr">
        <is>
          <t>Dec-2018</t>
        </is>
      </c>
      <c r="C13719" s="2" t="n">
        <v>44109</v>
      </c>
      <c r="D13719" t="inlineStr">
        <is>
          <t>NON-NIL</t>
        </is>
      </c>
      <c r="E13719" t="n">
        <v>2151</v>
      </c>
    </row>
    <row r="13720">
      <c r="A13720" t="inlineStr">
        <is>
          <t>27BBBBB13720Z5</t>
        </is>
      </c>
      <c r="B13720" t="inlineStr">
        <is>
          <t>Feb-2018</t>
        </is>
      </c>
      <c r="C13720" s="2" t="n">
        <v>44120</v>
      </c>
      <c r="D13720" t="inlineStr">
        <is>
          <t>NIL</t>
        </is>
      </c>
      <c r="E13720" t="n">
        <v>2513</v>
      </c>
    </row>
    <row r="13721">
      <c r="A13721" t="inlineStr">
        <is>
          <t>27BBBBB13721Z5</t>
        </is>
      </c>
      <c r="B13721" t="inlineStr">
        <is>
          <t>Jul-2017</t>
        </is>
      </c>
      <c r="C13721" s="2" t="n">
        <v>44108</v>
      </c>
      <c r="D13721" t="inlineStr">
        <is>
          <t>NIL</t>
        </is>
      </c>
      <c r="E13721" t="n">
        <v>1895</v>
      </c>
    </row>
    <row r="13722">
      <c r="A13722" t="inlineStr">
        <is>
          <t>27BBBBB13722Z5</t>
        </is>
      </c>
      <c r="B13722" t="inlineStr">
        <is>
          <t>Oct-2017</t>
        </is>
      </c>
      <c r="C13722" s="2" t="n">
        <v>43840</v>
      </c>
      <c r="D13722" t="inlineStr">
        <is>
          <t>NIL</t>
        </is>
      </c>
      <c r="E13722" t="n">
        <v>517</v>
      </c>
    </row>
    <row r="13723">
      <c r="A13723" t="inlineStr">
        <is>
          <t>27BBBBB13723Z5</t>
        </is>
      </c>
      <c r="B13723" t="inlineStr">
        <is>
          <t>Apr-2020</t>
        </is>
      </c>
      <c r="C13723" s="2" t="n">
        <v>43882</v>
      </c>
      <c r="D13723" t="inlineStr">
        <is>
          <t>NIL</t>
        </is>
      </c>
      <c r="E13723" t="n">
        <v>2983</v>
      </c>
    </row>
    <row r="13724">
      <c r="A13724" t="inlineStr">
        <is>
          <t>27BBBBB13724Z5</t>
        </is>
      </c>
      <c r="B13724" t="inlineStr">
        <is>
          <t>Jan-2021</t>
        </is>
      </c>
      <c r="C13724" s="2" t="n">
        <v>45575</v>
      </c>
      <c r="D13724" t="inlineStr">
        <is>
          <t>NIL</t>
        </is>
      </c>
      <c r="E13724" t="n">
        <v>2779</v>
      </c>
    </row>
    <row r="13725">
      <c r="A13725" t="inlineStr">
        <is>
          <t>27BBBBB13725Z5</t>
        </is>
      </c>
      <c r="B13725" t="inlineStr">
        <is>
          <t>Oct-2017</t>
        </is>
      </c>
      <c r="C13725" s="2" t="n">
        <v>43375</v>
      </c>
      <c r="D13725" t="inlineStr">
        <is>
          <t>NIL</t>
        </is>
      </c>
      <c r="E13725" t="n">
        <v>546</v>
      </c>
    </row>
    <row r="13726">
      <c r="A13726" t="inlineStr">
        <is>
          <t>27BBBBB13726Z5</t>
        </is>
      </c>
      <c r="B13726" t="inlineStr">
        <is>
          <t>Oct-2018</t>
        </is>
      </c>
      <c r="C13726" s="2" t="n">
        <v>43984</v>
      </c>
      <c r="D13726" t="inlineStr">
        <is>
          <t>NIL</t>
        </is>
      </c>
      <c r="E13726" t="n">
        <v>2492</v>
      </c>
    </row>
    <row r="13727">
      <c r="A13727" t="inlineStr">
        <is>
          <t>27BBBBB13727Z5</t>
        </is>
      </c>
      <c r="B13727" t="inlineStr">
        <is>
          <t>Oct-2017</t>
        </is>
      </c>
      <c r="C13727" s="2" t="n">
        <v>43095</v>
      </c>
      <c r="D13727" t="inlineStr">
        <is>
          <t>NIL</t>
        </is>
      </c>
      <c r="E13727" t="n">
        <v>1221</v>
      </c>
    </row>
    <row r="13728">
      <c r="A13728" t="inlineStr">
        <is>
          <t>27BBBBB13728Z5</t>
        </is>
      </c>
      <c r="B13728" t="inlineStr">
        <is>
          <t>Nov-2018</t>
        </is>
      </c>
      <c r="C13728" s="2" t="n">
        <v>44051</v>
      </c>
      <c r="D13728" t="inlineStr">
        <is>
          <t>NIL</t>
        </is>
      </c>
      <c r="E13728" t="n">
        <v>1897</v>
      </c>
    </row>
    <row r="13729">
      <c r="A13729" t="inlineStr">
        <is>
          <t>27BBBBB13729Z5</t>
        </is>
      </c>
      <c r="B13729" t="inlineStr">
        <is>
          <t>Oct-2018</t>
        </is>
      </c>
      <c r="C13729" s="2" t="n">
        <v>43334</v>
      </c>
      <c r="D13729" t="inlineStr">
        <is>
          <t>NON-NIL</t>
        </is>
      </c>
      <c r="E13729" t="n">
        <v>1739</v>
      </c>
    </row>
    <row r="13730">
      <c r="A13730" t="inlineStr">
        <is>
          <t>27BBBBB13730Z5</t>
        </is>
      </c>
      <c r="B13730" t="inlineStr">
        <is>
          <t>Jul-2020</t>
        </is>
      </c>
      <c r="C13730" s="2" t="n">
        <v>44849</v>
      </c>
      <c r="D13730" t="inlineStr">
        <is>
          <t>NIL</t>
        </is>
      </c>
      <c r="E13730" t="n">
        <v>2559</v>
      </c>
    </row>
    <row r="13731">
      <c r="A13731" t="inlineStr">
        <is>
          <t>27BBBBB13731Z5</t>
        </is>
      </c>
      <c r="B13731" t="inlineStr">
        <is>
          <t>Apr-2018</t>
        </is>
      </c>
      <c r="C13731" s="2" t="n">
        <v>44155</v>
      </c>
      <c r="D13731" t="inlineStr">
        <is>
          <t>NON-NIL</t>
        </is>
      </c>
      <c r="E13731" t="n">
        <v>1382</v>
      </c>
    </row>
    <row r="13732">
      <c r="A13732" t="inlineStr">
        <is>
          <t>27BBBBB13732Z5</t>
        </is>
      </c>
      <c r="B13732" t="inlineStr">
        <is>
          <t>Aug-2018</t>
        </is>
      </c>
      <c r="C13732" s="2" t="n">
        <v>44042</v>
      </c>
      <c r="D13732" t="inlineStr">
        <is>
          <t>NIL</t>
        </is>
      </c>
      <c r="E13732" t="n">
        <v>326</v>
      </c>
    </row>
    <row r="13733">
      <c r="A13733" t="inlineStr">
        <is>
          <t>27BBBBB13733Z5</t>
        </is>
      </c>
      <c r="B13733" t="inlineStr">
        <is>
          <t>Jan-2021</t>
        </is>
      </c>
      <c r="C13733" s="2" t="n">
        <v>43469</v>
      </c>
      <c r="D13733" t="inlineStr">
        <is>
          <t>NON-NIL</t>
        </is>
      </c>
      <c r="E13733" t="n">
        <v>2495</v>
      </c>
    </row>
    <row r="13734">
      <c r="A13734" t="inlineStr">
        <is>
          <t>27BBBBB13734Z5</t>
        </is>
      </c>
      <c r="B13734" t="inlineStr">
        <is>
          <t>Aug-2017</t>
        </is>
      </c>
      <c r="C13734" s="2" t="n">
        <v>44014</v>
      </c>
      <c r="D13734" t="inlineStr">
        <is>
          <t>NON-NIL</t>
        </is>
      </c>
      <c r="E13734" t="n">
        <v>107</v>
      </c>
    </row>
    <row r="13735">
      <c r="A13735" t="inlineStr">
        <is>
          <t>27BBBBB13735Z5</t>
        </is>
      </c>
      <c r="B13735" t="inlineStr">
        <is>
          <t>Jan-2018</t>
        </is>
      </c>
      <c r="C13735" s="2" t="n">
        <v>44031</v>
      </c>
      <c r="D13735" t="inlineStr">
        <is>
          <t>NON-NIL</t>
        </is>
      </c>
      <c r="E13735" t="n">
        <v>1307</v>
      </c>
    </row>
    <row r="13736">
      <c r="A13736" t="inlineStr">
        <is>
          <t>27BBBBB13736Z5</t>
        </is>
      </c>
      <c r="B13736" t="inlineStr">
        <is>
          <t>Jan-2018</t>
        </is>
      </c>
      <c r="C13736" s="2" t="n">
        <v>44304</v>
      </c>
      <c r="D13736" t="inlineStr">
        <is>
          <t>NON-NIL</t>
        </is>
      </c>
      <c r="E13736" t="n">
        <v>2336</v>
      </c>
    </row>
    <row r="13737">
      <c r="A13737" t="inlineStr">
        <is>
          <t>27BBBBB13737Z5</t>
        </is>
      </c>
      <c r="B13737" t="inlineStr">
        <is>
          <t>Jul-2018</t>
        </is>
      </c>
      <c r="C13737" s="2" t="n">
        <v>43689</v>
      </c>
      <c r="D13737" t="inlineStr">
        <is>
          <t>NIL</t>
        </is>
      </c>
      <c r="E13737" t="n">
        <v>800</v>
      </c>
    </row>
    <row r="13738">
      <c r="A13738" t="inlineStr">
        <is>
          <t>27BBBBB13738Z5</t>
        </is>
      </c>
      <c r="B13738" t="inlineStr">
        <is>
          <t>Jun-2020</t>
        </is>
      </c>
      <c r="C13738" s="2" t="n">
        <v>44477</v>
      </c>
      <c r="D13738" t="inlineStr">
        <is>
          <t>NON-NIL</t>
        </is>
      </c>
      <c r="E13738" t="n">
        <v>1586</v>
      </c>
    </row>
    <row r="13739">
      <c r="A13739" t="inlineStr">
        <is>
          <t>27BBBBB13739Z5</t>
        </is>
      </c>
      <c r="B13739" t="inlineStr">
        <is>
          <t>Sep-2018</t>
        </is>
      </c>
      <c r="C13739" s="2" t="n">
        <v>44454</v>
      </c>
      <c r="D13739" t="inlineStr">
        <is>
          <t>NON-NIL</t>
        </is>
      </c>
      <c r="E13739" t="n">
        <v>896</v>
      </c>
    </row>
    <row r="13740">
      <c r="A13740" t="inlineStr">
        <is>
          <t>27BBBBB13740Z5</t>
        </is>
      </c>
      <c r="B13740" t="inlineStr">
        <is>
          <t>Mar-2021</t>
        </is>
      </c>
      <c r="C13740" s="2" t="n">
        <v>45678</v>
      </c>
      <c r="D13740" t="inlineStr">
        <is>
          <t>NIL</t>
        </is>
      </c>
      <c r="E13740" t="n">
        <v>1806</v>
      </c>
    </row>
    <row r="13741">
      <c r="A13741" t="inlineStr">
        <is>
          <t>27BBBBB13741Z5</t>
        </is>
      </c>
      <c r="B13741" t="inlineStr">
        <is>
          <t>Oct-2018</t>
        </is>
      </c>
      <c r="C13741" s="2" t="n">
        <v>44133</v>
      </c>
      <c r="D13741" t="inlineStr">
        <is>
          <t>NIL</t>
        </is>
      </c>
      <c r="E13741" t="n">
        <v>2323</v>
      </c>
    </row>
    <row r="13742">
      <c r="A13742" t="inlineStr">
        <is>
          <t>27BBBBB13742Z5</t>
        </is>
      </c>
      <c r="B13742" t="inlineStr">
        <is>
          <t>May-2018</t>
        </is>
      </c>
      <c r="C13742" s="2" t="n">
        <v>43886</v>
      </c>
      <c r="D13742" t="inlineStr">
        <is>
          <t>NON-NIL</t>
        </is>
      </c>
      <c r="E13742" t="n">
        <v>149</v>
      </c>
    </row>
    <row r="13743">
      <c r="A13743" t="inlineStr">
        <is>
          <t>27BBBBB13743Z5</t>
        </is>
      </c>
      <c r="B13743" t="inlineStr">
        <is>
          <t>Mar-2021</t>
        </is>
      </c>
      <c r="C13743" s="2" t="n">
        <v>44807</v>
      </c>
      <c r="D13743" t="inlineStr">
        <is>
          <t>NON-NIL</t>
        </is>
      </c>
      <c r="E13743" t="n">
        <v>2385</v>
      </c>
    </row>
    <row r="13744">
      <c r="A13744" t="inlineStr">
        <is>
          <t>27BBBBB13744Z5</t>
        </is>
      </c>
      <c r="B13744" t="inlineStr">
        <is>
          <t>Jan-2018</t>
        </is>
      </c>
      <c r="C13744" s="2" t="n">
        <v>43854</v>
      </c>
      <c r="D13744" t="inlineStr">
        <is>
          <t>NON-NIL</t>
        </is>
      </c>
      <c r="E13744" t="n">
        <v>21</v>
      </c>
    </row>
    <row r="13745">
      <c r="A13745" t="inlineStr">
        <is>
          <t>27BBBBB13745Z5</t>
        </is>
      </c>
      <c r="B13745" t="inlineStr">
        <is>
          <t>Dec-2022</t>
        </is>
      </c>
      <c r="C13745" s="2" t="n">
        <v>44070</v>
      </c>
      <c r="D13745" t="inlineStr">
        <is>
          <t>NON-NIL</t>
        </is>
      </c>
      <c r="E13745" t="n">
        <v>1505</v>
      </c>
    </row>
    <row r="13746">
      <c r="A13746" t="inlineStr">
        <is>
          <t>27BBBBB13746Z5</t>
        </is>
      </c>
      <c r="B13746" t="inlineStr">
        <is>
          <t>Jul-2020</t>
        </is>
      </c>
      <c r="C13746" s="2" t="n">
        <v>44119</v>
      </c>
      <c r="D13746" t="inlineStr">
        <is>
          <t>NIL</t>
        </is>
      </c>
      <c r="E13746" t="n">
        <v>164</v>
      </c>
    </row>
    <row r="13747">
      <c r="A13747" t="inlineStr">
        <is>
          <t>27BBBBB13747Z5</t>
        </is>
      </c>
      <c r="B13747" t="inlineStr">
        <is>
          <t>Nov-2017</t>
        </is>
      </c>
      <c r="C13747" s="2" t="n">
        <v>44518</v>
      </c>
      <c r="D13747" t="inlineStr">
        <is>
          <t>NON-NIL</t>
        </is>
      </c>
      <c r="E13747" t="n">
        <v>1614</v>
      </c>
    </row>
    <row r="13748">
      <c r="A13748" t="inlineStr">
        <is>
          <t>27BBBBB13748Z5</t>
        </is>
      </c>
      <c r="B13748" t="inlineStr">
        <is>
          <t>Sep-2017</t>
        </is>
      </c>
      <c r="C13748" s="2" t="n">
        <v>43509</v>
      </c>
      <c r="D13748" t="inlineStr">
        <is>
          <t>NIL</t>
        </is>
      </c>
      <c r="E13748" t="n">
        <v>599</v>
      </c>
    </row>
    <row r="13749">
      <c r="A13749" t="inlineStr">
        <is>
          <t>27BBBBB13749Z5</t>
        </is>
      </c>
      <c r="B13749" t="inlineStr">
        <is>
          <t>Nov-2017</t>
        </is>
      </c>
      <c r="C13749" s="2" t="n">
        <v>43612</v>
      </c>
      <c r="D13749" t="inlineStr">
        <is>
          <t>NIL</t>
        </is>
      </c>
      <c r="E13749" t="n">
        <v>1043</v>
      </c>
    </row>
    <row r="13750">
      <c r="A13750" t="inlineStr">
        <is>
          <t>27BBBBB13750Z5</t>
        </is>
      </c>
      <c r="B13750" t="inlineStr">
        <is>
          <t>Dec-2024</t>
        </is>
      </c>
      <c r="C13750" s="2" t="n">
        <v>45546</v>
      </c>
      <c r="D13750" t="inlineStr">
        <is>
          <t>NON-NIL</t>
        </is>
      </c>
      <c r="E13750" t="n">
        <v>2321</v>
      </c>
    </row>
    <row r="13751">
      <c r="A13751" t="inlineStr">
        <is>
          <t>27BBBBB13751Z5</t>
        </is>
      </c>
      <c r="B13751" t="inlineStr">
        <is>
          <t>Jun-2018</t>
        </is>
      </c>
      <c r="C13751" s="2" t="n">
        <v>44429</v>
      </c>
      <c r="D13751" t="inlineStr">
        <is>
          <t>NIL</t>
        </is>
      </c>
      <c r="E13751" t="n">
        <v>468</v>
      </c>
    </row>
    <row r="13752">
      <c r="A13752" t="inlineStr">
        <is>
          <t>27BBBBB13752Z5</t>
        </is>
      </c>
      <c r="B13752" t="inlineStr">
        <is>
          <t>Jul-2017</t>
        </is>
      </c>
      <c r="C13752" s="2" t="n">
        <v>43658</v>
      </c>
      <c r="D13752" t="inlineStr">
        <is>
          <t>NON-NIL</t>
        </is>
      </c>
      <c r="E13752" t="n">
        <v>2387</v>
      </c>
    </row>
    <row r="13753">
      <c r="A13753" t="inlineStr">
        <is>
          <t>27BBBBB13753Z5</t>
        </is>
      </c>
      <c r="B13753" t="inlineStr">
        <is>
          <t>Jul-2018</t>
        </is>
      </c>
      <c r="C13753" s="2" t="n">
        <v>43914</v>
      </c>
      <c r="D13753" t="inlineStr">
        <is>
          <t>NIL</t>
        </is>
      </c>
      <c r="E13753" t="n">
        <v>2871</v>
      </c>
    </row>
    <row r="13754">
      <c r="A13754" t="inlineStr">
        <is>
          <t>27BBBBB13754Z5</t>
        </is>
      </c>
      <c r="B13754" t="inlineStr">
        <is>
          <t>Nov-2018</t>
        </is>
      </c>
      <c r="C13754" s="2" t="n">
        <v>43896</v>
      </c>
      <c r="D13754" t="inlineStr">
        <is>
          <t>NON-NIL</t>
        </is>
      </c>
      <c r="E13754" t="n">
        <v>318</v>
      </c>
    </row>
    <row r="13755">
      <c r="A13755" t="inlineStr">
        <is>
          <t>27BBBBB13755Z5</t>
        </is>
      </c>
      <c r="B13755" t="inlineStr">
        <is>
          <t>Dec-2022</t>
        </is>
      </c>
      <c r="C13755" s="2" t="n">
        <v>45634</v>
      </c>
      <c r="D13755" t="inlineStr">
        <is>
          <t>NON-NIL</t>
        </is>
      </c>
      <c r="E13755" t="n">
        <v>1592</v>
      </c>
    </row>
    <row r="13756">
      <c r="A13756" t="inlineStr">
        <is>
          <t>27BBBBB13756Z5</t>
        </is>
      </c>
      <c r="B13756" t="inlineStr">
        <is>
          <t>Sep-2018</t>
        </is>
      </c>
      <c r="C13756" s="2" t="n">
        <v>44521</v>
      </c>
      <c r="D13756" t="inlineStr">
        <is>
          <t>NON-NIL</t>
        </is>
      </c>
      <c r="E13756" t="n">
        <v>2963</v>
      </c>
    </row>
    <row r="13757">
      <c r="A13757" t="inlineStr">
        <is>
          <t>27BBBBB13757Z5</t>
        </is>
      </c>
      <c r="B13757" t="inlineStr">
        <is>
          <t>Jan-2018</t>
        </is>
      </c>
      <c r="C13757" s="2" t="n">
        <v>43273</v>
      </c>
      <c r="D13757" t="inlineStr">
        <is>
          <t>NIL</t>
        </is>
      </c>
      <c r="E13757" t="n">
        <v>1586</v>
      </c>
    </row>
    <row r="13758">
      <c r="A13758" t="inlineStr">
        <is>
          <t>27BBBBB13758Z5</t>
        </is>
      </c>
      <c r="B13758" t="inlineStr">
        <is>
          <t>Dec-2017</t>
        </is>
      </c>
      <c r="C13758" s="2" t="n">
        <v>43353</v>
      </c>
      <c r="D13758" t="inlineStr">
        <is>
          <t>NIL</t>
        </is>
      </c>
      <c r="E13758" t="n">
        <v>1722</v>
      </c>
    </row>
    <row r="13759">
      <c r="A13759" t="inlineStr">
        <is>
          <t>27BBBBB13759Z5</t>
        </is>
      </c>
      <c r="B13759" t="inlineStr">
        <is>
          <t>Jun-2018</t>
        </is>
      </c>
      <c r="C13759" s="2" t="n">
        <v>44236</v>
      </c>
      <c r="D13759" t="inlineStr">
        <is>
          <t>NON-NIL</t>
        </is>
      </c>
      <c r="E13759" t="n">
        <v>756</v>
      </c>
    </row>
    <row r="13760">
      <c r="A13760" t="inlineStr">
        <is>
          <t>27BBBBB13760Z5</t>
        </is>
      </c>
      <c r="B13760" t="inlineStr">
        <is>
          <t>Mar-2021</t>
        </is>
      </c>
      <c r="C13760" s="2" t="n">
        <v>44500</v>
      </c>
      <c r="D13760" t="inlineStr">
        <is>
          <t>NON-NIL</t>
        </is>
      </c>
      <c r="E13760" t="n">
        <v>1055</v>
      </c>
    </row>
    <row r="13761">
      <c r="A13761" t="inlineStr">
        <is>
          <t>27BBBBB13761Z5</t>
        </is>
      </c>
      <c r="B13761" t="inlineStr">
        <is>
          <t>Jun-2020</t>
        </is>
      </c>
      <c r="C13761" s="2" t="n">
        <v>44219</v>
      </c>
      <c r="D13761" t="inlineStr">
        <is>
          <t>NIL</t>
        </is>
      </c>
      <c r="E13761" t="n">
        <v>1810</v>
      </c>
    </row>
    <row r="13762">
      <c r="A13762" t="inlineStr">
        <is>
          <t>27BBBBB13762Z5</t>
        </is>
      </c>
      <c r="B13762" t="inlineStr">
        <is>
          <t>Sep-2018</t>
        </is>
      </c>
      <c r="C13762" s="2" t="n">
        <v>43494</v>
      </c>
      <c r="D13762" t="inlineStr">
        <is>
          <t>NON-NIL</t>
        </is>
      </c>
      <c r="E13762" t="n">
        <v>740</v>
      </c>
    </row>
    <row r="13763">
      <c r="A13763" t="inlineStr">
        <is>
          <t>27BBBBB13763Z5</t>
        </is>
      </c>
      <c r="B13763" t="inlineStr">
        <is>
          <t>Sep-2017</t>
        </is>
      </c>
      <c r="C13763" s="2" t="n">
        <v>43519</v>
      </c>
      <c r="D13763" t="inlineStr">
        <is>
          <t>NON-NIL</t>
        </is>
      </c>
      <c r="E13763" t="n">
        <v>183</v>
      </c>
    </row>
    <row r="13764">
      <c r="A13764" t="inlineStr">
        <is>
          <t>27BBBBB13764Z5</t>
        </is>
      </c>
      <c r="B13764" t="inlineStr">
        <is>
          <t>Apr-2018</t>
        </is>
      </c>
      <c r="C13764" s="2" t="n">
        <v>44295</v>
      </c>
      <c r="D13764" t="inlineStr">
        <is>
          <t>NON-NIL</t>
        </is>
      </c>
      <c r="E13764" t="n">
        <v>2476</v>
      </c>
    </row>
    <row r="13765">
      <c r="A13765" t="inlineStr">
        <is>
          <t>27BBBBB13765Z5</t>
        </is>
      </c>
      <c r="B13765" t="inlineStr">
        <is>
          <t>Mar-2018</t>
        </is>
      </c>
      <c r="C13765" s="2" t="n">
        <v>44369</v>
      </c>
      <c r="D13765" t="inlineStr">
        <is>
          <t>NON-NIL</t>
        </is>
      </c>
      <c r="E13765" t="n">
        <v>2745</v>
      </c>
    </row>
    <row r="13766">
      <c r="A13766" t="inlineStr">
        <is>
          <t>27BBBBB13766Z5</t>
        </is>
      </c>
      <c r="B13766" t="inlineStr">
        <is>
          <t>Mar-2023</t>
        </is>
      </c>
      <c r="C13766" s="2" t="n">
        <v>45141</v>
      </c>
      <c r="D13766" t="inlineStr">
        <is>
          <t>NON-NIL</t>
        </is>
      </c>
      <c r="E13766" t="n">
        <v>1261</v>
      </c>
    </row>
    <row r="13767">
      <c r="A13767" t="inlineStr">
        <is>
          <t>27BBBBB13767Z5</t>
        </is>
      </c>
      <c r="B13767" t="inlineStr">
        <is>
          <t>May-2020</t>
        </is>
      </c>
      <c r="C13767" s="2" t="n">
        <v>44032</v>
      </c>
      <c r="D13767" t="inlineStr">
        <is>
          <t>NON-NIL</t>
        </is>
      </c>
      <c r="E13767" t="n">
        <v>220</v>
      </c>
    </row>
    <row r="13768">
      <c r="A13768" t="inlineStr">
        <is>
          <t>27BBBBB13768Z5</t>
        </is>
      </c>
      <c r="B13768" t="inlineStr">
        <is>
          <t>Jul-2020</t>
        </is>
      </c>
      <c r="C13768" s="2" t="n">
        <v>44824</v>
      </c>
      <c r="D13768" t="inlineStr">
        <is>
          <t>NON-NIL</t>
        </is>
      </c>
      <c r="E13768" t="n">
        <v>2131</v>
      </c>
    </row>
    <row r="13769">
      <c r="A13769" t="inlineStr">
        <is>
          <t>27BBBBB13769Z5</t>
        </is>
      </c>
      <c r="B13769" t="inlineStr">
        <is>
          <t>May-2018</t>
        </is>
      </c>
      <c r="C13769" s="2" t="n">
        <v>43318</v>
      </c>
      <c r="D13769" t="inlineStr">
        <is>
          <t>NIL</t>
        </is>
      </c>
      <c r="E13769" t="n">
        <v>1785</v>
      </c>
    </row>
    <row r="13770">
      <c r="A13770" t="inlineStr">
        <is>
          <t>27BBBBB13770Z5</t>
        </is>
      </c>
      <c r="B13770" t="inlineStr">
        <is>
          <t>Jul-2018</t>
        </is>
      </c>
      <c r="C13770" s="2" t="n">
        <v>43182</v>
      </c>
      <c r="D13770" t="inlineStr">
        <is>
          <t>NON-NIL</t>
        </is>
      </c>
      <c r="E13770" t="n">
        <v>707</v>
      </c>
    </row>
    <row r="13771">
      <c r="A13771" t="inlineStr">
        <is>
          <t>27BBBBB13771Z5</t>
        </is>
      </c>
      <c r="B13771" t="inlineStr">
        <is>
          <t>Dec-2022</t>
        </is>
      </c>
      <c r="C13771" s="2" t="n">
        <v>45743</v>
      </c>
      <c r="D13771" t="inlineStr">
        <is>
          <t>NON-NIL</t>
        </is>
      </c>
      <c r="E13771" t="n">
        <v>2937</v>
      </c>
    </row>
    <row r="13772">
      <c r="A13772" t="inlineStr">
        <is>
          <t>27BBBBB13772Z5</t>
        </is>
      </c>
      <c r="B13772" t="inlineStr">
        <is>
          <t>Sep-2017</t>
        </is>
      </c>
      <c r="C13772" s="2" t="n">
        <v>43795</v>
      </c>
      <c r="D13772" t="inlineStr">
        <is>
          <t>NON-NIL</t>
        </is>
      </c>
      <c r="E13772" t="n">
        <v>1058</v>
      </c>
    </row>
    <row r="13773">
      <c r="A13773" t="inlineStr">
        <is>
          <t>27BBBBB13773Z5</t>
        </is>
      </c>
      <c r="B13773" t="inlineStr">
        <is>
          <t>Mar-2018</t>
        </is>
      </c>
      <c r="C13773" s="2" t="n">
        <v>43256</v>
      </c>
      <c r="D13773" t="inlineStr">
        <is>
          <t>NON-NIL</t>
        </is>
      </c>
      <c r="E13773" t="n">
        <v>2449</v>
      </c>
    </row>
    <row r="13774">
      <c r="A13774" t="inlineStr">
        <is>
          <t>27BBBBB13774Z5</t>
        </is>
      </c>
      <c r="B13774" t="inlineStr">
        <is>
          <t>Dec-2018</t>
        </is>
      </c>
      <c r="C13774" s="2" t="n">
        <v>43906</v>
      </c>
      <c r="D13774" t="inlineStr">
        <is>
          <t>NON-NIL</t>
        </is>
      </c>
      <c r="E13774" t="n">
        <v>968</v>
      </c>
    </row>
    <row r="13775">
      <c r="A13775" t="inlineStr">
        <is>
          <t>27BBBBB13775Z5</t>
        </is>
      </c>
      <c r="B13775" t="inlineStr">
        <is>
          <t>May-2018</t>
        </is>
      </c>
      <c r="C13775" s="2" t="n">
        <v>43909</v>
      </c>
      <c r="D13775" t="inlineStr">
        <is>
          <t>NON-NIL</t>
        </is>
      </c>
      <c r="E13775" t="n">
        <v>1571</v>
      </c>
    </row>
    <row r="13776">
      <c r="A13776" t="inlineStr">
        <is>
          <t>27BBBBB13776Z5</t>
        </is>
      </c>
      <c r="B13776" t="inlineStr">
        <is>
          <t>Sep-2017</t>
        </is>
      </c>
      <c r="C13776" s="2" t="n">
        <v>43125</v>
      </c>
      <c r="D13776" t="inlineStr">
        <is>
          <t>NIL</t>
        </is>
      </c>
      <c r="E13776" t="n">
        <v>2170</v>
      </c>
    </row>
    <row r="13777">
      <c r="A13777" t="inlineStr">
        <is>
          <t>27BBBBB13777Z5</t>
        </is>
      </c>
      <c r="B13777" t="inlineStr">
        <is>
          <t>Mar-2018</t>
        </is>
      </c>
      <c r="C13777" s="2" t="n">
        <v>43557</v>
      </c>
      <c r="D13777" t="inlineStr">
        <is>
          <t>NIL</t>
        </is>
      </c>
      <c r="E13777" t="n">
        <v>2907</v>
      </c>
    </row>
    <row r="13778">
      <c r="A13778" t="inlineStr">
        <is>
          <t>27BBBBB13778Z5</t>
        </is>
      </c>
      <c r="B13778" t="inlineStr">
        <is>
          <t>Jan-2018</t>
        </is>
      </c>
      <c r="C13778" s="2" t="n">
        <v>44532</v>
      </c>
      <c r="D13778" t="inlineStr">
        <is>
          <t>NIL</t>
        </is>
      </c>
      <c r="E13778" t="n">
        <v>545</v>
      </c>
    </row>
    <row r="13779">
      <c r="A13779" t="inlineStr">
        <is>
          <t>27BBBBB13779Z5</t>
        </is>
      </c>
      <c r="B13779" t="inlineStr">
        <is>
          <t>Apr-2020</t>
        </is>
      </c>
      <c r="C13779" s="2" t="n">
        <v>43888</v>
      </c>
      <c r="D13779" t="inlineStr">
        <is>
          <t>NIL</t>
        </is>
      </c>
      <c r="E13779" t="n">
        <v>99</v>
      </c>
    </row>
    <row r="13780">
      <c r="A13780" t="inlineStr">
        <is>
          <t>27BBBBB13780Z5</t>
        </is>
      </c>
      <c r="B13780" t="inlineStr">
        <is>
          <t>Jan-2018</t>
        </is>
      </c>
      <c r="C13780" s="2" t="n">
        <v>44442</v>
      </c>
      <c r="D13780" t="inlineStr">
        <is>
          <t>NON-NIL</t>
        </is>
      </c>
      <c r="E13780" t="n">
        <v>549</v>
      </c>
    </row>
    <row r="13781">
      <c r="A13781" t="inlineStr">
        <is>
          <t>27BBBBB13781Z5</t>
        </is>
      </c>
      <c r="B13781" t="inlineStr">
        <is>
          <t>Jul-2017</t>
        </is>
      </c>
      <c r="C13781" s="2" t="n">
        <v>44164</v>
      </c>
      <c r="D13781" t="inlineStr">
        <is>
          <t>NON-NIL</t>
        </is>
      </c>
      <c r="E13781" t="n">
        <v>1697</v>
      </c>
    </row>
    <row r="13782">
      <c r="A13782" t="inlineStr">
        <is>
          <t>27BBBBB13782Z5</t>
        </is>
      </c>
      <c r="B13782" t="inlineStr">
        <is>
          <t>Dec-2024</t>
        </is>
      </c>
      <c r="C13782" s="2" t="n">
        <v>44107</v>
      </c>
      <c r="D13782" t="inlineStr">
        <is>
          <t>NON-NIL</t>
        </is>
      </c>
      <c r="E13782" t="n">
        <v>120</v>
      </c>
    </row>
    <row r="13783">
      <c r="A13783" t="inlineStr">
        <is>
          <t>27BBBBB13783Z5</t>
        </is>
      </c>
      <c r="B13783" t="inlineStr">
        <is>
          <t>Dec-2024</t>
        </is>
      </c>
      <c r="C13783" s="2" t="n">
        <v>44905</v>
      </c>
      <c r="D13783" t="inlineStr">
        <is>
          <t>NON-NIL</t>
        </is>
      </c>
      <c r="E13783" t="n">
        <v>1499</v>
      </c>
    </row>
    <row r="13784">
      <c r="A13784" t="inlineStr">
        <is>
          <t>27BBBBB13784Z5</t>
        </is>
      </c>
      <c r="B13784" t="inlineStr">
        <is>
          <t>May-2020</t>
        </is>
      </c>
      <c r="C13784" s="2" t="n">
        <v>44121</v>
      </c>
      <c r="D13784" t="inlineStr">
        <is>
          <t>NIL</t>
        </is>
      </c>
      <c r="E13784" t="n">
        <v>1069</v>
      </c>
    </row>
    <row r="13785">
      <c r="A13785" t="inlineStr">
        <is>
          <t>27BBBBB13785Z5</t>
        </is>
      </c>
      <c r="B13785" t="inlineStr">
        <is>
          <t>Mar-2020</t>
        </is>
      </c>
      <c r="C13785" s="2" t="n">
        <v>44811</v>
      </c>
      <c r="D13785" t="inlineStr">
        <is>
          <t>NON-NIL</t>
        </is>
      </c>
      <c r="E13785" t="n">
        <v>559</v>
      </c>
    </row>
    <row r="13786">
      <c r="A13786" t="inlineStr">
        <is>
          <t>27BBBBB13786Z5</t>
        </is>
      </c>
      <c r="B13786" t="inlineStr">
        <is>
          <t>Sep-2017</t>
        </is>
      </c>
      <c r="C13786" s="2" t="n">
        <v>43013</v>
      </c>
      <c r="D13786" t="inlineStr">
        <is>
          <t>NON-NIL</t>
        </is>
      </c>
      <c r="E13786" t="n">
        <v>2714</v>
      </c>
    </row>
    <row r="13787">
      <c r="A13787" t="inlineStr">
        <is>
          <t>27BBBBB13787Z5</t>
        </is>
      </c>
      <c r="B13787" t="inlineStr">
        <is>
          <t>Dec-2022</t>
        </is>
      </c>
      <c r="C13787" s="2" t="n">
        <v>45210</v>
      </c>
      <c r="D13787" t="inlineStr">
        <is>
          <t>NON-NIL</t>
        </is>
      </c>
      <c r="E13787" t="n">
        <v>1598</v>
      </c>
    </row>
    <row r="13788">
      <c r="A13788" t="inlineStr">
        <is>
          <t>27BBBBB13788Z5</t>
        </is>
      </c>
      <c r="B13788" t="inlineStr">
        <is>
          <t>Sep-2018</t>
        </is>
      </c>
      <c r="C13788" s="2" t="n">
        <v>43796</v>
      </c>
      <c r="D13788" t="inlineStr">
        <is>
          <t>NIL</t>
        </is>
      </c>
      <c r="E13788" t="n">
        <v>1796</v>
      </c>
    </row>
    <row r="13789">
      <c r="A13789" t="inlineStr">
        <is>
          <t>27BBBBB13789Z5</t>
        </is>
      </c>
      <c r="B13789" t="inlineStr">
        <is>
          <t>Mar-2023</t>
        </is>
      </c>
      <c r="C13789" s="2" t="n">
        <v>45086</v>
      </c>
      <c r="D13789" t="inlineStr">
        <is>
          <t>NIL</t>
        </is>
      </c>
      <c r="E13789" t="n">
        <v>1919</v>
      </c>
    </row>
    <row r="13790">
      <c r="A13790" t="inlineStr">
        <is>
          <t>27BBBBB13790Z5</t>
        </is>
      </c>
      <c r="B13790" t="inlineStr">
        <is>
          <t>Jul-2018</t>
        </is>
      </c>
      <c r="C13790" s="2" t="n">
        <v>44494</v>
      </c>
      <c r="D13790" t="inlineStr">
        <is>
          <t>NIL</t>
        </is>
      </c>
      <c r="E13790" t="n">
        <v>1774</v>
      </c>
    </row>
    <row r="13791">
      <c r="A13791" t="inlineStr">
        <is>
          <t>27BBBBB13791Z5</t>
        </is>
      </c>
      <c r="B13791" t="inlineStr">
        <is>
          <t>Jul-2020</t>
        </is>
      </c>
      <c r="C13791" s="2" t="n">
        <v>44430</v>
      </c>
      <c r="D13791" t="inlineStr">
        <is>
          <t>NIL</t>
        </is>
      </c>
      <c r="E13791" t="n">
        <v>253</v>
      </c>
    </row>
    <row r="13792">
      <c r="A13792" t="inlineStr">
        <is>
          <t>27BBBBB13792Z5</t>
        </is>
      </c>
      <c r="B13792" t="inlineStr">
        <is>
          <t>Jul-2020</t>
        </is>
      </c>
      <c r="C13792" s="2" t="n">
        <v>44103</v>
      </c>
      <c r="D13792" t="inlineStr">
        <is>
          <t>NIL</t>
        </is>
      </c>
      <c r="E13792" t="n">
        <v>751</v>
      </c>
    </row>
    <row r="13793">
      <c r="A13793" t="inlineStr">
        <is>
          <t>27BBBBB13793Z5</t>
        </is>
      </c>
      <c r="B13793" t="inlineStr">
        <is>
          <t>May-2020</t>
        </is>
      </c>
      <c r="C13793" s="2" t="n">
        <v>44537</v>
      </c>
      <c r="D13793" t="inlineStr">
        <is>
          <t>NON-NIL</t>
        </is>
      </c>
      <c r="E13793" t="n">
        <v>512</v>
      </c>
    </row>
    <row r="13794">
      <c r="A13794" t="inlineStr">
        <is>
          <t>27BBBBB13794Z5</t>
        </is>
      </c>
      <c r="B13794" t="inlineStr">
        <is>
          <t>May-2020</t>
        </is>
      </c>
      <c r="C13794" s="2" t="n">
        <v>44304</v>
      </c>
      <c r="D13794" t="inlineStr">
        <is>
          <t>NON-NIL</t>
        </is>
      </c>
      <c r="E13794" t="n">
        <v>507</v>
      </c>
    </row>
    <row r="13795">
      <c r="A13795" t="inlineStr">
        <is>
          <t>27BBBBB13795Z5</t>
        </is>
      </c>
      <c r="B13795" t="inlineStr">
        <is>
          <t>Jul-2018</t>
        </is>
      </c>
      <c r="C13795" s="2" t="n">
        <v>44372</v>
      </c>
      <c r="D13795" t="inlineStr">
        <is>
          <t>NON-NIL</t>
        </is>
      </c>
      <c r="E13795" t="n">
        <v>2307</v>
      </c>
    </row>
    <row r="13796">
      <c r="A13796" t="inlineStr">
        <is>
          <t>27BBBBB13796Z5</t>
        </is>
      </c>
      <c r="B13796" t="inlineStr">
        <is>
          <t>Sep-2018</t>
        </is>
      </c>
      <c r="C13796" s="2" t="n">
        <v>44095</v>
      </c>
      <c r="D13796" t="inlineStr">
        <is>
          <t>NON-NIL</t>
        </is>
      </c>
      <c r="E13796" t="n">
        <v>1966</v>
      </c>
    </row>
    <row r="13797">
      <c r="A13797" t="inlineStr">
        <is>
          <t>27BBBBB13797Z5</t>
        </is>
      </c>
      <c r="B13797" t="inlineStr">
        <is>
          <t>May-2020</t>
        </is>
      </c>
      <c r="C13797" s="2" t="n">
        <v>44356</v>
      </c>
      <c r="D13797" t="inlineStr">
        <is>
          <t>NIL</t>
        </is>
      </c>
      <c r="E13797" t="n">
        <v>468</v>
      </c>
    </row>
    <row r="13798">
      <c r="A13798" t="inlineStr">
        <is>
          <t>27BBBBB13798Z5</t>
        </is>
      </c>
      <c r="B13798" t="inlineStr">
        <is>
          <t>Dec-2018</t>
        </is>
      </c>
      <c r="C13798" s="2" t="n">
        <v>43042</v>
      </c>
      <c r="D13798" t="inlineStr">
        <is>
          <t>NON-NIL</t>
        </is>
      </c>
      <c r="E13798" t="n">
        <v>1674</v>
      </c>
    </row>
    <row r="13799">
      <c r="A13799" t="inlineStr">
        <is>
          <t>27BBBBB13799Z5</t>
        </is>
      </c>
      <c r="B13799" t="inlineStr">
        <is>
          <t>Nov-2018</t>
        </is>
      </c>
      <c r="C13799" s="2" t="n">
        <v>43151</v>
      </c>
      <c r="D13799" t="inlineStr">
        <is>
          <t>NIL</t>
        </is>
      </c>
      <c r="E13799" t="n">
        <v>79</v>
      </c>
    </row>
    <row r="13800">
      <c r="A13800" t="inlineStr">
        <is>
          <t>27BBBBB13800Z5</t>
        </is>
      </c>
      <c r="B13800" t="inlineStr">
        <is>
          <t>Jul-2020</t>
        </is>
      </c>
      <c r="C13800" s="2" t="n">
        <v>43971</v>
      </c>
      <c r="D13800" t="inlineStr">
        <is>
          <t>NIL</t>
        </is>
      </c>
      <c r="E13800" t="n">
        <v>956</v>
      </c>
    </row>
    <row r="13801">
      <c r="A13801" t="inlineStr">
        <is>
          <t>27BBBBB13801Z5</t>
        </is>
      </c>
      <c r="B13801" t="inlineStr">
        <is>
          <t>May-2018</t>
        </is>
      </c>
      <c r="C13801" s="2" t="n">
        <v>43713</v>
      </c>
      <c r="D13801" t="inlineStr">
        <is>
          <t>NIL</t>
        </is>
      </c>
      <c r="E13801" t="n">
        <v>1077</v>
      </c>
    </row>
    <row r="13802">
      <c r="A13802" t="inlineStr">
        <is>
          <t>27BBBBB13802Z5</t>
        </is>
      </c>
      <c r="B13802" t="inlineStr">
        <is>
          <t>Apr-2020</t>
        </is>
      </c>
      <c r="C13802" s="2" t="n">
        <v>44349</v>
      </c>
      <c r="D13802" t="inlineStr">
        <is>
          <t>NIL</t>
        </is>
      </c>
      <c r="E13802" t="n">
        <v>778</v>
      </c>
    </row>
    <row r="13803">
      <c r="A13803" t="inlineStr">
        <is>
          <t>27BBBBB13803Z5</t>
        </is>
      </c>
      <c r="B13803" t="inlineStr">
        <is>
          <t>Jul-2018</t>
        </is>
      </c>
      <c r="C13803" s="2" t="n">
        <v>43157</v>
      </c>
      <c r="D13803" t="inlineStr">
        <is>
          <t>NIL</t>
        </is>
      </c>
      <c r="E13803" t="n">
        <v>2668</v>
      </c>
    </row>
    <row r="13804">
      <c r="A13804" t="inlineStr">
        <is>
          <t>27BBBBB13804Z5</t>
        </is>
      </c>
      <c r="B13804" t="inlineStr">
        <is>
          <t>Aug-2018</t>
        </is>
      </c>
      <c r="C13804" s="2" t="n">
        <v>43858</v>
      </c>
      <c r="D13804" t="inlineStr">
        <is>
          <t>NON-NIL</t>
        </is>
      </c>
      <c r="E13804" t="n">
        <v>1064</v>
      </c>
    </row>
    <row r="13805">
      <c r="A13805" t="inlineStr">
        <is>
          <t>27BBBBB13805Z5</t>
        </is>
      </c>
      <c r="B13805" t="inlineStr">
        <is>
          <t>Sep-2018</t>
        </is>
      </c>
      <c r="C13805" s="2" t="n">
        <v>43873</v>
      </c>
      <c r="D13805" t="inlineStr">
        <is>
          <t>NIL</t>
        </is>
      </c>
      <c r="E13805" t="n">
        <v>288</v>
      </c>
    </row>
    <row r="13806">
      <c r="A13806" t="inlineStr">
        <is>
          <t>27BBBBB13806Z5</t>
        </is>
      </c>
      <c r="B13806" t="inlineStr">
        <is>
          <t>Feb-2018</t>
        </is>
      </c>
      <c r="C13806" s="2" t="n">
        <v>44226</v>
      </c>
      <c r="D13806" t="inlineStr">
        <is>
          <t>NIL</t>
        </is>
      </c>
      <c r="E13806" t="n">
        <v>1096</v>
      </c>
    </row>
    <row r="13807">
      <c r="A13807" t="inlineStr">
        <is>
          <t>27BBBBB13807Z5</t>
        </is>
      </c>
      <c r="B13807" t="inlineStr">
        <is>
          <t>Jul-2020</t>
        </is>
      </c>
      <c r="C13807" s="2" t="n">
        <v>44023</v>
      </c>
      <c r="D13807" t="inlineStr">
        <is>
          <t>NIL</t>
        </is>
      </c>
      <c r="E13807" t="n">
        <v>1972</v>
      </c>
    </row>
    <row r="13808">
      <c r="A13808" t="inlineStr">
        <is>
          <t>27BBBBB13808Z5</t>
        </is>
      </c>
      <c r="B13808" t="inlineStr">
        <is>
          <t>Dec-2022</t>
        </is>
      </c>
      <c r="C13808" s="2" t="n">
        <v>43653</v>
      </c>
      <c r="D13808" t="inlineStr">
        <is>
          <t>NIL</t>
        </is>
      </c>
      <c r="E13808" t="n">
        <v>1913</v>
      </c>
    </row>
    <row r="13809">
      <c r="A13809" t="inlineStr">
        <is>
          <t>27BBBBB13809Z5</t>
        </is>
      </c>
      <c r="B13809" t="inlineStr">
        <is>
          <t>Nov-2017</t>
        </is>
      </c>
      <c r="C13809" s="2" t="n">
        <v>44074</v>
      </c>
      <c r="D13809" t="inlineStr">
        <is>
          <t>NIL</t>
        </is>
      </c>
      <c r="E13809" t="n">
        <v>1362</v>
      </c>
    </row>
    <row r="13810">
      <c r="A13810" t="inlineStr">
        <is>
          <t>27BBBBB13810Z5</t>
        </is>
      </c>
      <c r="B13810" t="inlineStr">
        <is>
          <t>Jan-2021</t>
        </is>
      </c>
      <c r="C13810" s="2" t="n">
        <v>44900</v>
      </c>
      <c r="D13810" t="inlineStr">
        <is>
          <t>NON-NIL</t>
        </is>
      </c>
      <c r="E13810" t="n">
        <v>993</v>
      </c>
    </row>
    <row r="13811">
      <c r="A13811" t="inlineStr">
        <is>
          <t>27BBBBB13811Z5</t>
        </is>
      </c>
      <c r="B13811" t="inlineStr">
        <is>
          <t>Nov-2017</t>
        </is>
      </c>
      <c r="C13811" s="2" t="n">
        <v>44507</v>
      </c>
      <c r="D13811" t="inlineStr">
        <is>
          <t>NON-NIL</t>
        </is>
      </c>
      <c r="E13811" t="n">
        <v>2248</v>
      </c>
    </row>
    <row r="13812">
      <c r="A13812" t="inlineStr">
        <is>
          <t>27BBBBB13812Z5</t>
        </is>
      </c>
      <c r="B13812" t="inlineStr">
        <is>
          <t>Dec-2024</t>
        </is>
      </c>
      <c r="C13812" s="2" t="n">
        <v>45447</v>
      </c>
      <c r="D13812" t="inlineStr">
        <is>
          <t>NIL</t>
        </is>
      </c>
      <c r="E13812" t="n">
        <v>1935</v>
      </c>
    </row>
    <row r="13813">
      <c r="A13813" t="inlineStr">
        <is>
          <t>27BBBBB13813Z5</t>
        </is>
      </c>
      <c r="B13813" t="inlineStr">
        <is>
          <t>May-2020</t>
        </is>
      </c>
      <c r="C13813" s="2" t="n">
        <v>44852</v>
      </c>
      <c r="D13813" t="inlineStr">
        <is>
          <t>NON-NIL</t>
        </is>
      </c>
      <c r="E13813" t="n">
        <v>234</v>
      </c>
    </row>
    <row r="13814">
      <c r="A13814" t="inlineStr">
        <is>
          <t>27BBBBB13814Z5</t>
        </is>
      </c>
      <c r="B13814" t="inlineStr">
        <is>
          <t>Dec-2017</t>
        </is>
      </c>
      <c r="C13814" s="2" t="n">
        <v>43465</v>
      </c>
      <c r="D13814" t="inlineStr">
        <is>
          <t>NIL</t>
        </is>
      </c>
      <c r="E13814" t="n">
        <v>2457</v>
      </c>
    </row>
    <row r="13815">
      <c r="A13815" t="inlineStr">
        <is>
          <t>27BBBBB13815Z5</t>
        </is>
      </c>
      <c r="B13815" t="inlineStr">
        <is>
          <t>Mar-2020</t>
        </is>
      </c>
      <c r="C13815" s="2" t="n">
        <v>44067</v>
      </c>
      <c r="D13815" t="inlineStr">
        <is>
          <t>NIL</t>
        </is>
      </c>
      <c r="E13815" t="n">
        <v>152</v>
      </c>
    </row>
    <row r="13816">
      <c r="A13816" t="inlineStr">
        <is>
          <t>27BBBBB13816Z5</t>
        </is>
      </c>
      <c r="B13816" t="inlineStr">
        <is>
          <t>Mar-2023</t>
        </is>
      </c>
      <c r="C13816" s="2" t="n">
        <v>45103</v>
      </c>
      <c r="D13816" t="inlineStr">
        <is>
          <t>NIL</t>
        </is>
      </c>
      <c r="E13816" t="n">
        <v>2773</v>
      </c>
    </row>
    <row r="13817">
      <c r="A13817" t="inlineStr">
        <is>
          <t>27BBBBB13817Z5</t>
        </is>
      </c>
      <c r="B13817" t="inlineStr">
        <is>
          <t>May-2018</t>
        </is>
      </c>
      <c r="C13817" s="2" t="n">
        <v>43612</v>
      </c>
      <c r="D13817" t="inlineStr">
        <is>
          <t>NIL</t>
        </is>
      </c>
      <c r="E13817" t="n">
        <v>2151</v>
      </c>
    </row>
    <row r="13818">
      <c r="A13818" t="inlineStr">
        <is>
          <t>27BBBBB13818Z5</t>
        </is>
      </c>
      <c r="B13818" t="inlineStr">
        <is>
          <t>Jan-2018</t>
        </is>
      </c>
      <c r="C13818" s="2" t="n">
        <v>43845</v>
      </c>
      <c r="D13818" t="inlineStr">
        <is>
          <t>NON-NIL</t>
        </is>
      </c>
      <c r="E13818" t="n">
        <v>1453</v>
      </c>
    </row>
    <row r="13819">
      <c r="A13819" t="inlineStr">
        <is>
          <t>27BBBBB13819Z5</t>
        </is>
      </c>
      <c r="B13819" t="inlineStr">
        <is>
          <t>Dec-2017</t>
        </is>
      </c>
      <c r="C13819" s="2" t="n">
        <v>44397</v>
      </c>
      <c r="D13819" t="inlineStr">
        <is>
          <t>NIL</t>
        </is>
      </c>
      <c r="E13819" t="n">
        <v>788</v>
      </c>
    </row>
    <row r="13820">
      <c r="A13820" t="inlineStr">
        <is>
          <t>27BBBBB13820Z5</t>
        </is>
      </c>
      <c r="B13820" t="inlineStr">
        <is>
          <t>Dec-2024</t>
        </is>
      </c>
      <c r="C13820" s="2" t="n">
        <v>44892</v>
      </c>
      <c r="D13820" t="inlineStr">
        <is>
          <t>NON-NIL</t>
        </is>
      </c>
      <c r="E13820" t="n">
        <v>1463</v>
      </c>
    </row>
    <row r="13821">
      <c r="A13821" t="inlineStr">
        <is>
          <t>27BBBBB13821Z5</t>
        </is>
      </c>
      <c r="B13821" t="inlineStr">
        <is>
          <t>Jun-2018</t>
        </is>
      </c>
      <c r="C13821" s="2" t="n">
        <v>43083</v>
      </c>
      <c r="D13821" t="inlineStr">
        <is>
          <t>NON-NIL</t>
        </is>
      </c>
      <c r="E13821" t="n">
        <v>503</v>
      </c>
    </row>
    <row r="13822">
      <c r="A13822" t="inlineStr">
        <is>
          <t>27BBBBB13822Z5</t>
        </is>
      </c>
      <c r="B13822" t="inlineStr">
        <is>
          <t>Mar-2020</t>
        </is>
      </c>
      <c r="C13822" s="2" t="n">
        <v>44121</v>
      </c>
      <c r="D13822" t="inlineStr">
        <is>
          <t>NON-NIL</t>
        </is>
      </c>
      <c r="E13822" t="n">
        <v>2635</v>
      </c>
    </row>
    <row r="13823">
      <c r="A13823" t="inlineStr">
        <is>
          <t>27BBBBB13823Z5</t>
        </is>
      </c>
      <c r="B13823" t="inlineStr">
        <is>
          <t>May-2018</t>
        </is>
      </c>
      <c r="C13823" s="2" t="n">
        <v>44515</v>
      </c>
      <c r="D13823" t="inlineStr">
        <is>
          <t>NON-NIL</t>
        </is>
      </c>
      <c r="E13823" t="n">
        <v>387</v>
      </c>
    </row>
    <row r="13824">
      <c r="A13824" t="inlineStr">
        <is>
          <t>27BBBBB13824Z5</t>
        </is>
      </c>
      <c r="B13824" t="inlineStr">
        <is>
          <t>Mar-2023</t>
        </is>
      </c>
      <c r="C13824" s="2" t="n">
        <v>43474</v>
      </c>
      <c r="D13824" t="inlineStr">
        <is>
          <t>NON-NIL</t>
        </is>
      </c>
      <c r="E13824" t="n">
        <v>1984</v>
      </c>
    </row>
    <row r="13825">
      <c r="A13825" t="inlineStr">
        <is>
          <t>27BBBBB13825Z5</t>
        </is>
      </c>
      <c r="B13825" t="inlineStr">
        <is>
          <t>Jun-2018</t>
        </is>
      </c>
      <c r="C13825" s="2" t="n">
        <v>43969</v>
      </c>
      <c r="D13825" t="inlineStr">
        <is>
          <t>NON-NIL</t>
        </is>
      </c>
      <c r="E13825" t="n">
        <v>2120</v>
      </c>
    </row>
    <row r="13826">
      <c r="A13826" t="inlineStr">
        <is>
          <t>27BBBBB13826Z5</t>
        </is>
      </c>
      <c r="B13826" t="inlineStr">
        <is>
          <t>Mar-2021</t>
        </is>
      </c>
      <c r="C13826" s="2" t="n">
        <v>45640</v>
      </c>
      <c r="D13826" t="inlineStr">
        <is>
          <t>NIL</t>
        </is>
      </c>
      <c r="E13826" t="n">
        <v>1124</v>
      </c>
    </row>
    <row r="13827">
      <c r="A13827" t="inlineStr">
        <is>
          <t>27BBBBB13827Z5</t>
        </is>
      </c>
      <c r="B13827" t="inlineStr">
        <is>
          <t>Jul-2018</t>
        </is>
      </c>
      <c r="C13827" s="2" t="n">
        <v>43220</v>
      </c>
      <c r="D13827" t="inlineStr">
        <is>
          <t>NON-NIL</t>
        </is>
      </c>
      <c r="E13827" t="n">
        <v>2839</v>
      </c>
    </row>
    <row r="13828">
      <c r="A13828" t="inlineStr">
        <is>
          <t>27BBBBB13828Z5</t>
        </is>
      </c>
      <c r="B13828" t="inlineStr">
        <is>
          <t>Dec-2018</t>
        </is>
      </c>
      <c r="C13828" s="2" t="n">
        <v>43021</v>
      </c>
      <c r="D13828" t="inlineStr">
        <is>
          <t>NON-NIL</t>
        </is>
      </c>
      <c r="E13828" t="n">
        <v>462</v>
      </c>
    </row>
    <row r="13829">
      <c r="A13829" t="inlineStr">
        <is>
          <t>27BBBBB13829Z5</t>
        </is>
      </c>
      <c r="B13829" t="inlineStr">
        <is>
          <t>Mar-2020</t>
        </is>
      </c>
      <c r="C13829" s="2" t="n">
        <v>43977</v>
      </c>
      <c r="D13829" t="inlineStr">
        <is>
          <t>NIL</t>
        </is>
      </c>
      <c r="E13829" t="n">
        <v>458</v>
      </c>
    </row>
    <row r="13830">
      <c r="A13830" t="inlineStr">
        <is>
          <t>27BBBBB13830Z5</t>
        </is>
      </c>
      <c r="B13830" t="inlineStr">
        <is>
          <t>Mar-2021</t>
        </is>
      </c>
      <c r="C13830" s="2" t="n">
        <v>45110</v>
      </c>
      <c r="D13830" t="inlineStr">
        <is>
          <t>NIL</t>
        </is>
      </c>
      <c r="E13830" t="n">
        <v>747</v>
      </c>
    </row>
    <row r="13831">
      <c r="A13831" t="inlineStr">
        <is>
          <t>27BBBBB13831Z5</t>
        </is>
      </c>
      <c r="B13831" t="inlineStr">
        <is>
          <t>Mar-2021</t>
        </is>
      </c>
      <c r="C13831" s="2" t="n">
        <v>45524</v>
      </c>
      <c r="D13831" t="inlineStr">
        <is>
          <t>NIL</t>
        </is>
      </c>
      <c r="E13831" t="n">
        <v>720</v>
      </c>
    </row>
    <row r="13832">
      <c r="A13832" t="inlineStr">
        <is>
          <t>27BBBBB13832Z5</t>
        </is>
      </c>
      <c r="B13832" t="inlineStr">
        <is>
          <t>May-2018</t>
        </is>
      </c>
      <c r="C13832" s="2" t="n">
        <v>44115</v>
      </c>
      <c r="D13832" t="inlineStr">
        <is>
          <t>NON-NIL</t>
        </is>
      </c>
      <c r="E13832" t="n">
        <v>1096</v>
      </c>
    </row>
    <row r="13833">
      <c r="A13833" t="inlineStr">
        <is>
          <t>27BBBBB13833Z5</t>
        </is>
      </c>
      <c r="B13833" t="inlineStr">
        <is>
          <t>Dec-2017</t>
        </is>
      </c>
      <c r="C13833" s="2" t="n">
        <v>43653</v>
      </c>
      <c r="D13833" t="inlineStr">
        <is>
          <t>NIL</t>
        </is>
      </c>
      <c r="E13833" t="n">
        <v>1115</v>
      </c>
    </row>
    <row r="13834">
      <c r="A13834" t="inlineStr">
        <is>
          <t>27BBBBB13834Z5</t>
        </is>
      </c>
      <c r="B13834" t="inlineStr">
        <is>
          <t>May-2020</t>
        </is>
      </c>
      <c r="C13834" s="2" t="n">
        <v>44332</v>
      </c>
      <c r="D13834" t="inlineStr">
        <is>
          <t>NON-NIL</t>
        </is>
      </c>
      <c r="E13834" t="n">
        <v>1206</v>
      </c>
    </row>
    <row r="13835">
      <c r="A13835" t="inlineStr">
        <is>
          <t>27BBBBB13835Z5</t>
        </is>
      </c>
      <c r="B13835" t="inlineStr">
        <is>
          <t>Nov-2017</t>
        </is>
      </c>
      <c r="C13835" s="2" t="n">
        <v>43786</v>
      </c>
      <c r="D13835" t="inlineStr">
        <is>
          <t>NIL</t>
        </is>
      </c>
      <c r="E13835" t="n">
        <v>93</v>
      </c>
    </row>
    <row r="13836">
      <c r="A13836" t="inlineStr">
        <is>
          <t>27BBBBB13836Z5</t>
        </is>
      </c>
      <c r="B13836" t="inlineStr">
        <is>
          <t>Mar-2018</t>
        </is>
      </c>
      <c r="C13836" s="2" t="n">
        <v>43928</v>
      </c>
      <c r="D13836" t="inlineStr">
        <is>
          <t>NIL</t>
        </is>
      </c>
      <c r="E13836" t="n">
        <v>2946</v>
      </c>
    </row>
    <row r="13837">
      <c r="A13837" t="inlineStr">
        <is>
          <t>27BBBBB13837Z5</t>
        </is>
      </c>
      <c r="B13837" t="inlineStr">
        <is>
          <t>Dec-2024</t>
        </is>
      </c>
      <c r="C13837" s="2" t="n">
        <v>44648</v>
      </c>
      <c r="D13837" t="inlineStr">
        <is>
          <t>NIL</t>
        </is>
      </c>
      <c r="E13837" t="n">
        <v>2080</v>
      </c>
    </row>
    <row r="13838">
      <c r="A13838" t="inlineStr">
        <is>
          <t>27BBBBB13838Z5</t>
        </is>
      </c>
      <c r="B13838" t="inlineStr">
        <is>
          <t>Aug-2017</t>
        </is>
      </c>
      <c r="C13838" s="2" t="n">
        <v>43442</v>
      </c>
      <c r="D13838" t="inlineStr">
        <is>
          <t>NON-NIL</t>
        </is>
      </c>
      <c r="E13838" t="n">
        <v>1867</v>
      </c>
    </row>
    <row r="13839">
      <c r="A13839" t="inlineStr">
        <is>
          <t>27BBBBB13839Z5</t>
        </is>
      </c>
      <c r="B13839" t="inlineStr">
        <is>
          <t>Mar-2020</t>
        </is>
      </c>
      <c r="C13839" s="2" t="n">
        <v>44578</v>
      </c>
      <c r="D13839" t="inlineStr">
        <is>
          <t>NIL</t>
        </is>
      </c>
      <c r="E13839" t="n">
        <v>1217</v>
      </c>
    </row>
    <row r="13840">
      <c r="A13840" t="inlineStr">
        <is>
          <t>27BBBBB13840Z5</t>
        </is>
      </c>
      <c r="B13840" t="inlineStr">
        <is>
          <t>Feb-2018</t>
        </is>
      </c>
      <c r="C13840" s="2" t="n">
        <v>43401</v>
      </c>
      <c r="D13840" t="inlineStr">
        <is>
          <t>NIL</t>
        </is>
      </c>
      <c r="E13840" t="n">
        <v>1543</v>
      </c>
    </row>
    <row r="13841">
      <c r="A13841" t="inlineStr">
        <is>
          <t>27BBBBB13841Z5</t>
        </is>
      </c>
      <c r="B13841" t="inlineStr">
        <is>
          <t>Jul-2018</t>
        </is>
      </c>
      <c r="C13841" s="2" t="n">
        <v>43782</v>
      </c>
      <c r="D13841" t="inlineStr">
        <is>
          <t>NON-NIL</t>
        </is>
      </c>
      <c r="E13841" t="n">
        <v>165</v>
      </c>
    </row>
    <row r="13842">
      <c r="A13842" t="inlineStr">
        <is>
          <t>27BBBBB13842Z5</t>
        </is>
      </c>
      <c r="B13842" t="inlineStr">
        <is>
          <t>Mar-2018</t>
        </is>
      </c>
      <c r="C13842" s="2" t="n">
        <v>43611</v>
      </c>
      <c r="D13842" t="inlineStr">
        <is>
          <t>NIL</t>
        </is>
      </c>
      <c r="E13842" t="n">
        <v>946</v>
      </c>
    </row>
    <row r="13843">
      <c r="A13843" t="inlineStr">
        <is>
          <t>27BBBBB13843Z5</t>
        </is>
      </c>
      <c r="B13843" t="inlineStr">
        <is>
          <t>Aug-2018</t>
        </is>
      </c>
      <c r="C13843" s="2" t="n">
        <v>44390</v>
      </c>
      <c r="D13843" t="inlineStr">
        <is>
          <t>NIL</t>
        </is>
      </c>
      <c r="E13843" t="n">
        <v>894</v>
      </c>
    </row>
    <row r="13844">
      <c r="A13844" t="inlineStr">
        <is>
          <t>27BBBBB13844Z5</t>
        </is>
      </c>
      <c r="B13844" t="inlineStr">
        <is>
          <t>Dec-2018</t>
        </is>
      </c>
      <c r="C13844" s="2" t="n">
        <v>43247</v>
      </c>
      <c r="D13844" t="inlineStr">
        <is>
          <t>NIL</t>
        </is>
      </c>
      <c r="E13844" t="n">
        <v>150</v>
      </c>
    </row>
    <row r="13845">
      <c r="A13845" t="inlineStr">
        <is>
          <t>27BBBBB13845Z5</t>
        </is>
      </c>
      <c r="B13845" t="inlineStr">
        <is>
          <t>Dec-2024</t>
        </is>
      </c>
      <c r="C13845" s="2" t="n">
        <v>44988</v>
      </c>
      <c r="D13845" t="inlineStr">
        <is>
          <t>NIL</t>
        </is>
      </c>
      <c r="E13845" t="n">
        <v>748</v>
      </c>
    </row>
    <row r="13846">
      <c r="A13846" t="inlineStr">
        <is>
          <t>27BBBBB13846Z5</t>
        </is>
      </c>
      <c r="B13846" t="inlineStr">
        <is>
          <t>Jun-2018</t>
        </is>
      </c>
      <c r="C13846" s="2" t="n">
        <v>44540</v>
      </c>
      <c r="D13846" t="inlineStr">
        <is>
          <t>NIL</t>
        </is>
      </c>
      <c r="E13846" t="n">
        <v>616</v>
      </c>
    </row>
    <row r="13847">
      <c r="A13847" t="inlineStr">
        <is>
          <t>27BBBBB13847Z5</t>
        </is>
      </c>
      <c r="B13847" t="inlineStr">
        <is>
          <t>Dec-2018</t>
        </is>
      </c>
      <c r="C13847" s="2" t="n">
        <v>44494</v>
      </c>
      <c r="D13847" t="inlineStr">
        <is>
          <t>NON-NIL</t>
        </is>
      </c>
      <c r="E13847" t="n">
        <v>1753</v>
      </c>
    </row>
    <row r="13848">
      <c r="A13848" t="inlineStr">
        <is>
          <t>27BBBBB13848Z5</t>
        </is>
      </c>
      <c r="B13848" t="inlineStr">
        <is>
          <t>Jan-2021</t>
        </is>
      </c>
      <c r="C13848" s="2" t="n">
        <v>45715</v>
      </c>
      <c r="D13848" t="inlineStr">
        <is>
          <t>NIL</t>
        </is>
      </c>
      <c r="E13848" t="n">
        <v>127</v>
      </c>
    </row>
    <row r="13849">
      <c r="A13849" t="inlineStr">
        <is>
          <t>27BBBBB13849Z5</t>
        </is>
      </c>
      <c r="B13849" t="inlineStr">
        <is>
          <t>Dec-2022</t>
        </is>
      </c>
      <c r="C13849" s="2" t="n">
        <v>44836</v>
      </c>
      <c r="D13849" t="inlineStr">
        <is>
          <t>NIL</t>
        </is>
      </c>
      <c r="E13849" t="n">
        <v>1945</v>
      </c>
    </row>
    <row r="13850">
      <c r="A13850" t="inlineStr">
        <is>
          <t>27BBBBB13850Z5</t>
        </is>
      </c>
      <c r="B13850" t="inlineStr">
        <is>
          <t>Mar-2023</t>
        </is>
      </c>
      <c r="C13850" s="2" t="n">
        <v>45649</v>
      </c>
      <c r="D13850" t="inlineStr">
        <is>
          <t>NON-NIL</t>
        </is>
      </c>
      <c r="E13850" t="n">
        <v>72</v>
      </c>
    </row>
    <row r="13851">
      <c r="A13851" t="inlineStr">
        <is>
          <t>27BBBBB13851Z5</t>
        </is>
      </c>
      <c r="B13851" t="inlineStr">
        <is>
          <t>Mar-2020</t>
        </is>
      </c>
      <c r="C13851" s="2" t="n">
        <v>44907</v>
      </c>
      <c r="D13851" t="inlineStr">
        <is>
          <t>NON-NIL</t>
        </is>
      </c>
      <c r="E13851" t="n">
        <v>1728</v>
      </c>
    </row>
    <row r="13852">
      <c r="A13852" t="inlineStr">
        <is>
          <t>27BBBBB13852Z5</t>
        </is>
      </c>
      <c r="B13852" t="inlineStr">
        <is>
          <t>Nov-2018</t>
        </is>
      </c>
      <c r="C13852" s="2" t="n">
        <v>43156</v>
      </c>
      <c r="D13852" t="inlineStr">
        <is>
          <t>NON-NIL</t>
        </is>
      </c>
      <c r="E13852" t="n">
        <v>1135</v>
      </c>
    </row>
    <row r="13853">
      <c r="A13853" t="inlineStr">
        <is>
          <t>27BBBBB13853Z5</t>
        </is>
      </c>
      <c r="B13853" t="inlineStr">
        <is>
          <t>Jul-2020</t>
        </is>
      </c>
      <c r="C13853" s="2" t="n">
        <v>44901</v>
      </c>
      <c r="D13853" t="inlineStr">
        <is>
          <t>NON-NIL</t>
        </is>
      </c>
      <c r="E13853" t="n">
        <v>1143</v>
      </c>
    </row>
    <row r="13854">
      <c r="A13854" t="inlineStr">
        <is>
          <t>27BBBBB13854Z5</t>
        </is>
      </c>
      <c r="B13854" t="inlineStr">
        <is>
          <t>Jun-2020</t>
        </is>
      </c>
      <c r="C13854" s="2" t="n">
        <v>44715</v>
      </c>
      <c r="D13854" t="inlineStr">
        <is>
          <t>NON-NIL</t>
        </is>
      </c>
      <c r="E13854" t="n">
        <v>1280</v>
      </c>
    </row>
    <row r="13855">
      <c r="A13855" t="inlineStr">
        <is>
          <t>27BBBBB13855Z5</t>
        </is>
      </c>
      <c r="B13855" t="inlineStr">
        <is>
          <t>Mar-2020</t>
        </is>
      </c>
      <c r="C13855" s="2" t="n">
        <v>44239</v>
      </c>
      <c r="D13855" t="inlineStr">
        <is>
          <t>NON-NIL</t>
        </is>
      </c>
      <c r="E13855" t="n">
        <v>657</v>
      </c>
    </row>
    <row r="13856">
      <c r="A13856" t="inlineStr">
        <is>
          <t>27BBBBB13856Z5</t>
        </is>
      </c>
      <c r="B13856" t="inlineStr">
        <is>
          <t>Feb-2018</t>
        </is>
      </c>
      <c r="C13856" s="2" t="n">
        <v>43986</v>
      </c>
      <c r="D13856" t="inlineStr">
        <is>
          <t>NON-NIL</t>
        </is>
      </c>
      <c r="E13856" t="n">
        <v>1975</v>
      </c>
    </row>
    <row r="13857">
      <c r="A13857" t="inlineStr">
        <is>
          <t>27BBBBB13857Z5</t>
        </is>
      </c>
      <c r="B13857" t="inlineStr">
        <is>
          <t>Jul-2020</t>
        </is>
      </c>
      <c r="C13857" s="2" t="n">
        <v>44035</v>
      </c>
      <c r="D13857" t="inlineStr">
        <is>
          <t>NIL</t>
        </is>
      </c>
      <c r="E13857" t="n">
        <v>500</v>
      </c>
    </row>
    <row r="13858">
      <c r="A13858" t="inlineStr">
        <is>
          <t>27BBBBB13858Z5</t>
        </is>
      </c>
      <c r="B13858" t="inlineStr">
        <is>
          <t>May-2020</t>
        </is>
      </c>
      <c r="C13858" s="2" t="n">
        <v>44149</v>
      </c>
      <c r="D13858" t="inlineStr">
        <is>
          <t>NIL</t>
        </is>
      </c>
      <c r="E13858" t="n">
        <v>2731</v>
      </c>
    </row>
    <row r="13859">
      <c r="A13859" t="inlineStr">
        <is>
          <t>27BBBBB13859Z5</t>
        </is>
      </c>
      <c r="B13859" t="inlineStr">
        <is>
          <t>Oct-2018</t>
        </is>
      </c>
      <c r="C13859" s="2" t="n">
        <v>42928</v>
      </c>
      <c r="D13859" t="inlineStr">
        <is>
          <t>NIL</t>
        </is>
      </c>
      <c r="E13859" t="n">
        <v>410</v>
      </c>
    </row>
    <row r="13860">
      <c r="A13860" t="inlineStr">
        <is>
          <t>27BBBBB13860Z5</t>
        </is>
      </c>
      <c r="B13860" t="inlineStr">
        <is>
          <t>Mar-2020</t>
        </is>
      </c>
      <c r="C13860" s="2" t="n">
        <v>44114</v>
      </c>
      <c r="D13860" t="inlineStr">
        <is>
          <t>NIL</t>
        </is>
      </c>
      <c r="E13860" t="n">
        <v>1389</v>
      </c>
    </row>
    <row r="13861">
      <c r="A13861" t="inlineStr">
        <is>
          <t>27BBBBB13861Z5</t>
        </is>
      </c>
      <c r="B13861" t="inlineStr">
        <is>
          <t>Sep-2018</t>
        </is>
      </c>
      <c r="C13861" s="2" t="n">
        <v>43404</v>
      </c>
      <c r="D13861" t="inlineStr">
        <is>
          <t>NON-NIL</t>
        </is>
      </c>
      <c r="E13861" t="n">
        <v>2690</v>
      </c>
    </row>
    <row r="13862">
      <c r="A13862" t="inlineStr">
        <is>
          <t>27BBBBB13862Z5</t>
        </is>
      </c>
      <c r="B13862" t="inlineStr">
        <is>
          <t>Jul-2020</t>
        </is>
      </c>
      <c r="C13862" s="2" t="n">
        <v>44262</v>
      </c>
      <c r="D13862" t="inlineStr">
        <is>
          <t>NIL</t>
        </is>
      </c>
      <c r="E13862" t="n">
        <v>764</v>
      </c>
    </row>
    <row r="13863">
      <c r="A13863" t="inlineStr">
        <is>
          <t>27BBBBB13863Z5</t>
        </is>
      </c>
      <c r="B13863" t="inlineStr">
        <is>
          <t>Jun-2018</t>
        </is>
      </c>
      <c r="C13863" s="2" t="n">
        <v>44480</v>
      </c>
      <c r="D13863" t="inlineStr">
        <is>
          <t>NIL</t>
        </is>
      </c>
      <c r="E13863" t="n">
        <v>303</v>
      </c>
    </row>
    <row r="13864">
      <c r="A13864" t="inlineStr">
        <is>
          <t>27BBBBB13864Z5</t>
        </is>
      </c>
      <c r="B13864" t="inlineStr">
        <is>
          <t>Mar-2023</t>
        </is>
      </c>
      <c r="C13864" s="2" t="n">
        <v>44175</v>
      </c>
      <c r="D13864" t="inlineStr">
        <is>
          <t>NIL</t>
        </is>
      </c>
      <c r="E13864" t="n">
        <v>1946</v>
      </c>
    </row>
    <row r="13865">
      <c r="A13865" t="inlineStr">
        <is>
          <t>27BBBBB13865Z5</t>
        </is>
      </c>
      <c r="B13865" t="inlineStr">
        <is>
          <t>Jun-2020</t>
        </is>
      </c>
      <c r="C13865" s="2" t="n">
        <v>44025</v>
      </c>
      <c r="D13865" t="inlineStr">
        <is>
          <t>NON-NIL</t>
        </is>
      </c>
      <c r="E13865" t="n">
        <v>1931</v>
      </c>
    </row>
    <row r="13866">
      <c r="A13866" t="inlineStr">
        <is>
          <t>27BBBBB13866Z5</t>
        </is>
      </c>
      <c r="B13866" t="inlineStr">
        <is>
          <t>Mar-2023</t>
        </is>
      </c>
      <c r="C13866" s="2" t="n">
        <v>43520</v>
      </c>
      <c r="D13866" t="inlineStr">
        <is>
          <t>NIL</t>
        </is>
      </c>
      <c r="E13866" t="n">
        <v>491</v>
      </c>
    </row>
    <row r="13867">
      <c r="A13867" t="inlineStr">
        <is>
          <t>27BBBBB13867Z5</t>
        </is>
      </c>
      <c r="B13867" t="inlineStr">
        <is>
          <t>Jul-2017</t>
        </is>
      </c>
      <c r="C13867" s="2" t="n">
        <v>43585</v>
      </c>
      <c r="D13867" t="inlineStr">
        <is>
          <t>NIL</t>
        </is>
      </c>
      <c r="E13867" t="n">
        <v>2955</v>
      </c>
    </row>
    <row r="13868">
      <c r="A13868" t="inlineStr">
        <is>
          <t>27BBBBB13868Z5</t>
        </is>
      </c>
      <c r="B13868" t="inlineStr">
        <is>
          <t>Oct-2018</t>
        </is>
      </c>
      <c r="C13868" s="2" t="n">
        <v>43158</v>
      </c>
      <c r="D13868" t="inlineStr">
        <is>
          <t>NIL</t>
        </is>
      </c>
      <c r="E13868" t="n">
        <v>2424</v>
      </c>
    </row>
    <row r="13869">
      <c r="A13869" t="inlineStr">
        <is>
          <t>27BBBBB13869Z5</t>
        </is>
      </c>
      <c r="B13869" t="inlineStr">
        <is>
          <t>Nov-2018</t>
        </is>
      </c>
      <c r="C13869" s="2" t="n">
        <v>43218</v>
      </c>
      <c r="D13869" t="inlineStr">
        <is>
          <t>NIL</t>
        </is>
      </c>
      <c r="E13869" t="n">
        <v>1286</v>
      </c>
    </row>
    <row r="13870">
      <c r="A13870" t="inlineStr">
        <is>
          <t>27BBBBB13870Z5</t>
        </is>
      </c>
      <c r="B13870" t="inlineStr">
        <is>
          <t>Dec-2024</t>
        </is>
      </c>
      <c r="C13870" s="2" t="n">
        <v>44480</v>
      </c>
      <c r="D13870" t="inlineStr">
        <is>
          <t>NIL</t>
        </is>
      </c>
      <c r="E13870" t="n">
        <v>1873</v>
      </c>
    </row>
    <row r="13871">
      <c r="A13871" t="inlineStr">
        <is>
          <t>27BBBBB13871Z5</t>
        </is>
      </c>
      <c r="B13871" t="inlineStr">
        <is>
          <t>Jun-2020</t>
        </is>
      </c>
      <c r="C13871" s="2" t="n">
        <v>44841</v>
      </c>
      <c r="D13871" t="inlineStr">
        <is>
          <t>NON-NIL</t>
        </is>
      </c>
      <c r="E13871" t="n">
        <v>899</v>
      </c>
    </row>
    <row r="13872">
      <c r="A13872" t="inlineStr">
        <is>
          <t>27BBBBB13872Z5</t>
        </is>
      </c>
      <c r="B13872" t="inlineStr">
        <is>
          <t>Sep-2017</t>
        </is>
      </c>
      <c r="C13872" s="2" t="n">
        <v>43235</v>
      </c>
      <c r="D13872" t="inlineStr">
        <is>
          <t>NON-NIL</t>
        </is>
      </c>
      <c r="E13872" t="n">
        <v>1830</v>
      </c>
    </row>
    <row r="13873">
      <c r="A13873" t="inlineStr">
        <is>
          <t>27BBBBB13873Z5</t>
        </is>
      </c>
      <c r="B13873" t="inlineStr">
        <is>
          <t>Jan-2021</t>
        </is>
      </c>
      <c r="C13873" s="2" t="n">
        <v>44501</v>
      </c>
      <c r="D13873" t="inlineStr">
        <is>
          <t>NIL</t>
        </is>
      </c>
      <c r="E13873" t="n">
        <v>905</v>
      </c>
    </row>
    <row r="13874">
      <c r="A13874" t="inlineStr">
        <is>
          <t>27BBBBB13874Z5</t>
        </is>
      </c>
      <c r="B13874" t="inlineStr">
        <is>
          <t>Sep-2017</t>
        </is>
      </c>
      <c r="C13874" s="2" t="n">
        <v>43664</v>
      </c>
      <c r="D13874" t="inlineStr">
        <is>
          <t>NIL</t>
        </is>
      </c>
      <c r="E13874" t="n">
        <v>329</v>
      </c>
    </row>
    <row r="13875">
      <c r="A13875" t="inlineStr">
        <is>
          <t>27BBBBB13875Z5</t>
        </is>
      </c>
      <c r="B13875" t="inlineStr">
        <is>
          <t>Jul-2018</t>
        </is>
      </c>
      <c r="C13875" s="2" t="n">
        <v>43806</v>
      </c>
      <c r="D13875" t="inlineStr">
        <is>
          <t>NON-NIL</t>
        </is>
      </c>
      <c r="E13875" t="n">
        <v>2812</v>
      </c>
    </row>
    <row r="13876">
      <c r="A13876" t="inlineStr">
        <is>
          <t>27BBBBB13876Z5</t>
        </is>
      </c>
      <c r="B13876" t="inlineStr">
        <is>
          <t>Mar-2018</t>
        </is>
      </c>
      <c r="C13876" s="2" t="n">
        <v>44417</v>
      </c>
      <c r="D13876" t="inlineStr">
        <is>
          <t>NON-NIL</t>
        </is>
      </c>
      <c r="E13876" t="n">
        <v>1385</v>
      </c>
    </row>
    <row r="13877">
      <c r="A13877" t="inlineStr">
        <is>
          <t>27BBBBB13877Z5</t>
        </is>
      </c>
      <c r="B13877" t="inlineStr">
        <is>
          <t>Jan-2021</t>
        </is>
      </c>
      <c r="C13877" s="2" t="n">
        <v>43512</v>
      </c>
      <c r="D13877" t="inlineStr">
        <is>
          <t>NON-NIL</t>
        </is>
      </c>
      <c r="E13877" t="n">
        <v>2758</v>
      </c>
    </row>
    <row r="13878">
      <c r="A13878" t="inlineStr">
        <is>
          <t>27BBBBB13878Z5</t>
        </is>
      </c>
      <c r="B13878" t="inlineStr">
        <is>
          <t>Mar-2018</t>
        </is>
      </c>
      <c r="C13878" s="2" t="n">
        <v>43299</v>
      </c>
      <c r="D13878" t="inlineStr">
        <is>
          <t>NIL</t>
        </is>
      </c>
      <c r="E13878" t="n">
        <v>1954</v>
      </c>
    </row>
    <row r="13879">
      <c r="A13879" t="inlineStr">
        <is>
          <t>27BBBBB13879Z5</t>
        </is>
      </c>
      <c r="B13879" t="inlineStr">
        <is>
          <t>Nov-2018</t>
        </is>
      </c>
      <c r="C13879" s="2" t="n">
        <v>43938</v>
      </c>
      <c r="D13879" t="inlineStr">
        <is>
          <t>NIL</t>
        </is>
      </c>
      <c r="E13879" t="n">
        <v>112</v>
      </c>
    </row>
    <row r="13880">
      <c r="A13880" t="inlineStr">
        <is>
          <t>27BBBBB13880Z5</t>
        </is>
      </c>
      <c r="B13880" t="inlineStr">
        <is>
          <t>Aug-2017</t>
        </is>
      </c>
      <c r="C13880" s="2" t="n">
        <v>43622</v>
      </c>
      <c r="D13880" t="inlineStr">
        <is>
          <t>NON-NIL</t>
        </is>
      </c>
      <c r="E13880" t="n">
        <v>1456</v>
      </c>
    </row>
    <row r="13881">
      <c r="A13881" t="inlineStr">
        <is>
          <t>27BBBBB13881Z5</t>
        </is>
      </c>
      <c r="B13881" t="inlineStr">
        <is>
          <t>Dec-2017</t>
        </is>
      </c>
      <c r="C13881" s="2" t="n">
        <v>43603</v>
      </c>
      <c r="D13881" t="inlineStr">
        <is>
          <t>NON-NIL</t>
        </is>
      </c>
      <c r="E13881" t="n">
        <v>1506</v>
      </c>
    </row>
    <row r="13882">
      <c r="A13882" t="inlineStr">
        <is>
          <t>27BBBBB13882Z5</t>
        </is>
      </c>
      <c r="B13882" t="inlineStr">
        <is>
          <t>Jun-2020</t>
        </is>
      </c>
      <c r="C13882" s="2" t="n">
        <v>44879</v>
      </c>
      <c r="D13882" t="inlineStr">
        <is>
          <t>NIL</t>
        </is>
      </c>
      <c r="E13882" t="n">
        <v>1556</v>
      </c>
    </row>
    <row r="13883">
      <c r="A13883" t="inlineStr">
        <is>
          <t>27BBBBB13883Z5</t>
        </is>
      </c>
      <c r="B13883" t="inlineStr">
        <is>
          <t>Apr-2018</t>
        </is>
      </c>
      <c r="C13883" s="2" t="n">
        <v>44156</v>
      </c>
      <c r="D13883" t="inlineStr">
        <is>
          <t>NIL</t>
        </is>
      </c>
      <c r="E13883" t="n">
        <v>2274</v>
      </c>
    </row>
    <row r="13884">
      <c r="A13884" t="inlineStr">
        <is>
          <t>27BBBBB13884Z5</t>
        </is>
      </c>
      <c r="B13884" t="inlineStr">
        <is>
          <t>Jul-2020</t>
        </is>
      </c>
      <c r="C13884" s="2" t="n">
        <v>44644</v>
      </c>
      <c r="D13884" t="inlineStr">
        <is>
          <t>NON-NIL</t>
        </is>
      </c>
      <c r="E13884" t="n">
        <v>2285</v>
      </c>
    </row>
    <row r="13885">
      <c r="A13885" t="inlineStr">
        <is>
          <t>27BBBBB13885Z5</t>
        </is>
      </c>
      <c r="B13885" t="inlineStr">
        <is>
          <t>Sep-2017</t>
        </is>
      </c>
      <c r="C13885" s="2" t="n">
        <v>42933</v>
      </c>
      <c r="D13885" t="inlineStr">
        <is>
          <t>NON-NIL</t>
        </is>
      </c>
      <c r="E13885" t="n">
        <v>2680</v>
      </c>
    </row>
    <row r="13886">
      <c r="A13886" t="inlineStr">
        <is>
          <t>27BBBBB13886Z5</t>
        </is>
      </c>
      <c r="B13886" t="inlineStr">
        <is>
          <t>Feb-2018</t>
        </is>
      </c>
      <c r="C13886" s="2" t="n">
        <v>42933</v>
      </c>
      <c r="D13886" t="inlineStr">
        <is>
          <t>NIL</t>
        </is>
      </c>
      <c r="E13886" t="n">
        <v>1969</v>
      </c>
    </row>
    <row r="13887">
      <c r="A13887" t="inlineStr">
        <is>
          <t>27BBBBB13887Z5</t>
        </is>
      </c>
      <c r="B13887" t="inlineStr">
        <is>
          <t>Dec-2022</t>
        </is>
      </c>
      <c r="C13887" s="2" t="n">
        <v>44138</v>
      </c>
      <c r="D13887" t="inlineStr">
        <is>
          <t>NIL</t>
        </is>
      </c>
      <c r="E13887" t="n">
        <v>2289</v>
      </c>
    </row>
    <row r="13888">
      <c r="A13888" t="inlineStr">
        <is>
          <t>27BBBBB13888Z5</t>
        </is>
      </c>
      <c r="B13888" t="inlineStr">
        <is>
          <t>Dec-2024</t>
        </is>
      </c>
      <c r="C13888" s="2" t="n">
        <v>44164</v>
      </c>
      <c r="D13888" t="inlineStr">
        <is>
          <t>NON-NIL</t>
        </is>
      </c>
      <c r="E13888" t="n">
        <v>2824</v>
      </c>
    </row>
    <row r="13889">
      <c r="A13889" t="inlineStr">
        <is>
          <t>27BBBBB13889Z5</t>
        </is>
      </c>
      <c r="B13889" t="inlineStr">
        <is>
          <t>Jun-2018</t>
        </is>
      </c>
      <c r="C13889" s="2" t="n">
        <v>43422</v>
      </c>
      <c r="D13889" t="inlineStr">
        <is>
          <t>NON-NIL</t>
        </is>
      </c>
      <c r="E13889" t="n">
        <v>932</v>
      </c>
    </row>
    <row r="13890">
      <c r="A13890" t="inlineStr">
        <is>
          <t>27BBBBB13890Z5</t>
        </is>
      </c>
      <c r="B13890" t="inlineStr">
        <is>
          <t>Dec-2018</t>
        </is>
      </c>
      <c r="C13890" s="2" t="n">
        <v>43247</v>
      </c>
      <c r="D13890" t="inlineStr">
        <is>
          <t>NIL</t>
        </is>
      </c>
      <c r="E13890" t="n">
        <v>2119</v>
      </c>
    </row>
    <row r="13891">
      <c r="A13891" t="inlineStr">
        <is>
          <t>27BBBBB13891Z5</t>
        </is>
      </c>
      <c r="B13891" t="inlineStr">
        <is>
          <t>Oct-2017</t>
        </is>
      </c>
      <c r="C13891" s="2" t="n">
        <v>42974</v>
      </c>
      <c r="D13891" t="inlineStr">
        <is>
          <t>NON-NIL</t>
        </is>
      </c>
      <c r="E13891" t="n">
        <v>1173</v>
      </c>
    </row>
    <row r="13892">
      <c r="A13892" t="inlineStr">
        <is>
          <t>27BBBBB13892Z5</t>
        </is>
      </c>
      <c r="B13892" t="inlineStr">
        <is>
          <t>Nov-2017</t>
        </is>
      </c>
      <c r="C13892" s="2" t="n">
        <v>44181</v>
      </c>
      <c r="D13892" t="inlineStr">
        <is>
          <t>NON-NIL</t>
        </is>
      </c>
      <c r="E13892" t="n">
        <v>2728</v>
      </c>
    </row>
    <row r="13893">
      <c r="A13893" t="inlineStr">
        <is>
          <t>27BBBBB13893Z5</t>
        </is>
      </c>
      <c r="B13893" t="inlineStr">
        <is>
          <t>Dec-2022</t>
        </is>
      </c>
      <c r="C13893" s="2" t="n">
        <v>44420</v>
      </c>
      <c r="D13893" t="inlineStr">
        <is>
          <t>NIL</t>
        </is>
      </c>
      <c r="E13893" t="n">
        <v>323</v>
      </c>
    </row>
    <row r="13894">
      <c r="A13894" t="inlineStr">
        <is>
          <t>27BBBBB13894Z5</t>
        </is>
      </c>
      <c r="B13894" t="inlineStr">
        <is>
          <t>Mar-2023</t>
        </is>
      </c>
      <c r="C13894" s="2" t="n">
        <v>44547</v>
      </c>
      <c r="D13894" t="inlineStr">
        <is>
          <t>NON-NIL</t>
        </is>
      </c>
      <c r="E13894" t="n">
        <v>1195</v>
      </c>
    </row>
    <row r="13895">
      <c r="A13895" t="inlineStr">
        <is>
          <t>27BBBBB13895Z5</t>
        </is>
      </c>
      <c r="B13895" t="inlineStr">
        <is>
          <t>Mar-2020</t>
        </is>
      </c>
      <c r="C13895" s="2" t="n">
        <v>44297</v>
      </c>
      <c r="D13895" t="inlineStr">
        <is>
          <t>NON-NIL</t>
        </is>
      </c>
      <c r="E13895" t="n">
        <v>1041</v>
      </c>
    </row>
    <row r="13896">
      <c r="A13896" t="inlineStr">
        <is>
          <t>27BBBBB13896Z5</t>
        </is>
      </c>
      <c r="B13896" t="inlineStr">
        <is>
          <t>Mar-2020</t>
        </is>
      </c>
      <c r="C13896" s="2" t="n">
        <v>44457</v>
      </c>
      <c r="D13896" t="inlineStr">
        <is>
          <t>NIL</t>
        </is>
      </c>
      <c r="E13896" t="n">
        <v>17</v>
      </c>
    </row>
    <row r="13897">
      <c r="A13897" t="inlineStr">
        <is>
          <t>27BBBBB13897Z5</t>
        </is>
      </c>
      <c r="B13897" t="inlineStr">
        <is>
          <t>Apr-2020</t>
        </is>
      </c>
      <c r="C13897" s="2" t="n">
        <v>44846</v>
      </c>
      <c r="D13897" t="inlineStr">
        <is>
          <t>NON-NIL</t>
        </is>
      </c>
      <c r="E13897" t="n">
        <v>2114</v>
      </c>
    </row>
    <row r="13898">
      <c r="A13898" t="inlineStr">
        <is>
          <t>27BBBBB13898Z5</t>
        </is>
      </c>
      <c r="B13898" t="inlineStr">
        <is>
          <t>Oct-2018</t>
        </is>
      </c>
      <c r="C13898" s="2" t="n">
        <v>44410</v>
      </c>
      <c r="D13898" t="inlineStr">
        <is>
          <t>NON-NIL</t>
        </is>
      </c>
      <c r="E13898" t="n">
        <v>2725</v>
      </c>
    </row>
    <row r="13899">
      <c r="A13899" t="inlineStr">
        <is>
          <t>27BBBBB13899Z5</t>
        </is>
      </c>
      <c r="B13899" t="inlineStr">
        <is>
          <t>Dec-2022</t>
        </is>
      </c>
      <c r="C13899" s="2" t="n">
        <v>45247</v>
      </c>
      <c r="D13899" t="inlineStr">
        <is>
          <t>NON-NIL</t>
        </is>
      </c>
      <c r="E13899" t="n">
        <v>2348</v>
      </c>
    </row>
    <row r="13900">
      <c r="A13900" t="inlineStr">
        <is>
          <t>27BBBBB13900Z5</t>
        </is>
      </c>
      <c r="B13900" t="inlineStr">
        <is>
          <t>Jul-2018</t>
        </is>
      </c>
      <c r="C13900" s="2" t="n">
        <v>42959</v>
      </c>
      <c r="D13900" t="inlineStr">
        <is>
          <t>NON-NIL</t>
        </is>
      </c>
      <c r="E13900" t="n">
        <v>242</v>
      </c>
    </row>
    <row r="13901">
      <c r="A13901" t="inlineStr">
        <is>
          <t>27BBBBB13901Z5</t>
        </is>
      </c>
      <c r="B13901" t="inlineStr">
        <is>
          <t>Apr-2020</t>
        </is>
      </c>
      <c r="C13901" s="2" t="n">
        <v>44249</v>
      </c>
      <c r="D13901" t="inlineStr">
        <is>
          <t>NON-NIL</t>
        </is>
      </c>
      <c r="E13901" t="n">
        <v>1099</v>
      </c>
    </row>
    <row r="13902">
      <c r="A13902" t="inlineStr">
        <is>
          <t>27BBBBB13902Z5</t>
        </is>
      </c>
      <c r="B13902" t="inlineStr">
        <is>
          <t>Jul-2020</t>
        </is>
      </c>
      <c r="C13902" s="2" t="n">
        <v>44161</v>
      </c>
      <c r="D13902" t="inlineStr">
        <is>
          <t>NON-NIL</t>
        </is>
      </c>
      <c r="E13902" t="n">
        <v>1737</v>
      </c>
    </row>
    <row r="13903">
      <c r="A13903" t="inlineStr">
        <is>
          <t>27BBBBB13903Z5</t>
        </is>
      </c>
      <c r="B13903" t="inlineStr">
        <is>
          <t>Nov-2017</t>
        </is>
      </c>
      <c r="C13903" s="2" t="n">
        <v>44149</v>
      </c>
      <c r="D13903" t="inlineStr">
        <is>
          <t>NIL</t>
        </is>
      </c>
      <c r="E13903" t="n">
        <v>341</v>
      </c>
    </row>
    <row r="13904">
      <c r="A13904" t="inlineStr">
        <is>
          <t>27BBBBB13904Z5</t>
        </is>
      </c>
      <c r="B13904" t="inlineStr">
        <is>
          <t>Sep-2018</t>
        </is>
      </c>
      <c r="C13904" s="2" t="n">
        <v>44214</v>
      </c>
      <c r="D13904" t="inlineStr">
        <is>
          <t>NON-NIL</t>
        </is>
      </c>
      <c r="E13904" t="n">
        <v>146</v>
      </c>
    </row>
    <row r="13905">
      <c r="A13905" t="inlineStr">
        <is>
          <t>27BBBBB13905Z5</t>
        </is>
      </c>
      <c r="B13905" t="inlineStr">
        <is>
          <t>Oct-2018</t>
        </is>
      </c>
      <c r="C13905" s="2" t="n">
        <v>43832</v>
      </c>
      <c r="D13905" t="inlineStr">
        <is>
          <t>NIL</t>
        </is>
      </c>
      <c r="E13905" t="n">
        <v>990</v>
      </c>
    </row>
    <row r="13906">
      <c r="A13906" t="inlineStr">
        <is>
          <t>27BBBBB13906Z5</t>
        </is>
      </c>
      <c r="B13906" t="inlineStr">
        <is>
          <t>Jun-2020</t>
        </is>
      </c>
      <c r="C13906" s="2" t="n">
        <v>43902</v>
      </c>
      <c r="D13906" t="inlineStr">
        <is>
          <t>NON-NIL</t>
        </is>
      </c>
      <c r="E13906" t="n">
        <v>1762</v>
      </c>
    </row>
    <row r="13907">
      <c r="A13907" t="inlineStr">
        <is>
          <t>27BBBBB13907Z5</t>
        </is>
      </c>
      <c r="B13907" t="inlineStr">
        <is>
          <t>Mar-2020</t>
        </is>
      </c>
      <c r="C13907" s="2" t="n">
        <v>44432</v>
      </c>
      <c r="D13907" t="inlineStr">
        <is>
          <t>NIL</t>
        </is>
      </c>
      <c r="E13907" t="n">
        <v>1741</v>
      </c>
    </row>
    <row r="13908">
      <c r="A13908" t="inlineStr">
        <is>
          <t>27BBBBB13908Z5</t>
        </is>
      </c>
      <c r="B13908" t="inlineStr">
        <is>
          <t>Dec-2017</t>
        </is>
      </c>
      <c r="C13908" s="2" t="n">
        <v>42992</v>
      </c>
      <c r="D13908" t="inlineStr">
        <is>
          <t>NIL</t>
        </is>
      </c>
      <c r="E13908" t="n">
        <v>459</v>
      </c>
    </row>
    <row r="13909">
      <c r="A13909" t="inlineStr">
        <is>
          <t>27BBBBB13909Z5</t>
        </is>
      </c>
      <c r="B13909" t="inlineStr">
        <is>
          <t>Jun-2018</t>
        </is>
      </c>
      <c r="C13909" s="2" t="n">
        <v>44106</v>
      </c>
      <c r="D13909" t="inlineStr">
        <is>
          <t>NIL</t>
        </is>
      </c>
      <c r="E13909" t="n">
        <v>1348</v>
      </c>
    </row>
    <row r="13910">
      <c r="A13910" t="inlineStr">
        <is>
          <t>27BBBBB13910Z5</t>
        </is>
      </c>
      <c r="B13910" t="inlineStr">
        <is>
          <t>Dec-2024</t>
        </is>
      </c>
      <c r="C13910" s="2" t="n">
        <v>45374</v>
      </c>
      <c r="D13910" t="inlineStr">
        <is>
          <t>NIL</t>
        </is>
      </c>
      <c r="E13910" t="n">
        <v>431</v>
      </c>
    </row>
    <row r="13911">
      <c r="A13911" t="inlineStr">
        <is>
          <t>27BBBBB13911Z5</t>
        </is>
      </c>
      <c r="B13911" t="inlineStr">
        <is>
          <t>Apr-2018</t>
        </is>
      </c>
      <c r="C13911" s="2" t="n">
        <v>43302</v>
      </c>
      <c r="D13911" t="inlineStr">
        <is>
          <t>NIL</t>
        </is>
      </c>
      <c r="E13911" t="n">
        <v>1456</v>
      </c>
    </row>
    <row r="13912">
      <c r="A13912" t="inlineStr">
        <is>
          <t>27BBBBB13912Z5</t>
        </is>
      </c>
      <c r="B13912" t="inlineStr">
        <is>
          <t>Apr-2020</t>
        </is>
      </c>
      <c r="C13912" s="2" t="n">
        <v>44642</v>
      </c>
      <c r="D13912" t="inlineStr">
        <is>
          <t>NIL</t>
        </is>
      </c>
      <c r="E13912" t="n">
        <v>1581</v>
      </c>
    </row>
    <row r="13913">
      <c r="A13913" t="inlineStr">
        <is>
          <t>27BBBBB13913Z5</t>
        </is>
      </c>
      <c r="B13913" t="inlineStr">
        <is>
          <t>Jul-2017</t>
        </is>
      </c>
      <c r="C13913" s="2" t="n">
        <v>43660</v>
      </c>
      <c r="D13913" t="inlineStr">
        <is>
          <t>NIL</t>
        </is>
      </c>
      <c r="E13913" t="n">
        <v>1480</v>
      </c>
    </row>
    <row r="13914">
      <c r="A13914" t="inlineStr">
        <is>
          <t>27BBBBB13914Z5</t>
        </is>
      </c>
      <c r="B13914" t="inlineStr">
        <is>
          <t>Jun-2020</t>
        </is>
      </c>
      <c r="C13914" s="2" t="n">
        <v>43886</v>
      </c>
      <c r="D13914" t="inlineStr">
        <is>
          <t>NIL</t>
        </is>
      </c>
      <c r="E13914" t="n">
        <v>1360</v>
      </c>
    </row>
    <row r="13915">
      <c r="A13915" t="inlineStr">
        <is>
          <t>27BBBBB13915Z5</t>
        </is>
      </c>
      <c r="B13915" t="inlineStr">
        <is>
          <t>Sep-2017</t>
        </is>
      </c>
      <c r="C13915" s="2" t="n">
        <v>44480</v>
      </c>
      <c r="D13915" t="inlineStr">
        <is>
          <t>NIL</t>
        </is>
      </c>
      <c r="E13915" t="n">
        <v>2090</v>
      </c>
    </row>
    <row r="13916">
      <c r="A13916" t="inlineStr">
        <is>
          <t>27BBBBB13916Z5</t>
        </is>
      </c>
      <c r="B13916" t="inlineStr">
        <is>
          <t>Jul-2020</t>
        </is>
      </c>
      <c r="C13916" s="2" t="n">
        <v>44651</v>
      </c>
      <c r="D13916" t="inlineStr">
        <is>
          <t>NIL</t>
        </is>
      </c>
      <c r="E13916" t="n">
        <v>1185</v>
      </c>
    </row>
    <row r="13917">
      <c r="A13917" t="inlineStr">
        <is>
          <t>27BBBBB13917Z5</t>
        </is>
      </c>
      <c r="B13917" t="inlineStr">
        <is>
          <t>Jun-2020</t>
        </is>
      </c>
      <c r="C13917" s="2" t="n">
        <v>43867</v>
      </c>
      <c r="D13917" t="inlineStr">
        <is>
          <t>NIL</t>
        </is>
      </c>
      <c r="E13917" t="n">
        <v>2292</v>
      </c>
    </row>
    <row r="13918">
      <c r="A13918" t="inlineStr">
        <is>
          <t>27BBBBB13918Z5</t>
        </is>
      </c>
      <c r="B13918" t="inlineStr">
        <is>
          <t>Oct-2017</t>
        </is>
      </c>
      <c r="C13918" s="2" t="n">
        <v>44083</v>
      </c>
      <c r="D13918" t="inlineStr">
        <is>
          <t>NIL</t>
        </is>
      </c>
      <c r="E13918" t="n">
        <v>673</v>
      </c>
    </row>
    <row r="13919">
      <c r="A13919" t="inlineStr">
        <is>
          <t>27BBBBB13919Z5</t>
        </is>
      </c>
      <c r="B13919" t="inlineStr">
        <is>
          <t>May-2020</t>
        </is>
      </c>
      <c r="C13919" s="2" t="n">
        <v>44121</v>
      </c>
      <c r="D13919" t="inlineStr">
        <is>
          <t>NIL</t>
        </is>
      </c>
      <c r="E13919" t="n">
        <v>594</v>
      </c>
    </row>
    <row r="13920">
      <c r="A13920" t="inlineStr">
        <is>
          <t>27BBBBB13920Z5</t>
        </is>
      </c>
      <c r="B13920" t="inlineStr">
        <is>
          <t>Mar-2023</t>
        </is>
      </c>
      <c r="C13920" s="2" t="n">
        <v>45739</v>
      </c>
      <c r="D13920" t="inlineStr">
        <is>
          <t>NIL</t>
        </is>
      </c>
      <c r="E13920" t="n">
        <v>45</v>
      </c>
    </row>
    <row r="13921">
      <c r="A13921" t="inlineStr">
        <is>
          <t>27BBBBB13921Z5</t>
        </is>
      </c>
      <c r="B13921" t="inlineStr">
        <is>
          <t>Jul-2018</t>
        </is>
      </c>
      <c r="C13921" s="2" t="n">
        <v>43562</v>
      </c>
      <c r="D13921" t="inlineStr">
        <is>
          <t>NON-NIL</t>
        </is>
      </c>
      <c r="E13921" t="n">
        <v>1577</v>
      </c>
    </row>
    <row r="13922">
      <c r="A13922" t="inlineStr">
        <is>
          <t>27BBBBB13922Z5</t>
        </is>
      </c>
      <c r="B13922" t="inlineStr">
        <is>
          <t>Apr-2018</t>
        </is>
      </c>
      <c r="C13922" s="2" t="n">
        <v>43259</v>
      </c>
      <c r="D13922" t="inlineStr">
        <is>
          <t>NON-NIL</t>
        </is>
      </c>
      <c r="E13922" t="n">
        <v>1304</v>
      </c>
    </row>
    <row r="13923">
      <c r="A13923" t="inlineStr">
        <is>
          <t>27BBBBB13923Z5</t>
        </is>
      </c>
      <c r="B13923" t="inlineStr">
        <is>
          <t>Mar-2021</t>
        </is>
      </c>
      <c r="C13923" s="2" t="n">
        <v>45635</v>
      </c>
      <c r="D13923" t="inlineStr">
        <is>
          <t>NIL</t>
        </is>
      </c>
      <c r="E13923" t="n">
        <v>2444</v>
      </c>
    </row>
    <row r="13924">
      <c r="A13924" t="inlineStr">
        <is>
          <t>27BBBBB13924Z5</t>
        </is>
      </c>
      <c r="B13924" t="inlineStr">
        <is>
          <t>Sep-2018</t>
        </is>
      </c>
      <c r="C13924" s="2" t="n">
        <v>43244</v>
      </c>
      <c r="D13924" t="inlineStr">
        <is>
          <t>NIL</t>
        </is>
      </c>
      <c r="E13924" t="n">
        <v>2310</v>
      </c>
    </row>
    <row r="13925">
      <c r="A13925" t="inlineStr">
        <is>
          <t>27BBBBB13925Z5</t>
        </is>
      </c>
      <c r="B13925" t="inlineStr">
        <is>
          <t>Jul-2018</t>
        </is>
      </c>
      <c r="C13925" s="2" t="n">
        <v>43125</v>
      </c>
      <c r="D13925" t="inlineStr">
        <is>
          <t>NIL</t>
        </is>
      </c>
      <c r="E13925" t="n">
        <v>1190</v>
      </c>
    </row>
    <row r="13926">
      <c r="A13926" t="inlineStr">
        <is>
          <t>27BBBBB13926Z5</t>
        </is>
      </c>
      <c r="B13926" t="inlineStr">
        <is>
          <t>Dec-2017</t>
        </is>
      </c>
      <c r="C13926" s="2" t="n">
        <v>44275</v>
      </c>
      <c r="D13926" t="inlineStr">
        <is>
          <t>NIL</t>
        </is>
      </c>
      <c r="E13926" t="n">
        <v>2644</v>
      </c>
    </row>
    <row r="13927">
      <c r="A13927" t="inlineStr">
        <is>
          <t>27BBBBB13927Z5</t>
        </is>
      </c>
      <c r="B13927" t="inlineStr">
        <is>
          <t>Jan-2021</t>
        </is>
      </c>
      <c r="C13927" s="2" t="n">
        <v>44182</v>
      </c>
      <c r="D13927" t="inlineStr">
        <is>
          <t>NON-NIL</t>
        </is>
      </c>
      <c r="E13927" t="n">
        <v>414</v>
      </c>
    </row>
    <row r="13928">
      <c r="A13928" t="inlineStr">
        <is>
          <t>27BBBBB13928Z5</t>
        </is>
      </c>
      <c r="B13928" t="inlineStr">
        <is>
          <t>Jul-2018</t>
        </is>
      </c>
      <c r="C13928" s="2" t="n">
        <v>43814</v>
      </c>
      <c r="D13928" t="inlineStr">
        <is>
          <t>NIL</t>
        </is>
      </c>
      <c r="E13928" t="n">
        <v>999</v>
      </c>
    </row>
    <row r="13929">
      <c r="A13929" t="inlineStr">
        <is>
          <t>27BBBBB13929Z5</t>
        </is>
      </c>
      <c r="B13929" t="inlineStr">
        <is>
          <t>Jul-2018</t>
        </is>
      </c>
      <c r="C13929" s="2" t="n">
        <v>44487</v>
      </c>
      <c r="D13929" t="inlineStr">
        <is>
          <t>NON-NIL</t>
        </is>
      </c>
      <c r="E13929" t="n">
        <v>178</v>
      </c>
    </row>
    <row r="13930">
      <c r="A13930" t="inlineStr">
        <is>
          <t>27BBBBB13930Z5</t>
        </is>
      </c>
      <c r="B13930" t="inlineStr">
        <is>
          <t>Jun-2018</t>
        </is>
      </c>
      <c r="C13930" s="2" t="n">
        <v>43315</v>
      </c>
      <c r="D13930" t="inlineStr">
        <is>
          <t>NON-NIL</t>
        </is>
      </c>
      <c r="E13930" t="n">
        <v>1042</v>
      </c>
    </row>
    <row r="13931">
      <c r="A13931" t="inlineStr">
        <is>
          <t>27BBBBB13931Z5</t>
        </is>
      </c>
      <c r="B13931" t="inlineStr">
        <is>
          <t>May-2018</t>
        </is>
      </c>
      <c r="C13931" s="2" t="n">
        <v>43257</v>
      </c>
      <c r="D13931" t="inlineStr">
        <is>
          <t>NON-NIL</t>
        </is>
      </c>
      <c r="E13931" t="n">
        <v>2515</v>
      </c>
    </row>
    <row r="13932">
      <c r="A13932" t="inlineStr">
        <is>
          <t>27BBBBB13932Z5</t>
        </is>
      </c>
      <c r="B13932" t="inlineStr">
        <is>
          <t>May-2020</t>
        </is>
      </c>
      <c r="C13932" s="2" t="n">
        <v>43865</v>
      </c>
      <c r="D13932" t="inlineStr">
        <is>
          <t>NON-NIL</t>
        </is>
      </c>
      <c r="E13932" t="n">
        <v>1197</v>
      </c>
    </row>
    <row r="13933">
      <c r="A13933" t="inlineStr">
        <is>
          <t>27BBBBB13933Z5</t>
        </is>
      </c>
      <c r="B13933" t="inlineStr">
        <is>
          <t>Jan-2021</t>
        </is>
      </c>
      <c r="C13933" s="2" t="n">
        <v>43742</v>
      </c>
      <c r="D13933" t="inlineStr">
        <is>
          <t>NIL</t>
        </is>
      </c>
      <c r="E13933" t="n">
        <v>659</v>
      </c>
    </row>
    <row r="13934">
      <c r="A13934" t="inlineStr">
        <is>
          <t>27BBBBB13934Z5</t>
        </is>
      </c>
      <c r="B13934" t="inlineStr">
        <is>
          <t>Jan-2018</t>
        </is>
      </c>
      <c r="C13934" s="2" t="n">
        <v>43837</v>
      </c>
      <c r="D13934" t="inlineStr">
        <is>
          <t>NIL</t>
        </is>
      </c>
      <c r="E13934" t="n">
        <v>1460</v>
      </c>
    </row>
    <row r="13935">
      <c r="A13935" t="inlineStr">
        <is>
          <t>27BBBBB13935Z5</t>
        </is>
      </c>
      <c r="B13935" t="inlineStr">
        <is>
          <t>Feb-2018</t>
        </is>
      </c>
      <c r="C13935" s="2" t="n">
        <v>43670</v>
      </c>
      <c r="D13935" t="inlineStr">
        <is>
          <t>NON-NIL</t>
        </is>
      </c>
      <c r="E13935" t="n">
        <v>2439</v>
      </c>
    </row>
    <row r="13936">
      <c r="A13936" t="inlineStr">
        <is>
          <t>27BBBBB13936Z5</t>
        </is>
      </c>
      <c r="B13936" t="inlineStr">
        <is>
          <t>May-2018</t>
        </is>
      </c>
      <c r="C13936" s="2" t="n">
        <v>43388</v>
      </c>
      <c r="D13936" t="inlineStr">
        <is>
          <t>NON-NIL</t>
        </is>
      </c>
      <c r="E13936" t="n">
        <v>2993</v>
      </c>
    </row>
    <row r="13937">
      <c r="A13937" t="inlineStr">
        <is>
          <t>27BBBBB13937Z5</t>
        </is>
      </c>
      <c r="B13937" t="inlineStr">
        <is>
          <t>May-2018</t>
        </is>
      </c>
      <c r="C13937" s="2" t="n">
        <v>44254</v>
      </c>
      <c r="D13937" t="inlineStr">
        <is>
          <t>NON-NIL</t>
        </is>
      </c>
      <c r="E13937" t="n">
        <v>2474</v>
      </c>
    </row>
    <row r="13938">
      <c r="A13938" t="inlineStr">
        <is>
          <t>27BBBBB13938Z5</t>
        </is>
      </c>
      <c r="B13938" t="inlineStr">
        <is>
          <t>Dec-2022</t>
        </is>
      </c>
      <c r="C13938" s="2" t="n">
        <v>43983</v>
      </c>
      <c r="D13938" t="inlineStr">
        <is>
          <t>NIL</t>
        </is>
      </c>
      <c r="E13938" t="n">
        <v>2944</v>
      </c>
    </row>
    <row r="13939">
      <c r="A13939" t="inlineStr">
        <is>
          <t>27BBBBB13939Z5</t>
        </is>
      </c>
      <c r="B13939" t="inlineStr">
        <is>
          <t>May-2018</t>
        </is>
      </c>
      <c r="C13939" s="2" t="n">
        <v>44342</v>
      </c>
      <c r="D13939" t="inlineStr">
        <is>
          <t>NIL</t>
        </is>
      </c>
      <c r="E13939" t="n">
        <v>1304</v>
      </c>
    </row>
    <row r="13940">
      <c r="A13940" t="inlineStr">
        <is>
          <t>27BBBBB13940Z5</t>
        </is>
      </c>
      <c r="B13940" t="inlineStr">
        <is>
          <t>Apr-2018</t>
        </is>
      </c>
      <c r="C13940" s="2" t="n">
        <v>43883</v>
      </c>
      <c r="D13940" t="inlineStr">
        <is>
          <t>NIL</t>
        </is>
      </c>
      <c r="E13940" t="n">
        <v>1562</v>
      </c>
    </row>
    <row r="13941">
      <c r="A13941" t="inlineStr">
        <is>
          <t>27BBBBB13941Z5</t>
        </is>
      </c>
      <c r="B13941" t="inlineStr">
        <is>
          <t>Jun-2018</t>
        </is>
      </c>
      <c r="C13941" s="2" t="n">
        <v>43307</v>
      </c>
      <c r="D13941" t="inlineStr">
        <is>
          <t>NIL</t>
        </is>
      </c>
      <c r="E13941" t="n">
        <v>2343</v>
      </c>
    </row>
    <row r="13942">
      <c r="A13942" t="inlineStr">
        <is>
          <t>27BBBBB13942Z5</t>
        </is>
      </c>
      <c r="B13942" t="inlineStr">
        <is>
          <t>Feb-2018</t>
        </is>
      </c>
      <c r="C13942" s="2" t="n">
        <v>43318</v>
      </c>
      <c r="D13942" t="inlineStr">
        <is>
          <t>NON-NIL</t>
        </is>
      </c>
      <c r="E13942" t="n">
        <v>1551</v>
      </c>
    </row>
    <row r="13943">
      <c r="A13943" t="inlineStr">
        <is>
          <t>27BBBBB13943Z5</t>
        </is>
      </c>
      <c r="B13943" t="inlineStr">
        <is>
          <t>May-2018</t>
        </is>
      </c>
      <c r="C13943" s="2" t="n">
        <v>43211</v>
      </c>
      <c r="D13943" t="inlineStr">
        <is>
          <t>NIL</t>
        </is>
      </c>
      <c r="E13943" t="n">
        <v>980</v>
      </c>
    </row>
    <row r="13944">
      <c r="A13944" t="inlineStr">
        <is>
          <t>27BBBBB13944Z5</t>
        </is>
      </c>
      <c r="B13944" t="inlineStr">
        <is>
          <t>May-2018</t>
        </is>
      </c>
      <c r="C13944" s="2" t="n">
        <v>43475</v>
      </c>
      <c r="D13944" t="inlineStr">
        <is>
          <t>NON-NIL</t>
        </is>
      </c>
      <c r="E13944" t="n">
        <v>359</v>
      </c>
    </row>
    <row r="13945">
      <c r="A13945" t="inlineStr">
        <is>
          <t>27BBBBB13945Z5</t>
        </is>
      </c>
      <c r="B13945" t="inlineStr">
        <is>
          <t>Nov-2017</t>
        </is>
      </c>
      <c r="C13945" s="2" t="n">
        <v>43971</v>
      </c>
      <c r="D13945" t="inlineStr">
        <is>
          <t>NIL</t>
        </is>
      </c>
      <c r="E13945" t="n">
        <v>1471</v>
      </c>
    </row>
    <row r="13946">
      <c r="A13946" t="inlineStr">
        <is>
          <t>27BBBBB13946Z5</t>
        </is>
      </c>
      <c r="B13946" t="inlineStr">
        <is>
          <t>May-2020</t>
        </is>
      </c>
      <c r="C13946" s="2" t="n">
        <v>44456</v>
      </c>
      <c r="D13946" t="inlineStr">
        <is>
          <t>NIL</t>
        </is>
      </c>
      <c r="E13946" t="n">
        <v>2356</v>
      </c>
    </row>
    <row r="13947">
      <c r="A13947" t="inlineStr">
        <is>
          <t>27BBBBB13947Z5</t>
        </is>
      </c>
      <c r="B13947" t="inlineStr">
        <is>
          <t>Jul-2020</t>
        </is>
      </c>
      <c r="C13947" s="2" t="n">
        <v>44036</v>
      </c>
      <c r="D13947" t="inlineStr">
        <is>
          <t>NIL</t>
        </is>
      </c>
      <c r="E13947" t="n">
        <v>551</v>
      </c>
    </row>
    <row r="13948">
      <c r="A13948" t="inlineStr">
        <is>
          <t>27BBBBB13948Z5</t>
        </is>
      </c>
      <c r="B13948" t="inlineStr">
        <is>
          <t>Dec-2017</t>
        </is>
      </c>
      <c r="C13948" s="2" t="n">
        <v>43673</v>
      </c>
      <c r="D13948" t="inlineStr">
        <is>
          <t>NON-NIL</t>
        </is>
      </c>
      <c r="E13948" t="n">
        <v>1735</v>
      </c>
    </row>
    <row r="13949">
      <c r="A13949" t="inlineStr">
        <is>
          <t>27BBBBB13949Z5</t>
        </is>
      </c>
      <c r="B13949" t="inlineStr">
        <is>
          <t>Mar-2021</t>
        </is>
      </c>
      <c r="C13949" s="2" t="n">
        <v>43593</v>
      </c>
      <c r="D13949" t="inlineStr">
        <is>
          <t>NIL</t>
        </is>
      </c>
      <c r="E13949" t="n">
        <v>417</v>
      </c>
    </row>
    <row r="13950">
      <c r="A13950" t="inlineStr">
        <is>
          <t>27BBBBB13950Z5</t>
        </is>
      </c>
      <c r="B13950" t="inlineStr">
        <is>
          <t>Aug-2017</t>
        </is>
      </c>
      <c r="C13950" s="2" t="n">
        <v>43147</v>
      </c>
      <c r="D13950" t="inlineStr">
        <is>
          <t>NON-NIL</t>
        </is>
      </c>
      <c r="E13950" t="n">
        <v>2795</v>
      </c>
    </row>
    <row r="13951">
      <c r="A13951" t="inlineStr">
        <is>
          <t>27BBBBB13951Z5</t>
        </is>
      </c>
      <c r="B13951" t="inlineStr">
        <is>
          <t>May-2018</t>
        </is>
      </c>
      <c r="C13951" s="2" t="n">
        <v>43544</v>
      </c>
      <c r="D13951" t="inlineStr">
        <is>
          <t>NON-NIL</t>
        </is>
      </c>
      <c r="E13951" t="n">
        <v>2286</v>
      </c>
    </row>
    <row r="13952">
      <c r="A13952" t="inlineStr">
        <is>
          <t>27BBBBB13952Z5</t>
        </is>
      </c>
      <c r="B13952" t="inlineStr">
        <is>
          <t>Feb-2018</t>
        </is>
      </c>
      <c r="C13952" s="2" t="n">
        <v>43793</v>
      </c>
      <c r="D13952" t="inlineStr">
        <is>
          <t>NON-NIL</t>
        </is>
      </c>
      <c r="E13952" t="n">
        <v>911</v>
      </c>
    </row>
    <row r="13953">
      <c r="A13953" t="inlineStr">
        <is>
          <t>27BBBBB13953Z5</t>
        </is>
      </c>
      <c r="B13953" t="inlineStr">
        <is>
          <t>Sep-2018</t>
        </is>
      </c>
      <c r="C13953" s="2" t="n">
        <v>43450</v>
      </c>
      <c r="D13953" t="inlineStr">
        <is>
          <t>NIL</t>
        </is>
      </c>
      <c r="E13953" t="n">
        <v>2755</v>
      </c>
    </row>
    <row r="13954">
      <c r="A13954" t="inlineStr">
        <is>
          <t>27BBBBB13954Z5</t>
        </is>
      </c>
      <c r="B13954" t="inlineStr">
        <is>
          <t>Jul-2018</t>
        </is>
      </c>
      <c r="C13954" s="2" t="n">
        <v>43190</v>
      </c>
      <c r="D13954" t="inlineStr">
        <is>
          <t>NIL</t>
        </is>
      </c>
      <c r="E13954" t="n">
        <v>598</v>
      </c>
    </row>
    <row r="13955">
      <c r="A13955" t="inlineStr">
        <is>
          <t>27BBBBB13955Z5</t>
        </is>
      </c>
      <c r="B13955" t="inlineStr">
        <is>
          <t>Dec-2022</t>
        </is>
      </c>
      <c r="C13955" s="2" t="n">
        <v>45796</v>
      </c>
      <c r="D13955" t="inlineStr">
        <is>
          <t>NON-NIL</t>
        </is>
      </c>
      <c r="E13955" t="n">
        <v>2864</v>
      </c>
    </row>
    <row r="13956">
      <c r="A13956" t="inlineStr">
        <is>
          <t>27BBBBB13956Z5</t>
        </is>
      </c>
      <c r="B13956" t="inlineStr">
        <is>
          <t>Oct-2017</t>
        </is>
      </c>
      <c r="C13956" s="2" t="n">
        <v>44059</v>
      </c>
      <c r="D13956" t="inlineStr">
        <is>
          <t>NIL</t>
        </is>
      </c>
      <c r="E13956" t="n">
        <v>2067</v>
      </c>
    </row>
    <row r="13957">
      <c r="A13957" t="inlineStr">
        <is>
          <t>27BBBBB13957Z5</t>
        </is>
      </c>
      <c r="B13957" t="inlineStr">
        <is>
          <t>Mar-2023</t>
        </is>
      </c>
      <c r="C13957" s="2" t="n">
        <v>45080</v>
      </c>
      <c r="D13957" t="inlineStr">
        <is>
          <t>NIL</t>
        </is>
      </c>
      <c r="E13957" t="n">
        <v>1440</v>
      </c>
    </row>
    <row r="13958">
      <c r="A13958" t="inlineStr">
        <is>
          <t>27BBBBB13958Z5</t>
        </is>
      </c>
      <c r="B13958" t="inlineStr">
        <is>
          <t>Mar-2021</t>
        </is>
      </c>
      <c r="C13958" s="2" t="n">
        <v>43766</v>
      </c>
      <c r="D13958" t="inlineStr">
        <is>
          <t>NIL</t>
        </is>
      </c>
      <c r="E13958" t="n">
        <v>1079</v>
      </c>
    </row>
    <row r="13959">
      <c r="A13959" t="inlineStr">
        <is>
          <t>27BBBBB13959Z5</t>
        </is>
      </c>
      <c r="B13959" t="inlineStr">
        <is>
          <t>Sep-2018</t>
        </is>
      </c>
      <c r="C13959" s="2" t="n">
        <v>42928</v>
      </c>
      <c r="D13959" t="inlineStr">
        <is>
          <t>NON-NIL</t>
        </is>
      </c>
      <c r="E13959" t="n">
        <v>2992</v>
      </c>
    </row>
    <row r="13960">
      <c r="A13960" t="inlineStr">
        <is>
          <t>27BBBBB13960Z5</t>
        </is>
      </c>
      <c r="B13960" t="inlineStr">
        <is>
          <t>Jan-2018</t>
        </is>
      </c>
      <c r="C13960" s="2" t="n">
        <v>43116</v>
      </c>
      <c r="D13960" t="inlineStr">
        <is>
          <t>NIL</t>
        </is>
      </c>
      <c r="E13960" t="n">
        <v>1052</v>
      </c>
    </row>
    <row r="13961">
      <c r="A13961" t="inlineStr">
        <is>
          <t>27BBBBB13961Z5</t>
        </is>
      </c>
      <c r="B13961" t="inlineStr">
        <is>
          <t>Dec-2022</t>
        </is>
      </c>
      <c r="C13961" s="2" t="n">
        <v>43597</v>
      </c>
      <c r="D13961" t="inlineStr">
        <is>
          <t>NIL</t>
        </is>
      </c>
      <c r="E13961" t="n">
        <v>2612</v>
      </c>
    </row>
    <row r="13962">
      <c r="A13962" t="inlineStr">
        <is>
          <t>27BBBBB13962Z5</t>
        </is>
      </c>
      <c r="B13962" t="inlineStr">
        <is>
          <t>Sep-2017</t>
        </is>
      </c>
      <c r="C13962" s="2" t="n">
        <v>43501</v>
      </c>
      <c r="D13962" t="inlineStr">
        <is>
          <t>NIL</t>
        </is>
      </c>
      <c r="E13962" t="n">
        <v>2540</v>
      </c>
    </row>
    <row r="13963">
      <c r="A13963" t="inlineStr">
        <is>
          <t>27BBBBB13963Z5</t>
        </is>
      </c>
      <c r="B13963" t="inlineStr">
        <is>
          <t>Mar-2020</t>
        </is>
      </c>
      <c r="C13963" s="2" t="n">
        <v>44029</v>
      </c>
      <c r="D13963" t="inlineStr">
        <is>
          <t>NON-NIL</t>
        </is>
      </c>
      <c r="E13963" t="n">
        <v>2407</v>
      </c>
    </row>
    <row r="13964">
      <c r="A13964" t="inlineStr">
        <is>
          <t>27BBBBB13964Z5</t>
        </is>
      </c>
      <c r="B13964" t="inlineStr">
        <is>
          <t>Jul-2020</t>
        </is>
      </c>
      <c r="C13964" s="2" t="n">
        <v>44143</v>
      </c>
      <c r="D13964" t="inlineStr">
        <is>
          <t>NIL</t>
        </is>
      </c>
      <c r="E13964" t="n">
        <v>1081</v>
      </c>
    </row>
    <row r="13965">
      <c r="A13965" t="inlineStr">
        <is>
          <t>27BBBBB13965Z5</t>
        </is>
      </c>
      <c r="B13965" t="inlineStr">
        <is>
          <t>Sep-2017</t>
        </is>
      </c>
      <c r="C13965" s="2" t="n">
        <v>43813</v>
      </c>
      <c r="D13965" t="inlineStr">
        <is>
          <t>NIL</t>
        </is>
      </c>
      <c r="E13965" t="n">
        <v>94</v>
      </c>
    </row>
    <row r="13966">
      <c r="A13966" t="inlineStr">
        <is>
          <t>27BBBBB13966Z5</t>
        </is>
      </c>
      <c r="B13966" t="inlineStr">
        <is>
          <t>Jul-2020</t>
        </is>
      </c>
      <c r="C13966" s="2" t="n">
        <v>43993</v>
      </c>
      <c r="D13966" t="inlineStr">
        <is>
          <t>NIL</t>
        </is>
      </c>
      <c r="E13966" t="n">
        <v>1305</v>
      </c>
    </row>
    <row r="13967">
      <c r="A13967" t="inlineStr">
        <is>
          <t>27BBBBB13967Z5</t>
        </is>
      </c>
      <c r="B13967" t="inlineStr">
        <is>
          <t>Apr-2018</t>
        </is>
      </c>
      <c r="C13967" s="2" t="n">
        <v>43028</v>
      </c>
      <c r="D13967" t="inlineStr">
        <is>
          <t>NIL</t>
        </is>
      </c>
      <c r="E13967" t="n">
        <v>624</v>
      </c>
    </row>
    <row r="13968">
      <c r="A13968" t="inlineStr">
        <is>
          <t>27BBBBB13968Z5</t>
        </is>
      </c>
      <c r="B13968" t="inlineStr">
        <is>
          <t>Mar-2021</t>
        </is>
      </c>
      <c r="C13968" s="2" t="n">
        <v>44579</v>
      </c>
      <c r="D13968" t="inlineStr">
        <is>
          <t>NIL</t>
        </is>
      </c>
      <c r="E13968" t="n">
        <v>1699</v>
      </c>
    </row>
    <row r="13969">
      <c r="A13969" t="inlineStr">
        <is>
          <t>27BBBBB13969Z5</t>
        </is>
      </c>
      <c r="B13969" t="inlineStr">
        <is>
          <t>Mar-2018</t>
        </is>
      </c>
      <c r="C13969" s="2" t="n">
        <v>43272</v>
      </c>
      <c r="D13969" t="inlineStr">
        <is>
          <t>NIL</t>
        </is>
      </c>
      <c r="E13969" t="n">
        <v>1271</v>
      </c>
    </row>
    <row r="13970">
      <c r="A13970" t="inlineStr">
        <is>
          <t>27BBBBB13970Z5</t>
        </is>
      </c>
      <c r="B13970" t="inlineStr">
        <is>
          <t>Dec-2024</t>
        </is>
      </c>
      <c r="C13970" s="2" t="n">
        <v>45745</v>
      </c>
      <c r="D13970" t="inlineStr">
        <is>
          <t>NON-NIL</t>
        </is>
      </c>
      <c r="E13970" t="n">
        <v>797</v>
      </c>
    </row>
    <row r="13971">
      <c r="A13971" t="inlineStr">
        <is>
          <t>27BBBBB13971Z5</t>
        </is>
      </c>
      <c r="B13971" t="inlineStr">
        <is>
          <t>Jan-2018</t>
        </is>
      </c>
      <c r="C13971" s="2" t="n">
        <v>44284</v>
      </c>
      <c r="D13971" t="inlineStr">
        <is>
          <t>NIL</t>
        </is>
      </c>
      <c r="E13971" t="n">
        <v>82</v>
      </c>
    </row>
    <row r="13972">
      <c r="A13972" t="inlineStr">
        <is>
          <t>27BBBBB13972Z5</t>
        </is>
      </c>
      <c r="B13972" t="inlineStr">
        <is>
          <t>Jun-2020</t>
        </is>
      </c>
      <c r="C13972" s="2" t="n">
        <v>43958</v>
      </c>
      <c r="D13972" t="inlineStr">
        <is>
          <t>NIL</t>
        </is>
      </c>
      <c r="E13972" t="n">
        <v>1779</v>
      </c>
    </row>
    <row r="13973">
      <c r="A13973" t="inlineStr">
        <is>
          <t>27BBBBB13973Z5</t>
        </is>
      </c>
      <c r="B13973" t="inlineStr">
        <is>
          <t>Nov-2018</t>
        </is>
      </c>
      <c r="C13973" s="2" t="n">
        <v>43363</v>
      </c>
      <c r="D13973" t="inlineStr">
        <is>
          <t>NON-NIL</t>
        </is>
      </c>
      <c r="E13973" t="n">
        <v>228</v>
      </c>
    </row>
    <row r="13974">
      <c r="A13974" t="inlineStr">
        <is>
          <t>27BBBBB13974Z5</t>
        </is>
      </c>
      <c r="B13974" t="inlineStr">
        <is>
          <t>Jul-2017</t>
        </is>
      </c>
      <c r="C13974" s="2" t="n">
        <v>43860</v>
      </c>
      <c r="D13974" t="inlineStr">
        <is>
          <t>NIL</t>
        </is>
      </c>
      <c r="E13974" t="n">
        <v>1101</v>
      </c>
    </row>
    <row r="13975">
      <c r="A13975" t="inlineStr">
        <is>
          <t>27BBBBB13975Z5</t>
        </is>
      </c>
      <c r="B13975" t="inlineStr">
        <is>
          <t>Mar-2020</t>
        </is>
      </c>
      <c r="C13975" s="2" t="n">
        <v>44512</v>
      </c>
      <c r="D13975" t="inlineStr">
        <is>
          <t>NIL</t>
        </is>
      </c>
      <c r="E13975" t="n">
        <v>2197</v>
      </c>
    </row>
    <row r="13976">
      <c r="A13976" t="inlineStr">
        <is>
          <t>27BBBBB13976Z5</t>
        </is>
      </c>
      <c r="B13976" t="inlineStr">
        <is>
          <t>Jun-2020</t>
        </is>
      </c>
      <c r="C13976" s="2" t="n">
        <v>44064</v>
      </c>
      <c r="D13976" t="inlineStr">
        <is>
          <t>NIL</t>
        </is>
      </c>
      <c r="E13976" t="n">
        <v>479</v>
      </c>
    </row>
    <row r="13977">
      <c r="A13977" t="inlineStr">
        <is>
          <t>27BBBBB13977Z5</t>
        </is>
      </c>
      <c r="B13977" t="inlineStr">
        <is>
          <t>Feb-2018</t>
        </is>
      </c>
      <c r="C13977" s="2" t="n">
        <v>43786</v>
      </c>
      <c r="D13977" t="inlineStr">
        <is>
          <t>NIL</t>
        </is>
      </c>
      <c r="E13977" t="n">
        <v>349</v>
      </c>
    </row>
    <row r="13978">
      <c r="A13978" t="inlineStr">
        <is>
          <t>27BBBBB13978Z5</t>
        </is>
      </c>
      <c r="B13978" t="inlineStr">
        <is>
          <t>Mar-2023</t>
        </is>
      </c>
      <c r="C13978" s="2" t="n">
        <v>44904</v>
      </c>
      <c r="D13978" t="inlineStr">
        <is>
          <t>NIL</t>
        </is>
      </c>
      <c r="E13978" t="n">
        <v>1649</v>
      </c>
    </row>
    <row r="13979">
      <c r="A13979" t="inlineStr">
        <is>
          <t>27BBBBB13979Z5</t>
        </is>
      </c>
      <c r="B13979" t="inlineStr">
        <is>
          <t>Apr-2018</t>
        </is>
      </c>
      <c r="C13979" s="2" t="n">
        <v>43826</v>
      </c>
      <c r="D13979" t="inlineStr">
        <is>
          <t>NON-NIL</t>
        </is>
      </c>
      <c r="E13979" t="n">
        <v>1557</v>
      </c>
    </row>
    <row r="13980">
      <c r="A13980" t="inlineStr">
        <is>
          <t>27BBBBB13980Z5</t>
        </is>
      </c>
      <c r="B13980" t="inlineStr">
        <is>
          <t>Jan-2021</t>
        </is>
      </c>
      <c r="C13980" s="2" t="n">
        <v>45086</v>
      </c>
      <c r="D13980" t="inlineStr">
        <is>
          <t>NIL</t>
        </is>
      </c>
      <c r="E13980" t="n">
        <v>795</v>
      </c>
    </row>
    <row r="13981">
      <c r="A13981" t="inlineStr">
        <is>
          <t>27BBBBB13981Z5</t>
        </is>
      </c>
      <c r="B13981" t="inlineStr">
        <is>
          <t>Apr-2020</t>
        </is>
      </c>
      <c r="C13981" s="2" t="n">
        <v>44683</v>
      </c>
      <c r="D13981" t="inlineStr">
        <is>
          <t>NIL</t>
        </is>
      </c>
      <c r="E13981" t="n">
        <v>325</v>
      </c>
    </row>
    <row r="13982">
      <c r="A13982" t="inlineStr">
        <is>
          <t>27BBBBB13982Z5</t>
        </is>
      </c>
      <c r="B13982" t="inlineStr">
        <is>
          <t>Aug-2017</t>
        </is>
      </c>
      <c r="C13982" s="2" t="n">
        <v>43900</v>
      </c>
      <c r="D13982" t="inlineStr">
        <is>
          <t>NON-NIL</t>
        </is>
      </c>
      <c r="E13982" t="n">
        <v>2588</v>
      </c>
    </row>
    <row r="13983">
      <c r="A13983" t="inlineStr">
        <is>
          <t>27BBBBB13983Z5</t>
        </is>
      </c>
      <c r="B13983" t="inlineStr">
        <is>
          <t>Mar-2021</t>
        </is>
      </c>
      <c r="C13983" s="2" t="n">
        <v>44542</v>
      </c>
      <c r="D13983" t="inlineStr">
        <is>
          <t>NON-NIL</t>
        </is>
      </c>
      <c r="E13983" t="n">
        <v>927</v>
      </c>
    </row>
    <row r="13984">
      <c r="A13984" t="inlineStr">
        <is>
          <t>27BBBBB13984Z5</t>
        </is>
      </c>
      <c r="B13984" t="inlineStr">
        <is>
          <t>Apr-2018</t>
        </is>
      </c>
      <c r="C13984" s="2" t="n">
        <v>42982</v>
      </c>
      <c r="D13984" t="inlineStr">
        <is>
          <t>NIL</t>
        </is>
      </c>
      <c r="E13984" t="n">
        <v>1758</v>
      </c>
    </row>
    <row r="13985">
      <c r="A13985" t="inlineStr">
        <is>
          <t>27BBBBB13985Z5</t>
        </is>
      </c>
      <c r="B13985" t="inlineStr">
        <is>
          <t>Oct-2017</t>
        </is>
      </c>
      <c r="C13985" s="2" t="n">
        <v>44555</v>
      </c>
      <c r="D13985" t="inlineStr">
        <is>
          <t>NON-NIL</t>
        </is>
      </c>
      <c r="E13985" t="n">
        <v>144</v>
      </c>
    </row>
    <row r="13986">
      <c r="A13986" t="inlineStr">
        <is>
          <t>27BBBBB13986Z5</t>
        </is>
      </c>
      <c r="B13986" t="inlineStr">
        <is>
          <t>Jul-2018</t>
        </is>
      </c>
      <c r="C13986" s="2" t="n">
        <v>43110</v>
      </c>
      <c r="D13986" t="inlineStr">
        <is>
          <t>NON-NIL</t>
        </is>
      </c>
      <c r="E13986" t="n">
        <v>2997</v>
      </c>
    </row>
    <row r="13987">
      <c r="A13987" t="inlineStr">
        <is>
          <t>27BBBBB13987Z5</t>
        </is>
      </c>
      <c r="B13987" t="inlineStr">
        <is>
          <t>Mar-2021</t>
        </is>
      </c>
      <c r="C13987" s="2" t="n">
        <v>45649</v>
      </c>
      <c r="D13987" t="inlineStr">
        <is>
          <t>NON-NIL</t>
        </is>
      </c>
      <c r="E13987" t="n">
        <v>1112</v>
      </c>
    </row>
    <row r="13988">
      <c r="A13988" t="inlineStr">
        <is>
          <t>27BBBBB13988Z5</t>
        </is>
      </c>
      <c r="B13988" t="inlineStr">
        <is>
          <t>Aug-2018</t>
        </is>
      </c>
      <c r="C13988" s="2" t="n">
        <v>44491</v>
      </c>
      <c r="D13988" t="inlineStr">
        <is>
          <t>NIL</t>
        </is>
      </c>
      <c r="E13988" t="n">
        <v>206</v>
      </c>
    </row>
    <row r="13989">
      <c r="A13989" t="inlineStr">
        <is>
          <t>27BBBBB13989Z5</t>
        </is>
      </c>
      <c r="B13989" t="inlineStr">
        <is>
          <t>Nov-2018</t>
        </is>
      </c>
      <c r="C13989" s="2" t="n">
        <v>43122</v>
      </c>
      <c r="D13989" t="inlineStr">
        <is>
          <t>NIL</t>
        </is>
      </c>
      <c r="E13989" t="n">
        <v>2068</v>
      </c>
    </row>
    <row r="13990">
      <c r="A13990" t="inlineStr">
        <is>
          <t>27BBBBB13990Z5</t>
        </is>
      </c>
      <c r="B13990" t="inlineStr">
        <is>
          <t>Apr-2018</t>
        </is>
      </c>
      <c r="C13990" s="2" t="n">
        <v>43738</v>
      </c>
      <c r="D13990" t="inlineStr">
        <is>
          <t>NON-NIL</t>
        </is>
      </c>
      <c r="E13990" t="n">
        <v>28</v>
      </c>
    </row>
    <row r="13991">
      <c r="A13991" t="inlineStr">
        <is>
          <t>27BBBBB13991Z5</t>
        </is>
      </c>
      <c r="B13991" t="inlineStr">
        <is>
          <t>Jan-2018</t>
        </is>
      </c>
      <c r="C13991" s="2" t="n">
        <v>43182</v>
      </c>
      <c r="D13991" t="inlineStr">
        <is>
          <t>NIL</t>
        </is>
      </c>
      <c r="E13991" t="n">
        <v>1849</v>
      </c>
    </row>
    <row r="13992">
      <c r="A13992" t="inlineStr">
        <is>
          <t>27BBBBB13992Z5</t>
        </is>
      </c>
      <c r="B13992" t="inlineStr">
        <is>
          <t>Oct-2018</t>
        </is>
      </c>
      <c r="C13992" s="2" t="n">
        <v>44448</v>
      </c>
      <c r="D13992" t="inlineStr">
        <is>
          <t>NIL</t>
        </is>
      </c>
      <c r="E13992" t="n">
        <v>1663</v>
      </c>
    </row>
    <row r="13993">
      <c r="A13993" t="inlineStr">
        <is>
          <t>27BBBBB13993Z5</t>
        </is>
      </c>
      <c r="B13993" t="inlineStr">
        <is>
          <t>Dec-2022</t>
        </is>
      </c>
      <c r="C13993" s="2" t="n">
        <v>43837</v>
      </c>
      <c r="D13993" t="inlineStr">
        <is>
          <t>NON-NIL</t>
        </is>
      </c>
      <c r="E13993" t="n">
        <v>1767</v>
      </c>
    </row>
    <row r="13994">
      <c r="A13994" t="inlineStr">
        <is>
          <t>27BBBBB13994Z5</t>
        </is>
      </c>
      <c r="B13994" t="inlineStr">
        <is>
          <t>Mar-2023</t>
        </is>
      </c>
      <c r="C13994" s="2" t="n">
        <v>45702</v>
      </c>
      <c r="D13994" t="inlineStr">
        <is>
          <t>NON-NIL</t>
        </is>
      </c>
      <c r="E13994" t="n">
        <v>2513</v>
      </c>
    </row>
    <row r="13995">
      <c r="A13995" t="inlineStr">
        <is>
          <t>27BBBBB13995Z5</t>
        </is>
      </c>
      <c r="B13995" t="inlineStr">
        <is>
          <t>Feb-2018</t>
        </is>
      </c>
      <c r="C13995" s="2" t="n">
        <v>44306</v>
      </c>
      <c r="D13995" t="inlineStr">
        <is>
          <t>NIL</t>
        </is>
      </c>
      <c r="E13995" t="n">
        <v>454</v>
      </c>
    </row>
    <row r="13996">
      <c r="A13996" t="inlineStr">
        <is>
          <t>27BBBBB13996Z5</t>
        </is>
      </c>
      <c r="B13996" t="inlineStr">
        <is>
          <t>May-2020</t>
        </is>
      </c>
      <c r="C13996" s="2" t="n">
        <v>44412</v>
      </c>
      <c r="D13996" t="inlineStr">
        <is>
          <t>NON-NIL</t>
        </is>
      </c>
      <c r="E13996" t="n">
        <v>1656</v>
      </c>
    </row>
    <row r="13997">
      <c r="A13997" t="inlineStr">
        <is>
          <t>27BBBBB13997Z5</t>
        </is>
      </c>
      <c r="B13997" t="inlineStr">
        <is>
          <t>Nov-2018</t>
        </is>
      </c>
      <c r="C13997" s="2" t="n">
        <v>44384</v>
      </c>
      <c r="D13997" t="inlineStr">
        <is>
          <t>NON-NIL</t>
        </is>
      </c>
      <c r="E13997" t="n">
        <v>1653</v>
      </c>
    </row>
    <row r="13998">
      <c r="A13998" t="inlineStr">
        <is>
          <t>27BBBBB13998Z5</t>
        </is>
      </c>
      <c r="B13998" t="inlineStr">
        <is>
          <t>Feb-2018</t>
        </is>
      </c>
      <c r="C13998" s="2" t="n">
        <v>44520</v>
      </c>
      <c r="D13998" t="inlineStr">
        <is>
          <t>NIL</t>
        </is>
      </c>
      <c r="E13998" t="n">
        <v>1192</v>
      </c>
    </row>
    <row r="13999">
      <c r="A13999" t="inlineStr">
        <is>
          <t>27BBBBB13999Z5</t>
        </is>
      </c>
      <c r="B13999" t="inlineStr">
        <is>
          <t>Dec-2018</t>
        </is>
      </c>
      <c r="C13999" s="2" t="n">
        <v>43780</v>
      </c>
      <c r="D13999" t="inlineStr">
        <is>
          <t>NIL</t>
        </is>
      </c>
      <c r="E13999" t="n">
        <v>2802</v>
      </c>
    </row>
    <row r="14000">
      <c r="A14000" t="inlineStr">
        <is>
          <t>27BBBBB14000Z5</t>
        </is>
      </c>
      <c r="B14000" t="inlineStr">
        <is>
          <t>Jul-2017</t>
        </is>
      </c>
      <c r="C14000" s="2" t="n">
        <v>43064</v>
      </c>
      <c r="D14000" t="inlineStr">
        <is>
          <t>NON-NIL</t>
        </is>
      </c>
      <c r="E14000" t="n">
        <v>1276</v>
      </c>
    </row>
    <row r="14001">
      <c r="A14001" t="inlineStr">
        <is>
          <t>27BBBBB14001Z5</t>
        </is>
      </c>
      <c r="B14001" t="inlineStr">
        <is>
          <t>May-2018</t>
        </is>
      </c>
      <c r="C14001" s="2" t="n">
        <v>44330</v>
      </c>
      <c r="D14001" t="inlineStr">
        <is>
          <t>NIL</t>
        </is>
      </c>
      <c r="E14001" t="n">
        <v>2843</v>
      </c>
    </row>
    <row r="14002">
      <c r="A14002" t="inlineStr">
        <is>
          <t>27BBBBB14002Z5</t>
        </is>
      </c>
      <c r="B14002" t="inlineStr">
        <is>
          <t>Dec-2017</t>
        </is>
      </c>
      <c r="C14002" s="2" t="n">
        <v>43666</v>
      </c>
      <c r="D14002" t="inlineStr">
        <is>
          <t>NIL</t>
        </is>
      </c>
      <c r="E14002" t="n">
        <v>2302</v>
      </c>
    </row>
    <row r="14003">
      <c r="A14003" t="inlineStr">
        <is>
          <t>27BBBBB14003Z5</t>
        </is>
      </c>
      <c r="B14003" t="inlineStr">
        <is>
          <t>Mar-2018</t>
        </is>
      </c>
      <c r="C14003" s="2" t="n">
        <v>43370</v>
      </c>
      <c r="D14003" t="inlineStr">
        <is>
          <t>NIL</t>
        </is>
      </c>
      <c r="E14003" t="n">
        <v>622</v>
      </c>
    </row>
    <row r="14004">
      <c r="A14004" t="inlineStr">
        <is>
          <t>27BBBBB14004Z5</t>
        </is>
      </c>
      <c r="B14004" t="inlineStr">
        <is>
          <t>Mar-2021</t>
        </is>
      </c>
      <c r="C14004" s="2" t="n">
        <v>45780</v>
      </c>
      <c r="D14004" t="inlineStr">
        <is>
          <t>NON-NIL</t>
        </is>
      </c>
      <c r="E14004" t="n">
        <v>1115</v>
      </c>
    </row>
    <row r="14005">
      <c r="A14005" t="inlineStr">
        <is>
          <t>27BBBBB14005Z5</t>
        </is>
      </c>
      <c r="B14005" t="inlineStr">
        <is>
          <t>Feb-2018</t>
        </is>
      </c>
      <c r="C14005" s="2" t="n">
        <v>43164</v>
      </c>
      <c r="D14005" t="inlineStr">
        <is>
          <t>NIL</t>
        </is>
      </c>
      <c r="E14005" t="n">
        <v>155</v>
      </c>
    </row>
    <row r="14006">
      <c r="A14006" t="inlineStr">
        <is>
          <t>27BBBBB14006Z5</t>
        </is>
      </c>
      <c r="B14006" t="inlineStr">
        <is>
          <t>Feb-2018</t>
        </is>
      </c>
      <c r="C14006" s="2" t="n">
        <v>43681</v>
      </c>
      <c r="D14006" t="inlineStr">
        <is>
          <t>NIL</t>
        </is>
      </c>
      <c r="E14006" t="n">
        <v>2428</v>
      </c>
    </row>
    <row r="14007">
      <c r="A14007" t="inlineStr">
        <is>
          <t>27BBBBB14007Z5</t>
        </is>
      </c>
      <c r="B14007" t="inlineStr">
        <is>
          <t>Dec-2024</t>
        </is>
      </c>
      <c r="C14007" s="2" t="n">
        <v>44738</v>
      </c>
      <c r="D14007" t="inlineStr">
        <is>
          <t>NON-NIL</t>
        </is>
      </c>
      <c r="E14007" t="n">
        <v>704</v>
      </c>
    </row>
    <row r="14008">
      <c r="A14008" t="inlineStr">
        <is>
          <t>27BBBBB14008Z5</t>
        </is>
      </c>
      <c r="B14008" t="inlineStr">
        <is>
          <t>May-2020</t>
        </is>
      </c>
      <c r="C14008" s="2" t="n">
        <v>44238</v>
      </c>
      <c r="D14008" t="inlineStr">
        <is>
          <t>NIL</t>
        </is>
      </c>
      <c r="E14008" t="n">
        <v>40</v>
      </c>
    </row>
    <row r="14009">
      <c r="A14009" t="inlineStr">
        <is>
          <t>27BBBBB14009Z5</t>
        </is>
      </c>
      <c r="B14009" t="inlineStr">
        <is>
          <t>Mar-2021</t>
        </is>
      </c>
      <c r="C14009" s="2" t="n">
        <v>45002</v>
      </c>
      <c r="D14009" t="inlineStr">
        <is>
          <t>NON-NIL</t>
        </is>
      </c>
      <c r="E14009" t="n">
        <v>756</v>
      </c>
    </row>
    <row r="14010">
      <c r="A14010" t="inlineStr">
        <is>
          <t>27BBBBB14010Z5</t>
        </is>
      </c>
      <c r="B14010" t="inlineStr">
        <is>
          <t>Nov-2018</t>
        </is>
      </c>
      <c r="C14010" s="2" t="n">
        <v>44294</v>
      </c>
      <c r="D14010" t="inlineStr">
        <is>
          <t>NIL</t>
        </is>
      </c>
      <c r="E14010" t="n">
        <v>1328</v>
      </c>
    </row>
    <row r="14011">
      <c r="A14011" t="inlineStr">
        <is>
          <t>27BBBBB14011Z5</t>
        </is>
      </c>
      <c r="B14011" t="inlineStr">
        <is>
          <t>Dec-2017</t>
        </is>
      </c>
      <c r="C14011" s="2" t="n">
        <v>43506</v>
      </c>
      <c r="D14011" t="inlineStr">
        <is>
          <t>NON-NIL</t>
        </is>
      </c>
      <c r="E14011" t="n">
        <v>746</v>
      </c>
    </row>
    <row r="14012">
      <c r="A14012" t="inlineStr">
        <is>
          <t>27BBBBB14012Z5</t>
        </is>
      </c>
      <c r="B14012" t="inlineStr">
        <is>
          <t>Jan-2018</t>
        </is>
      </c>
      <c r="C14012" s="2" t="n">
        <v>43407</v>
      </c>
      <c r="D14012" t="inlineStr">
        <is>
          <t>NIL</t>
        </is>
      </c>
      <c r="E14012" t="n">
        <v>2662</v>
      </c>
    </row>
    <row r="14013">
      <c r="A14013" t="inlineStr">
        <is>
          <t>27BBBBB14013Z5</t>
        </is>
      </c>
      <c r="B14013" t="inlineStr">
        <is>
          <t>Sep-2017</t>
        </is>
      </c>
      <c r="C14013" s="2" t="n">
        <v>43342</v>
      </c>
      <c r="D14013" t="inlineStr">
        <is>
          <t>NIL</t>
        </is>
      </c>
      <c r="E14013" t="n">
        <v>1854</v>
      </c>
    </row>
    <row r="14014">
      <c r="A14014" t="inlineStr">
        <is>
          <t>27BBBBB14014Z5</t>
        </is>
      </c>
      <c r="B14014" t="inlineStr">
        <is>
          <t>Oct-2018</t>
        </is>
      </c>
      <c r="C14014" s="2" t="n">
        <v>43347</v>
      </c>
      <c r="D14014" t="inlineStr">
        <is>
          <t>NON-NIL</t>
        </is>
      </c>
      <c r="E14014" t="n">
        <v>570</v>
      </c>
    </row>
    <row r="14015">
      <c r="A14015" t="inlineStr">
        <is>
          <t>27BBBBB14015Z5</t>
        </is>
      </c>
      <c r="B14015" t="inlineStr">
        <is>
          <t>Oct-2017</t>
        </is>
      </c>
      <c r="C14015" s="2" t="n">
        <v>43816</v>
      </c>
      <c r="D14015" t="inlineStr">
        <is>
          <t>NON-NIL</t>
        </is>
      </c>
      <c r="E14015" t="n">
        <v>2967</v>
      </c>
    </row>
    <row r="14016">
      <c r="A14016" t="inlineStr">
        <is>
          <t>27BBBBB14016Z5</t>
        </is>
      </c>
      <c r="B14016" t="inlineStr">
        <is>
          <t>Mar-2020</t>
        </is>
      </c>
      <c r="C14016" s="2" t="n">
        <v>44763</v>
      </c>
      <c r="D14016" t="inlineStr">
        <is>
          <t>NON-NIL</t>
        </is>
      </c>
      <c r="E14016" t="n">
        <v>209</v>
      </c>
    </row>
    <row r="14017">
      <c r="A14017" t="inlineStr">
        <is>
          <t>27BBBBB14017Z5</t>
        </is>
      </c>
      <c r="B14017" t="inlineStr">
        <is>
          <t>Dec-2024</t>
        </is>
      </c>
      <c r="C14017" s="2" t="n">
        <v>45742</v>
      </c>
      <c r="D14017" t="inlineStr">
        <is>
          <t>NON-NIL</t>
        </is>
      </c>
      <c r="E14017" t="n">
        <v>1493</v>
      </c>
    </row>
    <row r="14018">
      <c r="A14018" t="inlineStr">
        <is>
          <t>27BBBBB14018Z5</t>
        </is>
      </c>
      <c r="B14018" t="inlineStr">
        <is>
          <t>Dec-2017</t>
        </is>
      </c>
      <c r="C14018" s="2" t="n">
        <v>43203</v>
      </c>
      <c r="D14018" t="inlineStr">
        <is>
          <t>NIL</t>
        </is>
      </c>
      <c r="E14018" t="n">
        <v>1344</v>
      </c>
    </row>
    <row r="14019">
      <c r="A14019" t="inlineStr">
        <is>
          <t>27BBBBB14019Z5</t>
        </is>
      </c>
      <c r="B14019" t="inlineStr">
        <is>
          <t>Mar-2020</t>
        </is>
      </c>
      <c r="C14019" s="2" t="n">
        <v>44814</v>
      </c>
      <c r="D14019" t="inlineStr">
        <is>
          <t>NON-NIL</t>
        </is>
      </c>
      <c r="E14019" t="n">
        <v>2744</v>
      </c>
    </row>
    <row r="14020">
      <c r="A14020" t="inlineStr">
        <is>
          <t>27BBBBB14020Z5</t>
        </is>
      </c>
      <c r="B14020" t="inlineStr">
        <is>
          <t>Jan-2021</t>
        </is>
      </c>
      <c r="C14020" s="2" t="n">
        <v>44969</v>
      </c>
      <c r="D14020" t="inlineStr">
        <is>
          <t>NON-NIL</t>
        </is>
      </c>
      <c r="E14020" t="n">
        <v>1244</v>
      </c>
    </row>
    <row r="14021">
      <c r="A14021" t="inlineStr">
        <is>
          <t>27BBBBB14021Z5</t>
        </is>
      </c>
      <c r="B14021" t="inlineStr">
        <is>
          <t>Dec-2017</t>
        </is>
      </c>
      <c r="C14021" s="2" t="n">
        <v>44355</v>
      </c>
      <c r="D14021" t="inlineStr">
        <is>
          <t>NON-NIL</t>
        </is>
      </c>
      <c r="E14021" t="n">
        <v>2963</v>
      </c>
    </row>
    <row r="14022">
      <c r="A14022" t="inlineStr">
        <is>
          <t>27BBBBB14022Z5</t>
        </is>
      </c>
      <c r="B14022" t="inlineStr">
        <is>
          <t>Feb-2018</t>
        </is>
      </c>
      <c r="C14022" s="2" t="n">
        <v>42924</v>
      </c>
      <c r="D14022" t="inlineStr">
        <is>
          <t>NON-NIL</t>
        </is>
      </c>
      <c r="E14022" t="n">
        <v>2119</v>
      </c>
    </row>
    <row r="14023">
      <c r="A14023" t="inlineStr">
        <is>
          <t>27BBBBB14023Z5</t>
        </is>
      </c>
      <c r="B14023" t="inlineStr">
        <is>
          <t>Oct-2017</t>
        </is>
      </c>
      <c r="C14023" s="2" t="n">
        <v>43758</v>
      </c>
      <c r="D14023" t="inlineStr">
        <is>
          <t>NIL</t>
        </is>
      </c>
      <c r="E14023" t="n">
        <v>2949</v>
      </c>
    </row>
    <row r="14024">
      <c r="A14024" t="inlineStr">
        <is>
          <t>27BBBBB14024Z5</t>
        </is>
      </c>
      <c r="B14024" t="inlineStr">
        <is>
          <t>May-2020</t>
        </is>
      </c>
      <c r="C14024" s="2" t="n">
        <v>43849</v>
      </c>
      <c r="D14024" t="inlineStr">
        <is>
          <t>NIL</t>
        </is>
      </c>
      <c r="E14024" t="n">
        <v>2611</v>
      </c>
    </row>
    <row r="14025">
      <c r="A14025" t="inlineStr">
        <is>
          <t>27BBBBB14025Z5</t>
        </is>
      </c>
      <c r="B14025" t="inlineStr">
        <is>
          <t>Nov-2018</t>
        </is>
      </c>
      <c r="C14025" s="2" t="n">
        <v>43384</v>
      </c>
      <c r="D14025" t="inlineStr">
        <is>
          <t>NIL</t>
        </is>
      </c>
      <c r="E14025" t="n">
        <v>2143</v>
      </c>
    </row>
    <row r="14026">
      <c r="A14026" t="inlineStr">
        <is>
          <t>27BBBBB14026Z5</t>
        </is>
      </c>
      <c r="B14026" t="inlineStr">
        <is>
          <t>Oct-2017</t>
        </is>
      </c>
      <c r="C14026" s="2" t="n">
        <v>43646</v>
      </c>
      <c r="D14026" t="inlineStr">
        <is>
          <t>NON-NIL</t>
        </is>
      </c>
      <c r="E14026" t="n">
        <v>1877</v>
      </c>
    </row>
    <row r="14027">
      <c r="A14027" t="inlineStr">
        <is>
          <t>27BBBBB14027Z5</t>
        </is>
      </c>
      <c r="B14027" t="inlineStr">
        <is>
          <t>Dec-2017</t>
        </is>
      </c>
      <c r="C14027" s="2" t="n">
        <v>43801</v>
      </c>
      <c r="D14027" t="inlineStr">
        <is>
          <t>NON-NIL</t>
        </is>
      </c>
      <c r="E14027" t="n">
        <v>1756</v>
      </c>
    </row>
    <row r="14028">
      <c r="A14028" t="inlineStr">
        <is>
          <t>27BBBBB14028Z5</t>
        </is>
      </c>
      <c r="B14028" t="inlineStr">
        <is>
          <t>Jun-2020</t>
        </is>
      </c>
      <c r="C14028" s="2" t="n">
        <v>44889</v>
      </c>
      <c r="D14028" t="inlineStr">
        <is>
          <t>NON-NIL</t>
        </is>
      </c>
      <c r="E14028" t="n">
        <v>2328</v>
      </c>
    </row>
    <row r="14029">
      <c r="A14029" t="inlineStr">
        <is>
          <t>27BBBBB14029Z5</t>
        </is>
      </c>
      <c r="B14029" t="inlineStr">
        <is>
          <t>Dec-2018</t>
        </is>
      </c>
      <c r="C14029" s="2" t="n">
        <v>43868</v>
      </c>
      <c r="D14029" t="inlineStr">
        <is>
          <t>NON-NIL</t>
        </is>
      </c>
      <c r="E14029" t="n">
        <v>145</v>
      </c>
    </row>
    <row r="14030">
      <c r="A14030" t="inlineStr">
        <is>
          <t>27BBBBB14030Z5</t>
        </is>
      </c>
      <c r="B14030" t="inlineStr">
        <is>
          <t>May-2018</t>
        </is>
      </c>
      <c r="C14030" s="2" t="n">
        <v>44154</v>
      </c>
      <c r="D14030" t="inlineStr">
        <is>
          <t>NIL</t>
        </is>
      </c>
      <c r="E14030" t="n">
        <v>2938</v>
      </c>
    </row>
    <row r="14031">
      <c r="A14031" t="inlineStr">
        <is>
          <t>27BBBBB14031Z5</t>
        </is>
      </c>
      <c r="B14031" t="inlineStr">
        <is>
          <t>Nov-2017</t>
        </is>
      </c>
      <c r="C14031" s="2" t="n">
        <v>44237</v>
      </c>
      <c r="D14031" t="inlineStr">
        <is>
          <t>NON-NIL</t>
        </is>
      </c>
      <c r="E14031" t="n">
        <v>2319</v>
      </c>
    </row>
    <row r="14032">
      <c r="A14032" t="inlineStr">
        <is>
          <t>27BBBBB14032Z5</t>
        </is>
      </c>
      <c r="B14032" t="inlineStr">
        <is>
          <t>Dec-2022</t>
        </is>
      </c>
      <c r="C14032" s="2" t="n">
        <v>45491</v>
      </c>
      <c r="D14032" t="inlineStr">
        <is>
          <t>NIL</t>
        </is>
      </c>
      <c r="E14032" t="n">
        <v>2050</v>
      </c>
    </row>
    <row r="14033">
      <c r="A14033" t="inlineStr">
        <is>
          <t>27BBBBB14033Z5</t>
        </is>
      </c>
      <c r="B14033" t="inlineStr">
        <is>
          <t>Dec-2018</t>
        </is>
      </c>
      <c r="C14033" s="2" t="n">
        <v>43212</v>
      </c>
      <c r="D14033" t="inlineStr">
        <is>
          <t>NON-NIL</t>
        </is>
      </c>
      <c r="E14033" t="n">
        <v>1756</v>
      </c>
    </row>
    <row r="14034">
      <c r="A14034" t="inlineStr">
        <is>
          <t>27BBBBB14034Z5</t>
        </is>
      </c>
      <c r="B14034" t="inlineStr">
        <is>
          <t>Jan-2018</t>
        </is>
      </c>
      <c r="C14034" s="2" t="n">
        <v>43627</v>
      </c>
      <c r="D14034" t="inlineStr">
        <is>
          <t>NON-NIL</t>
        </is>
      </c>
      <c r="E14034" t="n">
        <v>2877</v>
      </c>
    </row>
    <row r="14035">
      <c r="A14035" t="inlineStr">
        <is>
          <t>27BBBBB14035Z5</t>
        </is>
      </c>
      <c r="B14035" t="inlineStr">
        <is>
          <t>Mar-2021</t>
        </is>
      </c>
      <c r="C14035" s="2" t="n">
        <v>44361</v>
      </c>
      <c r="D14035" t="inlineStr">
        <is>
          <t>NIL</t>
        </is>
      </c>
      <c r="E14035" t="n">
        <v>293</v>
      </c>
    </row>
    <row r="14036">
      <c r="A14036" t="inlineStr">
        <is>
          <t>27BBBBB14036Z5</t>
        </is>
      </c>
      <c r="B14036" t="inlineStr">
        <is>
          <t>Aug-2017</t>
        </is>
      </c>
      <c r="C14036" s="2" t="n">
        <v>44190</v>
      </c>
      <c r="D14036" t="inlineStr">
        <is>
          <t>NON-NIL</t>
        </is>
      </c>
      <c r="E14036" t="n">
        <v>1437</v>
      </c>
    </row>
    <row r="14037">
      <c r="A14037" t="inlineStr">
        <is>
          <t>27BBBBB14037Z5</t>
        </is>
      </c>
      <c r="B14037" t="inlineStr">
        <is>
          <t>Jul-2018</t>
        </is>
      </c>
      <c r="C14037" s="2" t="n">
        <v>43577</v>
      </c>
      <c r="D14037" t="inlineStr">
        <is>
          <t>NON-NIL</t>
        </is>
      </c>
      <c r="E14037" t="n">
        <v>1591</v>
      </c>
    </row>
    <row r="14038">
      <c r="A14038" t="inlineStr">
        <is>
          <t>27BBBBB14038Z5</t>
        </is>
      </c>
      <c r="B14038" t="inlineStr">
        <is>
          <t>Dec-2018</t>
        </is>
      </c>
      <c r="C14038" s="2" t="n">
        <v>42939</v>
      </c>
      <c r="D14038" t="inlineStr">
        <is>
          <t>NIL</t>
        </is>
      </c>
      <c r="E14038" t="n">
        <v>2036</v>
      </c>
    </row>
    <row r="14039">
      <c r="A14039" t="inlineStr">
        <is>
          <t>27BBBBB14039Z5</t>
        </is>
      </c>
      <c r="B14039" t="inlineStr">
        <is>
          <t>Dec-2018</t>
        </is>
      </c>
      <c r="C14039" s="2" t="n">
        <v>43203</v>
      </c>
      <c r="D14039" t="inlineStr">
        <is>
          <t>NIL</t>
        </is>
      </c>
      <c r="E14039" t="n">
        <v>1730</v>
      </c>
    </row>
    <row r="14040">
      <c r="A14040" t="inlineStr">
        <is>
          <t>27BBBBB14040Z5</t>
        </is>
      </c>
      <c r="B14040" t="inlineStr">
        <is>
          <t>Nov-2018</t>
        </is>
      </c>
      <c r="C14040" s="2" t="n">
        <v>44030</v>
      </c>
      <c r="D14040" t="inlineStr">
        <is>
          <t>NON-NIL</t>
        </is>
      </c>
      <c r="E14040" t="n">
        <v>336</v>
      </c>
    </row>
    <row r="14041">
      <c r="A14041" t="inlineStr">
        <is>
          <t>27BBBBB14041Z5</t>
        </is>
      </c>
      <c r="B14041" t="inlineStr">
        <is>
          <t>Jun-2018</t>
        </is>
      </c>
      <c r="C14041" s="2" t="n">
        <v>43624</v>
      </c>
      <c r="D14041" t="inlineStr">
        <is>
          <t>NIL</t>
        </is>
      </c>
      <c r="E14041" t="n">
        <v>2406</v>
      </c>
    </row>
    <row r="14042">
      <c r="A14042" t="inlineStr">
        <is>
          <t>27BBBBB14042Z5</t>
        </is>
      </c>
      <c r="B14042" t="inlineStr">
        <is>
          <t>Jul-2018</t>
        </is>
      </c>
      <c r="C14042" s="2" t="n">
        <v>43597</v>
      </c>
      <c r="D14042" t="inlineStr">
        <is>
          <t>NON-NIL</t>
        </is>
      </c>
      <c r="E14042" t="n">
        <v>2714</v>
      </c>
    </row>
    <row r="14043">
      <c r="A14043" t="inlineStr">
        <is>
          <t>27BBBBB14043Z5</t>
        </is>
      </c>
      <c r="B14043" t="inlineStr">
        <is>
          <t>Mar-2021</t>
        </is>
      </c>
      <c r="C14043" s="2" t="n">
        <v>45753</v>
      </c>
      <c r="D14043" t="inlineStr">
        <is>
          <t>NIL</t>
        </is>
      </c>
      <c r="E14043" t="n">
        <v>1676</v>
      </c>
    </row>
    <row r="14044">
      <c r="A14044" t="inlineStr">
        <is>
          <t>27BBBBB14044Z5</t>
        </is>
      </c>
      <c r="B14044" t="inlineStr">
        <is>
          <t>May-2020</t>
        </is>
      </c>
      <c r="C14044" s="2" t="n">
        <v>44059</v>
      </c>
      <c r="D14044" t="inlineStr">
        <is>
          <t>NON-NIL</t>
        </is>
      </c>
      <c r="E14044" t="n">
        <v>617</v>
      </c>
    </row>
    <row r="14045">
      <c r="A14045" t="inlineStr">
        <is>
          <t>27BBBBB14045Z5</t>
        </is>
      </c>
      <c r="B14045" t="inlineStr">
        <is>
          <t>Dec-2024</t>
        </is>
      </c>
      <c r="C14045" s="2" t="n">
        <v>44263</v>
      </c>
      <c r="D14045" t="inlineStr">
        <is>
          <t>NIL</t>
        </is>
      </c>
      <c r="E14045" t="n">
        <v>1024</v>
      </c>
    </row>
    <row r="14046">
      <c r="A14046" t="inlineStr">
        <is>
          <t>27BBBBB14046Z5</t>
        </is>
      </c>
      <c r="B14046" t="inlineStr">
        <is>
          <t>Jul-2020</t>
        </is>
      </c>
      <c r="C14046" s="2" t="n">
        <v>43883</v>
      </c>
      <c r="D14046" t="inlineStr">
        <is>
          <t>NON-NIL</t>
        </is>
      </c>
      <c r="E14046" t="n">
        <v>503</v>
      </c>
    </row>
    <row r="14047">
      <c r="A14047" t="inlineStr">
        <is>
          <t>27BBBBB14047Z5</t>
        </is>
      </c>
      <c r="B14047" t="inlineStr">
        <is>
          <t>May-2018</t>
        </is>
      </c>
      <c r="C14047" s="2" t="n">
        <v>43421</v>
      </c>
      <c r="D14047" t="inlineStr">
        <is>
          <t>NON-NIL</t>
        </is>
      </c>
      <c r="E14047" t="n">
        <v>1245</v>
      </c>
    </row>
    <row r="14048">
      <c r="A14048" t="inlineStr">
        <is>
          <t>27BBBBB14048Z5</t>
        </is>
      </c>
      <c r="B14048" t="inlineStr">
        <is>
          <t>Nov-2018</t>
        </is>
      </c>
      <c r="C14048" s="2" t="n">
        <v>43121</v>
      </c>
      <c r="D14048" t="inlineStr">
        <is>
          <t>NIL</t>
        </is>
      </c>
      <c r="E14048" t="n">
        <v>1924</v>
      </c>
    </row>
    <row r="14049">
      <c r="A14049" t="inlineStr">
        <is>
          <t>27BBBBB14049Z5</t>
        </is>
      </c>
      <c r="B14049" t="inlineStr">
        <is>
          <t>Aug-2017</t>
        </is>
      </c>
      <c r="C14049" s="2" t="n">
        <v>43287</v>
      </c>
      <c r="D14049" t="inlineStr">
        <is>
          <t>NON-NIL</t>
        </is>
      </c>
      <c r="E14049" t="n">
        <v>2105</v>
      </c>
    </row>
    <row r="14050">
      <c r="A14050" t="inlineStr">
        <is>
          <t>27BBBBB14050Z5</t>
        </is>
      </c>
      <c r="B14050" t="inlineStr">
        <is>
          <t>Dec-2024</t>
        </is>
      </c>
      <c r="C14050" s="2" t="n">
        <v>44198</v>
      </c>
      <c r="D14050" t="inlineStr">
        <is>
          <t>NIL</t>
        </is>
      </c>
      <c r="E14050" t="n">
        <v>70</v>
      </c>
    </row>
    <row r="14051">
      <c r="A14051" t="inlineStr">
        <is>
          <t>27BBBBB14051Z5</t>
        </is>
      </c>
      <c r="B14051" t="inlineStr">
        <is>
          <t>Dec-2024</t>
        </is>
      </c>
      <c r="C14051" s="2" t="n">
        <v>44857</v>
      </c>
      <c r="D14051" t="inlineStr">
        <is>
          <t>NIL</t>
        </is>
      </c>
      <c r="E14051" t="n">
        <v>206</v>
      </c>
    </row>
    <row r="14052">
      <c r="A14052" t="inlineStr">
        <is>
          <t>27BBBBB14052Z5</t>
        </is>
      </c>
      <c r="B14052" t="inlineStr">
        <is>
          <t>Apr-2020</t>
        </is>
      </c>
      <c r="C14052" s="2" t="n">
        <v>44326</v>
      </c>
      <c r="D14052" t="inlineStr">
        <is>
          <t>NON-NIL</t>
        </is>
      </c>
      <c r="E14052" t="n">
        <v>1845</v>
      </c>
    </row>
    <row r="14053">
      <c r="A14053" t="inlineStr">
        <is>
          <t>27BBBBB14053Z5</t>
        </is>
      </c>
      <c r="B14053" t="inlineStr">
        <is>
          <t>Apr-2018</t>
        </is>
      </c>
      <c r="C14053" s="2" t="n">
        <v>43500</v>
      </c>
      <c r="D14053" t="inlineStr">
        <is>
          <t>NIL</t>
        </is>
      </c>
      <c r="E14053" t="n">
        <v>2163</v>
      </c>
    </row>
    <row r="14054">
      <c r="A14054" t="inlineStr">
        <is>
          <t>27BBBBB14054Z5</t>
        </is>
      </c>
      <c r="B14054" t="inlineStr">
        <is>
          <t>Oct-2017</t>
        </is>
      </c>
      <c r="C14054" s="2" t="n">
        <v>43501</v>
      </c>
      <c r="D14054" t="inlineStr">
        <is>
          <t>NON-NIL</t>
        </is>
      </c>
      <c r="E14054" t="n">
        <v>2424</v>
      </c>
    </row>
    <row r="14055">
      <c r="A14055" t="inlineStr">
        <is>
          <t>27BBBBB14055Z5</t>
        </is>
      </c>
      <c r="B14055" t="inlineStr">
        <is>
          <t>Jun-2020</t>
        </is>
      </c>
      <c r="C14055" s="2" t="n">
        <v>44533</v>
      </c>
      <c r="D14055" t="inlineStr">
        <is>
          <t>NIL</t>
        </is>
      </c>
      <c r="E14055" t="n">
        <v>1949</v>
      </c>
    </row>
    <row r="14056">
      <c r="A14056" t="inlineStr">
        <is>
          <t>27BBBBB14056Z5</t>
        </is>
      </c>
      <c r="B14056" t="inlineStr">
        <is>
          <t>Jan-2021</t>
        </is>
      </c>
      <c r="C14056" s="2" t="n">
        <v>43730</v>
      </c>
      <c r="D14056" t="inlineStr">
        <is>
          <t>NON-NIL</t>
        </is>
      </c>
      <c r="E14056" t="n">
        <v>288</v>
      </c>
    </row>
    <row r="14057">
      <c r="A14057" t="inlineStr">
        <is>
          <t>27BBBBB14057Z5</t>
        </is>
      </c>
      <c r="B14057" t="inlineStr">
        <is>
          <t>Dec-2022</t>
        </is>
      </c>
      <c r="C14057" s="2" t="n">
        <v>44994</v>
      </c>
      <c r="D14057" t="inlineStr">
        <is>
          <t>NIL</t>
        </is>
      </c>
      <c r="E14057" t="n">
        <v>2935</v>
      </c>
    </row>
    <row r="14058">
      <c r="A14058" t="inlineStr">
        <is>
          <t>27BBBBB14058Z5</t>
        </is>
      </c>
      <c r="B14058" t="inlineStr">
        <is>
          <t>Mar-2018</t>
        </is>
      </c>
      <c r="C14058" s="2" t="n">
        <v>43772</v>
      </c>
      <c r="D14058" t="inlineStr">
        <is>
          <t>NON-NIL</t>
        </is>
      </c>
      <c r="E14058" t="n">
        <v>1864</v>
      </c>
    </row>
    <row r="14059">
      <c r="A14059" t="inlineStr">
        <is>
          <t>27BBBBB14059Z5</t>
        </is>
      </c>
      <c r="B14059" t="inlineStr">
        <is>
          <t>Nov-2017</t>
        </is>
      </c>
      <c r="C14059" s="2" t="n">
        <v>43075</v>
      </c>
      <c r="D14059" t="inlineStr">
        <is>
          <t>NIL</t>
        </is>
      </c>
      <c r="E14059" t="n">
        <v>2261</v>
      </c>
    </row>
    <row r="14060">
      <c r="A14060" t="inlineStr">
        <is>
          <t>27BBBBB14060Z5</t>
        </is>
      </c>
      <c r="B14060" t="inlineStr">
        <is>
          <t>Sep-2018</t>
        </is>
      </c>
      <c r="C14060" s="2" t="n">
        <v>43220</v>
      </c>
      <c r="D14060" t="inlineStr">
        <is>
          <t>NON-NIL</t>
        </is>
      </c>
      <c r="E14060" t="n">
        <v>838</v>
      </c>
    </row>
    <row r="14061">
      <c r="A14061" t="inlineStr">
        <is>
          <t>27BBBBB14061Z5</t>
        </is>
      </c>
      <c r="B14061" t="inlineStr">
        <is>
          <t>Mar-2023</t>
        </is>
      </c>
      <c r="C14061" s="2" t="n">
        <v>44824</v>
      </c>
      <c r="D14061" t="inlineStr">
        <is>
          <t>NON-NIL</t>
        </is>
      </c>
      <c r="E14061" t="n">
        <v>2536</v>
      </c>
    </row>
    <row r="14062">
      <c r="A14062" t="inlineStr">
        <is>
          <t>27BBBBB14062Z5</t>
        </is>
      </c>
      <c r="B14062" t="inlineStr">
        <is>
          <t>Mar-2021</t>
        </is>
      </c>
      <c r="C14062" s="2" t="n">
        <v>43659</v>
      </c>
      <c r="D14062" t="inlineStr">
        <is>
          <t>NIL</t>
        </is>
      </c>
      <c r="E14062" t="n">
        <v>1535</v>
      </c>
    </row>
    <row r="14063">
      <c r="A14063" t="inlineStr">
        <is>
          <t>27BBBBB14063Z5</t>
        </is>
      </c>
      <c r="B14063" t="inlineStr">
        <is>
          <t>Jul-2018</t>
        </is>
      </c>
      <c r="C14063" s="2" t="n">
        <v>43623</v>
      </c>
      <c r="D14063" t="inlineStr">
        <is>
          <t>NIL</t>
        </is>
      </c>
      <c r="E14063" t="n">
        <v>286</v>
      </c>
    </row>
    <row r="14064">
      <c r="A14064" t="inlineStr">
        <is>
          <t>27BBBBB14064Z5</t>
        </is>
      </c>
      <c r="B14064" t="inlineStr">
        <is>
          <t>Aug-2018</t>
        </is>
      </c>
      <c r="C14064" s="2" t="n">
        <v>44141</v>
      </c>
      <c r="D14064" t="inlineStr">
        <is>
          <t>NON-NIL</t>
        </is>
      </c>
      <c r="E14064" t="n">
        <v>15</v>
      </c>
    </row>
    <row r="14065">
      <c r="A14065" t="inlineStr">
        <is>
          <t>27BBBBB14065Z5</t>
        </is>
      </c>
      <c r="B14065" t="inlineStr">
        <is>
          <t>Oct-2018</t>
        </is>
      </c>
      <c r="C14065" s="2" t="n">
        <v>43929</v>
      </c>
      <c r="D14065" t="inlineStr">
        <is>
          <t>NON-NIL</t>
        </is>
      </c>
      <c r="E14065" t="n">
        <v>117</v>
      </c>
    </row>
    <row r="14066">
      <c r="A14066" t="inlineStr">
        <is>
          <t>27BBBBB14066Z5</t>
        </is>
      </c>
      <c r="B14066" t="inlineStr">
        <is>
          <t>Feb-2018</t>
        </is>
      </c>
      <c r="C14066" s="2" t="n">
        <v>43141</v>
      </c>
      <c r="D14066" t="inlineStr">
        <is>
          <t>NIL</t>
        </is>
      </c>
      <c r="E14066" t="n">
        <v>1531</v>
      </c>
    </row>
    <row r="14067">
      <c r="A14067" t="inlineStr">
        <is>
          <t>27BBBBB14067Z5</t>
        </is>
      </c>
      <c r="B14067" t="inlineStr">
        <is>
          <t>Jul-2020</t>
        </is>
      </c>
      <c r="C14067" s="2" t="n">
        <v>44515</v>
      </c>
      <c r="D14067" t="inlineStr">
        <is>
          <t>NIL</t>
        </is>
      </c>
      <c r="E14067" t="n">
        <v>731</v>
      </c>
    </row>
    <row r="14068">
      <c r="A14068" t="inlineStr">
        <is>
          <t>27BBBBB14068Z5</t>
        </is>
      </c>
      <c r="B14068" t="inlineStr">
        <is>
          <t>Jun-2018</t>
        </is>
      </c>
      <c r="C14068" s="2" t="n">
        <v>44350</v>
      </c>
      <c r="D14068" t="inlineStr">
        <is>
          <t>NIL</t>
        </is>
      </c>
      <c r="E14068" t="n">
        <v>2076</v>
      </c>
    </row>
    <row r="14069">
      <c r="A14069" t="inlineStr">
        <is>
          <t>27BBBBB14069Z5</t>
        </is>
      </c>
      <c r="B14069" t="inlineStr">
        <is>
          <t>Jun-2020</t>
        </is>
      </c>
      <c r="C14069" s="2" t="n">
        <v>44568</v>
      </c>
      <c r="D14069" t="inlineStr">
        <is>
          <t>NIL</t>
        </is>
      </c>
      <c r="E14069" t="n">
        <v>1077</v>
      </c>
    </row>
    <row r="14070">
      <c r="A14070" t="inlineStr">
        <is>
          <t>27BBBBB14070Z5</t>
        </is>
      </c>
      <c r="B14070" t="inlineStr">
        <is>
          <t>Jun-2020</t>
        </is>
      </c>
      <c r="C14070" s="2" t="n">
        <v>44117</v>
      </c>
      <c r="D14070" t="inlineStr">
        <is>
          <t>NON-NIL</t>
        </is>
      </c>
      <c r="E14070" t="n">
        <v>1849</v>
      </c>
    </row>
    <row r="14071">
      <c r="A14071" t="inlineStr">
        <is>
          <t>27BBBBB14071Z5</t>
        </is>
      </c>
      <c r="B14071" t="inlineStr">
        <is>
          <t>Nov-2017</t>
        </is>
      </c>
      <c r="C14071" s="2" t="n">
        <v>43800</v>
      </c>
      <c r="D14071" t="inlineStr">
        <is>
          <t>NON-NIL</t>
        </is>
      </c>
      <c r="E14071" t="n">
        <v>1588</v>
      </c>
    </row>
    <row r="14072">
      <c r="A14072" t="inlineStr">
        <is>
          <t>27BBBBB14072Z5</t>
        </is>
      </c>
      <c r="B14072" t="inlineStr">
        <is>
          <t>Dec-2018</t>
        </is>
      </c>
      <c r="C14072" s="2" t="n">
        <v>43194</v>
      </c>
      <c r="D14072" t="inlineStr">
        <is>
          <t>NON-NIL</t>
        </is>
      </c>
      <c r="E14072" t="n">
        <v>2425</v>
      </c>
    </row>
    <row r="14073">
      <c r="A14073" t="inlineStr">
        <is>
          <t>27BBBBB14073Z5</t>
        </is>
      </c>
      <c r="B14073" t="inlineStr">
        <is>
          <t>Mar-2023</t>
        </is>
      </c>
      <c r="C14073" s="2" t="n">
        <v>44594</v>
      </c>
      <c r="D14073" t="inlineStr">
        <is>
          <t>NON-NIL</t>
        </is>
      </c>
      <c r="E14073" t="n">
        <v>1102</v>
      </c>
    </row>
    <row r="14074">
      <c r="A14074" t="inlineStr">
        <is>
          <t>27BBBBB14074Z5</t>
        </is>
      </c>
      <c r="B14074" t="inlineStr">
        <is>
          <t>Jul-2018</t>
        </is>
      </c>
      <c r="C14074" s="2" t="n">
        <v>44196</v>
      </c>
      <c r="D14074" t="inlineStr">
        <is>
          <t>NIL</t>
        </is>
      </c>
      <c r="E14074" t="n">
        <v>1337</v>
      </c>
    </row>
    <row r="14075">
      <c r="A14075" t="inlineStr">
        <is>
          <t>27BBBBB14075Z5</t>
        </is>
      </c>
      <c r="B14075" t="inlineStr">
        <is>
          <t>Apr-2020</t>
        </is>
      </c>
      <c r="C14075" s="2" t="n">
        <v>44727</v>
      </c>
      <c r="D14075" t="inlineStr">
        <is>
          <t>NON-NIL</t>
        </is>
      </c>
      <c r="E14075" t="n">
        <v>2320</v>
      </c>
    </row>
    <row r="14076">
      <c r="A14076" t="inlineStr">
        <is>
          <t>27BBBBB14076Z5</t>
        </is>
      </c>
      <c r="B14076" t="inlineStr">
        <is>
          <t>Nov-2017</t>
        </is>
      </c>
      <c r="C14076" s="2" t="n">
        <v>43429</v>
      </c>
      <c r="D14076" t="inlineStr">
        <is>
          <t>NON-NIL</t>
        </is>
      </c>
      <c r="E14076" t="n">
        <v>2661</v>
      </c>
    </row>
    <row r="14077">
      <c r="A14077" t="inlineStr">
        <is>
          <t>27BBBBB14077Z5</t>
        </is>
      </c>
      <c r="B14077" t="inlineStr">
        <is>
          <t>May-2018</t>
        </is>
      </c>
      <c r="C14077" s="2" t="n">
        <v>44000</v>
      </c>
      <c r="D14077" t="inlineStr">
        <is>
          <t>NON-NIL</t>
        </is>
      </c>
      <c r="E14077" t="n">
        <v>240</v>
      </c>
    </row>
    <row r="14078">
      <c r="A14078" t="inlineStr">
        <is>
          <t>27BBBBB14078Z5</t>
        </is>
      </c>
      <c r="B14078" t="inlineStr">
        <is>
          <t>Jan-2018</t>
        </is>
      </c>
      <c r="C14078" s="2" t="n">
        <v>44453</v>
      </c>
      <c r="D14078" t="inlineStr">
        <is>
          <t>NON-NIL</t>
        </is>
      </c>
      <c r="E14078" t="n">
        <v>583</v>
      </c>
    </row>
    <row r="14079">
      <c r="A14079" t="inlineStr">
        <is>
          <t>27BBBBB14079Z5</t>
        </is>
      </c>
      <c r="B14079" t="inlineStr">
        <is>
          <t>Aug-2018</t>
        </is>
      </c>
      <c r="C14079" s="2" t="n">
        <v>43204</v>
      </c>
      <c r="D14079" t="inlineStr">
        <is>
          <t>NIL</t>
        </is>
      </c>
      <c r="E14079" t="n">
        <v>698</v>
      </c>
    </row>
    <row r="14080">
      <c r="A14080" t="inlineStr">
        <is>
          <t>27BBBBB14080Z5</t>
        </is>
      </c>
      <c r="B14080" t="inlineStr">
        <is>
          <t>Aug-2017</t>
        </is>
      </c>
      <c r="C14080" s="2" t="n">
        <v>43508</v>
      </c>
      <c r="D14080" t="inlineStr">
        <is>
          <t>NIL</t>
        </is>
      </c>
      <c r="E14080" t="n">
        <v>1936</v>
      </c>
    </row>
    <row r="14081">
      <c r="A14081" t="inlineStr">
        <is>
          <t>27BBBBB14081Z5</t>
        </is>
      </c>
      <c r="B14081" t="inlineStr">
        <is>
          <t>Dec-2018</t>
        </is>
      </c>
      <c r="C14081" s="2" t="n">
        <v>43544</v>
      </c>
      <c r="D14081" t="inlineStr">
        <is>
          <t>NON-NIL</t>
        </is>
      </c>
      <c r="E14081" t="n">
        <v>985</v>
      </c>
    </row>
    <row r="14082">
      <c r="A14082" t="inlineStr">
        <is>
          <t>27BBBBB14082Z5</t>
        </is>
      </c>
      <c r="B14082" t="inlineStr">
        <is>
          <t>Oct-2018</t>
        </is>
      </c>
      <c r="C14082" s="2" t="n">
        <v>43145</v>
      </c>
      <c r="D14082" t="inlineStr">
        <is>
          <t>NIL</t>
        </is>
      </c>
      <c r="E14082" t="n">
        <v>115</v>
      </c>
    </row>
    <row r="14083">
      <c r="A14083" t="inlineStr">
        <is>
          <t>27BBBBB14083Z5</t>
        </is>
      </c>
      <c r="B14083" t="inlineStr">
        <is>
          <t>Dec-2024</t>
        </is>
      </c>
      <c r="C14083" s="2" t="n">
        <v>44411</v>
      </c>
      <c r="D14083" t="inlineStr">
        <is>
          <t>NIL</t>
        </is>
      </c>
      <c r="E14083" t="n">
        <v>1311</v>
      </c>
    </row>
    <row r="14084">
      <c r="A14084" t="inlineStr">
        <is>
          <t>27BBBBB14084Z5</t>
        </is>
      </c>
      <c r="B14084" t="inlineStr">
        <is>
          <t>Feb-2018</t>
        </is>
      </c>
      <c r="C14084" s="2" t="n">
        <v>44171</v>
      </c>
      <c r="D14084" t="inlineStr">
        <is>
          <t>NIL</t>
        </is>
      </c>
      <c r="E14084" t="n">
        <v>619</v>
      </c>
    </row>
    <row r="14085">
      <c r="A14085" t="inlineStr">
        <is>
          <t>27BBBBB14085Z5</t>
        </is>
      </c>
      <c r="B14085" t="inlineStr">
        <is>
          <t>Aug-2017</t>
        </is>
      </c>
      <c r="C14085" s="2" t="n">
        <v>43450</v>
      </c>
      <c r="D14085" t="inlineStr">
        <is>
          <t>NIL</t>
        </is>
      </c>
      <c r="E14085" t="n">
        <v>2245</v>
      </c>
    </row>
    <row r="14086">
      <c r="A14086" t="inlineStr">
        <is>
          <t>27BBBBB14086Z5</t>
        </is>
      </c>
      <c r="B14086" t="inlineStr">
        <is>
          <t>Aug-2017</t>
        </is>
      </c>
      <c r="C14086" s="2" t="n">
        <v>43745</v>
      </c>
      <c r="D14086" t="inlineStr">
        <is>
          <t>NIL</t>
        </is>
      </c>
      <c r="E14086" t="n">
        <v>1838</v>
      </c>
    </row>
    <row r="14087">
      <c r="A14087" t="inlineStr">
        <is>
          <t>27BBBBB14087Z5</t>
        </is>
      </c>
      <c r="B14087" t="inlineStr">
        <is>
          <t>Jul-2018</t>
        </is>
      </c>
      <c r="C14087" s="2" t="n">
        <v>43369</v>
      </c>
      <c r="D14087" t="inlineStr">
        <is>
          <t>NIL</t>
        </is>
      </c>
      <c r="E14087" t="n">
        <v>1379</v>
      </c>
    </row>
    <row r="14088">
      <c r="A14088" t="inlineStr">
        <is>
          <t>27BBBBB14088Z5</t>
        </is>
      </c>
      <c r="B14088" t="inlineStr">
        <is>
          <t>Nov-2018</t>
        </is>
      </c>
      <c r="C14088" s="2" t="n">
        <v>43768</v>
      </c>
      <c r="D14088" t="inlineStr">
        <is>
          <t>NIL</t>
        </is>
      </c>
      <c r="E14088" t="n">
        <v>1252</v>
      </c>
    </row>
    <row r="14089">
      <c r="A14089" t="inlineStr">
        <is>
          <t>27BBBBB14089Z5</t>
        </is>
      </c>
      <c r="B14089" t="inlineStr">
        <is>
          <t>Jun-2018</t>
        </is>
      </c>
      <c r="C14089" s="2" t="n">
        <v>43085</v>
      </c>
      <c r="D14089" t="inlineStr">
        <is>
          <t>NIL</t>
        </is>
      </c>
      <c r="E14089" t="n">
        <v>656</v>
      </c>
    </row>
    <row r="14090">
      <c r="A14090" t="inlineStr">
        <is>
          <t>27BBBBB14090Z5</t>
        </is>
      </c>
      <c r="B14090" t="inlineStr">
        <is>
          <t>Apr-2020</t>
        </is>
      </c>
      <c r="C14090" s="2" t="n">
        <v>44264</v>
      </c>
      <c r="D14090" t="inlineStr">
        <is>
          <t>NIL</t>
        </is>
      </c>
      <c r="E14090" t="n">
        <v>356</v>
      </c>
    </row>
    <row r="14091">
      <c r="A14091" t="inlineStr">
        <is>
          <t>27BBBBB14091Z5</t>
        </is>
      </c>
      <c r="B14091" t="inlineStr">
        <is>
          <t>Feb-2018</t>
        </is>
      </c>
      <c r="C14091" s="2" t="n">
        <v>43848</v>
      </c>
      <c r="D14091" t="inlineStr">
        <is>
          <t>NIL</t>
        </is>
      </c>
      <c r="E14091" t="n">
        <v>2286</v>
      </c>
    </row>
    <row r="14092">
      <c r="A14092" t="inlineStr">
        <is>
          <t>27BBBBB14092Z5</t>
        </is>
      </c>
      <c r="B14092" t="inlineStr">
        <is>
          <t>Jun-2020</t>
        </is>
      </c>
      <c r="C14092" s="2" t="n">
        <v>44328</v>
      </c>
      <c r="D14092" t="inlineStr">
        <is>
          <t>NON-NIL</t>
        </is>
      </c>
      <c r="E14092" t="n">
        <v>2260</v>
      </c>
    </row>
    <row r="14093">
      <c r="A14093" t="inlineStr">
        <is>
          <t>27BBBBB14093Z5</t>
        </is>
      </c>
      <c r="B14093" t="inlineStr">
        <is>
          <t>Jun-2020</t>
        </is>
      </c>
      <c r="C14093" s="2" t="n">
        <v>44315</v>
      </c>
      <c r="D14093" t="inlineStr">
        <is>
          <t>NIL</t>
        </is>
      </c>
      <c r="E14093" t="n">
        <v>2093</v>
      </c>
    </row>
    <row r="14094">
      <c r="A14094" t="inlineStr">
        <is>
          <t>27BBBBB14094Z5</t>
        </is>
      </c>
      <c r="B14094" t="inlineStr">
        <is>
          <t>Jul-2018</t>
        </is>
      </c>
      <c r="C14094" s="2" t="n">
        <v>44437</v>
      </c>
      <c r="D14094" t="inlineStr">
        <is>
          <t>NIL</t>
        </is>
      </c>
      <c r="E14094" t="n">
        <v>1955</v>
      </c>
    </row>
    <row r="14095">
      <c r="A14095" t="inlineStr">
        <is>
          <t>27BBBBB14095Z5</t>
        </is>
      </c>
      <c r="B14095" t="inlineStr">
        <is>
          <t>Aug-2017</t>
        </is>
      </c>
      <c r="C14095" s="2" t="n">
        <v>43134</v>
      </c>
      <c r="D14095" t="inlineStr">
        <is>
          <t>NIL</t>
        </is>
      </c>
      <c r="E14095" t="n">
        <v>1762</v>
      </c>
    </row>
    <row r="14096">
      <c r="A14096" t="inlineStr">
        <is>
          <t>27BBBBB14096Z5</t>
        </is>
      </c>
      <c r="B14096" t="inlineStr">
        <is>
          <t>Oct-2018</t>
        </is>
      </c>
      <c r="C14096" s="2" t="n">
        <v>44405</v>
      </c>
      <c r="D14096" t="inlineStr">
        <is>
          <t>NON-NIL</t>
        </is>
      </c>
      <c r="E14096" t="n">
        <v>75</v>
      </c>
    </row>
    <row r="14097">
      <c r="A14097" t="inlineStr">
        <is>
          <t>27BBBBB14097Z5</t>
        </is>
      </c>
      <c r="B14097" t="inlineStr">
        <is>
          <t>Sep-2018</t>
        </is>
      </c>
      <c r="C14097" s="2" t="n">
        <v>44149</v>
      </c>
      <c r="D14097" t="inlineStr">
        <is>
          <t>NON-NIL</t>
        </is>
      </c>
      <c r="E14097" t="n">
        <v>256</v>
      </c>
    </row>
    <row r="14098">
      <c r="A14098" t="inlineStr">
        <is>
          <t>27BBBBB14098Z5</t>
        </is>
      </c>
      <c r="B14098" t="inlineStr">
        <is>
          <t>Mar-2018</t>
        </is>
      </c>
      <c r="C14098" s="2" t="n">
        <v>44499</v>
      </c>
      <c r="D14098" t="inlineStr">
        <is>
          <t>NIL</t>
        </is>
      </c>
      <c r="E14098" t="n">
        <v>2136</v>
      </c>
    </row>
    <row r="14099">
      <c r="A14099" t="inlineStr">
        <is>
          <t>27BBBBB14099Z5</t>
        </is>
      </c>
      <c r="B14099" t="inlineStr">
        <is>
          <t>Dec-2017</t>
        </is>
      </c>
      <c r="C14099" s="2" t="n">
        <v>43447</v>
      </c>
      <c r="D14099" t="inlineStr">
        <is>
          <t>NIL</t>
        </is>
      </c>
      <c r="E14099" t="n">
        <v>358</v>
      </c>
    </row>
    <row r="14100">
      <c r="A14100" t="inlineStr">
        <is>
          <t>27BBBBB14100Z5</t>
        </is>
      </c>
      <c r="B14100" t="inlineStr">
        <is>
          <t>Apr-2018</t>
        </is>
      </c>
      <c r="C14100" s="2" t="n">
        <v>43478</v>
      </c>
      <c r="D14100" t="inlineStr">
        <is>
          <t>NON-NIL</t>
        </is>
      </c>
      <c r="E14100" t="n">
        <v>2181</v>
      </c>
    </row>
    <row r="14101">
      <c r="A14101" t="inlineStr">
        <is>
          <t>27BBBBB14101Z5</t>
        </is>
      </c>
      <c r="B14101" t="inlineStr">
        <is>
          <t>Dec-2017</t>
        </is>
      </c>
      <c r="C14101" s="2" t="n">
        <v>44323</v>
      </c>
      <c r="D14101" t="inlineStr">
        <is>
          <t>NIL</t>
        </is>
      </c>
      <c r="E14101" t="n">
        <v>1096</v>
      </c>
    </row>
    <row r="14102">
      <c r="A14102" t="inlineStr">
        <is>
          <t>27BBBBB14102Z5</t>
        </is>
      </c>
      <c r="B14102" t="inlineStr">
        <is>
          <t>Dec-2024</t>
        </is>
      </c>
      <c r="C14102" s="2" t="n">
        <v>43545</v>
      </c>
      <c r="D14102" t="inlineStr">
        <is>
          <t>NIL</t>
        </is>
      </c>
      <c r="E14102" t="n">
        <v>2234</v>
      </c>
    </row>
    <row r="14103">
      <c r="A14103" t="inlineStr">
        <is>
          <t>27BBBBB14103Z5</t>
        </is>
      </c>
      <c r="B14103" t="inlineStr">
        <is>
          <t>Jul-2017</t>
        </is>
      </c>
      <c r="C14103" s="2" t="n">
        <v>44265</v>
      </c>
      <c r="D14103" t="inlineStr">
        <is>
          <t>NON-NIL</t>
        </is>
      </c>
      <c r="E14103" t="n">
        <v>2509</v>
      </c>
    </row>
    <row r="14104">
      <c r="A14104" t="inlineStr">
        <is>
          <t>27BBBBB14104Z5</t>
        </is>
      </c>
      <c r="B14104" t="inlineStr">
        <is>
          <t>Mar-2018</t>
        </is>
      </c>
      <c r="C14104" s="2" t="n">
        <v>44137</v>
      </c>
      <c r="D14104" t="inlineStr">
        <is>
          <t>NIL</t>
        </is>
      </c>
      <c r="E14104" t="n">
        <v>2772</v>
      </c>
    </row>
    <row r="14105">
      <c r="A14105" t="inlineStr">
        <is>
          <t>27BBBBB14105Z5</t>
        </is>
      </c>
      <c r="B14105" t="inlineStr">
        <is>
          <t>Mar-2023</t>
        </is>
      </c>
      <c r="C14105" s="2" t="n">
        <v>43524</v>
      </c>
      <c r="D14105" t="inlineStr">
        <is>
          <t>NON-NIL</t>
        </is>
      </c>
      <c r="E14105" t="n">
        <v>1435</v>
      </c>
    </row>
    <row r="14106">
      <c r="A14106" t="inlineStr">
        <is>
          <t>27BBBBB14106Z5</t>
        </is>
      </c>
      <c r="B14106" t="inlineStr">
        <is>
          <t>Apr-2020</t>
        </is>
      </c>
      <c r="C14106" s="2" t="n">
        <v>44597</v>
      </c>
      <c r="D14106" t="inlineStr">
        <is>
          <t>NIL</t>
        </is>
      </c>
      <c r="E14106" t="n">
        <v>1035</v>
      </c>
    </row>
    <row r="14107">
      <c r="A14107" t="inlineStr">
        <is>
          <t>27BBBBB14107Z5</t>
        </is>
      </c>
      <c r="B14107" t="inlineStr">
        <is>
          <t>Mar-2021</t>
        </is>
      </c>
      <c r="C14107" s="2" t="n">
        <v>45387</v>
      </c>
      <c r="D14107" t="inlineStr">
        <is>
          <t>NON-NIL</t>
        </is>
      </c>
      <c r="E14107" t="n">
        <v>2830</v>
      </c>
    </row>
    <row r="14108">
      <c r="A14108" t="inlineStr">
        <is>
          <t>27BBBBB14108Z5</t>
        </is>
      </c>
      <c r="B14108" t="inlineStr">
        <is>
          <t>Oct-2018</t>
        </is>
      </c>
      <c r="C14108" s="2" t="n">
        <v>43707</v>
      </c>
      <c r="D14108" t="inlineStr">
        <is>
          <t>NON-NIL</t>
        </is>
      </c>
      <c r="E14108" t="n">
        <v>293</v>
      </c>
    </row>
    <row r="14109">
      <c r="A14109" t="inlineStr">
        <is>
          <t>27BBBBB14109Z5</t>
        </is>
      </c>
      <c r="B14109" t="inlineStr">
        <is>
          <t>Dec-2024</t>
        </is>
      </c>
      <c r="C14109" s="2" t="n">
        <v>44346</v>
      </c>
      <c r="D14109" t="inlineStr">
        <is>
          <t>NON-NIL</t>
        </is>
      </c>
      <c r="E14109" t="n">
        <v>209</v>
      </c>
    </row>
    <row r="14110">
      <c r="A14110" t="inlineStr">
        <is>
          <t>27BBBBB14110Z5</t>
        </is>
      </c>
      <c r="B14110" t="inlineStr">
        <is>
          <t>Oct-2017</t>
        </is>
      </c>
      <c r="C14110" s="2" t="n">
        <v>43358</v>
      </c>
      <c r="D14110" t="inlineStr">
        <is>
          <t>NIL</t>
        </is>
      </c>
      <c r="E14110" t="n">
        <v>923</v>
      </c>
    </row>
    <row r="14111">
      <c r="A14111" t="inlineStr">
        <is>
          <t>27BBBBB14111Z5</t>
        </is>
      </c>
      <c r="B14111" t="inlineStr">
        <is>
          <t>Nov-2017</t>
        </is>
      </c>
      <c r="C14111" s="2" t="n">
        <v>43101</v>
      </c>
      <c r="D14111" t="inlineStr">
        <is>
          <t>NIL</t>
        </is>
      </c>
      <c r="E14111" t="n">
        <v>1991</v>
      </c>
    </row>
    <row r="14112">
      <c r="A14112" t="inlineStr">
        <is>
          <t>27BBBBB14112Z5</t>
        </is>
      </c>
      <c r="B14112" t="inlineStr">
        <is>
          <t>May-2020</t>
        </is>
      </c>
      <c r="C14112" s="2" t="n">
        <v>43856</v>
      </c>
      <c r="D14112" t="inlineStr">
        <is>
          <t>NIL</t>
        </is>
      </c>
      <c r="E14112" t="n">
        <v>698</v>
      </c>
    </row>
    <row r="14113">
      <c r="A14113" t="inlineStr">
        <is>
          <t>27BBBBB14113Z5</t>
        </is>
      </c>
      <c r="B14113" t="inlineStr">
        <is>
          <t>Apr-2018</t>
        </is>
      </c>
      <c r="C14113" s="2" t="n">
        <v>43860</v>
      </c>
      <c r="D14113" t="inlineStr">
        <is>
          <t>NIL</t>
        </is>
      </c>
      <c r="E14113" t="n">
        <v>1862</v>
      </c>
    </row>
    <row r="14114">
      <c r="A14114" t="inlineStr">
        <is>
          <t>27BBBBB14114Z5</t>
        </is>
      </c>
      <c r="B14114" t="inlineStr">
        <is>
          <t>Jul-2020</t>
        </is>
      </c>
      <c r="C14114" s="2" t="n">
        <v>44069</v>
      </c>
      <c r="D14114" t="inlineStr">
        <is>
          <t>NIL</t>
        </is>
      </c>
      <c r="E14114" t="n">
        <v>2618</v>
      </c>
    </row>
    <row r="14115">
      <c r="A14115" t="inlineStr">
        <is>
          <t>27BBBBB14115Z5</t>
        </is>
      </c>
      <c r="B14115" t="inlineStr">
        <is>
          <t>Nov-2017</t>
        </is>
      </c>
      <c r="C14115" s="2" t="n">
        <v>43532</v>
      </c>
      <c r="D14115" t="inlineStr">
        <is>
          <t>NON-NIL</t>
        </is>
      </c>
      <c r="E14115" t="n">
        <v>938</v>
      </c>
    </row>
    <row r="14116">
      <c r="A14116" t="inlineStr">
        <is>
          <t>27BBBBB14116Z5</t>
        </is>
      </c>
      <c r="B14116" t="inlineStr">
        <is>
          <t>Mar-2023</t>
        </is>
      </c>
      <c r="C14116" s="2" t="n">
        <v>44736</v>
      </c>
      <c r="D14116" t="inlineStr">
        <is>
          <t>NON-NIL</t>
        </is>
      </c>
      <c r="E14116" t="n">
        <v>348</v>
      </c>
    </row>
    <row r="14117">
      <c r="A14117" t="inlineStr">
        <is>
          <t>27BBBBB14117Z5</t>
        </is>
      </c>
      <c r="B14117" t="inlineStr">
        <is>
          <t>Dec-2018</t>
        </is>
      </c>
      <c r="C14117" s="2" t="n">
        <v>43518</v>
      </c>
      <c r="D14117" t="inlineStr">
        <is>
          <t>NON-NIL</t>
        </is>
      </c>
      <c r="E14117" t="n">
        <v>2548</v>
      </c>
    </row>
    <row r="14118">
      <c r="A14118" t="inlineStr">
        <is>
          <t>27BBBBB14118Z5</t>
        </is>
      </c>
      <c r="B14118" t="inlineStr">
        <is>
          <t>Dec-2024</t>
        </is>
      </c>
      <c r="C14118" s="2" t="n">
        <v>44391</v>
      </c>
      <c r="D14118" t="inlineStr">
        <is>
          <t>NON-NIL</t>
        </is>
      </c>
      <c r="E14118" t="n">
        <v>20</v>
      </c>
    </row>
    <row r="14119">
      <c r="A14119" t="inlineStr">
        <is>
          <t>27BBBBB14119Z5</t>
        </is>
      </c>
      <c r="B14119" t="inlineStr">
        <is>
          <t>Nov-2017</t>
        </is>
      </c>
      <c r="C14119" s="2" t="n">
        <v>44009</v>
      </c>
      <c r="D14119" t="inlineStr">
        <is>
          <t>NON-NIL</t>
        </is>
      </c>
      <c r="E14119" t="n">
        <v>16</v>
      </c>
    </row>
    <row r="14120">
      <c r="A14120" t="inlineStr">
        <is>
          <t>27BBBBB14120Z5</t>
        </is>
      </c>
      <c r="B14120" t="inlineStr">
        <is>
          <t>Oct-2017</t>
        </is>
      </c>
      <c r="C14120" s="2" t="n">
        <v>43452</v>
      </c>
      <c r="D14120" t="inlineStr">
        <is>
          <t>NON-NIL</t>
        </is>
      </c>
      <c r="E14120" t="n">
        <v>2151</v>
      </c>
    </row>
    <row r="14121">
      <c r="A14121" t="inlineStr">
        <is>
          <t>27BBBBB14121Z5</t>
        </is>
      </c>
      <c r="B14121" t="inlineStr">
        <is>
          <t>Apr-2020</t>
        </is>
      </c>
      <c r="C14121" s="2" t="n">
        <v>44765</v>
      </c>
      <c r="D14121" t="inlineStr">
        <is>
          <t>NON-NIL</t>
        </is>
      </c>
      <c r="E14121" t="n">
        <v>888</v>
      </c>
    </row>
    <row r="14122">
      <c r="A14122" t="inlineStr">
        <is>
          <t>27BBBBB14122Z5</t>
        </is>
      </c>
      <c r="B14122" t="inlineStr">
        <is>
          <t>Jun-2018</t>
        </is>
      </c>
      <c r="C14122" s="2" t="n">
        <v>43333</v>
      </c>
      <c r="D14122" t="inlineStr">
        <is>
          <t>NON-NIL</t>
        </is>
      </c>
      <c r="E14122" t="n">
        <v>2855</v>
      </c>
    </row>
    <row r="14123">
      <c r="A14123" t="inlineStr">
        <is>
          <t>27BBBBB14123Z5</t>
        </is>
      </c>
      <c r="B14123" t="inlineStr">
        <is>
          <t>Dec-2022</t>
        </is>
      </c>
      <c r="C14123" s="2" t="n">
        <v>45577</v>
      </c>
      <c r="D14123" t="inlineStr">
        <is>
          <t>NON-NIL</t>
        </is>
      </c>
      <c r="E14123" t="n">
        <v>2809</v>
      </c>
    </row>
    <row r="14124">
      <c r="A14124" t="inlineStr">
        <is>
          <t>27BBBBB14124Z5</t>
        </is>
      </c>
      <c r="B14124" t="inlineStr">
        <is>
          <t>Jul-2018</t>
        </is>
      </c>
      <c r="C14124" s="2" t="n">
        <v>43799</v>
      </c>
      <c r="D14124" t="inlineStr">
        <is>
          <t>NON-NIL</t>
        </is>
      </c>
      <c r="E14124" t="n">
        <v>260</v>
      </c>
    </row>
    <row r="14125">
      <c r="A14125" t="inlineStr">
        <is>
          <t>27BBBBB14125Z5</t>
        </is>
      </c>
      <c r="B14125" t="inlineStr">
        <is>
          <t>Sep-2018</t>
        </is>
      </c>
      <c r="C14125" s="2" t="n">
        <v>44202</v>
      </c>
      <c r="D14125" t="inlineStr">
        <is>
          <t>NIL</t>
        </is>
      </c>
      <c r="E14125" t="n">
        <v>744</v>
      </c>
    </row>
    <row r="14126">
      <c r="A14126" t="inlineStr">
        <is>
          <t>27BBBBB14126Z5</t>
        </is>
      </c>
      <c r="B14126" t="inlineStr">
        <is>
          <t>Oct-2018</t>
        </is>
      </c>
      <c r="C14126" s="2" t="n">
        <v>43874</v>
      </c>
      <c r="D14126" t="inlineStr">
        <is>
          <t>NON-NIL</t>
        </is>
      </c>
      <c r="E14126" t="n">
        <v>2339</v>
      </c>
    </row>
    <row r="14127">
      <c r="A14127" t="inlineStr">
        <is>
          <t>27BBBBB14127Z5</t>
        </is>
      </c>
      <c r="B14127" t="inlineStr">
        <is>
          <t>Sep-2017</t>
        </is>
      </c>
      <c r="C14127" s="2" t="n">
        <v>43095</v>
      </c>
      <c r="D14127" t="inlineStr">
        <is>
          <t>NIL</t>
        </is>
      </c>
      <c r="E14127" t="n">
        <v>1848</v>
      </c>
    </row>
    <row r="14128">
      <c r="A14128" t="inlineStr">
        <is>
          <t>27BBBBB14128Z5</t>
        </is>
      </c>
      <c r="B14128" t="inlineStr">
        <is>
          <t>Jul-2020</t>
        </is>
      </c>
      <c r="C14128" s="2" t="n">
        <v>44172</v>
      </c>
      <c r="D14128" t="inlineStr">
        <is>
          <t>NON-NIL</t>
        </is>
      </c>
      <c r="E14128" t="n">
        <v>2153</v>
      </c>
    </row>
    <row r="14129">
      <c r="A14129" t="inlineStr">
        <is>
          <t>27BBBBB14129Z5</t>
        </is>
      </c>
      <c r="B14129" t="inlineStr">
        <is>
          <t>Jan-2018</t>
        </is>
      </c>
      <c r="C14129" s="2" t="n">
        <v>43563</v>
      </c>
      <c r="D14129" t="inlineStr">
        <is>
          <t>NIL</t>
        </is>
      </c>
      <c r="E14129" t="n">
        <v>2916</v>
      </c>
    </row>
    <row r="14130">
      <c r="A14130" t="inlineStr">
        <is>
          <t>27BBBBB14130Z5</t>
        </is>
      </c>
      <c r="B14130" t="inlineStr">
        <is>
          <t>Dec-2024</t>
        </is>
      </c>
      <c r="C14130" s="2" t="n">
        <v>45169</v>
      </c>
      <c r="D14130" t="inlineStr">
        <is>
          <t>NON-NIL</t>
        </is>
      </c>
      <c r="E14130" t="n">
        <v>21</v>
      </c>
    </row>
    <row r="14131">
      <c r="A14131" t="inlineStr">
        <is>
          <t>27BBBBB14131Z5</t>
        </is>
      </c>
      <c r="B14131" t="inlineStr">
        <is>
          <t>Oct-2017</t>
        </is>
      </c>
      <c r="C14131" s="2" t="n">
        <v>42970</v>
      </c>
      <c r="D14131" t="inlineStr">
        <is>
          <t>NIL</t>
        </is>
      </c>
      <c r="E14131" t="n">
        <v>2782</v>
      </c>
    </row>
    <row r="14132">
      <c r="A14132" t="inlineStr">
        <is>
          <t>27BBBBB14132Z5</t>
        </is>
      </c>
      <c r="B14132" t="inlineStr">
        <is>
          <t>Oct-2018</t>
        </is>
      </c>
      <c r="C14132" s="2" t="n">
        <v>43876</v>
      </c>
      <c r="D14132" t="inlineStr">
        <is>
          <t>NON-NIL</t>
        </is>
      </c>
      <c r="E14132" t="n">
        <v>1715</v>
      </c>
    </row>
    <row r="14133">
      <c r="A14133" t="inlineStr">
        <is>
          <t>27BBBBB14133Z5</t>
        </is>
      </c>
      <c r="B14133" t="inlineStr">
        <is>
          <t>Jun-2018</t>
        </is>
      </c>
      <c r="C14133" s="2" t="n">
        <v>44004</v>
      </c>
      <c r="D14133" t="inlineStr">
        <is>
          <t>NON-NIL</t>
        </is>
      </c>
      <c r="E14133" t="n">
        <v>2735</v>
      </c>
    </row>
    <row r="14134">
      <c r="A14134" t="inlineStr">
        <is>
          <t>27BBBBB14134Z5</t>
        </is>
      </c>
      <c r="B14134" t="inlineStr">
        <is>
          <t>Apr-2020</t>
        </is>
      </c>
      <c r="C14134" s="2" t="n">
        <v>44486</v>
      </c>
      <c r="D14134" t="inlineStr">
        <is>
          <t>NON-NIL</t>
        </is>
      </c>
      <c r="E14134" t="n">
        <v>1641</v>
      </c>
    </row>
    <row r="14135">
      <c r="A14135" t="inlineStr">
        <is>
          <t>27BBBBB14135Z5</t>
        </is>
      </c>
      <c r="B14135" t="inlineStr">
        <is>
          <t>Oct-2018</t>
        </is>
      </c>
      <c r="C14135" s="2" t="n">
        <v>44341</v>
      </c>
      <c r="D14135" t="inlineStr">
        <is>
          <t>NIL</t>
        </is>
      </c>
      <c r="E14135" t="n">
        <v>2276</v>
      </c>
    </row>
    <row r="14136">
      <c r="A14136" t="inlineStr">
        <is>
          <t>27BBBBB14136Z5</t>
        </is>
      </c>
      <c r="B14136" t="inlineStr">
        <is>
          <t>Mar-2023</t>
        </is>
      </c>
      <c r="C14136" s="2" t="n">
        <v>44862</v>
      </c>
      <c r="D14136" t="inlineStr">
        <is>
          <t>NIL</t>
        </is>
      </c>
      <c r="E14136" t="n">
        <v>710</v>
      </c>
    </row>
    <row r="14137">
      <c r="A14137" t="inlineStr">
        <is>
          <t>27BBBBB14137Z5</t>
        </is>
      </c>
      <c r="B14137" t="inlineStr">
        <is>
          <t>Oct-2017</t>
        </is>
      </c>
      <c r="C14137" s="2" t="n">
        <v>44103</v>
      </c>
      <c r="D14137" t="inlineStr">
        <is>
          <t>NON-NIL</t>
        </is>
      </c>
      <c r="E14137" t="n">
        <v>1736</v>
      </c>
    </row>
    <row r="14138">
      <c r="A14138" t="inlineStr">
        <is>
          <t>27BBBBB14138Z5</t>
        </is>
      </c>
      <c r="B14138" t="inlineStr">
        <is>
          <t>Jul-2018</t>
        </is>
      </c>
      <c r="C14138" s="2" t="n">
        <v>43480</v>
      </c>
      <c r="D14138" t="inlineStr">
        <is>
          <t>NON-NIL</t>
        </is>
      </c>
      <c r="E14138" t="n">
        <v>2283</v>
      </c>
    </row>
    <row r="14139">
      <c r="A14139" t="inlineStr">
        <is>
          <t>27BBBBB14139Z5</t>
        </is>
      </c>
      <c r="B14139" t="inlineStr">
        <is>
          <t>Dec-2024</t>
        </is>
      </c>
      <c r="C14139" s="2" t="n">
        <v>43685</v>
      </c>
      <c r="D14139" t="inlineStr">
        <is>
          <t>NON-NIL</t>
        </is>
      </c>
      <c r="E14139" t="n">
        <v>354</v>
      </c>
    </row>
    <row r="14140">
      <c r="A14140" t="inlineStr">
        <is>
          <t>27BBBBB14140Z5</t>
        </is>
      </c>
      <c r="B14140" t="inlineStr">
        <is>
          <t>Apr-2020</t>
        </is>
      </c>
      <c r="C14140" s="2" t="n">
        <v>43956</v>
      </c>
      <c r="D14140" t="inlineStr">
        <is>
          <t>NON-NIL</t>
        </is>
      </c>
      <c r="E14140" t="n">
        <v>1147</v>
      </c>
    </row>
    <row r="14141">
      <c r="A14141" t="inlineStr">
        <is>
          <t>27BBBBB14141Z5</t>
        </is>
      </c>
      <c r="B14141" t="inlineStr">
        <is>
          <t>May-2018</t>
        </is>
      </c>
      <c r="C14141" s="2" t="n">
        <v>43864</v>
      </c>
      <c r="D14141" t="inlineStr">
        <is>
          <t>NIL</t>
        </is>
      </c>
      <c r="E14141" t="n">
        <v>162</v>
      </c>
    </row>
    <row r="14142">
      <c r="A14142" t="inlineStr">
        <is>
          <t>27BBBBB14142Z5</t>
        </is>
      </c>
      <c r="B14142" t="inlineStr">
        <is>
          <t>Nov-2017</t>
        </is>
      </c>
      <c r="C14142" s="2" t="n">
        <v>43486</v>
      </c>
      <c r="D14142" t="inlineStr">
        <is>
          <t>NON-NIL</t>
        </is>
      </c>
      <c r="E14142" t="n">
        <v>627</v>
      </c>
    </row>
    <row r="14143">
      <c r="A14143" t="inlineStr">
        <is>
          <t>27BBBBB14143Z5</t>
        </is>
      </c>
      <c r="B14143" t="inlineStr">
        <is>
          <t>Mar-2020</t>
        </is>
      </c>
      <c r="C14143" s="2" t="n">
        <v>44581</v>
      </c>
      <c r="D14143" t="inlineStr">
        <is>
          <t>NON-NIL</t>
        </is>
      </c>
      <c r="E14143" t="n">
        <v>1553</v>
      </c>
    </row>
    <row r="14144">
      <c r="A14144" t="inlineStr">
        <is>
          <t>27BBBBB14144Z5</t>
        </is>
      </c>
      <c r="B14144" t="inlineStr">
        <is>
          <t>Nov-2018</t>
        </is>
      </c>
      <c r="C14144" s="2" t="n">
        <v>42967</v>
      </c>
      <c r="D14144" t="inlineStr">
        <is>
          <t>NON-NIL</t>
        </is>
      </c>
      <c r="E14144" t="n">
        <v>296</v>
      </c>
    </row>
    <row r="14145">
      <c r="A14145" t="inlineStr">
        <is>
          <t>27BBBBB14145Z5</t>
        </is>
      </c>
      <c r="B14145" t="inlineStr">
        <is>
          <t>Sep-2017</t>
        </is>
      </c>
      <c r="C14145" s="2" t="n">
        <v>44207</v>
      </c>
      <c r="D14145" t="inlineStr">
        <is>
          <t>NON-NIL</t>
        </is>
      </c>
      <c r="E14145" t="n">
        <v>1867</v>
      </c>
    </row>
    <row r="14146">
      <c r="A14146" t="inlineStr">
        <is>
          <t>27BBBBB14146Z5</t>
        </is>
      </c>
      <c r="B14146" t="inlineStr">
        <is>
          <t>Nov-2017</t>
        </is>
      </c>
      <c r="C14146" s="2" t="n">
        <v>43567</v>
      </c>
      <c r="D14146" t="inlineStr">
        <is>
          <t>NON-NIL</t>
        </is>
      </c>
      <c r="E14146" t="n">
        <v>2110</v>
      </c>
    </row>
    <row r="14147">
      <c r="A14147" t="inlineStr">
        <is>
          <t>27BBBBB14147Z5</t>
        </is>
      </c>
      <c r="B14147" t="inlineStr">
        <is>
          <t>Sep-2018</t>
        </is>
      </c>
      <c r="C14147" s="2" t="n">
        <v>43906</v>
      </c>
      <c r="D14147" t="inlineStr">
        <is>
          <t>NON-NIL</t>
        </is>
      </c>
      <c r="E14147" t="n">
        <v>487</v>
      </c>
    </row>
    <row r="14148">
      <c r="A14148" t="inlineStr">
        <is>
          <t>27BBBBB14148Z5</t>
        </is>
      </c>
      <c r="B14148" t="inlineStr">
        <is>
          <t>Dec-2017</t>
        </is>
      </c>
      <c r="C14148" s="2" t="n">
        <v>43804</v>
      </c>
      <c r="D14148" t="inlineStr">
        <is>
          <t>NON-NIL</t>
        </is>
      </c>
      <c r="E14148" t="n">
        <v>919</v>
      </c>
    </row>
    <row r="14149">
      <c r="A14149" t="inlineStr">
        <is>
          <t>27BBBBB14149Z5</t>
        </is>
      </c>
      <c r="B14149" t="inlineStr">
        <is>
          <t>Sep-2017</t>
        </is>
      </c>
      <c r="C14149" s="2" t="n">
        <v>43496</v>
      </c>
      <c r="D14149" t="inlineStr">
        <is>
          <t>NIL</t>
        </is>
      </c>
      <c r="E14149" t="n">
        <v>2836</v>
      </c>
    </row>
    <row r="14150">
      <c r="A14150" t="inlineStr">
        <is>
          <t>27BBBBB14150Z5</t>
        </is>
      </c>
      <c r="B14150" t="inlineStr">
        <is>
          <t>Mar-2021</t>
        </is>
      </c>
      <c r="C14150" s="2" t="n">
        <v>43478</v>
      </c>
      <c r="D14150" t="inlineStr">
        <is>
          <t>NIL</t>
        </is>
      </c>
      <c r="E14150" t="n">
        <v>738</v>
      </c>
    </row>
    <row r="14151">
      <c r="A14151" t="inlineStr">
        <is>
          <t>27BBBBB14151Z5</t>
        </is>
      </c>
      <c r="B14151" t="inlineStr">
        <is>
          <t>Feb-2018</t>
        </is>
      </c>
      <c r="C14151" s="2" t="n">
        <v>43883</v>
      </c>
      <c r="D14151" t="inlineStr">
        <is>
          <t>NON-NIL</t>
        </is>
      </c>
      <c r="E14151" t="n">
        <v>1952</v>
      </c>
    </row>
    <row r="14152">
      <c r="A14152" t="inlineStr">
        <is>
          <t>27BBBBB14152Z5</t>
        </is>
      </c>
      <c r="B14152" t="inlineStr">
        <is>
          <t>Jan-2018</t>
        </is>
      </c>
      <c r="C14152" s="2" t="n">
        <v>43805</v>
      </c>
      <c r="D14152" t="inlineStr">
        <is>
          <t>NIL</t>
        </is>
      </c>
      <c r="E14152" t="n">
        <v>1509</v>
      </c>
    </row>
    <row r="14153">
      <c r="A14153" t="inlineStr">
        <is>
          <t>27BBBBB14153Z5</t>
        </is>
      </c>
      <c r="B14153" t="inlineStr">
        <is>
          <t>Sep-2017</t>
        </is>
      </c>
      <c r="C14153" s="2" t="n">
        <v>43827</v>
      </c>
      <c r="D14153" t="inlineStr">
        <is>
          <t>NIL</t>
        </is>
      </c>
      <c r="E14153" t="n">
        <v>959</v>
      </c>
    </row>
    <row r="14154">
      <c r="A14154" t="inlineStr">
        <is>
          <t>27BBBBB14154Z5</t>
        </is>
      </c>
      <c r="B14154" t="inlineStr">
        <is>
          <t>Dec-2024</t>
        </is>
      </c>
      <c r="C14154" s="2" t="n">
        <v>45057</v>
      </c>
      <c r="D14154" t="inlineStr">
        <is>
          <t>NON-NIL</t>
        </is>
      </c>
      <c r="E14154" t="n">
        <v>1133</v>
      </c>
    </row>
    <row r="14155">
      <c r="A14155" t="inlineStr">
        <is>
          <t>27BBBBB14155Z5</t>
        </is>
      </c>
      <c r="B14155" t="inlineStr">
        <is>
          <t>May-2018</t>
        </is>
      </c>
      <c r="C14155" s="2" t="n">
        <v>44164</v>
      </c>
      <c r="D14155" t="inlineStr">
        <is>
          <t>NIL</t>
        </is>
      </c>
      <c r="E14155" t="n">
        <v>996</v>
      </c>
    </row>
    <row r="14156">
      <c r="A14156" t="inlineStr">
        <is>
          <t>27BBBBB14156Z5</t>
        </is>
      </c>
      <c r="B14156" t="inlineStr">
        <is>
          <t>Aug-2018</t>
        </is>
      </c>
      <c r="C14156" s="2" t="n">
        <v>43444</v>
      </c>
      <c r="D14156" t="inlineStr">
        <is>
          <t>NON-NIL</t>
        </is>
      </c>
      <c r="E14156" t="n">
        <v>2975</v>
      </c>
    </row>
    <row r="14157">
      <c r="A14157" t="inlineStr">
        <is>
          <t>27BBBBB14157Z5</t>
        </is>
      </c>
      <c r="B14157" t="inlineStr">
        <is>
          <t>Mar-2020</t>
        </is>
      </c>
      <c r="C14157" s="2" t="n">
        <v>44568</v>
      </c>
      <c r="D14157" t="inlineStr">
        <is>
          <t>NIL</t>
        </is>
      </c>
      <c r="E14157" t="n">
        <v>513</v>
      </c>
    </row>
    <row r="14158">
      <c r="A14158" t="inlineStr">
        <is>
          <t>27BBBBB14158Z5</t>
        </is>
      </c>
      <c r="B14158" t="inlineStr">
        <is>
          <t>Apr-2018</t>
        </is>
      </c>
      <c r="C14158" s="2" t="n">
        <v>43741</v>
      </c>
      <c r="D14158" t="inlineStr">
        <is>
          <t>NIL</t>
        </is>
      </c>
      <c r="E14158" t="n">
        <v>2921</v>
      </c>
    </row>
    <row r="14159">
      <c r="A14159" t="inlineStr">
        <is>
          <t>27BBBBB14159Z5</t>
        </is>
      </c>
      <c r="B14159" t="inlineStr">
        <is>
          <t>Dec-2017</t>
        </is>
      </c>
      <c r="C14159" s="2" t="n">
        <v>44446</v>
      </c>
      <c r="D14159" t="inlineStr">
        <is>
          <t>NON-NIL</t>
        </is>
      </c>
      <c r="E14159" t="n">
        <v>1419</v>
      </c>
    </row>
    <row r="14160">
      <c r="A14160" t="inlineStr">
        <is>
          <t>27BBBBB14160Z5</t>
        </is>
      </c>
      <c r="B14160" t="inlineStr">
        <is>
          <t>Apr-2020</t>
        </is>
      </c>
      <c r="C14160" s="2" t="n">
        <v>44479</v>
      </c>
      <c r="D14160" t="inlineStr">
        <is>
          <t>NON-NIL</t>
        </is>
      </c>
      <c r="E14160" t="n">
        <v>2441</v>
      </c>
    </row>
    <row r="14161">
      <c r="A14161" t="inlineStr">
        <is>
          <t>27BBBBB14161Z5</t>
        </is>
      </c>
      <c r="B14161" t="inlineStr">
        <is>
          <t>Dec-2017</t>
        </is>
      </c>
      <c r="C14161" s="2" t="n">
        <v>44551</v>
      </c>
      <c r="D14161" t="inlineStr">
        <is>
          <t>NIL</t>
        </is>
      </c>
      <c r="E14161" t="n">
        <v>276</v>
      </c>
    </row>
    <row r="14162">
      <c r="A14162" t="inlineStr">
        <is>
          <t>27BBBBB14162Z5</t>
        </is>
      </c>
      <c r="B14162" t="inlineStr">
        <is>
          <t>Nov-2018</t>
        </is>
      </c>
      <c r="C14162" s="2" t="n">
        <v>44560</v>
      </c>
      <c r="D14162" t="inlineStr">
        <is>
          <t>NIL</t>
        </is>
      </c>
      <c r="E14162" t="n">
        <v>461</v>
      </c>
    </row>
    <row r="14163">
      <c r="A14163" t="inlineStr">
        <is>
          <t>27BBBBB14163Z5</t>
        </is>
      </c>
      <c r="B14163" t="inlineStr">
        <is>
          <t>Jul-2020</t>
        </is>
      </c>
      <c r="C14163" s="2" t="n">
        <v>44380</v>
      </c>
      <c r="D14163" t="inlineStr">
        <is>
          <t>NIL</t>
        </is>
      </c>
      <c r="E14163" t="n">
        <v>1531</v>
      </c>
    </row>
    <row r="14164">
      <c r="A14164" t="inlineStr">
        <is>
          <t>27BBBBB14164Z5</t>
        </is>
      </c>
      <c r="B14164" t="inlineStr">
        <is>
          <t>Jul-2018</t>
        </is>
      </c>
      <c r="C14164" s="2" t="n">
        <v>42993</v>
      </c>
      <c r="D14164" t="inlineStr">
        <is>
          <t>NIL</t>
        </is>
      </c>
      <c r="E14164" t="n">
        <v>1473</v>
      </c>
    </row>
    <row r="14165">
      <c r="A14165" t="inlineStr">
        <is>
          <t>27BBBBB14165Z5</t>
        </is>
      </c>
      <c r="B14165" t="inlineStr">
        <is>
          <t>Oct-2017</t>
        </is>
      </c>
      <c r="C14165" s="2" t="n">
        <v>44416</v>
      </c>
      <c r="D14165" t="inlineStr">
        <is>
          <t>NIL</t>
        </is>
      </c>
      <c r="E14165" t="n">
        <v>1933</v>
      </c>
    </row>
    <row r="14166">
      <c r="A14166" t="inlineStr">
        <is>
          <t>27BBBBB14166Z5</t>
        </is>
      </c>
      <c r="B14166" t="inlineStr">
        <is>
          <t>Dec-2022</t>
        </is>
      </c>
      <c r="C14166" s="2" t="n">
        <v>44300</v>
      </c>
      <c r="D14166" t="inlineStr">
        <is>
          <t>NIL</t>
        </is>
      </c>
      <c r="E14166" t="n">
        <v>2537</v>
      </c>
    </row>
    <row r="14167">
      <c r="A14167" t="inlineStr">
        <is>
          <t>27BBBBB14167Z5</t>
        </is>
      </c>
      <c r="B14167" t="inlineStr">
        <is>
          <t>Oct-2017</t>
        </is>
      </c>
      <c r="C14167" s="2" t="n">
        <v>43944</v>
      </c>
      <c r="D14167" t="inlineStr">
        <is>
          <t>NON-NIL</t>
        </is>
      </c>
      <c r="E14167" t="n">
        <v>2664</v>
      </c>
    </row>
    <row r="14168">
      <c r="A14168" t="inlineStr">
        <is>
          <t>27BBBBB14168Z5</t>
        </is>
      </c>
      <c r="B14168" t="inlineStr">
        <is>
          <t>Jun-2020</t>
        </is>
      </c>
      <c r="C14168" s="2" t="n">
        <v>44910</v>
      </c>
      <c r="D14168" t="inlineStr">
        <is>
          <t>NON-NIL</t>
        </is>
      </c>
      <c r="E14168" t="n">
        <v>88</v>
      </c>
    </row>
    <row r="14169">
      <c r="A14169" t="inlineStr">
        <is>
          <t>27BBBBB14169Z5</t>
        </is>
      </c>
      <c r="B14169" t="inlineStr">
        <is>
          <t>Aug-2018</t>
        </is>
      </c>
      <c r="C14169" s="2" t="n">
        <v>43056</v>
      </c>
      <c r="D14169" t="inlineStr">
        <is>
          <t>NON-NIL</t>
        </is>
      </c>
      <c r="E14169" t="n">
        <v>2635</v>
      </c>
    </row>
    <row r="14170">
      <c r="A14170" t="inlineStr">
        <is>
          <t>27BBBBB14170Z5</t>
        </is>
      </c>
      <c r="B14170" t="inlineStr">
        <is>
          <t>Jul-2017</t>
        </is>
      </c>
      <c r="C14170" s="2" t="n">
        <v>43481</v>
      </c>
      <c r="D14170" t="inlineStr">
        <is>
          <t>NON-NIL</t>
        </is>
      </c>
      <c r="E14170" t="n">
        <v>1259</v>
      </c>
    </row>
    <row r="14171">
      <c r="A14171" t="inlineStr">
        <is>
          <t>27BBBBB14171Z5</t>
        </is>
      </c>
      <c r="B14171" t="inlineStr">
        <is>
          <t>Nov-2018</t>
        </is>
      </c>
      <c r="C14171" s="2" t="n">
        <v>43898</v>
      </c>
      <c r="D14171" t="inlineStr">
        <is>
          <t>NON-NIL</t>
        </is>
      </c>
      <c r="E14171" t="n">
        <v>853</v>
      </c>
    </row>
    <row r="14172">
      <c r="A14172" t="inlineStr">
        <is>
          <t>27BBBBB14172Z5</t>
        </is>
      </c>
      <c r="B14172" t="inlineStr">
        <is>
          <t>Mar-2020</t>
        </is>
      </c>
      <c r="C14172" s="2" t="n">
        <v>43911</v>
      </c>
      <c r="D14172" t="inlineStr">
        <is>
          <t>NIL</t>
        </is>
      </c>
      <c r="E14172" t="n">
        <v>663</v>
      </c>
    </row>
    <row r="14173">
      <c r="A14173" t="inlineStr">
        <is>
          <t>27BBBBB14173Z5</t>
        </is>
      </c>
      <c r="B14173" t="inlineStr">
        <is>
          <t>Jan-2021</t>
        </is>
      </c>
      <c r="C14173" s="2" t="n">
        <v>43707</v>
      </c>
      <c r="D14173" t="inlineStr">
        <is>
          <t>NIL</t>
        </is>
      </c>
      <c r="E14173" t="n">
        <v>1060</v>
      </c>
    </row>
    <row r="14174">
      <c r="A14174" t="inlineStr">
        <is>
          <t>27BBBBB14174Z5</t>
        </is>
      </c>
      <c r="B14174" t="inlineStr">
        <is>
          <t>Aug-2017</t>
        </is>
      </c>
      <c r="C14174" s="2" t="n">
        <v>44419</v>
      </c>
      <c r="D14174" t="inlineStr">
        <is>
          <t>NON-NIL</t>
        </is>
      </c>
      <c r="E14174" t="n">
        <v>1140</v>
      </c>
    </row>
    <row r="14175">
      <c r="A14175" t="inlineStr">
        <is>
          <t>27BBBBB14175Z5</t>
        </is>
      </c>
      <c r="B14175" t="inlineStr">
        <is>
          <t>Jul-2018</t>
        </is>
      </c>
      <c r="C14175" s="2" t="n">
        <v>43688</v>
      </c>
      <c r="D14175" t="inlineStr">
        <is>
          <t>NON-NIL</t>
        </is>
      </c>
      <c r="E14175" t="n">
        <v>741</v>
      </c>
    </row>
    <row r="14176">
      <c r="A14176" t="inlineStr">
        <is>
          <t>27BBBBB14176Z5</t>
        </is>
      </c>
      <c r="B14176" t="inlineStr">
        <is>
          <t>Apr-2018</t>
        </is>
      </c>
      <c r="C14176" s="2" t="n">
        <v>44069</v>
      </c>
      <c r="D14176" t="inlineStr">
        <is>
          <t>NON-NIL</t>
        </is>
      </c>
      <c r="E14176" t="n">
        <v>292</v>
      </c>
    </row>
    <row r="14177">
      <c r="A14177" t="inlineStr">
        <is>
          <t>27BBBBB14177Z5</t>
        </is>
      </c>
      <c r="B14177" t="inlineStr">
        <is>
          <t>Dec-2018</t>
        </is>
      </c>
      <c r="C14177" s="2" t="n">
        <v>43264</v>
      </c>
      <c r="D14177" t="inlineStr">
        <is>
          <t>NON-NIL</t>
        </is>
      </c>
      <c r="E14177" t="n">
        <v>1323</v>
      </c>
    </row>
    <row r="14178">
      <c r="A14178" t="inlineStr">
        <is>
          <t>27BBBBB14178Z5</t>
        </is>
      </c>
      <c r="B14178" t="inlineStr">
        <is>
          <t>Mar-2021</t>
        </is>
      </c>
      <c r="C14178" s="2" t="n">
        <v>44676</v>
      </c>
      <c r="D14178" t="inlineStr">
        <is>
          <t>NIL</t>
        </is>
      </c>
      <c r="E14178" t="n">
        <v>173</v>
      </c>
    </row>
    <row r="14179">
      <c r="A14179" t="inlineStr">
        <is>
          <t>27BBBBB14179Z5</t>
        </is>
      </c>
      <c r="B14179" t="inlineStr">
        <is>
          <t>Sep-2018</t>
        </is>
      </c>
      <c r="C14179" s="2" t="n">
        <v>44382</v>
      </c>
      <c r="D14179" t="inlineStr">
        <is>
          <t>NIL</t>
        </is>
      </c>
      <c r="E14179" t="n">
        <v>1233</v>
      </c>
    </row>
    <row r="14180">
      <c r="A14180" t="inlineStr">
        <is>
          <t>27BBBBB14180Z5</t>
        </is>
      </c>
      <c r="B14180" t="inlineStr">
        <is>
          <t>May-2020</t>
        </is>
      </c>
      <c r="C14180" s="2" t="n">
        <v>43999</v>
      </c>
      <c r="D14180" t="inlineStr">
        <is>
          <t>NON-NIL</t>
        </is>
      </c>
      <c r="E14180" t="n">
        <v>1248</v>
      </c>
    </row>
    <row r="14181">
      <c r="A14181" t="inlineStr">
        <is>
          <t>27BBBBB14181Z5</t>
        </is>
      </c>
      <c r="B14181" t="inlineStr">
        <is>
          <t>Oct-2018</t>
        </is>
      </c>
      <c r="C14181" s="2" t="n">
        <v>44215</v>
      </c>
      <c r="D14181" t="inlineStr">
        <is>
          <t>NIL</t>
        </is>
      </c>
      <c r="E14181" t="n">
        <v>1497</v>
      </c>
    </row>
    <row r="14182">
      <c r="A14182" t="inlineStr">
        <is>
          <t>27BBBBB14182Z5</t>
        </is>
      </c>
      <c r="B14182" t="inlineStr">
        <is>
          <t>Sep-2018</t>
        </is>
      </c>
      <c r="C14182" s="2" t="n">
        <v>43479</v>
      </c>
      <c r="D14182" t="inlineStr">
        <is>
          <t>NON-NIL</t>
        </is>
      </c>
      <c r="E14182" t="n">
        <v>1084</v>
      </c>
    </row>
    <row r="14183">
      <c r="A14183" t="inlineStr">
        <is>
          <t>27BBBBB14183Z5</t>
        </is>
      </c>
      <c r="B14183" t="inlineStr">
        <is>
          <t>Sep-2018</t>
        </is>
      </c>
      <c r="C14183" s="2" t="n">
        <v>43254</v>
      </c>
      <c r="D14183" t="inlineStr">
        <is>
          <t>NIL</t>
        </is>
      </c>
      <c r="E14183" t="n">
        <v>1778</v>
      </c>
    </row>
    <row r="14184">
      <c r="A14184" t="inlineStr">
        <is>
          <t>27BBBBB14184Z5</t>
        </is>
      </c>
      <c r="B14184" t="inlineStr">
        <is>
          <t>Jul-2018</t>
        </is>
      </c>
      <c r="C14184" s="2" t="n">
        <v>43086</v>
      </c>
      <c r="D14184" t="inlineStr">
        <is>
          <t>NIL</t>
        </is>
      </c>
      <c r="E14184" t="n">
        <v>1883</v>
      </c>
    </row>
    <row r="14185">
      <c r="A14185" t="inlineStr">
        <is>
          <t>27BBBBB14185Z5</t>
        </is>
      </c>
      <c r="B14185" t="inlineStr">
        <is>
          <t>Jul-2018</t>
        </is>
      </c>
      <c r="C14185" s="2" t="n">
        <v>43064</v>
      </c>
      <c r="D14185" t="inlineStr">
        <is>
          <t>NON-NIL</t>
        </is>
      </c>
      <c r="E14185" t="n">
        <v>2022</v>
      </c>
    </row>
    <row r="14186">
      <c r="A14186" t="inlineStr">
        <is>
          <t>27BBBBB14186Z5</t>
        </is>
      </c>
      <c r="B14186" t="inlineStr">
        <is>
          <t>Jul-2017</t>
        </is>
      </c>
      <c r="C14186" s="2" t="n">
        <v>43260</v>
      </c>
      <c r="D14186" t="inlineStr">
        <is>
          <t>NON-NIL</t>
        </is>
      </c>
      <c r="E14186" t="n">
        <v>2496</v>
      </c>
    </row>
    <row r="14187">
      <c r="A14187" t="inlineStr">
        <is>
          <t>27BBBBB14187Z5</t>
        </is>
      </c>
      <c r="B14187" t="inlineStr">
        <is>
          <t>Jun-2020</t>
        </is>
      </c>
      <c r="C14187" s="2" t="n">
        <v>44362</v>
      </c>
      <c r="D14187" t="inlineStr">
        <is>
          <t>NIL</t>
        </is>
      </c>
      <c r="E14187" t="n">
        <v>1043</v>
      </c>
    </row>
    <row r="14188">
      <c r="A14188" t="inlineStr">
        <is>
          <t>27BBBBB14188Z5</t>
        </is>
      </c>
      <c r="B14188" t="inlineStr">
        <is>
          <t>Mar-2020</t>
        </is>
      </c>
      <c r="C14188" s="2" t="n">
        <v>44905</v>
      </c>
      <c r="D14188" t="inlineStr">
        <is>
          <t>NON-NIL</t>
        </is>
      </c>
      <c r="E14188" t="n">
        <v>293</v>
      </c>
    </row>
    <row r="14189">
      <c r="A14189" t="inlineStr">
        <is>
          <t>27BBBBB14189Z5</t>
        </is>
      </c>
      <c r="B14189" t="inlineStr">
        <is>
          <t>Oct-2017</t>
        </is>
      </c>
      <c r="C14189" s="2" t="n">
        <v>43129</v>
      </c>
      <c r="D14189" t="inlineStr">
        <is>
          <t>NON-NIL</t>
        </is>
      </c>
      <c r="E14189" t="n">
        <v>689</v>
      </c>
    </row>
    <row r="14190">
      <c r="A14190" t="inlineStr">
        <is>
          <t>27BBBBB14190Z5</t>
        </is>
      </c>
      <c r="B14190" t="inlineStr">
        <is>
          <t>Mar-2018</t>
        </is>
      </c>
      <c r="C14190" s="2" t="n">
        <v>44544</v>
      </c>
      <c r="D14190" t="inlineStr">
        <is>
          <t>NON-NIL</t>
        </is>
      </c>
      <c r="E14190" t="n">
        <v>2785</v>
      </c>
    </row>
    <row r="14191">
      <c r="A14191" t="inlineStr">
        <is>
          <t>27BBBBB14191Z5</t>
        </is>
      </c>
      <c r="B14191" t="inlineStr">
        <is>
          <t>Jul-2020</t>
        </is>
      </c>
      <c r="C14191" s="2" t="n">
        <v>44079</v>
      </c>
      <c r="D14191" t="inlineStr">
        <is>
          <t>NON-NIL</t>
        </is>
      </c>
      <c r="E14191" t="n">
        <v>2722</v>
      </c>
    </row>
    <row r="14192">
      <c r="A14192" t="inlineStr">
        <is>
          <t>27BBBBB14192Z5</t>
        </is>
      </c>
      <c r="B14192" t="inlineStr">
        <is>
          <t>Aug-2018</t>
        </is>
      </c>
      <c r="C14192" s="2" t="n">
        <v>43634</v>
      </c>
      <c r="D14192" t="inlineStr">
        <is>
          <t>NIL</t>
        </is>
      </c>
      <c r="E14192" t="n">
        <v>1123</v>
      </c>
    </row>
    <row r="14193">
      <c r="A14193" t="inlineStr">
        <is>
          <t>27BBBBB14193Z5</t>
        </is>
      </c>
      <c r="B14193" t="inlineStr">
        <is>
          <t>Jul-2018</t>
        </is>
      </c>
      <c r="C14193" s="2" t="n">
        <v>43083</v>
      </c>
      <c r="D14193" t="inlineStr">
        <is>
          <t>NIL</t>
        </is>
      </c>
      <c r="E14193" t="n">
        <v>1025</v>
      </c>
    </row>
    <row r="14194">
      <c r="A14194" t="inlineStr">
        <is>
          <t>27BBBBB14194Z5</t>
        </is>
      </c>
      <c r="B14194" t="inlineStr">
        <is>
          <t>Dec-2024</t>
        </is>
      </c>
      <c r="C14194" s="2" t="n">
        <v>43607</v>
      </c>
      <c r="D14194" t="inlineStr">
        <is>
          <t>NIL</t>
        </is>
      </c>
      <c r="E14194" t="n">
        <v>374</v>
      </c>
    </row>
    <row r="14195">
      <c r="A14195" t="inlineStr">
        <is>
          <t>27BBBBB14195Z5</t>
        </is>
      </c>
      <c r="B14195" t="inlineStr">
        <is>
          <t>Jan-2021</t>
        </is>
      </c>
      <c r="C14195" s="2" t="n">
        <v>44038</v>
      </c>
      <c r="D14195" t="inlineStr">
        <is>
          <t>NIL</t>
        </is>
      </c>
      <c r="E14195" t="n">
        <v>633</v>
      </c>
    </row>
    <row r="14196">
      <c r="A14196" t="inlineStr">
        <is>
          <t>27BBBBB14196Z5</t>
        </is>
      </c>
      <c r="B14196" t="inlineStr">
        <is>
          <t>Mar-2020</t>
        </is>
      </c>
      <c r="C14196" s="2" t="n">
        <v>44860</v>
      </c>
      <c r="D14196" t="inlineStr">
        <is>
          <t>NON-NIL</t>
        </is>
      </c>
      <c r="E14196" t="n">
        <v>1466</v>
      </c>
    </row>
    <row r="14197">
      <c r="A14197" t="inlineStr">
        <is>
          <t>27BBBBB14197Z5</t>
        </is>
      </c>
      <c r="B14197" t="inlineStr">
        <is>
          <t>Jul-2020</t>
        </is>
      </c>
      <c r="C14197" s="2" t="n">
        <v>44462</v>
      </c>
      <c r="D14197" t="inlineStr">
        <is>
          <t>NIL</t>
        </is>
      </c>
      <c r="E14197" t="n">
        <v>1885</v>
      </c>
    </row>
    <row r="14198">
      <c r="A14198" t="inlineStr">
        <is>
          <t>27BBBBB14198Z5</t>
        </is>
      </c>
      <c r="B14198" t="inlineStr">
        <is>
          <t>Dec-2017</t>
        </is>
      </c>
      <c r="C14198" s="2" t="n">
        <v>43746</v>
      </c>
      <c r="D14198" t="inlineStr">
        <is>
          <t>NON-NIL</t>
        </is>
      </c>
      <c r="E14198" t="n">
        <v>2824</v>
      </c>
    </row>
    <row r="14199">
      <c r="A14199" t="inlineStr">
        <is>
          <t>27BBBBB14199Z5</t>
        </is>
      </c>
      <c r="B14199" t="inlineStr">
        <is>
          <t>Feb-2018</t>
        </is>
      </c>
      <c r="C14199" s="2" t="n">
        <v>43061</v>
      </c>
      <c r="D14199" t="inlineStr">
        <is>
          <t>NIL</t>
        </is>
      </c>
      <c r="E14199" t="n">
        <v>2343</v>
      </c>
    </row>
    <row r="14200">
      <c r="A14200" t="inlineStr">
        <is>
          <t>27BBBBB14200Z5</t>
        </is>
      </c>
      <c r="B14200" t="inlineStr">
        <is>
          <t>Jan-2018</t>
        </is>
      </c>
      <c r="C14200" s="2" t="n">
        <v>43498</v>
      </c>
      <c r="D14200" t="inlineStr">
        <is>
          <t>NIL</t>
        </is>
      </c>
      <c r="E14200" t="n">
        <v>1037</v>
      </c>
    </row>
    <row r="14201">
      <c r="A14201" t="inlineStr">
        <is>
          <t>27BBBBB14201Z5</t>
        </is>
      </c>
      <c r="B14201" t="inlineStr">
        <is>
          <t>Sep-2018</t>
        </is>
      </c>
      <c r="C14201" s="2" t="n">
        <v>43254</v>
      </c>
      <c r="D14201" t="inlineStr">
        <is>
          <t>NIL</t>
        </is>
      </c>
      <c r="E14201" t="n">
        <v>297</v>
      </c>
    </row>
    <row r="14202">
      <c r="A14202" t="inlineStr">
        <is>
          <t>27BBBBB14202Z5</t>
        </is>
      </c>
      <c r="B14202" t="inlineStr">
        <is>
          <t>Oct-2018</t>
        </is>
      </c>
      <c r="C14202" s="2" t="n">
        <v>43434</v>
      </c>
      <c r="D14202" t="inlineStr">
        <is>
          <t>NON-NIL</t>
        </is>
      </c>
      <c r="E14202" t="n">
        <v>2595</v>
      </c>
    </row>
    <row r="14203">
      <c r="A14203" t="inlineStr">
        <is>
          <t>27BBBBB14203Z5</t>
        </is>
      </c>
      <c r="B14203" t="inlineStr">
        <is>
          <t>May-2020</t>
        </is>
      </c>
      <c r="C14203" s="2" t="n">
        <v>44700</v>
      </c>
      <c r="D14203" t="inlineStr">
        <is>
          <t>NIL</t>
        </is>
      </c>
      <c r="E14203" t="n">
        <v>593</v>
      </c>
    </row>
    <row r="14204">
      <c r="A14204" t="inlineStr">
        <is>
          <t>27BBBBB14204Z5</t>
        </is>
      </c>
      <c r="B14204" t="inlineStr">
        <is>
          <t>Jan-2021</t>
        </is>
      </c>
      <c r="C14204" s="2" t="n">
        <v>45162</v>
      </c>
      <c r="D14204" t="inlineStr">
        <is>
          <t>NON-NIL</t>
        </is>
      </c>
      <c r="E14204" t="n">
        <v>273</v>
      </c>
    </row>
    <row r="14205">
      <c r="A14205" t="inlineStr">
        <is>
          <t>27BBBBB14205Z5</t>
        </is>
      </c>
      <c r="B14205" t="inlineStr">
        <is>
          <t>Apr-2018</t>
        </is>
      </c>
      <c r="C14205" s="2" t="n">
        <v>42988</v>
      </c>
      <c r="D14205" t="inlineStr">
        <is>
          <t>NON-NIL</t>
        </is>
      </c>
      <c r="E14205" t="n">
        <v>612</v>
      </c>
    </row>
    <row r="14206">
      <c r="A14206" t="inlineStr">
        <is>
          <t>27BBBBB14206Z5</t>
        </is>
      </c>
      <c r="B14206" t="inlineStr">
        <is>
          <t>Jul-2017</t>
        </is>
      </c>
      <c r="C14206" s="2" t="n">
        <v>44395</v>
      </c>
      <c r="D14206" t="inlineStr">
        <is>
          <t>NON-NIL</t>
        </is>
      </c>
      <c r="E14206" t="n">
        <v>2573</v>
      </c>
    </row>
    <row r="14207">
      <c r="A14207" t="inlineStr">
        <is>
          <t>27BBBBB14207Z5</t>
        </is>
      </c>
      <c r="B14207" t="inlineStr">
        <is>
          <t>Jan-2018</t>
        </is>
      </c>
      <c r="C14207" s="2" t="n">
        <v>43046</v>
      </c>
      <c r="D14207" t="inlineStr">
        <is>
          <t>NON-NIL</t>
        </is>
      </c>
      <c r="E14207" t="n">
        <v>2763</v>
      </c>
    </row>
    <row r="14208">
      <c r="A14208" t="inlineStr">
        <is>
          <t>27BBBBB14208Z5</t>
        </is>
      </c>
      <c r="B14208" t="inlineStr">
        <is>
          <t>Dec-2018</t>
        </is>
      </c>
      <c r="C14208" s="2" t="n">
        <v>43696</v>
      </c>
      <c r="D14208" t="inlineStr">
        <is>
          <t>NON-NIL</t>
        </is>
      </c>
      <c r="E14208" t="n">
        <v>2261</v>
      </c>
    </row>
    <row r="14209">
      <c r="A14209" t="inlineStr">
        <is>
          <t>27BBBBB14209Z5</t>
        </is>
      </c>
      <c r="B14209" t="inlineStr">
        <is>
          <t>Apr-2020</t>
        </is>
      </c>
      <c r="C14209" s="2" t="n">
        <v>44753</v>
      </c>
      <c r="D14209" t="inlineStr">
        <is>
          <t>NIL</t>
        </is>
      </c>
      <c r="E14209" t="n">
        <v>1033</v>
      </c>
    </row>
    <row r="14210">
      <c r="A14210" t="inlineStr">
        <is>
          <t>27BBBBB14210Z5</t>
        </is>
      </c>
      <c r="B14210" t="inlineStr">
        <is>
          <t>Feb-2018</t>
        </is>
      </c>
      <c r="C14210" s="2" t="n">
        <v>44145</v>
      </c>
      <c r="D14210" t="inlineStr">
        <is>
          <t>NON-NIL</t>
        </is>
      </c>
      <c r="E14210" t="n">
        <v>1688</v>
      </c>
    </row>
    <row r="14211">
      <c r="A14211" t="inlineStr">
        <is>
          <t>27BBBBB14211Z5</t>
        </is>
      </c>
      <c r="B14211" t="inlineStr">
        <is>
          <t>Mar-2021</t>
        </is>
      </c>
      <c r="C14211" s="2" t="n">
        <v>43625</v>
      </c>
      <c r="D14211" t="inlineStr">
        <is>
          <t>NIL</t>
        </is>
      </c>
      <c r="E14211" t="n">
        <v>2363</v>
      </c>
    </row>
    <row r="14212">
      <c r="A14212" t="inlineStr">
        <is>
          <t>27BBBBB14212Z5</t>
        </is>
      </c>
      <c r="B14212" t="inlineStr">
        <is>
          <t>Mar-2023</t>
        </is>
      </c>
      <c r="C14212" s="2" t="n">
        <v>45571</v>
      </c>
      <c r="D14212" t="inlineStr">
        <is>
          <t>NON-NIL</t>
        </is>
      </c>
      <c r="E14212" t="n">
        <v>1847</v>
      </c>
    </row>
    <row r="14213">
      <c r="A14213" t="inlineStr">
        <is>
          <t>27BBBBB14213Z5</t>
        </is>
      </c>
      <c r="B14213" t="inlineStr">
        <is>
          <t>Dec-2018</t>
        </is>
      </c>
      <c r="C14213" s="2" t="n">
        <v>42917</v>
      </c>
      <c r="D14213" t="inlineStr">
        <is>
          <t>NIL</t>
        </is>
      </c>
      <c r="E14213" t="n">
        <v>120</v>
      </c>
    </row>
    <row r="14214">
      <c r="A14214" t="inlineStr">
        <is>
          <t>27BBBBB14214Z5</t>
        </is>
      </c>
      <c r="B14214" t="inlineStr">
        <is>
          <t>Sep-2017</t>
        </is>
      </c>
      <c r="C14214" s="2" t="n">
        <v>44520</v>
      </c>
      <c r="D14214" t="inlineStr">
        <is>
          <t>NIL</t>
        </is>
      </c>
      <c r="E14214" t="n">
        <v>824</v>
      </c>
    </row>
    <row r="14215">
      <c r="A14215" t="inlineStr">
        <is>
          <t>27BBBBB14215Z5</t>
        </is>
      </c>
      <c r="B14215" t="inlineStr">
        <is>
          <t>Aug-2017</t>
        </is>
      </c>
      <c r="C14215" s="2" t="n">
        <v>43308</v>
      </c>
      <c r="D14215" t="inlineStr">
        <is>
          <t>NON-NIL</t>
        </is>
      </c>
      <c r="E14215" t="n">
        <v>2514</v>
      </c>
    </row>
    <row r="14216">
      <c r="A14216" t="inlineStr">
        <is>
          <t>27BBBBB14216Z5</t>
        </is>
      </c>
      <c r="B14216" t="inlineStr">
        <is>
          <t>Jul-2017</t>
        </is>
      </c>
      <c r="C14216" s="2" t="n">
        <v>43281</v>
      </c>
      <c r="D14216" t="inlineStr">
        <is>
          <t>NON-NIL</t>
        </is>
      </c>
      <c r="E14216" t="n">
        <v>1968</v>
      </c>
    </row>
    <row r="14217">
      <c r="A14217" t="inlineStr">
        <is>
          <t>27BBBBB14217Z5</t>
        </is>
      </c>
      <c r="B14217" t="inlineStr">
        <is>
          <t>May-2018</t>
        </is>
      </c>
      <c r="C14217" s="2" t="n">
        <v>43096</v>
      </c>
      <c r="D14217" t="inlineStr">
        <is>
          <t>NIL</t>
        </is>
      </c>
      <c r="E14217" t="n">
        <v>2912</v>
      </c>
    </row>
    <row r="14218">
      <c r="A14218" t="inlineStr">
        <is>
          <t>27BBBBB14218Z5</t>
        </is>
      </c>
      <c r="B14218" t="inlineStr">
        <is>
          <t>Dec-2018</t>
        </is>
      </c>
      <c r="C14218" s="2" t="n">
        <v>44243</v>
      </c>
      <c r="D14218" t="inlineStr">
        <is>
          <t>NIL</t>
        </is>
      </c>
      <c r="E14218" t="n">
        <v>2396</v>
      </c>
    </row>
    <row r="14219">
      <c r="A14219" t="inlineStr">
        <is>
          <t>27BBBBB14219Z5</t>
        </is>
      </c>
      <c r="B14219" t="inlineStr">
        <is>
          <t>Dec-2022</t>
        </is>
      </c>
      <c r="C14219" s="2" t="n">
        <v>44330</v>
      </c>
      <c r="D14219" t="inlineStr">
        <is>
          <t>NIL</t>
        </is>
      </c>
      <c r="E14219" t="n">
        <v>504</v>
      </c>
    </row>
    <row r="14220">
      <c r="A14220" t="inlineStr">
        <is>
          <t>27BBBBB14220Z5</t>
        </is>
      </c>
      <c r="B14220" t="inlineStr">
        <is>
          <t>Jun-2020</t>
        </is>
      </c>
      <c r="C14220" s="2" t="n">
        <v>44538</v>
      </c>
      <c r="D14220" t="inlineStr">
        <is>
          <t>NON-NIL</t>
        </is>
      </c>
      <c r="E14220" t="n">
        <v>94</v>
      </c>
    </row>
    <row r="14221">
      <c r="A14221" t="inlineStr">
        <is>
          <t>27BBBBB14221Z5</t>
        </is>
      </c>
      <c r="B14221" t="inlineStr">
        <is>
          <t>May-2018</t>
        </is>
      </c>
      <c r="C14221" s="2" t="n">
        <v>43732</v>
      </c>
      <c r="D14221" t="inlineStr">
        <is>
          <t>NIL</t>
        </is>
      </c>
      <c r="E14221" t="n">
        <v>1675</v>
      </c>
    </row>
    <row r="14222">
      <c r="A14222" t="inlineStr">
        <is>
          <t>27BBBBB14222Z5</t>
        </is>
      </c>
      <c r="B14222" t="inlineStr">
        <is>
          <t>Mar-2020</t>
        </is>
      </c>
      <c r="C14222" s="2" t="n">
        <v>44501</v>
      </c>
      <c r="D14222" t="inlineStr">
        <is>
          <t>NON-NIL</t>
        </is>
      </c>
      <c r="E14222" t="n">
        <v>415</v>
      </c>
    </row>
    <row r="14223">
      <c r="A14223" t="inlineStr">
        <is>
          <t>27BBBBB14223Z5</t>
        </is>
      </c>
      <c r="B14223" t="inlineStr">
        <is>
          <t>Mar-2020</t>
        </is>
      </c>
      <c r="C14223" s="2" t="n">
        <v>44832</v>
      </c>
      <c r="D14223" t="inlineStr">
        <is>
          <t>NON-NIL</t>
        </is>
      </c>
      <c r="E14223" t="n">
        <v>840</v>
      </c>
    </row>
    <row r="14224">
      <c r="A14224" t="inlineStr">
        <is>
          <t>27BBBBB14224Z5</t>
        </is>
      </c>
      <c r="B14224" t="inlineStr">
        <is>
          <t>Apr-2020</t>
        </is>
      </c>
      <c r="C14224" s="2" t="n">
        <v>44545</v>
      </c>
      <c r="D14224" t="inlineStr">
        <is>
          <t>NON-NIL</t>
        </is>
      </c>
      <c r="E14224" t="n">
        <v>1843</v>
      </c>
    </row>
    <row r="14225">
      <c r="A14225" t="inlineStr">
        <is>
          <t>27BBBBB14225Z5</t>
        </is>
      </c>
      <c r="B14225" t="inlineStr">
        <is>
          <t>Aug-2018</t>
        </is>
      </c>
      <c r="C14225" s="2" t="n">
        <v>44146</v>
      </c>
      <c r="D14225" t="inlineStr">
        <is>
          <t>NIL</t>
        </is>
      </c>
      <c r="E14225" t="n">
        <v>2365</v>
      </c>
    </row>
    <row r="14226">
      <c r="A14226" t="inlineStr">
        <is>
          <t>27BBBBB14226Z5</t>
        </is>
      </c>
      <c r="B14226" t="inlineStr">
        <is>
          <t>Mar-2018</t>
        </is>
      </c>
      <c r="C14226" s="2" t="n">
        <v>43106</v>
      </c>
      <c r="D14226" t="inlineStr">
        <is>
          <t>NON-NIL</t>
        </is>
      </c>
      <c r="E14226" t="n">
        <v>2126</v>
      </c>
    </row>
    <row r="14227">
      <c r="A14227" t="inlineStr">
        <is>
          <t>27BBBBB14227Z5</t>
        </is>
      </c>
      <c r="B14227" t="inlineStr">
        <is>
          <t>Jul-2018</t>
        </is>
      </c>
      <c r="C14227" s="2" t="n">
        <v>43374</v>
      </c>
      <c r="D14227" t="inlineStr">
        <is>
          <t>NIL</t>
        </is>
      </c>
      <c r="E14227" t="n">
        <v>2364</v>
      </c>
    </row>
    <row r="14228">
      <c r="A14228" t="inlineStr">
        <is>
          <t>27BBBBB14228Z5</t>
        </is>
      </c>
      <c r="B14228" t="inlineStr">
        <is>
          <t>Jun-2018</t>
        </is>
      </c>
      <c r="C14228" s="2" t="n">
        <v>44087</v>
      </c>
      <c r="D14228" t="inlineStr">
        <is>
          <t>NIL</t>
        </is>
      </c>
      <c r="E14228" t="n">
        <v>1005</v>
      </c>
    </row>
    <row r="14229">
      <c r="A14229" t="inlineStr">
        <is>
          <t>27BBBBB14229Z5</t>
        </is>
      </c>
      <c r="B14229" t="inlineStr">
        <is>
          <t>May-2018</t>
        </is>
      </c>
      <c r="C14229" s="2" t="n">
        <v>43934</v>
      </c>
      <c r="D14229" t="inlineStr">
        <is>
          <t>NIL</t>
        </is>
      </c>
      <c r="E14229" t="n">
        <v>1665</v>
      </c>
    </row>
    <row r="14230">
      <c r="A14230" t="inlineStr">
        <is>
          <t>27BBBBB14230Z5</t>
        </is>
      </c>
      <c r="B14230" t="inlineStr">
        <is>
          <t>Dec-2017</t>
        </is>
      </c>
      <c r="C14230" s="2" t="n">
        <v>44274</v>
      </c>
      <c r="D14230" t="inlineStr">
        <is>
          <t>NIL</t>
        </is>
      </c>
      <c r="E14230" t="n">
        <v>1094</v>
      </c>
    </row>
    <row r="14231">
      <c r="A14231" t="inlineStr">
        <is>
          <t>27BBBBB14231Z5</t>
        </is>
      </c>
      <c r="B14231" t="inlineStr">
        <is>
          <t>Dec-2018</t>
        </is>
      </c>
      <c r="C14231" s="2" t="n">
        <v>44474</v>
      </c>
      <c r="D14231" t="inlineStr">
        <is>
          <t>NIL</t>
        </is>
      </c>
      <c r="E14231" t="n">
        <v>975</v>
      </c>
    </row>
    <row r="14232">
      <c r="A14232" t="inlineStr">
        <is>
          <t>27BBBBB14232Z5</t>
        </is>
      </c>
      <c r="B14232" t="inlineStr">
        <is>
          <t>Dec-2024</t>
        </is>
      </c>
      <c r="C14232" s="2" t="n">
        <v>45823</v>
      </c>
      <c r="D14232" t="inlineStr">
        <is>
          <t>NIL</t>
        </is>
      </c>
      <c r="E14232" t="n">
        <v>2400</v>
      </c>
    </row>
    <row r="14233">
      <c r="A14233" t="inlineStr">
        <is>
          <t>27BBBBB14233Z5</t>
        </is>
      </c>
      <c r="B14233" t="inlineStr">
        <is>
          <t>Mar-2021</t>
        </is>
      </c>
      <c r="C14233" s="2" t="n">
        <v>44530</v>
      </c>
      <c r="D14233" t="inlineStr">
        <is>
          <t>NIL</t>
        </is>
      </c>
      <c r="E14233" t="n">
        <v>2124</v>
      </c>
    </row>
    <row r="14234">
      <c r="A14234" t="inlineStr">
        <is>
          <t>27BBBBB14234Z5</t>
        </is>
      </c>
      <c r="B14234" t="inlineStr">
        <is>
          <t>Oct-2018</t>
        </is>
      </c>
      <c r="C14234" s="2" t="n">
        <v>43178</v>
      </c>
      <c r="D14234" t="inlineStr">
        <is>
          <t>NON-NIL</t>
        </is>
      </c>
      <c r="E14234" t="n">
        <v>1710</v>
      </c>
    </row>
    <row r="14235">
      <c r="A14235" t="inlineStr">
        <is>
          <t>27BBBBB14235Z5</t>
        </is>
      </c>
      <c r="B14235" t="inlineStr">
        <is>
          <t>May-2018</t>
        </is>
      </c>
      <c r="C14235" s="2" t="n">
        <v>43058</v>
      </c>
      <c r="D14235" t="inlineStr">
        <is>
          <t>NIL</t>
        </is>
      </c>
      <c r="E14235" t="n">
        <v>1230</v>
      </c>
    </row>
    <row r="14236">
      <c r="A14236" t="inlineStr">
        <is>
          <t>27BBBBB14236Z5</t>
        </is>
      </c>
      <c r="B14236" t="inlineStr">
        <is>
          <t>Aug-2017</t>
        </is>
      </c>
      <c r="C14236" s="2" t="n">
        <v>43246</v>
      </c>
      <c r="D14236" t="inlineStr">
        <is>
          <t>NIL</t>
        </is>
      </c>
      <c r="E14236" t="n">
        <v>73</v>
      </c>
    </row>
    <row r="14237">
      <c r="A14237" t="inlineStr">
        <is>
          <t>27BBBBB14237Z5</t>
        </is>
      </c>
      <c r="B14237" t="inlineStr">
        <is>
          <t>Jan-2021</t>
        </is>
      </c>
      <c r="C14237" s="2" t="n">
        <v>45506</v>
      </c>
      <c r="D14237" t="inlineStr">
        <is>
          <t>NIL</t>
        </is>
      </c>
      <c r="E14237" t="n">
        <v>480</v>
      </c>
    </row>
    <row r="14238">
      <c r="A14238" t="inlineStr">
        <is>
          <t>27BBBBB14238Z5</t>
        </is>
      </c>
      <c r="B14238" t="inlineStr">
        <is>
          <t>May-2020</t>
        </is>
      </c>
      <c r="C14238" s="2" t="n">
        <v>43879</v>
      </c>
      <c r="D14238" t="inlineStr">
        <is>
          <t>NON-NIL</t>
        </is>
      </c>
      <c r="E14238" t="n">
        <v>2738</v>
      </c>
    </row>
    <row r="14239">
      <c r="A14239" t="inlineStr">
        <is>
          <t>27BBBBB14239Z5</t>
        </is>
      </c>
      <c r="B14239" t="inlineStr">
        <is>
          <t>Jun-2018</t>
        </is>
      </c>
      <c r="C14239" s="2" t="n">
        <v>43253</v>
      </c>
      <c r="D14239" t="inlineStr">
        <is>
          <t>NON-NIL</t>
        </is>
      </c>
      <c r="E14239" t="n">
        <v>1968</v>
      </c>
    </row>
    <row r="14240">
      <c r="A14240" t="inlineStr">
        <is>
          <t>27BBBBB14240Z5</t>
        </is>
      </c>
      <c r="B14240" t="inlineStr">
        <is>
          <t>Oct-2018</t>
        </is>
      </c>
      <c r="C14240" s="2" t="n">
        <v>43744</v>
      </c>
      <c r="D14240" t="inlineStr">
        <is>
          <t>NON-NIL</t>
        </is>
      </c>
      <c r="E14240" t="n">
        <v>1753</v>
      </c>
    </row>
    <row r="14241">
      <c r="A14241" t="inlineStr">
        <is>
          <t>27BBBBB14241Z5</t>
        </is>
      </c>
      <c r="B14241" t="inlineStr">
        <is>
          <t>Feb-2018</t>
        </is>
      </c>
      <c r="C14241" s="2" t="n">
        <v>44093</v>
      </c>
      <c r="D14241" t="inlineStr">
        <is>
          <t>NIL</t>
        </is>
      </c>
      <c r="E14241" t="n">
        <v>1897</v>
      </c>
    </row>
    <row r="14242">
      <c r="A14242" t="inlineStr">
        <is>
          <t>27BBBBB14242Z5</t>
        </is>
      </c>
      <c r="B14242" t="inlineStr">
        <is>
          <t>Mar-2021</t>
        </is>
      </c>
      <c r="C14242" s="2" t="n">
        <v>43762</v>
      </c>
      <c r="D14242" t="inlineStr">
        <is>
          <t>NIL</t>
        </is>
      </c>
      <c r="E14242" t="n">
        <v>1184</v>
      </c>
    </row>
    <row r="14243">
      <c r="A14243" t="inlineStr">
        <is>
          <t>27BBBBB14243Z5</t>
        </is>
      </c>
      <c r="B14243" t="inlineStr">
        <is>
          <t>Jun-2020</t>
        </is>
      </c>
      <c r="C14243" s="2" t="n">
        <v>44335</v>
      </c>
      <c r="D14243" t="inlineStr">
        <is>
          <t>NON-NIL</t>
        </is>
      </c>
      <c r="E14243" t="n">
        <v>2915</v>
      </c>
    </row>
    <row r="14244">
      <c r="A14244" t="inlineStr">
        <is>
          <t>27BBBBB14244Z5</t>
        </is>
      </c>
      <c r="B14244" t="inlineStr">
        <is>
          <t>Dec-2024</t>
        </is>
      </c>
      <c r="C14244" s="2" t="n">
        <v>43732</v>
      </c>
      <c r="D14244" t="inlineStr">
        <is>
          <t>NIL</t>
        </is>
      </c>
      <c r="E14244" t="n">
        <v>2904</v>
      </c>
    </row>
    <row r="14245">
      <c r="A14245" t="inlineStr">
        <is>
          <t>27BBBBB14245Z5</t>
        </is>
      </c>
      <c r="B14245" t="inlineStr">
        <is>
          <t>Jul-2018</t>
        </is>
      </c>
      <c r="C14245" s="2" t="n">
        <v>43185</v>
      </c>
      <c r="D14245" t="inlineStr">
        <is>
          <t>NON-NIL</t>
        </is>
      </c>
      <c r="E14245" t="n">
        <v>2855</v>
      </c>
    </row>
    <row r="14246">
      <c r="A14246" t="inlineStr">
        <is>
          <t>27BBBBB14246Z5</t>
        </is>
      </c>
      <c r="B14246" t="inlineStr">
        <is>
          <t>Mar-2018</t>
        </is>
      </c>
      <c r="C14246" s="2" t="n">
        <v>43938</v>
      </c>
      <c r="D14246" t="inlineStr">
        <is>
          <t>NIL</t>
        </is>
      </c>
      <c r="E14246" t="n">
        <v>821</v>
      </c>
    </row>
    <row r="14247">
      <c r="A14247" t="inlineStr">
        <is>
          <t>27BBBBB14247Z5</t>
        </is>
      </c>
      <c r="B14247" t="inlineStr">
        <is>
          <t>Sep-2017</t>
        </is>
      </c>
      <c r="C14247" s="2" t="n">
        <v>43897</v>
      </c>
      <c r="D14247" t="inlineStr">
        <is>
          <t>NON-NIL</t>
        </is>
      </c>
      <c r="E14247" t="n">
        <v>331</v>
      </c>
    </row>
    <row r="14248">
      <c r="A14248" t="inlineStr">
        <is>
          <t>27BBBBB14248Z5</t>
        </is>
      </c>
      <c r="B14248" t="inlineStr">
        <is>
          <t>Jan-2021</t>
        </is>
      </c>
      <c r="C14248" s="2" t="n">
        <v>43869</v>
      </c>
      <c r="D14248" t="inlineStr">
        <is>
          <t>NON-NIL</t>
        </is>
      </c>
      <c r="E14248" t="n">
        <v>1804</v>
      </c>
    </row>
    <row r="14249">
      <c r="A14249" t="inlineStr">
        <is>
          <t>27BBBBB14249Z5</t>
        </is>
      </c>
      <c r="B14249" t="inlineStr">
        <is>
          <t>Jan-2021</t>
        </is>
      </c>
      <c r="C14249" s="2" t="n">
        <v>45589</v>
      </c>
      <c r="D14249" t="inlineStr">
        <is>
          <t>NIL</t>
        </is>
      </c>
      <c r="E14249" t="n">
        <v>1249</v>
      </c>
    </row>
    <row r="14250">
      <c r="A14250" t="inlineStr">
        <is>
          <t>27BBBBB14250Z5</t>
        </is>
      </c>
      <c r="B14250" t="inlineStr">
        <is>
          <t>Dec-2024</t>
        </is>
      </c>
      <c r="C14250" s="2" t="n">
        <v>44519</v>
      </c>
      <c r="D14250" t="inlineStr">
        <is>
          <t>NIL</t>
        </is>
      </c>
      <c r="E14250" t="n">
        <v>1338</v>
      </c>
    </row>
    <row r="14251">
      <c r="A14251" t="inlineStr">
        <is>
          <t>27BBBBB14251Z5</t>
        </is>
      </c>
      <c r="B14251" t="inlineStr">
        <is>
          <t>Dec-2022</t>
        </is>
      </c>
      <c r="C14251" s="2" t="n">
        <v>45242</v>
      </c>
      <c r="D14251" t="inlineStr">
        <is>
          <t>NON-NIL</t>
        </is>
      </c>
      <c r="E14251" t="n">
        <v>541</v>
      </c>
    </row>
    <row r="14252">
      <c r="A14252" t="inlineStr">
        <is>
          <t>27BBBBB14252Z5</t>
        </is>
      </c>
      <c r="B14252" t="inlineStr">
        <is>
          <t>Jul-2018</t>
        </is>
      </c>
      <c r="C14252" s="2" t="n">
        <v>43522</v>
      </c>
      <c r="D14252" t="inlineStr">
        <is>
          <t>NIL</t>
        </is>
      </c>
      <c r="E14252" t="n">
        <v>2525</v>
      </c>
    </row>
    <row r="14253">
      <c r="A14253" t="inlineStr">
        <is>
          <t>27BBBBB14253Z5</t>
        </is>
      </c>
      <c r="B14253" t="inlineStr">
        <is>
          <t>Jun-2020</t>
        </is>
      </c>
      <c r="C14253" s="2" t="n">
        <v>44704</v>
      </c>
      <c r="D14253" t="inlineStr">
        <is>
          <t>NON-NIL</t>
        </is>
      </c>
      <c r="E14253" t="n">
        <v>1449</v>
      </c>
    </row>
    <row r="14254">
      <c r="A14254" t="inlineStr">
        <is>
          <t>27BBBBB14254Z5</t>
        </is>
      </c>
      <c r="B14254" t="inlineStr">
        <is>
          <t>Apr-2020</t>
        </is>
      </c>
      <c r="C14254" s="2" t="n">
        <v>44053</v>
      </c>
      <c r="D14254" t="inlineStr">
        <is>
          <t>NON-NIL</t>
        </is>
      </c>
      <c r="E14254" t="n">
        <v>464</v>
      </c>
    </row>
    <row r="14255">
      <c r="A14255" t="inlineStr">
        <is>
          <t>27BBBBB14255Z5</t>
        </is>
      </c>
      <c r="B14255" t="inlineStr">
        <is>
          <t>Jun-2020</t>
        </is>
      </c>
      <c r="C14255" s="2" t="n">
        <v>43981</v>
      </c>
      <c r="D14255" t="inlineStr">
        <is>
          <t>NON-NIL</t>
        </is>
      </c>
      <c r="E14255" t="n">
        <v>352</v>
      </c>
    </row>
    <row r="14256">
      <c r="A14256" t="inlineStr">
        <is>
          <t>27BBBBB14256Z5</t>
        </is>
      </c>
      <c r="B14256" t="inlineStr">
        <is>
          <t>Feb-2018</t>
        </is>
      </c>
      <c r="C14256" s="2" t="n">
        <v>43125</v>
      </c>
      <c r="D14256" t="inlineStr">
        <is>
          <t>NON-NIL</t>
        </is>
      </c>
      <c r="E14256" t="n">
        <v>2942</v>
      </c>
    </row>
    <row r="14257">
      <c r="A14257" t="inlineStr">
        <is>
          <t>27BBBBB14257Z5</t>
        </is>
      </c>
      <c r="B14257" t="inlineStr">
        <is>
          <t>Nov-2018</t>
        </is>
      </c>
      <c r="C14257" s="2" t="n">
        <v>44499</v>
      </c>
      <c r="D14257" t="inlineStr">
        <is>
          <t>NON-NIL</t>
        </is>
      </c>
      <c r="E14257" t="n">
        <v>2845</v>
      </c>
    </row>
    <row r="14258">
      <c r="A14258" t="inlineStr">
        <is>
          <t>27BBBBB14258Z5</t>
        </is>
      </c>
      <c r="B14258" t="inlineStr">
        <is>
          <t>Sep-2017</t>
        </is>
      </c>
      <c r="C14258" s="2" t="n">
        <v>44439</v>
      </c>
      <c r="D14258" t="inlineStr">
        <is>
          <t>NON-NIL</t>
        </is>
      </c>
      <c r="E14258" t="n">
        <v>1366</v>
      </c>
    </row>
    <row r="14259">
      <c r="A14259" t="inlineStr">
        <is>
          <t>27BBBBB14259Z5</t>
        </is>
      </c>
      <c r="B14259" t="inlineStr">
        <is>
          <t>Oct-2017</t>
        </is>
      </c>
      <c r="C14259" s="2" t="n">
        <v>43458</v>
      </c>
      <c r="D14259" t="inlineStr">
        <is>
          <t>NON-NIL</t>
        </is>
      </c>
      <c r="E14259" t="n">
        <v>736</v>
      </c>
    </row>
    <row r="14260">
      <c r="A14260" t="inlineStr">
        <is>
          <t>27BBBBB14260Z5</t>
        </is>
      </c>
      <c r="B14260" t="inlineStr">
        <is>
          <t>Feb-2018</t>
        </is>
      </c>
      <c r="C14260" s="2" t="n">
        <v>42954</v>
      </c>
      <c r="D14260" t="inlineStr">
        <is>
          <t>NIL</t>
        </is>
      </c>
      <c r="E14260" t="n">
        <v>2982</v>
      </c>
    </row>
    <row r="14261">
      <c r="A14261" t="inlineStr">
        <is>
          <t>27BBBBB14261Z5</t>
        </is>
      </c>
      <c r="B14261" t="inlineStr">
        <is>
          <t>Dec-2022</t>
        </is>
      </c>
      <c r="C14261" s="2" t="n">
        <v>44357</v>
      </c>
      <c r="D14261" t="inlineStr">
        <is>
          <t>NON-NIL</t>
        </is>
      </c>
      <c r="E14261" t="n">
        <v>464</v>
      </c>
    </row>
    <row r="14262">
      <c r="A14262" t="inlineStr">
        <is>
          <t>27BBBBB14262Z5</t>
        </is>
      </c>
      <c r="B14262" t="inlineStr">
        <is>
          <t>Mar-2023</t>
        </is>
      </c>
      <c r="C14262" s="2" t="n">
        <v>45737</v>
      </c>
      <c r="D14262" t="inlineStr">
        <is>
          <t>NIL</t>
        </is>
      </c>
      <c r="E14262" t="n">
        <v>606</v>
      </c>
    </row>
    <row r="14263">
      <c r="A14263" t="inlineStr">
        <is>
          <t>27BBBBB14263Z5</t>
        </is>
      </c>
      <c r="B14263" t="inlineStr">
        <is>
          <t>Dec-2024</t>
        </is>
      </c>
      <c r="C14263" s="2" t="n">
        <v>45379</v>
      </c>
      <c r="D14263" t="inlineStr">
        <is>
          <t>NON-NIL</t>
        </is>
      </c>
      <c r="E14263" t="n">
        <v>1742</v>
      </c>
    </row>
    <row r="14264">
      <c r="A14264" t="inlineStr">
        <is>
          <t>27BBBBB14264Z5</t>
        </is>
      </c>
      <c r="B14264" t="inlineStr">
        <is>
          <t>Jun-2018</t>
        </is>
      </c>
      <c r="C14264" s="2" t="n">
        <v>43189</v>
      </c>
      <c r="D14264" t="inlineStr">
        <is>
          <t>NON-NIL</t>
        </is>
      </c>
      <c r="E14264" t="n">
        <v>2061</v>
      </c>
    </row>
    <row r="14265">
      <c r="A14265" t="inlineStr">
        <is>
          <t>27BBBBB14265Z5</t>
        </is>
      </c>
      <c r="B14265" t="inlineStr">
        <is>
          <t>Jun-2018</t>
        </is>
      </c>
      <c r="C14265" s="2" t="n">
        <v>43424</v>
      </c>
      <c r="D14265" t="inlineStr">
        <is>
          <t>NIL</t>
        </is>
      </c>
      <c r="E14265" t="n">
        <v>1822</v>
      </c>
    </row>
    <row r="14266">
      <c r="A14266" t="inlineStr">
        <is>
          <t>27BBBBB14266Z5</t>
        </is>
      </c>
      <c r="B14266" t="inlineStr">
        <is>
          <t>Mar-2021</t>
        </is>
      </c>
      <c r="C14266" s="2" t="n">
        <v>44676</v>
      </c>
      <c r="D14266" t="inlineStr">
        <is>
          <t>NON-NIL</t>
        </is>
      </c>
      <c r="E14266" t="n">
        <v>188</v>
      </c>
    </row>
    <row r="14267">
      <c r="A14267" t="inlineStr">
        <is>
          <t>27BBBBB14267Z5</t>
        </is>
      </c>
      <c r="B14267" t="inlineStr">
        <is>
          <t>Oct-2017</t>
        </is>
      </c>
      <c r="C14267" s="2" t="n">
        <v>44332</v>
      </c>
      <c r="D14267" t="inlineStr">
        <is>
          <t>NON-NIL</t>
        </is>
      </c>
      <c r="E14267" t="n">
        <v>2906</v>
      </c>
    </row>
    <row r="14268">
      <c r="A14268" t="inlineStr">
        <is>
          <t>27BBBBB14268Z5</t>
        </is>
      </c>
      <c r="B14268" t="inlineStr">
        <is>
          <t>Jan-2018</t>
        </is>
      </c>
      <c r="C14268" s="2" t="n">
        <v>43738</v>
      </c>
      <c r="D14268" t="inlineStr">
        <is>
          <t>NON-NIL</t>
        </is>
      </c>
      <c r="E14268" t="n">
        <v>2726</v>
      </c>
    </row>
    <row r="14269">
      <c r="A14269" t="inlineStr">
        <is>
          <t>27BBBBB14269Z5</t>
        </is>
      </c>
      <c r="B14269" t="inlineStr">
        <is>
          <t>Mar-2018</t>
        </is>
      </c>
      <c r="C14269" s="2" t="n">
        <v>43439</v>
      </c>
      <c r="D14269" t="inlineStr">
        <is>
          <t>NON-NIL</t>
        </is>
      </c>
      <c r="E14269" t="n">
        <v>2333</v>
      </c>
    </row>
    <row r="14270">
      <c r="A14270" t="inlineStr">
        <is>
          <t>27BBBBB14270Z5</t>
        </is>
      </c>
      <c r="B14270" t="inlineStr">
        <is>
          <t>Jul-2017</t>
        </is>
      </c>
      <c r="C14270" s="2" t="n">
        <v>43248</v>
      </c>
      <c r="D14270" t="inlineStr">
        <is>
          <t>NON-NIL</t>
        </is>
      </c>
      <c r="E14270" t="n">
        <v>2581</v>
      </c>
    </row>
    <row r="14271">
      <c r="A14271" t="inlineStr">
        <is>
          <t>27BBBBB14271Z5</t>
        </is>
      </c>
      <c r="B14271" t="inlineStr">
        <is>
          <t>Aug-2018</t>
        </is>
      </c>
      <c r="C14271" s="2" t="n">
        <v>43736</v>
      </c>
      <c r="D14271" t="inlineStr">
        <is>
          <t>NON-NIL</t>
        </is>
      </c>
      <c r="E14271" t="n">
        <v>1143</v>
      </c>
    </row>
    <row r="14272">
      <c r="A14272" t="inlineStr">
        <is>
          <t>27BBBBB14272Z5</t>
        </is>
      </c>
      <c r="B14272" t="inlineStr">
        <is>
          <t>May-2020</t>
        </is>
      </c>
      <c r="C14272" s="2" t="n">
        <v>44558</v>
      </c>
      <c r="D14272" t="inlineStr">
        <is>
          <t>NIL</t>
        </is>
      </c>
      <c r="E14272" t="n">
        <v>515</v>
      </c>
    </row>
    <row r="14273">
      <c r="A14273" t="inlineStr">
        <is>
          <t>27BBBBB14273Z5</t>
        </is>
      </c>
      <c r="B14273" t="inlineStr">
        <is>
          <t>Mar-2020</t>
        </is>
      </c>
      <c r="C14273" s="2" t="n">
        <v>44769</v>
      </c>
      <c r="D14273" t="inlineStr">
        <is>
          <t>NIL</t>
        </is>
      </c>
      <c r="E14273" t="n">
        <v>2073</v>
      </c>
    </row>
    <row r="14274">
      <c r="A14274" t="inlineStr">
        <is>
          <t>27BBBBB14274Z5</t>
        </is>
      </c>
      <c r="B14274" t="inlineStr">
        <is>
          <t>Mar-2020</t>
        </is>
      </c>
      <c r="C14274" s="2" t="n">
        <v>44296</v>
      </c>
      <c r="D14274" t="inlineStr">
        <is>
          <t>NIL</t>
        </is>
      </c>
      <c r="E14274" t="n">
        <v>511</v>
      </c>
    </row>
    <row r="14275">
      <c r="A14275" t="inlineStr">
        <is>
          <t>27BBBBB14275Z5</t>
        </is>
      </c>
      <c r="B14275" t="inlineStr">
        <is>
          <t>Apr-2020</t>
        </is>
      </c>
      <c r="C14275" s="2" t="n">
        <v>44364</v>
      </c>
      <c r="D14275" t="inlineStr">
        <is>
          <t>NON-NIL</t>
        </is>
      </c>
      <c r="E14275" t="n">
        <v>2675</v>
      </c>
    </row>
    <row r="14276">
      <c r="A14276" t="inlineStr">
        <is>
          <t>27BBBBB14276Z5</t>
        </is>
      </c>
      <c r="B14276" t="inlineStr">
        <is>
          <t>Mar-2021</t>
        </is>
      </c>
      <c r="C14276" s="2" t="n">
        <v>43980</v>
      </c>
      <c r="D14276" t="inlineStr">
        <is>
          <t>NIL</t>
        </is>
      </c>
      <c r="E14276" t="n">
        <v>1361</v>
      </c>
    </row>
    <row r="14277">
      <c r="A14277" t="inlineStr">
        <is>
          <t>27BBBBB14277Z5</t>
        </is>
      </c>
      <c r="B14277" t="inlineStr">
        <is>
          <t>Dec-2017</t>
        </is>
      </c>
      <c r="C14277" s="2" t="n">
        <v>44411</v>
      </c>
      <c r="D14277" t="inlineStr">
        <is>
          <t>NON-NIL</t>
        </is>
      </c>
      <c r="E14277" t="n">
        <v>2150</v>
      </c>
    </row>
    <row r="14278">
      <c r="A14278" t="inlineStr">
        <is>
          <t>27BBBBB14278Z5</t>
        </is>
      </c>
      <c r="B14278" t="inlineStr">
        <is>
          <t>Nov-2018</t>
        </is>
      </c>
      <c r="C14278" s="2" t="n">
        <v>44384</v>
      </c>
      <c r="D14278" t="inlineStr">
        <is>
          <t>NIL</t>
        </is>
      </c>
      <c r="E14278" t="n">
        <v>1957</v>
      </c>
    </row>
    <row r="14279">
      <c r="A14279" t="inlineStr">
        <is>
          <t>27BBBBB14279Z5</t>
        </is>
      </c>
      <c r="B14279" t="inlineStr">
        <is>
          <t>May-2020</t>
        </is>
      </c>
      <c r="C14279" s="2" t="n">
        <v>44026</v>
      </c>
      <c r="D14279" t="inlineStr">
        <is>
          <t>NON-NIL</t>
        </is>
      </c>
      <c r="E14279" t="n">
        <v>931</v>
      </c>
    </row>
    <row r="14280">
      <c r="A14280" t="inlineStr">
        <is>
          <t>27BBBBB14280Z5</t>
        </is>
      </c>
      <c r="B14280" t="inlineStr">
        <is>
          <t>Sep-2017</t>
        </is>
      </c>
      <c r="C14280" s="2" t="n">
        <v>43539</v>
      </c>
      <c r="D14280" t="inlineStr">
        <is>
          <t>NIL</t>
        </is>
      </c>
      <c r="E14280" t="n">
        <v>2326</v>
      </c>
    </row>
    <row r="14281">
      <c r="A14281" t="inlineStr">
        <is>
          <t>27BBBBB14281Z5</t>
        </is>
      </c>
      <c r="B14281" t="inlineStr">
        <is>
          <t>Sep-2017</t>
        </is>
      </c>
      <c r="C14281" s="2" t="n">
        <v>44002</v>
      </c>
      <c r="D14281" t="inlineStr">
        <is>
          <t>NON-NIL</t>
        </is>
      </c>
      <c r="E14281" t="n">
        <v>307</v>
      </c>
    </row>
    <row r="14282">
      <c r="A14282" t="inlineStr">
        <is>
          <t>27BBBBB14282Z5</t>
        </is>
      </c>
      <c r="B14282" t="inlineStr">
        <is>
          <t>Jul-2018</t>
        </is>
      </c>
      <c r="C14282" s="2" t="n">
        <v>43965</v>
      </c>
      <c r="D14282" t="inlineStr">
        <is>
          <t>NON-NIL</t>
        </is>
      </c>
      <c r="E14282" t="n">
        <v>634</v>
      </c>
    </row>
    <row r="14283">
      <c r="A14283" t="inlineStr">
        <is>
          <t>27BBBBB14283Z5</t>
        </is>
      </c>
      <c r="B14283" t="inlineStr">
        <is>
          <t>Oct-2017</t>
        </is>
      </c>
      <c r="C14283" s="2" t="n">
        <v>43223</v>
      </c>
      <c r="D14283" t="inlineStr">
        <is>
          <t>NON-NIL</t>
        </is>
      </c>
      <c r="E14283" t="n">
        <v>936</v>
      </c>
    </row>
    <row r="14284">
      <c r="A14284" t="inlineStr">
        <is>
          <t>27BBBBB14284Z5</t>
        </is>
      </c>
      <c r="B14284" t="inlineStr">
        <is>
          <t>Mar-2020</t>
        </is>
      </c>
      <c r="C14284" s="2" t="n">
        <v>43939</v>
      </c>
      <c r="D14284" t="inlineStr">
        <is>
          <t>NIL</t>
        </is>
      </c>
      <c r="E14284" t="n">
        <v>1448</v>
      </c>
    </row>
    <row r="14285">
      <c r="A14285" t="inlineStr">
        <is>
          <t>27BBBBB14285Z5</t>
        </is>
      </c>
      <c r="B14285" t="inlineStr">
        <is>
          <t>Apr-2020</t>
        </is>
      </c>
      <c r="C14285" s="2" t="n">
        <v>44788</v>
      </c>
      <c r="D14285" t="inlineStr">
        <is>
          <t>NIL</t>
        </is>
      </c>
      <c r="E14285" t="n">
        <v>619</v>
      </c>
    </row>
    <row r="14286">
      <c r="A14286" t="inlineStr">
        <is>
          <t>27BBBBB14286Z5</t>
        </is>
      </c>
      <c r="B14286" t="inlineStr">
        <is>
          <t>Mar-2018</t>
        </is>
      </c>
      <c r="C14286" s="2" t="n">
        <v>44061</v>
      </c>
      <c r="D14286" t="inlineStr">
        <is>
          <t>NIL</t>
        </is>
      </c>
      <c r="E14286" t="n">
        <v>2807</v>
      </c>
    </row>
    <row r="14287">
      <c r="A14287" t="inlineStr">
        <is>
          <t>27BBBBB14287Z5</t>
        </is>
      </c>
      <c r="B14287" t="inlineStr">
        <is>
          <t>Oct-2017</t>
        </is>
      </c>
      <c r="C14287" s="2" t="n">
        <v>44165</v>
      </c>
      <c r="D14287" t="inlineStr">
        <is>
          <t>NIL</t>
        </is>
      </c>
      <c r="E14287" t="n">
        <v>1315</v>
      </c>
    </row>
    <row r="14288">
      <c r="A14288" t="inlineStr">
        <is>
          <t>27BBBBB14288Z5</t>
        </is>
      </c>
      <c r="B14288" t="inlineStr">
        <is>
          <t>Mar-2020</t>
        </is>
      </c>
      <c r="C14288" s="2" t="n">
        <v>44361</v>
      </c>
      <c r="D14288" t="inlineStr">
        <is>
          <t>NIL</t>
        </is>
      </c>
      <c r="E14288" t="n">
        <v>2345</v>
      </c>
    </row>
    <row r="14289">
      <c r="A14289" t="inlineStr">
        <is>
          <t>27BBBBB14289Z5</t>
        </is>
      </c>
      <c r="B14289" t="inlineStr">
        <is>
          <t>Jul-2018</t>
        </is>
      </c>
      <c r="C14289" s="2" t="n">
        <v>44035</v>
      </c>
      <c r="D14289" t="inlineStr">
        <is>
          <t>NON-NIL</t>
        </is>
      </c>
      <c r="E14289" t="n">
        <v>1463</v>
      </c>
    </row>
    <row r="14290">
      <c r="A14290" t="inlineStr">
        <is>
          <t>27BBBBB14290Z5</t>
        </is>
      </c>
      <c r="B14290" t="inlineStr">
        <is>
          <t>Oct-2018</t>
        </is>
      </c>
      <c r="C14290" s="2" t="n">
        <v>43178</v>
      </c>
      <c r="D14290" t="inlineStr">
        <is>
          <t>NON-NIL</t>
        </is>
      </c>
      <c r="E14290" t="n">
        <v>690</v>
      </c>
    </row>
    <row r="14291">
      <c r="A14291" t="inlineStr">
        <is>
          <t>27BBBBB14291Z5</t>
        </is>
      </c>
      <c r="B14291" t="inlineStr">
        <is>
          <t>Jan-2021</t>
        </is>
      </c>
      <c r="C14291" s="2" t="n">
        <v>45124</v>
      </c>
      <c r="D14291" t="inlineStr">
        <is>
          <t>NIL</t>
        </is>
      </c>
      <c r="E14291" t="n">
        <v>2002</v>
      </c>
    </row>
    <row r="14292">
      <c r="A14292" t="inlineStr">
        <is>
          <t>27BBBBB14292Z5</t>
        </is>
      </c>
      <c r="B14292" t="inlineStr">
        <is>
          <t>Oct-2017</t>
        </is>
      </c>
      <c r="C14292" s="2" t="n">
        <v>43977</v>
      </c>
      <c r="D14292" t="inlineStr">
        <is>
          <t>NON-NIL</t>
        </is>
      </c>
      <c r="E14292" t="n">
        <v>85</v>
      </c>
    </row>
    <row r="14293">
      <c r="A14293" t="inlineStr">
        <is>
          <t>27BBBBB14293Z5</t>
        </is>
      </c>
      <c r="B14293" t="inlineStr">
        <is>
          <t>Dec-2022</t>
        </is>
      </c>
      <c r="C14293" s="2" t="n">
        <v>45278</v>
      </c>
      <c r="D14293" t="inlineStr">
        <is>
          <t>NON-NIL</t>
        </is>
      </c>
      <c r="E14293" t="n">
        <v>554</v>
      </c>
    </row>
    <row r="14294">
      <c r="A14294" t="inlineStr">
        <is>
          <t>27BBBBB14294Z5</t>
        </is>
      </c>
      <c r="B14294" t="inlineStr">
        <is>
          <t>Mar-2021</t>
        </is>
      </c>
      <c r="C14294" s="2" t="n">
        <v>45726</v>
      </c>
      <c r="D14294" t="inlineStr">
        <is>
          <t>NON-NIL</t>
        </is>
      </c>
      <c r="E14294" t="n">
        <v>265</v>
      </c>
    </row>
    <row r="14295">
      <c r="A14295" t="inlineStr">
        <is>
          <t>27BBBBB14295Z5</t>
        </is>
      </c>
      <c r="B14295" t="inlineStr">
        <is>
          <t>Jul-2020</t>
        </is>
      </c>
      <c r="C14295" s="2" t="n">
        <v>44233</v>
      </c>
      <c r="D14295" t="inlineStr">
        <is>
          <t>NIL</t>
        </is>
      </c>
      <c r="E14295" t="n">
        <v>2502</v>
      </c>
    </row>
    <row r="14296">
      <c r="A14296" t="inlineStr">
        <is>
          <t>27BBBBB14296Z5</t>
        </is>
      </c>
      <c r="B14296" t="inlineStr">
        <is>
          <t>Jul-2017</t>
        </is>
      </c>
      <c r="C14296" s="2" t="n">
        <v>44070</v>
      </c>
      <c r="D14296" t="inlineStr">
        <is>
          <t>NON-NIL</t>
        </is>
      </c>
      <c r="E14296" t="n">
        <v>465</v>
      </c>
    </row>
    <row r="14297">
      <c r="A14297" t="inlineStr">
        <is>
          <t>27BBBBB14297Z5</t>
        </is>
      </c>
      <c r="B14297" t="inlineStr">
        <is>
          <t>Feb-2018</t>
        </is>
      </c>
      <c r="C14297" s="2" t="n">
        <v>43820</v>
      </c>
      <c r="D14297" t="inlineStr">
        <is>
          <t>NIL</t>
        </is>
      </c>
      <c r="E14297" t="n">
        <v>2260</v>
      </c>
    </row>
    <row r="14298">
      <c r="A14298" t="inlineStr">
        <is>
          <t>27BBBBB14298Z5</t>
        </is>
      </c>
      <c r="B14298" t="inlineStr">
        <is>
          <t>Dec-2018</t>
        </is>
      </c>
      <c r="C14298" s="2" t="n">
        <v>43490</v>
      </c>
      <c r="D14298" t="inlineStr">
        <is>
          <t>NON-NIL</t>
        </is>
      </c>
      <c r="E14298" t="n">
        <v>2114</v>
      </c>
    </row>
    <row r="14299">
      <c r="A14299" t="inlineStr">
        <is>
          <t>27BBBBB14299Z5</t>
        </is>
      </c>
      <c r="B14299" t="inlineStr">
        <is>
          <t>Jan-2018</t>
        </is>
      </c>
      <c r="C14299" s="2" t="n">
        <v>44315</v>
      </c>
      <c r="D14299" t="inlineStr">
        <is>
          <t>NON-NIL</t>
        </is>
      </c>
      <c r="E14299" t="n">
        <v>979</v>
      </c>
    </row>
    <row r="14300">
      <c r="A14300" t="inlineStr">
        <is>
          <t>27BBBBB14300Z5</t>
        </is>
      </c>
      <c r="B14300" t="inlineStr">
        <is>
          <t>May-2018</t>
        </is>
      </c>
      <c r="C14300" s="2" t="n">
        <v>44061</v>
      </c>
      <c r="D14300" t="inlineStr">
        <is>
          <t>NON-NIL</t>
        </is>
      </c>
      <c r="E14300" t="n">
        <v>2480</v>
      </c>
    </row>
    <row r="14301">
      <c r="A14301" t="inlineStr">
        <is>
          <t>27BBBBB14301Z5</t>
        </is>
      </c>
      <c r="B14301" t="inlineStr">
        <is>
          <t>Oct-2018</t>
        </is>
      </c>
      <c r="C14301" s="2" t="n">
        <v>44276</v>
      </c>
      <c r="D14301" t="inlineStr">
        <is>
          <t>NIL</t>
        </is>
      </c>
      <c r="E14301" t="n">
        <v>2963</v>
      </c>
    </row>
    <row r="14302">
      <c r="A14302" t="inlineStr">
        <is>
          <t>27BBBBB14302Z5</t>
        </is>
      </c>
      <c r="B14302" t="inlineStr">
        <is>
          <t>Oct-2018</t>
        </is>
      </c>
      <c r="C14302" s="2" t="n">
        <v>43870</v>
      </c>
      <c r="D14302" t="inlineStr">
        <is>
          <t>NIL</t>
        </is>
      </c>
      <c r="E14302" t="n">
        <v>868</v>
      </c>
    </row>
    <row r="14303">
      <c r="A14303" t="inlineStr">
        <is>
          <t>27BBBBB14303Z5</t>
        </is>
      </c>
      <c r="B14303" t="inlineStr">
        <is>
          <t>Apr-2018</t>
        </is>
      </c>
      <c r="C14303" s="2" t="n">
        <v>43646</v>
      </c>
      <c r="D14303" t="inlineStr">
        <is>
          <t>NIL</t>
        </is>
      </c>
      <c r="E14303" t="n">
        <v>2367</v>
      </c>
    </row>
    <row r="14304">
      <c r="A14304" t="inlineStr">
        <is>
          <t>27BBBBB14304Z5</t>
        </is>
      </c>
      <c r="B14304" t="inlineStr">
        <is>
          <t>Apr-2018</t>
        </is>
      </c>
      <c r="C14304" s="2" t="n">
        <v>44062</v>
      </c>
      <c r="D14304" t="inlineStr">
        <is>
          <t>NIL</t>
        </is>
      </c>
      <c r="E14304" t="n">
        <v>589</v>
      </c>
    </row>
    <row r="14305">
      <c r="A14305" t="inlineStr">
        <is>
          <t>27BBBBB14305Z5</t>
        </is>
      </c>
      <c r="B14305" t="inlineStr">
        <is>
          <t>Jul-2018</t>
        </is>
      </c>
      <c r="C14305" s="2" t="n">
        <v>43073</v>
      </c>
      <c r="D14305" t="inlineStr">
        <is>
          <t>NON-NIL</t>
        </is>
      </c>
      <c r="E14305" t="n">
        <v>1957</v>
      </c>
    </row>
    <row r="14306">
      <c r="A14306" t="inlineStr">
        <is>
          <t>27BBBBB14306Z5</t>
        </is>
      </c>
      <c r="B14306" t="inlineStr">
        <is>
          <t>Jul-2018</t>
        </is>
      </c>
      <c r="C14306" s="2" t="n">
        <v>43459</v>
      </c>
      <c r="D14306" t="inlineStr">
        <is>
          <t>NON-NIL</t>
        </is>
      </c>
      <c r="E14306" t="n">
        <v>1674</v>
      </c>
    </row>
    <row r="14307">
      <c r="A14307" t="inlineStr">
        <is>
          <t>27BBBBB14307Z5</t>
        </is>
      </c>
      <c r="B14307" t="inlineStr">
        <is>
          <t>Dec-2018</t>
        </is>
      </c>
      <c r="C14307" s="2" t="n">
        <v>43898</v>
      </c>
      <c r="D14307" t="inlineStr">
        <is>
          <t>NON-NIL</t>
        </is>
      </c>
      <c r="E14307" t="n">
        <v>1630</v>
      </c>
    </row>
    <row r="14308">
      <c r="A14308" t="inlineStr">
        <is>
          <t>27BBBBB14308Z5</t>
        </is>
      </c>
      <c r="B14308" t="inlineStr">
        <is>
          <t>Dec-2018</t>
        </is>
      </c>
      <c r="C14308" s="2" t="n">
        <v>43683</v>
      </c>
      <c r="D14308" t="inlineStr">
        <is>
          <t>NON-NIL</t>
        </is>
      </c>
      <c r="E14308" t="n">
        <v>1593</v>
      </c>
    </row>
    <row r="14309">
      <c r="A14309" t="inlineStr">
        <is>
          <t>27BBBBB14309Z5</t>
        </is>
      </c>
      <c r="B14309" t="inlineStr">
        <is>
          <t>Sep-2018</t>
        </is>
      </c>
      <c r="C14309" s="2" t="n">
        <v>44350</v>
      </c>
      <c r="D14309" t="inlineStr">
        <is>
          <t>NON-NIL</t>
        </is>
      </c>
      <c r="E14309" t="n">
        <v>2968</v>
      </c>
    </row>
    <row r="14310">
      <c r="A14310" t="inlineStr">
        <is>
          <t>27BBBBB14310Z5</t>
        </is>
      </c>
      <c r="B14310" t="inlineStr">
        <is>
          <t>Feb-2018</t>
        </is>
      </c>
      <c r="C14310" s="2" t="n">
        <v>43461</v>
      </c>
      <c r="D14310" t="inlineStr">
        <is>
          <t>NIL</t>
        </is>
      </c>
      <c r="E14310" t="n">
        <v>1444</v>
      </c>
    </row>
    <row r="14311">
      <c r="A14311" t="inlineStr">
        <is>
          <t>27BBBBB14311Z5</t>
        </is>
      </c>
      <c r="B14311" t="inlineStr">
        <is>
          <t>Dec-2018</t>
        </is>
      </c>
      <c r="C14311" s="2" t="n">
        <v>43211</v>
      </c>
      <c r="D14311" t="inlineStr">
        <is>
          <t>NIL</t>
        </is>
      </c>
      <c r="E14311" t="n">
        <v>2499</v>
      </c>
    </row>
    <row r="14312">
      <c r="A14312" t="inlineStr">
        <is>
          <t>27BBBBB14312Z5</t>
        </is>
      </c>
      <c r="B14312" t="inlineStr">
        <is>
          <t>May-2020</t>
        </is>
      </c>
      <c r="C14312" s="2" t="n">
        <v>44789</v>
      </c>
      <c r="D14312" t="inlineStr">
        <is>
          <t>NIL</t>
        </is>
      </c>
      <c r="E14312" t="n">
        <v>1235</v>
      </c>
    </row>
    <row r="14313">
      <c r="A14313" t="inlineStr">
        <is>
          <t>27BBBBB14313Z5</t>
        </is>
      </c>
      <c r="B14313" t="inlineStr">
        <is>
          <t>May-2020</t>
        </is>
      </c>
      <c r="C14313" s="2" t="n">
        <v>44696</v>
      </c>
      <c r="D14313" t="inlineStr">
        <is>
          <t>NIL</t>
        </is>
      </c>
      <c r="E14313" t="n">
        <v>740</v>
      </c>
    </row>
    <row r="14314">
      <c r="A14314" t="inlineStr">
        <is>
          <t>27BBBBB14314Z5</t>
        </is>
      </c>
      <c r="B14314" t="inlineStr">
        <is>
          <t>Nov-2017</t>
        </is>
      </c>
      <c r="C14314" s="2" t="n">
        <v>43864</v>
      </c>
      <c r="D14314" t="inlineStr">
        <is>
          <t>NIL</t>
        </is>
      </c>
      <c r="E14314" t="n">
        <v>2788</v>
      </c>
    </row>
    <row r="14315">
      <c r="A14315" t="inlineStr">
        <is>
          <t>27BBBBB14315Z5</t>
        </is>
      </c>
      <c r="B14315" t="inlineStr">
        <is>
          <t>Mar-2021</t>
        </is>
      </c>
      <c r="C14315" s="2" t="n">
        <v>44939</v>
      </c>
      <c r="D14315" t="inlineStr">
        <is>
          <t>NON-NIL</t>
        </is>
      </c>
      <c r="E14315" t="n">
        <v>2028</v>
      </c>
    </row>
    <row r="14316">
      <c r="A14316" t="inlineStr">
        <is>
          <t>27BBBBB14316Z5</t>
        </is>
      </c>
      <c r="B14316" t="inlineStr">
        <is>
          <t>Sep-2017</t>
        </is>
      </c>
      <c r="C14316" s="2" t="n">
        <v>43545</v>
      </c>
      <c r="D14316" t="inlineStr">
        <is>
          <t>NON-NIL</t>
        </is>
      </c>
      <c r="E14316" t="n">
        <v>1381</v>
      </c>
    </row>
    <row r="14317">
      <c r="A14317" t="inlineStr">
        <is>
          <t>27BBBBB14317Z5</t>
        </is>
      </c>
      <c r="B14317" t="inlineStr">
        <is>
          <t>Feb-2018</t>
        </is>
      </c>
      <c r="C14317" s="2" t="n">
        <v>44220</v>
      </c>
      <c r="D14317" t="inlineStr">
        <is>
          <t>NON-NIL</t>
        </is>
      </c>
      <c r="E14317" t="n">
        <v>2713</v>
      </c>
    </row>
    <row r="14318">
      <c r="A14318" t="inlineStr">
        <is>
          <t>27BBBBB14318Z5</t>
        </is>
      </c>
      <c r="B14318" t="inlineStr">
        <is>
          <t>Aug-2017</t>
        </is>
      </c>
      <c r="C14318" s="2" t="n">
        <v>43141</v>
      </c>
      <c r="D14318" t="inlineStr">
        <is>
          <t>NIL</t>
        </is>
      </c>
      <c r="E14318" t="n">
        <v>2354</v>
      </c>
    </row>
    <row r="14319">
      <c r="A14319" t="inlineStr">
        <is>
          <t>27BBBBB14319Z5</t>
        </is>
      </c>
      <c r="B14319" t="inlineStr">
        <is>
          <t>Mar-2020</t>
        </is>
      </c>
      <c r="C14319" s="2" t="n">
        <v>44638</v>
      </c>
      <c r="D14319" t="inlineStr">
        <is>
          <t>NON-NIL</t>
        </is>
      </c>
      <c r="E14319" t="n">
        <v>2675</v>
      </c>
    </row>
    <row r="14320">
      <c r="A14320" t="inlineStr">
        <is>
          <t>27BBBBB14320Z5</t>
        </is>
      </c>
      <c r="B14320" t="inlineStr">
        <is>
          <t>Jan-2021</t>
        </is>
      </c>
      <c r="C14320" s="2" t="n">
        <v>44527</v>
      </c>
      <c r="D14320" t="inlineStr">
        <is>
          <t>NON-NIL</t>
        </is>
      </c>
      <c r="E14320" t="n">
        <v>2340</v>
      </c>
    </row>
    <row r="14321">
      <c r="A14321" t="inlineStr">
        <is>
          <t>27BBBBB14321Z5</t>
        </is>
      </c>
      <c r="B14321" t="inlineStr">
        <is>
          <t>Apr-2020</t>
        </is>
      </c>
      <c r="C14321" s="2" t="n">
        <v>43856</v>
      </c>
      <c r="D14321" t="inlineStr">
        <is>
          <t>NON-NIL</t>
        </is>
      </c>
      <c r="E14321" t="n">
        <v>2913</v>
      </c>
    </row>
    <row r="14322">
      <c r="A14322" t="inlineStr">
        <is>
          <t>27BBBBB14322Z5</t>
        </is>
      </c>
      <c r="B14322" t="inlineStr">
        <is>
          <t>Jan-2018</t>
        </is>
      </c>
      <c r="C14322" s="2" t="n">
        <v>43878</v>
      </c>
      <c r="D14322" t="inlineStr">
        <is>
          <t>NIL</t>
        </is>
      </c>
      <c r="E14322" t="n">
        <v>2843</v>
      </c>
    </row>
    <row r="14323">
      <c r="A14323" t="inlineStr">
        <is>
          <t>27BBBBB14323Z5</t>
        </is>
      </c>
      <c r="B14323" t="inlineStr">
        <is>
          <t>Mar-2021</t>
        </is>
      </c>
      <c r="C14323" s="2" t="n">
        <v>45282</v>
      </c>
      <c r="D14323" t="inlineStr">
        <is>
          <t>NON-NIL</t>
        </is>
      </c>
      <c r="E14323" t="n">
        <v>818</v>
      </c>
    </row>
    <row r="14324">
      <c r="A14324" t="inlineStr">
        <is>
          <t>27BBBBB14324Z5</t>
        </is>
      </c>
      <c r="B14324" t="inlineStr">
        <is>
          <t>Mar-2018</t>
        </is>
      </c>
      <c r="C14324" s="2" t="n">
        <v>43944</v>
      </c>
      <c r="D14324" t="inlineStr">
        <is>
          <t>NON-NIL</t>
        </is>
      </c>
      <c r="E14324" t="n">
        <v>1418</v>
      </c>
    </row>
    <row r="14325">
      <c r="A14325" t="inlineStr">
        <is>
          <t>27BBBBB14325Z5</t>
        </is>
      </c>
      <c r="B14325" t="inlineStr">
        <is>
          <t>Jun-2020</t>
        </is>
      </c>
      <c r="C14325" s="2" t="n">
        <v>43911</v>
      </c>
      <c r="D14325" t="inlineStr">
        <is>
          <t>NIL</t>
        </is>
      </c>
      <c r="E14325" t="n">
        <v>732</v>
      </c>
    </row>
    <row r="14326">
      <c r="A14326" t="inlineStr">
        <is>
          <t>27BBBBB14326Z5</t>
        </is>
      </c>
      <c r="B14326" t="inlineStr">
        <is>
          <t>Mar-2020</t>
        </is>
      </c>
      <c r="C14326" s="2" t="n">
        <v>44879</v>
      </c>
      <c r="D14326" t="inlineStr">
        <is>
          <t>NIL</t>
        </is>
      </c>
      <c r="E14326" t="n">
        <v>2460</v>
      </c>
    </row>
    <row r="14327">
      <c r="A14327" t="inlineStr">
        <is>
          <t>27BBBBB14327Z5</t>
        </is>
      </c>
      <c r="B14327" t="inlineStr">
        <is>
          <t>Aug-2018</t>
        </is>
      </c>
      <c r="C14327" s="2" t="n">
        <v>43588</v>
      </c>
      <c r="D14327" t="inlineStr">
        <is>
          <t>NON-NIL</t>
        </is>
      </c>
      <c r="E14327" t="n">
        <v>2328</v>
      </c>
    </row>
    <row r="14328">
      <c r="A14328" t="inlineStr">
        <is>
          <t>27BBBBB14328Z5</t>
        </is>
      </c>
      <c r="B14328" t="inlineStr">
        <is>
          <t>Aug-2017</t>
        </is>
      </c>
      <c r="C14328" s="2" t="n">
        <v>43503</v>
      </c>
      <c r="D14328" t="inlineStr">
        <is>
          <t>NIL</t>
        </is>
      </c>
      <c r="E14328" t="n">
        <v>2957</v>
      </c>
    </row>
    <row r="14329">
      <c r="A14329" t="inlineStr">
        <is>
          <t>27BBBBB14329Z5</t>
        </is>
      </c>
      <c r="B14329" t="inlineStr">
        <is>
          <t>Sep-2017</t>
        </is>
      </c>
      <c r="C14329" s="2" t="n">
        <v>44314</v>
      </c>
      <c r="D14329" t="inlineStr">
        <is>
          <t>NON-NIL</t>
        </is>
      </c>
      <c r="E14329" t="n">
        <v>2100</v>
      </c>
    </row>
    <row r="14330">
      <c r="A14330" t="inlineStr">
        <is>
          <t>27BBBBB14330Z5</t>
        </is>
      </c>
      <c r="B14330" t="inlineStr">
        <is>
          <t>May-2018</t>
        </is>
      </c>
      <c r="C14330" s="2" t="n">
        <v>43087</v>
      </c>
      <c r="D14330" t="inlineStr">
        <is>
          <t>NON-NIL</t>
        </is>
      </c>
      <c r="E14330" t="n">
        <v>807</v>
      </c>
    </row>
    <row r="14331">
      <c r="A14331" t="inlineStr">
        <is>
          <t>27BBBBB14331Z5</t>
        </is>
      </c>
      <c r="B14331" t="inlineStr">
        <is>
          <t>Jun-2018</t>
        </is>
      </c>
      <c r="C14331" s="2" t="n">
        <v>43924</v>
      </c>
      <c r="D14331" t="inlineStr">
        <is>
          <t>NON-NIL</t>
        </is>
      </c>
      <c r="E14331" t="n">
        <v>636</v>
      </c>
    </row>
    <row r="14332">
      <c r="A14332" t="inlineStr">
        <is>
          <t>27BBBBB14332Z5</t>
        </is>
      </c>
      <c r="B14332" t="inlineStr">
        <is>
          <t>Jul-2017</t>
        </is>
      </c>
      <c r="C14332" s="2" t="n">
        <v>43988</v>
      </c>
      <c r="D14332" t="inlineStr">
        <is>
          <t>NON-NIL</t>
        </is>
      </c>
      <c r="E14332" t="n">
        <v>2537</v>
      </c>
    </row>
    <row r="14333">
      <c r="A14333" t="inlineStr">
        <is>
          <t>27BBBBB14333Z5</t>
        </is>
      </c>
      <c r="B14333" t="inlineStr">
        <is>
          <t>Oct-2017</t>
        </is>
      </c>
      <c r="C14333" s="2" t="n">
        <v>44243</v>
      </c>
      <c r="D14333" t="inlineStr">
        <is>
          <t>NIL</t>
        </is>
      </c>
      <c r="E14333" t="n">
        <v>1676</v>
      </c>
    </row>
    <row r="14334">
      <c r="A14334" t="inlineStr">
        <is>
          <t>27BBBBB14334Z5</t>
        </is>
      </c>
      <c r="B14334" t="inlineStr">
        <is>
          <t>Sep-2017</t>
        </is>
      </c>
      <c r="C14334" s="2" t="n">
        <v>43802</v>
      </c>
      <c r="D14334" t="inlineStr">
        <is>
          <t>NON-NIL</t>
        </is>
      </c>
      <c r="E14334" t="n">
        <v>1534</v>
      </c>
    </row>
    <row r="14335">
      <c r="A14335" t="inlineStr">
        <is>
          <t>27BBBBB14335Z5</t>
        </is>
      </c>
      <c r="B14335" t="inlineStr">
        <is>
          <t>Jun-2020</t>
        </is>
      </c>
      <c r="C14335" s="2" t="n">
        <v>44634</v>
      </c>
      <c r="D14335" t="inlineStr">
        <is>
          <t>NIL</t>
        </is>
      </c>
      <c r="E14335" t="n">
        <v>2479</v>
      </c>
    </row>
    <row r="14336">
      <c r="A14336" t="inlineStr">
        <is>
          <t>27BBBBB14336Z5</t>
        </is>
      </c>
      <c r="B14336" t="inlineStr">
        <is>
          <t>Dec-2018</t>
        </is>
      </c>
      <c r="C14336" s="2" t="n">
        <v>44546</v>
      </c>
      <c r="D14336" t="inlineStr">
        <is>
          <t>NIL</t>
        </is>
      </c>
      <c r="E14336" t="n">
        <v>291</v>
      </c>
    </row>
    <row r="14337">
      <c r="A14337" t="inlineStr">
        <is>
          <t>27BBBBB14337Z5</t>
        </is>
      </c>
      <c r="B14337" t="inlineStr">
        <is>
          <t>Jul-2018</t>
        </is>
      </c>
      <c r="C14337" s="2" t="n">
        <v>43090</v>
      </c>
      <c r="D14337" t="inlineStr">
        <is>
          <t>NIL</t>
        </is>
      </c>
      <c r="E14337" t="n">
        <v>2451</v>
      </c>
    </row>
    <row r="14338">
      <c r="A14338" t="inlineStr">
        <is>
          <t>27BBBBB14338Z5</t>
        </is>
      </c>
      <c r="B14338" t="inlineStr">
        <is>
          <t>Mar-2020</t>
        </is>
      </c>
      <c r="C14338" s="2" t="n">
        <v>44526</v>
      </c>
      <c r="D14338" t="inlineStr">
        <is>
          <t>NIL</t>
        </is>
      </c>
      <c r="E14338" t="n">
        <v>1134</v>
      </c>
    </row>
    <row r="14339">
      <c r="A14339" t="inlineStr">
        <is>
          <t>27BBBBB14339Z5</t>
        </is>
      </c>
      <c r="B14339" t="inlineStr">
        <is>
          <t>Nov-2017</t>
        </is>
      </c>
      <c r="C14339" s="2" t="n">
        <v>44344</v>
      </c>
      <c r="D14339" t="inlineStr">
        <is>
          <t>NON-NIL</t>
        </is>
      </c>
      <c r="E14339" t="n">
        <v>2663</v>
      </c>
    </row>
    <row r="14340">
      <c r="A14340" t="inlineStr">
        <is>
          <t>27BBBBB14340Z5</t>
        </is>
      </c>
      <c r="B14340" t="inlineStr">
        <is>
          <t>Dec-2022</t>
        </is>
      </c>
      <c r="C14340" s="2" t="n">
        <v>45646</v>
      </c>
      <c r="D14340" t="inlineStr">
        <is>
          <t>NIL</t>
        </is>
      </c>
      <c r="E14340" t="n">
        <v>139</v>
      </c>
    </row>
    <row r="14341">
      <c r="A14341" t="inlineStr">
        <is>
          <t>27BBBBB14341Z5</t>
        </is>
      </c>
      <c r="B14341" t="inlineStr">
        <is>
          <t>Dec-2018</t>
        </is>
      </c>
      <c r="C14341" s="2" t="n">
        <v>43421</v>
      </c>
      <c r="D14341" t="inlineStr">
        <is>
          <t>NIL</t>
        </is>
      </c>
      <c r="E14341" t="n">
        <v>225</v>
      </c>
    </row>
    <row r="14342">
      <c r="A14342" t="inlineStr">
        <is>
          <t>27BBBBB14342Z5</t>
        </is>
      </c>
      <c r="B14342" t="inlineStr">
        <is>
          <t>Mar-2021</t>
        </is>
      </c>
      <c r="C14342" s="2" t="n">
        <v>43588</v>
      </c>
      <c r="D14342" t="inlineStr">
        <is>
          <t>NON-NIL</t>
        </is>
      </c>
      <c r="E14342" t="n">
        <v>1472</v>
      </c>
    </row>
    <row r="14343">
      <c r="A14343" t="inlineStr">
        <is>
          <t>27BBBBB14343Z5</t>
        </is>
      </c>
      <c r="B14343" t="inlineStr">
        <is>
          <t>Feb-2018</t>
        </is>
      </c>
      <c r="C14343" s="2" t="n">
        <v>43906</v>
      </c>
      <c r="D14343" t="inlineStr">
        <is>
          <t>NIL</t>
        </is>
      </c>
      <c r="E14343" t="n">
        <v>1162</v>
      </c>
    </row>
    <row r="14344">
      <c r="A14344" t="inlineStr">
        <is>
          <t>27BBBBB14344Z5</t>
        </is>
      </c>
      <c r="B14344" t="inlineStr">
        <is>
          <t>Dec-2017</t>
        </is>
      </c>
      <c r="C14344" s="2" t="n">
        <v>43250</v>
      </c>
      <c r="D14344" t="inlineStr">
        <is>
          <t>NON-NIL</t>
        </is>
      </c>
      <c r="E14344" t="n">
        <v>1641</v>
      </c>
    </row>
    <row r="14345">
      <c r="A14345" t="inlineStr">
        <is>
          <t>27BBBBB14345Z5</t>
        </is>
      </c>
      <c r="B14345" t="inlineStr">
        <is>
          <t>Apr-2020</t>
        </is>
      </c>
      <c r="C14345" s="2" t="n">
        <v>43925</v>
      </c>
      <c r="D14345" t="inlineStr">
        <is>
          <t>NIL</t>
        </is>
      </c>
      <c r="E14345" t="n">
        <v>1789</v>
      </c>
    </row>
    <row r="14346">
      <c r="A14346" t="inlineStr">
        <is>
          <t>27BBBBB14346Z5</t>
        </is>
      </c>
      <c r="B14346" t="inlineStr">
        <is>
          <t>Dec-2017</t>
        </is>
      </c>
      <c r="C14346" s="2" t="n">
        <v>43717</v>
      </c>
      <c r="D14346" t="inlineStr">
        <is>
          <t>NON-NIL</t>
        </is>
      </c>
      <c r="E14346" t="n">
        <v>1123</v>
      </c>
    </row>
    <row r="14347">
      <c r="A14347" t="inlineStr">
        <is>
          <t>27BBBBB14347Z5</t>
        </is>
      </c>
      <c r="B14347" t="inlineStr">
        <is>
          <t>Feb-2018</t>
        </is>
      </c>
      <c r="C14347" s="2" t="n">
        <v>43387</v>
      </c>
      <c r="D14347" t="inlineStr">
        <is>
          <t>NIL</t>
        </is>
      </c>
      <c r="E14347" t="n">
        <v>1866</v>
      </c>
    </row>
    <row r="14348">
      <c r="A14348" t="inlineStr">
        <is>
          <t>27BBBBB14348Z5</t>
        </is>
      </c>
      <c r="B14348" t="inlineStr">
        <is>
          <t>Dec-2018</t>
        </is>
      </c>
      <c r="C14348" s="2" t="n">
        <v>44539</v>
      </c>
      <c r="D14348" t="inlineStr">
        <is>
          <t>NON-NIL</t>
        </is>
      </c>
      <c r="E14348" t="n">
        <v>1462</v>
      </c>
    </row>
    <row r="14349">
      <c r="A14349" t="inlineStr">
        <is>
          <t>27BBBBB14349Z5</t>
        </is>
      </c>
      <c r="B14349" t="inlineStr">
        <is>
          <t>Oct-2018</t>
        </is>
      </c>
      <c r="C14349" s="2" t="n">
        <v>43439</v>
      </c>
      <c r="D14349" t="inlineStr">
        <is>
          <t>NIL</t>
        </is>
      </c>
      <c r="E14349" t="n">
        <v>1562</v>
      </c>
    </row>
    <row r="14350">
      <c r="A14350" t="inlineStr">
        <is>
          <t>27BBBBB14350Z5</t>
        </is>
      </c>
      <c r="B14350" t="inlineStr">
        <is>
          <t>Mar-2021</t>
        </is>
      </c>
      <c r="C14350" s="2" t="n">
        <v>44057</v>
      </c>
      <c r="D14350" t="inlineStr">
        <is>
          <t>NON-NIL</t>
        </is>
      </c>
      <c r="E14350" t="n">
        <v>1876</v>
      </c>
    </row>
    <row r="14351">
      <c r="A14351" t="inlineStr">
        <is>
          <t>27BBBBB14351Z5</t>
        </is>
      </c>
      <c r="B14351" t="inlineStr">
        <is>
          <t>Jan-2021</t>
        </is>
      </c>
      <c r="C14351" s="2" t="n">
        <v>45300</v>
      </c>
      <c r="D14351" t="inlineStr">
        <is>
          <t>NIL</t>
        </is>
      </c>
      <c r="E14351" t="n">
        <v>73</v>
      </c>
    </row>
    <row r="14352">
      <c r="A14352" t="inlineStr">
        <is>
          <t>27BBBBB14352Z5</t>
        </is>
      </c>
      <c r="B14352" t="inlineStr">
        <is>
          <t>Jun-2020</t>
        </is>
      </c>
      <c r="C14352" s="2" t="n">
        <v>44105</v>
      </c>
      <c r="D14352" t="inlineStr">
        <is>
          <t>NIL</t>
        </is>
      </c>
      <c r="E14352" t="n">
        <v>1753</v>
      </c>
    </row>
    <row r="14353">
      <c r="A14353" t="inlineStr">
        <is>
          <t>27BBBBB14353Z5</t>
        </is>
      </c>
      <c r="B14353" t="inlineStr">
        <is>
          <t>Aug-2017</t>
        </is>
      </c>
      <c r="C14353" s="2" t="n">
        <v>43408</v>
      </c>
      <c r="D14353" t="inlineStr">
        <is>
          <t>NIL</t>
        </is>
      </c>
      <c r="E14353" t="n">
        <v>1733</v>
      </c>
    </row>
    <row r="14354">
      <c r="A14354" t="inlineStr">
        <is>
          <t>27BBBBB14354Z5</t>
        </is>
      </c>
      <c r="B14354" t="inlineStr">
        <is>
          <t>Jun-2018</t>
        </is>
      </c>
      <c r="C14354" s="2" t="n">
        <v>42993</v>
      </c>
      <c r="D14354" t="inlineStr">
        <is>
          <t>NON-NIL</t>
        </is>
      </c>
      <c r="E14354" t="n">
        <v>1522</v>
      </c>
    </row>
    <row r="14355">
      <c r="A14355" t="inlineStr">
        <is>
          <t>27BBBBB14355Z5</t>
        </is>
      </c>
      <c r="B14355" t="inlineStr">
        <is>
          <t>Jun-2018</t>
        </is>
      </c>
      <c r="C14355" s="2" t="n">
        <v>43074</v>
      </c>
      <c r="D14355" t="inlineStr">
        <is>
          <t>NON-NIL</t>
        </is>
      </c>
      <c r="E14355" t="n">
        <v>899</v>
      </c>
    </row>
    <row r="14356">
      <c r="A14356" t="inlineStr">
        <is>
          <t>27BBBBB14356Z5</t>
        </is>
      </c>
      <c r="B14356" t="inlineStr">
        <is>
          <t>Mar-2023</t>
        </is>
      </c>
      <c r="C14356" s="2" t="n">
        <v>45829</v>
      </c>
      <c r="D14356" t="inlineStr">
        <is>
          <t>NIL</t>
        </is>
      </c>
      <c r="E14356" t="n">
        <v>2630</v>
      </c>
    </row>
    <row r="14357">
      <c r="A14357" t="inlineStr">
        <is>
          <t>27BBBBB14357Z5</t>
        </is>
      </c>
      <c r="B14357" t="inlineStr">
        <is>
          <t>Aug-2017</t>
        </is>
      </c>
      <c r="C14357" s="2" t="n">
        <v>44460</v>
      </c>
      <c r="D14357" t="inlineStr">
        <is>
          <t>NON-NIL</t>
        </is>
      </c>
      <c r="E14357" t="n">
        <v>293</v>
      </c>
    </row>
    <row r="14358">
      <c r="A14358" t="inlineStr">
        <is>
          <t>27BBBBB14358Z5</t>
        </is>
      </c>
      <c r="B14358" t="inlineStr">
        <is>
          <t>Jun-2020</t>
        </is>
      </c>
      <c r="C14358" s="2" t="n">
        <v>44824</v>
      </c>
      <c r="D14358" t="inlineStr">
        <is>
          <t>NON-NIL</t>
        </is>
      </c>
      <c r="E14358" t="n">
        <v>350</v>
      </c>
    </row>
    <row r="14359">
      <c r="A14359" t="inlineStr">
        <is>
          <t>27BBBBB14359Z5</t>
        </is>
      </c>
      <c r="B14359" t="inlineStr">
        <is>
          <t>Nov-2018</t>
        </is>
      </c>
      <c r="C14359" s="2" t="n">
        <v>44045</v>
      </c>
      <c r="D14359" t="inlineStr">
        <is>
          <t>NON-NIL</t>
        </is>
      </c>
      <c r="E14359" t="n">
        <v>1030</v>
      </c>
    </row>
    <row r="14360">
      <c r="A14360" t="inlineStr">
        <is>
          <t>27BBBBB14360Z5</t>
        </is>
      </c>
      <c r="B14360" t="inlineStr">
        <is>
          <t>Apr-2020</t>
        </is>
      </c>
      <c r="C14360" s="2" t="n">
        <v>44354</v>
      </c>
      <c r="D14360" t="inlineStr">
        <is>
          <t>NON-NIL</t>
        </is>
      </c>
      <c r="E14360" t="n">
        <v>2932</v>
      </c>
    </row>
    <row r="14361">
      <c r="A14361" t="inlineStr">
        <is>
          <t>27BBBBB14361Z5</t>
        </is>
      </c>
      <c r="B14361" t="inlineStr">
        <is>
          <t>Dec-2017</t>
        </is>
      </c>
      <c r="C14361" s="2" t="n">
        <v>43359</v>
      </c>
      <c r="D14361" t="inlineStr">
        <is>
          <t>NIL</t>
        </is>
      </c>
      <c r="E14361" t="n">
        <v>2113</v>
      </c>
    </row>
    <row r="14362">
      <c r="A14362" t="inlineStr">
        <is>
          <t>27BBBBB14362Z5</t>
        </is>
      </c>
      <c r="B14362" t="inlineStr">
        <is>
          <t>Oct-2017</t>
        </is>
      </c>
      <c r="C14362" s="2" t="n">
        <v>43053</v>
      </c>
      <c r="D14362" t="inlineStr">
        <is>
          <t>NON-NIL</t>
        </is>
      </c>
      <c r="E14362" t="n">
        <v>230</v>
      </c>
    </row>
    <row r="14363">
      <c r="A14363" t="inlineStr">
        <is>
          <t>27BBBBB14363Z5</t>
        </is>
      </c>
      <c r="B14363" t="inlineStr">
        <is>
          <t>May-2020</t>
        </is>
      </c>
      <c r="C14363" s="2" t="n">
        <v>44822</v>
      </c>
      <c r="D14363" t="inlineStr">
        <is>
          <t>NIL</t>
        </is>
      </c>
      <c r="E14363" t="n">
        <v>397</v>
      </c>
    </row>
    <row r="14364">
      <c r="A14364" t="inlineStr">
        <is>
          <t>27BBBBB14364Z5</t>
        </is>
      </c>
      <c r="B14364" t="inlineStr">
        <is>
          <t>Mar-2023</t>
        </is>
      </c>
      <c r="C14364" s="2" t="n">
        <v>43875</v>
      </c>
      <c r="D14364" t="inlineStr">
        <is>
          <t>NON-NIL</t>
        </is>
      </c>
      <c r="E14364" t="n">
        <v>1434</v>
      </c>
    </row>
    <row r="14365">
      <c r="A14365" t="inlineStr">
        <is>
          <t>27BBBBB14365Z5</t>
        </is>
      </c>
      <c r="B14365" t="inlineStr">
        <is>
          <t>Mar-2021</t>
        </is>
      </c>
      <c r="C14365" s="2" t="n">
        <v>45166</v>
      </c>
      <c r="D14365" t="inlineStr">
        <is>
          <t>NIL</t>
        </is>
      </c>
      <c r="E14365" t="n">
        <v>718</v>
      </c>
    </row>
    <row r="14366">
      <c r="A14366" t="inlineStr">
        <is>
          <t>27BBBBB14366Z5</t>
        </is>
      </c>
      <c r="B14366" t="inlineStr">
        <is>
          <t>Jul-2018</t>
        </is>
      </c>
      <c r="C14366" s="2" t="n">
        <v>43900</v>
      </c>
      <c r="D14366" t="inlineStr">
        <is>
          <t>NIL</t>
        </is>
      </c>
      <c r="E14366" t="n">
        <v>1096</v>
      </c>
    </row>
    <row r="14367">
      <c r="A14367" t="inlineStr">
        <is>
          <t>27BBBBB14367Z5</t>
        </is>
      </c>
      <c r="B14367" t="inlineStr">
        <is>
          <t>Jun-2018</t>
        </is>
      </c>
      <c r="C14367" s="2" t="n">
        <v>44442</v>
      </c>
      <c r="D14367" t="inlineStr">
        <is>
          <t>NON-NIL</t>
        </is>
      </c>
      <c r="E14367" t="n">
        <v>2416</v>
      </c>
    </row>
    <row r="14368">
      <c r="A14368" t="inlineStr">
        <is>
          <t>27BBBBB14368Z5</t>
        </is>
      </c>
      <c r="B14368" t="inlineStr">
        <is>
          <t>Dec-2018</t>
        </is>
      </c>
      <c r="C14368" s="2" t="n">
        <v>43836</v>
      </c>
      <c r="D14368" t="inlineStr">
        <is>
          <t>NON-NIL</t>
        </is>
      </c>
      <c r="E14368" t="n">
        <v>868</v>
      </c>
    </row>
    <row r="14369">
      <c r="A14369" t="inlineStr">
        <is>
          <t>27BBBBB14369Z5</t>
        </is>
      </c>
      <c r="B14369" t="inlineStr">
        <is>
          <t>Dec-2024</t>
        </is>
      </c>
      <c r="C14369" s="2" t="n">
        <v>44677</v>
      </c>
      <c r="D14369" t="inlineStr">
        <is>
          <t>NON-NIL</t>
        </is>
      </c>
      <c r="E14369" t="n">
        <v>1367</v>
      </c>
    </row>
    <row r="14370">
      <c r="A14370" t="inlineStr">
        <is>
          <t>27BBBBB14370Z5</t>
        </is>
      </c>
      <c r="B14370" t="inlineStr">
        <is>
          <t>Mar-2018</t>
        </is>
      </c>
      <c r="C14370" s="2" t="n">
        <v>43864</v>
      </c>
      <c r="D14370" t="inlineStr">
        <is>
          <t>NIL</t>
        </is>
      </c>
      <c r="E14370" t="n">
        <v>541</v>
      </c>
    </row>
    <row r="14371">
      <c r="A14371" t="inlineStr">
        <is>
          <t>27BBBBB14371Z5</t>
        </is>
      </c>
      <c r="B14371" t="inlineStr">
        <is>
          <t>Jan-2018</t>
        </is>
      </c>
      <c r="C14371" s="2" t="n">
        <v>43026</v>
      </c>
      <c r="D14371" t="inlineStr">
        <is>
          <t>NIL</t>
        </is>
      </c>
      <c r="E14371" t="n">
        <v>116</v>
      </c>
    </row>
    <row r="14372">
      <c r="A14372" t="inlineStr">
        <is>
          <t>27BBBBB14372Z5</t>
        </is>
      </c>
      <c r="B14372" t="inlineStr">
        <is>
          <t>Mar-2021</t>
        </is>
      </c>
      <c r="C14372" s="2" t="n">
        <v>45600</v>
      </c>
      <c r="D14372" t="inlineStr">
        <is>
          <t>NON-NIL</t>
        </is>
      </c>
      <c r="E14372" t="n">
        <v>2504</v>
      </c>
    </row>
    <row r="14373">
      <c r="A14373" t="inlineStr">
        <is>
          <t>27BBBBB14373Z5</t>
        </is>
      </c>
      <c r="B14373" t="inlineStr">
        <is>
          <t>Feb-2018</t>
        </is>
      </c>
      <c r="C14373" s="2" t="n">
        <v>44040</v>
      </c>
      <c r="D14373" t="inlineStr">
        <is>
          <t>NON-NIL</t>
        </is>
      </c>
      <c r="E14373" t="n">
        <v>149</v>
      </c>
    </row>
    <row r="14374">
      <c r="A14374" t="inlineStr">
        <is>
          <t>27BBBBB14374Z5</t>
        </is>
      </c>
      <c r="B14374" t="inlineStr">
        <is>
          <t>Jun-2018</t>
        </is>
      </c>
      <c r="C14374" s="2" t="n">
        <v>43789</v>
      </c>
      <c r="D14374" t="inlineStr">
        <is>
          <t>NON-NIL</t>
        </is>
      </c>
      <c r="E14374" t="n">
        <v>1764</v>
      </c>
    </row>
    <row r="14375">
      <c r="A14375" t="inlineStr">
        <is>
          <t>27BBBBB14375Z5</t>
        </is>
      </c>
      <c r="B14375" t="inlineStr">
        <is>
          <t>Nov-2018</t>
        </is>
      </c>
      <c r="C14375" s="2" t="n">
        <v>43035</v>
      </c>
      <c r="D14375" t="inlineStr">
        <is>
          <t>NIL</t>
        </is>
      </c>
      <c r="E14375" t="n">
        <v>77</v>
      </c>
    </row>
    <row r="14376">
      <c r="A14376" t="inlineStr">
        <is>
          <t>27BBBBB14376Z5</t>
        </is>
      </c>
      <c r="B14376" t="inlineStr">
        <is>
          <t>Jan-2018</t>
        </is>
      </c>
      <c r="C14376" s="2" t="n">
        <v>43444</v>
      </c>
      <c r="D14376" t="inlineStr">
        <is>
          <t>NON-NIL</t>
        </is>
      </c>
      <c r="E14376" t="n">
        <v>2762</v>
      </c>
    </row>
    <row r="14377">
      <c r="A14377" t="inlineStr">
        <is>
          <t>27BBBBB14377Z5</t>
        </is>
      </c>
      <c r="B14377" t="inlineStr">
        <is>
          <t>Dec-2017</t>
        </is>
      </c>
      <c r="C14377" s="2" t="n">
        <v>44560</v>
      </c>
      <c r="D14377" t="inlineStr">
        <is>
          <t>NIL</t>
        </is>
      </c>
      <c r="E14377" t="n">
        <v>1000</v>
      </c>
    </row>
    <row r="14378">
      <c r="A14378" t="inlineStr">
        <is>
          <t>27BBBBB14378Z5</t>
        </is>
      </c>
      <c r="B14378" t="inlineStr">
        <is>
          <t>Sep-2017</t>
        </is>
      </c>
      <c r="C14378" s="2" t="n">
        <v>43194</v>
      </c>
      <c r="D14378" t="inlineStr">
        <is>
          <t>NIL</t>
        </is>
      </c>
      <c r="E14378" t="n">
        <v>1796</v>
      </c>
    </row>
    <row r="14379">
      <c r="A14379" t="inlineStr">
        <is>
          <t>27BBBBB14379Z5</t>
        </is>
      </c>
      <c r="B14379" t="inlineStr">
        <is>
          <t>Dec-2018</t>
        </is>
      </c>
      <c r="C14379" s="2" t="n">
        <v>43034</v>
      </c>
      <c r="D14379" t="inlineStr">
        <is>
          <t>NIL</t>
        </is>
      </c>
      <c r="E14379" t="n">
        <v>42</v>
      </c>
    </row>
    <row r="14380">
      <c r="A14380" t="inlineStr">
        <is>
          <t>27BBBBB14380Z5</t>
        </is>
      </c>
      <c r="B14380" t="inlineStr">
        <is>
          <t>Dec-2018</t>
        </is>
      </c>
      <c r="C14380" s="2" t="n">
        <v>44068</v>
      </c>
      <c r="D14380" t="inlineStr">
        <is>
          <t>NON-NIL</t>
        </is>
      </c>
      <c r="E14380" t="n">
        <v>2900</v>
      </c>
    </row>
    <row r="14381">
      <c r="A14381" t="inlineStr">
        <is>
          <t>27BBBBB14381Z5</t>
        </is>
      </c>
      <c r="B14381" t="inlineStr">
        <is>
          <t>Aug-2017</t>
        </is>
      </c>
      <c r="C14381" s="2" t="n">
        <v>43326</v>
      </c>
      <c r="D14381" t="inlineStr">
        <is>
          <t>NON-NIL</t>
        </is>
      </c>
      <c r="E14381" t="n">
        <v>1129</v>
      </c>
    </row>
    <row r="14382">
      <c r="A14382" t="inlineStr">
        <is>
          <t>27BBBBB14382Z5</t>
        </is>
      </c>
      <c r="B14382" t="inlineStr">
        <is>
          <t>Apr-2018</t>
        </is>
      </c>
      <c r="C14382" s="2" t="n">
        <v>43983</v>
      </c>
      <c r="D14382" t="inlineStr">
        <is>
          <t>NIL</t>
        </is>
      </c>
      <c r="E14382" t="n">
        <v>2974</v>
      </c>
    </row>
    <row r="14383">
      <c r="A14383" t="inlineStr">
        <is>
          <t>27BBBBB14383Z5</t>
        </is>
      </c>
      <c r="B14383" t="inlineStr">
        <is>
          <t>Sep-2018</t>
        </is>
      </c>
      <c r="C14383" s="2" t="n">
        <v>43887</v>
      </c>
      <c r="D14383" t="inlineStr">
        <is>
          <t>NIL</t>
        </is>
      </c>
      <c r="E14383" t="n">
        <v>2052</v>
      </c>
    </row>
    <row r="14384">
      <c r="A14384" t="inlineStr">
        <is>
          <t>27BBBBB14384Z5</t>
        </is>
      </c>
      <c r="B14384" t="inlineStr">
        <is>
          <t>Jul-2020</t>
        </is>
      </c>
      <c r="C14384" s="2" t="n">
        <v>44294</v>
      </c>
      <c r="D14384" t="inlineStr">
        <is>
          <t>NON-NIL</t>
        </is>
      </c>
      <c r="E14384" t="n">
        <v>1429</v>
      </c>
    </row>
    <row r="14385">
      <c r="A14385" t="inlineStr">
        <is>
          <t>27BBBBB14385Z5</t>
        </is>
      </c>
      <c r="B14385" t="inlineStr">
        <is>
          <t>Jan-2018</t>
        </is>
      </c>
      <c r="C14385" s="2" t="n">
        <v>43719</v>
      </c>
      <c r="D14385" t="inlineStr">
        <is>
          <t>NON-NIL</t>
        </is>
      </c>
      <c r="E14385" t="n">
        <v>908</v>
      </c>
    </row>
    <row r="14386">
      <c r="A14386" t="inlineStr">
        <is>
          <t>27BBBBB14386Z5</t>
        </is>
      </c>
      <c r="B14386" t="inlineStr">
        <is>
          <t>May-2018</t>
        </is>
      </c>
      <c r="C14386" s="2" t="n">
        <v>44129</v>
      </c>
      <c r="D14386" t="inlineStr">
        <is>
          <t>NON-NIL</t>
        </is>
      </c>
      <c r="E14386" t="n">
        <v>2259</v>
      </c>
    </row>
    <row r="14387">
      <c r="A14387" t="inlineStr">
        <is>
          <t>27BBBBB14387Z5</t>
        </is>
      </c>
      <c r="B14387" t="inlineStr">
        <is>
          <t>Jan-2021</t>
        </is>
      </c>
      <c r="C14387" s="2" t="n">
        <v>44765</v>
      </c>
      <c r="D14387" t="inlineStr">
        <is>
          <t>NON-NIL</t>
        </is>
      </c>
      <c r="E14387" t="n">
        <v>2726</v>
      </c>
    </row>
    <row r="14388">
      <c r="A14388" t="inlineStr">
        <is>
          <t>27BBBBB14388Z5</t>
        </is>
      </c>
      <c r="B14388" t="inlineStr">
        <is>
          <t>Nov-2018</t>
        </is>
      </c>
      <c r="C14388" s="2" t="n">
        <v>44306</v>
      </c>
      <c r="D14388" t="inlineStr">
        <is>
          <t>NIL</t>
        </is>
      </c>
      <c r="E14388" t="n">
        <v>2225</v>
      </c>
    </row>
    <row r="14389">
      <c r="A14389" t="inlineStr">
        <is>
          <t>27BBBBB14389Z5</t>
        </is>
      </c>
      <c r="B14389" t="inlineStr">
        <is>
          <t>Mar-2023</t>
        </is>
      </c>
      <c r="C14389" s="2" t="n">
        <v>45819</v>
      </c>
      <c r="D14389" t="inlineStr">
        <is>
          <t>NIL</t>
        </is>
      </c>
      <c r="E14389" t="n">
        <v>1425</v>
      </c>
    </row>
    <row r="14390">
      <c r="A14390" t="inlineStr">
        <is>
          <t>27BBBBB14390Z5</t>
        </is>
      </c>
      <c r="B14390" t="inlineStr">
        <is>
          <t>Aug-2017</t>
        </is>
      </c>
      <c r="C14390" s="2" t="n">
        <v>43571</v>
      </c>
      <c r="D14390" t="inlineStr">
        <is>
          <t>NIL</t>
        </is>
      </c>
      <c r="E14390" t="n">
        <v>1632</v>
      </c>
    </row>
    <row r="14391">
      <c r="A14391" t="inlineStr">
        <is>
          <t>27BBBBB14391Z5</t>
        </is>
      </c>
      <c r="B14391" t="inlineStr">
        <is>
          <t>Mar-2021</t>
        </is>
      </c>
      <c r="C14391" s="2" t="n">
        <v>45549</v>
      </c>
      <c r="D14391" t="inlineStr">
        <is>
          <t>NON-NIL</t>
        </is>
      </c>
      <c r="E14391" t="n">
        <v>1680</v>
      </c>
    </row>
    <row r="14392">
      <c r="A14392" t="inlineStr">
        <is>
          <t>27BBBBB14392Z5</t>
        </is>
      </c>
      <c r="B14392" t="inlineStr">
        <is>
          <t>Dec-2022</t>
        </is>
      </c>
      <c r="C14392" s="2" t="n">
        <v>45459</v>
      </c>
      <c r="D14392" t="inlineStr">
        <is>
          <t>NON-NIL</t>
        </is>
      </c>
      <c r="E14392" t="n">
        <v>1505</v>
      </c>
    </row>
    <row r="14393">
      <c r="A14393" t="inlineStr">
        <is>
          <t>27BBBBB14393Z5</t>
        </is>
      </c>
      <c r="B14393" t="inlineStr">
        <is>
          <t>Aug-2018</t>
        </is>
      </c>
      <c r="C14393" s="2" t="n">
        <v>43468</v>
      </c>
      <c r="D14393" t="inlineStr">
        <is>
          <t>NIL</t>
        </is>
      </c>
      <c r="E14393" t="n">
        <v>1635</v>
      </c>
    </row>
    <row r="14394">
      <c r="A14394" t="inlineStr">
        <is>
          <t>27BBBBB14394Z5</t>
        </is>
      </c>
      <c r="B14394" t="inlineStr">
        <is>
          <t>Jul-2017</t>
        </is>
      </c>
      <c r="C14394" s="2" t="n">
        <v>42939</v>
      </c>
      <c r="D14394" t="inlineStr">
        <is>
          <t>NIL</t>
        </is>
      </c>
      <c r="E14394" t="n">
        <v>113</v>
      </c>
    </row>
    <row r="14395">
      <c r="A14395" t="inlineStr">
        <is>
          <t>27BBBBB14395Z5</t>
        </is>
      </c>
      <c r="B14395" t="inlineStr">
        <is>
          <t>Feb-2018</t>
        </is>
      </c>
      <c r="C14395" s="2" t="n">
        <v>43875</v>
      </c>
      <c r="D14395" t="inlineStr">
        <is>
          <t>NON-NIL</t>
        </is>
      </c>
      <c r="E14395" t="n">
        <v>179</v>
      </c>
    </row>
    <row r="14396">
      <c r="A14396" t="inlineStr">
        <is>
          <t>27BBBBB14396Z5</t>
        </is>
      </c>
      <c r="B14396" t="inlineStr">
        <is>
          <t>Jan-2021</t>
        </is>
      </c>
      <c r="C14396" s="2" t="n">
        <v>43586</v>
      </c>
      <c r="D14396" t="inlineStr">
        <is>
          <t>NON-NIL</t>
        </is>
      </c>
      <c r="E14396" t="n">
        <v>2627</v>
      </c>
    </row>
    <row r="14397">
      <c r="A14397" t="inlineStr">
        <is>
          <t>27BBBBB14397Z5</t>
        </is>
      </c>
      <c r="B14397" t="inlineStr">
        <is>
          <t>Feb-2018</t>
        </is>
      </c>
      <c r="C14397" s="2" t="n">
        <v>44173</v>
      </c>
      <c r="D14397" t="inlineStr">
        <is>
          <t>NIL</t>
        </is>
      </c>
      <c r="E14397" t="n">
        <v>1098</v>
      </c>
    </row>
    <row r="14398">
      <c r="A14398" t="inlineStr">
        <is>
          <t>27BBBBB14398Z5</t>
        </is>
      </c>
      <c r="B14398" t="inlineStr">
        <is>
          <t>Apr-2020</t>
        </is>
      </c>
      <c r="C14398" s="2" t="n">
        <v>44392</v>
      </c>
      <c r="D14398" t="inlineStr">
        <is>
          <t>NON-NIL</t>
        </is>
      </c>
      <c r="E14398" t="n">
        <v>226</v>
      </c>
    </row>
    <row r="14399">
      <c r="A14399" t="inlineStr">
        <is>
          <t>27BBBBB14399Z5</t>
        </is>
      </c>
      <c r="B14399" t="inlineStr">
        <is>
          <t>Feb-2018</t>
        </is>
      </c>
      <c r="C14399" s="2" t="n">
        <v>43121</v>
      </c>
      <c r="D14399" t="inlineStr">
        <is>
          <t>NIL</t>
        </is>
      </c>
      <c r="E14399" t="n">
        <v>2634</v>
      </c>
    </row>
    <row r="14400">
      <c r="A14400" t="inlineStr">
        <is>
          <t>27BBBBB14400Z5</t>
        </is>
      </c>
      <c r="B14400" t="inlineStr">
        <is>
          <t>Feb-2018</t>
        </is>
      </c>
      <c r="C14400" s="2" t="n">
        <v>43983</v>
      </c>
      <c r="D14400" t="inlineStr">
        <is>
          <t>NIL</t>
        </is>
      </c>
      <c r="E14400" t="n">
        <v>1940</v>
      </c>
    </row>
    <row r="14401">
      <c r="A14401" t="inlineStr">
        <is>
          <t>27BBBBB14401Z5</t>
        </is>
      </c>
      <c r="B14401" t="inlineStr">
        <is>
          <t>Jun-2020</t>
        </is>
      </c>
      <c r="C14401" s="2" t="n">
        <v>44788</v>
      </c>
      <c r="D14401" t="inlineStr">
        <is>
          <t>NON-NIL</t>
        </is>
      </c>
      <c r="E14401" t="n">
        <v>683</v>
      </c>
    </row>
    <row r="14402">
      <c r="A14402" t="inlineStr">
        <is>
          <t>27BBBBB14402Z5</t>
        </is>
      </c>
      <c r="B14402" t="inlineStr">
        <is>
          <t>Dec-2018</t>
        </is>
      </c>
      <c r="C14402" s="2" t="n">
        <v>43465</v>
      </c>
      <c r="D14402" t="inlineStr">
        <is>
          <t>NIL</t>
        </is>
      </c>
      <c r="E14402" t="n">
        <v>2163</v>
      </c>
    </row>
    <row r="14403">
      <c r="A14403" t="inlineStr">
        <is>
          <t>27BBBBB14403Z5</t>
        </is>
      </c>
      <c r="B14403" t="inlineStr">
        <is>
          <t>Mar-2023</t>
        </is>
      </c>
      <c r="C14403" s="2" t="n">
        <v>44794</v>
      </c>
      <c r="D14403" t="inlineStr">
        <is>
          <t>NIL</t>
        </is>
      </c>
      <c r="E14403" t="n">
        <v>1798</v>
      </c>
    </row>
    <row r="14404">
      <c r="A14404" t="inlineStr">
        <is>
          <t>27BBBBB14404Z5</t>
        </is>
      </c>
      <c r="B14404" t="inlineStr">
        <is>
          <t>May-2020</t>
        </is>
      </c>
      <c r="C14404" s="2" t="n">
        <v>44844</v>
      </c>
      <c r="D14404" t="inlineStr">
        <is>
          <t>NON-NIL</t>
        </is>
      </c>
      <c r="E14404" t="n">
        <v>1755</v>
      </c>
    </row>
    <row r="14405">
      <c r="A14405" t="inlineStr">
        <is>
          <t>27BBBBB14405Z5</t>
        </is>
      </c>
      <c r="B14405" t="inlineStr">
        <is>
          <t>May-2018</t>
        </is>
      </c>
      <c r="C14405" s="2" t="n">
        <v>43732</v>
      </c>
      <c r="D14405" t="inlineStr">
        <is>
          <t>NON-NIL</t>
        </is>
      </c>
      <c r="E14405" t="n">
        <v>2202</v>
      </c>
    </row>
    <row r="14406">
      <c r="A14406" t="inlineStr">
        <is>
          <t>27BBBBB14406Z5</t>
        </is>
      </c>
      <c r="B14406" t="inlineStr">
        <is>
          <t>Nov-2018</t>
        </is>
      </c>
      <c r="C14406" s="2" t="n">
        <v>44351</v>
      </c>
      <c r="D14406" t="inlineStr">
        <is>
          <t>NON-NIL</t>
        </is>
      </c>
      <c r="E14406" t="n">
        <v>1679</v>
      </c>
    </row>
    <row r="14407">
      <c r="A14407" t="inlineStr">
        <is>
          <t>27BBBBB14407Z5</t>
        </is>
      </c>
      <c r="B14407" t="inlineStr">
        <is>
          <t>Mar-2020</t>
        </is>
      </c>
      <c r="C14407" s="2" t="n">
        <v>44086</v>
      </c>
      <c r="D14407" t="inlineStr">
        <is>
          <t>NIL</t>
        </is>
      </c>
      <c r="E14407" t="n">
        <v>1590</v>
      </c>
    </row>
    <row r="14408">
      <c r="A14408" t="inlineStr">
        <is>
          <t>27BBBBB14408Z5</t>
        </is>
      </c>
      <c r="B14408" t="inlineStr">
        <is>
          <t>May-2018</t>
        </is>
      </c>
      <c r="C14408" s="2" t="n">
        <v>43449</v>
      </c>
      <c r="D14408" t="inlineStr">
        <is>
          <t>NON-NIL</t>
        </is>
      </c>
      <c r="E14408" t="n">
        <v>963</v>
      </c>
    </row>
    <row r="14409">
      <c r="A14409" t="inlineStr">
        <is>
          <t>27BBBBB14409Z5</t>
        </is>
      </c>
      <c r="B14409" t="inlineStr">
        <is>
          <t>Jul-2018</t>
        </is>
      </c>
      <c r="C14409" s="2" t="n">
        <v>43967</v>
      </c>
      <c r="D14409" t="inlineStr">
        <is>
          <t>NIL</t>
        </is>
      </c>
      <c r="E14409" t="n">
        <v>1461</v>
      </c>
    </row>
    <row r="14410">
      <c r="A14410" t="inlineStr">
        <is>
          <t>27BBBBB14410Z5</t>
        </is>
      </c>
      <c r="B14410" t="inlineStr">
        <is>
          <t>Dec-2017</t>
        </is>
      </c>
      <c r="C14410" s="2" t="n">
        <v>43441</v>
      </c>
      <c r="D14410" t="inlineStr">
        <is>
          <t>NON-NIL</t>
        </is>
      </c>
      <c r="E14410" t="n">
        <v>1844</v>
      </c>
    </row>
    <row r="14411">
      <c r="A14411" t="inlineStr">
        <is>
          <t>27BBBBB14411Z5</t>
        </is>
      </c>
      <c r="B14411" t="inlineStr">
        <is>
          <t>Mar-2021</t>
        </is>
      </c>
      <c r="C14411" s="2" t="n">
        <v>44853</v>
      </c>
      <c r="D14411" t="inlineStr">
        <is>
          <t>NIL</t>
        </is>
      </c>
      <c r="E14411" t="n">
        <v>1796</v>
      </c>
    </row>
    <row r="14412">
      <c r="A14412" t="inlineStr">
        <is>
          <t>27BBBBB14412Z5</t>
        </is>
      </c>
      <c r="B14412" t="inlineStr">
        <is>
          <t>Aug-2017</t>
        </is>
      </c>
      <c r="C14412" s="2" t="n">
        <v>43686</v>
      </c>
      <c r="D14412" t="inlineStr">
        <is>
          <t>NON-NIL</t>
        </is>
      </c>
      <c r="E14412" t="n">
        <v>2362</v>
      </c>
    </row>
    <row r="14413">
      <c r="A14413" t="inlineStr">
        <is>
          <t>27BBBBB14413Z5</t>
        </is>
      </c>
      <c r="B14413" t="inlineStr">
        <is>
          <t>Jun-2018</t>
        </is>
      </c>
      <c r="C14413" s="2" t="n">
        <v>43226</v>
      </c>
      <c r="D14413" t="inlineStr">
        <is>
          <t>NON-NIL</t>
        </is>
      </c>
      <c r="E14413" t="n">
        <v>1550</v>
      </c>
    </row>
    <row r="14414">
      <c r="A14414" t="inlineStr">
        <is>
          <t>27BBBBB14414Z5</t>
        </is>
      </c>
      <c r="B14414" t="inlineStr">
        <is>
          <t>Sep-2017</t>
        </is>
      </c>
      <c r="C14414" s="2" t="n">
        <v>43705</v>
      </c>
      <c r="D14414" t="inlineStr">
        <is>
          <t>NON-NIL</t>
        </is>
      </c>
      <c r="E14414" t="n">
        <v>1434</v>
      </c>
    </row>
    <row r="14415">
      <c r="A14415" t="inlineStr">
        <is>
          <t>27BBBBB14415Z5</t>
        </is>
      </c>
      <c r="B14415" t="inlineStr">
        <is>
          <t>Feb-2018</t>
        </is>
      </c>
      <c r="C14415" s="2" t="n">
        <v>43202</v>
      </c>
      <c r="D14415" t="inlineStr">
        <is>
          <t>NIL</t>
        </is>
      </c>
      <c r="E14415" t="n">
        <v>2592</v>
      </c>
    </row>
    <row r="14416">
      <c r="A14416" t="inlineStr">
        <is>
          <t>27BBBBB14416Z5</t>
        </is>
      </c>
      <c r="B14416" t="inlineStr">
        <is>
          <t>Jun-2020</t>
        </is>
      </c>
      <c r="C14416" s="2" t="n">
        <v>44658</v>
      </c>
      <c r="D14416" t="inlineStr">
        <is>
          <t>NON-NIL</t>
        </is>
      </c>
      <c r="E14416" t="n">
        <v>1039</v>
      </c>
    </row>
    <row r="14417">
      <c r="A14417" t="inlineStr">
        <is>
          <t>27BBBBB14417Z5</t>
        </is>
      </c>
      <c r="B14417" t="inlineStr">
        <is>
          <t>Dec-2017</t>
        </is>
      </c>
      <c r="C14417" s="2" t="n">
        <v>43788</v>
      </c>
      <c r="D14417" t="inlineStr">
        <is>
          <t>NON-NIL</t>
        </is>
      </c>
      <c r="E14417" t="n">
        <v>288</v>
      </c>
    </row>
    <row r="14418">
      <c r="A14418" t="inlineStr">
        <is>
          <t>27BBBBB14418Z5</t>
        </is>
      </c>
      <c r="B14418" t="inlineStr">
        <is>
          <t>Mar-2020</t>
        </is>
      </c>
      <c r="C14418" s="2" t="n">
        <v>44790</v>
      </c>
      <c r="D14418" t="inlineStr">
        <is>
          <t>NON-NIL</t>
        </is>
      </c>
      <c r="E14418" t="n">
        <v>568</v>
      </c>
    </row>
    <row r="14419">
      <c r="A14419" t="inlineStr">
        <is>
          <t>27BBBBB14419Z5</t>
        </is>
      </c>
      <c r="B14419" t="inlineStr">
        <is>
          <t>Oct-2017</t>
        </is>
      </c>
      <c r="C14419" s="2" t="n">
        <v>44370</v>
      </c>
      <c r="D14419" t="inlineStr">
        <is>
          <t>NIL</t>
        </is>
      </c>
      <c r="E14419" t="n">
        <v>1611</v>
      </c>
    </row>
    <row r="14420">
      <c r="A14420" t="inlineStr">
        <is>
          <t>27BBBBB14420Z5</t>
        </is>
      </c>
      <c r="B14420" t="inlineStr">
        <is>
          <t>Aug-2018</t>
        </is>
      </c>
      <c r="C14420" s="2" t="n">
        <v>43407</v>
      </c>
      <c r="D14420" t="inlineStr">
        <is>
          <t>NON-NIL</t>
        </is>
      </c>
      <c r="E14420" t="n">
        <v>6</v>
      </c>
    </row>
    <row r="14421">
      <c r="A14421" t="inlineStr">
        <is>
          <t>27BBBBB14421Z5</t>
        </is>
      </c>
      <c r="B14421" t="inlineStr">
        <is>
          <t>May-2018</t>
        </is>
      </c>
      <c r="C14421" s="2" t="n">
        <v>44528</v>
      </c>
      <c r="D14421" t="inlineStr">
        <is>
          <t>NON-NIL</t>
        </is>
      </c>
      <c r="E14421" t="n">
        <v>9</v>
      </c>
    </row>
    <row r="14422">
      <c r="A14422" t="inlineStr">
        <is>
          <t>27BBBBB14422Z5</t>
        </is>
      </c>
      <c r="B14422" t="inlineStr">
        <is>
          <t>May-2018</t>
        </is>
      </c>
      <c r="C14422" s="2" t="n">
        <v>44100</v>
      </c>
      <c r="D14422" t="inlineStr">
        <is>
          <t>NIL</t>
        </is>
      </c>
      <c r="E14422" t="n">
        <v>1946</v>
      </c>
    </row>
    <row r="14423">
      <c r="A14423" t="inlineStr">
        <is>
          <t>27BBBBB14423Z5</t>
        </is>
      </c>
      <c r="B14423" t="inlineStr">
        <is>
          <t>Nov-2018</t>
        </is>
      </c>
      <c r="C14423" s="2" t="n">
        <v>44214</v>
      </c>
      <c r="D14423" t="inlineStr">
        <is>
          <t>NON-NIL</t>
        </is>
      </c>
      <c r="E14423" t="n">
        <v>1673</v>
      </c>
    </row>
    <row r="14424">
      <c r="A14424" t="inlineStr">
        <is>
          <t>27BBBBB14424Z5</t>
        </is>
      </c>
      <c r="B14424" t="inlineStr">
        <is>
          <t>Aug-2018</t>
        </is>
      </c>
      <c r="C14424" s="2" t="n">
        <v>44198</v>
      </c>
      <c r="D14424" t="inlineStr">
        <is>
          <t>NIL</t>
        </is>
      </c>
      <c r="E14424" t="n">
        <v>1225</v>
      </c>
    </row>
    <row r="14425">
      <c r="A14425" t="inlineStr">
        <is>
          <t>27BBBBB14425Z5</t>
        </is>
      </c>
      <c r="B14425" t="inlineStr">
        <is>
          <t>Dec-2017</t>
        </is>
      </c>
      <c r="C14425" s="2" t="n">
        <v>44038</v>
      </c>
      <c r="D14425" t="inlineStr">
        <is>
          <t>NIL</t>
        </is>
      </c>
      <c r="E14425" t="n">
        <v>829</v>
      </c>
    </row>
    <row r="14426">
      <c r="A14426" t="inlineStr">
        <is>
          <t>27BBBBB14426Z5</t>
        </is>
      </c>
      <c r="B14426" t="inlineStr">
        <is>
          <t>Nov-2017</t>
        </is>
      </c>
      <c r="C14426" s="2" t="n">
        <v>43342</v>
      </c>
      <c r="D14426" t="inlineStr">
        <is>
          <t>NIL</t>
        </is>
      </c>
      <c r="E14426" t="n">
        <v>1461</v>
      </c>
    </row>
    <row r="14427">
      <c r="A14427" t="inlineStr">
        <is>
          <t>27BBBBB14427Z5</t>
        </is>
      </c>
      <c r="B14427" t="inlineStr">
        <is>
          <t>Aug-2018</t>
        </is>
      </c>
      <c r="C14427" s="2" t="n">
        <v>43248</v>
      </c>
      <c r="D14427" t="inlineStr">
        <is>
          <t>NON-NIL</t>
        </is>
      </c>
      <c r="E14427" t="n">
        <v>2904</v>
      </c>
    </row>
    <row r="14428">
      <c r="A14428" t="inlineStr">
        <is>
          <t>27BBBBB14428Z5</t>
        </is>
      </c>
      <c r="B14428" t="inlineStr">
        <is>
          <t>Jan-2018</t>
        </is>
      </c>
      <c r="C14428" s="2" t="n">
        <v>43878</v>
      </c>
      <c r="D14428" t="inlineStr">
        <is>
          <t>NIL</t>
        </is>
      </c>
      <c r="E14428" t="n">
        <v>357</v>
      </c>
    </row>
    <row r="14429">
      <c r="A14429" t="inlineStr">
        <is>
          <t>27BBBBB14429Z5</t>
        </is>
      </c>
      <c r="B14429" t="inlineStr">
        <is>
          <t>Mar-2020</t>
        </is>
      </c>
      <c r="C14429" s="2" t="n">
        <v>44000</v>
      </c>
      <c r="D14429" t="inlineStr">
        <is>
          <t>NIL</t>
        </is>
      </c>
      <c r="E14429" t="n">
        <v>21</v>
      </c>
    </row>
    <row r="14430">
      <c r="A14430" t="inlineStr">
        <is>
          <t>27BBBBB14430Z5</t>
        </is>
      </c>
      <c r="B14430" t="inlineStr">
        <is>
          <t>Jan-2021</t>
        </is>
      </c>
      <c r="C14430" s="2" t="n">
        <v>45109</v>
      </c>
      <c r="D14430" t="inlineStr">
        <is>
          <t>NIL</t>
        </is>
      </c>
      <c r="E14430" t="n">
        <v>1215</v>
      </c>
    </row>
    <row r="14431">
      <c r="A14431" t="inlineStr">
        <is>
          <t>27BBBBB14431Z5</t>
        </is>
      </c>
      <c r="B14431" t="inlineStr">
        <is>
          <t>Jun-2018</t>
        </is>
      </c>
      <c r="C14431" s="2" t="n">
        <v>43528</v>
      </c>
      <c r="D14431" t="inlineStr">
        <is>
          <t>NIL</t>
        </is>
      </c>
      <c r="E14431" t="n">
        <v>2473</v>
      </c>
    </row>
    <row r="14432">
      <c r="A14432" t="inlineStr">
        <is>
          <t>27BBBBB14432Z5</t>
        </is>
      </c>
      <c r="B14432" t="inlineStr">
        <is>
          <t>Aug-2018</t>
        </is>
      </c>
      <c r="C14432" s="2" t="n">
        <v>44510</v>
      </c>
      <c r="D14432" t="inlineStr">
        <is>
          <t>NIL</t>
        </is>
      </c>
      <c r="E14432" t="n">
        <v>838</v>
      </c>
    </row>
    <row r="14433">
      <c r="A14433" t="inlineStr">
        <is>
          <t>27BBBBB14433Z5</t>
        </is>
      </c>
      <c r="B14433" t="inlineStr">
        <is>
          <t>May-2020</t>
        </is>
      </c>
      <c r="C14433" s="2" t="n">
        <v>43957</v>
      </c>
      <c r="D14433" t="inlineStr">
        <is>
          <t>NIL</t>
        </is>
      </c>
      <c r="E14433" t="n">
        <v>323</v>
      </c>
    </row>
    <row r="14434">
      <c r="A14434" t="inlineStr">
        <is>
          <t>27BBBBB14434Z5</t>
        </is>
      </c>
      <c r="B14434" t="inlineStr">
        <is>
          <t>Jan-2018</t>
        </is>
      </c>
      <c r="C14434" s="2" t="n">
        <v>43497</v>
      </c>
      <c r="D14434" t="inlineStr">
        <is>
          <t>NIL</t>
        </is>
      </c>
      <c r="E14434" t="n">
        <v>1726</v>
      </c>
    </row>
    <row r="14435">
      <c r="A14435" t="inlineStr">
        <is>
          <t>27BBBBB14435Z5</t>
        </is>
      </c>
      <c r="B14435" t="inlineStr">
        <is>
          <t>Jun-2018</t>
        </is>
      </c>
      <c r="C14435" s="2" t="n">
        <v>44418</v>
      </c>
      <c r="D14435" t="inlineStr">
        <is>
          <t>NON-NIL</t>
        </is>
      </c>
      <c r="E14435" t="n">
        <v>345</v>
      </c>
    </row>
    <row r="14436">
      <c r="A14436" t="inlineStr">
        <is>
          <t>27BBBBB14436Z5</t>
        </is>
      </c>
      <c r="B14436" t="inlineStr">
        <is>
          <t>Nov-2017</t>
        </is>
      </c>
      <c r="C14436" s="2" t="n">
        <v>44014</v>
      </c>
      <c r="D14436" t="inlineStr">
        <is>
          <t>NON-NIL</t>
        </is>
      </c>
      <c r="E14436" t="n">
        <v>2267</v>
      </c>
    </row>
    <row r="14437">
      <c r="A14437" t="inlineStr">
        <is>
          <t>27BBBBB14437Z5</t>
        </is>
      </c>
      <c r="B14437" t="inlineStr">
        <is>
          <t>Mar-2021</t>
        </is>
      </c>
      <c r="C14437" s="2" t="n">
        <v>44255</v>
      </c>
      <c r="D14437" t="inlineStr">
        <is>
          <t>NON-NIL</t>
        </is>
      </c>
      <c r="E14437" t="n">
        <v>2082</v>
      </c>
    </row>
    <row r="14438">
      <c r="A14438" t="inlineStr">
        <is>
          <t>27BBBBB14438Z5</t>
        </is>
      </c>
      <c r="B14438" t="inlineStr">
        <is>
          <t>Jan-2021</t>
        </is>
      </c>
      <c r="C14438" s="2" t="n">
        <v>43755</v>
      </c>
      <c r="D14438" t="inlineStr">
        <is>
          <t>NON-NIL</t>
        </is>
      </c>
      <c r="E14438" t="n">
        <v>1954</v>
      </c>
    </row>
    <row r="14439">
      <c r="A14439" t="inlineStr">
        <is>
          <t>27BBBBB14439Z5</t>
        </is>
      </c>
      <c r="B14439" t="inlineStr">
        <is>
          <t>Oct-2017</t>
        </is>
      </c>
      <c r="C14439" s="2" t="n">
        <v>43555</v>
      </c>
      <c r="D14439" t="inlineStr">
        <is>
          <t>NON-NIL</t>
        </is>
      </c>
      <c r="E14439" t="n">
        <v>959</v>
      </c>
    </row>
    <row r="14440">
      <c r="A14440" t="inlineStr">
        <is>
          <t>27BBBBB14440Z5</t>
        </is>
      </c>
      <c r="B14440" t="inlineStr">
        <is>
          <t>Apr-2020</t>
        </is>
      </c>
      <c r="C14440" s="2" t="n">
        <v>44806</v>
      </c>
      <c r="D14440" t="inlineStr">
        <is>
          <t>NIL</t>
        </is>
      </c>
      <c r="E14440" t="n">
        <v>2491</v>
      </c>
    </row>
    <row r="14441">
      <c r="A14441" t="inlineStr">
        <is>
          <t>27BBBBB14441Z5</t>
        </is>
      </c>
      <c r="B14441" t="inlineStr">
        <is>
          <t>Jul-2017</t>
        </is>
      </c>
      <c r="C14441" s="2" t="n">
        <v>43317</v>
      </c>
      <c r="D14441" t="inlineStr">
        <is>
          <t>NON-NIL</t>
        </is>
      </c>
      <c r="E14441" t="n">
        <v>2761</v>
      </c>
    </row>
    <row r="14442">
      <c r="A14442" t="inlineStr">
        <is>
          <t>27BBBBB14442Z5</t>
        </is>
      </c>
      <c r="B14442" t="inlineStr">
        <is>
          <t>Jun-2018</t>
        </is>
      </c>
      <c r="C14442" s="2" t="n">
        <v>44554</v>
      </c>
      <c r="D14442" t="inlineStr">
        <is>
          <t>NIL</t>
        </is>
      </c>
      <c r="E14442" t="n">
        <v>2564</v>
      </c>
    </row>
    <row r="14443">
      <c r="A14443" t="inlineStr">
        <is>
          <t>27BBBBB14443Z5</t>
        </is>
      </c>
      <c r="B14443" t="inlineStr">
        <is>
          <t>Mar-2020</t>
        </is>
      </c>
      <c r="C14443" s="2" t="n">
        <v>44759</v>
      </c>
      <c r="D14443" t="inlineStr">
        <is>
          <t>NIL</t>
        </is>
      </c>
      <c r="E14443" t="n">
        <v>2440</v>
      </c>
    </row>
    <row r="14444">
      <c r="A14444" t="inlineStr">
        <is>
          <t>27BBBBB14444Z5</t>
        </is>
      </c>
      <c r="B14444" t="inlineStr">
        <is>
          <t>Jul-2018</t>
        </is>
      </c>
      <c r="C14444" s="2" t="n">
        <v>43593</v>
      </c>
      <c r="D14444" t="inlineStr">
        <is>
          <t>NIL</t>
        </is>
      </c>
      <c r="E14444" t="n">
        <v>342</v>
      </c>
    </row>
    <row r="14445">
      <c r="A14445" t="inlineStr">
        <is>
          <t>27BBBBB14445Z5</t>
        </is>
      </c>
      <c r="B14445" t="inlineStr">
        <is>
          <t>Sep-2018</t>
        </is>
      </c>
      <c r="C14445" s="2" t="n">
        <v>43881</v>
      </c>
      <c r="D14445" t="inlineStr">
        <is>
          <t>NIL</t>
        </is>
      </c>
      <c r="E14445" t="n">
        <v>1990</v>
      </c>
    </row>
    <row r="14446">
      <c r="A14446" t="inlineStr">
        <is>
          <t>27BBBBB14446Z5</t>
        </is>
      </c>
      <c r="B14446" t="inlineStr">
        <is>
          <t>Feb-2018</t>
        </is>
      </c>
      <c r="C14446" s="2" t="n">
        <v>43352</v>
      </c>
      <c r="D14446" t="inlineStr">
        <is>
          <t>NIL</t>
        </is>
      </c>
      <c r="E14446" t="n">
        <v>693</v>
      </c>
    </row>
    <row r="14447">
      <c r="A14447" t="inlineStr">
        <is>
          <t>27BBBBB14447Z5</t>
        </is>
      </c>
      <c r="B14447" t="inlineStr">
        <is>
          <t>Mar-2020</t>
        </is>
      </c>
      <c r="C14447" s="2" t="n">
        <v>44804</v>
      </c>
      <c r="D14447" t="inlineStr">
        <is>
          <t>NON-NIL</t>
        </is>
      </c>
      <c r="E14447" t="n">
        <v>2547</v>
      </c>
    </row>
    <row r="14448">
      <c r="A14448" t="inlineStr">
        <is>
          <t>27BBBBB14448Z5</t>
        </is>
      </c>
      <c r="B14448" t="inlineStr">
        <is>
          <t>Mar-2021</t>
        </is>
      </c>
      <c r="C14448" s="2" t="n">
        <v>43852</v>
      </c>
      <c r="D14448" t="inlineStr">
        <is>
          <t>NIL</t>
        </is>
      </c>
      <c r="E14448" t="n">
        <v>996</v>
      </c>
    </row>
    <row r="14449">
      <c r="A14449" t="inlineStr">
        <is>
          <t>27BBBBB14449Z5</t>
        </is>
      </c>
      <c r="B14449" t="inlineStr">
        <is>
          <t>Oct-2017</t>
        </is>
      </c>
      <c r="C14449" s="2" t="n">
        <v>43990</v>
      </c>
      <c r="D14449" t="inlineStr">
        <is>
          <t>NIL</t>
        </is>
      </c>
      <c r="E14449" t="n">
        <v>932</v>
      </c>
    </row>
    <row r="14450">
      <c r="A14450" t="inlineStr">
        <is>
          <t>27BBBBB14450Z5</t>
        </is>
      </c>
      <c r="B14450" t="inlineStr">
        <is>
          <t>Jul-2018</t>
        </is>
      </c>
      <c r="C14450" s="2" t="n">
        <v>43636</v>
      </c>
      <c r="D14450" t="inlineStr">
        <is>
          <t>NON-NIL</t>
        </is>
      </c>
      <c r="E14450" t="n">
        <v>630</v>
      </c>
    </row>
    <row r="14451">
      <c r="A14451" t="inlineStr">
        <is>
          <t>27BBBBB14451Z5</t>
        </is>
      </c>
      <c r="B14451" t="inlineStr">
        <is>
          <t>Dec-2024</t>
        </is>
      </c>
      <c r="C14451" s="2" t="n">
        <v>45308</v>
      </c>
      <c r="D14451" t="inlineStr">
        <is>
          <t>NIL</t>
        </is>
      </c>
      <c r="E14451" t="n">
        <v>2284</v>
      </c>
    </row>
    <row r="14452">
      <c r="A14452" t="inlineStr">
        <is>
          <t>27BBBBB14452Z5</t>
        </is>
      </c>
      <c r="B14452" t="inlineStr">
        <is>
          <t>Sep-2017</t>
        </is>
      </c>
      <c r="C14452" s="2" t="n">
        <v>43780</v>
      </c>
      <c r="D14452" t="inlineStr">
        <is>
          <t>NON-NIL</t>
        </is>
      </c>
      <c r="E14452" t="n">
        <v>1457</v>
      </c>
    </row>
    <row r="14453">
      <c r="A14453" t="inlineStr">
        <is>
          <t>27BBBBB14453Z5</t>
        </is>
      </c>
      <c r="B14453" t="inlineStr">
        <is>
          <t>Feb-2018</t>
        </is>
      </c>
      <c r="C14453" s="2" t="n">
        <v>43878</v>
      </c>
      <c r="D14453" t="inlineStr">
        <is>
          <t>NON-NIL</t>
        </is>
      </c>
      <c r="E14453" t="n">
        <v>1782</v>
      </c>
    </row>
    <row r="14454">
      <c r="A14454" t="inlineStr">
        <is>
          <t>27BBBBB14454Z5</t>
        </is>
      </c>
      <c r="B14454" t="inlineStr">
        <is>
          <t>Oct-2017</t>
        </is>
      </c>
      <c r="C14454" s="2" t="n">
        <v>43441</v>
      </c>
      <c r="D14454" t="inlineStr">
        <is>
          <t>NIL</t>
        </is>
      </c>
      <c r="E14454" t="n">
        <v>2285</v>
      </c>
    </row>
    <row r="14455">
      <c r="A14455" t="inlineStr">
        <is>
          <t>27BBBBB14455Z5</t>
        </is>
      </c>
      <c r="B14455" t="inlineStr">
        <is>
          <t>Dec-2024</t>
        </is>
      </c>
      <c r="C14455" s="2" t="n">
        <v>43690</v>
      </c>
      <c r="D14455" t="inlineStr">
        <is>
          <t>NIL</t>
        </is>
      </c>
      <c r="E14455" t="n">
        <v>977</v>
      </c>
    </row>
    <row r="14456">
      <c r="A14456" t="inlineStr">
        <is>
          <t>27BBBBB14456Z5</t>
        </is>
      </c>
      <c r="B14456" t="inlineStr">
        <is>
          <t>Oct-2018</t>
        </is>
      </c>
      <c r="C14456" s="2" t="n">
        <v>43536</v>
      </c>
      <c r="D14456" t="inlineStr">
        <is>
          <t>NIL</t>
        </is>
      </c>
      <c r="E14456" t="n">
        <v>1478</v>
      </c>
    </row>
    <row r="14457">
      <c r="A14457" t="inlineStr">
        <is>
          <t>27BBBBB14457Z5</t>
        </is>
      </c>
      <c r="B14457" t="inlineStr">
        <is>
          <t>Dec-2018</t>
        </is>
      </c>
      <c r="C14457" s="2" t="n">
        <v>43939</v>
      </c>
      <c r="D14457" t="inlineStr">
        <is>
          <t>NIL</t>
        </is>
      </c>
      <c r="E14457" t="n">
        <v>404</v>
      </c>
    </row>
    <row r="14458">
      <c r="A14458" t="inlineStr">
        <is>
          <t>27BBBBB14458Z5</t>
        </is>
      </c>
      <c r="B14458" t="inlineStr">
        <is>
          <t>Aug-2018</t>
        </is>
      </c>
      <c r="C14458" s="2" t="n">
        <v>43934</v>
      </c>
      <c r="D14458" t="inlineStr">
        <is>
          <t>NIL</t>
        </is>
      </c>
      <c r="E14458" t="n">
        <v>1250</v>
      </c>
    </row>
    <row r="14459">
      <c r="A14459" t="inlineStr">
        <is>
          <t>27BBBBB14459Z5</t>
        </is>
      </c>
      <c r="B14459" t="inlineStr">
        <is>
          <t>Jul-2020</t>
        </is>
      </c>
      <c r="C14459" s="2" t="n">
        <v>44097</v>
      </c>
      <c r="D14459" t="inlineStr">
        <is>
          <t>NIL</t>
        </is>
      </c>
      <c r="E14459" t="n">
        <v>2965</v>
      </c>
    </row>
    <row r="14460">
      <c r="A14460" t="inlineStr">
        <is>
          <t>27BBBBB14460Z5</t>
        </is>
      </c>
      <c r="B14460" t="inlineStr">
        <is>
          <t>Sep-2018</t>
        </is>
      </c>
      <c r="C14460" s="2" t="n">
        <v>43667</v>
      </c>
      <c r="D14460" t="inlineStr">
        <is>
          <t>NON-NIL</t>
        </is>
      </c>
      <c r="E14460" t="n">
        <v>394</v>
      </c>
    </row>
    <row r="14461">
      <c r="A14461" t="inlineStr">
        <is>
          <t>27BBBBB14461Z5</t>
        </is>
      </c>
      <c r="B14461" t="inlineStr">
        <is>
          <t>Aug-2017</t>
        </is>
      </c>
      <c r="C14461" s="2" t="n">
        <v>44116</v>
      </c>
      <c r="D14461" t="inlineStr">
        <is>
          <t>NON-NIL</t>
        </is>
      </c>
      <c r="E14461" t="n">
        <v>2524</v>
      </c>
    </row>
    <row r="14462">
      <c r="A14462" t="inlineStr">
        <is>
          <t>27BBBBB14462Z5</t>
        </is>
      </c>
      <c r="B14462" t="inlineStr">
        <is>
          <t>Sep-2018</t>
        </is>
      </c>
      <c r="C14462" s="2" t="n">
        <v>43558</v>
      </c>
      <c r="D14462" t="inlineStr">
        <is>
          <t>NON-NIL</t>
        </is>
      </c>
      <c r="E14462" t="n">
        <v>2064</v>
      </c>
    </row>
    <row r="14463">
      <c r="A14463" t="inlineStr">
        <is>
          <t>27BBBBB14463Z5</t>
        </is>
      </c>
      <c r="B14463" t="inlineStr">
        <is>
          <t>May-2018</t>
        </is>
      </c>
      <c r="C14463" s="2" t="n">
        <v>44380</v>
      </c>
      <c r="D14463" t="inlineStr">
        <is>
          <t>NON-NIL</t>
        </is>
      </c>
      <c r="E14463" t="n">
        <v>599</v>
      </c>
    </row>
    <row r="14464">
      <c r="A14464" t="inlineStr">
        <is>
          <t>27BBBBB14464Z5</t>
        </is>
      </c>
      <c r="B14464" t="inlineStr">
        <is>
          <t>Jul-2017</t>
        </is>
      </c>
      <c r="C14464" s="2" t="n">
        <v>43755</v>
      </c>
      <c r="D14464" t="inlineStr">
        <is>
          <t>NON-NIL</t>
        </is>
      </c>
      <c r="E14464" t="n">
        <v>1811</v>
      </c>
    </row>
    <row r="14465">
      <c r="A14465" t="inlineStr">
        <is>
          <t>27BBBBB14465Z5</t>
        </is>
      </c>
      <c r="B14465" t="inlineStr">
        <is>
          <t>Oct-2017</t>
        </is>
      </c>
      <c r="C14465" s="2" t="n">
        <v>43288</v>
      </c>
      <c r="D14465" t="inlineStr">
        <is>
          <t>NON-NIL</t>
        </is>
      </c>
      <c r="E14465" t="n">
        <v>2516</v>
      </c>
    </row>
    <row r="14466">
      <c r="A14466" t="inlineStr">
        <is>
          <t>27BBBBB14466Z5</t>
        </is>
      </c>
      <c r="B14466" t="inlineStr">
        <is>
          <t>Mar-2018</t>
        </is>
      </c>
      <c r="C14466" s="2" t="n">
        <v>43464</v>
      </c>
      <c r="D14466" t="inlineStr">
        <is>
          <t>NIL</t>
        </is>
      </c>
      <c r="E14466" t="n">
        <v>1245</v>
      </c>
    </row>
    <row r="14467">
      <c r="A14467" t="inlineStr">
        <is>
          <t>27BBBBB14467Z5</t>
        </is>
      </c>
      <c r="B14467" t="inlineStr">
        <is>
          <t>Nov-2018</t>
        </is>
      </c>
      <c r="C14467" s="2" t="n">
        <v>44545</v>
      </c>
      <c r="D14467" t="inlineStr">
        <is>
          <t>NON-NIL</t>
        </is>
      </c>
      <c r="E14467" t="n">
        <v>1082</v>
      </c>
    </row>
    <row r="14468">
      <c r="A14468" t="inlineStr">
        <is>
          <t>27BBBBB14468Z5</t>
        </is>
      </c>
      <c r="B14468" t="inlineStr">
        <is>
          <t>Nov-2017</t>
        </is>
      </c>
      <c r="C14468" s="2" t="n">
        <v>42973</v>
      </c>
      <c r="D14468" t="inlineStr">
        <is>
          <t>NON-NIL</t>
        </is>
      </c>
      <c r="E14468" t="n">
        <v>69</v>
      </c>
    </row>
    <row r="14469">
      <c r="A14469" t="inlineStr">
        <is>
          <t>27BBBBB14469Z5</t>
        </is>
      </c>
      <c r="B14469" t="inlineStr">
        <is>
          <t>Dec-2022</t>
        </is>
      </c>
      <c r="C14469" s="2" t="n">
        <v>45807</v>
      </c>
      <c r="D14469" t="inlineStr">
        <is>
          <t>NON-NIL</t>
        </is>
      </c>
      <c r="E14469" t="n">
        <v>2066</v>
      </c>
    </row>
    <row r="14470">
      <c r="A14470" t="inlineStr">
        <is>
          <t>27BBBBB14470Z5</t>
        </is>
      </c>
      <c r="B14470" t="inlineStr">
        <is>
          <t>Mar-2018</t>
        </is>
      </c>
      <c r="C14470" s="2" t="n">
        <v>44347</v>
      </c>
      <c r="D14470" t="inlineStr">
        <is>
          <t>NIL</t>
        </is>
      </c>
      <c r="E14470" t="n">
        <v>2149</v>
      </c>
    </row>
    <row r="14471">
      <c r="A14471" t="inlineStr">
        <is>
          <t>27BBBBB14471Z5</t>
        </is>
      </c>
      <c r="B14471" t="inlineStr">
        <is>
          <t>Mar-2020</t>
        </is>
      </c>
      <c r="C14471" s="2" t="n">
        <v>44231</v>
      </c>
      <c r="D14471" t="inlineStr">
        <is>
          <t>NIL</t>
        </is>
      </c>
      <c r="E14471" t="n">
        <v>2827</v>
      </c>
    </row>
    <row r="14472">
      <c r="A14472" t="inlineStr">
        <is>
          <t>27BBBBB14472Z5</t>
        </is>
      </c>
      <c r="B14472" t="inlineStr">
        <is>
          <t>Apr-2018</t>
        </is>
      </c>
      <c r="C14472" s="2" t="n">
        <v>43238</v>
      </c>
      <c r="D14472" t="inlineStr">
        <is>
          <t>NIL</t>
        </is>
      </c>
      <c r="E14472" t="n">
        <v>356</v>
      </c>
    </row>
    <row r="14473">
      <c r="A14473" t="inlineStr">
        <is>
          <t>27BBBBB14473Z5</t>
        </is>
      </c>
      <c r="B14473" t="inlineStr">
        <is>
          <t>Nov-2017</t>
        </is>
      </c>
      <c r="C14473" s="2" t="n">
        <v>44257</v>
      </c>
      <c r="D14473" t="inlineStr">
        <is>
          <t>NIL</t>
        </is>
      </c>
      <c r="E14473" t="n">
        <v>2570</v>
      </c>
    </row>
    <row r="14474">
      <c r="A14474" t="inlineStr">
        <is>
          <t>27BBBBB14474Z5</t>
        </is>
      </c>
      <c r="B14474" t="inlineStr">
        <is>
          <t>Aug-2018</t>
        </is>
      </c>
      <c r="C14474" s="2" t="n">
        <v>43241</v>
      </c>
      <c r="D14474" t="inlineStr">
        <is>
          <t>NIL</t>
        </is>
      </c>
      <c r="E14474" t="n">
        <v>2234</v>
      </c>
    </row>
    <row r="14475">
      <c r="A14475" t="inlineStr">
        <is>
          <t>27BBBBB14475Z5</t>
        </is>
      </c>
      <c r="B14475" t="inlineStr">
        <is>
          <t>Mar-2023</t>
        </is>
      </c>
      <c r="C14475" s="2" t="n">
        <v>44088</v>
      </c>
      <c r="D14475" t="inlineStr">
        <is>
          <t>NON-NIL</t>
        </is>
      </c>
      <c r="E14475" t="n">
        <v>1830</v>
      </c>
    </row>
    <row r="14476">
      <c r="A14476" t="inlineStr">
        <is>
          <t>27BBBBB14476Z5</t>
        </is>
      </c>
      <c r="B14476" t="inlineStr">
        <is>
          <t>Oct-2018</t>
        </is>
      </c>
      <c r="C14476" s="2" t="n">
        <v>44023</v>
      </c>
      <c r="D14476" t="inlineStr">
        <is>
          <t>NON-NIL</t>
        </is>
      </c>
      <c r="E14476" t="n">
        <v>827</v>
      </c>
    </row>
    <row r="14477">
      <c r="A14477" t="inlineStr">
        <is>
          <t>27BBBBB14477Z5</t>
        </is>
      </c>
      <c r="B14477" t="inlineStr">
        <is>
          <t>Oct-2017</t>
        </is>
      </c>
      <c r="C14477" s="2" t="n">
        <v>43378</v>
      </c>
      <c r="D14477" t="inlineStr">
        <is>
          <t>NON-NIL</t>
        </is>
      </c>
      <c r="E14477" t="n">
        <v>54</v>
      </c>
    </row>
    <row r="14478">
      <c r="A14478" t="inlineStr">
        <is>
          <t>27BBBBB14478Z5</t>
        </is>
      </c>
      <c r="B14478" t="inlineStr">
        <is>
          <t>Feb-2018</t>
        </is>
      </c>
      <c r="C14478" s="2" t="n">
        <v>43629</v>
      </c>
      <c r="D14478" t="inlineStr">
        <is>
          <t>NON-NIL</t>
        </is>
      </c>
      <c r="E14478" t="n">
        <v>1056</v>
      </c>
    </row>
    <row r="14479">
      <c r="A14479" t="inlineStr">
        <is>
          <t>27BBBBB14479Z5</t>
        </is>
      </c>
      <c r="B14479" t="inlineStr">
        <is>
          <t>Feb-2018</t>
        </is>
      </c>
      <c r="C14479" s="2" t="n">
        <v>43416</v>
      </c>
      <c r="D14479" t="inlineStr">
        <is>
          <t>NON-NIL</t>
        </is>
      </c>
      <c r="E14479" t="n">
        <v>109</v>
      </c>
    </row>
    <row r="14480">
      <c r="A14480" t="inlineStr">
        <is>
          <t>27BBBBB14480Z5</t>
        </is>
      </c>
      <c r="B14480" t="inlineStr">
        <is>
          <t>Mar-2023</t>
        </is>
      </c>
      <c r="C14480" s="2" t="n">
        <v>44244</v>
      </c>
      <c r="D14480" t="inlineStr">
        <is>
          <t>NON-NIL</t>
        </is>
      </c>
      <c r="E14480" t="n">
        <v>2167</v>
      </c>
    </row>
    <row r="14481">
      <c r="A14481" t="inlineStr">
        <is>
          <t>27BBBBB14481Z5</t>
        </is>
      </c>
      <c r="B14481" t="inlineStr">
        <is>
          <t>Mar-2023</t>
        </is>
      </c>
      <c r="C14481" s="2" t="n">
        <v>45557</v>
      </c>
      <c r="D14481" t="inlineStr">
        <is>
          <t>NON-NIL</t>
        </is>
      </c>
      <c r="E14481" t="n">
        <v>927</v>
      </c>
    </row>
    <row r="14482">
      <c r="A14482" t="inlineStr">
        <is>
          <t>27BBBBB14482Z5</t>
        </is>
      </c>
      <c r="B14482" t="inlineStr">
        <is>
          <t>Jul-2017</t>
        </is>
      </c>
      <c r="C14482" s="2" t="n">
        <v>43453</v>
      </c>
      <c r="D14482" t="inlineStr">
        <is>
          <t>NIL</t>
        </is>
      </c>
      <c r="E14482" t="n">
        <v>1894</v>
      </c>
    </row>
    <row r="14483">
      <c r="A14483" t="inlineStr">
        <is>
          <t>27BBBBB14483Z5</t>
        </is>
      </c>
      <c r="B14483" t="inlineStr">
        <is>
          <t>Apr-2018</t>
        </is>
      </c>
      <c r="C14483" s="2" t="n">
        <v>43131</v>
      </c>
      <c r="D14483" t="inlineStr">
        <is>
          <t>NON-NIL</t>
        </is>
      </c>
      <c r="E14483" t="n">
        <v>1656</v>
      </c>
    </row>
    <row r="14484">
      <c r="A14484" t="inlineStr">
        <is>
          <t>27BBBBB14484Z5</t>
        </is>
      </c>
      <c r="B14484" t="inlineStr">
        <is>
          <t>Feb-2018</t>
        </is>
      </c>
      <c r="C14484" s="2" t="n">
        <v>43123</v>
      </c>
      <c r="D14484" t="inlineStr">
        <is>
          <t>NIL</t>
        </is>
      </c>
      <c r="E14484" t="n">
        <v>1603</v>
      </c>
    </row>
    <row r="14485">
      <c r="A14485" t="inlineStr">
        <is>
          <t>27BBBBB14485Z5</t>
        </is>
      </c>
      <c r="B14485" t="inlineStr">
        <is>
          <t>Oct-2018</t>
        </is>
      </c>
      <c r="C14485" s="2" t="n">
        <v>43515</v>
      </c>
      <c r="D14485" t="inlineStr">
        <is>
          <t>NON-NIL</t>
        </is>
      </c>
      <c r="E14485" t="n">
        <v>2753</v>
      </c>
    </row>
    <row r="14486">
      <c r="A14486" t="inlineStr">
        <is>
          <t>27BBBBB14486Z5</t>
        </is>
      </c>
      <c r="B14486" t="inlineStr">
        <is>
          <t>Jan-2018</t>
        </is>
      </c>
      <c r="C14486" s="2" t="n">
        <v>43413</v>
      </c>
      <c r="D14486" t="inlineStr">
        <is>
          <t>NIL</t>
        </is>
      </c>
      <c r="E14486" t="n">
        <v>1009</v>
      </c>
    </row>
    <row r="14487">
      <c r="A14487" t="inlineStr">
        <is>
          <t>27BBBBB14487Z5</t>
        </is>
      </c>
      <c r="B14487" t="inlineStr">
        <is>
          <t>Apr-2018</t>
        </is>
      </c>
      <c r="C14487" s="2" t="n">
        <v>44132</v>
      </c>
      <c r="D14487" t="inlineStr">
        <is>
          <t>NON-NIL</t>
        </is>
      </c>
      <c r="E14487" t="n">
        <v>1586</v>
      </c>
    </row>
    <row r="14488">
      <c r="A14488" t="inlineStr">
        <is>
          <t>27BBBBB14488Z5</t>
        </is>
      </c>
      <c r="B14488" t="inlineStr">
        <is>
          <t>Sep-2018</t>
        </is>
      </c>
      <c r="C14488" s="2" t="n">
        <v>44494</v>
      </c>
      <c r="D14488" t="inlineStr">
        <is>
          <t>NIL</t>
        </is>
      </c>
      <c r="E14488" t="n">
        <v>542</v>
      </c>
    </row>
    <row r="14489">
      <c r="A14489" t="inlineStr">
        <is>
          <t>27BBBBB14489Z5</t>
        </is>
      </c>
      <c r="B14489" t="inlineStr">
        <is>
          <t>Dec-2022</t>
        </is>
      </c>
      <c r="C14489" s="2" t="n">
        <v>45466</v>
      </c>
      <c r="D14489" t="inlineStr">
        <is>
          <t>NON-NIL</t>
        </is>
      </c>
      <c r="E14489" t="n">
        <v>2277</v>
      </c>
    </row>
    <row r="14490">
      <c r="A14490" t="inlineStr">
        <is>
          <t>27BBBBB14490Z5</t>
        </is>
      </c>
      <c r="B14490" t="inlineStr">
        <is>
          <t>Jul-2017</t>
        </is>
      </c>
      <c r="C14490" s="2" t="n">
        <v>44226</v>
      </c>
      <c r="D14490" t="inlineStr">
        <is>
          <t>NON-NIL</t>
        </is>
      </c>
      <c r="E14490" t="n">
        <v>1921</v>
      </c>
    </row>
    <row r="14491">
      <c r="A14491" t="inlineStr">
        <is>
          <t>27BBBBB14491Z5</t>
        </is>
      </c>
      <c r="B14491" t="inlineStr">
        <is>
          <t>Aug-2017</t>
        </is>
      </c>
      <c r="C14491" s="2" t="n">
        <v>43455</v>
      </c>
      <c r="D14491" t="inlineStr">
        <is>
          <t>NIL</t>
        </is>
      </c>
      <c r="E14491" t="n">
        <v>803</v>
      </c>
    </row>
    <row r="14492">
      <c r="A14492" t="inlineStr">
        <is>
          <t>27BBBBB14492Z5</t>
        </is>
      </c>
      <c r="B14492" t="inlineStr">
        <is>
          <t>Dec-2018</t>
        </is>
      </c>
      <c r="C14492" s="2" t="n">
        <v>43342</v>
      </c>
      <c r="D14492" t="inlineStr">
        <is>
          <t>NON-NIL</t>
        </is>
      </c>
      <c r="E14492" t="n">
        <v>2934</v>
      </c>
    </row>
    <row r="14493">
      <c r="A14493" t="inlineStr">
        <is>
          <t>27BBBBB14493Z5</t>
        </is>
      </c>
      <c r="B14493" t="inlineStr">
        <is>
          <t>Jan-2018</t>
        </is>
      </c>
      <c r="C14493" s="2" t="n">
        <v>44493</v>
      </c>
      <c r="D14493" t="inlineStr">
        <is>
          <t>NIL</t>
        </is>
      </c>
      <c r="E14493" t="n">
        <v>1777</v>
      </c>
    </row>
    <row r="14494">
      <c r="A14494" t="inlineStr">
        <is>
          <t>27BBBBB14494Z5</t>
        </is>
      </c>
      <c r="B14494" t="inlineStr">
        <is>
          <t>Apr-2020</t>
        </is>
      </c>
      <c r="C14494" s="2" t="n">
        <v>43893</v>
      </c>
      <c r="D14494" t="inlineStr">
        <is>
          <t>NIL</t>
        </is>
      </c>
      <c r="E14494" t="n">
        <v>1297</v>
      </c>
    </row>
    <row r="14495">
      <c r="A14495" t="inlineStr">
        <is>
          <t>27BBBBB14495Z5</t>
        </is>
      </c>
      <c r="B14495" t="inlineStr">
        <is>
          <t>Jan-2021</t>
        </is>
      </c>
      <c r="C14495" s="2" t="n">
        <v>44919</v>
      </c>
      <c r="D14495" t="inlineStr">
        <is>
          <t>NON-NIL</t>
        </is>
      </c>
      <c r="E14495" t="n">
        <v>1093</v>
      </c>
    </row>
    <row r="14496">
      <c r="A14496" t="inlineStr">
        <is>
          <t>27BBBBB14496Z5</t>
        </is>
      </c>
      <c r="B14496" t="inlineStr">
        <is>
          <t>Jan-2021</t>
        </is>
      </c>
      <c r="C14496" s="2" t="n">
        <v>43781</v>
      </c>
      <c r="D14496" t="inlineStr">
        <is>
          <t>NON-NIL</t>
        </is>
      </c>
      <c r="E14496" t="n">
        <v>1843</v>
      </c>
    </row>
    <row r="14497">
      <c r="A14497" t="inlineStr">
        <is>
          <t>27BBBBB14497Z5</t>
        </is>
      </c>
      <c r="B14497" t="inlineStr">
        <is>
          <t>Dec-2017</t>
        </is>
      </c>
      <c r="C14497" s="2" t="n">
        <v>43022</v>
      </c>
      <c r="D14497" t="inlineStr">
        <is>
          <t>NIL</t>
        </is>
      </c>
      <c r="E14497" t="n">
        <v>1776</v>
      </c>
    </row>
    <row r="14498">
      <c r="A14498" t="inlineStr">
        <is>
          <t>27BBBBB14498Z5</t>
        </is>
      </c>
      <c r="B14498" t="inlineStr">
        <is>
          <t>Mar-2020</t>
        </is>
      </c>
      <c r="C14498" s="2" t="n">
        <v>44074</v>
      </c>
      <c r="D14498" t="inlineStr">
        <is>
          <t>NIL</t>
        </is>
      </c>
      <c r="E14498" t="n">
        <v>695</v>
      </c>
    </row>
    <row r="14499">
      <c r="A14499" t="inlineStr">
        <is>
          <t>27BBBBB14499Z5</t>
        </is>
      </c>
      <c r="B14499" t="inlineStr">
        <is>
          <t>Oct-2017</t>
        </is>
      </c>
      <c r="C14499" s="2" t="n">
        <v>44064</v>
      </c>
      <c r="D14499" t="inlineStr">
        <is>
          <t>NIL</t>
        </is>
      </c>
      <c r="E14499" t="n">
        <v>872</v>
      </c>
    </row>
    <row r="14500">
      <c r="A14500" t="inlineStr">
        <is>
          <t>27BBBBB14500Z5</t>
        </is>
      </c>
      <c r="B14500" t="inlineStr">
        <is>
          <t>Jun-2020</t>
        </is>
      </c>
      <c r="C14500" s="2" t="n">
        <v>44126</v>
      </c>
      <c r="D14500" t="inlineStr">
        <is>
          <t>NON-NIL</t>
        </is>
      </c>
      <c r="E14500" t="n">
        <v>891</v>
      </c>
    </row>
    <row r="14501">
      <c r="A14501" t="inlineStr">
        <is>
          <t>27BBBBB14501Z5</t>
        </is>
      </c>
      <c r="B14501" t="inlineStr">
        <is>
          <t>Sep-2017</t>
        </is>
      </c>
      <c r="C14501" s="2" t="n">
        <v>42946</v>
      </c>
      <c r="D14501" t="inlineStr">
        <is>
          <t>NIL</t>
        </is>
      </c>
      <c r="E14501" t="n">
        <v>1020</v>
      </c>
    </row>
    <row r="14502">
      <c r="A14502" t="inlineStr">
        <is>
          <t>27BBBBB14502Z5</t>
        </is>
      </c>
      <c r="B14502" t="inlineStr">
        <is>
          <t>Dec-2022</t>
        </is>
      </c>
      <c r="C14502" s="2" t="n">
        <v>45551</v>
      </c>
      <c r="D14502" t="inlineStr">
        <is>
          <t>NIL</t>
        </is>
      </c>
      <c r="E14502" t="n">
        <v>2295</v>
      </c>
    </row>
    <row r="14503">
      <c r="A14503" t="inlineStr">
        <is>
          <t>27BBBBB14503Z5</t>
        </is>
      </c>
      <c r="B14503" t="inlineStr">
        <is>
          <t>Jun-2020</t>
        </is>
      </c>
      <c r="C14503" s="2" t="n">
        <v>44667</v>
      </c>
      <c r="D14503" t="inlineStr">
        <is>
          <t>NIL</t>
        </is>
      </c>
      <c r="E14503" t="n">
        <v>2467</v>
      </c>
    </row>
    <row r="14504">
      <c r="A14504" t="inlineStr">
        <is>
          <t>27BBBBB14504Z5</t>
        </is>
      </c>
      <c r="B14504" t="inlineStr">
        <is>
          <t>May-2020</t>
        </is>
      </c>
      <c r="C14504" s="2" t="n">
        <v>44603</v>
      </c>
      <c r="D14504" t="inlineStr">
        <is>
          <t>NON-NIL</t>
        </is>
      </c>
      <c r="E14504" t="n">
        <v>702</v>
      </c>
    </row>
    <row r="14505">
      <c r="A14505" t="inlineStr">
        <is>
          <t>27BBBBB14505Z5</t>
        </is>
      </c>
      <c r="B14505" t="inlineStr">
        <is>
          <t>Apr-2020</t>
        </is>
      </c>
      <c r="C14505" s="2" t="n">
        <v>44135</v>
      </c>
      <c r="D14505" t="inlineStr">
        <is>
          <t>NIL</t>
        </is>
      </c>
      <c r="E14505" t="n">
        <v>480</v>
      </c>
    </row>
    <row r="14506">
      <c r="A14506" t="inlineStr">
        <is>
          <t>27BBBBB14506Z5</t>
        </is>
      </c>
      <c r="B14506" t="inlineStr">
        <is>
          <t>Mar-2020</t>
        </is>
      </c>
      <c r="C14506" s="2" t="n">
        <v>44045</v>
      </c>
      <c r="D14506" t="inlineStr">
        <is>
          <t>NIL</t>
        </is>
      </c>
      <c r="E14506" t="n">
        <v>730</v>
      </c>
    </row>
    <row r="14507">
      <c r="A14507" t="inlineStr">
        <is>
          <t>27BBBBB14507Z5</t>
        </is>
      </c>
      <c r="B14507" t="inlineStr">
        <is>
          <t>Jul-2018</t>
        </is>
      </c>
      <c r="C14507" s="2" t="n">
        <v>43777</v>
      </c>
      <c r="D14507" t="inlineStr">
        <is>
          <t>NON-NIL</t>
        </is>
      </c>
      <c r="E14507" t="n">
        <v>1447</v>
      </c>
    </row>
    <row r="14508">
      <c r="A14508" t="inlineStr">
        <is>
          <t>27BBBBB14508Z5</t>
        </is>
      </c>
      <c r="B14508" t="inlineStr">
        <is>
          <t>Jun-2018</t>
        </is>
      </c>
      <c r="C14508" s="2" t="n">
        <v>43621</v>
      </c>
      <c r="D14508" t="inlineStr">
        <is>
          <t>NIL</t>
        </is>
      </c>
      <c r="E14508" t="n">
        <v>2217</v>
      </c>
    </row>
    <row r="14509">
      <c r="A14509" t="inlineStr">
        <is>
          <t>27BBBBB14509Z5</t>
        </is>
      </c>
      <c r="B14509" t="inlineStr">
        <is>
          <t>Jan-2018</t>
        </is>
      </c>
      <c r="C14509" s="2" t="n">
        <v>43884</v>
      </c>
      <c r="D14509" t="inlineStr">
        <is>
          <t>NIL</t>
        </is>
      </c>
      <c r="E14509" t="n">
        <v>1316</v>
      </c>
    </row>
    <row r="14510">
      <c r="A14510" t="inlineStr">
        <is>
          <t>27BBBBB14510Z5</t>
        </is>
      </c>
      <c r="B14510" t="inlineStr">
        <is>
          <t>Oct-2018</t>
        </is>
      </c>
      <c r="C14510" s="2" t="n">
        <v>44139</v>
      </c>
      <c r="D14510" t="inlineStr">
        <is>
          <t>NON-NIL</t>
        </is>
      </c>
      <c r="E14510" t="n">
        <v>2752</v>
      </c>
    </row>
    <row r="14511">
      <c r="A14511" t="inlineStr">
        <is>
          <t>27BBBBB14511Z5</t>
        </is>
      </c>
      <c r="B14511" t="inlineStr">
        <is>
          <t>Dec-2024</t>
        </is>
      </c>
      <c r="C14511" s="2" t="n">
        <v>44436</v>
      </c>
      <c r="D14511" t="inlineStr">
        <is>
          <t>NON-NIL</t>
        </is>
      </c>
      <c r="E14511" t="n">
        <v>1631</v>
      </c>
    </row>
    <row r="14512">
      <c r="A14512" t="inlineStr">
        <is>
          <t>27BBBBB14512Z5</t>
        </is>
      </c>
      <c r="B14512" t="inlineStr">
        <is>
          <t>Dec-2018</t>
        </is>
      </c>
      <c r="C14512" s="2" t="n">
        <v>44368</v>
      </c>
      <c r="D14512" t="inlineStr">
        <is>
          <t>NIL</t>
        </is>
      </c>
      <c r="E14512" t="n">
        <v>2516</v>
      </c>
    </row>
    <row r="14513">
      <c r="A14513" t="inlineStr">
        <is>
          <t>27BBBBB14513Z5</t>
        </is>
      </c>
      <c r="B14513" t="inlineStr">
        <is>
          <t>Oct-2017</t>
        </is>
      </c>
      <c r="C14513" s="2" t="n">
        <v>44047</v>
      </c>
      <c r="D14513" t="inlineStr">
        <is>
          <t>NON-NIL</t>
        </is>
      </c>
      <c r="E14513" t="n">
        <v>564</v>
      </c>
    </row>
    <row r="14514">
      <c r="A14514" t="inlineStr">
        <is>
          <t>27BBBBB14514Z5</t>
        </is>
      </c>
      <c r="B14514" t="inlineStr">
        <is>
          <t>Oct-2017</t>
        </is>
      </c>
      <c r="C14514" s="2" t="n">
        <v>44506</v>
      </c>
      <c r="D14514" t="inlineStr">
        <is>
          <t>NON-NIL</t>
        </is>
      </c>
      <c r="E14514" t="n">
        <v>1863</v>
      </c>
    </row>
    <row r="14515">
      <c r="A14515" t="inlineStr">
        <is>
          <t>27BBBBB14515Z5</t>
        </is>
      </c>
      <c r="B14515" t="inlineStr">
        <is>
          <t>Mar-2020</t>
        </is>
      </c>
      <c r="C14515" s="2" t="n">
        <v>44474</v>
      </c>
      <c r="D14515" t="inlineStr">
        <is>
          <t>NIL</t>
        </is>
      </c>
      <c r="E14515" t="n">
        <v>2240</v>
      </c>
    </row>
    <row r="14516">
      <c r="A14516" t="inlineStr">
        <is>
          <t>27BBBBB14516Z5</t>
        </is>
      </c>
      <c r="B14516" t="inlineStr">
        <is>
          <t>Aug-2018</t>
        </is>
      </c>
      <c r="C14516" s="2" t="n">
        <v>44122</v>
      </c>
      <c r="D14516" t="inlineStr">
        <is>
          <t>NIL</t>
        </is>
      </c>
      <c r="E14516" t="n">
        <v>2270</v>
      </c>
    </row>
    <row r="14517">
      <c r="A14517" t="inlineStr">
        <is>
          <t>27BBBBB14517Z5</t>
        </is>
      </c>
      <c r="B14517" t="inlineStr">
        <is>
          <t>Jan-2018</t>
        </is>
      </c>
      <c r="C14517" s="2" t="n">
        <v>44301</v>
      </c>
      <c r="D14517" t="inlineStr">
        <is>
          <t>NIL</t>
        </is>
      </c>
      <c r="E14517" t="n">
        <v>1002</v>
      </c>
    </row>
    <row r="14518">
      <c r="A14518" t="inlineStr">
        <is>
          <t>27BBBBB14518Z5</t>
        </is>
      </c>
      <c r="B14518" t="inlineStr">
        <is>
          <t>Dec-2022</t>
        </is>
      </c>
      <c r="C14518" s="2" t="n">
        <v>45743</v>
      </c>
      <c r="D14518" t="inlineStr">
        <is>
          <t>NON-NIL</t>
        </is>
      </c>
      <c r="E14518" t="n">
        <v>1069</v>
      </c>
    </row>
    <row r="14519">
      <c r="A14519" t="inlineStr">
        <is>
          <t>27BBBBB14519Z5</t>
        </is>
      </c>
      <c r="B14519" t="inlineStr">
        <is>
          <t>Sep-2018</t>
        </is>
      </c>
      <c r="C14519" s="2" t="n">
        <v>44405</v>
      </c>
      <c r="D14519" t="inlineStr">
        <is>
          <t>NIL</t>
        </is>
      </c>
      <c r="E14519" t="n">
        <v>2118</v>
      </c>
    </row>
    <row r="14520">
      <c r="A14520" t="inlineStr">
        <is>
          <t>27BBBBB14520Z5</t>
        </is>
      </c>
      <c r="B14520" t="inlineStr">
        <is>
          <t>Mar-2020</t>
        </is>
      </c>
      <c r="C14520" s="2" t="n">
        <v>44597</v>
      </c>
      <c r="D14520" t="inlineStr">
        <is>
          <t>NON-NIL</t>
        </is>
      </c>
      <c r="E14520" t="n">
        <v>566</v>
      </c>
    </row>
    <row r="14521">
      <c r="A14521" t="inlineStr">
        <is>
          <t>27BBBBB14521Z5</t>
        </is>
      </c>
      <c r="B14521" t="inlineStr">
        <is>
          <t>Oct-2017</t>
        </is>
      </c>
      <c r="C14521" s="2" t="n">
        <v>43171</v>
      </c>
      <c r="D14521" t="inlineStr">
        <is>
          <t>NON-NIL</t>
        </is>
      </c>
      <c r="E14521" t="n">
        <v>1407</v>
      </c>
    </row>
    <row r="14522">
      <c r="A14522" t="inlineStr">
        <is>
          <t>27BBBBB14522Z5</t>
        </is>
      </c>
      <c r="B14522" t="inlineStr">
        <is>
          <t>Mar-2021</t>
        </is>
      </c>
      <c r="C14522" s="2" t="n">
        <v>45571</v>
      </c>
      <c r="D14522" t="inlineStr">
        <is>
          <t>NON-NIL</t>
        </is>
      </c>
      <c r="E14522" t="n">
        <v>1546</v>
      </c>
    </row>
    <row r="14523">
      <c r="A14523" t="inlineStr">
        <is>
          <t>27BBBBB14523Z5</t>
        </is>
      </c>
      <c r="B14523" t="inlineStr">
        <is>
          <t>Oct-2017</t>
        </is>
      </c>
      <c r="C14523" s="2" t="n">
        <v>44071</v>
      </c>
      <c r="D14523" t="inlineStr">
        <is>
          <t>NON-NIL</t>
        </is>
      </c>
      <c r="E14523" t="n">
        <v>2091</v>
      </c>
    </row>
    <row r="14524">
      <c r="A14524" t="inlineStr">
        <is>
          <t>27BBBBB14524Z5</t>
        </is>
      </c>
      <c r="B14524" t="inlineStr">
        <is>
          <t>Jul-2017</t>
        </is>
      </c>
      <c r="C14524" s="2" t="n">
        <v>43518</v>
      </c>
      <c r="D14524" t="inlineStr">
        <is>
          <t>NIL</t>
        </is>
      </c>
      <c r="E14524" t="n">
        <v>2058</v>
      </c>
    </row>
    <row r="14525">
      <c r="A14525" t="inlineStr">
        <is>
          <t>27BBBBB14525Z5</t>
        </is>
      </c>
      <c r="B14525" t="inlineStr">
        <is>
          <t>Mar-2020</t>
        </is>
      </c>
      <c r="C14525" s="2" t="n">
        <v>43852</v>
      </c>
      <c r="D14525" t="inlineStr">
        <is>
          <t>NIL</t>
        </is>
      </c>
      <c r="E14525" t="n">
        <v>2416</v>
      </c>
    </row>
    <row r="14526">
      <c r="A14526" t="inlineStr">
        <is>
          <t>27BBBBB14526Z5</t>
        </is>
      </c>
      <c r="B14526" t="inlineStr">
        <is>
          <t>Aug-2017</t>
        </is>
      </c>
      <c r="C14526" s="2" t="n">
        <v>43115</v>
      </c>
      <c r="D14526" t="inlineStr">
        <is>
          <t>NIL</t>
        </is>
      </c>
      <c r="E14526" t="n">
        <v>2183</v>
      </c>
    </row>
    <row r="14527">
      <c r="A14527" t="inlineStr">
        <is>
          <t>27BBBBB14527Z5</t>
        </is>
      </c>
      <c r="B14527" t="inlineStr">
        <is>
          <t>Sep-2017</t>
        </is>
      </c>
      <c r="C14527" s="2" t="n">
        <v>43437</v>
      </c>
      <c r="D14527" t="inlineStr">
        <is>
          <t>NIL</t>
        </is>
      </c>
      <c r="E14527" t="n">
        <v>1878</v>
      </c>
    </row>
    <row r="14528">
      <c r="A14528" t="inlineStr">
        <is>
          <t>27BBBBB14528Z5</t>
        </is>
      </c>
      <c r="B14528" t="inlineStr">
        <is>
          <t>May-2020</t>
        </is>
      </c>
      <c r="C14528" s="2" t="n">
        <v>44110</v>
      </c>
      <c r="D14528" t="inlineStr">
        <is>
          <t>NON-NIL</t>
        </is>
      </c>
      <c r="E14528" t="n">
        <v>2265</v>
      </c>
    </row>
    <row r="14529">
      <c r="A14529" t="inlineStr">
        <is>
          <t>27BBBBB14529Z5</t>
        </is>
      </c>
      <c r="B14529" t="inlineStr">
        <is>
          <t>Dec-2018</t>
        </is>
      </c>
      <c r="C14529" s="2" t="n">
        <v>43336</v>
      </c>
      <c r="D14529" t="inlineStr">
        <is>
          <t>NIL</t>
        </is>
      </c>
      <c r="E14529" t="n">
        <v>2147</v>
      </c>
    </row>
    <row r="14530">
      <c r="A14530" t="inlineStr">
        <is>
          <t>27BBBBB14530Z5</t>
        </is>
      </c>
      <c r="B14530" t="inlineStr">
        <is>
          <t>Sep-2017</t>
        </is>
      </c>
      <c r="C14530" s="2" t="n">
        <v>42925</v>
      </c>
      <c r="D14530" t="inlineStr">
        <is>
          <t>NIL</t>
        </is>
      </c>
      <c r="E14530" t="n">
        <v>2002</v>
      </c>
    </row>
    <row r="14531">
      <c r="A14531" t="inlineStr">
        <is>
          <t>27BBBBB14531Z5</t>
        </is>
      </c>
      <c r="B14531" t="inlineStr">
        <is>
          <t>Jun-2020</t>
        </is>
      </c>
      <c r="C14531" s="2" t="n">
        <v>43882</v>
      </c>
      <c r="D14531" t="inlineStr">
        <is>
          <t>NON-NIL</t>
        </is>
      </c>
      <c r="E14531" t="n">
        <v>2805</v>
      </c>
    </row>
    <row r="14532">
      <c r="A14532" t="inlineStr">
        <is>
          <t>27BBBBB14532Z5</t>
        </is>
      </c>
      <c r="B14532" t="inlineStr">
        <is>
          <t>Dec-2022</t>
        </is>
      </c>
      <c r="C14532" s="2" t="n">
        <v>45470</v>
      </c>
      <c r="D14532" t="inlineStr">
        <is>
          <t>NIL</t>
        </is>
      </c>
      <c r="E14532" t="n">
        <v>2029</v>
      </c>
    </row>
    <row r="14533">
      <c r="A14533" t="inlineStr">
        <is>
          <t>27BBBBB14533Z5</t>
        </is>
      </c>
      <c r="B14533" t="inlineStr">
        <is>
          <t>Oct-2018</t>
        </is>
      </c>
      <c r="C14533" s="2" t="n">
        <v>43427</v>
      </c>
      <c r="D14533" t="inlineStr">
        <is>
          <t>NIL</t>
        </is>
      </c>
      <c r="E14533" t="n">
        <v>2344</v>
      </c>
    </row>
    <row r="14534">
      <c r="A14534" t="inlineStr">
        <is>
          <t>27BBBBB14534Z5</t>
        </is>
      </c>
      <c r="B14534" t="inlineStr">
        <is>
          <t>Mar-2021</t>
        </is>
      </c>
      <c r="C14534" s="2" t="n">
        <v>45523</v>
      </c>
      <c r="D14534" t="inlineStr">
        <is>
          <t>NON-NIL</t>
        </is>
      </c>
      <c r="E14534" t="n">
        <v>407</v>
      </c>
    </row>
    <row r="14535">
      <c r="A14535" t="inlineStr">
        <is>
          <t>27BBBBB14535Z5</t>
        </is>
      </c>
      <c r="B14535" t="inlineStr">
        <is>
          <t>Mar-2018</t>
        </is>
      </c>
      <c r="C14535" s="2" t="n">
        <v>42999</v>
      </c>
      <c r="D14535" t="inlineStr">
        <is>
          <t>NON-NIL</t>
        </is>
      </c>
      <c r="E14535" t="n">
        <v>294</v>
      </c>
    </row>
    <row r="14536">
      <c r="A14536" t="inlineStr">
        <is>
          <t>27BBBBB14536Z5</t>
        </is>
      </c>
      <c r="B14536" t="inlineStr">
        <is>
          <t>Mar-2020</t>
        </is>
      </c>
      <c r="C14536" s="2" t="n">
        <v>44908</v>
      </c>
      <c r="D14536" t="inlineStr">
        <is>
          <t>NON-NIL</t>
        </is>
      </c>
      <c r="E14536" t="n">
        <v>1000</v>
      </c>
    </row>
    <row r="14537">
      <c r="A14537" t="inlineStr">
        <is>
          <t>27BBBBB14537Z5</t>
        </is>
      </c>
      <c r="B14537" t="inlineStr">
        <is>
          <t>Mar-2021</t>
        </is>
      </c>
      <c r="C14537" s="2" t="n">
        <v>44202</v>
      </c>
      <c r="D14537" t="inlineStr">
        <is>
          <t>NIL</t>
        </is>
      </c>
      <c r="E14537" t="n">
        <v>117</v>
      </c>
    </row>
    <row r="14538">
      <c r="A14538" t="inlineStr">
        <is>
          <t>27BBBBB14538Z5</t>
        </is>
      </c>
      <c r="B14538" t="inlineStr">
        <is>
          <t>Jan-2018</t>
        </is>
      </c>
      <c r="C14538" s="2" t="n">
        <v>43245</v>
      </c>
      <c r="D14538" t="inlineStr">
        <is>
          <t>NON-NIL</t>
        </is>
      </c>
      <c r="E14538" t="n">
        <v>1216</v>
      </c>
    </row>
    <row r="14539">
      <c r="A14539" t="inlineStr">
        <is>
          <t>27BBBBB14539Z5</t>
        </is>
      </c>
      <c r="B14539" t="inlineStr">
        <is>
          <t>Apr-2018</t>
        </is>
      </c>
      <c r="C14539" s="2" t="n">
        <v>42995</v>
      </c>
      <c r="D14539" t="inlineStr">
        <is>
          <t>NIL</t>
        </is>
      </c>
      <c r="E14539" t="n">
        <v>1023</v>
      </c>
    </row>
    <row r="14540">
      <c r="A14540" t="inlineStr">
        <is>
          <t>27BBBBB14540Z5</t>
        </is>
      </c>
      <c r="B14540" t="inlineStr">
        <is>
          <t>Oct-2018</t>
        </is>
      </c>
      <c r="C14540" s="2" t="n">
        <v>43256</v>
      </c>
      <c r="D14540" t="inlineStr">
        <is>
          <t>NON-NIL</t>
        </is>
      </c>
      <c r="E14540" t="n">
        <v>2898</v>
      </c>
    </row>
    <row r="14541">
      <c r="A14541" t="inlineStr">
        <is>
          <t>27BBBBB14541Z5</t>
        </is>
      </c>
      <c r="B14541" t="inlineStr">
        <is>
          <t>Oct-2018</t>
        </is>
      </c>
      <c r="C14541" s="2" t="n">
        <v>43812</v>
      </c>
      <c r="D14541" t="inlineStr">
        <is>
          <t>NIL</t>
        </is>
      </c>
      <c r="E14541" t="n">
        <v>406</v>
      </c>
    </row>
    <row r="14542">
      <c r="A14542" t="inlineStr">
        <is>
          <t>27BBBBB14542Z5</t>
        </is>
      </c>
      <c r="B14542" t="inlineStr">
        <is>
          <t>Mar-2023</t>
        </is>
      </c>
      <c r="C14542" s="2" t="n">
        <v>43859</v>
      </c>
      <c r="D14542" t="inlineStr">
        <is>
          <t>NON-NIL</t>
        </is>
      </c>
      <c r="E14542" t="n">
        <v>256</v>
      </c>
    </row>
    <row r="14543">
      <c r="A14543" t="inlineStr">
        <is>
          <t>27BBBBB14543Z5</t>
        </is>
      </c>
      <c r="B14543" t="inlineStr">
        <is>
          <t>Mar-2023</t>
        </is>
      </c>
      <c r="C14543" s="2" t="n">
        <v>44484</v>
      </c>
      <c r="D14543" t="inlineStr">
        <is>
          <t>NON-NIL</t>
        </is>
      </c>
      <c r="E14543" t="n">
        <v>1612</v>
      </c>
    </row>
    <row r="14544">
      <c r="A14544" t="inlineStr">
        <is>
          <t>27BBBBB14544Z5</t>
        </is>
      </c>
      <c r="B14544" t="inlineStr">
        <is>
          <t>Jun-2018</t>
        </is>
      </c>
      <c r="C14544" s="2" t="n">
        <v>43130</v>
      </c>
      <c r="D14544" t="inlineStr">
        <is>
          <t>NIL</t>
        </is>
      </c>
      <c r="E14544" t="n">
        <v>92</v>
      </c>
    </row>
    <row r="14545">
      <c r="A14545" t="inlineStr">
        <is>
          <t>27BBBBB14545Z5</t>
        </is>
      </c>
      <c r="B14545" t="inlineStr">
        <is>
          <t>Aug-2018</t>
        </is>
      </c>
      <c r="C14545" s="2" t="n">
        <v>43885</v>
      </c>
      <c r="D14545" t="inlineStr">
        <is>
          <t>NIL</t>
        </is>
      </c>
      <c r="E14545" t="n">
        <v>854</v>
      </c>
    </row>
    <row r="14546">
      <c r="A14546" t="inlineStr">
        <is>
          <t>27BBBBB14546Z5</t>
        </is>
      </c>
      <c r="B14546" t="inlineStr">
        <is>
          <t>Feb-2018</t>
        </is>
      </c>
      <c r="C14546" s="2" t="n">
        <v>44058</v>
      </c>
      <c r="D14546" t="inlineStr">
        <is>
          <t>NON-NIL</t>
        </is>
      </c>
      <c r="E14546" t="n">
        <v>932</v>
      </c>
    </row>
    <row r="14547">
      <c r="A14547" t="inlineStr">
        <is>
          <t>27BBBBB14547Z5</t>
        </is>
      </c>
      <c r="B14547" t="inlineStr">
        <is>
          <t>Jul-2020</t>
        </is>
      </c>
      <c r="C14547" s="2" t="n">
        <v>44412</v>
      </c>
      <c r="D14547" t="inlineStr">
        <is>
          <t>NON-NIL</t>
        </is>
      </c>
      <c r="E14547" t="n">
        <v>924</v>
      </c>
    </row>
    <row r="14548">
      <c r="A14548" t="inlineStr">
        <is>
          <t>27BBBBB14548Z5</t>
        </is>
      </c>
      <c r="B14548" t="inlineStr">
        <is>
          <t>Jun-2020</t>
        </is>
      </c>
      <c r="C14548" s="2" t="n">
        <v>43976</v>
      </c>
      <c r="D14548" t="inlineStr">
        <is>
          <t>NON-NIL</t>
        </is>
      </c>
      <c r="E14548" t="n">
        <v>1814</v>
      </c>
    </row>
    <row r="14549">
      <c r="A14549" t="inlineStr">
        <is>
          <t>27BBBBB14549Z5</t>
        </is>
      </c>
      <c r="B14549" t="inlineStr">
        <is>
          <t>Jul-2018</t>
        </is>
      </c>
      <c r="C14549" s="2" t="n">
        <v>43143</v>
      </c>
      <c r="D14549" t="inlineStr">
        <is>
          <t>NIL</t>
        </is>
      </c>
      <c r="E14549" t="n">
        <v>1269</v>
      </c>
    </row>
    <row r="14550">
      <c r="A14550" t="inlineStr">
        <is>
          <t>27BBBBB14550Z5</t>
        </is>
      </c>
      <c r="B14550" t="inlineStr">
        <is>
          <t>Aug-2017</t>
        </is>
      </c>
      <c r="C14550" s="2" t="n">
        <v>43716</v>
      </c>
      <c r="D14550" t="inlineStr">
        <is>
          <t>NIL</t>
        </is>
      </c>
      <c r="E14550" t="n">
        <v>2452</v>
      </c>
    </row>
    <row r="14551">
      <c r="A14551" t="inlineStr">
        <is>
          <t>27BBBBB14551Z5</t>
        </is>
      </c>
      <c r="B14551" t="inlineStr">
        <is>
          <t>Jun-2020</t>
        </is>
      </c>
      <c r="C14551" s="2" t="n">
        <v>44247</v>
      </c>
      <c r="D14551" t="inlineStr">
        <is>
          <t>NON-NIL</t>
        </is>
      </c>
      <c r="E14551" t="n">
        <v>2070</v>
      </c>
    </row>
    <row r="14552">
      <c r="A14552" t="inlineStr">
        <is>
          <t>27BBBBB14552Z5</t>
        </is>
      </c>
      <c r="B14552" t="inlineStr">
        <is>
          <t>Mar-2020</t>
        </is>
      </c>
      <c r="C14552" s="2" t="n">
        <v>44505</v>
      </c>
      <c r="D14552" t="inlineStr">
        <is>
          <t>NON-NIL</t>
        </is>
      </c>
      <c r="E14552" t="n">
        <v>213</v>
      </c>
    </row>
    <row r="14553">
      <c r="A14553" t="inlineStr">
        <is>
          <t>27BBBBB14553Z5</t>
        </is>
      </c>
      <c r="B14553" t="inlineStr">
        <is>
          <t>Mar-2023</t>
        </is>
      </c>
      <c r="C14553" s="2" t="n">
        <v>44572</v>
      </c>
      <c r="D14553" t="inlineStr">
        <is>
          <t>NON-NIL</t>
        </is>
      </c>
      <c r="E14553" t="n">
        <v>2696</v>
      </c>
    </row>
    <row r="14554">
      <c r="A14554" t="inlineStr">
        <is>
          <t>27BBBBB14554Z5</t>
        </is>
      </c>
      <c r="B14554" t="inlineStr">
        <is>
          <t>Dec-2024</t>
        </is>
      </c>
      <c r="C14554" s="2" t="n">
        <v>45478</v>
      </c>
      <c r="D14554" t="inlineStr">
        <is>
          <t>NON-NIL</t>
        </is>
      </c>
      <c r="E14554" t="n">
        <v>2402</v>
      </c>
    </row>
    <row r="14555">
      <c r="A14555" t="inlineStr">
        <is>
          <t>27BBBBB14555Z5</t>
        </is>
      </c>
      <c r="B14555" t="inlineStr">
        <is>
          <t>Feb-2018</t>
        </is>
      </c>
      <c r="C14555" s="2" t="n">
        <v>43265</v>
      </c>
      <c r="D14555" t="inlineStr">
        <is>
          <t>NIL</t>
        </is>
      </c>
      <c r="E14555" t="n">
        <v>2068</v>
      </c>
    </row>
    <row r="14556">
      <c r="A14556" t="inlineStr">
        <is>
          <t>27BBBBB14556Z5</t>
        </is>
      </c>
      <c r="B14556" t="inlineStr">
        <is>
          <t>Mar-2023</t>
        </is>
      </c>
      <c r="C14556" s="2" t="n">
        <v>44006</v>
      </c>
      <c r="D14556" t="inlineStr">
        <is>
          <t>NON-NIL</t>
        </is>
      </c>
      <c r="E14556" t="n">
        <v>427</v>
      </c>
    </row>
    <row r="14557">
      <c r="A14557" t="inlineStr">
        <is>
          <t>27BBBBB14557Z5</t>
        </is>
      </c>
      <c r="B14557" t="inlineStr">
        <is>
          <t>Nov-2018</t>
        </is>
      </c>
      <c r="C14557" s="2" t="n">
        <v>44213</v>
      </c>
      <c r="D14557" t="inlineStr">
        <is>
          <t>NON-NIL</t>
        </is>
      </c>
      <c r="E14557" t="n">
        <v>1693</v>
      </c>
    </row>
    <row r="14558">
      <c r="A14558" t="inlineStr">
        <is>
          <t>27BBBBB14558Z5</t>
        </is>
      </c>
      <c r="B14558" t="inlineStr">
        <is>
          <t>Mar-2020</t>
        </is>
      </c>
      <c r="C14558" s="2" t="n">
        <v>44494</v>
      </c>
      <c r="D14558" t="inlineStr">
        <is>
          <t>NON-NIL</t>
        </is>
      </c>
      <c r="E14558" t="n">
        <v>2020</v>
      </c>
    </row>
    <row r="14559">
      <c r="A14559" t="inlineStr">
        <is>
          <t>27BBBBB14559Z5</t>
        </is>
      </c>
      <c r="B14559" t="inlineStr">
        <is>
          <t>Oct-2017</t>
        </is>
      </c>
      <c r="C14559" s="2" t="n">
        <v>43337</v>
      </c>
      <c r="D14559" t="inlineStr">
        <is>
          <t>NON-NIL</t>
        </is>
      </c>
      <c r="E14559" t="n">
        <v>2678</v>
      </c>
    </row>
    <row r="14560">
      <c r="A14560" t="inlineStr">
        <is>
          <t>27BBBBB14560Z5</t>
        </is>
      </c>
      <c r="B14560" t="inlineStr">
        <is>
          <t>Nov-2018</t>
        </is>
      </c>
      <c r="C14560" s="2" t="n">
        <v>43779</v>
      </c>
      <c r="D14560" t="inlineStr">
        <is>
          <t>NON-NIL</t>
        </is>
      </c>
      <c r="E14560" t="n">
        <v>2612</v>
      </c>
    </row>
    <row r="14561">
      <c r="A14561" t="inlineStr">
        <is>
          <t>27BBBBB14561Z5</t>
        </is>
      </c>
      <c r="B14561" t="inlineStr">
        <is>
          <t>Jan-2018</t>
        </is>
      </c>
      <c r="C14561" s="2" t="n">
        <v>43761</v>
      </c>
      <c r="D14561" t="inlineStr">
        <is>
          <t>NIL</t>
        </is>
      </c>
      <c r="E14561" t="n">
        <v>603</v>
      </c>
    </row>
    <row r="14562">
      <c r="A14562" t="inlineStr">
        <is>
          <t>27BBBBB14562Z5</t>
        </is>
      </c>
      <c r="B14562" t="inlineStr">
        <is>
          <t>Nov-2018</t>
        </is>
      </c>
      <c r="C14562" s="2" t="n">
        <v>43054</v>
      </c>
      <c r="D14562" t="inlineStr">
        <is>
          <t>NIL</t>
        </is>
      </c>
      <c r="E14562" t="n">
        <v>1979</v>
      </c>
    </row>
    <row r="14563">
      <c r="A14563" t="inlineStr">
        <is>
          <t>27BBBBB14563Z5</t>
        </is>
      </c>
      <c r="B14563" t="inlineStr">
        <is>
          <t>Jan-2018</t>
        </is>
      </c>
      <c r="C14563" s="2" t="n">
        <v>44291</v>
      </c>
      <c r="D14563" t="inlineStr">
        <is>
          <t>NIL</t>
        </is>
      </c>
      <c r="E14563" t="n">
        <v>10</v>
      </c>
    </row>
    <row r="14564">
      <c r="A14564" t="inlineStr">
        <is>
          <t>27BBBBB14564Z5</t>
        </is>
      </c>
      <c r="B14564" t="inlineStr">
        <is>
          <t>May-2018</t>
        </is>
      </c>
      <c r="C14564" s="2" t="n">
        <v>43252</v>
      </c>
      <c r="D14564" t="inlineStr">
        <is>
          <t>NIL</t>
        </is>
      </c>
      <c r="E14564" t="n">
        <v>1348</v>
      </c>
    </row>
    <row r="14565">
      <c r="A14565" t="inlineStr">
        <is>
          <t>27BBBBB14565Z5</t>
        </is>
      </c>
      <c r="B14565" t="inlineStr">
        <is>
          <t>Aug-2018</t>
        </is>
      </c>
      <c r="C14565" s="2" t="n">
        <v>43290</v>
      </c>
      <c r="D14565" t="inlineStr">
        <is>
          <t>NON-NIL</t>
        </is>
      </c>
      <c r="E14565" t="n">
        <v>2284</v>
      </c>
    </row>
    <row r="14566">
      <c r="A14566" t="inlineStr">
        <is>
          <t>27BBBBB14566Z5</t>
        </is>
      </c>
      <c r="B14566" t="inlineStr">
        <is>
          <t>Jan-2021</t>
        </is>
      </c>
      <c r="C14566" s="2" t="n">
        <v>44316</v>
      </c>
      <c r="D14566" t="inlineStr">
        <is>
          <t>NIL</t>
        </is>
      </c>
      <c r="E14566" t="n">
        <v>514</v>
      </c>
    </row>
    <row r="14567">
      <c r="A14567" t="inlineStr">
        <is>
          <t>27BBBBB14567Z5</t>
        </is>
      </c>
      <c r="B14567" t="inlineStr">
        <is>
          <t>Feb-2018</t>
        </is>
      </c>
      <c r="C14567" s="2" t="n">
        <v>43481</v>
      </c>
      <c r="D14567" t="inlineStr">
        <is>
          <t>NIL</t>
        </is>
      </c>
      <c r="E14567" t="n">
        <v>2515</v>
      </c>
    </row>
    <row r="14568">
      <c r="A14568" t="inlineStr">
        <is>
          <t>27BBBBB14568Z5</t>
        </is>
      </c>
      <c r="B14568" t="inlineStr">
        <is>
          <t>Jun-2020</t>
        </is>
      </c>
      <c r="C14568" s="2" t="n">
        <v>44168</v>
      </c>
      <c r="D14568" t="inlineStr">
        <is>
          <t>NON-NIL</t>
        </is>
      </c>
      <c r="E14568" t="n">
        <v>1043</v>
      </c>
    </row>
    <row r="14569">
      <c r="A14569" t="inlineStr">
        <is>
          <t>27BBBBB14569Z5</t>
        </is>
      </c>
      <c r="B14569" t="inlineStr">
        <is>
          <t>Dec-2024</t>
        </is>
      </c>
      <c r="C14569" s="2" t="n">
        <v>45427</v>
      </c>
      <c r="D14569" t="inlineStr">
        <is>
          <t>NON-NIL</t>
        </is>
      </c>
      <c r="E14569" t="n">
        <v>2656</v>
      </c>
    </row>
    <row r="14570">
      <c r="A14570" t="inlineStr">
        <is>
          <t>27BBBBB14570Z5</t>
        </is>
      </c>
      <c r="B14570" t="inlineStr">
        <is>
          <t>Apr-2020</t>
        </is>
      </c>
      <c r="C14570" s="2" t="n">
        <v>44679</v>
      </c>
      <c r="D14570" t="inlineStr">
        <is>
          <t>NON-NIL</t>
        </is>
      </c>
      <c r="E14570" t="n">
        <v>209</v>
      </c>
    </row>
    <row r="14571">
      <c r="A14571" t="inlineStr">
        <is>
          <t>27BBBBB14571Z5</t>
        </is>
      </c>
      <c r="B14571" t="inlineStr">
        <is>
          <t>Feb-2018</t>
        </is>
      </c>
      <c r="C14571" s="2" t="n">
        <v>42942</v>
      </c>
      <c r="D14571" t="inlineStr">
        <is>
          <t>NIL</t>
        </is>
      </c>
      <c r="E14571" t="n">
        <v>2154</v>
      </c>
    </row>
    <row r="14572">
      <c r="A14572" t="inlineStr">
        <is>
          <t>27BBBBB14572Z5</t>
        </is>
      </c>
      <c r="B14572" t="inlineStr">
        <is>
          <t>May-2018</t>
        </is>
      </c>
      <c r="C14572" s="2" t="n">
        <v>42954</v>
      </c>
      <c r="D14572" t="inlineStr">
        <is>
          <t>NON-NIL</t>
        </is>
      </c>
      <c r="E14572" t="n">
        <v>2610</v>
      </c>
    </row>
    <row r="14573">
      <c r="A14573" t="inlineStr">
        <is>
          <t>27BBBBB14573Z5</t>
        </is>
      </c>
      <c r="B14573" t="inlineStr">
        <is>
          <t>Oct-2018</t>
        </is>
      </c>
      <c r="C14573" s="2" t="n">
        <v>43303</v>
      </c>
      <c r="D14573" t="inlineStr">
        <is>
          <t>NIL</t>
        </is>
      </c>
      <c r="E14573" t="n">
        <v>2540</v>
      </c>
    </row>
    <row r="14574">
      <c r="A14574" t="inlineStr">
        <is>
          <t>27BBBBB14574Z5</t>
        </is>
      </c>
      <c r="B14574" t="inlineStr">
        <is>
          <t>Jun-2018</t>
        </is>
      </c>
      <c r="C14574" s="2" t="n">
        <v>43615</v>
      </c>
      <c r="D14574" t="inlineStr">
        <is>
          <t>NON-NIL</t>
        </is>
      </c>
      <c r="E14574" t="n">
        <v>1838</v>
      </c>
    </row>
    <row r="14575">
      <c r="A14575" t="inlineStr">
        <is>
          <t>27BBBBB14575Z5</t>
        </is>
      </c>
      <c r="B14575" t="inlineStr">
        <is>
          <t>May-2020</t>
        </is>
      </c>
      <c r="C14575" s="2" t="n">
        <v>44065</v>
      </c>
      <c r="D14575" t="inlineStr">
        <is>
          <t>NON-NIL</t>
        </is>
      </c>
      <c r="E14575" t="n">
        <v>872</v>
      </c>
    </row>
    <row r="14576">
      <c r="A14576" t="inlineStr">
        <is>
          <t>27BBBBB14576Z5</t>
        </is>
      </c>
      <c r="B14576" t="inlineStr">
        <is>
          <t>May-2020</t>
        </is>
      </c>
      <c r="C14576" s="2" t="n">
        <v>44717</v>
      </c>
      <c r="D14576" t="inlineStr">
        <is>
          <t>NIL</t>
        </is>
      </c>
      <c r="E14576" t="n">
        <v>1821</v>
      </c>
    </row>
    <row r="14577">
      <c r="A14577" t="inlineStr">
        <is>
          <t>27BBBBB14577Z5</t>
        </is>
      </c>
      <c r="B14577" t="inlineStr">
        <is>
          <t>Sep-2017</t>
        </is>
      </c>
      <c r="C14577" s="2" t="n">
        <v>43574</v>
      </c>
      <c r="D14577" t="inlineStr">
        <is>
          <t>NIL</t>
        </is>
      </c>
      <c r="E14577" t="n">
        <v>533</v>
      </c>
    </row>
    <row r="14578">
      <c r="A14578" t="inlineStr">
        <is>
          <t>27BBBBB14578Z5</t>
        </is>
      </c>
      <c r="B14578" t="inlineStr">
        <is>
          <t>Aug-2017</t>
        </is>
      </c>
      <c r="C14578" s="2" t="n">
        <v>43494</v>
      </c>
      <c r="D14578" t="inlineStr">
        <is>
          <t>NON-NIL</t>
        </is>
      </c>
      <c r="E14578" t="n">
        <v>1255</v>
      </c>
    </row>
    <row r="14579">
      <c r="A14579" t="inlineStr">
        <is>
          <t>27BBBBB14579Z5</t>
        </is>
      </c>
      <c r="B14579" t="inlineStr">
        <is>
          <t>Apr-2018</t>
        </is>
      </c>
      <c r="C14579" s="2" t="n">
        <v>43519</v>
      </c>
      <c r="D14579" t="inlineStr">
        <is>
          <t>NON-NIL</t>
        </is>
      </c>
      <c r="E14579" t="n">
        <v>527</v>
      </c>
    </row>
    <row r="14580">
      <c r="A14580" t="inlineStr">
        <is>
          <t>27BBBBB14580Z5</t>
        </is>
      </c>
      <c r="B14580" t="inlineStr">
        <is>
          <t>Oct-2018</t>
        </is>
      </c>
      <c r="C14580" s="2" t="n">
        <v>43456</v>
      </c>
      <c r="D14580" t="inlineStr">
        <is>
          <t>NIL</t>
        </is>
      </c>
      <c r="E14580" t="n">
        <v>869</v>
      </c>
    </row>
    <row r="14581">
      <c r="A14581" t="inlineStr">
        <is>
          <t>27BBBBB14581Z5</t>
        </is>
      </c>
      <c r="B14581" t="inlineStr">
        <is>
          <t>Jun-2020</t>
        </is>
      </c>
      <c r="C14581" s="2" t="n">
        <v>44825</v>
      </c>
      <c r="D14581" t="inlineStr">
        <is>
          <t>NON-NIL</t>
        </is>
      </c>
      <c r="E14581" t="n">
        <v>1712</v>
      </c>
    </row>
    <row r="14582">
      <c r="A14582" t="inlineStr">
        <is>
          <t>27BBBBB14582Z5</t>
        </is>
      </c>
      <c r="B14582" t="inlineStr">
        <is>
          <t>Jul-2018</t>
        </is>
      </c>
      <c r="C14582" s="2" t="n">
        <v>44174</v>
      </c>
      <c r="D14582" t="inlineStr">
        <is>
          <t>NIL</t>
        </is>
      </c>
      <c r="E14582" t="n">
        <v>1244</v>
      </c>
    </row>
    <row r="14583">
      <c r="A14583" t="inlineStr">
        <is>
          <t>27BBBBB14583Z5</t>
        </is>
      </c>
      <c r="B14583" t="inlineStr">
        <is>
          <t>Jul-2020</t>
        </is>
      </c>
      <c r="C14583" s="2" t="n">
        <v>44718</v>
      </c>
      <c r="D14583" t="inlineStr">
        <is>
          <t>NON-NIL</t>
        </is>
      </c>
      <c r="E14583" t="n">
        <v>2440</v>
      </c>
    </row>
    <row r="14584">
      <c r="A14584" t="inlineStr">
        <is>
          <t>27BBBBB14584Z5</t>
        </is>
      </c>
      <c r="B14584" t="inlineStr">
        <is>
          <t>Aug-2017</t>
        </is>
      </c>
      <c r="C14584" s="2" t="n">
        <v>44547</v>
      </c>
      <c r="D14584" t="inlineStr">
        <is>
          <t>NON-NIL</t>
        </is>
      </c>
      <c r="E14584" t="n">
        <v>2816</v>
      </c>
    </row>
    <row r="14585">
      <c r="A14585" t="inlineStr">
        <is>
          <t>27BBBBB14585Z5</t>
        </is>
      </c>
      <c r="B14585" t="inlineStr">
        <is>
          <t>Sep-2018</t>
        </is>
      </c>
      <c r="C14585" s="2" t="n">
        <v>43560</v>
      </c>
      <c r="D14585" t="inlineStr">
        <is>
          <t>NIL</t>
        </is>
      </c>
      <c r="E14585" t="n">
        <v>10</v>
      </c>
    </row>
    <row r="14586">
      <c r="A14586" t="inlineStr">
        <is>
          <t>27BBBBB14586Z5</t>
        </is>
      </c>
      <c r="B14586" t="inlineStr">
        <is>
          <t>Sep-2018</t>
        </is>
      </c>
      <c r="C14586" s="2" t="n">
        <v>43269</v>
      </c>
      <c r="D14586" t="inlineStr">
        <is>
          <t>NON-NIL</t>
        </is>
      </c>
      <c r="E14586" t="n">
        <v>2273</v>
      </c>
    </row>
    <row r="14587">
      <c r="A14587" t="inlineStr">
        <is>
          <t>27BBBBB14587Z5</t>
        </is>
      </c>
      <c r="B14587" t="inlineStr">
        <is>
          <t>May-2020</t>
        </is>
      </c>
      <c r="C14587" s="2" t="n">
        <v>44681</v>
      </c>
      <c r="D14587" t="inlineStr">
        <is>
          <t>NIL</t>
        </is>
      </c>
      <c r="E14587" t="n">
        <v>437</v>
      </c>
    </row>
    <row r="14588">
      <c r="A14588" t="inlineStr">
        <is>
          <t>27BBBBB14588Z5</t>
        </is>
      </c>
      <c r="B14588" t="inlineStr">
        <is>
          <t>Jun-2020</t>
        </is>
      </c>
      <c r="C14588" s="2" t="n">
        <v>43970</v>
      </c>
      <c r="D14588" t="inlineStr">
        <is>
          <t>NIL</t>
        </is>
      </c>
      <c r="E14588" t="n">
        <v>1119</v>
      </c>
    </row>
    <row r="14589">
      <c r="A14589" t="inlineStr">
        <is>
          <t>27BBBBB14589Z5</t>
        </is>
      </c>
      <c r="B14589" t="inlineStr">
        <is>
          <t>Jan-2018</t>
        </is>
      </c>
      <c r="C14589" s="2" t="n">
        <v>43370</v>
      </c>
      <c r="D14589" t="inlineStr">
        <is>
          <t>NIL</t>
        </is>
      </c>
      <c r="E14589" t="n">
        <v>772</v>
      </c>
    </row>
    <row r="14590">
      <c r="A14590" t="inlineStr">
        <is>
          <t>27BBBBB14590Z5</t>
        </is>
      </c>
      <c r="B14590" t="inlineStr">
        <is>
          <t>Nov-2017</t>
        </is>
      </c>
      <c r="C14590" s="2" t="n">
        <v>42939</v>
      </c>
      <c r="D14590" t="inlineStr">
        <is>
          <t>NIL</t>
        </is>
      </c>
      <c r="E14590" t="n">
        <v>1762</v>
      </c>
    </row>
    <row r="14591">
      <c r="A14591" t="inlineStr">
        <is>
          <t>27BBBBB14591Z5</t>
        </is>
      </c>
      <c r="B14591" t="inlineStr">
        <is>
          <t>Jul-2017</t>
        </is>
      </c>
      <c r="C14591" s="2" t="n">
        <v>43892</v>
      </c>
      <c r="D14591" t="inlineStr">
        <is>
          <t>NON-NIL</t>
        </is>
      </c>
      <c r="E14591" t="n">
        <v>600</v>
      </c>
    </row>
    <row r="14592">
      <c r="A14592" t="inlineStr">
        <is>
          <t>27BBBBB14592Z5</t>
        </is>
      </c>
      <c r="B14592" t="inlineStr">
        <is>
          <t>Jul-2018</t>
        </is>
      </c>
      <c r="C14592" s="2" t="n">
        <v>43612</v>
      </c>
      <c r="D14592" t="inlineStr">
        <is>
          <t>NIL</t>
        </is>
      </c>
      <c r="E14592" t="n">
        <v>1747</v>
      </c>
    </row>
    <row r="14593">
      <c r="A14593" t="inlineStr">
        <is>
          <t>27BBBBB14593Z5</t>
        </is>
      </c>
      <c r="B14593" t="inlineStr">
        <is>
          <t>Apr-2018</t>
        </is>
      </c>
      <c r="C14593" s="2" t="n">
        <v>44552</v>
      </c>
      <c r="D14593" t="inlineStr">
        <is>
          <t>NIL</t>
        </is>
      </c>
      <c r="E14593" t="n">
        <v>878</v>
      </c>
    </row>
    <row r="14594">
      <c r="A14594" t="inlineStr">
        <is>
          <t>27BBBBB14594Z5</t>
        </is>
      </c>
      <c r="B14594" t="inlineStr">
        <is>
          <t>Aug-2018</t>
        </is>
      </c>
      <c r="C14594" s="2" t="n">
        <v>44024</v>
      </c>
      <c r="D14594" t="inlineStr">
        <is>
          <t>NON-NIL</t>
        </is>
      </c>
      <c r="E14594" t="n">
        <v>0</v>
      </c>
    </row>
    <row r="14595">
      <c r="A14595" t="inlineStr">
        <is>
          <t>27BBBBB14595Z5</t>
        </is>
      </c>
      <c r="B14595" t="inlineStr">
        <is>
          <t>Jan-2021</t>
        </is>
      </c>
      <c r="C14595" s="2" t="n">
        <v>45123</v>
      </c>
      <c r="D14595" t="inlineStr">
        <is>
          <t>NON-NIL</t>
        </is>
      </c>
      <c r="E14595" t="n">
        <v>658</v>
      </c>
    </row>
    <row r="14596">
      <c r="A14596" t="inlineStr">
        <is>
          <t>27BBBBB14596Z5</t>
        </is>
      </c>
      <c r="B14596" t="inlineStr">
        <is>
          <t>Dec-2017</t>
        </is>
      </c>
      <c r="C14596" s="2" t="n">
        <v>43646</v>
      </c>
      <c r="D14596" t="inlineStr">
        <is>
          <t>NON-NIL</t>
        </is>
      </c>
      <c r="E14596" t="n">
        <v>765</v>
      </c>
    </row>
    <row r="14597">
      <c r="A14597" t="inlineStr">
        <is>
          <t>27BBBBB14597Z5</t>
        </is>
      </c>
      <c r="B14597" t="inlineStr">
        <is>
          <t>Feb-2018</t>
        </is>
      </c>
      <c r="C14597" s="2" t="n">
        <v>44229</v>
      </c>
      <c r="D14597" t="inlineStr">
        <is>
          <t>NIL</t>
        </is>
      </c>
      <c r="E14597" t="n">
        <v>516</v>
      </c>
    </row>
    <row r="14598">
      <c r="A14598" t="inlineStr">
        <is>
          <t>27BBBBB14598Z5</t>
        </is>
      </c>
      <c r="B14598" t="inlineStr">
        <is>
          <t>Oct-2017</t>
        </is>
      </c>
      <c r="C14598" s="2" t="n">
        <v>42992</v>
      </c>
      <c r="D14598" t="inlineStr">
        <is>
          <t>NON-NIL</t>
        </is>
      </c>
      <c r="E14598" t="n">
        <v>752</v>
      </c>
    </row>
    <row r="14599">
      <c r="A14599" t="inlineStr">
        <is>
          <t>27BBBBB14599Z5</t>
        </is>
      </c>
      <c r="B14599" t="inlineStr">
        <is>
          <t>Mar-2021</t>
        </is>
      </c>
      <c r="C14599" s="2" t="n">
        <v>45014</v>
      </c>
      <c r="D14599" t="inlineStr">
        <is>
          <t>NON-NIL</t>
        </is>
      </c>
      <c r="E14599" t="n">
        <v>617</v>
      </c>
    </row>
    <row r="14600">
      <c r="A14600" t="inlineStr">
        <is>
          <t>27BBBBB14600Z5</t>
        </is>
      </c>
      <c r="B14600" t="inlineStr">
        <is>
          <t>Oct-2018</t>
        </is>
      </c>
      <c r="C14600" s="2" t="n">
        <v>43298</v>
      </c>
      <c r="D14600" t="inlineStr">
        <is>
          <t>NON-NIL</t>
        </is>
      </c>
      <c r="E14600" t="n">
        <v>260</v>
      </c>
    </row>
    <row r="14601">
      <c r="A14601" t="inlineStr">
        <is>
          <t>27BBBBB14601Z5</t>
        </is>
      </c>
      <c r="B14601" t="inlineStr">
        <is>
          <t>Jul-2018</t>
        </is>
      </c>
      <c r="C14601" s="2" t="n">
        <v>42995</v>
      </c>
      <c r="D14601" t="inlineStr">
        <is>
          <t>NON-NIL</t>
        </is>
      </c>
      <c r="E14601" t="n">
        <v>1070</v>
      </c>
    </row>
    <row r="14602">
      <c r="A14602" t="inlineStr">
        <is>
          <t>27BBBBB14602Z5</t>
        </is>
      </c>
      <c r="B14602" t="inlineStr">
        <is>
          <t>Sep-2018</t>
        </is>
      </c>
      <c r="C14602" s="2" t="n">
        <v>43917</v>
      </c>
      <c r="D14602" t="inlineStr">
        <is>
          <t>NIL</t>
        </is>
      </c>
      <c r="E14602" t="n">
        <v>1653</v>
      </c>
    </row>
    <row r="14603">
      <c r="A14603" t="inlineStr">
        <is>
          <t>27BBBBB14603Z5</t>
        </is>
      </c>
      <c r="B14603" t="inlineStr">
        <is>
          <t>May-2018</t>
        </is>
      </c>
      <c r="C14603" s="2" t="n">
        <v>43345</v>
      </c>
      <c r="D14603" t="inlineStr">
        <is>
          <t>NON-NIL</t>
        </is>
      </c>
      <c r="E14603" t="n">
        <v>1134</v>
      </c>
    </row>
    <row r="14604">
      <c r="A14604" t="inlineStr">
        <is>
          <t>27BBBBB14604Z5</t>
        </is>
      </c>
      <c r="B14604" t="inlineStr">
        <is>
          <t>Feb-2018</t>
        </is>
      </c>
      <c r="C14604" s="2" t="n">
        <v>44554</v>
      </c>
      <c r="D14604" t="inlineStr">
        <is>
          <t>NON-NIL</t>
        </is>
      </c>
      <c r="E14604" t="n">
        <v>1791</v>
      </c>
    </row>
    <row r="14605">
      <c r="A14605" t="inlineStr">
        <is>
          <t>27BBBBB14605Z5</t>
        </is>
      </c>
      <c r="B14605" t="inlineStr">
        <is>
          <t>Apr-2020</t>
        </is>
      </c>
      <c r="C14605" s="2" t="n">
        <v>44459</v>
      </c>
      <c r="D14605" t="inlineStr">
        <is>
          <t>NIL</t>
        </is>
      </c>
      <c r="E14605" t="n">
        <v>1335</v>
      </c>
    </row>
    <row r="14606">
      <c r="A14606" t="inlineStr">
        <is>
          <t>27BBBBB14606Z5</t>
        </is>
      </c>
      <c r="B14606" t="inlineStr">
        <is>
          <t>Oct-2018</t>
        </is>
      </c>
      <c r="C14606" s="2" t="n">
        <v>43045</v>
      </c>
      <c r="D14606" t="inlineStr">
        <is>
          <t>NIL</t>
        </is>
      </c>
      <c r="E14606" t="n">
        <v>2287</v>
      </c>
    </row>
    <row r="14607">
      <c r="A14607" t="inlineStr">
        <is>
          <t>27BBBBB14607Z5</t>
        </is>
      </c>
      <c r="B14607" t="inlineStr">
        <is>
          <t>Oct-2018</t>
        </is>
      </c>
      <c r="C14607" s="2" t="n">
        <v>43986</v>
      </c>
      <c r="D14607" t="inlineStr">
        <is>
          <t>NIL</t>
        </is>
      </c>
      <c r="E14607" t="n">
        <v>1981</v>
      </c>
    </row>
    <row r="14608">
      <c r="A14608" t="inlineStr">
        <is>
          <t>27BBBBB14608Z5</t>
        </is>
      </c>
      <c r="B14608" t="inlineStr">
        <is>
          <t>Sep-2018</t>
        </is>
      </c>
      <c r="C14608" s="2" t="n">
        <v>42988</v>
      </c>
      <c r="D14608" t="inlineStr">
        <is>
          <t>NON-NIL</t>
        </is>
      </c>
      <c r="E14608" t="n">
        <v>1608</v>
      </c>
    </row>
    <row r="14609">
      <c r="A14609" t="inlineStr">
        <is>
          <t>27BBBBB14609Z5</t>
        </is>
      </c>
      <c r="B14609" t="inlineStr">
        <is>
          <t>Jan-2018</t>
        </is>
      </c>
      <c r="C14609" s="2" t="n">
        <v>43298</v>
      </c>
      <c r="D14609" t="inlineStr">
        <is>
          <t>NIL</t>
        </is>
      </c>
      <c r="E14609" t="n">
        <v>855</v>
      </c>
    </row>
    <row r="14610">
      <c r="A14610" t="inlineStr">
        <is>
          <t>27BBBBB14610Z5</t>
        </is>
      </c>
      <c r="B14610" t="inlineStr">
        <is>
          <t>Sep-2018</t>
        </is>
      </c>
      <c r="C14610" s="2" t="n">
        <v>43309</v>
      </c>
      <c r="D14610" t="inlineStr">
        <is>
          <t>NIL</t>
        </is>
      </c>
      <c r="E14610" t="n">
        <v>841</v>
      </c>
    </row>
    <row r="14611">
      <c r="A14611" t="inlineStr">
        <is>
          <t>27BBBBB14611Z5</t>
        </is>
      </c>
      <c r="B14611" t="inlineStr">
        <is>
          <t>Jun-2018</t>
        </is>
      </c>
      <c r="C14611" s="2" t="n">
        <v>43153</v>
      </c>
      <c r="D14611" t="inlineStr">
        <is>
          <t>NON-NIL</t>
        </is>
      </c>
      <c r="E14611" t="n">
        <v>638</v>
      </c>
    </row>
    <row r="14612">
      <c r="A14612" t="inlineStr">
        <is>
          <t>27BBBBB14612Z5</t>
        </is>
      </c>
      <c r="B14612" t="inlineStr">
        <is>
          <t>Jan-2021</t>
        </is>
      </c>
      <c r="C14612" s="2" t="n">
        <v>44402</v>
      </c>
      <c r="D14612" t="inlineStr">
        <is>
          <t>NON-NIL</t>
        </is>
      </c>
      <c r="E14612" t="n">
        <v>1225</v>
      </c>
    </row>
    <row r="14613">
      <c r="A14613" t="inlineStr">
        <is>
          <t>27BBBBB14613Z5</t>
        </is>
      </c>
      <c r="B14613" t="inlineStr">
        <is>
          <t>Apr-2018</t>
        </is>
      </c>
      <c r="C14613" s="2" t="n">
        <v>44334</v>
      </c>
      <c r="D14613" t="inlineStr">
        <is>
          <t>NIL</t>
        </is>
      </c>
      <c r="E14613" t="n">
        <v>751</v>
      </c>
    </row>
    <row r="14614">
      <c r="A14614" t="inlineStr">
        <is>
          <t>27BBBBB14614Z5</t>
        </is>
      </c>
      <c r="B14614" t="inlineStr">
        <is>
          <t>Apr-2018</t>
        </is>
      </c>
      <c r="C14614" s="2" t="n">
        <v>42939</v>
      </c>
      <c r="D14614" t="inlineStr">
        <is>
          <t>NON-NIL</t>
        </is>
      </c>
      <c r="E14614" t="n">
        <v>998</v>
      </c>
    </row>
    <row r="14615">
      <c r="A14615" t="inlineStr">
        <is>
          <t>27BBBBB14615Z5</t>
        </is>
      </c>
      <c r="B14615" t="inlineStr">
        <is>
          <t>Nov-2017</t>
        </is>
      </c>
      <c r="C14615" s="2" t="n">
        <v>43974</v>
      </c>
      <c r="D14615" t="inlineStr">
        <is>
          <t>NIL</t>
        </is>
      </c>
      <c r="E14615" t="n">
        <v>406</v>
      </c>
    </row>
    <row r="14616">
      <c r="A14616" t="inlineStr">
        <is>
          <t>27BBBBB14616Z5</t>
        </is>
      </c>
      <c r="B14616" t="inlineStr">
        <is>
          <t>Aug-2018</t>
        </is>
      </c>
      <c r="C14616" s="2" t="n">
        <v>44037</v>
      </c>
      <c r="D14616" t="inlineStr">
        <is>
          <t>NIL</t>
        </is>
      </c>
      <c r="E14616" t="n">
        <v>2773</v>
      </c>
    </row>
    <row r="14617">
      <c r="A14617" t="inlineStr">
        <is>
          <t>27BBBBB14617Z5</t>
        </is>
      </c>
      <c r="B14617" t="inlineStr">
        <is>
          <t>Jul-2018</t>
        </is>
      </c>
      <c r="C14617" s="2" t="n">
        <v>44040</v>
      </c>
      <c r="D14617" t="inlineStr">
        <is>
          <t>NIL</t>
        </is>
      </c>
      <c r="E14617" t="n">
        <v>1939</v>
      </c>
    </row>
    <row r="14618">
      <c r="A14618" t="inlineStr">
        <is>
          <t>27BBBBB14618Z5</t>
        </is>
      </c>
      <c r="B14618" t="inlineStr">
        <is>
          <t>Mar-2021</t>
        </is>
      </c>
      <c r="C14618" s="2" t="n">
        <v>43474</v>
      </c>
      <c r="D14618" t="inlineStr">
        <is>
          <t>NON-NIL</t>
        </is>
      </c>
      <c r="E14618" t="n">
        <v>2726</v>
      </c>
    </row>
    <row r="14619">
      <c r="A14619" t="inlineStr">
        <is>
          <t>27BBBBB14619Z5</t>
        </is>
      </c>
      <c r="B14619" t="inlineStr">
        <is>
          <t>Mar-2023</t>
        </is>
      </c>
      <c r="C14619" s="2" t="n">
        <v>44963</v>
      </c>
      <c r="D14619" t="inlineStr">
        <is>
          <t>NIL</t>
        </is>
      </c>
      <c r="E14619" t="n">
        <v>2989</v>
      </c>
    </row>
    <row r="14620">
      <c r="A14620" t="inlineStr">
        <is>
          <t>27BBBBB14620Z5</t>
        </is>
      </c>
      <c r="B14620" t="inlineStr">
        <is>
          <t>Dec-2017</t>
        </is>
      </c>
      <c r="C14620" s="2" t="n">
        <v>43055</v>
      </c>
      <c r="D14620" t="inlineStr">
        <is>
          <t>NIL</t>
        </is>
      </c>
      <c r="E14620" t="n">
        <v>1728</v>
      </c>
    </row>
    <row r="14621">
      <c r="A14621" t="inlineStr">
        <is>
          <t>27BBBBB14621Z5</t>
        </is>
      </c>
      <c r="B14621" t="inlineStr">
        <is>
          <t>Aug-2017</t>
        </is>
      </c>
      <c r="C14621" s="2" t="n">
        <v>43944</v>
      </c>
      <c r="D14621" t="inlineStr">
        <is>
          <t>NIL</t>
        </is>
      </c>
      <c r="E14621" t="n">
        <v>1588</v>
      </c>
    </row>
    <row r="14622">
      <c r="A14622" t="inlineStr">
        <is>
          <t>27BBBBB14622Z5</t>
        </is>
      </c>
      <c r="B14622" t="inlineStr">
        <is>
          <t>Aug-2017</t>
        </is>
      </c>
      <c r="C14622" s="2" t="n">
        <v>44067</v>
      </c>
      <c r="D14622" t="inlineStr">
        <is>
          <t>NIL</t>
        </is>
      </c>
      <c r="E14622" t="n">
        <v>2600</v>
      </c>
    </row>
    <row r="14623">
      <c r="A14623" t="inlineStr">
        <is>
          <t>27BBBBB14623Z5</t>
        </is>
      </c>
      <c r="B14623" t="inlineStr">
        <is>
          <t>Sep-2017</t>
        </is>
      </c>
      <c r="C14623" s="2" t="n">
        <v>44417</v>
      </c>
      <c r="D14623" t="inlineStr">
        <is>
          <t>NON-NIL</t>
        </is>
      </c>
      <c r="E14623" t="n">
        <v>1110</v>
      </c>
    </row>
    <row r="14624">
      <c r="A14624" t="inlineStr">
        <is>
          <t>27BBBBB14624Z5</t>
        </is>
      </c>
      <c r="B14624" t="inlineStr">
        <is>
          <t>May-2020</t>
        </is>
      </c>
      <c r="C14624" s="2" t="n">
        <v>44111</v>
      </c>
      <c r="D14624" t="inlineStr">
        <is>
          <t>NON-NIL</t>
        </is>
      </c>
      <c r="E14624" t="n">
        <v>1061</v>
      </c>
    </row>
    <row r="14625">
      <c r="A14625" t="inlineStr">
        <is>
          <t>27BBBBB14625Z5</t>
        </is>
      </c>
      <c r="B14625" t="inlineStr">
        <is>
          <t>Apr-2018</t>
        </is>
      </c>
      <c r="C14625" s="2" t="n">
        <v>44002</v>
      </c>
      <c r="D14625" t="inlineStr">
        <is>
          <t>NIL</t>
        </is>
      </c>
      <c r="E14625" t="n">
        <v>1561</v>
      </c>
    </row>
    <row r="14626">
      <c r="A14626" t="inlineStr">
        <is>
          <t>27BBBBB14626Z5</t>
        </is>
      </c>
      <c r="B14626" t="inlineStr">
        <is>
          <t>Jan-2021</t>
        </is>
      </c>
      <c r="C14626" s="2" t="n">
        <v>45756</v>
      </c>
      <c r="D14626" t="inlineStr">
        <is>
          <t>NIL</t>
        </is>
      </c>
      <c r="E14626" t="n">
        <v>2669</v>
      </c>
    </row>
    <row r="14627">
      <c r="A14627" t="inlineStr">
        <is>
          <t>27BBBBB14627Z5</t>
        </is>
      </c>
      <c r="B14627" t="inlineStr">
        <is>
          <t>Apr-2018</t>
        </is>
      </c>
      <c r="C14627" s="2" t="n">
        <v>43942</v>
      </c>
      <c r="D14627" t="inlineStr">
        <is>
          <t>NON-NIL</t>
        </is>
      </c>
      <c r="E14627" t="n">
        <v>691</v>
      </c>
    </row>
    <row r="14628">
      <c r="A14628" t="inlineStr">
        <is>
          <t>27BBBBB14628Z5</t>
        </is>
      </c>
      <c r="B14628" t="inlineStr">
        <is>
          <t>Aug-2018</t>
        </is>
      </c>
      <c r="C14628" s="2" t="n">
        <v>43289</v>
      </c>
      <c r="D14628" t="inlineStr">
        <is>
          <t>NON-NIL</t>
        </is>
      </c>
      <c r="E14628" t="n">
        <v>2944</v>
      </c>
    </row>
    <row r="14629">
      <c r="A14629" t="inlineStr">
        <is>
          <t>27BBBBB14629Z5</t>
        </is>
      </c>
      <c r="B14629" t="inlineStr">
        <is>
          <t>Jul-2017</t>
        </is>
      </c>
      <c r="C14629" s="2" t="n">
        <v>43516</v>
      </c>
      <c r="D14629" t="inlineStr">
        <is>
          <t>NIL</t>
        </is>
      </c>
      <c r="E14629" t="n">
        <v>510</v>
      </c>
    </row>
    <row r="14630">
      <c r="A14630" t="inlineStr">
        <is>
          <t>27BBBBB14630Z5</t>
        </is>
      </c>
      <c r="B14630" t="inlineStr">
        <is>
          <t>Dec-2018</t>
        </is>
      </c>
      <c r="C14630" s="2" t="n">
        <v>43580</v>
      </c>
      <c r="D14630" t="inlineStr">
        <is>
          <t>NON-NIL</t>
        </is>
      </c>
      <c r="E14630" t="n">
        <v>1640</v>
      </c>
    </row>
    <row r="14631">
      <c r="A14631" t="inlineStr">
        <is>
          <t>27BBBBB14631Z5</t>
        </is>
      </c>
      <c r="B14631" t="inlineStr">
        <is>
          <t>Jun-2018</t>
        </is>
      </c>
      <c r="C14631" s="2" t="n">
        <v>43895</v>
      </c>
      <c r="D14631" t="inlineStr">
        <is>
          <t>NON-NIL</t>
        </is>
      </c>
      <c r="E14631" t="n">
        <v>414</v>
      </c>
    </row>
    <row r="14632">
      <c r="A14632" t="inlineStr">
        <is>
          <t>27BBBBB14632Z5</t>
        </is>
      </c>
      <c r="B14632" t="inlineStr">
        <is>
          <t>Jul-2017</t>
        </is>
      </c>
      <c r="C14632" s="2" t="n">
        <v>44049</v>
      </c>
      <c r="D14632" t="inlineStr">
        <is>
          <t>NIL</t>
        </is>
      </c>
      <c r="E14632" t="n">
        <v>2132</v>
      </c>
    </row>
    <row r="14633">
      <c r="A14633" t="inlineStr">
        <is>
          <t>27BBBBB14633Z5</t>
        </is>
      </c>
      <c r="B14633" t="inlineStr">
        <is>
          <t>Mar-2023</t>
        </is>
      </c>
      <c r="C14633" s="2" t="n">
        <v>45584</v>
      </c>
      <c r="D14633" t="inlineStr">
        <is>
          <t>NIL</t>
        </is>
      </c>
      <c r="E14633" t="n">
        <v>1061</v>
      </c>
    </row>
    <row r="14634">
      <c r="A14634" t="inlineStr">
        <is>
          <t>27BBBBB14634Z5</t>
        </is>
      </c>
      <c r="B14634" t="inlineStr">
        <is>
          <t>Aug-2018</t>
        </is>
      </c>
      <c r="C14634" s="2" t="n">
        <v>44082</v>
      </c>
      <c r="D14634" t="inlineStr">
        <is>
          <t>NIL</t>
        </is>
      </c>
      <c r="E14634" t="n">
        <v>2477</v>
      </c>
    </row>
    <row r="14635">
      <c r="A14635" t="inlineStr">
        <is>
          <t>27BBBBB14635Z5</t>
        </is>
      </c>
      <c r="B14635" t="inlineStr">
        <is>
          <t>Jul-2017</t>
        </is>
      </c>
      <c r="C14635" s="2" t="n">
        <v>43687</v>
      </c>
      <c r="D14635" t="inlineStr">
        <is>
          <t>NON-NIL</t>
        </is>
      </c>
      <c r="E14635" t="n">
        <v>1336</v>
      </c>
    </row>
    <row r="14636">
      <c r="A14636" t="inlineStr">
        <is>
          <t>27BBBBB14636Z5</t>
        </is>
      </c>
      <c r="B14636" t="inlineStr">
        <is>
          <t>Mar-2018</t>
        </is>
      </c>
      <c r="C14636" s="2" t="n">
        <v>43646</v>
      </c>
      <c r="D14636" t="inlineStr">
        <is>
          <t>NON-NIL</t>
        </is>
      </c>
      <c r="E14636" t="n">
        <v>818</v>
      </c>
    </row>
    <row r="14637">
      <c r="A14637" t="inlineStr">
        <is>
          <t>27BBBBB14637Z5</t>
        </is>
      </c>
      <c r="B14637" t="inlineStr">
        <is>
          <t>Mar-2023</t>
        </is>
      </c>
      <c r="C14637" s="2" t="n">
        <v>44260</v>
      </c>
      <c r="D14637" t="inlineStr">
        <is>
          <t>NON-NIL</t>
        </is>
      </c>
      <c r="E14637" t="n">
        <v>626</v>
      </c>
    </row>
    <row r="14638">
      <c r="A14638" t="inlineStr">
        <is>
          <t>27BBBBB14638Z5</t>
        </is>
      </c>
      <c r="B14638" t="inlineStr">
        <is>
          <t>May-2018</t>
        </is>
      </c>
      <c r="C14638" s="2" t="n">
        <v>43290</v>
      </c>
      <c r="D14638" t="inlineStr">
        <is>
          <t>NON-NIL</t>
        </is>
      </c>
      <c r="E14638" t="n">
        <v>308</v>
      </c>
    </row>
    <row r="14639">
      <c r="A14639" t="inlineStr">
        <is>
          <t>27BBBBB14639Z5</t>
        </is>
      </c>
      <c r="B14639" t="inlineStr">
        <is>
          <t>May-2018</t>
        </is>
      </c>
      <c r="C14639" s="2" t="n">
        <v>44099</v>
      </c>
      <c r="D14639" t="inlineStr">
        <is>
          <t>NIL</t>
        </is>
      </c>
      <c r="E14639" t="n">
        <v>1560</v>
      </c>
    </row>
    <row r="14640">
      <c r="A14640" t="inlineStr">
        <is>
          <t>27BBBBB14640Z5</t>
        </is>
      </c>
      <c r="B14640" t="inlineStr">
        <is>
          <t>Nov-2018</t>
        </is>
      </c>
      <c r="C14640" s="2" t="n">
        <v>43113</v>
      </c>
      <c r="D14640" t="inlineStr">
        <is>
          <t>NIL</t>
        </is>
      </c>
      <c r="E14640" t="n">
        <v>1299</v>
      </c>
    </row>
    <row r="14641">
      <c r="A14641" t="inlineStr">
        <is>
          <t>27BBBBB14641Z5</t>
        </is>
      </c>
      <c r="B14641" t="inlineStr">
        <is>
          <t>May-2020</t>
        </is>
      </c>
      <c r="C14641" s="2" t="n">
        <v>44703</v>
      </c>
      <c r="D14641" t="inlineStr">
        <is>
          <t>NIL</t>
        </is>
      </c>
      <c r="E14641" t="n">
        <v>1395</v>
      </c>
    </row>
    <row r="14642">
      <c r="A14642" t="inlineStr">
        <is>
          <t>27BBBBB14642Z5</t>
        </is>
      </c>
      <c r="B14642" t="inlineStr">
        <is>
          <t>Aug-2017</t>
        </is>
      </c>
      <c r="C14642" s="2" t="n">
        <v>43794</v>
      </c>
      <c r="D14642" t="inlineStr">
        <is>
          <t>NON-NIL</t>
        </is>
      </c>
      <c r="E14642" t="n">
        <v>2244</v>
      </c>
    </row>
    <row r="14643">
      <c r="A14643" t="inlineStr">
        <is>
          <t>27BBBBB14643Z5</t>
        </is>
      </c>
      <c r="B14643" t="inlineStr">
        <is>
          <t>Aug-2017</t>
        </is>
      </c>
      <c r="C14643" s="2" t="n">
        <v>43314</v>
      </c>
      <c r="D14643" t="inlineStr">
        <is>
          <t>NON-NIL</t>
        </is>
      </c>
      <c r="E14643" t="n">
        <v>211</v>
      </c>
    </row>
    <row r="14644">
      <c r="A14644" t="inlineStr">
        <is>
          <t>27BBBBB14644Z5</t>
        </is>
      </c>
      <c r="B14644" t="inlineStr">
        <is>
          <t>Dec-2017</t>
        </is>
      </c>
      <c r="C14644" s="2" t="n">
        <v>43755</v>
      </c>
      <c r="D14644" t="inlineStr">
        <is>
          <t>NON-NIL</t>
        </is>
      </c>
      <c r="E14644" t="n">
        <v>509</v>
      </c>
    </row>
    <row r="14645">
      <c r="A14645" t="inlineStr">
        <is>
          <t>27BBBBB14645Z5</t>
        </is>
      </c>
      <c r="B14645" t="inlineStr">
        <is>
          <t>Jan-2021</t>
        </is>
      </c>
      <c r="C14645" s="2" t="n">
        <v>45031</v>
      </c>
      <c r="D14645" t="inlineStr">
        <is>
          <t>NIL</t>
        </is>
      </c>
      <c r="E14645" t="n">
        <v>1299</v>
      </c>
    </row>
    <row r="14646">
      <c r="A14646" t="inlineStr">
        <is>
          <t>27BBBBB14646Z5</t>
        </is>
      </c>
      <c r="B14646" t="inlineStr">
        <is>
          <t>May-2020</t>
        </is>
      </c>
      <c r="C14646" s="2" t="n">
        <v>44254</v>
      </c>
      <c r="D14646" t="inlineStr">
        <is>
          <t>NON-NIL</t>
        </is>
      </c>
      <c r="E14646" t="n">
        <v>787</v>
      </c>
    </row>
    <row r="14647">
      <c r="A14647" t="inlineStr">
        <is>
          <t>27BBBBB14647Z5</t>
        </is>
      </c>
      <c r="B14647" t="inlineStr">
        <is>
          <t>Jun-2020</t>
        </is>
      </c>
      <c r="C14647" s="2" t="n">
        <v>44101</v>
      </c>
      <c r="D14647" t="inlineStr">
        <is>
          <t>NIL</t>
        </is>
      </c>
      <c r="E14647" t="n">
        <v>1199</v>
      </c>
    </row>
    <row r="14648">
      <c r="A14648" t="inlineStr">
        <is>
          <t>27BBBBB14648Z5</t>
        </is>
      </c>
      <c r="B14648" t="inlineStr">
        <is>
          <t>Dec-2017</t>
        </is>
      </c>
      <c r="C14648" s="2" t="n">
        <v>44161</v>
      </c>
      <c r="D14648" t="inlineStr">
        <is>
          <t>NIL</t>
        </is>
      </c>
      <c r="E14648" t="n">
        <v>73</v>
      </c>
    </row>
    <row r="14649">
      <c r="A14649" t="inlineStr">
        <is>
          <t>27BBBBB14649Z5</t>
        </is>
      </c>
      <c r="B14649" t="inlineStr">
        <is>
          <t>Jul-2017</t>
        </is>
      </c>
      <c r="C14649" s="2" t="n">
        <v>44332</v>
      </c>
      <c r="D14649" t="inlineStr">
        <is>
          <t>NON-NIL</t>
        </is>
      </c>
      <c r="E14649" t="n">
        <v>2019</v>
      </c>
    </row>
    <row r="14650">
      <c r="A14650" t="inlineStr">
        <is>
          <t>27BBBBB14650Z5</t>
        </is>
      </c>
      <c r="B14650" t="inlineStr">
        <is>
          <t>Aug-2018</t>
        </is>
      </c>
      <c r="C14650" s="2" t="n">
        <v>44455</v>
      </c>
      <c r="D14650" t="inlineStr">
        <is>
          <t>NON-NIL</t>
        </is>
      </c>
      <c r="E14650" t="n">
        <v>2519</v>
      </c>
    </row>
    <row r="14651">
      <c r="A14651" t="inlineStr">
        <is>
          <t>27BBBBB14651Z5</t>
        </is>
      </c>
      <c r="B14651" t="inlineStr">
        <is>
          <t>May-2020</t>
        </is>
      </c>
      <c r="C14651" s="2" t="n">
        <v>44353</v>
      </c>
      <c r="D14651" t="inlineStr">
        <is>
          <t>NON-NIL</t>
        </is>
      </c>
      <c r="E14651" t="n">
        <v>2466</v>
      </c>
    </row>
    <row r="14652">
      <c r="A14652" t="inlineStr">
        <is>
          <t>27BBBBB14652Z5</t>
        </is>
      </c>
      <c r="B14652" t="inlineStr">
        <is>
          <t>Dec-2022</t>
        </is>
      </c>
      <c r="C14652" s="2" t="n">
        <v>44107</v>
      </c>
      <c r="D14652" t="inlineStr">
        <is>
          <t>NON-NIL</t>
        </is>
      </c>
      <c r="E14652" t="n">
        <v>2062</v>
      </c>
    </row>
    <row r="14653">
      <c r="A14653" t="inlineStr">
        <is>
          <t>27BBBBB14653Z5</t>
        </is>
      </c>
      <c r="B14653" t="inlineStr">
        <is>
          <t>Jul-2017</t>
        </is>
      </c>
      <c r="C14653" s="2" t="n">
        <v>44029</v>
      </c>
      <c r="D14653" t="inlineStr">
        <is>
          <t>NON-NIL</t>
        </is>
      </c>
      <c r="E14653" t="n">
        <v>939</v>
      </c>
    </row>
    <row r="14654">
      <c r="A14654" t="inlineStr">
        <is>
          <t>27BBBBB14654Z5</t>
        </is>
      </c>
      <c r="B14654" t="inlineStr">
        <is>
          <t>Aug-2017</t>
        </is>
      </c>
      <c r="C14654" s="2" t="n">
        <v>44390</v>
      </c>
      <c r="D14654" t="inlineStr">
        <is>
          <t>NIL</t>
        </is>
      </c>
      <c r="E14654" t="n">
        <v>2348</v>
      </c>
    </row>
    <row r="14655">
      <c r="A14655" t="inlineStr">
        <is>
          <t>27BBBBB14655Z5</t>
        </is>
      </c>
      <c r="B14655" t="inlineStr">
        <is>
          <t>May-2020</t>
        </is>
      </c>
      <c r="C14655" s="2" t="n">
        <v>44499</v>
      </c>
      <c r="D14655" t="inlineStr">
        <is>
          <t>NIL</t>
        </is>
      </c>
      <c r="E14655" t="n">
        <v>882</v>
      </c>
    </row>
    <row r="14656">
      <c r="A14656" t="inlineStr">
        <is>
          <t>27BBBBB14656Z5</t>
        </is>
      </c>
      <c r="B14656" t="inlineStr">
        <is>
          <t>Dec-2024</t>
        </is>
      </c>
      <c r="C14656" s="2" t="n">
        <v>44365</v>
      </c>
      <c r="D14656" t="inlineStr">
        <is>
          <t>NON-NIL</t>
        </is>
      </c>
      <c r="E14656" t="n">
        <v>775</v>
      </c>
    </row>
    <row r="14657">
      <c r="A14657" t="inlineStr">
        <is>
          <t>27BBBBB14657Z5</t>
        </is>
      </c>
      <c r="B14657" t="inlineStr">
        <is>
          <t>Dec-2022</t>
        </is>
      </c>
      <c r="C14657" s="2" t="n">
        <v>43939</v>
      </c>
      <c r="D14657" t="inlineStr">
        <is>
          <t>NON-NIL</t>
        </is>
      </c>
      <c r="E14657" t="n">
        <v>1374</v>
      </c>
    </row>
    <row r="14658">
      <c r="A14658" t="inlineStr">
        <is>
          <t>27BBBBB14658Z5</t>
        </is>
      </c>
      <c r="B14658" t="inlineStr">
        <is>
          <t>Mar-2018</t>
        </is>
      </c>
      <c r="C14658" s="2" t="n">
        <v>44212</v>
      </c>
      <c r="D14658" t="inlineStr">
        <is>
          <t>NON-NIL</t>
        </is>
      </c>
      <c r="E14658" t="n">
        <v>349</v>
      </c>
    </row>
    <row r="14659">
      <c r="A14659" t="inlineStr">
        <is>
          <t>27BBBBB14659Z5</t>
        </is>
      </c>
      <c r="B14659" t="inlineStr">
        <is>
          <t>Jun-2018</t>
        </is>
      </c>
      <c r="C14659" s="2" t="n">
        <v>43286</v>
      </c>
      <c r="D14659" t="inlineStr">
        <is>
          <t>NIL</t>
        </is>
      </c>
      <c r="E14659" t="n">
        <v>2899</v>
      </c>
    </row>
    <row r="14660">
      <c r="A14660" t="inlineStr">
        <is>
          <t>27BBBBB14660Z5</t>
        </is>
      </c>
      <c r="B14660" t="inlineStr">
        <is>
          <t>Jun-2018</t>
        </is>
      </c>
      <c r="C14660" s="2" t="n">
        <v>43682</v>
      </c>
      <c r="D14660" t="inlineStr">
        <is>
          <t>NON-NIL</t>
        </is>
      </c>
      <c r="E14660" t="n">
        <v>418</v>
      </c>
    </row>
    <row r="14661">
      <c r="A14661" t="inlineStr">
        <is>
          <t>27BBBBB14661Z5</t>
        </is>
      </c>
      <c r="B14661" t="inlineStr">
        <is>
          <t>Dec-2024</t>
        </is>
      </c>
      <c r="C14661" s="2" t="n">
        <v>45071</v>
      </c>
      <c r="D14661" t="inlineStr">
        <is>
          <t>NON-NIL</t>
        </is>
      </c>
      <c r="E14661" t="n">
        <v>1288</v>
      </c>
    </row>
    <row r="14662">
      <c r="A14662" t="inlineStr">
        <is>
          <t>27BBBBB14662Z5</t>
        </is>
      </c>
      <c r="B14662" t="inlineStr">
        <is>
          <t>Oct-2018</t>
        </is>
      </c>
      <c r="C14662" s="2" t="n">
        <v>43927</v>
      </c>
      <c r="D14662" t="inlineStr">
        <is>
          <t>NON-NIL</t>
        </is>
      </c>
      <c r="E14662" t="n">
        <v>333</v>
      </c>
    </row>
    <row r="14663">
      <c r="A14663" t="inlineStr">
        <is>
          <t>27BBBBB14663Z5</t>
        </is>
      </c>
      <c r="B14663" t="inlineStr">
        <is>
          <t>Aug-2018</t>
        </is>
      </c>
      <c r="C14663" s="2" t="n">
        <v>43463</v>
      </c>
      <c r="D14663" t="inlineStr">
        <is>
          <t>NIL</t>
        </is>
      </c>
      <c r="E14663" t="n">
        <v>1126</v>
      </c>
    </row>
    <row r="14664">
      <c r="A14664" t="inlineStr">
        <is>
          <t>27BBBBB14664Z5</t>
        </is>
      </c>
      <c r="B14664" t="inlineStr">
        <is>
          <t>Dec-2017</t>
        </is>
      </c>
      <c r="C14664" s="2" t="n">
        <v>44489</v>
      </c>
      <c r="D14664" t="inlineStr">
        <is>
          <t>NIL</t>
        </is>
      </c>
      <c r="E14664" t="n">
        <v>43</v>
      </c>
    </row>
    <row r="14665">
      <c r="A14665" t="inlineStr">
        <is>
          <t>27BBBBB14665Z5</t>
        </is>
      </c>
      <c r="B14665" t="inlineStr">
        <is>
          <t>Jul-2017</t>
        </is>
      </c>
      <c r="C14665" s="2" t="n">
        <v>44200</v>
      </c>
      <c r="D14665" t="inlineStr">
        <is>
          <t>NIL</t>
        </is>
      </c>
      <c r="E14665" t="n">
        <v>1753</v>
      </c>
    </row>
    <row r="14666">
      <c r="A14666" t="inlineStr">
        <is>
          <t>27BBBBB14666Z5</t>
        </is>
      </c>
      <c r="B14666" t="inlineStr">
        <is>
          <t>Dec-2024</t>
        </is>
      </c>
      <c r="C14666" s="2" t="n">
        <v>43979</v>
      </c>
      <c r="D14666" t="inlineStr">
        <is>
          <t>NIL</t>
        </is>
      </c>
      <c r="E14666" t="n">
        <v>2849</v>
      </c>
    </row>
    <row r="14667">
      <c r="A14667" t="inlineStr">
        <is>
          <t>27BBBBB14667Z5</t>
        </is>
      </c>
      <c r="B14667" t="inlineStr">
        <is>
          <t>Dec-2018</t>
        </is>
      </c>
      <c r="C14667" s="2" t="n">
        <v>43269</v>
      </c>
      <c r="D14667" t="inlineStr">
        <is>
          <t>NIL</t>
        </is>
      </c>
      <c r="E14667" t="n">
        <v>1510</v>
      </c>
    </row>
    <row r="14668">
      <c r="A14668" t="inlineStr">
        <is>
          <t>27BBBBB14668Z5</t>
        </is>
      </c>
      <c r="B14668" t="inlineStr">
        <is>
          <t>Nov-2018</t>
        </is>
      </c>
      <c r="C14668" s="2" t="n">
        <v>43788</v>
      </c>
      <c r="D14668" t="inlineStr">
        <is>
          <t>NIL</t>
        </is>
      </c>
      <c r="E14668" t="n">
        <v>1620</v>
      </c>
    </row>
    <row r="14669">
      <c r="A14669" t="inlineStr">
        <is>
          <t>27BBBBB14669Z5</t>
        </is>
      </c>
      <c r="B14669" t="inlineStr">
        <is>
          <t>Feb-2018</t>
        </is>
      </c>
      <c r="C14669" s="2" t="n">
        <v>44418</v>
      </c>
      <c r="D14669" t="inlineStr">
        <is>
          <t>NON-NIL</t>
        </is>
      </c>
      <c r="E14669" t="n">
        <v>2263</v>
      </c>
    </row>
    <row r="14670">
      <c r="A14670" t="inlineStr">
        <is>
          <t>27BBBBB14670Z5</t>
        </is>
      </c>
      <c r="B14670" t="inlineStr">
        <is>
          <t>Mar-2020</t>
        </is>
      </c>
      <c r="C14670" s="2" t="n">
        <v>44248</v>
      </c>
      <c r="D14670" t="inlineStr">
        <is>
          <t>NIL</t>
        </is>
      </c>
      <c r="E14670" t="n">
        <v>2636</v>
      </c>
    </row>
    <row r="14671">
      <c r="A14671" t="inlineStr">
        <is>
          <t>27BBBBB14671Z5</t>
        </is>
      </c>
      <c r="B14671" t="inlineStr">
        <is>
          <t>Mar-2018</t>
        </is>
      </c>
      <c r="C14671" s="2" t="n">
        <v>44361</v>
      </c>
      <c r="D14671" t="inlineStr">
        <is>
          <t>NIL</t>
        </is>
      </c>
      <c r="E14671" t="n">
        <v>1237</v>
      </c>
    </row>
    <row r="14672">
      <c r="A14672" t="inlineStr">
        <is>
          <t>27BBBBB14672Z5</t>
        </is>
      </c>
      <c r="B14672" t="inlineStr">
        <is>
          <t>Mar-2018</t>
        </is>
      </c>
      <c r="C14672" s="2" t="n">
        <v>44077</v>
      </c>
      <c r="D14672" t="inlineStr">
        <is>
          <t>NON-NIL</t>
        </is>
      </c>
      <c r="E14672" t="n">
        <v>745</v>
      </c>
    </row>
    <row r="14673">
      <c r="A14673" t="inlineStr">
        <is>
          <t>27BBBBB14673Z5</t>
        </is>
      </c>
      <c r="B14673" t="inlineStr">
        <is>
          <t>Aug-2018</t>
        </is>
      </c>
      <c r="C14673" s="2" t="n">
        <v>43692</v>
      </c>
      <c r="D14673" t="inlineStr">
        <is>
          <t>NON-NIL</t>
        </is>
      </c>
      <c r="E14673" t="n">
        <v>1132</v>
      </c>
    </row>
    <row r="14674">
      <c r="A14674" t="inlineStr">
        <is>
          <t>27BBBBB14674Z5</t>
        </is>
      </c>
      <c r="B14674" t="inlineStr">
        <is>
          <t>Jun-2018</t>
        </is>
      </c>
      <c r="C14674" s="2" t="n">
        <v>43874</v>
      </c>
      <c r="D14674" t="inlineStr">
        <is>
          <t>NIL</t>
        </is>
      </c>
      <c r="E14674" t="n">
        <v>2709</v>
      </c>
    </row>
    <row r="14675">
      <c r="A14675" t="inlineStr">
        <is>
          <t>27BBBBB14675Z5</t>
        </is>
      </c>
      <c r="B14675" t="inlineStr">
        <is>
          <t>Dec-2024</t>
        </is>
      </c>
      <c r="C14675" s="2" t="n">
        <v>44086</v>
      </c>
      <c r="D14675" t="inlineStr">
        <is>
          <t>NON-NIL</t>
        </is>
      </c>
      <c r="E14675" t="n">
        <v>2697</v>
      </c>
    </row>
    <row r="14676">
      <c r="A14676" t="inlineStr">
        <is>
          <t>27BBBBB14676Z5</t>
        </is>
      </c>
      <c r="B14676" t="inlineStr">
        <is>
          <t>Dec-2024</t>
        </is>
      </c>
      <c r="C14676" s="2" t="n">
        <v>43954</v>
      </c>
      <c r="D14676" t="inlineStr">
        <is>
          <t>NON-NIL</t>
        </is>
      </c>
      <c r="E14676" t="n">
        <v>2087</v>
      </c>
    </row>
    <row r="14677">
      <c r="A14677" t="inlineStr">
        <is>
          <t>27BBBBB14677Z5</t>
        </is>
      </c>
      <c r="B14677" t="inlineStr">
        <is>
          <t>Jun-2020</t>
        </is>
      </c>
      <c r="C14677" s="2" t="n">
        <v>43852</v>
      </c>
      <c r="D14677" t="inlineStr">
        <is>
          <t>NON-NIL</t>
        </is>
      </c>
      <c r="E14677" t="n">
        <v>178</v>
      </c>
    </row>
    <row r="14678">
      <c r="A14678" t="inlineStr">
        <is>
          <t>27BBBBB14678Z5</t>
        </is>
      </c>
      <c r="B14678" t="inlineStr">
        <is>
          <t>Jun-2018</t>
        </is>
      </c>
      <c r="C14678" s="2" t="n">
        <v>43455</v>
      </c>
      <c r="D14678" t="inlineStr">
        <is>
          <t>NIL</t>
        </is>
      </c>
      <c r="E14678" t="n">
        <v>622</v>
      </c>
    </row>
    <row r="14679">
      <c r="A14679" t="inlineStr">
        <is>
          <t>27BBBBB14679Z5</t>
        </is>
      </c>
      <c r="B14679" t="inlineStr">
        <is>
          <t>Oct-2018</t>
        </is>
      </c>
      <c r="C14679" s="2" t="n">
        <v>43372</v>
      </c>
      <c r="D14679" t="inlineStr">
        <is>
          <t>NIL</t>
        </is>
      </c>
      <c r="E14679" t="n">
        <v>1175</v>
      </c>
    </row>
    <row r="14680">
      <c r="A14680" t="inlineStr">
        <is>
          <t>27BBBBB14680Z5</t>
        </is>
      </c>
      <c r="B14680" t="inlineStr">
        <is>
          <t>Jun-2018</t>
        </is>
      </c>
      <c r="C14680" s="2" t="n">
        <v>43013</v>
      </c>
      <c r="D14680" t="inlineStr">
        <is>
          <t>NON-NIL</t>
        </is>
      </c>
      <c r="E14680" t="n">
        <v>1567</v>
      </c>
    </row>
    <row r="14681">
      <c r="A14681" t="inlineStr">
        <is>
          <t>27BBBBB14681Z5</t>
        </is>
      </c>
      <c r="B14681" t="inlineStr">
        <is>
          <t>Jul-2020</t>
        </is>
      </c>
      <c r="C14681" s="2" t="n">
        <v>44216</v>
      </c>
      <c r="D14681" t="inlineStr">
        <is>
          <t>NON-NIL</t>
        </is>
      </c>
      <c r="E14681" t="n">
        <v>889</v>
      </c>
    </row>
    <row r="14682">
      <c r="A14682" t="inlineStr">
        <is>
          <t>27BBBBB14682Z5</t>
        </is>
      </c>
      <c r="B14682" t="inlineStr">
        <is>
          <t>Mar-2021</t>
        </is>
      </c>
      <c r="C14682" s="2" t="n">
        <v>45637</v>
      </c>
      <c r="D14682" t="inlineStr">
        <is>
          <t>NON-NIL</t>
        </is>
      </c>
      <c r="E14682" t="n">
        <v>1953</v>
      </c>
    </row>
    <row r="14683">
      <c r="A14683" t="inlineStr">
        <is>
          <t>27BBBBB14683Z5</t>
        </is>
      </c>
      <c r="B14683" t="inlineStr">
        <is>
          <t>Mar-2023</t>
        </is>
      </c>
      <c r="C14683" s="2" t="n">
        <v>45167</v>
      </c>
      <c r="D14683" t="inlineStr">
        <is>
          <t>NIL</t>
        </is>
      </c>
      <c r="E14683" t="n">
        <v>872</v>
      </c>
    </row>
    <row r="14684">
      <c r="A14684" t="inlineStr">
        <is>
          <t>27BBBBB14684Z5</t>
        </is>
      </c>
      <c r="B14684" t="inlineStr">
        <is>
          <t>Jul-2018</t>
        </is>
      </c>
      <c r="C14684" s="2" t="n">
        <v>43206</v>
      </c>
      <c r="D14684" t="inlineStr">
        <is>
          <t>NIL</t>
        </is>
      </c>
      <c r="E14684" t="n">
        <v>2134</v>
      </c>
    </row>
    <row r="14685">
      <c r="A14685" t="inlineStr">
        <is>
          <t>27BBBBB14685Z5</t>
        </is>
      </c>
      <c r="B14685" t="inlineStr">
        <is>
          <t>Nov-2018</t>
        </is>
      </c>
      <c r="C14685" s="2" t="n">
        <v>43227</v>
      </c>
      <c r="D14685" t="inlineStr">
        <is>
          <t>NON-NIL</t>
        </is>
      </c>
      <c r="E14685" t="n">
        <v>2675</v>
      </c>
    </row>
    <row r="14686">
      <c r="A14686" t="inlineStr">
        <is>
          <t>27BBBBB14686Z5</t>
        </is>
      </c>
      <c r="B14686" t="inlineStr">
        <is>
          <t>Aug-2017</t>
        </is>
      </c>
      <c r="C14686" s="2" t="n">
        <v>43867</v>
      </c>
      <c r="D14686" t="inlineStr">
        <is>
          <t>NIL</t>
        </is>
      </c>
      <c r="E14686" t="n">
        <v>944</v>
      </c>
    </row>
    <row r="14687">
      <c r="A14687" t="inlineStr">
        <is>
          <t>27BBBBB14687Z5</t>
        </is>
      </c>
      <c r="B14687" t="inlineStr">
        <is>
          <t>May-2018</t>
        </is>
      </c>
      <c r="C14687" s="2" t="n">
        <v>43883</v>
      </c>
      <c r="D14687" t="inlineStr">
        <is>
          <t>NON-NIL</t>
        </is>
      </c>
      <c r="E14687" t="n">
        <v>1674</v>
      </c>
    </row>
    <row r="14688">
      <c r="A14688" t="inlineStr">
        <is>
          <t>27BBBBB14688Z5</t>
        </is>
      </c>
      <c r="B14688" t="inlineStr">
        <is>
          <t>Apr-2020</t>
        </is>
      </c>
      <c r="C14688" s="2" t="n">
        <v>44438</v>
      </c>
      <c r="D14688" t="inlineStr">
        <is>
          <t>NIL</t>
        </is>
      </c>
      <c r="E14688" t="n">
        <v>1331</v>
      </c>
    </row>
    <row r="14689">
      <c r="A14689" t="inlineStr">
        <is>
          <t>27BBBBB14689Z5</t>
        </is>
      </c>
      <c r="B14689" t="inlineStr">
        <is>
          <t>Jul-2018</t>
        </is>
      </c>
      <c r="C14689" s="2" t="n">
        <v>44155</v>
      </c>
      <c r="D14689" t="inlineStr">
        <is>
          <t>NON-NIL</t>
        </is>
      </c>
      <c r="E14689" t="n">
        <v>2825</v>
      </c>
    </row>
    <row r="14690">
      <c r="A14690" t="inlineStr">
        <is>
          <t>27BBBBB14690Z5</t>
        </is>
      </c>
      <c r="B14690" t="inlineStr">
        <is>
          <t>Jun-2020</t>
        </is>
      </c>
      <c r="C14690" s="2" t="n">
        <v>44038</v>
      </c>
      <c r="D14690" t="inlineStr">
        <is>
          <t>NIL</t>
        </is>
      </c>
      <c r="E14690" t="n">
        <v>2396</v>
      </c>
    </row>
    <row r="14691">
      <c r="A14691" t="inlineStr">
        <is>
          <t>27BBBBB14691Z5</t>
        </is>
      </c>
      <c r="B14691" t="inlineStr">
        <is>
          <t>Apr-2018</t>
        </is>
      </c>
      <c r="C14691" s="2" t="n">
        <v>43870</v>
      </c>
      <c r="D14691" t="inlineStr">
        <is>
          <t>NON-NIL</t>
        </is>
      </c>
      <c r="E14691" t="n">
        <v>2434</v>
      </c>
    </row>
    <row r="14692">
      <c r="A14692" t="inlineStr">
        <is>
          <t>27BBBBB14692Z5</t>
        </is>
      </c>
      <c r="B14692" t="inlineStr">
        <is>
          <t>Apr-2018</t>
        </is>
      </c>
      <c r="C14692" s="2" t="n">
        <v>43388</v>
      </c>
      <c r="D14692" t="inlineStr">
        <is>
          <t>NON-NIL</t>
        </is>
      </c>
      <c r="E14692" t="n">
        <v>2505</v>
      </c>
    </row>
    <row r="14693">
      <c r="A14693" t="inlineStr">
        <is>
          <t>27BBBBB14693Z5</t>
        </is>
      </c>
      <c r="B14693" t="inlineStr">
        <is>
          <t>Jul-2018</t>
        </is>
      </c>
      <c r="C14693" s="2" t="n">
        <v>43841</v>
      </c>
      <c r="D14693" t="inlineStr">
        <is>
          <t>NON-NIL</t>
        </is>
      </c>
      <c r="E14693" t="n">
        <v>2300</v>
      </c>
    </row>
    <row r="14694">
      <c r="A14694" t="inlineStr">
        <is>
          <t>27BBBBB14694Z5</t>
        </is>
      </c>
      <c r="B14694" t="inlineStr">
        <is>
          <t>Oct-2018</t>
        </is>
      </c>
      <c r="C14694" s="2" t="n">
        <v>44233</v>
      </c>
      <c r="D14694" t="inlineStr">
        <is>
          <t>NIL</t>
        </is>
      </c>
      <c r="E14694" t="n">
        <v>1869</v>
      </c>
    </row>
    <row r="14695">
      <c r="A14695" t="inlineStr">
        <is>
          <t>27BBBBB14695Z5</t>
        </is>
      </c>
      <c r="B14695" t="inlineStr">
        <is>
          <t>Sep-2017</t>
        </is>
      </c>
      <c r="C14695" s="2" t="n">
        <v>44280</v>
      </c>
      <c r="D14695" t="inlineStr">
        <is>
          <t>NON-NIL</t>
        </is>
      </c>
      <c r="E14695" t="n">
        <v>751</v>
      </c>
    </row>
    <row r="14696">
      <c r="A14696" t="inlineStr">
        <is>
          <t>27BBBBB14696Z5</t>
        </is>
      </c>
      <c r="B14696" t="inlineStr">
        <is>
          <t>Jul-2020</t>
        </is>
      </c>
      <c r="C14696" s="2" t="n">
        <v>44854</v>
      </c>
      <c r="D14696" t="inlineStr">
        <is>
          <t>NIL</t>
        </is>
      </c>
      <c r="E14696" t="n">
        <v>911</v>
      </c>
    </row>
    <row r="14697">
      <c r="A14697" t="inlineStr">
        <is>
          <t>27BBBBB14697Z5</t>
        </is>
      </c>
      <c r="B14697" t="inlineStr">
        <is>
          <t>Aug-2017</t>
        </is>
      </c>
      <c r="C14697" s="2" t="n">
        <v>44251</v>
      </c>
      <c r="D14697" t="inlineStr">
        <is>
          <t>NIL</t>
        </is>
      </c>
      <c r="E14697" t="n">
        <v>1753</v>
      </c>
    </row>
    <row r="14698">
      <c r="A14698" t="inlineStr">
        <is>
          <t>27BBBBB14698Z5</t>
        </is>
      </c>
      <c r="B14698" t="inlineStr">
        <is>
          <t>Nov-2017</t>
        </is>
      </c>
      <c r="C14698" s="2" t="n">
        <v>43895</v>
      </c>
      <c r="D14698" t="inlineStr">
        <is>
          <t>NON-NIL</t>
        </is>
      </c>
      <c r="E14698" t="n">
        <v>583</v>
      </c>
    </row>
    <row r="14699">
      <c r="A14699" t="inlineStr">
        <is>
          <t>27BBBBB14699Z5</t>
        </is>
      </c>
      <c r="B14699" t="inlineStr">
        <is>
          <t>May-2020</t>
        </is>
      </c>
      <c r="C14699" s="2" t="n">
        <v>44774</v>
      </c>
      <c r="D14699" t="inlineStr">
        <is>
          <t>NIL</t>
        </is>
      </c>
      <c r="E14699" t="n">
        <v>260</v>
      </c>
    </row>
    <row r="14700">
      <c r="A14700" t="inlineStr">
        <is>
          <t>27BBBBB14700Z5</t>
        </is>
      </c>
      <c r="B14700" t="inlineStr">
        <is>
          <t>May-2020</t>
        </is>
      </c>
      <c r="C14700" s="2" t="n">
        <v>44334</v>
      </c>
      <c r="D14700" t="inlineStr">
        <is>
          <t>NON-NIL</t>
        </is>
      </c>
      <c r="E14700" t="n">
        <v>2607</v>
      </c>
    </row>
    <row r="14701">
      <c r="A14701" t="inlineStr">
        <is>
          <t>27BBBBB14701Z5</t>
        </is>
      </c>
      <c r="B14701" t="inlineStr">
        <is>
          <t>Jul-2018</t>
        </is>
      </c>
      <c r="C14701" s="2" t="n">
        <v>44131</v>
      </c>
      <c r="D14701" t="inlineStr">
        <is>
          <t>NON-NIL</t>
        </is>
      </c>
      <c r="E14701" t="n">
        <v>1990</v>
      </c>
    </row>
    <row r="14702">
      <c r="A14702" t="inlineStr">
        <is>
          <t>27BBBBB14702Z5</t>
        </is>
      </c>
      <c r="B14702" t="inlineStr">
        <is>
          <t>Jul-2020</t>
        </is>
      </c>
      <c r="C14702" s="2" t="n">
        <v>43968</v>
      </c>
      <c r="D14702" t="inlineStr">
        <is>
          <t>NIL</t>
        </is>
      </c>
      <c r="E14702" t="n">
        <v>1774</v>
      </c>
    </row>
    <row r="14703">
      <c r="A14703" t="inlineStr">
        <is>
          <t>27BBBBB14703Z5</t>
        </is>
      </c>
      <c r="B14703" t="inlineStr">
        <is>
          <t>Oct-2018</t>
        </is>
      </c>
      <c r="C14703" s="2" t="n">
        <v>43375</v>
      </c>
      <c r="D14703" t="inlineStr">
        <is>
          <t>NON-NIL</t>
        </is>
      </c>
      <c r="E14703" t="n">
        <v>1368</v>
      </c>
    </row>
    <row r="14704">
      <c r="A14704" t="inlineStr">
        <is>
          <t>27BBBBB14704Z5</t>
        </is>
      </c>
      <c r="B14704" t="inlineStr">
        <is>
          <t>Aug-2017</t>
        </is>
      </c>
      <c r="C14704" s="2" t="n">
        <v>43880</v>
      </c>
      <c r="D14704" t="inlineStr">
        <is>
          <t>NIL</t>
        </is>
      </c>
      <c r="E14704" t="n">
        <v>993</v>
      </c>
    </row>
    <row r="14705">
      <c r="A14705" t="inlineStr">
        <is>
          <t>27BBBBB14705Z5</t>
        </is>
      </c>
      <c r="B14705" t="inlineStr">
        <is>
          <t>Oct-2017</t>
        </is>
      </c>
      <c r="C14705" s="2" t="n">
        <v>44303</v>
      </c>
      <c r="D14705" t="inlineStr">
        <is>
          <t>NON-NIL</t>
        </is>
      </c>
      <c r="E14705" t="n">
        <v>113</v>
      </c>
    </row>
    <row r="14706">
      <c r="A14706" t="inlineStr">
        <is>
          <t>27BBBBB14706Z5</t>
        </is>
      </c>
      <c r="B14706" t="inlineStr">
        <is>
          <t>Oct-2018</t>
        </is>
      </c>
      <c r="C14706" s="2" t="n">
        <v>43443</v>
      </c>
      <c r="D14706" t="inlineStr">
        <is>
          <t>NIL</t>
        </is>
      </c>
      <c r="E14706" t="n">
        <v>26</v>
      </c>
    </row>
    <row r="14707">
      <c r="A14707" t="inlineStr">
        <is>
          <t>27BBBBB14707Z5</t>
        </is>
      </c>
      <c r="B14707" t="inlineStr">
        <is>
          <t>Aug-2018</t>
        </is>
      </c>
      <c r="C14707" s="2" t="n">
        <v>43951</v>
      </c>
      <c r="D14707" t="inlineStr">
        <is>
          <t>NIL</t>
        </is>
      </c>
      <c r="E14707" t="n">
        <v>2747</v>
      </c>
    </row>
    <row r="14708">
      <c r="A14708" t="inlineStr">
        <is>
          <t>27BBBBB14708Z5</t>
        </is>
      </c>
      <c r="B14708" t="inlineStr">
        <is>
          <t>Dec-2017</t>
        </is>
      </c>
      <c r="C14708" s="2" t="n">
        <v>43810</v>
      </c>
      <c r="D14708" t="inlineStr">
        <is>
          <t>NIL</t>
        </is>
      </c>
      <c r="E14708" t="n">
        <v>178</v>
      </c>
    </row>
    <row r="14709">
      <c r="A14709" t="inlineStr">
        <is>
          <t>27BBBBB14709Z5</t>
        </is>
      </c>
      <c r="B14709" t="inlineStr">
        <is>
          <t>Dec-2017</t>
        </is>
      </c>
      <c r="C14709" s="2" t="n">
        <v>44274</v>
      </c>
      <c r="D14709" t="inlineStr">
        <is>
          <t>NIL</t>
        </is>
      </c>
      <c r="E14709" t="n">
        <v>2961</v>
      </c>
    </row>
    <row r="14710">
      <c r="A14710" t="inlineStr">
        <is>
          <t>27BBBBB14710Z5</t>
        </is>
      </c>
      <c r="B14710" t="inlineStr">
        <is>
          <t>Dec-2017</t>
        </is>
      </c>
      <c r="C14710" s="2" t="n">
        <v>43369</v>
      </c>
      <c r="D14710" t="inlineStr">
        <is>
          <t>NIL</t>
        </is>
      </c>
      <c r="E14710" t="n">
        <v>2385</v>
      </c>
    </row>
    <row r="14711">
      <c r="A14711" t="inlineStr">
        <is>
          <t>27BBBBB14711Z5</t>
        </is>
      </c>
      <c r="B14711" t="inlineStr">
        <is>
          <t>Jul-2017</t>
        </is>
      </c>
      <c r="C14711" s="2" t="n">
        <v>44000</v>
      </c>
      <c r="D14711" t="inlineStr">
        <is>
          <t>NON-NIL</t>
        </is>
      </c>
      <c r="E14711" t="n">
        <v>453</v>
      </c>
    </row>
    <row r="14712">
      <c r="A14712" t="inlineStr">
        <is>
          <t>27BBBBB14712Z5</t>
        </is>
      </c>
      <c r="B14712" t="inlineStr">
        <is>
          <t>Dec-2017</t>
        </is>
      </c>
      <c r="C14712" s="2" t="n">
        <v>42950</v>
      </c>
      <c r="D14712" t="inlineStr">
        <is>
          <t>NON-NIL</t>
        </is>
      </c>
      <c r="E14712" t="n">
        <v>2298</v>
      </c>
    </row>
    <row r="14713">
      <c r="A14713" t="inlineStr">
        <is>
          <t>27BBBBB14713Z5</t>
        </is>
      </c>
      <c r="B14713" t="inlineStr">
        <is>
          <t>Jan-2018</t>
        </is>
      </c>
      <c r="C14713" s="2" t="n">
        <v>43043</v>
      </c>
      <c r="D14713" t="inlineStr">
        <is>
          <t>NON-NIL</t>
        </is>
      </c>
      <c r="E14713" t="n">
        <v>1348</v>
      </c>
    </row>
    <row r="14714">
      <c r="A14714" t="inlineStr">
        <is>
          <t>27BBBBB14714Z5</t>
        </is>
      </c>
      <c r="B14714" t="inlineStr">
        <is>
          <t>Jul-2018</t>
        </is>
      </c>
      <c r="C14714" s="2" t="n">
        <v>44290</v>
      </c>
      <c r="D14714" t="inlineStr">
        <is>
          <t>NIL</t>
        </is>
      </c>
      <c r="E14714" t="n">
        <v>943</v>
      </c>
    </row>
    <row r="14715">
      <c r="A14715" t="inlineStr">
        <is>
          <t>27BBBBB14715Z5</t>
        </is>
      </c>
      <c r="B14715" t="inlineStr">
        <is>
          <t>Jul-2020</t>
        </is>
      </c>
      <c r="C14715" s="2" t="n">
        <v>44580</v>
      </c>
      <c r="D14715" t="inlineStr">
        <is>
          <t>NIL</t>
        </is>
      </c>
      <c r="E14715" t="n">
        <v>1561</v>
      </c>
    </row>
    <row r="14716">
      <c r="A14716" t="inlineStr">
        <is>
          <t>27BBBBB14716Z5</t>
        </is>
      </c>
      <c r="B14716" t="inlineStr">
        <is>
          <t>Nov-2018</t>
        </is>
      </c>
      <c r="C14716" s="2" t="n">
        <v>43665</v>
      </c>
      <c r="D14716" t="inlineStr">
        <is>
          <t>NIL</t>
        </is>
      </c>
      <c r="E14716" t="n">
        <v>172</v>
      </c>
    </row>
    <row r="14717">
      <c r="A14717" t="inlineStr">
        <is>
          <t>27BBBBB14717Z5</t>
        </is>
      </c>
      <c r="B14717" t="inlineStr">
        <is>
          <t>May-2020</t>
        </is>
      </c>
      <c r="C14717" s="2" t="n">
        <v>44109</v>
      </c>
      <c r="D14717" t="inlineStr">
        <is>
          <t>NON-NIL</t>
        </is>
      </c>
      <c r="E14717" t="n">
        <v>314</v>
      </c>
    </row>
    <row r="14718">
      <c r="A14718" t="inlineStr">
        <is>
          <t>27BBBBB14718Z5</t>
        </is>
      </c>
      <c r="B14718" t="inlineStr">
        <is>
          <t>Jul-2020</t>
        </is>
      </c>
      <c r="C14718" s="2" t="n">
        <v>44715</v>
      </c>
      <c r="D14718" t="inlineStr">
        <is>
          <t>NON-NIL</t>
        </is>
      </c>
      <c r="E14718" t="n">
        <v>2014</v>
      </c>
    </row>
    <row r="14719">
      <c r="A14719" t="inlineStr">
        <is>
          <t>27BBBBB14719Z5</t>
        </is>
      </c>
      <c r="B14719" t="inlineStr">
        <is>
          <t>Nov-2017</t>
        </is>
      </c>
      <c r="C14719" s="2" t="n">
        <v>43365</v>
      </c>
      <c r="D14719" t="inlineStr">
        <is>
          <t>NON-NIL</t>
        </is>
      </c>
      <c r="E14719" t="n">
        <v>1200</v>
      </c>
    </row>
    <row r="14720">
      <c r="A14720" t="inlineStr">
        <is>
          <t>27BBBBB14720Z5</t>
        </is>
      </c>
      <c r="B14720" t="inlineStr">
        <is>
          <t>Mar-2023</t>
        </is>
      </c>
      <c r="C14720" s="2" t="n">
        <v>43479</v>
      </c>
      <c r="D14720" t="inlineStr">
        <is>
          <t>NIL</t>
        </is>
      </c>
      <c r="E14720" t="n">
        <v>97</v>
      </c>
    </row>
    <row r="14721">
      <c r="A14721" t="inlineStr">
        <is>
          <t>27BBBBB14721Z5</t>
        </is>
      </c>
      <c r="B14721" t="inlineStr">
        <is>
          <t>Jan-2021</t>
        </is>
      </c>
      <c r="C14721" s="2" t="n">
        <v>45038</v>
      </c>
      <c r="D14721" t="inlineStr">
        <is>
          <t>NON-NIL</t>
        </is>
      </c>
      <c r="E14721" t="n">
        <v>1315</v>
      </c>
    </row>
    <row r="14722">
      <c r="A14722" t="inlineStr">
        <is>
          <t>27BBBBB14722Z5</t>
        </is>
      </c>
      <c r="B14722" t="inlineStr">
        <is>
          <t>Aug-2017</t>
        </is>
      </c>
      <c r="C14722" s="2" t="n">
        <v>44184</v>
      </c>
      <c r="D14722" t="inlineStr">
        <is>
          <t>NIL</t>
        </is>
      </c>
      <c r="E14722" t="n">
        <v>2307</v>
      </c>
    </row>
    <row r="14723">
      <c r="A14723" t="inlineStr">
        <is>
          <t>27BBBBB14723Z5</t>
        </is>
      </c>
      <c r="B14723" t="inlineStr">
        <is>
          <t>Jul-2020</t>
        </is>
      </c>
      <c r="C14723" s="2" t="n">
        <v>44757</v>
      </c>
      <c r="D14723" t="inlineStr">
        <is>
          <t>NON-NIL</t>
        </is>
      </c>
      <c r="E14723" t="n">
        <v>1304</v>
      </c>
    </row>
    <row r="14724">
      <c r="A14724" t="inlineStr">
        <is>
          <t>27BBBBB14724Z5</t>
        </is>
      </c>
      <c r="B14724" t="inlineStr">
        <is>
          <t>May-2018</t>
        </is>
      </c>
      <c r="C14724" s="2" t="n">
        <v>44255</v>
      </c>
      <c r="D14724" t="inlineStr">
        <is>
          <t>NON-NIL</t>
        </is>
      </c>
      <c r="E14724" t="n">
        <v>2838</v>
      </c>
    </row>
    <row r="14725">
      <c r="A14725" t="inlineStr">
        <is>
          <t>27BBBBB14725Z5</t>
        </is>
      </c>
      <c r="B14725" t="inlineStr">
        <is>
          <t>Jun-2020</t>
        </is>
      </c>
      <c r="C14725" s="2" t="n">
        <v>43861</v>
      </c>
      <c r="D14725" t="inlineStr">
        <is>
          <t>NON-NIL</t>
        </is>
      </c>
      <c r="E14725" t="n">
        <v>2002</v>
      </c>
    </row>
    <row r="14726">
      <c r="A14726" t="inlineStr">
        <is>
          <t>27BBBBB14726Z5</t>
        </is>
      </c>
      <c r="B14726" t="inlineStr">
        <is>
          <t>Jul-2018</t>
        </is>
      </c>
      <c r="C14726" s="2" t="n">
        <v>44499</v>
      </c>
      <c r="D14726" t="inlineStr">
        <is>
          <t>NON-NIL</t>
        </is>
      </c>
      <c r="E14726" t="n">
        <v>896</v>
      </c>
    </row>
    <row r="14727">
      <c r="A14727" t="inlineStr">
        <is>
          <t>27BBBBB14727Z5</t>
        </is>
      </c>
      <c r="B14727" t="inlineStr">
        <is>
          <t>Mar-2020</t>
        </is>
      </c>
      <c r="C14727" s="2" t="n">
        <v>43920</v>
      </c>
      <c r="D14727" t="inlineStr">
        <is>
          <t>NON-NIL</t>
        </is>
      </c>
      <c r="E14727" t="n">
        <v>2825</v>
      </c>
    </row>
    <row r="14728">
      <c r="A14728" t="inlineStr">
        <is>
          <t>27BBBBB14728Z5</t>
        </is>
      </c>
      <c r="B14728" t="inlineStr">
        <is>
          <t>Aug-2018</t>
        </is>
      </c>
      <c r="C14728" s="2" t="n">
        <v>43632</v>
      </c>
      <c r="D14728" t="inlineStr">
        <is>
          <t>NIL</t>
        </is>
      </c>
      <c r="E14728" t="n">
        <v>2377</v>
      </c>
    </row>
    <row r="14729">
      <c r="A14729" t="inlineStr">
        <is>
          <t>27BBBBB14729Z5</t>
        </is>
      </c>
      <c r="B14729" t="inlineStr">
        <is>
          <t>May-2018</t>
        </is>
      </c>
      <c r="C14729" s="2" t="n">
        <v>43281</v>
      </c>
      <c r="D14729" t="inlineStr">
        <is>
          <t>NON-NIL</t>
        </is>
      </c>
      <c r="E14729" t="n">
        <v>799</v>
      </c>
    </row>
    <row r="14730">
      <c r="A14730" t="inlineStr">
        <is>
          <t>27BBBBB14730Z5</t>
        </is>
      </c>
      <c r="B14730" t="inlineStr">
        <is>
          <t>Jun-2018</t>
        </is>
      </c>
      <c r="C14730" s="2" t="n">
        <v>44134</v>
      </c>
      <c r="D14730" t="inlineStr">
        <is>
          <t>NIL</t>
        </is>
      </c>
      <c r="E14730" t="n">
        <v>1138</v>
      </c>
    </row>
    <row r="14731">
      <c r="A14731" t="inlineStr">
        <is>
          <t>27BBBBB14731Z5</t>
        </is>
      </c>
      <c r="B14731" t="inlineStr">
        <is>
          <t>Jan-2018</t>
        </is>
      </c>
      <c r="C14731" s="2" t="n">
        <v>43477</v>
      </c>
      <c r="D14731" t="inlineStr">
        <is>
          <t>NIL</t>
        </is>
      </c>
      <c r="E14731" t="n">
        <v>118</v>
      </c>
    </row>
    <row r="14732">
      <c r="A14732" t="inlineStr">
        <is>
          <t>27BBBBB14732Z5</t>
        </is>
      </c>
      <c r="B14732" t="inlineStr">
        <is>
          <t>Sep-2018</t>
        </is>
      </c>
      <c r="C14732" s="2" t="n">
        <v>43631</v>
      </c>
      <c r="D14732" t="inlineStr">
        <is>
          <t>NON-NIL</t>
        </is>
      </c>
      <c r="E14732" t="n">
        <v>1931</v>
      </c>
    </row>
    <row r="14733">
      <c r="A14733" t="inlineStr">
        <is>
          <t>27BBBBB14733Z5</t>
        </is>
      </c>
      <c r="B14733" t="inlineStr">
        <is>
          <t>Jul-2018</t>
        </is>
      </c>
      <c r="C14733" s="2" t="n">
        <v>43714</v>
      </c>
      <c r="D14733" t="inlineStr">
        <is>
          <t>NIL</t>
        </is>
      </c>
      <c r="E14733" t="n">
        <v>1007</v>
      </c>
    </row>
    <row r="14734">
      <c r="A14734" t="inlineStr">
        <is>
          <t>27BBBBB14734Z5</t>
        </is>
      </c>
      <c r="B14734" t="inlineStr">
        <is>
          <t>Jul-2017</t>
        </is>
      </c>
      <c r="C14734" s="2" t="n">
        <v>43378</v>
      </c>
      <c r="D14734" t="inlineStr">
        <is>
          <t>NIL</t>
        </is>
      </c>
      <c r="E14734" t="n">
        <v>1666</v>
      </c>
    </row>
    <row r="14735">
      <c r="A14735" t="inlineStr">
        <is>
          <t>27BBBBB14735Z5</t>
        </is>
      </c>
      <c r="B14735" t="inlineStr">
        <is>
          <t>May-2020</t>
        </is>
      </c>
      <c r="C14735" s="2" t="n">
        <v>43842</v>
      </c>
      <c r="D14735" t="inlineStr">
        <is>
          <t>NIL</t>
        </is>
      </c>
      <c r="E14735" t="n">
        <v>2424</v>
      </c>
    </row>
    <row r="14736">
      <c r="A14736" t="inlineStr">
        <is>
          <t>27BBBBB14736Z5</t>
        </is>
      </c>
      <c r="B14736" t="inlineStr">
        <is>
          <t>May-2018</t>
        </is>
      </c>
      <c r="C14736" s="2" t="n">
        <v>43705</v>
      </c>
      <c r="D14736" t="inlineStr">
        <is>
          <t>NON-NIL</t>
        </is>
      </c>
      <c r="E14736" t="n">
        <v>2015</v>
      </c>
    </row>
    <row r="14737">
      <c r="A14737" t="inlineStr">
        <is>
          <t>27BBBBB14737Z5</t>
        </is>
      </c>
      <c r="B14737" t="inlineStr">
        <is>
          <t>Jan-2018</t>
        </is>
      </c>
      <c r="C14737" s="2" t="n">
        <v>43105</v>
      </c>
      <c r="D14737" t="inlineStr">
        <is>
          <t>NON-NIL</t>
        </is>
      </c>
      <c r="E14737" t="n">
        <v>588</v>
      </c>
    </row>
    <row r="14738">
      <c r="A14738" t="inlineStr">
        <is>
          <t>27BBBBB14738Z5</t>
        </is>
      </c>
      <c r="B14738" t="inlineStr">
        <is>
          <t>Mar-2021</t>
        </is>
      </c>
      <c r="C14738" s="2" t="n">
        <v>44051</v>
      </c>
      <c r="D14738" t="inlineStr">
        <is>
          <t>NON-NIL</t>
        </is>
      </c>
      <c r="E14738" t="n">
        <v>2022</v>
      </c>
    </row>
    <row r="14739">
      <c r="A14739" t="inlineStr">
        <is>
          <t>27BBBBB14739Z5</t>
        </is>
      </c>
      <c r="B14739" t="inlineStr">
        <is>
          <t>Dec-2018</t>
        </is>
      </c>
      <c r="C14739" s="2" t="n">
        <v>44144</v>
      </c>
      <c r="D14739" t="inlineStr">
        <is>
          <t>NIL</t>
        </is>
      </c>
      <c r="E14739" t="n">
        <v>254</v>
      </c>
    </row>
    <row r="14740">
      <c r="A14740" t="inlineStr">
        <is>
          <t>27BBBBB14740Z5</t>
        </is>
      </c>
      <c r="B14740" t="inlineStr">
        <is>
          <t>Jul-2018</t>
        </is>
      </c>
      <c r="C14740" s="2" t="n">
        <v>44069</v>
      </c>
      <c r="D14740" t="inlineStr">
        <is>
          <t>NIL</t>
        </is>
      </c>
      <c r="E14740" t="n">
        <v>2522</v>
      </c>
    </row>
    <row r="14741">
      <c r="A14741" t="inlineStr">
        <is>
          <t>27BBBBB14741Z5</t>
        </is>
      </c>
      <c r="B14741" t="inlineStr">
        <is>
          <t>Jul-2017</t>
        </is>
      </c>
      <c r="C14741" s="2" t="n">
        <v>44387</v>
      </c>
      <c r="D14741" t="inlineStr">
        <is>
          <t>NON-NIL</t>
        </is>
      </c>
      <c r="E14741" t="n">
        <v>1534</v>
      </c>
    </row>
    <row r="14742">
      <c r="A14742" t="inlineStr">
        <is>
          <t>27BBBBB14742Z5</t>
        </is>
      </c>
      <c r="B14742" t="inlineStr">
        <is>
          <t>Apr-2018</t>
        </is>
      </c>
      <c r="C14742" s="2" t="n">
        <v>44277</v>
      </c>
      <c r="D14742" t="inlineStr">
        <is>
          <t>NIL</t>
        </is>
      </c>
      <c r="E14742" t="n">
        <v>2117</v>
      </c>
    </row>
    <row r="14743">
      <c r="A14743" t="inlineStr">
        <is>
          <t>27BBBBB14743Z5</t>
        </is>
      </c>
      <c r="B14743" t="inlineStr">
        <is>
          <t>Sep-2017</t>
        </is>
      </c>
      <c r="C14743" s="2" t="n">
        <v>43238</v>
      </c>
      <c r="D14743" t="inlineStr">
        <is>
          <t>NON-NIL</t>
        </is>
      </c>
      <c r="E14743" t="n">
        <v>2850</v>
      </c>
    </row>
    <row r="14744">
      <c r="A14744" t="inlineStr">
        <is>
          <t>27BBBBB14744Z5</t>
        </is>
      </c>
      <c r="B14744" t="inlineStr">
        <is>
          <t>Dec-2018</t>
        </is>
      </c>
      <c r="C14744" s="2" t="n">
        <v>43296</v>
      </c>
      <c r="D14744" t="inlineStr">
        <is>
          <t>NON-NIL</t>
        </is>
      </c>
      <c r="E14744" t="n">
        <v>865</v>
      </c>
    </row>
    <row r="14745">
      <c r="A14745" t="inlineStr">
        <is>
          <t>27BBBBB14745Z5</t>
        </is>
      </c>
      <c r="B14745" t="inlineStr">
        <is>
          <t>Dec-2024</t>
        </is>
      </c>
      <c r="C14745" s="2" t="n">
        <v>45674</v>
      </c>
      <c r="D14745" t="inlineStr">
        <is>
          <t>NIL</t>
        </is>
      </c>
      <c r="E14745" t="n">
        <v>56</v>
      </c>
    </row>
    <row r="14746">
      <c r="A14746" t="inlineStr">
        <is>
          <t>27BBBBB14746Z5</t>
        </is>
      </c>
      <c r="B14746" t="inlineStr">
        <is>
          <t>Dec-2017</t>
        </is>
      </c>
      <c r="C14746" s="2" t="n">
        <v>43551</v>
      </c>
      <c r="D14746" t="inlineStr">
        <is>
          <t>NIL</t>
        </is>
      </c>
      <c r="E14746" t="n">
        <v>2905</v>
      </c>
    </row>
    <row r="14747">
      <c r="A14747" t="inlineStr">
        <is>
          <t>27BBBBB14747Z5</t>
        </is>
      </c>
      <c r="B14747" t="inlineStr">
        <is>
          <t>Dec-2017</t>
        </is>
      </c>
      <c r="C14747" s="2" t="n">
        <v>43745</v>
      </c>
      <c r="D14747" t="inlineStr">
        <is>
          <t>NIL</t>
        </is>
      </c>
      <c r="E14747" t="n">
        <v>855</v>
      </c>
    </row>
    <row r="14748">
      <c r="A14748" t="inlineStr">
        <is>
          <t>27BBBBB14748Z5</t>
        </is>
      </c>
      <c r="B14748" t="inlineStr">
        <is>
          <t>May-2018</t>
        </is>
      </c>
      <c r="C14748" s="2" t="n">
        <v>43548</v>
      </c>
      <c r="D14748" t="inlineStr">
        <is>
          <t>NIL</t>
        </is>
      </c>
      <c r="E14748" t="n">
        <v>1319</v>
      </c>
    </row>
    <row r="14749">
      <c r="A14749" t="inlineStr">
        <is>
          <t>27BBBBB14749Z5</t>
        </is>
      </c>
      <c r="B14749" t="inlineStr">
        <is>
          <t>May-2020</t>
        </is>
      </c>
      <c r="C14749" s="2" t="n">
        <v>44565</v>
      </c>
      <c r="D14749" t="inlineStr">
        <is>
          <t>NON-NIL</t>
        </is>
      </c>
      <c r="E14749" t="n">
        <v>2095</v>
      </c>
    </row>
    <row r="14750">
      <c r="A14750" t="inlineStr">
        <is>
          <t>27BBBBB14750Z5</t>
        </is>
      </c>
      <c r="B14750" t="inlineStr">
        <is>
          <t>Dec-2022</t>
        </is>
      </c>
      <c r="C14750" s="2" t="n">
        <v>43625</v>
      </c>
      <c r="D14750" t="inlineStr">
        <is>
          <t>NIL</t>
        </is>
      </c>
      <c r="E14750" t="n">
        <v>772</v>
      </c>
    </row>
    <row r="14751">
      <c r="A14751" t="inlineStr">
        <is>
          <t>27BBBBB14751Z5</t>
        </is>
      </c>
      <c r="B14751" t="inlineStr">
        <is>
          <t>Nov-2017</t>
        </is>
      </c>
      <c r="C14751" s="2" t="n">
        <v>43715</v>
      </c>
      <c r="D14751" t="inlineStr">
        <is>
          <t>NON-NIL</t>
        </is>
      </c>
      <c r="E14751" t="n">
        <v>1222</v>
      </c>
    </row>
    <row r="14752">
      <c r="A14752" t="inlineStr">
        <is>
          <t>27BBBBB14752Z5</t>
        </is>
      </c>
      <c r="B14752" t="inlineStr">
        <is>
          <t>Oct-2018</t>
        </is>
      </c>
      <c r="C14752" s="2" t="n">
        <v>43358</v>
      </c>
      <c r="D14752" t="inlineStr">
        <is>
          <t>NON-NIL</t>
        </is>
      </c>
      <c r="E14752" t="n">
        <v>1969</v>
      </c>
    </row>
    <row r="14753">
      <c r="A14753" t="inlineStr">
        <is>
          <t>27BBBBB14753Z5</t>
        </is>
      </c>
      <c r="B14753" t="inlineStr">
        <is>
          <t>Jul-2017</t>
        </is>
      </c>
      <c r="C14753" s="2" t="n">
        <v>44196</v>
      </c>
      <c r="D14753" t="inlineStr">
        <is>
          <t>NON-NIL</t>
        </is>
      </c>
      <c r="E14753" t="n">
        <v>2682</v>
      </c>
    </row>
    <row r="14754">
      <c r="A14754" t="inlineStr">
        <is>
          <t>27BBBBB14754Z5</t>
        </is>
      </c>
      <c r="B14754" t="inlineStr">
        <is>
          <t>Apr-2018</t>
        </is>
      </c>
      <c r="C14754" s="2" t="n">
        <v>44000</v>
      </c>
      <c r="D14754" t="inlineStr">
        <is>
          <t>NON-NIL</t>
        </is>
      </c>
      <c r="E14754" t="n">
        <v>2579</v>
      </c>
    </row>
    <row r="14755">
      <c r="A14755" t="inlineStr">
        <is>
          <t>27BBBBB14755Z5</t>
        </is>
      </c>
      <c r="B14755" t="inlineStr">
        <is>
          <t>Jul-2020</t>
        </is>
      </c>
      <c r="C14755" s="2" t="n">
        <v>44567</v>
      </c>
      <c r="D14755" t="inlineStr">
        <is>
          <t>NIL</t>
        </is>
      </c>
      <c r="E14755" t="n">
        <v>394</v>
      </c>
    </row>
    <row r="14756">
      <c r="A14756" t="inlineStr">
        <is>
          <t>27BBBBB14756Z5</t>
        </is>
      </c>
      <c r="B14756" t="inlineStr">
        <is>
          <t>Dec-2017</t>
        </is>
      </c>
      <c r="C14756" s="2" t="n">
        <v>44339</v>
      </c>
      <c r="D14756" t="inlineStr">
        <is>
          <t>NON-NIL</t>
        </is>
      </c>
      <c r="E14756" t="n">
        <v>1531</v>
      </c>
    </row>
    <row r="14757">
      <c r="A14757" t="inlineStr">
        <is>
          <t>27BBBBB14757Z5</t>
        </is>
      </c>
      <c r="B14757" t="inlineStr">
        <is>
          <t>Dec-2017</t>
        </is>
      </c>
      <c r="C14757" s="2" t="n">
        <v>43837</v>
      </c>
      <c r="D14757" t="inlineStr">
        <is>
          <t>NIL</t>
        </is>
      </c>
      <c r="E14757" t="n">
        <v>1565</v>
      </c>
    </row>
    <row r="14758">
      <c r="A14758" t="inlineStr">
        <is>
          <t>27BBBBB14758Z5</t>
        </is>
      </c>
      <c r="B14758" t="inlineStr">
        <is>
          <t>Jul-2018</t>
        </is>
      </c>
      <c r="C14758" s="2" t="n">
        <v>43287</v>
      </c>
      <c r="D14758" t="inlineStr">
        <is>
          <t>NON-NIL</t>
        </is>
      </c>
      <c r="E14758" t="n">
        <v>1238</v>
      </c>
    </row>
    <row r="14759">
      <c r="A14759" t="inlineStr">
        <is>
          <t>27BBBBB14759Z5</t>
        </is>
      </c>
      <c r="B14759" t="inlineStr">
        <is>
          <t>Nov-2018</t>
        </is>
      </c>
      <c r="C14759" s="2" t="n">
        <v>44243</v>
      </c>
      <c r="D14759" t="inlineStr">
        <is>
          <t>NIL</t>
        </is>
      </c>
      <c r="E14759" t="n">
        <v>473</v>
      </c>
    </row>
    <row r="14760">
      <c r="A14760" t="inlineStr">
        <is>
          <t>27BBBBB14760Z5</t>
        </is>
      </c>
      <c r="B14760" t="inlineStr">
        <is>
          <t>May-2020</t>
        </is>
      </c>
      <c r="C14760" s="2" t="n">
        <v>43943</v>
      </c>
      <c r="D14760" t="inlineStr">
        <is>
          <t>NIL</t>
        </is>
      </c>
      <c r="E14760" t="n">
        <v>345</v>
      </c>
    </row>
    <row r="14761">
      <c r="A14761" t="inlineStr">
        <is>
          <t>27BBBBB14761Z5</t>
        </is>
      </c>
      <c r="B14761" t="inlineStr">
        <is>
          <t>Sep-2018</t>
        </is>
      </c>
      <c r="C14761" s="2" t="n">
        <v>44320</v>
      </c>
      <c r="D14761" t="inlineStr">
        <is>
          <t>NON-NIL</t>
        </is>
      </c>
      <c r="E14761" t="n">
        <v>2682</v>
      </c>
    </row>
    <row r="14762">
      <c r="A14762" t="inlineStr">
        <is>
          <t>27BBBBB14762Z5</t>
        </is>
      </c>
      <c r="B14762" t="inlineStr">
        <is>
          <t>Nov-2018</t>
        </is>
      </c>
      <c r="C14762" s="2" t="n">
        <v>43920</v>
      </c>
      <c r="D14762" t="inlineStr">
        <is>
          <t>NIL</t>
        </is>
      </c>
      <c r="E14762" t="n">
        <v>1164</v>
      </c>
    </row>
    <row r="14763">
      <c r="A14763" t="inlineStr">
        <is>
          <t>27BBBBB14763Z5</t>
        </is>
      </c>
      <c r="B14763" t="inlineStr">
        <is>
          <t>Sep-2017</t>
        </is>
      </c>
      <c r="C14763" s="2" t="n">
        <v>44529</v>
      </c>
      <c r="D14763" t="inlineStr">
        <is>
          <t>NON-NIL</t>
        </is>
      </c>
      <c r="E14763" t="n">
        <v>1800</v>
      </c>
    </row>
    <row r="14764">
      <c r="A14764" t="inlineStr">
        <is>
          <t>27BBBBB14764Z5</t>
        </is>
      </c>
      <c r="B14764" t="inlineStr">
        <is>
          <t>Dec-2018</t>
        </is>
      </c>
      <c r="C14764" s="2" t="n">
        <v>43697</v>
      </c>
      <c r="D14764" t="inlineStr">
        <is>
          <t>NIL</t>
        </is>
      </c>
      <c r="E14764" t="n">
        <v>74</v>
      </c>
    </row>
    <row r="14765">
      <c r="A14765" t="inlineStr">
        <is>
          <t>27BBBBB14765Z5</t>
        </is>
      </c>
      <c r="B14765" t="inlineStr">
        <is>
          <t>Sep-2018</t>
        </is>
      </c>
      <c r="C14765" s="2" t="n">
        <v>43941</v>
      </c>
      <c r="D14765" t="inlineStr">
        <is>
          <t>NIL</t>
        </is>
      </c>
      <c r="E14765" t="n">
        <v>2145</v>
      </c>
    </row>
    <row r="14766">
      <c r="A14766" t="inlineStr">
        <is>
          <t>27BBBBB14766Z5</t>
        </is>
      </c>
      <c r="B14766" t="inlineStr">
        <is>
          <t>Jul-2017</t>
        </is>
      </c>
      <c r="C14766" s="2" t="n">
        <v>43700</v>
      </c>
      <c r="D14766" t="inlineStr">
        <is>
          <t>NON-NIL</t>
        </is>
      </c>
      <c r="E14766" t="n">
        <v>2401</v>
      </c>
    </row>
    <row r="14767">
      <c r="A14767" t="inlineStr">
        <is>
          <t>27BBBBB14767Z5</t>
        </is>
      </c>
      <c r="B14767" t="inlineStr">
        <is>
          <t>Sep-2018</t>
        </is>
      </c>
      <c r="C14767" s="2" t="n">
        <v>43388</v>
      </c>
      <c r="D14767" t="inlineStr">
        <is>
          <t>NIL</t>
        </is>
      </c>
      <c r="E14767" t="n">
        <v>2573</v>
      </c>
    </row>
    <row r="14768">
      <c r="A14768" t="inlineStr">
        <is>
          <t>27BBBBB14768Z5</t>
        </is>
      </c>
      <c r="B14768" t="inlineStr">
        <is>
          <t>Nov-2018</t>
        </is>
      </c>
      <c r="C14768" s="2" t="n">
        <v>44485</v>
      </c>
      <c r="D14768" t="inlineStr">
        <is>
          <t>NIL</t>
        </is>
      </c>
      <c r="E14768" t="n">
        <v>1233</v>
      </c>
    </row>
    <row r="14769">
      <c r="A14769" t="inlineStr">
        <is>
          <t>27BBBBB14769Z5</t>
        </is>
      </c>
      <c r="B14769" t="inlineStr">
        <is>
          <t>Jun-2020</t>
        </is>
      </c>
      <c r="C14769" s="2" t="n">
        <v>44320</v>
      </c>
      <c r="D14769" t="inlineStr">
        <is>
          <t>NON-NIL</t>
        </is>
      </c>
      <c r="E14769" t="n">
        <v>2694</v>
      </c>
    </row>
    <row r="14770">
      <c r="A14770" t="inlineStr">
        <is>
          <t>27BBBBB14770Z5</t>
        </is>
      </c>
      <c r="B14770" t="inlineStr">
        <is>
          <t>Jan-2021</t>
        </is>
      </c>
      <c r="C14770" s="2" t="n">
        <v>45312</v>
      </c>
      <c r="D14770" t="inlineStr">
        <is>
          <t>NIL</t>
        </is>
      </c>
      <c r="E14770" t="n">
        <v>2853</v>
      </c>
    </row>
    <row r="14771">
      <c r="A14771" t="inlineStr">
        <is>
          <t>27BBBBB14771Z5</t>
        </is>
      </c>
      <c r="B14771" t="inlineStr">
        <is>
          <t>Jul-2020</t>
        </is>
      </c>
      <c r="C14771" s="2" t="n">
        <v>44249</v>
      </c>
      <c r="D14771" t="inlineStr">
        <is>
          <t>NON-NIL</t>
        </is>
      </c>
      <c r="E14771" t="n">
        <v>334</v>
      </c>
    </row>
    <row r="14772">
      <c r="A14772" t="inlineStr">
        <is>
          <t>27BBBBB14772Z5</t>
        </is>
      </c>
      <c r="B14772" t="inlineStr">
        <is>
          <t>Sep-2017</t>
        </is>
      </c>
      <c r="C14772" s="2" t="n">
        <v>43617</v>
      </c>
      <c r="D14772" t="inlineStr">
        <is>
          <t>NON-NIL</t>
        </is>
      </c>
      <c r="E14772" t="n">
        <v>606</v>
      </c>
    </row>
    <row r="14773">
      <c r="A14773" t="inlineStr">
        <is>
          <t>27BBBBB14773Z5</t>
        </is>
      </c>
      <c r="B14773" t="inlineStr">
        <is>
          <t>Mar-2018</t>
        </is>
      </c>
      <c r="C14773" s="2" t="n">
        <v>43097</v>
      </c>
      <c r="D14773" t="inlineStr">
        <is>
          <t>NON-NIL</t>
        </is>
      </c>
      <c r="E14773" t="n">
        <v>2987</v>
      </c>
    </row>
    <row r="14774">
      <c r="A14774" t="inlineStr">
        <is>
          <t>27BBBBB14774Z5</t>
        </is>
      </c>
      <c r="B14774" t="inlineStr">
        <is>
          <t>Oct-2018</t>
        </is>
      </c>
      <c r="C14774" s="2" t="n">
        <v>43829</v>
      </c>
      <c r="D14774" t="inlineStr">
        <is>
          <t>NIL</t>
        </is>
      </c>
      <c r="E14774" t="n">
        <v>2616</v>
      </c>
    </row>
    <row r="14775">
      <c r="A14775" t="inlineStr">
        <is>
          <t>27BBBBB14775Z5</t>
        </is>
      </c>
      <c r="B14775" t="inlineStr">
        <is>
          <t>May-2018</t>
        </is>
      </c>
      <c r="C14775" s="2" t="n">
        <v>44027</v>
      </c>
      <c r="D14775" t="inlineStr">
        <is>
          <t>NON-NIL</t>
        </is>
      </c>
      <c r="E14775" t="n">
        <v>885</v>
      </c>
    </row>
    <row r="14776">
      <c r="A14776" t="inlineStr">
        <is>
          <t>27BBBBB14776Z5</t>
        </is>
      </c>
      <c r="B14776" t="inlineStr">
        <is>
          <t>Mar-2023</t>
        </is>
      </c>
      <c r="C14776" s="2" t="n">
        <v>43569</v>
      </c>
      <c r="D14776" t="inlineStr">
        <is>
          <t>NIL</t>
        </is>
      </c>
      <c r="E14776" t="n">
        <v>667</v>
      </c>
    </row>
    <row r="14777">
      <c r="A14777" t="inlineStr">
        <is>
          <t>27BBBBB14777Z5</t>
        </is>
      </c>
      <c r="B14777" t="inlineStr">
        <is>
          <t>Aug-2018</t>
        </is>
      </c>
      <c r="C14777" s="2" t="n">
        <v>43693</v>
      </c>
      <c r="D14777" t="inlineStr">
        <is>
          <t>NON-NIL</t>
        </is>
      </c>
      <c r="E14777" t="n">
        <v>2625</v>
      </c>
    </row>
    <row r="14778">
      <c r="A14778" t="inlineStr">
        <is>
          <t>27BBBBB14778Z5</t>
        </is>
      </c>
      <c r="B14778" t="inlineStr">
        <is>
          <t>Nov-2018</t>
        </is>
      </c>
      <c r="C14778" s="2" t="n">
        <v>43183</v>
      </c>
      <c r="D14778" t="inlineStr">
        <is>
          <t>NIL</t>
        </is>
      </c>
      <c r="E14778" t="n">
        <v>2693</v>
      </c>
    </row>
    <row r="14779">
      <c r="A14779" t="inlineStr">
        <is>
          <t>27BBBBB14779Z5</t>
        </is>
      </c>
      <c r="B14779" t="inlineStr">
        <is>
          <t>Dec-2024</t>
        </is>
      </c>
      <c r="C14779" s="2" t="n">
        <v>45528</v>
      </c>
      <c r="D14779" t="inlineStr">
        <is>
          <t>NIL</t>
        </is>
      </c>
      <c r="E14779" t="n">
        <v>1098</v>
      </c>
    </row>
    <row r="14780">
      <c r="A14780" t="inlineStr">
        <is>
          <t>27BBBBB14780Z5</t>
        </is>
      </c>
      <c r="B14780" t="inlineStr">
        <is>
          <t>Apr-2018</t>
        </is>
      </c>
      <c r="C14780" s="2" t="n">
        <v>44490</v>
      </c>
      <c r="D14780" t="inlineStr">
        <is>
          <t>NIL</t>
        </is>
      </c>
      <c r="E14780" t="n">
        <v>755</v>
      </c>
    </row>
    <row r="14781">
      <c r="A14781" t="inlineStr">
        <is>
          <t>27BBBBB14781Z5</t>
        </is>
      </c>
      <c r="B14781" t="inlineStr">
        <is>
          <t>Dec-2018</t>
        </is>
      </c>
      <c r="C14781" s="2" t="n">
        <v>44153</v>
      </c>
      <c r="D14781" t="inlineStr">
        <is>
          <t>NON-NIL</t>
        </is>
      </c>
      <c r="E14781" t="n">
        <v>1389</v>
      </c>
    </row>
    <row r="14782">
      <c r="A14782" t="inlineStr">
        <is>
          <t>27BBBBB14782Z5</t>
        </is>
      </c>
      <c r="B14782" t="inlineStr">
        <is>
          <t>Sep-2018</t>
        </is>
      </c>
      <c r="C14782" s="2" t="n">
        <v>44150</v>
      </c>
      <c r="D14782" t="inlineStr">
        <is>
          <t>NIL</t>
        </is>
      </c>
      <c r="E14782" t="n">
        <v>2113</v>
      </c>
    </row>
    <row r="14783">
      <c r="A14783" t="inlineStr">
        <is>
          <t>27BBBBB14783Z5</t>
        </is>
      </c>
      <c r="B14783" t="inlineStr">
        <is>
          <t>Jun-2020</t>
        </is>
      </c>
      <c r="C14783" s="2" t="n">
        <v>43946</v>
      </c>
      <c r="D14783" t="inlineStr">
        <is>
          <t>NON-NIL</t>
        </is>
      </c>
      <c r="E14783" t="n">
        <v>774</v>
      </c>
    </row>
    <row r="14784">
      <c r="A14784" t="inlineStr">
        <is>
          <t>27BBBBB14784Z5</t>
        </is>
      </c>
      <c r="B14784" t="inlineStr">
        <is>
          <t>Jan-2021</t>
        </is>
      </c>
      <c r="C14784" s="2" t="n">
        <v>44304</v>
      </c>
      <c r="D14784" t="inlineStr">
        <is>
          <t>NON-NIL</t>
        </is>
      </c>
      <c r="E14784" t="n">
        <v>2989</v>
      </c>
    </row>
    <row r="14785">
      <c r="A14785" t="inlineStr">
        <is>
          <t>27BBBBB14785Z5</t>
        </is>
      </c>
      <c r="B14785" t="inlineStr">
        <is>
          <t>Dec-2022</t>
        </is>
      </c>
      <c r="C14785" s="2" t="n">
        <v>45764</v>
      </c>
      <c r="D14785" t="inlineStr">
        <is>
          <t>NON-NIL</t>
        </is>
      </c>
      <c r="E14785" t="n">
        <v>2654</v>
      </c>
    </row>
    <row r="14786">
      <c r="A14786" t="inlineStr">
        <is>
          <t>27BBBBB14786Z5</t>
        </is>
      </c>
      <c r="B14786" t="inlineStr">
        <is>
          <t>Oct-2017</t>
        </is>
      </c>
      <c r="C14786" s="2" t="n">
        <v>43260</v>
      </c>
      <c r="D14786" t="inlineStr">
        <is>
          <t>NIL</t>
        </is>
      </c>
      <c r="E14786" t="n">
        <v>705</v>
      </c>
    </row>
    <row r="14787">
      <c r="A14787" t="inlineStr">
        <is>
          <t>27BBBBB14787Z5</t>
        </is>
      </c>
      <c r="B14787" t="inlineStr">
        <is>
          <t>Jan-2021</t>
        </is>
      </c>
      <c r="C14787" s="2" t="n">
        <v>45809</v>
      </c>
      <c r="D14787" t="inlineStr">
        <is>
          <t>NON-NIL</t>
        </is>
      </c>
      <c r="E14787" t="n">
        <v>2601</v>
      </c>
    </row>
    <row r="14788">
      <c r="A14788" t="inlineStr">
        <is>
          <t>27BBBBB14788Z5</t>
        </is>
      </c>
      <c r="B14788" t="inlineStr">
        <is>
          <t>Apr-2020</t>
        </is>
      </c>
      <c r="C14788" s="2" t="n">
        <v>44275</v>
      </c>
      <c r="D14788" t="inlineStr">
        <is>
          <t>NON-NIL</t>
        </is>
      </c>
      <c r="E14788" t="n">
        <v>2657</v>
      </c>
    </row>
    <row r="14789">
      <c r="A14789" t="inlineStr">
        <is>
          <t>27BBBBB14789Z5</t>
        </is>
      </c>
      <c r="B14789" t="inlineStr">
        <is>
          <t>Aug-2018</t>
        </is>
      </c>
      <c r="C14789" s="2" t="n">
        <v>43473</v>
      </c>
      <c r="D14789" t="inlineStr">
        <is>
          <t>NON-NIL</t>
        </is>
      </c>
      <c r="E14789" t="n">
        <v>250</v>
      </c>
    </row>
    <row r="14790">
      <c r="A14790" t="inlineStr">
        <is>
          <t>27BBBBB14790Z5</t>
        </is>
      </c>
      <c r="B14790" t="inlineStr">
        <is>
          <t>Jul-2017</t>
        </is>
      </c>
      <c r="C14790" s="2" t="n">
        <v>43653</v>
      </c>
      <c r="D14790" t="inlineStr">
        <is>
          <t>NON-NIL</t>
        </is>
      </c>
      <c r="E14790" t="n">
        <v>464</v>
      </c>
    </row>
    <row r="14791">
      <c r="A14791" t="inlineStr">
        <is>
          <t>27BBBBB14791Z5</t>
        </is>
      </c>
      <c r="B14791" t="inlineStr">
        <is>
          <t>Apr-2018</t>
        </is>
      </c>
      <c r="C14791" s="2" t="n">
        <v>43098</v>
      </c>
      <c r="D14791" t="inlineStr">
        <is>
          <t>NIL</t>
        </is>
      </c>
      <c r="E14791" t="n">
        <v>1093</v>
      </c>
    </row>
    <row r="14792">
      <c r="A14792" t="inlineStr">
        <is>
          <t>27BBBBB14792Z5</t>
        </is>
      </c>
      <c r="B14792" t="inlineStr">
        <is>
          <t>Mar-2023</t>
        </is>
      </c>
      <c r="C14792" s="2" t="n">
        <v>45754</v>
      </c>
      <c r="D14792" t="inlineStr">
        <is>
          <t>NON-NIL</t>
        </is>
      </c>
      <c r="E14792" t="n">
        <v>2074</v>
      </c>
    </row>
    <row r="14793">
      <c r="A14793" t="inlineStr">
        <is>
          <t>27BBBBB14793Z5</t>
        </is>
      </c>
      <c r="B14793" t="inlineStr">
        <is>
          <t>Mar-2020</t>
        </is>
      </c>
      <c r="C14793" s="2" t="n">
        <v>44649</v>
      </c>
      <c r="D14793" t="inlineStr">
        <is>
          <t>NON-NIL</t>
        </is>
      </c>
      <c r="E14793" t="n">
        <v>1793</v>
      </c>
    </row>
    <row r="14794">
      <c r="A14794" t="inlineStr">
        <is>
          <t>27BBBBB14794Z5</t>
        </is>
      </c>
      <c r="B14794" t="inlineStr">
        <is>
          <t>Sep-2017</t>
        </is>
      </c>
      <c r="C14794" s="2" t="n">
        <v>44319</v>
      </c>
      <c r="D14794" t="inlineStr">
        <is>
          <t>NON-NIL</t>
        </is>
      </c>
      <c r="E14794" t="n">
        <v>1717</v>
      </c>
    </row>
    <row r="14795">
      <c r="A14795" t="inlineStr">
        <is>
          <t>27BBBBB14795Z5</t>
        </is>
      </c>
      <c r="B14795" t="inlineStr">
        <is>
          <t>Nov-2018</t>
        </is>
      </c>
      <c r="C14795" s="2" t="n">
        <v>43480</v>
      </c>
      <c r="D14795" t="inlineStr">
        <is>
          <t>NON-NIL</t>
        </is>
      </c>
      <c r="E14795" t="n">
        <v>743</v>
      </c>
    </row>
    <row r="14796">
      <c r="A14796" t="inlineStr">
        <is>
          <t>27BBBBB14796Z5</t>
        </is>
      </c>
      <c r="B14796" t="inlineStr">
        <is>
          <t>Nov-2018</t>
        </is>
      </c>
      <c r="C14796" s="2" t="n">
        <v>44129</v>
      </c>
      <c r="D14796" t="inlineStr">
        <is>
          <t>NON-NIL</t>
        </is>
      </c>
      <c r="E14796" t="n">
        <v>914</v>
      </c>
    </row>
    <row r="14797">
      <c r="A14797" t="inlineStr">
        <is>
          <t>27BBBBB14797Z5</t>
        </is>
      </c>
      <c r="B14797" t="inlineStr">
        <is>
          <t>Jul-2017</t>
        </is>
      </c>
      <c r="C14797" s="2" t="n">
        <v>44032</v>
      </c>
      <c r="D14797" t="inlineStr">
        <is>
          <t>NIL</t>
        </is>
      </c>
      <c r="E14797" t="n">
        <v>526</v>
      </c>
    </row>
    <row r="14798">
      <c r="A14798" t="inlineStr">
        <is>
          <t>27BBBBB14798Z5</t>
        </is>
      </c>
      <c r="B14798" t="inlineStr">
        <is>
          <t>Jan-2021</t>
        </is>
      </c>
      <c r="C14798" s="2" t="n">
        <v>43801</v>
      </c>
      <c r="D14798" t="inlineStr">
        <is>
          <t>NON-NIL</t>
        </is>
      </c>
      <c r="E14798" t="n">
        <v>1844</v>
      </c>
    </row>
    <row r="14799">
      <c r="A14799" t="inlineStr">
        <is>
          <t>27BBBBB14799Z5</t>
        </is>
      </c>
      <c r="B14799" t="inlineStr">
        <is>
          <t>May-2020</t>
        </is>
      </c>
      <c r="C14799" s="2" t="n">
        <v>44328</v>
      </c>
      <c r="D14799" t="inlineStr">
        <is>
          <t>NON-NIL</t>
        </is>
      </c>
      <c r="E14799" t="n">
        <v>501</v>
      </c>
    </row>
    <row r="14800">
      <c r="A14800" t="inlineStr">
        <is>
          <t>27BBBBB14800Z5</t>
        </is>
      </c>
      <c r="B14800" t="inlineStr">
        <is>
          <t>Dec-2022</t>
        </is>
      </c>
      <c r="C14800" s="2" t="n">
        <v>44060</v>
      </c>
      <c r="D14800" t="inlineStr">
        <is>
          <t>NON-NIL</t>
        </is>
      </c>
      <c r="E14800" t="n">
        <v>866</v>
      </c>
    </row>
    <row r="14801">
      <c r="A14801" t="inlineStr">
        <is>
          <t>27BBBBB14801Z5</t>
        </is>
      </c>
      <c r="B14801" t="inlineStr">
        <is>
          <t>Oct-2018</t>
        </is>
      </c>
      <c r="C14801" s="2" t="n">
        <v>44299</v>
      </c>
      <c r="D14801" t="inlineStr">
        <is>
          <t>NON-NIL</t>
        </is>
      </c>
      <c r="E14801" t="n">
        <v>753</v>
      </c>
    </row>
    <row r="14802">
      <c r="A14802" t="inlineStr">
        <is>
          <t>27BBBBB14802Z5</t>
        </is>
      </c>
      <c r="B14802" t="inlineStr">
        <is>
          <t>Oct-2018</t>
        </is>
      </c>
      <c r="C14802" s="2" t="n">
        <v>43329</v>
      </c>
      <c r="D14802" t="inlineStr">
        <is>
          <t>NIL</t>
        </is>
      </c>
      <c r="E14802" t="n">
        <v>2644</v>
      </c>
    </row>
    <row r="14803">
      <c r="A14803" t="inlineStr">
        <is>
          <t>27BBBBB14803Z5</t>
        </is>
      </c>
      <c r="B14803" t="inlineStr">
        <is>
          <t>Oct-2017</t>
        </is>
      </c>
      <c r="C14803" s="2" t="n">
        <v>43515</v>
      </c>
      <c r="D14803" t="inlineStr">
        <is>
          <t>NIL</t>
        </is>
      </c>
      <c r="E14803" t="n">
        <v>2132</v>
      </c>
    </row>
    <row r="14804">
      <c r="A14804" t="inlineStr">
        <is>
          <t>27BBBBB14804Z5</t>
        </is>
      </c>
      <c r="B14804" t="inlineStr">
        <is>
          <t>Jun-2018</t>
        </is>
      </c>
      <c r="C14804" s="2" t="n">
        <v>42975</v>
      </c>
      <c r="D14804" t="inlineStr">
        <is>
          <t>NON-NIL</t>
        </is>
      </c>
      <c r="E14804" t="n">
        <v>164</v>
      </c>
    </row>
    <row r="14805">
      <c r="A14805" t="inlineStr">
        <is>
          <t>27BBBBB14805Z5</t>
        </is>
      </c>
      <c r="B14805" t="inlineStr">
        <is>
          <t>Nov-2018</t>
        </is>
      </c>
      <c r="C14805" s="2" t="n">
        <v>43619</v>
      </c>
      <c r="D14805" t="inlineStr">
        <is>
          <t>NIL</t>
        </is>
      </c>
      <c r="E14805" t="n">
        <v>1867</v>
      </c>
    </row>
    <row r="14806">
      <c r="A14806" t="inlineStr">
        <is>
          <t>27BBBBB14806Z5</t>
        </is>
      </c>
      <c r="B14806" t="inlineStr">
        <is>
          <t>Jul-2018</t>
        </is>
      </c>
      <c r="C14806" s="2" t="n">
        <v>43825</v>
      </c>
      <c r="D14806" t="inlineStr">
        <is>
          <t>NON-NIL</t>
        </is>
      </c>
      <c r="E14806" t="n">
        <v>2865</v>
      </c>
    </row>
    <row r="14807">
      <c r="A14807" t="inlineStr">
        <is>
          <t>27BBBBB14807Z5</t>
        </is>
      </c>
      <c r="B14807" t="inlineStr">
        <is>
          <t>Sep-2017</t>
        </is>
      </c>
      <c r="C14807" s="2" t="n">
        <v>44261</v>
      </c>
      <c r="D14807" t="inlineStr">
        <is>
          <t>NON-NIL</t>
        </is>
      </c>
      <c r="E14807" t="n">
        <v>318</v>
      </c>
    </row>
    <row r="14808">
      <c r="A14808" t="inlineStr">
        <is>
          <t>27BBBBB14808Z5</t>
        </is>
      </c>
      <c r="B14808" t="inlineStr">
        <is>
          <t>Jul-2017</t>
        </is>
      </c>
      <c r="C14808" s="2" t="n">
        <v>43178</v>
      </c>
      <c r="D14808" t="inlineStr">
        <is>
          <t>NON-NIL</t>
        </is>
      </c>
      <c r="E14808" t="n">
        <v>2613</v>
      </c>
    </row>
    <row r="14809">
      <c r="A14809" t="inlineStr">
        <is>
          <t>27BBBBB14809Z5</t>
        </is>
      </c>
      <c r="B14809" t="inlineStr">
        <is>
          <t>Sep-2018</t>
        </is>
      </c>
      <c r="C14809" s="2" t="n">
        <v>44102</v>
      </c>
      <c r="D14809" t="inlineStr">
        <is>
          <t>NON-NIL</t>
        </is>
      </c>
      <c r="E14809" t="n">
        <v>990</v>
      </c>
    </row>
    <row r="14810">
      <c r="A14810" t="inlineStr">
        <is>
          <t>27BBBBB14810Z5</t>
        </is>
      </c>
      <c r="B14810" t="inlineStr">
        <is>
          <t>Feb-2018</t>
        </is>
      </c>
      <c r="C14810" s="2" t="n">
        <v>44197</v>
      </c>
      <c r="D14810" t="inlineStr">
        <is>
          <t>NON-NIL</t>
        </is>
      </c>
      <c r="E14810" t="n">
        <v>371</v>
      </c>
    </row>
    <row r="14811">
      <c r="A14811" t="inlineStr">
        <is>
          <t>27BBBBB14811Z5</t>
        </is>
      </c>
      <c r="B14811" t="inlineStr">
        <is>
          <t>Apr-2020</t>
        </is>
      </c>
      <c r="C14811" s="2" t="n">
        <v>44241</v>
      </c>
      <c r="D14811" t="inlineStr">
        <is>
          <t>NIL</t>
        </is>
      </c>
      <c r="E14811" t="n">
        <v>178</v>
      </c>
    </row>
    <row r="14812">
      <c r="A14812" t="inlineStr">
        <is>
          <t>27BBBBB14812Z5</t>
        </is>
      </c>
      <c r="B14812" t="inlineStr">
        <is>
          <t>Oct-2018</t>
        </is>
      </c>
      <c r="C14812" s="2" t="n">
        <v>44042</v>
      </c>
      <c r="D14812" t="inlineStr">
        <is>
          <t>NIL</t>
        </is>
      </c>
      <c r="E14812" t="n">
        <v>2098</v>
      </c>
    </row>
    <row r="14813">
      <c r="A14813" t="inlineStr">
        <is>
          <t>27BBBBB14813Z5</t>
        </is>
      </c>
      <c r="B14813" t="inlineStr">
        <is>
          <t>Feb-2018</t>
        </is>
      </c>
      <c r="C14813" s="2" t="n">
        <v>43762</v>
      </c>
      <c r="D14813" t="inlineStr">
        <is>
          <t>NON-NIL</t>
        </is>
      </c>
      <c r="E14813" t="n">
        <v>2477</v>
      </c>
    </row>
    <row r="14814">
      <c r="A14814" t="inlineStr">
        <is>
          <t>27BBBBB14814Z5</t>
        </is>
      </c>
      <c r="B14814" t="inlineStr">
        <is>
          <t>Aug-2018</t>
        </is>
      </c>
      <c r="C14814" s="2" t="n">
        <v>44351</v>
      </c>
      <c r="D14814" t="inlineStr">
        <is>
          <t>NIL</t>
        </is>
      </c>
      <c r="E14814" t="n">
        <v>569</v>
      </c>
    </row>
    <row r="14815">
      <c r="A14815" t="inlineStr">
        <is>
          <t>27BBBBB14815Z5</t>
        </is>
      </c>
      <c r="B14815" t="inlineStr">
        <is>
          <t>Jan-2021</t>
        </is>
      </c>
      <c r="C14815" s="2" t="n">
        <v>43502</v>
      </c>
      <c r="D14815" t="inlineStr">
        <is>
          <t>NON-NIL</t>
        </is>
      </c>
      <c r="E14815" t="n">
        <v>2350</v>
      </c>
    </row>
    <row r="14816">
      <c r="A14816" t="inlineStr">
        <is>
          <t>27BBBBB14816Z5</t>
        </is>
      </c>
      <c r="B14816" t="inlineStr">
        <is>
          <t>Jun-2018</t>
        </is>
      </c>
      <c r="C14816" s="2" t="n">
        <v>44082</v>
      </c>
      <c r="D14816" t="inlineStr">
        <is>
          <t>NON-NIL</t>
        </is>
      </c>
      <c r="E14816" t="n">
        <v>67</v>
      </c>
    </row>
    <row r="14817">
      <c r="A14817" t="inlineStr">
        <is>
          <t>27BBBBB14817Z5</t>
        </is>
      </c>
      <c r="B14817" t="inlineStr">
        <is>
          <t>Apr-2020</t>
        </is>
      </c>
      <c r="C14817" s="2" t="n">
        <v>44227</v>
      </c>
      <c r="D14817" t="inlineStr">
        <is>
          <t>NIL</t>
        </is>
      </c>
      <c r="E14817" t="n">
        <v>429</v>
      </c>
    </row>
    <row r="14818">
      <c r="A14818" t="inlineStr">
        <is>
          <t>27BBBBB14818Z5</t>
        </is>
      </c>
      <c r="B14818" t="inlineStr">
        <is>
          <t>Mar-2018</t>
        </is>
      </c>
      <c r="C14818" s="2" t="n">
        <v>43148</v>
      </c>
      <c r="D14818" t="inlineStr">
        <is>
          <t>NIL</t>
        </is>
      </c>
      <c r="E14818" t="n">
        <v>2764</v>
      </c>
    </row>
    <row r="14819">
      <c r="A14819" t="inlineStr">
        <is>
          <t>27BBBBB14819Z5</t>
        </is>
      </c>
      <c r="B14819" t="inlineStr">
        <is>
          <t>Dec-2018</t>
        </is>
      </c>
      <c r="C14819" s="2" t="n">
        <v>43521</v>
      </c>
      <c r="D14819" t="inlineStr">
        <is>
          <t>NIL</t>
        </is>
      </c>
      <c r="E14819" t="n">
        <v>2473</v>
      </c>
    </row>
    <row r="14820">
      <c r="A14820" t="inlineStr">
        <is>
          <t>27BBBBB14820Z5</t>
        </is>
      </c>
      <c r="B14820" t="inlineStr">
        <is>
          <t>Oct-2018</t>
        </is>
      </c>
      <c r="C14820" s="2" t="n">
        <v>44329</v>
      </c>
      <c r="D14820" t="inlineStr">
        <is>
          <t>NIL</t>
        </is>
      </c>
      <c r="E14820" t="n">
        <v>384</v>
      </c>
    </row>
    <row r="14821">
      <c r="A14821" t="inlineStr">
        <is>
          <t>27BBBBB14821Z5</t>
        </is>
      </c>
      <c r="B14821" t="inlineStr">
        <is>
          <t>Oct-2018</t>
        </is>
      </c>
      <c r="C14821" s="2" t="n">
        <v>44381</v>
      </c>
      <c r="D14821" t="inlineStr">
        <is>
          <t>NON-NIL</t>
        </is>
      </c>
      <c r="E14821" t="n">
        <v>91</v>
      </c>
    </row>
    <row r="14822">
      <c r="A14822" t="inlineStr">
        <is>
          <t>27BBBBB14822Z5</t>
        </is>
      </c>
      <c r="B14822" t="inlineStr">
        <is>
          <t>Feb-2018</t>
        </is>
      </c>
      <c r="C14822" s="2" t="n">
        <v>44194</v>
      </c>
      <c r="D14822" t="inlineStr">
        <is>
          <t>NON-NIL</t>
        </is>
      </c>
      <c r="E14822" t="n">
        <v>754</v>
      </c>
    </row>
    <row r="14823">
      <c r="A14823" t="inlineStr">
        <is>
          <t>27BBBBB14823Z5</t>
        </is>
      </c>
      <c r="B14823" t="inlineStr">
        <is>
          <t>Jan-2021</t>
        </is>
      </c>
      <c r="C14823" s="2" t="n">
        <v>44227</v>
      </c>
      <c r="D14823" t="inlineStr">
        <is>
          <t>NIL</t>
        </is>
      </c>
      <c r="E14823" t="n">
        <v>1138</v>
      </c>
    </row>
    <row r="14824">
      <c r="A14824" t="inlineStr">
        <is>
          <t>27BBBBB14824Z5</t>
        </is>
      </c>
      <c r="B14824" t="inlineStr">
        <is>
          <t>Dec-2017</t>
        </is>
      </c>
      <c r="C14824" s="2" t="n">
        <v>44277</v>
      </c>
      <c r="D14824" t="inlineStr">
        <is>
          <t>NIL</t>
        </is>
      </c>
      <c r="E14824" t="n">
        <v>1307</v>
      </c>
    </row>
    <row r="14825">
      <c r="A14825" t="inlineStr">
        <is>
          <t>27BBBBB14825Z5</t>
        </is>
      </c>
      <c r="B14825" t="inlineStr">
        <is>
          <t>Apr-2018</t>
        </is>
      </c>
      <c r="C14825" s="2" t="n">
        <v>43361</v>
      </c>
      <c r="D14825" t="inlineStr">
        <is>
          <t>NIL</t>
        </is>
      </c>
      <c r="E14825" t="n">
        <v>74</v>
      </c>
    </row>
    <row r="14826">
      <c r="A14826" t="inlineStr">
        <is>
          <t>27BBBBB14826Z5</t>
        </is>
      </c>
      <c r="B14826" t="inlineStr">
        <is>
          <t>Mar-2023</t>
        </is>
      </c>
      <c r="C14826" s="2" t="n">
        <v>45335</v>
      </c>
      <c r="D14826" t="inlineStr">
        <is>
          <t>NIL</t>
        </is>
      </c>
      <c r="E14826" t="n">
        <v>2739</v>
      </c>
    </row>
    <row r="14827">
      <c r="A14827" t="inlineStr">
        <is>
          <t>27BBBBB14827Z5</t>
        </is>
      </c>
      <c r="B14827" t="inlineStr">
        <is>
          <t>Mar-2023</t>
        </is>
      </c>
      <c r="C14827" s="2" t="n">
        <v>45796</v>
      </c>
      <c r="D14827" t="inlineStr">
        <is>
          <t>NIL</t>
        </is>
      </c>
      <c r="E14827" t="n">
        <v>858</v>
      </c>
    </row>
    <row r="14828">
      <c r="A14828" t="inlineStr">
        <is>
          <t>27BBBBB14828Z5</t>
        </is>
      </c>
      <c r="B14828" t="inlineStr">
        <is>
          <t>Aug-2018</t>
        </is>
      </c>
      <c r="C14828" s="2" t="n">
        <v>43633</v>
      </c>
      <c r="D14828" t="inlineStr">
        <is>
          <t>NON-NIL</t>
        </is>
      </c>
      <c r="E14828" t="n">
        <v>2466</v>
      </c>
    </row>
    <row r="14829">
      <c r="A14829" t="inlineStr">
        <is>
          <t>27BBBBB14829Z5</t>
        </is>
      </c>
      <c r="B14829" t="inlineStr">
        <is>
          <t>Nov-2018</t>
        </is>
      </c>
      <c r="C14829" s="2" t="n">
        <v>44122</v>
      </c>
      <c r="D14829" t="inlineStr">
        <is>
          <t>NIL</t>
        </is>
      </c>
      <c r="E14829" t="n">
        <v>1160</v>
      </c>
    </row>
    <row r="14830">
      <c r="A14830" t="inlineStr">
        <is>
          <t>27BBBBB14830Z5</t>
        </is>
      </c>
      <c r="B14830" t="inlineStr">
        <is>
          <t>Aug-2018</t>
        </is>
      </c>
      <c r="C14830" s="2" t="n">
        <v>44063</v>
      </c>
      <c r="D14830" t="inlineStr">
        <is>
          <t>NON-NIL</t>
        </is>
      </c>
      <c r="E14830" t="n">
        <v>1773</v>
      </c>
    </row>
    <row r="14831">
      <c r="A14831" t="inlineStr">
        <is>
          <t>27BBBBB14831Z5</t>
        </is>
      </c>
      <c r="B14831" t="inlineStr">
        <is>
          <t>Jan-2021</t>
        </is>
      </c>
      <c r="C14831" s="2" t="n">
        <v>44514</v>
      </c>
      <c r="D14831" t="inlineStr">
        <is>
          <t>NIL</t>
        </is>
      </c>
      <c r="E14831" t="n">
        <v>631</v>
      </c>
    </row>
    <row r="14832">
      <c r="A14832" t="inlineStr">
        <is>
          <t>27BBBBB14832Z5</t>
        </is>
      </c>
      <c r="B14832" t="inlineStr">
        <is>
          <t>Aug-2018</t>
        </is>
      </c>
      <c r="C14832" s="2" t="n">
        <v>43042</v>
      </c>
      <c r="D14832" t="inlineStr">
        <is>
          <t>NON-NIL</t>
        </is>
      </c>
      <c r="E14832" t="n">
        <v>713</v>
      </c>
    </row>
    <row r="14833">
      <c r="A14833" t="inlineStr">
        <is>
          <t>27BBBBB14833Z5</t>
        </is>
      </c>
      <c r="B14833" t="inlineStr">
        <is>
          <t>Oct-2017</t>
        </is>
      </c>
      <c r="C14833" s="2" t="n">
        <v>43904</v>
      </c>
      <c r="D14833" t="inlineStr">
        <is>
          <t>NIL</t>
        </is>
      </c>
      <c r="E14833" t="n">
        <v>1480</v>
      </c>
    </row>
    <row r="14834">
      <c r="A14834" t="inlineStr">
        <is>
          <t>27BBBBB14834Z5</t>
        </is>
      </c>
      <c r="B14834" t="inlineStr">
        <is>
          <t>Jan-2021</t>
        </is>
      </c>
      <c r="C14834" s="2" t="n">
        <v>44598</v>
      </c>
      <c r="D14834" t="inlineStr">
        <is>
          <t>NIL</t>
        </is>
      </c>
      <c r="E14834" t="n">
        <v>387</v>
      </c>
    </row>
    <row r="14835">
      <c r="A14835" t="inlineStr">
        <is>
          <t>27BBBBB14835Z5</t>
        </is>
      </c>
      <c r="B14835" t="inlineStr">
        <is>
          <t>Mar-2018</t>
        </is>
      </c>
      <c r="C14835" s="2" t="n">
        <v>44061</v>
      </c>
      <c r="D14835" t="inlineStr">
        <is>
          <t>NON-NIL</t>
        </is>
      </c>
      <c r="E14835" t="n">
        <v>407</v>
      </c>
    </row>
    <row r="14836">
      <c r="A14836" t="inlineStr">
        <is>
          <t>27BBBBB14836Z5</t>
        </is>
      </c>
      <c r="B14836" t="inlineStr">
        <is>
          <t>Nov-2017</t>
        </is>
      </c>
      <c r="C14836" s="2" t="n">
        <v>43817</v>
      </c>
      <c r="D14836" t="inlineStr">
        <is>
          <t>NIL</t>
        </is>
      </c>
      <c r="E14836" t="n">
        <v>962</v>
      </c>
    </row>
    <row r="14837">
      <c r="A14837" t="inlineStr">
        <is>
          <t>27BBBBB14837Z5</t>
        </is>
      </c>
      <c r="B14837" t="inlineStr">
        <is>
          <t>Jan-2021</t>
        </is>
      </c>
      <c r="C14837" s="2" t="n">
        <v>43568</v>
      </c>
      <c r="D14837" t="inlineStr">
        <is>
          <t>NON-NIL</t>
        </is>
      </c>
      <c r="E14837" t="n">
        <v>795</v>
      </c>
    </row>
    <row r="14838">
      <c r="A14838" t="inlineStr">
        <is>
          <t>27BBBBB14838Z5</t>
        </is>
      </c>
      <c r="B14838" t="inlineStr">
        <is>
          <t>Aug-2018</t>
        </is>
      </c>
      <c r="C14838" s="2" t="n">
        <v>43181</v>
      </c>
      <c r="D14838" t="inlineStr">
        <is>
          <t>NON-NIL</t>
        </is>
      </c>
      <c r="E14838" t="n">
        <v>289</v>
      </c>
    </row>
    <row r="14839">
      <c r="A14839" t="inlineStr">
        <is>
          <t>27BBBBB14839Z5</t>
        </is>
      </c>
      <c r="B14839" t="inlineStr">
        <is>
          <t>Sep-2018</t>
        </is>
      </c>
      <c r="C14839" s="2" t="n">
        <v>43937</v>
      </c>
      <c r="D14839" t="inlineStr">
        <is>
          <t>NIL</t>
        </is>
      </c>
      <c r="E14839" t="n">
        <v>2766</v>
      </c>
    </row>
    <row r="14840">
      <c r="A14840" t="inlineStr">
        <is>
          <t>27BBBBB14840Z5</t>
        </is>
      </c>
      <c r="B14840" t="inlineStr">
        <is>
          <t>Feb-2018</t>
        </is>
      </c>
      <c r="C14840" s="2" t="n">
        <v>43587</v>
      </c>
      <c r="D14840" t="inlineStr">
        <is>
          <t>NIL</t>
        </is>
      </c>
      <c r="E14840" t="n">
        <v>2127</v>
      </c>
    </row>
    <row r="14841">
      <c r="A14841" t="inlineStr">
        <is>
          <t>27BBBBB14841Z5</t>
        </is>
      </c>
      <c r="B14841" t="inlineStr">
        <is>
          <t>May-2020</t>
        </is>
      </c>
      <c r="C14841" s="2" t="n">
        <v>43946</v>
      </c>
      <c r="D14841" t="inlineStr">
        <is>
          <t>NON-NIL</t>
        </is>
      </c>
      <c r="E14841" t="n">
        <v>2587</v>
      </c>
    </row>
    <row r="14842">
      <c r="A14842" t="inlineStr">
        <is>
          <t>27BBBBB14842Z5</t>
        </is>
      </c>
      <c r="B14842" t="inlineStr">
        <is>
          <t>Mar-2020</t>
        </is>
      </c>
      <c r="C14842" s="2" t="n">
        <v>44551</v>
      </c>
      <c r="D14842" t="inlineStr">
        <is>
          <t>NON-NIL</t>
        </is>
      </c>
      <c r="E14842" t="n">
        <v>2637</v>
      </c>
    </row>
    <row r="14843">
      <c r="A14843" t="inlineStr">
        <is>
          <t>27BBBBB14843Z5</t>
        </is>
      </c>
      <c r="B14843" t="inlineStr">
        <is>
          <t>Dec-2024</t>
        </is>
      </c>
      <c r="C14843" s="2" t="n">
        <v>45066</v>
      </c>
      <c r="D14843" t="inlineStr">
        <is>
          <t>NON-NIL</t>
        </is>
      </c>
      <c r="E14843" t="n">
        <v>618</v>
      </c>
    </row>
    <row r="14844">
      <c r="A14844" t="inlineStr">
        <is>
          <t>27BBBBB14844Z5</t>
        </is>
      </c>
      <c r="B14844" t="inlineStr">
        <is>
          <t>Mar-2020</t>
        </is>
      </c>
      <c r="C14844" s="2" t="n">
        <v>44149</v>
      </c>
      <c r="D14844" t="inlineStr">
        <is>
          <t>NON-NIL</t>
        </is>
      </c>
      <c r="E14844" t="n">
        <v>32</v>
      </c>
    </row>
    <row r="14845">
      <c r="A14845" t="inlineStr">
        <is>
          <t>27BBBBB14845Z5</t>
        </is>
      </c>
      <c r="B14845" t="inlineStr">
        <is>
          <t>May-2018</t>
        </is>
      </c>
      <c r="C14845" s="2" t="n">
        <v>44061</v>
      </c>
      <c r="D14845" t="inlineStr">
        <is>
          <t>NIL</t>
        </is>
      </c>
      <c r="E14845" t="n">
        <v>1814</v>
      </c>
    </row>
    <row r="14846">
      <c r="A14846" t="inlineStr">
        <is>
          <t>27BBBBB14846Z5</t>
        </is>
      </c>
      <c r="B14846" t="inlineStr">
        <is>
          <t>Feb-2018</t>
        </is>
      </c>
      <c r="C14846" s="2" t="n">
        <v>43781</v>
      </c>
      <c r="D14846" t="inlineStr">
        <is>
          <t>NON-NIL</t>
        </is>
      </c>
      <c r="E14846" t="n">
        <v>1608</v>
      </c>
    </row>
    <row r="14847">
      <c r="A14847" t="inlineStr">
        <is>
          <t>27BBBBB14847Z5</t>
        </is>
      </c>
      <c r="B14847" t="inlineStr">
        <is>
          <t>Sep-2017</t>
        </is>
      </c>
      <c r="C14847" s="2" t="n">
        <v>43086</v>
      </c>
      <c r="D14847" t="inlineStr">
        <is>
          <t>NON-NIL</t>
        </is>
      </c>
      <c r="E14847" t="n">
        <v>1058</v>
      </c>
    </row>
    <row r="14848">
      <c r="A14848" t="inlineStr">
        <is>
          <t>27BBBBB14848Z5</t>
        </is>
      </c>
      <c r="B14848" t="inlineStr">
        <is>
          <t>Aug-2017</t>
        </is>
      </c>
      <c r="C14848" s="2" t="n">
        <v>44379</v>
      </c>
      <c r="D14848" t="inlineStr">
        <is>
          <t>NON-NIL</t>
        </is>
      </c>
      <c r="E14848" t="n">
        <v>2832</v>
      </c>
    </row>
    <row r="14849">
      <c r="A14849" t="inlineStr">
        <is>
          <t>27BBBBB14849Z5</t>
        </is>
      </c>
      <c r="B14849" t="inlineStr">
        <is>
          <t>Mar-2018</t>
        </is>
      </c>
      <c r="C14849" s="2" t="n">
        <v>44169</v>
      </c>
      <c r="D14849" t="inlineStr">
        <is>
          <t>NIL</t>
        </is>
      </c>
      <c r="E14849" t="n">
        <v>487</v>
      </c>
    </row>
    <row r="14850">
      <c r="A14850" t="inlineStr">
        <is>
          <t>27BBBBB14850Z5</t>
        </is>
      </c>
      <c r="B14850" t="inlineStr">
        <is>
          <t>Dec-2024</t>
        </is>
      </c>
      <c r="C14850" s="2" t="n">
        <v>44946</v>
      </c>
      <c r="D14850" t="inlineStr">
        <is>
          <t>NON-NIL</t>
        </is>
      </c>
      <c r="E14850" t="n">
        <v>811</v>
      </c>
    </row>
    <row r="14851">
      <c r="A14851" t="inlineStr">
        <is>
          <t>27BBBBB14851Z5</t>
        </is>
      </c>
      <c r="B14851" t="inlineStr">
        <is>
          <t>Apr-2020</t>
        </is>
      </c>
      <c r="C14851" s="2" t="n">
        <v>43889</v>
      </c>
      <c r="D14851" t="inlineStr">
        <is>
          <t>NIL</t>
        </is>
      </c>
      <c r="E14851" t="n">
        <v>1453</v>
      </c>
    </row>
    <row r="14852">
      <c r="A14852" t="inlineStr">
        <is>
          <t>27BBBBB14852Z5</t>
        </is>
      </c>
      <c r="B14852" t="inlineStr">
        <is>
          <t>Mar-2020</t>
        </is>
      </c>
      <c r="C14852" s="2" t="n">
        <v>44730</v>
      </c>
      <c r="D14852" t="inlineStr">
        <is>
          <t>NIL</t>
        </is>
      </c>
      <c r="E14852" t="n">
        <v>1638</v>
      </c>
    </row>
    <row r="14853">
      <c r="A14853" t="inlineStr">
        <is>
          <t>27BBBBB14853Z5</t>
        </is>
      </c>
      <c r="B14853" t="inlineStr">
        <is>
          <t>Dec-2024</t>
        </is>
      </c>
      <c r="C14853" s="2" t="n">
        <v>44656</v>
      </c>
      <c r="D14853" t="inlineStr">
        <is>
          <t>NIL</t>
        </is>
      </c>
      <c r="E14853" t="n">
        <v>1337</v>
      </c>
    </row>
    <row r="14854">
      <c r="A14854" t="inlineStr">
        <is>
          <t>27BBBBB14854Z5</t>
        </is>
      </c>
      <c r="B14854" t="inlineStr">
        <is>
          <t>Jan-2021</t>
        </is>
      </c>
      <c r="C14854" s="2" t="n">
        <v>43580</v>
      </c>
      <c r="D14854" t="inlineStr">
        <is>
          <t>NON-NIL</t>
        </is>
      </c>
      <c r="E14854" t="n">
        <v>191</v>
      </c>
    </row>
    <row r="14855">
      <c r="A14855" t="inlineStr">
        <is>
          <t>27BBBBB14855Z5</t>
        </is>
      </c>
      <c r="B14855" t="inlineStr">
        <is>
          <t>Jan-2021</t>
        </is>
      </c>
      <c r="C14855" s="2" t="n">
        <v>43931</v>
      </c>
      <c r="D14855" t="inlineStr">
        <is>
          <t>NIL</t>
        </is>
      </c>
      <c r="E14855" t="n">
        <v>2381</v>
      </c>
    </row>
    <row r="14856">
      <c r="A14856" t="inlineStr">
        <is>
          <t>27BBBBB14856Z5</t>
        </is>
      </c>
      <c r="B14856" t="inlineStr">
        <is>
          <t>Jun-2018</t>
        </is>
      </c>
      <c r="C14856" s="2" t="n">
        <v>42922</v>
      </c>
      <c r="D14856" t="inlineStr">
        <is>
          <t>NON-NIL</t>
        </is>
      </c>
      <c r="E14856" t="n">
        <v>166</v>
      </c>
    </row>
    <row r="14857">
      <c r="A14857" t="inlineStr">
        <is>
          <t>27BBBBB14857Z5</t>
        </is>
      </c>
      <c r="B14857" t="inlineStr">
        <is>
          <t>Mar-2023</t>
        </is>
      </c>
      <c r="C14857" s="2" t="n">
        <v>45591</v>
      </c>
      <c r="D14857" t="inlineStr">
        <is>
          <t>NON-NIL</t>
        </is>
      </c>
      <c r="E14857" t="n">
        <v>1597</v>
      </c>
    </row>
    <row r="14858">
      <c r="A14858" t="inlineStr">
        <is>
          <t>27BBBBB14858Z5</t>
        </is>
      </c>
      <c r="B14858" t="inlineStr">
        <is>
          <t>Sep-2017</t>
        </is>
      </c>
      <c r="C14858" s="2" t="n">
        <v>42931</v>
      </c>
      <c r="D14858" t="inlineStr">
        <is>
          <t>NIL</t>
        </is>
      </c>
      <c r="E14858" t="n">
        <v>2824</v>
      </c>
    </row>
    <row r="14859">
      <c r="A14859" t="inlineStr">
        <is>
          <t>27BBBBB14859Z5</t>
        </is>
      </c>
      <c r="B14859" t="inlineStr">
        <is>
          <t>Aug-2018</t>
        </is>
      </c>
      <c r="C14859" s="2" t="n">
        <v>43656</v>
      </c>
      <c r="D14859" t="inlineStr">
        <is>
          <t>NIL</t>
        </is>
      </c>
      <c r="E14859" t="n">
        <v>1163</v>
      </c>
    </row>
    <row r="14860">
      <c r="A14860" t="inlineStr">
        <is>
          <t>27BBBBB14860Z5</t>
        </is>
      </c>
      <c r="B14860" t="inlineStr">
        <is>
          <t>May-2020</t>
        </is>
      </c>
      <c r="C14860" s="2" t="n">
        <v>44232</v>
      </c>
      <c r="D14860" t="inlineStr">
        <is>
          <t>NIL</t>
        </is>
      </c>
      <c r="E14860" t="n">
        <v>1422</v>
      </c>
    </row>
    <row r="14861">
      <c r="A14861" t="inlineStr">
        <is>
          <t>27BBBBB14861Z5</t>
        </is>
      </c>
      <c r="B14861" t="inlineStr">
        <is>
          <t>Jul-2017</t>
        </is>
      </c>
      <c r="C14861" s="2" t="n">
        <v>43536</v>
      </c>
      <c r="D14861" t="inlineStr">
        <is>
          <t>NON-NIL</t>
        </is>
      </c>
      <c r="E14861" t="n">
        <v>683</v>
      </c>
    </row>
    <row r="14862">
      <c r="A14862" t="inlineStr">
        <is>
          <t>27BBBBB14862Z5</t>
        </is>
      </c>
      <c r="B14862" t="inlineStr">
        <is>
          <t>Sep-2017</t>
        </is>
      </c>
      <c r="C14862" s="2" t="n">
        <v>43990</v>
      </c>
      <c r="D14862" t="inlineStr">
        <is>
          <t>NON-NIL</t>
        </is>
      </c>
      <c r="E14862" t="n">
        <v>477</v>
      </c>
    </row>
    <row r="14863">
      <c r="A14863" t="inlineStr">
        <is>
          <t>27BBBBB14863Z5</t>
        </is>
      </c>
      <c r="B14863" t="inlineStr">
        <is>
          <t>Nov-2017</t>
        </is>
      </c>
      <c r="C14863" s="2" t="n">
        <v>43028</v>
      </c>
      <c r="D14863" t="inlineStr">
        <is>
          <t>NIL</t>
        </is>
      </c>
      <c r="E14863" t="n">
        <v>2627</v>
      </c>
    </row>
    <row r="14864">
      <c r="A14864" t="inlineStr">
        <is>
          <t>27BBBBB14864Z5</t>
        </is>
      </c>
      <c r="B14864" t="inlineStr">
        <is>
          <t>Jul-2018</t>
        </is>
      </c>
      <c r="C14864" s="2" t="n">
        <v>43215</v>
      </c>
      <c r="D14864" t="inlineStr">
        <is>
          <t>NON-NIL</t>
        </is>
      </c>
      <c r="E14864" t="n">
        <v>1372</v>
      </c>
    </row>
    <row r="14865">
      <c r="A14865" t="inlineStr">
        <is>
          <t>27BBBBB14865Z5</t>
        </is>
      </c>
      <c r="B14865" t="inlineStr">
        <is>
          <t>Mar-2021</t>
        </is>
      </c>
      <c r="C14865" s="2" t="n">
        <v>44365</v>
      </c>
      <c r="D14865" t="inlineStr">
        <is>
          <t>NIL</t>
        </is>
      </c>
      <c r="E14865" t="n">
        <v>1542</v>
      </c>
    </row>
    <row r="14866">
      <c r="A14866" t="inlineStr">
        <is>
          <t>27BBBBB14866Z5</t>
        </is>
      </c>
      <c r="B14866" t="inlineStr">
        <is>
          <t>May-2018</t>
        </is>
      </c>
      <c r="C14866" s="2" t="n">
        <v>43784</v>
      </c>
      <c r="D14866" t="inlineStr">
        <is>
          <t>NON-NIL</t>
        </is>
      </c>
      <c r="E14866" t="n">
        <v>995</v>
      </c>
    </row>
    <row r="14867">
      <c r="A14867" t="inlineStr">
        <is>
          <t>27BBBBB14867Z5</t>
        </is>
      </c>
      <c r="B14867" t="inlineStr">
        <is>
          <t>Aug-2018</t>
        </is>
      </c>
      <c r="C14867" s="2" t="n">
        <v>44077</v>
      </c>
      <c r="D14867" t="inlineStr">
        <is>
          <t>NON-NIL</t>
        </is>
      </c>
      <c r="E14867" t="n">
        <v>2634</v>
      </c>
    </row>
    <row r="14868">
      <c r="A14868" t="inlineStr">
        <is>
          <t>27BBBBB14868Z5</t>
        </is>
      </c>
      <c r="B14868" t="inlineStr">
        <is>
          <t>Dec-2017</t>
        </is>
      </c>
      <c r="C14868" s="2" t="n">
        <v>42922</v>
      </c>
      <c r="D14868" t="inlineStr">
        <is>
          <t>NON-NIL</t>
        </is>
      </c>
      <c r="E14868" t="n">
        <v>1515</v>
      </c>
    </row>
    <row r="14869">
      <c r="A14869" t="inlineStr">
        <is>
          <t>27BBBBB14869Z5</t>
        </is>
      </c>
      <c r="B14869" t="inlineStr">
        <is>
          <t>Apr-2018</t>
        </is>
      </c>
      <c r="C14869" s="2" t="n">
        <v>43212</v>
      </c>
      <c r="D14869" t="inlineStr">
        <is>
          <t>NON-NIL</t>
        </is>
      </c>
      <c r="E14869" t="n">
        <v>1420</v>
      </c>
    </row>
    <row r="14870">
      <c r="A14870" t="inlineStr">
        <is>
          <t>27BBBBB14870Z5</t>
        </is>
      </c>
      <c r="B14870" t="inlineStr">
        <is>
          <t>Dec-2017</t>
        </is>
      </c>
      <c r="C14870" s="2" t="n">
        <v>43417</v>
      </c>
      <c r="D14870" t="inlineStr">
        <is>
          <t>NON-NIL</t>
        </is>
      </c>
      <c r="E14870" t="n">
        <v>2978</v>
      </c>
    </row>
    <row r="14871">
      <c r="A14871" t="inlineStr">
        <is>
          <t>27BBBBB14871Z5</t>
        </is>
      </c>
      <c r="B14871" t="inlineStr">
        <is>
          <t>Jul-2020</t>
        </is>
      </c>
      <c r="C14871" s="2" t="n">
        <v>44330</v>
      </c>
      <c r="D14871" t="inlineStr">
        <is>
          <t>NIL</t>
        </is>
      </c>
      <c r="E14871" t="n">
        <v>1148</v>
      </c>
    </row>
    <row r="14872">
      <c r="A14872" t="inlineStr">
        <is>
          <t>27BBBBB14872Z5</t>
        </is>
      </c>
      <c r="B14872" t="inlineStr">
        <is>
          <t>Sep-2017</t>
        </is>
      </c>
      <c r="C14872" s="2" t="n">
        <v>43581</v>
      </c>
      <c r="D14872" t="inlineStr">
        <is>
          <t>NON-NIL</t>
        </is>
      </c>
      <c r="E14872" t="n">
        <v>2063</v>
      </c>
    </row>
    <row r="14873">
      <c r="A14873" t="inlineStr">
        <is>
          <t>27BBBBB14873Z5</t>
        </is>
      </c>
      <c r="B14873" t="inlineStr">
        <is>
          <t>Dec-2018</t>
        </is>
      </c>
      <c r="C14873" s="2" t="n">
        <v>42998</v>
      </c>
      <c r="D14873" t="inlineStr">
        <is>
          <t>NON-NIL</t>
        </is>
      </c>
      <c r="E14873" t="n">
        <v>588</v>
      </c>
    </row>
    <row r="14874">
      <c r="A14874" t="inlineStr">
        <is>
          <t>27BBBBB14874Z5</t>
        </is>
      </c>
      <c r="B14874" t="inlineStr">
        <is>
          <t>Dec-2018</t>
        </is>
      </c>
      <c r="C14874" s="2" t="n">
        <v>43600</v>
      </c>
      <c r="D14874" t="inlineStr">
        <is>
          <t>NON-NIL</t>
        </is>
      </c>
      <c r="E14874" t="n">
        <v>30</v>
      </c>
    </row>
    <row r="14875">
      <c r="A14875" t="inlineStr">
        <is>
          <t>27BBBBB14875Z5</t>
        </is>
      </c>
      <c r="B14875" t="inlineStr">
        <is>
          <t>Jul-2017</t>
        </is>
      </c>
      <c r="C14875" s="2" t="n">
        <v>43916</v>
      </c>
      <c r="D14875" t="inlineStr">
        <is>
          <t>NIL</t>
        </is>
      </c>
      <c r="E14875" t="n">
        <v>2233</v>
      </c>
    </row>
    <row r="14876">
      <c r="A14876" t="inlineStr">
        <is>
          <t>27BBBBB14876Z5</t>
        </is>
      </c>
      <c r="B14876" t="inlineStr">
        <is>
          <t>Dec-2018</t>
        </is>
      </c>
      <c r="C14876" s="2" t="n">
        <v>44181</v>
      </c>
      <c r="D14876" t="inlineStr">
        <is>
          <t>NON-NIL</t>
        </is>
      </c>
      <c r="E14876" t="n">
        <v>70</v>
      </c>
    </row>
    <row r="14877">
      <c r="A14877" t="inlineStr">
        <is>
          <t>27BBBBB14877Z5</t>
        </is>
      </c>
      <c r="B14877" t="inlineStr">
        <is>
          <t>May-2020</t>
        </is>
      </c>
      <c r="C14877" s="2" t="n">
        <v>44073</v>
      </c>
      <c r="D14877" t="inlineStr">
        <is>
          <t>NIL</t>
        </is>
      </c>
      <c r="E14877" t="n">
        <v>2749</v>
      </c>
    </row>
    <row r="14878">
      <c r="A14878" t="inlineStr">
        <is>
          <t>27BBBBB14878Z5</t>
        </is>
      </c>
      <c r="B14878" t="inlineStr">
        <is>
          <t>Dec-2022</t>
        </is>
      </c>
      <c r="C14878" s="2" t="n">
        <v>44825</v>
      </c>
      <c r="D14878" t="inlineStr">
        <is>
          <t>NIL</t>
        </is>
      </c>
      <c r="E14878" t="n">
        <v>37</v>
      </c>
    </row>
    <row r="14879">
      <c r="A14879" t="inlineStr">
        <is>
          <t>27BBBBB14879Z5</t>
        </is>
      </c>
      <c r="B14879" t="inlineStr">
        <is>
          <t>Mar-2021</t>
        </is>
      </c>
      <c r="C14879" s="2" t="n">
        <v>44983</v>
      </c>
      <c r="D14879" t="inlineStr">
        <is>
          <t>NIL</t>
        </is>
      </c>
      <c r="E14879" t="n">
        <v>2848</v>
      </c>
    </row>
    <row r="14880">
      <c r="A14880" t="inlineStr">
        <is>
          <t>27BBBBB14880Z5</t>
        </is>
      </c>
      <c r="B14880" t="inlineStr">
        <is>
          <t>Mar-2023</t>
        </is>
      </c>
      <c r="C14880" s="2" t="n">
        <v>43793</v>
      </c>
      <c r="D14880" t="inlineStr">
        <is>
          <t>NIL</t>
        </is>
      </c>
      <c r="E14880" t="n">
        <v>346</v>
      </c>
    </row>
    <row r="14881">
      <c r="A14881" t="inlineStr">
        <is>
          <t>27BBBBB14881Z5</t>
        </is>
      </c>
      <c r="B14881" t="inlineStr">
        <is>
          <t>Mar-2021</t>
        </is>
      </c>
      <c r="C14881" s="2" t="n">
        <v>44630</v>
      </c>
      <c r="D14881" t="inlineStr">
        <is>
          <t>NON-NIL</t>
        </is>
      </c>
      <c r="E14881" t="n">
        <v>60</v>
      </c>
    </row>
    <row r="14882">
      <c r="A14882" t="inlineStr">
        <is>
          <t>27BBBBB14882Z5</t>
        </is>
      </c>
      <c r="B14882" t="inlineStr">
        <is>
          <t>Apr-2018</t>
        </is>
      </c>
      <c r="C14882" s="2" t="n">
        <v>43148</v>
      </c>
      <c r="D14882" t="inlineStr">
        <is>
          <t>NIL</t>
        </is>
      </c>
      <c r="E14882" t="n">
        <v>2577</v>
      </c>
    </row>
    <row r="14883">
      <c r="A14883" t="inlineStr">
        <is>
          <t>27BBBBB14883Z5</t>
        </is>
      </c>
      <c r="B14883" t="inlineStr">
        <is>
          <t>Jun-2018</t>
        </is>
      </c>
      <c r="C14883" s="2" t="n">
        <v>43951</v>
      </c>
      <c r="D14883" t="inlineStr">
        <is>
          <t>NIL</t>
        </is>
      </c>
      <c r="E14883" t="n">
        <v>563</v>
      </c>
    </row>
    <row r="14884">
      <c r="A14884" t="inlineStr">
        <is>
          <t>27BBBBB14884Z5</t>
        </is>
      </c>
      <c r="B14884" t="inlineStr">
        <is>
          <t>Nov-2018</t>
        </is>
      </c>
      <c r="C14884" s="2" t="n">
        <v>43218</v>
      </c>
      <c r="D14884" t="inlineStr">
        <is>
          <t>NON-NIL</t>
        </is>
      </c>
      <c r="E14884" t="n">
        <v>2066</v>
      </c>
    </row>
    <row r="14885">
      <c r="A14885" t="inlineStr">
        <is>
          <t>27BBBBB14885Z5</t>
        </is>
      </c>
      <c r="B14885" t="inlineStr">
        <is>
          <t>Jun-2018</t>
        </is>
      </c>
      <c r="C14885" s="2" t="n">
        <v>43871</v>
      </c>
      <c r="D14885" t="inlineStr">
        <is>
          <t>NON-NIL</t>
        </is>
      </c>
      <c r="E14885" t="n">
        <v>35</v>
      </c>
    </row>
    <row r="14886">
      <c r="A14886" t="inlineStr">
        <is>
          <t>27BBBBB14886Z5</t>
        </is>
      </c>
      <c r="B14886" t="inlineStr">
        <is>
          <t>Dec-2017</t>
        </is>
      </c>
      <c r="C14886" s="2" t="n">
        <v>44069</v>
      </c>
      <c r="D14886" t="inlineStr">
        <is>
          <t>NIL</t>
        </is>
      </c>
      <c r="E14886" t="n">
        <v>1848</v>
      </c>
    </row>
    <row r="14887">
      <c r="A14887" t="inlineStr">
        <is>
          <t>27BBBBB14887Z5</t>
        </is>
      </c>
      <c r="B14887" t="inlineStr">
        <is>
          <t>Jul-2020</t>
        </is>
      </c>
      <c r="C14887" s="2" t="n">
        <v>44070</v>
      </c>
      <c r="D14887" t="inlineStr">
        <is>
          <t>NON-NIL</t>
        </is>
      </c>
      <c r="E14887" t="n">
        <v>1724</v>
      </c>
    </row>
    <row r="14888">
      <c r="A14888" t="inlineStr">
        <is>
          <t>27BBBBB14888Z5</t>
        </is>
      </c>
      <c r="B14888" t="inlineStr">
        <is>
          <t>Jul-2017</t>
        </is>
      </c>
      <c r="C14888" s="2" t="n">
        <v>43621</v>
      </c>
      <c r="D14888" t="inlineStr">
        <is>
          <t>NIL</t>
        </is>
      </c>
      <c r="E14888" t="n">
        <v>2089</v>
      </c>
    </row>
    <row r="14889">
      <c r="A14889" t="inlineStr">
        <is>
          <t>27BBBBB14889Z5</t>
        </is>
      </c>
      <c r="B14889" t="inlineStr">
        <is>
          <t>Mar-2023</t>
        </is>
      </c>
      <c r="C14889" s="2" t="n">
        <v>44944</v>
      </c>
      <c r="D14889" t="inlineStr">
        <is>
          <t>NON-NIL</t>
        </is>
      </c>
      <c r="E14889" t="n">
        <v>602</v>
      </c>
    </row>
    <row r="14890">
      <c r="A14890" t="inlineStr">
        <is>
          <t>27BBBBB14890Z5</t>
        </is>
      </c>
      <c r="B14890" t="inlineStr">
        <is>
          <t>May-2018</t>
        </is>
      </c>
      <c r="C14890" s="2" t="n">
        <v>43584</v>
      </c>
      <c r="D14890" t="inlineStr">
        <is>
          <t>NIL</t>
        </is>
      </c>
      <c r="E14890" t="n">
        <v>2858</v>
      </c>
    </row>
    <row r="14891">
      <c r="A14891" t="inlineStr">
        <is>
          <t>27BBBBB14891Z5</t>
        </is>
      </c>
      <c r="B14891" t="inlineStr">
        <is>
          <t>Mar-2021</t>
        </is>
      </c>
      <c r="C14891" s="2" t="n">
        <v>44458</v>
      </c>
      <c r="D14891" t="inlineStr">
        <is>
          <t>NON-NIL</t>
        </is>
      </c>
      <c r="E14891" t="n">
        <v>1554</v>
      </c>
    </row>
    <row r="14892">
      <c r="A14892" t="inlineStr">
        <is>
          <t>27BBBBB14892Z5</t>
        </is>
      </c>
      <c r="B14892" t="inlineStr">
        <is>
          <t>Aug-2018</t>
        </is>
      </c>
      <c r="C14892" s="2" t="n">
        <v>43089</v>
      </c>
      <c r="D14892" t="inlineStr">
        <is>
          <t>NIL</t>
        </is>
      </c>
      <c r="E14892" t="n">
        <v>211</v>
      </c>
    </row>
    <row r="14893">
      <c r="A14893" t="inlineStr">
        <is>
          <t>27BBBBB14893Z5</t>
        </is>
      </c>
      <c r="B14893" t="inlineStr">
        <is>
          <t>Apr-2020</t>
        </is>
      </c>
      <c r="C14893" s="2" t="n">
        <v>44768</v>
      </c>
      <c r="D14893" t="inlineStr">
        <is>
          <t>NIL</t>
        </is>
      </c>
      <c r="E14893" t="n">
        <v>1126</v>
      </c>
    </row>
    <row r="14894">
      <c r="A14894" t="inlineStr">
        <is>
          <t>27BBBBB14894Z5</t>
        </is>
      </c>
      <c r="B14894" t="inlineStr">
        <is>
          <t>Jun-2018</t>
        </is>
      </c>
      <c r="C14894" s="2" t="n">
        <v>44543</v>
      </c>
      <c r="D14894" t="inlineStr">
        <is>
          <t>NON-NIL</t>
        </is>
      </c>
      <c r="E14894" t="n">
        <v>1330</v>
      </c>
    </row>
    <row r="14895">
      <c r="A14895" t="inlineStr">
        <is>
          <t>27BBBBB14895Z5</t>
        </is>
      </c>
      <c r="B14895" t="inlineStr">
        <is>
          <t>Nov-2017</t>
        </is>
      </c>
      <c r="C14895" s="2" t="n">
        <v>43110</v>
      </c>
      <c r="D14895" t="inlineStr">
        <is>
          <t>NIL</t>
        </is>
      </c>
      <c r="E14895" t="n">
        <v>554</v>
      </c>
    </row>
    <row r="14896">
      <c r="A14896" t="inlineStr">
        <is>
          <t>27BBBBB14896Z5</t>
        </is>
      </c>
      <c r="B14896" t="inlineStr">
        <is>
          <t>Oct-2017</t>
        </is>
      </c>
      <c r="C14896" s="2" t="n">
        <v>43590</v>
      </c>
      <c r="D14896" t="inlineStr">
        <is>
          <t>NON-NIL</t>
        </is>
      </c>
      <c r="E14896" t="n">
        <v>1659</v>
      </c>
    </row>
    <row r="14897">
      <c r="A14897" t="inlineStr">
        <is>
          <t>27BBBBB14897Z5</t>
        </is>
      </c>
      <c r="B14897" t="inlineStr">
        <is>
          <t>Jun-2020</t>
        </is>
      </c>
      <c r="C14897" s="2" t="n">
        <v>44223</v>
      </c>
      <c r="D14897" t="inlineStr">
        <is>
          <t>NIL</t>
        </is>
      </c>
      <c r="E14897" t="n">
        <v>2750</v>
      </c>
    </row>
    <row r="14898">
      <c r="A14898" t="inlineStr">
        <is>
          <t>27BBBBB14898Z5</t>
        </is>
      </c>
      <c r="B14898" t="inlineStr">
        <is>
          <t>Mar-2018</t>
        </is>
      </c>
      <c r="C14898" s="2" t="n">
        <v>44266</v>
      </c>
      <c r="D14898" t="inlineStr">
        <is>
          <t>NON-NIL</t>
        </is>
      </c>
      <c r="E14898" t="n">
        <v>2726</v>
      </c>
    </row>
    <row r="14899">
      <c r="A14899" t="inlineStr">
        <is>
          <t>27BBBBB14899Z5</t>
        </is>
      </c>
      <c r="B14899" t="inlineStr">
        <is>
          <t>Jul-2017</t>
        </is>
      </c>
      <c r="C14899" s="2" t="n">
        <v>43466</v>
      </c>
      <c r="D14899" t="inlineStr">
        <is>
          <t>NON-NIL</t>
        </is>
      </c>
      <c r="E14899" t="n">
        <v>2793</v>
      </c>
    </row>
    <row r="14900">
      <c r="A14900" t="inlineStr">
        <is>
          <t>27BBBBB14900Z5</t>
        </is>
      </c>
      <c r="B14900" t="inlineStr">
        <is>
          <t>Aug-2018</t>
        </is>
      </c>
      <c r="C14900" s="2" t="n">
        <v>43945</v>
      </c>
      <c r="D14900" t="inlineStr">
        <is>
          <t>NON-NIL</t>
        </is>
      </c>
      <c r="E14900" t="n">
        <v>1986</v>
      </c>
    </row>
    <row r="14901">
      <c r="A14901" t="inlineStr">
        <is>
          <t>27BBBBB14901Z5</t>
        </is>
      </c>
      <c r="B14901" t="inlineStr">
        <is>
          <t>Sep-2018</t>
        </is>
      </c>
      <c r="C14901" s="2" t="n">
        <v>43583</v>
      </c>
      <c r="D14901" t="inlineStr">
        <is>
          <t>NON-NIL</t>
        </is>
      </c>
      <c r="E14901" t="n">
        <v>661</v>
      </c>
    </row>
    <row r="14902">
      <c r="A14902" t="inlineStr">
        <is>
          <t>27BBBBB14902Z5</t>
        </is>
      </c>
      <c r="B14902" t="inlineStr">
        <is>
          <t>Jul-2018</t>
        </is>
      </c>
      <c r="C14902" s="2" t="n">
        <v>44189</v>
      </c>
      <c r="D14902" t="inlineStr">
        <is>
          <t>NIL</t>
        </is>
      </c>
      <c r="E14902" t="n">
        <v>1179</v>
      </c>
    </row>
    <row r="14903">
      <c r="A14903" t="inlineStr">
        <is>
          <t>27BBBBB14903Z5</t>
        </is>
      </c>
      <c r="B14903" t="inlineStr">
        <is>
          <t>Dec-2017</t>
        </is>
      </c>
      <c r="C14903" s="2" t="n">
        <v>44400</v>
      </c>
      <c r="D14903" t="inlineStr">
        <is>
          <t>NIL</t>
        </is>
      </c>
      <c r="E14903" t="n">
        <v>2643</v>
      </c>
    </row>
    <row r="14904">
      <c r="A14904" t="inlineStr">
        <is>
          <t>27BBBBB14904Z5</t>
        </is>
      </c>
      <c r="B14904" t="inlineStr">
        <is>
          <t>Mar-2020</t>
        </is>
      </c>
      <c r="C14904" s="2" t="n">
        <v>44128</v>
      </c>
      <c r="D14904" t="inlineStr">
        <is>
          <t>NON-NIL</t>
        </is>
      </c>
      <c r="E14904" t="n">
        <v>434</v>
      </c>
    </row>
    <row r="14905">
      <c r="A14905" t="inlineStr">
        <is>
          <t>27BBBBB14905Z5</t>
        </is>
      </c>
      <c r="B14905" t="inlineStr">
        <is>
          <t>Jul-2017</t>
        </is>
      </c>
      <c r="C14905" s="2" t="n">
        <v>43704</v>
      </c>
      <c r="D14905" t="inlineStr">
        <is>
          <t>NON-NIL</t>
        </is>
      </c>
      <c r="E14905" t="n">
        <v>1662</v>
      </c>
    </row>
    <row r="14906">
      <c r="A14906" t="inlineStr">
        <is>
          <t>27BBBBB14906Z5</t>
        </is>
      </c>
      <c r="B14906" t="inlineStr">
        <is>
          <t>Dec-2022</t>
        </is>
      </c>
      <c r="C14906" s="2" t="n">
        <v>45295</v>
      </c>
      <c r="D14906" t="inlineStr">
        <is>
          <t>NON-NIL</t>
        </is>
      </c>
      <c r="E14906" t="n">
        <v>2998</v>
      </c>
    </row>
    <row r="14907">
      <c r="A14907" t="inlineStr">
        <is>
          <t>27BBBBB14907Z5</t>
        </is>
      </c>
      <c r="B14907" t="inlineStr">
        <is>
          <t>Mar-2023</t>
        </is>
      </c>
      <c r="C14907" s="2" t="n">
        <v>44843</v>
      </c>
      <c r="D14907" t="inlineStr">
        <is>
          <t>NIL</t>
        </is>
      </c>
      <c r="E14907" t="n">
        <v>394</v>
      </c>
    </row>
    <row r="14908">
      <c r="A14908" t="inlineStr">
        <is>
          <t>27BBBBB14908Z5</t>
        </is>
      </c>
      <c r="B14908" t="inlineStr">
        <is>
          <t>Sep-2017</t>
        </is>
      </c>
      <c r="C14908" s="2" t="n">
        <v>43032</v>
      </c>
      <c r="D14908" t="inlineStr">
        <is>
          <t>NIL</t>
        </is>
      </c>
      <c r="E14908" t="n">
        <v>679</v>
      </c>
    </row>
    <row r="14909">
      <c r="A14909" t="inlineStr">
        <is>
          <t>27BBBBB14909Z5</t>
        </is>
      </c>
      <c r="B14909" t="inlineStr">
        <is>
          <t>Jan-2018</t>
        </is>
      </c>
      <c r="C14909" s="2" t="n">
        <v>43465</v>
      </c>
      <c r="D14909" t="inlineStr">
        <is>
          <t>NIL</t>
        </is>
      </c>
      <c r="E14909" t="n">
        <v>762</v>
      </c>
    </row>
    <row r="14910">
      <c r="A14910" t="inlineStr">
        <is>
          <t>27BBBBB14910Z5</t>
        </is>
      </c>
      <c r="B14910" t="inlineStr">
        <is>
          <t>Jan-2018</t>
        </is>
      </c>
      <c r="C14910" s="2" t="n">
        <v>43715</v>
      </c>
      <c r="D14910" t="inlineStr">
        <is>
          <t>NON-NIL</t>
        </is>
      </c>
      <c r="E14910" t="n">
        <v>2613</v>
      </c>
    </row>
    <row r="14911">
      <c r="A14911" t="inlineStr">
        <is>
          <t>27BBBBB14911Z5</t>
        </is>
      </c>
      <c r="B14911" t="inlineStr">
        <is>
          <t>May-2018</t>
        </is>
      </c>
      <c r="C14911" s="2" t="n">
        <v>43103</v>
      </c>
      <c r="D14911" t="inlineStr">
        <is>
          <t>NIL</t>
        </is>
      </c>
      <c r="E14911" t="n">
        <v>2233</v>
      </c>
    </row>
    <row r="14912">
      <c r="A14912" t="inlineStr">
        <is>
          <t>27BBBBB14912Z5</t>
        </is>
      </c>
      <c r="B14912" t="inlineStr">
        <is>
          <t>Aug-2018</t>
        </is>
      </c>
      <c r="C14912" s="2" t="n">
        <v>43583</v>
      </c>
      <c r="D14912" t="inlineStr">
        <is>
          <t>NIL</t>
        </is>
      </c>
      <c r="E14912" t="n">
        <v>1912</v>
      </c>
    </row>
    <row r="14913">
      <c r="A14913" t="inlineStr">
        <is>
          <t>27BBBBB14913Z5</t>
        </is>
      </c>
      <c r="B14913" t="inlineStr">
        <is>
          <t>Jan-2021</t>
        </is>
      </c>
      <c r="C14913" s="2" t="n">
        <v>45231</v>
      </c>
      <c r="D14913" t="inlineStr">
        <is>
          <t>NIL</t>
        </is>
      </c>
      <c r="E14913" t="n">
        <v>2266</v>
      </c>
    </row>
    <row r="14914">
      <c r="A14914" t="inlineStr">
        <is>
          <t>27BBBBB14914Z5</t>
        </is>
      </c>
      <c r="B14914" t="inlineStr">
        <is>
          <t>Jan-2021</t>
        </is>
      </c>
      <c r="C14914" s="2" t="n">
        <v>43660</v>
      </c>
      <c r="D14914" t="inlineStr">
        <is>
          <t>NON-NIL</t>
        </is>
      </c>
      <c r="E14914" t="n">
        <v>2462</v>
      </c>
    </row>
    <row r="14915">
      <c r="A14915" t="inlineStr">
        <is>
          <t>27BBBBB14915Z5</t>
        </is>
      </c>
      <c r="B14915" t="inlineStr">
        <is>
          <t>Apr-2018</t>
        </is>
      </c>
      <c r="C14915" s="2" t="n">
        <v>43744</v>
      </c>
      <c r="D14915" t="inlineStr">
        <is>
          <t>NON-NIL</t>
        </is>
      </c>
      <c r="E14915" t="n">
        <v>2916</v>
      </c>
    </row>
    <row r="14916">
      <c r="A14916" t="inlineStr">
        <is>
          <t>27BBBBB14916Z5</t>
        </is>
      </c>
      <c r="B14916" t="inlineStr">
        <is>
          <t>Oct-2017</t>
        </is>
      </c>
      <c r="C14916" s="2" t="n">
        <v>43379</v>
      </c>
      <c r="D14916" t="inlineStr">
        <is>
          <t>NIL</t>
        </is>
      </c>
      <c r="E14916" t="n">
        <v>825</v>
      </c>
    </row>
    <row r="14917">
      <c r="A14917" t="inlineStr">
        <is>
          <t>27BBBBB14917Z5</t>
        </is>
      </c>
      <c r="B14917" t="inlineStr">
        <is>
          <t>Jul-2017</t>
        </is>
      </c>
      <c r="C14917" s="2" t="n">
        <v>44408</v>
      </c>
      <c r="D14917" t="inlineStr">
        <is>
          <t>NIL</t>
        </is>
      </c>
      <c r="E14917" t="n">
        <v>1421</v>
      </c>
    </row>
    <row r="14918">
      <c r="A14918" t="inlineStr">
        <is>
          <t>27BBBBB14918Z5</t>
        </is>
      </c>
      <c r="B14918" t="inlineStr">
        <is>
          <t>Jul-2018</t>
        </is>
      </c>
      <c r="C14918" s="2" t="n">
        <v>43215</v>
      </c>
      <c r="D14918" t="inlineStr">
        <is>
          <t>NIL</t>
        </is>
      </c>
      <c r="E14918" t="n">
        <v>351</v>
      </c>
    </row>
    <row r="14919">
      <c r="A14919" t="inlineStr">
        <is>
          <t>27BBBBB14919Z5</t>
        </is>
      </c>
      <c r="B14919" t="inlineStr">
        <is>
          <t>Jan-2018</t>
        </is>
      </c>
      <c r="C14919" s="2" t="n">
        <v>43611</v>
      </c>
      <c r="D14919" t="inlineStr">
        <is>
          <t>NIL</t>
        </is>
      </c>
      <c r="E14919" t="n">
        <v>1637</v>
      </c>
    </row>
    <row r="14920">
      <c r="A14920" t="inlineStr">
        <is>
          <t>27BBBBB14920Z5</t>
        </is>
      </c>
      <c r="B14920" t="inlineStr">
        <is>
          <t>Mar-2018</t>
        </is>
      </c>
      <c r="C14920" s="2" t="n">
        <v>43880</v>
      </c>
      <c r="D14920" t="inlineStr">
        <is>
          <t>NIL</t>
        </is>
      </c>
      <c r="E14920" t="n">
        <v>2760</v>
      </c>
    </row>
    <row r="14921">
      <c r="A14921" t="inlineStr">
        <is>
          <t>27BBBBB14921Z5</t>
        </is>
      </c>
      <c r="B14921" t="inlineStr">
        <is>
          <t>Jul-2017</t>
        </is>
      </c>
      <c r="C14921" s="2" t="n">
        <v>44267</v>
      </c>
      <c r="D14921" t="inlineStr">
        <is>
          <t>NON-NIL</t>
        </is>
      </c>
      <c r="E14921" t="n">
        <v>2183</v>
      </c>
    </row>
    <row r="14922">
      <c r="A14922" t="inlineStr">
        <is>
          <t>27BBBBB14922Z5</t>
        </is>
      </c>
      <c r="B14922" t="inlineStr">
        <is>
          <t>Oct-2018</t>
        </is>
      </c>
      <c r="C14922" s="2" t="n">
        <v>43744</v>
      </c>
      <c r="D14922" t="inlineStr">
        <is>
          <t>NIL</t>
        </is>
      </c>
      <c r="E14922" t="n">
        <v>2774</v>
      </c>
    </row>
    <row r="14923">
      <c r="A14923" t="inlineStr">
        <is>
          <t>27BBBBB14923Z5</t>
        </is>
      </c>
      <c r="B14923" t="inlineStr">
        <is>
          <t>Sep-2017</t>
        </is>
      </c>
      <c r="C14923" s="2" t="n">
        <v>44348</v>
      </c>
      <c r="D14923" t="inlineStr">
        <is>
          <t>NIL</t>
        </is>
      </c>
      <c r="E14923" t="n">
        <v>371</v>
      </c>
    </row>
    <row r="14924">
      <c r="A14924" t="inlineStr">
        <is>
          <t>27BBBBB14924Z5</t>
        </is>
      </c>
      <c r="B14924" t="inlineStr">
        <is>
          <t>Feb-2018</t>
        </is>
      </c>
      <c r="C14924" s="2" t="n">
        <v>44326</v>
      </c>
      <c r="D14924" t="inlineStr">
        <is>
          <t>NIL</t>
        </is>
      </c>
      <c r="E14924" t="n">
        <v>205</v>
      </c>
    </row>
    <row r="14925">
      <c r="A14925" t="inlineStr">
        <is>
          <t>27BBBBB14925Z5</t>
        </is>
      </c>
      <c r="B14925" t="inlineStr">
        <is>
          <t>Jan-2021</t>
        </is>
      </c>
      <c r="C14925" s="2" t="n">
        <v>44854</v>
      </c>
      <c r="D14925" t="inlineStr">
        <is>
          <t>NON-NIL</t>
        </is>
      </c>
      <c r="E14925" t="n">
        <v>2721</v>
      </c>
    </row>
    <row r="14926">
      <c r="A14926" t="inlineStr">
        <is>
          <t>27BBBBB14926Z5</t>
        </is>
      </c>
      <c r="B14926" t="inlineStr">
        <is>
          <t>Sep-2017</t>
        </is>
      </c>
      <c r="C14926" s="2" t="n">
        <v>43654</v>
      </c>
      <c r="D14926" t="inlineStr">
        <is>
          <t>NIL</t>
        </is>
      </c>
      <c r="E14926" t="n">
        <v>2456</v>
      </c>
    </row>
    <row r="14927">
      <c r="A14927" t="inlineStr">
        <is>
          <t>27BBBBB14927Z5</t>
        </is>
      </c>
      <c r="B14927" t="inlineStr">
        <is>
          <t>Jun-2018</t>
        </is>
      </c>
      <c r="C14927" s="2" t="n">
        <v>44166</v>
      </c>
      <c r="D14927" t="inlineStr">
        <is>
          <t>NIL</t>
        </is>
      </c>
      <c r="E14927" t="n">
        <v>820</v>
      </c>
    </row>
    <row r="14928">
      <c r="A14928" t="inlineStr">
        <is>
          <t>27BBBBB14928Z5</t>
        </is>
      </c>
      <c r="B14928" t="inlineStr">
        <is>
          <t>Oct-2018</t>
        </is>
      </c>
      <c r="C14928" s="2" t="n">
        <v>43204</v>
      </c>
      <c r="D14928" t="inlineStr">
        <is>
          <t>NON-NIL</t>
        </is>
      </c>
      <c r="E14928" t="n">
        <v>331</v>
      </c>
    </row>
    <row r="14929">
      <c r="A14929" t="inlineStr">
        <is>
          <t>27BBBBB14929Z5</t>
        </is>
      </c>
      <c r="B14929" t="inlineStr">
        <is>
          <t>Jan-2018</t>
        </is>
      </c>
      <c r="C14929" s="2" t="n">
        <v>43380</v>
      </c>
      <c r="D14929" t="inlineStr">
        <is>
          <t>NON-NIL</t>
        </is>
      </c>
      <c r="E14929" t="n">
        <v>876</v>
      </c>
    </row>
    <row r="14930">
      <c r="A14930" t="inlineStr">
        <is>
          <t>27BBBBB14930Z5</t>
        </is>
      </c>
      <c r="B14930" t="inlineStr">
        <is>
          <t>Mar-2020</t>
        </is>
      </c>
      <c r="C14930" s="2" t="n">
        <v>44754</v>
      </c>
      <c r="D14930" t="inlineStr">
        <is>
          <t>NON-NIL</t>
        </is>
      </c>
      <c r="E14930" t="n">
        <v>1183</v>
      </c>
    </row>
    <row r="14931">
      <c r="A14931" t="inlineStr">
        <is>
          <t>27BBBBB14931Z5</t>
        </is>
      </c>
      <c r="B14931" t="inlineStr">
        <is>
          <t>Aug-2018</t>
        </is>
      </c>
      <c r="C14931" s="2" t="n">
        <v>44036</v>
      </c>
      <c r="D14931" t="inlineStr">
        <is>
          <t>NIL</t>
        </is>
      </c>
      <c r="E14931" t="n">
        <v>2864</v>
      </c>
    </row>
    <row r="14932">
      <c r="A14932" t="inlineStr">
        <is>
          <t>27BBBBB14932Z5</t>
        </is>
      </c>
      <c r="B14932" t="inlineStr">
        <is>
          <t>Jan-2018</t>
        </is>
      </c>
      <c r="C14932" s="2" t="n">
        <v>43954</v>
      </c>
      <c r="D14932" t="inlineStr">
        <is>
          <t>NON-NIL</t>
        </is>
      </c>
      <c r="E14932" t="n">
        <v>1941</v>
      </c>
    </row>
    <row r="14933">
      <c r="A14933" t="inlineStr">
        <is>
          <t>27BBBBB14933Z5</t>
        </is>
      </c>
      <c r="B14933" t="inlineStr">
        <is>
          <t>Jan-2018</t>
        </is>
      </c>
      <c r="C14933" s="2" t="n">
        <v>43164</v>
      </c>
      <c r="D14933" t="inlineStr">
        <is>
          <t>NIL</t>
        </is>
      </c>
      <c r="E14933" t="n">
        <v>1511</v>
      </c>
    </row>
    <row r="14934">
      <c r="A14934" t="inlineStr">
        <is>
          <t>27BBBBB14934Z5</t>
        </is>
      </c>
      <c r="B14934" t="inlineStr">
        <is>
          <t>Sep-2018</t>
        </is>
      </c>
      <c r="C14934" s="2" t="n">
        <v>43357</v>
      </c>
      <c r="D14934" t="inlineStr">
        <is>
          <t>NIL</t>
        </is>
      </c>
      <c r="E14934" t="n">
        <v>1112</v>
      </c>
    </row>
    <row r="14935">
      <c r="A14935" t="inlineStr">
        <is>
          <t>27BBBBB14935Z5</t>
        </is>
      </c>
      <c r="B14935" t="inlineStr">
        <is>
          <t>Aug-2017</t>
        </is>
      </c>
      <c r="C14935" s="2" t="n">
        <v>43559</v>
      </c>
      <c r="D14935" t="inlineStr">
        <is>
          <t>NIL</t>
        </is>
      </c>
      <c r="E14935" t="n">
        <v>1021</v>
      </c>
    </row>
    <row r="14936">
      <c r="A14936" t="inlineStr">
        <is>
          <t>27BBBBB14936Z5</t>
        </is>
      </c>
      <c r="B14936" t="inlineStr">
        <is>
          <t>Mar-2020</t>
        </is>
      </c>
      <c r="C14936" s="2" t="n">
        <v>43847</v>
      </c>
      <c r="D14936" t="inlineStr">
        <is>
          <t>NIL</t>
        </is>
      </c>
      <c r="E14936" t="n">
        <v>1724</v>
      </c>
    </row>
    <row r="14937">
      <c r="A14937" t="inlineStr">
        <is>
          <t>27BBBBB14937Z5</t>
        </is>
      </c>
      <c r="B14937" t="inlineStr">
        <is>
          <t>May-2018</t>
        </is>
      </c>
      <c r="C14937" s="2" t="n">
        <v>44159</v>
      </c>
      <c r="D14937" t="inlineStr">
        <is>
          <t>NIL</t>
        </is>
      </c>
      <c r="E14937" t="n">
        <v>1781</v>
      </c>
    </row>
    <row r="14938">
      <c r="A14938" t="inlineStr">
        <is>
          <t>27BBBBB14938Z5</t>
        </is>
      </c>
      <c r="B14938" t="inlineStr">
        <is>
          <t>Jul-2018</t>
        </is>
      </c>
      <c r="C14938" s="2" t="n">
        <v>43596</v>
      </c>
      <c r="D14938" t="inlineStr">
        <is>
          <t>NIL</t>
        </is>
      </c>
      <c r="E14938" t="n">
        <v>2318</v>
      </c>
    </row>
    <row r="14939">
      <c r="A14939" t="inlineStr">
        <is>
          <t>27BBBBB14939Z5</t>
        </is>
      </c>
      <c r="B14939" t="inlineStr">
        <is>
          <t>Feb-2018</t>
        </is>
      </c>
      <c r="C14939" s="2" t="n">
        <v>43905</v>
      </c>
      <c r="D14939" t="inlineStr">
        <is>
          <t>NIL</t>
        </is>
      </c>
      <c r="E14939" t="n">
        <v>183</v>
      </c>
    </row>
    <row r="14940">
      <c r="A14940" t="inlineStr">
        <is>
          <t>27BBBBB14940Z5</t>
        </is>
      </c>
      <c r="B14940" t="inlineStr">
        <is>
          <t>Aug-2017</t>
        </is>
      </c>
      <c r="C14940" s="2" t="n">
        <v>43119</v>
      </c>
      <c r="D14940" t="inlineStr">
        <is>
          <t>NON-NIL</t>
        </is>
      </c>
      <c r="E14940" t="n">
        <v>804</v>
      </c>
    </row>
    <row r="14941">
      <c r="A14941" t="inlineStr">
        <is>
          <t>27BBBBB14941Z5</t>
        </is>
      </c>
      <c r="B14941" t="inlineStr">
        <is>
          <t>Dec-2018</t>
        </is>
      </c>
      <c r="C14941" s="2" t="n">
        <v>44030</v>
      </c>
      <c r="D14941" t="inlineStr">
        <is>
          <t>NIL</t>
        </is>
      </c>
      <c r="E14941" t="n">
        <v>1942</v>
      </c>
    </row>
    <row r="14942">
      <c r="A14942" t="inlineStr">
        <is>
          <t>27BBBBB14942Z5</t>
        </is>
      </c>
      <c r="B14942" t="inlineStr">
        <is>
          <t>Oct-2018</t>
        </is>
      </c>
      <c r="C14942" s="2" t="n">
        <v>43185</v>
      </c>
      <c r="D14942" t="inlineStr">
        <is>
          <t>NIL</t>
        </is>
      </c>
      <c r="E14942" t="n">
        <v>59</v>
      </c>
    </row>
    <row r="14943">
      <c r="A14943" t="inlineStr">
        <is>
          <t>27BBBBB14943Z5</t>
        </is>
      </c>
      <c r="B14943" t="inlineStr">
        <is>
          <t>Dec-2022</t>
        </is>
      </c>
      <c r="C14943" s="2" t="n">
        <v>43823</v>
      </c>
      <c r="D14943" t="inlineStr">
        <is>
          <t>NIL</t>
        </is>
      </c>
      <c r="E14943" t="n">
        <v>2580</v>
      </c>
    </row>
    <row r="14944">
      <c r="A14944" t="inlineStr">
        <is>
          <t>27BBBBB14944Z5</t>
        </is>
      </c>
      <c r="B14944" t="inlineStr">
        <is>
          <t>Jan-2021</t>
        </is>
      </c>
      <c r="C14944" s="2" t="n">
        <v>44238</v>
      </c>
      <c r="D14944" t="inlineStr">
        <is>
          <t>NIL</t>
        </is>
      </c>
      <c r="E14944" t="n">
        <v>2111</v>
      </c>
    </row>
    <row r="14945">
      <c r="A14945" t="inlineStr">
        <is>
          <t>27BBBBB14945Z5</t>
        </is>
      </c>
      <c r="B14945" t="inlineStr">
        <is>
          <t>Feb-2018</t>
        </is>
      </c>
      <c r="C14945" s="2" t="n">
        <v>43092</v>
      </c>
      <c r="D14945" t="inlineStr">
        <is>
          <t>NIL</t>
        </is>
      </c>
      <c r="E14945" t="n">
        <v>271</v>
      </c>
    </row>
    <row r="14946">
      <c r="A14946" t="inlineStr">
        <is>
          <t>27BBBBB14946Z5</t>
        </is>
      </c>
      <c r="B14946" t="inlineStr">
        <is>
          <t>Jul-2017</t>
        </is>
      </c>
      <c r="C14946" s="2" t="n">
        <v>43301</v>
      </c>
      <c r="D14946" t="inlineStr">
        <is>
          <t>NON-NIL</t>
        </is>
      </c>
      <c r="E14946" t="n">
        <v>1199</v>
      </c>
    </row>
    <row r="14947">
      <c r="A14947" t="inlineStr">
        <is>
          <t>27BBBBB14947Z5</t>
        </is>
      </c>
      <c r="B14947" t="inlineStr">
        <is>
          <t>Oct-2018</t>
        </is>
      </c>
      <c r="C14947" s="2" t="n">
        <v>43231</v>
      </c>
      <c r="D14947" t="inlineStr">
        <is>
          <t>NON-NIL</t>
        </is>
      </c>
      <c r="E14947" t="n">
        <v>1782</v>
      </c>
    </row>
    <row r="14948">
      <c r="A14948" t="inlineStr">
        <is>
          <t>27BBBBB14948Z5</t>
        </is>
      </c>
      <c r="B14948" t="inlineStr">
        <is>
          <t>Jul-2020</t>
        </is>
      </c>
      <c r="C14948" s="2" t="n">
        <v>44422</v>
      </c>
      <c r="D14948" t="inlineStr">
        <is>
          <t>NON-NIL</t>
        </is>
      </c>
      <c r="E14948" t="n">
        <v>2682</v>
      </c>
    </row>
    <row r="14949">
      <c r="A14949" t="inlineStr">
        <is>
          <t>27BBBBB14949Z5</t>
        </is>
      </c>
      <c r="B14949" t="inlineStr">
        <is>
          <t>Mar-2020</t>
        </is>
      </c>
      <c r="C14949" s="2" t="n">
        <v>44437</v>
      </c>
      <c r="D14949" t="inlineStr">
        <is>
          <t>NON-NIL</t>
        </is>
      </c>
      <c r="E14949" t="n">
        <v>2869</v>
      </c>
    </row>
    <row r="14950">
      <c r="A14950" t="inlineStr">
        <is>
          <t>27BBBBB14950Z5</t>
        </is>
      </c>
      <c r="B14950" t="inlineStr">
        <is>
          <t>Sep-2017</t>
        </is>
      </c>
      <c r="C14950" s="2" t="n">
        <v>43422</v>
      </c>
      <c r="D14950" t="inlineStr">
        <is>
          <t>NIL</t>
        </is>
      </c>
      <c r="E14950" t="n">
        <v>1869</v>
      </c>
    </row>
    <row r="14951">
      <c r="A14951" t="inlineStr">
        <is>
          <t>27BBBBB14951Z5</t>
        </is>
      </c>
      <c r="B14951" t="inlineStr">
        <is>
          <t>Dec-2022</t>
        </is>
      </c>
      <c r="C14951" s="2" t="n">
        <v>44053</v>
      </c>
      <c r="D14951" t="inlineStr">
        <is>
          <t>NIL</t>
        </is>
      </c>
      <c r="E14951" t="n">
        <v>1724</v>
      </c>
    </row>
    <row r="14952">
      <c r="A14952" t="inlineStr">
        <is>
          <t>27BBBBB14952Z5</t>
        </is>
      </c>
      <c r="B14952" t="inlineStr">
        <is>
          <t>Oct-2017</t>
        </is>
      </c>
      <c r="C14952" s="2" t="n">
        <v>42930</v>
      </c>
      <c r="D14952" t="inlineStr">
        <is>
          <t>NIL</t>
        </is>
      </c>
      <c r="E14952" t="n">
        <v>2067</v>
      </c>
    </row>
    <row r="14953">
      <c r="A14953" t="inlineStr">
        <is>
          <t>27BBBBB14953Z5</t>
        </is>
      </c>
      <c r="B14953" t="inlineStr">
        <is>
          <t>Dec-2022</t>
        </is>
      </c>
      <c r="C14953" s="2" t="n">
        <v>44455</v>
      </c>
      <c r="D14953" t="inlineStr">
        <is>
          <t>NON-NIL</t>
        </is>
      </c>
      <c r="E14953" t="n">
        <v>2344</v>
      </c>
    </row>
    <row r="14954">
      <c r="A14954" t="inlineStr">
        <is>
          <t>27BBBBB14954Z5</t>
        </is>
      </c>
      <c r="B14954" t="inlineStr">
        <is>
          <t>Aug-2018</t>
        </is>
      </c>
      <c r="C14954" s="2" t="n">
        <v>44224</v>
      </c>
      <c r="D14954" t="inlineStr">
        <is>
          <t>NIL</t>
        </is>
      </c>
      <c r="E14954" t="n">
        <v>1655</v>
      </c>
    </row>
    <row r="14955">
      <c r="A14955" t="inlineStr">
        <is>
          <t>27BBBBB14955Z5</t>
        </is>
      </c>
      <c r="B14955" t="inlineStr">
        <is>
          <t>May-2020</t>
        </is>
      </c>
      <c r="C14955" s="2" t="n">
        <v>44051</v>
      </c>
      <c r="D14955" t="inlineStr">
        <is>
          <t>NON-NIL</t>
        </is>
      </c>
      <c r="E14955" t="n">
        <v>1133</v>
      </c>
    </row>
    <row r="14956">
      <c r="A14956" t="inlineStr">
        <is>
          <t>27BBBBB14956Z5</t>
        </is>
      </c>
      <c r="B14956" t="inlineStr">
        <is>
          <t>Jul-2020</t>
        </is>
      </c>
      <c r="C14956" s="2" t="n">
        <v>44268</v>
      </c>
      <c r="D14956" t="inlineStr">
        <is>
          <t>NIL</t>
        </is>
      </c>
      <c r="E14956" t="n">
        <v>762</v>
      </c>
    </row>
    <row r="14957">
      <c r="A14957" t="inlineStr">
        <is>
          <t>27BBBBB14957Z5</t>
        </is>
      </c>
      <c r="B14957" t="inlineStr">
        <is>
          <t>Jan-2018</t>
        </is>
      </c>
      <c r="C14957" s="2" t="n">
        <v>42981</v>
      </c>
      <c r="D14957" t="inlineStr">
        <is>
          <t>NON-NIL</t>
        </is>
      </c>
      <c r="E14957" t="n">
        <v>2080</v>
      </c>
    </row>
    <row r="14958">
      <c r="A14958" t="inlineStr">
        <is>
          <t>27BBBBB14958Z5</t>
        </is>
      </c>
      <c r="B14958" t="inlineStr">
        <is>
          <t>Sep-2017</t>
        </is>
      </c>
      <c r="C14958" s="2" t="n">
        <v>43271</v>
      </c>
      <c r="D14958" t="inlineStr">
        <is>
          <t>NON-NIL</t>
        </is>
      </c>
      <c r="E14958" t="n">
        <v>2999</v>
      </c>
    </row>
    <row r="14959">
      <c r="A14959" t="inlineStr">
        <is>
          <t>27BBBBB14959Z5</t>
        </is>
      </c>
      <c r="B14959" t="inlineStr">
        <is>
          <t>Nov-2018</t>
        </is>
      </c>
      <c r="C14959" s="2" t="n">
        <v>43887</v>
      </c>
      <c r="D14959" t="inlineStr">
        <is>
          <t>NIL</t>
        </is>
      </c>
      <c r="E14959" t="n">
        <v>2637</v>
      </c>
    </row>
    <row r="14960">
      <c r="A14960" t="inlineStr">
        <is>
          <t>27BBBBB14960Z5</t>
        </is>
      </c>
      <c r="B14960" t="inlineStr">
        <is>
          <t>May-2020</t>
        </is>
      </c>
      <c r="C14960" s="2" t="n">
        <v>44004</v>
      </c>
      <c r="D14960" t="inlineStr">
        <is>
          <t>NIL</t>
        </is>
      </c>
      <c r="E14960" t="n">
        <v>535</v>
      </c>
    </row>
    <row r="14961">
      <c r="A14961" t="inlineStr">
        <is>
          <t>27BBBBB14961Z5</t>
        </is>
      </c>
      <c r="B14961" t="inlineStr">
        <is>
          <t>May-2018</t>
        </is>
      </c>
      <c r="C14961" s="2" t="n">
        <v>43279</v>
      </c>
      <c r="D14961" t="inlineStr">
        <is>
          <t>NON-NIL</t>
        </is>
      </c>
      <c r="E14961" t="n">
        <v>168</v>
      </c>
    </row>
    <row r="14962">
      <c r="A14962" t="inlineStr">
        <is>
          <t>27BBBBB14962Z5</t>
        </is>
      </c>
      <c r="B14962" t="inlineStr">
        <is>
          <t>Aug-2018</t>
        </is>
      </c>
      <c r="C14962" s="2" t="n">
        <v>44224</v>
      </c>
      <c r="D14962" t="inlineStr">
        <is>
          <t>NIL</t>
        </is>
      </c>
      <c r="E14962" t="n">
        <v>572</v>
      </c>
    </row>
    <row r="14963">
      <c r="A14963" t="inlineStr">
        <is>
          <t>27BBBBB14963Z5</t>
        </is>
      </c>
      <c r="B14963" t="inlineStr">
        <is>
          <t>Nov-2017</t>
        </is>
      </c>
      <c r="C14963" s="2" t="n">
        <v>43716</v>
      </c>
      <c r="D14963" t="inlineStr">
        <is>
          <t>NIL</t>
        </is>
      </c>
      <c r="E14963" t="n">
        <v>2781</v>
      </c>
    </row>
    <row r="14964">
      <c r="A14964" t="inlineStr">
        <is>
          <t>27BBBBB14964Z5</t>
        </is>
      </c>
      <c r="B14964" t="inlineStr">
        <is>
          <t>Aug-2018</t>
        </is>
      </c>
      <c r="C14964" s="2" t="n">
        <v>44335</v>
      </c>
      <c r="D14964" t="inlineStr">
        <is>
          <t>NIL</t>
        </is>
      </c>
      <c r="E14964" t="n">
        <v>1177</v>
      </c>
    </row>
    <row r="14965">
      <c r="A14965" t="inlineStr">
        <is>
          <t>27BBBBB14965Z5</t>
        </is>
      </c>
      <c r="B14965" t="inlineStr">
        <is>
          <t>Jan-2021</t>
        </is>
      </c>
      <c r="C14965" s="2" t="n">
        <v>44175</v>
      </c>
      <c r="D14965" t="inlineStr">
        <is>
          <t>NON-NIL</t>
        </is>
      </c>
      <c r="E14965" t="n">
        <v>1280</v>
      </c>
    </row>
    <row r="14966">
      <c r="A14966" t="inlineStr">
        <is>
          <t>27BBBBB14966Z5</t>
        </is>
      </c>
      <c r="B14966" t="inlineStr">
        <is>
          <t>Dec-2018</t>
        </is>
      </c>
      <c r="C14966" s="2" t="n">
        <v>43804</v>
      </c>
      <c r="D14966" t="inlineStr">
        <is>
          <t>NON-NIL</t>
        </is>
      </c>
      <c r="E14966" t="n">
        <v>335</v>
      </c>
    </row>
    <row r="14967">
      <c r="A14967" t="inlineStr">
        <is>
          <t>27BBBBB14967Z5</t>
        </is>
      </c>
      <c r="B14967" t="inlineStr">
        <is>
          <t>Apr-2018</t>
        </is>
      </c>
      <c r="C14967" s="2" t="n">
        <v>43606</v>
      </c>
      <c r="D14967" t="inlineStr">
        <is>
          <t>NIL</t>
        </is>
      </c>
      <c r="E14967" t="n">
        <v>927</v>
      </c>
    </row>
    <row r="14968">
      <c r="A14968" t="inlineStr">
        <is>
          <t>27BBBBB14968Z5</t>
        </is>
      </c>
      <c r="B14968" t="inlineStr">
        <is>
          <t>Sep-2017</t>
        </is>
      </c>
      <c r="C14968" s="2" t="n">
        <v>43327</v>
      </c>
      <c r="D14968" t="inlineStr">
        <is>
          <t>NON-NIL</t>
        </is>
      </c>
      <c r="E14968" t="n">
        <v>675</v>
      </c>
    </row>
    <row r="14969">
      <c r="A14969" t="inlineStr">
        <is>
          <t>27BBBBB14969Z5</t>
        </is>
      </c>
      <c r="B14969" t="inlineStr">
        <is>
          <t>Dec-2018</t>
        </is>
      </c>
      <c r="C14969" s="2" t="n">
        <v>43871</v>
      </c>
      <c r="D14969" t="inlineStr">
        <is>
          <t>NIL</t>
        </is>
      </c>
      <c r="E14969" t="n">
        <v>940</v>
      </c>
    </row>
    <row r="14970">
      <c r="A14970" t="inlineStr">
        <is>
          <t>27BBBBB14970Z5</t>
        </is>
      </c>
      <c r="B14970" t="inlineStr">
        <is>
          <t>Jan-2018</t>
        </is>
      </c>
      <c r="C14970" s="2" t="n">
        <v>42961</v>
      </c>
      <c r="D14970" t="inlineStr">
        <is>
          <t>NON-NIL</t>
        </is>
      </c>
      <c r="E14970" t="n">
        <v>1825</v>
      </c>
    </row>
    <row r="14971">
      <c r="A14971" t="inlineStr">
        <is>
          <t>27BBBBB14971Z5</t>
        </is>
      </c>
      <c r="B14971" t="inlineStr">
        <is>
          <t>Jan-2018</t>
        </is>
      </c>
      <c r="C14971" s="2" t="n">
        <v>43872</v>
      </c>
      <c r="D14971" t="inlineStr">
        <is>
          <t>NON-NIL</t>
        </is>
      </c>
      <c r="E14971" t="n">
        <v>873</v>
      </c>
    </row>
    <row r="14972">
      <c r="A14972" t="inlineStr">
        <is>
          <t>27BBBBB14972Z5</t>
        </is>
      </c>
      <c r="B14972" t="inlineStr">
        <is>
          <t>Apr-2018</t>
        </is>
      </c>
      <c r="C14972" s="2" t="n">
        <v>43939</v>
      </c>
      <c r="D14972" t="inlineStr">
        <is>
          <t>NON-NIL</t>
        </is>
      </c>
      <c r="E14972" t="n">
        <v>1907</v>
      </c>
    </row>
    <row r="14973">
      <c r="A14973" t="inlineStr">
        <is>
          <t>27BBBBB14973Z5</t>
        </is>
      </c>
      <c r="B14973" t="inlineStr">
        <is>
          <t>Mar-2018</t>
        </is>
      </c>
      <c r="C14973" s="2" t="n">
        <v>44554</v>
      </c>
      <c r="D14973" t="inlineStr">
        <is>
          <t>NON-NIL</t>
        </is>
      </c>
      <c r="E14973" t="n">
        <v>1217</v>
      </c>
    </row>
    <row r="14974">
      <c r="A14974" t="inlineStr">
        <is>
          <t>27BBBBB14974Z5</t>
        </is>
      </c>
      <c r="B14974" t="inlineStr">
        <is>
          <t>Jul-2017</t>
        </is>
      </c>
      <c r="C14974" s="2" t="n">
        <v>43225</v>
      </c>
      <c r="D14974" t="inlineStr">
        <is>
          <t>NIL</t>
        </is>
      </c>
      <c r="E14974" t="n">
        <v>61</v>
      </c>
    </row>
    <row r="14975">
      <c r="A14975" t="inlineStr">
        <is>
          <t>27BBBBB14975Z5</t>
        </is>
      </c>
      <c r="B14975" t="inlineStr">
        <is>
          <t>Jun-2018</t>
        </is>
      </c>
      <c r="C14975" s="2" t="n">
        <v>43643</v>
      </c>
      <c r="D14975" t="inlineStr">
        <is>
          <t>NON-NIL</t>
        </is>
      </c>
      <c r="E14975" t="n">
        <v>2843</v>
      </c>
    </row>
    <row r="14976">
      <c r="A14976" t="inlineStr">
        <is>
          <t>27BBBBB14976Z5</t>
        </is>
      </c>
      <c r="B14976" t="inlineStr">
        <is>
          <t>Sep-2017</t>
        </is>
      </c>
      <c r="C14976" s="2" t="n">
        <v>43179</v>
      </c>
      <c r="D14976" t="inlineStr">
        <is>
          <t>NIL</t>
        </is>
      </c>
      <c r="E14976" t="n">
        <v>642</v>
      </c>
    </row>
    <row r="14977">
      <c r="A14977" t="inlineStr">
        <is>
          <t>27BBBBB14977Z5</t>
        </is>
      </c>
      <c r="B14977" t="inlineStr">
        <is>
          <t>Apr-2018</t>
        </is>
      </c>
      <c r="C14977" s="2" t="n">
        <v>43214</v>
      </c>
      <c r="D14977" t="inlineStr">
        <is>
          <t>NIL</t>
        </is>
      </c>
      <c r="E14977" t="n">
        <v>1364</v>
      </c>
    </row>
    <row r="14978">
      <c r="A14978" t="inlineStr">
        <is>
          <t>27BBBBB14978Z5</t>
        </is>
      </c>
      <c r="B14978" t="inlineStr">
        <is>
          <t>Mar-2021</t>
        </is>
      </c>
      <c r="C14978" s="2" t="n">
        <v>44507</v>
      </c>
      <c r="D14978" t="inlineStr">
        <is>
          <t>NON-NIL</t>
        </is>
      </c>
      <c r="E14978" t="n">
        <v>275</v>
      </c>
    </row>
    <row r="14979">
      <c r="A14979" t="inlineStr">
        <is>
          <t>27BBBBB14979Z5</t>
        </is>
      </c>
      <c r="B14979" t="inlineStr">
        <is>
          <t>Aug-2017</t>
        </is>
      </c>
      <c r="C14979" s="2" t="n">
        <v>44265</v>
      </c>
      <c r="D14979" t="inlineStr">
        <is>
          <t>NON-NIL</t>
        </is>
      </c>
      <c r="E14979" t="n">
        <v>52</v>
      </c>
    </row>
    <row r="14980">
      <c r="A14980" t="inlineStr">
        <is>
          <t>27BBBBB14980Z5</t>
        </is>
      </c>
      <c r="B14980" t="inlineStr">
        <is>
          <t>Dec-2022</t>
        </is>
      </c>
      <c r="C14980" s="2" t="n">
        <v>43952</v>
      </c>
      <c r="D14980" t="inlineStr">
        <is>
          <t>NON-NIL</t>
        </is>
      </c>
      <c r="E14980" t="n">
        <v>202</v>
      </c>
    </row>
    <row r="14981">
      <c r="A14981" t="inlineStr">
        <is>
          <t>27BBBBB14981Z5</t>
        </is>
      </c>
      <c r="B14981" t="inlineStr">
        <is>
          <t>Feb-2018</t>
        </is>
      </c>
      <c r="C14981" s="2" t="n">
        <v>43390</v>
      </c>
      <c r="D14981" t="inlineStr">
        <is>
          <t>NON-NIL</t>
        </is>
      </c>
      <c r="E14981" t="n">
        <v>2030</v>
      </c>
    </row>
    <row r="14982">
      <c r="A14982" t="inlineStr">
        <is>
          <t>27BBBBB14982Z5</t>
        </is>
      </c>
      <c r="B14982" t="inlineStr">
        <is>
          <t>Aug-2018</t>
        </is>
      </c>
      <c r="C14982" s="2" t="n">
        <v>44130</v>
      </c>
      <c r="D14982" t="inlineStr">
        <is>
          <t>NIL</t>
        </is>
      </c>
      <c r="E14982" t="n">
        <v>558</v>
      </c>
    </row>
    <row r="14983">
      <c r="A14983" t="inlineStr">
        <is>
          <t>27BBBBB14983Z5</t>
        </is>
      </c>
      <c r="B14983" t="inlineStr">
        <is>
          <t>Feb-2018</t>
        </is>
      </c>
      <c r="C14983" s="2" t="n">
        <v>43635</v>
      </c>
      <c r="D14983" t="inlineStr">
        <is>
          <t>NON-NIL</t>
        </is>
      </c>
      <c r="E14983" t="n">
        <v>2348</v>
      </c>
    </row>
    <row r="14984">
      <c r="A14984" t="inlineStr">
        <is>
          <t>27BBBBB14984Z5</t>
        </is>
      </c>
      <c r="B14984" t="inlineStr">
        <is>
          <t>Oct-2017</t>
        </is>
      </c>
      <c r="C14984" s="2" t="n">
        <v>44560</v>
      </c>
      <c r="D14984" t="inlineStr">
        <is>
          <t>NIL</t>
        </is>
      </c>
      <c r="E14984" t="n">
        <v>41</v>
      </c>
    </row>
    <row r="14985">
      <c r="A14985" t="inlineStr">
        <is>
          <t>27BBBBB14985Z5</t>
        </is>
      </c>
      <c r="B14985" t="inlineStr">
        <is>
          <t>May-2020</t>
        </is>
      </c>
      <c r="C14985" s="2" t="n">
        <v>44215</v>
      </c>
      <c r="D14985" t="inlineStr">
        <is>
          <t>NIL</t>
        </is>
      </c>
      <c r="E14985" t="n">
        <v>398</v>
      </c>
    </row>
    <row r="14986">
      <c r="A14986" t="inlineStr">
        <is>
          <t>27BBBBB14986Z5</t>
        </is>
      </c>
      <c r="B14986" t="inlineStr">
        <is>
          <t>Jul-2018</t>
        </is>
      </c>
      <c r="C14986" s="2" t="n">
        <v>43843</v>
      </c>
      <c r="D14986" t="inlineStr">
        <is>
          <t>NON-NIL</t>
        </is>
      </c>
      <c r="E14986" t="n">
        <v>2906</v>
      </c>
    </row>
    <row r="14987">
      <c r="A14987" t="inlineStr">
        <is>
          <t>27BBBBB14987Z5</t>
        </is>
      </c>
      <c r="B14987" t="inlineStr">
        <is>
          <t>Mar-2021</t>
        </is>
      </c>
      <c r="C14987" s="2" t="n">
        <v>43502</v>
      </c>
      <c r="D14987" t="inlineStr">
        <is>
          <t>NON-NIL</t>
        </is>
      </c>
      <c r="E14987" t="n">
        <v>728</v>
      </c>
    </row>
    <row r="14988">
      <c r="A14988" t="inlineStr">
        <is>
          <t>27BBBBB14988Z5</t>
        </is>
      </c>
      <c r="B14988" t="inlineStr">
        <is>
          <t>Aug-2017</t>
        </is>
      </c>
      <c r="C14988" s="2" t="n">
        <v>43922</v>
      </c>
      <c r="D14988" t="inlineStr">
        <is>
          <t>NIL</t>
        </is>
      </c>
      <c r="E14988" t="n">
        <v>2338</v>
      </c>
    </row>
    <row r="14989">
      <c r="A14989" t="inlineStr">
        <is>
          <t>27BBBBB14989Z5</t>
        </is>
      </c>
      <c r="B14989" t="inlineStr">
        <is>
          <t>Jan-2021</t>
        </is>
      </c>
      <c r="C14989" s="2" t="n">
        <v>45615</v>
      </c>
      <c r="D14989" t="inlineStr">
        <is>
          <t>NON-NIL</t>
        </is>
      </c>
      <c r="E14989" t="n">
        <v>1841</v>
      </c>
    </row>
    <row r="14990">
      <c r="A14990" t="inlineStr">
        <is>
          <t>27BBBBB14990Z5</t>
        </is>
      </c>
      <c r="B14990" t="inlineStr">
        <is>
          <t>Dec-2022</t>
        </is>
      </c>
      <c r="C14990" s="2" t="n">
        <v>45821</v>
      </c>
      <c r="D14990" t="inlineStr">
        <is>
          <t>NON-NIL</t>
        </is>
      </c>
      <c r="E14990" t="n">
        <v>351</v>
      </c>
    </row>
    <row r="14991">
      <c r="A14991" t="inlineStr">
        <is>
          <t>27BBBBB14991Z5</t>
        </is>
      </c>
      <c r="B14991" t="inlineStr">
        <is>
          <t>Apr-2018</t>
        </is>
      </c>
      <c r="C14991" s="2" t="n">
        <v>43329</v>
      </c>
      <c r="D14991" t="inlineStr">
        <is>
          <t>NIL</t>
        </is>
      </c>
      <c r="E14991" t="n">
        <v>1647</v>
      </c>
    </row>
    <row r="14992">
      <c r="A14992" t="inlineStr">
        <is>
          <t>27BBBBB14992Z5</t>
        </is>
      </c>
      <c r="B14992" t="inlineStr">
        <is>
          <t>Jun-2018</t>
        </is>
      </c>
      <c r="C14992" s="2" t="n">
        <v>44346</v>
      </c>
      <c r="D14992" t="inlineStr">
        <is>
          <t>NON-NIL</t>
        </is>
      </c>
      <c r="E14992" t="n">
        <v>1297</v>
      </c>
    </row>
    <row r="14993">
      <c r="A14993" t="inlineStr">
        <is>
          <t>27BBBBB14993Z5</t>
        </is>
      </c>
      <c r="B14993" t="inlineStr">
        <is>
          <t>Jan-2021</t>
        </is>
      </c>
      <c r="C14993" s="2" t="n">
        <v>45486</v>
      </c>
      <c r="D14993" t="inlineStr">
        <is>
          <t>NON-NIL</t>
        </is>
      </c>
      <c r="E14993" t="n">
        <v>1436</v>
      </c>
    </row>
    <row r="14994">
      <c r="A14994" t="inlineStr">
        <is>
          <t>27BBBBB14994Z5</t>
        </is>
      </c>
      <c r="B14994" t="inlineStr">
        <is>
          <t>Apr-2018</t>
        </is>
      </c>
      <c r="C14994" s="2" t="n">
        <v>44544</v>
      </c>
      <c r="D14994" t="inlineStr">
        <is>
          <t>NON-NIL</t>
        </is>
      </c>
      <c r="E14994" t="n">
        <v>2302</v>
      </c>
    </row>
    <row r="14995">
      <c r="A14995" t="inlineStr">
        <is>
          <t>27BBBBB14995Z5</t>
        </is>
      </c>
      <c r="B14995" t="inlineStr">
        <is>
          <t>Oct-2017</t>
        </is>
      </c>
      <c r="C14995" s="2" t="n">
        <v>44211</v>
      </c>
      <c r="D14995" t="inlineStr">
        <is>
          <t>NON-NIL</t>
        </is>
      </c>
      <c r="E14995" t="n">
        <v>172</v>
      </c>
    </row>
    <row r="14996">
      <c r="A14996" t="inlineStr">
        <is>
          <t>27BBBBB14996Z5</t>
        </is>
      </c>
      <c r="B14996" t="inlineStr">
        <is>
          <t>Jun-2020</t>
        </is>
      </c>
      <c r="C14996" s="2" t="n">
        <v>44727</v>
      </c>
      <c r="D14996" t="inlineStr">
        <is>
          <t>NIL</t>
        </is>
      </c>
      <c r="E14996" t="n">
        <v>2011</v>
      </c>
    </row>
    <row r="14997">
      <c r="A14997" t="inlineStr">
        <is>
          <t>27BBBBB14997Z5</t>
        </is>
      </c>
      <c r="B14997" t="inlineStr">
        <is>
          <t>Dec-2017</t>
        </is>
      </c>
      <c r="C14997" s="2" t="n">
        <v>44446</v>
      </c>
      <c r="D14997" t="inlineStr">
        <is>
          <t>NIL</t>
        </is>
      </c>
      <c r="E14997" t="n">
        <v>1452</v>
      </c>
    </row>
    <row r="14998">
      <c r="A14998" t="inlineStr">
        <is>
          <t>27BBBBB14998Z5</t>
        </is>
      </c>
      <c r="B14998" t="inlineStr">
        <is>
          <t>Aug-2018</t>
        </is>
      </c>
      <c r="C14998" s="2" t="n">
        <v>43754</v>
      </c>
      <c r="D14998" t="inlineStr">
        <is>
          <t>NIL</t>
        </is>
      </c>
      <c r="E14998" t="n">
        <v>2410</v>
      </c>
    </row>
    <row r="14999">
      <c r="A14999" t="inlineStr">
        <is>
          <t>27BBBBB14999Z5</t>
        </is>
      </c>
      <c r="B14999" t="inlineStr">
        <is>
          <t>Aug-2018</t>
        </is>
      </c>
      <c r="C14999" s="2" t="n">
        <v>43283</v>
      </c>
      <c r="D14999" t="inlineStr">
        <is>
          <t>NON-NIL</t>
        </is>
      </c>
      <c r="E14999" t="n">
        <v>2436</v>
      </c>
    </row>
    <row r="15000">
      <c r="A15000" t="inlineStr">
        <is>
          <t>27BBBBB15000Z5</t>
        </is>
      </c>
      <c r="B15000" t="inlineStr">
        <is>
          <t>Jun-2018</t>
        </is>
      </c>
      <c r="C15000" s="2" t="n">
        <v>43472</v>
      </c>
      <c r="D15000" t="inlineStr">
        <is>
          <t>NIL</t>
        </is>
      </c>
      <c r="E15000" t="n">
        <v>238</v>
      </c>
    </row>
    <row r="15001">
      <c r="A15001" t="inlineStr">
        <is>
          <t>27BBBBB15001Z5</t>
        </is>
      </c>
      <c r="B15001" t="inlineStr">
        <is>
          <t>Apr-2018</t>
        </is>
      </c>
      <c r="C15001" s="2" t="n">
        <v>43027</v>
      </c>
      <c r="D15001" t="inlineStr">
        <is>
          <t>NON-NIL</t>
        </is>
      </c>
      <c r="E15001" t="n">
        <v>1171</v>
      </c>
    </row>
    <row r="15002">
      <c r="A15002" t="inlineStr">
        <is>
          <t>27BBBBB15002Z5</t>
        </is>
      </c>
      <c r="B15002" t="inlineStr">
        <is>
          <t>Dec-2018</t>
        </is>
      </c>
      <c r="C15002" s="2" t="n">
        <v>44531</v>
      </c>
      <c r="D15002" t="inlineStr">
        <is>
          <t>NON-NIL</t>
        </is>
      </c>
      <c r="E15002" t="n">
        <v>313</v>
      </c>
    </row>
    <row r="15003">
      <c r="A15003" t="inlineStr">
        <is>
          <t>27BBBBB15003Z5</t>
        </is>
      </c>
      <c r="B15003" t="inlineStr">
        <is>
          <t>Jul-2017</t>
        </is>
      </c>
      <c r="C15003" s="2" t="n">
        <v>43209</v>
      </c>
      <c r="D15003" t="inlineStr">
        <is>
          <t>NON-NIL</t>
        </is>
      </c>
      <c r="E15003" t="n">
        <v>0</v>
      </c>
    </row>
    <row r="15004">
      <c r="A15004" t="inlineStr">
        <is>
          <t>27BBBBB15004Z5</t>
        </is>
      </c>
      <c r="B15004" t="inlineStr">
        <is>
          <t>Mar-2018</t>
        </is>
      </c>
      <c r="C15004" s="2" t="n">
        <v>44171</v>
      </c>
      <c r="D15004" t="inlineStr">
        <is>
          <t>NIL</t>
        </is>
      </c>
      <c r="E15004" t="n">
        <v>2727</v>
      </c>
    </row>
    <row r="15005">
      <c r="A15005" t="inlineStr">
        <is>
          <t>27BBBBB15005Z5</t>
        </is>
      </c>
      <c r="B15005" t="inlineStr">
        <is>
          <t>Jan-2021</t>
        </is>
      </c>
      <c r="C15005" s="2" t="n">
        <v>45807</v>
      </c>
      <c r="D15005" t="inlineStr">
        <is>
          <t>NON-NIL</t>
        </is>
      </c>
      <c r="E15005" t="n">
        <v>2758</v>
      </c>
    </row>
    <row r="15006">
      <c r="A15006" t="inlineStr">
        <is>
          <t>27BBBBB15006Z5</t>
        </is>
      </c>
      <c r="B15006" t="inlineStr">
        <is>
          <t>Mar-2018</t>
        </is>
      </c>
      <c r="C15006" s="2" t="n">
        <v>43125</v>
      </c>
      <c r="D15006" t="inlineStr">
        <is>
          <t>NIL</t>
        </is>
      </c>
      <c r="E15006" t="n">
        <v>1930</v>
      </c>
    </row>
    <row r="15007">
      <c r="A15007" t="inlineStr">
        <is>
          <t>27BBBBB15007Z5</t>
        </is>
      </c>
      <c r="B15007" t="inlineStr">
        <is>
          <t>Oct-2018</t>
        </is>
      </c>
      <c r="C15007" s="2" t="n">
        <v>44250</v>
      </c>
      <c r="D15007" t="inlineStr">
        <is>
          <t>NON-NIL</t>
        </is>
      </c>
      <c r="E15007" t="n">
        <v>1188</v>
      </c>
    </row>
    <row r="15008">
      <c r="A15008" t="inlineStr">
        <is>
          <t>27BBBBB15008Z5</t>
        </is>
      </c>
      <c r="B15008" t="inlineStr">
        <is>
          <t>Apr-2020</t>
        </is>
      </c>
      <c r="C15008" s="2" t="n">
        <v>44405</v>
      </c>
      <c r="D15008" t="inlineStr">
        <is>
          <t>NIL</t>
        </is>
      </c>
      <c r="E15008" t="n">
        <v>502</v>
      </c>
    </row>
    <row r="15009">
      <c r="A15009" t="inlineStr">
        <is>
          <t>27BBBBB15009Z5</t>
        </is>
      </c>
      <c r="B15009" t="inlineStr">
        <is>
          <t>Mar-2023</t>
        </is>
      </c>
      <c r="C15009" s="2" t="n">
        <v>44450</v>
      </c>
      <c r="D15009" t="inlineStr">
        <is>
          <t>NON-NIL</t>
        </is>
      </c>
      <c r="E15009" t="n">
        <v>348</v>
      </c>
    </row>
    <row r="15010">
      <c r="A15010" t="inlineStr">
        <is>
          <t>27BBBBB15010Z5</t>
        </is>
      </c>
      <c r="B15010" t="inlineStr">
        <is>
          <t>Aug-2018</t>
        </is>
      </c>
      <c r="C15010" s="2" t="n">
        <v>43000</v>
      </c>
      <c r="D15010" t="inlineStr">
        <is>
          <t>NON-NIL</t>
        </is>
      </c>
      <c r="E15010" t="n">
        <v>1299</v>
      </c>
    </row>
    <row r="15011">
      <c r="A15011" t="inlineStr">
        <is>
          <t>27BBBBB15011Z5</t>
        </is>
      </c>
      <c r="B15011" t="inlineStr">
        <is>
          <t>Mar-2020</t>
        </is>
      </c>
      <c r="C15011" s="2" t="n">
        <v>44070</v>
      </c>
      <c r="D15011" t="inlineStr">
        <is>
          <t>NIL</t>
        </is>
      </c>
      <c r="E15011" t="n">
        <v>116</v>
      </c>
    </row>
    <row r="15012">
      <c r="A15012" t="inlineStr">
        <is>
          <t>27BBBBB15012Z5</t>
        </is>
      </c>
      <c r="B15012" t="inlineStr">
        <is>
          <t>Mar-2023</t>
        </is>
      </c>
      <c r="C15012" s="2" t="n">
        <v>43697</v>
      </c>
      <c r="D15012" t="inlineStr">
        <is>
          <t>NIL</t>
        </is>
      </c>
      <c r="E15012" t="n">
        <v>269</v>
      </c>
    </row>
    <row r="15013">
      <c r="A15013" t="inlineStr">
        <is>
          <t>27BBBBB15013Z5</t>
        </is>
      </c>
      <c r="B15013" t="inlineStr">
        <is>
          <t>Dec-2022</t>
        </is>
      </c>
      <c r="C15013" s="2" t="n">
        <v>44055</v>
      </c>
      <c r="D15013" t="inlineStr">
        <is>
          <t>NIL</t>
        </is>
      </c>
      <c r="E15013" t="n">
        <v>2659</v>
      </c>
    </row>
    <row r="15014">
      <c r="A15014" t="inlineStr">
        <is>
          <t>27BBBBB15014Z5</t>
        </is>
      </c>
      <c r="B15014" t="inlineStr">
        <is>
          <t>Sep-2018</t>
        </is>
      </c>
      <c r="C15014" s="2" t="n">
        <v>42996</v>
      </c>
      <c r="D15014" t="inlineStr">
        <is>
          <t>NIL</t>
        </is>
      </c>
      <c r="E15014" t="n">
        <v>1430</v>
      </c>
    </row>
    <row r="15015">
      <c r="A15015" t="inlineStr">
        <is>
          <t>27BBBBB15015Z5</t>
        </is>
      </c>
      <c r="B15015" t="inlineStr">
        <is>
          <t>Jan-2021</t>
        </is>
      </c>
      <c r="C15015" s="2" t="n">
        <v>45137</v>
      </c>
      <c r="D15015" t="inlineStr">
        <is>
          <t>NIL</t>
        </is>
      </c>
      <c r="E15015" t="n">
        <v>131</v>
      </c>
    </row>
    <row r="15016">
      <c r="A15016" t="inlineStr">
        <is>
          <t>27BBBBB15016Z5</t>
        </is>
      </c>
      <c r="B15016" t="inlineStr">
        <is>
          <t>Nov-2017</t>
        </is>
      </c>
      <c r="C15016" s="2" t="n">
        <v>44348</v>
      </c>
      <c r="D15016" t="inlineStr">
        <is>
          <t>NIL</t>
        </is>
      </c>
      <c r="E15016" t="n">
        <v>1490</v>
      </c>
    </row>
    <row r="15017">
      <c r="A15017" t="inlineStr">
        <is>
          <t>27BBBBB15017Z5</t>
        </is>
      </c>
      <c r="B15017" t="inlineStr">
        <is>
          <t>Jul-2018</t>
        </is>
      </c>
      <c r="C15017" s="2" t="n">
        <v>43180</v>
      </c>
      <c r="D15017" t="inlineStr">
        <is>
          <t>NIL</t>
        </is>
      </c>
      <c r="E15017" t="n">
        <v>1221</v>
      </c>
    </row>
    <row r="15018">
      <c r="A15018" t="inlineStr">
        <is>
          <t>27BBBBB15018Z5</t>
        </is>
      </c>
      <c r="B15018" t="inlineStr">
        <is>
          <t>Feb-2018</t>
        </is>
      </c>
      <c r="C15018" s="2" t="n">
        <v>44370</v>
      </c>
      <c r="D15018" t="inlineStr">
        <is>
          <t>NON-NIL</t>
        </is>
      </c>
      <c r="E15018" t="n">
        <v>216</v>
      </c>
    </row>
    <row r="15019">
      <c r="A15019" t="inlineStr">
        <is>
          <t>27BBBBB15019Z5</t>
        </is>
      </c>
      <c r="B15019" t="inlineStr">
        <is>
          <t>Aug-2017</t>
        </is>
      </c>
      <c r="C15019" s="2" t="n">
        <v>43601</v>
      </c>
      <c r="D15019" t="inlineStr">
        <is>
          <t>NON-NIL</t>
        </is>
      </c>
      <c r="E15019" t="n">
        <v>280</v>
      </c>
    </row>
    <row r="15020">
      <c r="A15020" t="inlineStr">
        <is>
          <t>27BBBBB15020Z5</t>
        </is>
      </c>
      <c r="B15020" t="inlineStr">
        <is>
          <t>Feb-2018</t>
        </is>
      </c>
      <c r="C15020" s="2" t="n">
        <v>43055</v>
      </c>
      <c r="D15020" t="inlineStr">
        <is>
          <t>NON-NIL</t>
        </is>
      </c>
      <c r="E15020" t="n">
        <v>1300</v>
      </c>
    </row>
    <row r="15021">
      <c r="A15021" t="inlineStr">
        <is>
          <t>27BBBBB15021Z5</t>
        </is>
      </c>
      <c r="B15021" t="inlineStr">
        <is>
          <t>Nov-2018</t>
        </is>
      </c>
      <c r="C15021" s="2" t="n">
        <v>44381</v>
      </c>
      <c r="D15021" t="inlineStr">
        <is>
          <t>NON-NIL</t>
        </is>
      </c>
      <c r="E15021" t="n">
        <v>486</v>
      </c>
    </row>
    <row r="15022">
      <c r="A15022" t="inlineStr">
        <is>
          <t>27BBBBB15022Z5</t>
        </is>
      </c>
      <c r="B15022" t="inlineStr">
        <is>
          <t>Nov-2017</t>
        </is>
      </c>
      <c r="C15022" s="2" t="n">
        <v>43012</v>
      </c>
      <c r="D15022" t="inlineStr">
        <is>
          <t>NON-NIL</t>
        </is>
      </c>
      <c r="E15022" t="n">
        <v>219</v>
      </c>
    </row>
    <row r="15023">
      <c r="A15023" t="inlineStr">
        <is>
          <t>27BBBBB15023Z5</t>
        </is>
      </c>
      <c r="B15023" t="inlineStr">
        <is>
          <t>Oct-2017</t>
        </is>
      </c>
      <c r="C15023" s="2" t="n">
        <v>43183</v>
      </c>
      <c r="D15023" t="inlineStr">
        <is>
          <t>NIL</t>
        </is>
      </c>
      <c r="E15023" t="n">
        <v>2716</v>
      </c>
    </row>
    <row r="15024">
      <c r="A15024" t="inlineStr">
        <is>
          <t>27BBBBB15024Z5</t>
        </is>
      </c>
      <c r="B15024" t="inlineStr">
        <is>
          <t>Jan-2018</t>
        </is>
      </c>
      <c r="C15024" s="2" t="n">
        <v>43194</v>
      </c>
      <c r="D15024" t="inlineStr">
        <is>
          <t>NON-NIL</t>
        </is>
      </c>
      <c r="E15024" t="n">
        <v>329</v>
      </c>
    </row>
    <row r="15025">
      <c r="A15025" t="inlineStr">
        <is>
          <t>27BBBBB15025Z5</t>
        </is>
      </c>
      <c r="B15025" t="inlineStr">
        <is>
          <t>Jan-2021</t>
        </is>
      </c>
      <c r="C15025" s="2" t="n">
        <v>44395</v>
      </c>
      <c r="D15025" t="inlineStr">
        <is>
          <t>NIL</t>
        </is>
      </c>
      <c r="E15025" t="n">
        <v>92</v>
      </c>
    </row>
    <row r="15026">
      <c r="A15026" t="inlineStr">
        <is>
          <t>27BBBBB15026Z5</t>
        </is>
      </c>
      <c r="B15026" t="inlineStr">
        <is>
          <t>Apr-2020</t>
        </is>
      </c>
      <c r="C15026" s="2" t="n">
        <v>43956</v>
      </c>
      <c r="D15026" t="inlineStr">
        <is>
          <t>NON-NIL</t>
        </is>
      </c>
      <c r="E15026" t="n">
        <v>1571</v>
      </c>
    </row>
    <row r="15027">
      <c r="A15027" t="inlineStr">
        <is>
          <t>27BBBBB15027Z5</t>
        </is>
      </c>
      <c r="B15027" t="inlineStr">
        <is>
          <t>Jul-2018</t>
        </is>
      </c>
      <c r="C15027" s="2" t="n">
        <v>44325</v>
      </c>
      <c r="D15027" t="inlineStr">
        <is>
          <t>NIL</t>
        </is>
      </c>
      <c r="E15027" t="n">
        <v>568</v>
      </c>
    </row>
    <row r="15028">
      <c r="A15028" t="inlineStr">
        <is>
          <t>27BBBBB15028Z5</t>
        </is>
      </c>
      <c r="B15028" t="inlineStr">
        <is>
          <t>Apr-2020</t>
        </is>
      </c>
      <c r="C15028" s="2" t="n">
        <v>44651</v>
      </c>
      <c r="D15028" t="inlineStr">
        <is>
          <t>NIL</t>
        </is>
      </c>
      <c r="E15028" t="n">
        <v>305</v>
      </c>
    </row>
    <row r="15029">
      <c r="A15029" t="inlineStr">
        <is>
          <t>27BBBBB15029Z5</t>
        </is>
      </c>
      <c r="B15029" t="inlineStr">
        <is>
          <t>Dec-2024</t>
        </is>
      </c>
      <c r="C15029" s="2" t="n">
        <v>43759</v>
      </c>
      <c r="D15029" t="inlineStr">
        <is>
          <t>NON-NIL</t>
        </is>
      </c>
      <c r="E15029" t="n">
        <v>1613</v>
      </c>
    </row>
    <row r="15030">
      <c r="A15030" t="inlineStr">
        <is>
          <t>27BBBBB15030Z5</t>
        </is>
      </c>
      <c r="B15030" t="inlineStr">
        <is>
          <t>Mar-2020</t>
        </is>
      </c>
      <c r="C15030" s="2" t="n">
        <v>44803</v>
      </c>
      <c r="D15030" t="inlineStr">
        <is>
          <t>NIL</t>
        </is>
      </c>
      <c r="E15030" t="n">
        <v>2937</v>
      </c>
    </row>
    <row r="15031">
      <c r="A15031" t="inlineStr">
        <is>
          <t>27BBBBB15031Z5</t>
        </is>
      </c>
      <c r="B15031" t="inlineStr">
        <is>
          <t>Oct-2018</t>
        </is>
      </c>
      <c r="C15031" s="2" t="n">
        <v>44344</v>
      </c>
      <c r="D15031" t="inlineStr">
        <is>
          <t>NIL</t>
        </is>
      </c>
      <c r="E15031" t="n">
        <v>1701</v>
      </c>
    </row>
    <row r="15032">
      <c r="A15032" t="inlineStr">
        <is>
          <t>27BBBBB15032Z5</t>
        </is>
      </c>
      <c r="B15032" t="inlineStr">
        <is>
          <t>Nov-2017</t>
        </is>
      </c>
      <c r="C15032" s="2" t="n">
        <v>43772</v>
      </c>
      <c r="D15032" t="inlineStr">
        <is>
          <t>NON-NIL</t>
        </is>
      </c>
      <c r="E15032" t="n">
        <v>2284</v>
      </c>
    </row>
    <row r="15033">
      <c r="A15033" t="inlineStr">
        <is>
          <t>27BBBBB15033Z5</t>
        </is>
      </c>
      <c r="B15033" t="inlineStr">
        <is>
          <t>Nov-2017</t>
        </is>
      </c>
      <c r="C15033" s="2" t="n">
        <v>43077</v>
      </c>
      <c r="D15033" t="inlineStr">
        <is>
          <t>NON-NIL</t>
        </is>
      </c>
      <c r="E15033" t="n">
        <v>1452</v>
      </c>
    </row>
    <row r="15034">
      <c r="A15034" t="inlineStr">
        <is>
          <t>27BBBBB15034Z5</t>
        </is>
      </c>
      <c r="B15034" t="inlineStr">
        <is>
          <t>May-2020</t>
        </is>
      </c>
      <c r="C15034" s="2" t="n">
        <v>44619</v>
      </c>
      <c r="D15034" t="inlineStr">
        <is>
          <t>NON-NIL</t>
        </is>
      </c>
      <c r="E15034" t="n">
        <v>1152</v>
      </c>
    </row>
    <row r="15035">
      <c r="A15035" t="inlineStr">
        <is>
          <t>27BBBBB15035Z5</t>
        </is>
      </c>
      <c r="B15035" t="inlineStr">
        <is>
          <t>Jul-2020</t>
        </is>
      </c>
      <c r="C15035" s="2" t="n">
        <v>44755</v>
      </c>
      <c r="D15035" t="inlineStr">
        <is>
          <t>NON-NIL</t>
        </is>
      </c>
      <c r="E15035" t="n">
        <v>145</v>
      </c>
    </row>
    <row r="15036">
      <c r="A15036" t="inlineStr">
        <is>
          <t>27BBBBB15036Z5</t>
        </is>
      </c>
      <c r="B15036" t="inlineStr">
        <is>
          <t>Dec-2017</t>
        </is>
      </c>
      <c r="C15036" s="2" t="n">
        <v>43747</v>
      </c>
      <c r="D15036" t="inlineStr">
        <is>
          <t>NIL</t>
        </is>
      </c>
      <c r="E15036" t="n">
        <v>2701</v>
      </c>
    </row>
    <row r="15037">
      <c r="A15037" t="inlineStr">
        <is>
          <t>27BBBBB15037Z5</t>
        </is>
      </c>
      <c r="B15037" t="inlineStr">
        <is>
          <t>Jun-2018</t>
        </is>
      </c>
      <c r="C15037" s="2" t="n">
        <v>43984</v>
      </c>
      <c r="D15037" t="inlineStr">
        <is>
          <t>NON-NIL</t>
        </is>
      </c>
      <c r="E15037" t="n">
        <v>442</v>
      </c>
    </row>
    <row r="15038">
      <c r="A15038" t="inlineStr">
        <is>
          <t>27BBBBB15038Z5</t>
        </is>
      </c>
      <c r="B15038" t="inlineStr">
        <is>
          <t>Dec-2018</t>
        </is>
      </c>
      <c r="C15038" s="2" t="n">
        <v>44199</v>
      </c>
      <c r="D15038" t="inlineStr">
        <is>
          <t>NON-NIL</t>
        </is>
      </c>
      <c r="E15038" t="n">
        <v>292</v>
      </c>
    </row>
    <row r="15039">
      <c r="A15039" t="inlineStr">
        <is>
          <t>27BBBBB15039Z5</t>
        </is>
      </c>
      <c r="B15039" t="inlineStr">
        <is>
          <t>Jan-2021</t>
        </is>
      </c>
      <c r="C15039" s="2" t="n">
        <v>44442</v>
      </c>
      <c r="D15039" t="inlineStr">
        <is>
          <t>NON-NIL</t>
        </is>
      </c>
      <c r="E15039" t="n">
        <v>1838</v>
      </c>
    </row>
    <row r="15040">
      <c r="A15040" t="inlineStr">
        <is>
          <t>27BBBBB15040Z5</t>
        </is>
      </c>
      <c r="B15040" t="inlineStr">
        <is>
          <t>Sep-2017</t>
        </is>
      </c>
      <c r="C15040" s="2" t="n">
        <v>43935</v>
      </c>
      <c r="D15040" t="inlineStr">
        <is>
          <t>NON-NIL</t>
        </is>
      </c>
      <c r="E15040" t="n">
        <v>2571</v>
      </c>
    </row>
    <row r="15041">
      <c r="A15041" t="inlineStr">
        <is>
          <t>27BBBBB15041Z5</t>
        </is>
      </c>
      <c r="B15041" t="inlineStr">
        <is>
          <t>Sep-2017</t>
        </is>
      </c>
      <c r="C15041" s="2" t="n">
        <v>44268</v>
      </c>
      <c r="D15041" t="inlineStr">
        <is>
          <t>NIL</t>
        </is>
      </c>
      <c r="E15041" t="n">
        <v>1854</v>
      </c>
    </row>
    <row r="15042">
      <c r="A15042" t="inlineStr">
        <is>
          <t>27BBBBB15042Z5</t>
        </is>
      </c>
      <c r="B15042" t="inlineStr">
        <is>
          <t>Mar-2020</t>
        </is>
      </c>
      <c r="C15042" s="2" t="n">
        <v>44679</v>
      </c>
      <c r="D15042" t="inlineStr">
        <is>
          <t>NON-NIL</t>
        </is>
      </c>
      <c r="E15042" t="n">
        <v>1207</v>
      </c>
    </row>
    <row r="15043">
      <c r="A15043" t="inlineStr">
        <is>
          <t>27BBBBB15043Z5</t>
        </is>
      </c>
      <c r="B15043" t="inlineStr">
        <is>
          <t>Mar-2018</t>
        </is>
      </c>
      <c r="C15043" s="2" t="n">
        <v>44545</v>
      </c>
      <c r="D15043" t="inlineStr">
        <is>
          <t>NON-NIL</t>
        </is>
      </c>
      <c r="E15043" t="n">
        <v>2454</v>
      </c>
    </row>
    <row r="15044">
      <c r="A15044" t="inlineStr">
        <is>
          <t>27BBBBB15044Z5</t>
        </is>
      </c>
      <c r="B15044" t="inlineStr">
        <is>
          <t>Oct-2018</t>
        </is>
      </c>
      <c r="C15044" s="2" t="n">
        <v>43362</v>
      </c>
      <c r="D15044" t="inlineStr">
        <is>
          <t>NON-NIL</t>
        </is>
      </c>
      <c r="E15044" t="n">
        <v>2276</v>
      </c>
    </row>
    <row r="15045">
      <c r="A15045" t="inlineStr">
        <is>
          <t>27BBBBB15045Z5</t>
        </is>
      </c>
      <c r="B15045" t="inlineStr">
        <is>
          <t>Aug-2018</t>
        </is>
      </c>
      <c r="C15045" s="2" t="n">
        <v>44267</v>
      </c>
      <c r="D15045" t="inlineStr">
        <is>
          <t>NIL</t>
        </is>
      </c>
      <c r="E15045" t="n">
        <v>1660</v>
      </c>
    </row>
    <row r="15046">
      <c r="A15046" t="inlineStr">
        <is>
          <t>27BBBBB15046Z5</t>
        </is>
      </c>
      <c r="B15046" t="inlineStr">
        <is>
          <t>Jun-2018</t>
        </is>
      </c>
      <c r="C15046" s="2" t="n">
        <v>44331</v>
      </c>
      <c r="D15046" t="inlineStr">
        <is>
          <t>NIL</t>
        </is>
      </c>
      <c r="E15046" t="n">
        <v>502</v>
      </c>
    </row>
    <row r="15047">
      <c r="A15047" t="inlineStr">
        <is>
          <t>27BBBBB15047Z5</t>
        </is>
      </c>
      <c r="B15047" t="inlineStr">
        <is>
          <t>Oct-2018</t>
        </is>
      </c>
      <c r="C15047" s="2" t="n">
        <v>44154</v>
      </c>
      <c r="D15047" t="inlineStr">
        <is>
          <t>NON-NIL</t>
        </is>
      </c>
      <c r="E15047" t="n">
        <v>798</v>
      </c>
    </row>
    <row r="15048">
      <c r="A15048" t="inlineStr">
        <is>
          <t>27BBBBB15048Z5</t>
        </is>
      </c>
      <c r="B15048" t="inlineStr">
        <is>
          <t>Mar-2020</t>
        </is>
      </c>
      <c r="C15048" s="2" t="n">
        <v>43999</v>
      </c>
      <c r="D15048" t="inlineStr">
        <is>
          <t>NIL</t>
        </is>
      </c>
      <c r="E15048" t="n">
        <v>1990</v>
      </c>
    </row>
    <row r="15049">
      <c r="A15049" t="inlineStr">
        <is>
          <t>27BBBBB15049Z5</t>
        </is>
      </c>
      <c r="B15049" t="inlineStr">
        <is>
          <t>Apr-2020</t>
        </is>
      </c>
      <c r="C15049" s="2" t="n">
        <v>44184</v>
      </c>
      <c r="D15049" t="inlineStr">
        <is>
          <t>NIL</t>
        </is>
      </c>
      <c r="E15049" t="n">
        <v>2898</v>
      </c>
    </row>
    <row r="15050">
      <c r="A15050" t="inlineStr">
        <is>
          <t>27BBBBB15050Z5</t>
        </is>
      </c>
      <c r="B15050" t="inlineStr">
        <is>
          <t>Dec-2018</t>
        </is>
      </c>
      <c r="C15050" s="2" t="n">
        <v>43942</v>
      </c>
      <c r="D15050" t="inlineStr">
        <is>
          <t>NIL</t>
        </is>
      </c>
      <c r="E15050" t="n">
        <v>1122</v>
      </c>
    </row>
    <row r="15051">
      <c r="A15051" t="inlineStr">
        <is>
          <t>27BBBBB15051Z5</t>
        </is>
      </c>
      <c r="B15051" t="inlineStr">
        <is>
          <t>Jul-2017</t>
        </is>
      </c>
      <c r="C15051" s="2" t="n">
        <v>44290</v>
      </c>
      <c r="D15051" t="inlineStr">
        <is>
          <t>NIL</t>
        </is>
      </c>
      <c r="E15051" t="n">
        <v>2703</v>
      </c>
    </row>
    <row r="15052">
      <c r="A15052" t="inlineStr">
        <is>
          <t>27BBBBB15052Z5</t>
        </is>
      </c>
      <c r="B15052" t="inlineStr">
        <is>
          <t>May-2020</t>
        </is>
      </c>
      <c r="C15052" s="2" t="n">
        <v>44593</v>
      </c>
      <c r="D15052" t="inlineStr">
        <is>
          <t>NON-NIL</t>
        </is>
      </c>
      <c r="E15052" t="n">
        <v>671</v>
      </c>
    </row>
    <row r="15053">
      <c r="A15053" t="inlineStr">
        <is>
          <t>27BBBBB15053Z5</t>
        </is>
      </c>
      <c r="B15053" t="inlineStr">
        <is>
          <t>Aug-2018</t>
        </is>
      </c>
      <c r="C15053" s="2" t="n">
        <v>43349</v>
      </c>
      <c r="D15053" t="inlineStr">
        <is>
          <t>NIL</t>
        </is>
      </c>
      <c r="E15053" t="n">
        <v>2114</v>
      </c>
    </row>
    <row r="15054">
      <c r="A15054" t="inlineStr">
        <is>
          <t>27BBBBB15054Z5</t>
        </is>
      </c>
      <c r="B15054" t="inlineStr">
        <is>
          <t>Dec-2022</t>
        </is>
      </c>
      <c r="C15054" s="2" t="n">
        <v>45023</v>
      </c>
      <c r="D15054" t="inlineStr">
        <is>
          <t>NIL</t>
        </is>
      </c>
      <c r="E15054" t="n">
        <v>1869</v>
      </c>
    </row>
    <row r="15055">
      <c r="A15055" t="inlineStr">
        <is>
          <t>27BBBBB15055Z5</t>
        </is>
      </c>
      <c r="B15055" t="inlineStr">
        <is>
          <t>Feb-2018</t>
        </is>
      </c>
      <c r="C15055" s="2" t="n">
        <v>43178</v>
      </c>
      <c r="D15055" t="inlineStr">
        <is>
          <t>NIL</t>
        </is>
      </c>
      <c r="E15055" t="n">
        <v>58</v>
      </c>
    </row>
    <row r="15056">
      <c r="A15056" t="inlineStr">
        <is>
          <t>27BBBBB15056Z5</t>
        </is>
      </c>
      <c r="B15056" t="inlineStr">
        <is>
          <t>Jun-2020</t>
        </is>
      </c>
      <c r="C15056" s="2" t="n">
        <v>44907</v>
      </c>
      <c r="D15056" t="inlineStr">
        <is>
          <t>NON-NIL</t>
        </is>
      </c>
      <c r="E15056" t="n">
        <v>975</v>
      </c>
    </row>
    <row r="15057">
      <c r="A15057" t="inlineStr">
        <is>
          <t>27BBBBB15057Z5</t>
        </is>
      </c>
      <c r="B15057" t="inlineStr">
        <is>
          <t>Oct-2018</t>
        </is>
      </c>
      <c r="C15057" s="2" t="n">
        <v>43840</v>
      </c>
      <c r="D15057" t="inlineStr">
        <is>
          <t>NON-NIL</t>
        </is>
      </c>
      <c r="E15057" t="n">
        <v>708</v>
      </c>
    </row>
    <row r="15058">
      <c r="A15058" t="inlineStr">
        <is>
          <t>27BBBBB15058Z5</t>
        </is>
      </c>
      <c r="B15058" t="inlineStr">
        <is>
          <t>May-2020</t>
        </is>
      </c>
      <c r="C15058" s="2" t="n">
        <v>44432</v>
      </c>
      <c r="D15058" t="inlineStr">
        <is>
          <t>NON-NIL</t>
        </is>
      </c>
      <c r="E15058" t="n">
        <v>1001</v>
      </c>
    </row>
    <row r="15059">
      <c r="A15059" t="inlineStr">
        <is>
          <t>27BBBBB15059Z5</t>
        </is>
      </c>
      <c r="B15059" t="inlineStr">
        <is>
          <t>Dec-2022</t>
        </is>
      </c>
      <c r="C15059" s="2" t="n">
        <v>44771</v>
      </c>
      <c r="D15059" t="inlineStr">
        <is>
          <t>NON-NIL</t>
        </is>
      </c>
      <c r="E15059" t="n">
        <v>1224</v>
      </c>
    </row>
    <row r="15060">
      <c r="A15060" t="inlineStr">
        <is>
          <t>27BBBBB15060Z5</t>
        </is>
      </c>
      <c r="B15060" t="inlineStr">
        <is>
          <t>Nov-2018</t>
        </is>
      </c>
      <c r="C15060" s="2" t="n">
        <v>42921</v>
      </c>
      <c r="D15060" t="inlineStr">
        <is>
          <t>NON-NIL</t>
        </is>
      </c>
      <c r="E15060" t="n">
        <v>2059</v>
      </c>
    </row>
    <row r="15061">
      <c r="A15061" t="inlineStr">
        <is>
          <t>27BBBBB15061Z5</t>
        </is>
      </c>
      <c r="B15061" t="inlineStr">
        <is>
          <t>Mar-2020</t>
        </is>
      </c>
      <c r="C15061" s="2" t="n">
        <v>44352</v>
      </c>
      <c r="D15061" t="inlineStr">
        <is>
          <t>NIL</t>
        </is>
      </c>
      <c r="E15061" t="n">
        <v>1613</v>
      </c>
    </row>
    <row r="15062">
      <c r="A15062" t="inlineStr">
        <is>
          <t>27BBBBB15062Z5</t>
        </is>
      </c>
      <c r="B15062" t="inlineStr">
        <is>
          <t>Nov-2017</t>
        </is>
      </c>
      <c r="C15062" s="2" t="n">
        <v>43813</v>
      </c>
      <c r="D15062" t="inlineStr">
        <is>
          <t>NIL</t>
        </is>
      </c>
      <c r="E15062" t="n">
        <v>183</v>
      </c>
    </row>
    <row r="15063">
      <c r="A15063" t="inlineStr">
        <is>
          <t>27BBBBB15063Z5</t>
        </is>
      </c>
      <c r="B15063" t="inlineStr">
        <is>
          <t>Mar-2023</t>
        </is>
      </c>
      <c r="C15063" s="2" t="n">
        <v>44842</v>
      </c>
      <c r="D15063" t="inlineStr">
        <is>
          <t>NON-NIL</t>
        </is>
      </c>
      <c r="E15063" t="n">
        <v>2444</v>
      </c>
    </row>
    <row r="15064">
      <c r="A15064" t="inlineStr">
        <is>
          <t>27BBBBB15064Z5</t>
        </is>
      </c>
      <c r="B15064" t="inlineStr">
        <is>
          <t>Dec-2022</t>
        </is>
      </c>
      <c r="C15064" s="2" t="n">
        <v>45062</v>
      </c>
      <c r="D15064" t="inlineStr">
        <is>
          <t>NON-NIL</t>
        </is>
      </c>
      <c r="E15064" t="n">
        <v>952</v>
      </c>
    </row>
    <row r="15065">
      <c r="A15065" t="inlineStr">
        <is>
          <t>27BBBBB15065Z5</t>
        </is>
      </c>
      <c r="B15065" t="inlineStr">
        <is>
          <t>Dec-2018</t>
        </is>
      </c>
      <c r="C15065" s="2" t="n">
        <v>44046</v>
      </c>
      <c r="D15065" t="inlineStr">
        <is>
          <t>NON-NIL</t>
        </is>
      </c>
      <c r="E15065" t="n">
        <v>785</v>
      </c>
    </row>
    <row r="15066">
      <c r="A15066" t="inlineStr">
        <is>
          <t>27BBBBB15066Z5</t>
        </is>
      </c>
      <c r="B15066" t="inlineStr">
        <is>
          <t>Jan-2018</t>
        </is>
      </c>
      <c r="C15066" s="2" t="n">
        <v>43500</v>
      </c>
      <c r="D15066" t="inlineStr">
        <is>
          <t>NON-NIL</t>
        </is>
      </c>
      <c r="E15066" t="n">
        <v>658</v>
      </c>
    </row>
    <row r="15067">
      <c r="A15067" t="inlineStr">
        <is>
          <t>27BBBBB15067Z5</t>
        </is>
      </c>
      <c r="B15067" t="inlineStr">
        <is>
          <t>Dec-2017</t>
        </is>
      </c>
      <c r="C15067" s="2" t="n">
        <v>43500</v>
      </c>
      <c r="D15067" t="inlineStr">
        <is>
          <t>NON-NIL</t>
        </is>
      </c>
      <c r="E15067" t="n">
        <v>1144</v>
      </c>
    </row>
    <row r="15068">
      <c r="A15068" t="inlineStr">
        <is>
          <t>27BBBBB15068Z5</t>
        </is>
      </c>
      <c r="B15068" t="inlineStr">
        <is>
          <t>Mar-2018</t>
        </is>
      </c>
      <c r="C15068" s="2" t="n">
        <v>43174</v>
      </c>
      <c r="D15068" t="inlineStr">
        <is>
          <t>NON-NIL</t>
        </is>
      </c>
      <c r="E15068" t="n">
        <v>672</v>
      </c>
    </row>
    <row r="15069">
      <c r="A15069" t="inlineStr">
        <is>
          <t>27BBBBB15069Z5</t>
        </is>
      </c>
      <c r="B15069" t="inlineStr">
        <is>
          <t>Dec-2017</t>
        </is>
      </c>
      <c r="C15069" s="2" t="n">
        <v>43371</v>
      </c>
      <c r="D15069" t="inlineStr">
        <is>
          <t>NIL</t>
        </is>
      </c>
      <c r="E15069" t="n">
        <v>2991</v>
      </c>
    </row>
    <row r="15070">
      <c r="A15070" t="inlineStr">
        <is>
          <t>27BBBBB15070Z5</t>
        </is>
      </c>
      <c r="B15070" t="inlineStr">
        <is>
          <t>Mar-2023</t>
        </is>
      </c>
      <c r="C15070" s="2" t="n">
        <v>44236</v>
      </c>
      <c r="D15070" t="inlineStr">
        <is>
          <t>NIL</t>
        </is>
      </c>
      <c r="E15070" t="n">
        <v>1129</v>
      </c>
    </row>
    <row r="15071">
      <c r="A15071" t="inlineStr">
        <is>
          <t>27BBBBB15071Z5</t>
        </is>
      </c>
      <c r="B15071" t="inlineStr">
        <is>
          <t>Jul-2017</t>
        </is>
      </c>
      <c r="C15071" s="2" t="n">
        <v>42929</v>
      </c>
      <c r="D15071" t="inlineStr">
        <is>
          <t>NON-NIL</t>
        </is>
      </c>
      <c r="E15071" t="n">
        <v>265</v>
      </c>
    </row>
    <row r="15072">
      <c r="A15072" t="inlineStr">
        <is>
          <t>27BBBBB15072Z5</t>
        </is>
      </c>
      <c r="B15072" t="inlineStr">
        <is>
          <t>Dec-2017</t>
        </is>
      </c>
      <c r="C15072" s="2" t="n">
        <v>44422</v>
      </c>
      <c r="D15072" t="inlineStr">
        <is>
          <t>NON-NIL</t>
        </is>
      </c>
      <c r="E15072" t="n">
        <v>2165</v>
      </c>
    </row>
    <row r="15073">
      <c r="A15073" t="inlineStr">
        <is>
          <t>27BBBBB15073Z5</t>
        </is>
      </c>
      <c r="B15073" t="inlineStr">
        <is>
          <t>Aug-2018</t>
        </is>
      </c>
      <c r="C15073" s="2" t="n">
        <v>44177</v>
      </c>
      <c r="D15073" t="inlineStr">
        <is>
          <t>NIL</t>
        </is>
      </c>
      <c r="E15073" t="n">
        <v>1348</v>
      </c>
    </row>
    <row r="15074">
      <c r="A15074" t="inlineStr">
        <is>
          <t>27BBBBB15074Z5</t>
        </is>
      </c>
      <c r="B15074" t="inlineStr">
        <is>
          <t>Dec-2022</t>
        </is>
      </c>
      <c r="C15074" s="2" t="n">
        <v>43548</v>
      </c>
      <c r="D15074" t="inlineStr">
        <is>
          <t>NON-NIL</t>
        </is>
      </c>
      <c r="E15074" t="n">
        <v>2488</v>
      </c>
    </row>
    <row r="15075">
      <c r="A15075" t="inlineStr">
        <is>
          <t>27BBBBB15075Z5</t>
        </is>
      </c>
      <c r="B15075" t="inlineStr">
        <is>
          <t>Jun-2018</t>
        </is>
      </c>
      <c r="C15075" s="2" t="n">
        <v>43318</v>
      </c>
      <c r="D15075" t="inlineStr">
        <is>
          <t>NON-NIL</t>
        </is>
      </c>
      <c r="E15075" t="n">
        <v>2657</v>
      </c>
    </row>
    <row r="15076">
      <c r="A15076" t="inlineStr">
        <is>
          <t>27BBBBB15076Z5</t>
        </is>
      </c>
      <c r="B15076" t="inlineStr">
        <is>
          <t>Apr-2018</t>
        </is>
      </c>
      <c r="C15076" s="2" t="n">
        <v>43018</v>
      </c>
      <c r="D15076" t="inlineStr">
        <is>
          <t>NIL</t>
        </is>
      </c>
      <c r="E15076" t="n">
        <v>1441</v>
      </c>
    </row>
    <row r="15077">
      <c r="A15077" t="inlineStr">
        <is>
          <t>27BBBBB15077Z5</t>
        </is>
      </c>
      <c r="B15077" t="inlineStr">
        <is>
          <t>Dec-2017</t>
        </is>
      </c>
      <c r="C15077" s="2" t="n">
        <v>43816</v>
      </c>
      <c r="D15077" t="inlineStr">
        <is>
          <t>NIL</t>
        </is>
      </c>
      <c r="E15077" t="n">
        <v>875</v>
      </c>
    </row>
    <row r="15078">
      <c r="A15078" t="inlineStr">
        <is>
          <t>27BBBBB15078Z5</t>
        </is>
      </c>
      <c r="B15078" t="inlineStr">
        <is>
          <t>Jun-2020</t>
        </is>
      </c>
      <c r="C15078" s="2" t="n">
        <v>44176</v>
      </c>
      <c r="D15078" t="inlineStr">
        <is>
          <t>NIL</t>
        </is>
      </c>
      <c r="E15078" t="n">
        <v>818</v>
      </c>
    </row>
    <row r="15079">
      <c r="A15079" t="inlineStr">
        <is>
          <t>27BBBBB15079Z5</t>
        </is>
      </c>
      <c r="B15079" t="inlineStr">
        <is>
          <t>Aug-2018</t>
        </is>
      </c>
      <c r="C15079" s="2" t="n">
        <v>44208</v>
      </c>
      <c r="D15079" t="inlineStr">
        <is>
          <t>NIL</t>
        </is>
      </c>
      <c r="E15079" t="n">
        <v>920</v>
      </c>
    </row>
    <row r="15080">
      <c r="A15080" t="inlineStr">
        <is>
          <t>27BBBBB15080Z5</t>
        </is>
      </c>
      <c r="B15080" t="inlineStr">
        <is>
          <t>Jul-2018</t>
        </is>
      </c>
      <c r="C15080" s="2" t="n">
        <v>43204</v>
      </c>
      <c r="D15080" t="inlineStr">
        <is>
          <t>NON-NIL</t>
        </is>
      </c>
      <c r="E15080" t="n">
        <v>909</v>
      </c>
    </row>
    <row r="15081">
      <c r="A15081" t="inlineStr">
        <is>
          <t>27BBBBB15081Z5</t>
        </is>
      </c>
      <c r="B15081" t="inlineStr">
        <is>
          <t>Mar-2020</t>
        </is>
      </c>
      <c r="C15081" s="2" t="n">
        <v>44312</v>
      </c>
      <c r="D15081" t="inlineStr">
        <is>
          <t>NON-NIL</t>
        </is>
      </c>
      <c r="E15081" t="n">
        <v>2834</v>
      </c>
    </row>
    <row r="15082">
      <c r="A15082" t="inlineStr">
        <is>
          <t>27BBBBB15082Z5</t>
        </is>
      </c>
      <c r="B15082" t="inlineStr">
        <is>
          <t>Dec-2017</t>
        </is>
      </c>
      <c r="C15082" s="2" t="n">
        <v>43520</v>
      </c>
      <c r="D15082" t="inlineStr">
        <is>
          <t>NIL</t>
        </is>
      </c>
      <c r="E15082" t="n">
        <v>613</v>
      </c>
    </row>
    <row r="15083">
      <c r="A15083" t="inlineStr">
        <is>
          <t>27BBBBB15083Z5</t>
        </is>
      </c>
      <c r="B15083" t="inlineStr">
        <is>
          <t>Aug-2017</t>
        </is>
      </c>
      <c r="C15083" s="2" t="n">
        <v>42920</v>
      </c>
      <c r="D15083" t="inlineStr">
        <is>
          <t>NON-NIL</t>
        </is>
      </c>
      <c r="E15083" t="n">
        <v>1106</v>
      </c>
    </row>
    <row r="15084">
      <c r="A15084" t="inlineStr">
        <is>
          <t>27BBBBB15084Z5</t>
        </is>
      </c>
      <c r="B15084" t="inlineStr">
        <is>
          <t>Sep-2017</t>
        </is>
      </c>
      <c r="C15084" s="2" t="n">
        <v>43376</v>
      </c>
      <c r="D15084" t="inlineStr">
        <is>
          <t>NON-NIL</t>
        </is>
      </c>
      <c r="E15084" t="n">
        <v>576</v>
      </c>
    </row>
    <row r="15085">
      <c r="A15085" t="inlineStr">
        <is>
          <t>27BBBBB15085Z5</t>
        </is>
      </c>
      <c r="B15085" t="inlineStr">
        <is>
          <t>Aug-2018</t>
        </is>
      </c>
      <c r="C15085" s="2" t="n">
        <v>43174</v>
      </c>
      <c r="D15085" t="inlineStr">
        <is>
          <t>NIL</t>
        </is>
      </c>
      <c r="E15085" t="n">
        <v>2084</v>
      </c>
    </row>
    <row r="15086">
      <c r="A15086" t="inlineStr">
        <is>
          <t>27BBBBB15086Z5</t>
        </is>
      </c>
      <c r="B15086" t="inlineStr">
        <is>
          <t>Mar-2020</t>
        </is>
      </c>
      <c r="C15086" s="2" t="n">
        <v>44877</v>
      </c>
      <c r="D15086" t="inlineStr">
        <is>
          <t>NIL</t>
        </is>
      </c>
      <c r="E15086" t="n">
        <v>71</v>
      </c>
    </row>
    <row r="15087">
      <c r="A15087" t="inlineStr">
        <is>
          <t>27BBBBB15087Z5</t>
        </is>
      </c>
      <c r="B15087" t="inlineStr">
        <is>
          <t>Dec-2018</t>
        </is>
      </c>
      <c r="C15087" s="2" t="n">
        <v>43640</v>
      </c>
      <c r="D15087" t="inlineStr">
        <is>
          <t>NIL</t>
        </is>
      </c>
      <c r="E15087" t="n">
        <v>142</v>
      </c>
    </row>
    <row r="15088">
      <c r="A15088" t="inlineStr">
        <is>
          <t>27BBBBB15088Z5</t>
        </is>
      </c>
      <c r="B15088" t="inlineStr">
        <is>
          <t>Aug-2017</t>
        </is>
      </c>
      <c r="C15088" s="2" t="n">
        <v>44417</v>
      </c>
      <c r="D15088" t="inlineStr">
        <is>
          <t>NIL</t>
        </is>
      </c>
      <c r="E15088" t="n">
        <v>2981</v>
      </c>
    </row>
    <row r="15089">
      <c r="A15089" t="inlineStr">
        <is>
          <t>27BBBBB15089Z5</t>
        </is>
      </c>
      <c r="B15089" t="inlineStr">
        <is>
          <t>Apr-2020</t>
        </is>
      </c>
      <c r="C15089" s="2" t="n">
        <v>44830</v>
      </c>
      <c r="D15089" t="inlineStr">
        <is>
          <t>NON-NIL</t>
        </is>
      </c>
      <c r="E15089" t="n">
        <v>1374</v>
      </c>
    </row>
    <row r="15090">
      <c r="A15090" t="inlineStr">
        <is>
          <t>27BBBBB15090Z5</t>
        </is>
      </c>
      <c r="B15090" t="inlineStr">
        <is>
          <t>Sep-2018</t>
        </is>
      </c>
      <c r="C15090" s="2" t="n">
        <v>44135</v>
      </c>
      <c r="D15090" t="inlineStr">
        <is>
          <t>NON-NIL</t>
        </is>
      </c>
      <c r="E15090" t="n">
        <v>481</v>
      </c>
    </row>
    <row r="15091">
      <c r="A15091" t="inlineStr">
        <is>
          <t>27BBBBB15091Z5</t>
        </is>
      </c>
      <c r="B15091" t="inlineStr">
        <is>
          <t>Aug-2017</t>
        </is>
      </c>
      <c r="C15091" s="2" t="n">
        <v>44526</v>
      </c>
      <c r="D15091" t="inlineStr">
        <is>
          <t>NON-NIL</t>
        </is>
      </c>
      <c r="E15091" t="n">
        <v>153</v>
      </c>
    </row>
    <row r="15092">
      <c r="A15092" t="inlineStr">
        <is>
          <t>27BBBBB15092Z5</t>
        </is>
      </c>
      <c r="B15092" t="inlineStr">
        <is>
          <t>Jan-2018</t>
        </is>
      </c>
      <c r="C15092" s="2" t="n">
        <v>43124</v>
      </c>
      <c r="D15092" t="inlineStr">
        <is>
          <t>NON-NIL</t>
        </is>
      </c>
      <c r="E15092" t="n">
        <v>339</v>
      </c>
    </row>
    <row r="15093">
      <c r="A15093" t="inlineStr">
        <is>
          <t>27BBBBB15093Z5</t>
        </is>
      </c>
      <c r="B15093" t="inlineStr">
        <is>
          <t>Mar-2021</t>
        </is>
      </c>
      <c r="C15093" s="2" t="n">
        <v>43801</v>
      </c>
      <c r="D15093" t="inlineStr">
        <is>
          <t>NIL</t>
        </is>
      </c>
      <c r="E15093" t="n">
        <v>1868</v>
      </c>
    </row>
    <row r="15094">
      <c r="A15094" t="inlineStr">
        <is>
          <t>27BBBBB15094Z5</t>
        </is>
      </c>
      <c r="B15094" t="inlineStr">
        <is>
          <t>May-2020</t>
        </is>
      </c>
      <c r="C15094" s="2" t="n">
        <v>43844</v>
      </c>
      <c r="D15094" t="inlineStr">
        <is>
          <t>NON-NIL</t>
        </is>
      </c>
      <c r="E15094" t="n">
        <v>2296</v>
      </c>
    </row>
    <row r="15095">
      <c r="A15095" t="inlineStr">
        <is>
          <t>27BBBBB15095Z5</t>
        </is>
      </c>
      <c r="B15095" t="inlineStr">
        <is>
          <t>Jan-2021</t>
        </is>
      </c>
      <c r="C15095" s="2" t="n">
        <v>44045</v>
      </c>
      <c r="D15095" t="inlineStr">
        <is>
          <t>NIL</t>
        </is>
      </c>
      <c r="E15095" t="n">
        <v>958</v>
      </c>
    </row>
    <row r="15096">
      <c r="A15096" t="inlineStr">
        <is>
          <t>27BBBBB15096Z5</t>
        </is>
      </c>
      <c r="B15096" t="inlineStr">
        <is>
          <t>Nov-2018</t>
        </is>
      </c>
      <c r="C15096" s="2" t="n">
        <v>43597</v>
      </c>
      <c r="D15096" t="inlineStr">
        <is>
          <t>NON-NIL</t>
        </is>
      </c>
      <c r="E15096" t="n">
        <v>1215</v>
      </c>
    </row>
    <row r="15097">
      <c r="A15097" t="inlineStr">
        <is>
          <t>27BBBBB15097Z5</t>
        </is>
      </c>
      <c r="B15097" t="inlineStr">
        <is>
          <t>Mar-2023</t>
        </is>
      </c>
      <c r="C15097" s="2" t="n">
        <v>45495</v>
      </c>
      <c r="D15097" t="inlineStr">
        <is>
          <t>NON-NIL</t>
        </is>
      </c>
      <c r="E15097" t="n">
        <v>2687</v>
      </c>
    </row>
    <row r="15098">
      <c r="A15098" t="inlineStr">
        <is>
          <t>27BBBBB15098Z5</t>
        </is>
      </c>
      <c r="B15098" t="inlineStr">
        <is>
          <t>Nov-2018</t>
        </is>
      </c>
      <c r="C15098" s="2" t="n">
        <v>43450</v>
      </c>
      <c r="D15098" t="inlineStr">
        <is>
          <t>NON-NIL</t>
        </is>
      </c>
      <c r="E15098" t="n">
        <v>1555</v>
      </c>
    </row>
    <row r="15099">
      <c r="A15099" t="inlineStr">
        <is>
          <t>27BBBBB15099Z5</t>
        </is>
      </c>
      <c r="B15099" t="inlineStr">
        <is>
          <t>Oct-2018</t>
        </is>
      </c>
      <c r="C15099" s="2" t="n">
        <v>43558</v>
      </c>
      <c r="D15099" t="inlineStr">
        <is>
          <t>NIL</t>
        </is>
      </c>
      <c r="E15099" t="n">
        <v>2828</v>
      </c>
    </row>
    <row r="15100">
      <c r="A15100" t="inlineStr">
        <is>
          <t>27BBBBB15100Z5</t>
        </is>
      </c>
      <c r="B15100" t="inlineStr">
        <is>
          <t>May-2020</t>
        </is>
      </c>
      <c r="C15100" s="2" t="n">
        <v>44626</v>
      </c>
      <c r="D15100" t="inlineStr">
        <is>
          <t>NIL</t>
        </is>
      </c>
      <c r="E15100" t="n">
        <v>1146</v>
      </c>
    </row>
    <row r="15101">
      <c r="A15101" t="inlineStr">
        <is>
          <t>27BBBBB15101Z5</t>
        </is>
      </c>
      <c r="B15101" t="inlineStr">
        <is>
          <t>Mar-2018</t>
        </is>
      </c>
      <c r="C15101" s="2" t="n">
        <v>43873</v>
      </c>
      <c r="D15101" t="inlineStr">
        <is>
          <t>NIL</t>
        </is>
      </c>
      <c r="E15101" t="n">
        <v>2392</v>
      </c>
    </row>
    <row r="15102">
      <c r="A15102" t="inlineStr">
        <is>
          <t>27BBBBB15102Z5</t>
        </is>
      </c>
      <c r="B15102" t="inlineStr">
        <is>
          <t>Mar-2018</t>
        </is>
      </c>
      <c r="C15102" s="2" t="n">
        <v>43506</v>
      </c>
      <c r="D15102" t="inlineStr">
        <is>
          <t>NON-NIL</t>
        </is>
      </c>
      <c r="E15102" t="n">
        <v>730</v>
      </c>
    </row>
    <row r="15103">
      <c r="A15103" t="inlineStr">
        <is>
          <t>27BBBBB15103Z5</t>
        </is>
      </c>
      <c r="B15103" t="inlineStr">
        <is>
          <t>Oct-2018</t>
        </is>
      </c>
      <c r="C15103" s="2" t="n">
        <v>43454</v>
      </c>
      <c r="D15103" t="inlineStr">
        <is>
          <t>NIL</t>
        </is>
      </c>
      <c r="E15103" t="n">
        <v>1960</v>
      </c>
    </row>
    <row r="15104">
      <c r="A15104" t="inlineStr">
        <is>
          <t>27BBBBB15104Z5</t>
        </is>
      </c>
      <c r="B15104" t="inlineStr">
        <is>
          <t>Jul-2018</t>
        </is>
      </c>
      <c r="C15104" s="2" t="n">
        <v>43780</v>
      </c>
      <c r="D15104" t="inlineStr">
        <is>
          <t>NON-NIL</t>
        </is>
      </c>
      <c r="E15104" t="n">
        <v>1219</v>
      </c>
    </row>
    <row r="15105">
      <c r="A15105" t="inlineStr">
        <is>
          <t>27BBBBB15105Z5</t>
        </is>
      </c>
      <c r="B15105" t="inlineStr">
        <is>
          <t>Apr-2018</t>
        </is>
      </c>
      <c r="C15105" s="2" t="n">
        <v>43156</v>
      </c>
      <c r="D15105" t="inlineStr">
        <is>
          <t>NIL</t>
        </is>
      </c>
      <c r="E15105" t="n">
        <v>1545</v>
      </c>
    </row>
    <row r="15106">
      <c r="A15106" t="inlineStr">
        <is>
          <t>27BBBBB15106Z5</t>
        </is>
      </c>
      <c r="B15106" t="inlineStr">
        <is>
          <t>Oct-2017</t>
        </is>
      </c>
      <c r="C15106" s="2" t="n">
        <v>44091</v>
      </c>
      <c r="D15106" t="inlineStr">
        <is>
          <t>NIL</t>
        </is>
      </c>
      <c r="E15106" t="n">
        <v>189</v>
      </c>
    </row>
    <row r="15107">
      <c r="A15107" t="inlineStr">
        <is>
          <t>27BBBBB15107Z5</t>
        </is>
      </c>
      <c r="B15107" t="inlineStr">
        <is>
          <t>Nov-2018</t>
        </is>
      </c>
      <c r="C15107" s="2" t="n">
        <v>44517</v>
      </c>
      <c r="D15107" t="inlineStr">
        <is>
          <t>NON-NIL</t>
        </is>
      </c>
      <c r="E15107" t="n">
        <v>280</v>
      </c>
    </row>
    <row r="15108">
      <c r="A15108" t="inlineStr">
        <is>
          <t>27BBBBB15108Z5</t>
        </is>
      </c>
      <c r="B15108" t="inlineStr">
        <is>
          <t>Jul-2020</t>
        </is>
      </c>
      <c r="C15108" s="2" t="n">
        <v>44114</v>
      </c>
      <c r="D15108" t="inlineStr">
        <is>
          <t>NIL</t>
        </is>
      </c>
      <c r="E15108" t="n">
        <v>605</v>
      </c>
    </row>
    <row r="15109">
      <c r="A15109" t="inlineStr">
        <is>
          <t>27BBBBB15109Z5</t>
        </is>
      </c>
      <c r="B15109" t="inlineStr">
        <is>
          <t>Aug-2017</t>
        </is>
      </c>
      <c r="C15109" s="2" t="n">
        <v>44373</v>
      </c>
      <c r="D15109" t="inlineStr">
        <is>
          <t>NIL</t>
        </is>
      </c>
      <c r="E15109" t="n">
        <v>2214</v>
      </c>
    </row>
    <row r="15110">
      <c r="A15110" t="inlineStr">
        <is>
          <t>27BBBBB15110Z5</t>
        </is>
      </c>
      <c r="B15110" t="inlineStr">
        <is>
          <t>Oct-2018</t>
        </is>
      </c>
      <c r="C15110" s="2" t="n">
        <v>44319</v>
      </c>
      <c r="D15110" t="inlineStr">
        <is>
          <t>NON-NIL</t>
        </is>
      </c>
      <c r="E15110" t="n">
        <v>1849</v>
      </c>
    </row>
    <row r="15111">
      <c r="A15111" t="inlineStr">
        <is>
          <t>27BBBBB15111Z5</t>
        </is>
      </c>
      <c r="B15111" t="inlineStr">
        <is>
          <t>Jan-2018</t>
        </is>
      </c>
      <c r="C15111" s="2" t="n">
        <v>44311</v>
      </c>
      <c r="D15111" t="inlineStr">
        <is>
          <t>NON-NIL</t>
        </is>
      </c>
      <c r="E15111" t="n">
        <v>562</v>
      </c>
    </row>
    <row r="15112">
      <c r="A15112" t="inlineStr">
        <is>
          <t>27BBBBB15112Z5</t>
        </is>
      </c>
      <c r="B15112" t="inlineStr">
        <is>
          <t>Mar-2020</t>
        </is>
      </c>
      <c r="C15112" s="2" t="n">
        <v>43965</v>
      </c>
      <c r="D15112" t="inlineStr">
        <is>
          <t>NON-NIL</t>
        </is>
      </c>
      <c r="E15112" t="n">
        <v>1558</v>
      </c>
    </row>
    <row r="15113">
      <c r="A15113" t="inlineStr">
        <is>
          <t>27BBBBB15113Z5</t>
        </is>
      </c>
      <c r="B15113" t="inlineStr">
        <is>
          <t>Mar-2021</t>
        </is>
      </c>
      <c r="C15113" s="2" t="n">
        <v>43856</v>
      </c>
      <c r="D15113" t="inlineStr">
        <is>
          <t>NIL</t>
        </is>
      </c>
      <c r="E15113" t="n">
        <v>566</v>
      </c>
    </row>
    <row r="15114">
      <c r="A15114" t="inlineStr">
        <is>
          <t>27BBBBB15114Z5</t>
        </is>
      </c>
      <c r="B15114" t="inlineStr">
        <is>
          <t>Feb-2018</t>
        </is>
      </c>
      <c r="C15114" s="2" t="n">
        <v>44101</v>
      </c>
      <c r="D15114" t="inlineStr">
        <is>
          <t>NIL</t>
        </is>
      </c>
      <c r="E15114" t="n">
        <v>2062</v>
      </c>
    </row>
    <row r="15115">
      <c r="A15115" t="inlineStr">
        <is>
          <t>27BBBBB15115Z5</t>
        </is>
      </c>
      <c r="B15115" t="inlineStr">
        <is>
          <t>Nov-2017</t>
        </is>
      </c>
      <c r="C15115" s="2" t="n">
        <v>43529</v>
      </c>
      <c r="D15115" t="inlineStr">
        <is>
          <t>NON-NIL</t>
        </is>
      </c>
      <c r="E15115" t="n">
        <v>2746</v>
      </c>
    </row>
    <row r="15116">
      <c r="A15116" t="inlineStr">
        <is>
          <t>27BBBBB15116Z5</t>
        </is>
      </c>
      <c r="B15116" t="inlineStr">
        <is>
          <t>Jan-2021</t>
        </is>
      </c>
      <c r="C15116" s="2" t="n">
        <v>43862</v>
      </c>
      <c r="D15116" t="inlineStr">
        <is>
          <t>NON-NIL</t>
        </is>
      </c>
      <c r="E15116" t="n">
        <v>138</v>
      </c>
    </row>
    <row r="15117">
      <c r="A15117" t="inlineStr">
        <is>
          <t>27BBBBB15117Z5</t>
        </is>
      </c>
      <c r="B15117" t="inlineStr">
        <is>
          <t>Jan-2021</t>
        </is>
      </c>
      <c r="C15117" s="2" t="n">
        <v>45150</v>
      </c>
      <c r="D15117" t="inlineStr">
        <is>
          <t>NON-NIL</t>
        </is>
      </c>
      <c r="E15117" t="n">
        <v>960</v>
      </c>
    </row>
    <row r="15118">
      <c r="A15118" t="inlineStr">
        <is>
          <t>27BBBBB15118Z5</t>
        </is>
      </c>
      <c r="B15118" t="inlineStr">
        <is>
          <t>Apr-2018</t>
        </is>
      </c>
      <c r="C15118" s="2" t="n">
        <v>43002</v>
      </c>
      <c r="D15118" t="inlineStr">
        <is>
          <t>NIL</t>
        </is>
      </c>
      <c r="E15118" t="n">
        <v>2536</v>
      </c>
    </row>
    <row r="15119">
      <c r="A15119" t="inlineStr">
        <is>
          <t>27BBBBB15119Z5</t>
        </is>
      </c>
      <c r="B15119" t="inlineStr">
        <is>
          <t>Dec-2024</t>
        </is>
      </c>
      <c r="C15119" s="2" t="n">
        <v>44207</v>
      </c>
      <c r="D15119" t="inlineStr">
        <is>
          <t>NON-NIL</t>
        </is>
      </c>
      <c r="E15119" t="n">
        <v>1580</v>
      </c>
    </row>
    <row r="15120">
      <c r="A15120" t="inlineStr">
        <is>
          <t>27BBBBB15120Z5</t>
        </is>
      </c>
      <c r="B15120" t="inlineStr">
        <is>
          <t>Oct-2018</t>
        </is>
      </c>
      <c r="C15120" s="2" t="n">
        <v>44305</v>
      </c>
      <c r="D15120" t="inlineStr">
        <is>
          <t>NIL</t>
        </is>
      </c>
      <c r="E15120" t="n">
        <v>432</v>
      </c>
    </row>
    <row r="15121">
      <c r="A15121" t="inlineStr">
        <is>
          <t>27BBBBB15121Z5</t>
        </is>
      </c>
      <c r="B15121" t="inlineStr">
        <is>
          <t>Aug-2018</t>
        </is>
      </c>
      <c r="C15121" s="2" t="n">
        <v>43843</v>
      </c>
      <c r="D15121" t="inlineStr">
        <is>
          <t>NON-NIL</t>
        </is>
      </c>
      <c r="E15121" t="n">
        <v>114</v>
      </c>
    </row>
    <row r="15122">
      <c r="A15122" t="inlineStr">
        <is>
          <t>27BBBBB15122Z5</t>
        </is>
      </c>
      <c r="B15122" t="inlineStr">
        <is>
          <t>Apr-2018</t>
        </is>
      </c>
      <c r="C15122" s="2" t="n">
        <v>43303</v>
      </c>
      <c r="D15122" t="inlineStr">
        <is>
          <t>NON-NIL</t>
        </is>
      </c>
      <c r="E15122" t="n">
        <v>1082</v>
      </c>
    </row>
    <row r="15123">
      <c r="A15123" t="inlineStr">
        <is>
          <t>27BBBBB15123Z5</t>
        </is>
      </c>
      <c r="B15123" t="inlineStr">
        <is>
          <t>Apr-2018</t>
        </is>
      </c>
      <c r="C15123" s="2" t="n">
        <v>43406</v>
      </c>
      <c r="D15123" t="inlineStr">
        <is>
          <t>NIL</t>
        </is>
      </c>
      <c r="E15123" t="n">
        <v>2449</v>
      </c>
    </row>
    <row r="15124">
      <c r="A15124" t="inlineStr">
        <is>
          <t>27BBBBB15124Z5</t>
        </is>
      </c>
      <c r="B15124" t="inlineStr">
        <is>
          <t>Sep-2018</t>
        </is>
      </c>
      <c r="C15124" s="2" t="n">
        <v>44334</v>
      </c>
      <c r="D15124" t="inlineStr">
        <is>
          <t>NON-NIL</t>
        </is>
      </c>
      <c r="E15124" t="n">
        <v>1060</v>
      </c>
    </row>
    <row r="15125">
      <c r="A15125" t="inlineStr">
        <is>
          <t>27BBBBB15125Z5</t>
        </is>
      </c>
      <c r="B15125" t="inlineStr">
        <is>
          <t>Nov-2017</t>
        </is>
      </c>
      <c r="C15125" s="2" t="n">
        <v>43376</v>
      </c>
      <c r="D15125" t="inlineStr">
        <is>
          <t>NON-NIL</t>
        </is>
      </c>
      <c r="E15125" t="n">
        <v>638</v>
      </c>
    </row>
    <row r="15126">
      <c r="A15126" t="inlineStr">
        <is>
          <t>27BBBBB15126Z5</t>
        </is>
      </c>
      <c r="B15126" t="inlineStr">
        <is>
          <t>Nov-2018</t>
        </is>
      </c>
      <c r="C15126" s="2" t="n">
        <v>42934</v>
      </c>
      <c r="D15126" t="inlineStr">
        <is>
          <t>NIL</t>
        </is>
      </c>
      <c r="E15126" t="n">
        <v>2930</v>
      </c>
    </row>
    <row r="15127">
      <c r="A15127" t="inlineStr">
        <is>
          <t>27BBBBB15127Z5</t>
        </is>
      </c>
      <c r="B15127" t="inlineStr">
        <is>
          <t>Jan-2021</t>
        </is>
      </c>
      <c r="C15127" s="2" t="n">
        <v>45757</v>
      </c>
      <c r="D15127" t="inlineStr">
        <is>
          <t>NON-NIL</t>
        </is>
      </c>
      <c r="E15127" t="n">
        <v>93</v>
      </c>
    </row>
    <row r="15128">
      <c r="A15128" t="inlineStr">
        <is>
          <t>27BBBBB15128Z5</t>
        </is>
      </c>
      <c r="B15128" t="inlineStr">
        <is>
          <t>Mar-2023</t>
        </is>
      </c>
      <c r="C15128" s="2" t="n">
        <v>44857</v>
      </c>
      <c r="D15128" t="inlineStr">
        <is>
          <t>NIL</t>
        </is>
      </c>
      <c r="E15128" t="n">
        <v>2095</v>
      </c>
    </row>
    <row r="15129">
      <c r="A15129" t="inlineStr">
        <is>
          <t>27BBBBB15129Z5</t>
        </is>
      </c>
      <c r="B15129" t="inlineStr">
        <is>
          <t>Mar-2018</t>
        </is>
      </c>
      <c r="C15129" s="2" t="n">
        <v>43641</v>
      </c>
      <c r="D15129" t="inlineStr">
        <is>
          <t>NIL</t>
        </is>
      </c>
      <c r="E15129" t="n">
        <v>2700</v>
      </c>
    </row>
    <row r="15130">
      <c r="A15130" t="inlineStr">
        <is>
          <t>27BBBBB15130Z5</t>
        </is>
      </c>
      <c r="B15130" t="inlineStr">
        <is>
          <t>Sep-2017</t>
        </is>
      </c>
      <c r="C15130" s="2" t="n">
        <v>43155</v>
      </c>
      <c r="D15130" t="inlineStr">
        <is>
          <t>NON-NIL</t>
        </is>
      </c>
      <c r="E15130" t="n">
        <v>2167</v>
      </c>
    </row>
    <row r="15131">
      <c r="A15131" t="inlineStr">
        <is>
          <t>27BBBBB15131Z5</t>
        </is>
      </c>
      <c r="B15131" t="inlineStr">
        <is>
          <t>Sep-2018</t>
        </is>
      </c>
      <c r="C15131" s="2" t="n">
        <v>43004</v>
      </c>
      <c r="D15131" t="inlineStr">
        <is>
          <t>NON-NIL</t>
        </is>
      </c>
      <c r="E15131" t="n">
        <v>2456</v>
      </c>
    </row>
    <row r="15132">
      <c r="A15132" t="inlineStr">
        <is>
          <t>27BBBBB15132Z5</t>
        </is>
      </c>
      <c r="B15132" t="inlineStr">
        <is>
          <t>Sep-2017</t>
        </is>
      </c>
      <c r="C15132" s="2" t="n">
        <v>44273</v>
      </c>
      <c r="D15132" t="inlineStr">
        <is>
          <t>NON-NIL</t>
        </is>
      </c>
      <c r="E15132" t="n">
        <v>2261</v>
      </c>
    </row>
    <row r="15133">
      <c r="A15133" t="inlineStr">
        <is>
          <t>27BBBBB15133Z5</t>
        </is>
      </c>
      <c r="B15133" t="inlineStr">
        <is>
          <t>Jul-2020</t>
        </is>
      </c>
      <c r="C15133" s="2" t="n">
        <v>44047</v>
      </c>
      <c r="D15133" t="inlineStr">
        <is>
          <t>NIL</t>
        </is>
      </c>
      <c r="E15133" t="n">
        <v>2468</v>
      </c>
    </row>
    <row r="15134">
      <c r="A15134" t="inlineStr">
        <is>
          <t>27BBBBB15134Z5</t>
        </is>
      </c>
      <c r="B15134" t="inlineStr">
        <is>
          <t>Nov-2018</t>
        </is>
      </c>
      <c r="C15134" s="2" t="n">
        <v>43251</v>
      </c>
      <c r="D15134" t="inlineStr">
        <is>
          <t>NIL</t>
        </is>
      </c>
      <c r="E15134" t="n">
        <v>2575</v>
      </c>
    </row>
    <row r="15135">
      <c r="A15135" t="inlineStr">
        <is>
          <t>27BBBBB15135Z5</t>
        </is>
      </c>
      <c r="B15135" t="inlineStr">
        <is>
          <t>Jul-2017</t>
        </is>
      </c>
      <c r="C15135" s="2" t="n">
        <v>44414</v>
      </c>
      <c r="D15135" t="inlineStr">
        <is>
          <t>NON-NIL</t>
        </is>
      </c>
      <c r="E15135" t="n">
        <v>167</v>
      </c>
    </row>
    <row r="15136">
      <c r="A15136" t="inlineStr">
        <is>
          <t>27BBBBB15136Z5</t>
        </is>
      </c>
      <c r="B15136" t="inlineStr">
        <is>
          <t>Apr-2018</t>
        </is>
      </c>
      <c r="C15136" s="2" t="n">
        <v>43467</v>
      </c>
      <c r="D15136" t="inlineStr">
        <is>
          <t>NIL</t>
        </is>
      </c>
      <c r="E15136" t="n">
        <v>1417</v>
      </c>
    </row>
    <row r="15137">
      <c r="A15137" t="inlineStr">
        <is>
          <t>27BBBBB15137Z5</t>
        </is>
      </c>
      <c r="B15137" t="inlineStr">
        <is>
          <t>Mar-2020</t>
        </is>
      </c>
      <c r="C15137" s="2" t="n">
        <v>44289</v>
      </c>
      <c r="D15137" t="inlineStr">
        <is>
          <t>NON-NIL</t>
        </is>
      </c>
      <c r="E15137" t="n">
        <v>217</v>
      </c>
    </row>
    <row r="15138">
      <c r="A15138" t="inlineStr">
        <is>
          <t>27BBBBB15138Z5</t>
        </is>
      </c>
      <c r="B15138" t="inlineStr">
        <is>
          <t>Dec-2024</t>
        </is>
      </c>
      <c r="C15138" s="2" t="n">
        <v>45668</v>
      </c>
      <c r="D15138" t="inlineStr">
        <is>
          <t>NIL</t>
        </is>
      </c>
      <c r="E15138" t="n">
        <v>2142</v>
      </c>
    </row>
    <row r="15139">
      <c r="A15139" t="inlineStr">
        <is>
          <t>27BBBBB15139Z5</t>
        </is>
      </c>
      <c r="B15139" t="inlineStr">
        <is>
          <t>Sep-2017</t>
        </is>
      </c>
      <c r="C15139" s="2" t="n">
        <v>43491</v>
      </c>
      <c r="D15139" t="inlineStr">
        <is>
          <t>NON-NIL</t>
        </is>
      </c>
      <c r="E15139" t="n">
        <v>2849</v>
      </c>
    </row>
    <row r="15140">
      <c r="A15140" t="inlineStr">
        <is>
          <t>27BBBBB15140Z5</t>
        </is>
      </c>
      <c r="B15140" t="inlineStr">
        <is>
          <t>Mar-2020</t>
        </is>
      </c>
      <c r="C15140" s="2" t="n">
        <v>44681</v>
      </c>
      <c r="D15140" t="inlineStr">
        <is>
          <t>NON-NIL</t>
        </is>
      </c>
      <c r="E15140" t="n">
        <v>2639</v>
      </c>
    </row>
    <row r="15141">
      <c r="A15141" t="inlineStr">
        <is>
          <t>27BBBBB15141Z5</t>
        </is>
      </c>
      <c r="B15141" t="inlineStr">
        <is>
          <t>Jun-2018</t>
        </is>
      </c>
      <c r="C15141" s="2" t="n">
        <v>43350</v>
      </c>
      <c r="D15141" t="inlineStr">
        <is>
          <t>NIL</t>
        </is>
      </c>
      <c r="E15141" t="n">
        <v>2995</v>
      </c>
    </row>
    <row r="15142">
      <c r="A15142" t="inlineStr">
        <is>
          <t>27BBBBB15142Z5</t>
        </is>
      </c>
      <c r="B15142" t="inlineStr">
        <is>
          <t>Sep-2018</t>
        </is>
      </c>
      <c r="C15142" s="2" t="n">
        <v>43112</v>
      </c>
      <c r="D15142" t="inlineStr">
        <is>
          <t>NON-NIL</t>
        </is>
      </c>
      <c r="E15142" t="n">
        <v>2408</v>
      </c>
    </row>
    <row r="15143">
      <c r="A15143" t="inlineStr">
        <is>
          <t>27BBBBB15143Z5</t>
        </is>
      </c>
      <c r="B15143" t="inlineStr">
        <is>
          <t>Oct-2018</t>
        </is>
      </c>
      <c r="C15143" s="2" t="n">
        <v>44413</v>
      </c>
      <c r="D15143" t="inlineStr">
        <is>
          <t>NON-NIL</t>
        </is>
      </c>
      <c r="E15143" t="n">
        <v>941</v>
      </c>
    </row>
    <row r="15144">
      <c r="A15144" t="inlineStr">
        <is>
          <t>27BBBBB15144Z5</t>
        </is>
      </c>
      <c r="B15144" t="inlineStr">
        <is>
          <t>Feb-2018</t>
        </is>
      </c>
      <c r="C15144" s="2" t="n">
        <v>43306</v>
      </c>
      <c r="D15144" t="inlineStr">
        <is>
          <t>NON-NIL</t>
        </is>
      </c>
      <c r="E15144" t="n">
        <v>851</v>
      </c>
    </row>
    <row r="15145">
      <c r="A15145" t="inlineStr">
        <is>
          <t>27BBBBB15145Z5</t>
        </is>
      </c>
      <c r="B15145" t="inlineStr">
        <is>
          <t>Dec-2022</t>
        </is>
      </c>
      <c r="C15145" s="2" t="n">
        <v>44582</v>
      </c>
      <c r="D15145" t="inlineStr">
        <is>
          <t>NIL</t>
        </is>
      </c>
      <c r="E15145" t="n">
        <v>508</v>
      </c>
    </row>
    <row r="15146">
      <c r="A15146" t="inlineStr">
        <is>
          <t>27BBBBB15146Z5</t>
        </is>
      </c>
      <c r="B15146" t="inlineStr">
        <is>
          <t>Mar-2021</t>
        </is>
      </c>
      <c r="C15146" s="2" t="n">
        <v>45535</v>
      </c>
      <c r="D15146" t="inlineStr">
        <is>
          <t>NIL</t>
        </is>
      </c>
      <c r="E15146" t="n">
        <v>2608</v>
      </c>
    </row>
    <row r="15147">
      <c r="A15147" t="inlineStr">
        <is>
          <t>27BBBBB15147Z5</t>
        </is>
      </c>
      <c r="B15147" t="inlineStr">
        <is>
          <t>Jan-2021</t>
        </is>
      </c>
      <c r="C15147" s="2" t="n">
        <v>44952</v>
      </c>
      <c r="D15147" t="inlineStr">
        <is>
          <t>NIL</t>
        </is>
      </c>
      <c r="E15147" t="n">
        <v>1145</v>
      </c>
    </row>
    <row r="15148">
      <c r="A15148" t="inlineStr">
        <is>
          <t>27BBBBB15148Z5</t>
        </is>
      </c>
      <c r="B15148" t="inlineStr">
        <is>
          <t>Dec-2018</t>
        </is>
      </c>
      <c r="C15148" s="2" t="n">
        <v>43735</v>
      </c>
      <c r="D15148" t="inlineStr">
        <is>
          <t>NON-NIL</t>
        </is>
      </c>
      <c r="E15148" t="n">
        <v>112</v>
      </c>
    </row>
    <row r="15149">
      <c r="A15149" t="inlineStr">
        <is>
          <t>27BBBBB15149Z5</t>
        </is>
      </c>
      <c r="B15149" t="inlineStr">
        <is>
          <t>Dec-2022</t>
        </is>
      </c>
      <c r="C15149" s="2" t="n">
        <v>44050</v>
      </c>
      <c r="D15149" t="inlineStr">
        <is>
          <t>NIL</t>
        </is>
      </c>
      <c r="E15149" t="n">
        <v>2400</v>
      </c>
    </row>
    <row r="15150">
      <c r="A15150" t="inlineStr">
        <is>
          <t>27BBBBB15150Z5</t>
        </is>
      </c>
      <c r="B15150" t="inlineStr">
        <is>
          <t>Mar-2018</t>
        </is>
      </c>
      <c r="C15150" s="2" t="n">
        <v>44234</v>
      </c>
      <c r="D15150" t="inlineStr">
        <is>
          <t>NIL</t>
        </is>
      </c>
      <c r="E15150" t="n">
        <v>242</v>
      </c>
    </row>
    <row r="15151">
      <c r="A15151" t="inlineStr">
        <is>
          <t>27BBBBB15151Z5</t>
        </is>
      </c>
      <c r="B15151" t="inlineStr">
        <is>
          <t>Jul-2020</t>
        </is>
      </c>
      <c r="C15151" s="2" t="n">
        <v>44138</v>
      </c>
      <c r="D15151" t="inlineStr">
        <is>
          <t>NIL</t>
        </is>
      </c>
      <c r="E15151" t="n">
        <v>35</v>
      </c>
    </row>
    <row r="15152">
      <c r="A15152" t="inlineStr">
        <is>
          <t>27BBBBB15152Z5</t>
        </is>
      </c>
      <c r="B15152" t="inlineStr">
        <is>
          <t>Jan-2021</t>
        </is>
      </c>
      <c r="C15152" s="2" t="n">
        <v>44705</v>
      </c>
      <c r="D15152" t="inlineStr">
        <is>
          <t>NON-NIL</t>
        </is>
      </c>
      <c r="E15152" t="n">
        <v>695</v>
      </c>
    </row>
    <row r="15153">
      <c r="A15153" t="inlineStr">
        <is>
          <t>27BBBBB15153Z5</t>
        </is>
      </c>
      <c r="B15153" t="inlineStr">
        <is>
          <t>Nov-2018</t>
        </is>
      </c>
      <c r="C15153" s="2" t="n">
        <v>43834</v>
      </c>
      <c r="D15153" t="inlineStr">
        <is>
          <t>NON-NIL</t>
        </is>
      </c>
      <c r="E15153" t="n">
        <v>2727</v>
      </c>
    </row>
    <row r="15154">
      <c r="A15154" t="inlineStr">
        <is>
          <t>27BBBBB15154Z5</t>
        </is>
      </c>
      <c r="B15154" t="inlineStr">
        <is>
          <t>Feb-2018</t>
        </is>
      </c>
      <c r="C15154" s="2" t="n">
        <v>44253</v>
      </c>
      <c r="D15154" t="inlineStr">
        <is>
          <t>NON-NIL</t>
        </is>
      </c>
      <c r="E15154" t="n">
        <v>777</v>
      </c>
    </row>
    <row r="15155">
      <c r="A15155" t="inlineStr">
        <is>
          <t>27BBBBB15155Z5</t>
        </is>
      </c>
      <c r="B15155" t="inlineStr">
        <is>
          <t>Jul-2020</t>
        </is>
      </c>
      <c r="C15155" s="2" t="n">
        <v>44548</v>
      </c>
      <c r="D15155" t="inlineStr">
        <is>
          <t>NON-NIL</t>
        </is>
      </c>
      <c r="E15155" t="n">
        <v>552</v>
      </c>
    </row>
    <row r="15156">
      <c r="A15156" t="inlineStr">
        <is>
          <t>27BBBBB15156Z5</t>
        </is>
      </c>
      <c r="B15156" t="inlineStr">
        <is>
          <t>Oct-2017</t>
        </is>
      </c>
      <c r="C15156" s="2" t="n">
        <v>43405</v>
      </c>
      <c r="D15156" t="inlineStr">
        <is>
          <t>NIL</t>
        </is>
      </c>
      <c r="E15156" t="n">
        <v>2184</v>
      </c>
    </row>
    <row r="15157">
      <c r="A15157" t="inlineStr">
        <is>
          <t>27BBBBB15157Z5</t>
        </is>
      </c>
      <c r="B15157" t="inlineStr">
        <is>
          <t>May-2020</t>
        </is>
      </c>
      <c r="C15157" s="2" t="n">
        <v>44384</v>
      </c>
      <c r="D15157" t="inlineStr">
        <is>
          <t>NIL</t>
        </is>
      </c>
      <c r="E15157" t="n">
        <v>2942</v>
      </c>
    </row>
    <row r="15158">
      <c r="A15158" t="inlineStr">
        <is>
          <t>27BBBBB15158Z5</t>
        </is>
      </c>
      <c r="B15158" t="inlineStr">
        <is>
          <t>Dec-2018</t>
        </is>
      </c>
      <c r="C15158" s="2" t="n">
        <v>42998</v>
      </c>
      <c r="D15158" t="inlineStr">
        <is>
          <t>NON-NIL</t>
        </is>
      </c>
      <c r="E15158" t="n">
        <v>479</v>
      </c>
    </row>
    <row r="15159">
      <c r="A15159" t="inlineStr">
        <is>
          <t>27BBBBB15159Z5</t>
        </is>
      </c>
      <c r="B15159" t="inlineStr">
        <is>
          <t>May-2020</t>
        </is>
      </c>
      <c r="C15159" s="2" t="n">
        <v>44742</v>
      </c>
      <c r="D15159" t="inlineStr">
        <is>
          <t>NIL</t>
        </is>
      </c>
      <c r="E15159" t="n">
        <v>2310</v>
      </c>
    </row>
    <row r="15160">
      <c r="A15160" t="inlineStr">
        <is>
          <t>27BBBBB15160Z5</t>
        </is>
      </c>
      <c r="B15160" t="inlineStr">
        <is>
          <t>Dec-2018</t>
        </is>
      </c>
      <c r="C15160" s="2" t="n">
        <v>44012</v>
      </c>
      <c r="D15160" t="inlineStr">
        <is>
          <t>NON-NIL</t>
        </is>
      </c>
      <c r="E15160" t="n">
        <v>1533</v>
      </c>
    </row>
    <row r="15161">
      <c r="A15161" t="inlineStr">
        <is>
          <t>27BBBBB15161Z5</t>
        </is>
      </c>
      <c r="B15161" t="inlineStr">
        <is>
          <t>Mar-2020</t>
        </is>
      </c>
      <c r="C15161" s="2" t="n">
        <v>44894</v>
      </c>
      <c r="D15161" t="inlineStr">
        <is>
          <t>NON-NIL</t>
        </is>
      </c>
      <c r="E15161" t="n">
        <v>1233</v>
      </c>
    </row>
    <row r="15162">
      <c r="A15162" t="inlineStr">
        <is>
          <t>27BBBBB15162Z5</t>
        </is>
      </c>
      <c r="B15162" t="inlineStr">
        <is>
          <t>Sep-2017</t>
        </is>
      </c>
      <c r="C15162" s="2" t="n">
        <v>43926</v>
      </c>
      <c r="D15162" t="inlineStr">
        <is>
          <t>NIL</t>
        </is>
      </c>
      <c r="E15162" t="n">
        <v>728</v>
      </c>
    </row>
    <row r="15163">
      <c r="A15163" t="inlineStr">
        <is>
          <t>27BBBBB15163Z5</t>
        </is>
      </c>
      <c r="B15163" t="inlineStr">
        <is>
          <t>Jan-2018</t>
        </is>
      </c>
      <c r="C15163" s="2" t="n">
        <v>43521</v>
      </c>
      <c r="D15163" t="inlineStr">
        <is>
          <t>NIL</t>
        </is>
      </c>
      <c r="E15163" t="n">
        <v>1365</v>
      </c>
    </row>
    <row r="15164">
      <c r="A15164" t="inlineStr">
        <is>
          <t>27BBBBB15164Z5</t>
        </is>
      </c>
      <c r="B15164" t="inlineStr">
        <is>
          <t>Oct-2017</t>
        </is>
      </c>
      <c r="C15164" s="2" t="n">
        <v>43321</v>
      </c>
      <c r="D15164" t="inlineStr">
        <is>
          <t>NON-NIL</t>
        </is>
      </c>
      <c r="E15164" t="n">
        <v>480</v>
      </c>
    </row>
    <row r="15165">
      <c r="A15165" t="inlineStr">
        <is>
          <t>27BBBBB15165Z5</t>
        </is>
      </c>
      <c r="B15165" t="inlineStr">
        <is>
          <t>Sep-2018</t>
        </is>
      </c>
      <c r="C15165" s="2" t="n">
        <v>43570</v>
      </c>
      <c r="D15165" t="inlineStr">
        <is>
          <t>NON-NIL</t>
        </is>
      </c>
      <c r="E15165" t="n">
        <v>1712</v>
      </c>
    </row>
    <row r="15166">
      <c r="A15166" t="inlineStr">
        <is>
          <t>27BBBBB15166Z5</t>
        </is>
      </c>
      <c r="B15166" t="inlineStr">
        <is>
          <t>May-2018</t>
        </is>
      </c>
      <c r="C15166" s="2" t="n">
        <v>43049</v>
      </c>
      <c r="D15166" t="inlineStr">
        <is>
          <t>NON-NIL</t>
        </is>
      </c>
      <c r="E15166" t="n">
        <v>836</v>
      </c>
    </row>
    <row r="15167">
      <c r="A15167" t="inlineStr">
        <is>
          <t>27BBBBB15167Z5</t>
        </is>
      </c>
      <c r="B15167" t="inlineStr">
        <is>
          <t>May-2020</t>
        </is>
      </c>
      <c r="C15167" s="2" t="n">
        <v>44359</v>
      </c>
      <c r="D15167" t="inlineStr">
        <is>
          <t>NIL</t>
        </is>
      </c>
      <c r="E15167" t="n">
        <v>1642</v>
      </c>
    </row>
    <row r="15168">
      <c r="A15168" t="inlineStr">
        <is>
          <t>27BBBBB15168Z5</t>
        </is>
      </c>
      <c r="B15168" t="inlineStr">
        <is>
          <t>Nov-2017</t>
        </is>
      </c>
      <c r="C15168" s="2" t="n">
        <v>44428</v>
      </c>
      <c r="D15168" t="inlineStr">
        <is>
          <t>NIL</t>
        </is>
      </c>
      <c r="E15168" t="n">
        <v>2641</v>
      </c>
    </row>
    <row r="15169">
      <c r="A15169" t="inlineStr">
        <is>
          <t>27BBBBB15169Z5</t>
        </is>
      </c>
      <c r="B15169" t="inlineStr">
        <is>
          <t>May-2020</t>
        </is>
      </c>
      <c r="C15169" s="2" t="n">
        <v>44697</v>
      </c>
      <c r="D15169" t="inlineStr">
        <is>
          <t>NIL</t>
        </is>
      </c>
      <c r="E15169" t="n">
        <v>2337</v>
      </c>
    </row>
    <row r="15170">
      <c r="A15170" t="inlineStr">
        <is>
          <t>27BBBBB15170Z5</t>
        </is>
      </c>
      <c r="B15170" t="inlineStr">
        <is>
          <t>Dec-2024</t>
        </is>
      </c>
      <c r="C15170" s="2" t="n">
        <v>44667</v>
      </c>
      <c r="D15170" t="inlineStr">
        <is>
          <t>NIL</t>
        </is>
      </c>
      <c r="E15170" t="n">
        <v>1078</v>
      </c>
    </row>
    <row r="15171">
      <c r="A15171" t="inlineStr">
        <is>
          <t>27BBBBB15171Z5</t>
        </is>
      </c>
      <c r="B15171" t="inlineStr">
        <is>
          <t>Nov-2018</t>
        </is>
      </c>
      <c r="C15171" s="2" t="n">
        <v>43684</v>
      </c>
      <c r="D15171" t="inlineStr">
        <is>
          <t>NIL</t>
        </is>
      </c>
      <c r="E15171" t="n">
        <v>111</v>
      </c>
    </row>
    <row r="15172">
      <c r="A15172" t="inlineStr">
        <is>
          <t>27BBBBB15172Z5</t>
        </is>
      </c>
      <c r="B15172" t="inlineStr">
        <is>
          <t>Mar-2021</t>
        </is>
      </c>
      <c r="C15172" s="2" t="n">
        <v>44926</v>
      </c>
      <c r="D15172" t="inlineStr">
        <is>
          <t>NON-NIL</t>
        </is>
      </c>
      <c r="E15172" t="n">
        <v>1865</v>
      </c>
    </row>
    <row r="15173">
      <c r="A15173" t="inlineStr">
        <is>
          <t>27BBBBB15173Z5</t>
        </is>
      </c>
      <c r="B15173" t="inlineStr">
        <is>
          <t>Jan-2021</t>
        </is>
      </c>
      <c r="C15173" s="2" t="n">
        <v>43466</v>
      </c>
      <c r="D15173" t="inlineStr">
        <is>
          <t>NON-NIL</t>
        </is>
      </c>
      <c r="E15173" t="n">
        <v>1176</v>
      </c>
    </row>
    <row r="15174">
      <c r="A15174" t="inlineStr">
        <is>
          <t>27BBBBB15174Z5</t>
        </is>
      </c>
      <c r="B15174" t="inlineStr">
        <is>
          <t>Mar-2023</t>
        </is>
      </c>
      <c r="C15174" s="2" t="n">
        <v>43764</v>
      </c>
      <c r="D15174" t="inlineStr">
        <is>
          <t>NIL</t>
        </is>
      </c>
      <c r="E15174" t="n">
        <v>1174</v>
      </c>
    </row>
    <row r="15175">
      <c r="A15175" t="inlineStr">
        <is>
          <t>27BBBBB15175Z5</t>
        </is>
      </c>
      <c r="B15175" t="inlineStr">
        <is>
          <t>Jul-2020</t>
        </is>
      </c>
      <c r="C15175" s="2" t="n">
        <v>44389</v>
      </c>
      <c r="D15175" t="inlineStr">
        <is>
          <t>NON-NIL</t>
        </is>
      </c>
      <c r="E15175" t="n">
        <v>2138</v>
      </c>
    </row>
    <row r="15176">
      <c r="A15176" t="inlineStr">
        <is>
          <t>27BBBBB15176Z5</t>
        </is>
      </c>
      <c r="B15176" t="inlineStr">
        <is>
          <t>Dec-2018</t>
        </is>
      </c>
      <c r="C15176" s="2" t="n">
        <v>43508</v>
      </c>
      <c r="D15176" t="inlineStr">
        <is>
          <t>NIL</t>
        </is>
      </c>
      <c r="E15176" t="n">
        <v>221</v>
      </c>
    </row>
    <row r="15177">
      <c r="A15177" t="inlineStr">
        <is>
          <t>27BBBBB15177Z5</t>
        </is>
      </c>
      <c r="B15177" t="inlineStr">
        <is>
          <t>Jul-2017</t>
        </is>
      </c>
      <c r="C15177" s="2" t="n">
        <v>44324</v>
      </c>
      <c r="D15177" t="inlineStr">
        <is>
          <t>NON-NIL</t>
        </is>
      </c>
      <c r="E15177" t="n">
        <v>2845</v>
      </c>
    </row>
    <row r="15178">
      <c r="A15178" t="inlineStr">
        <is>
          <t>27BBBBB15178Z5</t>
        </is>
      </c>
      <c r="B15178" t="inlineStr">
        <is>
          <t>Jul-2017</t>
        </is>
      </c>
      <c r="C15178" s="2" t="n">
        <v>43868</v>
      </c>
      <c r="D15178" t="inlineStr">
        <is>
          <t>NIL</t>
        </is>
      </c>
      <c r="E15178" t="n">
        <v>1334</v>
      </c>
    </row>
    <row r="15179">
      <c r="A15179" t="inlineStr">
        <is>
          <t>27BBBBB15179Z5</t>
        </is>
      </c>
      <c r="B15179" t="inlineStr">
        <is>
          <t>Jan-2018</t>
        </is>
      </c>
      <c r="C15179" s="2" t="n">
        <v>43588</v>
      </c>
      <c r="D15179" t="inlineStr">
        <is>
          <t>NIL</t>
        </is>
      </c>
      <c r="E15179" t="n">
        <v>733</v>
      </c>
    </row>
    <row r="15180">
      <c r="A15180" t="inlineStr">
        <is>
          <t>27BBBBB15180Z5</t>
        </is>
      </c>
      <c r="B15180" t="inlineStr">
        <is>
          <t>Mar-2018</t>
        </is>
      </c>
      <c r="C15180" s="2" t="n">
        <v>43549</v>
      </c>
      <c r="D15180" t="inlineStr">
        <is>
          <t>NON-NIL</t>
        </is>
      </c>
      <c r="E15180" t="n">
        <v>2505</v>
      </c>
    </row>
    <row r="15181">
      <c r="A15181" t="inlineStr">
        <is>
          <t>27BBBBB15181Z5</t>
        </is>
      </c>
      <c r="B15181" t="inlineStr">
        <is>
          <t>Nov-2017</t>
        </is>
      </c>
      <c r="C15181" s="2" t="n">
        <v>44112</v>
      </c>
      <c r="D15181" t="inlineStr">
        <is>
          <t>NON-NIL</t>
        </is>
      </c>
      <c r="E15181" t="n">
        <v>2706</v>
      </c>
    </row>
    <row r="15182">
      <c r="A15182" t="inlineStr">
        <is>
          <t>27BBBBB15182Z5</t>
        </is>
      </c>
      <c r="B15182" t="inlineStr">
        <is>
          <t>Oct-2018</t>
        </is>
      </c>
      <c r="C15182" s="2" t="n">
        <v>44559</v>
      </c>
      <c r="D15182" t="inlineStr">
        <is>
          <t>NON-NIL</t>
        </is>
      </c>
      <c r="E15182" t="n">
        <v>2243</v>
      </c>
    </row>
    <row r="15183">
      <c r="A15183" t="inlineStr">
        <is>
          <t>27BBBBB15183Z5</t>
        </is>
      </c>
      <c r="B15183" t="inlineStr">
        <is>
          <t>Jul-2018</t>
        </is>
      </c>
      <c r="C15183" s="2" t="n">
        <v>44221</v>
      </c>
      <c r="D15183" t="inlineStr">
        <is>
          <t>NIL</t>
        </is>
      </c>
      <c r="E15183" t="n">
        <v>546</v>
      </c>
    </row>
    <row r="15184">
      <c r="A15184" t="inlineStr">
        <is>
          <t>27BBBBB15184Z5</t>
        </is>
      </c>
      <c r="B15184" t="inlineStr">
        <is>
          <t>Dec-2018</t>
        </is>
      </c>
      <c r="C15184" s="2" t="n">
        <v>44473</v>
      </c>
      <c r="D15184" t="inlineStr">
        <is>
          <t>NON-NIL</t>
        </is>
      </c>
      <c r="E15184" t="n">
        <v>31</v>
      </c>
    </row>
    <row r="15185">
      <c r="A15185" t="inlineStr">
        <is>
          <t>27BBBBB15185Z5</t>
        </is>
      </c>
      <c r="B15185" t="inlineStr">
        <is>
          <t>Aug-2017</t>
        </is>
      </c>
      <c r="C15185" s="2" t="n">
        <v>43356</v>
      </c>
      <c r="D15185" t="inlineStr">
        <is>
          <t>NON-NIL</t>
        </is>
      </c>
      <c r="E15185" t="n">
        <v>564</v>
      </c>
    </row>
    <row r="15186">
      <c r="A15186" t="inlineStr">
        <is>
          <t>27BBBBB15186Z5</t>
        </is>
      </c>
      <c r="B15186" t="inlineStr">
        <is>
          <t>Jan-2021</t>
        </is>
      </c>
      <c r="C15186" s="2" t="n">
        <v>44151</v>
      </c>
      <c r="D15186" t="inlineStr">
        <is>
          <t>NIL</t>
        </is>
      </c>
      <c r="E15186" t="n">
        <v>1510</v>
      </c>
    </row>
    <row r="15187">
      <c r="A15187" t="inlineStr">
        <is>
          <t>27BBBBB15187Z5</t>
        </is>
      </c>
      <c r="B15187" t="inlineStr">
        <is>
          <t>Jul-2018</t>
        </is>
      </c>
      <c r="C15187" s="2" t="n">
        <v>43183</v>
      </c>
      <c r="D15187" t="inlineStr">
        <is>
          <t>NON-NIL</t>
        </is>
      </c>
      <c r="E15187" t="n">
        <v>1646</v>
      </c>
    </row>
    <row r="15188">
      <c r="A15188" t="inlineStr">
        <is>
          <t>27BBBBB15188Z5</t>
        </is>
      </c>
      <c r="B15188" t="inlineStr">
        <is>
          <t>Jul-2020</t>
        </is>
      </c>
      <c r="C15188" s="2" t="n">
        <v>44844</v>
      </c>
      <c r="D15188" t="inlineStr">
        <is>
          <t>NON-NIL</t>
        </is>
      </c>
      <c r="E15188" t="n">
        <v>1320</v>
      </c>
    </row>
    <row r="15189">
      <c r="A15189" t="inlineStr">
        <is>
          <t>27BBBBB15189Z5</t>
        </is>
      </c>
      <c r="B15189" t="inlineStr">
        <is>
          <t>Sep-2017</t>
        </is>
      </c>
      <c r="C15189" s="2" t="n">
        <v>43727</v>
      </c>
      <c r="D15189" t="inlineStr">
        <is>
          <t>NON-NIL</t>
        </is>
      </c>
      <c r="E15189" t="n">
        <v>2939</v>
      </c>
    </row>
    <row r="15190">
      <c r="A15190" t="inlineStr">
        <is>
          <t>27BBBBB15190Z5</t>
        </is>
      </c>
      <c r="B15190" t="inlineStr">
        <is>
          <t>Dec-2024</t>
        </is>
      </c>
      <c r="C15190" s="2" t="n">
        <v>45135</v>
      </c>
      <c r="D15190" t="inlineStr">
        <is>
          <t>NIL</t>
        </is>
      </c>
      <c r="E15190" t="n">
        <v>7</v>
      </c>
    </row>
    <row r="15191">
      <c r="A15191" t="inlineStr">
        <is>
          <t>27BBBBB15191Z5</t>
        </is>
      </c>
      <c r="B15191" t="inlineStr">
        <is>
          <t>Feb-2018</t>
        </is>
      </c>
      <c r="C15191" s="2" t="n">
        <v>43073</v>
      </c>
      <c r="D15191" t="inlineStr">
        <is>
          <t>NON-NIL</t>
        </is>
      </c>
      <c r="E15191" t="n">
        <v>2705</v>
      </c>
    </row>
    <row r="15192">
      <c r="A15192" t="inlineStr">
        <is>
          <t>27BBBBB15192Z5</t>
        </is>
      </c>
      <c r="B15192" t="inlineStr">
        <is>
          <t>Nov-2017</t>
        </is>
      </c>
      <c r="C15192" s="2" t="n">
        <v>43153</v>
      </c>
      <c r="D15192" t="inlineStr">
        <is>
          <t>NIL</t>
        </is>
      </c>
      <c r="E15192" t="n">
        <v>1742</v>
      </c>
    </row>
    <row r="15193">
      <c r="A15193" t="inlineStr">
        <is>
          <t>27BBBBB15193Z5</t>
        </is>
      </c>
      <c r="B15193" t="inlineStr">
        <is>
          <t>Dec-2017</t>
        </is>
      </c>
      <c r="C15193" s="2" t="n">
        <v>44325</v>
      </c>
      <c r="D15193" t="inlineStr">
        <is>
          <t>NON-NIL</t>
        </is>
      </c>
      <c r="E15193" t="n">
        <v>1141</v>
      </c>
    </row>
    <row r="15194">
      <c r="A15194" t="inlineStr">
        <is>
          <t>27BBBBB15194Z5</t>
        </is>
      </c>
      <c r="B15194" t="inlineStr">
        <is>
          <t>Dec-2017</t>
        </is>
      </c>
      <c r="C15194" s="2" t="n">
        <v>43053</v>
      </c>
      <c r="D15194" t="inlineStr">
        <is>
          <t>NON-NIL</t>
        </is>
      </c>
      <c r="E15194" t="n">
        <v>2760</v>
      </c>
    </row>
    <row r="15195">
      <c r="A15195" t="inlineStr">
        <is>
          <t>27BBBBB15195Z5</t>
        </is>
      </c>
      <c r="B15195" t="inlineStr">
        <is>
          <t>Mar-2020</t>
        </is>
      </c>
      <c r="C15195" s="2" t="n">
        <v>44614</v>
      </c>
      <c r="D15195" t="inlineStr">
        <is>
          <t>NIL</t>
        </is>
      </c>
      <c r="E15195" t="n">
        <v>2774</v>
      </c>
    </row>
    <row r="15196">
      <c r="A15196" t="inlineStr">
        <is>
          <t>27BBBBB15196Z5</t>
        </is>
      </c>
      <c r="B15196" t="inlineStr">
        <is>
          <t>Sep-2018</t>
        </is>
      </c>
      <c r="C15196" s="2" t="n">
        <v>43804</v>
      </c>
      <c r="D15196" t="inlineStr">
        <is>
          <t>NIL</t>
        </is>
      </c>
      <c r="E15196" t="n">
        <v>10</v>
      </c>
    </row>
    <row r="15197">
      <c r="A15197" t="inlineStr">
        <is>
          <t>27BBBBB15197Z5</t>
        </is>
      </c>
      <c r="B15197" t="inlineStr">
        <is>
          <t>Jul-2017</t>
        </is>
      </c>
      <c r="C15197" s="2" t="n">
        <v>44206</v>
      </c>
      <c r="D15197" t="inlineStr">
        <is>
          <t>NON-NIL</t>
        </is>
      </c>
      <c r="E15197" t="n">
        <v>233</v>
      </c>
    </row>
    <row r="15198">
      <c r="A15198" t="inlineStr">
        <is>
          <t>27BBBBB15198Z5</t>
        </is>
      </c>
      <c r="B15198" t="inlineStr">
        <is>
          <t>Jul-2020</t>
        </is>
      </c>
      <c r="C15198" s="2" t="n">
        <v>44923</v>
      </c>
      <c r="D15198" t="inlineStr">
        <is>
          <t>NIL</t>
        </is>
      </c>
      <c r="E15198" t="n">
        <v>2327</v>
      </c>
    </row>
    <row r="15199">
      <c r="A15199" t="inlineStr">
        <is>
          <t>27BBBBB15199Z5</t>
        </is>
      </c>
      <c r="B15199" t="inlineStr">
        <is>
          <t>Jan-2018</t>
        </is>
      </c>
      <c r="C15199" s="2" t="n">
        <v>43803</v>
      </c>
      <c r="D15199" t="inlineStr">
        <is>
          <t>NON-NIL</t>
        </is>
      </c>
      <c r="E15199" t="n">
        <v>2783</v>
      </c>
    </row>
    <row r="15200">
      <c r="A15200" t="inlineStr">
        <is>
          <t>27BBBBB15200Z5</t>
        </is>
      </c>
      <c r="B15200" t="inlineStr">
        <is>
          <t>Aug-2018</t>
        </is>
      </c>
      <c r="C15200" s="2" t="n">
        <v>43706</v>
      </c>
      <c r="D15200" t="inlineStr">
        <is>
          <t>NON-NIL</t>
        </is>
      </c>
      <c r="E15200" t="n">
        <v>545</v>
      </c>
    </row>
    <row r="15201">
      <c r="A15201" t="inlineStr">
        <is>
          <t>27BBBBB15201Z5</t>
        </is>
      </c>
      <c r="B15201" t="inlineStr">
        <is>
          <t>Jul-2018</t>
        </is>
      </c>
      <c r="C15201" s="2" t="n">
        <v>42981</v>
      </c>
      <c r="D15201" t="inlineStr">
        <is>
          <t>NON-NIL</t>
        </is>
      </c>
      <c r="E15201" t="n">
        <v>2840</v>
      </c>
    </row>
    <row r="15202">
      <c r="A15202" t="inlineStr">
        <is>
          <t>27BBBBB15202Z5</t>
        </is>
      </c>
      <c r="B15202" t="inlineStr">
        <is>
          <t>May-2018</t>
        </is>
      </c>
      <c r="C15202" s="2" t="n">
        <v>44042</v>
      </c>
      <c r="D15202" t="inlineStr">
        <is>
          <t>NIL</t>
        </is>
      </c>
      <c r="E15202" t="n">
        <v>2569</v>
      </c>
    </row>
    <row r="15203">
      <c r="A15203" t="inlineStr">
        <is>
          <t>27BBBBB15203Z5</t>
        </is>
      </c>
      <c r="B15203" t="inlineStr">
        <is>
          <t>Oct-2018</t>
        </is>
      </c>
      <c r="C15203" s="2" t="n">
        <v>43159</v>
      </c>
      <c r="D15203" t="inlineStr">
        <is>
          <t>NIL</t>
        </is>
      </c>
      <c r="E15203" t="n">
        <v>848</v>
      </c>
    </row>
    <row r="15204">
      <c r="A15204" t="inlineStr">
        <is>
          <t>27BBBBB15204Z5</t>
        </is>
      </c>
      <c r="B15204" t="inlineStr">
        <is>
          <t>May-2018</t>
        </is>
      </c>
      <c r="C15204" s="2" t="n">
        <v>44205</v>
      </c>
      <c r="D15204" t="inlineStr">
        <is>
          <t>NON-NIL</t>
        </is>
      </c>
      <c r="E15204" t="n">
        <v>2295</v>
      </c>
    </row>
    <row r="15205">
      <c r="A15205" t="inlineStr">
        <is>
          <t>27BBBBB15205Z5</t>
        </is>
      </c>
      <c r="B15205" t="inlineStr">
        <is>
          <t>Mar-2018</t>
        </is>
      </c>
      <c r="C15205" s="2" t="n">
        <v>43649</v>
      </c>
      <c r="D15205" t="inlineStr">
        <is>
          <t>NIL</t>
        </is>
      </c>
      <c r="E15205" t="n">
        <v>2046</v>
      </c>
    </row>
    <row r="15206">
      <c r="A15206" t="inlineStr">
        <is>
          <t>27BBBBB15206Z5</t>
        </is>
      </c>
      <c r="B15206" t="inlineStr">
        <is>
          <t>Oct-2018</t>
        </is>
      </c>
      <c r="C15206" s="2" t="n">
        <v>44206</v>
      </c>
      <c r="D15206" t="inlineStr">
        <is>
          <t>NON-NIL</t>
        </is>
      </c>
      <c r="E15206" t="n">
        <v>966</v>
      </c>
    </row>
    <row r="15207">
      <c r="A15207" t="inlineStr">
        <is>
          <t>27BBBBB15207Z5</t>
        </is>
      </c>
      <c r="B15207" t="inlineStr">
        <is>
          <t>Apr-2018</t>
        </is>
      </c>
      <c r="C15207" s="2" t="n">
        <v>43160</v>
      </c>
      <c r="D15207" t="inlineStr">
        <is>
          <t>NON-NIL</t>
        </is>
      </c>
      <c r="E15207" t="n">
        <v>1268</v>
      </c>
    </row>
    <row r="15208">
      <c r="A15208" t="inlineStr">
        <is>
          <t>27BBBBB15208Z5</t>
        </is>
      </c>
      <c r="B15208" t="inlineStr">
        <is>
          <t>Jul-2017</t>
        </is>
      </c>
      <c r="C15208" s="2" t="n">
        <v>43433</v>
      </c>
      <c r="D15208" t="inlineStr">
        <is>
          <t>NON-NIL</t>
        </is>
      </c>
      <c r="E15208" t="n">
        <v>341</v>
      </c>
    </row>
    <row r="15209">
      <c r="A15209" t="inlineStr">
        <is>
          <t>27BBBBB15209Z5</t>
        </is>
      </c>
      <c r="B15209" t="inlineStr">
        <is>
          <t>Jun-2018</t>
        </is>
      </c>
      <c r="C15209" s="2" t="n">
        <v>44135</v>
      </c>
      <c r="D15209" t="inlineStr">
        <is>
          <t>NIL</t>
        </is>
      </c>
      <c r="E15209" t="n">
        <v>2329</v>
      </c>
    </row>
    <row r="15210">
      <c r="A15210" t="inlineStr">
        <is>
          <t>27BBBBB15210Z5</t>
        </is>
      </c>
      <c r="B15210" t="inlineStr">
        <is>
          <t>Oct-2017</t>
        </is>
      </c>
      <c r="C15210" s="2" t="n">
        <v>43202</v>
      </c>
      <c r="D15210" t="inlineStr">
        <is>
          <t>NIL</t>
        </is>
      </c>
      <c r="E15210" t="n">
        <v>1013</v>
      </c>
    </row>
    <row r="15211">
      <c r="A15211" t="inlineStr">
        <is>
          <t>27BBBBB15211Z5</t>
        </is>
      </c>
      <c r="B15211" t="inlineStr">
        <is>
          <t>Mar-2023</t>
        </is>
      </c>
      <c r="C15211" s="2" t="n">
        <v>44885</v>
      </c>
      <c r="D15211" t="inlineStr">
        <is>
          <t>NON-NIL</t>
        </is>
      </c>
      <c r="E15211" t="n">
        <v>112</v>
      </c>
    </row>
    <row r="15212">
      <c r="A15212" t="inlineStr">
        <is>
          <t>27BBBBB15212Z5</t>
        </is>
      </c>
      <c r="B15212" t="inlineStr">
        <is>
          <t>Dec-2022</t>
        </is>
      </c>
      <c r="C15212" s="2" t="n">
        <v>44502</v>
      </c>
      <c r="D15212" t="inlineStr">
        <is>
          <t>NIL</t>
        </is>
      </c>
      <c r="E15212" t="n">
        <v>580</v>
      </c>
    </row>
    <row r="15213">
      <c r="A15213" t="inlineStr">
        <is>
          <t>27BBBBB15213Z5</t>
        </is>
      </c>
      <c r="B15213" t="inlineStr">
        <is>
          <t>Mar-2023</t>
        </is>
      </c>
      <c r="C15213" s="2" t="n">
        <v>43613</v>
      </c>
      <c r="D15213" t="inlineStr">
        <is>
          <t>NIL</t>
        </is>
      </c>
      <c r="E15213" t="n">
        <v>2902</v>
      </c>
    </row>
    <row r="15214">
      <c r="A15214" t="inlineStr">
        <is>
          <t>27BBBBB15214Z5</t>
        </is>
      </c>
      <c r="B15214" t="inlineStr">
        <is>
          <t>Mar-2018</t>
        </is>
      </c>
      <c r="C15214" s="2" t="n">
        <v>44537</v>
      </c>
      <c r="D15214" t="inlineStr">
        <is>
          <t>NON-NIL</t>
        </is>
      </c>
      <c r="E15214" t="n">
        <v>2119</v>
      </c>
    </row>
    <row r="15215">
      <c r="A15215" t="inlineStr">
        <is>
          <t>27BBBBB15215Z5</t>
        </is>
      </c>
      <c r="B15215" t="inlineStr">
        <is>
          <t>Dec-2024</t>
        </is>
      </c>
      <c r="C15215" s="2" t="n">
        <v>45794</v>
      </c>
      <c r="D15215" t="inlineStr">
        <is>
          <t>NIL</t>
        </is>
      </c>
      <c r="E15215" t="n">
        <v>211</v>
      </c>
    </row>
    <row r="15216">
      <c r="A15216" t="inlineStr">
        <is>
          <t>27BBBBB15216Z5</t>
        </is>
      </c>
      <c r="B15216" t="inlineStr">
        <is>
          <t>Dec-2022</t>
        </is>
      </c>
      <c r="C15216" s="2" t="n">
        <v>45520</v>
      </c>
      <c r="D15216" t="inlineStr">
        <is>
          <t>NON-NIL</t>
        </is>
      </c>
      <c r="E15216" t="n">
        <v>1333</v>
      </c>
    </row>
    <row r="15217">
      <c r="A15217" t="inlineStr">
        <is>
          <t>27BBBBB15217Z5</t>
        </is>
      </c>
      <c r="B15217" t="inlineStr">
        <is>
          <t>Aug-2018</t>
        </is>
      </c>
      <c r="C15217" s="2" t="n">
        <v>43897</v>
      </c>
      <c r="D15217" t="inlineStr">
        <is>
          <t>NIL</t>
        </is>
      </c>
      <c r="E15217" t="n">
        <v>803</v>
      </c>
    </row>
    <row r="15218">
      <c r="A15218" t="inlineStr">
        <is>
          <t>27BBBBB15218Z5</t>
        </is>
      </c>
      <c r="B15218" t="inlineStr">
        <is>
          <t>Jan-2021</t>
        </is>
      </c>
      <c r="C15218" s="2" t="n">
        <v>44577</v>
      </c>
      <c r="D15218" t="inlineStr">
        <is>
          <t>NON-NIL</t>
        </is>
      </c>
      <c r="E15218" t="n">
        <v>2402</v>
      </c>
    </row>
    <row r="15219">
      <c r="A15219" t="inlineStr">
        <is>
          <t>27BBBBB15219Z5</t>
        </is>
      </c>
      <c r="B15219" t="inlineStr">
        <is>
          <t>Nov-2018</t>
        </is>
      </c>
      <c r="C15219" s="2" t="n">
        <v>44310</v>
      </c>
      <c r="D15219" t="inlineStr">
        <is>
          <t>NON-NIL</t>
        </is>
      </c>
      <c r="E15219" t="n">
        <v>174</v>
      </c>
    </row>
    <row r="15220">
      <c r="A15220" t="inlineStr">
        <is>
          <t>27BBBBB15220Z5</t>
        </is>
      </c>
      <c r="B15220" t="inlineStr">
        <is>
          <t>Jan-2021</t>
        </is>
      </c>
      <c r="C15220" s="2" t="n">
        <v>45442</v>
      </c>
      <c r="D15220" t="inlineStr">
        <is>
          <t>NIL</t>
        </is>
      </c>
      <c r="E15220" t="n">
        <v>2873</v>
      </c>
    </row>
    <row r="15221">
      <c r="A15221" t="inlineStr">
        <is>
          <t>27BBBBB15221Z5</t>
        </is>
      </c>
      <c r="B15221" t="inlineStr">
        <is>
          <t>Sep-2018</t>
        </is>
      </c>
      <c r="C15221" s="2" t="n">
        <v>43588</v>
      </c>
      <c r="D15221" t="inlineStr">
        <is>
          <t>NIL</t>
        </is>
      </c>
      <c r="E15221" t="n">
        <v>1210</v>
      </c>
    </row>
    <row r="15222">
      <c r="A15222" t="inlineStr">
        <is>
          <t>27BBBBB15222Z5</t>
        </is>
      </c>
      <c r="B15222" t="inlineStr">
        <is>
          <t>Sep-2018</t>
        </is>
      </c>
      <c r="C15222" s="2" t="n">
        <v>44392</v>
      </c>
      <c r="D15222" t="inlineStr">
        <is>
          <t>NON-NIL</t>
        </is>
      </c>
      <c r="E15222" t="n">
        <v>2447</v>
      </c>
    </row>
    <row r="15223">
      <c r="A15223" t="inlineStr">
        <is>
          <t>27BBBBB15223Z5</t>
        </is>
      </c>
      <c r="B15223" t="inlineStr">
        <is>
          <t>Feb-2018</t>
        </is>
      </c>
      <c r="C15223" s="2" t="n">
        <v>44047</v>
      </c>
      <c r="D15223" t="inlineStr">
        <is>
          <t>NON-NIL</t>
        </is>
      </c>
      <c r="E15223" t="n">
        <v>66</v>
      </c>
    </row>
    <row r="15224">
      <c r="A15224" t="inlineStr">
        <is>
          <t>27BBBBB15224Z5</t>
        </is>
      </c>
      <c r="B15224" t="inlineStr">
        <is>
          <t>Nov-2017</t>
        </is>
      </c>
      <c r="C15224" s="2" t="n">
        <v>42931</v>
      </c>
      <c r="D15224" t="inlineStr">
        <is>
          <t>NIL</t>
        </is>
      </c>
      <c r="E15224" t="n">
        <v>1324</v>
      </c>
    </row>
    <row r="15225">
      <c r="A15225" t="inlineStr">
        <is>
          <t>27BBBBB15225Z5</t>
        </is>
      </c>
      <c r="B15225" t="inlineStr">
        <is>
          <t>Dec-2017</t>
        </is>
      </c>
      <c r="C15225" s="2" t="n">
        <v>44126</v>
      </c>
      <c r="D15225" t="inlineStr">
        <is>
          <t>NON-NIL</t>
        </is>
      </c>
      <c r="E15225" t="n">
        <v>1630</v>
      </c>
    </row>
    <row r="15226">
      <c r="A15226" t="inlineStr">
        <is>
          <t>27BBBBB15226Z5</t>
        </is>
      </c>
      <c r="B15226" t="inlineStr">
        <is>
          <t>Dec-2022</t>
        </is>
      </c>
      <c r="C15226" s="2" t="n">
        <v>44601</v>
      </c>
      <c r="D15226" t="inlineStr">
        <is>
          <t>NIL</t>
        </is>
      </c>
      <c r="E15226" t="n">
        <v>1603</v>
      </c>
    </row>
    <row r="15227">
      <c r="A15227" t="inlineStr">
        <is>
          <t>27BBBBB15227Z5</t>
        </is>
      </c>
      <c r="B15227" t="inlineStr">
        <is>
          <t>May-2020</t>
        </is>
      </c>
      <c r="C15227" s="2" t="n">
        <v>44159</v>
      </c>
      <c r="D15227" t="inlineStr">
        <is>
          <t>NON-NIL</t>
        </is>
      </c>
      <c r="E15227" t="n">
        <v>2760</v>
      </c>
    </row>
    <row r="15228">
      <c r="A15228" t="inlineStr">
        <is>
          <t>27BBBBB15228Z5</t>
        </is>
      </c>
      <c r="B15228" t="inlineStr">
        <is>
          <t>May-2018</t>
        </is>
      </c>
      <c r="C15228" s="2" t="n">
        <v>44035</v>
      </c>
      <c r="D15228" t="inlineStr">
        <is>
          <t>NON-NIL</t>
        </is>
      </c>
      <c r="E15228" t="n">
        <v>479</v>
      </c>
    </row>
    <row r="15229">
      <c r="A15229" t="inlineStr">
        <is>
          <t>27BBBBB15229Z5</t>
        </is>
      </c>
      <c r="B15229" t="inlineStr">
        <is>
          <t>Jan-2018</t>
        </is>
      </c>
      <c r="C15229" s="2" t="n">
        <v>43487</v>
      </c>
      <c r="D15229" t="inlineStr">
        <is>
          <t>NON-NIL</t>
        </is>
      </c>
      <c r="E15229" t="n">
        <v>1558</v>
      </c>
    </row>
    <row r="15230">
      <c r="A15230" t="inlineStr">
        <is>
          <t>27BBBBB15230Z5</t>
        </is>
      </c>
      <c r="B15230" t="inlineStr">
        <is>
          <t>Sep-2017</t>
        </is>
      </c>
      <c r="C15230" s="2" t="n">
        <v>44559</v>
      </c>
      <c r="D15230" t="inlineStr">
        <is>
          <t>NON-NIL</t>
        </is>
      </c>
      <c r="E15230" t="n">
        <v>1204</v>
      </c>
    </row>
    <row r="15231">
      <c r="A15231" t="inlineStr">
        <is>
          <t>27BBBBB15231Z5</t>
        </is>
      </c>
      <c r="B15231" t="inlineStr">
        <is>
          <t>Jul-2017</t>
        </is>
      </c>
      <c r="C15231" s="2" t="n">
        <v>42919</v>
      </c>
      <c r="D15231" t="inlineStr">
        <is>
          <t>NIL</t>
        </is>
      </c>
      <c r="E15231" t="n">
        <v>766</v>
      </c>
    </row>
    <row r="15232">
      <c r="A15232" t="inlineStr">
        <is>
          <t>27BBBBB15232Z5</t>
        </is>
      </c>
      <c r="B15232" t="inlineStr">
        <is>
          <t>Nov-2018</t>
        </is>
      </c>
      <c r="C15232" s="2" t="n">
        <v>44512</v>
      </c>
      <c r="D15232" t="inlineStr">
        <is>
          <t>NIL</t>
        </is>
      </c>
      <c r="E15232" t="n">
        <v>377</v>
      </c>
    </row>
    <row r="15233">
      <c r="A15233" t="inlineStr">
        <is>
          <t>27BBBBB15233Z5</t>
        </is>
      </c>
      <c r="B15233" t="inlineStr">
        <is>
          <t>Apr-2018</t>
        </is>
      </c>
      <c r="C15233" s="2" t="n">
        <v>43407</v>
      </c>
      <c r="D15233" t="inlineStr">
        <is>
          <t>NON-NIL</t>
        </is>
      </c>
      <c r="E15233" t="n">
        <v>498</v>
      </c>
    </row>
    <row r="15234">
      <c r="A15234" t="inlineStr">
        <is>
          <t>27BBBBB15234Z5</t>
        </is>
      </c>
      <c r="B15234" t="inlineStr">
        <is>
          <t>Dec-2018</t>
        </is>
      </c>
      <c r="C15234" s="2" t="n">
        <v>44308</v>
      </c>
      <c r="D15234" t="inlineStr">
        <is>
          <t>NIL</t>
        </is>
      </c>
      <c r="E15234" t="n">
        <v>1156</v>
      </c>
    </row>
    <row r="15235">
      <c r="A15235" t="inlineStr">
        <is>
          <t>27BBBBB15235Z5</t>
        </is>
      </c>
      <c r="B15235" t="inlineStr">
        <is>
          <t>Jun-2018</t>
        </is>
      </c>
      <c r="C15235" s="2" t="n">
        <v>43301</v>
      </c>
      <c r="D15235" t="inlineStr">
        <is>
          <t>NIL</t>
        </is>
      </c>
      <c r="E15235" t="n">
        <v>1653</v>
      </c>
    </row>
    <row r="15236">
      <c r="A15236" t="inlineStr">
        <is>
          <t>27BBBBB15236Z5</t>
        </is>
      </c>
      <c r="B15236" t="inlineStr">
        <is>
          <t>Sep-2018</t>
        </is>
      </c>
      <c r="C15236" s="2" t="n">
        <v>43899</v>
      </c>
      <c r="D15236" t="inlineStr">
        <is>
          <t>NIL</t>
        </is>
      </c>
      <c r="E15236" t="n">
        <v>647</v>
      </c>
    </row>
    <row r="15237">
      <c r="A15237" t="inlineStr">
        <is>
          <t>27BBBBB15237Z5</t>
        </is>
      </c>
      <c r="B15237" t="inlineStr">
        <is>
          <t>Apr-2018</t>
        </is>
      </c>
      <c r="C15237" s="2" t="n">
        <v>43330</v>
      </c>
      <c r="D15237" t="inlineStr">
        <is>
          <t>NIL</t>
        </is>
      </c>
      <c r="E15237" t="n">
        <v>2354</v>
      </c>
    </row>
    <row r="15238">
      <c r="A15238" t="inlineStr">
        <is>
          <t>27BBBBB15238Z5</t>
        </is>
      </c>
      <c r="B15238" t="inlineStr">
        <is>
          <t>Jul-2017</t>
        </is>
      </c>
      <c r="C15238" s="2" t="n">
        <v>43727</v>
      </c>
      <c r="D15238" t="inlineStr">
        <is>
          <t>NON-NIL</t>
        </is>
      </c>
      <c r="E15238" t="n">
        <v>1248</v>
      </c>
    </row>
    <row r="15239">
      <c r="A15239" t="inlineStr">
        <is>
          <t>27BBBBB15239Z5</t>
        </is>
      </c>
      <c r="B15239" t="inlineStr">
        <is>
          <t>May-2020</t>
        </is>
      </c>
      <c r="C15239" s="2" t="n">
        <v>44155</v>
      </c>
      <c r="D15239" t="inlineStr">
        <is>
          <t>NIL</t>
        </is>
      </c>
      <c r="E15239" t="n">
        <v>918</v>
      </c>
    </row>
    <row r="15240">
      <c r="A15240" t="inlineStr">
        <is>
          <t>27BBBBB15240Z5</t>
        </is>
      </c>
      <c r="B15240" t="inlineStr">
        <is>
          <t>Oct-2017</t>
        </is>
      </c>
      <c r="C15240" s="2" t="n">
        <v>42957</v>
      </c>
      <c r="D15240" t="inlineStr">
        <is>
          <t>NIL</t>
        </is>
      </c>
      <c r="E15240" t="n">
        <v>712</v>
      </c>
    </row>
    <row r="15241">
      <c r="A15241" t="inlineStr">
        <is>
          <t>27BBBBB15241Z5</t>
        </is>
      </c>
      <c r="B15241" t="inlineStr">
        <is>
          <t>Jan-2021</t>
        </is>
      </c>
      <c r="C15241" s="2" t="n">
        <v>44751</v>
      </c>
      <c r="D15241" t="inlineStr">
        <is>
          <t>NIL</t>
        </is>
      </c>
      <c r="E15241" t="n">
        <v>513</v>
      </c>
    </row>
    <row r="15242">
      <c r="A15242" t="inlineStr">
        <is>
          <t>27BBBBB15242Z5</t>
        </is>
      </c>
      <c r="B15242" t="inlineStr">
        <is>
          <t>Dec-2018</t>
        </is>
      </c>
      <c r="C15242" s="2" t="n">
        <v>43366</v>
      </c>
      <c r="D15242" t="inlineStr">
        <is>
          <t>NIL</t>
        </is>
      </c>
      <c r="E15242" t="n">
        <v>1946</v>
      </c>
    </row>
    <row r="15243">
      <c r="A15243" t="inlineStr">
        <is>
          <t>27BBBBB15243Z5</t>
        </is>
      </c>
      <c r="B15243" t="inlineStr">
        <is>
          <t>Dec-2022</t>
        </is>
      </c>
      <c r="C15243" s="2" t="n">
        <v>43537</v>
      </c>
      <c r="D15243" t="inlineStr">
        <is>
          <t>NON-NIL</t>
        </is>
      </c>
      <c r="E15243" t="n">
        <v>2519</v>
      </c>
    </row>
    <row r="15244">
      <c r="A15244" t="inlineStr">
        <is>
          <t>27BBBBB15244Z5</t>
        </is>
      </c>
      <c r="B15244" t="inlineStr">
        <is>
          <t>Dec-2022</t>
        </is>
      </c>
      <c r="C15244" s="2" t="n">
        <v>43708</v>
      </c>
      <c r="D15244" t="inlineStr">
        <is>
          <t>NIL</t>
        </is>
      </c>
      <c r="E15244" t="n">
        <v>858</v>
      </c>
    </row>
    <row r="15245">
      <c r="A15245" t="inlineStr">
        <is>
          <t>27BBBBB15245Z5</t>
        </is>
      </c>
      <c r="B15245" t="inlineStr">
        <is>
          <t>Aug-2017</t>
        </is>
      </c>
      <c r="C15245" s="2" t="n">
        <v>43239</v>
      </c>
      <c r="D15245" t="inlineStr">
        <is>
          <t>NIL</t>
        </is>
      </c>
      <c r="E15245" t="n">
        <v>1138</v>
      </c>
    </row>
    <row r="15246">
      <c r="A15246" t="inlineStr">
        <is>
          <t>27BBBBB15246Z5</t>
        </is>
      </c>
      <c r="B15246" t="inlineStr">
        <is>
          <t>May-2020</t>
        </is>
      </c>
      <c r="C15246" s="2" t="n">
        <v>44170</v>
      </c>
      <c r="D15246" t="inlineStr">
        <is>
          <t>NON-NIL</t>
        </is>
      </c>
      <c r="E15246" t="n">
        <v>2318</v>
      </c>
    </row>
    <row r="15247">
      <c r="A15247" t="inlineStr">
        <is>
          <t>27BBBBB15247Z5</t>
        </is>
      </c>
      <c r="B15247" t="inlineStr">
        <is>
          <t>Jul-2020</t>
        </is>
      </c>
      <c r="C15247" s="2" t="n">
        <v>44267</v>
      </c>
      <c r="D15247" t="inlineStr">
        <is>
          <t>NIL</t>
        </is>
      </c>
      <c r="E15247" t="n">
        <v>1616</v>
      </c>
    </row>
    <row r="15248">
      <c r="A15248" t="inlineStr">
        <is>
          <t>27BBBBB15248Z5</t>
        </is>
      </c>
      <c r="B15248" t="inlineStr">
        <is>
          <t>Jul-2018</t>
        </is>
      </c>
      <c r="C15248" s="2" t="n">
        <v>43400</v>
      </c>
      <c r="D15248" t="inlineStr">
        <is>
          <t>NIL</t>
        </is>
      </c>
      <c r="E15248" t="n">
        <v>1138</v>
      </c>
    </row>
    <row r="15249">
      <c r="A15249" t="inlineStr">
        <is>
          <t>27BBBBB15249Z5</t>
        </is>
      </c>
      <c r="B15249" t="inlineStr">
        <is>
          <t>Sep-2017</t>
        </is>
      </c>
      <c r="C15249" s="2" t="n">
        <v>43945</v>
      </c>
      <c r="D15249" t="inlineStr">
        <is>
          <t>NIL</t>
        </is>
      </c>
      <c r="E15249" t="n">
        <v>2105</v>
      </c>
    </row>
    <row r="15250">
      <c r="A15250" t="inlineStr">
        <is>
          <t>27BBBBB15250Z5</t>
        </is>
      </c>
      <c r="B15250" t="inlineStr">
        <is>
          <t>Sep-2017</t>
        </is>
      </c>
      <c r="C15250" s="2" t="n">
        <v>44489</v>
      </c>
      <c r="D15250" t="inlineStr">
        <is>
          <t>NON-NIL</t>
        </is>
      </c>
      <c r="E15250" t="n">
        <v>1977</v>
      </c>
    </row>
    <row r="15251">
      <c r="A15251" t="inlineStr">
        <is>
          <t>27BBBBB15251Z5</t>
        </is>
      </c>
      <c r="B15251" t="inlineStr">
        <is>
          <t>Mar-2021</t>
        </is>
      </c>
      <c r="C15251" s="2" t="n">
        <v>45761</v>
      </c>
      <c r="D15251" t="inlineStr">
        <is>
          <t>NON-NIL</t>
        </is>
      </c>
      <c r="E15251" t="n">
        <v>262</v>
      </c>
    </row>
    <row r="15252">
      <c r="A15252" t="inlineStr">
        <is>
          <t>27BBBBB15252Z5</t>
        </is>
      </c>
      <c r="B15252" t="inlineStr">
        <is>
          <t>Jun-2018</t>
        </is>
      </c>
      <c r="C15252" s="2" t="n">
        <v>43199</v>
      </c>
      <c r="D15252" t="inlineStr">
        <is>
          <t>NIL</t>
        </is>
      </c>
      <c r="E15252" t="n">
        <v>1466</v>
      </c>
    </row>
    <row r="15253">
      <c r="A15253" t="inlineStr">
        <is>
          <t>27BBBBB15253Z5</t>
        </is>
      </c>
      <c r="B15253" t="inlineStr">
        <is>
          <t>Nov-2018</t>
        </is>
      </c>
      <c r="C15253" s="2" t="n">
        <v>44039</v>
      </c>
      <c r="D15253" t="inlineStr">
        <is>
          <t>NIL</t>
        </is>
      </c>
      <c r="E15253" t="n">
        <v>2968</v>
      </c>
    </row>
    <row r="15254">
      <c r="A15254" t="inlineStr">
        <is>
          <t>27BBBBB15254Z5</t>
        </is>
      </c>
      <c r="B15254" t="inlineStr">
        <is>
          <t>Nov-2018</t>
        </is>
      </c>
      <c r="C15254" s="2" t="n">
        <v>42927</v>
      </c>
      <c r="D15254" t="inlineStr">
        <is>
          <t>NIL</t>
        </is>
      </c>
      <c r="E15254" t="n">
        <v>300</v>
      </c>
    </row>
    <row r="15255">
      <c r="A15255" t="inlineStr">
        <is>
          <t>27BBBBB15255Z5</t>
        </is>
      </c>
      <c r="B15255" t="inlineStr">
        <is>
          <t>Nov-2017</t>
        </is>
      </c>
      <c r="C15255" s="2" t="n">
        <v>44430</v>
      </c>
      <c r="D15255" t="inlineStr">
        <is>
          <t>NON-NIL</t>
        </is>
      </c>
      <c r="E15255" t="n">
        <v>845</v>
      </c>
    </row>
    <row r="15256">
      <c r="A15256" t="inlineStr">
        <is>
          <t>27BBBBB15256Z5</t>
        </is>
      </c>
      <c r="B15256" t="inlineStr">
        <is>
          <t>Nov-2018</t>
        </is>
      </c>
      <c r="C15256" s="2" t="n">
        <v>43882</v>
      </c>
      <c r="D15256" t="inlineStr">
        <is>
          <t>NIL</t>
        </is>
      </c>
      <c r="E15256" t="n">
        <v>326</v>
      </c>
    </row>
    <row r="15257">
      <c r="A15257" t="inlineStr">
        <is>
          <t>27BBBBB15257Z5</t>
        </is>
      </c>
      <c r="B15257" t="inlineStr">
        <is>
          <t>Sep-2018</t>
        </is>
      </c>
      <c r="C15257" s="2" t="n">
        <v>43729</v>
      </c>
      <c r="D15257" t="inlineStr">
        <is>
          <t>NIL</t>
        </is>
      </c>
      <c r="E15257" t="n">
        <v>449</v>
      </c>
    </row>
    <row r="15258">
      <c r="A15258" t="inlineStr">
        <is>
          <t>27BBBBB15258Z5</t>
        </is>
      </c>
      <c r="B15258" t="inlineStr">
        <is>
          <t>Apr-2018</t>
        </is>
      </c>
      <c r="C15258" s="2" t="n">
        <v>42980</v>
      </c>
      <c r="D15258" t="inlineStr">
        <is>
          <t>NIL</t>
        </is>
      </c>
      <c r="E15258" t="n">
        <v>1903</v>
      </c>
    </row>
    <row r="15259">
      <c r="A15259" t="inlineStr">
        <is>
          <t>27BBBBB15259Z5</t>
        </is>
      </c>
      <c r="B15259" t="inlineStr">
        <is>
          <t>Dec-2018</t>
        </is>
      </c>
      <c r="C15259" s="2" t="n">
        <v>43430</v>
      </c>
      <c r="D15259" t="inlineStr">
        <is>
          <t>NIL</t>
        </is>
      </c>
      <c r="E15259" t="n">
        <v>2484</v>
      </c>
    </row>
    <row r="15260">
      <c r="A15260" t="inlineStr">
        <is>
          <t>27BBBBB15260Z5</t>
        </is>
      </c>
      <c r="B15260" t="inlineStr">
        <is>
          <t>Nov-2017</t>
        </is>
      </c>
      <c r="C15260" s="2" t="n">
        <v>44130</v>
      </c>
      <c r="D15260" t="inlineStr">
        <is>
          <t>NIL</t>
        </is>
      </c>
      <c r="E15260" t="n">
        <v>873</v>
      </c>
    </row>
    <row r="15261">
      <c r="A15261" t="inlineStr">
        <is>
          <t>27BBBBB15261Z5</t>
        </is>
      </c>
      <c r="B15261" t="inlineStr">
        <is>
          <t>Oct-2018</t>
        </is>
      </c>
      <c r="C15261" s="2" t="n">
        <v>43262</v>
      </c>
      <c r="D15261" t="inlineStr">
        <is>
          <t>NON-NIL</t>
        </is>
      </c>
      <c r="E15261" t="n">
        <v>1230</v>
      </c>
    </row>
    <row r="15262">
      <c r="A15262" t="inlineStr">
        <is>
          <t>27BBBBB15262Z5</t>
        </is>
      </c>
      <c r="B15262" t="inlineStr">
        <is>
          <t>Jun-2018</t>
        </is>
      </c>
      <c r="C15262" s="2" t="n">
        <v>44305</v>
      </c>
      <c r="D15262" t="inlineStr">
        <is>
          <t>NIL</t>
        </is>
      </c>
      <c r="E15262" t="n">
        <v>1431</v>
      </c>
    </row>
    <row r="15263">
      <c r="A15263" t="inlineStr">
        <is>
          <t>27BBBBB15263Z5</t>
        </is>
      </c>
      <c r="B15263" t="inlineStr">
        <is>
          <t>Jun-2018</t>
        </is>
      </c>
      <c r="C15263" s="2" t="n">
        <v>42950</v>
      </c>
      <c r="D15263" t="inlineStr">
        <is>
          <t>NON-NIL</t>
        </is>
      </c>
      <c r="E15263" t="n">
        <v>603</v>
      </c>
    </row>
    <row r="15264">
      <c r="A15264" t="inlineStr">
        <is>
          <t>27BBBBB15264Z5</t>
        </is>
      </c>
      <c r="B15264" t="inlineStr">
        <is>
          <t>Mar-2021</t>
        </is>
      </c>
      <c r="C15264" s="2" t="n">
        <v>44684</v>
      </c>
      <c r="D15264" t="inlineStr">
        <is>
          <t>NIL</t>
        </is>
      </c>
      <c r="E15264" t="n">
        <v>145</v>
      </c>
    </row>
    <row r="15265">
      <c r="A15265" t="inlineStr">
        <is>
          <t>27BBBBB15265Z5</t>
        </is>
      </c>
      <c r="B15265" t="inlineStr">
        <is>
          <t>Mar-2018</t>
        </is>
      </c>
      <c r="C15265" s="2" t="n">
        <v>44201</v>
      </c>
      <c r="D15265" t="inlineStr">
        <is>
          <t>NON-NIL</t>
        </is>
      </c>
      <c r="E15265" t="n">
        <v>1687</v>
      </c>
    </row>
    <row r="15266">
      <c r="A15266" t="inlineStr">
        <is>
          <t>27BBBBB15266Z5</t>
        </is>
      </c>
      <c r="B15266" t="inlineStr">
        <is>
          <t>Jan-2018</t>
        </is>
      </c>
      <c r="C15266" s="2" t="n">
        <v>43395</v>
      </c>
      <c r="D15266" t="inlineStr">
        <is>
          <t>NIL</t>
        </is>
      </c>
      <c r="E15266" t="n">
        <v>365</v>
      </c>
    </row>
    <row r="15267">
      <c r="A15267" t="inlineStr">
        <is>
          <t>27BBBBB15267Z5</t>
        </is>
      </c>
      <c r="B15267" t="inlineStr">
        <is>
          <t>Dec-2022</t>
        </is>
      </c>
      <c r="C15267" s="2" t="n">
        <v>43769</v>
      </c>
      <c r="D15267" t="inlineStr">
        <is>
          <t>NIL</t>
        </is>
      </c>
      <c r="E15267" t="n">
        <v>100</v>
      </c>
    </row>
    <row r="15268">
      <c r="A15268" t="inlineStr">
        <is>
          <t>27BBBBB15268Z5</t>
        </is>
      </c>
      <c r="B15268" t="inlineStr">
        <is>
          <t>May-2018</t>
        </is>
      </c>
      <c r="C15268" s="2" t="n">
        <v>43169</v>
      </c>
      <c r="D15268" t="inlineStr">
        <is>
          <t>NON-NIL</t>
        </is>
      </c>
      <c r="E15268" t="n">
        <v>1084</v>
      </c>
    </row>
    <row r="15269">
      <c r="A15269" t="inlineStr">
        <is>
          <t>27BBBBB15269Z5</t>
        </is>
      </c>
      <c r="B15269" t="inlineStr">
        <is>
          <t>Jul-2020</t>
        </is>
      </c>
      <c r="C15269" s="2" t="n">
        <v>44895</v>
      </c>
      <c r="D15269" t="inlineStr">
        <is>
          <t>NON-NIL</t>
        </is>
      </c>
      <c r="E15269" t="n">
        <v>538</v>
      </c>
    </row>
    <row r="15270">
      <c r="A15270" t="inlineStr">
        <is>
          <t>27BBBBB15270Z5</t>
        </is>
      </c>
      <c r="B15270" t="inlineStr">
        <is>
          <t>Sep-2018</t>
        </is>
      </c>
      <c r="C15270" s="2" t="n">
        <v>43930</v>
      </c>
      <c r="D15270" t="inlineStr">
        <is>
          <t>NON-NIL</t>
        </is>
      </c>
      <c r="E15270" t="n">
        <v>1817</v>
      </c>
    </row>
    <row r="15271">
      <c r="A15271" t="inlineStr">
        <is>
          <t>27BBBBB15271Z5</t>
        </is>
      </c>
      <c r="B15271" t="inlineStr">
        <is>
          <t>Sep-2017</t>
        </is>
      </c>
      <c r="C15271" s="2" t="n">
        <v>42977</v>
      </c>
      <c r="D15271" t="inlineStr">
        <is>
          <t>NIL</t>
        </is>
      </c>
      <c r="E15271" t="n">
        <v>522</v>
      </c>
    </row>
    <row r="15272">
      <c r="A15272" t="inlineStr">
        <is>
          <t>27BBBBB15272Z5</t>
        </is>
      </c>
      <c r="B15272" t="inlineStr">
        <is>
          <t>Sep-2018</t>
        </is>
      </c>
      <c r="C15272" s="2" t="n">
        <v>44475</v>
      </c>
      <c r="D15272" t="inlineStr">
        <is>
          <t>NIL</t>
        </is>
      </c>
      <c r="E15272" t="n">
        <v>2339</v>
      </c>
    </row>
    <row r="15273">
      <c r="A15273" t="inlineStr">
        <is>
          <t>27BBBBB15273Z5</t>
        </is>
      </c>
      <c r="B15273" t="inlineStr">
        <is>
          <t>Oct-2018</t>
        </is>
      </c>
      <c r="C15273" s="2" t="n">
        <v>44010</v>
      </c>
      <c r="D15273" t="inlineStr">
        <is>
          <t>NON-NIL</t>
        </is>
      </c>
      <c r="E15273" t="n">
        <v>1076</v>
      </c>
    </row>
    <row r="15274">
      <c r="A15274" t="inlineStr">
        <is>
          <t>27BBBBB15274Z5</t>
        </is>
      </c>
      <c r="B15274" t="inlineStr">
        <is>
          <t>May-2018</t>
        </is>
      </c>
      <c r="C15274" s="2" t="n">
        <v>43164</v>
      </c>
      <c r="D15274" t="inlineStr">
        <is>
          <t>NON-NIL</t>
        </is>
      </c>
      <c r="E15274" t="n">
        <v>1988</v>
      </c>
    </row>
    <row r="15275">
      <c r="A15275" t="inlineStr">
        <is>
          <t>27BBBBB15275Z5</t>
        </is>
      </c>
      <c r="B15275" t="inlineStr">
        <is>
          <t>Dec-2018</t>
        </is>
      </c>
      <c r="C15275" s="2" t="n">
        <v>43984</v>
      </c>
      <c r="D15275" t="inlineStr">
        <is>
          <t>NON-NIL</t>
        </is>
      </c>
      <c r="E15275" t="n">
        <v>77</v>
      </c>
    </row>
    <row r="15276">
      <c r="A15276" t="inlineStr">
        <is>
          <t>27BBBBB15276Z5</t>
        </is>
      </c>
      <c r="B15276" t="inlineStr">
        <is>
          <t>Jun-2018</t>
        </is>
      </c>
      <c r="C15276" s="2" t="n">
        <v>44294</v>
      </c>
      <c r="D15276" t="inlineStr">
        <is>
          <t>NIL</t>
        </is>
      </c>
      <c r="E15276" t="n">
        <v>2143</v>
      </c>
    </row>
    <row r="15277">
      <c r="A15277" t="inlineStr">
        <is>
          <t>27BBBBB15277Z5</t>
        </is>
      </c>
      <c r="B15277" t="inlineStr">
        <is>
          <t>Jul-2017</t>
        </is>
      </c>
      <c r="C15277" s="2" t="n">
        <v>44173</v>
      </c>
      <c r="D15277" t="inlineStr">
        <is>
          <t>NON-NIL</t>
        </is>
      </c>
      <c r="E15277" t="n">
        <v>197</v>
      </c>
    </row>
    <row r="15278">
      <c r="A15278" t="inlineStr">
        <is>
          <t>27BBBBB15278Z5</t>
        </is>
      </c>
      <c r="B15278" t="inlineStr">
        <is>
          <t>Sep-2017</t>
        </is>
      </c>
      <c r="C15278" s="2" t="n">
        <v>43365</v>
      </c>
      <c r="D15278" t="inlineStr">
        <is>
          <t>NIL</t>
        </is>
      </c>
      <c r="E15278" t="n">
        <v>1522</v>
      </c>
    </row>
    <row r="15279">
      <c r="A15279" t="inlineStr">
        <is>
          <t>27BBBBB15279Z5</t>
        </is>
      </c>
      <c r="B15279" t="inlineStr">
        <is>
          <t>Jul-2017</t>
        </is>
      </c>
      <c r="C15279" s="2" t="n">
        <v>44283</v>
      </c>
      <c r="D15279" t="inlineStr">
        <is>
          <t>NIL</t>
        </is>
      </c>
      <c r="E15279" t="n">
        <v>1742</v>
      </c>
    </row>
    <row r="15280">
      <c r="A15280" t="inlineStr">
        <is>
          <t>27BBBBB15280Z5</t>
        </is>
      </c>
      <c r="B15280" t="inlineStr">
        <is>
          <t>Dec-2017</t>
        </is>
      </c>
      <c r="C15280" s="2" t="n">
        <v>44438</v>
      </c>
      <c r="D15280" t="inlineStr">
        <is>
          <t>NON-NIL</t>
        </is>
      </c>
      <c r="E15280" t="n">
        <v>697</v>
      </c>
    </row>
    <row r="15281">
      <c r="A15281" t="inlineStr">
        <is>
          <t>27BBBBB15281Z5</t>
        </is>
      </c>
      <c r="B15281" t="inlineStr">
        <is>
          <t>Mar-2020</t>
        </is>
      </c>
      <c r="C15281" s="2" t="n">
        <v>44801</v>
      </c>
      <c r="D15281" t="inlineStr">
        <is>
          <t>NON-NIL</t>
        </is>
      </c>
      <c r="E15281" t="n">
        <v>298</v>
      </c>
    </row>
    <row r="15282">
      <c r="A15282" t="inlineStr">
        <is>
          <t>27BBBBB15282Z5</t>
        </is>
      </c>
      <c r="B15282" t="inlineStr">
        <is>
          <t>Dec-2017</t>
        </is>
      </c>
      <c r="C15282" s="2" t="n">
        <v>43902</v>
      </c>
      <c r="D15282" t="inlineStr">
        <is>
          <t>NIL</t>
        </is>
      </c>
      <c r="E15282" t="n">
        <v>761</v>
      </c>
    </row>
    <row r="15283">
      <c r="A15283" t="inlineStr">
        <is>
          <t>27BBBBB15283Z5</t>
        </is>
      </c>
      <c r="B15283" t="inlineStr">
        <is>
          <t>Dec-2017</t>
        </is>
      </c>
      <c r="C15283" s="2" t="n">
        <v>43312</v>
      </c>
      <c r="D15283" t="inlineStr">
        <is>
          <t>NON-NIL</t>
        </is>
      </c>
      <c r="E15283" t="n">
        <v>742</v>
      </c>
    </row>
    <row r="15284">
      <c r="A15284" t="inlineStr">
        <is>
          <t>27BBBBB15284Z5</t>
        </is>
      </c>
      <c r="B15284" t="inlineStr">
        <is>
          <t>Feb-2018</t>
        </is>
      </c>
      <c r="C15284" s="2" t="n">
        <v>43256</v>
      </c>
      <c r="D15284" t="inlineStr">
        <is>
          <t>NIL</t>
        </is>
      </c>
      <c r="E15284" t="n">
        <v>2843</v>
      </c>
    </row>
    <row r="15285">
      <c r="A15285" t="inlineStr">
        <is>
          <t>27BBBBB15285Z5</t>
        </is>
      </c>
      <c r="B15285" t="inlineStr">
        <is>
          <t>Jan-2018</t>
        </is>
      </c>
      <c r="C15285" s="2" t="n">
        <v>42989</v>
      </c>
      <c r="D15285" t="inlineStr">
        <is>
          <t>NON-NIL</t>
        </is>
      </c>
      <c r="E15285" t="n">
        <v>2590</v>
      </c>
    </row>
    <row r="15286">
      <c r="A15286" t="inlineStr">
        <is>
          <t>27BBBBB15286Z5</t>
        </is>
      </c>
      <c r="B15286" t="inlineStr">
        <is>
          <t>Aug-2017</t>
        </is>
      </c>
      <c r="C15286" s="2" t="n">
        <v>44349</v>
      </c>
      <c r="D15286" t="inlineStr">
        <is>
          <t>NIL</t>
        </is>
      </c>
      <c r="E15286" t="n">
        <v>2900</v>
      </c>
    </row>
    <row r="15287">
      <c r="A15287" t="inlineStr">
        <is>
          <t>27BBBBB15287Z5</t>
        </is>
      </c>
      <c r="B15287" t="inlineStr">
        <is>
          <t>Dec-2017</t>
        </is>
      </c>
      <c r="C15287" s="2" t="n">
        <v>43707</v>
      </c>
      <c r="D15287" t="inlineStr">
        <is>
          <t>NIL</t>
        </is>
      </c>
      <c r="E15287" t="n">
        <v>416</v>
      </c>
    </row>
    <row r="15288">
      <c r="A15288" t="inlineStr">
        <is>
          <t>27BBBBB15288Z5</t>
        </is>
      </c>
      <c r="B15288" t="inlineStr">
        <is>
          <t>Feb-2018</t>
        </is>
      </c>
      <c r="C15288" s="2" t="n">
        <v>43328</v>
      </c>
      <c r="D15288" t="inlineStr">
        <is>
          <t>NON-NIL</t>
        </is>
      </c>
      <c r="E15288" t="n">
        <v>524</v>
      </c>
    </row>
    <row r="15289">
      <c r="A15289" t="inlineStr">
        <is>
          <t>27BBBBB15289Z5</t>
        </is>
      </c>
      <c r="B15289" t="inlineStr">
        <is>
          <t>Mar-2023</t>
        </is>
      </c>
      <c r="C15289" s="2" t="n">
        <v>44257</v>
      </c>
      <c r="D15289" t="inlineStr">
        <is>
          <t>NON-NIL</t>
        </is>
      </c>
      <c r="E15289" t="n">
        <v>1034</v>
      </c>
    </row>
    <row r="15290">
      <c r="A15290" t="inlineStr">
        <is>
          <t>27BBBBB15290Z5</t>
        </is>
      </c>
      <c r="B15290" t="inlineStr">
        <is>
          <t>Jul-2020</t>
        </is>
      </c>
      <c r="C15290" s="2" t="n">
        <v>44289</v>
      </c>
      <c r="D15290" t="inlineStr">
        <is>
          <t>NON-NIL</t>
        </is>
      </c>
      <c r="E15290" t="n">
        <v>2947</v>
      </c>
    </row>
    <row r="15291">
      <c r="A15291" t="inlineStr">
        <is>
          <t>27BBBBB15291Z5</t>
        </is>
      </c>
      <c r="B15291" t="inlineStr">
        <is>
          <t>Mar-2023</t>
        </is>
      </c>
      <c r="C15291" s="2" t="n">
        <v>44073</v>
      </c>
      <c r="D15291" t="inlineStr">
        <is>
          <t>NIL</t>
        </is>
      </c>
      <c r="E15291" t="n">
        <v>802</v>
      </c>
    </row>
    <row r="15292">
      <c r="A15292" t="inlineStr">
        <is>
          <t>27BBBBB15292Z5</t>
        </is>
      </c>
      <c r="B15292" t="inlineStr">
        <is>
          <t>Mar-2020</t>
        </is>
      </c>
      <c r="C15292" s="2" t="n">
        <v>44906</v>
      </c>
      <c r="D15292" t="inlineStr">
        <is>
          <t>NIL</t>
        </is>
      </c>
      <c r="E15292" t="n">
        <v>1979</v>
      </c>
    </row>
    <row r="15293">
      <c r="A15293" t="inlineStr">
        <is>
          <t>27BBBBB15293Z5</t>
        </is>
      </c>
      <c r="B15293" t="inlineStr">
        <is>
          <t>Aug-2017</t>
        </is>
      </c>
      <c r="C15293" s="2" t="n">
        <v>42953</v>
      </c>
      <c r="D15293" t="inlineStr">
        <is>
          <t>NON-NIL</t>
        </is>
      </c>
      <c r="E15293" t="n">
        <v>1742</v>
      </c>
    </row>
    <row r="15294">
      <c r="A15294" t="inlineStr">
        <is>
          <t>27BBBBB15294Z5</t>
        </is>
      </c>
      <c r="B15294" t="inlineStr">
        <is>
          <t>Nov-2017</t>
        </is>
      </c>
      <c r="C15294" s="2" t="n">
        <v>44176</v>
      </c>
      <c r="D15294" t="inlineStr">
        <is>
          <t>NON-NIL</t>
        </is>
      </c>
      <c r="E15294" t="n">
        <v>770</v>
      </c>
    </row>
    <row r="15295">
      <c r="A15295" t="inlineStr">
        <is>
          <t>27BBBBB15295Z5</t>
        </is>
      </c>
      <c r="B15295" t="inlineStr">
        <is>
          <t>Mar-2021</t>
        </is>
      </c>
      <c r="C15295" s="2" t="n">
        <v>45809</v>
      </c>
      <c r="D15295" t="inlineStr">
        <is>
          <t>NON-NIL</t>
        </is>
      </c>
      <c r="E15295" t="n">
        <v>2594</v>
      </c>
    </row>
    <row r="15296">
      <c r="A15296" t="inlineStr">
        <is>
          <t>27BBBBB15296Z5</t>
        </is>
      </c>
      <c r="B15296" t="inlineStr">
        <is>
          <t>Dec-2017</t>
        </is>
      </c>
      <c r="C15296" s="2" t="n">
        <v>43460</v>
      </c>
      <c r="D15296" t="inlineStr">
        <is>
          <t>NIL</t>
        </is>
      </c>
      <c r="E15296" t="n">
        <v>749</v>
      </c>
    </row>
    <row r="15297">
      <c r="A15297" t="inlineStr">
        <is>
          <t>27BBBBB15297Z5</t>
        </is>
      </c>
      <c r="B15297" t="inlineStr">
        <is>
          <t>Sep-2018</t>
        </is>
      </c>
      <c r="C15297" s="2" t="n">
        <v>44086</v>
      </c>
      <c r="D15297" t="inlineStr">
        <is>
          <t>NIL</t>
        </is>
      </c>
      <c r="E15297" t="n">
        <v>1209</v>
      </c>
    </row>
    <row r="15298">
      <c r="A15298" t="inlineStr">
        <is>
          <t>27BBBBB15298Z5</t>
        </is>
      </c>
      <c r="B15298" t="inlineStr">
        <is>
          <t>Jan-2021</t>
        </is>
      </c>
      <c r="C15298" s="2" t="n">
        <v>45209</v>
      </c>
      <c r="D15298" t="inlineStr">
        <is>
          <t>NIL</t>
        </is>
      </c>
      <c r="E15298" t="n">
        <v>2699</v>
      </c>
    </row>
    <row r="15299">
      <c r="A15299" t="inlineStr">
        <is>
          <t>27BBBBB15299Z5</t>
        </is>
      </c>
      <c r="B15299" t="inlineStr">
        <is>
          <t>Apr-2020</t>
        </is>
      </c>
      <c r="C15299" s="2" t="n">
        <v>43911</v>
      </c>
      <c r="D15299" t="inlineStr">
        <is>
          <t>NON-NIL</t>
        </is>
      </c>
      <c r="E15299" t="n">
        <v>1407</v>
      </c>
    </row>
    <row r="15300">
      <c r="A15300" t="inlineStr">
        <is>
          <t>27BBBBB15300Z5</t>
        </is>
      </c>
      <c r="B15300" t="inlineStr">
        <is>
          <t>Dec-2022</t>
        </is>
      </c>
      <c r="C15300" s="2" t="n">
        <v>44093</v>
      </c>
      <c r="D15300" t="inlineStr">
        <is>
          <t>NIL</t>
        </is>
      </c>
      <c r="E15300" t="n">
        <v>1803</v>
      </c>
    </row>
    <row r="15301">
      <c r="A15301" t="inlineStr">
        <is>
          <t>27BBBBB15301Z5</t>
        </is>
      </c>
      <c r="B15301" t="inlineStr">
        <is>
          <t>Oct-2018</t>
        </is>
      </c>
      <c r="C15301" s="2" t="n">
        <v>43617</v>
      </c>
      <c r="D15301" t="inlineStr">
        <is>
          <t>NON-NIL</t>
        </is>
      </c>
      <c r="E15301" t="n">
        <v>497</v>
      </c>
    </row>
    <row r="15302">
      <c r="A15302" t="inlineStr">
        <is>
          <t>27BBBBB15302Z5</t>
        </is>
      </c>
      <c r="B15302" t="inlineStr">
        <is>
          <t>Apr-2018</t>
        </is>
      </c>
      <c r="C15302" s="2" t="n">
        <v>43395</v>
      </c>
      <c r="D15302" t="inlineStr">
        <is>
          <t>NON-NIL</t>
        </is>
      </c>
      <c r="E15302" t="n">
        <v>1380</v>
      </c>
    </row>
    <row r="15303">
      <c r="A15303" t="inlineStr">
        <is>
          <t>27BBBBB15303Z5</t>
        </is>
      </c>
      <c r="B15303" t="inlineStr">
        <is>
          <t>Feb-2018</t>
        </is>
      </c>
      <c r="C15303" s="2" t="n">
        <v>44298</v>
      </c>
      <c r="D15303" t="inlineStr">
        <is>
          <t>NIL</t>
        </is>
      </c>
      <c r="E15303" t="n">
        <v>1074</v>
      </c>
    </row>
    <row r="15304">
      <c r="A15304" t="inlineStr">
        <is>
          <t>27BBBBB15304Z5</t>
        </is>
      </c>
      <c r="B15304" t="inlineStr">
        <is>
          <t>Sep-2018</t>
        </is>
      </c>
      <c r="C15304" s="2" t="n">
        <v>44149</v>
      </c>
      <c r="D15304" t="inlineStr">
        <is>
          <t>NON-NIL</t>
        </is>
      </c>
      <c r="E15304" t="n">
        <v>218</v>
      </c>
    </row>
    <row r="15305">
      <c r="A15305" t="inlineStr">
        <is>
          <t>27BBBBB15305Z5</t>
        </is>
      </c>
      <c r="B15305" t="inlineStr">
        <is>
          <t>Jan-2018</t>
        </is>
      </c>
      <c r="C15305" s="2" t="n">
        <v>43173</v>
      </c>
      <c r="D15305" t="inlineStr">
        <is>
          <t>NON-NIL</t>
        </is>
      </c>
      <c r="E15305" t="n">
        <v>3000</v>
      </c>
    </row>
    <row r="15306">
      <c r="A15306" t="inlineStr">
        <is>
          <t>27BBBBB15306Z5</t>
        </is>
      </c>
      <c r="B15306" t="inlineStr">
        <is>
          <t>Aug-2017</t>
        </is>
      </c>
      <c r="C15306" s="2" t="n">
        <v>43466</v>
      </c>
      <c r="D15306" t="inlineStr">
        <is>
          <t>NON-NIL</t>
        </is>
      </c>
      <c r="E15306" t="n">
        <v>1760</v>
      </c>
    </row>
    <row r="15307">
      <c r="A15307" t="inlineStr">
        <is>
          <t>27BBBBB15307Z5</t>
        </is>
      </c>
      <c r="B15307" t="inlineStr">
        <is>
          <t>Dec-2024</t>
        </is>
      </c>
      <c r="C15307" s="2" t="n">
        <v>44940</v>
      </c>
      <c r="D15307" t="inlineStr">
        <is>
          <t>NON-NIL</t>
        </is>
      </c>
      <c r="E15307" t="n">
        <v>1398</v>
      </c>
    </row>
    <row r="15308">
      <c r="A15308" t="inlineStr">
        <is>
          <t>27BBBBB15308Z5</t>
        </is>
      </c>
      <c r="B15308" t="inlineStr">
        <is>
          <t>Mar-2020</t>
        </is>
      </c>
      <c r="C15308" s="2" t="n">
        <v>44470</v>
      </c>
      <c r="D15308" t="inlineStr">
        <is>
          <t>NIL</t>
        </is>
      </c>
      <c r="E15308" t="n">
        <v>1596</v>
      </c>
    </row>
    <row r="15309">
      <c r="A15309" t="inlineStr">
        <is>
          <t>27BBBBB15309Z5</t>
        </is>
      </c>
      <c r="B15309" t="inlineStr">
        <is>
          <t>Jan-2021</t>
        </is>
      </c>
      <c r="C15309" s="2" t="n">
        <v>45426</v>
      </c>
      <c r="D15309" t="inlineStr">
        <is>
          <t>NIL</t>
        </is>
      </c>
      <c r="E15309" t="n">
        <v>254</v>
      </c>
    </row>
    <row r="15310">
      <c r="A15310" t="inlineStr">
        <is>
          <t>27BBBBB15310Z5</t>
        </is>
      </c>
      <c r="B15310" t="inlineStr">
        <is>
          <t>Dec-2018</t>
        </is>
      </c>
      <c r="C15310" s="2" t="n">
        <v>44192</v>
      </c>
      <c r="D15310" t="inlineStr">
        <is>
          <t>NON-NIL</t>
        </is>
      </c>
      <c r="E15310" t="n">
        <v>1470</v>
      </c>
    </row>
    <row r="15311">
      <c r="A15311" t="inlineStr">
        <is>
          <t>27BBBBB15311Z5</t>
        </is>
      </c>
      <c r="B15311" t="inlineStr">
        <is>
          <t>Jul-2018</t>
        </is>
      </c>
      <c r="C15311" s="2" t="n">
        <v>43135</v>
      </c>
      <c r="D15311" t="inlineStr">
        <is>
          <t>NIL</t>
        </is>
      </c>
      <c r="E15311" t="n">
        <v>2895</v>
      </c>
    </row>
    <row r="15312">
      <c r="A15312" t="inlineStr">
        <is>
          <t>27BBBBB15312Z5</t>
        </is>
      </c>
      <c r="B15312" t="inlineStr">
        <is>
          <t>Oct-2017</t>
        </is>
      </c>
      <c r="C15312" s="2" t="n">
        <v>42961</v>
      </c>
      <c r="D15312" t="inlineStr">
        <is>
          <t>NON-NIL</t>
        </is>
      </c>
      <c r="E15312" t="n">
        <v>1369</v>
      </c>
    </row>
    <row r="15313">
      <c r="A15313" t="inlineStr">
        <is>
          <t>27BBBBB15313Z5</t>
        </is>
      </c>
      <c r="B15313" t="inlineStr">
        <is>
          <t>Oct-2018</t>
        </is>
      </c>
      <c r="C15313" s="2" t="n">
        <v>44086</v>
      </c>
      <c r="D15313" t="inlineStr">
        <is>
          <t>NIL</t>
        </is>
      </c>
      <c r="E15313" t="n">
        <v>2589</v>
      </c>
    </row>
    <row r="15314">
      <c r="A15314" t="inlineStr">
        <is>
          <t>27BBBBB15314Z5</t>
        </is>
      </c>
      <c r="B15314" t="inlineStr">
        <is>
          <t>Dec-2018</t>
        </is>
      </c>
      <c r="C15314" s="2" t="n">
        <v>44023</v>
      </c>
      <c r="D15314" t="inlineStr">
        <is>
          <t>NIL</t>
        </is>
      </c>
      <c r="E15314" t="n">
        <v>1736</v>
      </c>
    </row>
    <row r="15315">
      <c r="A15315" t="inlineStr">
        <is>
          <t>27BBBBB15315Z5</t>
        </is>
      </c>
      <c r="B15315" t="inlineStr">
        <is>
          <t>Aug-2018</t>
        </is>
      </c>
      <c r="C15315" s="2" t="n">
        <v>44312</v>
      </c>
      <c r="D15315" t="inlineStr">
        <is>
          <t>NIL</t>
        </is>
      </c>
      <c r="E15315" t="n">
        <v>1945</v>
      </c>
    </row>
    <row r="15316">
      <c r="A15316" t="inlineStr">
        <is>
          <t>27BBBBB15316Z5</t>
        </is>
      </c>
      <c r="B15316" t="inlineStr">
        <is>
          <t>Aug-2017</t>
        </is>
      </c>
      <c r="C15316" s="2" t="n">
        <v>43099</v>
      </c>
      <c r="D15316" t="inlineStr">
        <is>
          <t>NIL</t>
        </is>
      </c>
      <c r="E15316" t="n">
        <v>1720</v>
      </c>
    </row>
    <row r="15317">
      <c r="A15317" t="inlineStr">
        <is>
          <t>27BBBBB15317Z5</t>
        </is>
      </c>
      <c r="B15317" t="inlineStr">
        <is>
          <t>Feb-2018</t>
        </is>
      </c>
      <c r="C15317" s="2" t="n">
        <v>43628</v>
      </c>
      <c r="D15317" t="inlineStr">
        <is>
          <t>NIL</t>
        </is>
      </c>
      <c r="E15317" t="n">
        <v>123</v>
      </c>
    </row>
    <row r="15318">
      <c r="A15318" t="inlineStr">
        <is>
          <t>27BBBBB15318Z5</t>
        </is>
      </c>
      <c r="B15318" t="inlineStr">
        <is>
          <t>Jul-2017</t>
        </is>
      </c>
      <c r="C15318" s="2" t="n">
        <v>43445</v>
      </c>
      <c r="D15318" t="inlineStr">
        <is>
          <t>NON-NIL</t>
        </is>
      </c>
      <c r="E15318" t="n">
        <v>1458</v>
      </c>
    </row>
    <row r="15319">
      <c r="A15319" t="inlineStr">
        <is>
          <t>27BBBBB15319Z5</t>
        </is>
      </c>
      <c r="B15319" t="inlineStr">
        <is>
          <t>Jun-2020</t>
        </is>
      </c>
      <c r="C15319" s="2" t="n">
        <v>44151</v>
      </c>
      <c r="D15319" t="inlineStr">
        <is>
          <t>NIL</t>
        </is>
      </c>
      <c r="E15319" t="n">
        <v>2486</v>
      </c>
    </row>
    <row r="15320">
      <c r="A15320" t="inlineStr">
        <is>
          <t>27BBBBB15320Z5</t>
        </is>
      </c>
      <c r="B15320" t="inlineStr">
        <is>
          <t>Sep-2018</t>
        </is>
      </c>
      <c r="C15320" s="2" t="n">
        <v>43976</v>
      </c>
      <c r="D15320" t="inlineStr">
        <is>
          <t>NIL</t>
        </is>
      </c>
      <c r="E15320" t="n">
        <v>2285</v>
      </c>
    </row>
    <row r="15321">
      <c r="A15321" t="inlineStr">
        <is>
          <t>27BBBBB15321Z5</t>
        </is>
      </c>
      <c r="B15321" t="inlineStr">
        <is>
          <t>Jul-2017</t>
        </is>
      </c>
      <c r="C15321" s="2" t="n">
        <v>43862</v>
      </c>
      <c r="D15321" t="inlineStr">
        <is>
          <t>NON-NIL</t>
        </is>
      </c>
      <c r="E15321" t="n">
        <v>945</v>
      </c>
    </row>
    <row r="15322">
      <c r="A15322" t="inlineStr">
        <is>
          <t>27BBBBB15322Z5</t>
        </is>
      </c>
      <c r="B15322" t="inlineStr">
        <is>
          <t>Jun-2018</t>
        </is>
      </c>
      <c r="C15322" s="2" t="n">
        <v>44506</v>
      </c>
      <c r="D15322" t="inlineStr">
        <is>
          <t>NON-NIL</t>
        </is>
      </c>
      <c r="E15322" t="n">
        <v>2089</v>
      </c>
    </row>
    <row r="15323">
      <c r="A15323" t="inlineStr">
        <is>
          <t>27BBBBB15323Z5</t>
        </is>
      </c>
      <c r="B15323" t="inlineStr">
        <is>
          <t>Dec-2017</t>
        </is>
      </c>
      <c r="C15323" s="2" t="n">
        <v>43939</v>
      </c>
      <c r="D15323" t="inlineStr">
        <is>
          <t>NIL</t>
        </is>
      </c>
      <c r="E15323" t="n">
        <v>2637</v>
      </c>
    </row>
    <row r="15324">
      <c r="A15324" t="inlineStr">
        <is>
          <t>27BBBBB15324Z5</t>
        </is>
      </c>
      <c r="B15324" t="inlineStr">
        <is>
          <t>Jul-2018</t>
        </is>
      </c>
      <c r="C15324" s="2" t="n">
        <v>44053</v>
      </c>
      <c r="D15324" t="inlineStr">
        <is>
          <t>NIL</t>
        </is>
      </c>
      <c r="E15324" t="n">
        <v>259</v>
      </c>
    </row>
    <row r="15325">
      <c r="A15325" t="inlineStr">
        <is>
          <t>27BBBBB15325Z5</t>
        </is>
      </c>
      <c r="B15325" t="inlineStr">
        <is>
          <t>Feb-2018</t>
        </is>
      </c>
      <c r="C15325" s="2" t="n">
        <v>43385</v>
      </c>
      <c r="D15325" t="inlineStr">
        <is>
          <t>NON-NIL</t>
        </is>
      </c>
      <c r="E15325" t="n">
        <v>390</v>
      </c>
    </row>
    <row r="15326">
      <c r="A15326" t="inlineStr">
        <is>
          <t>27BBBBB15326Z5</t>
        </is>
      </c>
      <c r="B15326" t="inlineStr">
        <is>
          <t>Jul-2018</t>
        </is>
      </c>
      <c r="C15326" s="2" t="n">
        <v>43804</v>
      </c>
      <c r="D15326" t="inlineStr">
        <is>
          <t>NIL</t>
        </is>
      </c>
      <c r="E15326" t="n">
        <v>454</v>
      </c>
    </row>
    <row r="15327">
      <c r="A15327" t="inlineStr">
        <is>
          <t>27BBBBB15327Z5</t>
        </is>
      </c>
      <c r="B15327" t="inlineStr">
        <is>
          <t>Nov-2018</t>
        </is>
      </c>
      <c r="C15327" s="2" t="n">
        <v>43457</v>
      </c>
      <c r="D15327" t="inlineStr">
        <is>
          <t>NIL</t>
        </is>
      </c>
      <c r="E15327" t="n">
        <v>1170</v>
      </c>
    </row>
    <row r="15328">
      <c r="A15328" t="inlineStr">
        <is>
          <t>27BBBBB15328Z5</t>
        </is>
      </c>
      <c r="B15328" t="inlineStr">
        <is>
          <t>Oct-2017</t>
        </is>
      </c>
      <c r="C15328" s="2" t="n">
        <v>43313</v>
      </c>
      <c r="D15328" t="inlineStr">
        <is>
          <t>NON-NIL</t>
        </is>
      </c>
      <c r="E15328" t="n">
        <v>1517</v>
      </c>
    </row>
    <row r="15329">
      <c r="A15329" t="inlineStr">
        <is>
          <t>27BBBBB15329Z5</t>
        </is>
      </c>
      <c r="B15329" t="inlineStr">
        <is>
          <t>Mar-2023</t>
        </is>
      </c>
      <c r="C15329" s="2" t="n">
        <v>45437</v>
      </c>
      <c r="D15329" t="inlineStr">
        <is>
          <t>NIL</t>
        </is>
      </c>
      <c r="E15329" t="n">
        <v>2303</v>
      </c>
    </row>
    <row r="15330">
      <c r="A15330" t="inlineStr">
        <is>
          <t>27BBBBB15330Z5</t>
        </is>
      </c>
      <c r="B15330" t="inlineStr">
        <is>
          <t>Oct-2017</t>
        </is>
      </c>
      <c r="C15330" s="2" t="n">
        <v>43929</v>
      </c>
      <c r="D15330" t="inlineStr">
        <is>
          <t>NON-NIL</t>
        </is>
      </c>
      <c r="E15330" t="n">
        <v>1294</v>
      </c>
    </row>
    <row r="15331">
      <c r="A15331" t="inlineStr">
        <is>
          <t>27BBBBB15331Z5</t>
        </is>
      </c>
      <c r="B15331" t="inlineStr">
        <is>
          <t>Jun-2020</t>
        </is>
      </c>
      <c r="C15331" s="2" t="n">
        <v>44277</v>
      </c>
      <c r="D15331" t="inlineStr">
        <is>
          <t>NON-NIL</t>
        </is>
      </c>
      <c r="E15331" t="n">
        <v>856</v>
      </c>
    </row>
    <row r="15332">
      <c r="A15332" t="inlineStr">
        <is>
          <t>27BBBBB15332Z5</t>
        </is>
      </c>
      <c r="B15332" t="inlineStr">
        <is>
          <t>Feb-2018</t>
        </is>
      </c>
      <c r="C15332" s="2" t="n">
        <v>43886</v>
      </c>
      <c r="D15332" t="inlineStr">
        <is>
          <t>NON-NIL</t>
        </is>
      </c>
      <c r="E15332" t="n">
        <v>1945</v>
      </c>
    </row>
    <row r="15333">
      <c r="A15333" t="inlineStr">
        <is>
          <t>27BBBBB15333Z5</t>
        </is>
      </c>
      <c r="B15333" t="inlineStr">
        <is>
          <t>Mar-2021</t>
        </is>
      </c>
      <c r="C15333" s="2" t="n">
        <v>45835</v>
      </c>
      <c r="D15333" t="inlineStr">
        <is>
          <t>NON-NIL</t>
        </is>
      </c>
      <c r="E15333" t="n">
        <v>1304</v>
      </c>
    </row>
    <row r="15334">
      <c r="A15334" t="inlineStr">
        <is>
          <t>27BBBBB15334Z5</t>
        </is>
      </c>
      <c r="B15334" t="inlineStr">
        <is>
          <t>Jun-2018</t>
        </is>
      </c>
      <c r="C15334" s="2" t="n">
        <v>44502</v>
      </c>
      <c r="D15334" t="inlineStr">
        <is>
          <t>NIL</t>
        </is>
      </c>
      <c r="E15334" t="n">
        <v>108</v>
      </c>
    </row>
    <row r="15335">
      <c r="A15335" t="inlineStr">
        <is>
          <t>27BBBBB15335Z5</t>
        </is>
      </c>
      <c r="B15335" t="inlineStr">
        <is>
          <t>Mar-2020</t>
        </is>
      </c>
      <c r="C15335" s="2" t="n">
        <v>44588</v>
      </c>
      <c r="D15335" t="inlineStr">
        <is>
          <t>NIL</t>
        </is>
      </c>
      <c r="E15335" t="n">
        <v>2585</v>
      </c>
    </row>
    <row r="15336">
      <c r="A15336" t="inlineStr">
        <is>
          <t>27BBBBB15336Z5</t>
        </is>
      </c>
      <c r="B15336" t="inlineStr">
        <is>
          <t>Oct-2018</t>
        </is>
      </c>
      <c r="C15336" s="2" t="n">
        <v>43770</v>
      </c>
      <c r="D15336" t="inlineStr">
        <is>
          <t>NIL</t>
        </is>
      </c>
      <c r="E15336" t="n">
        <v>2805</v>
      </c>
    </row>
    <row r="15337">
      <c r="A15337" t="inlineStr">
        <is>
          <t>27BBBBB15337Z5</t>
        </is>
      </c>
      <c r="B15337" t="inlineStr">
        <is>
          <t>Feb-2018</t>
        </is>
      </c>
      <c r="C15337" s="2" t="n">
        <v>44046</v>
      </c>
      <c r="D15337" t="inlineStr">
        <is>
          <t>NIL</t>
        </is>
      </c>
      <c r="E15337" t="n">
        <v>253</v>
      </c>
    </row>
    <row r="15338">
      <c r="A15338" t="inlineStr">
        <is>
          <t>27BBBBB15338Z5</t>
        </is>
      </c>
      <c r="B15338" t="inlineStr">
        <is>
          <t>Jul-2020</t>
        </is>
      </c>
      <c r="C15338" s="2" t="n">
        <v>44595</v>
      </c>
      <c r="D15338" t="inlineStr">
        <is>
          <t>NON-NIL</t>
        </is>
      </c>
      <c r="E15338" t="n">
        <v>974</v>
      </c>
    </row>
    <row r="15339">
      <c r="A15339" t="inlineStr">
        <is>
          <t>27BBBBB15339Z5</t>
        </is>
      </c>
      <c r="B15339" t="inlineStr">
        <is>
          <t>Mar-2018</t>
        </is>
      </c>
      <c r="C15339" s="2" t="n">
        <v>43843</v>
      </c>
      <c r="D15339" t="inlineStr">
        <is>
          <t>NON-NIL</t>
        </is>
      </c>
      <c r="E15339" t="n">
        <v>2827</v>
      </c>
    </row>
    <row r="15340">
      <c r="A15340" t="inlineStr">
        <is>
          <t>27BBBBB15340Z5</t>
        </is>
      </c>
      <c r="B15340" t="inlineStr">
        <is>
          <t>Dec-2022</t>
        </is>
      </c>
      <c r="C15340" s="2" t="n">
        <v>44438</v>
      </c>
      <c r="D15340" t="inlineStr">
        <is>
          <t>NIL</t>
        </is>
      </c>
      <c r="E15340" t="n">
        <v>2283</v>
      </c>
    </row>
    <row r="15341">
      <c r="A15341" t="inlineStr">
        <is>
          <t>27BBBBB15341Z5</t>
        </is>
      </c>
      <c r="B15341" t="inlineStr">
        <is>
          <t>Jan-2021</t>
        </is>
      </c>
      <c r="C15341" s="2" t="n">
        <v>45516</v>
      </c>
      <c r="D15341" t="inlineStr">
        <is>
          <t>NIL</t>
        </is>
      </c>
      <c r="E15341" t="n">
        <v>1364</v>
      </c>
    </row>
    <row r="15342">
      <c r="A15342" t="inlineStr">
        <is>
          <t>27BBBBB15342Z5</t>
        </is>
      </c>
      <c r="B15342" t="inlineStr">
        <is>
          <t>Mar-2020</t>
        </is>
      </c>
      <c r="C15342" s="2" t="n">
        <v>44798</v>
      </c>
      <c r="D15342" t="inlineStr">
        <is>
          <t>NON-NIL</t>
        </is>
      </c>
      <c r="E15342" t="n">
        <v>1244</v>
      </c>
    </row>
    <row r="15343">
      <c r="A15343" t="inlineStr">
        <is>
          <t>27BBBBB15343Z5</t>
        </is>
      </c>
      <c r="B15343" t="inlineStr">
        <is>
          <t>Jun-2018</t>
        </is>
      </c>
      <c r="C15343" s="2" t="n">
        <v>44543</v>
      </c>
      <c r="D15343" t="inlineStr">
        <is>
          <t>NON-NIL</t>
        </is>
      </c>
      <c r="E15343" t="n">
        <v>1299</v>
      </c>
    </row>
    <row r="15344">
      <c r="A15344" t="inlineStr">
        <is>
          <t>27BBBBB15344Z5</t>
        </is>
      </c>
      <c r="B15344" t="inlineStr">
        <is>
          <t>Jul-2017</t>
        </is>
      </c>
      <c r="C15344" s="2" t="n">
        <v>43551</v>
      </c>
      <c r="D15344" t="inlineStr">
        <is>
          <t>NIL</t>
        </is>
      </c>
      <c r="E15344" t="n">
        <v>1289</v>
      </c>
    </row>
    <row r="15345">
      <c r="A15345" t="inlineStr">
        <is>
          <t>27BBBBB15345Z5</t>
        </is>
      </c>
      <c r="B15345" t="inlineStr">
        <is>
          <t>Dec-2018</t>
        </is>
      </c>
      <c r="C15345" s="2" t="n">
        <v>44476</v>
      </c>
      <c r="D15345" t="inlineStr">
        <is>
          <t>NON-NIL</t>
        </is>
      </c>
      <c r="E15345" t="n">
        <v>2645</v>
      </c>
    </row>
    <row r="15346">
      <c r="A15346" t="inlineStr">
        <is>
          <t>27BBBBB15346Z5</t>
        </is>
      </c>
      <c r="B15346" t="inlineStr">
        <is>
          <t>Apr-2020</t>
        </is>
      </c>
      <c r="C15346" s="2" t="n">
        <v>43888</v>
      </c>
      <c r="D15346" t="inlineStr">
        <is>
          <t>NON-NIL</t>
        </is>
      </c>
      <c r="E15346" t="n">
        <v>2068</v>
      </c>
    </row>
    <row r="15347">
      <c r="A15347" t="inlineStr">
        <is>
          <t>27BBBBB15347Z5</t>
        </is>
      </c>
      <c r="B15347" t="inlineStr">
        <is>
          <t>Dec-2022</t>
        </is>
      </c>
      <c r="C15347" s="2" t="n">
        <v>43679</v>
      </c>
      <c r="D15347" t="inlineStr">
        <is>
          <t>NON-NIL</t>
        </is>
      </c>
      <c r="E15347" t="n">
        <v>162</v>
      </c>
    </row>
    <row r="15348">
      <c r="A15348" t="inlineStr">
        <is>
          <t>27BBBBB15348Z5</t>
        </is>
      </c>
      <c r="B15348" t="inlineStr">
        <is>
          <t>Mar-2021</t>
        </is>
      </c>
      <c r="C15348" s="2" t="n">
        <v>45104</v>
      </c>
      <c r="D15348" t="inlineStr">
        <is>
          <t>NON-NIL</t>
        </is>
      </c>
      <c r="E15348" t="n">
        <v>2689</v>
      </c>
    </row>
    <row r="15349">
      <c r="A15349" t="inlineStr">
        <is>
          <t>27BBBBB15349Z5</t>
        </is>
      </c>
      <c r="B15349" t="inlineStr">
        <is>
          <t>Apr-2020</t>
        </is>
      </c>
      <c r="C15349" s="2" t="n">
        <v>44197</v>
      </c>
      <c r="D15349" t="inlineStr">
        <is>
          <t>NON-NIL</t>
        </is>
      </c>
      <c r="E15349" t="n">
        <v>2902</v>
      </c>
    </row>
    <row r="15350">
      <c r="A15350" t="inlineStr">
        <is>
          <t>27BBBBB15350Z5</t>
        </is>
      </c>
      <c r="B15350" t="inlineStr">
        <is>
          <t>Mar-2018</t>
        </is>
      </c>
      <c r="C15350" s="2" t="n">
        <v>44154</v>
      </c>
      <c r="D15350" t="inlineStr">
        <is>
          <t>NIL</t>
        </is>
      </c>
      <c r="E15350" t="n">
        <v>2496</v>
      </c>
    </row>
    <row r="15351">
      <c r="A15351" t="inlineStr">
        <is>
          <t>27BBBBB15351Z5</t>
        </is>
      </c>
      <c r="B15351" t="inlineStr">
        <is>
          <t>Nov-2017</t>
        </is>
      </c>
      <c r="C15351" s="2" t="n">
        <v>43312</v>
      </c>
      <c r="D15351" t="inlineStr">
        <is>
          <t>NIL</t>
        </is>
      </c>
      <c r="E15351" t="n">
        <v>2273</v>
      </c>
    </row>
    <row r="15352">
      <c r="A15352" t="inlineStr">
        <is>
          <t>27BBBBB15352Z5</t>
        </is>
      </c>
      <c r="B15352" t="inlineStr">
        <is>
          <t>Nov-2017</t>
        </is>
      </c>
      <c r="C15352" s="2" t="n">
        <v>42931</v>
      </c>
      <c r="D15352" t="inlineStr">
        <is>
          <t>NON-NIL</t>
        </is>
      </c>
      <c r="E15352" t="n">
        <v>2461</v>
      </c>
    </row>
    <row r="15353">
      <c r="A15353" t="inlineStr">
        <is>
          <t>27BBBBB15353Z5</t>
        </is>
      </c>
      <c r="B15353" t="inlineStr">
        <is>
          <t>Aug-2017</t>
        </is>
      </c>
      <c r="C15353" s="2" t="n">
        <v>43530</v>
      </c>
      <c r="D15353" t="inlineStr">
        <is>
          <t>NON-NIL</t>
        </is>
      </c>
      <c r="E15353" t="n">
        <v>2233</v>
      </c>
    </row>
    <row r="15354">
      <c r="A15354" t="inlineStr">
        <is>
          <t>27BBBBB15354Z5</t>
        </is>
      </c>
      <c r="B15354" t="inlineStr">
        <is>
          <t>Jan-2021</t>
        </is>
      </c>
      <c r="C15354" s="2" t="n">
        <v>44679</v>
      </c>
      <c r="D15354" t="inlineStr">
        <is>
          <t>NIL</t>
        </is>
      </c>
      <c r="E15354" t="n">
        <v>2072</v>
      </c>
    </row>
    <row r="15355">
      <c r="A15355" t="inlineStr">
        <is>
          <t>27BBBBB15355Z5</t>
        </is>
      </c>
      <c r="B15355" t="inlineStr">
        <is>
          <t>Jul-2020</t>
        </is>
      </c>
      <c r="C15355" s="2" t="n">
        <v>44433</v>
      </c>
      <c r="D15355" t="inlineStr">
        <is>
          <t>NIL</t>
        </is>
      </c>
      <c r="E15355" t="n">
        <v>2535</v>
      </c>
    </row>
    <row r="15356">
      <c r="A15356" t="inlineStr">
        <is>
          <t>27BBBBB15356Z5</t>
        </is>
      </c>
      <c r="B15356" t="inlineStr">
        <is>
          <t>Mar-2018</t>
        </is>
      </c>
      <c r="C15356" s="2" t="n">
        <v>43321</v>
      </c>
      <c r="D15356" t="inlineStr">
        <is>
          <t>NON-NIL</t>
        </is>
      </c>
      <c r="E15356" t="n">
        <v>2023</v>
      </c>
    </row>
    <row r="15357">
      <c r="A15357" t="inlineStr">
        <is>
          <t>27BBBBB15357Z5</t>
        </is>
      </c>
      <c r="B15357" t="inlineStr">
        <is>
          <t>Mar-2023</t>
        </is>
      </c>
      <c r="C15357" s="2" t="n">
        <v>44560</v>
      </c>
      <c r="D15357" t="inlineStr">
        <is>
          <t>NON-NIL</t>
        </is>
      </c>
      <c r="E15357" t="n">
        <v>2550</v>
      </c>
    </row>
    <row r="15358">
      <c r="A15358" t="inlineStr">
        <is>
          <t>27BBBBB15358Z5</t>
        </is>
      </c>
      <c r="B15358" t="inlineStr">
        <is>
          <t>Mar-2021</t>
        </is>
      </c>
      <c r="C15358" s="2" t="n">
        <v>45452</v>
      </c>
      <c r="D15358" t="inlineStr">
        <is>
          <t>NON-NIL</t>
        </is>
      </c>
      <c r="E15358" t="n">
        <v>2112</v>
      </c>
    </row>
    <row r="15359">
      <c r="A15359" t="inlineStr">
        <is>
          <t>27BBBBB15359Z5</t>
        </is>
      </c>
      <c r="B15359" t="inlineStr">
        <is>
          <t>Nov-2017</t>
        </is>
      </c>
      <c r="C15359" s="2" t="n">
        <v>43778</v>
      </c>
      <c r="D15359" t="inlineStr">
        <is>
          <t>NON-NIL</t>
        </is>
      </c>
      <c r="E15359" t="n">
        <v>637</v>
      </c>
    </row>
    <row r="15360">
      <c r="A15360" t="inlineStr">
        <is>
          <t>27BBBBB15360Z5</t>
        </is>
      </c>
      <c r="B15360" t="inlineStr">
        <is>
          <t>Apr-2018</t>
        </is>
      </c>
      <c r="C15360" s="2" t="n">
        <v>43579</v>
      </c>
      <c r="D15360" t="inlineStr">
        <is>
          <t>NIL</t>
        </is>
      </c>
      <c r="E15360" t="n">
        <v>295</v>
      </c>
    </row>
    <row r="15361">
      <c r="A15361" t="inlineStr">
        <is>
          <t>27BBBBB15361Z5</t>
        </is>
      </c>
      <c r="B15361" t="inlineStr">
        <is>
          <t>Jun-2020</t>
        </is>
      </c>
      <c r="C15361" s="2" t="n">
        <v>44437</v>
      </c>
      <c r="D15361" t="inlineStr">
        <is>
          <t>NIL</t>
        </is>
      </c>
      <c r="E15361" t="n">
        <v>2365</v>
      </c>
    </row>
    <row r="15362">
      <c r="A15362" t="inlineStr">
        <is>
          <t>27BBBBB15362Z5</t>
        </is>
      </c>
      <c r="B15362" t="inlineStr">
        <is>
          <t>Oct-2017</t>
        </is>
      </c>
      <c r="C15362" s="2" t="n">
        <v>44321</v>
      </c>
      <c r="D15362" t="inlineStr">
        <is>
          <t>NON-NIL</t>
        </is>
      </c>
      <c r="E15362" t="n">
        <v>451</v>
      </c>
    </row>
    <row r="15363">
      <c r="A15363" t="inlineStr">
        <is>
          <t>27BBBBB15363Z5</t>
        </is>
      </c>
      <c r="B15363" t="inlineStr">
        <is>
          <t>Mar-2018</t>
        </is>
      </c>
      <c r="C15363" s="2" t="n">
        <v>43906</v>
      </c>
      <c r="D15363" t="inlineStr">
        <is>
          <t>NIL</t>
        </is>
      </c>
      <c r="E15363" t="n">
        <v>1803</v>
      </c>
    </row>
    <row r="15364">
      <c r="A15364" t="inlineStr">
        <is>
          <t>27BBBBB15364Z5</t>
        </is>
      </c>
      <c r="B15364" t="inlineStr">
        <is>
          <t>Aug-2017</t>
        </is>
      </c>
      <c r="C15364" s="2" t="n">
        <v>43400</v>
      </c>
      <c r="D15364" t="inlineStr">
        <is>
          <t>NIL</t>
        </is>
      </c>
      <c r="E15364" t="n">
        <v>2413</v>
      </c>
    </row>
    <row r="15365">
      <c r="A15365" t="inlineStr">
        <is>
          <t>27BBBBB15365Z5</t>
        </is>
      </c>
      <c r="B15365" t="inlineStr">
        <is>
          <t>Jun-2018</t>
        </is>
      </c>
      <c r="C15365" s="2" t="n">
        <v>43461</v>
      </c>
      <c r="D15365" t="inlineStr">
        <is>
          <t>NIL</t>
        </is>
      </c>
      <c r="E15365" t="n">
        <v>1313</v>
      </c>
    </row>
    <row r="15366">
      <c r="A15366" t="inlineStr">
        <is>
          <t>27BBBBB15366Z5</t>
        </is>
      </c>
      <c r="B15366" t="inlineStr">
        <is>
          <t>Jan-2018</t>
        </is>
      </c>
      <c r="C15366" s="2" t="n">
        <v>43387</v>
      </c>
      <c r="D15366" t="inlineStr">
        <is>
          <t>NON-NIL</t>
        </is>
      </c>
      <c r="E15366" t="n">
        <v>574</v>
      </c>
    </row>
    <row r="15367">
      <c r="A15367" t="inlineStr">
        <is>
          <t>27BBBBB15367Z5</t>
        </is>
      </c>
      <c r="B15367" t="inlineStr">
        <is>
          <t>Nov-2017</t>
        </is>
      </c>
      <c r="C15367" s="2" t="n">
        <v>44190</v>
      </c>
      <c r="D15367" t="inlineStr">
        <is>
          <t>NON-NIL</t>
        </is>
      </c>
      <c r="E15367" t="n">
        <v>2006</v>
      </c>
    </row>
    <row r="15368">
      <c r="A15368" t="inlineStr">
        <is>
          <t>27BBBBB15368Z5</t>
        </is>
      </c>
      <c r="B15368" t="inlineStr">
        <is>
          <t>Sep-2018</t>
        </is>
      </c>
      <c r="C15368" s="2" t="n">
        <v>43581</v>
      </c>
      <c r="D15368" t="inlineStr">
        <is>
          <t>NIL</t>
        </is>
      </c>
      <c r="E15368" t="n">
        <v>1788</v>
      </c>
    </row>
    <row r="15369">
      <c r="A15369" t="inlineStr">
        <is>
          <t>27BBBBB15369Z5</t>
        </is>
      </c>
      <c r="B15369" t="inlineStr">
        <is>
          <t>Jan-2018</t>
        </is>
      </c>
      <c r="C15369" s="2" t="n">
        <v>44418</v>
      </c>
      <c r="D15369" t="inlineStr">
        <is>
          <t>NON-NIL</t>
        </is>
      </c>
      <c r="E15369" t="n">
        <v>2684</v>
      </c>
    </row>
    <row r="15370">
      <c r="A15370" t="inlineStr">
        <is>
          <t>27BBBBB15370Z5</t>
        </is>
      </c>
      <c r="B15370" t="inlineStr">
        <is>
          <t>Jul-2020</t>
        </is>
      </c>
      <c r="C15370" s="2" t="n">
        <v>44274</v>
      </c>
      <c r="D15370" t="inlineStr">
        <is>
          <t>NIL</t>
        </is>
      </c>
      <c r="E15370" t="n">
        <v>2904</v>
      </c>
    </row>
    <row r="15371">
      <c r="A15371" t="inlineStr">
        <is>
          <t>27BBBBB15371Z5</t>
        </is>
      </c>
      <c r="B15371" t="inlineStr">
        <is>
          <t>May-2020</t>
        </is>
      </c>
      <c r="C15371" s="2" t="n">
        <v>44533</v>
      </c>
      <c r="D15371" t="inlineStr">
        <is>
          <t>NON-NIL</t>
        </is>
      </c>
      <c r="E15371" t="n">
        <v>1077</v>
      </c>
    </row>
    <row r="15372">
      <c r="A15372" t="inlineStr">
        <is>
          <t>27BBBBB15372Z5</t>
        </is>
      </c>
      <c r="B15372" t="inlineStr">
        <is>
          <t>Mar-2020</t>
        </is>
      </c>
      <c r="C15372" s="2" t="n">
        <v>43925</v>
      </c>
      <c r="D15372" t="inlineStr">
        <is>
          <t>NON-NIL</t>
        </is>
      </c>
      <c r="E15372" t="n">
        <v>448</v>
      </c>
    </row>
    <row r="15373">
      <c r="A15373" t="inlineStr">
        <is>
          <t>27BBBBB15373Z5</t>
        </is>
      </c>
      <c r="B15373" t="inlineStr">
        <is>
          <t>Jul-2020</t>
        </is>
      </c>
      <c r="C15373" s="2" t="n">
        <v>44460</v>
      </c>
      <c r="D15373" t="inlineStr">
        <is>
          <t>NON-NIL</t>
        </is>
      </c>
      <c r="E15373" t="n">
        <v>2076</v>
      </c>
    </row>
    <row r="15374">
      <c r="A15374" t="inlineStr">
        <is>
          <t>27BBBBB15374Z5</t>
        </is>
      </c>
      <c r="B15374" t="inlineStr">
        <is>
          <t>Jan-2021</t>
        </is>
      </c>
      <c r="C15374" s="2" t="n">
        <v>45100</v>
      </c>
      <c r="D15374" t="inlineStr">
        <is>
          <t>NIL</t>
        </is>
      </c>
      <c r="E15374" t="n">
        <v>818</v>
      </c>
    </row>
    <row r="15375">
      <c r="A15375" t="inlineStr">
        <is>
          <t>27BBBBB15375Z5</t>
        </is>
      </c>
      <c r="B15375" t="inlineStr">
        <is>
          <t>Mar-2020</t>
        </is>
      </c>
      <c r="C15375" s="2" t="n">
        <v>43988</v>
      </c>
      <c r="D15375" t="inlineStr">
        <is>
          <t>NIL</t>
        </is>
      </c>
      <c r="E15375" t="n">
        <v>2540</v>
      </c>
    </row>
    <row r="15376">
      <c r="A15376" t="inlineStr">
        <is>
          <t>27BBBBB15376Z5</t>
        </is>
      </c>
      <c r="B15376" t="inlineStr">
        <is>
          <t>Jul-2018</t>
        </is>
      </c>
      <c r="C15376" s="2" t="n">
        <v>43927</v>
      </c>
      <c r="D15376" t="inlineStr">
        <is>
          <t>NON-NIL</t>
        </is>
      </c>
      <c r="E15376" t="n">
        <v>1258</v>
      </c>
    </row>
    <row r="15377">
      <c r="A15377" t="inlineStr">
        <is>
          <t>27BBBBB15377Z5</t>
        </is>
      </c>
      <c r="B15377" t="inlineStr">
        <is>
          <t>Feb-2018</t>
        </is>
      </c>
      <c r="C15377" s="2" t="n">
        <v>43441</v>
      </c>
      <c r="D15377" t="inlineStr">
        <is>
          <t>NIL</t>
        </is>
      </c>
      <c r="E15377" t="n">
        <v>2661</v>
      </c>
    </row>
    <row r="15378">
      <c r="A15378" t="inlineStr">
        <is>
          <t>27BBBBB15378Z5</t>
        </is>
      </c>
      <c r="B15378" t="inlineStr">
        <is>
          <t>Mar-2018</t>
        </is>
      </c>
      <c r="C15378" s="2" t="n">
        <v>43687</v>
      </c>
      <c r="D15378" t="inlineStr">
        <is>
          <t>NON-NIL</t>
        </is>
      </c>
      <c r="E15378" t="n">
        <v>292</v>
      </c>
    </row>
    <row r="15379">
      <c r="A15379" t="inlineStr">
        <is>
          <t>27BBBBB15379Z5</t>
        </is>
      </c>
      <c r="B15379" t="inlineStr">
        <is>
          <t>Oct-2018</t>
        </is>
      </c>
      <c r="C15379" s="2" t="n">
        <v>44258</v>
      </c>
      <c r="D15379" t="inlineStr">
        <is>
          <t>NIL</t>
        </is>
      </c>
      <c r="E15379" t="n">
        <v>279</v>
      </c>
    </row>
    <row r="15380">
      <c r="A15380" t="inlineStr">
        <is>
          <t>27BBBBB15380Z5</t>
        </is>
      </c>
      <c r="B15380" t="inlineStr">
        <is>
          <t>Aug-2018</t>
        </is>
      </c>
      <c r="C15380" s="2" t="n">
        <v>43528</v>
      </c>
      <c r="D15380" t="inlineStr">
        <is>
          <t>NON-NIL</t>
        </is>
      </c>
      <c r="E15380" t="n">
        <v>694</v>
      </c>
    </row>
    <row r="15381">
      <c r="A15381" t="inlineStr">
        <is>
          <t>27BBBBB15381Z5</t>
        </is>
      </c>
      <c r="B15381" t="inlineStr">
        <is>
          <t>Dec-2024</t>
        </is>
      </c>
      <c r="C15381" s="2" t="n">
        <v>45443</v>
      </c>
      <c r="D15381" t="inlineStr">
        <is>
          <t>NIL</t>
        </is>
      </c>
      <c r="E15381" t="n">
        <v>1430</v>
      </c>
    </row>
    <row r="15382">
      <c r="A15382" t="inlineStr">
        <is>
          <t>27BBBBB15382Z5</t>
        </is>
      </c>
      <c r="B15382" t="inlineStr">
        <is>
          <t>Nov-2017</t>
        </is>
      </c>
      <c r="C15382" s="2" t="n">
        <v>44211</v>
      </c>
      <c r="D15382" t="inlineStr">
        <is>
          <t>NIL</t>
        </is>
      </c>
      <c r="E15382" t="n">
        <v>275</v>
      </c>
    </row>
    <row r="15383">
      <c r="A15383" t="inlineStr">
        <is>
          <t>27BBBBB15383Z5</t>
        </is>
      </c>
      <c r="B15383" t="inlineStr">
        <is>
          <t>Feb-2018</t>
        </is>
      </c>
      <c r="C15383" s="2" t="n">
        <v>43341</v>
      </c>
      <c r="D15383" t="inlineStr">
        <is>
          <t>NON-NIL</t>
        </is>
      </c>
      <c r="E15383" t="n">
        <v>2909</v>
      </c>
    </row>
    <row r="15384">
      <c r="A15384" t="inlineStr">
        <is>
          <t>27BBBBB15384Z5</t>
        </is>
      </c>
      <c r="B15384" t="inlineStr">
        <is>
          <t>Jan-2021</t>
        </is>
      </c>
      <c r="C15384" s="2" t="n">
        <v>44395</v>
      </c>
      <c r="D15384" t="inlineStr">
        <is>
          <t>NON-NIL</t>
        </is>
      </c>
      <c r="E15384" t="n">
        <v>2402</v>
      </c>
    </row>
    <row r="15385">
      <c r="A15385" t="inlineStr">
        <is>
          <t>27BBBBB15385Z5</t>
        </is>
      </c>
      <c r="B15385" t="inlineStr">
        <is>
          <t>Apr-2018</t>
        </is>
      </c>
      <c r="C15385" s="2" t="n">
        <v>43704</v>
      </c>
      <c r="D15385" t="inlineStr">
        <is>
          <t>NON-NIL</t>
        </is>
      </c>
      <c r="E15385" t="n">
        <v>1410</v>
      </c>
    </row>
    <row r="15386">
      <c r="A15386" t="inlineStr">
        <is>
          <t>27BBBBB15386Z5</t>
        </is>
      </c>
      <c r="B15386" t="inlineStr">
        <is>
          <t>Mar-2020</t>
        </is>
      </c>
      <c r="C15386" s="2" t="n">
        <v>44416</v>
      </c>
      <c r="D15386" t="inlineStr">
        <is>
          <t>NON-NIL</t>
        </is>
      </c>
      <c r="E15386" t="n">
        <v>1491</v>
      </c>
    </row>
    <row r="15387">
      <c r="A15387" t="inlineStr">
        <is>
          <t>27BBBBB15387Z5</t>
        </is>
      </c>
      <c r="B15387" t="inlineStr">
        <is>
          <t>Aug-2017</t>
        </is>
      </c>
      <c r="C15387" s="2" t="n">
        <v>42926</v>
      </c>
      <c r="D15387" t="inlineStr">
        <is>
          <t>NON-NIL</t>
        </is>
      </c>
      <c r="E15387" t="n">
        <v>122</v>
      </c>
    </row>
    <row r="15388">
      <c r="A15388" t="inlineStr">
        <is>
          <t>27BBBBB15388Z5</t>
        </is>
      </c>
      <c r="B15388" t="inlineStr">
        <is>
          <t>Oct-2017</t>
        </is>
      </c>
      <c r="C15388" s="2" t="n">
        <v>43833</v>
      </c>
      <c r="D15388" t="inlineStr">
        <is>
          <t>NON-NIL</t>
        </is>
      </c>
      <c r="E15388" t="n">
        <v>2834</v>
      </c>
    </row>
    <row r="15389">
      <c r="A15389" t="inlineStr">
        <is>
          <t>27BBBBB15389Z5</t>
        </is>
      </c>
      <c r="B15389" t="inlineStr">
        <is>
          <t>Aug-2018</t>
        </is>
      </c>
      <c r="C15389" s="2" t="n">
        <v>43856</v>
      </c>
      <c r="D15389" t="inlineStr">
        <is>
          <t>NON-NIL</t>
        </is>
      </c>
      <c r="E15389" t="n">
        <v>568</v>
      </c>
    </row>
    <row r="15390">
      <c r="A15390" t="inlineStr">
        <is>
          <t>27BBBBB15390Z5</t>
        </is>
      </c>
      <c r="B15390" t="inlineStr">
        <is>
          <t>Aug-2017</t>
        </is>
      </c>
      <c r="C15390" s="2" t="n">
        <v>42927</v>
      </c>
      <c r="D15390" t="inlineStr">
        <is>
          <t>NIL</t>
        </is>
      </c>
      <c r="E15390" t="n">
        <v>1259</v>
      </c>
    </row>
    <row r="15391">
      <c r="A15391" t="inlineStr">
        <is>
          <t>27BBBBB15391Z5</t>
        </is>
      </c>
      <c r="B15391" t="inlineStr">
        <is>
          <t>Mar-2020</t>
        </is>
      </c>
      <c r="C15391" s="2" t="n">
        <v>44373</v>
      </c>
      <c r="D15391" t="inlineStr">
        <is>
          <t>NIL</t>
        </is>
      </c>
      <c r="E15391" t="n">
        <v>456</v>
      </c>
    </row>
    <row r="15392">
      <c r="A15392" t="inlineStr">
        <is>
          <t>27BBBBB15392Z5</t>
        </is>
      </c>
      <c r="B15392" t="inlineStr">
        <is>
          <t>May-2018</t>
        </is>
      </c>
      <c r="C15392" s="2" t="n">
        <v>43178</v>
      </c>
      <c r="D15392" t="inlineStr">
        <is>
          <t>NIL</t>
        </is>
      </c>
      <c r="E15392" t="n">
        <v>1650</v>
      </c>
    </row>
    <row r="15393">
      <c r="A15393" t="inlineStr">
        <is>
          <t>27BBBBB15393Z5</t>
        </is>
      </c>
      <c r="B15393" t="inlineStr">
        <is>
          <t>Apr-2018</t>
        </is>
      </c>
      <c r="C15393" s="2" t="n">
        <v>43545</v>
      </c>
      <c r="D15393" t="inlineStr">
        <is>
          <t>NIL</t>
        </is>
      </c>
      <c r="E15393" t="n">
        <v>2280</v>
      </c>
    </row>
    <row r="15394">
      <c r="A15394" t="inlineStr">
        <is>
          <t>27BBBBB15394Z5</t>
        </is>
      </c>
      <c r="B15394" t="inlineStr">
        <is>
          <t>May-2020</t>
        </is>
      </c>
      <c r="C15394" s="2" t="n">
        <v>44343</v>
      </c>
      <c r="D15394" t="inlineStr">
        <is>
          <t>NIL</t>
        </is>
      </c>
      <c r="E15394" t="n">
        <v>74</v>
      </c>
    </row>
    <row r="15395">
      <c r="A15395" t="inlineStr">
        <is>
          <t>27BBBBB15395Z5</t>
        </is>
      </c>
      <c r="B15395" t="inlineStr">
        <is>
          <t>Jan-2021</t>
        </is>
      </c>
      <c r="C15395" s="2" t="n">
        <v>45675</v>
      </c>
      <c r="D15395" t="inlineStr">
        <is>
          <t>NON-NIL</t>
        </is>
      </c>
      <c r="E15395" t="n">
        <v>1935</v>
      </c>
    </row>
    <row r="15396">
      <c r="A15396" t="inlineStr">
        <is>
          <t>27BBBBB15396Z5</t>
        </is>
      </c>
      <c r="B15396" t="inlineStr">
        <is>
          <t>Nov-2017</t>
        </is>
      </c>
      <c r="C15396" s="2" t="n">
        <v>43504</v>
      </c>
      <c r="D15396" t="inlineStr">
        <is>
          <t>NIL</t>
        </is>
      </c>
      <c r="E15396" t="n">
        <v>2734</v>
      </c>
    </row>
    <row r="15397">
      <c r="A15397" t="inlineStr">
        <is>
          <t>27BBBBB15397Z5</t>
        </is>
      </c>
      <c r="B15397" t="inlineStr">
        <is>
          <t>Jan-2018</t>
        </is>
      </c>
      <c r="C15397" s="2" t="n">
        <v>42953</v>
      </c>
      <c r="D15397" t="inlineStr">
        <is>
          <t>NON-NIL</t>
        </is>
      </c>
      <c r="E15397" t="n">
        <v>2831</v>
      </c>
    </row>
    <row r="15398">
      <c r="A15398" t="inlineStr">
        <is>
          <t>27BBBBB15398Z5</t>
        </is>
      </c>
      <c r="B15398" t="inlineStr">
        <is>
          <t>Jun-2020</t>
        </is>
      </c>
      <c r="C15398" s="2" t="n">
        <v>44347</v>
      </c>
      <c r="D15398" t="inlineStr">
        <is>
          <t>NON-NIL</t>
        </is>
      </c>
      <c r="E15398" t="n">
        <v>1479</v>
      </c>
    </row>
    <row r="15399">
      <c r="A15399" t="inlineStr">
        <is>
          <t>27BBBBB15399Z5</t>
        </is>
      </c>
      <c r="B15399" t="inlineStr">
        <is>
          <t>Dec-2018</t>
        </is>
      </c>
      <c r="C15399" s="2" t="n">
        <v>44274</v>
      </c>
      <c r="D15399" t="inlineStr">
        <is>
          <t>NON-NIL</t>
        </is>
      </c>
      <c r="E15399" t="n">
        <v>2153</v>
      </c>
    </row>
    <row r="15400">
      <c r="A15400" t="inlineStr">
        <is>
          <t>27BBBBB15400Z5</t>
        </is>
      </c>
      <c r="B15400" t="inlineStr">
        <is>
          <t>Sep-2018</t>
        </is>
      </c>
      <c r="C15400" s="2" t="n">
        <v>44517</v>
      </c>
      <c r="D15400" t="inlineStr">
        <is>
          <t>NON-NIL</t>
        </is>
      </c>
      <c r="E15400" t="n">
        <v>2634</v>
      </c>
    </row>
    <row r="15401">
      <c r="A15401" t="inlineStr">
        <is>
          <t>27BBBBB15401Z5</t>
        </is>
      </c>
      <c r="B15401" t="inlineStr">
        <is>
          <t>Mar-2023</t>
        </is>
      </c>
      <c r="C15401" s="2" t="n">
        <v>45275</v>
      </c>
      <c r="D15401" t="inlineStr">
        <is>
          <t>NON-NIL</t>
        </is>
      </c>
      <c r="E15401" t="n">
        <v>2048</v>
      </c>
    </row>
    <row r="15402">
      <c r="A15402" t="inlineStr">
        <is>
          <t>27BBBBB15402Z5</t>
        </is>
      </c>
      <c r="B15402" t="inlineStr">
        <is>
          <t>May-2018</t>
        </is>
      </c>
      <c r="C15402" s="2" t="n">
        <v>43092</v>
      </c>
      <c r="D15402" t="inlineStr">
        <is>
          <t>NIL</t>
        </is>
      </c>
      <c r="E15402" t="n">
        <v>2957</v>
      </c>
    </row>
    <row r="15403">
      <c r="A15403" t="inlineStr">
        <is>
          <t>27BBBBB15403Z5</t>
        </is>
      </c>
      <c r="B15403" t="inlineStr">
        <is>
          <t>Nov-2017</t>
        </is>
      </c>
      <c r="C15403" s="2" t="n">
        <v>44132</v>
      </c>
      <c r="D15403" t="inlineStr">
        <is>
          <t>NON-NIL</t>
        </is>
      </c>
      <c r="E15403" t="n">
        <v>778</v>
      </c>
    </row>
    <row r="15404">
      <c r="A15404" t="inlineStr">
        <is>
          <t>27BBBBB15404Z5</t>
        </is>
      </c>
      <c r="B15404" t="inlineStr">
        <is>
          <t>Dec-2017</t>
        </is>
      </c>
      <c r="C15404" s="2" t="n">
        <v>43855</v>
      </c>
      <c r="D15404" t="inlineStr">
        <is>
          <t>NIL</t>
        </is>
      </c>
      <c r="E15404" t="n">
        <v>319</v>
      </c>
    </row>
    <row r="15405">
      <c r="A15405" t="inlineStr">
        <is>
          <t>27BBBBB15405Z5</t>
        </is>
      </c>
      <c r="B15405" t="inlineStr">
        <is>
          <t>Dec-2024</t>
        </is>
      </c>
      <c r="C15405" s="2" t="n">
        <v>43922</v>
      </c>
      <c r="D15405" t="inlineStr">
        <is>
          <t>NIL</t>
        </is>
      </c>
      <c r="E15405" t="n">
        <v>2468</v>
      </c>
    </row>
    <row r="15406">
      <c r="A15406" t="inlineStr">
        <is>
          <t>27BBBBB15406Z5</t>
        </is>
      </c>
      <c r="B15406" t="inlineStr">
        <is>
          <t>Dec-2018</t>
        </is>
      </c>
      <c r="C15406" s="2" t="n">
        <v>43243</v>
      </c>
      <c r="D15406" t="inlineStr">
        <is>
          <t>NIL</t>
        </is>
      </c>
      <c r="E15406" t="n">
        <v>2085</v>
      </c>
    </row>
    <row r="15407">
      <c r="A15407" t="inlineStr">
        <is>
          <t>27BBBBB15407Z5</t>
        </is>
      </c>
      <c r="B15407" t="inlineStr">
        <is>
          <t>Jul-2017</t>
        </is>
      </c>
      <c r="C15407" s="2" t="n">
        <v>44483</v>
      </c>
      <c r="D15407" t="inlineStr">
        <is>
          <t>NON-NIL</t>
        </is>
      </c>
      <c r="E15407" t="n">
        <v>450</v>
      </c>
    </row>
    <row r="15408">
      <c r="A15408" t="inlineStr">
        <is>
          <t>27BBBBB15408Z5</t>
        </is>
      </c>
      <c r="B15408" t="inlineStr">
        <is>
          <t>Aug-2018</t>
        </is>
      </c>
      <c r="C15408" s="2" t="n">
        <v>44153</v>
      </c>
      <c r="D15408" t="inlineStr">
        <is>
          <t>NIL</t>
        </is>
      </c>
      <c r="E15408" t="n">
        <v>1871</v>
      </c>
    </row>
    <row r="15409">
      <c r="A15409" t="inlineStr">
        <is>
          <t>27BBBBB15409Z5</t>
        </is>
      </c>
      <c r="B15409" t="inlineStr">
        <is>
          <t>Aug-2018</t>
        </is>
      </c>
      <c r="C15409" s="2" t="n">
        <v>44450</v>
      </c>
      <c r="D15409" t="inlineStr">
        <is>
          <t>NON-NIL</t>
        </is>
      </c>
      <c r="E15409" t="n">
        <v>18</v>
      </c>
    </row>
    <row r="15410">
      <c r="A15410" t="inlineStr">
        <is>
          <t>27BBBBB15410Z5</t>
        </is>
      </c>
      <c r="B15410" t="inlineStr">
        <is>
          <t>Nov-2018</t>
        </is>
      </c>
      <c r="C15410" s="2" t="n">
        <v>43800</v>
      </c>
      <c r="D15410" t="inlineStr">
        <is>
          <t>NIL</t>
        </is>
      </c>
      <c r="E15410" t="n">
        <v>672</v>
      </c>
    </row>
    <row r="15411">
      <c r="A15411" t="inlineStr">
        <is>
          <t>27BBBBB15411Z5</t>
        </is>
      </c>
      <c r="B15411" t="inlineStr">
        <is>
          <t>Mar-2020</t>
        </is>
      </c>
      <c r="C15411" s="2" t="n">
        <v>44560</v>
      </c>
      <c r="D15411" t="inlineStr">
        <is>
          <t>NON-NIL</t>
        </is>
      </c>
      <c r="E15411" t="n">
        <v>2033</v>
      </c>
    </row>
    <row r="15412">
      <c r="A15412" t="inlineStr">
        <is>
          <t>27BBBBB15412Z5</t>
        </is>
      </c>
      <c r="B15412" t="inlineStr">
        <is>
          <t>May-2018</t>
        </is>
      </c>
      <c r="C15412" s="2" t="n">
        <v>44054</v>
      </c>
      <c r="D15412" t="inlineStr">
        <is>
          <t>NON-NIL</t>
        </is>
      </c>
      <c r="E15412" t="n">
        <v>2383</v>
      </c>
    </row>
    <row r="15413">
      <c r="A15413" t="inlineStr">
        <is>
          <t>27BBBBB15413Z5</t>
        </is>
      </c>
      <c r="B15413" t="inlineStr">
        <is>
          <t>Feb-2018</t>
        </is>
      </c>
      <c r="C15413" s="2" t="n">
        <v>43169</v>
      </c>
      <c r="D15413" t="inlineStr">
        <is>
          <t>NON-NIL</t>
        </is>
      </c>
      <c r="E15413" t="n">
        <v>2887</v>
      </c>
    </row>
    <row r="15414">
      <c r="A15414" t="inlineStr">
        <is>
          <t>27BBBBB15414Z5</t>
        </is>
      </c>
      <c r="B15414" t="inlineStr">
        <is>
          <t>Apr-2018</t>
        </is>
      </c>
      <c r="C15414" s="2" t="n">
        <v>43424</v>
      </c>
      <c r="D15414" t="inlineStr">
        <is>
          <t>NON-NIL</t>
        </is>
      </c>
      <c r="E15414" t="n">
        <v>628</v>
      </c>
    </row>
    <row r="15415">
      <c r="A15415" t="inlineStr">
        <is>
          <t>27BBBBB15415Z5</t>
        </is>
      </c>
      <c r="B15415" t="inlineStr">
        <is>
          <t>Oct-2018</t>
        </is>
      </c>
      <c r="C15415" s="2" t="n">
        <v>44548</v>
      </c>
      <c r="D15415" t="inlineStr">
        <is>
          <t>NIL</t>
        </is>
      </c>
      <c r="E15415" t="n">
        <v>1052</v>
      </c>
    </row>
    <row r="15416">
      <c r="A15416" t="inlineStr">
        <is>
          <t>27BBBBB15416Z5</t>
        </is>
      </c>
      <c r="B15416" t="inlineStr">
        <is>
          <t>Dec-2022</t>
        </is>
      </c>
      <c r="C15416" s="2" t="n">
        <v>43961</v>
      </c>
      <c r="D15416" t="inlineStr">
        <is>
          <t>NON-NIL</t>
        </is>
      </c>
      <c r="E15416" t="n">
        <v>712</v>
      </c>
    </row>
    <row r="15417">
      <c r="A15417" t="inlineStr">
        <is>
          <t>27BBBBB15417Z5</t>
        </is>
      </c>
      <c r="B15417" t="inlineStr">
        <is>
          <t>Nov-2017</t>
        </is>
      </c>
      <c r="C15417" s="2" t="n">
        <v>43223</v>
      </c>
      <c r="D15417" t="inlineStr">
        <is>
          <t>NIL</t>
        </is>
      </c>
      <c r="E15417" t="n">
        <v>79</v>
      </c>
    </row>
    <row r="15418">
      <c r="A15418" t="inlineStr">
        <is>
          <t>27BBBBB15418Z5</t>
        </is>
      </c>
      <c r="B15418" t="inlineStr">
        <is>
          <t>Apr-2018</t>
        </is>
      </c>
      <c r="C15418" s="2" t="n">
        <v>43970</v>
      </c>
      <c r="D15418" t="inlineStr">
        <is>
          <t>NON-NIL</t>
        </is>
      </c>
      <c r="E15418" t="n">
        <v>1881</v>
      </c>
    </row>
    <row r="15419">
      <c r="A15419" t="inlineStr">
        <is>
          <t>27BBBBB15419Z5</t>
        </is>
      </c>
      <c r="B15419" t="inlineStr">
        <is>
          <t>Mar-2021</t>
        </is>
      </c>
      <c r="C15419" s="2" t="n">
        <v>45634</v>
      </c>
      <c r="D15419" t="inlineStr">
        <is>
          <t>NIL</t>
        </is>
      </c>
      <c r="E15419" t="n">
        <v>2145</v>
      </c>
    </row>
    <row r="15420">
      <c r="A15420" t="inlineStr">
        <is>
          <t>27BBBBB15420Z5</t>
        </is>
      </c>
      <c r="B15420" t="inlineStr">
        <is>
          <t>Nov-2018</t>
        </is>
      </c>
      <c r="C15420" s="2" t="n">
        <v>43603</v>
      </c>
      <c r="D15420" t="inlineStr">
        <is>
          <t>NIL</t>
        </is>
      </c>
      <c r="E15420" t="n">
        <v>1982</v>
      </c>
    </row>
    <row r="15421">
      <c r="A15421" t="inlineStr">
        <is>
          <t>27BBBBB15421Z5</t>
        </is>
      </c>
      <c r="B15421" t="inlineStr">
        <is>
          <t>May-2020</t>
        </is>
      </c>
      <c r="C15421" s="2" t="n">
        <v>44338</v>
      </c>
      <c r="D15421" t="inlineStr">
        <is>
          <t>NIL</t>
        </is>
      </c>
      <c r="E15421" t="n">
        <v>1221</v>
      </c>
    </row>
    <row r="15422">
      <c r="A15422" t="inlineStr">
        <is>
          <t>27BBBBB15422Z5</t>
        </is>
      </c>
      <c r="B15422" t="inlineStr">
        <is>
          <t>Mar-2020</t>
        </is>
      </c>
      <c r="C15422" s="2" t="n">
        <v>44651</v>
      </c>
      <c r="D15422" t="inlineStr">
        <is>
          <t>NIL</t>
        </is>
      </c>
      <c r="E15422" t="n">
        <v>978</v>
      </c>
    </row>
    <row r="15423">
      <c r="A15423" t="inlineStr">
        <is>
          <t>27BBBBB15423Z5</t>
        </is>
      </c>
      <c r="B15423" t="inlineStr">
        <is>
          <t>May-2020</t>
        </is>
      </c>
      <c r="C15423" s="2" t="n">
        <v>44435</v>
      </c>
      <c r="D15423" t="inlineStr">
        <is>
          <t>NIL</t>
        </is>
      </c>
      <c r="E15423" t="n">
        <v>2680</v>
      </c>
    </row>
    <row r="15424">
      <c r="A15424" t="inlineStr">
        <is>
          <t>27BBBBB15424Z5</t>
        </is>
      </c>
      <c r="B15424" t="inlineStr">
        <is>
          <t>Jan-2021</t>
        </is>
      </c>
      <c r="C15424" s="2" t="n">
        <v>44112</v>
      </c>
      <c r="D15424" t="inlineStr">
        <is>
          <t>NIL</t>
        </is>
      </c>
      <c r="E15424" t="n">
        <v>1554</v>
      </c>
    </row>
    <row r="15425">
      <c r="A15425" t="inlineStr">
        <is>
          <t>27BBBBB15425Z5</t>
        </is>
      </c>
      <c r="B15425" t="inlineStr">
        <is>
          <t>Mar-2018</t>
        </is>
      </c>
      <c r="C15425" s="2" t="n">
        <v>44368</v>
      </c>
      <c r="D15425" t="inlineStr">
        <is>
          <t>NON-NIL</t>
        </is>
      </c>
      <c r="E15425" t="n">
        <v>1738</v>
      </c>
    </row>
    <row r="15426">
      <c r="A15426" t="inlineStr">
        <is>
          <t>27BBBBB15426Z5</t>
        </is>
      </c>
      <c r="B15426" t="inlineStr">
        <is>
          <t>May-2020</t>
        </is>
      </c>
      <c r="C15426" s="2" t="n">
        <v>44754</v>
      </c>
      <c r="D15426" t="inlineStr">
        <is>
          <t>NIL</t>
        </is>
      </c>
      <c r="E15426" t="n">
        <v>2504</v>
      </c>
    </row>
    <row r="15427">
      <c r="A15427" t="inlineStr">
        <is>
          <t>27BBBBB15427Z5</t>
        </is>
      </c>
      <c r="B15427" t="inlineStr">
        <is>
          <t>Feb-2018</t>
        </is>
      </c>
      <c r="C15427" s="2" t="n">
        <v>43482</v>
      </c>
      <c r="D15427" t="inlineStr">
        <is>
          <t>NIL</t>
        </is>
      </c>
      <c r="E15427" t="n">
        <v>2475</v>
      </c>
    </row>
    <row r="15428">
      <c r="A15428" t="inlineStr">
        <is>
          <t>27BBBBB15428Z5</t>
        </is>
      </c>
      <c r="B15428" t="inlineStr">
        <is>
          <t>Dec-2018</t>
        </is>
      </c>
      <c r="C15428" s="2" t="n">
        <v>43769</v>
      </c>
      <c r="D15428" t="inlineStr">
        <is>
          <t>NIL</t>
        </is>
      </c>
      <c r="E15428" t="n">
        <v>1236</v>
      </c>
    </row>
    <row r="15429">
      <c r="A15429" t="inlineStr">
        <is>
          <t>27BBBBB15429Z5</t>
        </is>
      </c>
      <c r="B15429" t="inlineStr">
        <is>
          <t>Dec-2018</t>
        </is>
      </c>
      <c r="C15429" s="2" t="n">
        <v>43187</v>
      </c>
      <c r="D15429" t="inlineStr">
        <is>
          <t>NIL</t>
        </is>
      </c>
      <c r="E15429" t="n">
        <v>752</v>
      </c>
    </row>
    <row r="15430">
      <c r="A15430" t="inlineStr">
        <is>
          <t>27BBBBB15430Z5</t>
        </is>
      </c>
      <c r="B15430" t="inlineStr">
        <is>
          <t>Mar-2020</t>
        </is>
      </c>
      <c r="C15430" s="2" t="n">
        <v>44356</v>
      </c>
      <c r="D15430" t="inlineStr">
        <is>
          <t>NIL</t>
        </is>
      </c>
      <c r="E15430" t="n">
        <v>540</v>
      </c>
    </row>
    <row r="15431">
      <c r="A15431" t="inlineStr">
        <is>
          <t>27BBBBB15431Z5</t>
        </is>
      </c>
      <c r="B15431" t="inlineStr">
        <is>
          <t>Dec-2017</t>
        </is>
      </c>
      <c r="C15431" s="2" t="n">
        <v>44335</v>
      </c>
      <c r="D15431" t="inlineStr">
        <is>
          <t>NON-NIL</t>
        </is>
      </c>
      <c r="E15431" t="n">
        <v>445</v>
      </c>
    </row>
    <row r="15432">
      <c r="A15432" t="inlineStr">
        <is>
          <t>27BBBBB15432Z5</t>
        </is>
      </c>
      <c r="B15432" t="inlineStr">
        <is>
          <t>Sep-2017</t>
        </is>
      </c>
      <c r="C15432" s="2" t="n">
        <v>43569</v>
      </c>
      <c r="D15432" t="inlineStr">
        <is>
          <t>NIL</t>
        </is>
      </c>
      <c r="E15432" t="n">
        <v>849</v>
      </c>
    </row>
    <row r="15433">
      <c r="A15433" t="inlineStr">
        <is>
          <t>27BBBBB15433Z5</t>
        </is>
      </c>
      <c r="B15433" t="inlineStr">
        <is>
          <t>Jan-2021</t>
        </is>
      </c>
      <c r="C15433" s="2" t="n">
        <v>44887</v>
      </c>
      <c r="D15433" t="inlineStr">
        <is>
          <t>NON-NIL</t>
        </is>
      </c>
      <c r="E15433" t="n">
        <v>2125</v>
      </c>
    </row>
    <row r="15434">
      <c r="A15434" t="inlineStr">
        <is>
          <t>27BBBBB15434Z5</t>
        </is>
      </c>
      <c r="B15434" t="inlineStr">
        <is>
          <t>Sep-2017</t>
        </is>
      </c>
      <c r="C15434" s="2" t="n">
        <v>43500</v>
      </c>
      <c r="D15434" t="inlineStr">
        <is>
          <t>NIL</t>
        </is>
      </c>
      <c r="E15434" t="n">
        <v>2246</v>
      </c>
    </row>
    <row r="15435">
      <c r="A15435" t="inlineStr">
        <is>
          <t>27BBBBB15435Z5</t>
        </is>
      </c>
      <c r="B15435" t="inlineStr">
        <is>
          <t>Aug-2017</t>
        </is>
      </c>
      <c r="C15435" s="2" t="n">
        <v>43285</v>
      </c>
      <c r="D15435" t="inlineStr">
        <is>
          <t>NIL</t>
        </is>
      </c>
      <c r="E15435" t="n">
        <v>1507</v>
      </c>
    </row>
    <row r="15436">
      <c r="A15436" t="inlineStr">
        <is>
          <t>27BBBBB15436Z5</t>
        </is>
      </c>
      <c r="B15436" t="inlineStr">
        <is>
          <t>Jul-2020</t>
        </is>
      </c>
      <c r="C15436" s="2" t="n">
        <v>44407</v>
      </c>
      <c r="D15436" t="inlineStr">
        <is>
          <t>NIL</t>
        </is>
      </c>
      <c r="E15436" t="n">
        <v>1374</v>
      </c>
    </row>
    <row r="15437">
      <c r="A15437" t="inlineStr">
        <is>
          <t>27BBBBB15437Z5</t>
        </is>
      </c>
      <c r="B15437" t="inlineStr">
        <is>
          <t>Nov-2018</t>
        </is>
      </c>
      <c r="C15437" s="2" t="n">
        <v>43183</v>
      </c>
      <c r="D15437" t="inlineStr">
        <is>
          <t>NON-NIL</t>
        </is>
      </c>
      <c r="E15437" t="n">
        <v>2759</v>
      </c>
    </row>
    <row r="15438">
      <c r="A15438" t="inlineStr">
        <is>
          <t>27BBBBB15438Z5</t>
        </is>
      </c>
      <c r="B15438" t="inlineStr">
        <is>
          <t>Apr-2020</t>
        </is>
      </c>
      <c r="C15438" s="2" t="n">
        <v>43967</v>
      </c>
      <c r="D15438" t="inlineStr">
        <is>
          <t>NON-NIL</t>
        </is>
      </c>
      <c r="E15438" t="n">
        <v>55</v>
      </c>
    </row>
    <row r="15439">
      <c r="A15439" t="inlineStr">
        <is>
          <t>27BBBBB15439Z5</t>
        </is>
      </c>
      <c r="B15439" t="inlineStr">
        <is>
          <t>Mar-2018</t>
        </is>
      </c>
      <c r="C15439" s="2" t="n">
        <v>43149</v>
      </c>
      <c r="D15439" t="inlineStr">
        <is>
          <t>NON-NIL</t>
        </is>
      </c>
      <c r="E15439" t="n">
        <v>2842</v>
      </c>
    </row>
    <row r="15440">
      <c r="A15440" t="inlineStr">
        <is>
          <t>27BBBBB15440Z5</t>
        </is>
      </c>
      <c r="B15440" t="inlineStr">
        <is>
          <t>Mar-2020</t>
        </is>
      </c>
      <c r="C15440" s="2" t="n">
        <v>43949</v>
      </c>
      <c r="D15440" t="inlineStr">
        <is>
          <t>NON-NIL</t>
        </is>
      </c>
      <c r="E15440" t="n">
        <v>1655</v>
      </c>
    </row>
    <row r="15441">
      <c r="A15441" t="inlineStr">
        <is>
          <t>27BBBBB15441Z5</t>
        </is>
      </c>
      <c r="B15441" t="inlineStr">
        <is>
          <t>Dec-2022</t>
        </is>
      </c>
      <c r="C15441" s="2" t="n">
        <v>44444</v>
      </c>
      <c r="D15441" t="inlineStr">
        <is>
          <t>NIL</t>
        </is>
      </c>
      <c r="E15441" t="n">
        <v>1214</v>
      </c>
    </row>
    <row r="15442">
      <c r="A15442" t="inlineStr">
        <is>
          <t>27BBBBB15442Z5</t>
        </is>
      </c>
      <c r="B15442" t="inlineStr">
        <is>
          <t>Jul-2017</t>
        </is>
      </c>
      <c r="C15442" s="2" t="n">
        <v>42953</v>
      </c>
      <c r="D15442" t="inlineStr">
        <is>
          <t>NON-NIL</t>
        </is>
      </c>
      <c r="E15442" t="n">
        <v>1489</v>
      </c>
    </row>
    <row r="15443">
      <c r="A15443" t="inlineStr">
        <is>
          <t>27BBBBB15443Z5</t>
        </is>
      </c>
      <c r="B15443" t="inlineStr">
        <is>
          <t>Jun-2018</t>
        </is>
      </c>
      <c r="C15443" s="2" t="n">
        <v>43288</v>
      </c>
      <c r="D15443" t="inlineStr">
        <is>
          <t>NON-NIL</t>
        </is>
      </c>
      <c r="E15443" t="n">
        <v>610</v>
      </c>
    </row>
    <row r="15444">
      <c r="A15444" t="inlineStr">
        <is>
          <t>27BBBBB15444Z5</t>
        </is>
      </c>
      <c r="B15444" t="inlineStr">
        <is>
          <t>Aug-2018</t>
        </is>
      </c>
      <c r="C15444" s="2" t="n">
        <v>43558</v>
      </c>
      <c r="D15444" t="inlineStr">
        <is>
          <t>NON-NIL</t>
        </is>
      </c>
      <c r="E15444" t="n">
        <v>1598</v>
      </c>
    </row>
    <row r="15445">
      <c r="A15445" t="inlineStr">
        <is>
          <t>27BBBBB15445Z5</t>
        </is>
      </c>
      <c r="B15445" t="inlineStr">
        <is>
          <t>Aug-2017</t>
        </is>
      </c>
      <c r="C15445" s="2" t="n">
        <v>43743</v>
      </c>
      <c r="D15445" t="inlineStr">
        <is>
          <t>NON-NIL</t>
        </is>
      </c>
      <c r="E15445" t="n">
        <v>2475</v>
      </c>
    </row>
    <row r="15446">
      <c r="A15446" t="inlineStr">
        <is>
          <t>27BBBBB15446Z5</t>
        </is>
      </c>
      <c r="B15446" t="inlineStr">
        <is>
          <t>Dec-2017</t>
        </is>
      </c>
      <c r="C15446" s="2" t="n">
        <v>43753</v>
      </c>
      <c r="D15446" t="inlineStr">
        <is>
          <t>NIL</t>
        </is>
      </c>
      <c r="E15446" t="n">
        <v>1019</v>
      </c>
    </row>
    <row r="15447">
      <c r="A15447" t="inlineStr">
        <is>
          <t>27BBBBB15447Z5</t>
        </is>
      </c>
      <c r="B15447" t="inlineStr">
        <is>
          <t>Apr-2018</t>
        </is>
      </c>
      <c r="C15447" s="2" t="n">
        <v>44355</v>
      </c>
      <c r="D15447" t="inlineStr">
        <is>
          <t>NON-NIL</t>
        </is>
      </c>
      <c r="E15447" t="n">
        <v>2156</v>
      </c>
    </row>
    <row r="15448">
      <c r="A15448" t="inlineStr">
        <is>
          <t>27BBBBB15448Z5</t>
        </is>
      </c>
      <c r="B15448" t="inlineStr">
        <is>
          <t>Jul-2017</t>
        </is>
      </c>
      <c r="C15448" s="2" t="n">
        <v>44090</v>
      </c>
      <c r="D15448" t="inlineStr">
        <is>
          <t>NON-NIL</t>
        </is>
      </c>
      <c r="E15448" t="n">
        <v>2941</v>
      </c>
    </row>
    <row r="15449">
      <c r="A15449" t="inlineStr">
        <is>
          <t>27BBBBB15449Z5</t>
        </is>
      </c>
      <c r="B15449" t="inlineStr">
        <is>
          <t>Apr-2020</t>
        </is>
      </c>
      <c r="C15449" s="2" t="n">
        <v>44672</v>
      </c>
      <c r="D15449" t="inlineStr">
        <is>
          <t>NIL</t>
        </is>
      </c>
      <c r="E15449" t="n">
        <v>0</v>
      </c>
    </row>
    <row r="15450">
      <c r="A15450" t="inlineStr">
        <is>
          <t>27BBBBB15450Z5</t>
        </is>
      </c>
      <c r="B15450" t="inlineStr">
        <is>
          <t>Mar-2020</t>
        </is>
      </c>
      <c r="C15450" s="2" t="n">
        <v>44477</v>
      </c>
      <c r="D15450" t="inlineStr">
        <is>
          <t>NON-NIL</t>
        </is>
      </c>
      <c r="E15450" t="n">
        <v>1939</v>
      </c>
    </row>
    <row r="15451">
      <c r="A15451" t="inlineStr">
        <is>
          <t>27BBBBB15451Z5</t>
        </is>
      </c>
      <c r="B15451" t="inlineStr">
        <is>
          <t>Jun-2018</t>
        </is>
      </c>
      <c r="C15451" s="2" t="n">
        <v>43574</v>
      </c>
      <c r="D15451" t="inlineStr">
        <is>
          <t>NIL</t>
        </is>
      </c>
      <c r="E15451" t="n">
        <v>2686</v>
      </c>
    </row>
    <row r="15452">
      <c r="A15452" t="inlineStr">
        <is>
          <t>27BBBBB15452Z5</t>
        </is>
      </c>
      <c r="B15452" t="inlineStr">
        <is>
          <t>Jan-2018</t>
        </is>
      </c>
      <c r="C15452" s="2" t="n">
        <v>43823</v>
      </c>
      <c r="D15452" t="inlineStr">
        <is>
          <t>NON-NIL</t>
        </is>
      </c>
      <c r="E15452" t="n">
        <v>2702</v>
      </c>
    </row>
    <row r="15453">
      <c r="A15453" t="inlineStr">
        <is>
          <t>27BBBBB15453Z5</t>
        </is>
      </c>
      <c r="B15453" t="inlineStr">
        <is>
          <t>Dec-2022</t>
        </is>
      </c>
      <c r="C15453" s="2" t="n">
        <v>44706</v>
      </c>
      <c r="D15453" t="inlineStr">
        <is>
          <t>NON-NIL</t>
        </is>
      </c>
      <c r="E15453" t="n">
        <v>2103</v>
      </c>
    </row>
    <row r="15454">
      <c r="A15454" t="inlineStr">
        <is>
          <t>27BBBBB15454Z5</t>
        </is>
      </c>
      <c r="B15454" t="inlineStr">
        <is>
          <t>Mar-2020</t>
        </is>
      </c>
      <c r="C15454" s="2" t="n">
        <v>44064</v>
      </c>
      <c r="D15454" t="inlineStr">
        <is>
          <t>NIL</t>
        </is>
      </c>
      <c r="E15454" t="n">
        <v>953</v>
      </c>
    </row>
    <row r="15455">
      <c r="A15455" t="inlineStr">
        <is>
          <t>27BBBBB15455Z5</t>
        </is>
      </c>
      <c r="B15455" t="inlineStr">
        <is>
          <t>Apr-2020</t>
        </is>
      </c>
      <c r="C15455" s="2" t="n">
        <v>43861</v>
      </c>
      <c r="D15455" t="inlineStr">
        <is>
          <t>NIL</t>
        </is>
      </c>
      <c r="E15455" t="n">
        <v>1962</v>
      </c>
    </row>
    <row r="15456">
      <c r="A15456" t="inlineStr">
        <is>
          <t>27BBBBB15456Z5</t>
        </is>
      </c>
      <c r="B15456" t="inlineStr">
        <is>
          <t>Apr-2018</t>
        </is>
      </c>
      <c r="C15456" s="2" t="n">
        <v>43808</v>
      </c>
      <c r="D15456" t="inlineStr">
        <is>
          <t>NIL</t>
        </is>
      </c>
      <c r="E15456" t="n">
        <v>2119</v>
      </c>
    </row>
    <row r="15457">
      <c r="A15457" t="inlineStr">
        <is>
          <t>27BBBBB15457Z5</t>
        </is>
      </c>
      <c r="B15457" t="inlineStr">
        <is>
          <t>Jul-2018</t>
        </is>
      </c>
      <c r="C15457" s="2" t="n">
        <v>44086</v>
      </c>
      <c r="D15457" t="inlineStr">
        <is>
          <t>NIL</t>
        </is>
      </c>
      <c r="E15457" t="n">
        <v>500</v>
      </c>
    </row>
    <row r="15458">
      <c r="A15458" t="inlineStr">
        <is>
          <t>27BBBBB15458Z5</t>
        </is>
      </c>
      <c r="B15458" t="inlineStr">
        <is>
          <t>Aug-2017</t>
        </is>
      </c>
      <c r="C15458" s="2" t="n">
        <v>43595</v>
      </c>
      <c r="D15458" t="inlineStr">
        <is>
          <t>NIL</t>
        </is>
      </c>
      <c r="E15458" t="n">
        <v>1705</v>
      </c>
    </row>
    <row r="15459">
      <c r="A15459" t="inlineStr">
        <is>
          <t>27BBBBB15459Z5</t>
        </is>
      </c>
      <c r="B15459" t="inlineStr">
        <is>
          <t>May-2020</t>
        </is>
      </c>
      <c r="C15459" s="2" t="n">
        <v>44270</v>
      </c>
      <c r="D15459" t="inlineStr">
        <is>
          <t>NON-NIL</t>
        </is>
      </c>
      <c r="E15459" t="n">
        <v>2051</v>
      </c>
    </row>
    <row r="15460">
      <c r="A15460" t="inlineStr">
        <is>
          <t>27BBBBB15460Z5</t>
        </is>
      </c>
      <c r="B15460" t="inlineStr">
        <is>
          <t>Jul-2020</t>
        </is>
      </c>
      <c r="C15460" s="2" t="n">
        <v>44807</v>
      </c>
      <c r="D15460" t="inlineStr">
        <is>
          <t>NON-NIL</t>
        </is>
      </c>
      <c r="E15460" t="n">
        <v>1575</v>
      </c>
    </row>
    <row r="15461">
      <c r="A15461" t="inlineStr">
        <is>
          <t>27BBBBB15461Z5</t>
        </is>
      </c>
      <c r="B15461" t="inlineStr">
        <is>
          <t>Jul-2018</t>
        </is>
      </c>
      <c r="C15461" s="2" t="n">
        <v>43313</v>
      </c>
      <c r="D15461" t="inlineStr">
        <is>
          <t>NIL</t>
        </is>
      </c>
      <c r="E15461" t="n">
        <v>1787</v>
      </c>
    </row>
    <row r="15462">
      <c r="A15462" t="inlineStr">
        <is>
          <t>27BBBBB15462Z5</t>
        </is>
      </c>
      <c r="B15462" t="inlineStr">
        <is>
          <t>Sep-2017</t>
        </is>
      </c>
      <c r="C15462" s="2" t="n">
        <v>44262</v>
      </c>
      <c r="D15462" t="inlineStr">
        <is>
          <t>NON-NIL</t>
        </is>
      </c>
      <c r="E15462" t="n">
        <v>1030</v>
      </c>
    </row>
    <row r="15463">
      <c r="A15463" t="inlineStr">
        <is>
          <t>27BBBBB15463Z5</t>
        </is>
      </c>
      <c r="B15463" t="inlineStr">
        <is>
          <t>May-2020</t>
        </is>
      </c>
      <c r="C15463" s="2" t="n">
        <v>43935</v>
      </c>
      <c r="D15463" t="inlineStr">
        <is>
          <t>NON-NIL</t>
        </is>
      </c>
      <c r="E15463" t="n">
        <v>1018</v>
      </c>
    </row>
    <row r="15464">
      <c r="A15464" t="inlineStr">
        <is>
          <t>27BBBBB15464Z5</t>
        </is>
      </c>
      <c r="B15464" t="inlineStr">
        <is>
          <t>Oct-2018</t>
        </is>
      </c>
      <c r="C15464" s="2" t="n">
        <v>43780</v>
      </c>
      <c r="D15464" t="inlineStr">
        <is>
          <t>NON-NIL</t>
        </is>
      </c>
      <c r="E15464" t="n">
        <v>137</v>
      </c>
    </row>
    <row r="15465">
      <c r="A15465" t="inlineStr">
        <is>
          <t>27BBBBB15465Z5</t>
        </is>
      </c>
      <c r="B15465" t="inlineStr">
        <is>
          <t>Jul-2020</t>
        </is>
      </c>
      <c r="C15465" s="2" t="n">
        <v>44352</v>
      </c>
      <c r="D15465" t="inlineStr">
        <is>
          <t>NIL</t>
        </is>
      </c>
      <c r="E15465" t="n">
        <v>1310</v>
      </c>
    </row>
    <row r="15466">
      <c r="A15466" t="inlineStr">
        <is>
          <t>27BBBBB15466Z5</t>
        </is>
      </c>
      <c r="B15466" t="inlineStr">
        <is>
          <t>Oct-2017</t>
        </is>
      </c>
      <c r="C15466" s="2" t="n">
        <v>42937</v>
      </c>
      <c r="D15466" t="inlineStr">
        <is>
          <t>NON-NIL</t>
        </is>
      </c>
      <c r="E15466" t="n">
        <v>365</v>
      </c>
    </row>
    <row r="15467">
      <c r="A15467" t="inlineStr">
        <is>
          <t>27BBBBB15467Z5</t>
        </is>
      </c>
      <c r="B15467" t="inlineStr">
        <is>
          <t>Dec-2017</t>
        </is>
      </c>
      <c r="C15467" s="2" t="n">
        <v>44500</v>
      </c>
      <c r="D15467" t="inlineStr">
        <is>
          <t>NON-NIL</t>
        </is>
      </c>
      <c r="E15467" t="n">
        <v>586</v>
      </c>
    </row>
    <row r="15468">
      <c r="A15468" t="inlineStr">
        <is>
          <t>27BBBBB15468Z5</t>
        </is>
      </c>
      <c r="B15468" t="inlineStr">
        <is>
          <t>Aug-2017</t>
        </is>
      </c>
      <c r="C15468" s="2" t="n">
        <v>43744</v>
      </c>
      <c r="D15468" t="inlineStr">
        <is>
          <t>NIL</t>
        </is>
      </c>
      <c r="E15468" t="n">
        <v>1281</v>
      </c>
    </row>
    <row r="15469">
      <c r="A15469" t="inlineStr">
        <is>
          <t>27BBBBB15469Z5</t>
        </is>
      </c>
      <c r="B15469" t="inlineStr">
        <is>
          <t>Sep-2018</t>
        </is>
      </c>
      <c r="C15469" s="2" t="n">
        <v>44137</v>
      </c>
      <c r="D15469" t="inlineStr">
        <is>
          <t>NIL</t>
        </is>
      </c>
      <c r="E15469" t="n">
        <v>1108</v>
      </c>
    </row>
    <row r="15470">
      <c r="A15470" t="inlineStr">
        <is>
          <t>27BBBBB15470Z5</t>
        </is>
      </c>
      <c r="B15470" t="inlineStr">
        <is>
          <t>Mar-2023</t>
        </is>
      </c>
      <c r="C15470" s="2" t="n">
        <v>43976</v>
      </c>
      <c r="D15470" t="inlineStr">
        <is>
          <t>NIL</t>
        </is>
      </c>
      <c r="E15470" t="n">
        <v>261</v>
      </c>
    </row>
    <row r="15471">
      <c r="A15471" t="inlineStr">
        <is>
          <t>27BBBBB15471Z5</t>
        </is>
      </c>
      <c r="B15471" t="inlineStr">
        <is>
          <t>Jul-2020</t>
        </is>
      </c>
      <c r="C15471" s="2" t="n">
        <v>44431</v>
      </c>
      <c r="D15471" t="inlineStr">
        <is>
          <t>NON-NIL</t>
        </is>
      </c>
      <c r="E15471" t="n">
        <v>358</v>
      </c>
    </row>
    <row r="15472">
      <c r="A15472" t="inlineStr">
        <is>
          <t>27BBBBB15472Z5</t>
        </is>
      </c>
      <c r="B15472" t="inlineStr">
        <is>
          <t>Mar-2018</t>
        </is>
      </c>
      <c r="C15472" s="2" t="n">
        <v>43612</v>
      </c>
      <c r="D15472" t="inlineStr">
        <is>
          <t>NON-NIL</t>
        </is>
      </c>
      <c r="E15472" t="n">
        <v>2860</v>
      </c>
    </row>
    <row r="15473">
      <c r="A15473" t="inlineStr">
        <is>
          <t>27BBBBB15473Z5</t>
        </is>
      </c>
      <c r="B15473" t="inlineStr">
        <is>
          <t>Mar-2020</t>
        </is>
      </c>
      <c r="C15473" s="2" t="n">
        <v>44496</v>
      </c>
      <c r="D15473" t="inlineStr">
        <is>
          <t>NON-NIL</t>
        </is>
      </c>
      <c r="E15473" t="n">
        <v>185</v>
      </c>
    </row>
    <row r="15474">
      <c r="A15474" t="inlineStr">
        <is>
          <t>27BBBBB15474Z5</t>
        </is>
      </c>
      <c r="B15474" t="inlineStr">
        <is>
          <t>Jun-2018</t>
        </is>
      </c>
      <c r="C15474" s="2" t="n">
        <v>43778</v>
      </c>
      <c r="D15474" t="inlineStr">
        <is>
          <t>NIL</t>
        </is>
      </c>
      <c r="E15474" t="n">
        <v>1964</v>
      </c>
    </row>
    <row r="15475">
      <c r="A15475" t="inlineStr">
        <is>
          <t>27BBBBB15475Z5</t>
        </is>
      </c>
      <c r="B15475" t="inlineStr">
        <is>
          <t>Feb-2018</t>
        </is>
      </c>
      <c r="C15475" s="2" t="n">
        <v>43872</v>
      </c>
      <c r="D15475" t="inlineStr">
        <is>
          <t>NON-NIL</t>
        </is>
      </c>
      <c r="E15475" t="n">
        <v>342</v>
      </c>
    </row>
    <row r="15476">
      <c r="A15476" t="inlineStr">
        <is>
          <t>27BBBBB15476Z5</t>
        </is>
      </c>
      <c r="B15476" t="inlineStr">
        <is>
          <t>Mar-2021</t>
        </is>
      </c>
      <c r="C15476" s="2" t="n">
        <v>43956</v>
      </c>
      <c r="D15476" t="inlineStr">
        <is>
          <t>NIL</t>
        </is>
      </c>
      <c r="E15476" t="n">
        <v>2647</v>
      </c>
    </row>
    <row r="15477">
      <c r="A15477" t="inlineStr">
        <is>
          <t>27BBBBB15477Z5</t>
        </is>
      </c>
      <c r="B15477" t="inlineStr">
        <is>
          <t>Mar-2018</t>
        </is>
      </c>
      <c r="C15477" s="2" t="n">
        <v>43249</v>
      </c>
      <c r="D15477" t="inlineStr">
        <is>
          <t>NIL</t>
        </is>
      </c>
      <c r="E15477" t="n">
        <v>1304</v>
      </c>
    </row>
    <row r="15478">
      <c r="A15478" t="inlineStr">
        <is>
          <t>27BBBBB15478Z5</t>
        </is>
      </c>
      <c r="B15478" t="inlineStr">
        <is>
          <t>Dec-2022</t>
        </is>
      </c>
      <c r="C15478" s="2" t="n">
        <v>43967</v>
      </c>
      <c r="D15478" t="inlineStr">
        <is>
          <t>NIL</t>
        </is>
      </c>
      <c r="E15478" t="n">
        <v>1533</v>
      </c>
    </row>
    <row r="15479">
      <c r="A15479" t="inlineStr">
        <is>
          <t>27BBBBB15479Z5</t>
        </is>
      </c>
      <c r="B15479" t="inlineStr">
        <is>
          <t>Jul-2020</t>
        </is>
      </c>
      <c r="C15479" s="2" t="n">
        <v>44313</v>
      </c>
      <c r="D15479" t="inlineStr">
        <is>
          <t>NIL</t>
        </is>
      </c>
      <c r="E15479" t="n">
        <v>563</v>
      </c>
    </row>
    <row r="15480">
      <c r="A15480" t="inlineStr">
        <is>
          <t>27BBBBB15480Z5</t>
        </is>
      </c>
      <c r="B15480" t="inlineStr">
        <is>
          <t>Jul-2017</t>
        </is>
      </c>
      <c r="C15480" s="2" t="n">
        <v>43737</v>
      </c>
      <c r="D15480" t="inlineStr">
        <is>
          <t>NIL</t>
        </is>
      </c>
      <c r="E15480" t="n">
        <v>2364</v>
      </c>
    </row>
    <row r="15481">
      <c r="A15481" t="inlineStr">
        <is>
          <t>27BBBBB15481Z5</t>
        </is>
      </c>
      <c r="B15481" t="inlineStr">
        <is>
          <t>Mar-2018</t>
        </is>
      </c>
      <c r="C15481" s="2" t="n">
        <v>44313</v>
      </c>
      <c r="D15481" t="inlineStr">
        <is>
          <t>NIL</t>
        </is>
      </c>
      <c r="E15481" t="n">
        <v>1830</v>
      </c>
    </row>
    <row r="15482">
      <c r="A15482" t="inlineStr">
        <is>
          <t>27BBBBB15482Z5</t>
        </is>
      </c>
      <c r="B15482" t="inlineStr">
        <is>
          <t>Dec-2024</t>
        </is>
      </c>
      <c r="C15482" s="2" t="n">
        <v>44416</v>
      </c>
      <c r="D15482" t="inlineStr">
        <is>
          <t>NON-NIL</t>
        </is>
      </c>
      <c r="E15482" t="n">
        <v>2938</v>
      </c>
    </row>
    <row r="15483">
      <c r="A15483" t="inlineStr">
        <is>
          <t>27BBBBB15483Z5</t>
        </is>
      </c>
      <c r="B15483" t="inlineStr">
        <is>
          <t>Oct-2017</t>
        </is>
      </c>
      <c r="C15483" s="2" t="n">
        <v>43503</v>
      </c>
      <c r="D15483" t="inlineStr">
        <is>
          <t>NON-NIL</t>
        </is>
      </c>
      <c r="E15483" t="n">
        <v>2818</v>
      </c>
    </row>
    <row r="15484">
      <c r="A15484" t="inlineStr">
        <is>
          <t>27BBBBB15484Z5</t>
        </is>
      </c>
      <c r="B15484" t="inlineStr">
        <is>
          <t>Dec-2017</t>
        </is>
      </c>
      <c r="C15484" s="2" t="n">
        <v>43149</v>
      </c>
      <c r="D15484" t="inlineStr">
        <is>
          <t>NON-NIL</t>
        </is>
      </c>
      <c r="E15484" t="n">
        <v>92</v>
      </c>
    </row>
    <row r="15485">
      <c r="A15485" t="inlineStr">
        <is>
          <t>27BBBBB15485Z5</t>
        </is>
      </c>
      <c r="B15485" t="inlineStr">
        <is>
          <t>Dec-2017</t>
        </is>
      </c>
      <c r="C15485" s="2" t="n">
        <v>43002</v>
      </c>
      <c r="D15485" t="inlineStr">
        <is>
          <t>NIL</t>
        </is>
      </c>
      <c r="E15485" t="n">
        <v>262</v>
      </c>
    </row>
    <row r="15486">
      <c r="A15486" t="inlineStr">
        <is>
          <t>27BBBBB15486Z5</t>
        </is>
      </c>
      <c r="B15486" t="inlineStr">
        <is>
          <t>Jul-2020</t>
        </is>
      </c>
      <c r="C15486" s="2" t="n">
        <v>43950</v>
      </c>
      <c r="D15486" t="inlineStr">
        <is>
          <t>NIL</t>
        </is>
      </c>
      <c r="E15486" t="n">
        <v>2648</v>
      </c>
    </row>
    <row r="15487">
      <c r="A15487" t="inlineStr">
        <is>
          <t>27BBBBB15487Z5</t>
        </is>
      </c>
      <c r="B15487" t="inlineStr">
        <is>
          <t>Jan-2021</t>
        </is>
      </c>
      <c r="C15487" s="2" t="n">
        <v>45519</v>
      </c>
      <c r="D15487" t="inlineStr">
        <is>
          <t>NIL</t>
        </is>
      </c>
      <c r="E15487" t="n">
        <v>2926</v>
      </c>
    </row>
    <row r="15488">
      <c r="A15488" t="inlineStr">
        <is>
          <t>27BBBBB15488Z5</t>
        </is>
      </c>
      <c r="B15488" t="inlineStr">
        <is>
          <t>Mar-2018</t>
        </is>
      </c>
      <c r="C15488" s="2" t="n">
        <v>43967</v>
      </c>
      <c r="D15488" t="inlineStr">
        <is>
          <t>NON-NIL</t>
        </is>
      </c>
      <c r="E15488" t="n">
        <v>770</v>
      </c>
    </row>
    <row r="15489">
      <c r="A15489" t="inlineStr">
        <is>
          <t>27BBBBB15489Z5</t>
        </is>
      </c>
      <c r="B15489" t="inlineStr">
        <is>
          <t>Jun-2020</t>
        </is>
      </c>
      <c r="C15489" s="2" t="n">
        <v>44593</v>
      </c>
      <c r="D15489" t="inlineStr">
        <is>
          <t>NON-NIL</t>
        </is>
      </c>
      <c r="E15489" t="n">
        <v>1808</v>
      </c>
    </row>
    <row r="15490">
      <c r="A15490" t="inlineStr">
        <is>
          <t>27BBBBB15490Z5</t>
        </is>
      </c>
      <c r="B15490" t="inlineStr">
        <is>
          <t>Mar-2023</t>
        </is>
      </c>
      <c r="C15490" s="2" t="n">
        <v>45485</v>
      </c>
      <c r="D15490" t="inlineStr">
        <is>
          <t>NON-NIL</t>
        </is>
      </c>
      <c r="E15490" t="n">
        <v>1064</v>
      </c>
    </row>
    <row r="15491">
      <c r="A15491" t="inlineStr">
        <is>
          <t>27BBBBB15491Z5</t>
        </is>
      </c>
      <c r="B15491" t="inlineStr">
        <is>
          <t>Jan-2018</t>
        </is>
      </c>
      <c r="C15491" s="2" t="n">
        <v>44200</v>
      </c>
      <c r="D15491" t="inlineStr">
        <is>
          <t>NON-NIL</t>
        </is>
      </c>
      <c r="E15491" t="n">
        <v>735</v>
      </c>
    </row>
    <row r="15492">
      <c r="A15492" t="inlineStr">
        <is>
          <t>27BBBBB15492Z5</t>
        </is>
      </c>
      <c r="B15492" t="inlineStr">
        <is>
          <t>Apr-2020</t>
        </is>
      </c>
      <c r="C15492" s="2" t="n">
        <v>44483</v>
      </c>
      <c r="D15492" t="inlineStr">
        <is>
          <t>NON-NIL</t>
        </is>
      </c>
      <c r="E15492" t="n">
        <v>262</v>
      </c>
    </row>
    <row r="15493">
      <c r="A15493" t="inlineStr">
        <is>
          <t>27BBBBB15493Z5</t>
        </is>
      </c>
      <c r="B15493" t="inlineStr">
        <is>
          <t>Jul-2020</t>
        </is>
      </c>
      <c r="C15493" s="2" t="n">
        <v>44169</v>
      </c>
      <c r="D15493" t="inlineStr">
        <is>
          <t>NON-NIL</t>
        </is>
      </c>
      <c r="E15493" t="n">
        <v>2948</v>
      </c>
    </row>
    <row r="15494">
      <c r="A15494" t="inlineStr">
        <is>
          <t>27BBBBB15494Z5</t>
        </is>
      </c>
      <c r="B15494" t="inlineStr">
        <is>
          <t>Dec-2017</t>
        </is>
      </c>
      <c r="C15494" s="2" t="n">
        <v>43115</v>
      </c>
      <c r="D15494" t="inlineStr">
        <is>
          <t>NIL</t>
        </is>
      </c>
      <c r="E15494" t="n">
        <v>487</v>
      </c>
    </row>
    <row r="15495">
      <c r="A15495" t="inlineStr">
        <is>
          <t>27BBBBB15495Z5</t>
        </is>
      </c>
      <c r="B15495" t="inlineStr">
        <is>
          <t>Dec-2022</t>
        </is>
      </c>
      <c r="C15495" s="2" t="n">
        <v>45086</v>
      </c>
      <c r="D15495" t="inlineStr">
        <is>
          <t>NON-NIL</t>
        </is>
      </c>
      <c r="E15495" t="n">
        <v>2930</v>
      </c>
    </row>
    <row r="15496">
      <c r="A15496" t="inlineStr">
        <is>
          <t>27BBBBB15496Z5</t>
        </is>
      </c>
      <c r="B15496" t="inlineStr">
        <is>
          <t>Jan-2018</t>
        </is>
      </c>
      <c r="C15496" s="2" t="n">
        <v>43727</v>
      </c>
      <c r="D15496" t="inlineStr">
        <is>
          <t>NON-NIL</t>
        </is>
      </c>
      <c r="E15496" t="n">
        <v>1516</v>
      </c>
    </row>
    <row r="15497">
      <c r="A15497" t="inlineStr">
        <is>
          <t>27BBBBB15497Z5</t>
        </is>
      </c>
      <c r="B15497" t="inlineStr">
        <is>
          <t>Mar-2018</t>
        </is>
      </c>
      <c r="C15497" s="2" t="n">
        <v>42924</v>
      </c>
      <c r="D15497" t="inlineStr">
        <is>
          <t>NIL</t>
        </is>
      </c>
      <c r="E15497" t="n">
        <v>175</v>
      </c>
    </row>
    <row r="15498">
      <c r="A15498" t="inlineStr">
        <is>
          <t>27BBBBB15498Z5</t>
        </is>
      </c>
      <c r="B15498" t="inlineStr">
        <is>
          <t>Mar-2018</t>
        </is>
      </c>
      <c r="C15498" s="2" t="n">
        <v>43320</v>
      </c>
      <c r="D15498" t="inlineStr">
        <is>
          <t>NON-NIL</t>
        </is>
      </c>
      <c r="E15498" t="n">
        <v>1352</v>
      </c>
    </row>
    <row r="15499">
      <c r="A15499" t="inlineStr">
        <is>
          <t>27BBBBB15499Z5</t>
        </is>
      </c>
      <c r="B15499" t="inlineStr">
        <is>
          <t>Dec-2017</t>
        </is>
      </c>
      <c r="C15499" s="2" t="n">
        <v>43751</v>
      </c>
      <c r="D15499" t="inlineStr">
        <is>
          <t>NON-NIL</t>
        </is>
      </c>
      <c r="E15499" t="n">
        <v>347</v>
      </c>
    </row>
    <row r="15500">
      <c r="A15500" t="inlineStr">
        <is>
          <t>27BBBBB15500Z5</t>
        </is>
      </c>
      <c r="B15500" t="inlineStr">
        <is>
          <t>Dec-2018</t>
        </is>
      </c>
      <c r="C15500" s="2" t="n">
        <v>44442</v>
      </c>
      <c r="D15500" t="inlineStr">
        <is>
          <t>NON-NIL</t>
        </is>
      </c>
      <c r="E15500" t="n">
        <v>2957</v>
      </c>
    </row>
    <row r="15501">
      <c r="A15501" t="inlineStr">
        <is>
          <t>27BBBBB15501Z5</t>
        </is>
      </c>
      <c r="B15501" t="inlineStr">
        <is>
          <t>Jul-2017</t>
        </is>
      </c>
      <c r="C15501" s="2" t="n">
        <v>43565</v>
      </c>
      <c r="D15501" t="inlineStr">
        <is>
          <t>NIL</t>
        </is>
      </c>
      <c r="E15501" t="n">
        <v>2526</v>
      </c>
    </row>
    <row r="15502">
      <c r="A15502" t="inlineStr">
        <is>
          <t>27BBBBB15502Z5</t>
        </is>
      </c>
      <c r="B15502" t="inlineStr">
        <is>
          <t>Aug-2017</t>
        </is>
      </c>
      <c r="C15502" s="2" t="n">
        <v>43009</v>
      </c>
      <c r="D15502" t="inlineStr">
        <is>
          <t>NIL</t>
        </is>
      </c>
      <c r="E15502" t="n">
        <v>1476</v>
      </c>
    </row>
    <row r="15503">
      <c r="A15503" t="inlineStr">
        <is>
          <t>27BBBBB15503Z5</t>
        </is>
      </c>
      <c r="B15503" t="inlineStr">
        <is>
          <t>Dec-2018</t>
        </is>
      </c>
      <c r="C15503" s="2" t="n">
        <v>44464</v>
      </c>
      <c r="D15503" t="inlineStr">
        <is>
          <t>NON-NIL</t>
        </is>
      </c>
      <c r="E15503" t="n">
        <v>2147</v>
      </c>
    </row>
    <row r="15504">
      <c r="A15504" t="inlineStr">
        <is>
          <t>27BBBBB15504Z5</t>
        </is>
      </c>
      <c r="B15504" t="inlineStr">
        <is>
          <t>Mar-2021</t>
        </is>
      </c>
      <c r="C15504" s="2" t="n">
        <v>43844</v>
      </c>
      <c r="D15504" t="inlineStr">
        <is>
          <t>NIL</t>
        </is>
      </c>
      <c r="E15504" t="n">
        <v>1688</v>
      </c>
    </row>
    <row r="15505">
      <c r="A15505" t="inlineStr">
        <is>
          <t>27BBBBB15505Z5</t>
        </is>
      </c>
      <c r="B15505" t="inlineStr">
        <is>
          <t>Jun-2020</t>
        </is>
      </c>
      <c r="C15505" s="2" t="n">
        <v>44538</v>
      </c>
      <c r="D15505" t="inlineStr">
        <is>
          <t>NON-NIL</t>
        </is>
      </c>
      <c r="E15505" t="n">
        <v>1298</v>
      </c>
    </row>
    <row r="15506">
      <c r="A15506" t="inlineStr">
        <is>
          <t>27BBBBB15506Z5</t>
        </is>
      </c>
      <c r="B15506" t="inlineStr">
        <is>
          <t>Aug-2018</t>
        </is>
      </c>
      <c r="C15506" s="2" t="n">
        <v>43620</v>
      </c>
      <c r="D15506" t="inlineStr">
        <is>
          <t>NON-NIL</t>
        </is>
      </c>
      <c r="E15506" t="n">
        <v>1623</v>
      </c>
    </row>
    <row r="15507">
      <c r="A15507" t="inlineStr">
        <is>
          <t>27BBBBB15507Z5</t>
        </is>
      </c>
      <c r="B15507" t="inlineStr">
        <is>
          <t>Jul-2018</t>
        </is>
      </c>
      <c r="C15507" s="2" t="n">
        <v>43407</v>
      </c>
      <c r="D15507" t="inlineStr">
        <is>
          <t>NIL</t>
        </is>
      </c>
      <c r="E15507" t="n">
        <v>184</v>
      </c>
    </row>
    <row r="15508">
      <c r="A15508" t="inlineStr">
        <is>
          <t>27BBBBB15508Z5</t>
        </is>
      </c>
      <c r="B15508" t="inlineStr">
        <is>
          <t>Jul-2020</t>
        </is>
      </c>
      <c r="C15508" s="2" t="n">
        <v>43850</v>
      </c>
      <c r="D15508" t="inlineStr">
        <is>
          <t>NIL</t>
        </is>
      </c>
      <c r="E15508" t="n">
        <v>1359</v>
      </c>
    </row>
    <row r="15509">
      <c r="A15509" t="inlineStr">
        <is>
          <t>27BBBBB15509Z5</t>
        </is>
      </c>
      <c r="B15509" t="inlineStr">
        <is>
          <t>Mar-2018</t>
        </is>
      </c>
      <c r="C15509" s="2" t="n">
        <v>43356</v>
      </c>
      <c r="D15509" t="inlineStr">
        <is>
          <t>NON-NIL</t>
        </is>
      </c>
      <c r="E15509" t="n">
        <v>851</v>
      </c>
    </row>
    <row r="15510">
      <c r="A15510" t="inlineStr">
        <is>
          <t>27BBBBB15510Z5</t>
        </is>
      </c>
      <c r="B15510" t="inlineStr">
        <is>
          <t>Oct-2017</t>
        </is>
      </c>
      <c r="C15510" s="2" t="n">
        <v>43718</v>
      </c>
      <c r="D15510" t="inlineStr">
        <is>
          <t>NON-NIL</t>
        </is>
      </c>
      <c r="E15510" t="n">
        <v>1718</v>
      </c>
    </row>
    <row r="15511">
      <c r="A15511" t="inlineStr">
        <is>
          <t>27BBBBB15511Z5</t>
        </is>
      </c>
      <c r="B15511" t="inlineStr">
        <is>
          <t>Apr-2020</t>
        </is>
      </c>
      <c r="C15511" s="2" t="n">
        <v>44857</v>
      </c>
      <c r="D15511" t="inlineStr">
        <is>
          <t>NON-NIL</t>
        </is>
      </c>
      <c r="E15511" t="n">
        <v>1284</v>
      </c>
    </row>
    <row r="15512">
      <c r="A15512" t="inlineStr">
        <is>
          <t>27BBBBB15512Z5</t>
        </is>
      </c>
      <c r="B15512" t="inlineStr">
        <is>
          <t>Oct-2017</t>
        </is>
      </c>
      <c r="C15512" s="2" t="n">
        <v>44431</v>
      </c>
      <c r="D15512" t="inlineStr">
        <is>
          <t>NON-NIL</t>
        </is>
      </c>
      <c r="E15512" t="n">
        <v>2979</v>
      </c>
    </row>
    <row r="15513">
      <c r="A15513" t="inlineStr">
        <is>
          <t>27BBBBB15513Z5</t>
        </is>
      </c>
      <c r="B15513" t="inlineStr">
        <is>
          <t>Jul-2018</t>
        </is>
      </c>
      <c r="C15513" s="2" t="n">
        <v>43454</v>
      </c>
      <c r="D15513" t="inlineStr">
        <is>
          <t>NON-NIL</t>
        </is>
      </c>
      <c r="E15513" t="n">
        <v>94</v>
      </c>
    </row>
    <row r="15514">
      <c r="A15514" t="inlineStr">
        <is>
          <t>27BBBBB15514Z5</t>
        </is>
      </c>
      <c r="B15514" t="inlineStr">
        <is>
          <t>Jul-2020</t>
        </is>
      </c>
      <c r="C15514" s="2" t="n">
        <v>44639</v>
      </c>
      <c r="D15514" t="inlineStr">
        <is>
          <t>NIL</t>
        </is>
      </c>
      <c r="E15514" t="n">
        <v>1291</v>
      </c>
    </row>
    <row r="15515">
      <c r="A15515" t="inlineStr">
        <is>
          <t>27BBBBB15515Z5</t>
        </is>
      </c>
      <c r="B15515" t="inlineStr">
        <is>
          <t>Jul-2020</t>
        </is>
      </c>
      <c r="C15515" s="2" t="n">
        <v>43976</v>
      </c>
      <c r="D15515" t="inlineStr">
        <is>
          <t>NIL</t>
        </is>
      </c>
      <c r="E15515" t="n">
        <v>1100</v>
      </c>
    </row>
    <row r="15516">
      <c r="A15516" t="inlineStr">
        <is>
          <t>27BBBBB15516Z5</t>
        </is>
      </c>
      <c r="B15516" t="inlineStr">
        <is>
          <t>Dec-2018</t>
        </is>
      </c>
      <c r="C15516" s="2" t="n">
        <v>43275</v>
      </c>
      <c r="D15516" t="inlineStr">
        <is>
          <t>NIL</t>
        </is>
      </c>
      <c r="E15516" t="n">
        <v>303</v>
      </c>
    </row>
    <row r="15517">
      <c r="A15517" t="inlineStr">
        <is>
          <t>27BBBBB15517Z5</t>
        </is>
      </c>
      <c r="B15517" t="inlineStr">
        <is>
          <t>Jun-2020</t>
        </is>
      </c>
      <c r="C15517" s="2" t="n">
        <v>44765</v>
      </c>
      <c r="D15517" t="inlineStr">
        <is>
          <t>NON-NIL</t>
        </is>
      </c>
      <c r="E15517" t="n">
        <v>1424</v>
      </c>
    </row>
    <row r="15518">
      <c r="A15518" t="inlineStr">
        <is>
          <t>27BBBBB15518Z5</t>
        </is>
      </c>
      <c r="B15518" t="inlineStr">
        <is>
          <t>Apr-2018</t>
        </is>
      </c>
      <c r="C15518" s="2" t="n">
        <v>43803</v>
      </c>
      <c r="D15518" t="inlineStr">
        <is>
          <t>NON-NIL</t>
        </is>
      </c>
      <c r="E15518" t="n">
        <v>1651</v>
      </c>
    </row>
    <row r="15519">
      <c r="A15519" t="inlineStr">
        <is>
          <t>27BBBBB15519Z5</t>
        </is>
      </c>
      <c r="B15519" t="inlineStr">
        <is>
          <t>Dec-2017</t>
        </is>
      </c>
      <c r="C15519" s="2" t="n">
        <v>43786</v>
      </c>
      <c r="D15519" t="inlineStr">
        <is>
          <t>NON-NIL</t>
        </is>
      </c>
      <c r="E15519" t="n">
        <v>2196</v>
      </c>
    </row>
    <row r="15520">
      <c r="A15520" t="inlineStr">
        <is>
          <t>27BBBBB15520Z5</t>
        </is>
      </c>
      <c r="B15520" t="inlineStr">
        <is>
          <t>Mar-2020</t>
        </is>
      </c>
      <c r="C15520" s="2" t="n">
        <v>44813</v>
      </c>
      <c r="D15520" t="inlineStr">
        <is>
          <t>NIL</t>
        </is>
      </c>
      <c r="E15520" t="n">
        <v>2642</v>
      </c>
    </row>
    <row r="15521">
      <c r="A15521" t="inlineStr">
        <is>
          <t>27BBBBB15521Z5</t>
        </is>
      </c>
      <c r="B15521" t="inlineStr">
        <is>
          <t>Jul-2017</t>
        </is>
      </c>
      <c r="C15521" s="2" t="n">
        <v>43131</v>
      </c>
      <c r="D15521" t="inlineStr">
        <is>
          <t>NIL</t>
        </is>
      </c>
      <c r="E15521" t="n">
        <v>851</v>
      </c>
    </row>
    <row r="15522">
      <c r="A15522" t="inlineStr">
        <is>
          <t>27BBBBB15522Z5</t>
        </is>
      </c>
      <c r="B15522" t="inlineStr">
        <is>
          <t>Mar-2021</t>
        </is>
      </c>
      <c r="C15522" s="2" t="n">
        <v>43726</v>
      </c>
      <c r="D15522" t="inlineStr">
        <is>
          <t>NON-NIL</t>
        </is>
      </c>
      <c r="E15522" t="n">
        <v>2563</v>
      </c>
    </row>
    <row r="15523">
      <c r="A15523" t="inlineStr">
        <is>
          <t>27BBBBB15523Z5</t>
        </is>
      </c>
      <c r="B15523" t="inlineStr">
        <is>
          <t>Dec-2024</t>
        </is>
      </c>
      <c r="C15523" s="2" t="n">
        <v>45084</v>
      </c>
      <c r="D15523" t="inlineStr">
        <is>
          <t>NON-NIL</t>
        </is>
      </c>
      <c r="E15523" t="n">
        <v>661</v>
      </c>
    </row>
    <row r="15524">
      <c r="A15524" t="inlineStr">
        <is>
          <t>27BBBBB15524Z5</t>
        </is>
      </c>
      <c r="B15524" t="inlineStr">
        <is>
          <t>Jul-2018</t>
        </is>
      </c>
      <c r="C15524" s="2" t="n">
        <v>44088</v>
      </c>
      <c r="D15524" t="inlineStr">
        <is>
          <t>NON-NIL</t>
        </is>
      </c>
      <c r="E15524" t="n">
        <v>2436</v>
      </c>
    </row>
    <row r="15525">
      <c r="A15525" t="inlineStr">
        <is>
          <t>27BBBBB15525Z5</t>
        </is>
      </c>
      <c r="B15525" t="inlineStr">
        <is>
          <t>May-2018</t>
        </is>
      </c>
      <c r="C15525" s="2" t="n">
        <v>43650</v>
      </c>
      <c r="D15525" t="inlineStr">
        <is>
          <t>NIL</t>
        </is>
      </c>
      <c r="E15525" t="n">
        <v>2851</v>
      </c>
    </row>
    <row r="15526">
      <c r="A15526" t="inlineStr">
        <is>
          <t>27BBBBB15526Z5</t>
        </is>
      </c>
      <c r="B15526" t="inlineStr">
        <is>
          <t>Jul-2018</t>
        </is>
      </c>
      <c r="C15526" s="2" t="n">
        <v>44487</v>
      </c>
      <c r="D15526" t="inlineStr">
        <is>
          <t>NIL</t>
        </is>
      </c>
      <c r="E15526" t="n">
        <v>1677</v>
      </c>
    </row>
    <row r="15527">
      <c r="A15527" t="inlineStr">
        <is>
          <t>27BBBBB15527Z5</t>
        </is>
      </c>
      <c r="B15527" t="inlineStr">
        <is>
          <t>Mar-2018</t>
        </is>
      </c>
      <c r="C15527" s="2" t="n">
        <v>44089</v>
      </c>
      <c r="D15527" t="inlineStr">
        <is>
          <t>NON-NIL</t>
        </is>
      </c>
      <c r="E15527" t="n">
        <v>2655</v>
      </c>
    </row>
    <row r="15528">
      <c r="A15528" t="inlineStr">
        <is>
          <t>27BBBBB15528Z5</t>
        </is>
      </c>
      <c r="B15528" t="inlineStr">
        <is>
          <t>Nov-2017</t>
        </is>
      </c>
      <c r="C15528" s="2" t="n">
        <v>43162</v>
      </c>
      <c r="D15528" t="inlineStr">
        <is>
          <t>NON-NIL</t>
        </is>
      </c>
      <c r="E15528" t="n">
        <v>1761</v>
      </c>
    </row>
    <row r="15529">
      <c r="A15529" t="inlineStr">
        <is>
          <t>27BBBBB15529Z5</t>
        </is>
      </c>
      <c r="B15529" t="inlineStr">
        <is>
          <t>Jun-2018</t>
        </is>
      </c>
      <c r="C15529" s="2" t="n">
        <v>44407</v>
      </c>
      <c r="D15529" t="inlineStr">
        <is>
          <t>NON-NIL</t>
        </is>
      </c>
      <c r="E15529" t="n">
        <v>2692</v>
      </c>
    </row>
    <row r="15530">
      <c r="A15530" t="inlineStr">
        <is>
          <t>27BBBBB15530Z5</t>
        </is>
      </c>
      <c r="B15530" t="inlineStr">
        <is>
          <t>Jul-2017</t>
        </is>
      </c>
      <c r="C15530" s="2" t="n">
        <v>44360</v>
      </c>
      <c r="D15530" t="inlineStr">
        <is>
          <t>NIL</t>
        </is>
      </c>
      <c r="E15530" t="n">
        <v>2953</v>
      </c>
    </row>
    <row r="15531">
      <c r="A15531" t="inlineStr">
        <is>
          <t>27BBBBB15531Z5</t>
        </is>
      </c>
      <c r="B15531" t="inlineStr">
        <is>
          <t>Dec-2024</t>
        </is>
      </c>
      <c r="C15531" s="2" t="n">
        <v>44156</v>
      </c>
      <c r="D15531" t="inlineStr">
        <is>
          <t>NON-NIL</t>
        </is>
      </c>
      <c r="E15531" t="n">
        <v>495</v>
      </c>
    </row>
    <row r="15532">
      <c r="A15532" t="inlineStr">
        <is>
          <t>27BBBBB15532Z5</t>
        </is>
      </c>
      <c r="B15532" t="inlineStr">
        <is>
          <t>May-2020</t>
        </is>
      </c>
      <c r="C15532" s="2" t="n">
        <v>44000</v>
      </c>
      <c r="D15532" t="inlineStr">
        <is>
          <t>NIL</t>
        </is>
      </c>
      <c r="E15532" t="n">
        <v>933</v>
      </c>
    </row>
    <row r="15533">
      <c r="A15533" t="inlineStr">
        <is>
          <t>27BBBBB15533Z5</t>
        </is>
      </c>
      <c r="B15533" t="inlineStr">
        <is>
          <t>Apr-2020</t>
        </is>
      </c>
      <c r="C15533" s="2" t="n">
        <v>44896</v>
      </c>
      <c r="D15533" t="inlineStr">
        <is>
          <t>NON-NIL</t>
        </is>
      </c>
      <c r="E15533" t="n">
        <v>1951</v>
      </c>
    </row>
    <row r="15534">
      <c r="A15534" t="inlineStr">
        <is>
          <t>27BBBBB15534Z5</t>
        </is>
      </c>
      <c r="B15534" t="inlineStr">
        <is>
          <t>Dec-2017</t>
        </is>
      </c>
      <c r="C15534" s="2" t="n">
        <v>44460</v>
      </c>
      <c r="D15534" t="inlineStr">
        <is>
          <t>NON-NIL</t>
        </is>
      </c>
      <c r="E15534" t="n">
        <v>206</v>
      </c>
    </row>
    <row r="15535">
      <c r="A15535" t="inlineStr">
        <is>
          <t>27BBBBB15535Z5</t>
        </is>
      </c>
      <c r="B15535" t="inlineStr">
        <is>
          <t>Mar-2020</t>
        </is>
      </c>
      <c r="C15535" s="2" t="n">
        <v>44374</v>
      </c>
      <c r="D15535" t="inlineStr">
        <is>
          <t>NIL</t>
        </is>
      </c>
      <c r="E15535" t="n">
        <v>1556</v>
      </c>
    </row>
    <row r="15536">
      <c r="A15536" t="inlineStr">
        <is>
          <t>27BBBBB15536Z5</t>
        </is>
      </c>
      <c r="B15536" t="inlineStr">
        <is>
          <t>Dec-2018</t>
        </is>
      </c>
      <c r="C15536" s="2" t="n">
        <v>43548</v>
      </c>
      <c r="D15536" t="inlineStr">
        <is>
          <t>NIL</t>
        </is>
      </c>
      <c r="E15536" t="n">
        <v>1630</v>
      </c>
    </row>
    <row r="15537">
      <c r="A15537" t="inlineStr">
        <is>
          <t>27BBBBB15537Z5</t>
        </is>
      </c>
      <c r="B15537" t="inlineStr">
        <is>
          <t>Jun-2020</t>
        </is>
      </c>
      <c r="C15537" s="2" t="n">
        <v>43975</v>
      </c>
      <c r="D15537" t="inlineStr">
        <is>
          <t>NON-NIL</t>
        </is>
      </c>
      <c r="E15537" t="n">
        <v>1979</v>
      </c>
    </row>
    <row r="15538">
      <c r="A15538" t="inlineStr">
        <is>
          <t>27BBBBB15538Z5</t>
        </is>
      </c>
      <c r="B15538" t="inlineStr">
        <is>
          <t>Jun-2020</t>
        </is>
      </c>
      <c r="C15538" s="2" t="n">
        <v>44222</v>
      </c>
      <c r="D15538" t="inlineStr">
        <is>
          <t>NON-NIL</t>
        </is>
      </c>
      <c r="E15538" t="n">
        <v>973</v>
      </c>
    </row>
    <row r="15539">
      <c r="A15539" t="inlineStr">
        <is>
          <t>27BBBBB15539Z5</t>
        </is>
      </c>
      <c r="B15539" t="inlineStr">
        <is>
          <t>Jun-2018</t>
        </is>
      </c>
      <c r="C15539" s="2" t="n">
        <v>43762</v>
      </c>
      <c r="D15539" t="inlineStr">
        <is>
          <t>NIL</t>
        </is>
      </c>
      <c r="E15539" t="n">
        <v>2468</v>
      </c>
    </row>
    <row r="15540">
      <c r="A15540" t="inlineStr">
        <is>
          <t>27BBBBB15540Z5</t>
        </is>
      </c>
      <c r="B15540" t="inlineStr">
        <is>
          <t>Mar-2021</t>
        </is>
      </c>
      <c r="C15540" s="2" t="n">
        <v>43635</v>
      </c>
      <c r="D15540" t="inlineStr">
        <is>
          <t>NON-NIL</t>
        </is>
      </c>
      <c r="E15540" t="n">
        <v>586</v>
      </c>
    </row>
    <row r="15541">
      <c r="A15541" t="inlineStr">
        <is>
          <t>27BBBBB15541Z5</t>
        </is>
      </c>
      <c r="B15541" t="inlineStr">
        <is>
          <t>May-2020</t>
        </is>
      </c>
      <c r="C15541" s="2" t="n">
        <v>44218</v>
      </c>
      <c r="D15541" t="inlineStr">
        <is>
          <t>NON-NIL</t>
        </is>
      </c>
      <c r="E15541" t="n">
        <v>56</v>
      </c>
    </row>
    <row r="15542">
      <c r="A15542" t="inlineStr">
        <is>
          <t>27BBBBB15542Z5</t>
        </is>
      </c>
      <c r="B15542" t="inlineStr">
        <is>
          <t>Aug-2017</t>
        </is>
      </c>
      <c r="C15542" s="2" t="n">
        <v>43724</v>
      </c>
      <c r="D15542" t="inlineStr">
        <is>
          <t>NON-NIL</t>
        </is>
      </c>
      <c r="E15542" t="n">
        <v>460</v>
      </c>
    </row>
    <row r="15543">
      <c r="A15543" t="inlineStr">
        <is>
          <t>27BBBBB15543Z5</t>
        </is>
      </c>
      <c r="B15543" t="inlineStr">
        <is>
          <t>Oct-2017</t>
        </is>
      </c>
      <c r="C15543" s="2" t="n">
        <v>43793</v>
      </c>
      <c r="D15543" t="inlineStr">
        <is>
          <t>NIL</t>
        </is>
      </c>
      <c r="E15543" t="n">
        <v>2954</v>
      </c>
    </row>
    <row r="15544">
      <c r="A15544" t="inlineStr">
        <is>
          <t>27BBBBB15544Z5</t>
        </is>
      </c>
      <c r="B15544" t="inlineStr">
        <is>
          <t>Feb-2018</t>
        </is>
      </c>
      <c r="C15544" s="2" t="n">
        <v>43110</v>
      </c>
      <c r="D15544" t="inlineStr">
        <is>
          <t>NON-NIL</t>
        </is>
      </c>
      <c r="E15544" t="n">
        <v>361</v>
      </c>
    </row>
    <row r="15545">
      <c r="A15545" t="inlineStr">
        <is>
          <t>27BBBBB15545Z5</t>
        </is>
      </c>
      <c r="B15545" t="inlineStr">
        <is>
          <t>Mar-2023</t>
        </is>
      </c>
      <c r="C15545" s="2" t="n">
        <v>44432</v>
      </c>
      <c r="D15545" t="inlineStr">
        <is>
          <t>NON-NIL</t>
        </is>
      </c>
      <c r="E15545" t="n">
        <v>1506</v>
      </c>
    </row>
    <row r="15546">
      <c r="A15546" t="inlineStr">
        <is>
          <t>27BBBBB15546Z5</t>
        </is>
      </c>
      <c r="B15546" t="inlineStr">
        <is>
          <t>Mar-2021</t>
        </is>
      </c>
      <c r="C15546" s="2" t="n">
        <v>44069</v>
      </c>
      <c r="D15546" t="inlineStr">
        <is>
          <t>NON-NIL</t>
        </is>
      </c>
      <c r="E15546" t="n">
        <v>503</v>
      </c>
    </row>
    <row r="15547">
      <c r="A15547" t="inlineStr">
        <is>
          <t>27BBBBB15547Z5</t>
        </is>
      </c>
      <c r="B15547" t="inlineStr">
        <is>
          <t>May-2020</t>
        </is>
      </c>
      <c r="C15547" s="2" t="n">
        <v>44148</v>
      </c>
      <c r="D15547" t="inlineStr">
        <is>
          <t>NON-NIL</t>
        </is>
      </c>
      <c r="E15547" t="n">
        <v>1076</v>
      </c>
    </row>
    <row r="15548">
      <c r="A15548" t="inlineStr">
        <is>
          <t>27BBBBB15548Z5</t>
        </is>
      </c>
      <c r="B15548" t="inlineStr">
        <is>
          <t>Aug-2017</t>
        </is>
      </c>
      <c r="C15548" s="2" t="n">
        <v>43457</v>
      </c>
      <c r="D15548" t="inlineStr">
        <is>
          <t>NIL</t>
        </is>
      </c>
      <c r="E15548" t="n">
        <v>1799</v>
      </c>
    </row>
    <row r="15549">
      <c r="A15549" t="inlineStr">
        <is>
          <t>27BBBBB15549Z5</t>
        </is>
      </c>
      <c r="B15549" t="inlineStr">
        <is>
          <t>Mar-2020</t>
        </is>
      </c>
      <c r="C15549" s="2" t="n">
        <v>44174</v>
      </c>
      <c r="D15549" t="inlineStr">
        <is>
          <t>NIL</t>
        </is>
      </c>
      <c r="E15549" t="n">
        <v>2588</v>
      </c>
    </row>
    <row r="15550">
      <c r="A15550" t="inlineStr">
        <is>
          <t>27BBBBB15550Z5</t>
        </is>
      </c>
      <c r="B15550" t="inlineStr">
        <is>
          <t>Aug-2018</t>
        </is>
      </c>
      <c r="C15550" s="2" t="n">
        <v>43309</v>
      </c>
      <c r="D15550" t="inlineStr">
        <is>
          <t>NIL</t>
        </is>
      </c>
      <c r="E15550" t="n">
        <v>390</v>
      </c>
    </row>
    <row r="15551">
      <c r="A15551" t="inlineStr">
        <is>
          <t>27BBBBB15551Z5</t>
        </is>
      </c>
      <c r="B15551" t="inlineStr">
        <is>
          <t>May-2018</t>
        </is>
      </c>
      <c r="C15551" s="2" t="n">
        <v>44276</v>
      </c>
      <c r="D15551" t="inlineStr">
        <is>
          <t>NIL</t>
        </is>
      </c>
      <c r="E15551" t="n">
        <v>1682</v>
      </c>
    </row>
    <row r="15552">
      <c r="A15552" t="inlineStr">
        <is>
          <t>27BBBBB15552Z5</t>
        </is>
      </c>
      <c r="B15552" t="inlineStr">
        <is>
          <t>May-2020</t>
        </is>
      </c>
      <c r="C15552" s="2" t="n">
        <v>44819</v>
      </c>
      <c r="D15552" t="inlineStr">
        <is>
          <t>NIL</t>
        </is>
      </c>
      <c r="E15552" t="n">
        <v>1711</v>
      </c>
    </row>
    <row r="15553">
      <c r="A15553" t="inlineStr">
        <is>
          <t>27BBBBB15553Z5</t>
        </is>
      </c>
      <c r="B15553" t="inlineStr">
        <is>
          <t>Mar-2018</t>
        </is>
      </c>
      <c r="C15553" s="2" t="n">
        <v>43263</v>
      </c>
      <c r="D15553" t="inlineStr">
        <is>
          <t>NIL</t>
        </is>
      </c>
      <c r="E15553" t="n">
        <v>2789</v>
      </c>
    </row>
    <row r="15554">
      <c r="A15554" t="inlineStr">
        <is>
          <t>27BBBBB15554Z5</t>
        </is>
      </c>
      <c r="B15554" t="inlineStr">
        <is>
          <t>Sep-2018</t>
        </is>
      </c>
      <c r="C15554" s="2" t="n">
        <v>43084</v>
      </c>
      <c r="D15554" t="inlineStr">
        <is>
          <t>NIL</t>
        </is>
      </c>
      <c r="E15554" t="n">
        <v>304</v>
      </c>
    </row>
    <row r="15555">
      <c r="A15555" t="inlineStr">
        <is>
          <t>27BBBBB15555Z5</t>
        </is>
      </c>
      <c r="B15555" t="inlineStr">
        <is>
          <t>Oct-2017</t>
        </is>
      </c>
      <c r="C15555" s="2" t="n">
        <v>43318</v>
      </c>
      <c r="D15555" t="inlineStr">
        <is>
          <t>NON-NIL</t>
        </is>
      </c>
      <c r="E15555" t="n">
        <v>485</v>
      </c>
    </row>
    <row r="15556">
      <c r="A15556" t="inlineStr">
        <is>
          <t>27BBBBB15556Z5</t>
        </is>
      </c>
      <c r="B15556" t="inlineStr">
        <is>
          <t>Mar-2021</t>
        </is>
      </c>
      <c r="C15556" s="2" t="n">
        <v>44120</v>
      </c>
      <c r="D15556" t="inlineStr">
        <is>
          <t>NON-NIL</t>
        </is>
      </c>
      <c r="E15556" t="n">
        <v>104</v>
      </c>
    </row>
    <row r="15557">
      <c r="A15557" t="inlineStr">
        <is>
          <t>27BBBBB15557Z5</t>
        </is>
      </c>
      <c r="B15557" t="inlineStr">
        <is>
          <t>Nov-2018</t>
        </is>
      </c>
      <c r="C15557" s="2" t="n">
        <v>43395</v>
      </c>
      <c r="D15557" t="inlineStr">
        <is>
          <t>NON-NIL</t>
        </is>
      </c>
      <c r="E15557" t="n">
        <v>2949</v>
      </c>
    </row>
    <row r="15558">
      <c r="A15558" t="inlineStr">
        <is>
          <t>27BBBBB15558Z5</t>
        </is>
      </c>
      <c r="B15558" t="inlineStr">
        <is>
          <t>Oct-2017</t>
        </is>
      </c>
      <c r="C15558" s="2" t="n">
        <v>44388</v>
      </c>
      <c r="D15558" t="inlineStr">
        <is>
          <t>NON-NIL</t>
        </is>
      </c>
      <c r="E15558" t="n">
        <v>804</v>
      </c>
    </row>
    <row r="15559">
      <c r="A15559" t="inlineStr">
        <is>
          <t>27BBBBB15559Z5</t>
        </is>
      </c>
      <c r="B15559" t="inlineStr">
        <is>
          <t>Mar-2021</t>
        </is>
      </c>
      <c r="C15559" s="2" t="n">
        <v>44698</v>
      </c>
      <c r="D15559" t="inlineStr">
        <is>
          <t>NON-NIL</t>
        </is>
      </c>
      <c r="E15559" t="n">
        <v>391</v>
      </c>
    </row>
    <row r="15560">
      <c r="A15560" t="inlineStr">
        <is>
          <t>27BBBBB15560Z5</t>
        </is>
      </c>
      <c r="B15560" t="inlineStr">
        <is>
          <t>Jan-2018</t>
        </is>
      </c>
      <c r="C15560" s="2" t="n">
        <v>43548</v>
      </c>
      <c r="D15560" t="inlineStr">
        <is>
          <t>NIL</t>
        </is>
      </c>
      <c r="E15560" t="n">
        <v>2822</v>
      </c>
    </row>
    <row r="15561">
      <c r="A15561" t="inlineStr">
        <is>
          <t>27BBBBB15561Z5</t>
        </is>
      </c>
      <c r="B15561" t="inlineStr">
        <is>
          <t>Dec-2018</t>
        </is>
      </c>
      <c r="C15561" s="2" t="n">
        <v>44505</v>
      </c>
      <c r="D15561" t="inlineStr">
        <is>
          <t>NIL</t>
        </is>
      </c>
      <c r="E15561" t="n">
        <v>2324</v>
      </c>
    </row>
    <row r="15562">
      <c r="A15562" t="inlineStr">
        <is>
          <t>27BBBBB15562Z5</t>
        </is>
      </c>
      <c r="B15562" t="inlineStr">
        <is>
          <t>Sep-2018</t>
        </is>
      </c>
      <c r="C15562" s="2" t="n">
        <v>43644</v>
      </c>
      <c r="D15562" t="inlineStr">
        <is>
          <t>NON-NIL</t>
        </is>
      </c>
      <c r="E15562" t="n">
        <v>2585</v>
      </c>
    </row>
    <row r="15563">
      <c r="A15563" t="inlineStr">
        <is>
          <t>27BBBBB15563Z5</t>
        </is>
      </c>
      <c r="B15563" t="inlineStr">
        <is>
          <t>Sep-2017</t>
        </is>
      </c>
      <c r="C15563" s="2" t="n">
        <v>43348</v>
      </c>
      <c r="D15563" t="inlineStr">
        <is>
          <t>NON-NIL</t>
        </is>
      </c>
      <c r="E15563" t="n">
        <v>2559</v>
      </c>
    </row>
    <row r="15564">
      <c r="A15564" t="inlineStr">
        <is>
          <t>27BBBBB15564Z5</t>
        </is>
      </c>
      <c r="B15564" t="inlineStr">
        <is>
          <t>Mar-2021</t>
        </is>
      </c>
      <c r="C15564" s="2" t="n">
        <v>44998</v>
      </c>
      <c r="D15564" t="inlineStr">
        <is>
          <t>NON-NIL</t>
        </is>
      </c>
      <c r="E15564" t="n">
        <v>579</v>
      </c>
    </row>
    <row r="15565">
      <c r="A15565" t="inlineStr">
        <is>
          <t>27BBBBB15565Z5</t>
        </is>
      </c>
      <c r="B15565" t="inlineStr">
        <is>
          <t>Nov-2017</t>
        </is>
      </c>
      <c r="C15565" s="2" t="n">
        <v>44457</v>
      </c>
      <c r="D15565" t="inlineStr">
        <is>
          <t>NON-NIL</t>
        </is>
      </c>
      <c r="E15565" t="n">
        <v>2038</v>
      </c>
    </row>
    <row r="15566">
      <c r="A15566" t="inlineStr">
        <is>
          <t>27BBBBB15566Z5</t>
        </is>
      </c>
      <c r="B15566" t="inlineStr">
        <is>
          <t>Aug-2018</t>
        </is>
      </c>
      <c r="C15566" s="2" t="n">
        <v>44348</v>
      </c>
      <c r="D15566" t="inlineStr">
        <is>
          <t>NON-NIL</t>
        </is>
      </c>
      <c r="E15566" t="n">
        <v>21</v>
      </c>
    </row>
    <row r="15567">
      <c r="A15567" t="inlineStr">
        <is>
          <t>27BBBBB15567Z5</t>
        </is>
      </c>
      <c r="B15567" t="inlineStr">
        <is>
          <t>Mar-2021</t>
        </is>
      </c>
      <c r="C15567" s="2" t="n">
        <v>43633</v>
      </c>
      <c r="D15567" t="inlineStr">
        <is>
          <t>NON-NIL</t>
        </is>
      </c>
      <c r="E15567" t="n">
        <v>1138</v>
      </c>
    </row>
    <row r="15568">
      <c r="A15568" t="inlineStr">
        <is>
          <t>27BBBBB15568Z5</t>
        </is>
      </c>
      <c r="B15568" t="inlineStr">
        <is>
          <t>Mar-2018</t>
        </is>
      </c>
      <c r="C15568" s="2" t="n">
        <v>44164</v>
      </c>
      <c r="D15568" t="inlineStr">
        <is>
          <t>NIL</t>
        </is>
      </c>
      <c r="E15568" t="n">
        <v>1168</v>
      </c>
    </row>
    <row r="15569">
      <c r="A15569" t="inlineStr">
        <is>
          <t>27BBBBB15569Z5</t>
        </is>
      </c>
      <c r="B15569" t="inlineStr">
        <is>
          <t>Dec-2017</t>
        </is>
      </c>
      <c r="C15569" s="2" t="n">
        <v>43296</v>
      </c>
      <c r="D15569" t="inlineStr">
        <is>
          <t>NIL</t>
        </is>
      </c>
      <c r="E15569" t="n">
        <v>2570</v>
      </c>
    </row>
    <row r="15570">
      <c r="A15570" t="inlineStr">
        <is>
          <t>27BBBBB15570Z5</t>
        </is>
      </c>
      <c r="B15570" t="inlineStr">
        <is>
          <t>Mar-2018</t>
        </is>
      </c>
      <c r="C15570" s="2" t="n">
        <v>43862</v>
      </c>
      <c r="D15570" t="inlineStr">
        <is>
          <t>NIL</t>
        </is>
      </c>
      <c r="E15570" t="n">
        <v>2385</v>
      </c>
    </row>
    <row r="15571">
      <c r="A15571" t="inlineStr">
        <is>
          <t>27BBBBB15571Z5</t>
        </is>
      </c>
      <c r="B15571" t="inlineStr">
        <is>
          <t>Jul-2020</t>
        </is>
      </c>
      <c r="C15571" s="2" t="n">
        <v>43944</v>
      </c>
      <c r="D15571" t="inlineStr">
        <is>
          <t>NON-NIL</t>
        </is>
      </c>
      <c r="E15571" t="n">
        <v>1893</v>
      </c>
    </row>
    <row r="15572">
      <c r="A15572" t="inlineStr">
        <is>
          <t>27BBBBB15572Z5</t>
        </is>
      </c>
      <c r="B15572" t="inlineStr">
        <is>
          <t>Mar-2023</t>
        </is>
      </c>
      <c r="C15572" s="2" t="n">
        <v>44502</v>
      </c>
      <c r="D15572" t="inlineStr">
        <is>
          <t>NIL</t>
        </is>
      </c>
      <c r="E15572" t="n">
        <v>1826</v>
      </c>
    </row>
    <row r="15573">
      <c r="A15573" t="inlineStr">
        <is>
          <t>27BBBBB15573Z5</t>
        </is>
      </c>
      <c r="B15573" t="inlineStr">
        <is>
          <t>Apr-2020</t>
        </is>
      </c>
      <c r="C15573" s="2" t="n">
        <v>44256</v>
      </c>
      <c r="D15573" t="inlineStr">
        <is>
          <t>NIL</t>
        </is>
      </c>
      <c r="E15573" t="n">
        <v>348</v>
      </c>
    </row>
    <row r="15574">
      <c r="A15574" t="inlineStr">
        <is>
          <t>27BBBBB15574Z5</t>
        </is>
      </c>
      <c r="B15574" t="inlineStr">
        <is>
          <t>May-2020</t>
        </is>
      </c>
      <c r="C15574" s="2" t="n">
        <v>44539</v>
      </c>
      <c r="D15574" t="inlineStr">
        <is>
          <t>NON-NIL</t>
        </is>
      </c>
      <c r="E15574" t="n">
        <v>1232</v>
      </c>
    </row>
    <row r="15575">
      <c r="A15575" t="inlineStr">
        <is>
          <t>27BBBBB15575Z5</t>
        </is>
      </c>
      <c r="B15575" t="inlineStr">
        <is>
          <t>Aug-2017</t>
        </is>
      </c>
      <c r="C15575" s="2" t="n">
        <v>44128</v>
      </c>
      <c r="D15575" t="inlineStr">
        <is>
          <t>NON-NIL</t>
        </is>
      </c>
      <c r="E15575" t="n">
        <v>1058</v>
      </c>
    </row>
    <row r="15576">
      <c r="A15576" t="inlineStr">
        <is>
          <t>27BBBBB15576Z5</t>
        </is>
      </c>
      <c r="B15576" t="inlineStr">
        <is>
          <t>Mar-2021</t>
        </is>
      </c>
      <c r="C15576" s="2" t="n">
        <v>43927</v>
      </c>
      <c r="D15576" t="inlineStr">
        <is>
          <t>NIL</t>
        </is>
      </c>
      <c r="E15576" t="n">
        <v>1668</v>
      </c>
    </row>
    <row r="15577">
      <c r="A15577" t="inlineStr">
        <is>
          <t>27BBBBB15577Z5</t>
        </is>
      </c>
      <c r="B15577" t="inlineStr">
        <is>
          <t>Oct-2017</t>
        </is>
      </c>
      <c r="C15577" s="2" t="n">
        <v>44160</v>
      </c>
      <c r="D15577" t="inlineStr">
        <is>
          <t>NIL</t>
        </is>
      </c>
      <c r="E15577" t="n">
        <v>1379</v>
      </c>
    </row>
    <row r="15578">
      <c r="A15578" t="inlineStr">
        <is>
          <t>27BBBBB15578Z5</t>
        </is>
      </c>
      <c r="B15578" t="inlineStr">
        <is>
          <t>Nov-2017</t>
        </is>
      </c>
      <c r="C15578" s="2" t="n">
        <v>43751</v>
      </c>
      <c r="D15578" t="inlineStr">
        <is>
          <t>NIL</t>
        </is>
      </c>
      <c r="E15578" t="n">
        <v>1174</v>
      </c>
    </row>
    <row r="15579">
      <c r="A15579" t="inlineStr">
        <is>
          <t>27BBBBB15579Z5</t>
        </is>
      </c>
      <c r="B15579" t="inlineStr">
        <is>
          <t>Dec-2018</t>
        </is>
      </c>
      <c r="C15579" s="2" t="n">
        <v>43973</v>
      </c>
      <c r="D15579" t="inlineStr">
        <is>
          <t>NON-NIL</t>
        </is>
      </c>
      <c r="E15579" t="n">
        <v>311</v>
      </c>
    </row>
    <row r="15580">
      <c r="A15580" t="inlineStr">
        <is>
          <t>27BBBBB15580Z5</t>
        </is>
      </c>
      <c r="B15580" t="inlineStr">
        <is>
          <t>Jul-2017</t>
        </is>
      </c>
      <c r="C15580" s="2" t="n">
        <v>43760</v>
      </c>
      <c r="D15580" t="inlineStr">
        <is>
          <t>NON-NIL</t>
        </is>
      </c>
      <c r="E15580" t="n">
        <v>2906</v>
      </c>
    </row>
    <row r="15581">
      <c r="A15581" t="inlineStr">
        <is>
          <t>27BBBBB15581Z5</t>
        </is>
      </c>
      <c r="B15581" t="inlineStr">
        <is>
          <t>Mar-2023</t>
        </is>
      </c>
      <c r="C15581" s="2" t="n">
        <v>45064</v>
      </c>
      <c r="D15581" t="inlineStr">
        <is>
          <t>NIL</t>
        </is>
      </c>
      <c r="E15581" t="n">
        <v>1329</v>
      </c>
    </row>
    <row r="15582">
      <c r="A15582" t="inlineStr">
        <is>
          <t>27BBBBB15582Z5</t>
        </is>
      </c>
      <c r="B15582" t="inlineStr">
        <is>
          <t>Mar-2023</t>
        </is>
      </c>
      <c r="C15582" s="2" t="n">
        <v>43780</v>
      </c>
      <c r="D15582" t="inlineStr">
        <is>
          <t>NON-NIL</t>
        </is>
      </c>
      <c r="E15582" t="n">
        <v>1617</v>
      </c>
    </row>
    <row r="15583">
      <c r="A15583" t="inlineStr">
        <is>
          <t>27BBBBB15583Z5</t>
        </is>
      </c>
      <c r="B15583" t="inlineStr">
        <is>
          <t>Jun-2018</t>
        </is>
      </c>
      <c r="C15583" s="2" t="n">
        <v>44481</v>
      </c>
      <c r="D15583" t="inlineStr">
        <is>
          <t>NIL</t>
        </is>
      </c>
      <c r="E15583" t="n">
        <v>2789</v>
      </c>
    </row>
    <row r="15584">
      <c r="A15584" t="inlineStr">
        <is>
          <t>27BBBBB15584Z5</t>
        </is>
      </c>
      <c r="B15584" t="inlineStr">
        <is>
          <t>Jul-2018</t>
        </is>
      </c>
      <c r="C15584" s="2" t="n">
        <v>44560</v>
      </c>
      <c r="D15584" t="inlineStr">
        <is>
          <t>NON-NIL</t>
        </is>
      </c>
      <c r="E15584" t="n">
        <v>973</v>
      </c>
    </row>
    <row r="15585">
      <c r="A15585" t="inlineStr">
        <is>
          <t>27BBBBB15585Z5</t>
        </is>
      </c>
      <c r="B15585" t="inlineStr">
        <is>
          <t>Sep-2017</t>
        </is>
      </c>
      <c r="C15585" s="2" t="n">
        <v>43813</v>
      </c>
      <c r="D15585" t="inlineStr">
        <is>
          <t>NON-NIL</t>
        </is>
      </c>
      <c r="E15585" t="n">
        <v>1906</v>
      </c>
    </row>
    <row r="15586">
      <c r="A15586" t="inlineStr">
        <is>
          <t>27BBBBB15586Z5</t>
        </is>
      </c>
      <c r="B15586" t="inlineStr">
        <is>
          <t>Jul-2020</t>
        </is>
      </c>
      <c r="C15586" s="2" t="n">
        <v>44081</v>
      </c>
      <c r="D15586" t="inlineStr">
        <is>
          <t>NIL</t>
        </is>
      </c>
      <c r="E15586" t="n">
        <v>953</v>
      </c>
    </row>
    <row r="15587">
      <c r="A15587" t="inlineStr">
        <is>
          <t>27BBBBB15587Z5</t>
        </is>
      </c>
      <c r="B15587" t="inlineStr">
        <is>
          <t>Jul-2017</t>
        </is>
      </c>
      <c r="C15587" s="2" t="n">
        <v>44443</v>
      </c>
      <c r="D15587" t="inlineStr">
        <is>
          <t>NON-NIL</t>
        </is>
      </c>
      <c r="E15587" t="n">
        <v>504</v>
      </c>
    </row>
    <row r="15588">
      <c r="A15588" t="inlineStr">
        <is>
          <t>27BBBBB15588Z5</t>
        </is>
      </c>
      <c r="B15588" t="inlineStr">
        <is>
          <t>Dec-2017</t>
        </is>
      </c>
      <c r="C15588" s="2" t="n">
        <v>43101</v>
      </c>
      <c r="D15588" t="inlineStr">
        <is>
          <t>NIL</t>
        </is>
      </c>
      <c r="E15588" t="n">
        <v>1681</v>
      </c>
    </row>
    <row r="15589">
      <c r="A15589" t="inlineStr">
        <is>
          <t>27BBBBB15589Z5</t>
        </is>
      </c>
      <c r="B15589" t="inlineStr">
        <is>
          <t>Nov-2018</t>
        </is>
      </c>
      <c r="C15589" s="2" t="n">
        <v>43406</v>
      </c>
      <c r="D15589" t="inlineStr">
        <is>
          <t>NON-NIL</t>
        </is>
      </c>
      <c r="E15589" t="n">
        <v>657</v>
      </c>
    </row>
    <row r="15590">
      <c r="A15590" t="inlineStr">
        <is>
          <t>27BBBBB15590Z5</t>
        </is>
      </c>
      <c r="B15590" t="inlineStr">
        <is>
          <t>Jan-2018</t>
        </is>
      </c>
      <c r="C15590" s="2" t="n">
        <v>44344</v>
      </c>
      <c r="D15590" t="inlineStr">
        <is>
          <t>NIL</t>
        </is>
      </c>
      <c r="E15590" t="n">
        <v>2356</v>
      </c>
    </row>
    <row r="15591">
      <c r="A15591" t="inlineStr">
        <is>
          <t>27BBBBB15591Z5</t>
        </is>
      </c>
      <c r="B15591" t="inlineStr">
        <is>
          <t>Mar-2021</t>
        </is>
      </c>
      <c r="C15591" s="2" t="n">
        <v>45251</v>
      </c>
      <c r="D15591" t="inlineStr">
        <is>
          <t>NON-NIL</t>
        </is>
      </c>
      <c r="E15591" t="n">
        <v>2782</v>
      </c>
    </row>
    <row r="15592">
      <c r="A15592" t="inlineStr">
        <is>
          <t>27BBBBB15592Z5</t>
        </is>
      </c>
      <c r="B15592" t="inlineStr">
        <is>
          <t>Aug-2017</t>
        </is>
      </c>
      <c r="C15592" s="2" t="n">
        <v>43011</v>
      </c>
      <c r="D15592" t="inlineStr">
        <is>
          <t>NON-NIL</t>
        </is>
      </c>
      <c r="E15592" t="n">
        <v>2747</v>
      </c>
    </row>
    <row r="15593">
      <c r="A15593" t="inlineStr">
        <is>
          <t>27BBBBB15593Z5</t>
        </is>
      </c>
      <c r="B15593" t="inlineStr">
        <is>
          <t>Nov-2018</t>
        </is>
      </c>
      <c r="C15593" s="2" t="n">
        <v>43911</v>
      </c>
      <c r="D15593" t="inlineStr">
        <is>
          <t>NON-NIL</t>
        </is>
      </c>
      <c r="E15593" t="n">
        <v>2397</v>
      </c>
    </row>
    <row r="15594">
      <c r="A15594" t="inlineStr">
        <is>
          <t>27BBBBB15594Z5</t>
        </is>
      </c>
      <c r="B15594" t="inlineStr">
        <is>
          <t>May-2020</t>
        </is>
      </c>
      <c r="C15594" s="2" t="n">
        <v>44460</v>
      </c>
      <c r="D15594" t="inlineStr">
        <is>
          <t>NON-NIL</t>
        </is>
      </c>
      <c r="E15594" t="n">
        <v>993</v>
      </c>
    </row>
    <row r="15595">
      <c r="A15595" t="inlineStr">
        <is>
          <t>27BBBBB15595Z5</t>
        </is>
      </c>
      <c r="B15595" t="inlineStr">
        <is>
          <t>Oct-2017</t>
        </is>
      </c>
      <c r="C15595" s="2" t="n">
        <v>43135</v>
      </c>
      <c r="D15595" t="inlineStr">
        <is>
          <t>NIL</t>
        </is>
      </c>
      <c r="E15595" t="n">
        <v>633</v>
      </c>
    </row>
    <row r="15596">
      <c r="A15596" t="inlineStr">
        <is>
          <t>27BBBBB15596Z5</t>
        </is>
      </c>
      <c r="B15596" t="inlineStr">
        <is>
          <t>Dec-2022</t>
        </is>
      </c>
      <c r="C15596" s="2" t="n">
        <v>43487</v>
      </c>
      <c r="D15596" t="inlineStr">
        <is>
          <t>NIL</t>
        </is>
      </c>
      <c r="E15596" t="n">
        <v>1646</v>
      </c>
    </row>
    <row r="15597">
      <c r="A15597" t="inlineStr">
        <is>
          <t>27BBBBB15597Z5</t>
        </is>
      </c>
      <c r="B15597" t="inlineStr">
        <is>
          <t>Jul-2018</t>
        </is>
      </c>
      <c r="C15597" s="2" t="n">
        <v>43945</v>
      </c>
      <c r="D15597" t="inlineStr">
        <is>
          <t>NON-NIL</t>
        </is>
      </c>
      <c r="E15597" t="n">
        <v>24</v>
      </c>
    </row>
    <row r="15598">
      <c r="A15598" t="inlineStr">
        <is>
          <t>27BBBBB15598Z5</t>
        </is>
      </c>
      <c r="B15598" t="inlineStr">
        <is>
          <t>Dec-2022</t>
        </is>
      </c>
      <c r="C15598" s="2" t="n">
        <v>45434</v>
      </c>
      <c r="D15598" t="inlineStr">
        <is>
          <t>NON-NIL</t>
        </is>
      </c>
      <c r="E15598" t="n">
        <v>500</v>
      </c>
    </row>
    <row r="15599">
      <c r="A15599" t="inlineStr">
        <is>
          <t>27BBBBB15599Z5</t>
        </is>
      </c>
      <c r="B15599" t="inlineStr">
        <is>
          <t>Apr-2020</t>
        </is>
      </c>
      <c r="C15599" s="2" t="n">
        <v>44320</v>
      </c>
      <c r="D15599" t="inlineStr">
        <is>
          <t>NON-NIL</t>
        </is>
      </c>
      <c r="E15599" t="n">
        <v>1850</v>
      </c>
    </row>
    <row r="15600">
      <c r="A15600" t="inlineStr">
        <is>
          <t>27BBBBB15600Z5</t>
        </is>
      </c>
      <c r="B15600" t="inlineStr">
        <is>
          <t>Mar-2021</t>
        </is>
      </c>
      <c r="C15600" s="2" t="n">
        <v>44468</v>
      </c>
      <c r="D15600" t="inlineStr">
        <is>
          <t>NIL</t>
        </is>
      </c>
      <c r="E15600" t="n">
        <v>2174</v>
      </c>
    </row>
    <row r="15601">
      <c r="A15601" t="inlineStr">
        <is>
          <t>27BBBBB15601Z5</t>
        </is>
      </c>
      <c r="B15601" t="inlineStr">
        <is>
          <t>Oct-2018</t>
        </is>
      </c>
      <c r="C15601" s="2" t="n">
        <v>44069</v>
      </c>
      <c r="D15601" t="inlineStr">
        <is>
          <t>NON-NIL</t>
        </is>
      </c>
      <c r="E15601" t="n">
        <v>2202</v>
      </c>
    </row>
    <row r="15602">
      <c r="A15602" t="inlineStr">
        <is>
          <t>27BBBBB15602Z5</t>
        </is>
      </c>
      <c r="B15602" t="inlineStr">
        <is>
          <t>Mar-2023</t>
        </is>
      </c>
      <c r="C15602" s="2" t="n">
        <v>43747</v>
      </c>
      <c r="D15602" t="inlineStr">
        <is>
          <t>NIL</t>
        </is>
      </c>
      <c r="E15602" t="n">
        <v>430</v>
      </c>
    </row>
    <row r="15603">
      <c r="A15603" t="inlineStr">
        <is>
          <t>27BBBBB15603Z5</t>
        </is>
      </c>
      <c r="B15603" t="inlineStr">
        <is>
          <t>Mar-2023</t>
        </is>
      </c>
      <c r="C15603" s="2" t="n">
        <v>44351</v>
      </c>
      <c r="D15603" t="inlineStr">
        <is>
          <t>NIL</t>
        </is>
      </c>
      <c r="E15603" t="n">
        <v>1796</v>
      </c>
    </row>
    <row r="15604">
      <c r="A15604" t="inlineStr">
        <is>
          <t>27BBBBB15604Z5</t>
        </is>
      </c>
      <c r="B15604" t="inlineStr">
        <is>
          <t>Mar-2023</t>
        </is>
      </c>
      <c r="C15604" s="2" t="n">
        <v>45730</v>
      </c>
      <c r="D15604" t="inlineStr">
        <is>
          <t>NON-NIL</t>
        </is>
      </c>
      <c r="E15604" t="n">
        <v>2571</v>
      </c>
    </row>
    <row r="15605">
      <c r="A15605" t="inlineStr">
        <is>
          <t>27BBBBB15605Z5</t>
        </is>
      </c>
      <c r="B15605" t="inlineStr">
        <is>
          <t>Dec-2018</t>
        </is>
      </c>
      <c r="C15605" s="2" t="n">
        <v>44296</v>
      </c>
      <c r="D15605" t="inlineStr">
        <is>
          <t>NIL</t>
        </is>
      </c>
      <c r="E15605" t="n">
        <v>305</v>
      </c>
    </row>
    <row r="15606">
      <c r="A15606" t="inlineStr">
        <is>
          <t>27BBBBB15606Z5</t>
        </is>
      </c>
      <c r="B15606" t="inlineStr">
        <is>
          <t>Aug-2017</t>
        </is>
      </c>
      <c r="C15606" s="2" t="n">
        <v>43785</v>
      </c>
      <c r="D15606" t="inlineStr">
        <is>
          <t>NIL</t>
        </is>
      </c>
      <c r="E15606" t="n">
        <v>1669</v>
      </c>
    </row>
    <row r="15607">
      <c r="A15607" t="inlineStr">
        <is>
          <t>27BBBBB15607Z5</t>
        </is>
      </c>
      <c r="B15607" t="inlineStr">
        <is>
          <t>Sep-2017</t>
        </is>
      </c>
      <c r="C15607" s="2" t="n">
        <v>43179</v>
      </c>
      <c r="D15607" t="inlineStr">
        <is>
          <t>NON-NIL</t>
        </is>
      </c>
      <c r="E15607" t="n">
        <v>603</v>
      </c>
    </row>
    <row r="15608">
      <c r="A15608" t="inlineStr">
        <is>
          <t>27BBBBB15608Z5</t>
        </is>
      </c>
      <c r="B15608" t="inlineStr">
        <is>
          <t>Apr-2018</t>
        </is>
      </c>
      <c r="C15608" s="2" t="n">
        <v>42958</v>
      </c>
      <c r="D15608" t="inlineStr">
        <is>
          <t>NIL</t>
        </is>
      </c>
      <c r="E15608" t="n">
        <v>2790</v>
      </c>
    </row>
    <row r="15609">
      <c r="A15609" t="inlineStr">
        <is>
          <t>27BBBBB15609Z5</t>
        </is>
      </c>
      <c r="B15609" t="inlineStr">
        <is>
          <t>Jul-2018</t>
        </is>
      </c>
      <c r="C15609" s="2" t="n">
        <v>42977</v>
      </c>
      <c r="D15609" t="inlineStr">
        <is>
          <t>NIL</t>
        </is>
      </c>
      <c r="E15609" t="n">
        <v>2761</v>
      </c>
    </row>
    <row r="15610">
      <c r="A15610" t="inlineStr">
        <is>
          <t>27BBBBB15610Z5</t>
        </is>
      </c>
      <c r="B15610" t="inlineStr">
        <is>
          <t>Jul-2018</t>
        </is>
      </c>
      <c r="C15610" s="2" t="n">
        <v>44293</v>
      </c>
      <c r="D15610" t="inlineStr">
        <is>
          <t>NIL</t>
        </is>
      </c>
      <c r="E15610" t="n">
        <v>1205</v>
      </c>
    </row>
    <row r="15611">
      <c r="A15611" t="inlineStr">
        <is>
          <t>27BBBBB15611Z5</t>
        </is>
      </c>
      <c r="B15611" t="inlineStr">
        <is>
          <t>Apr-2020</t>
        </is>
      </c>
      <c r="C15611" s="2" t="n">
        <v>44850</v>
      </c>
      <c r="D15611" t="inlineStr">
        <is>
          <t>NIL</t>
        </is>
      </c>
      <c r="E15611" t="n">
        <v>1252</v>
      </c>
    </row>
    <row r="15612">
      <c r="A15612" t="inlineStr">
        <is>
          <t>27BBBBB15612Z5</t>
        </is>
      </c>
      <c r="B15612" t="inlineStr">
        <is>
          <t>Mar-2020</t>
        </is>
      </c>
      <c r="C15612" s="2" t="n">
        <v>44480</v>
      </c>
      <c r="D15612" t="inlineStr">
        <is>
          <t>NIL</t>
        </is>
      </c>
      <c r="E15612" t="n">
        <v>1761</v>
      </c>
    </row>
    <row r="15613">
      <c r="A15613" t="inlineStr">
        <is>
          <t>27BBBBB15613Z5</t>
        </is>
      </c>
      <c r="B15613" t="inlineStr">
        <is>
          <t>Apr-2020</t>
        </is>
      </c>
      <c r="C15613" s="2" t="n">
        <v>44571</v>
      </c>
      <c r="D15613" t="inlineStr">
        <is>
          <t>NIL</t>
        </is>
      </c>
      <c r="E15613" t="n">
        <v>45</v>
      </c>
    </row>
    <row r="15614">
      <c r="A15614" t="inlineStr">
        <is>
          <t>27BBBBB15614Z5</t>
        </is>
      </c>
      <c r="B15614" t="inlineStr">
        <is>
          <t>Nov-2017</t>
        </is>
      </c>
      <c r="C15614" s="2" t="n">
        <v>43014</v>
      </c>
      <c r="D15614" t="inlineStr">
        <is>
          <t>NIL</t>
        </is>
      </c>
      <c r="E15614" t="n">
        <v>853</v>
      </c>
    </row>
    <row r="15615">
      <c r="A15615" t="inlineStr">
        <is>
          <t>27BBBBB15615Z5</t>
        </is>
      </c>
      <c r="B15615" t="inlineStr">
        <is>
          <t>Sep-2017</t>
        </is>
      </c>
      <c r="C15615" s="2" t="n">
        <v>44302</v>
      </c>
      <c r="D15615" t="inlineStr">
        <is>
          <t>NON-NIL</t>
        </is>
      </c>
      <c r="E15615" t="n">
        <v>1238</v>
      </c>
    </row>
    <row r="15616">
      <c r="A15616" t="inlineStr">
        <is>
          <t>27BBBBB15616Z5</t>
        </is>
      </c>
      <c r="B15616" t="inlineStr">
        <is>
          <t>Oct-2017</t>
        </is>
      </c>
      <c r="C15616" s="2" t="n">
        <v>43391</v>
      </c>
      <c r="D15616" t="inlineStr">
        <is>
          <t>NIL</t>
        </is>
      </c>
      <c r="E15616" t="n">
        <v>2100</v>
      </c>
    </row>
    <row r="15617">
      <c r="A15617" t="inlineStr">
        <is>
          <t>27BBBBB15617Z5</t>
        </is>
      </c>
      <c r="B15617" t="inlineStr">
        <is>
          <t>Jun-2018</t>
        </is>
      </c>
      <c r="C15617" s="2" t="n">
        <v>42980</v>
      </c>
      <c r="D15617" t="inlineStr">
        <is>
          <t>NIL</t>
        </is>
      </c>
      <c r="E15617" t="n">
        <v>1880</v>
      </c>
    </row>
    <row r="15618">
      <c r="A15618" t="inlineStr">
        <is>
          <t>27BBBBB15618Z5</t>
        </is>
      </c>
      <c r="B15618" t="inlineStr">
        <is>
          <t>Mar-2020</t>
        </is>
      </c>
      <c r="C15618" s="2" t="n">
        <v>44843</v>
      </c>
      <c r="D15618" t="inlineStr">
        <is>
          <t>NIL</t>
        </is>
      </c>
      <c r="E15618" t="n">
        <v>780</v>
      </c>
    </row>
    <row r="15619">
      <c r="A15619" t="inlineStr">
        <is>
          <t>27BBBBB15619Z5</t>
        </is>
      </c>
      <c r="B15619" t="inlineStr">
        <is>
          <t>May-2018</t>
        </is>
      </c>
      <c r="C15619" s="2" t="n">
        <v>43535</v>
      </c>
      <c r="D15619" t="inlineStr">
        <is>
          <t>NIL</t>
        </is>
      </c>
      <c r="E15619" t="n">
        <v>1481</v>
      </c>
    </row>
    <row r="15620">
      <c r="A15620" t="inlineStr">
        <is>
          <t>27BBBBB15620Z5</t>
        </is>
      </c>
      <c r="B15620" t="inlineStr">
        <is>
          <t>Jul-2020</t>
        </is>
      </c>
      <c r="C15620" s="2" t="n">
        <v>44847</v>
      </c>
      <c r="D15620" t="inlineStr">
        <is>
          <t>NON-NIL</t>
        </is>
      </c>
      <c r="E15620" t="n">
        <v>461</v>
      </c>
    </row>
    <row r="15621">
      <c r="A15621" t="inlineStr">
        <is>
          <t>27BBBBB15621Z5</t>
        </is>
      </c>
      <c r="B15621" t="inlineStr">
        <is>
          <t>Mar-2018</t>
        </is>
      </c>
      <c r="C15621" s="2" t="n">
        <v>44378</v>
      </c>
      <c r="D15621" t="inlineStr">
        <is>
          <t>NIL</t>
        </is>
      </c>
      <c r="E15621" t="n">
        <v>1119</v>
      </c>
    </row>
    <row r="15622">
      <c r="A15622" t="inlineStr">
        <is>
          <t>27BBBBB15622Z5</t>
        </is>
      </c>
      <c r="B15622" t="inlineStr">
        <is>
          <t>Mar-2018</t>
        </is>
      </c>
      <c r="C15622" s="2" t="n">
        <v>43538</v>
      </c>
      <c r="D15622" t="inlineStr">
        <is>
          <t>NON-NIL</t>
        </is>
      </c>
      <c r="E15622" t="n">
        <v>2610</v>
      </c>
    </row>
    <row r="15623">
      <c r="A15623" t="inlineStr">
        <is>
          <t>27BBBBB15623Z5</t>
        </is>
      </c>
      <c r="B15623" t="inlineStr">
        <is>
          <t>Jan-2018</t>
        </is>
      </c>
      <c r="C15623" s="2" t="n">
        <v>43923</v>
      </c>
      <c r="D15623" t="inlineStr">
        <is>
          <t>NON-NIL</t>
        </is>
      </c>
      <c r="E15623" t="n">
        <v>248</v>
      </c>
    </row>
    <row r="15624">
      <c r="A15624" t="inlineStr">
        <is>
          <t>27BBBBB15624Z5</t>
        </is>
      </c>
      <c r="B15624" t="inlineStr">
        <is>
          <t>Dec-2022</t>
        </is>
      </c>
      <c r="C15624" s="2" t="n">
        <v>43714</v>
      </c>
      <c r="D15624" t="inlineStr">
        <is>
          <t>NON-NIL</t>
        </is>
      </c>
      <c r="E15624" t="n">
        <v>1940</v>
      </c>
    </row>
    <row r="15625">
      <c r="A15625" t="inlineStr">
        <is>
          <t>27BBBBB15625Z5</t>
        </is>
      </c>
      <c r="B15625" t="inlineStr">
        <is>
          <t>Sep-2018</t>
        </is>
      </c>
      <c r="C15625" s="2" t="n">
        <v>44519</v>
      </c>
      <c r="D15625" t="inlineStr">
        <is>
          <t>NIL</t>
        </is>
      </c>
      <c r="E15625" t="n">
        <v>873</v>
      </c>
    </row>
    <row r="15626">
      <c r="A15626" t="inlineStr">
        <is>
          <t>27BBBBB15626Z5</t>
        </is>
      </c>
      <c r="B15626" t="inlineStr">
        <is>
          <t>Jul-2017</t>
        </is>
      </c>
      <c r="C15626" s="2" t="n">
        <v>43711</v>
      </c>
      <c r="D15626" t="inlineStr">
        <is>
          <t>NON-NIL</t>
        </is>
      </c>
      <c r="E15626" t="n">
        <v>1496</v>
      </c>
    </row>
    <row r="15627">
      <c r="A15627" t="inlineStr">
        <is>
          <t>27BBBBB15627Z5</t>
        </is>
      </c>
      <c r="B15627" t="inlineStr">
        <is>
          <t>Jun-2018</t>
        </is>
      </c>
      <c r="C15627" s="2" t="n">
        <v>43778</v>
      </c>
      <c r="D15627" t="inlineStr">
        <is>
          <t>NIL</t>
        </is>
      </c>
      <c r="E15627" t="n">
        <v>379</v>
      </c>
    </row>
    <row r="15628">
      <c r="A15628" t="inlineStr">
        <is>
          <t>27BBBBB15628Z5</t>
        </is>
      </c>
      <c r="B15628" t="inlineStr">
        <is>
          <t>Nov-2017</t>
        </is>
      </c>
      <c r="C15628" s="2" t="n">
        <v>43696</v>
      </c>
      <c r="D15628" t="inlineStr">
        <is>
          <t>NIL</t>
        </is>
      </c>
      <c r="E15628" t="n">
        <v>770</v>
      </c>
    </row>
    <row r="15629">
      <c r="A15629" t="inlineStr">
        <is>
          <t>27BBBBB15629Z5</t>
        </is>
      </c>
      <c r="B15629" t="inlineStr">
        <is>
          <t>Sep-2018</t>
        </is>
      </c>
      <c r="C15629" s="2" t="n">
        <v>43088</v>
      </c>
      <c r="D15629" t="inlineStr">
        <is>
          <t>NON-NIL</t>
        </is>
      </c>
      <c r="E15629" t="n">
        <v>1238</v>
      </c>
    </row>
    <row r="15630">
      <c r="A15630" t="inlineStr">
        <is>
          <t>27BBBBB15630Z5</t>
        </is>
      </c>
      <c r="B15630" t="inlineStr">
        <is>
          <t>Jul-2017</t>
        </is>
      </c>
      <c r="C15630" s="2" t="n">
        <v>43423</v>
      </c>
      <c r="D15630" t="inlineStr">
        <is>
          <t>NIL</t>
        </is>
      </c>
      <c r="E15630" t="n">
        <v>1099</v>
      </c>
    </row>
    <row r="15631">
      <c r="A15631" t="inlineStr">
        <is>
          <t>27BBBBB15631Z5</t>
        </is>
      </c>
      <c r="B15631" t="inlineStr">
        <is>
          <t>Dec-2018</t>
        </is>
      </c>
      <c r="C15631" s="2" t="n">
        <v>43847</v>
      </c>
      <c r="D15631" t="inlineStr">
        <is>
          <t>NIL</t>
        </is>
      </c>
      <c r="E15631" t="n">
        <v>1420</v>
      </c>
    </row>
    <row r="15632">
      <c r="A15632" t="inlineStr">
        <is>
          <t>27BBBBB15632Z5</t>
        </is>
      </c>
      <c r="B15632" t="inlineStr">
        <is>
          <t>Sep-2018</t>
        </is>
      </c>
      <c r="C15632" s="2" t="n">
        <v>42969</v>
      </c>
      <c r="D15632" t="inlineStr">
        <is>
          <t>NIL</t>
        </is>
      </c>
      <c r="E15632" t="n">
        <v>150</v>
      </c>
    </row>
    <row r="15633">
      <c r="A15633" t="inlineStr">
        <is>
          <t>27BBBBB15633Z5</t>
        </is>
      </c>
      <c r="B15633" t="inlineStr">
        <is>
          <t>Dec-2022</t>
        </is>
      </c>
      <c r="C15633" s="2" t="n">
        <v>45369</v>
      </c>
      <c r="D15633" t="inlineStr">
        <is>
          <t>NIL</t>
        </is>
      </c>
      <c r="E15633" t="n">
        <v>385</v>
      </c>
    </row>
    <row r="15634">
      <c r="A15634" t="inlineStr">
        <is>
          <t>27BBBBB15634Z5</t>
        </is>
      </c>
      <c r="B15634" t="inlineStr">
        <is>
          <t>Dec-2024</t>
        </is>
      </c>
      <c r="C15634" s="2" t="n">
        <v>45227</v>
      </c>
      <c r="D15634" t="inlineStr">
        <is>
          <t>NIL</t>
        </is>
      </c>
      <c r="E15634" t="n">
        <v>1848</v>
      </c>
    </row>
    <row r="15635">
      <c r="A15635" t="inlineStr">
        <is>
          <t>27BBBBB15635Z5</t>
        </is>
      </c>
      <c r="B15635" t="inlineStr">
        <is>
          <t>Mar-2018</t>
        </is>
      </c>
      <c r="C15635" s="2" t="n">
        <v>43121</v>
      </c>
      <c r="D15635" t="inlineStr">
        <is>
          <t>NON-NIL</t>
        </is>
      </c>
      <c r="E15635" t="n">
        <v>2087</v>
      </c>
    </row>
    <row r="15636">
      <c r="A15636" t="inlineStr">
        <is>
          <t>27BBBBB15636Z5</t>
        </is>
      </c>
      <c r="B15636" t="inlineStr">
        <is>
          <t>Aug-2018</t>
        </is>
      </c>
      <c r="C15636" s="2" t="n">
        <v>44506</v>
      </c>
      <c r="D15636" t="inlineStr">
        <is>
          <t>NIL</t>
        </is>
      </c>
      <c r="E15636" t="n">
        <v>2630</v>
      </c>
    </row>
    <row r="15637">
      <c r="A15637" t="inlineStr">
        <is>
          <t>27BBBBB15637Z5</t>
        </is>
      </c>
      <c r="B15637" t="inlineStr">
        <is>
          <t>Jul-2020</t>
        </is>
      </c>
      <c r="C15637" s="2" t="n">
        <v>44404</v>
      </c>
      <c r="D15637" t="inlineStr">
        <is>
          <t>NON-NIL</t>
        </is>
      </c>
      <c r="E15637" t="n">
        <v>2994</v>
      </c>
    </row>
    <row r="15638">
      <c r="A15638" t="inlineStr">
        <is>
          <t>27BBBBB15638Z5</t>
        </is>
      </c>
      <c r="B15638" t="inlineStr">
        <is>
          <t>Jan-2018</t>
        </is>
      </c>
      <c r="C15638" s="2" t="n">
        <v>43108</v>
      </c>
      <c r="D15638" t="inlineStr">
        <is>
          <t>NON-NIL</t>
        </is>
      </c>
      <c r="E15638" t="n">
        <v>2696</v>
      </c>
    </row>
    <row r="15639">
      <c r="A15639" t="inlineStr">
        <is>
          <t>27BBBBB15639Z5</t>
        </is>
      </c>
      <c r="B15639" t="inlineStr">
        <is>
          <t>Mar-2023</t>
        </is>
      </c>
      <c r="C15639" s="2" t="n">
        <v>45213</v>
      </c>
      <c r="D15639" t="inlineStr">
        <is>
          <t>NIL</t>
        </is>
      </c>
      <c r="E15639" t="n">
        <v>482</v>
      </c>
    </row>
    <row r="15640">
      <c r="A15640" t="inlineStr">
        <is>
          <t>27BBBBB15640Z5</t>
        </is>
      </c>
      <c r="B15640" t="inlineStr">
        <is>
          <t>Aug-2017</t>
        </is>
      </c>
      <c r="C15640" s="2" t="n">
        <v>43437</v>
      </c>
      <c r="D15640" t="inlineStr">
        <is>
          <t>NON-NIL</t>
        </is>
      </c>
      <c r="E15640" t="n">
        <v>1493</v>
      </c>
    </row>
    <row r="15641">
      <c r="A15641" t="inlineStr">
        <is>
          <t>27BBBBB15641Z5</t>
        </is>
      </c>
      <c r="B15641" t="inlineStr">
        <is>
          <t>Oct-2018</t>
        </is>
      </c>
      <c r="C15641" s="2" t="n">
        <v>43663</v>
      </c>
      <c r="D15641" t="inlineStr">
        <is>
          <t>NIL</t>
        </is>
      </c>
      <c r="E15641" t="n">
        <v>306</v>
      </c>
    </row>
    <row r="15642">
      <c r="A15642" t="inlineStr">
        <is>
          <t>27BBBBB15642Z5</t>
        </is>
      </c>
      <c r="B15642" t="inlineStr">
        <is>
          <t>Dec-2022</t>
        </is>
      </c>
      <c r="C15642" s="2" t="n">
        <v>44745</v>
      </c>
      <c r="D15642" t="inlineStr">
        <is>
          <t>NIL</t>
        </is>
      </c>
      <c r="E15642" t="n">
        <v>44</v>
      </c>
    </row>
    <row r="15643">
      <c r="A15643" t="inlineStr">
        <is>
          <t>27BBBBB15643Z5</t>
        </is>
      </c>
      <c r="B15643" t="inlineStr">
        <is>
          <t>Jun-2020</t>
        </is>
      </c>
      <c r="C15643" s="2" t="n">
        <v>43992</v>
      </c>
      <c r="D15643" t="inlineStr">
        <is>
          <t>NON-NIL</t>
        </is>
      </c>
      <c r="E15643" t="n">
        <v>261</v>
      </c>
    </row>
    <row r="15644">
      <c r="A15644" t="inlineStr">
        <is>
          <t>27BBBBB15644Z5</t>
        </is>
      </c>
      <c r="B15644" t="inlineStr">
        <is>
          <t>Oct-2017</t>
        </is>
      </c>
      <c r="C15644" s="2" t="n">
        <v>42998</v>
      </c>
      <c r="D15644" t="inlineStr">
        <is>
          <t>NON-NIL</t>
        </is>
      </c>
      <c r="E15644" t="n">
        <v>1361</v>
      </c>
    </row>
    <row r="15645">
      <c r="A15645" t="inlineStr">
        <is>
          <t>27BBBBB15645Z5</t>
        </is>
      </c>
      <c r="B15645" t="inlineStr">
        <is>
          <t>Nov-2018</t>
        </is>
      </c>
      <c r="C15645" s="2" t="n">
        <v>43301</v>
      </c>
      <c r="D15645" t="inlineStr">
        <is>
          <t>NON-NIL</t>
        </is>
      </c>
      <c r="E15645" t="n">
        <v>570</v>
      </c>
    </row>
    <row r="15646">
      <c r="A15646" t="inlineStr">
        <is>
          <t>27BBBBB15646Z5</t>
        </is>
      </c>
      <c r="B15646" t="inlineStr">
        <is>
          <t>Sep-2018</t>
        </is>
      </c>
      <c r="C15646" s="2" t="n">
        <v>43854</v>
      </c>
      <c r="D15646" t="inlineStr">
        <is>
          <t>NIL</t>
        </is>
      </c>
      <c r="E15646" t="n">
        <v>2236</v>
      </c>
    </row>
    <row r="15647">
      <c r="A15647" t="inlineStr">
        <is>
          <t>27BBBBB15647Z5</t>
        </is>
      </c>
      <c r="B15647" t="inlineStr">
        <is>
          <t>Dec-2017</t>
        </is>
      </c>
      <c r="C15647" s="2" t="n">
        <v>43972</v>
      </c>
      <c r="D15647" t="inlineStr">
        <is>
          <t>NON-NIL</t>
        </is>
      </c>
      <c r="E15647" t="n">
        <v>1393</v>
      </c>
    </row>
    <row r="15648">
      <c r="A15648" t="inlineStr">
        <is>
          <t>27BBBBB15648Z5</t>
        </is>
      </c>
      <c r="B15648" t="inlineStr">
        <is>
          <t>Nov-2018</t>
        </is>
      </c>
      <c r="C15648" s="2" t="n">
        <v>44197</v>
      </c>
      <c r="D15648" t="inlineStr">
        <is>
          <t>NON-NIL</t>
        </is>
      </c>
      <c r="E15648" t="n">
        <v>1359</v>
      </c>
    </row>
    <row r="15649">
      <c r="A15649" t="inlineStr">
        <is>
          <t>27BBBBB15649Z5</t>
        </is>
      </c>
      <c r="B15649" t="inlineStr">
        <is>
          <t>Oct-2017</t>
        </is>
      </c>
      <c r="C15649" s="2" t="n">
        <v>44408</v>
      </c>
      <c r="D15649" t="inlineStr">
        <is>
          <t>NIL</t>
        </is>
      </c>
      <c r="E15649" t="n">
        <v>2972</v>
      </c>
    </row>
    <row r="15650">
      <c r="A15650" t="inlineStr">
        <is>
          <t>27BBBBB15650Z5</t>
        </is>
      </c>
      <c r="B15650" t="inlineStr">
        <is>
          <t>Jan-2021</t>
        </is>
      </c>
      <c r="C15650" s="2" t="n">
        <v>44137</v>
      </c>
      <c r="D15650" t="inlineStr">
        <is>
          <t>NON-NIL</t>
        </is>
      </c>
      <c r="E15650" t="n">
        <v>1157</v>
      </c>
    </row>
    <row r="15651">
      <c r="A15651" t="inlineStr">
        <is>
          <t>27BBBBB15651Z5</t>
        </is>
      </c>
      <c r="B15651" t="inlineStr">
        <is>
          <t>Apr-2020</t>
        </is>
      </c>
      <c r="C15651" s="2" t="n">
        <v>44400</v>
      </c>
      <c r="D15651" t="inlineStr">
        <is>
          <t>NON-NIL</t>
        </is>
      </c>
      <c r="E15651" t="n">
        <v>238</v>
      </c>
    </row>
    <row r="15652">
      <c r="A15652" t="inlineStr">
        <is>
          <t>27BBBBB15652Z5</t>
        </is>
      </c>
      <c r="B15652" t="inlineStr">
        <is>
          <t>Jan-2021</t>
        </is>
      </c>
      <c r="C15652" s="2" t="n">
        <v>44340</v>
      </c>
      <c r="D15652" t="inlineStr">
        <is>
          <t>NON-NIL</t>
        </is>
      </c>
      <c r="E15652" t="n">
        <v>1655</v>
      </c>
    </row>
    <row r="15653">
      <c r="A15653" t="inlineStr">
        <is>
          <t>27BBBBB15653Z5</t>
        </is>
      </c>
      <c r="B15653" t="inlineStr">
        <is>
          <t>Sep-2018</t>
        </is>
      </c>
      <c r="C15653" s="2" t="n">
        <v>43520</v>
      </c>
      <c r="D15653" t="inlineStr">
        <is>
          <t>NON-NIL</t>
        </is>
      </c>
      <c r="E15653" t="n">
        <v>2076</v>
      </c>
    </row>
    <row r="15654">
      <c r="A15654" t="inlineStr">
        <is>
          <t>27BBBBB15654Z5</t>
        </is>
      </c>
      <c r="B15654" t="inlineStr">
        <is>
          <t>Apr-2018</t>
        </is>
      </c>
      <c r="C15654" s="2" t="n">
        <v>44344</v>
      </c>
      <c r="D15654" t="inlineStr">
        <is>
          <t>NON-NIL</t>
        </is>
      </c>
      <c r="E15654" t="n">
        <v>2436</v>
      </c>
    </row>
    <row r="15655">
      <c r="A15655" t="inlineStr">
        <is>
          <t>27BBBBB15655Z5</t>
        </is>
      </c>
      <c r="B15655" t="inlineStr">
        <is>
          <t>Jul-2017</t>
        </is>
      </c>
      <c r="C15655" s="2" t="n">
        <v>44136</v>
      </c>
      <c r="D15655" t="inlineStr">
        <is>
          <t>NIL</t>
        </is>
      </c>
      <c r="E15655" t="n">
        <v>2666</v>
      </c>
    </row>
    <row r="15656">
      <c r="A15656" t="inlineStr">
        <is>
          <t>27BBBBB15656Z5</t>
        </is>
      </c>
      <c r="B15656" t="inlineStr">
        <is>
          <t>Mar-2021</t>
        </is>
      </c>
      <c r="C15656" s="2" t="n">
        <v>45014</v>
      </c>
      <c r="D15656" t="inlineStr">
        <is>
          <t>NIL</t>
        </is>
      </c>
      <c r="E15656" t="n">
        <v>1584</v>
      </c>
    </row>
    <row r="15657">
      <c r="A15657" t="inlineStr">
        <is>
          <t>27BBBBB15657Z5</t>
        </is>
      </c>
      <c r="B15657" t="inlineStr">
        <is>
          <t>Jul-2018</t>
        </is>
      </c>
      <c r="C15657" s="2" t="n">
        <v>43270</v>
      </c>
      <c r="D15657" t="inlineStr">
        <is>
          <t>NIL</t>
        </is>
      </c>
      <c r="E15657" t="n">
        <v>1490</v>
      </c>
    </row>
    <row r="15658">
      <c r="A15658" t="inlineStr">
        <is>
          <t>27BBBBB15658Z5</t>
        </is>
      </c>
      <c r="B15658" t="inlineStr">
        <is>
          <t>Sep-2018</t>
        </is>
      </c>
      <c r="C15658" s="2" t="n">
        <v>44423</v>
      </c>
      <c r="D15658" t="inlineStr">
        <is>
          <t>NIL</t>
        </is>
      </c>
      <c r="E15658" t="n">
        <v>1092</v>
      </c>
    </row>
    <row r="15659">
      <c r="A15659" t="inlineStr">
        <is>
          <t>27BBBBB15659Z5</t>
        </is>
      </c>
      <c r="B15659" t="inlineStr">
        <is>
          <t>Dec-2017</t>
        </is>
      </c>
      <c r="C15659" s="2" t="n">
        <v>43842</v>
      </c>
      <c r="D15659" t="inlineStr">
        <is>
          <t>NON-NIL</t>
        </is>
      </c>
      <c r="E15659" t="n">
        <v>1818</v>
      </c>
    </row>
    <row r="15660">
      <c r="A15660" t="inlineStr">
        <is>
          <t>27BBBBB15660Z5</t>
        </is>
      </c>
      <c r="B15660" t="inlineStr">
        <is>
          <t>Mar-2021</t>
        </is>
      </c>
      <c r="C15660" s="2" t="n">
        <v>43947</v>
      </c>
      <c r="D15660" t="inlineStr">
        <is>
          <t>NIL</t>
        </is>
      </c>
      <c r="E15660" t="n">
        <v>766</v>
      </c>
    </row>
    <row r="15661">
      <c r="A15661" t="inlineStr">
        <is>
          <t>27BBBBB15661Z5</t>
        </is>
      </c>
      <c r="B15661" t="inlineStr">
        <is>
          <t>Sep-2018</t>
        </is>
      </c>
      <c r="C15661" s="2" t="n">
        <v>43962</v>
      </c>
      <c r="D15661" t="inlineStr">
        <is>
          <t>NIL</t>
        </is>
      </c>
      <c r="E15661" t="n">
        <v>1556</v>
      </c>
    </row>
    <row r="15662">
      <c r="A15662" t="inlineStr">
        <is>
          <t>27BBBBB15662Z5</t>
        </is>
      </c>
      <c r="B15662" t="inlineStr">
        <is>
          <t>Oct-2017</t>
        </is>
      </c>
      <c r="C15662" s="2" t="n">
        <v>43322</v>
      </c>
      <c r="D15662" t="inlineStr">
        <is>
          <t>NIL</t>
        </is>
      </c>
      <c r="E15662" t="n">
        <v>1578</v>
      </c>
    </row>
    <row r="15663">
      <c r="A15663" t="inlineStr">
        <is>
          <t>27BBBBB15663Z5</t>
        </is>
      </c>
      <c r="B15663" t="inlineStr">
        <is>
          <t>Nov-2018</t>
        </is>
      </c>
      <c r="C15663" s="2" t="n">
        <v>44018</v>
      </c>
      <c r="D15663" t="inlineStr">
        <is>
          <t>NIL</t>
        </is>
      </c>
      <c r="E15663" t="n">
        <v>879</v>
      </c>
    </row>
    <row r="15664">
      <c r="A15664" t="inlineStr">
        <is>
          <t>27BBBBB15664Z5</t>
        </is>
      </c>
      <c r="B15664" t="inlineStr">
        <is>
          <t>Apr-2020</t>
        </is>
      </c>
      <c r="C15664" s="2" t="n">
        <v>43926</v>
      </c>
      <c r="D15664" t="inlineStr">
        <is>
          <t>NIL</t>
        </is>
      </c>
      <c r="E15664" t="n">
        <v>2808</v>
      </c>
    </row>
    <row r="15665">
      <c r="A15665" t="inlineStr">
        <is>
          <t>27BBBBB15665Z5</t>
        </is>
      </c>
      <c r="B15665" t="inlineStr">
        <is>
          <t>Sep-2018</t>
        </is>
      </c>
      <c r="C15665" s="2" t="n">
        <v>43964</v>
      </c>
      <c r="D15665" t="inlineStr">
        <is>
          <t>NON-NIL</t>
        </is>
      </c>
      <c r="E15665" t="n">
        <v>1330</v>
      </c>
    </row>
    <row r="15666">
      <c r="A15666" t="inlineStr">
        <is>
          <t>27BBBBB15666Z5</t>
        </is>
      </c>
      <c r="B15666" t="inlineStr">
        <is>
          <t>Aug-2018</t>
        </is>
      </c>
      <c r="C15666" s="2" t="n">
        <v>43702</v>
      </c>
      <c r="D15666" t="inlineStr">
        <is>
          <t>NON-NIL</t>
        </is>
      </c>
      <c r="E15666" t="n">
        <v>1866</v>
      </c>
    </row>
    <row r="15667">
      <c r="A15667" t="inlineStr">
        <is>
          <t>27BBBBB15667Z5</t>
        </is>
      </c>
      <c r="B15667" t="inlineStr">
        <is>
          <t>Dec-2017</t>
        </is>
      </c>
      <c r="C15667" s="2" t="n">
        <v>42991</v>
      </c>
      <c r="D15667" t="inlineStr">
        <is>
          <t>NIL</t>
        </is>
      </c>
      <c r="E15667" t="n">
        <v>1845</v>
      </c>
    </row>
    <row r="15668">
      <c r="A15668" t="inlineStr">
        <is>
          <t>27BBBBB15668Z5</t>
        </is>
      </c>
      <c r="B15668" t="inlineStr">
        <is>
          <t>Jul-2020</t>
        </is>
      </c>
      <c r="C15668" s="2" t="n">
        <v>44009</v>
      </c>
      <c r="D15668" t="inlineStr">
        <is>
          <t>NIL</t>
        </is>
      </c>
      <c r="E15668" t="n">
        <v>189</v>
      </c>
    </row>
    <row r="15669">
      <c r="A15669" t="inlineStr">
        <is>
          <t>27BBBBB15669Z5</t>
        </is>
      </c>
      <c r="B15669" t="inlineStr">
        <is>
          <t>Nov-2018</t>
        </is>
      </c>
      <c r="C15669" s="2" t="n">
        <v>43060</v>
      </c>
      <c r="D15669" t="inlineStr">
        <is>
          <t>NIL</t>
        </is>
      </c>
      <c r="E15669" t="n">
        <v>1008</v>
      </c>
    </row>
    <row r="15670">
      <c r="A15670" t="inlineStr">
        <is>
          <t>27BBBBB15670Z5</t>
        </is>
      </c>
      <c r="B15670" t="inlineStr">
        <is>
          <t>Jun-2020</t>
        </is>
      </c>
      <c r="C15670" s="2" t="n">
        <v>44188</v>
      </c>
      <c r="D15670" t="inlineStr">
        <is>
          <t>NON-NIL</t>
        </is>
      </c>
      <c r="E15670" t="n">
        <v>466</v>
      </c>
    </row>
    <row r="15671">
      <c r="A15671" t="inlineStr">
        <is>
          <t>27BBBBB15671Z5</t>
        </is>
      </c>
      <c r="B15671" t="inlineStr">
        <is>
          <t>Mar-2023</t>
        </is>
      </c>
      <c r="C15671" s="2" t="n">
        <v>44085</v>
      </c>
      <c r="D15671" t="inlineStr">
        <is>
          <t>NON-NIL</t>
        </is>
      </c>
      <c r="E15671" t="n">
        <v>1167</v>
      </c>
    </row>
    <row r="15672">
      <c r="A15672" t="inlineStr">
        <is>
          <t>27BBBBB15672Z5</t>
        </is>
      </c>
      <c r="B15672" t="inlineStr">
        <is>
          <t>Mar-2020</t>
        </is>
      </c>
      <c r="C15672" s="2" t="n">
        <v>44701</v>
      </c>
      <c r="D15672" t="inlineStr">
        <is>
          <t>NIL</t>
        </is>
      </c>
      <c r="E15672" t="n">
        <v>391</v>
      </c>
    </row>
    <row r="15673">
      <c r="A15673" t="inlineStr">
        <is>
          <t>27BBBBB15673Z5</t>
        </is>
      </c>
      <c r="B15673" t="inlineStr">
        <is>
          <t>Jan-2021</t>
        </is>
      </c>
      <c r="C15673" s="2" t="n">
        <v>44312</v>
      </c>
      <c r="D15673" t="inlineStr">
        <is>
          <t>NIL</t>
        </is>
      </c>
      <c r="E15673" t="n">
        <v>1262</v>
      </c>
    </row>
    <row r="15674">
      <c r="A15674" t="inlineStr">
        <is>
          <t>27BBBBB15674Z5</t>
        </is>
      </c>
      <c r="B15674" t="inlineStr">
        <is>
          <t>Dec-2018</t>
        </is>
      </c>
      <c r="C15674" s="2" t="n">
        <v>44464</v>
      </c>
      <c r="D15674" t="inlineStr">
        <is>
          <t>NON-NIL</t>
        </is>
      </c>
      <c r="E15674" t="n">
        <v>2766</v>
      </c>
    </row>
    <row r="15675">
      <c r="A15675" t="inlineStr">
        <is>
          <t>27BBBBB15675Z5</t>
        </is>
      </c>
      <c r="B15675" t="inlineStr">
        <is>
          <t>Jan-2018</t>
        </is>
      </c>
      <c r="C15675" s="2" t="n">
        <v>43717</v>
      </c>
      <c r="D15675" t="inlineStr">
        <is>
          <t>NIL</t>
        </is>
      </c>
      <c r="E15675" t="n">
        <v>2322</v>
      </c>
    </row>
    <row r="15676">
      <c r="A15676" t="inlineStr">
        <is>
          <t>27BBBBB15676Z5</t>
        </is>
      </c>
      <c r="B15676" t="inlineStr">
        <is>
          <t>Mar-2021</t>
        </is>
      </c>
      <c r="C15676" s="2" t="n">
        <v>43701</v>
      </c>
      <c r="D15676" t="inlineStr">
        <is>
          <t>NON-NIL</t>
        </is>
      </c>
      <c r="E15676" t="n">
        <v>1874</v>
      </c>
    </row>
    <row r="15677">
      <c r="A15677" t="inlineStr">
        <is>
          <t>27BBBBB15677Z5</t>
        </is>
      </c>
      <c r="B15677" t="inlineStr">
        <is>
          <t>Mar-2023</t>
        </is>
      </c>
      <c r="C15677" s="2" t="n">
        <v>45213</v>
      </c>
      <c r="D15677" t="inlineStr">
        <is>
          <t>NON-NIL</t>
        </is>
      </c>
      <c r="E15677" t="n">
        <v>1180</v>
      </c>
    </row>
    <row r="15678">
      <c r="A15678" t="inlineStr">
        <is>
          <t>27BBBBB15678Z5</t>
        </is>
      </c>
      <c r="B15678" t="inlineStr">
        <is>
          <t>Mar-2020</t>
        </is>
      </c>
      <c r="C15678" s="2" t="n">
        <v>44676</v>
      </c>
      <c r="D15678" t="inlineStr">
        <is>
          <t>NON-NIL</t>
        </is>
      </c>
      <c r="E15678" t="n">
        <v>339</v>
      </c>
    </row>
    <row r="15679">
      <c r="A15679" t="inlineStr">
        <is>
          <t>27BBBBB15679Z5</t>
        </is>
      </c>
      <c r="B15679" t="inlineStr">
        <is>
          <t>Dec-2024</t>
        </is>
      </c>
      <c r="C15679" s="2" t="n">
        <v>45788</v>
      </c>
      <c r="D15679" t="inlineStr">
        <is>
          <t>NON-NIL</t>
        </is>
      </c>
      <c r="E15679" t="n">
        <v>2034</v>
      </c>
    </row>
    <row r="15680">
      <c r="A15680" t="inlineStr">
        <is>
          <t>27BBBBB15680Z5</t>
        </is>
      </c>
      <c r="B15680" t="inlineStr">
        <is>
          <t>Mar-2023</t>
        </is>
      </c>
      <c r="C15680" s="2" t="n">
        <v>43838</v>
      </c>
      <c r="D15680" t="inlineStr">
        <is>
          <t>NIL</t>
        </is>
      </c>
      <c r="E15680" t="n">
        <v>1499</v>
      </c>
    </row>
    <row r="15681">
      <c r="A15681" t="inlineStr">
        <is>
          <t>27BBBBB15681Z5</t>
        </is>
      </c>
      <c r="B15681" t="inlineStr">
        <is>
          <t>Dec-2024</t>
        </is>
      </c>
      <c r="C15681" s="2" t="n">
        <v>43636</v>
      </c>
      <c r="D15681" t="inlineStr">
        <is>
          <t>NIL</t>
        </is>
      </c>
      <c r="E15681" t="n">
        <v>1934</v>
      </c>
    </row>
    <row r="15682">
      <c r="A15682" t="inlineStr">
        <is>
          <t>27BBBBB15682Z5</t>
        </is>
      </c>
      <c r="B15682" t="inlineStr">
        <is>
          <t>Aug-2017</t>
        </is>
      </c>
      <c r="C15682" s="2" t="n">
        <v>44554</v>
      </c>
      <c r="D15682" t="inlineStr">
        <is>
          <t>NIL</t>
        </is>
      </c>
      <c r="E15682" t="n">
        <v>2472</v>
      </c>
    </row>
    <row r="15683">
      <c r="A15683" t="inlineStr">
        <is>
          <t>27BBBBB15683Z5</t>
        </is>
      </c>
      <c r="B15683" t="inlineStr">
        <is>
          <t>Oct-2017</t>
        </is>
      </c>
      <c r="C15683" s="2" t="n">
        <v>43084</v>
      </c>
      <c r="D15683" t="inlineStr">
        <is>
          <t>NIL</t>
        </is>
      </c>
      <c r="E15683" t="n">
        <v>1668</v>
      </c>
    </row>
    <row r="15684">
      <c r="A15684" t="inlineStr">
        <is>
          <t>27BBBBB15684Z5</t>
        </is>
      </c>
      <c r="B15684" t="inlineStr">
        <is>
          <t>Jan-2021</t>
        </is>
      </c>
      <c r="C15684" s="2" t="n">
        <v>44759</v>
      </c>
      <c r="D15684" t="inlineStr">
        <is>
          <t>NIL</t>
        </is>
      </c>
      <c r="E15684" t="n">
        <v>1949</v>
      </c>
    </row>
    <row r="15685">
      <c r="A15685" t="inlineStr">
        <is>
          <t>27BBBBB15685Z5</t>
        </is>
      </c>
      <c r="B15685" t="inlineStr">
        <is>
          <t>Oct-2018</t>
        </is>
      </c>
      <c r="C15685" s="2" t="n">
        <v>43590</v>
      </c>
      <c r="D15685" t="inlineStr">
        <is>
          <t>NON-NIL</t>
        </is>
      </c>
      <c r="E15685" t="n">
        <v>1716</v>
      </c>
    </row>
    <row r="15686">
      <c r="A15686" t="inlineStr">
        <is>
          <t>27BBBBB15686Z5</t>
        </is>
      </c>
      <c r="B15686" t="inlineStr">
        <is>
          <t>Dec-2017</t>
        </is>
      </c>
      <c r="C15686" s="2" t="n">
        <v>44060</v>
      </c>
      <c r="D15686" t="inlineStr">
        <is>
          <t>NON-NIL</t>
        </is>
      </c>
      <c r="E15686" t="n">
        <v>161</v>
      </c>
    </row>
    <row r="15687">
      <c r="A15687" t="inlineStr">
        <is>
          <t>27BBBBB15687Z5</t>
        </is>
      </c>
      <c r="B15687" t="inlineStr">
        <is>
          <t>Jul-2018</t>
        </is>
      </c>
      <c r="C15687" s="2" t="n">
        <v>43132</v>
      </c>
      <c r="D15687" t="inlineStr">
        <is>
          <t>NON-NIL</t>
        </is>
      </c>
      <c r="E15687" t="n">
        <v>2705</v>
      </c>
    </row>
    <row r="15688">
      <c r="A15688" t="inlineStr">
        <is>
          <t>27BBBBB15688Z5</t>
        </is>
      </c>
      <c r="B15688" t="inlineStr">
        <is>
          <t>Jan-2018</t>
        </is>
      </c>
      <c r="C15688" s="2" t="n">
        <v>44413</v>
      </c>
      <c r="D15688" t="inlineStr">
        <is>
          <t>NIL</t>
        </is>
      </c>
      <c r="E15688" t="n">
        <v>2903</v>
      </c>
    </row>
    <row r="15689">
      <c r="A15689" t="inlineStr">
        <is>
          <t>27BBBBB15689Z5</t>
        </is>
      </c>
      <c r="B15689" t="inlineStr">
        <is>
          <t>Dec-2022</t>
        </is>
      </c>
      <c r="C15689" s="2" t="n">
        <v>45526</v>
      </c>
      <c r="D15689" t="inlineStr">
        <is>
          <t>NIL</t>
        </is>
      </c>
      <c r="E15689" t="n">
        <v>2355</v>
      </c>
    </row>
    <row r="15690">
      <c r="A15690" t="inlineStr">
        <is>
          <t>27BBBBB15690Z5</t>
        </is>
      </c>
      <c r="B15690" t="inlineStr">
        <is>
          <t>Dec-2024</t>
        </is>
      </c>
      <c r="C15690" s="2" t="n">
        <v>45160</v>
      </c>
      <c r="D15690" t="inlineStr">
        <is>
          <t>NON-NIL</t>
        </is>
      </c>
      <c r="E15690" t="n">
        <v>1822</v>
      </c>
    </row>
    <row r="15691">
      <c r="A15691" t="inlineStr">
        <is>
          <t>27BBBBB15691Z5</t>
        </is>
      </c>
      <c r="B15691" t="inlineStr">
        <is>
          <t>Jun-2018</t>
        </is>
      </c>
      <c r="C15691" s="2" t="n">
        <v>44321</v>
      </c>
      <c r="D15691" t="inlineStr">
        <is>
          <t>NON-NIL</t>
        </is>
      </c>
      <c r="E15691" t="n">
        <v>760</v>
      </c>
    </row>
    <row r="15692">
      <c r="A15692" t="inlineStr">
        <is>
          <t>27BBBBB15692Z5</t>
        </is>
      </c>
      <c r="B15692" t="inlineStr">
        <is>
          <t>Apr-2020</t>
        </is>
      </c>
      <c r="C15692" s="2" t="n">
        <v>44565</v>
      </c>
      <c r="D15692" t="inlineStr">
        <is>
          <t>NON-NIL</t>
        </is>
      </c>
      <c r="E15692" t="n">
        <v>64</v>
      </c>
    </row>
    <row r="15693">
      <c r="A15693" t="inlineStr">
        <is>
          <t>27BBBBB15693Z5</t>
        </is>
      </c>
      <c r="B15693" t="inlineStr">
        <is>
          <t>Sep-2018</t>
        </is>
      </c>
      <c r="C15693" s="2" t="n">
        <v>44269</v>
      </c>
      <c r="D15693" t="inlineStr">
        <is>
          <t>NIL</t>
        </is>
      </c>
      <c r="E15693" t="n">
        <v>1221</v>
      </c>
    </row>
    <row r="15694">
      <c r="A15694" t="inlineStr">
        <is>
          <t>27BBBBB15694Z5</t>
        </is>
      </c>
      <c r="B15694" t="inlineStr">
        <is>
          <t>Mar-2020</t>
        </is>
      </c>
      <c r="C15694" s="2" t="n">
        <v>43993</v>
      </c>
      <c r="D15694" t="inlineStr">
        <is>
          <t>NIL</t>
        </is>
      </c>
      <c r="E15694" t="n">
        <v>1778</v>
      </c>
    </row>
    <row r="15695">
      <c r="A15695" t="inlineStr">
        <is>
          <t>27BBBBB15695Z5</t>
        </is>
      </c>
      <c r="B15695" t="inlineStr">
        <is>
          <t>Dec-2017</t>
        </is>
      </c>
      <c r="C15695" s="2" t="n">
        <v>43108</v>
      </c>
      <c r="D15695" t="inlineStr">
        <is>
          <t>NON-NIL</t>
        </is>
      </c>
      <c r="E15695" t="n">
        <v>628</v>
      </c>
    </row>
    <row r="15696">
      <c r="A15696" t="inlineStr">
        <is>
          <t>27BBBBB15696Z5</t>
        </is>
      </c>
      <c r="B15696" t="inlineStr">
        <is>
          <t>Apr-2020</t>
        </is>
      </c>
      <c r="C15696" s="2" t="n">
        <v>44315</v>
      </c>
      <c r="D15696" t="inlineStr">
        <is>
          <t>NIL</t>
        </is>
      </c>
      <c r="E15696" t="n">
        <v>922</v>
      </c>
    </row>
    <row r="15697">
      <c r="A15697" t="inlineStr">
        <is>
          <t>27BBBBB15697Z5</t>
        </is>
      </c>
      <c r="B15697" t="inlineStr">
        <is>
          <t>Dec-2022</t>
        </is>
      </c>
      <c r="C15697" s="2" t="n">
        <v>43877</v>
      </c>
      <c r="D15697" t="inlineStr">
        <is>
          <t>NON-NIL</t>
        </is>
      </c>
      <c r="E15697" t="n">
        <v>262</v>
      </c>
    </row>
    <row r="15698">
      <c r="A15698" t="inlineStr">
        <is>
          <t>27BBBBB15698Z5</t>
        </is>
      </c>
      <c r="B15698" t="inlineStr">
        <is>
          <t>Jan-2021</t>
        </is>
      </c>
      <c r="C15698" s="2" t="n">
        <v>43482</v>
      </c>
      <c r="D15698" t="inlineStr">
        <is>
          <t>NON-NIL</t>
        </is>
      </c>
      <c r="E15698" t="n">
        <v>2644</v>
      </c>
    </row>
    <row r="15699">
      <c r="A15699" t="inlineStr">
        <is>
          <t>27BBBBB15699Z5</t>
        </is>
      </c>
      <c r="B15699" t="inlineStr">
        <is>
          <t>Jul-2018</t>
        </is>
      </c>
      <c r="C15699" s="2" t="n">
        <v>44025</v>
      </c>
      <c r="D15699" t="inlineStr">
        <is>
          <t>NON-NIL</t>
        </is>
      </c>
      <c r="E15699" t="n">
        <v>440</v>
      </c>
    </row>
    <row r="15700">
      <c r="A15700" t="inlineStr">
        <is>
          <t>27BBBBB15700Z5</t>
        </is>
      </c>
      <c r="B15700" t="inlineStr">
        <is>
          <t>Jun-2018</t>
        </is>
      </c>
      <c r="C15700" s="2" t="n">
        <v>44486</v>
      </c>
      <c r="D15700" t="inlineStr">
        <is>
          <t>NON-NIL</t>
        </is>
      </c>
      <c r="E15700" t="n">
        <v>368</v>
      </c>
    </row>
    <row r="15701">
      <c r="A15701" t="inlineStr">
        <is>
          <t>27BBBBB15701Z5</t>
        </is>
      </c>
      <c r="B15701" t="inlineStr">
        <is>
          <t>Nov-2017</t>
        </is>
      </c>
      <c r="C15701" s="2" t="n">
        <v>43298</v>
      </c>
      <c r="D15701" t="inlineStr">
        <is>
          <t>NIL</t>
        </is>
      </c>
      <c r="E15701" t="n">
        <v>1741</v>
      </c>
    </row>
    <row r="15702">
      <c r="A15702" t="inlineStr">
        <is>
          <t>27BBBBB15702Z5</t>
        </is>
      </c>
      <c r="B15702" t="inlineStr">
        <is>
          <t>Aug-2018</t>
        </is>
      </c>
      <c r="C15702" s="2" t="n">
        <v>44386</v>
      </c>
      <c r="D15702" t="inlineStr">
        <is>
          <t>NON-NIL</t>
        </is>
      </c>
      <c r="E15702" t="n">
        <v>304</v>
      </c>
    </row>
    <row r="15703">
      <c r="A15703" t="inlineStr">
        <is>
          <t>27BBBBB15703Z5</t>
        </is>
      </c>
      <c r="B15703" t="inlineStr">
        <is>
          <t>May-2018</t>
        </is>
      </c>
      <c r="C15703" s="2" t="n">
        <v>43669</v>
      </c>
      <c r="D15703" t="inlineStr">
        <is>
          <t>NON-NIL</t>
        </is>
      </c>
      <c r="E15703" t="n">
        <v>1628</v>
      </c>
    </row>
    <row r="15704">
      <c r="A15704" t="inlineStr">
        <is>
          <t>27BBBBB15704Z5</t>
        </is>
      </c>
      <c r="B15704" t="inlineStr">
        <is>
          <t>May-2018</t>
        </is>
      </c>
      <c r="C15704" s="2" t="n">
        <v>42946</v>
      </c>
      <c r="D15704" t="inlineStr">
        <is>
          <t>NON-NIL</t>
        </is>
      </c>
      <c r="E15704" t="n">
        <v>2722</v>
      </c>
    </row>
    <row r="15705">
      <c r="A15705" t="inlineStr">
        <is>
          <t>27BBBBB15705Z5</t>
        </is>
      </c>
      <c r="B15705" t="inlineStr">
        <is>
          <t>Jul-2018</t>
        </is>
      </c>
      <c r="C15705" s="2" t="n">
        <v>43822</v>
      </c>
      <c r="D15705" t="inlineStr">
        <is>
          <t>NON-NIL</t>
        </is>
      </c>
      <c r="E15705" t="n">
        <v>1493</v>
      </c>
    </row>
    <row r="15706">
      <c r="A15706" t="inlineStr">
        <is>
          <t>27BBBBB15706Z5</t>
        </is>
      </c>
      <c r="B15706" t="inlineStr">
        <is>
          <t>Mar-2023</t>
        </is>
      </c>
      <c r="C15706" s="2" t="n">
        <v>44857</v>
      </c>
      <c r="D15706" t="inlineStr">
        <is>
          <t>NIL</t>
        </is>
      </c>
      <c r="E15706" t="n">
        <v>1412</v>
      </c>
    </row>
    <row r="15707">
      <c r="A15707" t="inlineStr">
        <is>
          <t>27BBBBB15707Z5</t>
        </is>
      </c>
      <c r="B15707" t="inlineStr">
        <is>
          <t>Mar-2023</t>
        </is>
      </c>
      <c r="C15707" s="2" t="n">
        <v>45256</v>
      </c>
      <c r="D15707" t="inlineStr">
        <is>
          <t>NIL</t>
        </is>
      </c>
      <c r="E15707" t="n">
        <v>1406</v>
      </c>
    </row>
    <row r="15708">
      <c r="A15708" t="inlineStr">
        <is>
          <t>27BBBBB15708Z5</t>
        </is>
      </c>
      <c r="B15708" t="inlineStr">
        <is>
          <t>Jul-2020</t>
        </is>
      </c>
      <c r="C15708" s="2" t="n">
        <v>44778</v>
      </c>
      <c r="D15708" t="inlineStr">
        <is>
          <t>NIL</t>
        </is>
      </c>
      <c r="E15708" t="n">
        <v>890</v>
      </c>
    </row>
    <row r="15709">
      <c r="A15709" t="inlineStr">
        <is>
          <t>27BBBBB15709Z5</t>
        </is>
      </c>
      <c r="B15709" t="inlineStr">
        <is>
          <t>Jul-2018</t>
        </is>
      </c>
      <c r="C15709" s="2" t="n">
        <v>44225</v>
      </c>
      <c r="D15709" t="inlineStr">
        <is>
          <t>NON-NIL</t>
        </is>
      </c>
      <c r="E15709" t="n">
        <v>1958</v>
      </c>
    </row>
    <row r="15710">
      <c r="A15710" t="inlineStr">
        <is>
          <t>27BBBBB15710Z5</t>
        </is>
      </c>
      <c r="B15710" t="inlineStr">
        <is>
          <t>Apr-2018</t>
        </is>
      </c>
      <c r="C15710" s="2" t="n">
        <v>44053</v>
      </c>
      <c r="D15710" t="inlineStr">
        <is>
          <t>NIL</t>
        </is>
      </c>
      <c r="E15710" t="n">
        <v>5</v>
      </c>
    </row>
    <row r="15711">
      <c r="A15711" t="inlineStr">
        <is>
          <t>27BBBBB15711Z5</t>
        </is>
      </c>
      <c r="B15711" t="inlineStr">
        <is>
          <t>Apr-2020</t>
        </is>
      </c>
      <c r="C15711" s="2" t="n">
        <v>44090</v>
      </c>
      <c r="D15711" t="inlineStr">
        <is>
          <t>NIL</t>
        </is>
      </c>
      <c r="E15711" t="n">
        <v>1968</v>
      </c>
    </row>
    <row r="15712">
      <c r="A15712" t="inlineStr">
        <is>
          <t>27BBBBB15712Z5</t>
        </is>
      </c>
      <c r="B15712" t="inlineStr">
        <is>
          <t>Mar-2023</t>
        </is>
      </c>
      <c r="C15712" s="2" t="n">
        <v>45194</v>
      </c>
      <c r="D15712" t="inlineStr">
        <is>
          <t>NON-NIL</t>
        </is>
      </c>
      <c r="E15712" t="n">
        <v>330</v>
      </c>
    </row>
    <row r="15713">
      <c r="A15713" t="inlineStr">
        <is>
          <t>27BBBBB15713Z5</t>
        </is>
      </c>
      <c r="B15713" t="inlineStr">
        <is>
          <t>Jul-2020</t>
        </is>
      </c>
      <c r="C15713" s="2" t="n">
        <v>44444</v>
      </c>
      <c r="D15713" t="inlineStr">
        <is>
          <t>NON-NIL</t>
        </is>
      </c>
      <c r="E15713" t="n">
        <v>647</v>
      </c>
    </row>
    <row r="15714">
      <c r="A15714" t="inlineStr">
        <is>
          <t>27BBBBB15714Z5</t>
        </is>
      </c>
      <c r="B15714" t="inlineStr">
        <is>
          <t>Jan-2018</t>
        </is>
      </c>
      <c r="C15714" s="2" t="n">
        <v>43580</v>
      </c>
      <c r="D15714" t="inlineStr">
        <is>
          <t>NIL</t>
        </is>
      </c>
      <c r="E15714" t="n">
        <v>470</v>
      </c>
    </row>
    <row r="15715">
      <c r="A15715" t="inlineStr">
        <is>
          <t>27BBBBB15715Z5</t>
        </is>
      </c>
      <c r="B15715" t="inlineStr">
        <is>
          <t>May-2020</t>
        </is>
      </c>
      <c r="C15715" s="2" t="n">
        <v>44880</v>
      </c>
      <c r="D15715" t="inlineStr">
        <is>
          <t>NIL</t>
        </is>
      </c>
      <c r="E15715" t="n">
        <v>2686</v>
      </c>
    </row>
    <row r="15716">
      <c r="A15716" t="inlineStr">
        <is>
          <t>27BBBBB15716Z5</t>
        </is>
      </c>
      <c r="B15716" t="inlineStr">
        <is>
          <t>Jul-2020</t>
        </is>
      </c>
      <c r="C15716" s="2" t="n">
        <v>44174</v>
      </c>
      <c r="D15716" t="inlineStr">
        <is>
          <t>NIL</t>
        </is>
      </c>
      <c r="E15716" t="n">
        <v>1106</v>
      </c>
    </row>
    <row r="15717">
      <c r="A15717" t="inlineStr">
        <is>
          <t>27BBBBB15717Z5</t>
        </is>
      </c>
      <c r="B15717" t="inlineStr">
        <is>
          <t>Dec-2024</t>
        </is>
      </c>
      <c r="C15717" s="2" t="n">
        <v>45704</v>
      </c>
      <c r="D15717" t="inlineStr">
        <is>
          <t>NON-NIL</t>
        </is>
      </c>
      <c r="E15717" t="n">
        <v>1400</v>
      </c>
    </row>
    <row r="15718">
      <c r="A15718" t="inlineStr">
        <is>
          <t>27BBBBB15718Z5</t>
        </is>
      </c>
      <c r="B15718" t="inlineStr">
        <is>
          <t>Dec-2018</t>
        </is>
      </c>
      <c r="C15718" s="2" t="n">
        <v>43159</v>
      </c>
      <c r="D15718" t="inlineStr">
        <is>
          <t>NON-NIL</t>
        </is>
      </c>
      <c r="E15718" t="n">
        <v>2759</v>
      </c>
    </row>
    <row r="15719">
      <c r="A15719" t="inlineStr">
        <is>
          <t>27BBBBB15719Z5</t>
        </is>
      </c>
      <c r="B15719" t="inlineStr">
        <is>
          <t>Dec-2024</t>
        </is>
      </c>
      <c r="C15719" s="2" t="n">
        <v>44204</v>
      </c>
      <c r="D15719" t="inlineStr">
        <is>
          <t>NON-NIL</t>
        </is>
      </c>
      <c r="E15719" t="n">
        <v>1884</v>
      </c>
    </row>
    <row r="15720">
      <c r="A15720" t="inlineStr">
        <is>
          <t>27BBBBB15720Z5</t>
        </is>
      </c>
      <c r="B15720" t="inlineStr">
        <is>
          <t>Oct-2017</t>
        </is>
      </c>
      <c r="C15720" s="2" t="n">
        <v>43072</v>
      </c>
      <c r="D15720" t="inlineStr">
        <is>
          <t>NIL</t>
        </is>
      </c>
      <c r="E15720" t="n">
        <v>308</v>
      </c>
    </row>
    <row r="15721">
      <c r="A15721" t="inlineStr">
        <is>
          <t>27BBBBB15721Z5</t>
        </is>
      </c>
      <c r="B15721" t="inlineStr">
        <is>
          <t>Jun-2018</t>
        </is>
      </c>
      <c r="C15721" s="2" t="n">
        <v>43166</v>
      </c>
      <c r="D15721" t="inlineStr">
        <is>
          <t>NON-NIL</t>
        </is>
      </c>
      <c r="E15721" t="n">
        <v>1777</v>
      </c>
    </row>
    <row r="15722">
      <c r="A15722" t="inlineStr">
        <is>
          <t>27BBBBB15722Z5</t>
        </is>
      </c>
      <c r="B15722" t="inlineStr">
        <is>
          <t>Oct-2018</t>
        </is>
      </c>
      <c r="C15722" s="2" t="n">
        <v>43942</v>
      </c>
      <c r="D15722" t="inlineStr">
        <is>
          <t>NIL</t>
        </is>
      </c>
      <c r="E15722" t="n">
        <v>974</v>
      </c>
    </row>
    <row r="15723">
      <c r="A15723" t="inlineStr">
        <is>
          <t>27BBBBB15723Z5</t>
        </is>
      </c>
      <c r="B15723" t="inlineStr">
        <is>
          <t>Mar-2021</t>
        </is>
      </c>
      <c r="C15723" s="2" t="n">
        <v>44929</v>
      </c>
      <c r="D15723" t="inlineStr">
        <is>
          <t>NON-NIL</t>
        </is>
      </c>
      <c r="E15723" t="n">
        <v>318</v>
      </c>
    </row>
    <row r="15724">
      <c r="A15724" t="inlineStr">
        <is>
          <t>27BBBBB15724Z5</t>
        </is>
      </c>
      <c r="B15724" t="inlineStr">
        <is>
          <t>Feb-2018</t>
        </is>
      </c>
      <c r="C15724" s="2" t="n">
        <v>43645</v>
      </c>
      <c r="D15724" t="inlineStr">
        <is>
          <t>NIL</t>
        </is>
      </c>
      <c r="E15724" t="n">
        <v>726</v>
      </c>
    </row>
    <row r="15725">
      <c r="A15725" t="inlineStr">
        <is>
          <t>27BBBBB15725Z5</t>
        </is>
      </c>
      <c r="B15725" t="inlineStr">
        <is>
          <t>Sep-2018</t>
        </is>
      </c>
      <c r="C15725" s="2" t="n">
        <v>43637</v>
      </c>
      <c r="D15725" t="inlineStr">
        <is>
          <t>NIL</t>
        </is>
      </c>
      <c r="E15725" t="n">
        <v>910</v>
      </c>
    </row>
    <row r="15726">
      <c r="A15726" t="inlineStr">
        <is>
          <t>27BBBBB15726Z5</t>
        </is>
      </c>
      <c r="B15726" t="inlineStr">
        <is>
          <t>Jun-2018</t>
        </is>
      </c>
      <c r="C15726" s="2" t="n">
        <v>43079</v>
      </c>
      <c r="D15726" t="inlineStr">
        <is>
          <t>NON-NIL</t>
        </is>
      </c>
      <c r="E15726" t="n">
        <v>180</v>
      </c>
    </row>
    <row r="15727">
      <c r="A15727" t="inlineStr">
        <is>
          <t>27BBBBB15727Z5</t>
        </is>
      </c>
      <c r="B15727" t="inlineStr">
        <is>
          <t>Feb-2018</t>
        </is>
      </c>
      <c r="C15727" s="2" t="n">
        <v>43948</v>
      </c>
      <c r="D15727" t="inlineStr">
        <is>
          <t>NIL</t>
        </is>
      </c>
      <c r="E15727" t="n">
        <v>2501</v>
      </c>
    </row>
    <row r="15728">
      <c r="A15728" t="inlineStr">
        <is>
          <t>27BBBBB15728Z5</t>
        </is>
      </c>
      <c r="B15728" t="inlineStr">
        <is>
          <t>Mar-2021</t>
        </is>
      </c>
      <c r="C15728" s="2" t="n">
        <v>45409</v>
      </c>
      <c r="D15728" t="inlineStr">
        <is>
          <t>NON-NIL</t>
        </is>
      </c>
      <c r="E15728" t="n">
        <v>2090</v>
      </c>
    </row>
    <row r="15729">
      <c r="A15729" t="inlineStr">
        <is>
          <t>27BBBBB15729Z5</t>
        </is>
      </c>
      <c r="B15729" t="inlineStr">
        <is>
          <t>May-2018</t>
        </is>
      </c>
      <c r="C15729" s="2" t="n">
        <v>43045</v>
      </c>
      <c r="D15729" t="inlineStr">
        <is>
          <t>NON-NIL</t>
        </is>
      </c>
      <c r="E15729" t="n">
        <v>2710</v>
      </c>
    </row>
    <row r="15730">
      <c r="A15730" t="inlineStr">
        <is>
          <t>27BBBBB15730Z5</t>
        </is>
      </c>
      <c r="B15730" t="inlineStr">
        <is>
          <t>Jun-2018</t>
        </is>
      </c>
      <c r="C15730" s="2" t="n">
        <v>43422</v>
      </c>
      <c r="D15730" t="inlineStr">
        <is>
          <t>NON-NIL</t>
        </is>
      </c>
      <c r="E15730" t="n">
        <v>733</v>
      </c>
    </row>
    <row r="15731">
      <c r="A15731" t="inlineStr">
        <is>
          <t>27BBBBB15731Z5</t>
        </is>
      </c>
      <c r="B15731" t="inlineStr">
        <is>
          <t>Nov-2018</t>
        </is>
      </c>
      <c r="C15731" s="2" t="n">
        <v>43358</v>
      </c>
      <c r="D15731" t="inlineStr">
        <is>
          <t>NON-NIL</t>
        </is>
      </c>
      <c r="E15731" t="n">
        <v>1552</v>
      </c>
    </row>
    <row r="15732">
      <c r="A15732" t="inlineStr">
        <is>
          <t>27BBBBB15732Z5</t>
        </is>
      </c>
      <c r="B15732" t="inlineStr">
        <is>
          <t>Mar-2018</t>
        </is>
      </c>
      <c r="C15732" s="2" t="n">
        <v>44233</v>
      </c>
      <c r="D15732" t="inlineStr">
        <is>
          <t>NON-NIL</t>
        </is>
      </c>
      <c r="E15732" t="n">
        <v>86</v>
      </c>
    </row>
    <row r="15733">
      <c r="A15733" t="inlineStr">
        <is>
          <t>27BBBBB15733Z5</t>
        </is>
      </c>
      <c r="B15733" t="inlineStr">
        <is>
          <t>May-2020</t>
        </is>
      </c>
      <c r="C15733" s="2" t="n">
        <v>44872</v>
      </c>
      <c r="D15733" t="inlineStr">
        <is>
          <t>NON-NIL</t>
        </is>
      </c>
      <c r="E15733" t="n">
        <v>985</v>
      </c>
    </row>
    <row r="15734">
      <c r="A15734" t="inlineStr">
        <is>
          <t>27BBBBB15734Z5</t>
        </is>
      </c>
      <c r="B15734" t="inlineStr">
        <is>
          <t>Aug-2018</t>
        </is>
      </c>
      <c r="C15734" s="2" t="n">
        <v>43861</v>
      </c>
      <c r="D15734" t="inlineStr">
        <is>
          <t>NON-NIL</t>
        </is>
      </c>
      <c r="E15734" t="n">
        <v>893</v>
      </c>
    </row>
    <row r="15735">
      <c r="A15735" t="inlineStr">
        <is>
          <t>27BBBBB15735Z5</t>
        </is>
      </c>
      <c r="B15735" t="inlineStr">
        <is>
          <t>Jan-2018</t>
        </is>
      </c>
      <c r="C15735" s="2" t="n">
        <v>44072</v>
      </c>
      <c r="D15735" t="inlineStr">
        <is>
          <t>NON-NIL</t>
        </is>
      </c>
      <c r="E15735" t="n">
        <v>2676</v>
      </c>
    </row>
    <row r="15736">
      <c r="A15736" t="inlineStr">
        <is>
          <t>27BBBBB15736Z5</t>
        </is>
      </c>
      <c r="B15736" t="inlineStr">
        <is>
          <t>Mar-2020</t>
        </is>
      </c>
      <c r="C15736" s="2" t="n">
        <v>44532</v>
      </c>
      <c r="D15736" t="inlineStr">
        <is>
          <t>NON-NIL</t>
        </is>
      </c>
      <c r="E15736" t="n">
        <v>1126</v>
      </c>
    </row>
    <row r="15737">
      <c r="A15737" t="inlineStr">
        <is>
          <t>27BBBBB15737Z5</t>
        </is>
      </c>
      <c r="B15737" t="inlineStr">
        <is>
          <t>Nov-2017</t>
        </is>
      </c>
      <c r="C15737" s="2" t="n">
        <v>43205</v>
      </c>
      <c r="D15737" t="inlineStr">
        <is>
          <t>NIL</t>
        </is>
      </c>
      <c r="E15737" t="n">
        <v>304</v>
      </c>
    </row>
    <row r="15738">
      <c r="A15738" t="inlineStr">
        <is>
          <t>27BBBBB15738Z5</t>
        </is>
      </c>
      <c r="B15738" t="inlineStr">
        <is>
          <t>Apr-2018</t>
        </is>
      </c>
      <c r="C15738" s="2" t="n">
        <v>43515</v>
      </c>
      <c r="D15738" t="inlineStr">
        <is>
          <t>NIL</t>
        </is>
      </c>
      <c r="E15738" t="n">
        <v>2183</v>
      </c>
    </row>
    <row r="15739">
      <c r="A15739" t="inlineStr">
        <is>
          <t>27BBBBB15739Z5</t>
        </is>
      </c>
      <c r="B15739" t="inlineStr">
        <is>
          <t>Sep-2017</t>
        </is>
      </c>
      <c r="C15739" s="2" t="n">
        <v>43865</v>
      </c>
      <c r="D15739" t="inlineStr">
        <is>
          <t>NIL</t>
        </is>
      </c>
      <c r="E15739" t="n">
        <v>562</v>
      </c>
    </row>
    <row r="15740">
      <c r="A15740" t="inlineStr">
        <is>
          <t>27BBBBB15740Z5</t>
        </is>
      </c>
      <c r="B15740" t="inlineStr">
        <is>
          <t>Dec-2022</t>
        </is>
      </c>
      <c r="C15740" s="2" t="n">
        <v>44949</v>
      </c>
      <c r="D15740" t="inlineStr">
        <is>
          <t>NIL</t>
        </is>
      </c>
      <c r="E15740" t="n">
        <v>776</v>
      </c>
    </row>
    <row r="15741">
      <c r="A15741" t="inlineStr">
        <is>
          <t>27BBBBB15741Z5</t>
        </is>
      </c>
      <c r="B15741" t="inlineStr">
        <is>
          <t>Jan-2021</t>
        </is>
      </c>
      <c r="C15741" s="2" t="n">
        <v>45474</v>
      </c>
      <c r="D15741" t="inlineStr">
        <is>
          <t>NIL</t>
        </is>
      </c>
      <c r="E15741" t="n">
        <v>1960</v>
      </c>
    </row>
    <row r="15742">
      <c r="A15742" t="inlineStr">
        <is>
          <t>27BBBBB15742Z5</t>
        </is>
      </c>
      <c r="B15742" t="inlineStr">
        <is>
          <t>Nov-2018</t>
        </is>
      </c>
      <c r="C15742" s="2" t="n">
        <v>43142</v>
      </c>
      <c r="D15742" t="inlineStr">
        <is>
          <t>NON-NIL</t>
        </is>
      </c>
      <c r="E15742" t="n">
        <v>745</v>
      </c>
    </row>
    <row r="15743">
      <c r="A15743" t="inlineStr">
        <is>
          <t>27BBBBB15743Z5</t>
        </is>
      </c>
      <c r="B15743" t="inlineStr">
        <is>
          <t>Jan-2018</t>
        </is>
      </c>
      <c r="C15743" s="2" t="n">
        <v>44314</v>
      </c>
      <c r="D15743" t="inlineStr">
        <is>
          <t>NON-NIL</t>
        </is>
      </c>
      <c r="E15743" t="n">
        <v>1208</v>
      </c>
    </row>
    <row r="15744">
      <c r="A15744" t="inlineStr">
        <is>
          <t>27BBBBB15744Z5</t>
        </is>
      </c>
      <c r="B15744" t="inlineStr">
        <is>
          <t>Mar-2020</t>
        </is>
      </c>
      <c r="C15744" s="2" t="n">
        <v>44521</v>
      </c>
      <c r="D15744" t="inlineStr">
        <is>
          <t>NON-NIL</t>
        </is>
      </c>
      <c r="E15744" t="n">
        <v>2458</v>
      </c>
    </row>
    <row r="15745">
      <c r="A15745" t="inlineStr">
        <is>
          <t>27BBBBB15745Z5</t>
        </is>
      </c>
      <c r="B15745" t="inlineStr">
        <is>
          <t>Dec-2024</t>
        </is>
      </c>
      <c r="C15745" s="2" t="n">
        <v>43835</v>
      </c>
      <c r="D15745" t="inlineStr">
        <is>
          <t>NON-NIL</t>
        </is>
      </c>
      <c r="E15745" t="n">
        <v>1297</v>
      </c>
    </row>
    <row r="15746">
      <c r="A15746" t="inlineStr">
        <is>
          <t>27BBBBB15746Z5</t>
        </is>
      </c>
      <c r="B15746" t="inlineStr">
        <is>
          <t>Oct-2018</t>
        </is>
      </c>
      <c r="C15746" s="2" t="n">
        <v>43950</v>
      </c>
      <c r="D15746" t="inlineStr">
        <is>
          <t>NON-NIL</t>
        </is>
      </c>
      <c r="E15746" t="n">
        <v>2861</v>
      </c>
    </row>
    <row r="15747">
      <c r="A15747" t="inlineStr">
        <is>
          <t>27BBBBB15747Z5</t>
        </is>
      </c>
      <c r="B15747" t="inlineStr">
        <is>
          <t>Aug-2017</t>
        </is>
      </c>
      <c r="C15747" s="2" t="n">
        <v>43086</v>
      </c>
      <c r="D15747" t="inlineStr">
        <is>
          <t>NIL</t>
        </is>
      </c>
      <c r="E15747" t="n">
        <v>3000</v>
      </c>
    </row>
    <row r="15748">
      <c r="A15748" t="inlineStr">
        <is>
          <t>27BBBBB15748Z5</t>
        </is>
      </c>
      <c r="B15748" t="inlineStr">
        <is>
          <t>Jul-2018</t>
        </is>
      </c>
      <c r="C15748" s="2" t="n">
        <v>43793</v>
      </c>
      <c r="D15748" t="inlineStr">
        <is>
          <t>NIL</t>
        </is>
      </c>
      <c r="E15748" t="n">
        <v>613</v>
      </c>
    </row>
    <row r="15749">
      <c r="A15749" t="inlineStr">
        <is>
          <t>27BBBBB15749Z5</t>
        </is>
      </c>
      <c r="B15749" t="inlineStr">
        <is>
          <t>Aug-2017</t>
        </is>
      </c>
      <c r="C15749" s="2" t="n">
        <v>44519</v>
      </c>
      <c r="D15749" t="inlineStr">
        <is>
          <t>NON-NIL</t>
        </is>
      </c>
      <c r="E15749" t="n">
        <v>2926</v>
      </c>
    </row>
    <row r="15750">
      <c r="A15750" t="inlineStr">
        <is>
          <t>27BBBBB15750Z5</t>
        </is>
      </c>
      <c r="B15750" t="inlineStr">
        <is>
          <t>Jan-2021</t>
        </is>
      </c>
      <c r="C15750" s="2" t="n">
        <v>44333</v>
      </c>
      <c r="D15750" t="inlineStr">
        <is>
          <t>NIL</t>
        </is>
      </c>
      <c r="E15750" t="n">
        <v>1647</v>
      </c>
    </row>
    <row r="15751">
      <c r="A15751" t="inlineStr">
        <is>
          <t>27BBBBB15751Z5</t>
        </is>
      </c>
      <c r="B15751" t="inlineStr">
        <is>
          <t>Dec-2022</t>
        </is>
      </c>
      <c r="C15751" s="2" t="n">
        <v>43583</v>
      </c>
      <c r="D15751" t="inlineStr">
        <is>
          <t>NON-NIL</t>
        </is>
      </c>
      <c r="E15751" t="n">
        <v>1660</v>
      </c>
    </row>
    <row r="15752">
      <c r="A15752" t="inlineStr">
        <is>
          <t>27BBBBB15752Z5</t>
        </is>
      </c>
      <c r="B15752" t="inlineStr">
        <is>
          <t>Aug-2017</t>
        </is>
      </c>
      <c r="C15752" s="2" t="n">
        <v>43292</v>
      </c>
      <c r="D15752" t="inlineStr">
        <is>
          <t>NON-NIL</t>
        </is>
      </c>
      <c r="E15752" t="n">
        <v>1395</v>
      </c>
    </row>
    <row r="15753">
      <c r="A15753" t="inlineStr">
        <is>
          <t>27BBBBB15753Z5</t>
        </is>
      </c>
      <c r="B15753" t="inlineStr">
        <is>
          <t>Apr-2020</t>
        </is>
      </c>
      <c r="C15753" s="2" t="n">
        <v>44406</v>
      </c>
      <c r="D15753" t="inlineStr">
        <is>
          <t>NON-NIL</t>
        </is>
      </c>
      <c r="E15753" t="n">
        <v>1084</v>
      </c>
    </row>
    <row r="15754">
      <c r="A15754" t="inlineStr">
        <is>
          <t>27BBBBB15754Z5</t>
        </is>
      </c>
      <c r="B15754" t="inlineStr">
        <is>
          <t>Dec-2022</t>
        </is>
      </c>
      <c r="C15754" s="2" t="n">
        <v>44042</v>
      </c>
      <c r="D15754" t="inlineStr">
        <is>
          <t>NON-NIL</t>
        </is>
      </c>
      <c r="E15754" t="n">
        <v>950</v>
      </c>
    </row>
    <row r="15755">
      <c r="A15755" t="inlineStr">
        <is>
          <t>27BBBBB15755Z5</t>
        </is>
      </c>
      <c r="B15755" t="inlineStr">
        <is>
          <t>Jan-2021</t>
        </is>
      </c>
      <c r="C15755" s="2" t="n">
        <v>44475</v>
      </c>
      <c r="D15755" t="inlineStr">
        <is>
          <t>NON-NIL</t>
        </is>
      </c>
      <c r="E15755" t="n">
        <v>2376</v>
      </c>
    </row>
    <row r="15756">
      <c r="A15756" t="inlineStr">
        <is>
          <t>27BBBBB15756Z5</t>
        </is>
      </c>
      <c r="B15756" t="inlineStr">
        <is>
          <t>Dec-2024</t>
        </is>
      </c>
      <c r="C15756" s="2" t="n">
        <v>45762</v>
      </c>
      <c r="D15756" t="inlineStr">
        <is>
          <t>NIL</t>
        </is>
      </c>
      <c r="E15756" t="n">
        <v>1308</v>
      </c>
    </row>
    <row r="15757">
      <c r="A15757" t="inlineStr">
        <is>
          <t>27BBBBB15757Z5</t>
        </is>
      </c>
      <c r="B15757" t="inlineStr">
        <is>
          <t>Dec-2022</t>
        </is>
      </c>
      <c r="C15757" s="2" t="n">
        <v>44475</v>
      </c>
      <c r="D15757" t="inlineStr">
        <is>
          <t>NIL</t>
        </is>
      </c>
      <c r="E15757" t="n">
        <v>2589</v>
      </c>
    </row>
    <row r="15758">
      <c r="A15758" t="inlineStr">
        <is>
          <t>27BBBBB15758Z5</t>
        </is>
      </c>
      <c r="B15758" t="inlineStr">
        <is>
          <t>Dec-2018</t>
        </is>
      </c>
      <c r="C15758" s="2" t="n">
        <v>44263</v>
      </c>
      <c r="D15758" t="inlineStr">
        <is>
          <t>NIL</t>
        </is>
      </c>
      <c r="E15758" t="n">
        <v>1783</v>
      </c>
    </row>
    <row r="15759">
      <c r="A15759" t="inlineStr">
        <is>
          <t>27BBBBB15759Z5</t>
        </is>
      </c>
      <c r="B15759" t="inlineStr">
        <is>
          <t>Apr-2020</t>
        </is>
      </c>
      <c r="C15759" s="2" t="n">
        <v>44472</v>
      </c>
      <c r="D15759" t="inlineStr">
        <is>
          <t>NON-NIL</t>
        </is>
      </c>
      <c r="E15759" t="n">
        <v>2585</v>
      </c>
    </row>
    <row r="15760">
      <c r="A15760" t="inlineStr">
        <is>
          <t>27BBBBB15760Z5</t>
        </is>
      </c>
      <c r="B15760" t="inlineStr">
        <is>
          <t>Dec-2018</t>
        </is>
      </c>
      <c r="C15760" s="2" t="n">
        <v>43834</v>
      </c>
      <c r="D15760" t="inlineStr">
        <is>
          <t>NIL</t>
        </is>
      </c>
      <c r="E15760" t="n">
        <v>861</v>
      </c>
    </row>
    <row r="15761">
      <c r="A15761" t="inlineStr">
        <is>
          <t>27BBBBB15761Z5</t>
        </is>
      </c>
      <c r="B15761" t="inlineStr">
        <is>
          <t>Jul-2017</t>
        </is>
      </c>
      <c r="C15761" s="2" t="n">
        <v>43855</v>
      </c>
      <c r="D15761" t="inlineStr">
        <is>
          <t>NON-NIL</t>
        </is>
      </c>
      <c r="E15761" t="n">
        <v>1274</v>
      </c>
    </row>
    <row r="15762">
      <c r="A15762" t="inlineStr">
        <is>
          <t>27BBBBB15762Z5</t>
        </is>
      </c>
      <c r="B15762" t="inlineStr">
        <is>
          <t>May-2018</t>
        </is>
      </c>
      <c r="C15762" s="2" t="n">
        <v>44261</v>
      </c>
      <c r="D15762" t="inlineStr">
        <is>
          <t>NIL</t>
        </is>
      </c>
      <c r="E15762" t="n">
        <v>194</v>
      </c>
    </row>
    <row r="15763">
      <c r="A15763" t="inlineStr">
        <is>
          <t>27BBBBB15763Z5</t>
        </is>
      </c>
      <c r="B15763" t="inlineStr">
        <is>
          <t>Jul-2020</t>
        </is>
      </c>
      <c r="C15763" s="2" t="n">
        <v>44549</v>
      </c>
      <c r="D15763" t="inlineStr">
        <is>
          <t>NIL</t>
        </is>
      </c>
      <c r="E15763" t="n">
        <v>2786</v>
      </c>
    </row>
    <row r="15764">
      <c r="A15764" t="inlineStr">
        <is>
          <t>27BBBBB15764Z5</t>
        </is>
      </c>
      <c r="B15764" t="inlineStr">
        <is>
          <t>Nov-2017</t>
        </is>
      </c>
      <c r="C15764" s="2" t="n">
        <v>43287</v>
      </c>
      <c r="D15764" t="inlineStr">
        <is>
          <t>NIL</t>
        </is>
      </c>
      <c r="E15764" t="n">
        <v>1642</v>
      </c>
    </row>
    <row r="15765">
      <c r="A15765" t="inlineStr">
        <is>
          <t>27BBBBB15765Z5</t>
        </is>
      </c>
      <c r="B15765" t="inlineStr">
        <is>
          <t>Jan-2018</t>
        </is>
      </c>
      <c r="C15765" s="2" t="n">
        <v>44010</v>
      </c>
      <c r="D15765" t="inlineStr">
        <is>
          <t>NON-NIL</t>
        </is>
      </c>
      <c r="E15765" t="n">
        <v>240</v>
      </c>
    </row>
    <row r="15766">
      <c r="A15766" t="inlineStr">
        <is>
          <t>27BBBBB15766Z5</t>
        </is>
      </c>
      <c r="B15766" t="inlineStr">
        <is>
          <t>Sep-2018</t>
        </is>
      </c>
      <c r="C15766" s="2" t="n">
        <v>44270</v>
      </c>
      <c r="D15766" t="inlineStr">
        <is>
          <t>NIL</t>
        </is>
      </c>
      <c r="E15766" t="n">
        <v>1420</v>
      </c>
    </row>
    <row r="15767">
      <c r="A15767" t="inlineStr">
        <is>
          <t>27BBBBB15767Z5</t>
        </is>
      </c>
      <c r="B15767" t="inlineStr">
        <is>
          <t>Dec-2024</t>
        </is>
      </c>
      <c r="C15767" s="2" t="n">
        <v>44231</v>
      </c>
      <c r="D15767" t="inlineStr">
        <is>
          <t>NIL</t>
        </is>
      </c>
      <c r="E15767" t="n">
        <v>2153</v>
      </c>
    </row>
    <row r="15768">
      <c r="A15768" t="inlineStr">
        <is>
          <t>27BBBBB15768Z5</t>
        </is>
      </c>
      <c r="B15768" t="inlineStr">
        <is>
          <t>Oct-2017</t>
        </is>
      </c>
      <c r="C15768" s="2" t="n">
        <v>43688</v>
      </c>
      <c r="D15768" t="inlineStr">
        <is>
          <t>NON-NIL</t>
        </is>
      </c>
      <c r="E15768" t="n">
        <v>1975</v>
      </c>
    </row>
    <row r="15769">
      <c r="A15769" t="inlineStr">
        <is>
          <t>27BBBBB15769Z5</t>
        </is>
      </c>
      <c r="B15769" t="inlineStr">
        <is>
          <t>May-2018</t>
        </is>
      </c>
      <c r="C15769" s="2" t="n">
        <v>43192</v>
      </c>
      <c r="D15769" t="inlineStr">
        <is>
          <t>NON-NIL</t>
        </is>
      </c>
      <c r="E15769" t="n">
        <v>2585</v>
      </c>
    </row>
    <row r="15770">
      <c r="A15770" t="inlineStr">
        <is>
          <t>27BBBBB15770Z5</t>
        </is>
      </c>
      <c r="B15770" t="inlineStr">
        <is>
          <t>Sep-2018</t>
        </is>
      </c>
      <c r="C15770" s="2" t="n">
        <v>43493</v>
      </c>
      <c r="D15770" t="inlineStr">
        <is>
          <t>NON-NIL</t>
        </is>
      </c>
      <c r="E15770" t="n">
        <v>1087</v>
      </c>
    </row>
    <row r="15771">
      <c r="A15771" t="inlineStr">
        <is>
          <t>27BBBBB15771Z5</t>
        </is>
      </c>
      <c r="B15771" t="inlineStr">
        <is>
          <t>Sep-2017</t>
        </is>
      </c>
      <c r="C15771" s="2" t="n">
        <v>43651</v>
      </c>
      <c r="D15771" t="inlineStr">
        <is>
          <t>NON-NIL</t>
        </is>
      </c>
      <c r="E15771" t="n">
        <v>1034</v>
      </c>
    </row>
    <row r="15772">
      <c r="A15772" t="inlineStr">
        <is>
          <t>27BBBBB15772Z5</t>
        </is>
      </c>
      <c r="B15772" t="inlineStr">
        <is>
          <t>Dec-2018</t>
        </is>
      </c>
      <c r="C15772" s="2" t="n">
        <v>42943</v>
      </c>
      <c r="D15772" t="inlineStr">
        <is>
          <t>NON-NIL</t>
        </is>
      </c>
      <c r="E15772" t="n">
        <v>1568</v>
      </c>
    </row>
    <row r="15773">
      <c r="A15773" t="inlineStr">
        <is>
          <t>27BBBBB15773Z5</t>
        </is>
      </c>
      <c r="B15773" t="inlineStr">
        <is>
          <t>Jan-2018</t>
        </is>
      </c>
      <c r="C15773" s="2" t="n">
        <v>43087</v>
      </c>
      <c r="D15773" t="inlineStr">
        <is>
          <t>NON-NIL</t>
        </is>
      </c>
      <c r="E15773" t="n">
        <v>2938</v>
      </c>
    </row>
    <row r="15774">
      <c r="A15774" t="inlineStr">
        <is>
          <t>27BBBBB15774Z5</t>
        </is>
      </c>
      <c r="B15774" t="inlineStr">
        <is>
          <t>Apr-2018</t>
        </is>
      </c>
      <c r="C15774" s="2" t="n">
        <v>44000</v>
      </c>
      <c r="D15774" t="inlineStr">
        <is>
          <t>NON-NIL</t>
        </is>
      </c>
      <c r="E15774" t="n">
        <v>2501</v>
      </c>
    </row>
    <row r="15775">
      <c r="A15775" t="inlineStr">
        <is>
          <t>27BBBBB15775Z5</t>
        </is>
      </c>
      <c r="B15775" t="inlineStr">
        <is>
          <t>Dec-2024</t>
        </is>
      </c>
      <c r="C15775" s="2" t="n">
        <v>44397</v>
      </c>
      <c r="D15775" t="inlineStr">
        <is>
          <t>NON-NIL</t>
        </is>
      </c>
      <c r="E15775" t="n">
        <v>946</v>
      </c>
    </row>
    <row r="15776">
      <c r="A15776" t="inlineStr">
        <is>
          <t>27BBBBB15776Z5</t>
        </is>
      </c>
      <c r="B15776" t="inlineStr">
        <is>
          <t>Aug-2018</t>
        </is>
      </c>
      <c r="C15776" s="2" t="n">
        <v>43166</v>
      </c>
      <c r="D15776" t="inlineStr">
        <is>
          <t>NIL</t>
        </is>
      </c>
      <c r="E15776" t="n">
        <v>1008</v>
      </c>
    </row>
    <row r="15777">
      <c r="A15777" t="inlineStr">
        <is>
          <t>27BBBBB15777Z5</t>
        </is>
      </c>
      <c r="B15777" t="inlineStr">
        <is>
          <t>Dec-2018</t>
        </is>
      </c>
      <c r="C15777" s="2" t="n">
        <v>43822</v>
      </c>
      <c r="D15777" t="inlineStr">
        <is>
          <t>NON-NIL</t>
        </is>
      </c>
      <c r="E15777" t="n">
        <v>2255</v>
      </c>
    </row>
    <row r="15778">
      <c r="A15778" t="inlineStr">
        <is>
          <t>27BBBBB15778Z5</t>
        </is>
      </c>
      <c r="B15778" t="inlineStr">
        <is>
          <t>Sep-2018</t>
        </is>
      </c>
      <c r="C15778" s="2" t="n">
        <v>43120</v>
      </c>
      <c r="D15778" t="inlineStr">
        <is>
          <t>NON-NIL</t>
        </is>
      </c>
      <c r="E15778" t="n">
        <v>1055</v>
      </c>
    </row>
    <row r="15779">
      <c r="A15779" t="inlineStr">
        <is>
          <t>27BBBBB15779Z5</t>
        </is>
      </c>
      <c r="B15779" t="inlineStr">
        <is>
          <t>Apr-2018</t>
        </is>
      </c>
      <c r="C15779" s="2" t="n">
        <v>43628</v>
      </c>
      <c r="D15779" t="inlineStr">
        <is>
          <t>NON-NIL</t>
        </is>
      </c>
      <c r="E15779" t="n">
        <v>2774</v>
      </c>
    </row>
    <row r="15780">
      <c r="A15780" t="inlineStr">
        <is>
          <t>27BBBBB15780Z5</t>
        </is>
      </c>
      <c r="B15780" t="inlineStr">
        <is>
          <t>Apr-2020</t>
        </is>
      </c>
      <c r="C15780" s="2" t="n">
        <v>43890</v>
      </c>
      <c r="D15780" t="inlineStr">
        <is>
          <t>NIL</t>
        </is>
      </c>
      <c r="E15780" t="n">
        <v>230</v>
      </c>
    </row>
    <row r="15781">
      <c r="A15781" t="inlineStr">
        <is>
          <t>27BBBBB15781Z5</t>
        </is>
      </c>
      <c r="B15781" t="inlineStr">
        <is>
          <t>Aug-2017</t>
        </is>
      </c>
      <c r="C15781" s="2" t="n">
        <v>44539</v>
      </c>
      <c r="D15781" t="inlineStr">
        <is>
          <t>NON-NIL</t>
        </is>
      </c>
      <c r="E15781" t="n">
        <v>851</v>
      </c>
    </row>
    <row r="15782">
      <c r="A15782" t="inlineStr">
        <is>
          <t>27BBBBB15782Z5</t>
        </is>
      </c>
      <c r="B15782" t="inlineStr">
        <is>
          <t>Feb-2018</t>
        </is>
      </c>
      <c r="C15782" s="2" t="n">
        <v>43156</v>
      </c>
      <c r="D15782" t="inlineStr">
        <is>
          <t>NON-NIL</t>
        </is>
      </c>
      <c r="E15782" t="n">
        <v>1160</v>
      </c>
    </row>
    <row r="15783">
      <c r="A15783" t="inlineStr">
        <is>
          <t>27BBBBB15783Z5</t>
        </is>
      </c>
      <c r="B15783" t="inlineStr">
        <is>
          <t>Jul-2017</t>
        </is>
      </c>
      <c r="C15783" s="2" t="n">
        <v>44333</v>
      </c>
      <c r="D15783" t="inlineStr">
        <is>
          <t>NIL</t>
        </is>
      </c>
      <c r="E15783" t="n">
        <v>1914</v>
      </c>
    </row>
    <row r="15784">
      <c r="A15784" t="inlineStr">
        <is>
          <t>27BBBBB15784Z5</t>
        </is>
      </c>
      <c r="B15784" t="inlineStr">
        <is>
          <t>Mar-2023</t>
        </is>
      </c>
      <c r="C15784" s="2" t="n">
        <v>45805</v>
      </c>
      <c r="D15784" t="inlineStr">
        <is>
          <t>NON-NIL</t>
        </is>
      </c>
      <c r="E15784" t="n">
        <v>1518</v>
      </c>
    </row>
    <row r="15785">
      <c r="A15785" t="inlineStr">
        <is>
          <t>27BBBBB15785Z5</t>
        </is>
      </c>
      <c r="B15785" t="inlineStr">
        <is>
          <t>Nov-2018</t>
        </is>
      </c>
      <c r="C15785" s="2" t="n">
        <v>44070</v>
      </c>
      <c r="D15785" t="inlineStr">
        <is>
          <t>NIL</t>
        </is>
      </c>
      <c r="E15785" t="n">
        <v>1191</v>
      </c>
    </row>
    <row r="15786">
      <c r="A15786" t="inlineStr">
        <is>
          <t>27BBBBB15786Z5</t>
        </is>
      </c>
      <c r="B15786" t="inlineStr">
        <is>
          <t>Mar-2020</t>
        </is>
      </c>
      <c r="C15786" s="2" t="n">
        <v>44748</v>
      </c>
      <c r="D15786" t="inlineStr">
        <is>
          <t>NON-NIL</t>
        </is>
      </c>
      <c r="E15786" t="n">
        <v>1491</v>
      </c>
    </row>
    <row r="15787">
      <c r="A15787" t="inlineStr">
        <is>
          <t>27BBBBB15787Z5</t>
        </is>
      </c>
      <c r="B15787" t="inlineStr">
        <is>
          <t>Jun-2020</t>
        </is>
      </c>
      <c r="C15787" s="2" t="n">
        <v>43994</v>
      </c>
      <c r="D15787" t="inlineStr">
        <is>
          <t>NIL</t>
        </is>
      </c>
      <c r="E15787" t="n">
        <v>2925</v>
      </c>
    </row>
    <row r="15788">
      <c r="A15788" t="inlineStr">
        <is>
          <t>27BBBBB15788Z5</t>
        </is>
      </c>
      <c r="B15788" t="inlineStr">
        <is>
          <t>Oct-2017</t>
        </is>
      </c>
      <c r="C15788" s="2" t="n">
        <v>43896</v>
      </c>
      <c r="D15788" t="inlineStr">
        <is>
          <t>NON-NIL</t>
        </is>
      </c>
      <c r="E15788" t="n">
        <v>2353</v>
      </c>
    </row>
    <row r="15789">
      <c r="A15789" t="inlineStr">
        <is>
          <t>27BBBBB15789Z5</t>
        </is>
      </c>
      <c r="B15789" t="inlineStr">
        <is>
          <t>Apr-2020</t>
        </is>
      </c>
      <c r="C15789" s="2" t="n">
        <v>44280</v>
      </c>
      <c r="D15789" t="inlineStr">
        <is>
          <t>NIL</t>
        </is>
      </c>
      <c r="E15789" t="n">
        <v>1895</v>
      </c>
    </row>
    <row r="15790">
      <c r="A15790" t="inlineStr">
        <is>
          <t>27BBBBB15790Z5</t>
        </is>
      </c>
      <c r="B15790" t="inlineStr">
        <is>
          <t>Mar-2020</t>
        </is>
      </c>
      <c r="C15790" s="2" t="n">
        <v>44747</v>
      </c>
      <c r="D15790" t="inlineStr">
        <is>
          <t>NON-NIL</t>
        </is>
      </c>
      <c r="E15790" t="n">
        <v>1938</v>
      </c>
    </row>
    <row r="15791">
      <c r="A15791" t="inlineStr">
        <is>
          <t>27BBBBB15791Z5</t>
        </is>
      </c>
      <c r="B15791" t="inlineStr">
        <is>
          <t>Jun-2020</t>
        </is>
      </c>
      <c r="C15791" s="2" t="n">
        <v>43887</v>
      </c>
      <c r="D15791" t="inlineStr">
        <is>
          <t>NON-NIL</t>
        </is>
      </c>
      <c r="E15791" t="n">
        <v>1969</v>
      </c>
    </row>
    <row r="15792">
      <c r="A15792" t="inlineStr">
        <is>
          <t>27BBBBB15792Z5</t>
        </is>
      </c>
      <c r="B15792" t="inlineStr">
        <is>
          <t>Aug-2017</t>
        </is>
      </c>
      <c r="C15792" s="2" t="n">
        <v>43813</v>
      </c>
      <c r="D15792" t="inlineStr">
        <is>
          <t>NON-NIL</t>
        </is>
      </c>
      <c r="E15792" t="n">
        <v>1843</v>
      </c>
    </row>
    <row r="15793">
      <c r="A15793" t="inlineStr">
        <is>
          <t>27BBBBB15793Z5</t>
        </is>
      </c>
      <c r="B15793" t="inlineStr">
        <is>
          <t>Jul-2020</t>
        </is>
      </c>
      <c r="C15793" s="2" t="n">
        <v>43948</v>
      </c>
      <c r="D15793" t="inlineStr">
        <is>
          <t>NIL</t>
        </is>
      </c>
      <c r="E15793" t="n">
        <v>1214</v>
      </c>
    </row>
    <row r="15794">
      <c r="A15794" t="inlineStr">
        <is>
          <t>27BBBBB15794Z5</t>
        </is>
      </c>
      <c r="B15794" t="inlineStr">
        <is>
          <t>Dec-2024</t>
        </is>
      </c>
      <c r="C15794" s="2" t="n">
        <v>44059</v>
      </c>
      <c r="D15794" t="inlineStr">
        <is>
          <t>NON-NIL</t>
        </is>
      </c>
      <c r="E15794" t="n">
        <v>2751</v>
      </c>
    </row>
    <row r="15795">
      <c r="A15795" t="inlineStr">
        <is>
          <t>27BBBBB15795Z5</t>
        </is>
      </c>
      <c r="B15795" t="inlineStr">
        <is>
          <t>Nov-2017</t>
        </is>
      </c>
      <c r="C15795" s="2" t="n">
        <v>43867</v>
      </c>
      <c r="D15795" t="inlineStr">
        <is>
          <t>NON-NIL</t>
        </is>
      </c>
      <c r="E15795" t="n">
        <v>2532</v>
      </c>
    </row>
    <row r="15796">
      <c r="A15796" t="inlineStr">
        <is>
          <t>27BBBBB15796Z5</t>
        </is>
      </c>
      <c r="B15796" t="inlineStr">
        <is>
          <t>Jun-2018</t>
        </is>
      </c>
      <c r="C15796" s="2" t="n">
        <v>44110</v>
      </c>
      <c r="D15796" t="inlineStr">
        <is>
          <t>NON-NIL</t>
        </is>
      </c>
      <c r="E15796" t="n">
        <v>949</v>
      </c>
    </row>
    <row r="15797">
      <c r="A15797" t="inlineStr">
        <is>
          <t>27BBBBB15797Z5</t>
        </is>
      </c>
      <c r="B15797" t="inlineStr">
        <is>
          <t>Jan-2021</t>
        </is>
      </c>
      <c r="C15797" s="2" t="n">
        <v>44658</v>
      </c>
      <c r="D15797" t="inlineStr">
        <is>
          <t>NIL</t>
        </is>
      </c>
      <c r="E15797" t="n">
        <v>223</v>
      </c>
    </row>
    <row r="15798">
      <c r="A15798" t="inlineStr">
        <is>
          <t>27BBBBB15798Z5</t>
        </is>
      </c>
      <c r="B15798" t="inlineStr">
        <is>
          <t>Sep-2018</t>
        </is>
      </c>
      <c r="C15798" s="2" t="n">
        <v>44500</v>
      </c>
      <c r="D15798" t="inlineStr">
        <is>
          <t>NON-NIL</t>
        </is>
      </c>
      <c r="E15798" t="n">
        <v>1250</v>
      </c>
    </row>
    <row r="15799">
      <c r="A15799" t="inlineStr">
        <is>
          <t>27BBBBB15799Z5</t>
        </is>
      </c>
      <c r="B15799" t="inlineStr">
        <is>
          <t>Feb-2018</t>
        </is>
      </c>
      <c r="C15799" s="2" t="n">
        <v>43027</v>
      </c>
      <c r="D15799" t="inlineStr">
        <is>
          <t>NIL</t>
        </is>
      </c>
      <c r="E15799" t="n">
        <v>2618</v>
      </c>
    </row>
    <row r="15800">
      <c r="A15800" t="inlineStr">
        <is>
          <t>27BBBBB15800Z5</t>
        </is>
      </c>
      <c r="B15800" t="inlineStr">
        <is>
          <t>Dec-2017</t>
        </is>
      </c>
      <c r="C15800" s="2" t="n">
        <v>42959</v>
      </c>
      <c r="D15800" t="inlineStr">
        <is>
          <t>NIL</t>
        </is>
      </c>
      <c r="E15800" t="n">
        <v>2977</v>
      </c>
    </row>
    <row r="15801">
      <c r="A15801" t="inlineStr">
        <is>
          <t>27BBBBB15801Z5</t>
        </is>
      </c>
      <c r="B15801" t="inlineStr">
        <is>
          <t>Mar-2018</t>
        </is>
      </c>
      <c r="C15801" s="2" t="n">
        <v>42980</v>
      </c>
      <c r="D15801" t="inlineStr">
        <is>
          <t>NIL</t>
        </is>
      </c>
      <c r="E15801" t="n">
        <v>2112</v>
      </c>
    </row>
    <row r="15802">
      <c r="A15802" t="inlineStr">
        <is>
          <t>27BBBBB15802Z5</t>
        </is>
      </c>
      <c r="B15802" t="inlineStr">
        <is>
          <t>Mar-2018</t>
        </is>
      </c>
      <c r="C15802" s="2" t="n">
        <v>43142</v>
      </c>
      <c r="D15802" t="inlineStr">
        <is>
          <t>NON-NIL</t>
        </is>
      </c>
      <c r="E15802" t="n">
        <v>2896</v>
      </c>
    </row>
    <row r="15803">
      <c r="A15803" t="inlineStr">
        <is>
          <t>27BBBBB15803Z5</t>
        </is>
      </c>
      <c r="B15803" t="inlineStr">
        <is>
          <t>Apr-2018</t>
        </is>
      </c>
      <c r="C15803" s="2" t="n">
        <v>43299</v>
      </c>
      <c r="D15803" t="inlineStr">
        <is>
          <t>NIL</t>
        </is>
      </c>
      <c r="E15803" t="n">
        <v>816</v>
      </c>
    </row>
    <row r="15804">
      <c r="A15804" t="inlineStr">
        <is>
          <t>27BBBBB15804Z5</t>
        </is>
      </c>
      <c r="B15804" t="inlineStr">
        <is>
          <t>Jun-2018</t>
        </is>
      </c>
      <c r="C15804" s="2" t="n">
        <v>44119</v>
      </c>
      <c r="D15804" t="inlineStr">
        <is>
          <t>NON-NIL</t>
        </is>
      </c>
      <c r="E15804" t="n">
        <v>110</v>
      </c>
    </row>
    <row r="15805">
      <c r="A15805" t="inlineStr">
        <is>
          <t>27BBBBB15805Z5</t>
        </is>
      </c>
      <c r="B15805" t="inlineStr">
        <is>
          <t>Jun-2018</t>
        </is>
      </c>
      <c r="C15805" s="2" t="n">
        <v>43339</v>
      </c>
      <c r="D15805" t="inlineStr">
        <is>
          <t>NON-NIL</t>
        </is>
      </c>
      <c r="E15805" t="n">
        <v>2824</v>
      </c>
    </row>
    <row r="15806">
      <c r="A15806" t="inlineStr">
        <is>
          <t>27BBBBB15806Z5</t>
        </is>
      </c>
      <c r="B15806" t="inlineStr">
        <is>
          <t>Mar-2023</t>
        </is>
      </c>
      <c r="C15806" s="2" t="n">
        <v>44121</v>
      </c>
      <c r="D15806" t="inlineStr">
        <is>
          <t>NON-NIL</t>
        </is>
      </c>
      <c r="E15806" t="n">
        <v>2097</v>
      </c>
    </row>
    <row r="15807">
      <c r="A15807" t="inlineStr">
        <is>
          <t>27BBBBB15807Z5</t>
        </is>
      </c>
      <c r="B15807" t="inlineStr">
        <is>
          <t>Apr-2020</t>
        </is>
      </c>
      <c r="C15807" s="2" t="n">
        <v>44837</v>
      </c>
      <c r="D15807" t="inlineStr">
        <is>
          <t>NON-NIL</t>
        </is>
      </c>
      <c r="E15807" t="n">
        <v>1173</v>
      </c>
    </row>
    <row r="15808">
      <c r="A15808" t="inlineStr">
        <is>
          <t>27BBBBB15808Z5</t>
        </is>
      </c>
      <c r="B15808" t="inlineStr">
        <is>
          <t>Dec-2022</t>
        </is>
      </c>
      <c r="C15808" s="2" t="n">
        <v>45577</v>
      </c>
      <c r="D15808" t="inlineStr">
        <is>
          <t>NIL</t>
        </is>
      </c>
      <c r="E15808" t="n">
        <v>2527</v>
      </c>
    </row>
    <row r="15809">
      <c r="A15809" t="inlineStr">
        <is>
          <t>27BBBBB15809Z5</t>
        </is>
      </c>
      <c r="B15809" t="inlineStr">
        <is>
          <t>Apr-2018</t>
        </is>
      </c>
      <c r="C15809" s="2" t="n">
        <v>43977</v>
      </c>
      <c r="D15809" t="inlineStr">
        <is>
          <t>NON-NIL</t>
        </is>
      </c>
      <c r="E15809" t="n">
        <v>463</v>
      </c>
    </row>
    <row r="15810">
      <c r="A15810" t="inlineStr">
        <is>
          <t>27BBBBB15810Z5</t>
        </is>
      </c>
      <c r="B15810" t="inlineStr">
        <is>
          <t>Nov-2017</t>
        </is>
      </c>
      <c r="C15810" s="2" t="n">
        <v>43768</v>
      </c>
      <c r="D15810" t="inlineStr">
        <is>
          <t>NIL</t>
        </is>
      </c>
      <c r="E15810" t="n">
        <v>1155</v>
      </c>
    </row>
    <row r="15811">
      <c r="A15811" t="inlineStr">
        <is>
          <t>27BBBBB15811Z5</t>
        </is>
      </c>
      <c r="B15811" t="inlineStr">
        <is>
          <t>Dec-2017</t>
        </is>
      </c>
      <c r="C15811" s="2" t="n">
        <v>44483</v>
      </c>
      <c r="D15811" t="inlineStr">
        <is>
          <t>NON-NIL</t>
        </is>
      </c>
      <c r="E15811" t="n">
        <v>1876</v>
      </c>
    </row>
    <row r="15812">
      <c r="A15812" t="inlineStr">
        <is>
          <t>27BBBBB15812Z5</t>
        </is>
      </c>
      <c r="B15812" t="inlineStr">
        <is>
          <t>Nov-2017</t>
        </is>
      </c>
      <c r="C15812" s="2" t="n">
        <v>43464</v>
      </c>
      <c r="D15812" t="inlineStr">
        <is>
          <t>NIL</t>
        </is>
      </c>
      <c r="E15812" t="n">
        <v>1955</v>
      </c>
    </row>
    <row r="15813">
      <c r="A15813" t="inlineStr">
        <is>
          <t>27BBBBB15813Z5</t>
        </is>
      </c>
      <c r="B15813" t="inlineStr">
        <is>
          <t>Sep-2017</t>
        </is>
      </c>
      <c r="C15813" s="2" t="n">
        <v>44273</v>
      </c>
      <c r="D15813" t="inlineStr">
        <is>
          <t>NON-NIL</t>
        </is>
      </c>
      <c r="E15813" t="n">
        <v>126</v>
      </c>
    </row>
    <row r="15814">
      <c r="A15814" t="inlineStr">
        <is>
          <t>27BBBBB15814Z5</t>
        </is>
      </c>
      <c r="B15814" t="inlineStr">
        <is>
          <t>Nov-2018</t>
        </is>
      </c>
      <c r="C15814" s="2" t="n">
        <v>43300</v>
      </c>
      <c r="D15814" t="inlineStr">
        <is>
          <t>NON-NIL</t>
        </is>
      </c>
      <c r="E15814" t="n">
        <v>1638</v>
      </c>
    </row>
    <row r="15815">
      <c r="A15815" t="inlineStr">
        <is>
          <t>27BBBBB15815Z5</t>
        </is>
      </c>
      <c r="B15815" t="inlineStr">
        <is>
          <t>Feb-2018</t>
        </is>
      </c>
      <c r="C15815" s="2" t="n">
        <v>44312</v>
      </c>
      <c r="D15815" t="inlineStr">
        <is>
          <t>NIL</t>
        </is>
      </c>
      <c r="E15815" t="n">
        <v>2260</v>
      </c>
    </row>
    <row r="15816">
      <c r="A15816" t="inlineStr">
        <is>
          <t>27BBBBB15816Z5</t>
        </is>
      </c>
      <c r="B15816" t="inlineStr">
        <is>
          <t>Dec-2024</t>
        </is>
      </c>
      <c r="C15816" s="2" t="n">
        <v>44127</v>
      </c>
      <c r="D15816" t="inlineStr">
        <is>
          <t>NIL</t>
        </is>
      </c>
      <c r="E15816" t="n">
        <v>431</v>
      </c>
    </row>
    <row r="15817">
      <c r="A15817" t="inlineStr">
        <is>
          <t>27BBBBB15817Z5</t>
        </is>
      </c>
      <c r="B15817" t="inlineStr">
        <is>
          <t>May-2018</t>
        </is>
      </c>
      <c r="C15817" s="2" t="n">
        <v>44509</v>
      </c>
      <c r="D15817" t="inlineStr">
        <is>
          <t>NON-NIL</t>
        </is>
      </c>
      <c r="E15817" t="n">
        <v>1212</v>
      </c>
    </row>
    <row r="15818">
      <c r="A15818" t="inlineStr">
        <is>
          <t>27BBBBB15818Z5</t>
        </is>
      </c>
      <c r="B15818" t="inlineStr">
        <is>
          <t>Mar-2023</t>
        </is>
      </c>
      <c r="C15818" s="2" t="n">
        <v>43588</v>
      </c>
      <c r="D15818" t="inlineStr">
        <is>
          <t>NIL</t>
        </is>
      </c>
      <c r="E15818" t="n">
        <v>1224</v>
      </c>
    </row>
    <row r="15819">
      <c r="A15819" t="inlineStr">
        <is>
          <t>27BBBBB15819Z5</t>
        </is>
      </c>
      <c r="B15819" t="inlineStr">
        <is>
          <t>Jul-2017</t>
        </is>
      </c>
      <c r="C15819" s="2" t="n">
        <v>43127</v>
      </c>
      <c r="D15819" t="inlineStr">
        <is>
          <t>NON-NIL</t>
        </is>
      </c>
      <c r="E15819" t="n">
        <v>574</v>
      </c>
    </row>
    <row r="15820">
      <c r="A15820" t="inlineStr">
        <is>
          <t>27BBBBB15820Z5</t>
        </is>
      </c>
      <c r="B15820" t="inlineStr">
        <is>
          <t>Jul-2020</t>
        </is>
      </c>
      <c r="C15820" s="2" t="n">
        <v>44502</v>
      </c>
      <c r="D15820" t="inlineStr">
        <is>
          <t>NIL</t>
        </is>
      </c>
      <c r="E15820" t="n">
        <v>875</v>
      </c>
    </row>
    <row r="15821">
      <c r="A15821" t="inlineStr">
        <is>
          <t>27BBBBB15821Z5</t>
        </is>
      </c>
      <c r="B15821" t="inlineStr">
        <is>
          <t>Aug-2017</t>
        </is>
      </c>
      <c r="C15821" s="2" t="n">
        <v>44296</v>
      </c>
      <c r="D15821" t="inlineStr">
        <is>
          <t>NIL</t>
        </is>
      </c>
      <c r="E15821" t="n">
        <v>2974</v>
      </c>
    </row>
    <row r="15822">
      <c r="A15822" t="inlineStr">
        <is>
          <t>27BBBBB15822Z5</t>
        </is>
      </c>
      <c r="B15822" t="inlineStr">
        <is>
          <t>Jul-2018</t>
        </is>
      </c>
      <c r="C15822" s="2" t="n">
        <v>44206</v>
      </c>
      <c r="D15822" t="inlineStr">
        <is>
          <t>NON-NIL</t>
        </is>
      </c>
      <c r="E15822" t="n">
        <v>1593</v>
      </c>
    </row>
    <row r="15823">
      <c r="A15823" t="inlineStr">
        <is>
          <t>27BBBBB15823Z5</t>
        </is>
      </c>
      <c r="B15823" t="inlineStr">
        <is>
          <t>Mar-2023</t>
        </is>
      </c>
      <c r="C15823" s="2" t="n">
        <v>44498</v>
      </c>
      <c r="D15823" t="inlineStr">
        <is>
          <t>NIL</t>
        </is>
      </c>
      <c r="E15823" t="n">
        <v>2038</v>
      </c>
    </row>
    <row r="15824">
      <c r="A15824" t="inlineStr">
        <is>
          <t>27BBBBB15824Z5</t>
        </is>
      </c>
      <c r="B15824" t="inlineStr">
        <is>
          <t>Dec-2024</t>
        </is>
      </c>
      <c r="C15824" s="2" t="n">
        <v>44482</v>
      </c>
      <c r="D15824" t="inlineStr">
        <is>
          <t>NIL</t>
        </is>
      </c>
      <c r="E15824" t="n">
        <v>2751</v>
      </c>
    </row>
    <row r="15825">
      <c r="A15825" t="inlineStr">
        <is>
          <t>27BBBBB15825Z5</t>
        </is>
      </c>
      <c r="B15825" t="inlineStr">
        <is>
          <t>Jan-2018</t>
        </is>
      </c>
      <c r="C15825" s="2" t="n">
        <v>43618</v>
      </c>
      <c r="D15825" t="inlineStr">
        <is>
          <t>NIL</t>
        </is>
      </c>
      <c r="E15825" t="n">
        <v>2449</v>
      </c>
    </row>
    <row r="15826">
      <c r="A15826" t="inlineStr">
        <is>
          <t>27BBBBB15826Z5</t>
        </is>
      </c>
      <c r="B15826" t="inlineStr">
        <is>
          <t>Apr-2020</t>
        </is>
      </c>
      <c r="C15826" s="2" t="n">
        <v>44418</v>
      </c>
      <c r="D15826" t="inlineStr">
        <is>
          <t>NON-NIL</t>
        </is>
      </c>
      <c r="E15826" t="n">
        <v>2863</v>
      </c>
    </row>
    <row r="15827">
      <c r="A15827" t="inlineStr">
        <is>
          <t>27BBBBB15827Z5</t>
        </is>
      </c>
      <c r="B15827" t="inlineStr">
        <is>
          <t>Jul-2018</t>
        </is>
      </c>
      <c r="C15827" s="2" t="n">
        <v>43883</v>
      </c>
      <c r="D15827" t="inlineStr">
        <is>
          <t>NIL</t>
        </is>
      </c>
      <c r="E15827" t="n">
        <v>2974</v>
      </c>
    </row>
    <row r="15828">
      <c r="A15828" t="inlineStr">
        <is>
          <t>27BBBBB15828Z5</t>
        </is>
      </c>
      <c r="B15828" t="inlineStr">
        <is>
          <t>Jul-2018</t>
        </is>
      </c>
      <c r="C15828" s="2" t="n">
        <v>43999</v>
      </c>
      <c r="D15828" t="inlineStr">
        <is>
          <t>NIL</t>
        </is>
      </c>
      <c r="E15828" t="n">
        <v>271</v>
      </c>
    </row>
    <row r="15829">
      <c r="A15829" t="inlineStr">
        <is>
          <t>27BBBBB15829Z5</t>
        </is>
      </c>
      <c r="B15829" t="inlineStr">
        <is>
          <t>Jul-2020</t>
        </is>
      </c>
      <c r="C15829" s="2" t="n">
        <v>44033</v>
      </c>
      <c r="D15829" t="inlineStr">
        <is>
          <t>NIL</t>
        </is>
      </c>
      <c r="E15829" t="n">
        <v>1185</v>
      </c>
    </row>
    <row r="15830">
      <c r="A15830" t="inlineStr">
        <is>
          <t>27BBBBB15830Z5</t>
        </is>
      </c>
      <c r="B15830" t="inlineStr">
        <is>
          <t>Sep-2017</t>
        </is>
      </c>
      <c r="C15830" s="2" t="n">
        <v>43435</v>
      </c>
      <c r="D15830" t="inlineStr">
        <is>
          <t>NON-NIL</t>
        </is>
      </c>
      <c r="E15830" t="n">
        <v>2864</v>
      </c>
    </row>
    <row r="15831">
      <c r="A15831" t="inlineStr">
        <is>
          <t>27BBBBB15831Z5</t>
        </is>
      </c>
      <c r="B15831" t="inlineStr">
        <is>
          <t>Sep-2017</t>
        </is>
      </c>
      <c r="C15831" s="2" t="n">
        <v>43841</v>
      </c>
      <c r="D15831" t="inlineStr">
        <is>
          <t>NON-NIL</t>
        </is>
      </c>
      <c r="E15831" t="n">
        <v>2400</v>
      </c>
    </row>
    <row r="15832">
      <c r="A15832" t="inlineStr">
        <is>
          <t>27BBBBB15832Z5</t>
        </is>
      </c>
      <c r="B15832" t="inlineStr">
        <is>
          <t>Aug-2017</t>
        </is>
      </c>
      <c r="C15832" s="2" t="n">
        <v>43761</v>
      </c>
      <c r="D15832" t="inlineStr">
        <is>
          <t>NON-NIL</t>
        </is>
      </c>
      <c r="E15832" t="n">
        <v>2705</v>
      </c>
    </row>
    <row r="15833">
      <c r="A15833" t="inlineStr">
        <is>
          <t>27BBBBB15833Z5</t>
        </is>
      </c>
      <c r="B15833" t="inlineStr">
        <is>
          <t>Aug-2018</t>
        </is>
      </c>
      <c r="C15833" s="2" t="n">
        <v>43327</v>
      </c>
      <c r="D15833" t="inlineStr">
        <is>
          <t>NON-NIL</t>
        </is>
      </c>
      <c r="E15833" t="n">
        <v>2997</v>
      </c>
    </row>
    <row r="15834">
      <c r="A15834" t="inlineStr">
        <is>
          <t>27BBBBB15834Z5</t>
        </is>
      </c>
      <c r="B15834" t="inlineStr">
        <is>
          <t>Sep-2017</t>
        </is>
      </c>
      <c r="C15834" s="2" t="n">
        <v>43088</v>
      </c>
      <c r="D15834" t="inlineStr">
        <is>
          <t>NON-NIL</t>
        </is>
      </c>
      <c r="E15834" t="n">
        <v>2968</v>
      </c>
    </row>
    <row r="15835">
      <c r="A15835" t="inlineStr">
        <is>
          <t>27BBBBB15835Z5</t>
        </is>
      </c>
      <c r="B15835" t="inlineStr">
        <is>
          <t>Jul-2020</t>
        </is>
      </c>
      <c r="C15835" s="2" t="n">
        <v>43851</v>
      </c>
      <c r="D15835" t="inlineStr">
        <is>
          <t>NIL</t>
        </is>
      </c>
      <c r="E15835" t="n">
        <v>2456</v>
      </c>
    </row>
    <row r="15836">
      <c r="A15836" t="inlineStr">
        <is>
          <t>27BBBBB15836Z5</t>
        </is>
      </c>
      <c r="B15836" t="inlineStr">
        <is>
          <t>Aug-2017</t>
        </is>
      </c>
      <c r="C15836" s="2" t="n">
        <v>43982</v>
      </c>
      <c r="D15836" t="inlineStr">
        <is>
          <t>NON-NIL</t>
        </is>
      </c>
      <c r="E15836" t="n">
        <v>2301</v>
      </c>
    </row>
    <row r="15837">
      <c r="A15837" t="inlineStr">
        <is>
          <t>27BBBBB15837Z5</t>
        </is>
      </c>
      <c r="B15837" t="inlineStr">
        <is>
          <t>Jun-2018</t>
        </is>
      </c>
      <c r="C15837" s="2" t="n">
        <v>43355</v>
      </c>
      <c r="D15837" t="inlineStr">
        <is>
          <t>NIL</t>
        </is>
      </c>
      <c r="E15837" t="n">
        <v>263</v>
      </c>
    </row>
    <row r="15838">
      <c r="A15838" t="inlineStr">
        <is>
          <t>27BBBBB15838Z5</t>
        </is>
      </c>
      <c r="B15838" t="inlineStr">
        <is>
          <t>Jan-2018</t>
        </is>
      </c>
      <c r="C15838" s="2" t="n">
        <v>44238</v>
      </c>
      <c r="D15838" t="inlineStr">
        <is>
          <t>NON-NIL</t>
        </is>
      </c>
      <c r="E15838" t="n">
        <v>1527</v>
      </c>
    </row>
    <row r="15839">
      <c r="A15839" t="inlineStr">
        <is>
          <t>27BBBBB15839Z5</t>
        </is>
      </c>
      <c r="B15839" t="inlineStr">
        <is>
          <t>Sep-2018</t>
        </is>
      </c>
      <c r="C15839" s="2" t="n">
        <v>43080</v>
      </c>
      <c r="D15839" t="inlineStr">
        <is>
          <t>NON-NIL</t>
        </is>
      </c>
      <c r="E15839" t="n">
        <v>2671</v>
      </c>
    </row>
    <row r="15840">
      <c r="A15840" t="inlineStr">
        <is>
          <t>27BBBBB15840Z5</t>
        </is>
      </c>
      <c r="B15840" t="inlineStr">
        <is>
          <t>Apr-2020</t>
        </is>
      </c>
      <c r="C15840" s="2" t="n">
        <v>44454</v>
      </c>
      <c r="D15840" t="inlineStr">
        <is>
          <t>NIL</t>
        </is>
      </c>
      <c r="E15840" t="n">
        <v>1686</v>
      </c>
    </row>
    <row r="15841">
      <c r="A15841" t="inlineStr">
        <is>
          <t>27BBBBB15841Z5</t>
        </is>
      </c>
      <c r="B15841" t="inlineStr">
        <is>
          <t>May-2018</t>
        </is>
      </c>
      <c r="C15841" s="2" t="n">
        <v>43586</v>
      </c>
      <c r="D15841" t="inlineStr">
        <is>
          <t>NIL</t>
        </is>
      </c>
      <c r="E15841" t="n">
        <v>561</v>
      </c>
    </row>
    <row r="15842">
      <c r="A15842" t="inlineStr">
        <is>
          <t>27BBBBB15842Z5</t>
        </is>
      </c>
      <c r="B15842" t="inlineStr">
        <is>
          <t>Feb-2018</t>
        </is>
      </c>
      <c r="C15842" s="2" t="n">
        <v>43222</v>
      </c>
      <c r="D15842" t="inlineStr">
        <is>
          <t>NON-NIL</t>
        </is>
      </c>
      <c r="E15842" t="n">
        <v>937</v>
      </c>
    </row>
    <row r="15843">
      <c r="A15843" t="inlineStr">
        <is>
          <t>27BBBBB15843Z5</t>
        </is>
      </c>
      <c r="B15843" t="inlineStr">
        <is>
          <t>Jan-2018</t>
        </is>
      </c>
      <c r="C15843" s="2" t="n">
        <v>43853</v>
      </c>
      <c r="D15843" t="inlineStr">
        <is>
          <t>NIL</t>
        </is>
      </c>
      <c r="E15843" t="n">
        <v>2173</v>
      </c>
    </row>
    <row r="15844">
      <c r="A15844" t="inlineStr">
        <is>
          <t>27BBBBB15844Z5</t>
        </is>
      </c>
      <c r="B15844" t="inlineStr">
        <is>
          <t>Jul-2017</t>
        </is>
      </c>
      <c r="C15844" s="2" t="n">
        <v>43289</v>
      </c>
      <c r="D15844" t="inlineStr">
        <is>
          <t>NON-NIL</t>
        </is>
      </c>
      <c r="E15844" t="n">
        <v>182</v>
      </c>
    </row>
    <row r="15845">
      <c r="A15845" t="inlineStr">
        <is>
          <t>27BBBBB15845Z5</t>
        </is>
      </c>
      <c r="B15845" t="inlineStr">
        <is>
          <t>May-2020</t>
        </is>
      </c>
      <c r="C15845" s="2" t="n">
        <v>44099</v>
      </c>
      <c r="D15845" t="inlineStr">
        <is>
          <t>NIL</t>
        </is>
      </c>
      <c r="E15845" t="n">
        <v>1752</v>
      </c>
    </row>
    <row r="15846">
      <c r="A15846" t="inlineStr">
        <is>
          <t>27BBBBB15846Z5</t>
        </is>
      </c>
      <c r="B15846" t="inlineStr">
        <is>
          <t>Jul-2018</t>
        </is>
      </c>
      <c r="C15846" s="2" t="n">
        <v>43664</v>
      </c>
      <c r="D15846" t="inlineStr">
        <is>
          <t>NIL</t>
        </is>
      </c>
      <c r="E15846" t="n">
        <v>2211</v>
      </c>
    </row>
    <row r="15847">
      <c r="A15847" t="inlineStr">
        <is>
          <t>27BBBBB15847Z5</t>
        </is>
      </c>
      <c r="B15847" t="inlineStr">
        <is>
          <t>May-2020</t>
        </is>
      </c>
      <c r="C15847" s="2" t="n">
        <v>44179</v>
      </c>
      <c r="D15847" t="inlineStr">
        <is>
          <t>NON-NIL</t>
        </is>
      </c>
      <c r="E15847" t="n">
        <v>1169</v>
      </c>
    </row>
    <row r="15848">
      <c r="A15848" t="inlineStr">
        <is>
          <t>27BBBBB15848Z5</t>
        </is>
      </c>
      <c r="B15848" t="inlineStr">
        <is>
          <t>Dec-2024</t>
        </is>
      </c>
      <c r="C15848" s="2" t="n">
        <v>45705</v>
      </c>
      <c r="D15848" t="inlineStr">
        <is>
          <t>NIL</t>
        </is>
      </c>
      <c r="E15848" t="n">
        <v>1020</v>
      </c>
    </row>
    <row r="15849">
      <c r="A15849" t="inlineStr">
        <is>
          <t>27BBBBB15849Z5</t>
        </is>
      </c>
      <c r="B15849" t="inlineStr">
        <is>
          <t>Jun-2020</t>
        </is>
      </c>
      <c r="C15849" s="2" t="n">
        <v>44073</v>
      </c>
      <c r="D15849" t="inlineStr">
        <is>
          <t>NIL</t>
        </is>
      </c>
      <c r="E15849" t="n">
        <v>605</v>
      </c>
    </row>
    <row r="15850">
      <c r="A15850" t="inlineStr">
        <is>
          <t>27BBBBB15850Z5</t>
        </is>
      </c>
      <c r="B15850" t="inlineStr">
        <is>
          <t>Mar-2018</t>
        </is>
      </c>
      <c r="C15850" s="2" t="n">
        <v>43362</v>
      </c>
      <c r="D15850" t="inlineStr">
        <is>
          <t>NIL</t>
        </is>
      </c>
      <c r="E15850" t="n">
        <v>2582</v>
      </c>
    </row>
    <row r="15851">
      <c r="A15851" t="inlineStr">
        <is>
          <t>27BBBBB15851Z5</t>
        </is>
      </c>
      <c r="B15851" t="inlineStr">
        <is>
          <t>Mar-2018</t>
        </is>
      </c>
      <c r="C15851" s="2" t="n">
        <v>44100</v>
      </c>
      <c r="D15851" t="inlineStr">
        <is>
          <t>NON-NIL</t>
        </is>
      </c>
      <c r="E15851" t="n">
        <v>2075</v>
      </c>
    </row>
    <row r="15852">
      <c r="A15852" t="inlineStr">
        <is>
          <t>27BBBBB15852Z5</t>
        </is>
      </c>
      <c r="B15852" t="inlineStr">
        <is>
          <t>May-2018</t>
        </is>
      </c>
      <c r="C15852" s="2" t="n">
        <v>43802</v>
      </c>
      <c r="D15852" t="inlineStr">
        <is>
          <t>NON-NIL</t>
        </is>
      </c>
      <c r="E15852" t="n">
        <v>2577</v>
      </c>
    </row>
    <row r="15853">
      <c r="A15853" t="inlineStr">
        <is>
          <t>27BBBBB15853Z5</t>
        </is>
      </c>
      <c r="B15853" t="inlineStr">
        <is>
          <t>Apr-2018</t>
        </is>
      </c>
      <c r="C15853" s="2" t="n">
        <v>44289</v>
      </c>
      <c r="D15853" t="inlineStr">
        <is>
          <t>NIL</t>
        </is>
      </c>
      <c r="E15853" t="n">
        <v>2893</v>
      </c>
    </row>
    <row r="15854">
      <c r="A15854" t="inlineStr">
        <is>
          <t>27BBBBB15854Z5</t>
        </is>
      </c>
      <c r="B15854" t="inlineStr">
        <is>
          <t>Jan-2018</t>
        </is>
      </c>
      <c r="C15854" s="2" t="n">
        <v>43184</v>
      </c>
      <c r="D15854" t="inlineStr">
        <is>
          <t>NIL</t>
        </is>
      </c>
      <c r="E15854" t="n">
        <v>2973</v>
      </c>
    </row>
    <row r="15855">
      <c r="A15855" t="inlineStr">
        <is>
          <t>27BBBBB15855Z5</t>
        </is>
      </c>
      <c r="B15855" t="inlineStr">
        <is>
          <t>Aug-2017</t>
        </is>
      </c>
      <c r="C15855" s="2" t="n">
        <v>43905</v>
      </c>
      <c r="D15855" t="inlineStr">
        <is>
          <t>NIL</t>
        </is>
      </c>
      <c r="E15855" t="n">
        <v>160</v>
      </c>
    </row>
    <row r="15856">
      <c r="A15856" t="inlineStr">
        <is>
          <t>27BBBBB15856Z5</t>
        </is>
      </c>
      <c r="B15856" t="inlineStr">
        <is>
          <t>Dec-2018</t>
        </is>
      </c>
      <c r="C15856" s="2" t="n">
        <v>44488</v>
      </c>
      <c r="D15856" t="inlineStr">
        <is>
          <t>NON-NIL</t>
        </is>
      </c>
      <c r="E15856" t="n">
        <v>605</v>
      </c>
    </row>
    <row r="15857">
      <c r="A15857" t="inlineStr">
        <is>
          <t>27BBBBB15857Z5</t>
        </is>
      </c>
      <c r="B15857" t="inlineStr">
        <is>
          <t>Jun-2018</t>
        </is>
      </c>
      <c r="C15857" s="2" t="n">
        <v>43695</v>
      </c>
      <c r="D15857" t="inlineStr">
        <is>
          <t>NON-NIL</t>
        </is>
      </c>
      <c r="E15857" t="n">
        <v>2293</v>
      </c>
    </row>
    <row r="15858">
      <c r="A15858" t="inlineStr">
        <is>
          <t>27BBBBB15858Z5</t>
        </is>
      </c>
      <c r="B15858" t="inlineStr">
        <is>
          <t>Mar-2020</t>
        </is>
      </c>
      <c r="C15858" s="2" t="n">
        <v>44147</v>
      </c>
      <c r="D15858" t="inlineStr">
        <is>
          <t>NON-NIL</t>
        </is>
      </c>
      <c r="E15858" t="n">
        <v>2059</v>
      </c>
    </row>
    <row r="15859">
      <c r="A15859" t="inlineStr">
        <is>
          <t>27BBBBB15859Z5</t>
        </is>
      </c>
      <c r="B15859" t="inlineStr">
        <is>
          <t>Dec-2024</t>
        </is>
      </c>
      <c r="C15859" s="2" t="n">
        <v>45593</v>
      </c>
      <c r="D15859" t="inlineStr">
        <is>
          <t>NIL</t>
        </is>
      </c>
      <c r="E15859" t="n">
        <v>1446</v>
      </c>
    </row>
    <row r="15860">
      <c r="A15860" t="inlineStr">
        <is>
          <t>27BBBBB15860Z5</t>
        </is>
      </c>
      <c r="B15860" t="inlineStr">
        <is>
          <t>Apr-2020</t>
        </is>
      </c>
      <c r="C15860" s="2" t="n">
        <v>43956</v>
      </c>
      <c r="D15860" t="inlineStr">
        <is>
          <t>NON-NIL</t>
        </is>
      </c>
      <c r="E15860" t="n">
        <v>2946</v>
      </c>
    </row>
    <row r="15861">
      <c r="A15861" t="inlineStr">
        <is>
          <t>27BBBBB15861Z5</t>
        </is>
      </c>
      <c r="B15861" t="inlineStr">
        <is>
          <t>Sep-2017</t>
        </is>
      </c>
      <c r="C15861" s="2" t="n">
        <v>44102</v>
      </c>
      <c r="D15861" t="inlineStr">
        <is>
          <t>NIL</t>
        </is>
      </c>
      <c r="E15861" t="n">
        <v>2390</v>
      </c>
    </row>
    <row r="15862">
      <c r="A15862" t="inlineStr">
        <is>
          <t>27BBBBB15862Z5</t>
        </is>
      </c>
      <c r="B15862" t="inlineStr">
        <is>
          <t>Jan-2021</t>
        </is>
      </c>
      <c r="C15862" s="2" t="n">
        <v>44101</v>
      </c>
      <c r="D15862" t="inlineStr">
        <is>
          <t>NIL</t>
        </is>
      </c>
      <c r="E15862" t="n">
        <v>303</v>
      </c>
    </row>
    <row r="15863">
      <c r="A15863" t="inlineStr">
        <is>
          <t>27BBBBB15863Z5</t>
        </is>
      </c>
      <c r="B15863" t="inlineStr">
        <is>
          <t>Mar-2018</t>
        </is>
      </c>
      <c r="C15863" s="2" t="n">
        <v>43254</v>
      </c>
      <c r="D15863" t="inlineStr">
        <is>
          <t>NON-NIL</t>
        </is>
      </c>
      <c r="E15863" t="n">
        <v>1258</v>
      </c>
    </row>
    <row r="15864">
      <c r="A15864" t="inlineStr">
        <is>
          <t>27BBBBB15864Z5</t>
        </is>
      </c>
      <c r="B15864" t="inlineStr">
        <is>
          <t>Nov-2018</t>
        </is>
      </c>
      <c r="C15864" s="2" t="n">
        <v>43482</v>
      </c>
      <c r="D15864" t="inlineStr">
        <is>
          <t>NON-NIL</t>
        </is>
      </c>
      <c r="E15864" t="n">
        <v>2816</v>
      </c>
    </row>
    <row r="15865">
      <c r="A15865" t="inlineStr">
        <is>
          <t>27BBBBB15865Z5</t>
        </is>
      </c>
      <c r="B15865" t="inlineStr">
        <is>
          <t>Mar-2021</t>
        </is>
      </c>
      <c r="C15865" s="2" t="n">
        <v>45180</v>
      </c>
      <c r="D15865" t="inlineStr">
        <is>
          <t>NON-NIL</t>
        </is>
      </c>
      <c r="E15865" t="n">
        <v>273</v>
      </c>
    </row>
    <row r="15866">
      <c r="A15866" t="inlineStr">
        <is>
          <t>27BBBBB15866Z5</t>
        </is>
      </c>
      <c r="B15866" t="inlineStr">
        <is>
          <t>Sep-2018</t>
        </is>
      </c>
      <c r="C15866" s="2" t="n">
        <v>43399</v>
      </c>
      <c r="D15866" t="inlineStr">
        <is>
          <t>NIL</t>
        </is>
      </c>
      <c r="E15866" t="n">
        <v>1110</v>
      </c>
    </row>
    <row r="15867">
      <c r="A15867" t="inlineStr">
        <is>
          <t>27BBBBB15867Z5</t>
        </is>
      </c>
      <c r="B15867" t="inlineStr">
        <is>
          <t>Oct-2017</t>
        </is>
      </c>
      <c r="C15867" s="2" t="n">
        <v>43039</v>
      </c>
      <c r="D15867" t="inlineStr">
        <is>
          <t>NON-NIL</t>
        </is>
      </c>
      <c r="E15867" t="n">
        <v>2207</v>
      </c>
    </row>
    <row r="15868">
      <c r="A15868" t="inlineStr">
        <is>
          <t>27BBBBB15868Z5</t>
        </is>
      </c>
      <c r="B15868" t="inlineStr">
        <is>
          <t>Feb-2018</t>
        </is>
      </c>
      <c r="C15868" s="2" t="n">
        <v>43544</v>
      </c>
      <c r="D15868" t="inlineStr">
        <is>
          <t>NON-NIL</t>
        </is>
      </c>
      <c r="E15868" t="n">
        <v>401</v>
      </c>
    </row>
    <row r="15869">
      <c r="A15869" t="inlineStr">
        <is>
          <t>27BBBBB15869Z5</t>
        </is>
      </c>
      <c r="B15869" t="inlineStr">
        <is>
          <t>Dec-2018</t>
        </is>
      </c>
      <c r="C15869" s="2" t="n">
        <v>43958</v>
      </c>
      <c r="D15869" t="inlineStr">
        <is>
          <t>NON-NIL</t>
        </is>
      </c>
      <c r="E15869" t="n">
        <v>1436</v>
      </c>
    </row>
    <row r="15870">
      <c r="A15870" t="inlineStr">
        <is>
          <t>27BBBBB15870Z5</t>
        </is>
      </c>
      <c r="B15870" t="inlineStr">
        <is>
          <t>Dec-2017</t>
        </is>
      </c>
      <c r="C15870" s="2" t="n">
        <v>43431</v>
      </c>
      <c r="D15870" t="inlineStr">
        <is>
          <t>NIL</t>
        </is>
      </c>
      <c r="E15870" t="n">
        <v>1183</v>
      </c>
    </row>
    <row r="15871">
      <c r="A15871" t="inlineStr">
        <is>
          <t>27BBBBB15871Z5</t>
        </is>
      </c>
      <c r="B15871" t="inlineStr">
        <is>
          <t>Jun-2020</t>
        </is>
      </c>
      <c r="C15871" s="2" t="n">
        <v>44476</v>
      </c>
      <c r="D15871" t="inlineStr">
        <is>
          <t>NIL</t>
        </is>
      </c>
      <c r="E15871" t="n">
        <v>1217</v>
      </c>
    </row>
    <row r="15872">
      <c r="A15872" t="inlineStr">
        <is>
          <t>27BBBBB15872Z5</t>
        </is>
      </c>
      <c r="B15872" t="inlineStr">
        <is>
          <t>Feb-2018</t>
        </is>
      </c>
      <c r="C15872" s="2" t="n">
        <v>43737</v>
      </c>
      <c r="D15872" t="inlineStr">
        <is>
          <t>NIL</t>
        </is>
      </c>
      <c r="E15872" t="n">
        <v>328</v>
      </c>
    </row>
    <row r="15873">
      <c r="A15873" t="inlineStr">
        <is>
          <t>27BBBBB15873Z5</t>
        </is>
      </c>
      <c r="B15873" t="inlineStr">
        <is>
          <t>Oct-2018</t>
        </is>
      </c>
      <c r="C15873" s="2" t="n">
        <v>43029</v>
      </c>
      <c r="D15873" t="inlineStr">
        <is>
          <t>NIL</t>
        </is>
      </c>
      <c r="E15873" t="n">
        <v>2210</v>
      </c>
    </row>
    <row r="15874">
      <c r="A15874" t="inlineStr">
        <is>
          <t>27BBBBB15874Z5</t>
        </is>
      </c>
      <c r="B15874" t="inlineStr">
        <is>
          <t>Sep-2018</t>
        </is>
      </c>
      <c r="C15874" s="2" t="n">
        <v>44103</v>
      </c>
      <c r="D15874" t="inlineStr">
        <is>
          <t>NON-NIL</t>
        </is>
      </c>
      <c r="E15874" t="n">
        <v>35</v>
      </c>
    </row>
    <row r="15875">
      <c r="A15875" t="inlineStr">
        <is>
          <t>27BBBBB15875Z5</t>
        </is>
      </c>
      <c r="B15875" t="inlineStr">
        <is>
          <t>Aug-2017</t>
        </is>
      </c>
      <c r="C15875" s="2" t="n">
        <v>44550</v>
      </c>
      <c r="D15875" t="inlineStr">
        <is>
          <t>NON-NIL</t>
        </is>
      </c>
      <c r="E15875" t="n">
        <v>2819</v>
      </c>
    </row>
    <row r="15876">
      <c r="A15876" t="inlineStr">
        <is>
          <t>27BBBBB15876Z5</t>
        </is>
      </c>
      <c r="B15876" t="inlineStr">
        <is>
          <t>Jul-2017</t>
        </is>
      </c>
      <c r="C15876" s="2" t="n">
        <v>44029</v>
      </c>
      <c r="D15876" t="inlineStr">
        <is>
          <t>NON-NIL</t>
        </is>
      </c>
      <c r="E15876" t="n">
        <v>799</v>
      </c>
    </row>
    <row r="15877">
      <c r="A15877" t="inlineStr">
        <is>
          <t>27BBBBB15877Z5</t>
        </is>
      </c>
      <c r="B15877" t="inlineStr">
        <is>
          <t>Dec-2017</t>
        </is>
      </c>
      <c r="C15877" s="2" t="n">
        <v>43151</v>
      </c>
      <c r="D15877" t="inlineStr">
        <is>
          <t>NON-NIL</t>
        </is>
      </c>
      <c r="E15877" t="n">
        <v>1455</v>
      </c>
    </row>
    <row r="15878">
      <c r="A15878" t="inlineStr">
        <is>
          <t>27BBBBB15878Z5</t>
        </is>
      </c>
      <c r="B15878" t="inlineStr">
        <is>
          <t>Sep-2018</t>
        </is>
      </c>
      <c r="C15878" s="2" t="n">
        <v>43649</v>
      </c>
      <c r="D15878" t="inlineStr">
        <is>
          <t>NIL</t>
        </is>
      </c>
      <c r="E15878" t="n">
        <v>1174</v>
      </c>
    </row>
    <row r="15879">
      <c r="A15879" t="inlineStr">
        <is>
          <t>27BBBBB15879Z5</t>
        </is>
      </c>
      <c r="B15879" t="inlineStr">
        <is>
          <t>Mar-2023</t>
        </is>
      </c>
      <c r="C15879" s="2" t="n">
        <v>45121</v>
      </c>
      <c r="D15879" t="inlineStr">
        <is>
          <t>NON-NIL</t>
        </is>
      </c>
      <c r="E15879" t="n">
        <v>1133</v>
      </c>
    </row>
    <row r="15880">
      <c r="A15880" t="inlineStr">
        <is>
          <t>27BBBBB15880Z5</t>
        </is>
      </c>
      <c r="B15880" t="inlineStr">
        <is>
          <t>Jul-2018</t>
        </is>
      </c>
      <c r="C15880" s="2" t="n">
        <v>42944</v>
      </c>
      <c r="D15880" t="inlineStr">
        <is>
          <t>NON-NIL</t>
        </is>
      </c>
      <c r="E15880" t="n">
        <v>1653</v>
      </c>
    </row>
    <row r="15881">
      <c r="A15881" t="inlineStr">
        <is>
          <t>27BBBBB15881Z5</t>
        </is>
      </c>
      <c r="B15881" t="inlineStr">
        <is>
          <t>May-2020</t>
        </is>
      </c>
      <c r="C15881" s="2" t="n">
        <v>44921</v>
      </c>
      <c r="D15881" t="inlineStr">
        <is>
          <t>NIL</t>
        </is>
      </c>
      <c r="E15881" t="n">
        <v>803</v>
      </c>
    </row>
    <row r="15882">
      <c r="A15882" t="inlineStr">
        <is>
          <t>27BBBBB15882Z5</t>
        </is>
      </c>
      <c r="B15882" t="inlineStr">
        <is>
          <t>Oct-2017</t>
        </is>
      </c>
      <c r="C15882" s="2" t="n">
        <v>44222</v>
      </c>
      <c r="D15882" t="inlineStr">
        <is>
          <t>NON-NIL</t>
        </is>
      </c>
      <c r="E15882" t="n">
        <v>1501</v>
      </c>
    </row>
    <row r="15883">
      <c r="A15883" t="inlineStr">
        <is>
          <t>27BBBBB15883Z5</t>
        </is>
      </c>
      <c r="B15883" t="inlineStr">
        <is>
          <t>Sep-2018</t>
        </is>
      </c>
      <c r="C15883" s="2" t="n">
        <v>43808</v>
      </c>
      <c r="D15883" t="inlineStr">
        <is>
          <t>NIL</t>
        </is>
      </c>
      <c r="E15883" t="n">
        <v>460</v>
      </c>
    </row>
    <row r="15884">
      <c r="A15884" t="inlineStr">
        <is>
          <t>27BBBBB15884Z5</t>
        </is>
      </c>
      <c r="B15884" t="inlineStr">
        <is>
          <t>Aug-2017</t>
        </is>
      </c>
      <c r="C15884" s="2" t="n">
        <v>43227</v>
      </c>
      <c r="D15884" t="inlineStr">
        <is>
          <t>NIL</t>
        </is>
      </c>
      <c r="E15884" t="n">
        <v>1453</v>
      </c>
    </row>
    <row r="15885">
      <c r="A15885" t="inlineStr">
        <is>
          <t>27BBBBB15885Z5</t>
        </is>
      </c>
      <c r="B15885" t="inlineStr">
        <is>
          <t>Sep-2017</t>
        </is>
      </c>
      <c r="C15885" s="2" t="n">
        <v>43521</v>
      </c>
      <c r="D15885" t="inlineStr">
        <is>
          <t>NON-NIL</t>
        </is>
      </c>
      <c r="E15885" t="n">
        <v>1656</v>
      </c>
    </row>
    <row r="15886">
      <c r="A15886" t="inlineStr">
        <is>
          <t>27BBBBB15886Z5</t>
        </is>
      </c>
      <c r="B15886" t="inlineStr">
        <is>
          <t>Mar-2018</t>
        </is>
      </c>
      <c r="C15886" s="2" t="n">
        <v>44025</v>
      </c>
      <c r="D15886" t="inlineStr">
        <is>
          <t>NON-NIL</t>
        </is>
      </c>
      <c r="E15886" t="n">
        <v>355</v>
      </c>
    </row>
    <row r="15887">
      <c r="A15887" t="inlineStr">
        <is>
          <t>27BBBBB15887Z5</t>
        </is>
      </c>
      <c r="B15887" t="inlineStr">
        <is>
          <t>Feb-2018</t>
        </is>
      </c>
      <c r="C15887" s="2" t="n">
        <v>44443</v>
      </c>
      <c r="D15887" t="inlineStr">
        <is>
          <t>NIL</t>
        </is>
      </c>
      <c r="E15887" t="n">
        <v>1742</v>
      </c>
    </row>
    <row r="15888">
      <c r="A15888" t="inlineStr">
        <is>
          <t>27BBBBB15888Z5</t>
        </is>
      </c>
      <c r="B15888" t="inlineStr">
        <is>
          <t>Apr-2020</t>
        </is>
      </c>
      <c r="C15888" s="2" t="n">
        <v>44757</v>
      </c>
      <c r="D15888" t="inlineStr">
        <is>
          <t>NIL</t>
        </is>
      </c>
      <c r="E15888" t="n">
        <v>1981</v>
      </c>
    </row>
    <row r="15889">
      <c r="A15889" t="inlineStr">
        <is>
          <t>27BBBBB15889Z5</t>
        </is>
      </c>
      <c r="B15889" t="inlineStr">
        <is>
          <t>Mar-2023</t>
        </is>
      </c>
      <c r="C15889" s="2" t="n">
        <v>44427</v>
      </c>
      <c r="D15889" t="inlineStr">
        <is>
          <t>NIL</t>
        </is>
      </c>
      <c r="E15889" t="n">
        <v>2205</v>
      </c>
    </row>
    <row r="15890">
      <c r="A15890" t="inlineStr">
        <is>
          <t>27BBBBB15890Z5</t>
        </is>
      </c>
      <c r="B15890" t="inlineStr">
        <is>
          <t>Mar-2021</t>
        </is>
      </c>
      <c r="C15890" s="2" t="n">
        <v>44975</v>
      </c>
      <c r="D15890" t="inlineStr">
        <is>
          <t>NON-NIL</t>
        </is>
      </c>
      <c r="E15890" t="n">
        <v>1119</v>
      </c>
    </row>
    <row r="15891">
      <c r="A15891" t="inlineStr">
        <is>
          <t>27BBBBB15891Z5</t>
        </is>
      </c>
      <c r="B15891" t="inlineStr">
        <is>
          <t>Dec-2017</t>
        </is>
      </c>
      <c r="C15891" s="2" t="n">
        <v>43914</v>
      </c>
      <c r="D15891" t="inlineStr">
        <is>
          <t>NIL</t>
        </is>
      </c>
      <c r="E15891" t="n">
        <v>2656</v>
      </c>
    </row>
    <row r="15892">
      <c r="A15892" t="inlineStr">
        <is>
          <t>27BBBBB15892Z5</t>
        </is>
      </c>
      <c r="B15892" t="inlineStr">
        <is>
          <t>May-2018</t>
        </is>
      </c>
      <c r="C15892" s="2" t="n">
        <v>43833</v>
      </c>
      <c r="D15892" t="inlineStr">
        <is>
          <t>NIL</t>
        </is>
      </c>
      <c r="E15892" t="n">
        <v>452</v>
      </c>
    </row>
    <row r="15893">
      <c r="A15893" t="inlineStr">
        <is>
          <t>27BBBBB15893Z5</t>
        </is>
      </c>
      <c r="B15893" t="inlineStr">
        <is>
          <t>Jul-2018</t>
        </is>
      </c>
      <c r="C15893" s="2" t="n">
        <v>44252</v>
      </c>
      <c r="D15893" t="inlineStr">
        <is>
          <t>NIL</t>
        </is>
      </c>
      <c r="E15893" t="n">
        <v>2477</v>
      </c>
    </row>
    <row r="15894">
      <c r="A15894" t="inlineStr">
        <is>
          <t>27BBBBB15894Z5</t>
        </is>
      </c>
      <c r="B15894" t="inlineStr">
        <is>
          <t>Apr-2018</t>
        </is>
      </c>
      <c r="C15894" s="2" t="n">
        <v>43367</v>
      </c>
      <c r="D15894" t="inlineStr">
        <is>
          <t>NON-NIL</t>
        </is>
      </c>
      <c r="E15894" t="n">
        <v>1662</v>
      </c>
    </row>
    <row r="15895">
      <c r="A15895" t="inlineStr">
        <is>
          <t>27BBBBB15895Z5</t>
        </is>
      </c>
      <c r="B15895" t="inlineStr">
        <is>
          <t>May-2018</t>
        </is>
      </c>
      <c r="C15895" s="2" t="n">
        <v>43125</v>
      </c>
      <c r="D15895" t="inlineStr">
        <is>
          <t>NIL</t>
        </is>
      </c>
      <c r="E15895" t="n">
        <v>519</v>
      </c>
    </row>
    <row r="15896">
      <c r="A15896" t="inlineStr">
        <is>
          <t>27BBBBB15896Z5</t>
        </is>
      </c>
      <c r="B15896" t="inlineStr">
        <is>
          <t>Jun-2020</t>
        </is>
      </c>
      <c r="C15896" s="2" t="n">
        <v>44087</v>
      </c>
      <c r="D15896" t="inlineStr">
        <is>
          <t>NON-NIL</t>
        </is>
      </c>
      <c r="E15896" t="n">
        <v>1251</v>
      </c>
    </row>
    <row r="15897">
      <c r="A15897" t="inlineStr">
        <is>
          <t>27BBBBB15897Z5</t>
        </is>
      </c>
      <c r="B15897" t="inlineStr">
        <is>
          <t>Sep-2018</t>
        </is>
      </c>
      <c r="C15897" s="2" t="n">
        <v>43338</v>
      </c>
      <c r="D15897" t="inlineStr">
        <is>
          <t>NIL</t>
        </is>
      </c>
      <c r="E15897" t="n">
        <v>2472</v>
      </c>
    </row>
    <row r="15898">
      <c r="A15898" t="inlineStr">
        <is>
          <t>27BBBBB15898Z5</t>
        </is>
      </c>
      <c r="B15898" t="inlineStr">
        <is>
          <t>Nov-2018</t>
        </is>
      </c>
      <c r="C15898" s="2" t="n">
        <v>43905</v>
      </c>
      <c r="D15898" t="inlineStr">
        <is>
          <t>NON-NIL</t>
        </is>
      </c>
      <c r="E15898" t="n">
        <v>96</v>
      </c>
    </row>
    <row r="15899">
      <c r="A15899" t="inlineStr">
        <is>
          <t>27BBBBB15899Z5</t>
        </is>
      </c>
      <c r="B15899" t="inlineStr">
        <is>
          <t>Jul-2018</t>
        </is>
      </c>
      <c r="C15899" s="2" t="n">
        <v>43200</v>
      </c>
      <c r="D15899" t="inlineStr">
        <is>
          <t>NIL</t>
        </is>
      </c>
      <c r="E15899" t="n">
        <v>1430</v>
      </c>
    </row>
    <row r="15900">
      <c r="A15900" t="inlineStr">
        <is>
          <t>27BBBBB15900Z5</t>
        </is>
      </c>
      <c r="B15900" t="inlineStr">
        <is>
          <t>Nov-2017</t>
        </is>
      </c>
      <c r="C15900" s="2" t="n">
        <v>44314</v>
      </c>
      <c r="D15900" t="inlineStr">
        <is>
          <t>NON-NIL</t>
        </is>
      </c>
      <c r="E15900" t="n">
        <v>1001</v>
      </c>
    </row>
    <row r="15901">
      <c r="A15901" t="inlineStr">
        <is>
          <t>27BBBBB15901Z5</t>
        </is>
      </c>
      <c r="B15901" t="inlineStr">
        <is>
          <t>Mar-2021</t>
        </is>
      </c>
      <c r="C15901" s="2" t="n">
        <v>45683</v>
      </c>
      <c r="D15901" t="inlineStr">
        <is>
          <t>NIL</t>
        </is>
      </c>
      <c r="E15901" t="n">
        <v>2217</v>
      </c>
    </row>
    <row r="15902">
      <c r="A15902" t="inlineStr">
        <is>
          <t>27BBBBB15902Z5</t>
        </is>
      </c>
      <c r="B15902" t="inlineStr">
        <is>
          <t>Dec-2024</t>
        </is>
      </c>
      <c r="C15902" s="2" t="n">
        <v>44948</v>
      </c>
      <c r="D15902" t="inlineStr">
        <is>
          <t>NON-NIL</t>
        </is>
      </c>
      <c r="E15902" t="n">
        <v>1651</v>
      </c>
    </row>
    <row r="15903">
      <c r="A15903" t="inlineStr">
        <is>
          <t>27BBBBB15903Z5</t>
        </is>
      </c>
      <c r="B15903" t="inlineStr">
        <is>
          <t>Mar-2020</t>
        </is>
      </c>
      <c r="C15903" s="2" t="n">
        <v>44515</v>
      </c>
      <c r="D15903" t="inlineStr">
        <is>
          <t>NON-NIL</t>
        </is>
      </c>
      <c r="E15903" t="n">
        <v>1519</v>
      </c>
    </row>
    <row r="15904">
      <c r="A15904" t="inlineStr">
        <is>
          <t>27BBBBB15904Z5</t>
        </is>
      </c>
      <c r="B15904" t="inlineStr">
        <is>
          <t>Sep-2018</t>
        </is>
      </c>
      <c r="C15904" s="2" t="n">
        <v>44396</v>
      </c>
      <c r="D15904" t="inlineStr">
        <is>
          <t>NIL</t>
        </is>
      </c>
      <c r="E15904" t="n">
        <v>2040</v>
      </c>
    </row>
    <row r="15905">
      <c r="A15905" t="inlineStr">
        <is>
          <t>27BBBBB15905Z5</t>
        </is>
      </c>
      <c r="B15905" t="inlineStr">
        <is>
          <t>Jun-2018</t>
        </is>
      </c>
      <c r="C15905" s="2" t="n">
        <v>43264</v>
      </c>
      <c r="D15905" t="inlineStr">
        <is>
          <t>NON-NIL</t>
        </is>
      </c>
      <c r="E15905" t="n">
        <v>381</v>
      </c>
    </row>
    <row r="15906">
      <c r="A15906" t="inlineStr">
        <is>
          <t>27BBBBB15906Z5</t>
        </is>
      </c>
      <c r="B15906" t="inlineStr">
        <is>
          <t>Dec-2024</t>
        </is>
      </c>
      <c r="C15906" s="2" t="n">
        <v>44580</v>
      </c>
      <c r="D15906" t="inlineStr">
        <is>
          <t>NIL</t>
        </is>
      </c>
      <c r="E15906" t="n">
        <v>746</v>
      </c>
    </row>
    <row r="15907">
      <c r="A15907" t="inlineStr">
        <is>
          <t>27BBBBB15907Z5</t>
        </is>
      </c>
      <c r="B15907" t="inlineStr">
        <is>
          <t>Aug-2017</t>
        </is>
      </c>
      <c r="C15907" s="2" t="n">
        <v>43817</v>
      </c>
      <c r="D15907" t="inlineStr">
        <is>
          <t>NIL</t>
        </is>
      </c>
      <c r="E15907" t="n">
        <v>2009</v>
      </c>
    </row>
    <row r="15908">
      <c r="A15908" t="inlineStr">
        <is>
          <t>27BBBBB15908Z5</t>
        </is>
      </c>
      <c r="B15908" t="inlineStr">
        <is>
          <t>Mar-2023</t>
        </is>
      </c>
      <c r="C15908" s="2" t="n">
        <v>44375</v>
      </c>
      <c r="D15908" t="inlineStr">
        <is>
          <t>NIL</t>
        </is>
      </c>
      <c r="E15908" t="n">
        <v>1889</v>
      </c>
    </row>
    <row r="15909">
      <c r="A15909" t="inlineStr">
        <is>
          <t>27BBBBB15909Z5</t>
        </is>
      </c>
      <c r="B15909" t="inlineStr">
        <is>
          <t>Dec-2024</t>
        </is>
      </c>
      <c r="C15909" s="2" t="n">
        <v>44088</v>
      </c>
      <c r="D15909" t="inlineStr">
        <is>
          <t>NIL</t>
        </is>
      </c>
      <c r="E15909" t="n">
        <v>2932</v>
      </c>
    </row>
    <row r="15910">
      <c r="A15910" t="inlineStr">
        <is>
          <t>27BBBBB15910Z5</t>
        </is>
      </c>
      <c r="B15910" t="inlineStr">
        <is>
          <t>Aug-2017</t>
        </is>
      </c>
      <c r="C15910" s="2" t="n">
        <v>43851</v>
      </c>
      <c r="D15910" t="inlineStr">
        <is>
          <t>NIL</t>
        </is>
      </c>
      <c r="E15910" t="n">
        <v>1461</v>
      </c>
    </row>
    <row r="15911">
      <c r="A15911" t="inlineStr">
        <is>
          <t>27BBBBB15911Z5</t>
        </is>
      </c>
      <c r="B15911" t="inlineStr">
        <is>
          <t>Jan-2018</t>
        </is>
      </c>
      <c r="C15911" s="2" t="n">
        <v>43434</v>
      </c>
      <c r="D15911" t="inlineStr">
        <is>
          <t>NIL</t>
        </is>
      </c>
      <c r="E15911" t="n">
        <v>23</v>
      </c>
    </row>
    <row r="15912">
      <c r="A15912" t="inlineStr">
        <is>
          <t>27BBBBB15912Z5</t>
        </is>
      </c>
      <c r="B15912" t="inlineStr">
        <is>
          <t>Dec-2022</t>
        </is>
      </c>
      <c r="C15912" s="2" t="n">
        <v>44098</v>
      </c>
      <c r="D15912" t="inlineStr">
        <is>
          <t>NON-NIL</t>
        </is>
      </c>
      <c r="E15912" t="n">
        <v>933</v>
      </c>
    </row>
    <row r="15913">
      <c r="A15913" t="inlineStr">
        <is>
          <t>27BBBBB15913Z5</t>
        </is>
      </c>
      <c r="B15913" t="inlineStr">
        <is>
          <t>Apr-2018</t>
        </is>
      </c>
      <c r="C15913" s="2" t="n">
        <v>44211</v>
      </c>
      <c r="D15913" t="inlineStr">
        <is>
          <t>NON-NIL</t>
        </is>
      </c>
      <c r="E15913" t="n">
        <v>171</v>
      </c>
    </row>
    <row r="15914">
      <c r="A15914" t="inlineStr">
        <is>
          <t>27BBBBB15914Z5</t>
        </is>
      </c>
      <c r="B15914" t="inlineStr">
        <is>
          <t>Oct-2018</t>
        </is>
      </c>
      <c r="C15914" s="2" t="n">
        <v>42963</v>
      </c>
      <c r="D15914" t="inlineStr">
        <is>
          <t>NON-NIL</t>
        </is>
      </c>
      <c r="E15914" t="n">
        <v>405</v>
      </c>
    </row>
    <row r="15915">
      <c r="A15915" t="inlineStr">
        <is>
          <t>27BBBBB15915Z5</t>
        </is>
      </c>
      <c r="B15915" t="inlineStr">
        <is>
          <t>Mar-2020</t>
        </is>
      </c>
      <c r="C15915" s="2" t="n">
        <v>44440</v>
      </c>
      <c r="D15915" t="inlineStr">
        <is>
          <t>NIL</t>
        </is>
      </c>
      <c r="E15915" t="n">
        <v>684</v>
      </c>
    </row>
    <row r="15916">
      <c r="A15916" t="inlineStr">
        <is>
          <t>27BBBBB15916Z5</t>
        </is>
      </c>
      <c r="B15916" t="inlineStr">
        <is>
          <t>Sep-2017</t>
        </is>
      </c>
      <c r="C15916" s="2" t="n">
        <v>44477</v>
      </c>
      <c r="D15916" t="inlineStr">
        <is>
          <t>NIL</t>
        </is>
      </c>
      <c r="E15916" t="n">
        <v>920</v>
      </c>
    </row>
    <row r="15917">
      <c r="A15917" t="inlineStr">
        <is>
          <t>27BBBBB15917Z5</t>
        </is>
      </c>
      <c r="B15917" t="inlineStr">
        <is>
          <t>Oct-2017</t>
        </is>
      </c>
      <c r="C15917" s="2" t="n">
        <v>43561</v>
      </c>
      <c r="D15917" t="inlineStr">
        <is>
          <t>NON-NIL</t>
        </is>
      </c>
      <c r="E15917" t="n">
        <v>853</v>
      </c>
    </row>
    <row r="15918">
      <c r="A15918" t="inlineStr">
        <is>
          <t>27BBBBB15918Z5</t>
        </is>
      </c>
      <c r="B15918" t="inlineStr">
        <is>
          <t>Dec-2018</t>
        </is>
      </c>
      <c r="C15918" s="2" t="n">
        <v>43305</v>
      </c>
      <c r="D15918" t="inlineStr">
        <is>
          <t>NIL</t>
        </is>
      </c>
      <c r="E15918" t="n">
        <v>1545</v>
      </c>
    </row>
    <row r="15919">
      <c r="A15919" t="inlineStr">
        <is>
          <t>27BBBBB15919Z5</t>
        </is>
      </c>
      <c r="B15919" t="inlineStr">
        <is>
          <t>Oct-2017</t>
        </is>
      </c>
      <c r="C15919" s="2" t="n">
        <v>43642</v>
      </c>
      <c r="D15919" t="inlineStr">
        <is>
          <t>NIL</t>
        </is>
      </c>
      <c r="E15919" t="n">
        <v>2326</v>
      </c>
    </row>
    <row r="15920">
      <c r="A15920" t="inlineStr">
        <is>
          <t>27BBBBB15920Z5</t>
        </is>
      </c>
      <c r="B15920" t="inlineStr">
        <is>
          <t>Mar-2023</t>
        </is>
      </c>
      <c r="C15920" s="2" t="n">
        <v>43632</v>
      </c>
      <c r="D15920" t="inlineStr">
        <is>
          <t>NIL</t>
        </is>
      </c>
      <c r="E15920" t="n">
        <v>193</v>
      </c>
    </row>
    <row r="15921">
      <c r="A15921" t="inlineStr">
        <is>
          <t>27BBBBB15921Z5</t>
        </is>
      </c>
      <c r="B15921" t="inlineStr">
        <is>
          <t>Dec-2017</t>
        </is>
      </c>
      <c r="C15921" s="2" t="n">
        <v>43246</v>
      </c>
      <c r="D15921" t="inlineStr">
        <is>
          <t>NIL</t>
        </is>
      </c>
      <c r="E15921" t="n">
        <v>1803</v>
      </c>
    </row>
    <row r="15922">
      <c r="A15922" t="inlineStr">
        <is>
          <t>27BBBBB15922Z5</t>
        </is>
      </c>
      <c r="B15922" t="inlineStr">
        <is>
          <t>Mar-2021</t>
        </is>
      </c>
      <c r="C15922" s="2" t="n">
        <v>45427</v>
      </c>
      <c r="D15922" t="inlineStr">
        <is>
          <t>NON-NIL</t>
        </is>
      </c>
      <c r="E15922" t="n">
        <v>1248</v>
      </c>
    </row>
    <row r="15923">
      <c r="A15923" t="inlineStr">
        <is>
          <t>27BBBBB15923Z5</t>
        </is>
      </c>
      <c r="B15923" t="inlineStr">
        <is>
          <t>Mar-2018</t>
        </is>
      </c>
      <c r="C15923" s="2" t="n">
        <v>44529</v>
      </c>
      <c r="D15923" t="inlineStr">
        <is>
          <t>NIL</t>
        </is>
      </c>
      <c r="E15923" t="n">
        <v>2550</v>
      </c>
    </row>
    <row r="15924">
      <c r="A15924" t="inlineStr">
        <is>
          <t>27BBBBB15924Z5</t>
        </is>
      </c>
      <c r="B15924" t="inlineStr">
        <is>
          <t>Jun-2020</t>
        </is>
      </c>
      <c r="C15924" s="2" t="n">
        <v>44020</v>
      </c>
      <c r="D15924" t="inlineStr">
        <is>
          <t>NIL</t>
        </is>
      </c>
      <c r="E15924" t="n">
        <v>24</v>
      </c>
    </row>
    <row r="15925">
      <c r="A15925" t="inlineStr">
        <is>
          <t>27BBBBB15925Z5</t>
        </is>
      </c>
      <c r="B15925" t="inlineStr">
        <is>
          <t>Jan-2021</t>
        </is>
      </c>
      <c r="C15925" s="2" t="n">
        <v>43983</v>
      </c>
      <c r="D15925" t="inlineStr">
        <is>
          <t>NIL</t>
        </is>
      </c>
      <c r="E15925" t="n">
        <v>2753</v>
      </c>
    </row>
    <row r="15926">
      <c r="A15926" t="inlineStr">
        <is>
          <t>27BBBBB15926Z5</t>
        </is>
      </c>
      <c r="B15926" t="inlineStr">
        <is>
          <t>Sep-2018</t>
        </is>
      </c>
      <c r="C15926" s="2" t="n">
        <v>44521</v>
      </c>
      <c r="D15926" t="inlineStr">
        <is>
          <t>NIL</t>
        </is>
      </c>
      <c r="E15926" t="n">
        <v>1990</v>
      </c>
    </row>
    <row r="15927">
      <c r="A15927" t="inlineStr">
        <is>
          <t>27BBBBB15927Z5</t>
        </is>
      </c>
      <c r="B15927" t="inlineStr">
        <is>
          <t>Mar-2023</t>
        </is>
      </c>
      <c r="C15927" s="2" t="n">
        <v>43658</v>
      </c>
      <c r="D15927" t="inlineStr">
        <is>
          <t>NIL</t>
        </is>
      </c>
      <c r="E15927" t="n">
        <v>1493</v>
      </c>
    </row>
    <row r="15928">
      <c r="A15928" t="inlineStr">
        <is>
          <t>27BBBBB15928Z5</t>
        </is>
      </c>
      <c r="B15928" t="inlineStr">
        <is>
          <t>Apr-2018</t>
        </is>
      </c>
      <c r="C15928" s="2" t="n">
        <v>43971</v>
      </c>
      <c r="D15928" t="inlineStr">
        <is>
          <t>NIL</t>
        </is>
      </c>
      <c r="E15928" t="n">
        <v>1976</v>
      </c>
    </row>
    <row r="15929">
      <c r="A15929" t="inlineStr">
        <is>
          <t>27BBBBB15929Z5</t>
        </is>
      </c>
      <c r="B15929" t="inlineStr">
        <is>
          <t>Sep-2017</t>
        </is>
      </c>
      <c r="C15929" s="2" t="n">
        <v>44105</v>
      </c>
      <c r="D15929" t="inlineStr">
        <is>
          <t>NIL</t>
        </is>
      </c>
      <c r="E15929" t="n">
        <v>498</v>
      </c>
    </row>
    <row r="15930">
      <c r="A15930" t="inlineStr">
        <is>
          <t>27BBBBB15930Z5</t>
        </is>
      </c>
      <c r="B15930" t="inlineStr">
        <is>
          <t>Apr-2020</t>
        </is>
      </c>
      <c r="C15930" s="2" t="n">
        <v>44644</v>
      </c>
      <c r="D15930" t="inlineStr">
        <is>
          <t>NON-NIL</t>
        </is>
      </c>
      <c r="E15930" t="n">
        <v>243</v>
      </c>
    </row>
    <row r="15931">
      <c r="A15931" t="inlineStr">
        <is>
          <t>27BBBBB15931Z5</t>
        </is>
      </c>
      <c r="B15931" t="inlineStr">
        <is>
          <t>Oct-2018</t>
        </is>
      </c>
      <c r="C15931" s="2" t="n">
        <v>43701</v>
      </c>
      <c r="D15931" t="inlineStr">
        <is>
          <t>NIL</t>
        </is>
      </c>
      <c r="E15931" t="n">
        <v>307</v>
      </c>
    </row>
    <row r="15932">
      <c r="A15932" t="inlineStr">
        <is>
          <t>27BBBBB15932Z5</t>
        </is>
      </c>
      <c r="B15932" t="inlineStr">
        <is>
          <t>May-2018</t>
        </is>
      </c>
      <c r="C15932" s="2" t="n">
        <v>44306</v>
      </c>
      <c r="D15932" t="inlineStr">
        <is>
          <t>NIL</t>
        </is>
      </c>
      <c r="E15932" t="n">
        <v>92</v>
      </c>
    </row>
    <row r="15933">
      <c r="A15933" t="inlineStr">
        <is>
          <t>27BBBBB15933Z5</t>
        </is>
      </c>
      <c r="B15933" t="inlineStr">
        <is>
          <t>Apr-2018</t>
        </is>
      </c>
      <c r="C15933" s="2" t="n">
        <v>44469</v>
      </c>
      <c r="D15933" t="inlineStr">
        <is>
          <t>NIL</t>
        </is>
      </c>
      <c r="E15933" t="n">
        <v>2146</v>
      </c>
    </row>
    <row r="15934">
      <c r="A15934" t="inlineStr">
        <is>
          <t>27BBBBB15934Z5</t>
        </is>
      </c>
      <c r="B15934" t="inlineStr">
        <is>
          <t>Jun-2018</t>
        </is>
      </c>
      <c r="C15934" s="2" t="n">
        <v>44369</v>
      </c>
      <c r="D15934" t="inlineStr">
        <is>
          <t>NIL</t>
        </is>
      </c>
      <c r="E15934" t="n">
        <v>2127</v>
      </c>
    </row>
    <row r="15935">
      <c r="A15935" t="inlineStr">
        <is>
          <t>27BBBBB15935Z5</t>
        </is>
      </c>
      <c r="B15935" t="inlineStr">
        <is>
          <t>Aug-2018</t>
        </is>
      </c>
      <c r="C15935" s="2" t="n">
        <v>44116</v>
      </c>
      <c r="D15935" t="inlineStr">
        <is>
          <t>NIL</t>
        </is>
      </c>
      <c r="E15935" t="n">
        <v>1087</v>
      </c>
    </row>
    <row r="15936">
      <c r="A15936" t="inlineStr">
        <is>
          <t>27BBBBB15936Z5</t>
        </is>
      </c>
      <c r="B15936" t="inlineStr">
        <is>
          <t>Oct-2017</t>
        </is>
      </c>
      <c r="C15936" s="2" t="n">
        <v>43343</v>
      </c>
      <c r="D15936" t="inlineStr">
        <is>
          <t>NIL</t>
        </is>
      </c>
      <c r="E15936" t="n">
        <v>2821</v>
      </c>
    </row>
    <row r="15937">
      <c r="A15937" t="inlineStr">
        <is>
          <t>27BBBBB15937Z5</t>
        </is>
      </c>
      <c r="B15937" t="inlineStr">
        <is>
          <t>Jun-2020</t>
        </is>
      </c>
      <c r="C15937" s="2" t="n">
        <v>44822</v>
      </c>
      <c r="D15937" t="inlineStr">
        <is>
          <t>NIL</t>
        </is>
      </c>
      <c r="E15937" t="n">
        <v>1245</v>
      </c>
    </row>
    <row r="15938">
      <c r="A15938" t="inlineStr">
        <is>
          <t>27BBBBB15938Z5</t>
        </is>
      </c>
      <c r="B15938" t="inlineStr">
        <is>
          <t>Feb-2018</t>
        </is>
      </c>
      <c r="C15938" s="2" t="n">
        <v>44475</v>
      </c>
      <c r="D15938" t="inlineStr">
        <is>
          <t>NIL</t>
        </is>
      </c>
      <c r="E15938" t="n">
        <v>1795</v>
      </c>
    </row>
    <row r="15939">
      <c r="A15939" t="inlineStr">
        <is>
          <t>27BBBBB15939Z5</t>
        </is>
      </c>
      <c r="B15939" t="inlineStr">
        <is>
          <t>Mar-2020</t>
        </is>
      </c>
      <c r="C15939" s="2" t="n">
        <v>44215</v>
      </c>
      <c r="D15939" t="inlineStr">
        <is>
          <t>NIL</t>
        </is>
      </c>
      <c r="E15939" t="n">
        <v>771</v>
      </c>
    </row>
    <row r="15940">
      <c r="A15940" t="inlineStr">
        <is>
          <t>27BBBBB15940Z5</t>
        </is>
      </c>
      <c r="B15940" t="inlineStr">
        <is>
          <t>Nov-2017</t>
        </is>
      </c>
      <c r="C15940" s="2" t="n">
        <v>43341</v>
      </c>
      <c r="D15940" t="inlineStr">
        <is>
          <t>NIL</t>
        </is>
      </c>
      <c r="E15940" t="n">
        <v>501</v>
      </c>
    </row>
    <row r="15941">
      <c r="A15941" t="inlineStr">
        <is>
          <t>27BBBBB15941Z5</t>
        </is>
      </c>
      <c r="B15941" t="inlineStr">
        <is>
          <t>Aug-2017</t>
        </is>
      </c>
      <c r="C15941" s="2" t="n">
        <v>44196</v>
      </c>
      <c r="D15941" t="inlineStr">
        <is>
          <t>NIL</t>
        </is>
      </c>
      <c r="E15941" t="n">
        <v>2086</v>
      </c>
    </row>
    <row r="15942">
      <c r="A15942" t="inlineStr">
        <is>
          <t>27BBBBB15942Z5</t>
        </is>
      </c>
      <c r="B15942" t="inlineStr">
        <is>
          <t>Mar-2023</t>
        </is>
      </c>
      <c r="C15942" s="2" t="n">
        <v>45396</v>
      </c>
      <c r="D15942" t="inlineStr">
        <is>
          <t>NIL</t>
        </is>
      </c>
      <c r="E15942" t="n">
        <v>740</v>
      </c>
    </row>
    <row r="15943">
      <c r="A15943" t="inlineStr">
        <is>
          <t>27BBBBB15943Z5</t>
        </is>
      </c>
      <c r="B15943" t="inlineStr">
        <is>
          <t>Jul-2020</t>
        </is>
      </c>
      <c r="C15943" s="2" t="n">
        <v>44574</v>
      </c>
      <c r="D15943" t="inlineStr">
        <is>
          <t>NON-NIL</t>
        </is>
      </c>
      <c r="E15943" t="n">
        <v>1288</v>
      </c>
    </row>
    <row r="15944">
      <c r="A15944" t="inlineStr">
        <is>
          <t>27BBBBB15944Z5</t>
        </is>
      </c>
      <c r="B15944" t="inlineStr">
        <is>
          <t>Jul-2020</t>
        </is>
      </c>
      <c r="C15944" s="2" t="n">
        <v>44630</v>
      </c>
      <c r="D15944" t="inlineStr">
        <is>
          <t>NIL</t>
        </is>
      </c>
      <c r="E15944" t="n">
        <v>1495</v>
      </c>
    </row>
    <row r="15945">
      <c r="A15945" t="inlineStr">
        <is>
          <t>27BBBBB15945Z5</t>
        </is>
      </c>
      <c r="B15945" t="inlineStr">
        <is>
          <t>Mar-2020</t>
        </is>
      </c>
      <c r="C15945" s="2" t="n">
        <v>44829</v>
      </c>
      <c r="D15945" t="inlineStr">
        <is>
          <t>NIL</t>
        </is>
      </c>
      <c r="E15945" t="n">
        <v>2374</v>
      </c>
    </row>
    <row r="15946">
      <c r="A15946" t="inlineStr">
        <is>
          <t>27BBBBB15946Z5</t>
        </is>
      </c>
      <c r="B15946" t="inlineStr">
        <is>
          <t>Jan-2018</t>
        </is>
      </c>
      <c r="C15946" s="2" t="n">
        <v>44318</v>
      </c>
      <c r="D15946" t="inlineStr">
        <is>
          <t>NIL</t>
        </is>
      </c>
      <c r="E15946" t="n">
        <v>750</v>
      </c>
    </row>
    <row r="15947">
      <c r="A15947" t="inlineStr">
        <is>
          <t>27BBBBB15947Z5</t>
        </is>
      </c>
      <c r="B15947" t="inlineStr">
        <is>
          <t>Jun-2020</t>
        </is>
      </c>
      <c r="C15947" s="2" t="n">
        <v>44220</v>
      </c>
      <c r="D15947" t="inlineStr">
        <is>
          <t>NON-NIL</t>
        </is>
      </c>
      <c r="E15947" t="n">
        <v>2077</v>
      </c>
    </row>
    <row r="15948">
      <c r="A15948" t="inlineStr">
        <is>
          <t>27BBBBB15948Z5</t>
        </is>
      </c>
      <c r="B15948" t="inlineStr">
        <is>
          <t>Mar-2020</t>
        </is>
      </c>
      <c r="C15948" s="2" t="n">
        <v>44205</v>
      </c>
      <c r="D15948" t="inlineStr">
        <is>
          <t>NON-NIL</t>
        </is>
      </c>
      <c r="E15948" t="n">
        <v>2659</v>
      </c>
    </row>
    <row r="15949">
      <c r="A15949" t="inlineStr">
        <is>
          <t>27BBBBB15949Z5</t>
        </is>
      </c>
      <c r="B15949" t="inlineStr">
        <is>
          <t>May-2018</t>
        </is>
      </c>
      <c r="C15949" s="2" t="n">
        <v>43799</v>
      </c>
      <c r="D15949" t="inlineStr">
        <is>
          <t>NON-NIL</t>
        </is>
      </c>
      <c r="E15949" t="n">
        <v>1164</v>
      </c>
    </row>
    <row r="15950">
      <c r="A15950" t="inlineStr">
        <is>
          <t>27BBBBB15950Z5</t>
        </is>
      </c>
      <c r="B15950" t="inlineStr">
        <is>
          <t>Oct-2018</t>
        </is>
      </c>
      <c r="C15950" s="2" t="n">
        <v>44451</v>
      </c>
      <c r="D15950" t="inlineStr">
        <is>
          <t>NIL</t>
        </is>
      </c>
      <c r="E15950" t="n">
        <v>2607</v>
      </c>
    </row>
    <row r="15951">
      <c r="A15951" t="inlineStr">
        <is>
          <t>27BBBBB15951Z5</t>
        </is>
      </c>
      <c r="B15951" t="inlineStr">
        <is>
          <t>Apr-2018</t>
        </is>
      </c>
      <c r="C15951" s="2" t="n">
        <v>44240</v>
      </c>
      <c r="D15951" t="inlineStr">
        <is>
          <t>NON-NIL</t>
        </is>
      </c>
      <c r="E15951" t="n">
        <v>2478</v>
      </c>
    </row>
    <row r="15952">
      <c r="A15952" t="inlineStr">
        <is>
          <t>27BBBBB15952Z5</t>
        </is>
      </c>
      <c r="B15952" t="inlineStr">
        <is>
          <t>Sep-2018</t>
        </is>
      </c>
      <c r="C15952" s="2" t="n">
        <v>43490</v>
      </c>
      <c r="D15952" t="inlineStr">
        <is>
          <t>NON-NIL</t>
        </is>
      </c>
      <c r="E15952" t="n">
        <v>2331</v>
      </c>
    </row>
    <row r="15953">
      <c r="A15953" t="inlineStr">
        <is>
          <t>27BBBBB15953Z5</t>
        </is>
      </c>
      <c r="B15953" t="inlineStr">
        <is>
          <t>Jan-2021</t>
        </is>
      </c>
      <c r="C15953" s="2" t="n">
        <v>44140</v>
      </c>
      <c r="D15953" t="inlineStr">
        <is>
          <t>NIL</t>
        </is>
      </c>
      <c r="E15953" t="n">
        <v>1875</v>
      </c>
    </row>
    <row r="15954">
      <c r="A15954" t="inlineStr">
        <is>
          <t>27BBBBB15954Z5</t>
        </is>
      </c>
      <c r="B15954" t="inlineStr">
        <is>
          <t>Mar-2021</t>
        </is>
      </c>
      <c r="C15954" s="2" t="n">
        <v>45092</v>
      </c>
      <c r="D15954" t="inlineStr">
        <is>
          <t>NIL</t>
        </is>
      </c>
      <c r="E15954" t="n">
        <v>374</v>
      </c>
    </row>
    <row r="15955">
      <c r="A15955" t="inlineStr">
        <is>
          <t>27BBBBB15955Z5</t>
        </is>
      </c>
      <c r="B15955" t="inlineStr">
        <is>
          <t>Oct-2018</t>
        </is>
      </c>
      <c r="C15955" s="2" t="n">
        <v>44174</v>
      </c>
      <c r="D15955" t="inlineStr">
        <is>
          <t>NON-NIL</t>
        </is>
      </c>
      <c r="E15955" t="n">
        <v>998</v>
      </c>
    </row>
    <row r="15956">
      <c r="A15956" t="inlineStr">
        <is>
          <t>27BBBBB15956Z5</t>
        </is>
      </c>
      <c r="B15956" t="inlineStr">
        <is>
          <t>Mar-2018</t>
        </is>
      </c>
      <c r="C15956" s="2" t="n">
        <v>43378</v>
      </c>
      <c r="D15956" t="inlineStr">
        <is>
          <t>NIL</t>
        </is>
      </c>
      <c r="E15956" t="n">
        <v>2025</v>
      </c>
    </row>
    <row r="15957">
      <c r="A15957" t="inlineStr">
        <is>
          <t>27BBBBB15957Z5</t>
        </is>
      </c>
      <c r="B15957" t="inlineStr">
        <is>
          <t>Dec-2018</t>
        </is>
      </c>
      <c r="C15957" s="2" t="n">
        <v>44383</v>
      </c>
      <c r="D15957" t="inlineStr">
        <is>
          <t>NIL</t>
        </is>
      </c>
      <c r="E15957" t="n">
        <v>1096</v>
      </c>
    </row>
    <row r="15958">
      <c r="A15958" t="inlineStr">
        <is>
          <t>27BBBBB15958Z5</t>
        </is>
      </c>
      <c r="B15958" t="inlineStr">
        <is>
          <t>Dec-2018</t>
        </is>
      </c>
      <c r="C15958" s="2" t="n">
        <v>44109</v>
      </c>
      <c r="D15958" t="inlineStr">
        <is>
          <t>NIL</t>
        </is>
      </c>
      <c r="E15958" t="n">
        <v>1832</v>
      </c>
    </row>
    <row r="15959">
      <c r="A15959" t="inlineStr">
        <is>
          <t>27BBBBB15959Z5</t>
        </is>
      </c>
      <c r="B15959" t="inlineStr">
        <is>
          <t>Jun-2020</t>
        </is>
      </c>
      <c r="C15959" s="2" t="n">
        <v>44125</v>
      </c>
      <c r="D15959" t="inlineStr">
        <is>
          <t>NIL</t>
        </is>
      </c>
      <c r="E15959" t="n">
        <v>441</v>
      </c>
    </row>
    <row r="15960">
      <c r="A15960" t="inlineStr">
        <is>
          <t>27BBBBB15960Z5</t>
        </is>
      </c>
      <c r="B15960" t="inlineStr">
        <is>
          <t>Jan-2021</t>
        </is>
      </c>
      <c r="C15960" s="2" t="n">
        <v>44068</v>
      </c>
      <c r="D15960" t="inlineStr">
        <is>
          <t>NIL</t>
        </is>
      </c>
      <c r="E15960" t="n">
        <v>2054</v>
      </c>
    </row>
    <row r="15961">
      <c r="A15961" t="inlineStr">
        <is>
          <t>27BBBBB15961Z5</t>
        </is>
      </c>
      <c r="B15961" t="inlineStr">
        <is>
          <t>Mar-2021</t>
        </is>
      </c>
      <c r="C15961" s="2" t="n">
        <v>45037</v>
      </c>
      <c r="D15961" t="inlineStr">
        <is>
          <t>NIL</t>
        </is>
      </c>
      <c r="E15961" t="n">
        <v>1288</v>
      </c>
    </row>
    <row r="15962">
      <c r="A15962" t="inlineStr">
        <is>
          <t>27BBBBB15962Z5</t>
        </is>
      </c>
      <c r="B15962" t="inlineStr">
        <is>
          <t>Sep-2017</t>
        </is>
      </c>
      <c r="C15962" s="2" t="n">
        <v>44545</v>
      </c>
      <c r="D15962" t="inlineStr">
        <is>
          <t>NIL</t>
        </is>
      </c>
      <c r="E15962" t="n">
        <v>22</v>
      </c>
    </row>
    <row r="15963">
      <c r="A15963" t="inlineStr">
        <is>
          <t>27BBBBB15963Z5</t>
        </is>
      </c>
      <c r="B15963" t="inlineStr">
        <is>
          <t>May-2020</t>
        </is>
      </c>
      <c r="C15963" s="2" t="n">
        <v>44351</v>
      </c>
      <c r="D15963" t="inlineStr">
        <is>
          <t>NIL</t>
        </is>
      </c>
      <c r="E15963" t="n">
        <v>1513</v>
      </c>
    </row>
    <row r="15964">
      <c r="A15964" t="inlineStr">
        <is>
          <t>27BBBBB15964Z5</t>
        </is>
      </c>
      <c r="B15964" t="inlineStr">
        <is>
          <t>Aug-2018</t>
        </is>
      </c>
      <c r="C15964" s="2" t="n">
        <v>43415</v>
      </c>
      <c r="D15964" t="inlineStr">
        <is>
          <t>NON-NIL</t>
        </is>
      </c>
      <c r="E15964" t="n">
        <v>1236</v>
      </c>
    </row>
    <row r="15965">
      <c r="A15965" t="inlineStr">
        <is>
          <t>27BBBBB15965Z5</t>
        </is>
      </c>
      <c r="B15965" t="inlineStr">
        <is>
          <t>Jan-2018</t>
        </is>
      </c>
      <c r="C15965" s="2" t="n">
        <v>44514</v>
      </c>
      <c r="D15965" t="inlineStr">
        <is>
          <t>NIL</t>
        </is>
      </c>
      <c r="E15965" t="n">
        <v>753</v>
      </c>
    </row>
    <row r="15966">
      <c r="A15966" t="inlineStr">
        <is>
          <t>27BBBBB15966Z5</t>
        </is>
      </c>
      <c r="B15966" t="inlineStr">
        <is>
          <t>Oct-2017</t>
        </is>
      </c>
      <c r="C15966" s="2" t="n">
        <v>44358</v>
      </c>
      <c r="D15966" t="inlineStr">
        <is>
          <t>NON-NIL</t>
        </is>
      </c>
      <c r="E15966" t="n">
        <v>2884</v>
      </c>
    </row>
    <row r="15967">
      <c r="A15967" t="inlineStr">
        <is>
          <t>27BBBBB15967Z5</t>
        </is>
      </c>
      <c r="B15967" t="inlineStr">
        <is>
          <t>Mar-2020</t>
        </is>
      </c>
      <c r="C15967" s="2" t="n">
        <v>43885</v>
      </c>
      <c r="D15967" t="inlineStr">
        <is>
          <t>NIL</t>
        </is>
      </c>
      <c r="E15967" t="n">
        <v>1888</v>
      </c>
    </row>
    <row r="15968">
      <c r="A15968" t="inlineStr">
        <is>
          <t>27BBBBB15968Z5</t>
        </is>
      </c>
      <c r="B15968" t="inlineStr">
        <is>
          <t>Mar-2020</t>
        </is>
      </c>
      <c r="C15968" s="2" t="n">
        <v>44233</v>
      </c>
      <c r="D15968" t="inlineStr">
        <is>
          <t>NON-NIL</t>
        </is>
      </c>
      <c r="E15968" t="n">
        <v>2305</v>
      </c>
    </row>
    <row r="15969">
      <c r="A15969" t="inlineStr">
        <is>
          <t>27BBBBB15969Z5</t>
        </is>
      </c>
      <c r="B15969" t="inlineStr">
        <is>
          <t>May-2020</t>
        </is>
      </c>
      <c r="C15969" s="2" t="n">
        <v>43891</v>
      </c>
      <c r="D15969" t="inlineStr">
        <is>
          <t>NON-NIL</t>
        </is>
      </c>
      <c r="E15969" t="n">
        <v>2837</v>
      </c>
    </row>
    <row r="15970">
      <c r="A15970" t="inlineStr">
        <is>
          <t>27BBBBB15970Z5</t>
        </is>
      </c>
      <c r="B15970" t="inlineStr">
        <is>
          <t>May-2020</t>
        </is>
      </c>
      <c r="C15970" s="2" t="n">
        <v>44145</v>
      </c>
      <c r="D15970" t="inlineStr">
        <is>
          <t>NON-NIL</t>
        </is>
      </c>
      <c r="E15970" t="n">
        <v>83</v>
      </c>
    </row>
    <row r="15971">
      <c r="A15971" t="inlineStr">
        <is>
          <t>27BBBBB15971Z5</t>
        </is>
      </c>
      <c r="B15971" t="inlineStr">
        <is>
          <t>Jul-2017</t>
        </is>
      </c>
      <c r="C15971" s="2" t="n">
        <v>44338</v>
      </c>
      <c r="D15971" t="inlineStr">
        <is>
          <t>NON-NIL</t>
        </is>
      </c>
      <c r="E15971" t="n">
        <v>1611</v>
      </c>
    </row>
    <row r="15972">
      <c r="A15972" t="inlineStr">
        <is>
          <t>27BBBBB15972Z5</t>
        </is>
      </c>
      <c r="B15972" t="inlineStr">
        <is>
          <t>Dec-2017</t>
        </is>
      </c>
      <c r="C15972" s="2" t="n">
        <v>43597</v>
      </c>
      <c r="D15972" t="inlineStr">
        <is>
          <t>NON-NIL</t>
        </is>
      </c>
      <c r="E15972" t="n">
        <v>734</v>
      </c>
    </row>
    <row r="15973">
      <c r="A15973" t="inlineStr">
        <is>
          <t>27BBBBB15973Z5</t>
        </is>
      </c>
      <c r="B15973" t="inlineStr">
        <is>
          <t>Oct-2017</t>
        </is>
      </c>
      <c r="C15973" s="2" t="n">
        <v>43490</v>
      </c>
      <c r="D15973" t="inlineStr">
        <is>
          <t>NIL</t>
        </is>
      </c>
      <c r="E15973" t="n">
        <v>1579</v>
      </c>
    </row>
    <row r="15974">
      <c r="A15974" t="inlineStr">
        <is>
          <t>27BBBBB15974Z5</t>
        </is>
      </c>
      <c r="B15974" t="inlineStr">
        <is>
          <t>Sep-2017</t>
        </is>
      </c>
      <c r="C15974" s="2" t="n">
        <v>44336</v>
      </c>
      <c r="D15974" t="inlineStr">
        <is>
          <t>NON-NIL</t>
        </is>
      </c>
      <c r="E15974" t="n">
        <v>671</v>
      </c>
    </row>
    <row r="15975">
      <c r="A15975" t="inlineStr">
        <is>
          <t>27BBBBB15975Z5</t>
        </is>
      </c>
      <c r="B15975" t="inlineStr">
        <is>
          <t>Jun-2018</t>
        </is>
      </c>
      <c r="C15975" s="2" t="n">
        <v>43048</v>
      </c>
      <c r="D15975" t="inlineStr">
        <is>
          <t>NON-NIL</t>
        </is>
      </c>
      <c r="E15975" t="n">
        <v>2663</v>
      </c>
    </row>
    <row r="15976">
      <c r="A15976" t="inlineStr">
        <is>
          <t>27BBBBB15976Z5</t>
        </is>
      </c>
      <c r="B15976" t="inlineStr">
        <is>
          <t>Nov-2018</t>
        </is>
      </c>
      <c r="C15976" s="2" t="n">
        <v>43760</v>
      </c>
      <c r="D15976" t="inlineStr">
        <is>
          <t>NON-NIL</t>
        </is>
      </c>
      <c r="E15976" t="n">
        <v>1385</v>
      </c>
    </row>
    <row r="15977">
      <c r="A15977" t="inlineStr">
        <is>
          <t>27BBBBB15977Z5</t>
        </is>
      </c>
      <c r="B15977" t="inlineStr">
        <is>
          <t>Jul-2018</t>
        </is>
      </c>
      <c r="C15977" s="2" t="n">
        <v>44395</v>
      </c>
      <c r="D15977" t="inlineStr">
        <is>
          <t>NIL</t>
        </is>
      </c>
      <c r="E15977" t="n">
        <v>1627</v>
      </c>
    </row>
    <row r="15978">
      <c r="A15978" t="inlineStr">
        <is>
          <t>27BBBBB15978Z5</t>
        </is>
      </c>
      <c r="B15978" t="inlineStr">
        <is>
          <t>Jan-2018</t>
        </is>
      </c>
      <c r="C15978" s="2" t="n">
        <v>43332</v>
      </c>
      <c r="D15978" t="inlineStr">
        <is>
          <t>NIL</t>
        </is>
      </c>
      <c r="E15978" t="n">
        <v>348</v>
      </c>
    </row>
    <row r="15979">
      <c r="A15979" t="inlineStr">
        <is>
          <t>27BBBBB15979Z5</t>
        </is>
      </c>
      <c r="B15979" t="inlineStr">
        <is>
          <t>Apr-2020</t>
        </is>
      </c>
      <c r="C15979" s="2" t="n">
        <v>44341</v>
      </c>
      <c r="D15979" t="inlineStr">
        <is>
          <t>NIL</t>
        </is>
      </c>
      <c r="E15979" t="n">
        <v>982</v>
      </c>
    </row>
    <row r="15980">
      <c r="A15980" t="inlineStr">
        <is>
          <t>27BBBBB15980Z5</t>
        </is>
      </c>
      <c r="B15980" t="inlineStr">
        <is>
          <t>Dec-2022</t>
        </is>
      </c>
      <c r="C15980" s="2" t="n">
        <v>45682</v>
      </c>
      <c r="D15980" t="inlineStr">
        <is>
          <t>NIL</t>
        </is>
      </c>
      <c r="E15980" t="n">
        <v>2732</v>
      </c>
    </row>
    <row r="15981">
      <c r="A15981" t="inlineStr">
        <is>
          <t>27BBBBB15981Z5</t>
        </is>
      </c>
      <c r="B15981" t="inlineStr">
        <is>
          <t>Apr-2018</t>
        </is>
      </c>
      <c r="C15981" s="2" t="n">
        <v>43695</v>
      </c>
      <c r="D15981" t="inlineStr">
        <is>
          <t>NON-NIL</t>
        </is>
      </c>
      <c r="E15981" t="n">
        <v>115</v>
      </c>
    </row>
    <row r="15982">
      <c r="A15982" t="inlineStr">
        <is>
          <t>27BBBBB15982Z5</t>
        </is>
      </c>
      <c r="B15982" t="inlineStr">
        <is>
          <t>Apr-2020</t>
        </is>
      </c>
      <c r="C15982" s="2" t="n">
        <v>44224</v>
      </c>
      <c r="D15982" t="inlineStr">
        <is>
          <t>NON-NIL</t>
        </is>
      </c>
      <c r="E15982" t="n">
        <v>996</v>
      </c>
    </row>
    <row r="15983">
      <c r="A15983" t="inlineStr">
        <is>
          <t>27BBBBB15983Z5</t>
        </is>
      </c>
      <c r="B15983" t="inlineStr">
        <is>
          <t>Mar-2021</t>
        </is>
      </c>
      <c r="C15983" s="2" t="n">
        <v>44016</v>
      </c>
      <c r="D15983" t="inlineStr">
        <is>
          <t>NIL</t>
        </is>
      </c>
      <c r="E15983" t="n">
        <v>243</v>
      </c>
    </row>
    <row r="15984">
      <c r="A15984" t="inlineStr">
        <is>
          <t>27BBBBB15984Z5</t>
        </is>
      </c>
      <c r="B15984" t="inlineStr">
        <is>
          <t>Jun-2020</t>
        </is>
      </c>
      <c r="C15984" s="2" t="n">
        <v>44065</v>
      </c>
      <c r="D15984" t="inlineStr">
        <is>
          <t>NON-NIL</t>
        </is>
      </c>
      <c r="E15984" t="n">
        <v>1435</v>
      </c>
    </row>
    <row r="15985">
      <c r="A15985" t="inlineStr">
        <is>
          <t>27BBBBB15985Z5</t>
        </is>
      </c>
      <c r="B15985" t="inlineStr">
        <is>
          <t>Jul-2020</t>
        </is>
      </c>
      <c r="C15985" s="2" t="n">
        <v>43931</v>
      </c>
      <c r="D15985" t="inlineStr">
        <is>
          <t>NON-NIL</t>
        </is>
      </c>
      <c r="E15985" t="n">
        <v>2043</v>
      </c>
    </row>
    <row r="15986">
      <c r="A15986" t="inlineStr">
        <is>
          <t>27BBBBB15986Z5</t>
        </is>
      </c>
      <c r="B15986" t="inlineStr">
        <is>
          <t>Jun-2018</t>
        </is>
      </c>
      <c r="C15986" s="2" t="n">
        <v>44248</v>
      </c>
      <c r="D15986" t="inlineStr">
        <is>
          <t>NIL</t>
        </is>
      </c>
      <c r="E15986" t="n">
        <v>79</v>
      </c>
    </row>
    <row r="15987">
      <c r="A15987" t="inlineStr">
        <is>
          <t>27BBBBB15987Z5</t>
        </is>
      </c>
      <c r="B15987" t="inlineStr">
        <is>
          <t>Mar-2023</t>
        </is>
      </c>
      <c r="C15987" s="2" t="n">
        <v>43955</v>
      </c>
      <c r="D15987" t="inlineStr">
        <is>
          <t>NON-NIL</t>
        </is>
      </c>
      <c r="E15987" t="n">
        <v>159</v>
      </c>
    </row>
    <row r="15988">
      <c r="A15988" t="inlineStr">
        <is>
          <t>27BBBBB15988Z5</t>
        </is>
      </c>
      <c r="B15988" t="inlineStr">
        <is>
          <t>Feb-2018</t>
        </is>
      </c>
      <c r="C15988" s="2" t="n">
        <v>44260</v>
      </c>
      <c r="D15988" t="inlineStr">
        <is>
          <t>NIL</t>
        </is>
      </c>
      <c r="E15988" t="n">
        <v>465</v>
      </c>
    </row>
    <row r="15989">
      <c r="A15989" t="inlineStr">
        <is>
          <t>27BBBBB15989Z5</t>
        </is>
      </c>
      <c r="B15989" t="inlineStr">
        <is>
          <t>Apr-2018</t>
        </is>
      </c>
      <c r="C15989" s="2" t="n">
        <v>43547</v>
      </c>
      <c r="D15989" t="inlineStr">
        <is>
          <t>NON-NIL</t>
        </is>
      </c>
      <c r="E15989" t="n">
        <v>1306</v>
      </c>
    </row>
    <row r="15990">
      <c r="A15990" t="inlineStr">
        <is>
          <t>27BBBBB15990Z5</t>
        </is>
      </c>
      <c r="B15990" t="inlineStr">
        <is>
          <t>Mar-2018</t>
        </is>
      </c>
      <c r="C15990" s="2" t="n">
        <v>43495</v>
      </c>
      <c r="D15990" t="inlineStr">
        <is>
          <t>NON-NIL</t>
        </is>
      </c>
      <c r="E15990" t="n">
        <v>2430</v>
      </c>
    </row>
    <row r="15991">
      <c r="A15991" t="inlineStr">
        <is>
          <t>27BBBBB15991Z5</t>
        </is>
      </c>
      <c r="B15991" t="inlineStr">
        <is>
          <t>Aug-2017</t>
        </is>
      </c>
      <c r="C15991" s="2" t="n">
        <v>44329</v>
      </c>
      <c r="D15991" t="inlineStr">
        <is>
          <t>NON-NIL</t>
        </is>
      </c>
      <c r="E15991" t="n">
        <v>1398</v>
      </c>
    </row>
    <row r="15992">
      <c r="A15992" t="inlineStr">
        <is>
          <t>27BBBBB15992Z5</t>
        </is>
      </c>
      <c r="B15992" t="inlineStr">
        <is>
          <t>Dec-2017</t>
        </is>
      </c>
      <c r="C15992" s="2" t="n">
        <v>43260</v>
      </c>
      <c r="D15992" t="inlineStr">
        <is>
          <t>NON-NIL</t>
        </is>
      </c>
      <c r="E15992" t="n">
        <v>659</v>
      </c>
    </row>
    <row r="15993">
      <c r="A15993" t="inlineStr">
        <is>
          <t>27BBBBB15993Z5</t>
        </is>
      </c>
      <c r="B15993" t="inlineStr">
        <is>
          <t>Aug-2017</t>
        </is>
      </c>
      <c r="C15993" s="2" t="n">
        <v>43538</v>
      </c>
      <c r="D15993" t="inlineStr">
        <is>
          <t>NIL</t>
        </is>
      </c>
      <c r="E15993" t="n">
        <v>2151</v>
      </c>
    </row>
    <row r="15994">
      <c r="A15994" t="inlineStr">
        <is>
          <t>27BBBBB15994Z5</t>
        </is>
      </c>
      <c r="B15994" t="inlineStr">
        <is>
          <t>Jun-2020</t>
        </is>
      </c>
      <c r="C15994" s="2" t="n">
        <v>43987</v>
      </c>
      <c r="D15994" t="inlineStr">
        <is>
          <t>NON-NIL</t>
        </is>
      </c>
      <c r="E15994" t="n">
        <v>364</v>
      </c>
    </row>
    <row r="15995">
      <c r="A15995" t="inlineStr">
        <is>
          <t>27BBBBB15995Z5</t>
        </is>
      </c>
      <c r="B15995" t="inlineStr">
        <is>
          <t>Nov-2017</t>
        </is>
      </c>
      <c r="C15995" s="2" t="n">
        <v>43052</v>
      </c>
      <c r="D15995" t="inlineStr">
        <is>
          <t>NON-NIL</t>
        </is>
      </c>
      <c r="E15995" t="n">
        <v>1489</v>
      </c>
    </row>
    <row r="15996">
      <c r="A15996" t="inlineStr">
        <is>
          <t>27BBBBB15996Z5</t>
        </is>
      </c>
      <c r="B15996" t="inlineStr">
        <is>
          <t>May-2018</t>
        </is>
      </c>
      <c r="C15996" s="2" t="n">
        <v>43778</v>
      </c>
      <c r="D15996" t="inlineStr">
        <is>
          <t>NON-NIL</t>
        </is>
      </c>
      <c r="E15996" t="n">
        <v>1189</v>
      </c>
    </row>
    <row r="15997">
      <c r="A15997" t="inlineStr">
        <is>
          <t>27BBBBB15997Z5</t>
        </is>
      </c>
      <c r="B15997" t="inlineStr">
        <is>
          <t>Mar-2018</t>
        </is>
      </c>
      <c r="C15997" s="2" t="n">
        <v>44401</v>
      </c>
      <c r="D15997" t="inlineStr">
        <is>
          <t>NON-NIL</t>
        </is>
      </c>
      <c r="E15997" t="n">
        <v>1948</v>
      </c>
    </row>
    <row r="15998">
      <c r="A15998" t="inlineStr">
        <is>
          <t>27BBBBB15998Z5</t>
        </is>
      </c>
      <c r="B15998" t="inlineStr">
        <is>
          <t>Jun-2020</t>
        </is>
      </c>
      <c r="C15998" s="2" t="n">
        <v>44769</v>
      </c>
      <c r="D15998" t="inlineStr">
        <is>
          <t>NIL</t>
        </is>
      </c>
      <c r="E15998" t="n">
        <v>199</v>
      </c>
    </row>
    <row r="15999">
      <c r="A15999" t="inlineStr">
        <is>
          <t>27BBBBB15999Z5</t>
        </is>
      </c>
      <c r="B15999" t="inlineStr">
        <is>
          <t>Jul-2017</t>
        </is>
      </c>
      <c r="C15999" s="2" t="n">
        <v>44053</v>
      </c>
      <c r="D15999" t="inlineStr">
        <is>
          <t>NIL</t>
        </is>
      </c>
      <c r="E15999" t="n">
        <v>1530</v>
      </c>
    </row>
    <row r="16000">
      <c r="A16000" t="inlineStr">
        <is>
          <t>27BBBBB16000Z5</t>
        </is>
      </c>
      <c r="B16000" t="inlineStr">
        <is>
          <t>Jul-2017</t>
        </is>
      </c>
      <c r="C16000" s="2" t="n">
        <v>44277</v>
      </c>
      <c r="D16000" t="inlineStr">
        <is>
          <t>NIL</t>
        </is>
      </c>
      <c r="E16000" t="n">
        <v>1066</v>
      </c>
    </row>
    <row r="16001">
      <c r="A16001" t="inlineStr">
        <is>
          <t>27BBBBB16001Z5</t>
        </is>
      </c>
      <c r="B16001" t="inlineStr">
        <is>
          <t>Jun-2018</t>
        </is>
      </c>
      <c r="C16001" s="2" t="n">
        <v>44014</v>
      </c>
      <c r="D16001" t="inlineStr">
        <is>
          <t>NON-NIL</t>
        </is>
      </c>
      <c r="E16001" t="n">
        <v>1134</v>
      </c>
    </row>
    <row r="16002">
      <c r="A16002" t="inlineStr">
        <is>
          <t>27BBBBB16002Z5</t>
        </is>
      </c>
      <c r="B16002" t="inlineStr">
        <is>
          <t>Nov-2017</t>
        </is>
      </c>
      <c r="C16002" s="2" t="n">
        <v>43944</v>
      </c>
      <c r="D16002" t="inlineStr">
        <is>
          <t>NON-NIL</t>
        </is>
      </c>
      <c r="E16002" t="n">
        <v>746</v>
      </c>
    </row>
    <row r="16003">
      <c r="A16003" t="inlineStr">
        <is>
          <t>27BBBBB16003Z5</t>
        </is>
      </c>
      <c r="B16003" t="inlineStr">
        <is>
          <t>Jan-2018</t>
        </is>
      </c>
      <c r="C16003" s="2" t="n">
        <v>43106</v>
      </c>
      <c r="D16003" t="inlineStr">
        <is>
          <t>NON-NIL</t>
        </is>
      </c>
      <c r="E16003" t="n">
        <v>2207</v>
      </c>
    </row>
    <row r="16004">
      <c r="A16004" t="inlineStr">
        <is>
          <t>27BBBBB16004Z5</t>
        </is>
      </c>
      <c r="B16004" t="inlineStr">
        <is>
          <t>Mar-2020</t>
        </is>
      </c>
      <c r="C16004" s="2" t="n">
        <v>44897</v>
      </c>
      <c r="D16004" t="inlineStr">
        <is>
          <t>NIL</t>
        </is>
      </c>
      <c r="E16004" t="n">
        <v>2758</v>
      </c>
    </row>
    <row r="16005">
      <c r="A16005" t="inlineStr">
        <is>
          <t>27BBBBB16005Z5</t>
        </is>
      </c>
      <c r="B16005" t="inlineStr">
        <is>
          <t>Nov-2017</t>
        </is>
      </c>
      <c r="C16005" s="2" t="n">
        <v>43211</v>
      </c>
      <c r="D16005" t="inlineStr">
        <is>
          <t>NON-NIL</t>
        </is>
      </c>
      <c r="E16005" t="n">
        <v>668</v>
      </c>
    </row>
    <row r="16006">
      <c r="A16006" t="inlineStr">
        <is>
          <t>27BBBBB16006Z5</t>
        </is>
      </c>
      <c r="B16006" t="inlineStr">
        <is>
          <t>Dec-2018</t>
        </is>
      </c>
      <c r="C16006" s="2" t="n">
        <v>43445</v>
      </c>
      <c r="D16006" t="inlineStr">
        <is>
          <t>NON-NIL</t>
        </is>
      </c>
      <c r="E16006" t="n">
        <v>861</v>
      </c>
    </row>
    <row r="16007">
      <c r="A16007" t="inlineStr">
        <is>
          <t>27BBBBB16007Z5</t>
        </is>
      </c>
      <c r="B16007" t="inlineStr">
        <is>
          <t>Dec-2018</t>
        </is>
      </c>
      <c r="C16007" s="2" t="n">
        <v>43716</v>
      </c>
      <c r="D16007" t="inlineStr">
        <is>
          <t>NON-NIL</t>
        </is>
      </c>
      <c r="E16007" t="n">
        <v>1627</v>
      </c>
    </row>
    <row r="16008">
      <c r="A16008" t="inlineStr">
        <is>
          <t>27BBBBB16008Z5</t>
        </is>
      </c>
      <c r="B16008" t="inlineStr">
        <is>
          <t>Sep-2017</t>
        </is>
      </c>
      <c r="C16008" s="2" t="n">
        <v>43766</v>
      </c>
      <c r="D16008" t="inlineStr">
        <is>
          <t>NIL</t>
        </is>
      </c>
      <c r="E16008" t="n">
        <v>310</v>
      </c>
    </row>
    <row r="16009">
      <c r="A16009" t="inlineStr">
        <is>
          <t>27BBBBB16009Z5</t>
        </is>
      </c>
      <c r="B16009" t="inlineStr">
        <is>
          <t>Dec-2024</t>
        </is>
      </c>
      <c r="C16009" s="2" t="n">
        <v>43595</v>
      </c>
      <c r="D16009" t="inlineStr">
        <is>
          <t>NON-NIL</t>
        </is>
      </c>
      <c r="E16009" t="n">
        <v>2540</v>
      </c>
    </row>
    <row r="16010">
      <c r="A16010" t="inlineStr">
        <is>
          <t>27BBBBB16010Z5</t>
        </is>
      </c>
      <c r="B16010" t="inlineStr">
        <is>
          <t>Apr-2018</t>
        </is>
      </c>
      <c r="C16010" s="2" t="n">
        <v>44303</v>
      </c>
      <c r="D16010" t="inlineStr">
        <is>
          <t>NON-NIL</t>
        </is>
      </c>
      <c r="E16010" t="n">
        <v>38</v>
      </c>
    </row>
    <row r="16011">
      <c r="A16011" t="inlineStr">
        <is>
          <t>27BBBBB16011Z5</t>
        </is>
      </c>
      <c r="B16011" t="inlineStr">
        <is>
          <t>Apr-2020</t>
        </is>
      </c>
      <c r="C16011" s="2" t="n">
        <v>44554</v>
      </c>
      <c r="D16011" t="inlineStr">
        <is>
          <t>NON-NIL</t>
        </is>
      </c>
      <c r="E16011" t="n">
        <v>2553</v>
      </c>
    </row>
    <row r="16012">
      <c r="A16012" t="inlineStr">
        <is>
          <t>27BBBBB16012Z5</t>
        </is>
      </c>
      <c r="B16012" t="inlineStr">
        <is>
          <t>Mar-2020</t>
        </is>
      </c>
      <c r="C16012" s="2" t="n">
        <v>44013</v>
      </c>
      <c r="D16012" t="inlineStr">
        <is>
          <t>NON-NIL</t>
        </is>
      </c>
      <c r="E16012" t="n">
        <v>1931</v>
      </c>
    </row>
    <row r="16013">
      <c r="A16013" t="inlineStr">
        <is>
          <t>27BBBBB16013Z5</t>
        </is>
      </c>
      <c r="B16013" t="inlineStr">
        <is>
          <t>Apr-2020</t>
        </is>
      </c>
      <c r="C16013" s="2" t="n">
        <v>44564</v>
      </c>
      <c r="D16013" t="inlineStr">
        <is>
          <t>NON-NIL</t>
        </is>
      </c>
      <c r="E16013" t="n">
        <v>262</v>
      </c>
    </row>
    <row r="16014">
      <c r="A16014" t="inlineStr">
        <is>
          <t>27BBBBB16014Z5</t>
        </is>
      </c>
      <c r="B16014" t="inlineStr">
        <is>
          <t>Mar-2020</t>
        </is>
      </c>
      <c r="C16014" s="2" t="n">
        <v>44493</v>
      </c>
      <c r="D16014" t="inlineStr">
        <is>
          <t>NON-NIL</t>
        </is>
      </c>
      <c r="E16014" t="n">
        <v>756</v>
      </c>
    </row>
    <row r="16015">
      <c r="A16015" t="inlineStr">
        <is>
          <t>27BBBBB16015Z5</t>
        </is>
      </c>
      <c r="B16015" t="inlineStr">
        <is>
          <t>Oct-2017</t>
        </is>
      </c>
      <c r="C16015" s="2" t="n">
        <v>44480</v>
      </c>
      <c r="D16015" t="inlineStr">
        <is>
          <t>NON-NIL</t>
        </is>
      </c>
      <c r="E16015" t="n">
        <v>2126</v>
      </c>
    </row>
    <row r="16016">
      <c r="A16016" t="inlineStr">
        <is>
          <t>27BBBBB16016Z5</t>
        </is>
      </c>
      <c r="B16016" t="inlineStr">
        <is>
          <t>Mar-2021</t>
        </is>
      </c>
      <c r="C16016" s="2" t="n">
        <v>44558</v>
      </c>
      <c r="D16016" t="inlineStr">
        <is>
          <t>NIL</t>
        </is>
      </c>
      <c r="E16016" t="n">
        <v>637</v>
      </c>
    </row>
    <row r="16017">
      <c r="A16017" t="inlineStr">
        <is>
          <t>27BBBBB16017Z5</t>
        </is>
      </c>
      <c r="B16017" t="inlineStr">
        <is>
          <t>Jul-2020</t>
        </is>
      </c>
      <c r="C16017" s="2" t="n">
        <v>44600</v>
      </c>
      <c r="D16017" t="inlineStr">
        <is>
          <t>NON-NIL</t>
        </is>
      </c>
      <c r="E16017" t="n">
        <v>2715</v>
      </c>
    </row>
    <row r="16018">
      <c r="A16018" t="inlineStr">
        <is>
          <t>27BBBBB16018Z5</t>
        </is>
      </c>
      <c r="B16018" t="inlineStr">
        <is>
          <t>Mar-2021</t>
        </is>
      </c>
      <c r="C16018" s="2" t="n">
        <v>45471</v>
      </c>
      <c r="D16018" t="inlineStr">
        <is>
          <t>NON-NIL</t>
        </is>
      </c>
      <c r="E16018" t="n">
        <v>1281</v>
      </c>
    </row>
    <row r="16019">
      <c r="A16019" t="inlineStr">
        <is>
          <t>27BBBBB16019Z5</t>
        </is>
      </c>
      <c r="B16019" t="inlineStr">
        <is>
          <t>Mar-2018</t>
        </is>
      </c>
      <c r="C16019" s="2" t="n">
        <v>43379</v>
      </c>
      <c r="D16019" t="inlineStr">
        <is>
          <t>NON-NIL</t>
        </is>
      </c>
      <c r="E16019" t="n">
        <v>777</v>
      </c>
    </row>
    <row r="16020">
      <c r="A16020" t="inlineStr">
        <is>
          <t>27BBBBB16020Z5</t>
        </is>
      </c>
      <c r="B16020" t="inlineStr">
        <is>
          <t>Dec-2024</t>
        </is>
      </c>
      <c r="C16020" s="2" t="n">
        <v>45545</v>
      </c>
      <c r="D16020" t="inlineStr">
        <is>
          <t>NIL</t>
        </is>
      </c>
      <c r="E16020" t="n">
        <v>1320</v>
      </c>
    </row>
    <row r="16021">
      <c r="A16021" t="inlineStr">
        <is>
          <t>27BBBBB16021Z5</t>
        </is>
      </c>
      <c r="B16021" t="inlineStr">
        <is>
          <t>Jan-2018</t>
        </is>
      </c>
      <c r="C16021" s="2" t="n">
        <v>43331</v>
      </c>
      <c r="D16021" t="inlineStr">
        <is>
          <t>NON-NIL</t>
        </is>
      </c>
      <c r="E16021" t="n">
        <v>873</v>
      </c>
    </row>
    <row r="16022">
      <c r="A16022" t="inlineStr">
        <is>
          <t>27BBBBB16022Z5</t>
        </is>
      </c>
      <c r="B16022" t="inlineStr">
        <is>
          <t>Nov-2017</t>
        </is>
      </c>
      <c r="C16022" s="2" t="n">
        <v>43686</v>
      </c>
      <c r="D16022" t="inlineStr">
        <is>
          <t>NON-NIL</t>
        </is>
      </c>
      <c r="E16022" t="n">
        <v>2652</v>
      </c>
    </row>
    <row r="16023">
      <c r="A16023" t="inlineStr">
        <is>
          <t>27BBBBB16023Z5</t>
        </is>
      </c>
      <c r="B16023" t="inlineStr">
        <is>
          <t>Dec-2024</t>
        </is>
      </c>
      <c r="C16023" s="2" t="n">
        <v>45533</v>
      </c>
      <c r="D16023" t="inlineStr">
        <is>
          <t>NIL</t>
        </is>
      </c>
      <c r="E16023" t="n">
        <v>1942</v>
      </c>
    </row>
    <row r="16024">
      <c r="A16024" t="inlineStr">
        <is>
          <t>27BBBBB16024Z5</t>
        </is>
      </c>
      <c r="B16024" t="inlineStr">
        <is>
          <t>Aug-2018</t>
        </is>
      </c>
      <c r="C16024" s="2" t="n">
        <v>43953</v>
      </c>
      <c r="D16024" t="inlineStr">
        <is>
          <t>NIL</t>
        </is>
      </c>
      <c r="E16024" t="n">
        <v>1437</v>
      </c>
    </row>
    <row r="16025">
      <c r="A16025" t="inlineStr">
        <is>
          <t>27BBBBB16025Z5</t>
        </is>
      </c>
      <c r="B16025" t="inlineStr">
        <is>
          <t>Jul-2017</t>
        </is>
      </c>
      <c r="C16025" s="2" t="n">
        <v>44506</v>
      </c>
      <c r="D16025" t="inlineStr">
        <is>
          <t>NON-NIL</t>
        </is>
      </c>
      <c r="E16025" t="n">
        <v>206</v>
      </c>
    </row>
    <row r="16026">
      <c r="A16026" t="inlineStr">
        <is>
          <t>27BBBBB16026Z5</t>
        </is>
      </c>
      <c r="B16026" t="inlineStr">
        <is>
          <t>Dec-2024</t>
        </is>
      </c>
      <c r="C16026" s="2" t="n">
        <v>43658</v>
      </c>
      <c r="D16026" t="inlineStr">
        <is>
          <t>NIL</t>
        </is>
      </c>
      <c r="E16026" t="n">
        <v>2457</v>
      </c>
    </row>
    <row r="16027">
      <c r="A16027" t="inlineStr">
        <is>
          <t>27BBBBB16027Z5</t>
        </is>
      </c>
      <c r="B16027" t="inlineStr">
        <is>
          <t>Apr-2020</t>
        </is>
      </c>
      <c r="C16027" s="2" t="n">
        <v>43939</v>
      </c>
      <c r="D16027" t="inlineStr">
        <is>
          <t>NON-NIL</t>
        </is>
      </c>
      <c r="E16027" t="n">
        <v>1830</v>
      </c>
    </row>
    <row r="16028">
      <c r="A16028" t="inlineStr">
        <is>
          <t>27BBBBB16028Z5</t>
        </is>
      </c>
      <c r="B16028" t="inlineStr">
        <is>
          <t>Aug-2018</t>
        </is>
      </c>
      <c r="C16028" s="2" t="n">
        <v>43642</v>
      </c>
      <c r="D16028" t="inlineStr">
        <is>
          <t>NIL</t>
        </is>
      </c>
      <c r="E16028" t="n">
        <v>2185</v>
      </c>
    </row>
    <row r="16029">
      <c r="A16029" t="inlineStr">
        <is>
          <t>27BBBBB16029Z5</t>
        </is>
      </c>
      <c r="B16029" t="inlineStr">
        <is>
          <t>Aug-2017</t>
        </is>
      </c>
      <c r="C16029" s="2" t="n">
        <v>44229</v>
      </c>
      <c r="D16029" t="inlineStr">
        <is>
          <t>NON-NIL</t>
        </is>
      </c>
      <c r="E16029" t="n">
        <v>596</v>
      </c>
    </row>
    <row r="16030">
      <c r="A16030" t="inlineStr">
        <is>
          <t>27BBBBB16030Z5</t>
        </is>
      </c>
      <c r="B16030" t="inlineStr">
        <is>
          <t>Oct-2018</t>
        </is>
      </c>
      <c r="C16030" s="2" t="n">
        <v>43411</v>
      </c>
      <c r="D16030" t="inlineStr">
        <is>
          <t>NON-NIL</t>
        </is>
      </c>
      <c r="E16030" t="n">
        <v>2228</v>
      </c>
    </row>
    <row r="16031">
      <c r="A16031" t="inlineStr">
        <is>
          <t>27BBBBB16031Z5</t>
        </is>
      </c>
      <c r="B16031" t="inlineStr">
        <is>
          <t>Aug-2018</t>
        </is>
      </c>
      <c r="C16031" s="2" t="n">
        <v>43822</v>
      </c>
      <c r="D16031" t="inlineStr">
        <is>
          <t>NON-NIL</t>
        </is>
      </c>
      <c r="E16031" t="n">
        <v>579</v>
      </c>
    </row>
    <row r="16032">
      <c r="A16032" t="inlineStr">
        <is>
          <t>27BBBBB16032Z5</t>
        </is>
      </c>
      <c r="B16032" t="inlineStr">
        <is>
          <t>Nov-2018</t>
        </is>
      </c>
      <c r="C16032" s="2" t="n">
        <v>42989</v>
      </c>
      <c r="D16032" t="inlineStr">
        <is>
          <t>NON-NIL</t>
        </is>
      </c>
      <c r="E16032" t="n">
        <v>2139</v>
      </c>
    </row>
    <row r="16033">
      <c r="A16033" t="inlineStr">
        <is>
          <t>27BBBBB16033Z5</t>
        </is>
      </c>
      <c r="B16033" t="inlineStr">
        <is>
          <t>Nov-2018</t>
        </is>
      </c>
      <c r="C16033" s="2" t="n">
        <v>43807</v>
      </c>
      <c r="D16033" t="inlineStr">
        <is>
          <t>NIL</t>
        </is>
      </c>
      <c r="E16033" t="n">
        <v>1361</v>
      </c>
    </row>
    <row r="16034">
      <c r="A16034" t="inlineStr">
        <is>
          <t>27BBBBB16034Z5</t>
        </is>
      </c>
      <c r="B16034" t="inlineStr">
        <is>
          <t>Aug-2017</t>
        </is>
      </c>
      <c r="C16034" s="2" t="n">
        <v>43311</v>
      </c>
      <c r="D16034" t="inlineStr">
        <is>
          <t>NIL</t>
        </is>
      </c>
      <c r="E16034" t="n">
        <v>2327</v>
      </c>
    </row>
    <row r="16035">
      <c r="A16035" t="inlineStr">
        <is>
          <t>27BBBBB16035Z5</t>
        </is>
      </c>
      <c r="B16035" t="inlineStr">
        <is>
          <t>Dec-2022</t>
        </is>
      </c>
      <c r="C16035" s="2" t="n">
        <v>43824</v>
      </c>
      <c r="D16035" t="inlineStr">
        <is>
          <t>NIL</t>
        </is>
      </c>
      <c r="E16035" t="n">
        <v>1924</v>
      </c>
    </row>
    <row r="16036">
      <c r="A16036" t="inlineStr">
        <is>
          <t>27BBBBB16036Z5</t>
        </is>
      </c>
      <c r="B16036" t="inlineStr">
        <is>
          <t>Sep-2017</t>
        </is>
      </c>
      <c r="C16036" s="2" t="n">
        <v>44420</v>
      </c>
      <c r="D16036" t="inlineStr">
        <is>
          <t>NIL</t>
        </is>
      </c>
      <c r="E16036" t="n">
        <v>2186</v>
      </c>
    </row>
    <row r="16037">
      <c r="A16037" t="inlineStr">
        <is>
          <t>27BBBBB16037Z5</t>
        </is>
      </c>
      <c r="B16037" t="inlineStr">
        <is>
          <t>Feb-2018</t>
        </is>
      </c>
      <c r="C16037" s="2" t="n">
        <v>43926</v>
      </c>
      <c r="D16037" t="inlineStr">
        <is>
          <t>NIL</t>
        </is>
      </c>
      <c r="E16037" t="n">
        <v>183</v>
      </c>
    </row>
    <row r="16038">
      <c r="A16038" t="inlineStr">
        <is>
          <t>27BBBBB16038Z5</t>
        </is>
      </c>
      <c r="B16038" t="inlineStr">
        <is>
          <t>Jul-2017</t>
        </is>
      </c>
      <c r="C16038" s="2" t="n">
        <v>43224</v>
      </c>
      <c r="D16038" t="inlineStr">
        <is>
          <t>NON-NIL</t>
        </is>
      </c>
      <c r="E16038" t="n">
        <v>772</v>
      </c>
    </row>
    <row r="16039">
      <c r="A16039" t="inlineStr">
        <is>
          <t>27BBBBB16039Z5</t>
        </is>
      </c>
      <c r="B16039" t="inlineStr">
        <is>
          <t>Jan-2021</t>
        </is>
      </c>
      <c r="C16039" s="2" t="n">
        <v>45222</v>
      </c>
      <c r="D16039" t="inlineStr">
        <is>
          <t>NIL</t>
        </is>
      </c>
      <c r="E16039" t="n">
        <v>1887</v>
      </c>
    </row>
    <row r="16040">
      <c r="A16040" t="inlineStr">
        <is>
          <t>27BBBBB16040Z5</t>
        </is>
      </c>
      <c r="B16040" t="inlineStr">
        <is>
          <t>May-2020</t>
        </is>
      </c>
      <c r="C16040" s="2" t="n">
        <v>44286</v>
      </c>
      <c r="D16040" t="inlineStr">
        <is>
          <t>NON-NIL</t>
        </is>
      </c>
      <c r="E16040" t="n">
        <v>2816</v>
      </c>
    </row>
    <row r="16041">
      <c r="A16041" t="inlineStr">
        <is>
          <t>27BBBBB16041Z5</t>
        </is>
      </c>
      <c r="B16041" t="inlineStr">
        <is>
          <t>Dec-2018</t>
        </is>
      </c>
      <c r="C16041" s="2" t="n">
        <v>44482</v>
      </c>
      <c r="D16041" t="inlineStr">
        <is>
          <t>NON-NIL</t>
        </is>
      </c>
      <c r="E16041" t="n">
        <v>1024</v>
      </c>
    </row>
    <row r="16042">
      <c r="A16042" t="inlineStr">
        <is>
          <t>27BBBBB16042Z5</t>
        </is>
      </c>
      <c r="B16042" t="inlineStr">
        <is>
          <t>Jun-2020</t>
        </is>
      </c>
      <c r="C16042" s="2" t="n">
        <v>44017</v>
      </c>
      <c r="D16042" t="inlineStr">
        <is>
          <t>NON-NIL</t>
        </is>
      </c>
      <c r="E16042" t="n">
        <v>982</v>
      </c>
    </row>
    <row r="16043">
      <c r="A16043" t="inlineStr">
        <is>
          <t>27BBBBB16043Z5</t>
        </is>
      </c>
      <c r="B16043" t="inlineStr">
        <is>
          <t>Sep-2018</t>
        </is>
      </c>
      <c r="C16043" s="2" t="n">
        <v>43232</v>
      </c>
      <c r="D16043" t="inlineStr">
        <is>
          <t>NON-NIL</t>
        </is>
      </c>
      <c r="E16043" t="n">
        <v>2443</v>
      </c>
    </row>
    <row r="16044">
      <c r="A16044" t="inlineStr">
        <is>
          <t>27BBBBB16044Z5</t>
        </is>
      </c>
      <c r="B16044" t="inlineStr">
        <is>
          <t>Nov-2018</t>
        </is>
      </c>
      <c r="C16044" s="2" t="n">
        <v>43432</v>
      </c>
      <c r="D16044" t="inlineStr">
        <is>
          <t>NON-NIL</t>
        </is>
      </c>
      <c r="E16044" t="n">
        <v>2844</v>
      </c>
    </row>
    <row r="16045">
      <c r="A16045" t="inlineStr">
        <is>
          <t>27BBBBB16045Z5</t>
        </is>
      </c>
      <c r="B16045" t="inlineStr">
        <is>
          <t>Oct-2017</t>
        </is>
      </c>
      <c r="C16045" s="2" t="n">
        <v>44131</v>
      </c>
      <c r="D16045" t="inlineStr">
        <is>
          <t>NIL</t>
        </is>
      </c>
      <c r="E16045" t="n">
        <v>549</v>
      </c>
    </row>
    <row r="16046">
      <c r="A16046" t="inlineStr">
        <is>
          <t>27BBBBB16046Z5</t>
        </is>
      </c>
      <c r="B16046" t="inlineStr">
        <is>
          <t>Mar-2023</t>
        </is>
      </c>
      <c r="C16046" s="2" t="n">
        <v>45553</v>
      </c>
      <c r="D16046" t="inlineStr">
        <is>
          <t>NIL</t>
        </is>
      </c>
      <c r="E16046" t="n">
        <v>2234</v>
      </c>
    </row>
    <row r="16047">
      <c r="A16047" t="inlineStr">
        <is>
          <t>27BBBBB16047Z5</t>
        </is>
      </c>
      <c r="B16047" t="inlineStr">
        <is>
          <t>Jun-2020</t>
        </is>
      </c>
      <c r="C16047" s="2" t="n">
        <v>44514</v>
      </c>
      <c r="D16047" t="inlineStr">
        <is>
          <t>NIL</t>
        </is>
      </c>
      <c r="E16047" t="n">
        <v>716</v>
      </c>
    </row>
    <row r="16048">
      <c r="A16048" t="inlineStr">
        <is>
          <t>27BBBBB16048Z5</t>
        </is>
      </c>
      <c r="B16048" t="inlineStr">
        <is>
          <t>Oct-2018</t>
        </is>
      </c>
      <c r="C16048" s="2" t="n">
        <v>43480</v>
      </c>
      <c r="D16048" t="inlineStr">
        <is>
          <t>NON-NIL</t>
        </is>
      </c>
      <c r="E16048" t="n">
        <v>211</v>
      </c>
    </row>
    <row r="16049">
      <c r="A16049" t="inlineStr">
        <is>
          <t>27BBBBB16049Z5</t>
        </is>
      </c>
      <c r="B16049" t="inlineStr">
        <is>
          <t>Aug-2018</t>
        </is>
      </c>
      <c r="C16049" s="2" t="n">
        <v>44358</v>
      </c>
      <c r="D16049" t="inlineStr">
        <is>
          <t>NIL</t>
        </is>
      </c>
      <c r="E16049" t="n">
        <v>1607</v>
      </c>
    </row>
    <row r="16050">
      <c r="A16050" t="inlineStr">
        <is>
          <t>27BBBBB16050Z5</t>
        </is>
      </c>
      <c r="B16050" t="inlineStr">
        <is>
          <t>Sep-2018</t>
        </is>
      </c>
      <c r="C16050" s="2" t="n">
        <v>44507</v>
      </c>
      <c r="D16050" t="inlineStr">
        <is>
          <t>NIL</t>
        </is>
      </c>
      <c r="E16050" t="n">
        <v>1897</v>
      </c>
    </row>
    <row r="16051">
      <c r="A16051" t="inlineStr">
        <is>
          <t>27BBBBB16051Z5</t>
        </is>
      </c>
      <c r="B16051" t="inlineStr">
        <is>
          <t>Mar-2023</t>
        </is>
      </c>
      <c r="C16051" s="2" t="n">
        <v>43646</v>
      </c>
      <c r="D16051" t="inlineStr">
        <is>
          <t>NIL</t>
        </is>
      </c>
      <c r="E16051" t="n">
        <v>2533</v>
      </c>
    </row>
    <row r="16052">
      <c r="A16052" t="inlineStr">
        <is>
          <t>27BBBBB16052Z5</t>
        </is>
      </c>
      <c r="B16052" t="inlineStr">
        <is>
          <t>Jan-2018</t>
        </is>
      </c>
      <c r="C16052" s="2" t="n">
        <v>44533</v>
      </c>
      <c r="D16052" t="inlineStr">
        <is>
          <t>NON-NIL</t>
        </is>
      </c>
      <c r="E16052" t="n">
        <v>2927</v>
      </c>
    </row>
    <row r="16053">
      <c r="A16053" t="inlineStr">
        <is>
          <t>27BBBBB16053Z5</t>
        </is>
      </c>
      <c r="B16053" t="inlineStr">
        <is>
          <t>Dec-2018</t>
        </is>
      </c>
      <c r="C16053" s="2" t="n">
        <v>43926</v>
      </c>
      <c r="D16053" t="inlineStr">
        <is>
          <t>NON-NIL</t>
        </is>
      </c>
      <c r="E16053" t="n">
        <v>1876</v>
      </c>
    </row>
    <row r="16054">
      <c r="A16054" t="inlineStr">
        <is>
          <t>27BBBBB16054Z5</t>
        </is>
      </c>
      <c r="B16054" t="inlineStr">
        <is>
          <t>Oct-2017</t>
        </is>
      </c>
      <c r="C16054" s="2" t="n">
        <v>43274</v>
      </c>
      <c r="D16054" t="inlineStr">
        <is>
          <t>NIL</t>
        </is>
      </c>
      <c r="E16054" t="n">
        <v>793</v>
      </c>
    </row>
    <row r="16055">
      <c r="A16055" t="inlineStr">
        <is>
          <t>27BBBBB16055Z5</t>
        </is>
      </c>
      <c r="B16055" t="inlineStr">
        <is>
          <t>Sep-2018</t>
        </is>
      </c>
      <c r="C16055" s="2" t="n">
        <v>43380</v>
      </c>
      <c r="D16055" t="inlineStr">
        <is>
          <t>NIL</t>
        </is>
      </c>
      <c r="E16055" t="n">
        <v>647</v>
      </c>
    </row>
    <row r="16056">
      <c r="A16056" t="inlineStr">
        <is>
          <t>27BBBBB16056Z5</t>
        </is>
      </c>
      <c r="B16056" t="inlineStr">
        <is>
          <t>Aug-2017</t>
        </is>
      </c>
      <c r="C16056" s="2" t="n">
        <v>43345</v>
      </c>
      <c r="D16056" t="inlineStr">
        <is>
          <t>NIL</t>
        </is>
      </c>
      <c r="E16056" t="n">
        <v>1911</v>
      </c>
    </row>
    <row r="16057">
      <c r="A16057" t="inlineStr">
        <is>
          <t>27BBBBB16057Z5</t>
        </is>
      </c>
      <c r="B16057" t="inlineStr">
        <is>
          <t>Jun-2018</t>
        </is>
      </c>
      <c r="C16057" s="2" t="n">
        <v>42964</v>
      </c>
      <c r="D16057" t="inlineStr">
        <is>
          <t>NON-NIL</t>
        </is>
      </c>
      <c r="E16057" t="n">
        <v>2958</v>
      </c>
    </row>
    <row r="16058">
      <c r="A16058" t="inlineStr">
        <is>
          <t>27BBBBB16058Z5</t>
        </is>
      </c>
      <c r="B16058" t="inlineStr">
        <is>
          <t>Oct-2018</t>
        </is>
      </c>
      <c r="C16058" s="2" t="n">
        <v>43032</v>
      </c>
      <c r="D16058" t="inlineStr">
        <is>
          <t>NIL</t>
        </is>
      </c>
      <c r="E16058" t="n">
        <v>1732</v>
      </c>
    </row>
    <row r="16059">
      <c r="A16059" t="inlineStr">
        <is>
          <t>27BBBBB16059Z5</t>
        </is>
      </c>
      <c r="B16059" t="inlineStr">
        <is>
          <t>Mar-2023</t>
        </is>
      </c>
      <c r="C16059" s="2" t="n">
        <v>45212</v>
      </c>
      <c r="D16059" t="inlineStr">
        <is>
          <t>NIL</t>
        </is>
      </c>
      <c r="E16059" t="n">
        <v>1933</v>
      </c>
    </row>
    <row r="16060">
      <c r="A16060" t="inlineStr">
        <is>
          <t>27BBBBB16060Z5</t>
        </is>
      </c>
      <c r="B16060" t="inlineStr">
        <is>
          <t>Dec-2024</t>
        </is>
      </c>
      <c r="C16060" s="2" t="n">
        <v>45778</v>
      </c>
      <c r="D16060" t="inlineStr">
        <is>
          <t>NIL</t>
        </is>
      </c>
      <c r="E16060" t="n">
        <v>705</v>
      </c>
    </row>
    <row r="16061">
      <c r="A16061" t="inlineStr">
        <is>
          <t>27BBBBB16061Z5</t>
        </is>
      </c>
      <c r="B16061" t="inlineStr">
        <is>
          <t>Apr-2020</t>
        </is>
      </c>
      <c r="C16061" s="2" t="n">
        <v>44901</v>
      </c>
      <c r="D16061" t="inlineStr">
        <is>
          <t>NIL</t>
        </is>
      </c>
      <c r="E16061" t="n">
        <v>1887</v>
      </c>
    </row>
    <row r="16062">
      <c r="A16062" t="inlineStr">
        <is>
          <t>27BBBBB16062Z5</t>
        </is>
      </c>
      <c r="B16062" t="inlineStr">
        <is>
          <t>Dec-2018</t>
        </is>
      </c>
      <c r="C16062" s="2" t="n">
        <v>43092</v>
      </c>
      <c r="D16062" t="inlineStr">
        <is>
          <t>NIL</t>
        </is>
      </c>
      <c r="E16062" t="n">
        <v>2729</v>
      </c>
    </row>
    <row r="16063">
      <c r="A16063" t="inlineStr">
        <is>
          <t>27BBBBB16063Z5</t>
        </is>
      </c>
      <c r="B16063" t="inlineStr">
        <is>
          <t>Sep-2017</t>
        </is>
      </c>
      <c r="C16063" s="2" t="n">
        <v>43734</v>
      </c>
      <c r="D16063" t="inlineStr">
        <is>
          <t>NIL</t>
        </is>
      </c>
      <c r="E16063" t="n">
        <v>1259</v>
      </c>
    </row>
    <row r="16064">
      <c r="A16064" t="inlineStr">
        <is>
          <t>27BBBBB16064Z5</t>
        </is>
      </c>
      <c r="B16064" t="inlineStr">
        <is>
          <t>Dec-2022</t>
        </is>
      </c>
      <c r="C16064" s="2" t="n">
        <v>43624</v>
      </c>
      <c r="D16064" t="inlineStr">
        <is>
          <t>NIL</t>
        </is>
      </c>
      <c r="E16064" t="n">
        <v>2301</v>
      </c>
    </row>
    <row r="16065">
      <c r="A16065" t="inlineStr">
        <is>
          <t>27BBBBB16065Z5</t>
        </is>
      </c>
      <c r="B16065" t="inlineStr">
        <is>
          <t>May-2020</t>
        </is>
      </c>
      <c r="C16065" s="2" t="n">
        <v>44166</v>
      </c>
      <c r="D16065" t="inlineStr">
        <is>
          <t>NON-NIL</t>
        </is>
      </c>
      <c r="E16065" t="n">
        <v>1377</v>
      </c>
    </row>
    <row r="16066">
      <c r="A16066" t="inlineStr">
        <is>
          <t>27BBBBB16066Z5</t>
        </is>
      </c>
      <c r="B16066" t="inlineStr">
        <is>
          <t>Aug-2017</t>
        </is>
      </c>
      <c r="C16066" s="2" t="n">
        <v>42991</v>
      </c>
      <c r="D16066" t="inlineStr">
        <is>
          <t>NIL</t>
        </is>
      </c>
      <c r="E16066" t="n">
        <v>2558</v>
      </c>
    </row>
    <row r="16067">
      <c r="A16067" t="inlineStr">
        <is>
          <t>27BBBBB16067Z5</t>
        </is>
      </c>
      <c r="B16067" t="inlineStr">
        <is>
          <t>Mar-2020</t>
        </is>
      </c>
      <c r="C16067" s="2" t="n">
        <v>43965</v>
      </c>
      <c r="D16067" t="inlineStr">
        <is>
          <t>NON-NIL</t>
        </is>
      </c>
      <c r="E16067" t="n">
        <v>1555</v>
      </c>
    </row>
    <row r="16068">
      <c r="A16068" t="inlineStr">
        <is>
          <t>27BBBBB16068Z5</t>
        </is>
      </c>
      <c r="B16068" t="inlineStr">
        <is>
          <t>Dec-2018</t>
        </is>
      </c>
      <c r="C16068" s="2" t="n">
        <v>43323</v>
      </c>
      <c r="D16068" t="inlineStr">
        <is>
          <t>NON-NIL</t>
        </is>
      </c>
      <c r="E16068" t="n">
        <v>842</v>
      </c>
    </row>
    <row r="16069">
      <c r="A16069" t="inlineStr">
        <is>
          <t>27BBBBB16069Z5</t>
        </is>
      </c>
      <c r="B16069" t="inlineStr">
        <is>
          <t>Mar-2018</t>
        </is>
      </c>
      <c r="C16069" s="2" t="n">
        <v>43839</v>
      </c>
      <c r="D16069" t="inlineStr">
        <is>
          <t>NIL</t>
        </is>
      </c>
      <c r="E16069" t="n">
        <v>2718</v>
      </c>
    </row>
    <row r="16070">
      <c r="A16070" t="inlineStr">
        <is>
          <t>27BBBBB16070Z5</t>
        </is>
      </c>
      <c r="B16070" t="inlineStr">
        <is>
          <t>Oct-2017</t>
        </is>
      </c>
      <c r="C16070" s="2" t="n">
        <v>43342</v>
      </c>
      <c r="D16070" t="inlineStr">
        <is>
          <t>NON-NIL</t>
        </is>
      </c>
      <c r="E16070" t="n">
        <v>2674</v>
      </c>
    </row>
    <row r="16071">
      <c r="A16071" t="inlineStr">
        <is>
          <t>27BBBBB16071Z5</t>
        </is>
      </c>
      <c r="B16071" t="inlineStr">
        <is>
          <t>Oct-2017</t>
        </is>
      </c>
      <c r="C16071" s="2" t="n">
        <v>43313</v>
      </c>
      <c r="D16071" t="inlineStr">
        <is>
          <t>NON-NIL</t>
        </is>
      </c>
      <c r="E16071" t="n">
        <v>2883</v>
      </c>
    </row>
    <row r="16072">
      <c r="A16072" t="inlineStr">
        <is>
          <t>27BBBBB16072Z5</t>
        </is>
      </c>
      <c r="B16072" t="inlineStr">
        <is>
          <t>Apr-2020</t>
        </is>
      </c>
      <c r="C16072" s="2" t="n">
        <v>44132</v>
      </c>
      <c r="D16072" t="inlineStr">
        <is>
          <t>NON-NIL</t>
        </is>
      </c>
      <c r="E16072" t="n">
        <v>1064</v>
      </c>
    </row>
    <row r="16073">
      <c r="A16073" t="inlineStr">
        <is>
          <t>27BBBBB16073Z5</t>
        </is>
      </c>
      <c r="B16073" t="inlineStr">
        <is>
          <t>Jul-2018</t>
        </is>
      </c>
      <c r="C16073" s="2" t="n">
        <v>44039</v>
      </c>
      <c r="D16073" t="inlineStr">
        <is>
          <t>NIL</t>
        </is>
      </c>
      <c r="E16073" t="n">
        <v>1731</v>
      </c>
    </row>
    <row r="16074">
      <c r="A16074" t="inlineStr">
        <is>
          <t>27BBBBB16074Z5</t>
        </is>
      </c>
      <c r="B16074" t="inlineStr">
        <is>
          <t>Nov-2017</t>
        </is>
      </c>
      <c r="C16074" s="2" t="n">
        <v>42926</v>
      </c>
      <c r="D16074" t="inlineStr">
        <is>
          <t>NIL</t>
        </is>
      </c>
      <c r="E16074" t="n">
        <v>1779</v>
      </c>
    </row>
    <row r="16075">
      <c r="A16075" t="inlineStr">
        <is>
          <t>27BBBBB16075Z5</t>
        </is>
      </c>
      <c r="B16075" t="inlineStr">
        <is>
          <t>Nov-2018</t>
        </is>
      </c>
      <c r="C16075" s="2" t="n">
        <v>43948</v>
      </c>
      <c r="D16075" t="inlineStr">
        <is>
          <t>NIL</t>
        </is>
      </c>
      <c r="E16075" t="n">
        <v>1819</v>
      </c>
    </row>
    <row r="16076">
      <c r="A16076" t="inlineStr">
        <is>
          <t>27BBBBB16076Z5</t>
        </is>
      </c>
      <c r="B16076" t="inlineStr">
        <is>
          <t>Mar-2023</t>
        </is>
      </c>
      <c r="C16076" s="2" t="n">
        <v>43846</v>
      </c>
      <c r="D16076" t="inlineStr">
        <is>
          <t>NON-NIL</t>
        </is>
      </c>
      <c r="E16076" t="n">
        <v>1972</v>
      </c>
    </row>
    <row r="16077">
      <c r="A16077" t="inlineStr">
        <is>
          <t>27BBBBB16077Z5</t>
        </is>
      </c>
      <c r="B16077" t="inlineStr">
        <is>
          <t>Dec-2022</t>
        </is>
      </c>
      <c r="C16077" s="2" t="n">
        <v>43843</v>
      </c>
      <c r="D16077" t="inlineStr">
        <is>
          <t>NON-NIL</t>
        </is>
      </c>
      <c r="E16077" t="n">
        <v>87</v>
      </c>
    </row>
    <row r="16078">
      <c r="A16078" t="inlineStr">
        <is>
          <t>27BBBBB16078Z5</t>
        </is>
      </c>
      <c r="B16078" t="inlineStr">
        <is>
          <t>Jul-2018</t>
        </is>
      </c>
      <c r="C16078" s="2" t="n">
        <v>44156</v>
      </c>
      <c r="D16078" t="inlineStr">
        <is>
          <t>NIL</t>
        </is>
      </c>
      <c r="E16078" t="n">
        <v>1220</v>
      </c>
    </row>
    <row r="16079">
      <c r="A16079" t="inlineStr">
        <is>
          <t>27BBBBB16079Z5</t>
        </is>
      </c>
      <c r="B16079" t="inlineStr">
        <is>
          <t>Mar-2023</t>
        </is>
      </c>
      <c r="C16079" s="2" t="n">
        <v>45495</v>
      </c>
      <c r="D16079" t="inlineStr">
        <is>
          <t>NIL</t>
        </is>
      </c>
      <c r="E16079" t="n">
        <v>453</v>
      </c>
    </row>
    <row r="16080">
      <c r="A16080" t="inlineStr">
        <is>
          <t>27BBBBB16080Z5</t>
        </is>
      </c>
      <c r="B16080" t="inlineStr">
        <is>
          <t>Nov-2017</t>
        </is>
      </c>
      <c r="C16080" s="2" t="n">
        <v>43423</v>
      </c>
      <c r="D16080" t="inlineStr">
        <is>
          <t>NON-NIL</t>
        </is>
      </c>
      <c r="E16080" t="n">
        <v>396</v>
      </c>
    </row>
    <row r="16081">
      <c r="A16081" t="inlineStr">
        <is>
          <t>27BBBBB16081Z5</t>
        </is>
      </c>
      <c r="B16081" t="inlineStr">
        <is>
          <t>Sep-2018</t>
        </is>
      </c>
      <c r="C16081" s="2" t="n">
        <v>43385</v>
      </c>
      <c r="D16081" t="inlineStr">
        <is>
          <t>NON-NIL</t>
        </is>
      </c>
      <c r="E16081" t="n">
        <v>2348</v>
      </c>
    </row>
    <row r="16082">
      <c r="A16082" t="inlineStr">
        <is>
          <t>27BBBBB16082Z5</t>
        </is>
      </c>
      <c r="B16082" t="inlineStr">
        <is>
          <t>May-2018</t>
        </is>
      </c>
      <c r="C16082" s="2" t="n">
        <v>43923</v>
      </c>
      <c r="D16082" t="inlineStr">
        <is>
          <t>NIL</t>
        </is>
      </c>
      <c r="E16082" t="n">
        <v>1271</v>
      </c>
    </row>
    <row r="16083">
      <c r="A16083" t="inlineStr">
        <is>
          <t>27BBBBB16083Z5</t>
        </is>
      </c>
      <c r="B16083" t="inlineStr">
        <is>
          <t>Mar-2021</t>
        </is>
      </c>
      <c r="C16083" s="2" t="n">
        <v>44645</v>
      </c>
      <c r="D16083" t="inlineStr">
        <is>
          <t>NIL</t>
        </is>
      </c>
      <c r="E16083" t="n">
        <v>1869</v>
      </c>
    </row>
    <row r="16084">
      <c r="A16084" t="inlineStr">
        <is>
          <t>27BBBBB16084Z5</t>
        </is>
      </c>
      <c r="B16084" t="inlineStr">
        <is>
          <t>Jul-2018</t>
        </is>
      </c>
      <c r="C16084" s="2" t="n">
        <v>44239</v>
      </c>
      <c r="D16084" t="inlineStr">
        <is>
          <t>NIL</t>
        </is>
      </c>
      <c r="E16084" t="n">
        <v>272</v>
      </c>
    </row>
    <row r="16085">
      <c r="A16085" t="inlineStr">
        <is>
          <t>27BBBBB16085Z5</t>
        </is>
      </c>
      <c r="B16085" t="inlineStr">
        <is>
          <t>Jan-2021</t>
        </is>
      </c>
      <c r="C16085" s="2" t="n">
        <v>44294</v>
      </c>
      <c r="D16085" t="inlineStr">
        <is>
          <t>NIL</t>
        </is>
      </c>
      <c r="E16085" t="n">
        <v>229</v>
      </c>
    </row>
    <row r="16086">
      <c r="A16086" t="inlineStr">
        <is>
          <t>27BBBBB16086Z5</t>
        </is>
      </c>
      <c r="B16086" t="inlineStr">
        <is>
          <t>Dec-2018</t>
        </is>
      </c>
      <c r="C16086" s="2" t="n">
        <v>43673</v>
      </c>
      <c r="D16086" t="inlineStr">
        <is>
          <t>NON-NIL</t>
        </is>
      </c>
      <c r="E16086" t="n">
        <v>1766</v>
      </c>
    </row>
    <row r="16087">
      <c r="A16087" t="inlineStr">
        <is>
          <t>27BBBBB16087Z5</t>
        </is>
      </c>
      <c r="B16087" t="inlineStr">
        <is>
          <t>Aug-2017</t>
        </is>
      </c>
      <c r="C16087" s="2" t="n">
        <v>43554</v>
      </c>
      <c r="D16087" t="inlineStr">
        <is>
          <t>NIL</t>
        </is>
      </c>
      <c r="E16087" t="n">
        <v>2021</v>
      </c>
    </row>
    <row r="16088">
      <c r="A16088" t="inlineStr">
        <is>
          <t>27BBBBB16088Z5</t>
        </is>
      </c>
      <c r="B16088" t="inlineStr">
        <is>
          <t>Jul-2018</t>
        </is>
      </c>
      <c r="C16088" s="2" t="n">
        <v>43626</v>
      </c>
      <c r="D16088" t="inlineStr">
        <is>
          <t>NON-NIL</t>
        </is>
      </c>
      <c r="E16088" t="n">
        <v>2704</v>
      </c>
    </row>
    <row r="16089">
      <c r="A16089" t="inlineStr">
        <is>
          <t>27BBBBB16089Z5</t>
        </is>
      </c>
      <c r="B16089" t="inlineStr">
        <is>
          <t>May-2020</t>
        </is>
      </c>
      <c r="C16089" s="2" t="n">
        <v>44449</v>
      </c>
      <c r="D16089" t="inlineStr">
        <is>
          <t>NIL</t>
        </is>
      </c>
      <c r="E16089" t="n">
        <v>1840</v>
      </c>
    </row>
    <row r="16090">
      <c r="A16090" t="inlineStr">
        <is>
          <t>27BBBBB16090Z5</t>
        </is>
      </c>
      <c r="B16090" t="inlineStr">
        <is>
          <t>Oct-2018</t>
        </is>
      </c>
      <c r="C16090" s="2" t="n">
        <v>43817</v>
      </c>
      <c r="D16090" t="inlineStr">
        <is>
          <t>NON-NIL</t>
        </is>
      </c>
      <c r="E16090" t="n">
        <v>2202</v>
      </c>
    </row>
    <row r="16091">
      <c r="A16091" t="inlineStr">
        <is>
          <t>27BBBBB16091Z5</t>
        </is>
      </c>
      <c r="B16091" t="inlineStr">
        <is>
          <t>Nov-2017</t>
        </is>
      </c>
      <c r="C16091" s="2" t="n">
        <v>43391</v>
      </c>
      <c r="D16091" t="inlineStr">
        <is>
          <t>NIL</t>
        </is>
      </c>
      <c r="E16091" t="n">
        <v>1749</v>
      </c>
    </row>
    <row r="16092">
      <c r="A16092" t="inlineStr">
        <is>
          <t>27BBBBB16092Z5</t>
        </is>
      </c>
      <c r="B16092" t="inlineStr">
        <is>
          <t>May-2018</t>
        </is>
      </c>
      <c r="C16092" s="2" t="n">
        <v>44011</v>
      </c>
      <c r="D16092" t="inlineStr">
        <is>
          <t>NON-NIL</t>
        </is>
      </c>
      <c r="E16092" t="n">
        <v>1104</v>
      </c>
    </row>
    <row r="16093">
      <c r="A16093" t="inlineStr">
        <is>
          <t>27BBBBB16093Z5</t>
        </is>
      </c>
      <c r="B16093" t="inlineStr">
        <is>
          <t>Sep-2018</t>
        </is>
      </c>
      <c r="C16093" s="2" t="n">
        <v>43010</v>
      </c>
      <c r="D16093" t="inlineStr">
        <is>
          <t>NIL</t>
        </is>
      </c>
      <c r="E16093" t="n">
        <v>1755</v>
      </c>
    </row>
    <row r="16094">
      <c r="A16094" t="inlineStr">
        <is>
          <t>27BBBBB16094Z5</t>
        </is>
      </c>
      <c r="B16094" t="inlineStr">
        <is>
          <t>Jul-2017</t>
        </is>
      </c>
      <c r="C16094" s="2" t="n">
        <v>43089</v>
      </c>
      <c r="D16094" t="inlineStr">
        <is>
          <t>NON-NIL</t>
        </is>
      </c>
      <c r="E16094" t="n">
        <v>2242</v>
      </c>
    </row>
    <row r="16095">
      <c r="A16095" t="inlineStr">
        <is>
          <t>27BBBBB16095Z5</t>
        </is>
      </c>
      <c r="B16095" t="inlineStr">
        <is>
          <t>Aug-2017</t>
        </is>
      </c>
      <c r="C16095" s="2" t="n">
        <v>43432</v>
      </c>
      <c r="D16095" t="inlineStr">
        <is>
          <t>NON-NIL</t>
        </is>
      </c>
      <c r="E16095" t="n">
        <v>1089</v>
      </c>
    </row>
    <row r="16096">
      <c r="A16096" t="inlineStr">
        <is>
          <t>27BBBBB16096Z5</t>
        </is>
      </c>
      <c r="B16096" t="inlineStr">
        <is>
          <t>Jan-2018</t>
        </is>
      </c>
      <c r="C16096" s="2" t="n">
        <v>43759</v>
      </c>
      <c r="D16096" t="inlineStr">
        <is>
          <t>NON-NIL</t>
        </is>
      </c>
      <c r="E16096" t="n">
        <v>2846</v>
      </c>
    </row>
    <row r="16097">
      <c r="A16097" t="inlineStr">
        <is>
          <t>27BBBBB16097Z5</t>
        </is>
      </c>
      <c r="B16097" t="inlineStr">
        <is>
          <t>Jul-2018</t>
        </is>
      </c>
      <c r="C16097" s="2" t="n">
        <v>44064</v>
      </c>
      <c r="D16097" t="inlineStr">
        <is>
          <t>NIL</t>
        </is>
      </c>
      <c r="E16097" t="n">
        <v>1482</v>
      </c>
    </row>
    <row r="16098">
      <c r="A16098" t="inlineStr">
        <is>
          <t>27BBBBB16098Z5</t>
        </is>
      </c>
      <c r="B16098" t="inlineStr">
        <is>
          <t>Apr-2018</t>
        </is>
      </c>
      <c r="C16098" s="2" t="n">
        <v>44456</v>
      </c>
      <c r="D16098" t="inlineStr">
        <is>
          <t>NON-NIL</t>
        </is>
      </c>
      <c r="E16098" t="n">
        <v>939</v>
      </c>
    </row>
    <row r="16099">
      <c r="A16099" t="inlineStr">
        <is>
          <t>27BBBBB16099Z5</t>
        </is>
      </c>
      <c r="B16099" t="inlineStr">
        <is>
          <t>May-2018</t>
        </is>
      </c>
      <c r="C16099" s="2" t="n">
        <v>44361</v>
      </c>
      <c r="D16099" t="inlineStr">
        <is>
          <t>NON-NIL</t>
        </is>
      </c>
      <c r="E16099" t="n">
        <v>350</v>
      </c>
    </row>
    <row r="16100">
      <c r="A16100" t="inlineStr">
        <is>
          <t>27BBBBB16100Z5</t>
        </is>
      </c>
      <c r="B16100" t="inlineStr">
        <is>
          <t>May-2018</t>
        </is>
      </c>
      <c r="C16100" s="2" t="n">
        <v>43418</v>
      </c>
      <c r="D16100" t="inlineStr">
        <is>
          <t>NIL</t>
        </is>
      </c>
      <c r="E16100" t="n">
        <v>1281</v>
      </c>
    </row>
    <row r="16101">
      <c r="A16101" t="inlineStr">
        <is>
          <t>27BBBBB16101Z5</t>
        </is>
      </c>
      <c r="B16101" t="inlineStr">
        <is>
          <t>Jan-2018</t>
        </is>
      </c>
      <c r="C16101" s="2" t="n">
        <v>44261</v>
      </c>
      <c r="D16101" t="inlineStr">
        <is>
          <t>NON-NIL</t>
        </is>
      </c>
      <c r="E16101" t="n">
        <v>991</v>
      </c>
    </row>
    <row r="16102">
      <c r="A16102" t="inlineStr">
        <is>
          <t>27BBBBB16102Z5</t>
        </is>
      </c>
      <c r="B16102" t="inlineStr">
        <is>
          <t>Oct-2018</t>
        </is>
      </c>
      <c r="C16102" s="2" t="n">
        <v>43868</v>
      </c>
      <c r="D16102" t="inlineStr">
        <is>
          <t>NIL</t>
        </is>
      </c>
      <c r="E16102" t="n">
        <v>1534</v>
      </c>
    </row>
    <row r="16103">
      <c r="A16103" t="inlineStr">
        <is>
          <t>27BBBBB16103Z5</t>
        </is>
      </c>
      <c r="B16103" t="inlineStr">
        <is>
          <t>Jan-2018</t>
        </is>
      </c>
      <c r="C16103" s="2" t="n">
        <v>44444</v>
      </c>
      <c r="D16103" t="inlineStr">
        <is>
          <t>NIL</t>
        </is>
      </c>
      <c r="E16103" t="n">
        <v>2929</v>
      </c>
    </row>
    <row r="16104">
      <c r="A16104" t="inlineStr">
        <is>
          <t>27BBBBB16104Z5</t>
        </is>
      </c>
      <c r="B16104" t="inlineStr">
        <is>
          <t>Mar-2023</t>
        </is>
      </c>
      <c r="C16104" s="2" t="n">
        <v>45779</v>
      </c>
      <c r="D16104" t="inlineStr">
        <is>
          <t>NIL</t>
        </is>
      </c>
      <c r="E16104" t="n">
        <v>2747</v>
      </c>
    </row>
    <row r="16105">
      <c r="A16105" t="inlineStr">
        <is>
          <t>27BBBBB16105Z5</t>
        </is>
      </c>
      <c r="B16105" t="inlineStr">
        <is>
          <t>Apr-2018</t>
        </is>
      </c>
      <c r="C16105" s="2" t="n">
        <v>43807</v>
      </c>
      <c r="D16105" t="inlineStr">
        <is>
          <t>NON-NIL</t>
        </is>
      </c>
      <c r="E16105" t="n">
        <v>2152</v>
      </c>
    </row>
    <row r="16106">
      <c r="A16106" t="inlineStr">
        <is>
          <t>27BBBBB16106Z5</t>
        </is>
      </c>
      <c r="B16106" t="inlineStr">
        <is>
          <t>Jun-2018</t>
        </is>
      </c>
      <c r="C16106" s="2" t="n">
        <v>43075</v>
      </c>
      <c r="D16106" t="inlineStr">
        <is>
          <t>NIL</t>
        </is>
      </c>
      <c r="E16106" t="n">
        <v>1649</v>
      </c>
    </row>
    <row r="16107">
      <c r="A16107" t="inlineStr">
        <is>
          <t>27BBBBB16107Z5</t>
        </is>
      </c>
      <c r="B16107" t="inlineStr">
        <is>
          <t>Mar-2021</t>
        </is>
      </c>
      <c r="C16107" s="2" t="n">
        <v>45456</v>
      </c>
      <c r="D16107" t="inlineStr">
        <is>
          <t>NIL</t>
        </is>
      </c>
      <c r="E16107" t="n">
        <v>2411</v>
      </c>
    </row>
    <row r="16108">
      <c r="A16108" t="inlineStr">
        <is>
          <t>27BBBBB16108Z5</t>
        </is>
      </c>
      <c r="B16108" t="inlineStr">
        <is>
          <t>Jul-2017</t>
        </is>
      </c>
      <c r="C16108" s="2" t="n">
        <v>44412</v>
      </c>
      <c r="D16108" t="inlineStr">
        <is>
          <t>NON-NIL</t>
        </is>
      </c>
      <c r="E16108" t="n">
        <v>2410</v>
      </c>
    </row>
    <row r="16109">
      <c r="A16109" t="inlineStr">
        <is>
          <t>27BBBBB16109Z5</t>
        </is>
      </c>
      <c r="B16109" t="inlineStr">
        <is>
          <t>Dec-2024</t>
        </is>
      </c>
      <c r="C16109" s="2" t="n">
        <v>44517</v>
      </c>
      <c r="D16109" t="inlineStr">
        <is>
          <t>NIL</t>
        </is>
      </c>
      <c r="E16109" t="n">
        <v>2662</v>
      </c>
    </row>
    <row r="16110">
      <c r="A16110" t="inlineStr">
        <is>
          <t>27BBBBB16110Z5</t>
        </is>
      </c>
      <c r="B16110" t="inlineStr">
        <is>
          <t>Nov-2018</t>
        </is>
      </c>
      <c r="C16110" s="2" t="n">
        <v>43312</v>
      </c>
      <c r="D16110" t="inlineStr">
        <is>
          <t>NON-NIL</t>
        </is>
      </c>
      <c r="E16110" t="n">
        <v>1030</v>
      </c>
    </row>
    <row r="16111">
      <c r="A16111" t="inlineStr">
        <is>
          <t>27BBBBB16111Z5</t>
        </is>
      </c>
      <c r="B16111" t="inlineStr">
        <is>
          <t>Aug-2017</t>
        </is>
      </c>
      <c r="C16111" s="2" t="n">
        <v>44378</v>
      </c>
      <c r="D16111" t="inlineStr">
        <is>
          <t>NIL</t>
        </is>
      </c>
      <c r="E16111" t="n">
        <v>1492</v>
      </c>
    </row>
    <row r="16112">
      <c r="A16112" t="inlineStr">
        <is>
          <t>27BBBBB16112Z5</t>
        </is>
      </c>
      <c r="B16112" t="inlineStr">
        <is>
          <t>Jul-2020</t>
        </is>
      </c>
      <c r="C16112" s="2" t="n">
        <v>44502</v>
      </c>
      <c r="D16112" t="inlineStr">
        <is>
          <t>NIL</t>
        </is>
      </c>
      <c r="E16112" t="n">
        <v>2180</v>
      </c>
    </row>
    <row r="16113">
      <c r="A16113" t="inlineStr">
        <is>
          <t>27BBBBB16113Z5</t>
        </is>
      </c>
      <c r="B16113" t="inlineStr">
        <is>
          <t>Dec-2024</t>
        </is>
      </c>
      <c r="C16113" s="2" t="n">
        <v>44577</v>
      </c>
      <c r="D16113" t="inlineStr">
        <is>
          <t>NIL</t>
        </is>
      </c>
      <c r="E16113" t="n">
        <v>2716</v>
      </c>
    </row>
    <row r="16114">
      <c r="A16114" t="inlineStr">
        <is>
          <t>27BBBBB16114Z5</t>
        </is>
      </c>
      <c r="B16114" t="inlineStr">
        <is>
          <t>Aug-2017</t>
        </is>
      </c>
      <c r="C16114" s="2" t="n">
        <v>43370</v>
      </c>
      <c r="D16114" t="inlineStr">
        <is>
          <t>NON-NIL</t>
        </is>
      </c>
      <c r="E16114" t="n">
        <v>890</v>
      </c>
    </row>
    <row r="16115">
      <c r="A16115" t="inlineStr">
        <is>
          <t>27BBBBB16115Z5</t>
        </is>
      </c>
      <c r="B16115" t="inlineStr">
        <is>
          <t>Nov-2017</t>
        </is>
      </c>
      <c r="C16115" s="2" t="n">
        <v>43462</v>
      </c>
      <c r="D16115" t="inlineStr">
        <is>
          <t>NON-NIL</t>
        </is>
      </c>
      <c r="E16115" t="n">
        <v>1311</v>
      </c>
    </row>
    <row r="16116">
      <c r="A16116" t="inlineStr">
        <is>
          <t>27BBBBB16116Z5</t>
        </is>
      </c>
      <c r="B16116" t="inlineStr">
        <is>
          <t>Sep-2018</t>
        </is>
      </c>
      <c r="C16116" s="2" t="n">
        <v>43755</v>
      </c>
      <c r="D16116" t="inlineStr">
        <is>
          <t>NIL</t>
        </is>
      </c>
      <c r="E16116" t="n">
        <v>859</v>
      </c>
    </row>
    <row r="16117">
      <c r="A16117" t="inlineStr">
        <is>
          <t>27BBBBB16117Z5</t>
        </is>
      </c>
      <c r="B16117" t="inlineStr">
        <is>
          <t>May-2018</t>
        </is>
      </c>
      <c r="C16117" s="2" t="n">
        <v>43108</v>
      </c>
      <c r="D16117" t="inlineStr">
        <is>
          <t>NON-NIL</t>
        </is>
      </c>
      <c r="E16117" t="n">
        <v>1625</v>
      </c>
    </row>
    <row r="16118">
      <c r="A16118" t="inlineStr">
        <is>
          <t>27BBBBB16118Z5</t>
        </is>
      </c>
      <c r="B16118" t="inlineStr">
        <is>
          <t>Aug-2017</t>
        </is>
      </c>
      <c r="C16118" s="2" t="n">
        <v>43939</v>
      </c>
      <c r="D16118" t="inlineStr">
        <is>
          <t>NON-NIL</t>
        </is>
      </c>
      <c r="E16118" t="n">
        <v>769</v>
      </c>
    </row>
    <row r="16119">
      <c r="A16119" t="inlineStr">
        <is>
          <t>27BBBBB16119Z5</t>
        </is>
      </c>
      <c r="B16119" t="inlineStr">
        <is>
          <t>Nov-2018</t>
        </is>
      </c>
      <c r="C16119" s="2" t="n">
        <v>43793</v>
      </c>
      <c r="D16119" t="inlineStr">
        <is>
          <t>NON-NIL</t>
        </is>
      </c>
      <c r="E16119" t="n">
        <v>1861</v>
      </c>
    </row>
    <row r="16120">
      <c r="A16120" t="inlineStr">
        <is>
          <t>27BBBBB16120Z5</t>
        </is>
      </c>
      <c r="B16120" t="inlineStr">
        <is>
          <t>Jan-2018</t>
        </is>
      </c>
      <c r="C16120" s="2" t="n">
        <v>44547</v>
      </c>
      <c r="D16120" t="inlineStr">
        <is>
          <t>NON-NIL</t>
        </is>
      </c>
      <c r="E16120" t="n">
        <v>2098</v>
      </c>
    </row>
    <row r="16121">
      <c r="A16121" t="inlineStr">
        <is>
          <t>27BBBBB16121Z5</t>
        </is>
      </c>
      <c r="B16121" t="inlineStr">
        <is>
          <t>Dec-2018</t>
        </is>
      </c>
      <c r="C16121" s="2" t="n">
        <v>43756</v>
      </c>
      <c r="D16121" t="inlineStr">
        <is>
          <t>NON-NIL</t>
        </is>
      </c>
      <c r="E16121" t="n">
        <v>1848</v>
      </c>
    </row>
    <row r="16122">
      <c r="A16122" t="inlineStr">
        <is>
          <t>27BBBBB16122Z5</t>
        </is>
      </c>
      <c r="B16122" t="inlineStr">
        <is>
          <t>Oct-2017</t>
        </is>
      </c>
      <c r="C16122" s="2" t="n">
        <v>44152</v>
      </c>
      <c r="D16122" t="inlineStr">
        <is>
          <t>NON-NIL</t>
        </is>
      </c>
      <c r="E16122" t="n">
        <v>431</v>
      </c>
    </row>
    <row r="16123">
      <c r="A16123" t="inlineStr">
        <is>
          <t>27BBBBB16123Z5</t>
        </is>
      </c>
      <c r="B16123" t="inlineStr">
        <is>
          <t>Jan-2021</t>
        </is>
      </c>
      <c r="C16123" s="2" t="n">
        <v>44256</v>
      </c>
      <c r="D16123" t="inlineStr">
        <is>
          <t>NIL</t>
        </is>
      </c>
      <c r="E16123" t="n">
        <v>48</v>
      </c>
    </row>
    <row r="16124">
      <c r="A16124" t="inlineStr">
        <is>
          <t>27BBBBB16124Z5</t>
        </is>
      </c>
      <c r="B16124" t="inlineStr">
        <is>
          <t>Apr-2020</t>
        </is>
      </c>
      <c r="C16124" s="2" t="n">
        <v>44128</v>
      </c>
      <c r="D16124" t="inlineStr">
        <is>
          <t>NIL</t>
        </is>
      </c>
      <c r="E16124" t="n">
        <v>759</v>
      </c>
    </row>
    <row r="16125">
      <c r="A16125" t="inlineStr">
        <is>
          <t>27BBBBB16125Z5</t>
        </is>
      </c>
      <c r="B16125" t="inlineStr">
        <is>
          <t>Jul-2020</t>
        </is>
      </c>
      <c r="C16125" s="2" t="n">
        <v>44674</v>
      </c>
      <c r="D16125" t="inlineStr">
        <is>
          <t>NON-NIL</t>
        </is>
      </c>
      <c r="E16125" t="n">
        <v>1939</v>
      </c>
    </row>
    <row r="16126">
      <c r="A16126" t="inlineStr">
        <is>
          <t>27BBBBB16126Z5</t>
        </is>
      </c>
      <c r="B16126" t="inlineStr">
        <is>
          <t>Dec-2017</t>
        </is>
      </c>
      <c r="C16126" s="2" t="n">
        <v>43248</v>
      </c>
      <c r="D16126" t="inlineStr">
        <is>
          <t>NON-NIL</t>
        </is>
      </c>
      <c r="E16126" t="n">
        <v>2778</v>
      </c>
    </row>
    <row r="16127">
      <c r="A16127" t="inlineStr">
        <is>
          <t>27BBBBB16127Z5</t>
        </is>
      </c>
      <c r="B16127" t="inlineStr">
        <is>
          <t>Jul-2018</t>
        </is>
      </c>
      <c r="C16127" s="2" t="n">
        <v>43935</v>
      </c>
      <c r="D16127" t="inlineStr">
        <is>
          <t>NIL</t>
        </is>
      </c>
      <c r="E16127" t="n">
        <v>912</v>
      </c>
    </row>
    <row r="16128">
      <c r="A16128" t="inlineStr">
        <is>
          <t>27BBBBB16128Z5</t>
        </is>
      </c>
      <c r="B16128" t="inlineStr">
        <is>
          <t>Dec-2017</t>
        </is>
      </c>
      <c r="C16128" s="2" t="n">
        <v>43356</v>
      </c>
      <c r="D16128" t="inlineStr">
        <is>
          <t>NIL</t>
        </is>
      </c>
      <c r="E16128" t="n">
        <v>2347</v>
      </c>
    </row>
    <row r="16129">
      <c r="A16129" t="inlineStr">
        <is>
          <t>27BBBBB16129Z5</t>
        </is>
      </c>
      <c r="B16129" t="inlineStr">
        <is>
          <t>Dec-2024</t>
        </is>
      </c>
      <c r="C16129" s="2" t="n">
        <v>43492</v>
      </c>
      <c r="D16129" t="inlineStr">
        <is>
          <t>NON-NIL</t>
        </is>
      </c>
      <c r="E16129" t="n">
        <v>1381</v>
      </c>
    </row>
    <row r="16130">
      <c r="A16130" t="inlineStr">
        <is>
          <t>27BBBBB16130Z5</t>
        </is>
      </c>
      <c r="B16130" t="inlineStr">
        <is>
          <t>Jun-2020</t>
        </is>
      </c>
      <c r="C16130" s="2" t="n">
        <v>44716</v>
      </c>
      <c r="D16130" t="inlineStr">
        <is>
          <t>NIL</t>
        </is>
      </c>
      <c r="E16130" t="n">
        <v>2275</v>
      </c>
    </row>
    <row r="16131">
      <c r="A16131" t="inlineStr">
        <is>
          <t>27BBBBB16131Z5</t>
        </is>
      </c>
      <c r="B16131" t="inlineStr">
        <is>
          <t>Mar-2023</t>
        </is>
      </c>
      <c r="C16131" s="2" t="n">
        <v>45769</v>
      </c>
      <c r="D16131" t="inlineStr">
        <is>
          <t>NIL</t>
        </is>
      </c>
      <c r="E16131" t="n">
        <v>2331</v>
      </c>
    </row>
    <row r="16132">
      <c r="A16132" t="inlineStr">
        <is>
          <t>27BBBBB16132Z5</t>
        </is>
      </c>
      <c r="B16132" t="inlineStr">
        <is>
          <t>Jun-2018</t>
        </is>
      </c>
      <c r="C16132" s="2" t="n">
        <v>43577</v>
      </c>
      <c r="D16132" t="inlineStr">
        <is>
          <t>NON-NIL</t>
        </is>
      </c>
      <c r="E16132" t="n">
        <v>1825</v>
      </c>
    </row>
    <row r="16133">
      <c r="A16133" t="inlineStr">
        <is>
          <t>27BBBBB16133Z5</t>
        </is>
      </c>
      <c r="B16133" t="inlineStr">
        <is>
          <t>Apr-2018</t>
        </is>
      </c>
      <c r="C16133" s="2" t="n">
        <v>43460</v>
      </c>
      <c r="D16133" t="inlineStr">
        <is>
          <t>NON-NIL</t>
        </is>
      </c>
      <c r="E16133" t="n">
        <v>1577</v>
      </c>
    </row>
    <row r="16134">
      <c r="A16134" t="inlineStr">
        <is>
          <t>27BBBBB16134Z5</t>
        </is>
      </c>
      <c r="B16134" t="inlineStr">
        <is>
          <t>Jul-2020</t>
        </is>
      </c>
      <c r="C16134" s="2" t="n">
        <v>44677</v>
      </c>
      <c r="D16134" t="inlineStr">
        <is>
          <t>NIL</t>
        </is>
      </c>
      <c r="E16134" t="n">
        <v>2553</v>
      </c>
    </row>
    <row r="16135">
      <c r="A16135" t="inlineStr">
        <is>
          <t>27BBBBB16135Z5</t>
        </is>
      </c>
      <c r="B16135" t="inlineStr">
        <is>
          <t>Aug-2017</t>
        </is>
      </c>
      <c r="C16135" s="2" t="n">
        <v>43128</v>
      </c>
      <c r="D16135" t="inlineStr">
        <is>
          <t>NON-NIL</t>
        </is>
      </c>
      <c r="E16135" t="n">
        <v>2491</v>
      </c>
    </row>
    <row r="16136">
      <c r="A16136" t="inlineStr">
        <is>
          <t>27BBBBB16136Z5</t>
        </is>
      </c>
      <c r="B16136" t="inlineStr">
        <is>
          <t>Dec-2017</t>
        </is>
      </c>
      <c r="C16136" s="2" t="n">
        <v>43072</v>
      </c>
      <c r="D16136" t="inlineStr">
        <is>
          <t>NIL</t>
        </is>
      </c>
      <c r="E16136" t="n">
        <v>2503</v>
      </c>
    </row>
    <row r="16137">
      <c r="A16137" t="inlineStr">
        <is>
          <t>27BBBBB16137Z5</t>
        </is>
      </c>
      <c r="B16137" t="inlineStr">
        <is>
          <t>May-2020</t>
        </is>
      </c>
      <c r="C16137" s="2" t="n">
        <v>44323</v>
      </c>
      <c r="D16137" t="inlineStr">
        <is>
          <t>NIL</t>
        </is>
      </c>
      <c r="E16137" t="n">
        <v>2445</v>
      </c>
    </row>
    <row r="16138">
      <c r="A16138" t="inlineStr">
        <is>
          <t>27BBBBB16138Z5</t>
        </is>
      </c>
      <c r="B16138" t="inlineStr">
        <is>
          <t>Nov-2017</t>
        </is>
      </c>
      <c r="C16138" s="2" t="n">
        <v>43510</v>
      </c>
      <c r="D16138" t="inlineStr">
        <is>
          <t>NON-NIL</t>
        </is>
      </c>
      <c r="E16138" t="n">
        <v>191</v>
      </c>
    </row>
    <row r="16139">
      <c r="A16139" t="inlineStr">
        <is>
          <t>27BBBBB16139Z5</t>
        </is>
      </c>
      <c r="B16139" t="inlineStr">
        <is>
          <t>Jul-2017</t>
        </is>
      </c>
      <c r="C16139" s="2" t="n">
        <v>43547</v>
      </c>
      <c r="D16139" t="inlineStr">
        <is>
          <t>NON-NIL</t>
        </is>
      </c>
      <c r="E16139" t="n">
        <v>2179</v>
      </c>
    </row>
    <row r="16140">
      <c r="A16140" t="inlineStr">
        <is>
          <t>27BBBBB16140Z5</t>
        </is>
      </c>
      <c r="B16140" t="inlineStr">
        <is>
          <t>Oct-2018</t>
        </is>
      </c>
      <c r="C16140" s="2" t="n">
        <v>44233</v>
      </c>
      <c r="D16140" t="inlineStr">
        <is>
          <t>NIL</t>
        </is>
      </c>
      <c r="E16140" t="n">
        <v>2138</v>
      </c>
    </row>
    <row r="16141">
      <c r="A16141" t="inlineStr">
        <is>
          <t>27BBBBB16141Z5</t>
        </is>
      </c>
      <c r="B16141" t="inlineStr">
        <is>
          <t>Mar-2020</t>
        </is>
      </c>
      <c r="C16141" s="2" t="n">
        <v>44300</v>
      </c>
      <c r="D16141" t="inlineStr">
        <is>
          <t>NON-NIL</t>
        </is>
      </c>
      <c r="E16141" t="n">
        <v>2821</v>
      </c>
    </row>
    <row r="16142">
      <c r="A16142" t="inlineStr">
        <is>
          <t>27BBBBB16142Z5</t>
        </is>
      </c>
      <c r="B16142" t="inlineStr">
        <is>
          <t>Oct-2017</t>
        </is>
      </c>
      <c r="C16142" s="2" t="n">
        <v>43723</v>
      </c>
      <c r="D16142" t="inlineStr">
        <is>
          <t>NIL</t>
        </is>
      </c>
      <c r="E16142" t="n">
        <v>666</v>
      </c>
    </row>
    <row r="16143">
      <c r="A16143" t="inlineStr">
        <is>
          <t>27BBBBB16143Z5</t>
        </is>
      </c>
      <c r="B16143" t="inlineStr">
        <is>
          <t>Dec-2017</t>
        </is>
      </c>
      <c r="C16143" s="2" t="n">
        <v>43836</v>
      </c>
      <c r="D16143" t="inlineStr">
        <is>
          <t>NIL</t>
        </is>
      </c>
      <c r="E16143" t="n">
        <v>185</v>
      </c>
    </row>
    <row r="16144">
      <c r="A16144" t="inlineStr">
        <is>
          <t>27BBBBB16144Z5</t>
        </is>
      </c>
      <c r="B16144" t="inlineStr">
        <is>
          <t>Jan-2021</t>
        </is>
      </c>
      <c r="C16144" s="2" t="n">
        <v>44193</v>
      </c>
      <c r="D16144" t="inlineStr">
        <is>
          <t>NON-NIL</t>
        </is>
      </c>
      <c r="E16144" t="n">
        <v>378</v>
      </c>
    </row>
    <row r="16145">
      <c r="A16145" t="inlineStr">
        <is>
          <t>27BBBBB16145Z5</t>
        </is>
      </c>
      <c r="B16145" t="inlineStr">
        <is>
          <t>Aug-2018</t>
        </is>
      </c>
      <c r="C16145" s="2" t="n">
        <v>43812</v>
      </c>
      <c r="D16145" t="inlineStr">
        <is>
          <t>NON-NIL</t>
        </is>
      </c>
      <c r="E16145" t="n">
        <v>879</v>
      </c>
    </row>
    <row r="16146">
      <c r="A16146" t="inlineStr">
        <is>
          <t>27BBBBB16146Z5</t>
        </is>
      </c>
      <c r="B16146" t="inlineStr">
        <is>
          <t>Mar-2021</t>
        </is>
      </c>
      <c r="C16146" s="2" t="n">
        <v>44682</v>
      </c>
      <c r="D16146" t="inlineStr">
        <is>
          <t>NIL</t>
        </is>
      </c>
      <c r="E16146" t="n">
        <v>739</v>
      </c>
    </row>
    <row r="16147">
      <c r="A16147" t="inlineStr">
        <is>
          <t>27BBBBB16147Z5</t>
        </is>
      </c>
      <c r="B16147" t="inlineStr">
        <is>
          <t>Apr-2020</t>
        </is>
      </c>
      <c r="C16147" s="2" t="n">
        <v>44526</v>
      </c>
      <c r="D16147" t="inlineStr">
        <is>
          <t>NIL</t>
        </is>
      </c>
      <c r="E16147" t="n">
        <v>2937</v>
      </c>
    </row>
    <row r="16148">
      <c r="A16148" t="inlineStr">
        <is>
          <t>27BBBBB16148Z5</t>
        </is>
      </c>
      <c r="B16148" t="inlineStr">
        <is>
          <t>Jul-2018</t>
        </is>
      </c>
      <c r="C16148" s="2" t="n">
        <v>44264</v>
      </c>
      <c r="D16148" t="inlineStr">
        <is>
          <t>NON-NIL</t>
        </is>
      </c>
      <c r="E16148" t="n">
        <v>1606</v>
      </c>
    </row>
    <row r="16149">
      <c r="A16149" t="inlineStr">
        <is>
          <t>27BBBBB16149Z5</t>
        </is>
      </c>
      <c r="B16149" t="inlineStr">
        <is>
          <t>Jul-2017</t>
        </is>
      </c>
      <c r="C16149" s="2" t="n">
        <v>42976</v>
      </c>
      <c r="D16149" t="inlineStr">
        <is>
          <t>NIL</t>
        </is>
      </c>
      <c r="E16149" t="n">
        <v>1514</v>
      </c>
    </row>
    <row r="16150">
      <c r="A16150" t="inlineStr">
        <is>
          <t>27BBBBB16150Z5</t>
        </is>
      </c>
      <c r="B16150" t="inlineStr">
        <is>
          <t>Dec-2022</t>
        </is>
      </c>
      <c r="C16150" s="2" t="n">
        <v>44917</v>
      </c>
      <c r="D16150" t="inlineStr">
        <is>
          <t>NIL</t>
        </is>
      </c>
      <c r="E16150" t="n">
        <v>1631</v>
      </c>
    </row>
    <row r="16151">
      <c r="A16151" t="inlineStr">
        <is>
          <t>27BBBBB16151Z5</t>
        </is>
      </c>
      <c r="B16151" t="inlineStr">
        <is>
          <t>Aug-2018</t>
        </is>
      </c>
      <c r="C16151" s="2" t="n">
        <v>42931</v>
      </c>
      <c r="D16151" t="inlineStr">
        <is>
          <t>NON-NIL</t>
        </is>
      </c>
      <c r="E16151" t="n">
        <v>732</v>
      </c>
    </row>
    <row r="16152">
      <c r="A16152" t="inlineStr">
        <is>
          <t>27BBBBB16152Z5</t>
        </is>
      </c>
      <c r="B16152" t="inlineStr">
        <is>
          <t>Dec-2018</t>
        </is>
      </c>
      <c r="C16152" s="2" t="n">
        <v>44080</v>
      </c>
      <c r="D16152" t="inlineStr">
        <is>
          <t>NON-NIL</t>
        </is>
      </c>
      <c r="E16152" t="n">
        <v>1332</v>
      </c>
    </row>
    <row r="16153">
      <c r="A16153" t="inlineStr">
        <is>
          <t>27BBBBB16153Z5</t>
        </is>
      </c>
      <c r="B16153" t="inlineStr">
        <is>
          <t>Nov-2018</t>
        </is>
      </c>
      <c r="C16153" s="2" t="n">
        <v>43384</v>
      </c>
      <c r="D16153" t="inlineStr">
        <is>
          <t>NIL</t>
        </is>
      </c>
      <c r="E16153" t="n">
        <v>2414</v>
      </c>
    </row>
    <row r="16154">
      <c r="A16154" t="inlineStr">
        <is>
          <t>27BBBBB16154Z5</t>
        </is>
      </c>
      <c r="B16154" t="inlineStr">
        <is>
          <t>Nov-2018</t>
        </is>
      </c>
      <c r="C16154" s="2" t="n">
        <v>43375</v>
      </c>
      <c r="D16154" t="inlineStr">
        <is>
          <t>NON-NIL</t>
        </is>
      </c>
      <c r="E16154" t="n">
        <v>1721</v>
      </c>
    </row>
    <row r="16155">
      <c r="A16155" t="inlineStr">
        <is>
          <t>27BBBBB16155Z5</t>
        </is>
      </c>
      <c r="B16155" t="inlineStr">
        <is>
          <t>May-2020</t>
        </is>
      </c>
      <c r="C16155" s="2" t="n">
        <v>44453</v>
      </c>
      <c r="D16155" t="inlineStr">
        <is>
          <t>NIL</t>
        </is>
      </c>
      <c r="E16155" t="n">
        <v>1700</v>
      </c>
    </row>
    <row r="16156">
      <c r="A16156" t="inlineStr">
        <is>
          <t>27BBBBB16156Z5</t>
        </is>
      </c>
      <c r="B16156" t="inlineStr">
        <is>
          <t>Jun-2018</t>
        </is>
      </c>
      <c r="C16156" s="2" t="n">
        <v>42950</v>
      </c>
      <c r="D16156" t="inlineStr">
        <is>
          <t>NON-NIL</t>
        </is>
      </c>
      <c r="E16156" t="n">
        <v>2941</v>
      </c>
    </row>
    <row r="16157">
      <c r="A16157" t="inlineStr">
        <is>
          <t>27BBBBB16157Z5</t>
        </is>
      </c>
      <c r="B16157" t="inlineStr">
        <is>
          <t>Jul-2018</t>
        </is>
      </c>
      <c r="C16157" s="2" t="n">
        <v>43665</v>
      </c>
      <c r="D16157" t="inlineStr">
        <is>
          <t>NON-NIL</t>
        </is>
      </c>
      <c r="E16157" t="n">
        <v>1969</v>
      </c>
    </row>
    <row r="16158">
      <c r="A16158" t="inlineStr">
        <is>
          <t>27BBBBB16158Z5</t>
        </is>
      </c>
      <c r="B16158" t="inlineStr">
        <is>
          <t>Dec-2024</t>
        </is>
      </c>
      <c r="C16158" s="2" t="n">
        <v>44444</v>
      </c>
      <c r="D16158" t="inlineStr">
        <is>
          <t>NON-NIL</t>
        </is>
      </c>
      <c r="E16158" t="n">
        <v>1876</v>
      </c>
    </row>
    <row r="16159">
      <c r="A16159" t="inlineStr">
        <is>
          <t>27BBBBB16159Z5</t>
        </is>
      </c>
      <c r="B16159" t="inlineStr">
        <is>
          <t>Jun-2018</t>
        </is>
      </c>
      <c r="C16159" s="2" t="n">
        <v>43050</v>
      </c>
      <c r="D16159" t="inlineStr">
        <is>
          <t>NON-NIL</t>
        </is>
      </c>
      <c r="E16159" t="n">
        <v>365</v>
      </c>
    </row>
    <row r="16160">
      <c r="A16160" t="inlineStr">
        <is>
          <t>27BBBBB16160Z5</t>
        </is>
      </c>
      <c r="B16160" t="inlineStr">
        <is>
          <t>Apr-2018</t>
        </is>
      </c>
      <c r="C16160" s="2" t="n">
        <v>43650</v>
      </c>
      <c r="D16160" t="inlineStr">
        <is>
          <t>NIL</t>
        </is>
      </c>
      <c r="E16160" t="n">
        <v>687</v>
      </c>
    </row>
    <row r="16161">
      <c r="A16161" t="inlineStr">
        <is>
          <t>27BBBBB16161Z5</t>
        </is>
      </c>
      <c r="B16161" t="inlineStr">
        <is>
          <t>Apr-2018</t>
        </is>
      </c>
      <c r="C16161" s="2" t="n">
        <v>43060</v>
      </c>
      <c r="D16161" t="inlineStr">
        <is>
          <t>NON-NIL</t>
        </is>
      </c>
      <c r="E16161" t="n">
        <v>2731</v>
      </c>
    </row>
    <row r="16162">
      <c r="A16162" t="inlineStr">
        <is>
          <t>27BBBBB16162Z5</t>
        </is>
      </c>
      <c r="B16162" t="inlineStr">
        <is>
          <t>Mar-2020</t>
        </is>
      </c>
      <c r="C16162" s="2" t="n">
        <v>44068</v>
      </c>
      <c r="D16162" t="inlineStr">
        <is>
          <t>NIL</t>
        </is>
      </c>
      <c r="E16162" t="n">
        <v>2338</v>
      </c>
    </row>
    <row r="16163">
      <c r="A16163" t="inlineStr">
        <is>
          <t>27BBBBB16163Z5</t>
        </is>
      </c>
      <c r="B16163" t="inlineStr">
        <is>
          <t>Dec-2022</t>
        </is>
      </c>
      <c r="C16163" s="2" t="n">
        <v>43554</v>
      </c>
      <c r="D16163" t="inlineStr">
        <is>
          <t>NON-NIL</t>
        </is>
      </c>
      <c r="E16163" t="n">
        <v>870</v>
      </c>
    </row>
    <row r="16164">
      <c r="A16164" t="inlineStr">
        <is>
          <t>27BBBBB16164Z5</t>
        </is>
      </c>
      <c r="B16164" t="inlineStr">
        <is>
          <t>Mar-2020</t>
        </is>
      </c>
      <c r="C16164" s="2" t="n">
        <v>43876</v>
      </c>
      <c r="D16164" t="inlineStr">
        <is>
          <t>NON-NIL</t>
        </is>
      </c>
      <c r="E16164" t="n">
        <v>172</v>
      </c>
    </row>
    <row r="16165">
      <c r="A16165" t="inlineStr">
        <is>
          <t>27BBBBB16165Z5</t>
        </is>
      </c>
      <c r="B16165" t="inlineStr">
        <is>
          <t>Aug-2017</t>
        </is>
      </c>
      <c r="C16165" s="2" t="n">
        <v>43466</v>
      </c>
      <c r="D16165" t="inlineStr">
        <is>
          <t>NON-NIL</t>
        </is>
      </c>
      <c r="E16165" t="n">
        <v>1066</v>
      </c>
    </row>
    <row r="16166">
      <c r="A16166" t="inlineStr">
        <is>
          <t>27BBBBB16166Z5</t>
        </is>
      </c>
      <c r="B16166" t="inlineStr">
        <is>
          <t>Oct-2017</t>
        </is>
      </c>
      <c r="C16166" s="2" t="n">
        <v>44052</v>
      </c>
      <c r="D16166" t="inlineStr">
        <is>
          <t>NIL</t>
        </is>
      </c>
      <c r="E16166" t="n">
        <v>1891</v>
      </c>
    </row>
    <row r="16167">
      <c r="A16167" t="inlineStr">
        <is>
          <t>27BBBBB16167Z5</t>
        </is>
      </c>
      <c r="B16167" t="inlineStr">
        <is>
          <t>Aug-2018</t>
        </is>
      </c>
      <c r="C16167" s="2" t="n">
        <v>44072</v>
      </c>
      <c r="D16167" t="inlineStr">
        <is>
          <t>NIL</t>
        </is>
      </c>
      <c r="E16167" t="n">
        <v>1406</v>
      </c>
    </row>
    <row r="16168">
      <c r="A16168" t="inlineStr">
        <is>
          <t>27BBBBB16168Z5</t>
        </is>
      </c>
      <c r="B16168" t="inlineStr">
        <is>
          <t>Aug-2017</t>
        </is>
      </c>
      <c r="C16168" s="2" t="n">
        <v>44052</v>
      </c>
      <c r="D16168" t="inlineStr">
        <is>
          <t>NIL</t>
        </is>
      </c>
      <c r="E16168" t="n">
        <v>2886</v>
      </c>
    </row>
    <row r="16169">
      <c r="A16169" t="inlineStr">
        <is>
          <t>27BBBBB16169Z5</t>
        </is>
      </c>
      <c r="B16169" t="inlineStr">
        <is>
          <t>Oct-2018</t>
        </is>
      </c>
      <c r="C16169" s="2" t="n">
        <v>44216</v>
      </c>
      <c r="D16169" t="inlineStr">
        <is>
          <t>NIL</t>
        </is>
      </c>
      <c r="E16169" t="n">
        <v>199</v>
      </c>
    </row>
    <row r="16170">
      <c r="A16170" t="inlineStr">
        <is>
          <t>27BBBBB16170Z5</t>
        </is>
      </c>
      <c r="B16170" t="inlineStr">
        <is>
          <t>Dec-2022</t>
        </is>
      </c>
      <c r="C16170" s="2" t="n">
        <v>45066</v>
      </c>
      <c r="D16170" t="inlineStr">
        <is>
          <t>NON-NIL</t>
        </is>
      </c>
      <c r="E16170" t="n">
        <v>2100</v>
      </c>
    </row>
    <row r="16171">
      <c r="A16171" t="inlineStr">
        <is>
          <t>27BBBBB16171Z5</t>
        </is>
      </c>
      <c r="B16171" t="inlineStr">
        <is>
          <t>Aug-2018</t>
        </is>
      </c>
      <c r="C16171" s="2" t="n">
        <v>44329</v>
      </c>
      <c r="D16171" t="inlineStr">
        <is>
          <t>NIL</t>
        </is>
      </c>
      <c r="E16171" t="n">
        <v>863</v>
      </c>
    </row>
    <row r="16172">
      <c r="A16172" t="inlineStr">
        <is>
          <t>27BBBBB16172Z5</t>
        </is>
      </c>
      <c r="B16172" t="inlineStr">
        <is>
          <t>Jan-2021</t>
        </is>
      </c>
      <c r="C16172" s="2" t="n">
        <v>44388</v>
      </c>
      <c r="D16172" t="inlineStr">
        <is>
          <t>NON-NIL</t>
        </is>
      </c>
      <c r="E16172" t="n">
        <v>2471</v>
      </c>
    </row>
    <row r="16173">
      <c r="A16173" t="inlineStr">
        <is>
          <t>27BBBBB16173Z5</t>
        </is>
      </c>
      <c r="B16173" t="inlineStr">
        <is>
          <t>Nov-2017</t>
        </is>
      </c>
      <c r="C16173" s="2" t="n">
        <v>42951</v>
      </c>
      <c r="D16173" t="inlineStr">
        <is>
          <t>NON-NIL</t>
        </is>
      </c>
      <c r="E16173" t="n">
        <v>820</v>
      </c>
    </row>
    <row r="16174">
      <c r="A16174" t="inlineStr">
        <is>
          <t>27BBBBB16174Z5</t>
        </is>
      </c>
      <c r="B16174" t="inlineStr">
        <is>
          <t>Dec-2018</t>
        </is>
      </c>
      <c r="C16174" s="2" t="n">
        <v>42970</v>
      </c>
      <c r="D16174" t="inlineStr">
        <is>
          <t>NON-NIL</t>
        </is>
      </c>
      <c r="E16174" t="n">
        <v>1612</v>
      </c>
    </row>
    <row r="16175">
      <c r="A16175" t="inlineStr">
        <is>
          <t>27BBBBB16175Z5</t>
        </is>
      </c>
      <c r="B16175" t="inlineStr">
        <is>
          <t>Mar-2020</t>
        </is>
      </c>
      <c r="C16175" s="2" t="n">
        <v>44669</v>
      </c>
      <c r="D16175" t="inlineStr">
        <is>
          <t>NON-NIL</t>
        </is>
      </c>
      <c r="E16175" t="n">
        <v>637</v>
      </c>
    </row>
    <row r="16176">
      <c r="A16176" t="inlineStr">
        <is>
          <t>27BBBBB16176Z5</t>
        </is>
      </c>
      <c r="B16176" t="inlineStr">
        <is>
          <t>Apr-2020</t>
        </is>
      </c>
      <c r="C16176" s="2" t="n">
        <v>43895</v>
      </c>
      <c r="D16176" t="inlineStr">
        <is>
          <t>NIL</t>
        </is>
      </c>
      <c r="E16176" t="n">
        <v>1536</v>
      </c>
    </row>
    <row r="16177">
      <c r="A16177" t="inlineStr">
        <is>
          <t>27BBBBB16177Z5</t>
        </is>
      </c>
      <c r="B16177" t="inlineStr">
        <is>
          <t>Mar-2018</t>
        </is>
      </c>
      <c r="C16177" s="2" t="n">
        <v>43407</v>
      </c>
      <c r="D16177" t="inlineStr">
        <is>
          <t>NON-NIL</t>
        </is>
      </c>
      <c r="E16177" t="n">
        <v>635</v>
      </c>
    </row>
    <row r="16178">
      <c r="A16178" t="inlineStr">
        <is>
          <t>27BBBBB16178Z5</t>
        </is>
      </c>
      <c r="B16178" t="inlineStr">
        <is>
          <t>Nov-2018</t>
        </is>
      </c>
      <c r="C16178" s="2" t="n">
        <v>43223</v>
      </c>
      <c r="D16178" t="inlineStr">
        <is>
          <t>NIL</t>
        </is>
      </c>
      <c r="E16178" t="n">
        <v>2429</v>
      </c>
    </row>
    <row r="16179">
      <c r="A16179" t="inlineStr">
        <is>
          <t>27BBBBB16179Z5</t>
        </is>
      </c>
      <c r="B16179" t="inlineStr">
        <is>
          <t>Dec-2022</t>
        </is>
      </c>
      <c r="C16179" s="2" t="n">
        <v>45211</v>
      </c>
      <c r="D16179" t="inlineStr">
        <is>
          <t>NIL</t>
        </is>
      </c>
      <c r="E16179" t="n">
        <v>2400</v>
      </c>
    </row>
    <row r="16180">
      <c r="A16180" t="inlineStr">
        <is>
          <t>27BBBBB16180Z5</t>
        </is>
      </c>
      <c r="B16180" t="inlineStr">
        <is>
          <t>Oct-2017</t>
        </is>
      </c>
      <c r="C16180" s="2" t="n">
        <v>43744</v>
      </c>
      <c r="D16180" t="inlineStr">
        <is>
          <t>NIL</t>
        </is>
      </c>
      <c r="E16180" t="n">
        <v>2215</v>
      </c>
    </row>
    <row r="16181">
      <c r="A16181" t="inlineStr">
        <is>
          <t>27BBBBB16181Z5</t>
        </is>
      </c>
      <c r="B16181" t="inlineStr">
        <is>
          <t>Nov-2018</t>
        </is>
      </c>
      <c r="C16181" s="2" t="n">
        <v>44450</v>
      </c>
      <c r="D16181" t="inlineStr">
        <is>
          <t>NON-NIL</t>
        </is>
      </c>
      <c r="E16181" t="n">
        <v>78</v>
      </c>
    </row>
    <row r="16182">
      <c r="A16182" t="inlineStr">
        <is>
          <t>27BBBBB16182Z5</t>
        </is>
      </c>
      <c r="B16182" t="inlineStr">
        <is>
          <t>May-2018</t>
        </is>
      </c>
      <c r="C16182" s="2" t="n">
        <v>43188</v>
      </c>
      <c r="D16182" t="inlineStr">
        <is>
          <t>NON-NIL</t>
        </is>
      </c>
      <c r="E16182" t="n">
        <v>1630</v>
      </c>
    </row>
    <row r="16183">
      <c r="A16183" t="inlineStr">
        <is>
          <t>27BBBBB16183Z5</t>
        </is>
      </c>
      <c r="B16183" t="inlineStr">
        <is>
          <t>Nov-2018</t>
        </is>
      </c>
      <c r="C16183" s="2" t="n">
        <v>43324</v>
      </c>
      <c r="D16183" t="inlineStr">
        <is>
          <t>NON-NIL</t>
        </is>
      </c>
      <c r="E16183" t="n">
        <v>2566</v>
      </c>
    </row>
    <row r="16184">
      <c r="A16184" t="inlineStr">
        <is>
          <t>27BBBBB16184Z5</t>
        </is>
      </c>
      <c r="B16184" t="inlineStr">
        <is>
          <t>Feb-2018</t>
        </is>
      </c>
      <c r="C16184" s="2" t="n">
        <v>43594</v>
      </c>
      <c r="D16184" t="inlineStr">
        <is>
          <t>NON-NIL</t>
        </is>
      </c>
      <c r="E16184" t="n">
        <v>2118</v>
      </c>
    </row>
    <row r="16185">
      <c r="A16185" t="inlineStr">
        <is>
          <t>27BBBBB16185Z5</t>
        </is>
      </c>
      <c r="B16185" t="inlineStr">
        <is>
          <t>Mar-2023</t>
        </is>
      </c>
      <c r="C16185" s="2" t="n">
        <v>45060</v>
      </c>
      <c r="D16185" t="inlineStr">
        <is>
          <t>NON-NIL</t>
        </is>
      </c>
      <c r="E16185" t="n">
        <v>2340</v>
      </c>
    </row>
    <row r="16186">
      <c r="A16186" t="inlineStr">
        <is>
          <t>27BBBBB16186Z5</t>
        </is>
      </c>
      <c r="B16186" t="inlineStr">
        <is>
          <t>Oct-2017</t>
        </is>
      </c>
      <c r="C16186" s="2" t="n">
        <v>43497</v>
      </c>
      <c r="D16186" t="inlineStr">
        <is>
          <t>NIL</t>
        </is>
      </c>
      <c r="E16186" t="n">
        <v>1284</v>
      </c>
    </row>
    <row r="16187">
      <c r="A16187" t="inlineStr">
        <is>
          <t>27BBBBB16187Z5</t>
        </is>
      </c>
      <c r="B16187" t="inlineStr">
        <is>
          <t>Dec-2022</t>
        </is>
      </c>
      <c r="C16187" s="2" t="n">
        <v>44813</v>
      </c>
      <c r="D16187" t="inlineStr">
        <is>
          <t>NON-NIL</t>
        </is>
      </c>
      <c r="E16187" t="n">
        <v>583</v>
      </c>
    </row>
    <row r="16188">
      <c r="A16188" t="inlineStr">
        <is>
          <t>27BBBBB16188Z5</t>
        </is>
      </c>
      <c r="B16188" t="inlineStr">
        <is>
          <t>May-2018</t>
        </is>
      </c>
      <c r="C16188" s="2" t="n">
        <v>44259</v>
      </c>
      <c r="D16188" t="inlineStr">
        <is>
          <t>NON-NIL</t>
        </is>
      </c>
      <c r="E16188" t="n">
        <v>1415</v>
      </c>
    </row>
    <row r="16189">
      <c r="A16189" t="inlineStr">
        <is>
          <t>27BBBBB16189Z5</t>
        </is>
      </c>
      <c r="B16189" t="inlineStr">
        <is>
          <t>Jun-2020</t>
        </is>
      </c>
      <c r="C16189" s="2" t="n">
        <v>44146</v>
      </c>
      <c r="D16189" t="inlineStr">
        <is>
          <t>NON-NIL</t>
        </is>
      </c>
      <c r="E16189" t="n">
        <v>2764</v>
      </c>
    </row>
    <row r="16190">
      <c r="A16190" t="inlineStr">
        <is>
          <t>27BBBBB16190Z5</t>
        </is>
      </c>
      <c r="B16190" t="inlineStr">
        <is>
          <t>Feb-2018</t>
        </is>
      </c>
      <c r="C16190" s="2" t="n">
        <v>43326</v>
      </c>
      <c r="D16190" t="inlineStr">
        <is>
          <t>NON-NIL</t>
        </is>
      </c>
      <c r="E16190" t="n">
        <v>1643</v>
      </c>
    </row>
    <row r="16191">
      <c r="A16191" t="inlineStr">
        <is>
          <t>27BBBBB16191Z5</t>
        </is>
      </c>
      <c r="B16191" t="inlineStr">
        <is>
          <t>May-2018</t>
        </is>
      </c>
      <c r="C16191" s="2" t="n">
        <v>44217</v>
      </c>
      <c r="D16191" t="inlineStr">
        <is>
          <t>NON-NIL</t>
        </is>
      </c>
      <c r="E16191" t="n">
        <v>1529</v>
      </c>
    </row>
    <row r="16192">
      <c r="A16192" t="inlineStr">
        <is>
          <t>27BBBBB16192Z5</t>
        </is>
      </c>
      <c r="B16192" t="inlineStr">
        <is>
          <t>Dec-2018</t>
        </is>
      </c>
      <c r="C16192" s="2" t="n">
        <v>43208</v>
      </c>
      <c r="D16192" t="inlineStr">
        <is>
          <t>NON-NIL</t>
        </is>
      </c>
      <c r="E16192" t="n">
        <v>116</v>
      </c>
    </row>
    <row r="16193">
      <c r="A16193" t="inlineStr">
        <is>
          <t>27BBBBB16193Z5</t>
        </is>
      </c>
      <c r="B16193" t="inlineStr">
        <is>
          <t>Dec-2018</t>
        </is>
      </c>
      <c r="C16193" s="2" t="n">
        <v>43383</v>
      </c>
      <c r="D16193" t="inlineStr">
        <is>
          <t>NON-NIL</t>
        </is>
      </c>
      <c r="E16193" t="n">
        <v>397</v>
      </c>
    </row>
    <row r="16194">
      <c r="A16194" t="inlineStr">
        <is>
          <t>27BBBBB16194Z5</t>
        </is>
      </c>
      <c r="B16194" t="inlineStr">
        <is>
          <t>Jun-2018</t>
        </is>
      </c>
      <c r="C16194" s="2" t="n">
        <v>43964</v>
      </c>
      <c r="D16194" t="inlineStr">
        <is>
          <t>NON-NIL</t>
        </is>
      </c>
      <c r="E16194" t="n">
        <v>2303</v>
      </c>
    </row>
    <row r="16195">
      <c r="A16195" t="inlineStr">
        <is>
          <t>27BBBBB16195Z5</t>
        </is>
      </c>
      <c r="B16195" t="inlineStr">
        <is>
          <t>Jan-2018</t>
        </is>
      </c>
      <c r="C16195" s="2" t="n">
        <v>44116</v>
      </c>
      <c r="D16195" t="inlineStr">
        <is>
          <t>NIL</t>
        </is>
      </c>
      <c r="E16195" t="n">
        <v>1599</v>
      </c>
    </row>
    <row r="16196">
      <c r="A16196" t="inlineStr">
        <is>
          <t>27BBBBB16196Z5</t>
        </is>
      </c>
      <c r="B16196" t="inlineStr">
        <is>
          <t>Jul-2018</t>
        </is>
      </c>
      <c r="C16196" s="2" t="n">
        <v>43018</v>
      </c>
      <c r="D16196" t="inlineStr">
        <is>
          <t>NON-NIL</t>
        </is>
      </c>
      <c r="E16196" t="n">
        <v>1511</v>
      </c>
    </row>
    <row r="16197">
      <c r="A16197" t="inlineStr">
        <is>
          <t>27BBBBB16197Z5</t>
        </is>
      </c>
      <c r="B16197" t="inlineStr">
        <is>
          <t>Jun-2020</t>
        </is>
      </c>
      <c r="C16197" s="2" t="n">
        <v>44224</v>
      </c>
      <c r="D16197" t="inlineStr">
        <is>
          <t>NON-NIL</t>
        </is>
      </c>
      <c r="E16197" t="n">
        <v>2978</v>
      </c>
    </row>
    <row r="16198">
      <c r="A16198" t="inlineStr">
        <is>
          <t>27BBBBB16198Z5</t>
        </is>
      </c>
      <c r="B16198" t="inlineStr">
        <is>
          <t>Nov-2018</t>
        </is>
      </c>
      <c r="C16198" s="2" t="n">
        <v>43244</v>
      </c>
      <c r="D16198" t="inlineStr">
        <is>
          <t>NIL</t>
        </is>
      </c>
      <c r="E16198" t="n">
        <v>1338</v>
      </c>
    </row>
    <row r="16199">
      <c r="A16199" t="inlineStr">
        <is>
          <t>27BBBBB16199Z5</t>
        </is>
      </c>
      <c r="B16199" t="inlineStr">
        <is>
          <t>Mar-2020</t>
        </is>
      </c>
      <c r="C16199" s="2" t="n">
        <v>44561</v>
      </c>
      <c r="D16199" t="inlineStr">
        <is>
          <t>NIL</t>
        </is>
      </c>
      <c r="E16199" t="n">
        <v>1905</v>
      </c>
    </row>
    <row r="16200">
      <c r="A16200" t="inlineStr">
        <is>
          <t>27BBBBB16200Z5</t>
        </is>
      </c>
      <c r="B16200" t="inlineStr">
        <is>
          <t>Jan-2021</t>
        </is>
      </c>
      <c r="C16200" s="2" t="n">
        <v>43878</v>
      </c>
      <c r="D16200" t="inlineStr">
        <is>
          <t>NON-NIL</t>
        </is>
      </c>
      <c r="E16200" t="n">
        <v>513</v>
      </c>
    </row>
    <row r="16201">
      <c r="A16201" t="inlineStr">
        <is>
          <t>27BBBBB16201Z5</t>
        </is>
      </c>
      <c r="B16201" t="inlineStr">
        <is>
          <t>Sep-2018</t>
        </is>
      </c>
      <c r="C16201" s="2" t="n">
        <v>43948</v>
      </c>
      <c r="D16201" t="inlineStr">
        <is>
          <t>NON-NIL</t>
        </is>
      </c>
      <c r="E16201" t="n">
        <v>1185</v>
      </c>
    </row>
    <row r="16202">
      <c r="A16202" t="inlineStr">
        <is>
          <t>27BBBBB16202Z5</t>
        </is>
      </c>
      <c r="B16202" t="inlineStr">
        <is>
          <t>Oct-2018</t>
        </is>
      </c>
      <c r="C16202" s="2" t="n">
        <v>43469</v>
      </c>
      <c r="D16202" t="inlineStr">
        <is>
          <t>NIL</t>
        </is>
      </c>
      <c r="E16202" t="n">
        <v>2340</v>
      </c>
    </row>
    <row r="16203">
      <c r="A16203" t="inlineStr">
        <is>
          <t>27BBBBB16203Z5</t>
        </is>
      </c>
      <c r="B16203" t="inlineStr">
        <is>
          <t>Aug-2017</t>
        </is>
      </c>
      <c r="C16203" s="2" t="n">
        <v>43678</v>
      </c>
      <c r="D16203" t="inlineStr">
        <is>
          <t>NON-NIL</t>
        </is>
      </c>
      <c r="E16203" t="n">
        <v>2148</v>
      </c>
    </row>
    <row r="16204">
      <c r="A16204" t="inlineStr">
        <is>
          <t>27BBBBB16204Z5</t>
        </is>
      </c>
      <c r="B16204" t="inlineStr">
        <is>
          <t>Mar-2020</t>
        </is>
      </c>
      <c r="C16204" s="2" t="n">
        <v>44562</v>
      </c>
      <c r="D16204" t="inlineStr">
        <is>
          <t>NON-NIL</t>
        </is>
      </c>
      <c r="E16204" t="n">
        <v>631</v>
      </c>
    </row>
    <row r="16205">
      <c r="A16205" t="inlineStr">
        <is>
          <t>27BBBBB16205Z5</t>
        </is>
      </c>
      <c r="B16205" t="inlineStr">
        <is>
          <t>Mar-2021</t>
        </is>
      </c>
      <c r="C16205" s="2" t="n">
        <v>44816</v>
      </c>
      <c r="D16205" t="inlineStr">
        <is>
          <t>NIL</t>
        </is>
      </c>
      <c r="E16205" t="n">
        <v>1163</v>
      </c>
    </row>
    <row r="16206">
      <c r="A16206" t="inlineStr">
        <is>
          <t>27BBBBB16206Z5</t>
        </is>
      </c>
      <c r="B16206" t="inlineStr">
        <is>
          <t>Apr-2020</t>
        </is>
      </c>
      <c r="C16206" s="2" t="n">
        <v>44676</v>
      </c>
      <c r="D16206" t="inlineStr">
        <is>
          <t>NON-NIL</t>
        </is>
      </c>
      <c r="E16206" t="n">
        <v>661</v>
      </c>
    </row>
    <row r="16207">
      <c r="A16207" t="inlineStr">
        <is>
          <t>27BBBBB16207Z5</t>
        </is>
      </c>
      <c r="B16207" t="inlineStr">
        <is>
          <t>Jul-2018</t>
        </is>
      </c>
      <c r="C16207" s="2" t="n">
        <v>44116</v>
      </c>
      <c r="D16207" t="inlineStr">
        <is>
          <t>NON-NIL</t>
        </is>
      </c>
      <c r="E16207" t="n">
        <v>365</v>
      </c>
    </row>
    <row r="16208">
      <c r="A16208" t="inlineStr">
        <is>
          <t>27BBBBB16208Z5</t>
        </is>
      </c>
      <c r="B16208" t="inlineStr">
        <is>
          <t>Apr-2020</t>
        </is>
      </c>
      <c r="C16208" s="2" t="n">
        <v>44037</v>
      </c>
      <c r="D16208" t="inlineStr">
        <is>
          <t>NIL</t>
        </is>
      </c>
      <c r="E16208" t="n">
        <v>793</v>
      </c>
    </row>
    <row r="16209">
      <c r="A16209" t="inlineStr">
        <is>
          <t>27BBBBB16209Z5</t>
        </is>
      </c>
      <c r="B16209" t="inlineStr">
        <is>
          <t>Dec-2022</t>
        </is>
      </c>
      <c r="C16209" s="2" t="n">
        <v>45698</v>
      </c>
      <c r="D16209" t="inlineStr">
        <is>
          <t>NIL</t>
        </is>
      </c>
      <c r="E16209" t="n">
        <v>1363</v>
      </c>
    </row>
    <row r="16210">
      <c r="A16210" t="inlineStr">
        <is>
          <t>27BBBBB16210Z5</t>
        </is>
      </c>
      <c r="B16210" t="inlineStr">
        <is>
          <t>Aug-2017</t>
        </is>
      </c>
      <c r="C16210" s="2" t="n">
        <v>43976</v>
      </c>
      <c r="D16210" t="inlineStr">
        <is>
          <t>NIL</t>
        </is>
      </c>
      <c r="E16210" t="n">
        <v>913</v>
      </c>
    </row>
    <row r="16211">
      <c r="A16211" t="inlineStr">
        <is>
          <t>27BBBBB16211Z5</t>
        </is>
      </c>
      <c r="B16211" t="inlineStr">
        <is>
          <t>May-2018</t>
        </is>
      </c>
      <c r="C16211" s="2" t="n">
        <v>42951</v>
      </c>
      <c r="D16211" t="inlineStr">
        <is>
          <t>NON-NIL</t>
        </is>
      </c>
      <c r="E16211" t="n">
        <v>681</v>
      </c>
    </row>
    <row r="16212">
      <c r="A16212" t="inlineStr">
        <is>
          <t>27BBBBB16212Z5</t>
        </is>
      </c>
      <c r="B16212" t="inlineStr">
        <is>
          <t>Jun-2018</t>
        </is>
      </c>
      <c r="C16212" s="2" t="n">
        <v>43989</v>
      </c>
      <c r="D16212" t="inlineStr">
        <is>
          <t>NON-NIL</t>
        </is>
      </c>
      <c r="E16212" t="n">
        <v>2857</v>
      </c>
    </row>
    <row r="16213">
      <c r="A16213" t="inlineStr">
        <is>
          <t>27BBBBB16213Z5</t>
        </is>
      </c>
      <c r="B16213" t="inlineStr">
        <is>
          <t>Mar-2021</t>
        </is>
      </c>
      <c r="C16213" s="2" t="n">
        <v>44316</v>
      </c>
      <c r="D16213" t="inlineStr">
        <is>
          <t>NON-NIL</t>
        </is>
      </c>
      <c r="E16213" t="n">
        <v>2065</v>
      </c>
    </row>
    <row r="16214">
      <c r="A16214" t="inlineStr">
        <is>
          <t>27BBBBB16214Z5</t>
        </is>
      </c>
      <c r="B16214" t="inlineStr">
        <is>
          <t>Jan-2018</t>
        </is>
      </c>
      <c r="C16214" s="2" t="n">
        <v>43613</v>
      </c>
      <c r="D16214" t="inlineStr">
        <is>
          <t>NIL</t>
        </is>
      </c>
      <c r="E16214" t="n">
        <v>279</v>
      </c>
    </row>
    <row r="16215">
      <c r="A16215" t="inlineStr">
        <is>
          <t>27BBBBB16215Z5</t>
        </is>
      </c>
      <c r="B16215" t="inlineStr">
        <is>
          <t>Apr-2020</t>
        </is>
      </c>
      <c r="C16215" s="2" t="n">
        <v>43949</v>
      </c>
      <c r="D16215" t="inlineStr">
        <is>
          <t>NIL</t>
        </is>
      </c>
      <c r="E16215" t="n">
        <v>2686</v>
      </c>
    </row>
    <row r="16216">
      <c r="A16216" t="inlineStr">
        <is>
          <t>27BBBBB16216Z5</t>
        </is>
      </c>
      <c r="B16216" t="inlineStr">
        <is>
          <t>Jun-2018</t>
        </is>
      </c>
      <c r="C16216" s="2" t="n">
        <v>44071</v>
      </c>
      <c r="D16216" t="inlineStr">
        <is>
          <t>NIL</t>
        </is>
      </c>
      <c r="E16216" t="n">
        <v>1827</v>
      </c>
    </row>
    <row r="16217">
      <c r="A16217" t="inlineStr">
        <is>
          <t>27BBBBB16217Z5</t>
        </is>
      </c>
      <c r="B16217" t="inlineStr">
        <is>
          <t>Dec-2022</t>
        </is>
      </c>
      <c r="C16217" s="2" t="n">
        <v>44949</v>
      </c>
      <c r="D16217" t="inlineStr">
        <is>
          <t>NON-NIL</t>
        </is>
      </c>
      <c r="E16217" t="n">
        <v>970</v>
      </c>
    </row>
    <row r="16218">
      <c r="A16218" t="inlineStr">
        <is>
          <t>27BBBBB16218Z5</t>
        </is>
      </c>
      <c r="B16218" t="inlineStr">
        <is>
          <t>Nov-2018</t>
        </is>
      </c>
      <c r="C16218" s="2" t="n">
        <v>44050</v>
      </c>
      <c r="D16218" t="inlineStr">
        <is>
          <t>NON-NIL</t>
        </is>
      </c>
      <c r="E16218" t="n">
        <v>1594</v>
      </c>
    </row>
    <row r="16219">
      <c r="A16219" t="inlineStr">
        <is>
          <t>27BBBBB16219Z5</t>
        </is>
      </c>
      <c r="B16219" t="inlineStr">
        <is>
          <t>Dec-2018</t>
        </is>
      </c>
      <c r="C16219" s="2" t="n">
        <v>43634</v>
      </c>
      <c r="D16219" t="inlineStr">
        <is>
          <t>NIL</t>
        </is>
      </c>
      <c r="E16219" t="n">
        <v>2782</v>
      </c>
    </row>
    <row r="16220">
      <c r="A16220" t="inlineStr">
        <is>
          <t>27BBBBB16220Z5</t>
        </is>
      </c>
      <c r="B16220" t="inlineStr">
        <is>
          <t>Sep-2017</t>
        </is>
      </c>
      <c r="C16220" s="2" t="n">
        <v>44434</v>
      </c>
      <c r="D16220" t="inlineStr">
        <is>
          <t>NIL</t>
        </is>
      </c>
      <c r="E16220" t="n">
        <v>1421</v>
      </c>
    </row>
    <row r="16221">
      <c r="A16221" t="inlineStr">
        <is>
          <t>27BBBBB16221Z5</t>
        </is>
      </c>
      <c r="B16221" t="inlineStr">
        <is>
          <t>Jun-2018</t>
        </is>
      </c>
      <c r="C16221" s="2" t="n">
        <v>44250</v>
      </c>
      <c r="D16221" t="inlineStr">
        <is>
          <t>NON-NIL</t>
        </is>
      </c>
      <c r="E16221" t="n">
        <v>2682</v>
      </c>
    </row>
    <row r="16222">
      <c r="A16222" t="inlineStr">
        <is>
          <t>27BBBBB16222Z5</t>
        </is>
      </c>
      <c r="B16222" t="inlineStr">
        <is>
          <t>Apr-2018</t>
        </is>
      </c>
      <c r="C16222" s="2" t="n">
        <v>44430</v>
      </c>
      <c r="D16222" t="inlineStr">
        <is>
          <t>NIL</t>
        </is>
      </c>
      <c r="E16222" t="n">
        <v>2539</v>
      </c>
    </row>
    <row r="16223">
      <c r="A16223" t="inlineStr">
        <is>
          <t>27BBBBB16223Z5</t>
        </is>
      </c>
      <c r="B16223" t="inlineStr">
        <is>
          <t>Nov-2017</t>
        </is>
      </c>
      <c r="C16223" s="2" t="n">
        <v>43885</v>
      </c>
      <c r="D16223" t="inlineStr">
        <is>
          <t>NON-NIL</t>
        </is>
      </c>
      <c r="E16223" t="n">
        <v>2187</v>
      </c>
    </row>
    <row r="16224">
      <c r="A16224" t="inlineStr">
        <is>
          <t>27BBBBB16224Z5</t>
        </is>
      </c>
      <c r="B16224" t="inlineStr">
        <is>
          <t>Dec-2017</t>
        </is>
      </c>
      <c r="C16224" s="2" t="n">
        <v>43323</v>
      </c>
      <c r="D16224" t="inlineStr">
        <is>
          <t>NON-NIL</t>
        </is>
      </c>
      <c r="E16224" t="n">
        <v>2271</v>
      </c>
    </row>
    <row r="16225">
      <c r="A16225" t="inlineStr">
        <is>
          <t>27BBBBB16225Z5</t>
        </is>
      </c>
      <c r="B16225" t="inlineStr">
        <is>
          <t>Sep-2017</t>
        </is>
      </c>
      <c r="C16225" s="2" t="n">
        <v>43406</v>
      </c>
      <c r="D16225" t="inlineStr">
        <is>
          <t>NIL</t>
        </is>
      </c>
      <c r="E16225" t="n">
        <v>1112</v>
      </c>
    </row>
    <row r="16226">
      <c r="A16226" t="inlineStr">
        <is>
          <t>27BBBBB16226Z5</t>
        </is>
      </c>
      <c r="B16226" t="inlineStr">
        <is>
          <t>Feb-2018</t>
        </is>
      </c>
      <c r="C16226" s="2" t="n">
        <v>43555</v>
      </c>
      <c r="D16226" t="inlineStr">
        <is>
          <t>NIL</t>
        </is>
      </c>
      <c r="E16226" t="n">
        <v>11</v>
      </c>
    </row>
    <row r="16227">
      <c r="A16227" t="inlineStr">
        <is>
          <t>27BBBBB16227Z5</t>
        </is>
      </c>
      <c r="B16227" t="inlineStr">
        <is>
          <t>Mar-2018</t>
        </is>
      </c>
      <c r="C16227" s="2" t="n">
        <v>43265</v>
      </c>
      <c r="D16227" t="inlineStr">
        <is>
          <t>NON-NIL</t>
        </is>
      </c>
      <c r="E16227" t="n">
        <v>2525</v>
      </c>
    </row>
    <row r="16228">
      <c r="A16228" t="inlineStr">
        <is>
          <t>27BBBBB16228Z5</t>
        </is>
      </c>
      <c r="B16228" t="inlineStr">
        <is>
          <t>Mar-2021</t>
        </is>
      </c>
      <c r="C16228" s="2" t="n">
        <v>44387</v>
      </c>
      <c r="D16228" t="inlineStr">
        <is>
          <t>NON-NIL</t>
        </is>
      </c>
      <c r="E16228" t="n">
        <v>1760</v>
      </c>
    </row>
    <row r="16229">
      <c r="A16229" t="inlineStr">
        <is>
          <t>27BBBBB16229Z5</t>
        </is>
      </c>
      <c r="B16229" t="inlineStr">
        <is>
          <t>Nov-2018</t>
        </is>
      </c>
      <c r="C16229" s="2" t="n">
        <v>43450</v>
      </c>
      <c r="D16229" t="inlineStr">
        <is>
          <t>NON-NIL</t>
        </is>
      </c>
      <c r="E16229" t="n">
        <v>2500</v>
      </c>
    </row>
    <row r="16230">
      <c r="A16230" t="inlineStr">
        <is>
          <t>27BBBBB16230Z5</t>
        </is>
      </c>
      <c r="B16230" t="inlineStr">
        <is>
          <t>Jul-2017</t>
        </is>
      </c>
      <c r="C16230" s="2" t="n">
        <v>43003</v>
      </c>
      <c r="D16230" t="inlineStr">
        <is>
          <t>NIL</t>
        </is>
      </c>
      <c r="E16230" t="n">
        <v>1539</v>
      </c>
    </row>
    <row r="16231">
      <c r="A16231" t="inlineStr">
        <is>
          <t>27BBBBB16231Z5</t>
        </is>
      </c>
      <c r="B16231" t="inlineStr">
        <is>
          <t>Jun-2020</t>
        </is>
      </c>
      <c r="C16231" s="2" t="n">
        <v>43917</v>
      </c>
      <c r="D16231" t="inlineStr">
        <is>
          <t>NIL</t>
        </is>
      </c>
      <c r="E16231" t="n">
        <v>605</v>
      </c>
    </row>
    <row r="16232">
      <c r="A16232" t="inlineStr">
        <is>
          <t>27BBBBB16232Z5</t>
        </is>
      </c>
      <c r="B16232" t="inlineStr">
        <is>
          <t>Jan-2021</t>
        </is>
      </c>
      <c r="C16232" s="2" t="n">
        <v>44223</v>
      </c>
      <c r="D16232" t="inlineStr">
        <is>
          <t>NON-NIL</t>
        </is>
      </c>
      <c r="E16232" t="n">
        <v>2378</v>
      </c>
    </row>
    <row r="16233">
      <c r="A16233" t="inlineStr">
        <is>
          <t>27BBBBB16233Z5</t>
        </is>
      </c>
      <c r="B16233" t="inlineStr">
        <is>
          <t>Dec-2018</t>
        </is>
      </c>
      <c r="C16233" s="2" t="n">
        <v>44176</v>
      </c>
      <c r="D16233" t="inlineStr">
        <is>
          <t>NIL</t>
        </is>
      </c>
      <c r="E16233" t="n">
        <v>470</v>
      </c>
    </row>
    <row r="16234">
      <c r="A16234" t="inlineStr">
        <is>
          <t>27BBBBB16234Z5</t>
        </is>
      </c>
      <c r="B16234" t="inlineStr">
        <is>
          <t>Jul-2020</t>
        </is>
      </c>
      <c r="C16234" s="2" t="n">
        <v>44462</v>
      </c>
      <c r="D16234" t="inlineStr">
        <is>
          <t>NON-NIL</t>
        </is>
      </c>
      <c r="E16234" t="n">
        <v>1559</v>
      </c>
    </row>
    <row r="16235">
      <c r="A16235" t="inlineStr">
        <is>
          <t>27BBBBB16235Z5</t>
        </is>
      </c>
      <c r="B16235" t="inlineStr">
        <is>
          <t>Jul-2020</t>
        </is>
      </c>
      <c r="C16235" s="2" t="n">
        <v>44708</v>
      </c>
      <c r="D16235" t="inlineStr">
        <is>
          <t>NIL</t>
        </is>
      </c>
      <c r="E16235" t="n">
        <v>1318</v>
      </c>
    </row>
    <row r="16236">
      <c r="A16236" t="inlineStr">
        <is>
          <t>27BBBBB16236Z5</t>
        </is>
      </c>
      <c r="B16236" t="inlineStr">
        <is>
          <t>Dec-2017</t>
        </is>
      </c>
      <c r="C16236" s="2" t="n">
        <v>44003</v>
      </c>
      <c r="D16236" t="inlineStr">
        <is>
          <t>NIL</t>
        </is>
      </c>
      <c r="E16236" t="n">
        <v>2593</v>
      </c>
    </row>
    <row r="16237">
      <c r="A16237" t="inlineStr">
        <is>
          <t>27BBBBB16237Z5</t>
        </is>
      </c>
      <c r="B16237" t="inlineStr">
        <is>
          <t>Jun-2018</t>
        </is>
      </c>
      <c r="C16237" s="2" t="n">
        <v>43126</v>
      </c>
      <c r="D16237" t="inlineStr">
        <is>
          <t>NON-NIL</t>
        </is>
      </c>
      <c r="E16237" t="n">
        <v>1239</v>
      </c>
    </row>
    <row r="16238">
      <c r="A16238" t="inlineStr">
        <is>
          <t>27BBBBB16238Z5</t>
        </is>
      </c>
      <c r="B16238" t="inlineStr">
        <is>
          <t>Jan-2021</t>
        </is>
      </c>
      <c r="C16238" s="2" t="n">
        <v>45028</v>
      </c>
      <c r="D16238" t="inlineStr">
        <is>
          <t>NON-NIL</t>
        </is>
      </c>
      <c r="E16238" t="n">
        <v>919</v>
      </c>
    </row>
    <row r="16239">
      <c r="A16239" t="inlineStr">
        <is>
          <t>27BBBBB16239Z5</t>
        </is>
      </c>
      <c r="B16239" t="inlineStr">
        <is>
          <t>May-2020</t>
        </is>
      </c>
      <c r="C16239" s="2" t="n">
        <v>43832</v>
      </c>
      <c r="D16239" t="inlineStr">
        <is>
          <t>NIL</t>
        </is>
      </c>
      <c r="E16239" t="n">
        <v>2515</v>
      </c>
    </row>
    <row r="16240">
      <c r="A16240" t="inlineStr">
        <is>
          <t>27BBBBB16240Z5</t>
        </is>
      </c>
      <c r="B16240" t="inlineStr">
        <is>
          <t>Jan-2018</t>
        </is>
      </c>
      <c r="C16240" s="2" t="n">
        <v>44020</v>
      </c>
      <c r="D16240" t="inlineStr">
        <is>
          <t>NON-NIL</t>
        </is>
      </c>
      <c r="E16240" t="n">
        <v>2763</v>
      </c>
    </row>
    <row r="16241">
      <c r="A16241" t="inlineStr">
        <is>
          <t>27BBBBB16241Z5</t>
        </is>
      </c>
      <c r="B16241" t="inlineStr">
        <is>
          <t>Mar-2018</t>
        </is>
      </c>
      <c r="C16241" s="2" t="n">
        <v>42971</v>
      </c>
      <c r="D16241" t="inlineStr">
        <is>
          <t>NON-NIL</t>
        </is>
      </c>
      <c r="E16241" t="n">
        <v>1824</v>
      </c>
    </row>
    <row r="16242">
      <c r="A16242" t="inlineStr">
        <is>
          <t>27BBBBB16242Z5</t>
        </is>
      </c>
      <c r="B16242" t="inlineStr">
        <is>
          <t>Jul-2020</t>
        </is>
      </c>
      <c r="C16242" s="2" t="n">
        <v>44756</v>
      </c>
      <c r="D16242" t="inlineStr">
        <is>
          <t>NON-NIL</t>
        </is>
      </c>
      <c r="E16242" t="n">
        <v>365</v>
      </c>
    </row>
    <row r="16243">
      <c r="A16243" t="inlineStr">
        <is>
          <t>27BBBBB16243Z5</t>
        </is>
      </c>
      <c r="B16243" t="inlineStr">
        <is>
          <t>Jun-2018</t>
        </is>
      </c>
      <c r="C16243" s="2" t="n">
        <v>43263</v>
      </c>
      <c r="D16243" t="inlineStr">
        <is>
          <t>NON-NIL</t>
        </is>
      </c>
      <c r="E16243" t="n">
        <v>1690</v>
      </c>
    </row>
    <row r="16244">
      <c r="A16244" t="inlineStr">
        <is>
          <t>27BBBBB16244Z5</t>
        </is>
      </c>
      <c r="B16244" t="inlineStr">
        <is>
          <t>Jul-2018</t>
        </is>
      </c>
      <c r="C16244" s="2" t="n">
        <v>43286</v>
      </c>
      <c r="D16244" t="inlineStr">
        <is>
          <t>NON-NIL</t>
        </is>
      </c>
      <c r="E16244" t="n">
        <v>626</v>
      </c>
    </row>
    <row r="16245">
      <c r="A16245" t="inlineStr">
        <is>
          <t>27BBBBB16245Z5</t>
        </is>
      </c>
      <c r="B16245" t="inlineStr">
        <is>
          <t>Jun-2018</t>
        </is>
      </c>
      <c r="C16245" s="2" t="n">
        <v>43366</v>
      </c>
      <c r="D16245" t="inlineStr">
        <is>
          <t>NIL</t>
        </is>
      </c>
      <c r="E16245" t="n">
        <v>726</v>
      </c>
    </row>
    <row r="16246">
      <c r="A16246" t="inlineStr">
        <is>
          <t>27BBBBB16246Z5</t>
        </is>
      </c>
      <c r="B16246" t="inlineStr">
        <is>
          <t>Sep-2017</t>
        </is>
      </c>
      <c r="C16246" s="2" t="n">
        <v>43752</v>
      </c>
      <c r="D16246" t="inlineStr">
        <is>
          <t>NON-NIL</t>
        </is>
      </c>
      <c r="E16246" t="n">
        <v>797</v>
      </c>
    </row>
    <row r="16247">
      <c r="A16247" t="inlineStr">
        <is>
          <t>27BBBBB16247Z5</t>
        </is>
      </c>
      <c r="B16247" t="inlineStr">
        <is>
          <t>Dec-2018</t>
        </is>
      </c>
      <c r="C16247" s="2" t="n">
        <v>42923</v>
      </c>
      <c r="D16247" t="inlineStr">
        <is>
          <t>NON-NIL</t>
        </is>
      </c>
      <c r="E16247" t="n">
        <v>1841</v>
      </c>
    </row>
    <row r="16248">
      <c r="A16248" t="inlineStr">
        <is>
          <t>27BBBBB16248Z5</t>
        </is>
      </c>
      <c r="B16248" t="inlineStr">
        <is>
          <t>Aug-2018</t>
        </is>
      </c>
      <c r="C16248" s="2" t="n">
        <v>43844</v>
      </c>
      <c r="D16248" t="inlineStr">
        <is>
          <t>NON-NIL</t>
        </is>
      </c>
      <c r="E16248" t="n">
        <v>2216</v>
      </c>
    </row>
    <row r="16249">
      <c r="A16249" t="inlineStr">
        <is>
          <t>27BBBBB16249Z5</t>
        </is>
      </c>
      <c r="B16249" t="inlineStr">
        <is>
          <t>May-2020</t>
        </is>
      </c>
      <c r="C16249" s="2" t="n">
        <v>44334</v>
      </c>
      <c r="D16249" t="inlineStr">
        <is>
          <t>NIL</t>
        </is>
      </c>
      <c r="E16249" t="n">
        <v>348</v>
      </c>
    </row>
    <row r="16250">
      <c r="A16250" t="inlineStr">
        <is>
          <t>27BBBBB16250Z5</t>
        </is>
      </c>
      <c r="B16250" t="inlineStr">
        <is>
          <t>Nov-2018</t>
        </is>
      </c>
      <c r="C16250" s="2" t="n">
        <v>43344</v>
      </c>
      <c r="D16250" t="inlineStr">
        <is>
          <t>NON-NIL</t>
        </is>
      </c>
      <c r="E16250" t="n">
        <v>1147</v>
      </c>
    </row>
    <row r="16251">
      <c r="A16251" t="inlineStr">
        <is>
          <t>27BBBBB16251Z5</t>
        </is>
      </c>
      <c r="B16251" t="inlineStr">
        <is>
          <t>Aug-2017</t>
        </is>
      </c>
      <c r="C16251" s="2" t="n">
        <v>43382</v>
      </c>
      <c r="D16251" t="inlineStr">
        <is>
          <t>NIL</t>
        </is>
      </c>
      <c r="E16251" t="n">
        <v>393</v>
      </c>
    </row>
    <row r="16252">
      <c r="A16252" t="inlineStr">
        <is>
          <t>27BBBBB16252Z5</t>
        </is>
      </c>
      <c r="B16252" t="inlineStr">
        <is>
          <t>Aug-2017</t>
        </is>
      </c>
      <c r="C16252" s="2" t="n">
        <v>43325</v>
      </c>
      <c r="D16252" t="inlineStr">
        <is>
          <t>NON-NIL</t>
        </is>
      </c>
      <c r="E16252" t="n">
        <v>2516</v>
      </c>
    </row>
    <row r="16253">
      <c r="A16253" t="inlineStr">
        <is>
          <t>27BBBBB16253Z5</t>
        </is>
      </c>
      <c r="B16253" t="inlineStr">
        <is>
          <t>Aug-2017</t>
        </is>
      </c>
      <c r="C16253" s="2" t="n">
        <v>43300</v>
      </c>
      <c r="D16253" t="inlineStr">
        <is>
          <t>NIL</t>
        </is>
      </c>
      <c r="E16253" t="n">
        <v>1347</v>
      </c>
    </row>
    <row r="16254">
      <c r="A16254" t="inlineStr">
        <is>
          <t>27BBBBB16254Z5</t>
        </is>
      </c>
      <c r="B16254" t="inlineStr">
        <is>
          <t>May-2018</t>
        </is>
      </c>
      <c r="C16254" s="2" t="n">
        <v>44143</v>
      </c>
      <c r="D16254" t="inlineStr">
        <is>
          <t>NIL</t>
        </is>
      </c>
      <c r="E16254" t="n">
        <v>1663</v>
      </c>
    </row>
    <row r="16255">
      <c r="A16255" t="inlineStr">
        <is>
          <t>27BBBBB16255Z5</t>
        </is>
      </c>
      <c r="B16255" t="inlineStr">
        <is>
          <t>Sep-2017</t>
        </is>
      </c>
      <c r="C16255" s="2" t="n">
        <v>43993</v>
      </c>
      <c r="D16255" t="inlineStr">
        <is>
          <t>NON-NIL</t>
        </is>
      </c>
      <c r="E16255" t="n">
        <v>571</v>
      </c>
    </row>
    <row r="16256">
      <c r="A16256" t="inlineStr">
        <is>
          <t>27BBBBB16256Z5</t>
        </is>
      </c>
      <c r="B16256" t="inlineStr">
        <is>
          <t>Nov-2017</t>
        </is>
      </c>
      <c r="C16256" s="2" t="n">
        <v>43355</v>
      </c>
      <c r="D16256" t="inlineStr">
        <is>
          <t>NON-NIL</t>
        </is>
      </c>
      <c r="E16256" t="n">
        <v>2678</v>
      </c>
    </row>
    <row r="16257">
      <c r="A16257" t="inlineStr">
        <is>
          <t>27BBBBB16257Z5</t>
        </is>
      </c>
      <c r="B16257" t="inlineStr">
        <is>
          <t>Feb-2018</t>
        </is>
      </c>
      <c r="C16257" s="2" t="n">
        <v>44434</v>
      </c>
      <c r="D16257" t="inlineStr">
        <is>
          <t>NIL</t>
        </is>
      </c>
      <c r="E16257" t="n">
        <v>917</v>
      </c>
    </row>
    <row r="16258">
      <c r="A16258" t="inlineStr">
        <is>
          <t>27BBBBB16258Z5</t>
        </is>
      </c>
      <c r="B16258" t="inlineStr">
        <is>
          <t>Feb-2018</t>
        </is>
      </c>
      <c r="C16258" s="2" t="n">
        <v>43758</v>
      </c>
      <c r="D16258" t="inlineStr">
        <is>
          <t>NON-NIL</t>
        </is>
      </c>
      <c r="E16258" t="n">
        <v>2374</v>
      </c>
    </row>
    <row r="16259">
      <c r="A16259" t="inlineStr">
        <is>
          <t>27BBBBB16259Z5</t>
        </is>
      </c>
      <c r="B16259" t="inlineStr">
        <is>
          <t>Dec-2018</t>
        </is>
      </c>
      <c r="C16259" s="2" t="n">
        <v>43417</v>
      </c>
      <c r="D16259" t="inlineStr">
        <is>
          <t>NIL</t>
        </is>
      </c>
      <c r="E16259" t="n">
        <v>2086</v>
      </c>
    </row>
    <row r="16260">
      <c r="A16260" t="inlineStr">
        <is>
          <t>27BBBBB16260Z5</t>
        </is>
      </c>
      <c r="B16260" t="inlineStr">
        <is>
          <t>Jun-2020</t>
        </is>
      </c>
      <c r="C16260" s="2" t="n">
        <v>44034</v>
      </c>
      <c r="D16260" t="inlineStr">
        <is>
          <t>NON-NIL</t>
        </is>
      </c>
      <c r="E16260" t="n">
        <v>1711</v>
      </c>
    </row>
    <row r="16261">
      <c r="A16261" t="inlineStr">
        <is>
          <t>27BBBBB16261Z5</t>
        </is>
      </c>
      <c r="B16261" t="inlineStr">
        <is>
          <t>Mar-2021</t>
        </is>
      </c>
      <c r="C16261" s="2" t="n">
        <v>43800</v>
      </c>
      <c r="D16261" t="inlineStr">
        <is>
          <t>NIL</t>
        </is>
      </c>
      <c r="E16261" t="n">
        <v>1574</v>
      </c>
    </row>
    <row r="16262">
      <c r="A16262" t="inlineStr">
        <is>
          <t>27BBBBB16262Z5</t>
        </is>
      </c>
      <c r="B16262" t="inlineStr">
        <is>
          <t>Mar-2023</t>
        </is>
      </c>
      <c r="C16262" s="2" t="n">
        <v>45609</v>
      </c>
      <c r="D16262" t="inlineStr">
        <is>
          <t>NIL</t>
        </is>
      </c>
      <c r="E16262" t="n">
        <v>448</v>
      </c>
    </row>
    <row r="16263">
      <c r="A16263" t="inlineStr">
        <is>
          <t>27BBBBB16263Z5</t>
        </is>
      </c>
      <c r="B16263" t="inlineStr">
        <is>
          <t>May-2020</t>
        </is>
      </c>
      <c r="C16263" s="2" t="n">
        <v>44921</v>
      </c>
      <c r="D16263" t="inlineStr">
        <is>
          <t>NIL</t>
        </is>
      </c>
      <c r="E16263" t="n">
        <v>2676</v>
      </c>
    </row>
    <row r="16264">
      <c r="A16264" t="inlineStr">
        <is>
          <t>27BBBBB16264Z5</t>
        </is>
      </c>
      <c r="B16264" t="inlineStr">
        <is>
          <t>Apr-2018</t>
        </is>
      </c>
      <c r="C16264" s="2" t="n">
        <v>44093</v>
      </c>
      <c r="D16264" t="inlineStr">
        <is>
          <t>NIL</t>
        </is>
      </c>
      <c r="E16264" t="n">
        <v>2964</v>
      </c>
    </row>
    <row r="16265">
      <c r="A16265" t="inlineStr">
        <is>
          <t>27BBBBB16265Z5</t>
        </is>
      </c>
      <c r="B16265" t="inlineStr">
        <is>
          <t>Nov-2017</t>
        </is>
      </c>
      <c r="C16265" s="2" t="n">
        <v>44043</v>
      </c>
      <c r="D16265" t="inlineStr">
        <is>
          <t>NIL</t>
        </is>
      </c>
      <c r="E16265" t="n">
        <v>654</v>
      </c>
    </row>
    <row r="16266">
      <c r="A16266" t="inlineStr">
        <is>
          <t>27BBBBB16266Z5</t>
        </is>
      </c>
      <c r="B16266" t="inlineStr">
        <is>
          <t>May-2018</t>
        </is>
      </c>
      <c r="C16266" s="2" t="n">
        <v>43575</v>
      </c>
      <c r="D16266" t="inlineStr">
        <is>
          <t>NON-NIL</t>
        </is>
      </c>
      <c r="E16266" t="n">
        <v>2669</v>
      </c>
    </row>
    <row r="16267">
      <c r="A16267" t="inlineStr">
        <is>
          <t>27BBBBB16267Z5</t>
        </is>
      </c>
      <c r="B16267" t="inlineStr">
        <is>
          <t>Apr-2018</t>
        </is>
      </c>
      <c r="C16267" s="2" t="n">
        <v>43519</v>
      </c>
      <c r="D16267" t="inlineStr">
        <is>
          <t>NON-NIL</t>
        </is>
      </c>
      <c r="E16267" t="n">
        <v>1373</v>
      </c>
    </row>
    <row r="16268">
      <c r="A16268" t="inlineStr">
        <is>
          <t>27BBBBB16268Z5</t>
        </is>
      </c>
      <c r="B16268" t="inlineStr">
        <is>
          <t>May-2020</t>
        </is>
      </c>
      <c r="C16268" s="2" t="n">
        <v>44688</v>
      </c>
      <c r="D16268" t="inlineStr">
        <is>
          <t>NIL</t>
        </is>
      </c>
      <c r="E16268" t="n">
        <v>1519</v>
      </c>
    </row>
    <row r="16269">
      <c r="A16269" t="inlineStr">
        <is>
          <t>27BBBBB16269Z5</t>
        </is>
      </c>
      <c r="B16269" t="inlineStr">
        <is>
          <t>Dec-2018</t>
        </is>
      </c>
      <c r="C16269" s="2" t="n">
        <v>43380</v>
      </c>
      <c r="D16269" t="inlineStr">
        <is>
          <t>NON-NIL</t>
        </is>
      </c>
      <c r="E16269" t="n">
        <v>1026</v>
      </c>
    </row>
    <row r="16270">
      <c r="A16270" t="inlineStr">
        <is>
          <t>27BBBBB16270Z5</t>
        </is>
      </c>
      <c r="B16270" t="inlineStr">
        <is>
          <t>Sep-2017</t>
        </is>
      </c>
      <c r="C16270" s="2" t="n">
        <v>43040</v>
      </c>
      <c r="D16270" t="inlineStr">
        <is>
          <t>NIL</t>
        </is>
      </c>
      <c r="E16270" t="n">
        <v>678</v>
      </c>
    </row>
    <row r="16271">
      <c r="A16271" t="inlineStr">
        <is>
          <t>27BBBBB16271Z5</t>
        </is>
      </c>
      <c r="B16271" t="inlineStr">
        <is>
          <t>Jan-2021</t>
        </is>
      </c>
      <c r="C16271" s="2" t="n">
        <v>45252</v>
      </c>
      <c r="D16271" t="inlineStr">
        <is>
          <t>NON-NIL</t>
        </is>
      </c>
      <c r="E16271" t="n">
        <v>2265</v>
      </c>
    </row>
    <row r="16272">
      <c r="A16272" t="inlineStr">
        <is>
          <t>27BBBBB16272Z5</t>
        </is>
      </c>
      <c r="B16272" t="inlineStr">
        <is>
          <t>Dec-2018</t>
        </is>
      </c>
      <c r="C16272" s="2" t="n">
        <v>43847</v>
      </c>
      <c r="D16272" t="inlineStr">
        <is>
          <t>NON-NIL</t>
        </is>
      </c>
      <c r="E16272" t="n">
        <v>2881</v>
      </c>
    </row>
    <row r="16273">
      <c r="A16273" t="inlineStr">
        <is>
          <t>27BBBBB16273Z5</t>
        </is>
      </c>
      <c r="B16273" t="inlineStr">
        <is>
          <t>Aug-2018</t>
        </is>
      </c>
      <c r="C16273" s="2" t="n">
        <v>43157</v>
      </c>
      <c r="D16273" t="inlineStr">
        <is>
          <t>NIL</t>
        </is>
      </c>
      <c r="E16273" t="n">
        <v>970</v>
      </c>
    </row>
    <row r="16274">
      <c r="A16274" t="inlineStr">
        <is>
          <t>27BBBBB16274Z5</t>
        </is>
      </c>
      <c r="B16274" t="inlineStr">
        <is>
          <t>Jul-2017</t>
        </is>
      </c>
      <c r="C16274" s="2" t="n">
        <v>43118</v>
      </c>
      <c r="D16274" t="inlineStr">
        <is>
          <t>NON-NIL</t>
        </is>
      </c>
      <c r="E16274" t="n">
        <v>1162</v>
      </c>
    </row>
    <row r="16275">
      <c r="A16275" t="inlineStr">
        <is>
          <t>27BBBBB16275Z5</t>
        </is>
      </c>
      <c r="B16275" t="inlineStr">
        <is>
          <t>Apr-2018</t>
        </is>
      </c>
      <c r="C16275" s="2" t="n">
        <v>43509</v>
      </c>
      <c r="D16275" t="inlineStr">
        <is>
          <t>NIL</t>
        </is>
      </c>
      <c r="E16275" t="n">
        <v>198</v>
      </c>
    </row>
    <row r="16276">
      <c r="A16276" t="inlineStr">
        <is>
          <t>27BBBBB16276Z5</t>
        </is>
      </c>
      <c r="B16276" t="inlineStr">
        <is>
          <t>Apr-2018</t>
        </is>
      </c>
      <c r="C16276" s="2" t="n">
        <v>44067</v>
      </c>
      <c r="D16276" t="inlineStr">
        <is>
          <t>NON-NIL</t>
        </is>
      </c>
      <c r="E16276" t="n">
        <v>2175</v>
      </c>
    </row>
    <row r="16277">
      <c r="A16277" t="inlineStr">
        <is>
          <t>27BBBBB16277Z5</t>
        </is>
      </c>
      <c r="B16277" t="inlineStr">
        <is>
          <t>Apr-2020</t>
        </is>
      </c>
      <c r="C16277" s="2" t="n">
        <v>43873</v>
      </c>
      <c r="D16277" t="inlineStr">
        <is>
          <t>NON-NIL</t>
        </is>
      </c>
      <c r="E16277" t="n">
        <v>909</v>
      </c>
    </row>
    <row r="16278">
      <c r="A16278" t="inlineStr">
        <is>
          <t>27BBBBB16278Z5</t>
        </is>
      </c>
      <c r="B16278" t="inlineStr">
        <is>
          <t>Sep-2018</t>
        </is>
      </c>
      <c r="C16278" s="2" t="n">
        <v>43729</v>
      </c>
      <c r="D16278" t="inlineStr">
        <is>
          <t>NON-NIL</t>
        </is>
      </c>
      <c r="E16278" t="n">
        <v>284</v>
      </c>
    </row>
    <row r="16279">
      <c r="A16279" t="inlineStr">
        <is>
          <t>27BBBBB16279Z5</t>
        </is>
      </c>
      <c r="B16279" t="inlineStr">
        <is>
          <t>Jan-2021</t>
        </is>
      </c>
      <c r="C16279" s="2" t="n">
        <v>44550</v>
      </c>
      <c r="D16279" t="inlineStr">
        <is>
          <t>NON-NIL</t>
        </is>
      </c>
      <c r="E16279" t="n">
        <v>2863</v>
      </c>
    </row>
    <row r="16280">
      <c r="A16280" t="inlineStr">
        <is>
          <t>27BBBBB16280Z5</t>
        </is>
      </c>
      <c r="B16280" t="inlineStr">
        <is>
          <t>Dec-2024</t>
        </is>
      </c>
      <c r="C16280" s="2" t="n">
        <v>45639</v>
      </c>
      <c r="D16280" t="inlineStr">
        <is>
          <t>NIL</t>
        </is>
      </c>
      <c r="E16280" t="n">
        <v>1596</v>
      </c>
    </row>
    <row r="16281">
      <c r="A16281" t="inlineStr">
        <is>
          <t>27BBBBB16281Z5</t>
        </is>
      </c>
      <c r="B16281" t="inlineStr">
        <is>
          <t>May-2018</t>
        </is>
      </c>
      <c r="C16281" s="2" t="n">
        <v>44105</v>
      </c>
      <c r="D16281" t="inlineStr">
        <is>
          <t>NIL</t>
        </is>
      </c>
      <c r="E16281" t="n">
        <v>1860</v>
      </c>
    </row>
    <row r="16282">
      <c r="A16282" t="inlineStr">
        <is>
          <t>27BBBBB16282Z5</t>
        </is>
      </c>
      <c r="B16282" t="inlineStr">
        <is>
          <t>Apr-2020</t>
        </is>
      </c>
      <c r="C16282" s="2" t="n">
        <v>44293</v>
      </c>
      <c r="D16282" t="inlineStr">
        <is>
          <t>NIL</t>
        </is>
      </c>
      <c r="E16282" t="n">
        <v>258</v>
      </c>
    </row>
    <row r="16283">
      <c r="A16283" t="inlineStr">
        <is>
          <t>27BBBBB16283Z5</t>
        </is>
      </c>
      <c r="B16283" t="inlineStr">
        <is>
          <t>Jan-2018</t>
        </is>
      </c>
      <c r="C16283" s="2" t="n">
        <v>44549</v>
      </c>
      <c r="D16283" t="inlineStr">
        <is>
          <t>NIL</t>
        </is>
      </c>
      <c r="E16283" t="n">
        <v>246</v>
      </c>
    </row>
    <row r="16284">
      <c r="A16284" t="inlineStr">
        <is>
          <t>27BBBBB16284Z5</t>
        </is>
      </c>
      <c r="B16284" t="inlineStr">
        <is>
          <t>May-2018</t>
        </is>
      </c>
      <c r="C16284" s="2" t="n">
        <v>44386</v>
      </c>
      <c r="D16284" t="inlineStr">
        <is>
          <t>NON-NIL</t>
        </is>
      </c>
      <c r="E16284" t="n">
        <v>444</v>
      </c>
    </row>
    <row r="16285">
      <c r="A16285" t="inlineStr">
        <is>
          <t>27BBBBB16285Z5</t>
        </is>
      </c>
      <c r="B16285" t="inlineStr">
        <is>
          <t>Aug-2018</t>
        </is>
      </c>
      <c r="C16285" s="2" t="n">
        <v>44481</v>
      </c>
      <c r="D16285" t="inlineStr">
        <is>
          <t>NON-NIL</t>
        </is>
      </c>
      <c r="E16285" t="n">
        <v>922</v>
      </c>
    </row>
    <row r="16286">
      <c r="A16286" t="inlineStr">
        <is>
          <t>27BBBBB16286Z5</t>
        </is>
      </c>
      <c r="B16286" t="inlineStr">
        <is>
          <t>Mar-2020</t>
        </is>
      </c>
      <c r="C16286" s="2" t="n">
        <v>44008</v>
      </c>
      <c r="D16286" t="inlineStr">
        <is>
          <t>NON-NIL</t>
        </is>
      </c>
      <c r="E16286" t="n">
        <v>1595</v>
      </c>
    </row>
    <row r="16287">
      <c r="A16287" t="inlineStr">
        <is>
          <t>27BBBBB16287Z5</t>
        </is>
      </c>
      <c r="B16287" t="inlineStr">
        <is>
          <t>Dec-2018</t>
        </is>
      </c>
      <c r="C16287" s="2" t="n">
        <v>43808</v>
      </c>
      <c r="D16287" t="inlineStr">
        <is>
          <t>NON-NIL</t>
        </is>
      </c>
      <c r="E16287" t="n">
        <v>1225</v>
      </c>
    </row>
    <row r="16288">
      <c r="A16288" t="inlineStr">
        <is>
          <t>27BBBBB16288Z5</t>
        </is>
      </c>
      <c r="B16288" t="inlineStr">
        <is>
          <t>May-2020</t>
        </is>
      </c>
      <c r="C16288" s="2" t="n">
        <v>44409</v>
      </c>
      <c r="D16288" t="inlineStr">
        <is>
          <t>NON-NIL</t>
        </is>
      </c>
      <c r="E16288" t="n">
        <v>1356</v>
      </c>
    </row>
    <row r="16289">
      <c r="A16289" t="inlineStr">
        <is>
          <t>27BBBBB16289Z5</t>
        </is>
      </c>
      <c r="B16289" t="inlineStr">
        <is>
          <t>Nov-2018</t>
        </is>
      </c>
      <c r="C16289" s="2" t="n">
        <v>43717</v>
      </c>
      <c r="D16289" t="inlineStr">
        <is>
          <t>NIL</t>
        </is>
      </c>
      <c r="E16289" t="n">
        <v>383</v>
      </c>
    </row>
    <row r="16290">
      <c r="A16290" t="inlineStr">
        <is>
          <t>27BBBBB16290Z5</t>
        </is>
      </c>
      <c r="B16290" t="inlineStr">
        <is>
          <t>Nov-2018</t>
        </is>
      </c>
      <c r="C16290" s="2" t="n">
        <v>43923</v>
      </c>
      <c r="D16290" t="inlineStr">
        <is>
          <t>NON-NIL</t>
        </is>
      </c>
      <c r="E16290" t="n">
        <v>1160</v>
      </c>
    </row>
    <row r="16291">
      <c r="A16291" t="inlineStr">
        <is>
          <t>27BBBBB16291Z5</t>
        </is>
      </c>
      <c r="B16291" t="inlineStr">
        <is>
          <t>Jun-2020</t>
        </is>
      </c>
      <c r="C16291" s="2" t="n">
        <v>43874</v>
      </c>
      <c r="D16291" t="inlineStr">
        <is>
          <t>NON-NIL</t>
        </is>
      </c>
      <c r="E16291" t="n">
        <v>1296</v>
      </c>
    </row>
    <row r="16292">
      <c r="A16292" t="inlineStr">
        <is>
          <t>27BBBBB16292Z5</t>
        </is>
      </c>
      <c r="B16292" t="inlineStr">
        <is>
          <t>Oct-2018</t>
        </is>
      </c>
      <c r="C16292" s="2" t="n">
        <v>42930</v>
      </c>
      <c r="D16292" t="inlineStr">
        <is>
          <t>NIL</t>
        </is>
      </c>
      <c r="E16292" t="n">
        <v>631</v>
      </c>
    </row>
    <row r="16293">
      <c r="A16293" t="inlineStr">
        <is>
          <t>27BBBBB16293Z5</t>
        </is>
      </c>
      <c r="B16293" t="inlineStr">
        <is>
          <t>Apr-2018</t>
        </is>
      </c>
      <c r="C16293" s="2" t="n">
        <v>43604</v>
      </c>
      <c r="D16293" t="inlineStr">
        <is>
          <t>NON-NIL</t>
        </is>
      </c>
      <c r="E16293" t="n">
        <v>629</v>
      </c>
    </row>
    <row r="16294">
      <c r="A16294" t="inlineStr">
        <is>
          <t>27BBBBB16294Z5</t>
        </is>
      </c>
      <c r="B16294" t="inlineStr">
        <is>
          <t>Sep-2018</t>
        </is>
      </c>
      <c r="C16294" s="2" t="n">
        <v>43931</v>
      </c>
      <c r="D16294" t="inlineStr">
        <is>
          <t>NIL</t>
        </is>
      </c>
      <c r="E16294" t="n">
        <v>966</v>
      </c>
    </row>
    <row r="16295">
      <c r="A16295" t="inlineStr">
        <is>
          <t>27BBBBB16295Z5</t>
        </is>
      </c>
      <c r="B16295" t="inlineStr">
        <is>
          <t>Jul-2017</t>
        </is>
      </c>
      <c r="C16295" s="2" t="n">
        <v>44246</v>
      </c>
      <c r="D16295" t="inlineStr">
        <is>
          <t>NON-NIL</t>
        </is>
      </c>
      <c r="E16295" t="n">
        <v>2504</v>
      </c>
    </row>
    <row r="16296">
      <c r="A16296" t="inlineStr">
        <is>
          <t>27BBBBB16296Z5</t>
        </is>
      </c>
      <c r="B16296" t="inlineStr">
        <is>
          <t>Mar-2021</t>
        </is>
      </c>
      <c r="C16296" s="2" t="n">
        <v>45391</v>
      </c>
      <c r="D16296" t="inlineStr">
        <is>
          <t>NON-NIL</t>
        </is>
      </c>
      <c r="E16296" t="n">
        <v>445</v>
      </c>
    </row>
    <row r="16297">
      <c r="A16297" t="inlineStr">
        <is>
          <t>27BBBBB16297Z5</t>
        </is>
      </c>
      <c r="B16297" t="inlineStr">
        <is>
          <t>Mar-2023</t>
        </is>
      </c>
      <c r="C16297" s="2" t="n">
        <v>45685</v>
      </c>
      <c r="D16297" t="inlineStr">
        <is>
          <t>NIL</t>
        </is>
      </c>
      <c r="E16297" t="n">
        <v>470</v>
      </c>
    </row>
    <row r="16298">
      <c r="A16298" t="inlineStr">
        <is>
          <t>27BBBBB16298Z5</t>
        </is>
      </c>
      <c r="B16298" t="inlineStr">
        <is>
          <t>Jun-2018</t>
        </is>
      </c>
      <c r="C16298" s="2" t="n">
        <v>44276</v>
      </c>
      <c r="D16298" t="inlineStr">
        <is>
          <t>NON-NIL</t>
        </is>
      </c>
      <c r="E16298" t="n">
        <v>508</v>
      </c>
    </row>
    <row r="16299">
      <c r="A16299" t="inlineStr">
        <is>
          <t>27BBBBB16299Z5</t>
        </is>
      </c>
      <c r="B16299" t="inlineStr">
        <is>
          <t>Jan-2018</t>
        </is>
      </c>
      <c r="C16299" s="2" t="n">
        <v>43306</v>
      </c>
      <c r="D16299" t="inlineStr">
        <is>
          <t>NON-NIL</t>
        </is>
      </c>
      <c r="E16299" t="n">
        <v>401</v>
      </c>
    </row>
    <row r="16300">
      <c r="A16300" t="inlineStr">
        <is>
          <t>27BBBBB16300Z5</t>
        </is>
      </c>
      <c r="B16300" t="inlineStr">
        <is>
          <t>Dec-2017</t>
        </is>
      </c>
      <c r="C16300" s="2" t="n">
        <v>43320</v>
      </c>
      <c r="D16300" t="inlineStr">
        <is>
          <t>NIL</t>
        </is>
      </c>
      <c r="E16300" t="n">
        <v>1470</v>
      </c>
    </row>
    <row r="16301">
      <c r="A16301" t="inlineStr">
        <is>
          <t>27BBBBB16301Z5</t>
        </is>
      </c>
      <c r="B16301" t="inlineStr">
        <is>
          <t>Aug-2017</t>
        </is>
      </c>
      <c r="C16301" s="2" t="n">
        <v>44302</v>
      </c>
      <c r="D16301" t="inlineStr">
        <is>
          <t>NIL</t>
        </is>
      </c>
      <c r="E16301" t="n">
        <v>1015</v>
      </c>
    </row>
    <row r="16302">
      <c r="A16302" t="inlineStr">
        <is>
          <t>27BBBBB16302Z5</t>
        </is>
      </c>
      <c r="B16302" t="inlineStr">
        <is>
          <t>Oct-2018</t>
        </is>
      </c>
      <c r="C16302" s="2" t="n">
        <v>44229</v>
      </c>
      <c r="D16302" t="inlineStr">
        <is>
          <t>NON-NIL</t>
        </is>
      </c>
      <c r="E16302" t="n">
        <v>1981</v>
      </c>
    </row>
    <row r="16303">
      <c r="A16303" t="inlineStr">
        <is>
          <t>27BBBBB16303Z5</t>
        </is>
      </c>
      <c r="B16303" t="inlineStr">
        <is>
          <t>Jun-2020</t>
        </is>
      </c>
      <c r="C16303" s="2" t="n">
        <v>44354</v>
      </c>
      <c r="D16303" t="inlineStr">
        <is>
          <t>NON-NIL</t>
        </is>
      </c>
      <c r="E16303" t="n">
        <v>1217</v>
      </c>
    </row>
    <row r="16304">
      <c r="A16304" t="inlineStr">
        <is>
          <t>27BBBBB16304Z5</t>
        </is>
      </c>
      <c r="B16304" t="inlineStr">
        <is>
          <t>Dec-2022</t>
        </is>
      </c>
      <c r="C16304" s="2" t="n">
        <v>45248</v>
      </c>
      <c r="D16304" t="inlineStr">
        <is>
          <t>NON-NIL</t>
        </is>
      </c>
      <c r="E16304" t="n">
        <v>971</v>
      </c>
    </row>
    <row r="16305">
      <c r="A16305" t="inlineStr">
        <is>
          <t>27BBBBB16305Z5</t>
        </is>
      </c>
      <c r="B16305" t="inlineStr">
        <is>
          <t>Jan-2021</t>
        </is>
      </c>
      <c r="C16305" s="2" t="n">
        <v>45588</v>
      </c>
      <c r="D16305" t="inlineStr">
        <is>
          <t>NON-NIL</t>
        </is>
      </c>
      <c r="E16305" t="n">
        <v>2965</v>
      </c>
    </row>
    <row r="16306">
      <c r="A16306" t="inlineStr">
        <is>
          <t>27BBBBB16306Z5</t>
        </is>
      </c>
      <c r="B16306" t="inlineStr">
        <is>
          <t>Jul-2017</t>
        </is>
      </c>
      <c r="C16306" s="2" t="n">
        <v>42933</v>
      </c>
      <c r="D16306" t="inlineStr">
        <is>
          <t>NIL</t>
        </is>
      </c>
      <c r="E16306" t="n">
        <v>797</v>
      </c>
    </row>
    <row r="16307">
      <c r="A16307" t="inlineStr">
        <is>
          <t>27BBBBB16307Z5</t>
        </is>
      </c>
      <c r="B16307" t="inlineStr">
        <is>
          <t>Mar-2021</t>
        </is>
      </c>
      <c r="C16307" s="2" t="n">
        <v>43981</v>
      </c>
      <c r="D16307" t="inlineStr">
        <is>
          <t>NIL</t>
        </is>
      </c>
      <c r="E16307" t="n">
        <v>1537</v>
      </c>
    </row>
    <row r="16308">
      <c r="A16308" t="inlineStr">
        <is>
          <t>27BBBBB16308Z5</t>
        </is>
      </c>
      <c r="B16308" t="inlineStr">
        <is>
          <t>Jul-2018</t>
        </is>
      </c>
      <c r="C16308" s="2" t="n">
        <v>43387</v>
      </c>
      <c r="D16308" t="inlineStr">
        <is>
          <t>NIL</t>
        </is>
      </c>
      <c r="E16308" t="n">
        <v>2576</v>
      </c>
    </row>
    <row r="16309">
      <c r="A16309" t="inlineStr">
        <is>
          <t>27BBBBB16309Z5</t>
        </is>
      </c>
      <c r="B16309" t="inlineStr">
        <is>
          <t>Mar-2023</t>
        </is>
      </c>
      <c r="C16309" s="2" t="n">
        <v>45413</v>
      </c>
      <c r="D16309" t="inlineStr">
        <is>
          <t>NON-NIL</t>
        </is>
      </c>
      <c r="E16309" t="n">
        <v>464</v>
      </c>
    </row>
    <row r="16310">
      <c r="A16310" t="inlineStr">
        <is>
          <t>27BBBBB16310Z5</t>
        </is>
      </c>
      <c r="B16310" t="inlineStr">
        <is>
          <t>Jun-2020</t>
        </is>
      </c>
      <c r="C16310" s="2" t="n">
        <v>44102</v>
      </c>
      <c r="D16310" t="inlineStr">
        <is>
          <t>NIL</t>
        </is>
      </c>
      <c r="E16310" t="n">
        <v>2263</v>
      </c>
    </row>
    <row r="16311">
      <c r="A16311" t="inlineStr">
        <is>
          <t>27BBBBB16311Z5</t>
        </is>
      </c>
      <c r="B16311" t="inlineStr">
        <is>
          <t>Aug-2017</t>
        </is>
      </c>
      <c r="C16311" s="2" t="n">
        <v>43525</v>
      </c>
      <c r="D16311" t="inlineStr">
        <is>
          <t>NON-NIL</t>
        </is>
      </c>
      <c r="E16311" t="n">
        <v>515</v>
      </c>
    </row>
    <row r="16312">
      <c r="A16312" t="inlineStr">
        <is>
          <t>27BBBBB16312Z5</t>
        </is>
      </c>
      <c r="B16312" t="inlineStr">
        <is>
          <t>Mar-2018</t>
        </is>
      </c>
      <c r="C16312" s="2" t="n">
        <v>43159</v>
      </c>
      <c r="D16312" t="inlineStr">
        <is>
          <t>NON-NIL</t>
        </is>
      </c>
      <c r="E16312" t="n">
        <v>1727</v>
      </c>
    </row>
    <row r="16313">
      <c r="A16313" t="inlineStr">
        <is>
          <t>27BBBBB16313Z5</t>
        </is>
      </c>
      <c r="B16313" t="inlineStr">
        <is>
          <t>Dec-2024</t>
        </is>
      </c>
      <c r="C16313" s="2" t="n">
        <v>43644</v>
      </c>
      <c r="D16313" t="inlineStr">
        <is>
          <t>NON-NIL</t>
        </is>
      </c>
      <c r="E16313" t="n">
        <v>701</v>
      </c>
    </row>
    <row r="16314">
      <c r="A16314" t="inlineStr">
        <is>
          <t>27BBBBB16314Z5</t>
        </is>
      </c>
      <c r="B16314" t="inlineStr">
        <is>
          <t>Apr-2020</t>
        </is>
      </c>
      <c r="C16314" s="2" t="n">
        <v>44885</v>
      </c>
      <c r="D16314" t="inlineStr">
        <is>
          <t>NON-NIL</t>
        </is>
      </c>
      <c r="E16314" t="n">
        <v>1391</v>
      </c>
    </row>
    <row r="16315">
      <c r="A16315" t="inlineStr">
        <is>
          <t>27BBBBB16315Z5</t>
        </is>
      </c>
      <c r="B16315" t="inlineStr">
        <is>
          <t>Jan-2018</t>
        </is>
      </c>
      <c r="C16315" s="2" t="n">
        <v>44478</v>
      </c>
      <c r="D16315" t="inlineStr">
        <is>
          <t>NON-NIL</t>
        </is>
      </c>
      <c r="E16315" t="n">
        <v>1345</v>
      </c>
    </row>
    <row r="16316">
      <c r="A16316" t="inlineStr">
        <is>
          <t>27BBBBB16316Z5</t>
        </is>
      </c>
      <c r="B16316" t="inlineStr">
        <is>
          <t>Oct-2018</t>
        </is>
      </c>
      <c r="C16316" s="2" t="n">
        <v>43628</v>
      </c>
      <c r="D16316" t="inlineStr">
        <is>
          <t>NON-NIL</t>
        </is>
      </c>
      <c r="E16316" t="n">
        <v>2169</v>
      </c>
    </row>
    <row r="16317">
      <c r="A16317" t="inlineStr">
        <is>
          <t>27BBBBB16317Z5</t>
        </is>
      </c>
      <c r="B16317" t="inlineStr">
        <is>
          <t>Mar-2023</t>
        </is>
      </c>
      <c r="C16317" s="2" t="n">
        <v>44391</v>
      </c>
      <c r="D16317" t="inlineStr">
        <is>
          <t>NON-NIL</t>
        </is>
      </c>
      <c r="E16317" t="n">
        <v>2161</v>
      </c>
    </row>
    <row r="16318">
      <c r="A16318" t="inlineStr">
        <is>
          <t>27BBBBB16318Z5</t>
        </is>
      </c>
      <c r="B16318" t="inlineStr">
        <is>
          <t>Dec-2017</t>
        </is>
      </c>
      <c r="C16318" s="2" t="n">
        <v>44243</v>
      </c>
      <c r="D16318" t="inlineStr">
        <is>
          <t>NIL</t>
        </is>
      </c>
      <c r="E16318" t="n">
        <v>1830</v>
      </c>
    </row>
    <row r="16319">
      <c r="A16319" t="inlineStr">
        <is>
          <t>27BBBBB16319Z5</t>
        </is>
      </c>
      <c r="B16319" t="inlineStr">
        <is>
          <t>Oct-2018</t>
        </is>
      </c>
      <c r="C16319" s="2" t="n">
        <v>43996</v>
      </c>
      <c r="D16319" t="inlineStr">
        <is>
          <t>NIL</t>
        </is>
      </c>
      <c r="E16319" t="n">
        <v>1058</v>
      </c>
    </row>
    <row r="16320">
      <c r="A16320" t="inlineStr">
        <is>
          <t>27BBBBB16320Z5</t>
        </is>
      </c>
      <c r="B16320" t="inlineStr">
        <is>
          <t>Nov-2018</t>
        </is>
      </c>
      <c r="C16320" s="2" t="n">
        <v>43431</v>
      </c>
      <c r="D16320" t="inlineStr">
        <is>
          <t>NIL</t>
        </is>
      </c>
      <c r="E16320" t="n">
        <v>819</v>
      </c>
    </row>
    <row r="16321">
      <c r="A16321" t="inlineStr">
        <is>
          <t>27BBBBB16321Z5</t>
        </is>
      </c>
      <c r="B16321" t="inlineStr">
        <is>
          <t>Jan-2018</t>
        </is>
      </c>
      <c r="C16321" s="2" t="n">
        <v>43315</v>
      </c>
      <c r="D16321" t="inlineStr">
        <is>
          <t>NON-NIL</t>
        </is>
      </c>
      <c r="E16321" t="n">
        <v>595</v>
      </c>
    </row>
    <row r="16322">
      <c r="A16322" t="inlineStr">
        <is>
          <t>27BBBBB16322Z5</t>
        </is>
      </c>
      <c r="B16322" t="inlineStr">
        <is>
          <t>Mar-2018</t>
        </is>
      </c>
      <c r="C16322" s="2" t="n">
        <v>44495</v>
      </c>
      <c r="D16322" t="inlineStr">
        <is>
          <t>NIL</t>
        </is>
      </c>
      <c r="E16322" t="n">
        <v>19</v>
      </c>
    </row>
    <row r="16323">
      <c r="A16323" t="inlineStr">
        <is>
          <t>27BBBBB16323Z5</t>
        </is>
      </c>
      <c r="B16323" t="inlineStr">
        <is>
          <t>Jul-2017</t>
        </is>
      </c>
      <c r="C16323" s="2" t="n">
        <v>43119</v>
      </c>
      <c r="D16323" t="inlineStr">
        <is>
          <t>NIL</t>
        </is>
      </c>
      <c r="E16323" t="n">
        <v>2361</v>
      </c>
    </row>
    <row r="16324">
      <c r="A16324" t="inlineStr">
        <is>
          <t>27BBBBB16324Z5</t>
        </is>
      </c>
      <c r="B16324" t="inlineStr">
        <is>
          <t>Jan-2018</t>
        </is>
      </c>
      <c r="C16324" s="2" t="n">
        <v>44058</v>
      </c>
      <c r="D16324" t="inlineStr">
        <is>
          <t>NON-NIL</t>
        </is>
      </c>
      <c r="E16324" t="n">
        <v>2661</v>
      </c>
    </row>
    <row r="16325">
      <c r="A16325" t="inlineStr">
        <is>
          <t>27BBBBB16325Z5</t>
        </is>
      </c>
      <c r="B16325" t="inlineStr">
        <is>
          <t>Aug-2018</t>
        </is>
      </c>
      <c r="C16325" s="2" t="n">
        <v>44299</v>
      </c>
      <c r="D16325" t="inlineStr">
        <is>
          <t>NIL</t>
        </is>
      </c>
      <c r="E16325" t="n">
        <v>2572</v>
      </c>
    </row>
    <row r="16326">
      <c r="A16326" t="inlineStr">
        <is>
          <t>27BBBBB16326Z5</t>
        </is>
      </c>
      <c r="B16326" t="inlineStr">
        <is>
          <t>Jun-2020</t>
        </is>
      </c>
      <c r="C16326" s="2" t="n">
        <v>44465</v>
      </c>
      <c r="D16326" t="inlineStr">
        <is>
          <t>NON-NIL</t>
        </is>
      </c>
      <c r="E16326" t="n">
        <v>782</v>
      </c>
    </row>
    <row r="16327">
      <c r="A16327" t="inlineStr">
        <is>
          <t>27BBBBB16327Z5</t>
        </is>
      </c>
      <c r="B16327" t="inlineStr">
        <is>
          <t>Jan-2018</t>
        </is>
      </c>
      <c r="C16327" s="2" t="n">
        <v>43290</v>
      </c>
      <c r="D16327" t="inlineStr">
        <is>
          <t>NIL</t>
        </is>
      </c>
      <c r="E16327" t="n">
        <v>250</v>
      </c>
    </row>
    <row r="16328">
      <c r="A16328" t="inlineStr">
        <is>
          <t>27BBBBB16328Z5</t>
        </is>
      </c>
      <c r="B16328" t="inlineStr">
        <is>
          <t>Jun-2020</t>
        </is>
      </c>
      <c r="C16328" s="2" t="n">
        <v>44649</v>
      </c>
      <c r="D16328" t="inlineStr">
        <is>
          <t>NIL</t>
        </is>
      </c>
      <c r="E16328" t="n">
        <v>2608</v>
      </c>
    </row>
    <row r="16329">
      <c r="A16329" t="inlineStr">
        <is>
          <t>27BBBBB16329Z5</t>
        </is>
      </c>
      <c r="B16329" t="inlineStr">
        <is>
          <t>Feb-2018</t>
        </is>
      </c>
      <c r="C16329" s="2" t="n">
        <v>44089</v>
      </c>
      <c r="D16329" t="inlineStr">
        <is>
          <t>NON-NIL</t>
        </is>
      </c>
      <c r="E16329" t="n">
        <v>2702</v>
      </c>
    </row>
    <row r="16330">
      <c r="A16330" t="inlineStr">
        <is>
          <t>27BBBBB16330Z5</t>
        </is>
      </c>
      <c r="B16330" t="inlineStr">
        <is>
          <t>Feb-2018</t>
        </is>
      </c>
      <c r="C16330" s="2" t="n">
        <v>43492</v>
      </c>
      <c r="D16330" t="inlineStr">
        <is>
          <t>NIL</t>
        </is>
      </c>
      <c r="E16330" t="n">
        <v>28</v>
      </c>
    </row>
    <row r="16331">
      <c r="A16331" t="inlineStr">
        <is>
          <t>27BBBBB16331Z5</t>
        </is>
      </c>
      <c r="B16331" t="inlineStr">
        <is>
          <t>Feb-2018</t>
        </is>
      </c>
      <c r="C16331" s="2" t="n">
        <v>44540</v>
      </c>
      <c r="D16331" t="inlineStr">
        <is>
          <t>NON-NIL</t>
        </is>
      </c>
      <c r="E16331" t="n">
        <v>2944</v>
      </c>
    </row>
    <row r="16332">
      <c r="A16332" t="inlineStr">
        <is>
          <t>27BBBBB16332Z5</t>
        </is>
      </c>
      <c r="B16332" t="inlineStr">
        <is>
          <t>Dec-2024</t>
        </is>
      </c>
      <c r="C16332" s="2" t="n">
        <v>44924</v>
      </c>
      <c r="D16332" t="inlineStr">
        <is>
          <t>NON-NIL</t>
        </is>
      </c>
      <c r="E16332" t="n">
        <v>2836</v>
      </c>
    </row>
    <row r="16333">
      <c r="A16333" t="inlineStr">
        <is>
          <t>27BBBBB16333Z5</t>
        </is>
      </c>
      <c r="B16333" t="inlineStr">
        <is>
          <t>Jan-2021</t>
        </is>
      </c>
      <c r="C16333" s="2" t="n">
        <v>44879</v>
      </c>
      <c r="D16333" t="inlineStr">
        <is>
          <t>NIL</t>
        </is>
      </c>
      <c r="E16333" t="n">
        <v>438</v>
      </c>
    </row>
    <row r="16334">
      <c r="A16334" t="inlineStr">
        <is>
          <t>27BBBBB16334Z5</t>
        </is>
      </c>
      <c r="B16334" t="inlineStr">
        <is>
          <t>Mar-2018</t>
        </is>
      </c>
      <c r="C16334" s="2" t="n">
        <v>43607</v>
      </c>
      <c r="D16334" t="inlineStr">
        <is>
          <t>NIL</t>
        </is>
      </c>
      <c r="E16334" t="n">
        <v>231</v>
      </c>
    </row>
    <row r="16335">
      <c r="A16335" t="inlineStr">
        <is>
          <t>27BBBBB16335Z5</t>
        </is>
      </c>
      <c r="B16335" t="inlineStr">
        <is>
          <t>Jun-2020</t>
        </is>
      </c>
      <c r="C16335" s="2" t="n">
        <v>44825</v>
      </c>
      <c r="D16335" t="inlineStr">
        <is>
          <t>NIL</t>
        </is>
      </c>
      <c r="E16335" t="n">
        <v>211</v>
      </c>
    </row>
    <row r="16336">
      <c r="A16336" t="inlineStr">
        <is>
          <t>27BBBBB16336Z5</t>
        </is>
      </c>
      <c r="B16336" t="inlineStr">
        <is>
          <t>Jul-2017</t>
        </is>
      </c>
      <c r="C16336" s="2" t="n">
        <v>43274</v>
      </c>
      <c r="D16336" t="inlineStr">
        <is>
          <t>NIL</t>
        </is>
      </c>
      <c r="E16336" t="n">
        <v>2424</v>
      </c>
    </row>
    <row r="16337">
      <c r="A16337" t="inlineStr">
        <is>
          <t>27BBBBB16337Z5</t>
        </is>
      </c>
      <c r="B16337" t="inlineStr">
        <is>
          <t>Jul-2017</t>
        </is>
      </c>
      <c r="C16337" s="2" t="n">
        <v>43028</v>
      </c>
      <c r="D16337" t="inlineStr">
        <is>
          <t>NON-NIL</t>
        </is>
      </c>
      <c r="E16337" t="n">
        <v>1805</v>
      </c>
    </row>
    <row r="16338">
      <c r="A16338" t="inlineStr">
        <is>
          <t>27BBBBB16338Z5</t>
        </is>
      </c>
      <c r="B16338" t="inlineStr">
        <is>
          <t>Feb-2018</t>
        </is>
      </c>
      <c r="C16338" s="2" t="n">
        <v>43899</v>
      </c>
      <c r="D16338" t="inlineStr">
        <is>
          <t>NON-NIL</t>
        </is>
      </c>
      <c r="E16338" t="n">
        <v>1342</v>
      </c>
    </row>
    <row r="16339">
      <c r="A16339" t="inlineStr">
        <is>
          <t>27BBBBB16339Z5</t>
        </is>
      </c>
      <c r="B16339" t="inlineStr">
        <is>
          <t>Jun-2018</t>
        </is>
      </c>
      <c r="C16339" s="2" t="n">
        <v>43672</v>
      </c>
      <c r="D16339" t="inlineStr">
        <is>
          <t>NIL</t>
        </is>
      </c>
      <c r="E16339" t="n">
        <v>1180</v>
      </c>
    </row>
    <row r="16340">
      <c r="A16340" t="inlineStr">
        <is>
          <t>27BBBBB16340Z5</t>
        </is>
      </c>
      <c r="B16340" t="inlineStr">
        <is>
          <t>Apr-2018</t>
        </is>
      </c>
      <c r="C16340" s="2" t="n">
        <v>44414</v>
      </c>
      <c r="D16340" t="inlineStr">
        <is>
          <t>NON-NIL</t>
        </is>
      </c>
      <c r="E16340" t="n">
        <v>758</v>
      </c>
    </row>
    <row r="16341">
      <c r="A16341" t="inlineStr">
        <is>
          <t>27BBBBB16341Z5</t>
        </is>
      </c>
      <c r="B16341" t="inlineStr">
        <is>
          <t>Dec-2017</t>
        </is>
      </c>
      <c r="C16341" s="2" t="n">
        <v>42942</v>
      </c>
      <c r="D16341" t="inlineStr">
        <is>
          <t>NIL</t>
        </is>
      </c>
      <c r="E16341" t="n">
        <v>1637</v>
      </c>
    </row>
    <row r="16342">
      <c r="A16342" t="inlineStr">
        <is>
          <t>27BBBBB16342Z5</t>
        </is>
      </c>
      <c r="B16342" t="inlineStr">
        <is>
          <t>Apr-2020</t>
        </is>
      </c>
      <c r="C16342" s="2" t="n">
        <v>44516</v>
      </c>
      <c r="D16342" t="inlineStr">
        <is>
          <t>NON-NIL</t>
        </is>
      </c>
      <c r="E16342" t="n">
        <v>2935</v>
      </c>
    </row>
    <row r="16343">
      <c r="A16343" t="inlineStr">
        <is>
          <t>27BBBBB16343Z5</t>
        </is>
      </c>
      <c r="B16343" t="inlineStr">
        <is>
          <t>Jun-2018</t>
        </is>
      </c>
      <c r="C16343" s="2" t="n">
        <v>43419</v>
      </c>
      <c r="D16343" t="inlineStr">
        <is>
          <t>NIL</t>
        </is>
      </c>
      <c r="E16343" t="n">
        <v>2625</v>
      </c>
    </row>
    <row r="16344">
      <c r="A16344" t="inlineStr">
        <is>
          <t>27BBBBB16344Z5</t>
        </is>
      </c>
      <c r="B16344" t="inlineStr">
        <is>
          <t>Dec-2017</t>
        </is>
      </c>
      <c r="C16344" s="2" t="n">
        <v>44162</v>
      </c>
      <c r="D16344" t="inlineStr">
        <is>
          <t>NIL</t>
        </is>
      </c>
      <c r="E16344" t="n">
        <v>2952</v>
      </c>
    </row>
    <row r="16345">
      <c r="A16345" t="inlineStr">
        <is>
          <t>27BBBBB16345Z5</t>
        </is>
      </c>
      <c r="B16345" t="inlineStr">
        <is>
          <t>Dec-2022</t>
        </is>
      </c>
      <c r="C16345" s="2" t="n">
        <v>44227</v>
      </c>
      <c r="D16345" t="inlineStr">
        <is>
          <t>NIL</t>
        </is>
      </c>
      <c r="E16345" t="n">
        <v>533</v>
      </c>
    </row>
    <row r="16346">
      <c r="A16346" t="inlineStr">
        <is>
          <t>27BBBBB16346Z5</t>
        </is>
      </c>
      <c r="B16346" t="inlineStr">
        <is>
          <t>Nov-2018</t>
        </is>
      </c>
      <c r="C16346" s="2" t="n">
        <v>43022</v>
      </c>
      <c r="D16346" t="inlineStr">
        <is>
          <t>NIL</t>
        </is>
      </c>
      <c r="E16346" t="n">
        <v>291</v>
      </c>
    </row>
    <row r="16347">
      <c r="A16347" t="inlineStr">
        <is>
          <t>27BBBBB16347Z5</t>
        </is>
      </c>
      <c r="B16347" t="inlineStr">
        <is>
          <t>Feb-2018</t>
        </is>
      </c>
      <c r="C16347" s="2" t="n">
        <v>43269</v>
      </c>
      <c r="D16347" t="inlineStr">
        <is>
          <t>NON-NIL</t>
        </is>
      </c>
      <c r="E16347" t="n">
        <v>1122</v>
      </c>
    </row>
    <row r="16348">
      <c r="A16348" t="inlineStr">
        <is>
          <t>27BBBBB16348Z5</t>
        </is>
      </c>
      <c r="B16348" t="inlineStr">
        <is>
          <t>Jul-2020</t>
        </is>
      </c>
      <c r="C16348" s="2" t="n">
        <v>43845</v>
      </c>
      <c r="D16348" t="inlineStr">
        <is>
          <t>NIL</t>
        </is>
      </c>
      <c r="E16348" t="n">
        <v>2971</v>
      </c>
    </row>
    <row r="16349">
      <c r="A16349" t="inlineStr">
        <is>
          <t>27BBBBB16349Z5</t>
        </is>
      </c>
      <c r="B16349" t="inlineStr">
        <is>
          <t>Oct-2017</t>
        </is>
      </c>
      <c r="C16349" s="2" t="n">
        <v>43722</v>
      </c>
      <c r="D16349" t="inlineStr">
        <is>
          <t>NON-NIL</t>
        </is>
      </c>
      <c r="E16349" t="n">
        <v>571</v>
      </c>
    </row>
    <row r="16350">
      <c r="A16350" t="inlineStr">
        <is>
          <t>27BBBBB16350Z5</t>
        </is>
      </c>
      <c r="B16350" t="inlineStr">
        <is>
          <t>Nov-2018</t>
        </is>
      </c>
      <c r="C16350" s="2" t="n">
        <v>44182</v>
      </c>
      <c r="D16350" t="inlineStr">
        <is>
          <t>NIL</t>
        </is>
      </c>
      <c r="E16350" t="n">
        <v>1811</v>
      </c>
    </row>
    <row r="16351">
      <c r="A16351" t="inlineStr">
        <is>
          <t>27BBBBB16351Z5</t>
        </is>
      </c>
      <c r="B16351" t="inlineStr">
        <is>
          <t>Mar-2020</t>
        </is>
      </c>
      <c r="C16351" s="2" t="n">
        <v>44326</v>
      </c>
      <c r="D16351" t="inlineStr">
        <is>
          <t>NIL</t>
        </is>
      </c>
      <c r="E16351" t="n">
        <v>2208</v>
      </c>
    </row>
    <row r="16352">
      <c r="A16352" t="inlineStr">
        <is>
          <t>27BBBBB16352Z5</t>
        </is>
      </c>
      <c r="B16352" t="inlineStr">
        <is>
          <t>Sep-2017</t>
        </is>
      </c>
      <c r="C16352" s="2" t="n">
        <v>44548</v>
      </c>
      <c r="D16352" t="inlineStr">
        <is>
          <t>NON-NIL</t>
        </is>
      </c>
      <c r="E16352" t="n">
        <v>1343</v>
      </c>
    </row>
    <row r="16353">
      <c r="A16353" t="inlineStr">
        <is>
          <t>27BBBBB16353Z5</t>
        </is>
      </c>
      <c r="B16353" t="inlineStr">
        <is>
          <t>Jun-2018</t>
        </is>
      </c>
      <c r="C16353" s="2" t="n">
        <v>42981</v>
      </c>
      <c r="D16353" t="inlineStr">
        <is>
          <t>NON-NIL</t>
        </is>
      </c>
      <c r="E16353" t="n">
        <v>2272</v>
      </c>
    </row>
    <row r="16354">
      <c r="A16354" t="inlineStr">
        <is>
          <t>27BBBBB16354Z5</t>
        </is>
      </c>
      <c r="B16354" t="inlineStr">
        <is>
          <t>Mar-2021</t>
        </is>
      </c>
      <c r="C16354" s="2" t="n">
        <v>45206</v>
      </c>
      <c r="D16354" t="inlineStr">
        <is>
          <t>NIL</t>
        </is>
      </c>
      <c r="E16354" t="n">
        <v>2937</v>
      </c>
    </row>
    <row r="16355">
      <c r="A16355" t="inlineStr">
        <is>
          <t>27BBBBB16355Z5</t>
        </is>
      </c>
      <c r="B16355" t="inlineStr">
        <is>
          <t>Feb-2018</t>
        </is>
      </c>
      <c r="C16355" s="2" t="n">
        <v>44307</v>
      </c>
      <c r="D16355" t="inlineStr">
        <is>
          <t>NIL</t>
        </is>
      </c>
      <c r="E16355" t="n">
        <v>2171</v>
      </c>
    </row>
    <row r="16356">
      <c r="A16356" t="inlineStr">
        <is>
          <t>27BBBBB16356Z5</t>
        </is>
      </c>
      <c r="B16356" t="inlineStr">
        <is>
          <t>May-2018</t>
        </is>
      </c>
      <c r="C16356" s="2" t="n">
        <v>43968</v>
      </c>
      <c r="D16356" t="inlineStr">
        <is>
          <t>NON-NIL</t>
        </is>
      </c>
      <c r="E16356" t="n">
        <v>83</v>
      </c>
    </row>
    <row r="16357">
      <c r="A16357" t="inlineStr">
        <is>
          <t>27BBBBB16357Z5</t>
        </is>
      </c>
      <c r="B16357" t="inlineStr">
        <is>
          <t>Jun-2020</t>
        </is>
      </c>
      <c r="C16357" s="2" t="n">
        <v>43941</v>
      </c>
      <c r="D16357" t="inlineStr">
        <is>
          <t>NIL</t>
        </is>
      </c>
      <c r="E16357" t="n">
        <v>2810</v>
      </c>
    </row>
    <row r="16358">
      <c r="A16358" t="inlineStr">
        <is>
          <t>27BBBBB16358Z5</t>
        </is>
      </c>
      <c r="B16358" t="inlineStr">
        <is>
          <t>Sep-2018</t>
        </is>
      </c>
      <c r="C16358" s="2" t="n">
        <v>43789</v>
      </c>
      <c r="D16358" t="inlineStr">
        <is>
          <t>NIL</t>
        </is>
      </c>
      <c r="E16358" t="n">
        <v>134</v>
      </c>
    </row>
    <row r="16359">
      <c r="A16359" t="inlineStr">
        <is>
          <t>27BBBBB16359Z5</t>
        </is>
      </c>
      <c r="B16359" t="inlineStr">
        <is>
          <t>Jul-2020</t>
        </is>
      </c>
      <c r="C16359" s="2" t="n">
        <v>43922</v>
      </c>
      <c r="D16359" t="inlineStr">
        <is>
          <t>NON-NIL</t>
        </is>
      </c>
      <c r="E16359" t="n">
        <v>646</v>
      </c>
    </row>
    <row r="16360">
      <c r="A16360" t="inlineStr">
        <is>
          <t>27BBBBB16360Z5</t>
        </is>
      </c>
      <c r="B16360" t="inlineStr">
        <is>
          <t>Mar-2021</t>
        </is>
      </c>
      <c r="C16360" s="2" t="n">
        <v>45346</v>
      </c>
      <c r="D16360" t="inlineStr">
        <is>
          <t>NIL</t>
        </is>
      </c>
      <c r="E16360" t="n">
        <v>2559</v>
      </c>
    </row>
    <row r="16361">
      <c r="A16361" t="inlineStr">
        <is>
          <t>27BBBBB16361Z5</t>
        </is>
      </c>
      <c r="B16361" t="inlineStr">
        <is>
          <t>Jan-2021</t>
        </is>
      </c>
      <c r="C16361" s="2" t="n">
        <v>43518</v>
      </c>
      <c r="D16361" t="inlineStr">
        <is>
          <t>NON-NIL</t>
        </is>
      </c>
      <c r="E16361" t="n">
        <v>581</v>
      </c>
    </row>
    <row r="16362">
      <c r="A16362" t="inlineStr">
        <is>
          <t>27BBBBB16362Z5</t>
        </is>
      </c>
      <c r="B16362" t="inlineStr">
        <is>
          <t>May-2018</t>
        </is>
      </c>
      <c r="C16362" s="2" t="n">
        <v>44503</v>
      </c>
      <c r="D16362" t="inlineStr">
        <is>
          <t>NON-NIL</t>
        </is>
      </c>
      <c r="E16362" t="n">
        <v>1681</v>
      </c>
    </row>
    <row r="16363">
      <c r="A16363" t="inlineStr">
        <is>
          <t>27BBBBB16363Z5</t>
        </is>
      </c>
      <c r="B16363" t="inlineStr">
        <is>
          <t>Jan-2018</t>
        </is>
      </c>
      <c r="C16363" s="2" t="n">
        <v>42991</v>
      </c>
      <c r="D16363" t="inlineStr">
        <is>
          <t>NON-NIL</t>
        </is>
      </c>
      <c r="E16363" t="n">
        <v>1248</v>
      </c>
    </row>
    <row r="16364">
      <c r="A16364" t="inlineStr">
        <is>
          <t>27BBBBB16364Z5</t>
        </is>
      </c>
      <c r="B16364" t="inlineStr">
        <is>
          <t>Aug-2018</t>
        </is>
      </c>
      <c r="C16364" s="2" t="n">
        <v>44090</v>
      </c>
      <c r="D16364" t="inlineStr">
        <is>
          <t>NON-NIL</t>
        </is>
      </c>
      <c r="E16364" t="n">
        <v>754</v>
      </c>
    </row>
    <row r="16365">
      <c r="A16365" t="inlineStr">
        <is>
          <t>27BBBBB16365Z5</t>
        </is>
      </c>
      <c r="B16365" t="inlineStr">
        <is>
          <t>Dec-2024</t>
        </is>
      </c>
      <c r="C16365" s="2" t="n">
        <v>44649</v>
      </c>
      <c r="D16365" t="inlineStr">
        <is>
          <t>NIL</t>
        </is>
      </c>
      <c r="E16365" t="n">
        <v>1135</v>
      </c>
    </row>
    <row r="16366">
      <c r="A16366" t="inlineStr">
        <is>
          <t>27BBBBB16366Z5</t>
        </is>
      </c>
      <c r="B16366" t="inlineStr">
        <is>
          <t>Oct-2017</t>
        </is>
      </c>
      <c r="C16366" s="2" t="n">
        <v>43404</v>
      </c>
      <c r="D16366" t="inlineStr">
        <is>
          <t>NON-NIL</t>
        </is>
      </c>
      <c r="E16366" t="n">
        <v>2543</v>
      </c>
    </row>
    <row r="16367">
      <c r="A16367" t="inlineStr">
        <is>
          <t>27BBBBB16367Z5</t>
        </is>
      </c>
      <c r="B16367" t="inlineStr">
        <is>
          <t>Mar-2020</t>
        </is>
      </c>
      <c r="C16367" s="2" t="n">
        <v>44128</v>
      </c>
      <c r="D16367" t="inlineStr">
        <is>
          <t>NON-NIL</t>
        </is>
      </c>
      <c r="E16367" t="n">
        <v>1464</v>
      </c>
    </row>
    <row r="16368">
      <c r="A16368" t="inlineStr">
        <is>
          <t>27BBBBB16368Z5</t>
        </is>
      </c>
      <c r="B16368" t="inlineStr">
        <is>
          <t>Apr-2018</t>
        </is>
      </c>
      <c r="C16368" s="2" t="n">
        <v>44117</v>
      </c>
      <c r="D16368" t="inlineStr">
        <is>
          <t>NON-NIL</t>
        </is>
      </c>
      <c r="E16368" t="n">
        <v>2337</v>
      </c>
    </row>
    <row r="16369">
      <c r="A16369" t="inlineStr">
        <is>
          <t>27BBBBB16369Z5</t>
        </is>
      </c>
      <c r="B16369" t="inlineStr">
        <is>
          <t>Jun-2018</t>
        </is>
      </c>
      <c r="C16369" s="2" t="n">
        <v>43277</v>
      </c>
      <c r="D16369" t="inlineStr">
        <is>
          <t>NIL</t>
        </is>
      </c>
      <c r="E16369" t="n">
        <v>375</v>
      </c>
    </row>
    <row r="16370">
      <c r="A16370" t="inlineStr">
        <is>
          <t>27BBBBB16370Z5</t>
        </is>
      </c>
      <c r="B16370" t="inlineStr">
        <is>
          <t>Aug-2018</t>
        </is>
      </c>
      <c r="C16370" s="2" t="n">
        <v>44401</v>
      </c>
      <c r="D16370" t="inlineStr">
        <is>
          <t>NON-NIL</t>
        </is>
      </c>
      <c r="E16370" t="n">
        <v>552</v>
      </c>
    </row>
    <row r="16371">
      <c r="A16371" t="inlineStr">
        <is>
          <t>27BBBBB16371Z5</t>
        </is>
      </c>
      <c r="B16371" t="inlineStr">
        <is>
          <t>Nov-2017</t>
        </is>
      </c>
      <c r="C16371" s="2" t="n">
        <v>44356</v>
      </c>
      <c r="D16371" t="inlineStr">
        <is>
          <t>NIL</t>
        </is>
      </c>
      <c r="E16371" t="n">
        <v>1244</v>
      </c>
    </row>
    <row r="16372">
      <c r="A16372" t="inlineStr">
        <is>
          <t>27BBBBB16372Z5</t>
        </is>
      </c>
      <c r="B16372" t="inlineStr">
        <is>
          <t>Jul-2017</t>
        </is>
      </c>
      <c r="C16372" s="2" t="n">
        <v>43281</v>
      </c>
      <c r="D16372" t="inlineStr">
        <is>
          <t>NON-NIL</t>
        </is>
      </c>
      <c r="E16372" t="n">
        <v>2412</v>
      </c>
    </row>
    <row r="16373">
      <c r="A16373" t="inlineStr">
        <is>
          <t>27BBBBB16373Z5</t>
        </is>
      </c>
      <c r="B16373" t="inlineStr">
        <is>
          <t>Jun-2020</t>
        </is>
      </c>
      <c r="C16373" s="2" t="n">
        <v>44569</v>
      </c>
      <c r="D16373" t="inlineStr">
        <is>
          <t>NON-NIL</t>
        </is>
      </c>
      <c r="E16373" t="n">
        <v>779</v>
      </c>
    </row>
    <row r="16374">
      <c r="A16374" t="inlineStr">
        <is>
          <t>27BBBBB16374Z5</t>
        </is>
      </c>
      <c r="B16374" t="inlineStr">
        <is>
          <t>Aug-2018</t>
        </is>
      </c>
      <c r="C16374" s="2" t="n">
        <v>43406</v>
      </c>
      <c r="D16374" t="inlineStr">
        <is>
          <t>NON-NIL</t>
        </is>
      </c>
      <c r="E16374" t="n">
        <v>1282</v>
      </c>
    </row>
    <row r="16375">
      <c r="A16375" t="inlineStr">
        <is>
          <t>27BBBBB16375Z5</t>
        </is>
      </c>
      <c r="B16375" t="inlineStr">
        <is>
          <t>Apr-2020</t>
        </is>
      </c>
      <c r="C16375" s="2" t="n">
        <v>44495</v>
      </c>
      <c r="D16375" t="inlineStr">
        <is>
          <t>NIL</t>
        </is>
      </c>
      <c r="E16375" t="n">
        <v>547</v>
      </c>
    </row>
    <row r="16376">
      <c r="A16376" t="inlineStr">
        <is>
          <t>27BBBBB16376Z5</t>
        </is>
      </c>
      <c r="B16376" t="inlineStr">
        <is>
          <t>Mar-2018</t>
        </is>
      </c>
      <c r="C16376" s="2" t="n">
        <v>44457</v>
      </c>
      <c r="D16376" t="inlineStr">
        <is>
          <t>NON-NIL</t>
        </is>
      </c>
      <c r="E16376" t="n">
        <v>1574</v>
      </c>
    </row>
    <row r="16377">
      <c r="A16377" t="inlineStr">
        <is>
          <t>27BBBBB16377Z5</t>
        </is>
      </c>
      <c r="B16377" t="inlineStr">
        <is>
          <t>Dec-2018</t>
        </is>
      </c>
      <c r="C16377" s="2" t="n">
        <v>44123</v>
      </c>
      <c r="D16377" t="inlineStr">
        <is>
          <t>NON-NIL</t>
        </is>
      </c>
      <c r="E16377" t="n">
        <v>2023</v>
      </c>
    </row>
    <row r="16378">
      <c r="A16378" t="inlineStr">
        <is>
          <t>27BBBBB16378Z5</t>
        </is>
      </c>
      <c r="B16378" t="inlineStr">
        <is>
          <t>Jul-2018</t>
        </is>
      </c>
      <c r="C16378" s="2" t="n">
        <v>44340</v>
      </c>
      <c r="D16378" t="inlineStr">
        <is>
          <t>NIL</t>
        </is>
      </c>
      <c r="E16378" t="n">
        <v>886</v>
      </c>
    </row>
    <row r="16379">
      <c r="A16379" t="inlineStr">
        <is>
          <t>27BBBBB16379Z5</t>
        </is>
      </c>
      <c r="B16379" t="inlineStr">
        <is>
          <t>Aug-2018</t>
        </is>
      </c>
      <c r="C16379" s="2" t="n">
        <v>43087</v>
      </c>
      <c r="D16379" t="inlineStr">
        <is>
          <t>NON-NIL</t>
        </is>
      </c>
      <c r="E16379" t="n">
        <v>928</v>
      </c>
    </row>
    <row r="16380">
      <c r="A16380" t="inlineStr">
        <is>
          <t>27BBBBB16380Z5</t>
        </is>
      </c>
      <c r="B16380" t="inlineStr">
        <is>
          <t>Aug-2018</t>
        </is>
      </c>
      <c r="C16380" s="2" t="n">
        <v>44487</v>
      </c>
      <c r="D16380" t="inlineStr">
        <is>
          <t>NON-NIL</t>
        </is>
      </c>
      <c r="E16380" t="n">
        <v>1380</v>
      </c>
    </row>
    <row r="16381">
      <c r="A16381" t="inlineStr">
        <is>
          <t>27BBBBB16381Z5</t>
        </is>
      </c>
      <c r="B16381" t="inlineStr">
        <is>
          <t>Mar-2018</t>
        </is>
      </c>
      <c r="C16381" s="2" t="n">
        <v>43029</v>
      </c>
      <c r="D16381" t="inlineStr">
        <is>
          <t>NIL</t>
        </is>
      </c>
      <c r="E16381" t="n">
        <v>1317</v>
      </c>
    </row>
    <row r="16382">
      <c r="A16382" t="inlineStr">
        <is>
          <t>27BBBBB16382Z5</t>
        </is>
      </c>
      <c r="B16382" t="inlineStr">
        <is>
          <t>Aug-2018</t>
        </is>
      </c>
      <c r="C16382" s="2" t="n">
        <v>44479</v>
      </c>
      <c r="D16382" t="inlineStr">
        <is>
          <t>NON-NIL</t>
        </is>
      </c>
      <c r="E16382" t="n">
        <v>1224</v>
      </c>
    </row>
    <row r="16383">
      <c r="A16383" t="inlineStr">
        <is>
          <t>27BBBBB16383Z5</t>
        </is>
      </c>
      <c r="B16383" t="inlineStr">
        <is>
          <t>Jul-2020</t>
        </is>
      </c>
      <c r="C16383" s="2" t="n">
        <v>44105</v>
      </c>
      <c r="D16383" t="inlineStr">
        <is>
          <t>NIL</t>
        </is>
      </c>
      <c r="E16383" t="n">
        <v>570</v>
      </c>
    </row>
    <row r="16384">
      <c r="A16384" t="inlineStr">
        <is>
          <t>27BBBBB16384Z5</t>
        </is>
      </c>
      <c r="B16384" t="inlineStr">
        <is>
          <t>Mar-2020</t>
        </is>
      </c>
      <c r="C16384" s="2" t="n">
        <v>44241</v>
      </c>
      <c r="D16384" t="inlineStr">
        <is>
          <t>NIL</t>
        </is>
      </c>
      <c r="E16384" t="n">
        <v>1194</v>
      </c>
    </row>
    <row r="16385">
      <c r="A16385" t="inlineStr">
        <is>
          <t>27BBBBB16385Z5</t>
        </is>
      </c>
      <c r="B16385" t="inlineStr">
        <is>
          <t>Jan-2018</t>
        </is>
      </c>
      <c r="C16385" s="2" t="n">
        <v>43093</v>
      </c>
      <c r="D16385" t="inlineStr">
        <is>
          <t>NIL</t>
        </is>
      </c>
      <c r="E16385" t="n">
        <v>2783</v>
      </c>
    </row>
    <row r="16386">
      <c r="A16386" t="inlineStr">
        <is>
          <t>27BBBBB16386Z5</t>
        </is>
      </c>
      <c r="B16386" t="inlineStr">
        <is>
          <t>Jul-2020</t>
        </is>
      </c>
      <c r="C16386" s="2" t="n">
        <v>44304</v>
      </c>
      <c r="D16386" t="inlineStr">
        <is>
          <t>NIL</t>
        </is>
      </c>
      <c r="E16386" t="n">
        <v>378</v>
      </c>
    </row>
    <row r="16387">
      <c r="A16387" t="inlineStr">
        <is>
          <t>27BBBBB16387Z5</t>
        </is>
      </c>
      <c r="B16387" t="inlineStr">
        <is>
          <t>Nov-2017</t>
        </is>
      </c>
      <c r="C16387" s="2" t="n">
        <v>44497</v>
      </c>
      <c r="D16387" t="inlineStr">
        <is>
          <t>NIL</t>
        </is>
      </c>
      <c r="E16387" t="n">
        <v>1456</v>
      </c>
    </row>
    <row r="16388">
      <c r="A16388" t="inlineStr">
        <is>
          <t>27BBBBB16388Z5</t>
        </is>
      </c>
      <c r="B16388" t="inlineStr">
        <is>
          <t>Jun-2018</t>
        </is>
      </c>
      <c r="C16388" s="2" t="n">
        <v>43007</v>
      </c>
      <c r="D16388" t="inlineStr">
        <is>
          <t>NIL</t>
        </is>
      </c>
      <c r="E16388" t="n">
        <v>477</v>
      </c>
    </row>
    <row r="16389">
      <c r="A16389" t="inlineStr">
        <is>
          <t>27BBBBB16389Z5</t>
        </is>
      </c>
      <c r="B16389" t="inlineStr">
        <is>
          <t>Oct-2018</t>
        </is>
      </c>
      <c r="C16389" s="2" t="n">
        <v>44211</v>
      </c>
      <c r="D16389" t="inlineStr">
        <is>
          <t>NIL</t>
        </is>
      </c>
      <c r="E16389" t="n">
        <v>565</v>
      </c>
    </row>
    <row r="16390">
      <c r="A16390" t="inlineStr">
        <is>
          <t>27BBBBB16390Z5</t>
        </is>
      </c>
      <c r="B16390" t="inlineStr">
        <is>
          <t>May-2018</t>
        </is>
      </c>
      <c r="C16390" s="2" t="n">
        <v>44505</v>
      </c>
      <c r="D16390" t="inlineStr">
        <is>
          <t>NON-NIL</t>
        </is>
      </c>
      <c r="E16390" t="n">
        <v>1695</v>
      </c>
    </row>
    <row r="16391">
      <c r="A16391" t="inlineStr">
        <is>
          <t>27BBBBB16391Z5</t>
        </is>
      </c>
      <c r="B16391" t="inlineStr">
        <is>
          <t>May-2020</t>
        </is>
      </c>
      <c r="C16391" s="2" t="n">
        <v>44386</v>
      </c>
      <c r="D16391" t="inlineStr">
        <is>
          <t>NIL</t>
        </is>
      </c>
      <c r="E16391" t="n">
        <v>2156</v>
      </c>
    </row>
    <row r="16392">
      <c r="A16392" t="inlineStr">
        <is>
          <t>27BBBBB16392Z5</t>
        </is>
      </c>
      <c r="B16392" t="inlineStr">
        <is>
          <t>Oct-2018</t>
        </is>
      </c>
      <c r="C16392" s="2" t="n">
        <v>44531</v>
      </c>
      <c r="D16392" t="inlineStr">
        <is>
          <t>NON-NIL</t>
        </is>
      </c>
      <c r="E16392" t="n">
        <v>622</v>
      </c>
    </row>
    <row r="16393">
      <c r="A16393" t="inlineStr">
        <is>
          <t>27BBBBB16393Z5</t>
        </is>
      </c>
      <c r="B16393" t="inlineStr">
        <is>
          <t>Apr-2020</t>
        </is>
      </c>
      <c r="C16393" s="2" t="n">
        <v>44392</v>
      </c>
      <c r="D16393" t="inlineStr">
        <is>
          <t>NIL</t>
        </is>
      </c>
      <c r="E16393" t="n">
        <v>1554</v>
      </c>
    </row>
    <row r="16394">
      <c r="A16394" t="inlineStr">
        <is>
          <t>27BBBBB16394Z5</t>
        </is>
      </c>
      <c r="B16394" t="inlineStr">
        <is>
          <t>Mar-2018</t>
        </is>
      </c>
      <c r="C16394" s="2" t="n">
        <v>44221</v>
      </c>
      <c r="D16394" t="inlineStr">
        <is>
          <t>NIL</t>
        </is>
      </c>
      <c r="E16394" t="n">
        <v>1609</v>
      </c>
    </row>
    <row r="16395">
      <c r="A16395" t="inlineStr">
        <is>
          <t>27BBBBB16395Z5</t>
        </is>
      </c>
      <c r="B16395" t="inlineStr">
        <is>
          <t>Nov-2018</t>
        </is>
      </c>
      <c r="C16395" s="2" t="n">
        <v>44482</v>
      </c>
      <c r="D16395" t="inlineStr">
        <is>
          <t>NON-NIL</t>
        </is>
      </c>
      <c r="E16395" t="n">
        <v>2239</v>
      </c>
    </row>
    <row r="16396">
      <c r="A16396" t="inlineStr">
        <is>
          <t>27BBBBB16396Z5</t>
        </is>
      </c>
      <c r="B16396" t="inlineStr">
        <is>
          <t>Jul-2017</t>
        </is>
      </c>
      <c r="C16396" s="2" t="n">
        <v>44273</v>
      </c>
      <c r="D16396" t="inlineStr">
        <is>
          <t>NON-NIL</t>
        </is>
      </c>
      <c r="E16396" t="n">
        <v>2838</v>
      </c>
    </row>
    <row r="16397">
      <c r="A16397" t="inlineStr">
        <is>
          <t>27BBBBB16397Z5</t>
        </is>
      </c>
      <c r="B16397" t="inlineStr">
        <is>
          <t>Apr-2020</t>
        </is>
      </c>
      <c r="C16397" s="2" t="n">
        <v>44378</v>
      </c>
      <c r="D16397" t="inlineStr">
        <is>
          <t>NIL</t>
        </is>
      </c>
      <c r="E16397" t="n">
        <v>1227</v>
      </c>
    </row>
    <row r="16398">
      <c r="A16398" t="inlineStr">
        <is>
          <t>27BBBBB16398Z5</t>
        </is>
      </c>
      <c r="B16398" t="inlineStr">
        <is>
          <t>May-2020</t>
        </is>
      </c>
      <c r="C16398" s="2" t="n">
        <v>44572</v>
      </c>
      <c r="D16398" t="inlineStr">
        <is>
          <t>NON-NIL</t>
        </is>
      </c>
      <c r="E16398" t="n">
        <v>2440</v>
      </c>
    </row>
    <row r="16399">
      <c r="A16399" t="inlineStr">
        <is>
          <t>27BBBBB16399Z5</t>
        </is>
      </c>
      <c r="B16399" t="inlineStr">
        <is>
          <t>Jun-2018</t>
        </is>
      </c>
      <c r="C16399" s="2" t="n">
        <v>43974</v>
      </c>
      <c r="D16399" t="inlineStr">
        <is>
          <t>NIL</t>
        </is>
      </c>
      <c r="E16399" t="n">
        <v>2762</v>
      </c>
    </row>
    <row r="16400">
      <c r="A16400" t="inlineStr">
        <is>
          <t>27BBBBB16400Z5</t>
        </is>
      </c>
      <c r="B16400" t="inlineStr">
        <is>
          <t>Mar-2023</t>
        </is>
      </c>
      <c r="C16400" s="2" t="n">
        <v>44451</v>
      </c>
      <c r="D16400" t="inlineStr">
        <is>
          <t>NIL</t>
        </is>
      </c>
      <c r="E16400" t="n">
        <v>1220</v>
      </c>
    </row>
    <row r="16401">
      <c r="A16401" t="inlineStr">
        <is>
          <t>27BBBBB16401Z5</t>
        </is>
      </c>
      <c r="B16401" t="inlineStr">
        <is>
          <t>Oct-2018</t>
        </is>
      </c>
      <c r="C16401" s="2" t="n">
        <v>43058</v>
      </c>
      <c r="D16401" t="inlineStr">
        <is>
          <t>NIL</t>
        </is>
      </c>
      <c r="E16401" t="n">
        <v>1113</v>
      </c>
    </row>
    <row r="16402">
      <c r="A16402" t="inlineStr">
        <is>
          <t>27BBBBB16402Z5</t>
        </is>
      </c>
      <c r="B16402" t="inlineStr">
        <is>
          <t>Aug-2018</t>
        </is>
      </c>
      <c r="C16402" s="2" t="n">
        <v>43174</v>
      </c>
      <c r="D16402" t="inlineStr">
        <is>
          <t>NON-NIL</t>
        </is>
      </c>
      <c r="E16402" t="n">
        <v>1943</v>
      </c>
    </row>
    <row r="16403">
      <c r="A16403" t="inlineStr">
        <is>
          <t>27BBBBB16403Z5</t>
        </is>
      </c>
      <c r="B16403" t="inlineStr">
        <is>
          <t>Nov-2017</t>
        </is>
      </c>
      <c r="C16403" s="2" t="n">
        <v>42918</v>
      </c>
      <c r="D16403" t="inlineStr">
        <is>
          <t>NIL</t>
        </is>
      </c>
      <c r="E16403" t="n">
        <v>1875</v>
      </c>
    </row>
    <row r="16404">
      <c r="A16404" t="inlineStr">
        <is>
          <t>27BBBBB16404Z5</t>
        </is>
      </c>
      <c r="B16404" t="inlineStr">
        <is>
          <t>May-2020</t>
        </is>
      </c>
      <c r="C16404" s="2" t="n">
        <v>44440</v>
      </c>
      <c r="D16404" t="inlineStr">
        <is>
          <t>NIL</t>
        </is>
      </c>
      <c r="E16404" t="n">
        <v>1308</v>
      </c>
    </row>
    <row r="16405">
      <c r="A16405" t="inlineStr">
        <is>
          <t>27BBBBB16405Z5</t>
        </is>
      </c>
      <c r="B16405" t="inlineStr">
        <is>
          <t>Jun-2018</t>
        </is>
      </c>
      <c r="C16405" s="2" t="n">
        <v>43312</v>
      </c>
      <c r="D16405" t="inlineStr">
        <is>
          <t>NIL</t>
        </is>
      </c>
      <c r="E16405" t="n">
        <v>60</v>
      </c>
    </row>
    <row r="16406">
      <c r="A16406" t="inlineStr">
        <is>
          <t>27BBBBB16406Z5</t>
        </is>
      </c>
      <c r="B16406" t="inlineStr">
        <is>
          <t>Jul-2018</t>
        </is>
      </c>
      <c r="C16406" s="2" t="n">
        <v>43800</v>
      </c>
      <c r="D16406" t="inlineStr">
        <is>
          <t>NON-NIL</t>
        </is>
      </c>
      <c r="E16406" t="n">
        <v>353</v>
      </c>
    </row>
    <row r="16407">
      <c r="A16407" t="inlineStr">
        <is>
          <t>27BBBBB16407Z5</t>
        </is>
      </c>
      <c r="B16407" t="inlineStr">
        <is>
          <t>Dec-2017</t>
        </is>
      </c>
      <c r="C16407" s="2" t="n">
        <v>44051</v>
      </c>
      <c r="D16407" t="inlineStr">
        <is>
          <t>NIL</t>
        </is>
      </c>
      <c r="E16407" t="n">
        <v>1554</v>
      </c>
    </row>
    <row r="16408">
      <c r="A16408" t="inlineStr">
        <is>
          <t>27BBBBB16408Z5</t>
        </is>
      </c>
      <c r="B16408" t="inlineStr">
        <is>
          <t>Mar-2018</t>
        </is>
      </c>
      <c r="C16408" s="2" t="n">
        <v>43167</v>
      </c>
      <c r="D16408" t="inlineStr">
        <is>
          <t>NIL</t>
        </is>
      </c>
      <c r="E16408" t="n">
        <v>753</v>
      </c>
    </row>
    <row r="16409">
      <c r="A16409" t="inlineStr">
        <is>
          <t>27BBBBB16409Z5</t>
        </is>
      </c>
      <c r="B16409" t="inlineStr">
        <is>
          <t>Dec-2024</t>
        </is>
      </c>
      <c r="C16409" s="2" t="n">
        <v>43577</v>
      </c>
      <c r="D16409" t="inlineStr">
        <is>
          <t>NON-NIL</t>
        </is>
      </c>
      <c r="E16409" t="n">
        <v>837</v>
      </c>
    </row>
    <row r="16410">
      <c r="A16410" t="inlineStr">
        <is>
          <t>27BBBBB16410Z5</t>
        </is>
      </c>
      <c r="B16410" t="inlineStr">
        <is>
          <t>Dec-2024</t>
        </is>
      </c>
      <c r="C16410" s="2" t="n">
        <v>44776</v>
      </c>
      <c r="D16410" t="inlineStr">
        <is>
          <t>NON-NIL</t>
        </is>
      </c>
      <c r="E16410" t="n">
        <v>2353</v>
      </c>
    </row>
    <row r="16411">
      <c r="A16411" t="inlineStr">
        <is>
          <t>27BBBBB16411Z5</t>
        </is>
      </c>
      <c r="B16411" t="inlineStr">
        <is>
          <t>Nov-2017</t>
        </is>
      </c>
      <c r="C16411" s="2" t="n">
        <v>43067</v>
      </c>
      <c r="D16411" t="inlineStr">
        <is>
          <t>NIL</t>
        </is>
      </c>
      <c r="E16411" t="n">
        <v>2529</v>
      </c>
    </row>
    <row r="16412">
      <c r="A16412" t="inlineStr">
        <is>
          <t>27BBBBB16412Z5</t>
        </is>
      </c>
      <c r="B16412" t="inlineStr">
        <is>
          <t>May-2018</t>
        </is>
      </c>
      <c r="C16412" s="2" t="n">
        <v>44175</v>
      </c>
      <c r="D16412" t="inlineStr">
        <is>
          <t>NIL</t>
        </is>
      </c>
      <c r="E16412" t="n">
        <v>1741</v>
      </c>
    </row>
    <row r="16413">
      <c r="A16413" t="inlineStr">
        <is>
          <t>27BBBBB16413Z5</t>
        </is>
      </c>
      <c r="B16413" t="inlineStr">
        <is>
          <t>Jul-2017</t>
        </is>
      </c>
      <c r="C16413" s="2" t="n">
        <v>43396</v>
      </c>
      <c r="D16413" t="inlineStr">
        <is>
          <t>NIL</t>
        </is>
      </c>
      <c r="E16413" t="n">
        <v>1487</v>
      </c>
    </row>
    <row r="16414">
      <c r="A16414" t="inlineStr">
        <is>
          <t>27BBBBB16414Z5</t>
        </is>
      </c>
      <c r="B16414" t="inlineStr">
        <is>
          <t>May-2020</t>
        </is>
      </c>
      <c r="C16414" s="2" t="n">
        <v>44170</v>
      </c>
      <c r="D16414" t="inlineStr">
        <is>
          <t>NIL</t>
        </is>
      </c>
      <c r="E16414" t="n">
        <v>1384</v>
      </c>
    </row>
    <row r="16415">
      <c r="A16415" t="inlineStr">
        <is>
          <t>27BBBBB16415Z5</t>
        </is>
      </c>
      <c r="B16415" t="inlineStr">
        <is>
          <t>Nov-2017</t>
        </is>
      </c>
      <c r="C16415" s="2" t="n">
        <v>43678</v>
      </c>
      <c r="D16415" t="inlineStr">
        <is>
          <t>NON-NIL</t>
        </is>
      </c>
      <c r="E16415" t="n">
        <v>1214</v>
      </c>
    </row>
    <row r="16416">
      <c r="A16416" t="inlineStr">
        <is>
          <t>27BBBBB16416Z5</t>
        </is>
      </c>
      <c r="B16416" t="inlineStr">
        <is>
          <t>Oct-2017</t>
        </is>
      </c>
      <c r="C16416" s="2" t="n">
        <v>44170</v>
      </c>
      <c r="D16416" t="inlineStr">
        <is>
          <t>NIL</t>
        </is>
      </c>
      <c r="E16416" t="n">
        <v>616</v>
      </c>
    </row>
    <row r="16417">
      <c r="A16417" t="inlineStr">
        <is>
          <t>27BBBBB16417Z5</t>
        </is>
      </c>
      <c r="B16417" t="inlineStr">
        <is>
          <t>Dec-2022</t>
        </is>
      </c>
      <c r="C16417" s="2" t="n">
        <v>45838</v>
      </c>
      <c r="D16417" t="inlineStr">
        <is>
          <t>NIL</t>
        </is>
      </c>
      <c r="E16417" t="n">
        <v>1285</v>
      </c>
    </row>
    <row r="16418">
      <c r="A16418" t="inlineStr">
        <is>
          <t>27BBBBB16418Z5</t>
        </is>
      </c>
      <c r="B16418" t="inlineStr">
        <is>
          <t>Jan-2018</t>
        </is>
      </c>
      <c r="C16418" s="2" t="n">
        <v>44544</v>
      </c>
      <c r="D16418" t="inlineStr">
        <is>
          <t>NON-NIL</t>
        </is>
      </c>
      <c r="E16418" t="n">
        <v>2560</v>
      </c>
    </row>
    <row r="16419">
      <c r="A16419" t="inlineStr">
        <is>
          <t>27BBBBB16419Z5</t>
        </is>
      </c>
      <c r="B16419" t="inlineStr">
        <is>
          <t>Aug-2018</t>
        </is>
      </c>
      <c r="C16419" s="2" t="n">
        <v>43090</v>
      </c>
      <c r="D16419" t="inlineStr">
        <is>
          <t>NIL</t>
        </is>
      </c>
      <c r="E16419" t="n">
        <v>2433</v>
      </c>
    </row>
    <row r="16420">
      <c r="A16420" t="inlineStr">
        <is>
          <t>27BBBBB16420Z5</t>
        </is>
      </c>
      <c r="B16420" t="inlineStr">
        <is>
          <t>Dec-2022</t>
        </is>
      </c>
      <c r="C16420" s="2" t="n">
        <v>45664</v>
      </c>
      <c r="D16420" t="inlineStr">
        <is>
          <t>NON-NIL</t>
        </is>
      </c>
      <c r="E16420" t="n">
        <v>2157</v>
      </c>
    </row>
    <row r="16421">
      <c r="A16421" t="inlineStr">
        <is>
          <t>27BBBBB16421Z5</t>
        </is>
      </c>
      <c r="B16421" t="inlineStr">
        <is>
          <t>Sep-2018</t>
        </is>
      </c>
      <c r="C16421" s="2" t="n">
        <v>43590</v>
      </c>
      <c r="D16421" t="inlineStr">
        <is>
          <t>NIL</t>
        </is>
      </c>
      <c r="E16421" t="n">
        <v>1826</v>
      </c>
    </row>
    <row r="16422">
      <c r="A16422" t="inlineStr">
        <is>
          <t>27BBBBB16422Z5</t>
        </is>
      </c>
      <c r="B16422" t="inlineStr">
        <is>
          <t>Jan-2018</t>
        </is>
      </c>
      <c r="C16422" s="2" t="n">
        <v>43602</v>
      </c>
      <c r="D16422" t="inlineStr">
        <is>
          <t>NON-NIL</t>
        </is>
      </c>
      <c r="E16422" t="n">
        <v>733</v>
      </c>
    </row>
    <row r="16423">
      <c r="A16423" t="inlineStr">
        <is>
          <t>27BBBBB16423Z5</t>
        </is>
      </c>
      <c r="B16423" t="inlineStr">
        <is>
          <t>Jan-2018</t>
        </is>
      </c>
      <c r="C16423" s="2" t="n">
        <v>43272</v>
      </c>
      <c r="D16423" t="inlineStr">
        <is>
          <t>NON-NIL</t>
        </is>
      </c>
      <c r="E16423" t="n">
        <v>458</v>
      </c>
    </row>
    <row r="16424">
      <c r="A16424" t="inlineStr">
        <is>
          <t>27BBBBB16424Z5</t>
        </is>
      </c>
      <c r="B16424" t="inlineStr">
        <is>
          <t>Aug-2017</t>
        </is>
      </c>
      <c r="C16424" s="2" t="n">
        <v>42937</v>
      </c>
      <c r="D16424" t="inlineStr">
        <is>
          <t>NIL</t>
        </is>
      </c>
      <c r="E16424" t="n">
        <v>1920</v>
      </c>
    </row>
    <row r="16425">
      <c r="A16425" t="inlineStr">
        <is>
          <t>27BBBBB16425Z5</t>
        </is>
      </c>
      <c r="B16425" t="inlineStr">
        <is>
          <t>Dec-2024</t>
        </is>
      </c>
      <c r="C16425" s="2" t="n">
        <v>43597</v>
      </c>
      <c r="D16425" t="inlineStr">
        <is>
          <t>NIL</t>
        </is>
      </c>
      <c r="E16425" t="n">
        <v>497</v>
      </c>
    </row>
    <row r="16426">
      <c r="A16426" t="inlineStr">
        <is>
          <t>27BBBBB16426Z5</t>
        </is>
      </c>
      <c r="B16426" t="inlineStr">
        <is>
          <t>Jul-2020</t>
        </is>
      </c>
      <c r="C16426" s="2" t="n">
        <v>44455</v>
      </c>
      <c r="D16426" t="inlineStr">
        <is>
          <t>NON-NIL</t>
        </is>
      </c>
      <c r="E16426" t="n">
        <v>645</v>
      </c>
    </row>
    <row r="16427">
      <c r="A16427" t="inlineStr">
        <is>
          <t>27BBBBB16427Z5</t>
        </is>
      </c>
      <c r="B16427" t="inlineStr">
        <is>
          <t>Jun-2018</t>
        </is>
      </c>
      <c r="C16427" s="2" t="n">
        <v>44480</v>
      </c>
      <c r="D16427" t="inlineStr">
        <is>
          <t>NIL</t>
        </is>
      </c>
      <c r="E16427" t="n">
        <v>232</v>
      </c>
    </row>
    <row r="16428">
      <c r="A16428" t="inlineStr">
        <is>
          <t>27BBBBB16428Z5</t>
        </is>
      </c>
      <c r="B16428" t="inlineStr">
        <is>
          <t>Jan-2021</t>
        </is>
      </c>
      <c r="C16428" s="2" t="n">
        <v>43914</v>
      </c>
      <c r="D16428" t="inlineStr">
        <is>
          <t>NIL</t>
        </is>
      </c>
      <c r="E16428" t="n">
        <v>181</v>
      </c>
    </row>
    <row r="16429">
      <c r="A16429" t="inlineStr">
        <is>
          <t>27BBBBB16429Z5</t>
        </is>
      </c>
      <c r="B16429" t="inlineStr">
        <is>
          <t>Mar-2023</t>
        </is>
      </c>
      <c r="C16429" s="2" t="n">
        <v>43504</v>
      </c>
      <c r="D16429" t="inlineStr">
        <is>
          <t>NIL</t>
        </is>
      </c>
      <c r="E16429" t="n">
        <v>1494</v>
      </c>
    </row>
    <row r="16430">
      <c r="A16430" t="inlineStr">
        <is>
          <t>27BBBBB16430Z5</t>
        </is>
      </c>
      <c r="B16430" t="inlineStr">
        <is>
          <t>Jan-2018</t>
        </is>
      </c>
      <c r="C16430" s="2" t="n">
        <v>44198</v>
      </c>
      <c r="D16430" t="inlineStr">
        <is>
          <t>NON-NIL</t>
        </is>
      </c>
      <c r="E16430" t="n">
        <v>199</v>
      </c>
    </row>
    <row r="16431">
      <c r="A16431" t="inlineStr">
        <is>
          <t>27BBBBB16431Z5</t>
        </is>
      </c>
      <c r="B16431" t="inlineStr">
        <is>
          <t>Dec-2022</t>
        </is>
      </c>
      <c r="C16431" s="2" t="n">
        <v>45778</v>
      </c>
      <c r="D16431" t="inlineStr">
        <is>
          <t>NON-NIL</t>
        </is>
      </c>
      <c r="E16431" t="n">
        <v>2766</v>
      </c>
    </row>
    <row r="16432">
      <c r="A16432" t="inlineStr">
        <is>
          <t>27BBBBB16432Z5</t>
        </is>
      </c>
      <c r="B16432" t="inlineStr">
        <is>
          <t>Jun-2020</t>
        </is>
      </c>
      <c r="C16432" s="2" t="n">
        <v>44076</v>
      </c>
      <c r="D16432" t="inlineStr">
        <is>
          <t>NON-NIL</t>
        </is>
      </c>
      <c r="E16432" t="n">
        <v>525</v>
      </c>
    </row>
    <row r="16433">
      <c r="A16433" t="inlineStr">
        <is>
          <t>27BBBBB16433Z5</t>
        </is>
      </c>
      <c r="B16433" t="inlineStr">
        <is>
          <t>Jul-2020</t>
        </is>
      </c>
      <c r="C16433" s="2" t="n">
        <v>44197</v>
      </c>
      <c r="D16433" t="inlineStr">
        <is>
          <t>NIL</t>
        </is>
      </c>
      <c r="E16433" t="n">
        <v>564</v>
      </c>
    </row>
    <row r="16434">
      <c r="A16434" t="inlineStr">
        <is>
          <t>27BBBBB16434Z5</t>
        </is>
      </c>
      <c r="B16434" t="inlineStr">
        <is>
          <t>Nov-2017</t>
        </is>
      </c>
      <c r="C16434" s="2" t="n">
        <v>44254</v>
      </c>
      <c r="D16434" t="inlineStr">
        <is>
          <t>NIL</t>
        </is>
      </c>
      <c r="E16434" t="n">
        <v>2001</v>
      </c>
    </row>
    <row r="16435">
      <c r="A16435" t="inlineStr">
        <is>
          <t>27BBBBB16435Z5</t>
        </is>
      </c>
      <c r="B16435" t="inlineStr">
        <is>
          <t>Apr-2018</t>
        </is>
      </c>
      <c r="C16435" s="2" t="n">
        <v>43777</v>
      </c>
      <c r="D16435" t="inlineStr">
        <is>
          <t>NIL</t>
        </is>
      </c>
      <c r="E16435" t="n">
        <v>704</v>
      </c>
    </row>
    <row r="16436">
      <c r="A16436" t="inlineStr">
        <is>
          <t>27BBBBB16436Z5</t>
        </is>
      </c>
      <c r="B16436" t="inlineStr">
        <is>
          <t>Dec-2017</t>
        </is>
      </c>
      <c r="C16436" s="2" t="n">
        <v>42966</v>
      </c>
      <c r="D16436" t="inlineStr">
        <is>
          <t>NON-NIL</t>
        </is>
      </c>
      <c r="E16436" t="n">
        <v>218</v>
      </c>
    </row>
    <row r="16437">
      <c r="A16437" t="inlineStr">
        <is>
          <t>27BBBBB16437Z5</t>
        </is>
      </c>
      <c r="B16437" t="inlineStr">
        <is>
          <t>Sep-2018</t>
        </is>
      </c>
      <c r="C16437" s="2" t="n">
        <v>43336</v>
      </c>
      <c r="D16437" t="inlineStr">
        <is>
          <t>NIL</t>
        </is>
      </c>
      <c r="E16437" t="n">
        <v>2549</v>
      </c>
    </row>
    <row r="16438">
      <c r="A16438" t="inlineStr">
        <is>
          <t>27BBBBB16438Z5</t>
        </is>
      </c>
      <c r="B16438" t="inlineStr">
        <is>
          <t>Oct-2018</t>
        </is>
      </c>
      <c r="C16438" s="2" t="n">
        <v>43049</v>
      </c>
      <c r="D16438" t="inlineStr">
        <is>
          <t>NON-NIL</t>
        </is>
      </c>
      <c r="E16438" t="n">
        <v>1325</v>
      </c>
    </row>
    <row r="16439">
      <c r="A16439" t="inlineStr">
        <is>
          <t>27BBBBB16439Z5</t>
        </is>
      </c>
      <c r="B16439" t="inlineStr">
        <is>
          <t>Jul-2020</t>
        </is>
      </c>
      <c r="C16439" s="2" t="n">
        <v>44785</v>
      </c>
      <c r="D16439" t="inlineStr">
        <is>
          <t>NON-NIL</t>
        </is>
      </c>
      <c r="E16439" t="n">
        <v>748</v>
      </c>
    </row>
    <row r="16440">
      <c r="A16440" t="inlineStr">
        <is>
          <t>27BBBBB16440Z5</t>
        </is>
      </c>
      <c r="B16440" t="inlineStr">
        <is>
          <t>Nov-2018</t>
        </is>
      </c>
      <c r="C16440" s="2" t="n">
        <v>43358</v>
      </c>
      <c r="D16440" t="inlineStr">
        <is>
          <t>NON-NIL</t>
        </is>
      </c>
      <c r="E16440" t="n">
        <v>2474</v>
      </c>
    </row>
    <row r="16441">
      <c r="A16441" t="inlineStr">
        <is>
          <t>27BBBBB16441Z5</t>
        </is>
      </c>
      <c r="B16441" t="inlineStr">
        <is>
          <t>Dec-2024</t>
        </is>
      </c>
      <c r="C16441" s="2" t="n">
        <v>45015</v>
      </c>
      <c r="D16441" t="inlineStr">
        <is>
          <t>NON-NIL</t>
        </is>
      </c>
      <c r="E16441" t="n">
        <v>1477</v>
      </c>
    </row>
    <row r="16442">
      <c r="A16442" t="inlineStr">
        <is>
          <t>27BBBBB16442Z5</t>
        </is>
      </c>
      <c r="B16442" t="inlineStr">
        <is>
          <t>Jul-2018</t>
        </is>
      </c>
      <c r="C16442" s="2" t="n">
        <v>43735</v>
      </c>
      <c r="D16442" t="inlineStr">
        <is>
          <t>NIL</t>
        </is>
      </c>
      <c r="E16442" t="n">
        <v>2872</v>
      </c>
    </row>
    <row r="16443">
      <c r="A16443" t="inlineStr">
        <is>
          <t>27BBBBB16443Z5</t>
        </is>
      </c>
      <c r="B16443" t="inlineStr">
        <is>
          <t>Sep-2018</t>
        </is>
      </c>
      <c r="C16443" s="2" t="n">
        <v>43725</v>
      </c>
      <c r="D16443" t="inlineStr">
        <is>
          <t>NIL</t>
        </is>
      </c>
      <c r="E16443" t="n">
        <v>1847</v>
      </c>
    </row>
    <row r="16444">
      <c r="A16444" t="inlineStr">
        <is>
          <t>27BBBBB16444Z5</t>
        </is>
      </c>
      <c r="B16444" t="inlineStr">
        <is>
          <t>Jan-2018</t>
        </is>
      </c>
      <c r="C16444" s="2" t="n">
        <v>44516</v>
      </c>
      <c r="D16444" t="inlineStr">
        <is>
          <t>NIL</t>
        </is>
      </c>
      <c r="E16444" t="n">
        <v>1369</v>
      </c>
    </row>
    <row r="16445">
      <c r="A16445" t="inlineStr">
        <is>
          <t>27BBBBB16445Z5</t>
        </is>
      </c>
      <c r="B16445" t="inlineStr">
        <is>
          <t>Mar-2018</t>
        </is>
      </c>
      <c r="C16445" s="2" t="n">
        <v>43869</v>
      </c>
      <c r="D16445" t="inlineStr">
        <is>
          <t>NIL</t>
        </is>
      </c>
      <c r="E16445" t="n">
        <v>1140</v>
      </c>
    </row>
    <row r="16446">
      <c r="A16446" t="inlineStr">
        <is>
          <t>27BBBBB16446Z5</t>
        </is>
      </c>
      <c r="B16446" t="inlineStr">
        <is>
          <t>Jul-2017</t>
        </is>
      </c>
      <c r="C16446" s="2" t="n">
        <v>43052</v>
      </c>
      <c r="D16446" t="inlineStr">
        <is>
          <t>NIL</t>
        </is>
      </c>
      <c r="E16446" t="n">
        <v>1478</v>
      </c>
    </row>
    <row r="16447">
      <c r="A16447" t="inlineStr">
        <is>
          <t>27BBBBB16447Z5</t>
        </is>
      </c>
      <c r="B16447" t="inlineStr">
        <is>
          <t>Apr-2020</t>
        </is>
      </c>
      <c r="C16447" s="2" t="n">
        <v>44034</v>
      </c>
      <c r="D16447" t="inlineStr">
        <is>
          <t>NIL</t>
        </is>
      </c>
      <c r="E16447" t="n">
        <v>2281</v>
      </c>
    </row>
    <row r="16448">
      <c r="A16448" t="inlineStr">
        <is>
          <t>27BBBBB16448Z5</t>
        </is>
      </c>
      <c r="B16448" t="inlineStr">
        <is>
          <t>Jun-2020</t>
        </is>
      </c>
      <c r="C16448" s="2" t="n">
        <v>44521</v>
      </c>
      <c r="D16448" t="inlineStr">
        <is>
          <t>NON-NIL</t>
        </is>
      </c>
      <c r="E16448" t="n">
        <v>2602</v>
      </c>
    </row>
    <row r="16449">
      <c r="A16449" t="inlineStr">
        <is>
          <t>27BBBBB16449Z5</t>
        </is>
      </c>
      <c r="B16449" t="inlineStr">
        <is>
          <t>Dec-2018</t>
        </is>
      </c>
      <c r="C16449" s="2" t="n">
        <v>44505</v>
      </c>
      <c r="D16449" t="inlineStr">
        <is>
          <t>NON-NIL</t>
        </is>
      </c>
      <c r="E16449" t="n">
        <v>463</v>
      </c>
    </row>
    <row r="16450">
      <c r="A16450" t="inlineStr">
        <is>
          <t>27BBBBB16450Z5</t>
        </is>
      </c>
      <c r="B16450" t="inlineStr">
        <is>
          <t>May-2018</t>
        </is>
      </c>
      <c r="C16450" s="2" t="n">
        <v>43675</v>
      </c>
      <c r="D16450" t="inlineStr">
        <is>
          <t>NON-NIL</t>
        </is>
      </c>
      <c r="E16450" t="n">
        <v>791</v>
      </c>
    </row>
    <row r="16451">
      <c r="A16451" t="inlineStr">
        <is>
          <t>27BBBBB16451Z5</t>
        </is>
      </c>
      <c r="B16451" t="inlineStr">
        <is>
          <t>May-2018</t>
        </is>
      </c>
      <c r="C16451" s="2" t="n">
        <v>43071</v>
      </c>
      <c r="D16451" t="inlineStr">
        <is>
          <t>NIL</t>
        </is>
      </c>
      <c r="E16451" t="n">
        <v>1325</v>
      </c>
    </row>
    <row r="16452">
      <c r="A16452" t="inlineStr">
        <is>
          <t>27BBBBB16452Z5</t>
        </is>
      </c>
      <c r="B16452" t="inlineStr">
        <is>
          <t>Jun-2020</t>
        </is>
      </c>
      <c r="C16452" s="2" t="n">
        <v>44166</v>
      </c>
      <c r="D16452" t="inlineStr">
        <is>
          <t>NIL</t>
        </is>
      </c>
      <c r="E16452" t="n">
        <v>1884</v>
      </c>
    </row>
    <row r="16453">
      <c r="A16453" t="inlineStr">
        <is>
          <t>27BBBBB16453Z5</t>
        </is>
      </c>
      <c r="B16453" t="inlineStr">
        <is>
          <t>Jul-2018</t>
        </is>
      </c>
      <c r="C16453" s="2" t="n">
        <v>43765</v>
      </c>
      <c r="D16453" t="inlineStr">
        <is>
          <t>NON-NIL</t>
        </is>
      </c>
      <c r="E16453" t="n">
        <v>2432</v>
      </c>
    </row>
    <row r="16454">
      <c r="A16454" t="inlineStr">
        <is>
          <t>27BBBBB16454Z5</t>
        </is>
      </c>
      <c r="B16454" t="inlineStr">
        <is>
          <t>Nov-2018</t>
        </is>
      </c>
      <c r="C16454" s="2" t="n">
        <v>44337</v>
      </c>
      <c r="D16454" t="inlineStr">
        <is>
          <t>NON-NIL</t>
        </is>
      </c>
      <c r="E16454" t="n">
        <v>2080</v>
      </c>
    </row>
    <row r="16455">
      <c r="A16455" t="inlineStr">
        <is>
          <t>27BBBBB16455Z5</t>
        </is>
      </c>
      <c r="B16455" t="inlineStr">
        <is>
          <t>Mar-2018</t>
        </is>
      </c>
      <c r="C16455" s="2" t="n">
        <v>43189</v>
      </c>
      <c r="D16455" t="inlineStr">
        <is>
          <t>NON-NIL</t>
        </is>
      </c>
      <c r="E16455" t="n">
        <v>1346</v>
      </c>
    </row>
    <row r="16456">
      <c r="A16456" t="inlineStr">
        <is>
          <t>27BBBBB16456Z5</t>
        </is>
      </c>
      <c r="B16456" t="inlineStr">
        <is>
          <t>Jan-2021</t>
        </is>
      </c>
      <c r="C16456" s="2" t="n">
        <v>45752</v>
      </c>
      <c r="D16456" t="inlineStr">
        <is>
          <t>NON-NIL</t>
        </is>
      </c>
      <c r="E16456" t="n">
        <v>2767</v>
      </c>
    </row>
    <row r="16457">
      <c r="A16457" t="inlineStr">
        <is>
          <t>27BBBBB16457Z5</t>
        </is>
      </c>
      <c r="B16457" t="inlineStr">
        <is>
          <t>May-2020</t>
        </is>
      </c>
      <c r="C16457" s="2" t="n">
        <v>44625</v>
      </c>
      <c r="D16457" t="inlineStr">
        <is>
          <t>NON-NIL</t>
        </is>
      </c>
      <c r="E16457" t="n">
        <v>2598</v>
      </c>
    </row>
    <row r="16458">
      <c r="A16458" t="inlineStr">
        <is>
          <t>27BBBBB16458Z5</t>
        </is>
      </c>
      <c r="B16458" t="inlineStr">
        <is>
          <t>Nov-2017</t>
        </is>
      </c>
      <c r="C16458" s="2" t="n">
        <v>43320</v>
      </c>
      <c r="D16458" t="inlineStr">
        <is>
          <t>NON-NIL</t>
        </is>
      </c>
      <c r="E16458" t="n">
        <v>1091</v>
      </c>
    </row>
    <row r="16459">
      <c r="A16459" t="inlineStr">
        <is>
          <t>27BBBBB16459Z5</t>
        </is>
      </c>
      <c r="B16459" t="inlineStr">
        <is>
          <t>Apr-2020</t>
        </is>
      </c>
      <c r="C16459" s="2" t="n">
        <v>44639</v>
      </c>
      <c r="D16459" t="inlineStr">
        <is>
          <t>NIL</t>
        </is>
      </c>
      <c r="E16459" t="n">
        <v>546</v>
      </c>
    </row>
    <row r="16460">
      <c r="A16460" t="inlineStr">
        <is>
          <t>27BBBBB16460Z5</t>
        </is>
      </c>
      <c r="B16460" t="inlineStr">
        <is>
          <t>Sep-2018</t>
        </is>
      </c>
      <c r="C16460" s="2" t="n">
        <v>44032</v>
      </c>
      <c r="D16460" t="inlineStr">
        <is>
          <t>NON-NIL</t>
        </is>
      </c>
      <c r="E16460" t="n">
        <v>1587</v>
      </c>
    </row>
    <row r="16461">
      <c r="A16461" t="inlineStr">
        <is>
          <t>27BBBBB16461Z5</t>
        </is>
      </c>
      <c r="B16461" t="inlineStr">
        <is>
          <t>Dec-2024</t>
        </is>
      </c>
      <c r="C16461" s="2" t="n">
        <v>43802</v>
      </c>
      <c r="D16461" t="inlineStr">
        <is>
          <t>NON-NIL</t>
        </is>
      </c>
      <c r="E16461" t="n">
        <v>28</v>
      </c>
    </row>
    <row r="16462">
      <c r="A16462" t="inlineStr">
        <is>
          <t>27BBBBB16462Z5</t>
        </is>
      </c>
      <c r="B16462" t="inlineStr">
        <is>
          <t>Jun-2018</t>
        </is>
      </c>
      <c r="C16462" s="2" t="n">
        <v>43894</v>
      </c>
      <c r="D16462" t="inlineStr">
        <is>
          <t>NIL</t>
        </is>
      </c>
      <c r="E16462" t="n">
        <v>2149</v>
      </c>
    </row>
    <row r="16463">
      <c r="A16463" t="inlineStr">
        <is>
          <t>27BBBBB16463Z5</t>
        </is>
      </c>
      <c r="B16463" t="inlineStr">
        <is>
          <t>Oct-2017</t>
        </is>
      </c>
      <c r="C16463" s="2" t="n">
        <v>43041</v>
      </c>
      <c r="D16463" t="inlineStr">
        <is>
          <t>NIL</t>
        </is>
      </c>
      <c r="E16463" t="n">
        <v>850</v>
      </c>
    </row>
    <row r="16464">
      <c r="A16464" t="inlineStr">
        <is>
          <t>27BBBBB16464Z5</t>
        </is>
      </c>
      <c r="B16464" t="inlineStr">
        <is>
          <t>Apr-2018</t>
        </is>
      </c>
      <c r="C16464" s="2" t="n">
        <v>44533</v>
      </c>
      <c r="D16464" t="inlineStr">
        <is>
          <t>NIL</t>
        </is>
      </c>
      <c r="E16464" t="n">
        <v>1242</v>
      </c>
    </row>
    <row r="16465">
      <c r="A16465" t="inlineStr">
        <is>
          <t>27BBBBB16465Z5</t>
        </is>
      </c>
      <c r="B16465" t="inlineStr">
        <is>
          <t>Nov-2017</t>
        </is>
      </c>
      <c r="C16465" s="2" t="n">
        <v>44114</v>
      </c>
      <c r="D16465" t="inlineStr">
        <is>
          <t>NON-NIL</t>
        </is>
      </c>
      <c r="E16465" t="n">
        <v>1719</v>
      </c>
    </row>
    <row r="16466">
      <c r="A16466" t="inlineStr">
        <is>
          <t>27BBBBB16466Z5</t>
        </is>
      </c>
      <c r="B16466" t="inlineStr">
        <is>
          <t>Apr-2018</t>
        </is>
      </c>
      <c r="C16466" s="2" t="n">
        <v>43350</v>
      </c>
      <c r="D16466" t="inlineStr">
        <is>
          <t>NIL</t>
        </is>
      </c>
      <c r="E16466" t="n">
        <v>628</v>
      </c>
    </row>
    <row r="16467">
      <c r="A16467" t="inlineStr">
        <is>
          <t>27BBBBB16467Z5</t>
        </is>
      </c>
      <c r="B16467" t="inlineStr">
        <is>
          <t>Oct-2017</t>
        </is>
      </c>
      <c r="C16467" s="2" t="n">
        <v>43947</v>
      </c>
      <c r="D16467" t="inlineStr">
        <is>
          <t>NON-NIL</t>
        </is>
      </c>
      <c r="E16467" t="n">
        <v>460</v>
      </c>
    </row>
    <row r="16468">
      <c r="A16468" t="inlineStr">
        <is>
          <t>27BBBBB16468Z5</t>
        </is>
      </c>
      <c r="B16468" t="inlineStr">
        <is>
          <t>Nov-2018</t>
        </is>
      </c>
      <c r="C16468" s="2" t="n">
        <v>43228</v>
      </c>
      <c r="D16468" t="inlineStr">
        <is>
          <t>NIL</t>
        </is>
      </c>
      <c r="E16468" t="n">
        <v>2689</v>
      </c>
    </row>
    <row r="16469">
      <c r="A16469" t="inlineStr">
        <is>
          <t>27BBBBB16469Z5</t>
        </is>
      </c>
      <c r="B16469" t="inlineStr">
        <is>
          <t>Jul-2018</t>
        </is>
      </c>
      <c r="C16469" s="2" t="n">
        <v>43458</v>
      </c>
      <c r="D16469" t="inlineStr">
        <is>
          <t>NIL</t>
        </is>
      </c>
      <c r="E16469" t="n">
        <v>199</v>
      </c>
    </row>
    <row r="16470">
      <c r="A16470" t="inlineStr">
        <is>
          <t>27BBBBB16470Z5</t>
        </is>
      </c>
      <c r="B16470" t="inlineStr">
        <is>
          <t>Mar-2023</t>
        </is>
      </c>
      <c r="C16470" s="2" t="n">
        <v>43512</v>
      </c>
      <c r="D16470" t="inlineStr">
        <is>
          <t>NIL</t>
        </is>
      </c>
      <c r="E16470" t="n">
        <v>2477</v>
      </c>
    </row>
    <row r="16471">
      <c r="A16471" t="inlineStr">
        <is>
          <t>27BBBBB16471Z5</t>
        </is>
      </c>
      <c r="B16471" t="inlineStr">
        <is>
          <t>Jul-2017</t>
        </is>
      </c>
      <c r="C16471" s="2" t="n">
        <v>44121</v>
      </c>
      <c r="D16471" t="inlineStr">
        <is>
          <t>NON-NIL</t>
        </is>
      </c>
      <c r="E16471" t="n">
        <v>2752</v>
      </c>
    </row>
    <row r="16472">
      <c r="A16472" t="inlineStr">
        <is>
          <t>27BBBBB16472Z5</t>
        </is>
      </c>
      <c r="B16472" t="inlineStr">
        <is>
          <t>Jun-2020</t>
        </is>
      </c>
      <c r="C16472" s="2" t="n">
        <v>44610</v>
      </c>
      <c r="D16472" t="inlineStr">
        <is>
          <t>NON-NIL</t>
        </is>
      </c>
      <c r="E16472" t="n">
        <v>648</v>
      </c>
    </row>
    <row r="16473">
      <c r="A16473" t="inlineStr">
        <is>
          <t>27BBBBB16473Z5</t>
        </is>
      </c>
      <c r="B16473" t="inlineStr">
        <is>
          <t>Dec-2018</t>
        </is>
      </c>
      <c r="C16473" s="2" t="n">
        <v>44555</v>
      </c>
      <c r="D16473" t="inlineStr">
        <is>
          <t>NIL</t>
        </is>
      </c>
      <c r="E16473" t="n">
        <v>2499</v>
      </c>
    </row>
    <row r="16474">
      <c r="A16474" t="inlineStr">
        <is>
          <t>27BBBBB16474Z5</t>
        </is>
      </c>
      <c r="B16474" t="inlineStr">
        <is>
          <t>Apr-2020</t>
        </is>
      </c>
      <c r="C16474" s="2" t="n">
        <v>44585</v>
      </c>
      <c r="D16474" t="inlineStr">
        <is>
          <t>NON-NIL</t>
        </is>
      </c>
      <c r="E16474" t="n">
        <v>2163</v>
      </c>
    </row>
    <row r="16475">
      <c r="A16475" t="inlineStr">
        <is>
          <t>27BBBBB16475Z5</t>
        </is>
      </c>
      <c r="B16475" t="inlineStr">
        <is>
          <t>Jun-2020</t>
        </is>
      </c>
      <c r="C16475" s="2" t="n">
        <v>44063</v>
      </c>
      <c r="D16475" t="inlineStr">
        <is>
          <t>NIL</t>
        </is>
      </c>
      <c r="E16475" t="n">
        <v>407</v>
      </c>
    </row>
    <row r="16476">
      <c r="A16476" t="inlineStr">
        <is>
          <t>27BBBBB16476Z5</t>
        </is>
      </c>
      <c r="B16476" t="inlineStr">
        <is>
          <t>Dec-2024</t>
        </is>
      </c>
      <c r="C16476" s="2" t="n">
        <v>43472</v>
      </c>
      <c r="D16476" t="inlineStr">
        <is>
          <t>NIL</t>
        </is>
      </c>
      <c r="E16476" t="n">
        <v>1513</v>
      </c>
    </row>
    <row r="16477">
      <c r="A16477" t="inlineStr">
        <is>
          <t>27BBBBB16477Z5</t>
        </is>
      </c>
      <c r="B16477" t="inlineStr">
        <is>
          <t>Feb-2018</t>
        </is>
      </c>
      <c r="C16477" s="2" t="n">
        <v>43044</v>
      </c>
      <c r="D16477" t="inlineStr">
        <is>
          <t>NON-NIL</t>
        </is>
      </c>
      <c r="E16477" t="n">
        <v>2156</v>
      </c>
    </row>
    <row r="16478">
      <c r="A16478" t="inlineStr">
        <is>
          <t>27BBBBB16478Z5</t>
        </is>
      </c>
      <c r="B16478" t="inlineStr">
        <is>
          <t>Mar-2018</t>
        </is>
      </c>
      <c r="C16478" s="2" t="n">
        <v>43900</v>
      </c>
      <c r="D16478" t="inlineStr">
        <is>
          <t>NON-NIL</t>
        </is>
      </c>
      <c r="E16478" t="n">
        <v>2427</v>
      </c>
    </row>
    <row r="16479">
      <c r="A16479" t="inlineStr">
        <is>
          <t>27BBBBB16479Z5</t>
        </is>
      </c>
      <c r="B16479" t="inlineStr">
        <is>
          <t>Oct-2018</t>
        </is>
      </c>
      <c r="C16479" s="2" t="n">
        <v>44370</v>
      </c>
      <c r="D16479" t="inlineStr">
        <is>
          <t>NIL</t>
        </is>
      </c>
      <c r="E16479" t="n">
        <v>2459</v>
      </c>
    </row>
    <row r="16480">
      <c r="A16480" t="inlineStr">
        <is>
          <t>27BBBBB16480Z5</t>
        </is>
      </c>
      <c r="B16480" t="inlineStr">
        <is>
          <t>Oct-2018</t>
        </is>
      </c>
      <c r="C16480" s="2" t="n">
        <v>43171</v>
      </c>
      <c r="D16480" t="inlineStr">
        <is>
          <t>NON-NIL</t>
        </is>
      </c>
      <c r="E16480" t="n">
        <v>1195</v>
      </c>
    </row>
    <row r="16481">
      <c r="A16481" t="inlineStr">
        <is>
          <t>27BBBBB16481Z5</t>
        </is>
      </c>
      <c r="B16481" t="inlineStr">
        <is>
          <t>Oct-2018</t>
        </is>
      </c>
      <c r="C16481" s="2" t="n">
        <v>44187</v>
      </c>
      <c r="D16481" t="inlineStr">
        <is>
          <t>NIL</t>
        </is>
      </c>
      <c r="E16481" t="n">
        <v>2551</v>
      </c>
    </row>
    <row r="16482">
      <c r="A16482" t="inlineStr">
        <is>
          <t>27BBBBB16482Z5</t>
        </is>
      </c>
      <c r="B16482" t="inlineStr">
        <is>
          <t>Oct-2018</t>
        </is>
      </c>
      <c r="C16482" s="2" t="n">
        <v>43500</v>
      </c>
      <c r="D16482" t="inlineStr">
        <is>
          <t>NIL</t>
        </is>
      </c>
      <c r="E16482" t="n">
        <v>2879</v>
      </c>
    </row>
    <row r="16483">
      <c r="A16483" t="inlineStr">
        <is>
          <t>27BBBBB16483Z5</t>
        </is>
      </c>
      <c r="B16483" t="inlineStr">
        <is>
          <t>Jul-2020</t>
        </is>
      </c>
      <c r="C16483" s="2" t="n">
        <v>44119</v>
      </c>
      <c r="D16483" t="inlineStr">
        <is>
          <t>NIL</t>
        </is>
      </c>
      <c r="E16483" t="n">
        <v>1479</v>
      </c>
    </row>
    <row r="16484">
      <c r="A16484" t="inlineStr">
        <is>
          <t>27BBBBB16484Z5</t>
        </is>
      </c>
      <c r="B16484" t="inlineStr">
        <is>
          <t>Aug-2017</t>
        </is>
      </c>
      <c r="C16484" s="2" t="n">
        <v>43256</v>
      </c>
      <c r="D16484" t="inlineStr">
        <is>
          <t>NIL</t>
        </is>
      </c>
      <c r="E16484" t="n">
        <v>794</v>
      </c>
    </row>
    <row r="16485">
      <c r="A16485" t="inlineStr">
        <is>
          <t>27BBBBB16485Z5</t>
        </is>
      </c>
      <c r="B16485" t="inlineStr">
        <is>
          <t>May-2020</t>
        </is>
      </c>
      <c r="C16485" s="2" t="n">
        <v>44291</v>
      </c>
      <c r="D16485" t="inlineStr">
        <is>
          <t>NIL</t>
        </is>
      </c>
      <c r="E16485" t="n">
        <v>764</v>
      </c>
    </row>
    <row r="16486">
      <c r="A16486" t="inlineStr">
        <is>
          <t>27BBBBB16486Z5</t>
        </is>
      </c>
      <c r="B16486" t="inlineStr">
        <is>
          <t>Dec-2022</t>
        </is>
      </c>
      <c r="C16486" s="2" t="n">
        <v>44355</v>
      </c>
      <c r="D16486" t="inlineStr">
        <is>
          <t>NIL</t>
        </is>
      </c>
      <c r="E16486" t="n">
        <v>2903</v>
      </c>
    </row>
    <row r="16487">
      <c r="A16487" t="inlineStr">
        <is>
          <t>27BBBBB16487Z5</t>
        </is>
      </c>
      <c r="B16487" t="inlineStr">
        <is>
          <t>Mar-2023</t>
        </is>
      </c>
      <c r="C16487" s="2" t="n">
        <v>45797</v>
      </c>
      <c r="D16487" t="inlineStr">
        <is>
          <t>NIL</t>
        </is>
      </c>
      <c r="E16487" t="n">
        <v>1217</v>
      </c>
    </row>
    <row r="16488">
      <c r="A16488" t="inlineStr">
        <is>
          <t>27BBBBB16488Z5</t>
        </is>
      </c>
      <c r="B16488" t="inlineStr">
        <is>
          <t>Mar-2020</t>
        </is>
      </c>
      <c r="C16488" s="2" t="n">
        <v>44708</v>
      </c>
      <c r="D16488" t="inlineStr">
        <is>
          <t>NON-NIL</t>
        </is>
      </c>
      <c r="E16488" t="n">
        <v>963</v>
      </c>
    </row>
    <row r="16489">
      <c r="A16489" t="inlineStr">
        <is>
          <t>27BBBBB16489Z5</t>
        </is>
      </c>
      <c r="B16489" t="inlineStr">
        <is>
          <t>Jan-2018</t>
        </is>
      </c>
      <c r="C16489" s="2" t="n">
        <v>43096</v>
      </c>
      <c r="D16489" t="inlineStr">
        <is>
          <t>NIL</t>
        </is>
      </c>
      <c r="E16489" t="n">
        <v>1649</v>
      </c>
    </row>
    <row r="16490">
      <c r="A16490" t="inlineStr">
        <is>
          <t>27BBBBB16490Z5</t>
        </is>
      </c>
      <c r="B16490" t="inlineStr">
        <is>
          <t>Jul-2017</t>
        </is>
      </c>
      <c r="C16490" s="2" t="n">
        <v>42943</v>
      </c>
      <c r="D16490" t="inlineStr">
        <is>
          <t>NON-NIL</t>
        </is>
      </c>
      <c r="E16490" t="n">
        <v>638</v>
      </c>
    </row>
    <row r="16491">
      <c r="A16491" t="inlineStr">
        <is>
          <t>27BBBBB16491Z5</t>
        </is>
      </c>
      <c r="B16491" t="inlineStr">
        <is>
          <t>Sep-2017</t>
        </is>
      </c>
      <c r="C16491" s="2" t="n">
        <v>43658</v>
      </c>
      <c r="D16491" t="inlineStr">
        <is>
          <t>NON-NIL</t>
        </is>
      </c>
      <c r="E16491" t="n">
        <v>2212</v>
      </c>
    </row>
    <row r="16492">
      <c r="A16492" t="inlineStr">
        <is>
          <t>27BBBBB16492Z5</t>
        </is>
      </c>
      <c r="B16492" t="inlineStr">
        <is>
          <t>Aug-2017</t>
        </is>
      </c>
      <c r="C16492" s="2" t="n">
        <v>43573</v>
      </c>
      <c r="D16492" t="inlineStr">
        <is>
          <t>NON-NIL</t>
        </is>
      </c>
      <c r="E16492" t="n">
        <v>2917</v>
      </c>
    </row>
    <row r="16493">
      <c r="A16493" t="inlineStr">
        <is>
          <t>27BBBBB16493Z5</t>
        </is>
      </c>
      <c r="B16493" t="inlineStr">
        <is>
          <t>Jun-2020</t>
        </is>
      </c>
      <c r="C16493" s="2" t="n">
        <v>44048</v>
      </c>
      <c r="D16493" t="inlineStr">
        <is>
          <t>NON-NIL</t>
        </is>
      </c>
      <c r="E16493" t="n">
        <v>1550</v>
      </c>
    </row>
    <row r="16494">
      <c r="A16494" t="inlineStr">
        <is>
          <t>27BBBBB16494Z5</t>
        </is>
      </c>
      <c r="B16494" t="inlineStr">
        <is>
          <t>Feb-2018</t>
        </is>
      </c>
      <c r="C16494" s="2" t="n">
        <v>44090</v>
      </c>
      <c r="D16494" t="inlineStr">
        <is>
          <t>NIL</t>
        </is>
      </c>
      <c r="E16494" t="n">
        <v>2604</v>
      </c>
    </row>
    <row r="16495">
      <c r="A16495" t="inlineStr">
        <is>
          <t>27BBBBB16495Z5</t>
        </is>
      </c>
      <c r="B16495" t="inlineStr">
        <is>
          <t>Mar-2023</t>
        </is>
      </c>
      <c r="C16495" s="2" t="n">
        <v>45523</v>
      </c>
      <c r="D16495" t="inlineStr">
        <is>
          <t>NON-NIL</t>
        </is>
      </c>
      <c r="E16495" t="n">
        <v>1398</v>
      </c>
    </row>
    <row r="16496">
      <c r="A16496" t="inlineStr">
        <is>
          <t>27BBBBB16496Z5</t>
        </is>
      </c>
      <c r="B16496" t="inlineStr">
        <is>
          <t>Oct-2017</t>
        </is>
      </c>
      <c r="C16496" s="2" t="n">
        <v>43717</v>
      </c>
      <c r="D16496" t="inlineStr">
        <is>
          <t>NIL</t>
        </is>
      </c>
      <c r="E16496" t="n">
        <v>1051</v>
      </c>
    </row>
    <row r="16497">
      <c r="A16497" t="inlineStr">
        <is>
          <t>27BBBBB16497Z5</t>
        </is>
      </c>
      <c r="B16497" t="inlineStr">
        <is>
          <t>Mar-2023</t>
        </is>
      </c>
      <c r="C16497" s="2" t="n">
        <v>45649</v>
      </c>
      <c r="D16497" t="inlineStr">
        <is>
          <t>NON-NIL</t>
        </is>
      </c>
      <c r="E16497" t="n">
        <v>2367</v>
      </c>
    </row>
    <row r="16498">
      <c r="A16498" t="inlineStr">
        <is>
          <t>27BBBBB16498Z5</t>
        </is>
      </c>
      <c r="B16498" t="inlineStr">
        <is>
          <t>Mar-2021</t>
        </is>
      </c>
      <c r="C16498" s="2" t="n">
        <v>43930</v>
      </c>
      <c r="D16498" t="inlineStr">
        <is>
          <t>NIL</t>
        </is>
      </c>
      <c r="E16498" t="n">
        <v>2509</v>
      </c>
    </row>
    <row r="16499">
      <c r="A16499" t="inlineStr">
        <is>
          <t>27BBBBB16499Z5</t>
        </is>
      </c>
      <c r="B16499" t="inlineStr">
        <is>
          <t>Aug-2017</t>
        </is>
      </c>
      <c r="C16499" s="2" t="n">
        <v>43794</v>
      </c>
      <c r="D16499" t="inlineStr">
        <is>
          <t>NON-NIL</t>
        </is>
      </c>
      <c r="E16499" t="n">
        <v>2862</v>
      </c>
    </row>
    <row r="16500">
      <c r="A16500" t="inlineStr">
        <is>
          <t>27BBBBB16500Z5</t>
        </is>
      </c>
      <c r="B16500" t="inlineStr">
        <is>
          <t>Dec-2018</t>
        </is>
      </c>
      <c r="C16500" s="2" t="n">
        <v>43282</v>
      </c>
      <c r="D16500" t="inlineStr">
        <is>
          <t>NIL</t>
        </is>
      </c>
      <c r="E16500" t="n">
        <v>459</v>
      </c>
    </row>
    <row r="16501">
      <c r="A16501" t="inlineStr">
        <is>
          <t>27BBBBB16501Z5</t>
        </is>
      </c>
      <c r="B16501" t="inlineStr">
        <is>
          <t>Oct-2017</t>
        </is>
      </c>
      <c r="C16501" s="2" t="n">
        <v>43371</v>
      </c>
      <c r="D16501" t="inlineStr">
        <is>
          <t>NON-NIL</t>
        </is>
      </c>
      <c r="E16501" t="n">
        <v>2553</v>
      </c>
    </row>
    <row r="16502">
      <c r="A16502" t="inlineStr">
        <is>
          <t>27BBBBB16502Z5</t>
        </is>
      </c>
      <c r="B16502" t="inlineStr">
        <is>
          <t>Oct-2017</t>
        </is>
      </c>
      <c r="C16502" s="2" t="n">
        <v>44206</v>
      </c>
      <c r="D16502" t="inlineStr">
        <is>
          <t>NON-NIL</t>
        </is>
      </c>
      <c r="E16502" t="n">
        <v>431</v>
      </c>
    </row>
    <row r="16503">
      <c r="A16503" t="inlineStr">
        <is>
          <t>27BBBBB16503Z5</t>
        </is>
      </c>
      <c r="B16503" t="inlineStr">
        <is>
          <t>Jan-2018</t>
        </is>
      </c>
      <c r="C16503" s="2" t="n">
        <v>43746</v>
      </c>
      <c r="D16503" t="inlineStr">
        <is>
          <t>NON-NIL</t>
        </is>
      </c>
      <c r="E16503" t="n">
        <v>2004</v>
      </c>
    </row>
    <row r="16504">
      <c r="A16504" t="inlineStr">
        <is>
          <t>27BBBBB16504Z5</t>
        </is>
      </c>
      <c r="B16504" t="inlineStr">
        <is>
          <t>Jul-2017</t>
        </is>
      </c>
      <c r="C16504" s="2" t="n">
        <v>43578</v>
      </c>
      <c r="D16504" t="inlineStr">
        <is>
          <t>NON-NIL</t>
        </is>
      </c>
      <c r="E16504" t="n">
        <v>2850</v>
      </c>
    </row>
    <row r="16505">
      <c r="A16505" t="inlineStr">
        <is>
          <t>27BBBBB16505Z5</t>
        </is>
      </c>
      <c r="B16505" t="inlineStr">
        <is>
          <t>Dec-2018</t>
        </is>
      </c>
      <c r="C16505" s="2" t="n">
        <v>43266</v>
      </c>
      <c r="D16505" t="inlineStr">
        <is>
          <t>NIL</t>
        </is>
      </c>
      <c r="E16505" t="n">
        <v>2507</v>
      </c>
    </row>
    <row r="16506">
      <c r="A16506" t="inlineStr">
        <is>
          <t>27BBBBB16506Z5</t>
        </is>
      </c>
      <c r="B16506" t="inlineStr">
        <is>
          <t>Nov-2018</t>
        </is>
      </c>
      <c r="C16506" s="2" t="n">
        <v>43442</v>
      </c>
      <c r="D16506" t="inlineStr">
        <is>
          <t>NON-NIL</t>
        </is>
      </c>
      <c r="E16506" t="n">
        <v>2254</v>
      </c>
    </row>
    <row r="16507">
      <c r="A16507" t="inlineStr">
        <is>
          <t>27BBBBB16507Z5</t>
        </is>
      </c>
      <c r="B16507" t="inlineStr">
        <is>
          <t>Jan-2018</t>
        </is>
      </c>
      <c r="C16507" s="2" t="n">
        <v>43617</v>
      </c>
      <c r="D16507" t="inlineStr">
        <is>
          <t>NIL</t>
        </is>
      </c>
      <c r="E16507" t="n">
        <v>431</v>
      </c>
    </row>
    <row r="16508">
      <c r="A16508" t="inlineStr">
        <is>
          <t>27BBBBB16508Z5</t>
        </is>
      </c>
      <c r="B16508" t="inlineStr">
        <is>
          <t>Aug-2018</t>
        </is>
      </c>
      <c r="C16508" s="2" t="n">
        <v>44117</v>
      </c>
      <c r="D16508" t="inlineStr">
        <is>
          <t>NIL</t>
        </is>
      </c>
      <c r="E16508" t="n">
        <v>2471</v>
      </c>
    </row>
    <row r="16509">
      <c r="A16509" t="inlineStr">
        <is>
          <t>27BBBBB16509Z5</t>
        </is>
      </c>
      <c r="B16509" t="inlineStr">
        <is>
          <t>Jun-2020</t>
        </is>
      </c>
      <c r="C16509" s="2" t="n">
        <v>44325</v>
      </c>
      <c r="D16509" t="inlineStr">
        <is>
          <t>NIL</t>
        </is>
      </c>
      <c r="E16509" t="n">
        <v>2653</v>
      </c>
    </row>
    <row r="16510">
      <c r="A16510" t="inlineStr">
        <is>
          <t>27BBBBB16510Z5</t>
        </is>
      </c>
      <c r="B16510" t="inlineStr">
        <is>
          <t>Aug-2018</t>
        </is>
      </c>
      <c r="C16510" s="2" t="n">
        <v>43124</v>
      </c>
      <c r="D16510" t="inlineStr">
        <is>
          <t>NON-NIL</t>
        </is>
      </c>
      <c r="E16510" t="n">
        <v>2315</v>
      </c>
    </row>
    <row r="16511">
      <c r="A16511" t="inlineStr">
        <is>
          <t>27BBBBB16511Z5</t>
        </is>
      </c>
      <c r="B16511" t="inlineStr">
        <is>
          <t>Aug-2017</t>
        </is>
      </c>
      <c r="C16511" s="2" t="n">
        <v>43858</v>
      </c>
      <c r="D16511" t="inlineStr">
        <is>
          <t>NIL</t>
        </is>
      </c>
      <c r="E16511" t="n">
        <v>1791</v>
      </c>
    </row>
    <row r="16512">
      <c r="A16512" t="inlineStr">
        <is>
          <t>27BBBBB16512Z5</t>
        </is>
      </c>
      <c r="B16512" t="inlineStr">
        <is>
          <t>Aug-2018</t>
        </is>
      </c>
      <c r="C16512" s="2" t="n">
        <v>44239</v>
      </c>
      <c r="D16512" t="inlineStr">
        <is>
          <t>NON-NIL</t>
        </is>
      </c>
      <c r="E16512" t="n">
        <v>287</v>
      </c>
    </row>
    <row r="16513">
      <c r="A16513" t="inlineStr">
        <is>
          <t>27BBBBB16513Z5</t>
        </is>
      </c>
      <c r="B16513" t="inlineStr">
        <is>
          <t>Aug-2018</t>
        </is>
      </c>
      <c r="C16513" s="2" t="n">
        <v>43196</v>
      </c>
      <c r="D16513" t="inlineStr">
        <is>
          <t>NON-NIL</t>
        </is>
      </c>
      <c r="E16513" t="n">
        <v>1581</v>
      </c>
    </row>
    <row r="16514">
      <c r="A16514" t="inlineStr">
        <is>
          <t>27BBBBB16514Z5</t>
        </is>
      </c>
      <c r="B16514" t="inlineStr">
        <is>
          <t>Nov-2017</t>
        </is>
      </c>
      <c r="C16514" s="2" t="n">
        <v>43690</v>
      </c>
      <c r="D16514" t="inlineStr">
        <is>
          <t>NON-NIL</t>
        </is>
      </c>
      <c r="E16514" t="n">
        <v>1459</v>
      </c>
    </row>
    <row r="16515">
      <c r="A16515" t="inlineStr">
        <is>
          <t>27BBBBB16515Z5</t>
        </is>
      </c>
      <c r="B16515" t="inlineStr">
        <is>
          <t>Oct-2018</t>
        </is>
      </c>
      <c r="C16515" s="2" t="n">
        <v>44011</v>
      </c>
      <c r="D16515" t="inlineStr">
        <is>
          <t>NIL</t>
        </is>
      </c>
      <c r="E16515" t="n">
        <v>1581</v>
      </c>
    </row>
    <row r="16516">
      <c r="A16516" t="inlineStr">
        <is>
          <t>27BBBBB16516Z5</t>
        </is>
      </c>
      <c r="B16516" t="inlineStr">
        <is>
          <t>Jun-2018</t>
        </is>
      </c>
      <c r="C16516" s="2" t="n">
        <v>43859</v>
      </c>
      <c r="D16516" t="inlineStr">
        <is>
          <t>NON-NIL</t>
        </is>
      </c>
      <c r="E16516" t="n">
        <v>1535</v>
      </c>
    </row>
    <row r="16517">
      <c r="A16517" t="inlineStr">
        <is>
          <t>27BBBBB16517Z5</t>
        </is>
      </c>
      <c r="B16517" t="inlineStr">
        <is>
          <t>Dec-2022</t>
        </is>
      </c>
      <c r="C16517" s="2" t="n">
        <v>45565</v>
      </c>
      <c r="D16517" t="inlineStr">
        <is>
          <t>NIL</t>
        </is>
      </c>
      <c r="E16517" t="n">
        <v>598</v>
      </c>
    </row>
    <row r="16518">
      <c r="A16518" t="inlineStr">
        <is>
          <t>27BBBBB16518Z5</t>
        </is>
      </c>
      <c r="B16518" t="inlineStr">
        <is>
          <t>Nov-2018</t>
        </is>
      </c>
      <c r="C16518" s="2" t="n">
        <v>44229</v>
      </c>
      <c r="D16518" t="inlineStr">
        <is>
          <t>NIL</t>
        </is>
      </c>
      <c r="E16518" t="n">
        <v>1134</v>
      </c>
    </row>
    <row r="16519">
      <c r="A16519" t="inlineStr">
        <is>
          <t>27BBBBB16519Z5</t>
        </is>
      </c>
      <c r="B16519" t="inlineStr">
        <is>
          <t>Aug-2017</t>
        </is>
      </c>
      <c r="C16519" s="2" t="n">
        <v>44411</v>
      </c>
      <c r="D16519" t="inlineStr">
        <is>
          <t>NIL</t>
        </is>
      </c>
      <c r="E16519" t="n">
        <v>2815</v>
      </c>
    </row>
    <row r="16520">
      <c r="A16520" t="inlineStr">
        <is>
          <t>27BBBBB16520Z5</t>
        </is>
      </c>
      <c r="B16520" t="inlineStr">
        <is>
          <t>Jan-2021</t>
        </is>
      </c>
      <c r="C16520" s="2" t="n">
        <v>43881</v>
      </c>
      <c r="D16520" t="inlineStr">
        <is>
          <t>NIL</t>
        </is>
      </c>
      <c r="E16520" t="n">
        <v>337</v>
      </c>
    </row>
    <row r="16521">
      <c r="A16521" t="inlineStr">
        <is>
          <t>27BBBBB16521Z5</t>
        </is>
      </c>
      <c r="B16521" t="inlineStr">
        <is>
          <t>Mar-2020</t>
        </is>
      </c>
      <c r="C16521" s="2" t="n">
        <v>44190</v>
      </c>
      <c r="D16521" t="inlineStr">
        <is>
          <t>NIL</t>
        </is>
      </c>
      <c r="E16521" t="n">
        <v>2970</v>
      </c>
    </row>
    <row r="16522">
      <c r="A16522" t="inlineStr">
        <is>
          <t>27BBBBB16522Z5</t>
        </is>
      </c>
      <c r="B16522" t="inlineStr">
        <is>
          <t>Sep-2018</t>
        </is>
      </c>
      <c r="C16522" s="2" t="n">
        <v>43014</v>
      </c>
      <c r="D16522" t="inlineStr">
        <is>
          <t>NIL</t>
        </is>
      </c>
      <c r="E16522" t="n">
        <v>1721</v>
      </c>
    </row>
    <row r="16523">
      <c r="A16523" t="inlineStr">
        <is>
          <t>27BBBBB16523Z5</t>
        </is>
      </c>
      <c r="B16523" t="inlineStr">
        <is>
          <t>Jul-2018</t>
        </is>
      </c>
      <c r="C16523" s="2" t="n">
        <v>44089</v>
      </c>
      <c r="D16523" t="inlineStr">
        <is>
          <t>NIL</t>
        </is>
      </c>
      <c r="E16523" t="n">
        <v>2450</v>
      </c>
    </row>
    <row r="16524">
      <c r="A16524" t="inlineStr">
        <is>
          <t>27BBBBB16524Z5</t>
        </is>
      </c>
      <c r="B16524" t="inlineStr">
        <is>
          <t>Mar-2023</t>
        </is>
      </c>
      <c r="C16524" s="2" t="n">
        <v>43938</v>
      </c>
      <c r="D16524" t="inlineStr">
        <is>
          <t>NON-NIL</t>
        </is>
      </c>
      <c r="E16524" t="n">
        <v>1993</v>
      </c>
    </row>
    <row r="16525">
      <c r="A16525" t="inlineStr">
        <is>
          <t>27BBBBB16525Z5</t>
        </is>
      </c>
      <c r="B16525" t="inlineStr">
        <is>
          <t>Dec-2017</t>
        </is>
      </c>
      <c r="C16525" s="2" t="n">
        <v>43716</v>
      </c>
      <c r="D16525" t="inlineStr">
        <is>
          <t>NON-NIL</t>
        </is>
      </c>
      <c r="E16525" t="n">
        <v>649</v>
      </c>
    </row>
    <row r="16526">
      <c r="A16526" t="inlineStr">
        <is>
          <t>27BBBBB16526Z5</t>
        </is>
      </c>
      <c r="B16526" t="inlineStr">
        <is>
          <t>Jun-2020</t>
        </is>
      </c>
      <c r="C16526" s="2" t="n">
        <v>44028</v>
      </c>
      <c r="D16526" t="inlineStr">
        <is>
          <t>NIL</t>
        </is>
      </c>
      <c r="E16526" t="n">
        <v>1783</v>
      </c>
    </row>
    <row r="16527">
      <c r="A16527" t="inlineStr">
        <is>
          <t>27BBBBB16527Z5</t>
        </is>
      </c>
      <c r="B16527" t="inlineStr">
        <is>
          <t>Jun-2018</t>
        </is>
      </c>
      <c r="C16527" s="2" t="n">
        <v>44315</v>
      </c>
      <c r="D16527" t="inlineStr">
        <is>
          <t>NIL</t>
        </is>
      </c>
      <c r="E16527" t="n">
        <v>1079</v>
      </c>
    </row>
    <row r="16528">
      <c r="A16528" t="inlineStr">
        <is>
          <t>27BBBBB16528Z5</t>
        </is>
      </c>
      <c r="B16528" t="inlineStr">
        <is>
          <t>Jan-2018</t>
        </is>
      </c>
      <c r="C16528" s="2" t="n">
        <v>44080</v>
      </c>
      <c r="D16528" t="inlineStr">
        <is>
          <t>NON-NIL</t>
        </is>
      </c>
      <c r="E16528" t="n">
        <v>839</v>
      </c>
    </row>
    <row r="16529">
      <c r="A16529" t="inlineStr">
        <is>
          <t>27BBBBB16529Z5</t>
        </is>
      </c>
      <c r="B16529" t="inlineStr">
        <is>
          <t>Dec-2022</t>
        </is>
      </c>
      <c r="C16529" s="2" t="n">
        <v>44828</v>
      </c>
      <c r="D16529" t="inlineStr">
        <is>
          <t>NON-NIL</t>
        </is>
      </c>
      <c r="E16529" t="n">
        <v>2641</v>
      </c>
    </row>
    <row r="16530">
      <c r="A16530" t="inlineStr">
        <is>
          <t>27BBBBB16530Z5</t>
        </is>
      </c>
      <c r="B16530" t="inlineStr">
        <is>
          <t>Dec-2018</t>
        </is>
      </c>
      <c r="C16530" s="2" t="n">
        <v>44257</v>
      </c>
      <c r="D16530" t="inlineStr">
        <is>
          <t>NON-NIL</t>
        </is>
      </c>
      <c r="E16530" t="n">
        <v>2895</v>
      </c>
    </row>
    <row r="16531">
      <c r="A16531" t="inlineStr">
        <is>
          <t>27BBBBB16531Z5</t>
        </is>
      </c>
      <c r="B16531" t="inlineStr">
        <is>
          <t>Jul-2017</t>
        </is>
      </c>
      <c r="C16531" s="2" t="n">
        <v>42995</v>
      </c>
      <c r="D16531" t="inlineStr">
        <is>
          <t>NON-NIL</t>
        </is>
      </c>
      <c r="E16531" t="n">
        <v>2890</v>
      </c>
    </row>
    <row r="16532">
      <c r="A16532" t="inlineStr">
        <is>
          <t>27BBBBB16532Z5</t>
        </is>
      </c>
      <c r="B16532" t="inlineStr">
        <is>
          <t>Dec-2022</t>
        </is>
      </c>
      <c r="C16532" s="2" t="n">
        <v>44874</v>
      </c>
      <c r="D16532" t="inlineStr">
        <is>
          <t>NON-NIL</t>
        </is>
      </c>
      <c r="E16532" t="n">
        <v>313</v>
      </c>
    </row>
    <row r="16533">
      <c r="A16533" t="inlineStr">
        <is>
          <t>27BBBBB16533Z5</t>
        </is>
      </c>
      <c r="B16533" t="inlineStr">
        <is>
          <t>May-2018</t>
        </is>
      </c>
      <c r="C16533" s="2" t="n">
        <v>43954</v>
      </c>
      <c r="D16533" t="inlineStr">
        <is>
          <t>NON-NIL</t>
        </is>
      </c>
      <c r="E16533" t="n">
        <v>943</v>
      </c>
    </row>
    <row r="16534">
      <c r="A16534" t="inlineStr">
        <is>
          <t>27BBBBB16534Z5</t>
        </is>
      </c>
      <c r="B16534" t="inlineStr">
        <is>
          <t>May-2018</t>
        </is>
      </c>
      <c r="C16534" s="2" t="n">
        <v>44063</v>
      </c>
      <c r="D16534" t="inlineStr">
        <is>
          <t>NIL</t>
        </is>
      </c>
      <c r="E16534" t="n">
        <v>1258</v>
      </c>
    </row>
    <row r="16535">
      <c r="A16535" t="inlineStr">
        <is>
          <t>27BBBBB16535Z5</t>
        </is>
      </c>
      <c r="B16535" t="inlineStr">
        <is>
          <t>Apr-2020</t>
        </is>
      </c>
      <c r="C16535" s="2" t="n">
        <v>43959</v>
      </c>
      <c r="D16535" t="inlineStr">
        <is>
          <t>NIL</t>
        </is>
      </c>
      <c r="E16535" t="n">
        <v>1205</v>
      </c>
    </row>
    <row r="16536">
      <c r="A16536" t="inlineStr">
        <is>
          <t>27BBBBB16536Z5</t>
        </is>
      </c>
      <c r="B16536" t="inlineStr">
        <is>
          <t>Jan-2018</t>
        </is>
      </c>
      <c r="C16536" s="2" t="n">
        <v>43810</v>
      </c>
      <c r="D16536" t="inlineStr">
        <is>
          <t>NON-NIL</t>
        </is>
      </c>
      <c r="E16536" t="n">
        <v>1455</v>
      </c>
    </row>
    <row r="16537">
      <c r="A16537" t="inlineStr">
        <is>
          <t>27BBBBB16537Z5</t>
        </is>
      </c>
      <c r="B16537" t="inlineStr">
        <is>
          <t>Jul-2020</t>
        </is>
      </c>
      <c r="C16537" s="2" t="n">
        <v>43902</v>
      </c>
      <c r="D16537" t="inlineStr">
        <is>
          <t>NIL</t>
        </is>
      </c>
      <c r="E16537" t="n">
        <v>1594</v>
      </c>
    </row>
    <row r="16538">
      <c r="A16538" t="inlineStr">
        <is>
          <t>27BBBBB16538Z5</t>
        </is>
      </c>
      <c r="B16538" t="inlineStr">
        <is>
          <t>Aug-2018</t>
        </is>
      </c>
      <c r="C16538" s="2" t="n">
        <v>43238</v>
      </c>
      <c r="D16538" t="inlineStr">
        <is>
          <t>NIL</t>
        </is>
      </c>
      <c r="E16538" t="n">
        <v>1999</v>
      </c>
    </row>
    <row r="16539">
      <c r="A16539" t="inlineStr">
        <is>
          <t>27BBBBB16539Z5</t>
        </is>
      </c>
      <c r="B16539" t="inlineStr">
        <is>
          <t>Oct-2018</t>
        </is>
      </c>
      <c r="C16539" s="2" t="n">
        <v>43092</v>
      </c>
      <c r="D16539" t="inlineStr">
        <is>
          <t>NIL</t>
        </is>
      </c>
      <c r="E16539" t="n">
        <v>437</v>
      </c>
    </row>
    <row r="16540">
      <c r="A16540" t="inlineStr">
        <is>
          <t>27BBBBB16540Z5</t>
        </is>
      </c>
      <c r="B16540" t="inlineStr">
        <is>
          <t>Jul-2017</t>
        </is>
      </c>
      <c r="C16540" s="2" t="n">
        <v>43256</v>
      </c>
      <c r="D16540" t="inlineStr">
        <is>
          <t>NIL</t>
        </is>
      </c>
      <c r="E16540" t="n">
        <v>2655</v>
      </c>
    </row>
    <row r="16541">
      <c r="A16541" t="inlineStr">
        <is>
          <t>27BBBBB16541Z5</t>
        </is>
      </c>
      <c r="B16541" t="inlineStr">
        <is>
          <t>Oct-2018</t>
        </is>
      </c>
      <c r="C16541" s="2" t="n">
        <v>43540</v>
      </c>
      <c r="D16541" t="inlineStr">
        <is>
          <t>NIL</t>
        </is>
      </c>
      <c r="E16541" t="n">
        <v>2883</v>
      </c>
    </row>
    <row r="16542">
      <c r="A16542" t="inlineStr">
        <is>
          <t>27BBBBB16542Z5</t>
        </is>
      </c>
      <c r="B16542" t="inlineStr">
        <is>
          <t>Nov-2017</t>
        </is>
      </c>
      <c r="C16542" s="2" t="n">
        <v>44518</v>
      </c>
      <c r="D16542" t="inlineStr">
        <is>
          <t>NIL</t>
        </is>
      </c>
      <c r="E16542" t="n">
        <v>227</v>
      </c>
    </row>
    <row r="16543">
      <c r="A16543" t="inlineStr">
        <is>
          <t>27BBBBB16543Z5</t>
        </is>
      </c>
      <c r="B16543" t="inlineStr">
        <is>
          <t>May-2018</t>
        </is>
      </c>
      <c r="C16543" s="2" t="n">
        <v>43804</v>
      </c>
      <c r="D16543" t="inlineStr">
        <is>
          <t>NIL</t>
        </is>
      </c>
      <c r="E16543" t="n">
        <v>486</v>
      </c>
    </row>
    <row r="16544">
      <c r="A16544" t="inlineStr">
        <is>
          <t>27BBBBB16544Z5</t>
        </is>
      </c>
      <c r="B16544" t="inlineStr">
        <is>
          <t>Mar-2021</t>
        </is>
      </c>
      <c r="C16544" s="2" t="n">
        <v>45280</v>
      </c>
      <c r="D16544" t="inlineStr">
        <is>
          <t>NIL</t>
        </is>
      </c>
      <c r="E16544" t="n">
        <v>1634</v>
      </c>
    </row>
    <row r="16545">
      <c r="A16545" t="inlineStr">
        <is>
          <t>27BBBBB16545Z5</t>
        </is>
      </c>
      <c r="B16545" t="inlineStr">
        <is>
          <t>Dec-2024</t>
        </is>
      </c>
      <c r="C16545" s="2" t="n">
        <v>44558</v>
      </c>
      <c r="D16545" t="inlineStr">
        <is>
          <t>NON-NIL</t>
        </is>
      </c>
      <c r="E16545" t="n">
        <v>1114</v>
      </c>
    </row>
    <row r="16546">
      <c r="A16546" t="inlineStr">
        <is>
          <t>27BBBBB16546Z5</t>
        </is>
      </c>
      <c r="B16546" t="inlineStr">
        <is>
          <t>Apr-2018</t>
        </is>
      </c>
      <c r="C16546" s="2" t="n">
        <v>43159</v>
      </c>
      <c r="D16546" t="inlineStr">
        <is>
          <t>NIL</t>
        </is>
      </c>
      <c r="E16546" t="n">
        <v>2909</v>
      </c>
    </row>
    <row r="16547">
      <c r="A16547" t="inlineStr">
        <is>
          <t>27BBBBB16547Z5</t>
        </is>
      </c>
      <c r="B16547" t="inlineStr">
        <is>
          <t>Dec-2017</t>
        </is>
      </c>
      <c r="C16547" s="2" t="n">
        <v>44476</v>
      </c>
      <c r="D16547" t="inlineStr">
        <is>
          <t>NON-NIL</t>
        </is>
      </c>
      <c r="E16547" t="n">
        <v>289</v>
      </c>
    </row>
    <row r="16548">
      <c r="A16548" t="inlineStr">
        <is>
          <t>27BBBBB16548Z5</t>
        </is>
      </c>
      <c r="B16548" t="inlineStr">
        <is>
          <t>Sep-2018</t>
        </is>
      </c>
      <c r="C16548" s="2" t="n">
        <v>43356</v>
      </c>
      <c r="D16548" t="inlineStr">
        <is>
          <t>NON-NIL</t>
        </is>
      </c>
      <c r="E16548" t="n">
        <v>347</v>
      </c>
    </row>
    <row r="16549">
      <c r="A16549" t="inlineStr">
        <is>
          <t>27BBBBB16549Z5</t>
        </is>
      </c>
      <c r="B16549" t="inlineStr">
        <is>
          <t>May-2020</t>
        </is>
      </c>
      <c r="C16549" s="2" t="n">
        <v>44835</v>
      </c>
      <c r="D16549" t="inlineStr">
        <is>
          <t>NON-NIL</t>
        </is>
      </c>
      <c r="E16549" t="n">
        <v>121</v>
      </c>
    </row>
    <row r="16550">
      <c r="A16550" t="inlineStr">
        <is>
          <t>27BBBBB16550Z5</t>
        </is>
      </c>
      <c r="B16550" t="inlineStr">
        <is>
          <t>Jun-2020</t>
        </is>
      </c>
      <c r="C16550" s="2" t="n">
        <v>44214</v>
      </c>
      <c r="D16550" t="inlineStr">
        <is>
          <t>NIL</t>
        </is>
      </c>
      <c r="E16550" t="n">
        <v>1977</v>
      </c>
    </row>
    <row r="16551">
      <c r="A16551" t="inlineStr">
        <is>
          <t>27BBBBB16551Z5</t>
        </is>
      </c>
      <c r="B16551" t="inlineStr">
        <is>
          <t>Dec-2018</t>
        </is>
      </c>
      <c r="C16551" s="2" t="n">
        <v>43375</v>
      </c>
      <c r="D16551" t="inlineStr">
        <is>
          <t>NIL</t>
        </is>
      </c>
      <c r="E16551" t="n">
        <v>496</v>
      </c>
    </row>
    <row r="16552">
      <c r="A16552" t="inlineStr">
        <is>
          <t>27BBBBB16552Z5</t>
        </is>
      </c>
      <c r="B16552" t="inlineStr">
        <is>
          <t>Jul-2018</t>
        </is>
      </c>
      <c r="C16552" s="2" t="n">
        <v>44093</v>
      </c>
      <c r="D16552" t="inlineStr">
        <is>
          <t>NON-NIL</t>
        </is>
      </c>
      <c r="E16552" t="n">
        <v>599</v>
      </c>
    </row>
    <row r="16553">
      <c r="A16553" t="inlineStr">
        <is>
          <t>27BBBBB16553Z5</t>
        </is>
      </c>
      <c r="B16553" t="inlineStr">
        <is>
          <t>Feb-2018</t>
        </is>
      </c>
      <c r="C16553" s="2" t="n">
        <v>43664</v>
      </c>
      <c r="D16553" t="inlineStr">
        <is>
          <t>NIL</t>
        </is>
      </c>
      <c r="E16553" t="n">
        <v>2307</v>
      </c>
    </row>
    <row r="16554">
      <c r="A16554" t="inlineStr">
        <is>
          <t>27BBBBB16554Z5</t>
        </is>
      </c>
      <c r="B16554" t="inlineStr">
        <is>
          <t>Dec-2017</t>
        </is>
      </c>
      <c r="C16554" s="2" t="n">
        <v>44260</v>
      </c>
      <c r="D16554" t="inlineStr">
        <is>
          <t>NIL</t>
        </is>
      </c>
      <c r="E16554" t="n">
        <v>225</v>
      </c>
    </row>
    <row r="16555">
      <c r="A16555" t="inlineStr">
        <is>
          <t>27BBBBB16555Z5</t>
        </is>
      </c>
      <c r="B16555" t="inlineStr">
        <is>
          <t>Mar-2020</t>
        </is>
      </c>
      <c r="C16555" s="2" t="n">
        <v>43945</v>
      </c>
      <c r="D16555" t="inlineStr">
        <is>
          <t>NIL</t>
        </is>
      </c>
      <c r="E16555" t="n">
        <v>662</v>
      </c>
    </row>
    <row r="16556">
      <c r="A16556" t="inlineStr">
        <is>
          <t>27BBBBB16556Z5</t>
        </is>
      </c>
      <c r="B16556" t="inlineStr">
        <is>
          <t>Dec-2024</t>
        </is>
      </c>
      <c r="C16556" s="2" t="n">
        <v>44599</v>
      </c>
      <c r="D16556" t="inlineStr">
        <is>
          <t>NIL</t>
        </is>
      </c>
      <c r="E16556" t="n">
        <v>113</v>
      </c>
    </row>
    <row r="16557">
      <c r="A16557" t="inlineStr">
        <is>
          <t>27BBBBB16557Z5</t>
        </is>
      </c>
      <c r="B16557" t="inlineStr">
        <is>
          <t>Sep-2018</t>
        </is>
      </c>
      <c r="C16557" s="2" t="n">
        <v>43254</v>
      </c>
      <c r="D16557" t="inlineStr">
        <is>
          <t>NIL</t>
        </is>
      </c>
      <c r="E16557" t="n">
        <v>544</v>
      </c>
    </row>
    <row r="16558">
      <c r="A16558" t="inlineStr">
        <is>
          <t>27BBBBB16558Z5</t>
        </is>
      </c>
      <c r="B16558" t="inlineStr">
        <is>
          <t>Oct-2017</t>
        </is>
      </c>
      <c r="C16558" s="2" t="n">
        <v>43978</v>
      </c>
      <c r="D16558" t="inlineStr">
        <is>
          <t>NON-NIL</t>
        </is>
      </c>
      <c r="E16558" t="n">
        <v>2250</v>
      </c>
    </row>
    <row r="16559">
      <c r="A16559" t="inlineStr">
        <is>
          <t>27BBBBB16559Z5</t>
        </is>
      </c>
      <c r="B16559" t="inlineStr">
        <is>
          <t>Jan-2021</t>
        </is>
      </c>
      <c r="C16559" s="2" t="n">
        <v>44783</v>
      </c>
      <c r="D16559" t="inlineStr">
        <is>
          <t>NON-NIL</t>
        </is>
      </c>
      <c r="E16559" t="n">
        <v>2644</v>
      </c>
    </row>
    <row r="16560">
      <c r="A16560" t="inlineStr">
        <is>
          <t>27BBBBB16560Z5</t>
        </is>
      </c>
      <c r="B16560" t="inlineStr">
        <is>
          <t>Dec-2017</t>
        </is>
      </c>
      <c r="C16560" s="2" t="n">
        <v>43896</v>
      </c>
      <c r="D16560" t="inlineStr">
        <is>
          <t>NIL</t>
        </is>
      </c>
      <c r="E16560" t="n">
        <v>719</v>
      </c>
    </row>
    <row r="16561">
      <c r="A16561" t="inlineStr">
        <is>
          <t>27BBBBB16561Z5</t>
        </is>
      </c>
      <c r="B16561" t="inlineStr">
        <is>
          <t>Jul-2017</t>
        </is>
      </c>
      <c r="C16561" s="2" t="n">
        <v>44123</v>
      </c>
      <c r="D16561" t="inlineStr">
        <is>
          <t>NON-NIL</t>
        </is>
      </c>
      <c r="E16561" t="n">
        <v>1329</v>
      </c>
    </row>
    <row r="16562">
      <c r="A16562" t="inlineStr">
        <is>
          <t>27BBBBB16562Z5</t>
        </is>
      </c>
      <c r="B16562" t="inlineStr">
        <is>
          <t>May-2018</t>
        </is>
      </c>
      <c r="C16562" s="2" t="n">
        <v>43845</v>
      </c>
      <c r="D16562" t="inlineStr">
        <is>
          <t>NON-NIL</t>
        </is>
      </c>
      <c r="E16562" t="n">
        <v>2856</v>
      </c>
    </row>
    <row r="16563">
      <c r="A16563" t="inlineStr">
        <is>
          <t>27BBBBB16563Z5</t>
        </is>
      </c>
      <c r="B16563" t="inlineStr">
        <is>
          <t>Aug-2018</t>
        </is>
      </c>
      <c r="C16563" s="2" t="n">
        <v>43320</v>
      </c>
      <c r="D16563" t="inlineStr">
        <is>
          <t>NIL</t>
        </is>
      </c>
      <c r="E16563" t="n">
        <v>1192</v>
      </c>
    </row>
    <row r="16564">
      <c r="A16564" t="inlineStr">
        <is>
          <t>27BBBBB16564Z5</t>
        </is>
      </c>
      <c r="B16564" t="inlineStr">
        <is>
          <t>Mar-2021</t>
        </is>
      </c>
      <c r="C16564" s="2" t="n">
        <v>44455</v>
      </c>
      <c r="D16564" t="inlineStr">
        <is>
          <t>NIL</t>
        </is>
      </c>
      <c r="E16564" t="n">
        <v>463</v>
      </c>
    </row>
    <row r="16565">
      <c r="A16565" t="inlineStr">
        <is>
          <t>27BBBBB16565Z5</t>
        </is>
      </c>
      <c r="B16565" t="inlineStr">
        <is>
          <t>Jun-2020</t>
        </is>
      </c>
      <c r="C16565" s="2" t="n">
        <v>44702</v>
      </c>
      <c r="D16565" t="inlineStr">
        <is>
          <t>NIL</t>
        </is>
      </c>
      <c r="E16565" t="n">
        <v>114</v>
      </c>
    </row>
    <row r="16566">
      <c r="A16566" t="inlineStr">
        <is>
          <t>27BBBBB16566Z5</t>
        </is>
      </c>
      <c r="B16566" t="inlineStr">
        <is>
          <t>Sep-2018</t>
        </is>
      </c>
      <c r="C16566" s="2" t="n">
        <v>43819</v>
      </c>
      <c r="D16566" t="inlineStr">
        <is>
          <t>NON-NIL</t>
        </is>
      </c>
      <c r="E16566" t="n">
        <v>673</v>
      </c>
    </row>
    <row r="16567">
      <c r="A16567" t="inlineStr">
        <is>
          <t>27BBBBB16567Z5</t>
        </is>
      </c>
      <c r="B16567" t="inlineStr">
        <is>
          <t>Dec-2022</t>
        </is>
      </c>
      <c r="C16567" s="2" t="n">
        <v>45311</v>
      </c>
      <c r="D16567" t="inlineStr">
        <is>
          <t>NON-NIL</t>
        </is>
      </c>
      <c r="E16567" t="n">
        <v>1018</v>
      </c>
    </row>
    <row r="16568">
      <c r="A16568" t="inlineStr">
        <is>
          <t>27BBBBB16568Z5</t>
        </is>
      </c>
      <c r="B16568" t="inlineStr">
        <is>
          <t>Nov-2017</t>
        </is>
      </c>
      <c r="C16568" s="2" t="n">
        <v>44438</v>
      </c>
      <c r="D16568" t="inlineStr">
        <is>
          <t>NIL</t>
        </is>
      </c>
      <c r="E16568" t="n">
        <v>1604</v>
      </c>
    </row>
    <row r="16569">
      <c r="A16569" t="inlineStr">
        <is>
          <t>27BBBBB16569Z5</t>
        </is>
      </c>
      <c r="B16569" t="inlineStr">
        <is>
          <t>May-2020</t>
        </is>
      </c>
      <c r="C16569" s="2" t="n">
        <v>44034</v>
      </c>
      <c r="D16569" t="inlineStr">
        <is>
          <t>NIL</t>
        </is>
      </c>
      <c r="E16569" t="n">
        <v>1224</v>
      </c>
    </row>
    <row r="16570">
      <c r="A16570" t="inlineStr">
        <is>
          <t>27BBBBB16570Z5</t>
        </is>
      </c>
      <c r="B16570" t="inlineStr">
        <is>
          <t>Mar-2023</t>
        </is>
      </c>
      <c r="C16570" s="2" t="n">
        <v>43958</v>
      </c>
      <c r="D16570" t="inlineStr">
        <is>
          <t>NIL</t>
        </is>
      </c>
      <c r="E16570" t="n">
        <v>2887</v>
      </c>
    </row>
    <row r="16571">
      <c r="A16571" t="inlineStr">
        <is>
          <t>27BBBBB16571Z5</t>
        </is>
      </c>
      <c r="B16571" t="inlineStr">
        <is>
          <t>Sep-2018</t>
        </is>
      </c>
      <c r="C16571" s="2" t="n">
        <v>43138</v>
      </c>
      <c r="D16571" t="inlineStr">
        <is>
          <t>NIL</t>
        </is>
      </c>
      <c r="E16571" t="n">
        <v>902</v>
      </c>
    </row>
    <row r="16572">
      <c r="A16572" t="inlineStr">
        <is>
          <t>27BBBBB16572Z5</t>
        </is>
      </c>
      <c r="B16572" t="inlineStr">
        <is>
          <t>Mar-2020</t>
        </is>
      </c>
      <c r="C16572" s="2" t="n">
        <v>44760</v>
      </c>
      <c r="D16572" t="inlineStr">
        <is>
          <t>NON-NIL</t>
        </is>
      </c>
      <c r="E16572" t="n">
        <v>1387</v>
      </c>
    </row>
    <row r="16573">
      <c r="A16573" t="inlineStr">
        <is>
          <t>27BBBBB16573Z5</t>
        </is>
      </c>
      <c r="B16573" t="inlineStr">
        <is>
          <t>Aug-2017</t>
        </is>
      </c>
      <c r="C16573" s="2" t="n">
        <v>43249</v>
      </c>
      <c r="D16573" t="inlineStr">
        <is>
          <t>NIL</t>
        </is>
      </c>
      <c r="E16573" t="n">
        <v>1187</v>
      </c>
    </row>
    <row r="16574">
      <c r="A16574" t="inlineStr">
        <is>
          <t>27BBBBB16574Z5</t>
        </is>
      </c>
      <c r="B16574" t="inlineStr">
        <is>
          <t>Jun-2018</t>
        </is>
      </c>
      <c r="C16574" s="2" t="n">
        <v>43401</v>
      </c>
      <c r="D16574" t="inlineStr">
        <is>
          <t>NIL</t>
        </is>
      </c>
      <c r="E16574" t="n">
        <v>370</v>
      </c>
    </row>
    <row r="16575">
      <c r="A16575" t="inlineStr">
        <is>
          <t>27BBBBB16575Z5</t>
        </is>
      </c>
      <c r="B16575" t="inlineStr">
        <is>
          <t>Jun-2018</t>
        </is>
      </c>
      <c r="C16575" s="2" t="n">
        <v>44079</v>
      </c>
      <c r="D16575" t="inlineStr">
        <is>
          <t>NON-NIL</t>
        </is>
      </c>
      <c r="E16575" t="n">
        <v>1217</v>
      </c>
    </row>
    <row r="16576">
      <c r="A16576" t="inlineStr">
        <is>
          <t>27BBBBB16576Z5</t>
        </is>
      </c>
      <c r="B16576" t="inlineStr">
        <is>
          <t>Apr-2020</t>
        </is>
      </c>
      <c r="C16576" s="2" t="n">
        <v>44795</v>
      </c>
      <c r="D16576" t="inlineStr">
        <is>
          <t>NON-NIL</t>
        </is>
      </c>
      <c r="E16576" t="n">
        <v>2819</v>
      </c>
    </row>
    <row r="16577">
      <c r="A16577" t="inlineStr">
        <is>
          <t>27BBBBB16577Z5</t>
        </is>
      </c>
      <c r="B16577" t="inlineStr">
        <is>
          <t>May-2020</t>
        </is>
      </c>
      <c r="C16577" s="2" t="n">
        <v>44681</v>
      </c>
      <c r="D16577" t="inlineStr">
        <is>
          <t>NON-NIL</t>
        </is>
      </c>
      <c r="E16577" t="n">
        <v>815</v>
      </c>
    </row>
    <row r="16578">
      <c r="A16578" t="inlineStr">
        <is>
          <t>27BBBBB16578Z5</t>
        </is>
      </c>
      <c r="B16578" t="inlineStr">
        <is>
          <t>Apr-2020</t>
        </is>
      </c>
      <c r="C16578" s="2" t="n">
        <v>44046</v>
      </c>
      <c r="D16578" t="inlineStr">
        <is>
          <t>NIL</t>
        </is>
      </c>
      <c r="E16578" t="n">
        <v>758</v>
      </c>
    </row>
    <row r="16579">
      <c r="A16579" t="inlineStr">
        <is>
          <t>27BBBBB16579Z5</t>
        </is>
      </c>
      <c r="B16579" t="inlineStr">
        <is>
          <t>Dec-2022</t>
        </is>
      </c>
      <c r="C16579" s="2" t="n">
        <v>45107</v>
      </c>
      <c r="D16579" t="inlineStr">
        <is>
          <t>NIL</t>
        </is>
      </c>
      <c r="E16579" t="n">
        <v>1178</v>
      </c>
    </row>
    <row r="16580">
      <c r="A16580" t="inlineStr">
        <is>
          <t>27BBBBB16580Z5</t>
        </is>
      </c>
      <c r="B16580" t="inlineStr">
        <is>
          <t>Jun-2018</t>
        </is>
      </c>
      <c r="C16580" s="2" t="n">
        <v>43607</v>
      </c>
      <c r="D16580" t="inlineStr">
        <is>
          <t>NIL</t>
        </is>
      </c>
      <c r="E16580" t="n">
        <v>2456</v>
      </c>
    </row>
    <row r="16581">
      <c r="A16581" t="inlineStr">
        <is>
          <t>27BBBBB16581Z5</t>
        </is>
      </c>
      <c r="B16581" t="inlineStr">
        <is>
          <t>Dec-2017</t>
        </is>
      </c>
      <c r="C16581" s="2" t="n">
        <v>43558</v>
      </c>
      <c r="D16581" t="inlineStr">
        <is>
          <t>NON-NIL</t>
        </is>
      </c>
      <c r="E16581" t="n">
        <v>13</v>
      </c>
    </row>
    <row r="16582">
      <c r="A16582" t="inlineStr">
        <is>
          <t>27BBBBB16582Z5</t>
        </is>
      </c>
      <c r="B16582" t="inlineStr">
        <is>
          <t>Nov-2018</t>
        </is>
      </c>
      <c r="C16582" s="2" t="n">
        <v>43391</v>
      </c>
      <c r="D16582" t="inlineStr">
        <is>
          <t>NON-NIL</t>
        </is>
      </c>
      <c r="E16582" t="n">
        <v>1427</v>
      </c>
    </row>
    <row r="16583">
      <c r="A16583" t="inlineStr">
        <is>
          <t>27BBBBB16583Z5</t>
        </is>
      </c>
      <c r="B16583" t="inlineStr">
        <is>
          <t>Sep-2017</t>
        </is>
      </c>
      <c r="C16583" s="2" t="n">
        <v>43219</v>
      </c>
      <c r="D16583" t="inlineStr">
        <is>
          <t>NIL</t>
        </is>
      </c>
      <c r="E16583" t="n">
        <v>2670</v>
      </c>
    </row>
    <row r="16584">
      <c r="A16584" t="inlineStr">
        <is>
          <t>27BBBBB16584Z5</t>
        </is>
      </c>
      <c r="B16584" t="inlineStr">
        <is>
          <t>Apr-2020</t>
        </is>
      </c>
      <c r="C16584" s="2" t="n">
        <v>44488</v>
      </c>
      <c r="D16584" t="inlineStr">
        <is>
          <t>NON-NIL</t>
        </is>
      </c>
      <c r="E16584" t="n">
        <v>190</v>
      </c>
    </row>
    <row r="16585">
      <c r="A16585" t="inlineStr">
        <is>
          <t>27BBBBB16585Z5</t>
        </is>
      </c>
      <c r="B16585" t="inlineStr">
        <is>
          <t>Apr-2020</t>
        </is>
      </c>
      <c r="C16585" s="2" t="n">
        <v>44527</v>
      </c>
      <c r="D16585" t="inlineStr">
        <is>
          <t>NIL</t>
        </is>
      </c>
      <c r="E16585" t="n">
        <v>1765</v>
      </c>
    </row>
    <row r="16586">
      <c r="A16586" t="inlineStr">
        <is>
          <t>27BBBBB16586Z5</t>
        </is>
      </c>
      <c r="B16586" t="inlineStr">
        <is>
          <t>Jan-2018</t>
        </is>
      </c>
      <c r="C16586" s="2" t="n">
        <v>43691</v>
      </c>
      <c r="D16586" t="inlineStr">
        <is>
          <t>NIL</t>
        </is>
      </c>
      <c r="E16586" t="n">
        <v>1814</v>
      </c>
    </row>
    <row r="16587">
      <c r="A16587" t="inlineStr">
        <is>
          <t>27BBBBB16587Z5</t>
        </is>
      </c>
      <c r="B16587" t="inlineStr">
        <is>
          <t>Mar-2018</t>
        </is>
      </c>
      <c r="C16587" s="2" t="n">
        <v>43279</v>
      </c>
      <c r="D16587" t="inlineStr">
        <is>
          <t>NIL</t>
        </is>
      </c>
      <c r="E16587" t="n">
        <v>1320</v>
      </c>
    </row>
    <row r="16588">
      <c r="A16588" t="inlineStr">
        <is>
          <t>27BBBBB16588Z5</t>
        </is>
      </c>
      <c r="B16588" t="inlineStr">
        <is>
          <t>Dec-2018</t>
        </is>
      </c>
      <c r="C16588" s="2" t="n">
        <v>43562</v>
      </c>
      <c r="D16588" t="inlineStr">
        <is>
          <t>NIL</t>
        </is>
      </c>
      <c r="E16588" t="n">
        <v>2360</v>
      </c>
    </row>
    <row r="16589">
      <c r="A16589" t="inlineStr">
        <is>
          <t>27BBBBB16589Z5</t>
        </is>
      </c>
      <c r="B16589" t="inlineStr">
        <is>
          <t>Aug-2018</t>
        </is>
      </c>
      <c r="C16589" s="2" t="n">
        <v>43411</v>
      </c>
      <c r="D16589" t="inlineStr">
        <is>
          <t>NON-NIL</t>
        </is>
      </c>
      <c r="E16589" t="n">
        <v>104</v>
      </c>
    </row>
    <row r="16590">
      <c r="A16590" t="inlineStr">
        <is>
          <t>27BBBBB16590Z5</t>
        </is>
      </c>
      <c r="B16590" t="inlineStr">
        <is>
          <t>Nov-2017</t>
        </is>
      </c>
      <c r="C16590" s="2" t="n">
        <v>44106</v>
      </c>
      <c r="D16590" t="inlineStr">
        <is>
          <t>NIL</t>
        </is>
      </c>
      <c r="E16590" t="n">
        <v>2788</v>
      </c>
    </row>
    <row r="16591">
      <c r="A16591" t="inlineStr">
        <is>
          <t>27BBBBB16591Z5</t>
        </is>
      </c>
      <c r="B16591" t="inlineStr">
        <is>
          <t>Jun-2020</t>
        </is>
      </c>
      <c r="C16591" s="2" t="n">
        <v>44524</v>
      </c>
      <c r="D16591" t="inlineStr">
        <is>
          <t>NON-NIL</t>
        </is>
      </c>
      <c r="E16591" t="n">
        <v>1965</v>
      </c>
    </row>
    <row r="16592">
      <c r="A16592" t="inlineStr">
        <is>
          <t>27BBBBB16592Z5</t>
        </is>
      </c>
      <c r="B16592" t="inlineStr">
        <is>
          <t>Dec-2024</t>
        </is>
      </c>
      <c r="C16592" s="2" t="n">
        <v>43474</v>
      </c>
      <c r="D16592" t="inlineStr">
        <is>
          <t>NON-NIL</t>
        </is>
      </c>
      <c r="E16592" t="n">
        <v>1077</v>
      </c>
    </row>
    <row r="16593">
      <c r="A16593" t="inlineStr">
        <is>
          <t>27BBBBB16593Z5</t>
        </is>
      </c>
      <c r="B16593" t="inlineStr">
        <is>
          <t>Sep-2018</t>
        </is>
      </c>
      <c r="C16593" s="2" t="n">
        <v>43760</v>
      </c>
      <c r="D16593" t="inlineStr">
        <is>
          <t>NON-NIL</t>
        </is>
      </c>
      <c r="E16593" t="n">
        <v>566</v>
      </c>
    </row>
    <row r="16594">
      <c r="A16594" t="inlineStr">
        <is>
          <t>27BBBBB16594Z5</t>
        </is>
      </c>
      <c r="B16594" t="inlineStr">
        <is>
          <t>Nov-2018</t>
        </is>
      </c>
      <c r="C16594" s="2" t="n">
        <v>43733</v>
      </c>
      <c r="D16594" t="inlineStr">
        <is>
          <t>NIL</t>
        </is>
      </c>
      <c r="E16594" t="n">
        <v>2802</v>
      </c>
    </row>
    <row r="16595">
      <c r="A16595" t="inlineStr">
        <is>
          <t>27BBBBB16595Z5</t>
        </is>
      </c>
      <c r="B16595" t="inlineStr">
        <is>
          <t>Dec-2018</t>
        </is>
      </c>
      <c r="C16595" s="2" t="n">
        <v>43448</v>
      </c>
      <c r="D16595" t="inlineStr">
        <is>
          <t>NIL</t>
        </is>
      </c>
      <c r="E16595" t="n">
        <v>648</v>
      </c>
    </row>
    <row r="16596">
      <c r="A16596" t="inlineStr">
        <is>
          <t>27BBBBB16596Z5</t>
        </is>
      </c>
      <c r="B16596" t="inlineStr">
        <is>
          <t>Mar-2018</t>
        </is>
      </c>
      <c r="C16596" s="2" t="n">
        <v>43897</v>
      </c>
      <c r="D16596" t="inlineStr">
        <is>
          <t>NON-NIL</t>
        </is>
      </c>
      <c r="E16596" t="n">
        <v>371</v>
      </c>
    </row>
    <row r="16597">
      <c r="A16597" t="inlineStr">
        <is>
          <t>27BBBBB16597Z5</t>
        </is>
      </c>
      <c r="B16597" t="inlineStr">
        <is>
          <t>Sep-2017</t>
        </is>
      </c>
      <c r="C16597" s="2" t="n">
        <v>43553</v>
      </c>
      <c r="D16597" t="inlineStr">
        <is>
          <t>NIL</t>
        </is>
      </c>
      <c r="E16597" t="n">
        <v>1078</v>
      </c>
    </row>
    <row r="16598">
      <c r="A16598" t="inlineStr">
        <is>
          <t>27BBBBB16598Z5</t>
        </is>
      </c>
      <c r="B16598" t="inlineStr">
        <is>
          <t>Feb-2018</t>
        </is>
      </c>
      <c r="C16598" s="2" t="n">
        <v>43963</v>
      </c>
      <c r="D16598" t="inlineStr">
        <is>
          <t>NIL</t>
        </is>
      </c>
      <c r="E16598" t="n">
        <v>974</v>
      </c>
    </row>
    <row r="16599">
      <c r="A16599" t="inlineStr">
        <is>
          <t>27BBBBB16599Z5</t>
        </is>
      </c>
      <c r="B16599" t="inlineStr">
        <is>
          <t>Jun-2018</t>
        </is>
      </c>
      <c r="C16599" s="2" t="n">
        <v>42970</v>
      </c>
      <c r="D16599" t="inlineStr">
        <is>
          <t>NON-NIL</t>
        </is>
      </c>
      <c r="E16599" t="n">
        <v>2148</v>
      </c>
    </row>
    <row r="16600">
      <c r="A16600" t="inlineStr">
        <is>
          <t>27BBBBB16600Z5</t>
        </is>
      </c>
      <c r="B16600" t="inlineStr">
        <is>
          <t>Mar-2020</t>
        </is>
      </c>
      <c r="C16600" s="2" t="n">
        <v>44813</v>
      </c>
      <c r="D16600" t="inlineStr">
        <is>
          <t>NON-NIL</t>
        </is>
      </c>
      <c r="E16600" t="n">
        <v>1208</v>
      </c>
    </row>
    <row r="16601">
      <c r="A16601" t="inlineStr">
        <is>
          <t>27BBBBB16601Z5</t>
        </is>
      </c>
      <c r="B16601" t="inlineStr">
        <is>
          <t>Jun-2020</t>
        </is>
      </c>
      <c r="C16601" s="2" t="n">
        <v>44348</v>
      </c>
      <c r="D16601" t="inlineStr">
        <is>
          <t>NON-NIL</t>
        </is>
      </c>
      <c r="E16601" t="n">
        <v>2294</v>
      </c>
    </row>
    <row r="16602">
      <c r="A16602" t="inlineStr">
        <is>
          <t>27BBBBB16602Z5</t>
        </is>
      </c>
      <c r="B16602" t="inlineStr">
        <is>
          <t>Jun-2020</t>
        </is>
      </c>
      <c r="C16602" s="2" t="n">
        <v>44768</v>
      </c>
      <c r="D16602" t="inlineStr">
        <is>
          <t>NIL</t>
        </is>
      </c>
      <c r="E16602" t="n">
        <v>1837</v>
      </c>
    </row>
    <row r="16603">
      <c r="A16603" t="inlineStr">
        <is>
          <t>27BBBBB16603Z5</t>
        </is>
      </c>
      <c r="B16603" t="inlineStr">
        <is>
          <t>Mar-2018</t>
        </is>
      </c>
      <c r="C16603" s="2" t="n">
        <v>44158</v>
      </c>
      <c r="D16603" t="inlineStr">
        <is>
          <t>NIL</t>
        </is>
      </c>
      <c r="E16603" t="n">
        <v>2517</v>
      </c>
    </row>
    <row r="16604">
      <c r="A16604" t="inlineStr">
        <is>
          <t>27BBBBB16604Z5</t>
        </is>
      </c>
      <c r="B16604" t="inlineStr">
        <is>
          <t>Jun-2020</t>
        </is>
      </c>
      <c r="C16604" s="2" t="n">
        <v>44496</v>
      </c>
      <c r="D16604" t="inlineStr">
        <is>
          <t>NON-NIL</t>
        </is>
      </c>
      <c r="E16604" t="n">
        <v>648</v>
      </c>
    </row>
    <row r="16605">
      <c r="A16605" t="inlineStr">
        <is>
          <t>27BBBBB16605Z5</t>
        </is>
      </c>
      <c r="B16605" t="inlineStr">
        <is>
          <t>Apr-2020</t>
        </is>
      </c>
      <c r="C16605" s="2" t="n">
        <v>43843</v>
      </c>
      <c r="D16605" t="inlineStr">
        <is>
          <t>NON-NIL</t>
        </is>
      </c>
      <c r="E16605" t="n">
        <v>374</v>
      </c>
    </row>
    <row r="16606">
      <c r="A16606" t="inlineStr">
        <is>
          <t>27BBBBB16606Z5</t>
        </is>
      </c>
      <c r="B16606" t="inlineStr">
        <is>
          <t>Oct-2018</t>
        </is>
      </c>
      <c r="C16606" s="2" t="n">
        <v>44187</v>
      </c>
      <c r="D16606" t="inlineStr">
        <is>
          <t>NON-NIL</t>
        </is>
      </c>
      <c r="E16606" t="n">
        <v>2887</v>
      </c>
    </row>
    <row r="16607">
      <c r="A16607" t="inlineStr">
        <is>
          <t>27BBBBB16607Z5</t>
        </is>
      </c>
      <c r="B16607" t="inlineStr">
        <is>
          <t>Jun-2018</t>
        </is>
      </c>
      <c r="C16607" s="2" t="n">
        <v>43336</v>
      </c>
      <c r="D16607" t="inlineStr">
        <is>
          <t>NIL</t>
        </is>
      </c>
      <c r="E16607" t="n">
        <v>263</v>
      </c>
    </row>
    <row r="16608">
      <c r="A16608" t="inlineStr">
        <is>
          <t>27BBBBB16608Z5</t>
        </is>
      </c>
      <c r="B16608" t="inlineStr">
        <is>
          <t>Sep-2018</t>
        </is>
      </c>
      <c r="C16608" s="2" t="n">
        <v>44227</v>
      </c>
      <c r="D16608" t="inlineStr">
        <is>
          <t>NIL</t>
        </is>
      </c>
      <c r="E16608" t="n">
        <v>2414</v>
      </c>
    </row>
    <row r="16609">
      <c r="A16609" t="inlineStr">
        <is>
          <t>27BBBBB16609Z5</t>
        </is>
      </c>
      <c r="B16609" t="inlineStr">
        <is>
          <t>Oct-2017</t>
        </is>
      </c>
      <c r="C16609" s="2" t="n">
        <v>43138</v>
      </c>
      <c r="D16609" t="inlineStr">
        <is>
          <t>NON-NIL</t>
        </is>
      </c>
      <c r="E16609" t="n">
        <v>1936</v>
      </c>
    </row>
    <row r="16610">
      <c r="A16610" t="inlineStr">
        <is>
          <t>27BBBBB16610Z5</t>
        </is>
      </c>
      <c r="B16610" t="inlineStr">
        <is>
          <t>May-2020</t>
        </is>
      </c>
      <c r="C16610" s="2" t="n">
        <v>44664</v>
      </c>
      <c r="D16610" t="inlineStr">
        <is>
          <t>NON-NIL</t>
        </is>
      </c>
      <c r="E16610" t="n">
        <v>2470</v>
      </c>
    </row>
    <row r="16611">
      <c r="A16611" t="inlineStr">
        <is>
          <t>27BBBBB16611Z5</t>
        </is>
      </c>
      <c r="B16611" t="inlineStr">
        <is>
          <t>Mar-2023</t>
        </is>
      </c>
      <c r="C16611" s="2" t="n">
        <v>45081</v>
      </c>
      <c r="D16611" t="inlineStr">
        <is>
          <t>NON-NIL</t>
        </is>
      </c>
      <c r="E16611" t="n">
        <v>2992</v>
      </c>
    </row>
    <row r="16612">
      <c r="A16612" t="inlineStr">
        <is>
          <t>27BBBBB16612Z5</t>
        </is>
      </c>
      <c r="B16612" t="inlineStr">
        <is>
          <t>Jul-2018</t>
        </is>
      </c>
      <c r="C16612" s="2" t="n">
        <v>44429</v>
      </c>
      <c r="D16612" t="inlineStr">
        <is>
          <t>NON-NIL</t>
        </is>
      </c>
      <c r="E16612" t="n">
        <v>2138</v>
      </c>
    </row>
    <row r="16613">
      <c r="A16613" t="inlineStr">
        <is>
          <t>27BBBBB16613Z5</t>
        </is>
      </c>
      <c r="B16613" t="inlineStr">
        <is>
          <t>Jun-2020</t>
        </is>
      </c>
      <c r="C16613" s="2" t="n">
        <v>44881</v>
      </c>
      <c r="D16613" t="inlineStr">
        <is>
          <t>NON-NIL</t>
        </is>
      </c>
      <c r="E16613" t="n">
        <v>2475</v>
      </c>
    </row>
    <row r="16614">
      <c r="A16614" t="inlineStr">
        <is>
          <t>27BBBBB16614Z5</t>
        </is>
      </c>
      <c r="B16614" t="inlineStr">
        <is>
          <t>Nov-2017</t>
        </is>
      </c>
      <c r="C16614" s="2" t="n">
        <v>43070</v>
      </c>
      <c r="D16614" t="inlineStr">
        <is>
          <t>NON-NIL</t>
        </is>
      </c>
      <c r="E16614" t="n">
        <v>2026</v>
      </c>
    </row>
    <row r="16615">
      <c r="A16615" t="inlineStr">
        <is>
          <t>27BBBBB16615Z5</t>
        </is>
      </c>
      <c r="B16615" t="inlineStr">
        <is>
          <t>Jun-2018</t>
        </is>
      </c>
      <c r="C16615" s="2" t="n">
        <v>44020</v>
      </c>
      <c r="D16615" t="inlineStr">
        <is>
          <t>NON-NIL</t>
        </is>
      </c>
      <c r="E16615" t="n">
        <v>1818</v>
      </c>
    </row>
    <row r="16616">
      <c r="A16616" t="inlineStr">
        <is>
          <t>27BBBBB16616Z5</t>
        </is>
      </c>
      <c r="B16616" t="inlineStr">
        <is>
          <t>Aug-2017</t>
        </is>
      </c>
      <c r="C16616" s="2" t="n">
        <v>44406</v>
      </c>
      <c r="D16616" t="inlineStr">
        <is>
          <t>NON-NIL</t>
        </is>
      </c>
      <c r="E16616" t="n">
        <v>118</v>
      </c>
    </row>
    <row r="16617">
      <c r="A16617" t="inlineStr">
        <is>
          <t>27BBBBB16617Z5</t>
        </is>
      </c>
      <c r="B16617" t="inlineStr">
        <is>
          <t>Mar-2020</t>
        </is>
      </c>
      <c r="C16617" s="2" t="n">
        <v>44155</v>
      </c>
      <c r="D16617" t="inlineStr">
        <is>
          <t>NON-NIL</t>
        </is>
      </c>
      <c r="E16617" t="n">
        <v>1128</v>
      </c>
    </row>
    <row r="16618">
      <c r="A16618" t="inlineStr">
        <is>
          <t>27BBBBB16618Z5</t>
        </is>
      </c>
      <c r="B16618" t="inlineStr">
        <is>
          <t>May-2020</t>
        </is>
      </c>
      <c r="C16618" s="2" t="n">
        <v>44260</v>
      </c>
      <c r="D16618" t="inlineStr">
        <is>
          <t>NON-NIL</t>
        </is>
      </c>
      <c r="E16618" t="n">
        <v>2526</v>
      </c>
    </row>
    <row r="16619">
      <c r="A16619" t="inlineStr">
        <is>
          <t>27BBBBB16619Z5</t>
        </is>
      </c>
      <c r="B16619" t="inlineStr">
        <is>
          <t>May-2020</t>
        </is>
      </c>
      <c r="C16619" s="2" t="n">
        <v>43905</v>
      </c>
      <c r="D16619" t="inlineStr">
        <is>
          <t>NIL</t>
        </is>
      </c>
      <c r="E16619" t="n">
        <v>2933</v>
      </c>
    </row>
    <row r="16620">
      <c r="A16620" t="inlineStr">
        <is>
          <t>27BBBBB16620Z5</t>
        </is>
      </c>
      <c r="B16620" t="inlineStr">
        <is>
          <t>Jun-2018</t>
        </is>
      </c>
      <c r="C16620" s="2" t="n">
        <v>44555</v>
      </c>
      <c r="D16620" t="inlineStr">
        <is>
          <t>NON-NIL</t>
        </is>
      </c>
      <c r="E16620" t="n">
        <v>1346</v>
      </c>
    </row>
    <row r="16621">
      <c r="A16621" t="inlineStr">
        <is>
          <t>27BBBBB16621Z5</t>
        </is>
      </c>
      <c r="B16621" t="inlineStr">
        <is>
          <t>Mar-2021</t>
        </is>
      </c>
      <c r="C16621" s="2" t="n">
        <v>44206</v>
      </c>
      <c r="D16621" t="inlineStr">
        <is>
          <t>NON-NIL</t>
        </is>
      </c>
      <c r="E16621" t="n">
        <v>256</v>
      </c>
    </row>
    <row r="16622">
      <c r="A16622" t="inlineStr">
        <is>
          <t>27BBBBB16622Z5</t>
        </is>
      </c>
      <c r="B16622" t="inlineStr">
        <is>
          <t>Aug-2018</t>
        </is>
      </c>
      <c r="C16622" s="2" t="n">
        <v>43157</v>
      </c>
      <c r="D16622" t="inlineStr">
        <is>
          <t>NIL</t>
        </is>
      </c>
      <c r="E16622" t="n">
        <v>2383</v>
      </c>
    </row>
    <row r="16623">
      <c r="A16623" t="inlineStr">
        <is>
          <t>27BBBBB16623Z5</t>
        </is>
      </c>
      <c r="B16623" t="inlineStr">
        <is>
          <t>Mar-2023</t>
        </is>
      </c>
      <c r="C16623" s="2" t="n">
        <v>44778</v>
      </c>
      <c r="D16623" t="inlineStr">
        <is>
          <t>NON-NIL</t>
        </is>
      </c>
      <c r="E16623" t="n">
        <v>115</v>
      </c>
    </row>
    <row r="16624">
      <c r="A16624" t="inlineStr">
        <is>
          <t>27BBBBB16624Z5</t>
        </is>
      </c>
      <c r="B16624" t="inlineStr">
        <is>
          <t>Sep-2017</t>
        </is>
      </c>
      <c r="C16624" s="2" t="n">
        <v>43841</v>
      </c>
      <c r="D16624" t="inlineStr">
        <is>
          <t>NON-NIL</t>
        </is>
      </c>
      <c r="E16624" t="n">
        <v>1482</v>
      </c>
    </row>
    <row r="16625">
      <c r="A16625" t="inlineStr">
        <is>
          <t>27BBBBB16625Z5</t>
        </is>
      </c>
      <c r="B16625" t="inlineStr">
        <is>
          <t>Mar-2020</t>
        </is>
      </c>
      <c r="C16625" s="2" t="n">
        <v>44898</v>
      </c>
      <c r="D16625" t="inlineStr">
        <is>
          <t>NIL</t>
        </is>
      </c>
      <c r="E16625" t="n">
        <v>1044</v>
      </c>
    </row>
    <row r="16626">
      <c r="A16626" t="inlineStr">
        <is>
          <t>27BBBBB16626Z5</t>
        </is>
      </c>
      <c r="B16626" t="inlineStr">
        <is>
          <t>Jan-2018</t>
        </is>
      </c>
      <c r="C16626" s="2" t="n">
        <v>43899</v>
      </c>
      <c r="D16626" t="inlineStr">
        <is>
          <t>NIL</t>
        </is>
      </c>
      <c r="E16626" t="n">
        <v>699</v>
      </c>
    </row>
    <row r="16627">
      <c r="A16627" t="inlineStr">
        <is>
          <t>27BBBBB16627Z5</t>
        </is>
      </c>
      <c r="B16627" t="inlineStr">
        <is>
          <t>Apr-2018</t>
        </is>
      </c>
      <c r="C16627" s="2" t="n">
        <v>43057</v>
      </c>
      <c r="D16627" t="inlineStr">
        <is>
          <t>NIL</t>
        </is>
      </c>
      <c r="E16627" t="n">
        <v>1436</v>
      </c>
    </row>
    <row r="16628">
      <c r="A16628" t="inlineStr">
        <is>
          <t>27BBBBB16628Z5</t>
        </is>
      </c>
      <c r="B16628" t="inlineStr">
        <is>
          <t>Dec-2017</t>
        </is>
      </c>
      <c r="C16628" s="2" t="n">
        <v>43954</v>
      </c>
      <c r="D16628" t="inlineStr">
        <is>
          <t>NIL</t>
        </is>
      </c>
      <c r="E16628" t="n">
        <v>1493</v>
      </c>
    </row>
    <row r="16629">
      <c r="A16629" t="inlineStr">
        <is>
          <t>27BBBBB16629Z5</t>
        </is>
      </c>
      <c r="B16629" t="inlineStr">
        <is>
          <t>Apr-2020</t>
        </is>
      </c>
      <c r="C16629" s="2" t="n">
        <v>44678</v>
      </c>
      <c r="D16629" t="inlineStr">
        <is>
          <t>NIL</t>
        </is>
      </c>
      <c r="E16629" t="n">
        <v>828</v>
      </c>
    </row>
    <row r="16630">
      <c r="A16630" t="inlineStr">
        <is>
          <t>27BBBBB16630Z5</t>
        </is>
      </c>
      <c r="B16630" t="inlineStr">
        <is>
          <t>Aug-2017</t>
        </is>
      </c>
      <c r="C16630" s="2" t="n">
        <v>43015</v>
      </c>
      <c r="D16630" t="inlineStr">
        <is>
          <t>NIL</t>
        </is>
      </c>
      <c r="E16630" t="n">
        <v>1805</v>
      </c>
    </row>
    <row r="16631">
      <c r="A16631" t="inlineStr">
        <is>
          <t>27BBBBB16631Z5</t>
        </is>
      </c>
      <c r="B16631" t="inlineStr">
        <is>
          <t>Mar-2018</t>
        </is>
      </c>
      <c r="C16631" s="2" t="n">
        <v>43158</v>
      </c>
      <c r="D16631" t="inlineStr">
        <is>
          <t>NON-NIL</t>
        </is>
      </c>
      <c r="E16631" t="n">
        <v>718</v>
      </c>
    </row>
    <row r="16632">
      <c r="A16632" t="inlineStr">
        <is>
          <t>27BBBBB16632Z5</t>
        </is>
      </c>
      <c r="B16632" t="inlineStr">
        <is>
          <t>Mar-2023</t>
        </is>
      </c>
      <c r="C16632" s="2" t="n">
        <v>45427</v>
      </c>
      <c r="D16632" t="inlineStr">
        <is>
          <t>NIL</t>
        </is>
      </c>
      <c r="E16632" t="n">
        <v>1026</v>
      </c>
    </row>
    <row r="16633">
      <c r="A16633" t="inlineStr">
        <is>
          <t>27BBBBB16633Z5</t>
        </is>
      </c>
      <c r="B16633" t="inlineStr">
        <is>
          <t>Dec-2024</t>
        </is>
      </c>
      <c r="C16633" s="2" t="n">
        <v>45436</v>
      </c>
      <c r="D16633" t="inlineStr">
        <is>
          <t>NON-NIL</t>
        </is>
      </c>
      <c r="E16633" t="n">
        <v>2253</v>
      </c>
    </row>
    <row r="16634">
      <c r="A16634" t="inlineStr">
        <is>
          <t>27BBBBB16634Z5</t>
        </is>
      </c>
      <c r="B16634" t="inlineStr">
        <is>
          <t>Jul-2017</t>
        </is>
      </c>
      <c r="C16634" s="2" t="n">
        <v>44181</v>
      </c>
      <c r="D16634" t="inlineStr">
        <is>
          <t>NON-NIL</t>
        </is>
      </c>
      <c r="E16634" t="n">
        <v>49</v>
      </c>
    </row>
    <row r="16635">
      <c r="A16635" t="inlineStr">
        <is>
          <t>27BBBBB16635Z5</t>
        </is>
      </c>
      <c r="B16635" t="inlineStr">
        <is>
          <t>Dec-2017</t>
        </is>
      </c>
      <c r="C16635" s="2" t="n">
        <v>44346</v>
      </c>
      <c r="D16635" t="inlineStr">
        <is>
          <t>NIL</t>
        </is>
      </c>
      <c r="E16635" t="n">
        <v>306</v>
      </c>
    </row>
    <row r="16636">
      <c r="A16636" t="inlineStr">
        <is>
          <t>27BBBBB16636Z5</t>
        </is>
      </c>
      <c r="B16636" t="inlineStr">
        <is>
          <t>Jun-2018</t>
        </is>
      </c>
      <c r="C16636" s="2" t="n">
        <v>44064</v>
      </c>
      <c r="D16636" t="inlineStr">
        <is>
          <t>NIL</t>
        </is>
      </c>
      <c r="E16636" t="n">
        <v>761</v>
      </c>
    </row>
    <row r="16637">
      <c r="A16637" t="inlineStr">
        <is>
          <t>27BBBBB16637Z5</t>
        </is>
      </c>
      <c r="B16637" t="inlineStr">
        <is>
          <t>May-2020</t>
        </is>
      </c>
      <c r="C16637" s="2" t="n">
        <v>44887</v>
      </c>
      <c r="D16637" t="inlineStr">
        <is>
          <t>NON-NIL</t>
        </is>
      </c>
      <c r="E16637" t="n">
        <v>213</v>
      </c>
    </row>
    <row r="16638">
      <c r="A16638" t="inlineStr">
        <is>
          <t>27BBBBB16638Z5</t>
        </is>
      </c>
      <c r="B16638" t="inlineStr">
        <is>
          <t>Apr-2018</t>
        </is>
      </c>
      <c r="C16638" s="2" t="n">
        <v>43830</v>
      </c>
      <c r="D16638" t="inlineStr">
        <is>
          <t>NIL</t>
        </is>
      </c>
      <c r="E16638" t="n">
        <v>523</v>
      </c>
    </row>
    <row r="16639">
      <c r="A16639" t="inlineStr">
        <is>
          <t>27BBBBB16639Z5</t>
        </is>
      </c>
      <c r="B16639" t="inlineStr">
        <is>
          <t>Jul-2017</t>
        </is>
      </c>
      <c r="C16639" s="2" t="n">
        <v>44340</v>
      </c>
      <c r="D16639" t="inlineStr">
        <is>
          <t>NIL</t>
        </is>
      </c>
      <c r="E16639" t="n">
        <v>538</v>
      </c>
    </row>
    <row r="16640">
      <c r="A16640" t="inlineStr">
        <is>
          <t>27BBBBB16640Z5</t>
        </is>
      </c>
      <c r="B16640" t="inlineStr">
        <is>
          <t>Jan-2021</t>
        </is>
      </c>
      <c r="C16640" s="2" t="n">
        <v>44616</v>
      </c>
      <c r="D16640" t="inlineStr">
        <is>
          <t>NIL</t>
        </is>
      </c>
      <c r="E16640" t="n">
        <v>1748</v>
      </c>
    </row>
    <row r="16641">
      <c r="A16641" t="inlineStr">
        <is>
          <t>27BBBBB16641Z5</t>
        </is>
      </c>
      <c r="B16641" t="inlineStr">
        <is>
          <t>May-2020</t>
        </is>
      </c>
      <c r="C16641" s="2" t="n">
        <v>44251</v>
      </c>
      <c r="D16641" t="inlineStr">
        <is>
          <t>NON-NIL</t>
        </is>
      </c>
      <c r="E16641" t="n">
        <v>1004</v>
      </c>
    </row>
    <row r="16642">
      <c r="A16642" t="inlineStr">
        <is>
          <t>27BBBBB16642Z5</t>
        </is>
      </c>
      <c r="B16642" t="inlineStr">
        <is>
          <t>Dec-2017</t>
        </is>
      </c>
      <c r="C16642" s="2" t="n">
        <v>43732</v>
      </c>
      <c r="D16642" t="inlineStr">
        <is>
          <t>NIL</t>
        </is>
      </c>
      <c r="E16642" t="n">
        <v>2113</v>
      </c>
    </row>
    <row r="16643">
      <c r="A16643" t="inlineStr">
        <is>
          <t>27BBBBB16643Z5</t>
        </is>
      </c>
      <c r="B16643" t="inlineStr">
        <is>
          <t>Mar-2018</t>
        </is>
      </c>
      <c r="C16643" s="2" t="n">
        <v>43859</v>
      </c>
      <c r="D16643" t="inlineStr">
        <is>
          <t>NON-NIL</t>
        </is>
      </c>
      <c r="E16643" t="n">
        <v>42</v>
      </c>
    </row>
    <row r="16644">
      <c r="A16644" t="inlineStr">
        <is>
          <t>27BBBBB16644Z5</t>
        </is>
      </c>
      <c r="B16644" t="inlineStr">
        <is>
          <t>Jul-2018</t>
        </is>
      </c>
      <c r="C16644" s="2" t="n">
        <v>44136</v>
      </c>
      <c r="D16644" t="inlineStr">
        <is>
          <t>NIL</t>
        </is>
      </c>
      <c r="E16644" t="n">
        <v>2032</v>
      </c>
    </row>
    <row r="16645">
      <c r="A16645" t="inlineStr">
        <is>
          <t>27BBBBB16645Z5</t>
        </is>
      </c>
      <c r="B16645" t="inlineStr">
        <is>
          <t>Oct-2017</t>
        </is>
      </c>
      <c r="C16645" s="2" t="n">
        <v>44332</v>
      </c>
      <c r="D16645" t="inlineStr">
        <is>
          <t>NIL</t>
        </is>
      </c>
      <c r="E16645" t="n">
        <v>420</v>
      </c>
    </row>
    <row r="16646">
      <c r="A16646" t="inlineStr">
        <is>
          <t>27BBBBB16646Z5</t>
        </is>
      </c>
      <c r="B16646" t="inlineStr">
        <is>
          <t>Dec-2018</t>
        </is>
      </c>
      <c r="C16646" s="2" t="n">
        <v>43368</v>
      </c>
      <c r="D16646" t="inlineStr">
        <is>
          <t>NON-NIL</t>
        </is>
      </c>
      <c r="E16646" t="n">
        <v>2979</v>
      </c>
    </row>
    <row r="16647">
      <c r="A16647" t="inlineStr">
        <is>
          <t>27BBBBB16647Z5</t>
        </is>
      </c>
      <c r="B16647" t="inlineStr">
        <is>
          <t>Mar-2021</t>
        </is>
      </c>
      <c r="C16647" s="2" t="n">
        <v>44298</v>
      </c>
      <c r="D16647" t="inlineStr">
        <is>
          <t>NON-NIL</t>
        </is>
      </c>
      <c r="E16647" t="n">
        <v>468</v>
      </c>
    </row>
    <row r="16648">
      <c r="A16648" t="inlineStr">
        <is>
          <t>27BBBBB16648Z5</t>
        </is>
      </c>
      <c r="B16648" t="inlineStr">
        <is>
          <t>Dec-2017</t>
        </is>
      </c>
      <c r="C16648" s="2" t="n">
        <v>43817</v>
      </c>
      <c r="D16648" t="inlineStr">
        <is>
          <t>NIL</t>
        </is>
      </c>
      <c r="E16648" t="n">
        <v>498</v>
      </c>
    </row>
    <row r="16649">
      <c r="A16649" t="inlineStr">
        <is>
          <t>27BBBBB16649Z5</t>
        </is>
      </c>
      <c r="B16649" t="inlineStr">
        <is>
          <t>Jul-2017</t>
        </is>
      </c>
      <c r="C16649" s="2" t="n">
        <v>43765</v>
      </c>
      <c r="D16649" t="inlineStr">
        <is>
          <t>NIL</t>
        </is>
      </c>
      <c r="E16649" t="n">
        <v>2299</v>
      </c>
    </row>
    <row r="16650">
      <c r="A16650" t="inlineStr">
        <is>
          <t>27BBBBB16650Z5</t>
        </is>
      </c>
      <c r="B16650" t="inlineStr">
        <is>
          <t>Oct-2017</t>
        </is>
      </c>
      <c r="C16650" s="2" t="n">
        <v>44485</v>
      </c>
      <c r="D16650" t="inlineStr">
        <is>
          <t>NON-NIL</t>
        </is>
      </c>
      <c r="E16650" t="n">
        <v>511</v>
      </c>
    </row>
    <row r="16651">
      <c r="A16651" t="inlineStr">
        <is>
          <t>27BBBBB16651Z5</t>
        </is>
      </c>
      <c r="B16651" t="inlineStr">
        <is>
          <t>Nov-2018</t>
        </is>
      </c>
      <c r="C16651" s="2" t="n">
        <v>44509</v>
      </c>
      <c r="D16651" t="inlineStr">
        <is>
          <t>NIL</t>
        </is>
      </c>
      <c r="E16651" t="n">
        <v>2903</v>
      </c>
    </row>
    <row r="16652">
      <c r="A16652" t="inlineStr">
        <is>
          <t>27BBBBB16652Z5</t>
        </is>
      </c>
      <c r="B16652" t="inlineStr">
        <is>
          <t>Mar-2021</t>
        </is>
      </c>
      <c r="C16652" s="2" t="n">
        <v>44604</v>
      </c>
      <c r="D16652" t="inlineStr">
        <is>
          <t>NON-NIL</t>
        </is>
      </c>
      <c r="E16652" t="n">
        <v>883</v>
      </c>
    </row>
    <row r="16653">
      <c r="A16653" t="inlineStr">
        <is>
          <t>27BBBBB16653Z5</t>
        </is>
      </c>
      <c r="B16653" t="inlineStr">
        <is>
          <t>Oct-2018</t>
        </is>
      </c>
      <c r="C16653" s="2" t="n">
        <v>43901</v>
      </c>
      <c r="D16653" t="inlineStr">
        <is>
          <t>NIL</t>
        </is>
      </c>
      <c r="E16653" t="n">
        <v>2730</v>
      </c>
    </row>
    <row r="16654">
      <c r="A16654" t="inlineStr">
        <is>
          <t>27BBBBB16654Z5</t>
        </is>
      </c>
      <c r="B16654" t="inlineStr">
        <is>
          <t>Dec-2017</t>
        </is>
      </c>
      <c r="C16654" s="2" t="n">
        <v>43935</v>
      </c>
      <c r="D16654" t="inlineStr">
        <is>
          <t>NIL</t>
        </is>
      </c>
      <c r="E16654" t="n">
        <v>119</v>
      </c>
    </row>
    <row r="16655">
      <c r="A16655" t="inlineStr">
        <is>
          <t>27BBBBB16655Z5</t>
        </is>
      </c>
      <c r="B16655" t="inlineStr">
        <is>
          <t>May-2020</t>
        </is>
      </c>
      <c r="C16655" s="2" t="n">
        <v>44188</v>
      </c>
      <c r="D16655" t="inlineStr">
        <is>
          <t>NIL</t>
        </is>
      </c>
      <c r="E16655" t="n">
        <v>21</v>
      </c>
    </row>
    <row r="16656">
      <c r="A16656" t="inlineStr">
        <is>
          <t>27BBBBB16656Z5</t>
        </is>
      </c>
      <c r="B16656" t="inlineStr">
        <is>
          <t>Jul-2017</t>
        </is>
      </c>
      <c r="C16656" s="2" t="n">
        <v>44269</v>
      </c>
      <c r="D16656" t="inlineStr">
        <is>
          <t>NON-NIL</t>
        </is>
      </c>
      <c r="E16656" t="n">
        <v>2248</v>
      </c>
    </row>
    <row r="16657">
      <c r="A16657" t="inlineStr">
        <is>
          <t>27BBBBB16657Z5</t>
        </is>
      </c>
      <c r="B16657" t="inlineStr">
        <is>
          <t>Jul-2017</t>
        </is>
      </c>
      <c r="C16657" s="2" t="n">
        <v>44112</v>
      </c>
      <c r="D16657" t="inlineStr">
        <is>
          <t>NIL</t>
        </is>
      </c>
      <c r="E16657" t="n">
        <v>1592</v>
      </c>
    </row>
    <row r="16658">
      <c r="A16658" t="inlineStr">
        <is>
          <t>27BBBBB16658Z5</t>
        </is>
      </c>
      <c r="B16658" t="inlineStr">
        <is>
          <t>Jan-2021</t>
        </is>
      </c>
      <c r="C16658" s="2" t="n">
        <v>44135</v>
      </c>
      <c r="D16658" t="inlineStr">
        <is>
          <t>NON-NIL</t>
        </is>
      </c>
      <c r="E16658" t="n">
        <v>1667</v>
      </c>
    </row>
    <row r="16659">
      <c r="A16659" t="inlineStr">
        <is>
          <t>27BBBBB16659Z5</t>
        </is>
      </c>
      <c r="B16659" t="inlineStr">
        <is>
          <t>Mar-2021</t>
        </is>
      </c>
      <c r="C16659" s="2" t="n">
        <v>44749</v>
      </c>
      <c r="D16659" t="inlineStr">
        <is>
          <t>NON-NIL</t>
        </is>
      </c>
      <c r="E16659" t="n">
        <v>2274</v>
      </c>
    </row>
    <row r="16660">
      <c r="A16660" t="inlineStr">
        <is>
          <t>27BBBBB16660Z5</t>
        </is>
      </c>
      <c r="B16660" t="inlineStr">
        <is>
          <t>Aug-2017</t>
        </is>
      </c>
      <c r="C16660" s="2" t="n">
        <v>43500</v>
      </c>
      <c r="D16660" t="inlineStr">
        <is>
          <t>NIL</t>
        </is>
      </c>
      <c r="E16660" t="n">
        <v>2231</v>
      </c>
    </row>
    <row r="16661">
      <c r="A16661" t="inlineStr">
        <is>
          <t>27BBBBB16661Z5</t>
        </is>
      </c>
      <c r="B16661" t="inlineStr">
        <is>
          <t>Jun-2018</t>
        </is>
      </c>
      <c r="C16661" s="2" t="n">
        <v>42942</v>
      </c>
      <c r="D16661" t="inlineStr">
        <is>
          <t>NIL</t>
        </is>
      </c>
      <c r="E16661" t="n">
        <v>2183</v>
      </c>
    </row>
    <row r="16662">
      <c r="A16662" t="inlineStr">
        <is>
          <t>27BBBBB16662Z5</t>
        </is>
      </c>
      <c r="B16662" t="inlineStr">
        <is>
          <t>Dec-2018</t>
        </is>
      </c>
      <c r="C16662" s="2" t="n">
        <v>44419</v>
      </c>
      <c r="D16662" t="inlineStr">
        <is>
          <t>NON-NIL</t>
        </is>
      </c>
      <c r="E16662" t="n">
        <v>920</v>
      </c>
    </row>
    <row r="16663">
      <c r="A16663" t="inlineStr">
        <is>
          <t>27BBBBB16663Z5</t>
        </is>
      </c>
      <c r="B16663" t="inlineStr">
        <is>
          <t>Aug-2018</t>
        </is>
      </c>
      <c r="C16663" s="2" t="n">
        <v>43883</v>
      </c>
      <c r="D16663" t="inlineStr">
        <is>
          <t>NIL</t>
        </is>
      </c>
      <c r="E16663" t="n">
        <v>1867</v>
      </c>
    </row>
    <row r="16664">
      <c r="A16664" t="inlineStr">
        <is>
          <t>27BBBBB16664Z5</t>
        </is>
      </c>
      <c r="B16664" t="inlineStr">
        <is>
          <t>Jul-2018</t>
        </is>
      </c>
      <c r="C16664" s="2" t="n">
        <v>43569</v>
      </c>
      <c r="D16664" t="inlineStr">
        <is>
          <t>NIL</t>
        </is>
      </c>
      <c r="E16664" t="n">
        <v>1112</v>
      </c>
    </row>
    <row r="16665">
      <c r="A16665" t="inlineStr">
        <is>
          <t>27BBBBB16665Z5</t>
        </is>
      </c>
      <c r="B16665" t="inlineStr">
        <is>
          <t>Oct-2018</t>
        </is>
      </c>
      <c r="C16665" s="2" t="n">
        <v>43383</v>
      </c>
      <c r="D16665" t="inlineStr">
        <is>
          <t>NIL</t>
        </is>
      </c>
      <c r="E16665" t="n">
        <v>1492</v>
      </c>
    </row>
    <row r="16666">
      <c r="A16666" t="inlineStr">
        <is>
          <t>27BBBBB16666Z5</t>
        </is>
      </c>
      <c r="B16666" t="inlineStr">
        <is>
          <t>Dec-2017</t>
        </is>
      </c>
      <c r="C16666" s="2" t="n">
        <v>44259</v>
      </c>
      <c r="D16666" t="inlineStr">
        <is>
          <t>NIL</t>
        </is>
      </c>
      <c r="E16666" t="n">
        <v>1211</v>
      </c>
    </row>
    <row r="16667">
      <c r="A16667" t="inlineStr">
        <is>
          <t>27BBBBB16667Z5</t>
        </is>
      </c>
      <c r="B16667" t="inlineStr">
        <is>
          <t>May-2020</t>
        </is>
      </c>
      <c r="C16667" s="2" t="n">
        <v>43967</v>
      </c>
      <c r="D16667" t="inlineStr">
        <is>
          <t>NIL</t>
        </is>
      </c>
      <c r="E16667" t="n">
        <v>2686</v>
      </c>
    </row>
    <row r="16668">
      <c r="A16668" t="inlineStr">
        <is>
          <t>27BBBBB16668Z5</t>
        </is>
      </c>
      <c r="B16668" t="inlineStr">
        <is>
          <t>Mar-2023</t>
        </is>
      </c>
      <c r="C16668" s="2" t="n">
        <v>44526</v>
      </c>
      <c r="D16668" t="inlineStr">
        <is>
          <t>NON-NIL</t>
        </is>
      </c>
      <c r="E16668" t="n">
        <v>435</v>
      </c>
    </row>
    <row r="16669">
      <c r="A16669" t="inlineStr">
        <is>
          <t>27BBBBB16669Z5</t>
        </is>
      </c>
      <c r="B16669" t="inlineStr">
        <is>
          <t>Nov-2018</t>
        </is>
      </c>
      <c r="C16669" s="2" t="n">
        <v>44024</v>
      </c>
      <c r="D16669" t="inlineStr">
        <is>
          <t>NIL</t>
        </is>
      </c>
      <c r="E16669" t="n">
        <v>99</v>
      </c>
    </row>
    <row r="16670">
      <c r="A16670" t="inlineStr">
        <is>
          <t>27BBBBB16670Z5</t>
        </is>
      </c>
      <c r="B16670" t="inlineStr">
        <is>
          <t>Feb-2018</t>
        </is>
      </c>
      <c r="C16670" s="2" t="n">
        <v>44368</v>
      </c>
      <c r="D16670" t="inlineStr">
        <is>
          <t>NIL</t>
        </is>
      </c>
      <c r="E16670" t="n">
        <v>137</v>
      </c>
    </row>
    <row r="16671">
      <c r="A16671" t="inlineStr">
        <is>
          <t>27BBBBB16671Z5</t>
        </is>
      </c>
      <c r="B16671" t="inlineStr">
        <is>
          <t>Oct-2017</t>
        </is>
      </c>
      <c r="C16671" s="2" t="n">
        <v>43077</v>
      </c>
      <c r="D16671" t="inlineStr">
        <is>
          <t>NIL</t>
        </is>
      </c>
      <c r="E16671" t="n">
        <v>1896</v>
      </c>
    </row>
    <row r="16672">
      <c r="A16672" t="inlineStr">
        <is>
          <t>27BBBBB16672Z5</t>
        </is>
      </c>
      <c r="B16672" t="inlineStr">
        <is>
          <t>Mar-2018</t>
        </is>
      </c>
      <c r="C16672" s="2" t="n">
        <v>43929</v>
      </c>
      <c r="D16672" t="inlineStr">
        <is>
          <t>NIL</t>
        </is>
      </c>
      <c r="E16672" t="n">
        <v>2707</v>
      </c>
    </row>
    <row r="16673">
      <c r="A16673" t="inlineStr">
        <is>
          <t>27BBBBB16673Z5</t>
        </is>
      </c>
      <c r="B16673" t="inlineStr">
        <is>
          <t>May-2018</t>
        </is>
      </c>
      <c r="C16673" s="2" t="n">
        <v>43510</v>
      </c>
      <c r="D16673" t="inlineStr">
        <is>
          <t>NIL</t>
        </is>
      </c>
      <c r="E16673" t="n">
        <v>2746</v>
      </c>
    </row>
    <row r="16674">
      <c r="A16674" t="inlineStr">
        <is>
          <t>27BBBBB16674Z5</t>
        </is>
      </c>
      <c r="B16674" t="inlineStr">
        <is>
          <t>Apr-2020</t>
        </is>
      </c>
      <c r="C16674" s="2" t="n">
        <v>44909</v>
      </c>
      <c r="D16674" t="inlineStr">
        <is>
          <t>NON-NIL</t>
        </is>
      </c>
      <c r="E16674" t="n">
        <v>2590</v>
      </c>
    </row>
    <row r="16675">
      <c r="A16675" t="inlineStr">
        <is>
          <t>27BBBBB16675Z5</t>
        </is>
      </c>
      <c r="B16675" t="inlineStr">
        <is>
          <t>Jan-2021</t>
        </is>
      </c>
      <c r="C16675" s="2" t="n">
        <v>45079</v>
      </c>
      <c r="D16675" t="inlineStr">
        <is>
          <t>NON-NIL</t>
        </is>
      </c>
      <c r="E16675" t="n">
        <v>161</v>
      </c>
    </row>
    <row r="16676">
      <c r="A16676" t="inlineStr">
        <is>
          <t>27BBBBB16676Z5</t>
        </is>
      </c>
      <c r="B16676" t="inlineStr">
        <is>
          <t>Jul-2018</t>
        </is>
      </c>
      <c r="C16676" s="2" t="n">
        <v>44423</v>
      </c>
      <c r="D16676" t="inlineStr">
        <is>
          <t>NIL</t>
        </is>
      </c>
      <c r="E16676" t="n">
        <v>345</v>
      </c>
    </row>
    <row r="16677">
      <c r="A16677" t="inlineStr">
        <is>
          <t>27BBBBB16677Z5</t>
        </is>
      </c>
      <c r="B16677" t="inlineStr">
        <is>
          <t>Jun-2018</t>
        </is>
      </c>
      <c r="C16677" s="2" t="n">
        <v>43436</v>
      </c>
      <c r="D16677" t="inlineStr">
        <is>
          <t>NON-NIL</t>
        </is>
      </c>
      <c r="E16677" t="n">
        <v>1607</v>
      </c>
    </row>
    <row r="16678">
      <c r="A16678" t="inlineStr">
        <is>
          <t>27BBBBB16678Z5</t>
        </is>
      </c>
      <c r="B16678" t="inlineStr">
        <is>
          <t>Mar-2023</t>
        </is>
      </c>
      <c r="C16678" s="2" t="n">
        <v>44667</v>
      </c>
      <c r="D16678" t="inlineStr">
        <is>
          <t>NON-NIL</t>
        </is>
      </c>
      <c r="E16678" t="n">
        <v>2484</v>
      </c>
    </row>
    <row r="16679">
      <c r="A16679" t="inlineStr">
        <is>
          <t>27BBBBB16679Z5</t>
        </is>
      </c>
      <c r="B16679" t="inlineStr">
        <is>
          <t>Mar-2021</t>
        </is>
      </c>
      <c r="C16679" s="2" t="n">
        <v>45376</v>
      </c>
      <c r="D16679" t="inlineStr">
        <is>
          <t>NON-NIL</t>
        </is>
      </c>
      <c r="E16679" t="n">
        <v>433</v>
      </c>
    </row>
    <row r="16680">
      <c r="A16680" t="inlineStr">
        <is>
          <t>27BBBBB16680Z5</t>
        </is>
      </c>
      <c r="B16680" t="inlineStr">
        <is>
          <t>Dec-2018</t>
        </is>
      </c>
      <c r="C16680" s="2" t="n">
        <v>43566</v>
      </c>
      <c r="D16680" t="inlineStr">
        <is>
          <t>NON-NIL</t>
        </is>
      </c>
      <c r="E16680" t="n">
        <v>2587</v>
      </c>
    </row>
    <row r="16681">
      <c r="A16681" t="inlineStr">
        <is>
          <t>27BBBBB16681Z5</t>
        </is>
      </c>
      <c r="B16681" t="inlineStr">
        <is>
          <t>Apr-2018</t>
        </is>
      </c>
      <c r="C16681" s="2" t="n">
        <v>43412</v>
      </c>
      <c r="D16681" t="inlineStr">
        <is>
          <t>NON-NIL</t>
        </is>
      </c>
      <c r="E16681" t="n">
        <v>1676</v>
      </c>
    </row>
    <row r="16682">
      <c r="A16682" t="inlineStr">
        <is>
          <t>27BBBBB16682Z5</t>
        </is>
      </c>
      <c r="B16682" t="inlineStr">
        <is>
          <t>Nov-2017</t>
        </is>
      </c>
      <c r="C16682" s="2" t="n">
        <v>43650</v>
      </c>
      <c r="D16682" t="inlineStr">
        <is>
          <t>NIL</t>
        </is>
      </c>
      <c r="E16682" t="n">
        <v>701</v>
      </c>
    </row>
    <row r="16683">
      <c r="A16683" t="inlineStr">
        <is>
          <t>27BBBBB16683Z5</t>
        </is>
      </c>
      <c r="B16683" t="inlineStr">
        <is>
          <t>Mar-2021</t>
        </is>
      </c>
      <c r="C16683" s="2" t="n">
        <v>45518</v>
      </c>
      <c r="D16683" t="inlineStr">
        <is>
          <t>NON-NIL</t>
        </is>
      </c>
      <c r="E16683" t="n">
        <v>1322</v>
      </c>
    </row>
    <row r="16684">
      <c r="A16684" t="inlineStr">
        <is>
          <t>27BBBBB16684Z5</t>
        </is>
      </c>
      <c r="B16684" t="inlineStr">
        <is>
          <t>Sep-2017</t>
        </is>
      </c>
      <c r="C16684" s="2" t="n">
        <v>44035</v>
      </c>
      <c r="D16684" t="inlineStr">
        <is>
          <t>NIL</t>
        </is>
      </c>
      <c r="E16684" t="n">
        <v>2065</v>
      </c>
    </row>
    <row r="16685">
      <c r="A16685" t="inlineStr">
        <is>
          <t>27BBBBB16685Z5</t>
        </is>
      </c>
      <c r="B16685" t="inlineStr">
        <is>
          <t>May-2018</t>
        </is>
      </c>
      <c r="C16685" s="2" t="n">
        <v>43408</v>
      </c>
      <c r="D16685" t="inlineStr">
        <is>
          <t>NIL</t>
        </is>
      </c>
      <c r="E16685" t="n">
        <v>2676</v>
      </c>
    </row>
    <row r="16686">
      <c r="A16686" t="inlineStr">
        <is>
          <t>27BBBBB16686Z5</t>
        </is>
      </c>
      <c r="B16686" t="inlineStr">
        <is>
          <t>Dec-2017</t>
        </is>
      </c>
      <c r="C16686" s="2" t="n">
        <v>43460</v>
      </c>
      <c r="D16686" t="inlineStr">
        <is>
          <t>NIL</t>
        </is>
      </c>
      <c r="E16686" t="n">
        <v>2299</v>
      </c>
    </row>
    <row r="16687">
      <c r="A16687" t="inlineStr">
        <is>
          <t>27BBBBB16687Z5</t>
        </is>
      </c>
      <c r="B16687" t="inlineStr">
        <is>
          <t>Jun-2020</t>
        </is>
      </c>
      <c r="C16687" s="2" t="n">
        <v>44242</v>
      </c>
      <c r="D16687" t="inlineStr">
        <is>
          <t>NIL</t>
        </is>
      </c>
      <c r="E16687" t="n">
        <v>427</v>
      </c>
    </row>
    <row r="16688">
      <c r="A16688" t="inlineStr">
        <is>
          <t>27BBBBB16688Z5</t>
        </is>
      </c>
      <c r="B16688" t="inlineStr">
        <is>
          <t>Mar-2018</t>
        </is>
      </c>
      <c r="C16688" s="2" t="n">
        <v>43135</v>
      </c>
      <c r="D16688" t="inlineStr">
        <is>
          <t>NIL</t>
        </is>
      </c>
      <c r="E16688" t="n">
        <v>173</v>
      </c>
    </row>
    <row r="16689">
      <c r="A16689" t="inlineStr">
        <is>
          <t>27BBBBB16689Z5</t>
        </is>
      </c>
      <c r="B16689" t="inlineStr">
        <is>
          <t>Apr-2020</t>
        </is>
      </c>
      <c r="C16689" s="2" t="n">
        <v>44537</v>
      </c>
      <c r="D16689" t="inlineStr">
        <is>
          <t>NON-NIL</t>
        </is>
      </c>
      <c r="E16689" t="n">
        <v>2171</v>
      </c>
    </row>
    <row r="16690">
      <c r="A16690" t="inlineStr">
        <is>
          <t>27BBBBB16690Z5</t>
        </is>
      </c>
      <c r="B16690" t="inlineStr">
        <is>
          <t>Dec-2017</t>
        </is>
      </c>
      <c r="C16690" s="2" t="n">
        <v>44390</v>
      </c>
      <c r="D16690" t="inlineStr">
        <is>
          <t>NON-NIL</t>
        </is>
      </c>
      <c r="E16690" t="n">
        <v>2769</v>
      </c>
    </row>
    <row r="16691">
      <c r="A16691" t="inlineStr">
        <is>
          <t>27BBBBB16691Z5</t>
        </is>
      </c>
      <c r="B16691" t="inlineStr">
        <is>
          <t>Sep-2017</t>
        </is>
      </c>
      <c r="C16691" s="2" t="n">
        <v>44333</v>
      </c>
      <c r="D16691" t="inlineStr">
        <is>
          <t>NON-NIL</t>
        </is>
      </c>
      <c r="E16691" t="n">
        <v>1661</v>
      </c>
    </row>
    <row r="16692">
      <c r="A16692" t="inlineStr">
        <is>
          <t>27BBBBB16692Z5</t>
        </is>
      </c>
      <c r="B16692" t="inlineStr">
        <is>
          <t>May-2018</t>
        </is>
      </c>
      <c r="C16692" s="2" t="n">
        <v>44339</v>
      </c>
      <c r="D16692" t="inlineStr">
        <is>
          <t>NIL</t>
        </is>
      </c>
      <c r="E16692" t="n">
        <v>215</v>
      </c>
    </row>
    <row r="16693">
      <c r="A16693" t="inlineStr">
        <is>
          <t>27BBBBB16693Z5</t>
        </is>
      </c>
      <c r="B16693" t="inlineStr">
        <is>
          <t>Jun-2020</t>
        </is>
      </c>
      <c r="C16693" s="2" t="n">
        <v>44365</v>
      </c>
      <c r="D16693" t="inlineStr">
        <is>
          <t>NIL</t>
        </is>
      </c>
      <c r="E16693" t="n">
        <v>1861</v>
      </c>
    </row>
    <row r="16694">
      <c r="A16694" t="inlineStr">
        <is>
          <t>27BBBBB16694Z5</t>
        </is>
      </c>
      <c r="B16694" t="inlineStr">
        <is>
          <t>Jul-2020</t>
        </is>
      </c>
      <c r="C16694" s="2" t="n">
        <v>44111</v>
      </c>
      <c r="D16694" t="inlineStr">
        <is>
          <t>NIL</t>
        </is>
      </c>
      <c r="E16694" t="n">
        <v>1379</v>
      </c>
    </row>
    <row r="16695">
      <c r="A16695" t="inlineStr">
        <is>
          <t>27BBBBB16695Z5</t>
        </is>
      </c>
      <c r="B16695" t="inlineStr">
        <is>
          <t>Jun-2018</t>
        </is>
      </c>
      <c r="C16695" s="2" t="n">
        <v>43012</v>
      </c>
      <c r="D16695" t="inlineStr">
        <is>
          <t>NIL</t>
        </is>
      </c>
      <c r="E16695" t="n">
        <v>2417</v>
      </c>
    </row>
    <row r="16696">
      <c r="A16696" t="inlineStr">
        <is>
          <t>27BBBBB16696Z5</t>
        </is>
      </c>
      <c r="B16696" t="inlineStr">
        <is>
          <t>May-2020</t>
        </is>
      </c>
      <c r="C16696" s="2" t="n">
        <v>44718</v>
      </c>
      <c r="D16696" t="inlineStr">
        <is>
          <t>NIL</t>
        </is>
      </c>
      <c r="E16696" t="n">
        <v>506</v>
      </c>
    </row>
    <row r="16697">
      <c r="A16697" t="inlineStr">
        <is>
          <t>27BBBBB16697Z5</t>
        </is>
      </c>
      <c r="B16697" t="inlineStr">
        <is>
          <t>Sep-2017</t>
        </is>
      </c>
      <c r="C16697" s="2" t="n">
        <v>43755</v>
      </c>
      <c r="D16697" t="inlineStr">
        <is>
          <t>NIL</t>
        </is>
      </c>
      <c r="E16697" t="n">
        <v>310</v>
      </c>
    </row>
    <row r="16698">
      <c r="A16698" t="inlineStr">
        <is>
          <t>27BBBBB16698Z5</t>
        </is>
      </c>
      <c r="B16698" t="inlineStr">
        <is>
          <t>Dec-2018</t>
        </is>
      </c>
      <c r="C16698" s="2" t="n">
        <v>43846</v>
      </c>
      <c r="D16698" t="inlineStr">
        <is>
          <t>NON-NIL</t>
        </is>
      </c>
      <c r="E16698" t="n">
        <v>148</v>
      </c>
    </row>
    <row r="16699">
      <c r="A16699" t="inlineStr">
        <is>
          <t>27BBBBB16699Z5</t>
        </is>
      </c>
      <c r="B16699" t="inlineStr">
        <is>
          <t>Dec-2024</t>
        </is>
      </c>
      <c r="C16699" s="2" t="n">
        <v>45059</v>
      </c>
      <c r="D16699" t="inlineStr">
        <is>
          <t>NON-NIL</t>
        </is>
      </c>
      <c r="E16699" t="n">
        <v>2329</v>
      </c>
    </row>
    <row r="16700">
      <c r="A16700" t="inlineStr">
        <is>
          <t>27BBBBB16700Z5</t>
        </is>
      </c>
      <c r="B16700" t="inlineStr">
        <is>
          <t>Nov-2017</t>
        </is>
      </c>
      <c r="C16700" s="2" t="n">
        <v>44401</v>
      </c>
      <c r="D16700" t="inlineStr">
        <is>
          <t>NIL</t>
        </is>
      </c>
      <c r="E16700" t="n">
        <v>160</v>
      </c>
    </row>
    <row r="16701">
      <c r="A16701" t="inlineStr">
        <is>
          <t>27BBBBB16701Z5</t>
        </is>
      </c>
      <c r="B16701" t="inlineStr">
        <is>
          <t>Sep-2018</t>
        </is>
      </c>
      <c r="C16701" s="2" t="n">
        <v>43425</v>
      </c>
      <c r="D16701" t="inlineStr">
        <is>
          <t>NON-NIL</t>
        </is>
      </c>
      <c r="E16701" t="n">
        <v>2696</v>
      </c>
    </row>
    <row r="16702">
      <c r="A16702" t="inlineStr">
        <is>
          <t>27BBBBB16702Z5</t>
        </is>
      </c>
      <c r="B16702" t="inlineStr">
        <is>
          <t>May-2020</t>
        </is>
      </c>
      <c r="C16702" s="2" t="n">
        <v>44588</v>
      </c>
      <c r="D16702" t="inlineStr">
        <is>
          <t>NON-NIL</t>
        </is>
      </c>
      <c r="E16702" t="n">
        <v>522</v>
      </c>
    </row>
    <row r="16703">
      <c r="A16703" t="inlineStr">
        <is>
          <t>27BBBBB16703Z5</t>
        </is>
      </c>
      <c r="B16703" t="inlineStr">
        <is>
          <t>Aug-2017</t>
        </is>
      </c>
      <c r="C16703" s="2" t="n">
        <v>43185</v>
      </c>
      <c r="D16703" t="inlineStr">
        <is>
          <t>NIL</t>
        </is>
      </c>
      <c r="E16703" t="n">
        <v>2399</v>
      </c>
    </row>
    <row r="16704">
      <c r="A16704" t="inlineStr">
        <is>
          <t>27BBBBB16704Z5</t>
        </is>
      </c>
      <c r="B16704" t="inlineStr">
        <is>
          <t>Mar-2018</t>
        </is>
      </c>
      <c r="C16704" s="2" t="n">
        <v>44097</v>
      </c>
      <c r="D16704" t="inlineStr">
        <is>
          <t>NON-NIL</t>
        </is>
      </c>
      <c r="E16704" t="n">
        <v>1516</v>
      </c>
    </row>
    <row r="16705">
      <c r="A16705" t="inlineStr">
        <is>
          <t>27BBBBB16705Z5</t>
        </is>
      </c>
      <c r="B16705" t="inlineStr">
        <is>
          <t>Oct-2017</t>
        </is>
      </c>
      <c r="C16705" s="2" t="n">
        <v>43313</v>
      </c>
      <c r="D16705" t="inlineStr">
        <is>
          <t>NIL</t>
        </is>
      </c>
      <c r="E16705" t="n">
        <v>2455</v>
      </c>
    </row>
    <row r="16706">
      <c r="A16706" t="inlineStr">
        <is>
          <t>27BBBBB16706Z5</t>
        </is>
      </c>
      <c r="B16706" t="inlineStr">
        <is>
          <t>Dec-2018</t>
        </is>
      </c>
      <c r="C16706" s="2" t="n">
        <v>44104</v>
      </c>
      <c r="D16706" t="inlineStr">
        <is>
          <t>NON-NIL</t>
        </is>
      </c>
      <c r="E16706" t="n">
        <v>2722</v>
      </c>
    </row>
    <row r="16707">
      <c r="A16707" t="inlineStr">
        <is>
          <t>27BBBBB16707Z5</t>
        </is>
      </c>
      <c r="B16707" t="inlineStr">
        <is>
          <t>May-2020</t>
        </is>
      </c>
      <c r="C16707" s="2" t="n">
        <v>44907</v>
      </c>
      <c r="D16707" t="inlineStr">
        <is>
          <t>NON-NIL</t>
        </is>
      </c>
      <c r="E16707" t="n">
        <v>1971</v>
      </c>
    </row>
    <row r="16708">
      <c r="A16708" t="inlineStr">
        <is>
          <t>27BBBBB16708Z5</t>
        </is>
      </c>
      <c r="B16708" t="inlineStr">
        <is>
          <t>May-2020</t>
        </is>
      </c>
      <c r="C16708" s="2" t="n">
        <v>43917</v>
      </c>
      <c r="D16708" t="inlineStr">
        <is>
          <t>NON-NIL</t>
        </is>
      </c>
      <c r="E16708" t="n">
        <v>268</v>
      </c>
    </row>
    <row r="16709">
      <c r="A16709" t="inlineStr">
        <is>
          <t>27BBBBB16709Z5</t>
        </is>
      </c>
      <c r="B16709" t="inlineStr">
        <is>
          <t>Jul-2020</t>
        </is>
      </c>
      <c r="C16709" s="2" t="n">
        <v>44845</v>
      </c>
      <c r="D16709" t="inlineStr">
        <is>
          <t>NIL</t>
        </is>
      </c>
      <c r="E16709" t="n">
        <v>74</v>
      </c>
    </row>
    <row r="16710">
      <c r="A16710" t="inlineStr">
        <is>
          <t>27BBBBB16710Z5</t>
        </is>
      </c>
      <c r="B16710" t="inlineStr">
        <is>
          <t>Jun-2020</t>
        </is>
      </c>
      <c r="C16710" s="2" t="n">
        <v>44205</v>
      </c>
      <c r="D16710" t="inlineStr">
        <is>
          <t>NIL</t>
        </is>
      </c>
      <c r="E16710" t="n">
        <v>1459</v>
      </c>
    </row>
    <row r="16711">
      <c r="A16711" t="inlineStr">
        <is>
          <t>27BBBBB16711Z5</t>
        </is>
      </c>
      <c r="B16711" t="inlineStr">
        <is>
          <t>Jul-2018</t>
        </is>
      </c>
      <c r="C16711" s="2" t="n">
        <v>44393</v>
      </c>
      <c r="D16711" t="inlineStr">
        <is>
          <t>NIL</t>
        </is>
      </c>
      <c r="E16711" t="n">
        <v>427</v>
      </c>
    </row>
    <row r="16712">
      <c r="A16712" t="inlineStr">
        <is>
          <t>27BBBBB16712Z5</t>
        </is>
      </c>
      <c r="B16712" t="inlineStr">
        <is>
          <t>Jan-2018</t>
        </is>
      </c>
      <c r="C16712" s="2" t="n">
        <v>44437</v>
      </c>
      <c r="D16712" t="inlineStr">
        <is>
          <t>NON-NIL</t>
        </is>
      </c>
      <c r="E16712" t="n">
        <v>1935</v>
      </c>
    </row>
    <row r="16713">
      <c r="A16713" t="inlineStr">
        <is>
          <t>27BBBBB16713Z5</t>
        </is>
      </c>
      <c r="B16713" t="inlineStr">
        <is>
          <t>Jul-2018</t>
        </is>
      </c>
      <c r="C16713" s="2" t="n">
        <v>43609</v>
      </c>
      <c r="D16713" t="inlineStr">
        <is>
          <t>NON-NIL</t>
        </is>
      </c>
      <c r="E16713" t="n">
        <v>1434</v>
      </c>
    </row>
    <row r="16714">
      <c r="A16714" t="inlineStr">
        <is>
          <t>27BBBBB16714Z5</t>
        </is>
      </c>
      <c r="B16714" t="inlineStr">
        <is>
          <t>Sep-2018</t>
        </is>
      </c>
      <c r="C16714" s="2" t="n">
        <v>43737</v>
      </c>
      <c r="D16714" t="inlineStr">
        <is>
          <t>NIL</t>
        </is>
      </c>
      <c r="E16714" t="n">
        <v>277</v>
      </c>
    </row>
    <row r="16715">
      <c r="A16715" t="inlineStr">
        <is>
          <t>27BBBBB16715Z5</t>
        </is>
      </c>
      <c r="B16715" t="inlineStr">
        <is>
          <t>Jul-2020</t>
        </is>
      </c>
      <c r="C16715" s="2" t="n">
        <v>43920</v>
      </c>
      <c r="D16715" t="inlineStr">
        <is>
          <t>NON-NIL</t>
        </is>
      </c>
      <c r="E16715" t="n">
        <v>649</v>
      </c>
    </row>
    <row r="16716">
      <c r="A16716" t="inlineStr">
        <is>
          <t>27BBBBB16716Z5</t>
        </is>
      </c>
      <c r="B16716" t="inlineStr">
        <is>
          <t>Jul-2017</t>
        </is>
      </c>
      <c r="C16716" s="2" t="n">
        <v>43803</v>
      </c>
      <c r="D16716" t="inlineStr">
        <is>
          <t>NIL</t>
        </is>
      </c>
      <c r="E16716" t="n">
        <v>53</v>
      </c>
    </row>
    <row r="16717">
      <c r="A16717" t="inlineStr">
        <is>
          <t>27BBBBB16717Z5</t>
        </is>
      </c>
      <c r="B16717" t="inlineStr">
        <is>
          <t>Dec-2022</t>
        </is>
      </c>
      <c r="C16717" s="2" t="n">
        <v>45180</v>
      </c>
      <c r="D16717" t="inlineStr">
        <is>
          <t>NON-NIL</t>
        </is>
      </c>
      <c r="E16717" t="n">
        <v>423</v>
      </c>
    </row>
    <row r="16718">
      <c r="A16718" t="inlineStr">
        <is>
          <t>27BBBBB16718Z5</t>
        </is>
      </c>
      <c r="B16718" t="inlineStr">
        <is>
          <t>Jan-2018</t>
        </is>
      </c>
      <c r="C16718" s="2" t="n">
        <v>44043</v>
      </c>
      <c r="D16718" t="inlineStr">
        <is>
          <t>NON-NIL</t>
        </is>
      </c>
      <c r="E16718" t="n">
        <v>999</v>
      </c>
    </row>
    <row r="16719">
      <c r="A16719" t="inlineStr">
        <is>
          <t>27BBBBB16719Z5</t>
        </is>
      </c>
      <c r="B16719" t="inlineStr">
        <is>
          <t>Jun-2020</t>
        </is>
      </c>
      <c r="C16719" s="2" t="n">
        <v>44418</v>
      </c>
      <c r="D16719" t="inlineStr">
        <is>
          <t>NIL</t>
        </is>
      </c>
      <c r="E16719" t="n">
        <v>1325</v>
      </c>
    </row>
    <row r="16720">
      <c r="A16720" t="inlineStr">
        <is>
          <t>27BBBBB16720Z5</t>
        </is>
      </c>
      <c r="B16720" t="inlineStr">
        <is>
          <t>Dec-2022</t>
        </is>
      </c>
      <c r="C16720" s="2" t="n">
        <v>45428</v>
      </c>
      <c r="D16720" t="inlineStr">
        <is>
          <t>NIL</t>
        </is>
      </c>
      <c r="E16720" t="n">
        <v>2850</v>
      </c>
    </row>
    <row r="16721">
      <c r="A16721" t="inlineStr">
        <is>
          <t>27BBBBB16721Z5</t>
        </is>
      </c>
      <c r="B16721" t="inlineStr">
        <is>
          <t>Sep-2017</t>
        </is>
      </c>
      <c r="C16721" s="2" t="n">
        <v>44540</v>
      </c>
      <c r="D16721" t="inlineStr">
        <is>
          <t>NIL</t>
        </is>
      </c>
      <c r="E16721" t="n">
        <v>2938</v>
      </c>
    </row>
    <row r="16722">
      <c r="A16722" t="inlineStr">
        <is>
          <t>27BBBBB16722Z5</t>
        </is>
      </c>
      <c r="B16722" t="inlineStr">
        <is>
          <t>Nov-2017</t>
        </is>
      </c>
      <c r="C16722" s="2" t="n">
        <v>44450</v>
      </c>
      <c r="D16722" t="inlineStr">
        <is>
          <t>NIL</t>
        </is>
      </c>
      <c r="E16722" t="n">
        <v>1277</v>
      </c>
    </row>
    <row r="16723">
      <c r="A16723" t="inlineStr">
        <is>
          <t>27BBBBB16723Z5</t>
        </is>
      </c>
      <c r="B16723" t="inlineStr">
        <is>
          <t>Sep-2018</t>
        </is>
      </c>
      <c r="C16723" s="2" t="n">
        <v>43854</v>
      </c>
      <c r="D16723" t="inlineStr">
        <is>
          <t>NIL</t>
        </is>
      </c>
      <c r="E16723" t="n">
        <v>1149</v>
      </c>
    </row>
    <row r="16724">
      <c r="A16724" t="inlineStr">
        <is>
          <t>27BBBBB16724Z5</t>
        </is>
      </c>
      <c r="B16724" t="inlineStr">
        <is>
          <t>Oct-2018</t>
        </is>
      </c>
      <c r="C16724" s="2" t="n">
        <v>44395</v>
      </c>
      <c r="D16724" t="inlineStr">
        <is>
          <t>NIL</t>
        </is>
      </c>
      <c r="E16724" t="n">
        <v>2721</v>
      </c>
    </row>
    <row r="16725">
      <c r="A16725" t="inlineStr">
        <is>
          <t>27BBBBB16725Z5</t>
        </is>
      </c>
      <c r="B16725" t="inlineStr">
        <is>
          <t>Mar-2020</t>
        </is>
      </c>
      <c r="C16725" s="2" t="n">
        <v>43933</v>
      </c>
      <c r="D16725" t="inlineStr">
        <is>
          <t>NIL</t>
        </is>
      </c>
      <c r="E16725" t="n">
        <v>791</v>
      </c>
    </row>
    <row r="16726">
      <c r="A16726" t="inlineStr">
        <is>
          <t>27BBBBB16726Z5</t>
        </is>
      </c>
      <c r="B16726" t="inlineStr">
        <is>
          <t>Dec-2022</t>
        </is>
      </c>
      <c r="C16726" s="2" t="n">
        <v>45588</v>
      </c>
      <c r="D16726" t="inlineStr">
        <is>
          <t>NIL</t>
        </is>
      </c>
      <c r="E16726" t="n">
        <v>2656</v>
      </c>
    </row>
    <row r="16727">
      <c r="A16727" t="inlineStr">
        <is>
          <t>27BBBBB16727Z5</t>
        </is>
      </c>
      <c r="B16727" t="inlineStr">
        <is>
          <t>Jan-2018</t>
        </is>
      </c>
      <c r="C16727" s="2" t="n">
        <v>44077</v>
      </c>
      <c r="D16727" t="inlineStr">
        <is>
          <t>NIL</t>
        </is>
      </c>
      <c r="E16727" t="n">
        <v>1824</v>
      </c>
    </row>
    <row r="16728">
      <c r="A16728" t="inlineStr">
        <is>
          <t>27BBBBB16728Z5</t>
        </is>
      </c>
      <c r="B16728" t="inlineStr">
        <is>
          <t>Nov-2017</t>
        </is>
      </c>
      <c r="C16728" s="2" t="n">
        <v>44073</v>
      </c>
      <c r="D16728" t="inlineStr">
        <is>
          <t>NIL</t>
        </is>
      </c>
      <c r="E16728" t="n">
        <v>2284</v>
      </c>
    </row>
    <row r="16729">
      <c r="A16729" t="inlineStr">
        <is>
          <t>27BBBBB16729Z5</t>
        </is>
      </c>
      <c r="B16729" t="inlineStr">
        <is>
          <t>Oct-2018</t>
        </is>
      </c>
      <c r="C16729" s="2" t="n">
        <v>43722</v>
      </c>
      <c r="D16729" t="inlineStr">
        <is>
          <t>NIL</t>
        </is>
      </c>
      <c r="E16729" t="n">
        <v>681</v>
      </c>
    </row>
    <row r="16730">
      <c r="A16730" t="inlineStr">
        <is>
          <t>27BBBBB16730Z5</t>
        </is>
      </c>
      <c r="B16730" t="inlineStr">
        <is>
          <t>Dec-2024</t>
        </is>
      </c>
      <c r="C16730" s="2" t="n">
        <v>44076</v>
      </c>
      <c r="D16730" t="inlineStr">
        <is>
          <t>NIL</t>
        </is>
      </c>
      <c r="E16730" t="n">
        <v>204</v>
      </c>
    </row>
    <row r="16731">
      <c r="A16731" t="inlineStr">
        <is>
          <t>27BBBBB16731Z5</t>
        </is>
      </c>
      <c r="B16731" t="inlineStr">
        <is>
          <t>Nov-2018</t>
        </is>
      </c>
      <c r="C16731" s="2" t="n">
        <v>44437</v>
      </c>
      <c r="D16731" t="inlineStr">
        <is>
          <t>NIL</t>
        </is>
      </c>
      <c r="E16731" t="n">
        <v>2997</v>
      </c>
    </row>
    <row r="16732">
      <c r="A16732" t="inlineStr">
        <is>
          <t>27BBBBB16732Z5</t>
        </is>
      </c>
      <c r="B16732" t="inlineStr">
        <is>
          <t>Mar-2018</t>
        </is>
      </c>
      <c r="C16732" s="2" t="n">
        <v>43454</v>
      </c>
      <c r="D16732" t="inlineStr">
        <is>
          <t>NIL</t>
        </is>
      </c>
      <c r="E16732" t="n">
        <v>2437</v>
      </c>
    </row>
    <row r="16733">
      <c r="A16733" t="inlineStr">
        <is>
          <t>27BBBBB16733Z5</t>
        </is>
      </c>
      <c r="B16733" t="inlineStr">
        <is>
          <t>Mar-2023</t>
        </is>
      </c>
      <c r="C16733" s="2" t="n">
        <v>44342</v>
      </c>
      <c r="D16733" t="inlineStr">
        <is>
          <t>NIL</t>
        </is>
      </c>
      <c r="E16733" t="n">
        <v>1690</v>
      </c>
    </row>
    <row r="16734">
      <c r="A16734" t="inlineStr">
        <is>
          <t>27BBBBB16734Z5</t>
        </is>
      </c>
      <c r="B16734" t="inlineStr">
        <is>
          <t>Dec-2022</t>
        </is>
      </c>
      <c r="C16734" s="2" t="n">
        <v>45797</v>
      </c>
      <c r="D16734" t="inlineStr">
        <is>
          <t>NON-NIL</t>
        </is>
      </c>
      <c r="E16734" t="n">
        <v>2232</v>
      </c>
    </row>
    <row r="16735">
      <c r="A16735" t="inlineStr">
        <is>
          <t>27BBBBB16735Z5</t>
        </is>
      </c>
      <c r="B16735" t="inlineStr">
        <is>
          <t>Dec-2017</t>
        </is>
      </c>
      <c r="C16735" s="2" t="n">
        <v>44528</v>
      </c>
      <c r="D16735" t="inlineStr">
        <is>
          <t>NON-NIL</t>
        </is>
      </c>
      <c r="E16735" t="n">
        <v>530</v>
      </c>
    </row>
    <row r="16736">
      <c r="A16736" t="inlineStr">
        <is>
          <t>27BBBBB16736Z5</t>
        </is>
      </c>
      <c r="B16736" t="inlineStr">
        <is>
          <t>Jun-2020</t>
        </is>
      </c>
      <c r="C16736" s="2" t="n">
        <v>43998</v>
      </c>
      <c r="D16736" t="inlineStr">
        <is>
          <t>NON-NIL</t>
        </is>
      </c>
      <c r="E16736" t="n">
        <v>2075</v>
      </c>
    </row>
    <row r="16737">
      <c r="A16737" t="inlineStr">
        <is>
          <t>27BBBBB16737Z5</t>
        </is>
      </c>
      <c r="B16737" t="inlineStr">
        <is>
          <t>Apr-2018</t>
        </is>
      </c>
      <c r="C16737" s="2" t="n">
        <v>43711</v>
      </c>
      <c r="D16737" t="inlineStr">
        <is>
          <t>NIL</t>
        </is>
      </c>
      <c r="E16737" t="n">
        <v>1197</v>
      </c>
    </row>
    <row r="16738">
      <c r="A16738" t="inlineStr">
        <is>
          <t>27BBBBB16738Z5</t>
        </is>
      </c>
      <c r="B16738" t="inlineStr">
        <is>
          <t>Jul-2018</t>
        </is>
      </c>
      <c r="C16738" s="2" t="n">
        <v>43275</v>
      </c>
      <c r="D16738" t="inlineStr">
        <is>
          <t>NON-NIL</t>
        </is>
      </c>
      <c r="E16738" t="n">
        <v>1947</v>
      </c>
    </row>
    <row r="16739">
      <c r="A16739" t="inlineStr">
        <is>
          <t>27BBBBB16739Z5</t>
        </is>
      </c>
      <c r="B16739" t="inlineStr">
        <is>
          <t>Sep-2017</t>
        </is>
      </c>
      <c r="C16739" s="2" t="n">
        <v>43438</v>
      </c>
      <c r="D16739" t="inlineStr">
        <is>
          <t>NIL</t>
        </is>
      </c>
      <c r="E16739" t="n">
        <v>1439</v>
      </c>
    </row>
    <row r="16740">
      <c r="A16740" t="inlineStr">
        <is>
          <t>27BBBBB16740Z5</t>
        </is>
      </c>
      <c r="B16740" t="inlineStr">
        <is>
          <t>Apr-2018</t>
        </is>
      </c>
      <c r="C16740" s="2" t="n">
        <v>44500</v>
      </c>
      <c r="D16740" t="inlineStr">
        <is>
          <t>NON-NIL</t>
        </is>
      </c>
      <c r="E16740" t="n">
        <v>2791</v>
      </c>
    </row>
    <row r="16741">
      <c r="A16741" t="inlineStr">
        <is>
          <t>27BBBBB16741Z5</t>
        </is>
      </c>
      <c r="B16741" t="inlineStr">
        <is>
          <t>Dec-2024</t>
        </is>
      </c>
      <c r="C16741" s="2" t="n">
        <v>44463</v>
      </c>
      <c r="D16741" t="inlineStr">
        <is>
          <t>NIL</t>
        </is>
      </c>
      <c r="E16741" t="n">
        <v>209</v>
      </c>
    </row>
    <row r="16742">
      <c r="A16742" t="inlineStr">
        <is>
          <t>27BBBBB16742Z5</t>
        </is>
      </c>
      <c r="B16742" t="inlineStr">
        <is>
          <t>Oct-2018</t>
        </is>
      </c>
      <c r="C16742" s="2" t="n">
        <v>43176</v>
      </c>
      <c r="D16742" t="inlineStr">
        <is>
          <t>NON-NIL</t>
        </is>
      </c>
      <c r="E16742" t="n">
        <v>2680</v>
      </c>
    </row>
    <row r="16743">
      <c r="A16743" t="inlineStr">
        <is>
          <t>27BBBBB16743Z5</t>
        </is>
      </c>
      <c r="B16743" t="inlineStr">
        <is>
          <t>Jan-2018</t>
        </is>
      </c>
      <c r="C16743" s="2" t="n">
        <v>43052</v>
      </c>
      <c r="D16743" t="inlineStr">
        <is>
          <t>NIL</t>
        </is>
      </c>
      <c r="E16743" t="n">
        <v>1401</v>
      </c>
    </row>
    <row r="16744">
      <c r="A16744" t="inlineStr">
        <is>
          <t>27BBBBB16744Z5</t>
        </is>
      </c>
      <c r="B16744" t="inlineStr">
        <is>
          <t>Aug-2018</t>
        </is>
      </c>
      <c r="C16744" s="2" t="n">
        <v>44081</v>
      </c>
      <c r="D16744" t="inlineStr">
        <is>
          <t>NON-NIL</t>
        </is>
      </c>
      <c r="E16744" t="n">
        <v>1578</v>
      </c>
    </row>
    <row r="16745">
      <c r="A16745" t="inlineStr">
        <is>
          <t>27BBBBB16745Z5</t>
        </is>
      </c>
      <c r="B16745" t="inlineStr">
        <is>
          <t>Oct-2017</t>
        </is>
      </c>
      <c r="C16745" s="2" t="n">
        <v>44373</v>
      </c>
      <c r="D16745" t="inlineStr">
        <is>
          <t>NON-NIL</t>
        </is>
      </c>
      <c r="E16745" t="n">
        <v>1601</v>
      </c>
    </row>
    <row r="16746">
      <c r="A16746" t="inlineStr">
        <is>
          <t>27BBBBB16746Z5</t>
        </is>
      </c>
      <c r="B16746" t="inlineStr">
        <is>
          <t>Apr-2020</t>
        </is>
      </c>
      <c r="C16746" s="2" t="n">
        <v>44560</v>
      </c>
      <c r="D16746" t="inlineStr">
        <is>
          <t>NON-NIL</t>
        </is>
      </c>
      <c r="E16746" t="n">
        <v>453</v>
      </c>
    </row>
    <row r="16747">
      <c r="A16747" t="inlineStr">
        <is>
          <t>27BBBBB16747Z5</t>
        </is>
      </c>
      <c r="B16747" t="inlineStr">
        <is>
          <t>Mar-2018</t>
        </is>
      </c>
      <c r="C16747" s="2" t="n">
        <v>43254</v>
      </c>
      <c r="D16747" t="inlineStr">
        <is>
          <t>NON-NIL</t>
        </is>
      </c>
      <c r="E16747" t="n">
        <v>1698</v>
      </c>
    </row>
    <row r="16748">
      <c r="A16748" t="inlineStr">
        <is>
          <t>27BBBBB16748Z5</t>
        </is>
      </c>
      <c r="B16748" t="inlineStr">
        <is>
          <t>May-2020</t>
        </is>
      </c>
      <c r="C16748" s="2" t="n">
        <v>43957</v>
      </c>
      <c r="D16748" t="inlineStr">
        <is>
          <t>NON-NIL</t>
        </is>
      </c>
      <c r="E16748" t="n">
        <v>939</v>
      </c>
    </row>
    <row r="16749">
      <c r="A16749" t="inlineStr">
        <is>
          <t>27BBBBB16749Z5</t>
        </is>
      </c>
      <c r="B16749" t="inlineStr">
        <is>
          <t>Jan-2018</t>
        </is>
      </c>
      <c r="C16749" s="2" t="n">
        <v>44440</v>
      </c>
      <c r="D16749" t="inlineStr">
        <is>
          <t>NIL</t>
        </is>
      </c>
      <c r="E16749" t="n">
        <v>2956</v>
      </c>
    </row>
    <row r="16750">
      <c r="A16750" t="inlineStr">
        <is>
          <t>27BBBBB16750Z5</t>
        </is>
      </c>
      <c r="B16750" t="inlineStr">
        <is>
          <t>Jul-2017</t>
        </is>
      </c>
      <c r="C16750" s="2" t="n">
        <v>43342</v>
      </c>
      <c r="D16750" t="inlineStr">
        <is>
          <t>NIL</t>
        </is>
      </c>
      <c r="E16750" t="n">
        <v>2950</v>
      </c>
    </row>
    <row r="16751">
      <c r="A16751" t="inlineStr">
        <is>
          <t>27BBBBB16751Z5</t>
        </is>
      </c>
      <c r="B16751" t="inlineStr">
        <is>
          <t>Jul-2017</t>
        </is>
      </c>
      <c r="C16751" s="2" t="n">
        <v>42949</v>
      </c>
      <c r="D16751" t="inlineStr">
        <is>
          <t>NIL</t>
        </is>
      </c>
      <c r="E16751" t="n">
        <v>2413</v>
      </c>
    </row>
    <row r="16752">
      <c r="A16752" t="inlineStr">
        <is>
          <t>27BBBBB16752Z5</t>
        </is>
      </c>
      <c r="B16752" t="inlineStr">
        <is>
          <t>Jul-2018</t>
        </is>
      </c>
      <c r="C16752" s="2" t="n">
        <v>44546</v>
      </c>
      <c r="D16752" t="inlineStr">
        <is>
          <t>NIL</t>
        </is>
      </c>
      <c r="E16752" t="n">
        <v>1355</v>
      </c>
    </row>
    <row r="16753">
      <c r="A16753" t="inlineStr">
        <is>
          <t>27BBBBB16753Z5</t>
        </is>
      </c>
      <c r="B16753" t="inlineStr">
        <is>
          <t>Oct-2018</t>
        </is>
      </c>
      <c r="C16753" s="2" t="n">
        <v>43553</v>
      </c>
      <c r="D16753" t="inlineStr">
        <is>
          <t>NON-NIL</t>
        </is>
      </c>
      <c r="E16753" t="n">
        <v>914</v>
      </c>
    </row>
    <row r="16754">
      <c r="A16754" t="inlineStr">
        <is>
          <t>27BBBBB16754Z5</t>
        </is>
      </c>
      <c r="B16754" t="inlineStr">
        <is>
          <t>Jan-2021</t>
        </is>
      </c>
      <c r="C16754" s="2" t="n">
        <v>44545</v>
      </c>
      <c r="D16754" t="inlineStr">
        <is>
          <t>NIL</t>
        </is>
      </c>
      <c r="E16754" t="n">
        <v>2259</v>
      </c>
    </row>
    <row r="16755">
      <c r="A16755" t="inlineStr">
        <is>
          <t>27BBBBB16755Z5</t>
        </is>
      </c>
      <c r="B16755" t="inlineStr">
        <is>
          <t>Nov-2018</t>
        </is>
      </c>
      <c r="C16755" s="2" t="n">
        <v>43110</v>
      </c>
      <c r="D16755" t="inlineStr">
        <is>
          <t>NIL</t>
        </is>
      </c>
      <c r="E16755" t="n">
        <v>2088</v>
      </c>
    </row>
    <row r="16756">
      <c r="A16756" t="inlineStr">
        <is>
          <t>27BBBBB16756Z5</t>
        </is>
      </c>
      <c r="B16756" t="inlineStr">
        <is>
          <t>Apr-2018</t>
        </is>
      </c>
      <c r="C16756" s="2" t="n">
        <v>43734</v>
      </c>
      <c r="D16756" t="inlineStr">
        <is>
          <t>NIL</t>
        </is>
      </c>
      <c r="E16756" t="n">
        <v>2397</v>
      </c>
    </row>
    <row r="16757">
      <c r="A16757" t="inlineStr">
        <is>
          <t>27BBBBB16757Z5</t>
        </is>
      </c>
      <c r="B16757" t="inlineStr">
        <is>
          <t>Nov-2018</t>
        </is>
      </c>
      <c r="C16757" s="2" t="n">
        <v>44354</v>
      </c>
      <c r="D16757" t="inlineStr">
        <is>
          <t>NIL</t>
        </is>
      </c>
      <c r="E16757" t="n">
        <v>57</v>
      </c>
    </row>
    <row r="16758">
      <c r="A16758" t="inlineStr">
        <is>
          <t>27BBBBB16758Z5</t>
        </is>
      </c>
      <c r="B16758" t="inlineStr">
        <is>
          <t>Oct-2017</t>
        </is>
      </c>
      <c r="C16758" s="2" t="n">
        <v>43020</v>
      </c>
      <c r="D16758" t="inlineStr">
        <is>
          <t>NON-NIL</t>
        </is>
      </c>
      <c r="E16758" t="n">
        <v>515</v>
      </c>
    </row>
    <row r="16759">
      <c r="A16759" t="inlineStr">
        <is>
          <t>27BBBBB16759Z5</t>
        </is>
      </c>
      <c r="B16759" t="inlineStr">
        <is>
          <t>Dec-2017</t>
        </is>
      </c>
      <c r="C16759" s="2" t="n">
        <v>44268</v>
      </c>
      <c r="D16759" t="inlineStr">
        <is>
          <t>NON-NIL</t>
        </is>
      </c>
      <c r="E16759" t="n">
        <v>473</v>
      </c>
    </row>
    <row r="16760">
      <c r="A16760" t="inlineStr">
        <is>
          <t>27BBBBB16760Z5</t>
        </is>
      </c>
      <c r="B16760" t="inlineStr">
        <is>
          <t>Jan-2021</t>
        </is>
      </c>
      <c r="C16760" s="2" t="n">
        <v>43792</v>
      </c>
      <c r="D16760" t="inlineStr">
        <is>
          <t>NON-NIL</t>
        </is>
      </c>
      <c r="E16760" t="n">
        <v>1171</v>
      </c>
    </row>
    <row r="16761">
      <c r="A16761" t="inlineStr">
        <is>
          <t>27BBBBB16761Z5</t>
        </is>
      </c>
      <c r="B16761" t="inlineStr">
        <is>
          <t>Nov-2018</t>
        </is>
      </c>
      <c r="C16761" s="2" t="n">
        <v>43973</v>
      </c>
      <c r="D16761" t="inlineStr">
        <is>
          <t>NON-NIL</t>
        </is>
      </c>
      <c r="E16761" t="n">
        <v>2251</v>
      </c>
    </row>
    <row r="16762">
      <c r="A16762" t="inlineStr">
        <is>
          <t>27BBBBB16762Z5</t>
        </is>
      </c>
      <c r="B16762" t="inlineStr">
        <is>
          <t>Jun-2020</t>
        </is>
      </c>
      <c r="C16762" s="2" t="n">
        <v>44919</v>
      </c>
      <c r="D16762" t="inlineStr">
        <is>
          <t>NIL</t>
        </is>
      </c>
      <c r="E16762" t="n">
        <v>925</v>
      </c>
    </row>
    <row r="16763">
      <c r="A16763" t="inlineStr">
        <is>
          <t>27BBBBB16763Z5</t>
        </is>
      </c>
      <c r="B16763" t="inlineStr">
        <is>
          <t>May-2020</t>
        </is>
      </c>
      <c r="C16763" s="2" t="n">
        <v>44828</v>
      </c>
      <c r="D16763" t="inlineStr">
        <is>
          <t>NIL</t>
        </is>
      </c>
      <c r="E16763" t="n">
        <v>745</v>
      </c>
    </row>
    <row r="16764">
      <c r="A16764" t="inlineStr">
        <is>
          <t>27BBBBB16764Z5</t>
        </is>
      </c>
      <c r="B16764" t="inlineStr">
        <is>
          <t>Jul-2017</t>
        </is>
      </c>
      <c r="C16764" s="2" t="n">
        <v>43288</v>
      </c>
      <c r="D16764" t="inlineStr">
        <is>
          <t>NON-NIL</t>
        </is>
      </c>
      <c r="E16764" t="n">
        <v>860</v>
      </c>
    </row>
    <row r="16765">
      <c r="A16765" t="inlineStr">
        <is>
          <t>27BBBBB16765Z5</t>
        </is>
      </c>
      <c r="B16765" t="inlineStr">
        <is>
          <t>May-2018</t>
        </is>
      </c>
      <c r="C16765" s="2" t="n">
        <v>43390</v>
      </c>
      <c r="D16765" t="inlineStr">
        <is>
          <t>NON-NIL</t>
        </is>
      </c>
      <c r="E16765" t="n">
        <v>1292</v>
      </c>
    </row>
    <row r="16766">
      <c r="A16766" t="inlineStr">
        <is>
          <t>27BBBBB16766Z5</t>
        </is>
      </c>
      <c r="B16766" t="inlineStr">
        <is>
          <t>Mar-2021</t>
        </is>
      </c>
      <c r="C16766" s="2" t="n">
        <v>44618</v>
      </c>
      <c r="D16766" t="inlineStr">
        <is>
          <t>NIL</t>
        </is>
      </c>
      <c r="E16766" t="n">
        <v>711</v>
      </c>
    </row>
    <row r="16767">
      <c r="A16767" t="inlineStr">
        <is>
          <t>27BBBBB16767Z5</t>
        </is>
      </c>
      <c r="B16767" t="inlineStr">
        <is>
          <t>Jul-2020</t>
        </is>
      </c>
      <c r="C16767" s="2" t="n">
        <v>44787</v>
      </c>
      <c r="D16767" t="inlineStr">
        <is>
          <t>NON-NIL</t>
        </is>
      </c>
      <c r="E16767" t="n">
        <v>1348</v>
      </c>
    </row>
    <row r="16768">
      <c r="A16768" t="inlineStr">
        <is>
          <t>27BBBBB16768Z5</t>
        </is>
      </c>
      <c r="B16768" t="inlineStr">
        <is>
          <t>Jun-2020</t>
        </is>
      </c>
      <c r="C16768" s="2" t="n">
        <v>44683</v>
      </c>
      <c r="D16768" t="inlineStr">
        <is>
          <t>NIL</t>
        </is>
      </c>
      <c r="E16768" t="n">
        <v>2023</v>
      </c>
    </row>
    <row r="16769">
      <c r="A16769" t="inlineStr">
        <is>
          <t>27BBBBB16769Z5</t>
        </is>
      </c>
      <c r="B16769" t="inlineStr">
        <is>
          <t>Mar-2018</t>
        </is>
      </c>
      <c r="C16769" s="2" t="n">
        <v>43068</v>
      </c>
      <c r="D16769" t="inlineStr">
        <is>
          <t>NON-NIL</t>
        </is>
      </c>
      <c r="E16769" t="n">
        <v>2194</v>
      </c>
    </row>
    <row r="16770">
      <c r="A16770" t="inlineStr">
        <is>
          <t>27BBBBB16770Z5</t>
        </is>
      </c>
      <c r="B16770" t="inlineStr">
        <is>
          <t>Dec-2024</t>
        </is>
      </c>
      <c r="C16770" s="2" t="n">
        <v>45597</v>
      </c>
      <c r="D16770" t="inlineStr">
        <is>
          <t>NIL</t>
        </is>
      </c>
      <c r="E16770" t="n">
        <v>2591</v>
      </c>
    </row>
    <row r="16771">
      <c r="A16771" t="inlineStr">
        <is>
          <t>27BBBBB16771Z5</t>
        </is>
      </c>
      <c r="B16771" t="inlineStr">
        <is>
          <t>Sep-2017</t>
        </is>
      </c>
      <c r="C16771" s="2" t="n">
        <v>43387</v>
      </c>
      <c r="D16771" t="inlineStr">
        <is>
          <t>NON-NIL</t>
        </is>
      </c>
      <c r="E16771" t="n">
        <v>1677</v>
      </c>
    </row>
    <row r="16772">
      <c r="A16772" t="inlineStr">
        <is>
          <t>27BBBBB16772Z5</t>
        </is>
      </c>
      <c r="B16772" t="inlineStr">
        <is>
          <t>Mar-2020</t>
        </is>
      </c>
      <c r="C16772" s="2" t="n">
        <v>44891</v>
      </c>
      <c r="D16772" t="inlineStr">
        <is>
          <t>NON-NIL</t>
        </is>
      </c>
      <c r="E16772" t="n">
        <v>364</v>
      </c>
    </row>
    <row r="16773">
      <c r="A16773" t="inlineStr">
        <is>
          <t>27BBBBB16773Z5</t>
        </is>
      </c>
      <c r="B16773" t="inlineStr">
        <is>
          <t>Apr-2020</t>
        </is>
      </c>
      <c r="C16773" s="2" t="n">
        <v>44521</v>
      </c>
      <c r="D16773" t="inlineStr">
        <is>
          <t>NON-NIL</t>
        </is>
      </c>
      <c r="E16773" t="n">
        <v>803</v>
      </c>
    </row>
    <row r="16774">
      <c r="A16774" t="inlineStr">
        <is>
          <t>27BBBBB16774Z5</t>
        </is>
      </c>
      <c r="B16774" t="inlineStr">
        <is>
          <t>Nov-2018</t>
        </is>
      </c>
      <c r="C16774" s="2" t="n">
        <v>44089</v>
      </c>
      <c r="D16774" t="inlineStr">
        <is>
          <t>NIL</t>
        </is>
      </c>
      <c r="E16774" t="n">
        <v>403</v>
      </c>
    </row>
    <row r="16775">
      <c r="A16775" t="inlineStr">
        <is>
          <t>27BBBBB16775Z5</t>
        </is>
      </c>
      <c r="B16775" t="inlineStr">
        <is>
          <t>Jun-2020</t>
        </is>
      </c>
      <c r="C16775" s="2" t="n">
        <v>44831</v>
      </c>
      <c r="D16775" t="inlineStr">
        <is>
          <t>NON-NIL</t>
        </is>
      </c>
      <c r="E16775" t="n">
        <v>2610</v>
      </c>
    </row>
    <row r="16776">
      <c r="A16776" t="inlineStr">
        <is>
          <t>27BBBBB16776Z5</t>
        </is>
      </c>
      <c r="B16776" t="inlineStr">
        <is>
          <t>Aug-2017</t>
        </is>
      </c>
      <c r="C16776" s="2" t="n">
        <v>44208</v>
      </c>
      <c r="D16776" t="inlineStr">
        <is>
          <t>NIL</t>
        </is>
      </c>
      <c r="E16776" t="n">
        <v>2377</v>
      </c>
    </row>
    <row r="16777">
      <c r="A16777" t="inlineStr">
        <is>
          <t>27BBBBB16777Z5</t>
        </is>
      </c>
      <c r="B16777" t="inlineStr">
        <is>
          <t>May-2018</t>
        </is>
      </c>
      <c r="C16777" s="2" t="n">
        <v>43753</v>
      </c>
      <c r="D16777" t="inlineStr">
        <is>
          <t>NIL</t>
        </is>
      </c>
      <c r="E16777" t="n">
        <v>1057</v>
      </c>
    </row>
    <row r="16778">
      <c r="A16778" t="inlineStr">
        <is>
          <t>27BBBBB16778Z5</t>
        </is>
      </c>
      <c r="B16778" t="inlineStr">
        <is>
          <t>Dec-2018</t>
        </is>
      </c>
      <c r="C16778" s="2" t="n">
        <v>44008</v>
      </c>
      <c r="D16778" t="inlineStr">
        <is>
          <t>NIL</t>
        </is>
      </c>
      <c r="E16778" t="n">
        <v>2716</v>
      </c>
    </row>
    <row r="16779">
      <c r="A16779" t="inlineStr">
        <is>
          <t>27BBBBB16779Z5</t>
        </is>
      </c>
      <c r="B16779" t="inlineStr">
        <is>
          <t>Sep-2017</t>
        </is>
      </c>
      <c r="C16779" s="2" t="n">
        <v>44122</v>
      </c>
      <c r="D16779" t="inlineStr">
        <is>
          <t>NIL</t>
        </is>
      </c>
      <c r="E16779" t="n">
        <v>2556</v>
      </c>
    </row>
    <row r="16780">
      <c r="A16780" t="inlineStr">
        <is>
          <t>27BBBBB16780Z5</t>
        </is>
      </c>
      <c r="B16780" t="inlineStr">
        <is>
          <t>Mar-2018</t>
        </is>
      </c>
      <c r="C16780" s="2" t="n">
        <v>43332</v>
      </c>
      <c r="D16780" t="inlineStr">
        <is>
          <t>NON-NIL</t>
        </is>
      </c>
      <c r="E16780" t="n">
        <v>2432</v>
      </c>
    </row>
    <row r="16781">
      <c r="A16781" t="inlineStr">
        <is>
          <t>27BBBBB16781Z5</t>
        </is>
      </c>
      <c r="B16781" t="inlineStr">
        <is>
          <t>Feb-2018</t>
        </is>
      </c>
      <c r="C16781" s="2" t="n">
        <v>44004</v>
      </c>
      <c r="D16781" t="inlineStr">
        <is>
          <t>NON-NIL</t>
        </is>
      </c>
      <c r="E16781" t="n">
        <v>327</v>
      </c>
    </row>
    <row r="16782">
      <c r="A16782" t="inlineStr">
        <is>
          <t>27BBBBB16782Z5</t>
        </is>
      </c>
      <c r="B16782" t="inlineStr">
        <is>
          <t>Feb-2018</t>
        </is>
      </c>
      <c r="C16782" s="2" t="n">
        <v>44456</v>
      </c>
      <c r="D16782" t="inlineStr">
        <is>
          <t>NON-NIL</t>
        </is>
      </c>
      <c r="E16782" t="n">
        <v>1224</v>
      </c>
    </row>
    <row r="16783">
      <c r="A16783" t="inlineStr">
        <is>
          <t>27BBBBB16783Z5</t>
        </is>
      </c>
      <c r="B16783" t="inlineStr">
        <is>
          <t>Feb-2018</t>
        </is>
      </c>
      <c r="C16783" s="2" t="n">
        <v>44073</v>
      </c>
      <c r="D16783" t="inlineStr">
        <is>
          <t>NIL</t>
        </is>
      </c>
      <c r="E16783" t="n">
        <v>1399</v>
      </c>
    </row>
    <row r="16784">
      <c r="A16784" t="inlineStr">
        <is>
          <t>27BBBBB16784Z5</t>
        </is>
      </c>
      <c r="B16784" t="inlineStr">
        <is>
          <t>Jun-2020</t>
        </is>
      </c>
      <c r="C16784" s="2" t="n">
        <v>44265</v>
      </c>
      <c r="D16784" t="inlineStr">
        <is>
          <t>NON-NIL</t>
        </is>
      </c>
      <c r="E16784" t="n">
        <v>2043</v>
      </c>
    </row>
    <row r="16785">
      <c r="A16785" t="inlineStr">
        <is>
          <t>27BBBBB16785Z5</t>
        </is>
      </c>
      <c r="B16785" t="inlineStr">
        <is>
          <t>Jun-2018</t>
        </is>
      </c>
      <c r="C16785" s="2" t="n">
        <v>43395</v>
      </c>
      <c r="D16785" t="inlineStr">
        <is>
          <t>NON-NIL</t>
        </is>
      </c>
      <c r="E16785" t="n">
        <v>2539</v>
      </c>
    </row>
    <row r="16786">
      <c r="A16786" t="inlineStr">
        <is>
          <t>27BBBBB16786Z5</t>
        </is>
      </c>
      <c r="B16786" t="inlineStr">
        <is>
          <t>Mar-2018</t>
        </is>
      </c>
      <c r="C16786" s="2" t="n">
        <v>43812</v>
      </c>
      <c r="D16786" t="inlineStr">
        <is>
          <t>NON-NIL</t>
        </is>
      </c>
      <c r="E16786" t="n">
        <v>1305</v>
      </c>
    </row>
    <row r="16787">
      <c r="A16787" t="inlineStr">
        <is>
          <t>27BBBBB16787Z5</t>
        </is>
      </c>
      <c r="B16787" t="inlineStr">
        <is>
          <t>Oct-2018</t>
        </is>
      </c>
      <c r="C16787" s="2" t="n">
        <v>43646</v>
      </c>
      <c r="D16787" t="inlineStr">
        <is>
          <t>NIL</t>
        </is>
      </c>
      <c r="E16787" t="n">
        <v>2881</v>
      </c>
    </row>
    <row r="16788">
      <c r="A16788" t="inlineStr">
        <is>
          <t>27BBBBB16788Z5</t>
        </is>
      </c>
      <c r="B16788" t="inlineStr">
        <is>
          <t>Aug-2018</t>
        </is>
      </c>
      <c r="C16788" s="2" t="n">
        <v>44397</v>
      </c>
      <c r="D16788" t="inlineStr">
        <is>
          <t>NIL</t>
        </is>
      </c>
      <c r="E16788" t="n">
        <v>492</v>
      </c>
    </row>
    <row r="16789">
      <c r="A16789" t="inlineStr">
        <is>
          <t>27BBBBB16789Z5</t>
        </is>
      </c>
      <c r="B16789" t="inlineStr">
        <is>
          <t>Dec-2024</t>
        </is>
      </c>
      <c r="C16789" s="2" t="n">
        <v>44264</v>
      </c>
      <c r="D16789" t="inlineStr">
        <is>
          <t>NIL</t>
        </is>
      </c>
      <c r="E16789" t="n">
        <v>2271</v>
      </c>
    </row>
    <row r="16790">
      <c r="A16790" t="inlineStr">
        <is>
          <t>27BBBBB16790Z5</t>
        </is>
      </c>
      <c r="B16790" t="inlineStr">
        <is>
          <t>Jun-2020</t>
        </is>
      </c>
      <c r="C16790" s="2" t="n">
        <v>44818</v>
      </c>
      <c r="D16790" t="inlineStr">
        <is>
          <t>NON-NIL</t>
        </is>
      </c>
      <c r="E16790" t="n">
        <v>29</v>
      </c>
    </row>
    <row r="16791">
      <c r="A16791" t="inlineStr">
        <is>
          <t>27BBBBB16791Z5</t>
        </is>
      </c>
      <c r="B16791" t="inlineStr">
        <is>
          <t>Nov-2017</t>
        </is>
      </c>
      <c r="C16791" s="2" t="n">
        <v>42939</v>
      </c>
      <c r="D16791" t="inlineStr">
        <is>
          <t>NON-NIL</t>
        </is>
      </c>
      <c r="E16791" t="n">
        <v>474</v>
      </c>
    </row>
    <row r="16792">
      <c r="A16792" t="inlineStr">
        <is>
          <t>27BBBBB16792Z5</t>
        </is>
      </c>
      <c r="B16792" t="inlineStr">
        <is>
          <t>May-2018</t>
        </is>
      </c>
      <c r="C16792" s="2" t="n">
        <v>43605</v>
      </c>
      <c r="D16792" t="inlineStr">
        <is>
          <t>NIL</t>
        </is>
      </c>
      <c r="E16792" t="n">
        <v>213</v>
      </c>
    </row>
    <row r="16793">
      <c r="A16793" t="inlineStr">
        <is>
          <t>27BBBBB16793Z5</t>
        </is>
      </c>
      <c r="B16793" t="inlineStr">
        <is>
          <t>Oct-2017</t>
        </is>
      </c>
      <c r="C16793" s="2" t="n">
        <v>44289</v>
      </c>
      <c r="D16793" t="inlineStr">
        <is>
          <t>NIL</t>
        </is>
      </c>
      <c r="E16793" t="n">
        <v>2855</v>
      </c>
    </row>
    <row r="16794">
      <c r="A16794" t="inlineStr">
        <is>
          <t>27BBBBB16794Z5</t>
        </is>
      </c>
      <c r="B16794" t="inlineStr">
        <is>
          <t>Dec-2022</t>
        </is>
      </c>
      <c r="C16794" s="2" t="n">
        <v>45157</v>
      </c>
      <c r="D16794" t="inlineStr">
        <is>
          <t>NON-NIL</t>
        </is>
      </c>
      <c r="E16794" t="n">
        <v>1791</v>
      </c>
    </row>
    <row r="16795">
      <c r="A16795" t="inlineStr">
        <is>
          <t>27BBBBB16795Z5</t>
        </is>
      </c>
      <c r="B16795" t="inlineStr">
        <is>
          <t>Feb-2018</t>
        </is>
      </c>
      <c r="C16795" s="2" t="n">
        <v>43172</v>
      </c>
      <c r="D16795" t="inlineStr">
        <is>
          <t>NIL</t>
        </is>
      </c>
      <c r="E16795" t="n">
        <v>262</v>
      </c>
    </row>
    <row r="16796">
      <c r="A16796" t="inlineStr">
        <is>
          <t>27BBBBB16796Z5</t>
        </is>
      </c>
      <c r="B16796" t="inlineStr">
        <is>
          <t>Jan-2021</t>
        </is>
      </c>
      <c r="C16796" s="2" t="n">
        <v>44079</v>
      </c>
      <c r="D16796" t="inlineStr">
        <is>
          <t>NIL</t>
        </is>
      </c>
      <c r="E16796" t="n">
        <v>2683</v>
      </c>
    </row>
    <row r="16797">
      <c r="A16797" t="inlineStr">
        <is>
          <t>27BBBBB16797Z5</t>
        </is>
      </c>
      <c r="B16797" t="inlineStr">
        <is>
          <t>Mar-2023</t>
        </is>
      </c>
      <c r="C16797" s="2" t="n">
        <v>44378</v>
      </c>
      <c r="D16797" t="inlineStr">
        <is>
          <t>NIL</t>
        </is>
      </c>
      <c r="E16797" t="n">
        <v>4</v>
      </c>
    </row>
    <row r="16798">
      <c r="A16798" t="inlineStr">
        <is>
          <t>27BBBBB16798Z5</t>
        </is>
      </c>
      <c r="B16798" t="inlineStr">
        <is>
          <t>Jul-2020</t>
        </is>
      </c>
      <c r="C16798" s="2" t="n">
        <v>43932</v>
      </c>
      <c r="D16798" t="inlineStr">
        <is>
          <t>NON-NIL</t>
        </is>
      </c>
      <c r="E16798" t="n">
        <v>2408</v>
      </c>
    </row>
    <row r="16799">
      <c r="A16799" t="inlineStr">
        <is>
          <t>27BBBBB16799Z5</t>
        </is>
      </c>
      <c r="B16799" t="inlineStr">
        <is>
          <t>Nov-2017</t>
        </is>
      </c>
      <c r="C16799" s="2" t="n">
        <v>44117</v>
      </c>
      <c r="D16799" t="inlineStr">
        <is>
          <t>NON-NIL</t>
        </is>
      </c>
      <c r="E16799" t="n">
        <v>476</v>
      </c>
    </row>
    <row r="16800">
      <c r="A16800" t="inlineStr">
        <is>
          <t>27BBBBB16800Z5</t>
        </is>
      </c>
      <c r="B16800" t="inlineStr">
        <is>
          <t>Nov-2017</t>
        </is>
      </c>
      <c r="C16800" s="2" t="n">
        <v>44223</v>
      </c>
      <c r="D16800" t="inlineStr">
        <is>
          <t>NON-NIL</t>
        </is>
      </c>
      <c r="E16800" t="n">
        <v>2791</v>
      </c>
    </row>
    <row r="16801">
      <c r="A16801" t="inlineStr">
        <is>
          <t>27BBBBB16801Z5</t>
        </is>
      </c>
      <c r="B16801" t="inlineStr">
        <is>
          <t>May-2020</t>
        </is>
      </c>
      <c r="C16801" s="2" t="n">
        <v>43857</v>
      </c>
      <c r="D16801" t="inlineStr">
        <is>
          <t>NIL</t>
        </is>
      </c>
      <c r="E16801" t="n">
        <v>2593</v>
      </c>
    </row>
    <row r="16802">
      <c r="A16802" t="inlineStr">
        <is>
          <t>27BBBBB16802Z5</t>
        </is>
      </c>
      <c r="B16802" t="inlineStr">
        <is>
          <t>Jun-2020</t>
        </is>
      </c>
      <c r="C16802" s="2" t="n">
        <v>43970</v>
      </c>
      <c r="D16802" t="inlineStr">
        <is>
          <t>NIL</t>
        </is>
      </c>
      <c r="E16802" t="n">
        <v>254</v>
      </c>
    </row>
    <row r="16803">
      <c r="A16803" t="inlineStr">
        <is>
          <t>27BBBBB16803Z5</t>
        </is>
      </c>
      <c r="B16803" t="inlineStr">
        <is>
          <t>Jun-2020</t>
        </is>
      </c>
      <c r="C16803" s="2" t="n">
        <v>43889</v>
      </c>
      <c r="D16803" t="inlineStr">
        <is>
          <t>NIL</t>
        </is>
      </c>
      <c r="E16803" t="n">
        <v>1003</v>
      </c>
    </row>
    <row r="16804">
      <c r="A16804" t="inlineStr">
        <is>
          <t>27BBBBB16804Z5</t>
        </is>
      </c>
      <c r="B16804" t="inlineStr">
        <is>
          <t>Mar-2021</t>
        </is>
      </c>
      <c r="C16804" s="2" t="n">
        <v>43996</v>
      </c>
      <c r="D16804" t="inlineStr">
        <is>
          <t>NON-NIL</t>
        </is>
      </c>
      <c r="E16804" t="n">
        <v>782</v>
      </c>
    </row>
    <row r="16805">
      <c r="A16805" t="inlineStr">
        <is>
          <t>27BBBBB16805Z5</t>
        </is>
      </c>
      <c r="B16805" t="inlineStr">
        <is>
          <t>Sep-2017</t>
        </is>
      </c>
      <c r="C16805" s="2" t="n">
        <v>44558</v>
      </c>
      <c r="D16805" t="inlineStr">
        <is>
          <t>NIL</t>
        </is>
      </c>
      <c r="E16805" t="n">
        <v>611</v>
      </c>
    </row>
    <row r="16806">
      <c r="A16806" t="inlineStr">
        <is>
          <t>27BBBBB16806Z5</t>
        </is>
      </c>
      <c r="B16806" t="inlineStr">
        <is>
          <t>Dec-2024</t>
        </is>
      </c>
      <c r="C16806" s="2" t="n">
        <v>43666</v>
      </c>
      <c r="D16806" t="inlineStr">
        <is>
          <t>NON-NIL</t>
        </is>
      </c>
      <c r="E16806" t="n">
        <v>1896</v>
      </c>
    </row>
    <row r="16807">
      <c r="A16807" t="inlineStr">
        <is>
          <t>27BBBBB16807Z5</t>
        </is>
      </c>
      <c r="B16807" t="inlineStr">
        <is>
          <t>Jul-2020</t>
        </is>
      </c>
      <c r="C16807" s="2" t="n">
        <v>44177</v>
      </c>
      <c r="D16807" t="inlineStr">
        <is>
          <t>NON-NIL</t>
        </is>
      </c>
      <c r="E16807" t="n">
        <v>2975</v>
      </c>
    </row>
    <row r="16808">
      <c r="A16808" t="inlineStr">
        <is>
          <t>27BBBBB16808Z5</t>
        </is>
      </c>
      <c r="B16808" t="inlineStr">
        <is>
          <t>Jul-2017</t>
        </is>
      </c>
      <c r="C16808" s="2" t="n">
        <v>42944</v>
      </c>
      <c r="D16808" t="inlineStr">
        <is>
          <t>NIL</t>
        </is>
      </c>
      <c r="E16808" t="n">
        <v>2835</v>
      </c>
    </row>
    <row r="16809">
      <c r="A16809" t="inlineStr">
        <is>
          <t>27BBBBB16809Z5</t>
        </is>
      </c>
      <c r="B16809" t="inlineStr">
        <is>
          <t>May-2020</t>
        </is>
      </c>
      <c r="C16809" s="2" t="n">
        <v>44042</v>
      </c>
      <c r="D16809" t="inlineStr">
        <is>
          <t>NON-NIL</t>
        </is>
      </c>
      <c r="E16809" t="n">
        <v>300</v>
      </c>
    </row>
    <row r="16810">
      <c r="A16810" t="inlineStr">
        <is>
          <t>27BBBBB16810Z5</t>
        </is>
      </c>
      <c r="B16810" t="inlineStr">
        <is>
          <t>Jan-2018</t>
        </is>
      </c>
      <c r="C16810" s="2" t="n">
        <v>43267</v>
      </c>
      <c r="D16810" t="inlineStr">
        <is>
          <t>NON-NIL</t>
        </is>
      </c>
      <c r="E16810" t="n">
        <v>2737</v>
      </c>
    </row>
    <row r="16811">
      <c r="A16811" t="inlineStr">
        <is>
          <t>27BBBBB16811Z5</t>
        </is>
      </c>
      <c r="B16811" t="inlineStr">
        <is>
          <t>Jul-2017</t>
        </is>
      </c>
      <c r="C16811" s="2" t="n">
        <v>43660</v>
      </c>
      <c r="D16811" t="inlineStr">
        <is>
          <t>NIL</t>
        </is>
      </c>
      <c r="E16811" t="n">
        <v>127</v>
      </c>
    </row>
    <row r="16812">
      <c r="A16812" t="inlineStr">
        <is>
          <t>27BBBBB16812Z5</t>
        </is>
      </c>
      <c r="B16812" t="inlineStr">
        <is>
          <t>Feb-2018</t>
        </is>
      </c>
      <c r="C16812" s="2" t="n">
        <v>43445</v>
      </c>
      <c r="D16812" t="inlineStr">
        <is>
          <t>NON-NIL</t>
        </is>
      </c>
      <c r="E16812" t="n">
        <v>1377</v>
      </c>
    </row>
    <row r="16813">
      <c r="A16813" t="inlineStr">
        <is>
          <t>27BBBBB16813Z5</t>
        </is>
      </c>
      <c r="B16813" t="inlineStr">
        <is>
          <t>Nov-2018</t>
        </is>
      </c>
      <c r="C16813" s="2" t="n">
        <v>43573</v>
      </c>
      <c r="D16813" t="inlineStr">
        <is>
          <t>NON-NIL</t>
        </is>
      </c>
      <c r="E16813" t="n">
        <v>1483</v>
      </c>
    </row>
    <row r="16814">
      <c r="A16814" t="inlineStr">
        <is>
          <t>27BBBBB16814Z5</t>
        </is>
      </c>
      <c r="B16814" t="inlineStr">
        <is>
          <t>Jan-2021</t>
        </is>
      </c>
      <c r="C16814" s="2" t="n">
        <v>43562</v>
      </c>
      <c r="D16814" t="inlineStr">
        <is>
          <t>NIL</t>
        </is>
      </c>
      <c r="E16814" t="n">
        <v>1156</v>
      </c>
    </row>
    <row r="16815">
      <c r="A16815" t="inlineStr">
        <is>
          <t>27BBBBB16815Z5</t>
        </is>
      </c>
      <c r="B16815" t="inlineStr">
        <is>
          <t>Feb-2018</t>
        </is>
      </c>
      <c r="C16815" s="2" t="n">
        <v>44420</v>
      </c>
      <c r="D16815" t="inlineStr">
        <is>
          <t>NON-NIL</t>
        </is>
      </c>
      <c r="E16815" t="n">
        <v>136</v>
      </c>
    </row>
    <row r="16816">
      <c r="A16816" t="inlineStr">
        <is>
          <t>27BBBBB16816Z5</t>
        </is>
      </c>
      <c r="B16816" t="inlineStr">
        <is>
          <t>Apr-2018</t>
        </is>
      </c>
      <c r="C16816" s="2" t="n">
        <v>43126</v>
      </c>
      <c r="D16816" t="inlineStr">
        <is>
          <t>NIL</t>
        </is>
      </c>
      <c r="E16816" t="n">
        <v>136</v>
      </c>
    </row>
    <row r="16817">
      <c r="A16817" t="inlineStr">
        <is>
          <t>27BBBBB16817Z5</t>
        </is>
      </c>
      <c r="B16817" t="inlineStr">
        <is>
          <t>Feb-2018</t>
        </is>
      </c>
      <c r="C16817" s="2" t="n">
        <v>43822</v>
      </c>
      <c r="D16817" t="inlineStr">
        <is>
          <t>NON-NIL</t>
        </is>
      </c>
      <c r="E16817" t="n">
        <v>169</v>
      </c>
    </row>
    <row r="16818">
      <c r="A16818" t="inlineStr">
        <is>
          <t>27BBBBB16818Z5</t>
        </is>
      </c>
      <c r="B16818" t="inlineStr">
        <is>
          <t>Dec-2018</t>
        </is>
      </c>
      <c r="C16818" s="2" t="n">
        <v>43793</v>
      </c>
      <c r="D16818" t="inlineStr">
        <is>
          <t>NIL</t>
        </is>
      </c>
      <c r="E16818" t="n">
        <v>198</v>
      </c>
    </row>
    <row r="16819">
      <c r="A16819" t="inlineStr">
        <is>
          <t>27BBBBB16819Z5</t>
        </is>
      </c>
      <c r="B16819" t="inlineStr">
        <is>
          <t>Apr-2018</t>
        </is>
      </c>
      <c r="C16819" s="2" t="n">
        <v>44219</v>
      </c>
      <c r="D16819" t="inlineStr">
        <is>
          <t>NON-NIL</t>
        </is>
      </c>
      <c r="E16819" t="n">
        <v>504</v>
      </c>
    </row>
    <row r="16820">
      <c r="A16820" t="inlineStr">
        <is>
          <t>27BBBBB16820Z5</t>
        </is>
      </c>
      <c r="B16820" t="inlineStr">
        <is>
          <t>Nov-2017</t>
        </is>
      </c>
      <c r="C16820" s="2" t="n">
        <v>43709</v>
      </c>
      <c r="D16820" t="inlineStr">
        <is>
          <t>NON-NIL</t>
        </is>
      </c>
      <c r="E16820" t="n">
        <v>1096</v>
      </c>
    </row>
    <row r="16821">
      <c r="A16821" t="inlineStr">
        <is>
          <t>27BBBBB16821Z5</t>
        </is>
      </c>
      <c r="B16821" t="inlineStr">
        <is>
          <t>Apr-2020</t>
        </is>
      </c>
      <c r="C16821" s="2" t="n">
        <v>44814</v>
      </c>
      <c r="D16821" t="inlineStr">
        <is>
          <t>NON-NIL</t>
        </is>
      </c>
      <c r="E16821" t="n">
        <v>1244</v>
      </c>
    </row>
    <row r="16822">
      <c r="A16822" t="inlineStr">
        <is>
          <t>27BBBBB16822Z5</t>
        </is>
      </c>
      <c r="B16822" t="inlineStr">
        <is>
          <t>Jun-2020</t>
        </is>
      </c>
      <c r="C16822" s="2" t="n">
        <v>44284</v>
      </c>
      <c r="D16822" t="inlineStr">
        <is>
          <t>NON-NIL</t>
        </is>
      </c>
      <c r="E16822" t="n">
        <v>2969</v>
      </c>
    </row>
    <row r="16823">
      <c r="A16823" t="inlineStr">
        <is>
          <t>27BBBBB16823Z5</t>
        </is>
      </c>
      <c r="B16823" t="inlineStr">
        <is>
          <t>Jul-2018</t>
        </is>
      </c>
      <c r="C16823" s="2" t="n">
        <v>43154</v>
      </c>
      <c r="D16823" t="inlineStr">
        <is>
          <t>NIL</t>
        </is>
      </c>
      <c r="E16823" t="n">
        <v>2379</v>
      </c>
    </row>
    <row r="16824">
      <c r="A16824" t="inlineStr">
        <is>
          <t>27BBBBB16824Z5</t>
        </is>
      </c>
      <c r="B16824" t="inlineStr">
        <is>
          <t>Mar-2021</t>
        </is>
      </c>
      <c r="C16824" s="2" t="n">
        <v>44075</v>
      </c>
      <c r="D16824" t="inlineStr">
        <is>
          <t>NON-NIL</t>
        </is>
      </c>
      <c r="E16824" t="n">
        <v>2324</v>
      </c>
    </row>
    <row r="16825">
      <c r="A16825" t="inlineStr">
        <is>
          <t>27BBBBB16825Z5</t>
        </is>
      </c>
      <c r="B16825" t="inlineStr">
        <is>
          <t>Mar-2018</t>
        </is>
      </c>
      <c r="C16825" s="2" t="n">
        <v>43502</v>
      </c>
      <c r="D16825" t="inlineStr">
        <is>
          <t>NON-NIL</t>
        </is>
      </c>
      <c r="E16825" t="n">
        <v>642</v>
      </c>
    </row>
    <row r="16826">
      <c r="A16826" t="inlineStr">
        <is>
          <t>27BBBBB16826Z5</t>
        </is>
      </c>
      <c r="B16826" t="inlineStr">
        <is>
          <t>Dec-2018</t>
        </is>
      </c>
      <c r="C16826" s="2" t="n">
        <v>43824</v>
      </c>
      <c r="D16826" t="inlineStr">
        <is>
          <t>NIL</t>
        </is>
      </c>
      <c r="E16826" t="n">
        <v>1101</v>
      </c>
    </row>
    <row r="16827">
      <c r="A16827" t="inlineStr">
        <is>
          <t>27BBBBB16827Z5</t>
        </is>
      </c>
      <c r="B16827" t="inlineStr">
        <is>
          <t>Nov-2018</t>
        </is>
      </c>
      <c r="C16827" s="2" t="n">
        <v>43976</v>
      </c>
      <c r="D16827" t="inlineStr">
        <is>
          <t>NIL</t>
        </is>
      </c>
      <c r="E16827" t="n">
        <v>2710</v>
      </c>
    </row>
    <row r="16828">
      <c r="A16828" t="inlineStr">
        <is>
          <t>27BBBBB16828Z5</t>
        </is>
      </c>
      <c r="B16828" t="inlineStr">
        <is>
          <t>Jul-2020</t>
        </is>
      </c>
      <c r="C16828" s="2" t="n">
        <v>44257</v>
      </c>
      <c r="D16828" t="inlineStr">
        <is>
          <t>NON-NIL</t>
        </is>
      </c>
      <c r="E16828" t="n">
        <v>384</v>
      </c>
    </row>
    <row r="16829">
      <c r="A16829" t="inlineStr">
        <is>
          <t>27BBBBB16829Z5</t>
        </is>
      </c>
      <c r="B16829" t="inlineStr">
        <is>
          <t>Jun-2018</t>
        </is>
      </c>
      <c r="C16829" s="2" t="n">
        <v>43914</v>
      </c>
      <c r="D16829" t="inlineStr">
        <is>
          <t>NIL</t>
        </is>
      </c>
      <c r="E16829" t="n">
        <v>2509</v>
      </c>
    </row>
    <row r="16830">
      <c r="A16830" t="inlineStr">
        <is>
          <t>27BBBBB16830Z5</t>
        </is>
      </c>
      <c r="B16830" t="inlineStr">
        <is>
          <t>Dec-2024</t>
        </is>
      </c>
      <c r="C16830" s="2" t="n">
        <v>44038</v>
      </c>
      <c r="D16830" t="inlineStr">
        <is>
          <t>NIL</t>
        </is>
      </c>
      <c r="E16830" t="n">
        <v>717</v>
      </c>
    </row>
    <row r="16831">
      <c r="A16831" t="inlineStr">
        <is>
          <t>27BBBBB16831Z5</t>
        </is>
      </c>
      <c r="B16831" t="inlineStr">
        <is>
          <t>Aug-2018</t>
        </is>
      </c>
      <c r="C16831" s="2" t="n">
        <v>44056</v>
      </c>
      <c r="D16831" t="inlineStr">
        <is>
          <t>NON-NIL</t>
        </is>
      </c>
      <c r="E16831" t="n">
        <v>2005</v>
      </c>
    </row>
    <row r="16832">
      <c r="A16832" t="inlineStr">
        <is>
          <t>27BBBBB16832Z5</t>
        </is>
      </c>
      <c r="B16832" t="inlineStr">
        <is>
          <t>Jul-2020</t>
        </is>
      </c>
      <c r="C16832" s="2" t="n">
        <v>44056</v>
      </c>
      <c r="D16832" t="inlineStr">
        <is>
          <t>NON-NIL</t>
        </is>
      </c>
      <c r="E16832" t="n">
        <v>2584</v>
      </c>
    </row>
    <row r="16833">
      <c r="A16833" t="inlineStr">
        <is>
          <t>27BBBBB16833Z5</t>
        </is>
      </c>
      <c r="B16833" t="inlineStr">
        <is>
          <t>Oct-2018</t>
        </is>
      </c>
      <c r="C16833" s="2" t="n">
        <v>43129</v>
      </c>
      <c r="D16833" t="inlineStr">
        <is>
          <t>NIL</t>
        </is>
      </c>
      <c r="E16833" t="n">
        <v>156</v>
      </c>
    </row>
    <row r="16834">
      <c r="A16834" t="inlineStr">
        <is>
          <t>27BBBBB16834Z5</t>
        </is>
      </c>
      <c r="B16834" t="inlineStr">
        <is>
          <t>Aug-2017</t>
        </is>
      </c>
      <c r="C16834" s="2" t="n">
        <v>43841</v>
      </c>
      <c r="D16834" t="inlineStr">
        <is>
          <t>NON-NIL</t>
        </is>
      </c>
      <c r="E16834" t="n">
        <v>314</v>
      </c>
    </row>
    <row r="16835">
      <c r="A16835" t="inlineStr">
        <is>
          <t>27BBBBB16835Z5</t>
        </is>
      </c>
      <c r="B16835" t="inlineStr">
        <is>
          <t>Mar-2020</t>
        </is>
      </c>
      <c r="C16835" s="2" t="n">
        <v>44195</v>
      </c>
      <c r="D16835" t="inlineStr">
        <is>
          <t>NIL</t>
        </is>
      </c>
      <c r="E16835" t="n">
        <v>2200</v>
      </c>
    </row>
    <row r="16836">
      <c r="A16836" t="inlineStr">
        <is>
          <t>27BBBBB16836Z5</t>
        </is>
      </c>
      <c r="B16836" t="inlineStr">
        <is>
          <t>Aug-2017</t>
        </is>
      </c>
      <c r="C16836" s="2" t="n">
        <v>43467</v>
      </c>
      <c r="D16836" t="inlineStr">
        <is>
          <t>NIL</t>
        </is>
      </c>
      <c r="E16836" t="n">
        <v>2376</v>
      </c>
    </row>
    <row r="16837">
      <c r="A16837" t="inlineStr">
        <is>
          <t>27BBBBB16837Z5</t>
        </is>
      </c>
      <c r="B16837" t="inlineStr">
        <is>
          <t>Dec-2022</t>
        </is>
      </c>
      <c r="C16837" s="2" t="n">
        <v>45251</v>
      </c>
      <c r="D16837" t="inlineStr">
        <is>
          <t>NIL</t>
        </is>
      </c>
      <c r="E16837" t="n">
        <v>2587</v>
      </c>
    </row>
    <row r="16838">
      <c r="A16838" t="inlineStr">
        <is>
          <t>27BBBBB16838Z5</t>
        </is>
      </c>
      <c r="B16838" t="inlineStr">
        <is>
          <t>Oct-2018</t>
        </is>
      </c>
      <c r="C16838" s="2" t="n">
        <v>43160</v>
      </c>
      <c r="D16838" t="inlineStr">
        <is>
          <t>NON-NIL</t>
        </is>
      </c>
      <c r="E16838" t="n">
        <v>1784</v>
      </c>
    </row>
    <row r="16839">
      <c r="A16839" t="inlineStr">
        <is>
          <t>27BBBBB16839Z5</t>
        </is>
      </c>
      <c r="B16839" t="inlineStr">
        <is>
          <t>Mar-2020</t>
        </is>
      </c>
      <c r="C16839" s="2" t="n">
        <v>44234</v>
      </c>
      <c r="D16839" t="inlineStr">
        <is>
          <t>NON-NIL</t>
        </is>
      </c>
      <c r="E16839" t="n">
        <v>889</v>
      </c>
    </row>
    <row r="16840">
      <c r="A16840" t="inlineStr">
        <is>
          <t>27BBBBB16840Z5</t>
        </is>
      </c>
      <c r="B16840" t="inlineStr">
        <is>
          <t>Oct-2017</t>
        </is>
      </c>
      <c r="C16840" s="2" t="n">
        <v>43896</v>
      </c>
      <c r="D16840" t="inlineStr">
        <is>
          <t>NON-NIL</t>
        </is>
      </c>
      <c r="E16840" t="n">
        <v>583</v>
      </c>
    </row>
    <row r="16841">
      <c r="A16841" t="inlineStr">
        <is>
          <t>27BBBBB16841Z5</t>
        </is>
      </c>
      <c r="B16841" t="inlineStr">
        <is>
          <t>Feb-2018</t>
        </is>
      </c>
      <c r="C16841" s="2" t="n">
        <v>42982</v>
      </c>
      <c r="D16841" t="inlineStr">
        <is>
          <t>NIL</t>
        </is>
      </c>
      <c r="E16841" t="n">
        <v>2977</v>
      </c>
    </row>
    <row r="16842">
      <c r="A16842" t="inlineStr">
        <is>
          <t>27BBBBB16842Z5</t>
        </is>
      </c>
      <c r="B16842" t="inlineStr">
        <is>
          <t>Jun-2018</t>
        </is>
      </c>
      <c r="C16842" s="2" t="n">
        <v>44288</v>
      </c>
      <c r="D16842" t="inlineStr">
        <is>
          <t>NIL</t>
        </is>
      </c>
      <c r="E16842" t="n">
        <v>1705</v>
      </c>
    </row>
    <row r="16843">
      <c r="A16843" t="inlineStr">
        <is>
          <t>27BBBBB16843Z5</t>
        </is>
      </c>
      <c r="B16843" t="inlineStr">
        <is>
          <t>Jul-2020</t>
        </is>
      </c>
      <c r="C16843" s="2" t="n">
        <v>43847</v>
      </c>
      <c r="D16843" t="inlineStr">
        <is>
          <t>NIL</t>
        </is>
      </c>
      <c r="E16843" t="n">
        <v>1121</v>
      </c>
    </row>
    <row r="16844">
      <c r="A16844" t="inlineStr">
        <is>
          <t>27BBBBB16844Z5</t>
        </is>
      </c>
      <c r="B16844" t="inlineStr">
        <is>
          <t>Nov-2018</t>
        </is>
      </c>
      <c r="C16844" s="2" t="n">
        <v>43799</v>
      </c>
      <c r="D16844" t="inlineStr">
        <is>
          <t>NON-NIL</t>
        </is>
      </c>
      <c r="E16844" t="n">
        <v>1664</v>
      </c>
    </row>
    <row r="16845">
      <c r="A16845" t="inlineStr">
        <is>
          <t>27BBBBB16845Z5</t>
        </is>
      </c>
      <c r="B16845" t="inlineStr">
        <is>
          <t>Feb-2018</t>
        </is>
      </c>
      <c r="C16845" s="2" t="n">
        <v>44270</v>
      </c>
      <c r="D16845" t="inlineStr">
        <is>
          <t>NON-NIL</t>
        </is>
      </c>
      <c r="E16845" t="n">
        <v>2033</v>
      </c>
    </row>
    <row r="16846">
      <c r="A16846" t="inlineStr">
        <is>
          <t>27BBBBB16846Z5</t>
        </is>
      </c>
      <c r="B16846" t="inlineStr">
        <is>
          <t>Jan-2018</t>
        </is>
      </c>
      <c r="C16846" s="2" t="n">
        <v>44464</v>
      </c>
      <c r="D16846" t="inlineStr">
        <is>
          <t>NON-NIL</t>
        </is>
      </c>
      <c r="E16846" t="n">
        <v>1715</v>
      </c>
    </row>
    <row r="16847">
      <c r="A16847" t="inlineStr">
        <is>
          <t>27BBBBB16847Z5</t>
        </is>
      </c>
      <c r="B16847" t="inlineStr">
        <is>
          <t>Nov-2017</t>
        </is>
      </c>
      <c r="C16847" s="2" t="n">
        <v>43395</v>
      </c>
      <c r="D16847" t="inlineStr">
        <is>
          <t>NIL</t>
        </is>
      </c>
      <c r="E16847" t="n">
        <v>2759</v>
      </c>
    </row>
    <row r="16848">
      <c r="A16848" t="inlineStr">
        <is>
          <t>27BBBBB16848Z5</t>
        </is>
      </c>
      <c r="B16848" t="inlineStr">
        <is>
          <t>Jan-2021</t>
        </is>
      </c>
      <c r="C16848" s="2" t="n">
        <v>43819</v>
      </c>
      <c r="D16848" t="inlineStr">
        <is>
          <t>NON-NIL</t>
        </is>
      </c>
      <c r="E16848" t="n">
        <v>2164</v>
      </c>
    </row>
    <row r="16849">
      <c r="A16849" t="inlineStr">
        <is>
          <t>27BBBBB16849Z5</t>
        </is>
      </c>
      <c r="B16849" t="inlineStr">
        <is>
          <t>Dec-2022</t>
        </is>
      </c>
      <c r="C16849" s="2" t="n">
        <v>44159</v>
      </c>
      <c r="D16849" t="inlineStr">
        <is>
          <t>NON-NIL</t>
        </is>
      </c>
      <c r="E16849" t="n">
        <v>400</v>
      </c>
    </row>
    <row r="16850">
      <c r="A16850" t="inlineStr">
        <is>
          <t>27BBBBB16850Z5</t>
        </is>
      </c>
      <c r="B16850" t="inlineStr">
        <is>
          <t>Mar-2020</t>
        </is>
      </c>
      <c r="C16850" s="2" t="n">
        <v>44733</v>
      </c>
      <c r="D16850" t="inlineStr">
        <is>
          <t>NON-NIL</t>
        </is>
      </c>
      <c r="E16850" t="n">
        <v>1021</v>
      </c>
    </row>
    <row r="16851">
      <c r="A16851" t="inlineStr">
        <is>
          <t>27BBBBB16851Z5</t>
        </is>
      </c>
      <c r="B16851" t="inlineStr">
        <is>
          <t>Jan-2018</t>
        </is>
      </c>
      <c r="C16851" s="2" t="n">
        <v>43197</v>
      </c>
      <c r="D16851" t="inlineStr">
        <is>
          <t>NON-NIL</t>
        </is>
      </c>
      <c r="E16851" t="n">
        <v>134</v>
      </c>
    </row>
    <row r="16852">
      <c r="A16852" t="inlineStr">
        <is>
          <t>27BBBBB16852Z5</t>
        </is>
      </c>
      <c r="B16852" t="inlineStr">
        <is>
          <t>Mar-2020</t>
        </is>
      </c>
      <c r="C16852" s="2" t="n">
        <v>44284</v>
      </c>
      <c r="D16852" t="inlineStr">
        <is>
          <t>NON-NIL</t>
        </is>
      </c>
      <c r="E16852" t="n">
        <v>587</v>
      </c>
    </row>
    <row r="16853">
      <c r="A16853" t="inlineStr">
        <is>
          <t>27BBBBB16853Z5</t>
        </is>
      </c>
      <c r="B16853" t="inlineStr">
        <is>
          <t>Dec-2022</t>
        </is>
      </c>
      <c r="C16853" s="2" t="n">
        <v>44462</v>
      </c>
      <c r="D16853" t="inlineStr">
        <is>
          <t>NON-NIL</t>
        </is>
      </c>
      <c r="E16853" t="n">
        <v>120</v>
      </c>
    </row>
    <row r="16854">
      <c r="A16854" t="inlineStr">
        <is>
          <t>27BBBBB16854Z5</t>
        </is>
      </c>
      <c r="B16854" t="inlineStr">
        <is>
          <t>Jan-2018</t>
        </is>
      </c>
      <c r="C16854" s="2" t="n">
        <v>43387</v>
      </c>
      <c r="D16854" t="inlineStr">
        <is>
          <t>NIL</t>
        </is>
      </c>
      <c r="E16854" t="n">
        <v>1728</v>
      </c>
    </row>
    <row r="16855">
      <c r="A16855" t="inlineStr">
        <is>
          <t>27BBBBB16855Z5</t>
        </is>
      </c>
      <c r="B16855" t="inlineStr">
        <is>
          <t>May-2018</t>
        </is>
      </c>
      <c r="C16855" s="2" t="n">
        <v>43751</v>
      </c>
      <c r="D16855" t="inlineStr">
        <is>
          <t>NON-NIL</t>
        </is>
      </c>
      <c r="E16855" t="n">
        <v>367</v>
      </c>
    </row>
    <row r="16856">
      <c r="A16856" t="inlineStr">
        <is>
          <t>27BBBBB16856Z5</t>
        </is>
      </c>
      <c r="B16856" t="inlineStr">
        <is>
          <t>Dec-2018</t>
        </is>
      </c>
      <c r="C16856" s="2" t="n">
        <v>43171</v>
      </c>
      <c r="D16856" t="inlineStr">
        <is>
          <t>NON-NIL</t>
        </is>
      </c>
      <c r="E16856" t="n">
        <v>630</v>
      </c>
    </row>
    <row r="16857">
      <c r="A16857" t="inlineStr">
        <is>
          <t>27BBBBB16857Z5</t>
        </is>
      </c>
      <c r="B16857" t="inlineStr">
        <is>
          <t>Jan-2018</t>
        </is>
      </c>
      <c r="C16857" s="2" t="n">
        <v>42927</v>
      </c>
      <c r="D16857" t="inlineStr">
        <is>
          <t>NIL</t>
        </is>
      </c>
      <c r="E16857" t="n">
        <v>1850</v>
      </c>
    </row>
    <row r="16858">
      <c r="A16858" t="inlineStr">
        <is>
          <t>27BBBBB16858Z5</t>
        </is>
      </c>
      <c r="B16858" t="inlineStr">
        <is>
          <t>Aug-2017</t>
        </is>
      </c>
      <c r="C16858" s="2" t="n">
        <v>43937</v>
      </c>
      <c r="D16858" t="inlineStr">
        <is>
          <t>NON-NIL</t>
        </is>
      </c>
      <c r="E16858" t="n">
        <v>2176</v>
      </c>
    </row>
    <row r="16859">
      <c r="A16859" t="inlineStr">
        <is>
          <t>27BBBBB16859Z5</t>
        </is>
      </c>
      <c r="B16859" t="inlineStr">
        <is>
          <t>Apr-2020</t>
        </is>
      </c>
      <c r="C16859" s="2" t="n">
        <v>43997</v>
      </c>
      <c r="D16859" t="inlineStr">
        <is>
          <t>NIL</t>
        </is>
      </c>
      <c r="E16859" t="n">
        <v>2799</v>
      </c>
    </row>
    <row r="16860">
      <c r="A16860" t="inlineStr">
        <is>
          <t>27BBBBB16860Z5</t>
        </is>
      </c>
      <c r="B16860" t="inlineStr">
        <is>
          <t>Jul-2017</t>
        </is>
      </c>
      <c r="C16860" s="2" t="n">
        <v>44063</v>
      </c>
      <c r="D16860" t="inlineStr">
        <is>
          <t>NON-NIL</t>
        </is>
      </c>
      <c r="E16860" t="n">
        <v>655</v>
      </c>
    </row>
    <row r="16861">
      <c r="A16861" t="inlineStr">
        <is>
          <t>27BBBBB16861Z5</t>
        </is>
      </c>
      <c r="B16861" t="inlineStr">
        <is>
          <t>Apr-2020</t>
        </is>
      </c>
      <c r="C16861" s="2" t="n">
        <v>44199</v>
      </c>
      <c r="D16861" t="inlineStr">
        <is>
          <t>NON-NIL</t>
        </is>
      </c>
      <c r="E16861" t="n">
        <v>546</v>
      </c>
    </row>
    <row r="16862">
      <c r="A16862" t="inlineStr">
        <is>
          <t>27BBBBB16862Z5</t>
        </is>
      </c>
      <c r="B16862" t="inlineStr">
        <is>
          <t>Mar-2020</t>
        </is>
      </c>
      <c r="C16862" s="2" t="n">
        <v>43928</v>
      </c>
      <c r="D16862" t="inlineStr">
        <is>
          <t>NON-NIL</t>
        </is>
      </c>
      <c r="E16862" t="n">
        <v>823</v>
      </c>
    </row>
    <row r="16863">
      <c r="A16863" t="inlineStr">
        <is>
          <t>27BBBBB16863Z5</t>
        </is>
      </c>
      <c r="B16863" t="inlineStr">
        <is>
          <t>Jan-2021</t>
        </is>
      </c>
      <c r="C16863" s="2" t="n">
        <v>45806</v>
      </c>
      <c r="D16863" t="inlineStr">
        <is>
          <t>NON-NIL</t>
        </is>
      </c>
      <c r="E16863" t="n">
        <v>2003</v>
      </c>
    </row>
    <row r="16864">
      <c r="A16864" t="inlineStr">
        <is>
          <t>27BBBBB16864Z5</t>
        </is>
      </c>
      <c r="B16864" t="inlineStr">
        <is>
          <t>Sep-2018</t>
        </is>
      </c>
      <c r="C16864" s="2" t="n">
        <v>43375</v>
      </c>
      <c r="D16864" t="inlineStr">
        <is>
          <t>NIL</t>
        </is>
      </c>
      <c r="E16864" t="n">
        <v>2659</v>
      </c>
    </row>
    <row r="16865">
      <c r="A16865" t="inlineStr">
        <is>
          <t>27BBBBB16865Z5</t>
        </is>
      </c>
      <c r="B16865" t="inlineStr">
        <is>
          <t>Feb-2018</t>
        </is>
      </c>
      <c r="C16865" s="2" t="n">
        <v>44254</v>
      </c>
      <c r="D16865" t="inlineStr">
        <is>
          <t>NIL</t>
        </is>
      </c>
      <c r="E16865" t="n">
        <v>2622</v>
      </c>
    </row>
    <row r="16866">
      <c r="A16866" t="inlineStr">
        <is>
          <t>27BBBBB16866Z5</t>
        </is>
      </c>
      <c r="B16866" t="inlineStr">
        <is>
          <t>May-2018</t>
        </is>
      </c>
      <c r="C16866" s="2" t="n">
        <v>43157</v>
      </c>
      <c r="D16866" t="inlineStr">
        <is>
          <t>NIL</t>
        </is>
      </c>
      <c r="E16866" t="n">
        <v>686</v>
      </c>
    </row>
    <row r="16867">
      <c r="A16867" t="inlineStr">
        <is>
          <t>27BBBBB16867Z5</t>
        </is>
      </c>
      <c r="B16867" t="inlineStr">
        <is>
          <t>Aug-2018</t>
        </is>
      </c>
      <c r="C16867" s="2" t="n">
        <v>44512</v>
      </c>
      <c r="D16867" t="inlineStr">
        <is>
          <t>NIL</t>
        </is>
      </c>
      <c r="E16867" t="n">
        <v>985</v>
      </c>
    </row>
    <row r="16868">
      <c r="A16868" t="inlineStr">
        <is>
          <t>27BBBBB16868Z5</t>
        </is>
      </c>
      <c r="B16868" t="inlineStr">
        <is>
          <t>Dec-2022</t>
        </is>
      </c>
      <c r="C16868" s="2" t="n">
        <v>43845</v>
      </c>
      <c r="D16868" t="inlineStr">
        <is>
          <t>NON-NIL</t>
        </is>
      </c>
      <c r="E16868" t="n">
        <v>2865</v>
      </c>
    </row>
    <row r="16869">
      <c r="A16869" t="inlineStr">
        <is>
          <t>27BBBBB16869Z5</t>
        </is>
      </c>
      <c r="B16869" t="inlineStr">
        <is>
          <t>Apr-2018</t>
        </is>
      </c>
      <c r="C16869" s="2" t="n">
        <v>43385</v>
      </c>
      <c r="D16869" t="inlineStr">
        <is>
          <t>NIL</t>
        </is>
      </c>
      <c r="E16869" t="n">
        <v>354</v>
      </c>
    </row>
    <row r="16870">
      <c r="A16870" t="inlineStr">
        <is>
          <t>27BBBBB16870Z5</t>
        </is>
      </c>
      <c r="B16870" t="inlineStr">
        <is>
          <t>Oct-2018</t>
        </is>
      </c>
      <c r="C16870" s="2" t="n">
        <v>43066</v>
      </c>
      <c r="D16870" t="inlineStr">
        <is>
          <t>NIL</t>
        </is>
      </c>
      <c r="E16870" t="n">
        <v>181</v>
      </c>
    </row>
    <row r="16871">
      <c r="A16871" t="inlineStr">
        <is>
          <t>27BBBBB16871Z5</t>
        </is>
      </c>
      <c r="B16871" t="inlineStr">
        <is>
          <t>Aug-2018</t>
        </is>
      </c>
      <c r="C16871" s="2" t="n">
        <v>43576</v>
      </c>
      <c r="D16871" t="inlineStr">
        <is>
          <t>NIL</t>
        </is>
      </c>
      <c r="E16871" t="n">
        <v>2858</v>
      </c>
    </row>
    <row r="16872">
      <c r="A16872" t="inlineStr">
        <is>
          <t>27BBBBB16872Z5</t>
        </is>
      </c>
      <c r="B16872" t="inlineStr">
        <is>
          <t>Oct-2018</t>
        </is>
      </c>
      <c r="C16872" s="2" t="n">
        <v>44412</v>
      </c>
      <c r="D16872" t="inlineStr">
        <is>
          <t>NON-NIL</t>
        </is>
      </c>
      <c r="E16872" t="n">
        <v>1394</v>
      </c>
    </row>
    <row r="16873">
      <c r="A16873" t="inlineStr">
        <is>
          <t>27BBBBB16873Z5</t>
        </is>
      </c>
      <c r="B16873" t="inlineStr">
        <is>
          <t>Mar-2023</t>
        </is>
      </c>
      <c r="C16873" s="2" t="n">
        <v>45732</v>
      </c>
      <c r="D16873" t="inlineStr">
        <is>
          <t>NIL</t>
        </is>
      </c>
      <c r="E16873" t="n">
        <v>2519</v>
      </c>
    </row>
    <row r="16874">
      <c r="A16874" t="inlineStr">
        <is>
          <t>27BBBBB16874Z5</t>
        </is>
      </c>
      <c r="B16874" t="inlineStr">
        <is>
          <t>Dec-2022</t>
        </is>
      </c>
      <c r="C16874" s="2" t="n">
        <v>45393</v>
      </c>
      <c r="D16874" t="inlineStr">
        <is>
          <t>NON-NIL</t>
        </is>
      </c>
      <c r="E16874" t="n">
        <v>345</v>
      </c>
    </row>
    <row r="16875">
      <c r="A16875" t="inlineStr">
        <is>
          <t>27BBBBB16875Z5</t>
        </is>
      </c>
      <c r="B16875" t="inlineStr">
        <is>
          <t>Aug-2018</t>
        </is>
      </c>
      <c r="C16875" s="2" t="n">
        <v>43497</v>
      </c>
      <c r="D16875" t="inlineStr">
        <is>
          <t>NIL</t>
        </is>
      </c>
      <c r="E16875" t="n">
        <v>1838</v>
      </c>
    </row>
    <row r="16876">
      <c r="A16876" t="inlineStr">
        <is>
          <t>27BBBBB16876Z5</t>
        </is>
      </c>
      <c r="B16876" t="inlineStr">
        <is>
          <t>Feb-2018</t>
        </is>
      </c>
      <c r="C16876" s="2" t="n">
        <v>42966</v>
      </c>
      <c r="D16876" t="inlineStr">
        <is>
          <t>NON-NIL</t>
        </is>
      </c>
      <c r="E16876" t="n">
        <v>1409</v>
      </c>
    </row>
    <row r="16877">
      <c r="A16877" t="inlineStr">
        <is>
          <t>27BBBBB16877Z5</t>
        </is>
      </c>
      <c r="B16877" t="inlineStr">
        <is>
          <t>Mar-2020</t>
        </is>
      </c>
      <c r="C16877" s="2" t="n">
        <v>44261</v>
      </c>
      <c r="D16877" t="inlineStr">
        <is>
          <t>NIL</t>
        </is>
      </c>
      <c r="E16877" t="n">
        <v>2512</v>
      </c>
    </row>
    <row r="16878">
      <c r="A16878" t="inlineStr">
        <is>
          <t>27BBBBB16878Z5</t>
        </is>
      </c>
      <c r="B16878" t="inlineStr">
        <is>
          <t>Apr-2018</t>
        </is>
      </c>
      <c r="C16878" s="2" t="n">
        <v>43175</v>
      </c>
      <c r="D16878" t="inlineStr">
        <is>
          <t>NON-NIL</t>
        </is>
      </c>
      <c r="E16878" t="n">
        <v>230</v>
      </c>
    </row>
    <row r="16879">
      <c r="A16879" t="inlineStr">
        <is>
          <t>27BBBBB16879Z5</t>
        </is>
      </c>
      <c r="B16879" t="inlineStr">
        <is>
          <t>May-2020</t>
        </is>
      </c>
      <c r="C16879" s="2" t="n">
        <v>44130</v>
      </c>
      <c r="D16879" t="inlineStr">
        <is>
          <t>NIL</t>
        </is>
      </c>
      <c r="E16879" t="n">
        <v>2265</v>
      </c>
    </row>
    <row r="16880">
      <c r="A16880" t="inlineStr">
        <is>
          <t>27BBBBB16880Z5</t>
        </is>
      </c>
      <c r="B16880" t="inlineStr">
        <is>
          <t>Oct-2017</t>
        </is>
      </c>
      <c r="C16880" s="2" t="n">
        <v>44403</v>
      </c>
      <c r="D16880" t="inlineStr">
        <is>
          <t>NIL</t>
        </is>
      </c>
      <c r="E16880" t="n">
        <v>2414</v>
      </c>
    </row>
    <row r="16881">
      <c r="A16881" t="inlineStr">
        <is>
          <t>27BBBBB16881Z5</t>
        </is>
      </c>
      <c r="B16881" t="inlineStr">
        <is>
          <t>Mar-2020</t>
        </is>
      </c>
      <c r="C16881" s="2" t="n">
        <v>44576</v>
      </c>
      <c r="D16881" t="inlineStr">
        <is>
          <t>NON-NIL</t>
        </is>
      </c>
      <c r="E16881" t="n">
        <v>2106</v>
      </c>
    </row>
    <row r="16882">
      <c r="A16882" t="inlineStr">
        <is>
          <t>27BBBBB16882Z5</t>
        </is>
      </c>
      <c r="B16882" t="inlineStr">
        <is>
          <t>Jun-2018</t>
        </is>
      </c>
      <c r="C16882" s="2" t="n">
        <v>44043</v>
      </c>
      <c r="D16882" t="inlineStr">
        <is>
          <t>NIL</t>
        </is>
      </c>
      <c r="E16882" t="n">
        <v>147</v>
      </c>
    </row>
    <row r="16883">
      <c r="A16883" t="inlineStr">
        <is>
          <t>27BBBBB16883Z5</t>
        </is>
      </c>
      <c r="B16883" t="inlineStr">
        <is>
          <t>Jun-2020</t>
        </is>
      </c>
      <c r="C16883" s="2" t="n">
        <v>43984</v>
      </c>
      <c r="D16883" t="inlineStr">
        <is>
          <t>NON-NIL</t>
        </is>
      </c>
      <c r="E16883" t="n">
        <v>1853</v>
      </c>
    </row>
    <row r="16884">
      <c r="A16884" t="inlineStr">
        <is>
          <t>27BBBBB16884Z5</t>
        </is>
      </c>
      <c r="B16884" t="inlineStr">
        <is>
          <t>Dec-2018</t>
        </is>
      </c>
      <c r="C16884" s="2" t="n">
        <v>42949</v>
      </c>
      <c r="D16884" t="inlineStr">
        <is>
          <t>NON-NIL</t>
        </is>
      </c>
      <c r="E16884" t="n">
        <v>838</v>
      </c>
    </row>
    <row r="16885">
      <c r="A16885" t="inlineStr">
        <is>
          <t>27BBBBB16885Z5</t>
        </is>
      </c>
      <c r="B16885" t="inlineStr">
        <is>
          <t>Apr-2020</t>
        </is>
      </c>
      <c r="C16885" s="2" t="n">
        <v>44524</v>
      </c>
      <c r="D16885" t="inlineStr">
        <is>
          <t>NON-NIL</t>
        </is>
      </c>
      <c r="E16885" t="n">
        <v>2595</v>
      </c>
    </row>
    <row r="16886">
      <c r="A16886" t="inlineStr">
        <is>
          <t>27BBBBB16886Z5</t>
        </is>
      </c>
      <c r="B16886" t="inlineStr">
        <is>
          <t>Mar-2021</t>
        </is>
      </c>
      <c r="C16886" s="2" t="n">
        <v>44065</v>
      </c>
      <c r="D16886" t="inlineStr">
        <is>
          <t>NIL</t>
        </is>
      </c>
      <c r="E16886" t="n">
        <v>2216</v>
      </c>
    </row>
    <row r="16887">
      <c r="A16887" t="inlineStr">
        <is>
          <t>27BBBBB16887Z5</t>
        </is>
      </c>
      <c r="B16887" t="inlineStr">
        <is>
          <t>Oct-2017</t>
        </is>
      </c>
      <c r="C16887" s="2" t="n">
        <v>44513</v>
      </c>
      <c r="D16887" t="inlineStr">
        <is>
          <t>NIL</t>
        </is>
      </c>
      <c r="E16887" t="n">
        <v>1922</v>
      </c>
    </row>
    <row r="16888">
      <c r="A16888" t="inlineStr">
        <is>
          <t>27BBBBB16888Z5</t>
        </is>
      </c>
      <c r="B16888" t="inlineStr">
        <is>
          <t>Mar-2021</t>
        </is>
      </c>
      <c r="C16888" s="2" t="n">
        <v>45497</v>
      </c>
      <c r="D16888" t="inlineStr">
        <is>
          <t>NON-NIL</t>
        </is>
      </c>
      <c r="E16888" t="n">
        <v>206</v>
      </c>
    </row>
    <row r="16889">
      <c r="A16889" t="inlineStr">
        <is>
          <t>27BBBBB16889Z5</t>
        </is>
      </c>
      <c r="B16889" t="inlineStr">
        <is>
          <t>Oct-2017</t>
        </is>
      </c>
      <c r="C16889" s="2" t="n">
        <v>43732</v>
      </c>
      <c r="D16889" t="inlineStr">
        <is>
          <t>NON-NIL</t>
        </is>
      </c>
      <c r="E16889" t="n">
        <v>590</v>
      </c>
    </row>
    <row r="16890">
      <c r="A16890" t="inlineStr">
        <is>
          <t>27BBBBB16890Z5</t>
        </is>
      </c>
      <c r="B16890" t="inlineStr">
        <is>
          <t>Jun-2020</t>
        </is>
      </c>
      <c r="C16890" s="2" t="n">
        <v>44746</v>
      </c>
      <c r="D16890" t="inlineStr">
        <is>
          <t>NON-NIL</t>
        </is>
      </c>
      <c r="E16890" t="n">
        <v>2202</v>
      </c>
    </row>
    <row r="16891">
      <c r="A16891" t="inlineStr">
        <is>
          <t>27BBBBB16891Z5</t>
        </is>
      </c>
      <c r="B16891" t="inlineStr">
        <is>
          <t>Jun-2018</t>
        </is>
      </c>
      <c r="C16891" s="2" t="n">
        <v>43696</v>
      </c>
      <c r="D16891" t="inlineStr">
        <is>
          <t>NIL</t>
        </is>
      </c>
      <c r="E16891" t="n">
        <v>903</v>
      </c>
    </row>
    <row r="16892">
      <c r="A16892" t="inlineStr">
        <is>
          <t>27BBBBB16892Z5</t>
        </is>
      </c>
      <c r="B16892" t="inlineStr">
        <is>
          <t>Jul-2018</t>
        </is>
      </c>
      <c r="C16892" s="2" t="n">
        <v>43704</v>
      </c>
      <c r="D16892" t="inlineStr">
        <is>
          <t>NIL</t>
        </is>
      </c>
      <c r="E16892" t="n">
        <v>1686</v>
      </c>
    </row>
    <row r="16893">
      <c r="A16893" t="inlineStr">
        <is>
          <t>27BBBBB16893Z5</t>
        </is>
      </c>
      <c r="B16893" t="inlineStr">
        <is>
          <t>Dec-2017</t>
        </is>
      </c>
      <c r="C16893" s="2" t="n">
        <v>44067</v>
      </c>
      <c r="D16893" t="inlineStr">
        <is>
          <t>NON-NIL</t>
        </is>
      </c>
      <c r="E16893" t="n">
        <v>776</v>
      </c>
    </row>
    <row r="16894">
      <c r="A16894" t="inlineStr">
        <is>
          <t>27BBBBB16894Z5</t>
        </is>
      </c>
      <c r="B16894" t="inlineStr">
        <is>
          <t>Apr-2018</t>
        </is>
      </c>
      <c r="C16894" s="2" t="n">
        <v>43494</v>
      </c>
      <c r="D16894" t="inlineStr">
        <is>
          <t>NON-NIL</t>
        </is>
      </c>
      <c r="E16894" t="n">
        <v>1607</v>
      </c>
    </row>
    <row r="16895">
      <c r="A16895" t="inlineStr">
        <is>
          <t>27BBBBB16895Z5</t>
        </is>
      </c>
      <c r="B16895" t="inlineStr">
        <is>
          <t>Dec-2022</t>
        </is>
      </c>
      <c r="C16895" s="2" t="n">
        <v>44003</v>
      </c>
      <c r="D16895" t="inlineStr">
        <is>
          <t>NIL</t>
        </is>
      </c>
      <c r="E16895" t="n">
        <v>2315</v>
      </c>
    </row>
    <row r="16896">
      <c r="A16896" t="inlineStr">
        <is>
          <t>27BBBBB16896Z5</t>
        </is>
      </c>
      <c r="B16896" t="inlineStr">
        <is>
          <t>Jun-2020</t>
        </is>
      </c>
      <c r="C16896" s="2" t="n">
        <v>44902</v>
      </c>
      <c r="D16896" t="inlineStr">
        <is>
          <t>NIL</t>
        </is>
      </c>
      <c r="E16896" t="n">
        <v>307</v>
      </c>
    </row>
    <row r="16897">
      <c r="A16897" t="inlineStr">
        <is>
          <t>27BBBBB16897Z5</t>
        </is>
      </c>
      <c r="B16897" t="inlineStr">
        <is>
          <t>Sep-2017</t>
        </is>
      </c>
      <c r="C16897" s="2" t="n">
        <v>44301</v>
      </c>
      <c r="D16897" t="inlineStr">
        <is>
          <t>NIL</t>
        </is>
      </c>
      <c r="E16897" t="n">
        <v>409</v>
      </c>
    </row>
    <row r="16898">
      <c r="A16898" t="inlineStr">
        <is>
          <t>27BBBBB16898Z5</t>
        </is>
      </c>
      <c r="B16898" t="inlineStr">
        <is>
          <t>Oct-2018</t>
        </is>
      </c>
      <c r="C16898" s="2" t="n">
        <v>43951</v>
      </c>
      <c r="D16898" t="inlineStr">
        <is>
          <t>NON-NIL</t>
        </is>
      </c>
      <c r="E16898" t="n">
        <v>2413</v>
      </c>
    </row>
    <row r="16899">
      <c r="A16899" t="inlineStr">
        <is>
          <t>27BBBBB16899Z5</t>
        </is>
      </c>
      <c r="B16899" t="inlineStr">
        <is>
          <t>Jul-2020</t>
        </is>
      </c>
      <c r="C16899" s="2" t="n">
        <v>43852</v>
      </c>
      <c r="D16899" t="inlineStr">
        <is>
          <t>NIL</t>
        </is>
      </c>
      <c r="E16899" t="n">
        <v>547</v>
      </c>
    </row>
    <row r="16900">
      <c r="A16900" t="inlineStr">
        <is>
          <t>27BBBBB16900Z5</t>
        </is>
      </c>
      <c r="B16900" t="inlineStr">
        <is>
          <t>Dec-2024</t>
        </is>
      </c>
      <c r="C16900" s="2" t="n">
        <v>45123</v>
      </c>
      <c r="D16900" t="inlineStr">
        <is>
          <t>NIL</t>
        </is>
      </c>
      <c r="E16900" t="n">
        <v>601</v>
      </c>
    </row>
    <row r="16901">
      <c r="A16901" t="inlineStr">
        <is>
          <t>27BBBBB16901Z5</t>
        </is>
      </c>
      <c r="B16901" t="inlineStr">
        <is>
          <t>May-2018</t>
        </is>
      </c>
      <c r="C16901" s="2" t="n">
        <v>43363</v>
      </c>
      <c r="D16901" t="inlineStr">
        <is>
          <t>NIL</t>
        </is>
      </c>
      <c r="E16901" t="n">
        <v>1101</v>
      </c>
    </row>
    <row r="16902">
      <c r="A16902" t="inlineStr">
        <is>
          <t>27BBBBB16902Z5</t>
        </is>
      </c>
      <c r="B16902" t="inlineStr">
        <is>
          <t>Dec-2018</t>
        </is>
      </c>
      <c r="C16902" s="2" t="n">
        <v>43509</v>
      </c>
      <c r="D16902" t="inlineStr">
        <is>
          <t>NIL</t>
        </is>
      </c>
      <c r="E16902" t="n">
        <v>1434</v>
      </c>
    </row>
    <row r="16903">
      <c r="A16903" t="inlineStr">
        <is>
          <t>27BBBBB16903Z5</t>
        </is>
      </c>
      <c r="B16903" t="inlineStr">
        <is>
          <t>Mar-2020</t>
        </is>
      </c>
      <c r="C16903" s="2" t="n">
        <v>44075</v>
      </c>
      <c r="D16903" t="inlineStr">
        <is>
          <t>NON-NIL</t>
        </is>
      </c>
      <c r="E16903" t="n">
        <v>2040</v>
      </c>
    </row>
    <row r="16904">
      <c r="A16904" t="inlineStr">
        <is>
          <t>27BBBBB16904Z5</t>
        </is>
      </c>
      <c r="B16904" t="inlineStr">
        <is>
          <t>Jul-2017</t>
        </is>
      </c>
      <c r="C16904" s="2" t="n">
        <v>44132</v>
      </c>
      <c r="D16904" t="inlineStr">
        <is>
          <t>NIL</t>
        </is>
      </c>
      <c r="E16904" t="n">
        <v>1627</v>
      </c>
    </row>
    <row r="16905">
      <c r="A16905" t="inlineStr">
        <is>
          <t>27BBBBB16905Z5</t>
        </is>
      </c>
      <c r="B16905" t="inlineStr">
        <is>
          <t>Jun-2018</t>
        </is>
      </c>
      <c r="C16905" s="2" t="n">
        <v>43030</v>
      </c>
      <c r="D16905" t="inlineStr">
        <is>
          <t>NON-NIL</t>
        </is>
      </c>
      <c r="E16905" t="n">
        <v>1133</v>
      </c>
    </row>
    <row r="16906">
      <c r="A16906" t="inlineStr">
        <is>
          <t>27BBBBB16906Z5</t>
        </is>
      </c>
      <c r="B16906" t="inlineStr">
        <is>
          <t>Mar-2021</t>
        </is>
      </c>
      <c r="C16906" s="2" t="n">
        <v>45683</v>
      </c>
      <c r="D16906" t="inlineStr">
        <is>
          <t>NIL</t>
        </is>
      </c>
      <c r="E16906" t="n">
        <v>819</v>
      </c>
    </row>
    <row r="16907">
      <c r="A16907" t="inlineStr">
        <is>
          <t>27BBBBB16907Z5</t>
        </is>
      </c>
      <c r="B16907" t="inlineStr">
        <is>
          <t>Jun-2020</t>
        </is>
      </c>
      <c r="C16907" s="2" t="n">
        <v>44840</v>
      </c>
      <c r="D16907" t="inlineStr">
        <is>
          <t>NON-NIL</t>
        </is>
      </c>
      <c r="E16907" t="n">
        <v>387</v>
      </c>
    </row>
    <row r="16908">
      <c r="A16908" t="inlineStr">
        <is>
          <t>27BBBBB16908Z5</t>
        </is>
      </c>
      <c r="B16908" t="inlineStr">
        <is>
          <t>Dec-2024</t>
        </is>
      </c>
      <c r="C16908" s="2" t="n">
        <v>44371</v>
      </c>
      <c r="D16908" t="inlineStr">
        <is>
          <t>NON-NIL</t>
        </is>
      </c>
      <c r="E16908" t="n">
        <v>2015</v>
      </c>
    </row>
    <row r="16909">
      <c r="A16909" t="inlineStr">
        <is>
          <t>27BBBBB16909Z5</t>
        </is>
      </c>
      <c r="B16909" t="inlineStr">
        <is>
          <t>Nov-2018</t>
        </is>
      </c>
      <c r="C16909" s="2" t="n">
        <v>43286</v>
      </c>
      <c r="D16909" t="inlineStr">
        <is>
          <t>NON-NIL</t>
        </is>
      </c>
      <c r="E16909" t="n">
        <v>350</v>
      </c>
    </row>
    <row r="16910">
      <c r="A16910" t="inlineStr">
        <is>
          <t>27BBBBB16910Z5</t>
        </is>
      </c>
      <c r="B16910" t="inlineStr">
        <is>
          <t>Jul-2020</t>
        </is>
      </c>
      <c r="C16910" s="2" t="n">
        <v>44228</v>
      </c>
      <c r="D16910" t="inlineStr">
        <is>
          <t>NIL</t>
        </is>
      </c>
      <c r="E16910" t="n">
        <v>2366</v>
      </c>
    </row>
    <row r="16911">
      <c r="A16911" t="inlineStr">
        <is>
          <t>27BBBBB16911Z5</t>
        </is>
      </c>
      <c r="B16911" t="inlineStr">
        <is>
          <t>Apr-2018</t>
        </is>
      </c>
      <c r="C16911" s="2" t="n">
        <v>43084</v>
      </c>
      <c r="D16911" t="inlineStr">
        <is>
          <t>NIL</t>
        </is>
      </c>
      <c r="E16911" t="n">
        <v>373</v>
      </c>
    </row>
    <row r="16912">
      <c r="A16912" t="inlineStr">
        <is>
          <t>27BBBBB16912Z5</t>
        </is>
      </c>
      <c r="B16912" t="inlineStr">
        <is>
          <t>Jul-2020</t>
        </is>
      </c>
      <c r="C16912" s="2" t="n">
        <v>44673</v>
      </c>
      <c r="D16912" t="inlineStr">
        <is>
          <t>NON-NIL</t>
        </is>
      </c>
      <c r="E16912" t="n">
        <v>1568</v>
      </c>
    </row>
    <row r="16913">
      <c r="A16913" t="inlineStr">
        <is>
          <t>27BBBBB16913Z5</t>
        </is>
      </c>
      <c r="B16913" t="inlineStr">
        <is>
          <t>May-2020</t>
        </is>
      </c>
      <c r="C16913" s="2" t="n">
        <v>44906</v>
      </c>
      <c r="D16913" t="inlineStr">
        <is>
          <t>NIL</t>
        </is>
      </c>
      <c r="E16913" t="n">
        <v>2315</v>
      </c>
    </row>
    <row r="16914">
      <c r="A16914" t="inlineStr">
        <is>
          <t>27BBBBB16914Z5</t>
        </is>
      </c>
      <c r="B16914" t="inlineStr">
        <is>
          <t>Apr-2018</t>
        </is>
      </c>
      <c r="C16914" s="2" t="n">
        <v>44144</v>
      </c>
      <c r="D16914" t="inlineStr">
        <is>
          <t>NON-NIL</t>
        </is>
      </c>
      <c r="E16914" t="n">
        <v>2881</v>
      </c>
    </row>
    <row r="16915">
      <c r="A16915" t="inlineStr">
        <is>
          <t>27BBBBB16915Z5</t>
        </is>
      </c>
      <c r="B16915" t="inlineStr">
        <is>
          <t>Sep-2017</t>
        </is>
      </c>
      <c r="C16915" s="2" t="n">
        <v>43801</v>
      </c>
      <c r="D16915" t="inlineStr">
        <is>
          <t>NIL</t>
        </is>
      </c>
      <c r="E16915" t="n">
        <v>1225</v>
      </c>
    </row>
    <row r="16916">
      <c r="A16916" t="inlineStr">
        <is>
          <t>27BBBBB16916Z5</t>
        </is>
      </c>
      <c r="B16916" t="inlineStr">
        <is>
          <t>Jul-2017</t>
        </is>
      </c>
      <c r="C16916" s="2" t="n">
        <v>43621</v>
      </c>
      <c r="D16916" t="inlineStr">
        <is>
          <t>NIL</t>
        </is>
      </c>
      <c r="E16916" t="n">
        <v>2884</v>
      </c>
    </row>
    <row r="16917">
      <c r="A16917" t="inlineStr">
        <is>
          <t>27BBBBB16917Z5</t>
        </is>
      </c>
      <c r="B16917" t="inlineStr">
        <is>
          <t>Apr-2020</t>
        </is>
      </c>
      <c r="C16917" s="2" t="n">
        <v>44174</v>
      </c>
      <c r="D16917" t="inlineStr">
        <is>
          <t>NIL</t>
        </is>
      </c>
      <c r="E16917" t="n">
        <v>2006</v>
      </c>
    </row>
    <row r="16918">
      <c r="A16918" t="inlineStr">
        <is>
          <t>27BBBBB16918Z5</t>
        </is>
      </c>
      <c r="B16918" t="inlineStr">
        <is>
          <t>Sep-2018</t>
        </is>
      </c>
      <c r="C16918" s="2" t="n">
        <v>43262</v>
      </c>
      <c r="D16918" t="inlineStr">
        <is>
          <t>NON-NIL</t>
        </is>
      </c>
      <c r="E16918" t="n">
        <v>1784</v>
      </c>
    </row>
    <row r="16919">
      <c r="A16919" t="inlineStr">
        <is>
          <t>27BBBBB16919Z5</t>
        </is>
      </c>
      <c r="B16919" t="inlineStr">
        <is>
          <t>Feb-2018</t>
        </is>
      </c>
      <c r="C16919" s="2" t="n">
        <v>44507</v>
      </c>
      <c r="D16919" t="inlineStr">
        <is>
          <t>NON-NIL</t>
        </is>
      </c>
      <c r="E16919" t="n">
        <v>1444</v>
      </c>
    </row>
    <row r="16920">
      <c r="A16920" t="inlineStr">
        <is>
          <t>27BBBBB16920Z5</t>
        </is>
      </c>
      <c r="B16920" t="inlineStr">
        <is>
          <t>May-2020</t>
        </is>
      </c>
      <c r="C16920" s="2" t="n">
        <v>44302</v>
      </c>
      <c r="D16920" t="inlineStr">
        <is>
          <t>NIL</t>
        </is>
      </c>
      <c r="E16920" t="n">
        <v>37</v>
      </c>
    </row>
    <row r="16921">
      <c r="A16921" t="inlineStr">
        <is>
          <t>27BBBBB16921Z5</t>
        </is>
      </c>
      <c r="B16921" t="inlineStr">
        <is>
          <t>Mar-2023</t>
        </is>
      </c>
      <c r="C16921" s="2" t="n">
        <v>44590</v>
      </c>
      <c r="D16921" t="inlineStr">
        <is>
          <t>NON-NIL</t>
        </is>
      </c>
      <c r="E16921" t="n">
        <v>187</v>
      </c>
    </row>
    <row r="16922">
      <c r="A16922" t="inlineStr">
        <is>
          <t>27BBBBB16922Z5</t>
        </is>
      </c>
      <c r="B16922" t="inlineStr">
        <is>
          <t>Feb-2018</t>
        </is>
      </c>
      <c r="C16922" s="2" t="n">
        <v>44535</v>
      </c>
      <c r="D16922" t="inlineStr">
        <is>
          <t>NIL</t>
        </is>
      </c>
      <c r="E16922" t="n">
        <v>2925</v>
      </c>
    </row>
    <row r="16923">
      <c r="A16923" t="inlineStr">
        <is>
          <t>27BBBBB16923Z5</t>
        </is>
      </c>
      <c r="B16923" t="inlineStr">
        <is>
          <t>Mar-2020</t>
        </is>
      </c>
      <c r="C16923" s="2" t="n">
        <v>44409</v>
      </c>
      <c r="D16923" t="inlineStr">
        <is>
          <t>NIL</t>
        </is>
      </c>
      <c r="E16923" t="n">
        <v>1558</v>
      </c>
    </row>
    <row r="16924">
      <c r="A16924" t="inlineStr">
        <is>
          <t>27BBBBB16924Z5</t>
        </is>
      </c>
      <c r="B16924" t="inlineStr">
        <is>
          <t>Apr-2018</t>
        </is>
      </c>
      <c r="C16924" s="2" t="n">
        <v>44400</v>
      </c>
      <c r="D16924" t="inlineStr">
        <is>
          <t>NON-NIL</t>
        </is>
      </c>
      <c r="E16924" t="n">
        <v>1064</v>
      </c>
    </row>
    <row r="16925">
      <c r="A16925" t="inlineStr">
        <is>
          <t>27BBBBB16925Z5</t>
        </is>
      </c>
      <c r="B16925" t="inlineStr">
        <is>
          <t>Jan-2018</t>
        </is>
      </c>
      <c r="C16925" s="2" t="n">
        <v>43382</v>
      </c>
      <c r="D16925" t="inlineStr">
        <is>
          <t>NON-NIL</t>
        </is>
      </c>
      <c r="E16925" t="n">
        <v>2250</v>
      </c>
    </row>
    <row r="16926">
      <c r="A16926" t="inlineStr">
        <is>
          <t>27BBBBB16926Z5</t>
        </is>
      </c>
      <c r="B16926" t="inlineStr">
        <is>
          <t>Mar-2023</t>
        </is>
      </c>
      <c r="C16926" s="2" t="n">
        <v>44688</v>
      </c>
      <c r="D16926" t="inlineStr">
        <is>
          <t>NIL</t>
        </is>
      </c>
      <c r="E16926" t="n">
        <v>1232</v>
      </c>
    </row>
    <row r="16927">
      <c r="A16927" t="inlineStr">
        <is>
          <t>27BBBBB16927Z5</t>
        </is>
      </c>
      <c r="B16927" t="inlineStr">
        <is>
          <t>Aug-2018</t>
        </is>
      </c>
      <c r="C16927" s="2" t="n">
        <v>43818</v>
      </c>
      <c r="D16927" t="inlineStr">
        <is>
          <t>NIL</t>
        </is>
      </c>
      <c r="E16927" t="n">
        <v>2253</v>
      </c>
    </row>
    <row r="16928">
      <c r="A16928" t="inlineStr">
        <is>
          <t>27BBBBB16928Z5</t>
        </is>
      </c>
      <c r="B16928" t="inlineStr">
        <is>
          <t>Mar-2018</t>
        </is>
      </c>
      <c r="C16928" s="2" t="n">
        <v>44359</v>
      </c>
      <c r="D16928" t="inlineStr">
        <is>
          <t>NON-NIL</t>
        </is>
      </c>
      <c r="E16928" t="n">
        <v>48</v>
      </c>
    </row>
    <row r="16929">
      <c r="A16929" t="inlineStr">
        <is>
          <t>27BBBBB16929Z5</t>
        </is>
      </c>
      <c r="B16929" t="inlineStr">
        <is>
          <t>Mar-2018</t>
        </is>
      </c>
      <c r="C16929" s="2" t="n">
        <v>43401</v>
      </c>
      <c r="D16929" t="inlineStr">
        <is>
          <t>NON-NIL</t>
        </is>
      </c>
      <c r="E16929" t="n">
        <v>810</v>
      </c>
    </row>
    <row r="16930">
      <c r="A16930" t="inlineStr">
        <is>
          <t>27BBBBB16930Z5</t>
        </is>
      </c>
      <c r="B16930" t="inlineStr">
        <is>
          <t>Oct-2018</t>
        </is>
      </c>
      <c r="C16930" s="2" t="n">
        <v>43058</v>
      </c>
      <c r="D16930" t="inlineStr">
        <is>
          <t>NIL</t>
        </is>
      </c>
      <c r="E16930" t="n">
        <v>1342</v>
      </c>
    </row>
    <row r="16931">
      <c r="A16931" t="inlineStr">
        <is>
          <t>27BBBBB16931Z5</t>
        </is>
      </c>
      <c r="B16931" t="inlineStr">
        <is>
          <t>Jul-2018</t>
        </is>
      </c>
      <c r="C16931" s="2" t="n">
        <v>44096</v>
      </c>
      <c r="D16931" t="inlineStr">
        <is>
          <t>NIL</t>
        </is>
      </c>
      <c r="E16931" t="n">
        <v>403</v>
      </c>
    </row>
    <row r="16932">
      <c r="A16932" t="inlineStr">
        <is>
          <t>27BBBBB16932Z5</t>
        </is>
      </c>
      <c r="B16932" t="inlineStr">
        <is>
          <t>Jul-2017</t>
        </is>
      </c>
      <c r="C16932" s="2" t="n">
        <v>44365</v>
      </c>
      <c r="D16932" t="inlineStr">
        <is>
          <t>NON-NIL</t>
        </is>
      </c>
      <c r="E16932" t="n">
        <v>1923</v>
      </c>
    </row>
    <row r="16933">
      <c r="A16933" t="inlineStr">
        <is>
          <t>27BBBBB16933Z5</t>
        </is>
      </c>
      <c r="B16933" t="inlineStr">
        <is>
          <t>May-2020</t>
        </is>
      </c>
      <c r="C16933" s="2" t="n">
        <v>44424</v>
      </c>
      <c r="D16933" t="inlineStr">
        <is>
          <t>NON-NIL</t>
        </is>
      </c>
      <c r="E16933" t="n">
        <v>971</v>
      </c>
    </row>
    <row r="16934">
      <c r="A16934" t="inlineStr">
        <is>
          <t>27BBBBB16934Z5</t>
        </is>
      </c>
      <c r="B16934" t="inlineStr">
        <is>
          <t>Mar-2021</t>
        </is>
      </c>
      <c r="C16934" s="2" t="n">
        <v>43902</v>
      </c>
      <c r="D16934" t="inlineStr">
        <is>
          <t>NIL</t>
        </is>
      </c>
      <c r="E16934" t="n">
        <v>1235</v>
      </c>
    </row>
    <row r="16935">
      <c r="A16935" t="inlineStr">
        <is>
          <t>27BBBBB16935Z5</t>
        </is>
      </c>
      <c r="B16935" t="inlineStr">
        <is>
          <t>Jul-2020</t>
        </is>
      </c>
      <c r="C16935" s="2" t="n">
        <v>44681</v>
      </c>
      <c r="D16935" t="inlineStr">
        <is>
          <t>NON-NIL</t>
        </is>
      </c>
      <c r="E16935" t="n">
        <v>247</v>
      </c>
    </row>
    <row r="16936">
      <c r="A16936" t="inlineStr">
        <is>
          <t>27BBBBB16936Z5</t>
        </is>
      </c>
      <c r="B16936" t="inlineStr">
        <is>
          <t>Oct-2017</t>
        </is>
      </c>
      <c r="C16936" s="2" t="n">
        <v>43853</v>
      </c>
      <c r="D16936" t="inlineStr">
        <is>
          <t>NIL</t>
        </is>
      </c>
      <c r="E16936" t="n">
        <v>948</v>
      </c>
    </row>
    <row r="16937">
      <c r="A16937" t="inlineStr">
        <is>
          <t>27BBBBB16937Z5</t>
        </is>
      </c>
      <c r="B16937" t="inlineStr">
        <is>
          <t>Dec-2022</t>
        </is>
      </c>
      <c r="C16937" s="2" t="n">
        <v>44930</v>
      </c>
      <c r="D16937" t="inlineStr">
        <is>
          <t>NON-NIL</t>
        </is>
      </c>
      <c r="E16937" t="n">
        <v>890</v>
      </c>
    </row>
    <row r="16938">
      <c r="A16938" t="inlineStr">
        <is>
          <t>27BBBBB16938Z5</t>
        </is>
      </c>
      <c r="B16938" t="inlineStr">
        <is>
          <t>Nov-2017</t>
        </is>
      </c>
      <c r="C16938" s="2" t="n">
        <v>43079</v>
      </c>
      <c r="D16938" t="inlineStr">
        <is>
          <t>NIL</t>
        </is>
      </c>
      <c r="E16938" t="n">
        <v>542</v>
      </c>
    </row>
    <row r="16939">
      <c r="A16939" t="inlineStr">
        <is>
          <t>27BBBBB16939Z5</t>
        </is>
      </c>
      <c r="B16939" t="inlineStr">
        <is>
          <t>Aug-2018</t>
        </is>
      </c>
      <c r="C16939" s="2" t="n">
        <v>43512</v>
      </c>
      <c r="D16939" t="inlineStr">
        <is>
          <t>NIL</t>
        </is>
      </c>
      <c r="E16939" t="n">
        <v>1422</v>
      </c>
    </row>
    <row r="16940">
      <c r="A16940" t="inlineStr">
        <is>
          <t>27BBBBB16940Z5</t>
        </is>
      </c>
      <c r="B16940" t="inlineStr">
        <is>
          <t>Aug-2017</t>
        </is>
      </c>
      <c r="C16940" s="2" t="n">
        <v>43850</v>
      </c>
      <c r="D16940" t="inlineStr">
        <is>
          <t>NON-NIL</t>
        </is>
      </c>
      <c r="E16940" t="n">
        <v>1673</v>
      </c>
    </row>
    <row r="16941">
      <c r="A16941" t="inlineStr">
        <is>
          <t>27BBBBB16941Z5</t>
        </is>
      </c>
      <c r="B16941" t="inlineStr">
        <is>
          <t>Oct-2018</t>
        </is>
      </c>
      <c r="C16941" s="2" t="n">
        <v>44482</v>
      </c>
      <c r="D16941" t="inlineStr">
        <is>
          <t>NON-NIL</t>
        </is>
      </c>
      <c r="E16941" t="n">
        <v>2597</v>
      </c>
    </row>
    <row r="16942">
      <c r="A16942" t="inlineStr">
        <is>
          <t>27BBBBB16942Z5</t>
        </is>
      </c>
      <c r="B16942" t="inlineStr">
        <is>
          <t>May-2020</t>
        </is>
      </c>
      <c r="C16942" s="2" t="n">
        <v>44780</v>
      </c>
      <c r="D16942" t="inlineStr">
        <is>
          <t>NON-NIL</t>
        </is>
      </c>
      <c r="E16942" t="n">
        <v>2328</v>
      </c>
    </row>
    <row r="16943">
      <c r="A16943" t="inlineStr">
        <is>
          <t>27BBBBB16943Z5</t>
        </is>
      </c>
      <c r="B16943" t="inlineStr">
        <is>
          <t>Mar-2021</t>
        </is>
      </c>
      <c r="C16943" s="2" t="n">
        <v>43751</v>
      </c>
      <c r="D16943" t="inlineStr">
        <is>
          <t>NIL</t>
        </is>
      </c>
      <c r="E16943" t="n">
        <v>189</v>
      </c>
    </row>
    <row r="16944">
      <c r="A16944" t="inlineStr">
        <is>
          <t>27BBBBB16944Z5</t>
        </is>
      </c>
      <c r="B16944" t="inlineStr">
        <is>
          <t>Oct-2017</t>
        </is>
      </c>
      <c r="C16944" s="2" t="n">
        <v>43377</v>
      </c>
      <c r="D16944" t="inlineStr">
        <is>
          <t>NON-NIL</t>
        </is>
      </c>
      <c r="E16944" t="n">
        <v>2082</v>
      </c>
    </row>
    <row r="16945">
      <c r="A16945" t="inlineStr">
        <is>
          <t>27BBBBB16945Z5</t>
        </is>
      </c>
      <c r="B16945" t="inlineStr">
        <is>
          <t>Jan-2018</t>
        </is>
      </c>
      <c r="C16945" s="2" t="n">
        <v>43510</v>
      </c>
      <c r="D16945" t="inlineStr">
        <is>
          <t>NIL</t>
        </is>
      </c>
      <c r="E16945" t="n">
        <v>587</v>
      </c>
    </row>
    <row r="16946">
      <c r="A16946" t="inlineStr">
        <is>
          <t>27BBBBB16946Z5</t>
        </is>
      </c>
      <c r="B16946" t="inlineStr">
        <is>
          <t>Mar-2020</t>
        </is>
      </c>
      <c r="C16946" s="2" t="n">
        <v>44871</v>
      </c>
      <c r="D16946" t="inlineStr">
        <is>
          <t>NIL</t>
        </is>
      </c>
      <c r="E16946" t="n">
        <v>1565</v>
      </c>
    </row>
    <row r="16947">
      <c r="A16947" t="inlineStr">
        <is>
          <t>27BBBBB16947Z5</t>
        </is>
      </c>
      <c r="B16947" t="inlineStr">
        <is>
          <t>Dec-2022</t>
        </is>
      </c>
      <c r="C16947" s="2" t="n">
        <v>45138</v>
      </c>
      <c r="D16947" t="inlineStr">
        <is>
          <t>NIL</t>
        </is>
      </c>
      <c r="E16947" t="n">
        <v>2430</v>
      </c>
    </row>
    <row r="16948">
      <c r="A16948" t="inlineStr">
        <is>
          <t>27BBBBB16948Z5</t>
        </is>
      </c>
      <c r="B16948" t="inlineStr">
        <is>
          <t>May-2020</t>
        </is>
      </c>
      <c r="C16948" s="2" t="n">
        <v>44490</v>
      </c>
      <c r="D16948" t="inlineStr">
        <is>
          <t>NIL</t>
        </is>
      </c>
      <c r="E16948" t="n">
        <v>1361</v>
      </c>
    </row>
    <row r="16949">
      <c r="A16949" t="inlineStr">
        <is>
          <t>27BBBBB16949Z5</t>
        </is>
      </c>
      <c r="B16949" t="inlineStr">
        <is>
          <t>Mar-2018</t>
        </is>
      </c>
      <c r="C16949" s="2" t="n">
        <v>43684</v>
      </c>
      <c r="D16949" t="inlineStr">
        <is>
          <t>NON-NIL</t>
        </is>
      </c>
      <c r="E16949" t="n">
        <v>575</v>
      </c>
    </row>
    <row r="16950">
      <c r="A16950" t="inlineStr">
        <is>
          <t>27BBBBB16950Z5</t>
        </is>
      </c>
      <c r="B16950" t="inlineStr">
        <is>
          <t>Nov-2018</t>
        </is>
      </c>
      <c r="C16950" s="2" t="n">
        <v>43121</v>
      </c>
      <c r="D16950" t="inlineStr">
        <is>
          <t>NIL</t>
        </is>
      </c>
      <c r="E16950" t="n">
        <v>1766</v>
      </c>
    </row>
    <row r="16951">
      <c r="A16951" t="inlineStr">
        <is>
          <t>27BBBBB16951Z5</t>
        </is>
      </c>
      <c r="B16951" t="inlineStr">
        <is>
          <t>Nov-2017</t>
        </is>
      </c>
      <c r="C16951" s="2" t="n">
        <v>43218</v>
      </c>
      <c r="D16951" t="inlineStr">
        <is>
          <t>NON-NIL</t>
        </is>
      </c>
      <c r="E16951" t="n">
        <v>1736</v>
      </c>
    </row>
    <row r="16952">
      <c r="A16952" t="inlineStr">
        <is>
          <t>27BBBBB16952Z5</t>
        </is>
      </c>
      <c r="B16952" t="inlineStr">
        <is>
          <t>Sep-2018</t>
        </is>
      </c>
      <c r="C16952" s="2" t="n">
        <v>44097</v>
      </c>
      <c r="D16952" t="inlineStr">
        <is>
          <t>NIL</t>
        </is>
      </c>
      <c r="E16952" t="n">
        <v>1831</v>
      </c>
    </row>
    <row r="16953">
      <c r="A16953" t="inlineStr">
        <is>
          <t>27BBBBB16953Z5</t>
        </is>
      </c>
      <c r="B16953" t="inlineStr">
        <is>
          <t>Jul-2020</t>
        </is>
      </c>
      <c r="C16953" s="2" t="n">
        <v>43923</v>
      </c>
      <c r="D16953" t="inlineStr">
        <is>
          <t>NON-NIL</t>
        </is>
      </c>
      <c r="E16953" t="n">
        <v>1052</v>
      </c>
    </row>
    <row r="16954">
      <c r="A16954" t="inlineStr">
        <is>
          <t>27BBBBB16954Z5</t>
        </is>
      </c>
      <c r="B16954" t="inlineStr">
        <is>
          <t>Sep-2017</t>
        </is>
      </c>
      <c r="C16954" s="2" t="n">
        <v>43349</v>
      </c>
      <c r="D16954" t="inlineStr">
        <is>
          <t>NIL</t>
        </is>
      </c>
      <c r="E16954" t="n">
        <v>476</v>
      </c>
    </row>
    <row r="16955">
      <c r="A16955" t="inlineStr">
        <is>
          <t>27BBBBB16955Z5</t>
        </is>
      </c>
      <c r="B16955" t="inlineStr">
        <is>
          <t>Sep-2018</t>
        </is>
      </c>
      <c r="C16955" s="2" t="n">
        <v>44118</v>
      </c>
      <c r="D16955" t="inlineStr">
        <is>
          <t>NON-NIL</t>
        </is>
      </c>
      <c r="E16955" t="n">
        <v>1758</v>
      </c>
    </row>
    <row r="16956">
      <c r="A16956" t="inlineStr">
        <is>
          <t>27BBBBB16956Z5</t>
        </is>
      </c>
      <c r="B16956" t="inlineStr">
        <is>
          <t>Nov-2017</t>
        </is>
      </c>
      <c r="C16956" s="2" t="n">
        <v>43414</v>
      </c>
      <c r="D16956" t="inlineStr">
        <is>
          <t>NIL</t>
        </is>
      </c>
      <c r="E16956" t="n">
        <v>2801</v>
      </c>
    </row>
    <row r="16957">
      <c r="A16957" t="inlineStr">
        <is>
          <t>27BBBBB16957Z5</t>
        </is>
      </c>
      <c r="B16957" t="inlineStr">
        <is>
          <t>Aug-2018</t>
        </is>
      </c>
      <c r="C16957" s="2" t="n">
        <v>44212</v>
      </c>
      <c r="D16957" t="inlineStr">
        <is>
          <t>NIL</t>
        </is>
      </c>
      <c r="E16957" t="n">
        <v>1676</v>
      </c>
    </row>
    <row r="16958">
      <c r="A16958" t="inlineStr">
        <is>
          <t>27BBBBB16958Z5</t>
        </is>
      </c>
      <c r="B16958" t="inlineStr">
        <is>
          <t>Mar-2020</t>
        </is>
      </c>
      <c r="C16958" s="2" t="n">
        <v>43835</v>
      </c>
      <c r="D16958" t="inlineStr">
        <is>
          <t>NON-NIL</t>
        </is>
      </c>
      <c r="E16958" t="n">
        <v>5</v>
      </c>
    </row>
    <row r="16959">
      <c r="A16959" t="inlineStr">
        <is>
          <t>27BBBBB16959Z5</t>
        </is>
      </c>
      <c r="B16959" t="inlineStr">
        <is>
          <t>Oct-2018</t>
        </is>
      </c>
      <c r="C16959" s="2" t="n">
        <v>43366</v>
      </c>
      <c r="D16959" t="inlineStr">
        <is>
          <t>NIL</t>
        </is>
      </c>
      <c r="E16959" t="n">
        <v>1269</v>
      </c>
    </row>
    <row r="16960">
      <c r="A16960" t="inlineStr">
        <is>
          <t>27BBBBB16960Z5</t>
        </is>
      </c>
      <c r="B16960" t="inlineStr">
        <is>
          <t>Mar-2018</t>
        </is>
      </c>
      <c r="C16960" s="2" t="n">
        <v>44430</v>
      </c>
      <c r="D16960" t="inlineStr">
        <is>
          <t>NIL</t>
        </is>
      </c>
      <c r="E16960" t="n">
        <v>578</v>
      </c>
    </row>
    <row r="16961">
      <c r="A16961" t="inlineStr">
        <is>
          <t>27BBBBB16961Z5</t>
        </is>
      </c>
      <c r="B16961" t="inlineStr">
        <is>
          <t>Jul-2017</t>
        </is>
      </c>
      <c r="C16961" s="2" t="n">
        <v>43514</v>
      </c>
      <c r="D16961" t="inlineStr">
        <is>
          <t>NON-NIL</t>
        </is>
      </c>
      <c r="E16961" t="n">
        <v>1221</v>
      </c>
    </row>
    <row r="16962">
      <c r="A16962" t="inlineStr">
        <is>
          <t>27BBBBB16962Z5</t>
        </is>
      </c>
      <c r="B16962" t="inlineStr">
        <is>
          <t>Jul-2018</t>
        </is>
      </c>
      <c r="C16962" s="2" t="n">
        <v>43427</v>
      </c>
      <c r="D16962" t="inlineStr">
        <is>
          <t>NON-NIL</t>
        </is>
      </c>
      <c r="E16962" t="n">
        <v>740</v>
      </c>
    </row>
    <row r="16963">
      <c r="A16963" t="inlineStr">
        <is>
          <t>27BBBBB16963Z5</t>
        </is>
      </c>
      <c r="B16963" t="inlineStr">
        <is>
          <t>Mar-2018</t>
        </is>
      </c>
      <c r="C16963" s="2" t="n">
        <v>43743</v>
      </c>
      <c r="D16963" t="inlineStr">
        <is>
          <t>NON-NIL</t>
        </is>
      </c>
      <c r="E16963" t="n">
        <v>782</v>
      </c>
    </row>
    <row r="16964">
      <c r="A16964" t="inlineStr">
        <is>
          <t>27BBBBB16964Z5</t>
        </is>
      </c>
      <c r="B16964" t="inlineStr">
        <is>
          <t>Jan-2021</t>
        </is>
      </c>
      <c r="C16964" s="2" t="n">
        <v>44056</v>
      </c>
      <c r="D16964" t="inlineStr">
        <is>
          <t>NIL</t>
        </is>
      </c>
      <c r="E16964" t="n">
        <v>1597</v>
      </c>
    </row>
    <row r="16965">
      <c r="A16965" t="inlineStr">
        <is>
          <t>27BBBBB16965Z5</t>
        </is>
      </c>
      <c r="B16965" t="inlineStr">
        <is>
          <t>Jul-2017</t>
        </is>
      </c>
      <c r="C16965" s="2" t="n">
        <v>43344</v>
      </c>
      <c r="D16965" t="inlineStr">
        <is>
          <t>NIL</t>
        </is>
      </c>
      <c r="E16965" t="n">
        <v>2120</v>
      </c>
    </row>
    <row r="16966">
      <c r="A16966" t="inlineStr">
        <is>
          <t>27BBBBB16966Z5</t>
        </is>
      </c>
      <c r="B16966" t="inlineStr">
        <is>
          <t>Jul-2017</t>
        </is>
      </c>
      <c r="C16966" s="2" t="n">
        <v>43830</v>
      </c>
      <c r="D16966" t="inlineStr">
        <is>
          <t>NIL</t>
        </is>
      </c>
      <c r="E16966" t="n">
        <v>1612</v>
      </c>
    </row>
    <row r="16967">
      <c r="A16967" t="inlineStr">
        <is>
          <t>27BBBBB16967Z5</t>
        </is>
      </c>
      <c r="B16967" t="inlineStr">
        <is>
          <t>May-2020</t>
        </is>
      </c>
      <c r="C16967" s="2" t="n">
        <v>44489</v>
      </c>
      <c r="D16967" t="inlineStr">
        <is>
          <t>NIL</t>
        </is>
      </c>
      <c r="E16967" t="n">
        <v>345</v>
      </c>
    </row>
    <row r="16968">
      <c r="A16968" t="inlineStr">
        <is>
          <t>27BBBBB16968Z5</t>
        </is>
      </c>
      <c r="B16968" t="inlineStr">
        <is>
          <t>Jan-2018</t>
        </is>
      </c>
      <c r="C16968" s="2" t="n">
        <v>43317</v>
      </c>
      <c r="D16968" t="inlineStr">
        <is>
          <t>NIL</t>
        </is>
      </c>
      <c r="E16968" t="n">
        <v>1882</v>
      </c>
    </row>
    <row r="16969">
      <c r="A16969" t="inlineStr">
        <is>
          <t>27BBBBB16969Z5</t>
        </is>
      </c>
      <c r="B16969" t="inlineStr">
        <is>
          <t>Mar-2018</t>
        </is>
      </c>
      <c r="C16969" s="2" t="n">
        <v>43459</v>
      </c>
      <c r="D16969" t="inlineStr">
        <is>
          <t>NON-NIL</t>
        </is>
      </c>
      <c r="E16969" t="n">
        <v>2620</v>
      </c>
    </row>
    <row r="16970">
      <c r="A16970" t="inlineStr">
        <is>
          <t>27BBBBB16970Z5</t>
        </is>
      </c>
      <c r="B16970" t="inlineStr">
        <is>
          <t>Jun-2018</t>
        </is>
      </c>
      <c r="C16970" s="2" t="n">
        <v>42997</v>
      </c>
      <c r="D16970" t="inlineStr">
        <is>
          <t>NIL</t>
        </is>
      </c>
      <c r="E16970" t="n">
        <v>1249</v>
      </c>
    </row>
    <row r="16971">
      <c r="A16971" t="inlineStr">
        <is>
          <t>27BBBBB16971Z5</t>
        </is>
      </c>
      <c r="B16971" t="inlineStr">
        <is>
          <t>Nov-2018</t>
        </is>
      </c>
      <c r="C16971" s="2" t="n">
        <v>43298</v>
      </c>
      <c r="D16971" t="inlineStr">
        <is>
          <t>NIL</t>
        </is>
      </c>
      <c r="E16971" t="n">
        <v>2050</v>
      </c>
    </row>
    <row r="16972">
      <c r="A16972" t="inlineStr">
        <is>
          <t>27BBBBB16972Z5</t>
        </is>
      </c>
      <c r="B16972" t="inlineStr">
        <is>
          <t>Dec-2018</t>
        </is>
      </c>
      <c r="C16972" s="2" t="n">
        <v>42999</v>
      </c>
      <c r="D16972" t="inlineStr">
        <is>
          <t>NON-NIL</t>
        </is>
      </c>
      <c r="E16972" t="n">
        <v>2507</v>
      </c>
    </row>
    <row r="16973">
      <c r="A16973" t="inlineStr">
        <is>
          <t>27BBBBB16973Z5</t>
        </is>
      </c>
      <c r="B16973" t="inlineStr">
        <is>
          <t>Aug-2017</t>
        </is>
      </c>
      <c r="C16973" s="2" t="n">
        <v>44217</v>
      </c>
      <c r="D16973" t="inlineStr">
        <is>
          <t>NIL</t>
        </is>
      </c>
      <c r="E16973" t="n">
        <v>1105</v>
      </c>
    </row>
    <row r="16974">
      <c r="A16974" t="inlineStr">
        <is>
          <t>27BBBBB16974Z5</t>
        </is>
      </c>
      <c r="B16974" t="inlineStr">
        <is>
          <t>Dec-2024</t>
        </is>
      </c>
      <c r="C16974" s="2" t="n">
        <v>44463</v>
      </c>
      <c r="D16974" t="inlineStr">
        <is>
          <t>NON-NIL</t>
        </is>
      </c>
      <c r="E16974" t="n">
        <v>1016</v>
      </c>
    </row>
    <row r="16975">
      <c r="A16975" t="inlineStr">
        <is>
          <t>27BBBBB16975Z5</t>
        </is>
      </c>
      <c r="B16975" t="inlineStr">
        <is>
          <t>Jan-2021</t>
        </is>
      </c>
      <c r="C16975" s="2" t="n">
        <v>44953</v>
      </c>
      <c r="D16975" t="inlineStr">
        <is>
          <t>NON-NIL</t>
        </is>
      </c>
      <c r="E16975" t="n">
        <v>1103</v>
      </c>
    </row>
    <row r="16976">
      <c r="A16976" t="inlineStr">
        <is>
          <t>27BBBBB16976Z5</t>
        </is>
      </c>
      <c r="B16976" t="inlineStr">
        <is>
          <t>Jul-2017</t>
        </is>
      </c>
      <c r="C16976" s="2" t="n">
        <v>42939</v>
      </c>
      <c r="D16976" t="inlineStr">
        <is>
          <t>NIL</t>
        </is>
      </c>
      <c r="E16976" t="n">
        <v>544</v>
      </c>
    </row>
    <row r="16977">
      <c r="A16977" t="inlineStr">
        <is>
          <t>27BBBBB16977Z5</t>
        </is>
      </c>
      <c r="B16977" t="inlineStr">
        <is>
          <t>Nov-2017</t>
        </is>
      </c>
      <c r="C16977" s="2" t="n">
        <v>43795</v>
      </c>
      <c r="D16977" t="inlineStr">
        <is>
          <t>NIL</t>
        </is>
      </c>
      <c r="E16977" t="n">
        <v>952</v>
      </c>
    </row>
    <row r="16978">
      <c r="A16978" t="inlineStr">
        <is>
          <t>27BBBBB16978Z5</t>
        </is>
      </c>
      <c r="B16978" t="inlineStr">
        <is>
          <t>Dec-2022</t>
        </is>
      </c>
      <c r="C16978" s="2" t="n">
        <v>43664</v>
      </c>
      <c r="D16978" t="inlineStr">
        <is>
          <t>NIL</t>
        </is>
      </c>
      <c r="E16978" t="n">
        <v>313</v>
      </c>
    </row>
    <row r="16979">
      <c r="A16979" t="inlineStr">
        <is>
          <t>27BBBBB16979Z5</t>
        </is>
      </c>
      <c r="B16979" t="inlineStr">
        <is>
          <t>Apr-2020</t>
        </is>
      </c>
      <c r="C16979" s="2" t="n">
        <v>44167</v>
      </c>
      <c r="D16979" t="inlineStr">
        <is>
          <t>NIL</t>
        </is>
      </c>
      <c r="E16979" t="n">
        <v>2552</v>
      </c>
    </row>
    <row r="16980">
      <c r="A16980" t="inlineStr">
        <is>
          <t>27BBBBB16980Z5</t>
        </is>
      </c>
      <c r="B16980" t="inlineStr">
        <is>
          <t>Dec-2024</t>
        </is>
      </c>
      <c r="C16980" s="2" t="n">
        <v>44051</v>
      </c>
      <c r="D16980" t="inlineStr">
        <is>
          <t>NIL</t>
        </is>
      </c>
      <c r="E16980" t="n">
        <v>151</v>
      </c>
    </row>
    <row r="16981">
      <c r="A16981" t="inlineStr">
        <is>
          <t>27BBBBB16981Z5</t>
        </is>
      </c>
      <c r="B16981" t="inlineStr">
        <is>
          <t>Aug-2017</t>
        </is>
      </c>
      <c r="C16981" s="2" t="n">
        <v>43650</v>
      </c>
      <c r="D16981" t="inlineStr">
        <is>
          <t>NON-NIL</t>
        </is>
      </c>
      <c r="E16981" t="n">
        <v>99</v>
      </c>
    </row>
    <row r="16982">
      <c r="A16982" t="inlineStr">
        <is>
          <t>27BBBBB16982Z5</t>
        </is>
      </c>
      <c r="B16982" t="inlineStr">
        <is>
          <t>Dec-2018</t>
        </is>
      </c>
      <c r="C16982" s="2" t="n">
        <v>43639</v>
      </c>
      <c r="D16982" t="inlineStr">
        <is>
          <t>NON-NIL</t>
        </is>
      </c>
      <c r="E16982" t="n">
        <v>2512</v>
      </c>
    </row>
    <row r="16983">
      <c r="A16983" t="inlineStr">
        <is>
          <t>27BBBBB16983Z5</t>
        </is>
      </c>
      <c r="B16983" t="inlineStr">
        <is>
          <t>Sep-2017</t>
        </is>
      </c>
      <c r="C16983" s="2" t="n">
        <v>43942</v>
      </c>
      <c r="D16983" t="inlineStr">
        <is>
          <t>NON-NIL</t>
        </is>
      </c>
      <c r="E16983" t="n">
        <v>2878</v>
      </c>
    </row>
    <row r="16984">
      <c r="A16984" t="inlineStr">
        <is>
          <t>27BBBBB16984Z5</t>
        </is>
      </c>
      <c r="B16984" t="inlineStr">
        <is>
          <t>Jun-2020</t>
        </is>
      </c>
      <c r="C16984" s="2" t="n">
        <v>44584</v>
      </c>
      <c r="D16984" t="inlineStr">
        <is>
          <t>NON-NIL</t>
        </is>
      </c>
      <c r="E16984" t="n">
        <v>1548</v>
      </c>
    </row>
    <row r="16985">
      <c r="A16985" t="inlineStr">
        <is>
          <t>27BBBBB16985Z5</t>
        </is>
      </c>
      <c r="B16985" t="inlineStr">
        <is>
          <t>Dec-2017</t>
        </is>
      </c>
      <c r="C16985" s="2" t="n">
        <v>43769</v>
      </c>
      <c r="D16985" t="inlineStr">
        <is>
          <t>NIL</t>
        </is>
      </c>
      <c r="E16985" t="n">
        <v>881</v>
      </c>
    </row>
    <row r="16986">
      <c r="A16986" t="inlineStr">
        <is>
          <t>27BBBBB16986Z5</t>
        </is>
      </c>
      <c r="B16986" t="inlineStr">
        <is>
          <t>Dec-2017</t>
        </is>
      </c>
      <c r="C16986" s="2" t="n">
        <v>43221</v>
      </c>
      <c r="D16986" t="inlineStr">
        <is>
          <t>NIL</t>
        </is>
      </c>
      <c r="E16986" t="n">
        <v>1781</v>
      </c>
    </row>
    <row r="16987">
      <c r="A16987" t="inlineStr">
        <is>
          <t>27BBBBB16987Z5</t>
        </is>
      </c>
      <c r="B16987" t="inlineStr">
        <is>
          <t>Dec-2022</t>
        </is>
      </c>
      <c r="C16987" s="2" t="n">
        <v>45626</v>
      </c>
      <c r="D16987" t="inlineStr">
        <is>
          <t>NIL</t>
        </is>
      </c>
      <c r="E16987" t="n">
        <v>2176</v>
      </c>
    </row>
    <row r="16988">
      <c r="A16988" t="inlineStr">
        <is>
          <t>27BBBBB16988Z5</t>
        </is>
      </c>
      <c r="B16988" t="inlineStr">
        <is>
          <t>Jul-2017</t>
        </is>
      </c>
      <c r="C16988" s="2" t="n">
        <v>44300</v>
      </c>
      <c r="D16988" t="inlineStr">
        <is>
          <t>NIL</t>
        </is>
      </c>
      <c r="E16988" t="n">
        <v>1555</v>
      </c>
    </row>
    <row r="16989">
      <c r="A16989" t="inlineStr">
        <is>
          <t>27BBBBB16989Z5</t>
        </is>
      </c>
      <c r="B16989" t="inlineStr">
        <is>
          <t>Dec-2017</t>
        </is>
      </c>
      <c r="C16989" s="2" t="n">
        <v>43112</v>
      </c>
      <c r="D16989" t="inlineStr">
        <is>
          <t>NON-NIL</t>
        </is>
      </c>
      <c r="E16989" t="n">
        <v>983</v>
      </c>
    </row>
    <row r="16990">
      <c r="A16990" t="inlineStr">
        <is>
          <t>27BBBBB16990Z5</t>
        </is>
      </c>
      <c r="B16990" t="inlineStr">
        <is>
          <t>Jan-2021</t>
        </is>
      </c>
      <c r="C16990" s="2" t="n">
        <v>43535</v>
      </c>
      <c r="D16990" t="inlineStr">
        <is>
          <t>NIL</t>
        </is>
      </c>
      <c r="E16990" t="n">
        <v>653</v>
      </c>
    </row>
    <row r="16991">
      <c r="A16991" t="inlineStr">
        <is>
          <t>27BBBBB16991Z5</t>
        </is>
      </c>
      <c r="B16991" t="inlineStr">
        <is>
          <t>Sep-2018</t>
        </is>
      </c>
      <c r="C16991" s="2" t="n">
        <v>43059</v>
      </c>
      <c r="D16991" t="inlineStr">
        <is>
          <t>NIL</t>
        </is>
      </c>
      <c r="E16991" t="n">
        <v>1174</v>
      </c>
    </row>
    <row r="16992">
      <c r="A16992" t="inlineStr">
        <is>
          <t>27BBBBB16992Z5</t>
        </is>
      </c>
      <c r="B16992" t="inlineStr">
        <is>
          <t>Mar-2021</t>
        </is>
      </c>
      <c r="C16992" s="2" t="n">
        <v>45257</v>
      </c>
      <c r="D16992" t="inlineStr">
        <is>
          <t>NIL</t>
        </is>
      </c>
      <c r="E16992" t="n">
        <v>3000</v>
      </c>
    </row>
    <row r="16993">
      <c r="A16993" t="inlineStr">
        <is>
          <t>27BBBBB16993Z5</t>
        </is>
      </c>
      <c r="B16993" t="inlineStr">
        <is>
          <t>May-2018</t>
        </is>
      </c>
      <c r="C16993" s="2" t="n">
        <v>43417</v>
      </c>
      <c r="D16993" t="inlineStr">
        <is>
          <t>NON-NIL</t>
        </is>
      </c>
      <c r="E16993" t="n">
        <v>1176</v>
      </c>
    </row>
    <row r="16994">
      <c r="A16994" t="inlineStr">
        <is>
          <t>27BBBBB16994Z5</t>
        </is>
      </c>
      <c r="B16994" t="inlineStr">
        <is>
          <t>Feb-2018</t>
        </is>
      </c>
      <c r="C16994" s="2" t="n">
        <v>43804</v>
      </c>
      <c r="D16994" t="inlineStr">
        <is>
          <t>NON-NIL</t>
        </is>
      </c>
      <c r="E16994" t="n">
        <v>1357</v>
      </c>
    </row>
    <row r="16995">
      <c r="A16995" t="inlineStr">
        <is>
          <t>27BBBBB16995Z5</t>
        </is>
      </c>
      <c r="B16995" t="inlineStr">
        <is>
          <t>Dec-2024</t>
        </is>
      </c>
      <c r="C16995" s="2" t="n">
        <v>44069</v>
      </c>
      <c r="D16995" t="inlineStr">
        <is>
          <t>NIL</t>
        </is>
      </c>
      <c r="E16995" t="n">
        <v>1040</v>
      </c>
    </row>
    <row r="16996">
      <c r="A16996" t="inlineStr">
        <is>
          <t>27BBBBB16996Z5</t>
        </is>
      </c>
      <c r="B16996" t="inlineStr">
        <is>
          <t>Oct-2017</t>
        </is>
      </c>
      <c r="C16996" s="2" t="n">
        <v>42927</v>
      </c>
      <c r="D16996" t="inlineStr">
        <is>
          <t>NIL</t>
        </is>
      </c>
      <c r="E16996" t="n">
        <v>1642</v>
      </c>
    </row>
    <row r="16997">
      <c r="A16997" t="inlineStr">
        <is>
          <t>27BBBBB16997Z5</t>
        </is>
      </c>
      <c r="B16997" t="inlineStr">
        <is>
          <t>Nov-2018</t>
        </is>
      </c>
      <c r="C16997" s="2" t="n">
        <v>42954</v>
      </c>
      <c r="D16997" t="inlineStr">
        <is>
          <t>NIL</t>
        </is>
      </c>
      <c r="E16997" t="n">
        <v>1015</v>
      </c>
    </row>
    <row r="16998">
      <c r="A16998" t="inlineStr">
        <is>
          <t>27BBBBB16998Z5</t>
        </is>
      </c>
      <c r="B16998" t="inlineStr">
        <is>
          <t>Mar-2023</t>
        </is>
      </c>
      <c r="C16998" s="2" t="n">
        <v>43599</v>
      </c>
      <c r="D16998" t="inlineStr">
        <is>
          <t>NON-NIL</t>
        </is>
      </c>
      <c r="E16998" t="n">
        <v>1564</v>
      </c>
    </row>
    <row r="16999">
      <c r="A16999" t="inlineStr">
        <is>
          <t>27BBBBB16999Z5</t>
        </is>
      </c>
      <c r="B16999" t="inlineStr">
        <is>
          <t>Jan-2021</t>
        </is>
      </c>
      <c r="C16999" s="2" t="n">
        <v>44915</v>
      </c>
      <c r="D16999" t="inlineStr">
        <is>
          <t>NIL</t>
        </is>
      </c>
      <c r="E16999" t="n">
        <v>72</v>
      </c>
    </row>
    <row r="17000">
      <c r="A17000" t="inlineStr">
        <is>
          <t>27BBBBB17000Z5</t>
        </is>
      </c>
      <c r="B17000" t="inlineStr">
        <is>
          <t>Dec-2018</t>
        </is>
      </c>
      <c r="C17000" s="2" t="n">
        <v>43870</v>
      </c>
      <c r="D17000" t="inlineStr">
        <is>
          <t>NIL</t>
        </is>
      </c>
      <c r="E17000" t="n">
        <v>2934</v>
      </c>
    </row>
    <row r="17001">
      <c r="A17001" t="inlineStr">
        <is>
          <t>27BBBBB17001Z5</t>
        </is>
      </c>
      <c r="B17001" t="inlineStr">
        <is>
          <t>Feb-2018</t>
        </is>
      </c>
      <c r="C17001" s="2" t="n">
        <v>43337</v>
      </c>
      <c r="D17001" t="inlineStr">
        <is>
          <t>NON-NIL</t>
        </is>
      </c>
      <c r="E17001" t="n">
        <v>427</v>
      </c>
    </row>
    <row r="17002">
      <c r="A17002" t="inlineStr">
        <is>
          <t>27BBBBB17002Z5</t>
        </is>
      </c>
      <c r="B17002" t="inlineStr">
        <is>
          <t>Oct-2018</t>
        </is>
      </c>
      <c r="C17002" s="2" t="n">
        <v>44013</v>
      </c>
      <c r="D17002" t="inlineStr">
        <is>
          <t>NIL</t>
        </is>
      </c>
      <c r="E17002" t="n">
        <v>265</v>
      </c>
    </row>
    <row r="17003">
      <c r="A17003" t="inlineStr">
        <is>
          <t>27BBBBB17003Z5</t>
        </is>
      </c>
      <c r="B17003" t="inlineStr">
        <is>
          <t>Mar-2018</t>
        </is>
      </c>
      <c r="C17003" s="2" t="n">
        <v>43333</v>
      </c>
      <c r="D17003" t="inlineStr">
        <is>
          <t>NIL</t>
        </is>
      </c>
      <c r="E17003" t="n">
        <v>715</v>
      </c>
    </row>
    <row r="17004">
      <c r="A17004" t="inlineStr">
        <is>
          <t>27BBBBB17004Z5</t>
        </is>
      </c>
      <c r="B17004" t="inlineStr">
        <is>
          <t>Dec-2022</t>
        </is>
      </c>
      <c r="C17004" s="2" t="n">
        <v>44085</v>
      </c>
      <c r="D17004" t="inlineStr">
        <is>
          <t>NIL</t>
        </is>
      </c>
      <c r="E17004" t="n">
        <v>2196</v>
      </c>
    </row>
    <row r="17005">
      <c r="A17005" t="inlineStr">
        <is>
          <t>27BBBBB17005Z5</t>
        </is>
      </c>
      <c r="B17005" t="inlineStr">
        <is>
          <t>Nov-2018</t>
        </is>
      </c>
      <c r="C17005" s="2" t="n">
        <v>43143</v>
      </c>
      <c r="D17005" t="inlineStr">
        <is>
          <t>NIL</t>
        </is>
      </c>
      <c r="E17005" t="n">
        <v>1624</v>
      </c>
    </row>
    <row r="17006">
      <c r="A17006" t="inlineStr">
        <is>
          <t>27BBBBB17006Z5</t>
        </is>
      </c>
      <c r="B17006" t="inlineStr">
        <is>
          <t>Apr-2018</t>
        </is>
      </c>
      <c r="C17006" s="2" t="n">
        <v>44363</v>
      </c>
      <c r="D17006" t="inlineStr">
        <is>
          <t>NIL</t>
        </is>
      </c>
      <c r="E17006" t="n">
        <v>1435</v>
      </c>
    </row>
    <row r="17007">
      <c r="A17007" t="inlineStr">
        <is>
          <t>27BBBBB17007Z5</t>
        </is>
      </c>
      <c r="B17007" t="inlineStr">
        <is>
          <t>Nov-2018</t>
        </is>
      </c>
      <c r="C17007" s="2" t="n">
        <v>43222</v>
      </c>
      <c r="D17007" t="inlineStr">
        <is>
          <t>NON-NIL</t>
        </is>
      </c>
      <c r="E17007" t="n">
        <v>613</v>
      </c>
    </row>
    <row r="17008">
      <c r="A17008" t="inlineStr">
        <is>
          <t>27BBBBB17008Z5</t>
        </is>
      </c>
      <c r="B17008" t="inlineStr">
        <is>
          <t>Mar-2018</t>
        </is>
      </c>
      <c r="C17008" s="2" t="n">
        <v>43483</v>
      </c>
      <c r="D17008" t="inlineStr">
        <is>
          <t>NON-NIL</t>
        </is>
      </c>
      <c r="E17008" t="n">
        <v>781</v>
      </c>
    </row>
    <row r="17009">
      <c r="A17009" t="inlineStr">
        <is>
          <t>27BBBBB17009Z5</t>
        </is>
      </c>
      <c r="B17009" t="inlineStr">
        <is>
          <t>Apr-2020</t>
        </is>
      </c>
      <c r="C17009" s="2" t="n">
        <v>44875</v>
      </c>
      <c r="D17009" t="inlineStr">
        <is>
          <t>NON-NIL</t>
        </is>
      </c>
      <c r="E17009" t="n">
        <v>1926</v>
      </c>
    </row>
    <row r="17010">
      <c r="A17010" t="inlineStr">
        <is>
          <t>27BBBBB17010Z5</t>
        </is>
      </c>
      <c r="B17010" t="inlineStr">
        <is>
          <t>Jul-2020</t>
        </is>
      </c>
      <c r="C17010" s="2" t="n">
        <v>44029</v>
      </c>
      <c r="D17010" t="inlineStr">
        <is>
          <t>NON-NIL</t>
        </is>
      </c>
      <c r="E17010" t="n">
        <v>1542</v>
      </c>
    </row>
    <row r="17011">
      <c r="A17011" t="inlineStr">
        <is>
          <t>27BBBBB17011Z5</t>
        </is>
      </c>
      <c r="B17011" t="inlineStr">
        <is>
          <t>May-2018</t>
        </is>
      </c>
      <c r="C17011" s="2" t="n">
        <v>43169</v>
      </c>
      <c r="D17011" t="inlineStr">
        <is>
          <t>NIL</t>
        </is>
      </c>
      <c r="E17011" t="n">
        <v>186</v>
      </c>
    </row>
    <row r="17012">
      <c r="A17012" t="inlineStr">
        <is>
          <t>27BBBBB17012Z5</t>
        </is>
      </c>
      <c r="B17012" t="inlineStr">
        <is>
          <t>Oct-2017</t>
        </is>
      </c>
      <c r="C17012" s="2" t="n">
        <v>43988</v>
      </c>
      <c r="D17012" t="inlineStr">
        <is>
          <t>NIL</t>
        </is>
      </c>
      <c r="E17012" t="n">
        <v>2979</v>
      </c>
    </row>
    <row r="17013">
      <c r="A17013" t="inlineStr">
        <is>
          <t>27BBBBB17013Z5</t>
        </is>
      </c>
      <c r="B17013" t="inlineStr">
        <is>
          <t>Feb-2018</t>
        </is>
      </c>
      <c r="C17013" s="2" t="n">
        <v>43557</v>
      </c>
      <c r="D17013" t="inlineStr">
        <is>
          <t>NON-NIL</t>
        </is>
      </c>
      <c r="E17013" t="n">
        <v>1927</v>
      </c>
    </row>
    <row r="17014">
      <c r="A17014" t="inlineStr">
        <is>
          <t>27BBBBB17014Z5</t>
        </is>
      </c>
      <c r="B17014" t="inlineStr">
        <is>
          <t>Jul-2020</t>
        </is>
      </c>
      <c r="C17014" s="2" t="n">
        <v>44136</v>
      </c>
      <c r="D17014" t="inlineStr">
        <is>
          <t>NIL</t>
        </is>
      </c>
      <c r="E17014" t="n">
        <v>1356</v>
      </c>
    </row>
    <row r="17015">
      <c r="A17015" t="inlineStr">
        <is>
          <t>27BBBBB17015Z5</t>
        </is>
      </c>
      <c r="B17015" t="inlineStr">
        <is>
          <t>Dec-2017</t>
        </is>
      </c>
      <c r="C17015" s="2" t="n">
        <v>43487</v>
      </c>
      <c r="D17015" t="inlineStr">
        <is>
          <t>NIL</t>
        </is>
      </c>
      <c r="E17015" t="n">
        <v>2357</v>
      </c>
    </row>
    <row r="17016">
      <c r="A17016" t="inlineStr">
        <is>
          <t>27BBBBB17016Z5</t>
        </is>
      </c>
      <c r="B17016" t="inlineStr">
        <is>
          <t>Feb-2018</t>
        </is>
      </c>
      <c r="C17016" s="2" t="n">
        <v>44363</v>
      </c>
      <c r="D17016" t="inlineStr">
        <is>
          <t>NIL</t>
        </is>
      </c>
      <c r="E17016" t="n">
        <v>1460</v>
      </c>
    </row>
    <row r="17017">
      <c r="A17017" t="inlineStr">
        <is>
          <t>27BBBBB17017Z5</t>
        </is>
      </c>
      <c r="B17017" t="inlineStr">
        <is>
          <t>Nov-2017</t>
        </is>
      </c>
      <c r="C17017" s="2" t="n">
        <v>43936</v>
      </c>
      <c r="D17017" t="inlineStr">
        <is>
          <t>NON-NIL</t>
        </is>
      </c>
      <c r="E17017" t="n">
        <v>1657</v>
      </c>
    </row>
    <row r="17018">
      <c r="A17018" t="inlineStr">
        <is>
          <t>27BBBBB17018Z5</t>
        </is>
      </c>
      <c r="B17018" t="inlineStr">
        <is>
          <t>Sep-2017</t>
        </is>
      </c>
      <c r="C17018" s="2" t="n">
        <v>43840</v>
      </c>
      <c r="D17018" t="inlineStr">
        <is>
          <t>NIL</t>
        </is>
      </c>
      <c r="E17018" t="n">
        <v>2698</v>
      </c>
    </row>
    <row r="17019">
      <c r="A17019" t="inlineStr">
        <is>
          <t>27BBBBB17019Z5</t>
        </is>
      </c>
      <c r="B17019" t="inlineStr">
        <is>
          <t>Jan-2018</t>
        </is>
      </c>
      <c r="C17019" s="2" t="n">
        <v>44090</v>
      </c>
      <c r="D17019" t="inlineStr">
        <is>
          <t>NON-NIL</t>
        </is>
      </c>
      <c r="E17019" t="n">
        <v>2795</v>
      </c>
    </row>
    <row r="17020">
      <c r="A17020" t="inlineStr">
        <is>
          <t>27BBBBB17020Z5</t>
        </is>
      </c>
      <c r="B17020" t="inlineStr">
        <is>
          <t>Apr-2020</t>
        </is>
      </c>
      <c r="C17020" s="2" t="n">
        <v>44603</v>
      </c>
      <c r="D17020" t="inlineStr">
        <is>
          <t>NON-NIL</t>
        </is>
      </c>
      <c r="E17020" t="n">
        <v>539</v>
      </c>
    </row>
    <row r="17021">
      <c r="A17021" t="inlineStr">
        <is>
          <t>27BBBBB17021Z5</t>
        </is>
      </c>
      <c r="B17021" t="inlineStr">
        <is>
          <t>Mar-2021</t>
        </is>
      </c>
      <c r="C17021" s="2" t="n">
        <v>45366</v>
      </c>
      <c r="D17021" t="inlineStr">
        <is>
          <t>NON-NIL</t>
        </is>
      </c>
      <c r="E17021" t="n">
        <v>58</v>
      </c>
    </row>
    <row r="17022">
      <c r="A17022" t="inlineStr">
        <is>
          <t>27BBBBB17022Z5</t>
        </is>
      </c>
      <c r="B17022" t="inlineStr">
        <is>
          <t>Mar-2018</t>
        </is>
      </c>
      <c r="C17022" s="2" t="n">
        <v>43079</v>
      </c>
      <c r="D17022" t="inlineStr">
        <is>
          <t>NIL</t>
        </is>
      </c>
      <c r="E17022" t="n">
        <v>1318</v>
      </c>
    </row>
    <row r="17023">
      <c r="A17023" t="inlineStr">
        <is>
          <t>27BBBBB17023Z5</t>
        </is>
      </c>
      <c r="B17023" t="inlineStr">
        <is>
          <t>Jul-2018</t>
        </is>
      </c>
      <c r="C17023" s="2" t="n">
        <v>43234</v>
      </c>
      <c r="D17023" t="inlineStr">
        <is>
          <t>NON-NIL</t>
        </is>
      </c>
      <c r="E17023" t="n">
        <v>2089</v>
      </c>
    </row>
    <row r="17024">
      <c r="A17024" t="inlineStr">
        <is>
          <t>27BBBBB17024Z5</t>
        </is>
      </c>
      <c r="B17024" t="inlineStr">
        <is>
          <t>Mar-2021</t>
        </is>
      </c>
      <c r="C17024" s="2" t="n">
        <v>45313</v>
      </c>
      <c r="D17024" t="inlineStr">
        <is>
          <t>NIL</t>
        </is>
      </c>
      <c r="E17024" t="n">
        <v>2434</v>
      </c>
    </row>
    <row r="17025">
      <c r="A17025" t="inlineStr">
        <is>
          <t>27BBBBB17025Z5</t>
        </is>
      </c>
      <c r="B17025" t="inlineStr">
        <is>
          <t>Apr-2020</t>
        </is>
      </c>
      <c r="C17025" s="2" t="n">
        <v>44246</v>
      </c>
      <c r="D17025" t="inlineStr">
        <is>
          <t>NON-NIL</t>
        </is>
      </c>
      <c r="E17025" t="n">
        <v>1943</v>
      </c>
    </row>
    <row r="17026">
      <c r="A17026" t="inlineStr">
        <is>
          <t>27BBBBB17026Z5</t>
        </is>
      </c>
      <c r="B17026" t="inlineStr">
        <is>
          <t>Dec-2017</t>
        </is>
      </c>
      <c r="C17026" s="2" t="n">
        <v>43641</v>
      </c>
      <c r="D17026" t="inlineStr">
        <is>
          <t>NON-NIL</t>
        </is>
      </c>
      <c r="E17026" t="n">
        <v>2704</v>
      </c>
    </row>
    <row r="17027">
      <c r="A17027" t="inlineStr">
        <is>
          <t>27BBBBB17027Z5</t>
        </is>
      </c>
      <c r="B17027" t="inlineStr">
        <is>
          <t>Feb-2018</t>
        </is>
      </c>
      <c r="C17027" s="2" t="n">
        <v>43921</v>
      </c>
      <c r="D17027" t="inlineStr">
        <is>
          <t>NIL</t>
        </is>
      </c>
      <c r="E17027" t="n">
        <v>179</v>
      </c>
    </row>
    <row r="17028">
      <c r="A17028" t="inlineStr">
        <is>
          <t>27BBBBB17028Z5</t>
        </is>
      </c>
      <c r="B17028" t="inlineStr">
        <is>
          <t>Nov-2018</t>
        </is>
      </c>
      <c r="C17028" s="2" t="n">
        <v>43226</v>
      </c>
      <c r="D17028" t="inlineStr">
        <is>
          <t>NON-NIL</t>
        </is>
      </c>
      <c r="E17028" t="n">
        <v>484</v>
      </c>
    </row>
    <row r="17029">
      <c r="A17029" t="inlineStr">
        <is>
          <t>27BBBBB17029Z5</t>
        </is>
      </c>
      <c r="B17029" t="inlineStr">
        <is>
          <t>Dec-2017</t>
        </is>
      </c>
      <c r="C17029" s="2" t="n">
        <v>43316</v>
      </c>
      <c r="D17029" t="inlineStr">
        <is>
          <t>NIL</t>
        </is>
      </c>
      <c r="E17029" t="n">
        <v>2425</v>
      </c>
    </row>
    <row r="17030">
      <c r="A17030" t="inlineStr">
        <is>
          <t>27BBBBB17030Z5</t>
        </is>
      </c>
      <c r="B17030" t="inlineStr">
        <is>
          <t>Jul-2018</t>
        </is>
      </c>
      <c r="C17030" s="2" t="n">
        <v>43300</v>
      </c>
      <c r="D17030" t="inlineStr">
        <is>
          <t>NON-NIL</t>
        </is>
      </c>
      <c r="E17030" t="n">
        <v>2979</v>
      </c>
    </row>
    <row r="17031">
      <c r="A17031" t="inlineStr">
        <is>
          <t>27BBBBB17031Z5</t>
        </is>
      </c>
      <c r="B17031" t="inlineStr">
        <is>
          <t>Jan-2018</t>
        </is>
      </c>
      <c r="C17031" s="2" t="n">
        <v>44255</v>
      </c>
      <c r="D17031" t="inlineStr">
        <is>
          <t>NIL</t>
        </is>
      </c>
      <c r="E17031" t="n">
        <v>1751</v>
      </c>
    </row>
    <row r="17032">
      <c r="A17032" t="inlineStr">
        <is>
          <t>27BBBBB17032Z5</t>
        </is>
      </c>
      <c r="B17032" t="inlineStr">
        <is>
          <t>Jun-2018</t>
        </is>
      </c>
      <c r="C17032" s="2" t="n">
        <v>44513</v>
      </c>
      <c r="D17032" t="inlineStr">
        <is>
          <t>NIL</t>
        </is>
      </c>
      <c r="E17032" t="n">
        <v>2774</v>
      </c>
    </row>
    <row r="17033">
      <c r="A17033" t="inlineStr">
        <is>
          <t>27BBBBB17033Z5</t>
        </is>
      </c>
      <c r="B17033" t="inlineStr">
        <is>
          <t>Nov-2018</t>
        </is>
      </c>
      <c r="C17033" s="2" t="n">
        <v>44513</v>
      </c>
      <c r="D17033" t="inlineStr">
        <is>
          <t>NON-NIL</t>
        </is>
      </c>
      <c r="E17033" t="n">
        <v>1986</v>
      </c>
    </row>
    <row r="17034">
      <c r="A17034" t="inlineStr">
        <is>
          <t>27BBBBB17034Z5</t>
        </is>
      </c>
      <c r="B17034" t="inlineStr">
        <is>
          <t>Sep-2018</t>
        </is>
      </c>
      <c r="C17034" s="2" t="n">
        <v>43830</v>
      </c>
      <c r="D17034" t="inlineStr">
        <is>
          <t>NIL</t>
        </is>
      </c>
      <c r="E17034" t="n">
        <v>989</v>
      </c>
    </row>
    <row r="17035">
      <c r="A17035" t="inlineStr">
        <is>
          <t>27BBBBB17035Z5</t>
        </is>
      </c>
      <c r="B17035" t="inlineStr">
        <is>
          <t>May-2020</t>
        </is>
      </c>
      <c r="C17035" s="2" t="n">
        <v>44619</v>
      </c>
      <c r="D17035" t="inlineStr">
        <is>
          <t>NIL</t>
        </is>
      </c>
      <c r="E17035" t="n">
        <v>849</v>
      </c>
    </row>
    <row r="17036">
      <c r="A17036" t="inlineStr">
        <is>
          <t>27BBBBB17036Z5</t>
        </is>
      </c>
      <c r="B17036" t="inlineStr">
        <is>
          <t>Apr-2018</t>
        </is>
      </c>
      <c r="C17036" s="2" t="n">
        <v>43281</v>
      </c>
      <c r="D17036" t="inlineStr">
        <is>
          <t>NON-NIL</t>
        </is>
      </c>
      <c r="E17036" t="n">
        <v>2688</v>
      </c>
    </row>
    <row r="17037">
      <c r="A17037" t="inlineStr">
        <is>
          <t>27BBBBB17037Z5</t>
        </is>
      </c>
      <c r="B17037" t="inlineStr">
        <is>
          <t>Mar-2021</t>
        </is>
      </c>
      <c r="C17037" s="2" t="n">
        <v>44079</v>
      </c>
      <c r="D17037" t="inlineStr">
        <is>
          <t>NON-NIL</t>
        </is>
      </c>
      <c r="E17037" t="n">
        <v>1738</v>
      </c>
    </row>
    <row r="17038">
      <c r="A17038" t="inlineStr">
        <is>
          <t>27BBBBB17038Z5</t>
        </is>
      </c>
      <c r="B17038" t="inlineStr">
        <is>
          <t>Jan-2021</t>
        </is>
      </c>
      <c r="C17038" s="2" t="n">
        <v>43466</v>
      </c>
      <c r="D17038" t="inlineStr">
        <is>
          <t>NON-NIL</t>
        </is>
      </c>
      <c r="E17038" t="n">
        <v>1057</v>
      </c>
    </row>
    <row r="17039">
      <c r="A17039" t="inlineStr">
        <is>
          <t>27BBBBB17039Z5</t>
        </is>
      </c>
      <c r="B17039" t="inlineStr">
        <is>
          <t>Sep-2018</t>
        </is>
      </c>
      <c r="C17039" s="2" t="n">
        <v>44412</v>
      </c>
      <c r="D17039" t="inlineStr">
        <is>
          <t>NON-NIL</t>
        </is>
      </c>
      <c r="E17039" t="n">
        <v>894</v>
      </c>
    </row>
    <row r="17040">
      <c r="A17040" t="inlineStr">
        <is>
          <t>27BBBBB17040Z5</t>
        </is>
      </c>
      <c r="B17040" t="inlineStr">
        <is>
          <t>Nov-2017</t>
        </is>
      </c>
      <c r="C17040" s="2" t="n">
        <v>43625</v>
      </c>
      <c r="D17040" t="inlineStr">
        <is>
          <t>NON-NIL</t>
        </is>
      </c>
      <c r="E17040" t="n">
        <v>1886</v>
      </c>
    </row>
    <row r="17041">
      <c r="A17041" t="inlineStr">
        <is>
          <t>27BBBBB17041Z5</t>
        </is>
      </c>
      <c r="B17041" t="inlineStr">
        <is>
          <t>Jan-2018</t>
        </is>
      </c>
      <c r="C17041" s="2" t="n">
        <v>44055</v>
      </c>
      <c r="D17041" t="inlineStr">
        <is>
          <t>NIL</t>
        </is>
      </c>
      <c r="E17041" t="n">
        <v>1179</v>
      </c>
    </row>
    <row r="17042">
      <c r="A17042" t="inlineStr">
        <is>
          <t>27BBBBB17042Z5</t>
        </is>
      </c>
      <c r="B17042" t="inlineStr">
        <is>
          <t>Jul-2017</t>
        </is>
      </c>
      <c r="C17042" s="2" t="n">
        <v>43840</v>
      </c>
      <c r="D17042" t="inlineStr">
        <is>
          <t>NIL</t>
        </is>
      </c>
      <c r="E17042" t="n">
        <v>1540</v>
      </c>
    </row>
    <row r="17043">
      <c r="A17043" t="inlineStr">
        <is>
          <t>27BBBBB17043Z5</t>
        </is>
      </c>
      <c r="B17043" t="inlineStr">
        <is>
          <t>May-2018</t>
        </is>
      </c>
      <c r="C17043" s="2" t="n">
        <v>43298</v>
      </c>
      <c r="D17043" t="inlineStr">
        <is>
          <t>NON-NIL</t>
        </is>
      </c>
      <c r="E17043" t="n">
        <v>2623</v>
      </c>
    </row>
    <row r="17044">
      <c r="A17044" t="inlineStr">
        <is>
          <t>27BBBBB17044Z5</t>
        </is>
      </c>
      <c r="B17044" t="inlineStr">
        <is>
          <t>May-2018</t>
        </is>
      </c>
      <c r="C17044" s="2" t="n">
        <v>42999</v>
      </c>
      <c r="D17044" t="inlineStr">
        <is>
          <t>NON-NIL</t>
        </is>
      </c>
      <c r="E17044" t="n">
        <v>2390</v>
      </c>
    </row>
    <row r="17045">
      <c r="A17045" t="inlineStr">
        <is>
          <t>27BBBBB17045Z5</t>
        </is>
      </c>
      <c r="B17045" t="inlineStr">
        <is>
          <t>Dec-2017</t>
        </is>
      </c>
      <c r="C17045" s="2" t="n">
        <v>44310</v>
      </c>
      <c r="D17045" t="inlineStr">
        <is>
          <t>NIL</t>
        </is>
      </c>
      <c r="E17045" t="n">
        <v>1621</v>
      </c>
    </row>
    <row r="17046">
      <c r="A17046" t="inlineStr">
        <is>
          <t>27BBBBB17046Z5</t>
        </is>
      </c>
      <c r="B17046" t="inlineStr">
        <is>
          <t>Jul-2020</t>
        </is>
      </c>
      <c r="C17046" s="2" t="n">
        <v>44247</v>
      </c>
      <c r="D17046" t="inlineStr">
        <is>
          <t>NIL</t>
        </is>
      </c>
      <c r="E17046" t="n">
        <v>1995</v>
      </c>
    </row>
    <row r="17047">
      <c r="A17047" t="inlineStr">
        <is>
          <t>27BBBBB17047Z5</t>
        </is>
      </c>
      <c r="B17047" t="inlineStr">
        <is>
          <t>Aug-2017</t>
        </is>
      </c>
      <c r="C17047" s="2" t="n">
        <v>43709</v>
      </c>
      <c r="D17047" t="inlineStr">
        <is>
          <t>NON-NIL</t>
        </is>
      </c>
      <c r="E17047" t="n">
        <v>2528</v>
      </c>
    </row>
    <row r="17048">
      <c r="A17048" t="inlineStr">
        <is>
          <t>27BBBBB17048Z5</t>
        </is>
      </c>
      <c r="B17048" t="inlineStr">
        <is>
          <t>Mar-2023</t>
        </is>
      </c>
      <c r="C17048" s="2" t="n">
        <v>43939</v>
      </c>
      <c r="D17048" t="inlineStr">
        <is>
          <t>NIL</t>
        </is>
      </c>
      <c r="E17048" t="n">
        <v>1126</v>
      </c>
    </row>
    <row r="17049">
      <c r="A17049" t="inlineStr">
        <is>
          <t>27BBBBB17049Z5</t>
        </is>
      </c>
      <c r="B17049" t="inlineStr">
        <is>
          <t>Nov-2017</t>
        </is>
      </c>
      <c r="C17049" s="2" t="n">
        <v>44063</v>
      </c>
      <c r="D17049" t="inlineStr">
        <is>
          <t>NON-NIL</t>
        </is>
      </c>
      <c r="E17049" t="n">
        <v>1289</v>
      </c>
    </row>
    <row r="17050">
      <c r="A17050" t="inlineStr">
        <is>
          <t>27BBBBB17050Z5</t>
        </is>
      </c>
      <c r="B17050" t="inlineStr">
        <is>
          <t>Dec-2022</t>
        </is>
      </c>
      <c r="C17050" s="2" t="n">
        <v>45457</v>
      </c>
      <c r="D17050" t="inlineStr">
        <is>
          <t>NON-NIL</t>
        </is>
      </c>
      <c r="E17050" t="n">
        <v>821</v>
      </c>
    </row>
    <row r="17051">
      <c r="A17051" t="inlineStr">
        <is>
          <t>27BBBBB17051Z5</t>
        </is>
      </c>
      <c r="B17051" t="inlineStr">
        <is>
          <t>Jul-2020</t>
        </is>
      </c>
      <c r="C17051" s="2" t="n">
        <v>44137</v>
      </c>
      <c r="D17051" t="inlineStr">
        <is>
          <t>NIL</t>
        </is>
      </c>
      <c r="E17051" t="n">
        <v>2921</v>
      </c>
    </row>
    <row r="17052">
      <c r="A17052" t="inlineStr">
        <is>
          <t>27BBBBB17052Z5</t>
        </is>
      </c>
      <c r="B17052" t="inlineStr">
        <is>
          <t>Dec-2024</t>
        </is>
      </c>
      <c r="C17052" s="2" t="n">
        <v>45108</v>
      </c>
      <c r="D17052" t="inlineStr">
        <is>
          <t>NIL</t>
        </is>
      </c>
      <c r="E17052" t="n">
        <v>2302</v>
      </c>
    </row>
    <row r="17053">
      <c r="A17053" t="inlineStr">
        <is>
          <t>27BBBBB17053Z5</t>
        </is>
      </c>
      <c r="B17053" t="inlineStr">
        <is>
          <t>Dec-2017</t>
        </is>
      </c>
      <c r="C17053" s="2" t="n">
        <v>43352</v>
      </c>
      <c r="D17053" t="inlineStr">
        <is>
          <t>NIL</t>
        </is>
      </c>
      <c r="E17053" t="n">
        <v>2192</v>
      </c>
    </row>
    <row r="17054">
      <c r="A17054" t="inlineStr">
        <is>
          <t>27BBBBB17054Z5</t>
        </is>
      </c>
      <c r="B17054" t="inlineStr">
        <is>
          <t>Dec-2018</t>
        </is>
      </c>
      <c r="C17054" s="2" t="n">
        <v>44282</v>
      </c>
      <c r="D17054" t="inlineStr">
        <is>
          <t>NIL</t>
        </is>
      </c>
      <c r="E17054" t="n">
        <v>2904</v>
      </c>
    </row>
    <row r="17055">
      <c r="A17055" t="inlineStr">
        <is>
          <t>27BBBBB17055Z5</t>
        </is>
      </c>
      <c r="B17055" t="inlineStr">
        <is>
          <t>Feb-2018</t>
        </is>
      </c>
      <c r="C17055" s="2" t="n">
        <v>43667</v>
      </c>
      <c r="D17055" t="inlineStr">
        <is>
          <t>NON-NIL</t>
        </is>
      </c>
      <c r="E17055" t="n">
        <v>2525</v>
      </c>
    </row>
    <row r="17056">
      <c r="A17056" t="inlineStr">
        <is>
          <t>27BBBBB17056Z5</t>
        </is>
      </c>
      <c r="B17056" t="inlineStr">
        <is>
          <t>Dec-2018</t>
        </is>
      </c>
      <c r="C17056" s="2" t="n">
        <v>44060</v>
      </c>
      <c r="D17056" t="inlineStr">
        <is>
          <t>NON-NIL</t>
        </is>
      </c>
      <c r="E17056" t="n">
        <v>357</v>
      </c>
    </row>
    <row r="17057">
      <c r="A17057" t="inlineStr">
        <is>
          <t>27BBBBB17057Z5</t>
        </is>
      </c>
      <c r="B17057" t="inlineStr">
        <is>
          <t>Mar-2018</t>
        </is>
      </c>
      <c r="C17057" s="2" t="n">
        <v>44507</v>
      </c>
      <c r="D17057" t="inlineStr">
        <is>
          <t>NIL</t>
        </is>
      </c>
      <c r="E17057" t="n">
        <v>504</v>
      </c>
    </row>
    <row r="17058">
      <c r="A17058" t="inlineStr">
        <is>
          <t>27BBBBB17058Z5</t>
        </is>
      </c>
      <c r="B17058" t="inlineStr">
        <is>
          <t>Apr-2020</t>
        </is>
      </c>
      <c r="C17058" s="2" t="n">
        <v>44175</v>
      </c>
      <c r="D17058" t="inlineStr">
        <is>
          <t>NIL</t>
        </is>
      </c>
      <c r="E17058" t="n">
        <v>1745</v>
      </c>
    </row>
    <row r="17059">
      <c r="A17059" t="inlineStr">
        <is>
          <t>27BBBBB17059Z5</t>
        </is>
      </c>
      <c r="B17059" t="inlineStr">
        <is>
          <t>Mar-2018</t>
        </is>
      </c>
      <c r="C17059" s="2" t="n">
        <v>43709</v>
      </c>
      <c r="D17059" t="inlineStr">
        <is>
          <t>NON-NIL</t>
        </is>
      </c>
      <c r="E17059" t="n">
        <v>1633</v>
      </c>
    </row>
    <row r="17060">
      <c r="A17060" t="inlineStr">
        <is>
          <t>27BBBBB17060Z5</t>
        </is>
      </c>
      <c r="B17060" t="inlineStr">
        <is>
          <t>Aug-2017</t>
        </is>
      </c>
      <c r="C17060" s="2" t="n">
        <v>43496</v>
      </c>
      <c r="D17060" t="inlineStr">
        <is>
          <t>NON-NIL</t>
        </is>
      </c>
      <c r="E17060" t="n">
        <v>2266</v>
      </c>
    </row>
    <row r="17061">
      <c r="A17061" t="inlineStr">
        <is>
          <t>27BBBBB17061Z5</t>
        </is>
      </c>
      <c r="B17061" t="inlineStr">
        <is>
          <t>Apr-2020</t>
        </is>
      </c>
      <c r="C17061" s="2" t="n">
        <v>44343</v>
      </c>
      <c r="D17061" t="inlineStr">
        <is>
          <t>NON-NIL</t>
        </is>
      </c>
      <c r="E17061" t="n">
        <v>1013</v>
      </c>
    </row>
    <row r="17062">
      <c r="A17062" t="inlineStr">
        <is>
          <t>27BBBBB17062Z5</t>
        </is>
      </c>
      <c r="B17062" t="inlineStr">
        <is>
          <t>Dec-2022</t>
        </is>
      </c>
      <c r="C17062" s="2" t="n">
        <v>44087</v>
      </c>
      <c r="D17062" t="inlineStr">
        <is>
          <t>NON-NIL</t>
        </is>
      </c>
      <c r="E17062" t="n">
        <v>2957</v>
      </c>
    </row>
    <row r="17063">
      <c r="A17063" t="inlineStr">
        <is>
          <t>27BBBBB17063Z5</t>
        </is>
      </c>
      <c r="B17063" t="inlineStr">
        <is>
          <t>Jan-2021</t>
        </is>
      </c>
      <c r="C17063" s="2" t="n">
        <v>44391</v>
      </c>
      <c r="D17063" t="inlineStr">
        <is>
          <t>NON-NIL</t>
        </is>
      </c>
      <c r="E17063" t="n">
        <v>1830</v>
      </c>
    </row>
    <row r="17064">
      <c r="A17064" t="inlineStr">
        <is>
          <t>27BBBBB17064Z5</t>
        </is>
      </c>
      <c r="B17064" t="inlineStr">
        <is>
          <t>Dec-2022</t>
        </is>
      </c>
      <c r="C17064" s="2" t="n">
        <v>45555</v>
      </c>
      <c r="D17064" t="inlineStr">
        <is>
          <t>NON-NIL</t>
        </is>
      </c>
      <c r="E17064" t="n">
        <v>1861</v>
      </c>
    </row>
    <row r="17065">
      <c r="A17065" t="inlineStr">
        <is>
          <t>27BBBBB17065Z5</t>
        </is>
      </c>
      <c r="B17065" t="inlineStr">
        <is>
          <t>Mar-2021</t>
        </is>
      </c>
      <c r="C17065" s="2" t="n">
        <v>43927</v>
      </c>
      <c r="D17065" t="inlineStr">
        <is>
          <t>NON-NIL</t>
        </is>
      </c>
      <c r="E17065" t="n">
        <v>2832</v>
      </c>
    </row>
    <row r="17066">
      <c r="A17066" t="inlineStr">
        <is>
          <t>27BBBBB17066Z5</t>
        </is>
      </c>
      <c r="B17066" t="inlineStr">
        <is>
          <t>Mar-2021</t>
        </is>
      </c>
      <c r="C17066" s="2" t="n">
        <v>44606</v>
      </c>
      <c r="D17066" t="inlineStr">
        <is>
          <t>NIL</t>
        </is>
      </c>
      <c r="E17066" t="n">
        <v>1474</v>
      </c>
    </row>
    <row r="17067">
      <c r="A17067" t="inlineStr">
        <is>
          <t>27BBBBB17067Z5</t>
        </is>
      </c>
      <c r="B17067" t="inlineStr">
        <is>
          <t>Apr-2020</t>
        </is>
      </c>
      <c r="C17067" s="2" t="n">
        <v>44847</v>
      </c>
      <c r="D17067" t="inlineStr">
        <is>
          <t>NIL</t>
        </is>
      </c>
      <c r="E17067" t="n">
        <v>2659</v>
      </c>
    </row>
    <row r="17068">
      <c r="A17068" t="inlineStr">
        <is>
          <t>27BBBBB17068Z5</t>
        </is>
      </c>
      <c r="B17068" t="inlineStr">
        <is>
          <t>Jun-2018</t>
        </is>
      </c>
      <c r="C17068" s="2" t="n">
        <v>43440</v>
      </c>
      <c r="D17068" t="inlineStr">
        <is>
          <t>NIL</t>
        </is>
      </c>
      <c r="E17068" t="n">
        <v>900</v>
      </c>
    </row>
    <row r="17069">
      <c r="A17069" t="inlineStr">
        <is>
          <t>27BBBBB17069Z5</t>
        </is>
      </c>
      <c r="B17069" t="inlineStr">
        <is>
          <t>Apr-2018</t>
        </is>
      </c>
      <c r="C17069" s="2" t="n">
        <v>43635</v>
      </c>
      <c r="D17069" t="inlineStr">
        <is>
          <t>NIL</t>
        </is>
      </c>
      <c r="E17069" t="n">
        <v>159</v>
      </c>
    </row>
    <row r="17070">
      <c r="A17070" t="inlineStr">
        <is>
          <t>27BBBBB17070Z5</t>
        </is>
      </c>
      <c r="B17070" t="inlineStr">
        <is>
          <t>Apr-2018</t>
        </is>
      </c>
      <c r="C17070" s="2" t="n">
        <v>44390</v>
      </c>
      <c r="D17070" t="inlineStr">
        <is>
          <t>NON-NIL</t>
        </is>
      </c>
      <c r="E17070" t="n">
        <v>2649</v>
      </c>
    </row>
    <row r="17071">
      <c r="A17071" t="inlineStr">
        <is>
          <t>27BBBBB17071Z5</t>
        </is>
      </c>
      <c r="B17071" t="inlineStr">
        <is>
          <t>Feb-2018</t>
        </is>
      </c>
      <c r="C17071" s="2" t="n">
        <v>43406</v>
      </c>
      <c r="D17071" t="inlineStr">
        <is>
          <t>NON-NIL</t>
        </is>
      </c>
      <c r="E17071" t="n">
        <v>1785</v>
      </c>
    </row>
    <row r="17072">
      <c r="A17072" t="inlineStr">
        <is>
          <t>27BBBBB17072Z5</t>
        </is>
      </c>
      <c r="B17072" t="inlineStr">
        <is>
          <t>Aug-2018</t>
        </is>
      </c>
      <c r="C17072" s="2" t="n">
        <v>44365</v>
      </c>
      <c r="D17072" t="inlineStr">
        <is>
          <t>NON-NIL</t>
        </is>
      </c>
      <c r="E17072" t="n">
        <v>1871</v>
      </c>
    </row>
    <row r="17073">
      <c r="A17073" t="inlineStr">
        <is>
          <t>27BBBBB17073Z5</t>
        </is>
      </c>
      <c r="B17073" t="inlineStr">
        <is>
          <t>Mar-2021</t>
        </is>
      </c>
      <c r="C17073" s="2" t="n">
        <v>44068</v>
      </c>
      <c r="D17073" t="inlineStr">
        <is>
          <t>NON-NIL</t>
        </is>
      </c>
      <c r="E17073" t="n">
        <v>2799</v>
      </c>
    </row>
    <row r="17074">
      <c r="A17074" t="inlineStr">
        <is>
          <t>27BBBBB17074Z5</t>
        </is>
      </c>
      <c r="B17074" t="inlineStr">
        <is>
          <t>Dec-2017</t>
        </is>
      </c>
      <c r="C17074" s="2" t="n">
        <v>43642</v>
      </c>
      <c r="D17074" t="inlineStr">
        <is>
          <t>NON-NIL</t>
        </is>
      </c>
      <c r="E17074" t="n">
        <v>698</v>
      </c>
    </row>
    <row r="17075">
      <c r="A17075" t="inlineStr">
        <is>
          <t>27BBBBB17075Z5</t>
        </is>
      </c>
      <c r="B17075" t="inlineStr">
        <is>
          <t>Jul-2018</t>
        </is>
      </c>
      <c r="C17075" s="2" t="n">
        <v>44526</v>
      </c>
      <c r="D17075" t="inlineStr">
        <is>
          <t>NON-NIL</t>
        </is>
      </c>
      <c r="E17075" t="n">
        <v>2203</v>
      </c>
    </row>
    <row r="17076">
      <c r="A17076" t="inlineStr">
        <is>
          <t>27BBBBB17076Z5</t>
        </is>
      </c>
      <c r="B17076" t="inlineStr">
        <is>
          <t>May-2018</t>
        </is>
      </c>
      <c r="C17076" s="2" t="n">
        <v>44087</v>
      </c>
      <c r="D17076" t="inlineStr">
        <is>
          <t>NON-NIL</t>
        </is>
      </c>
      <c r="E17076" t="n">
        <v>604</v>
      </c>
    </row>
    <row r="17077">
      <c r="A17077" t="inlineStr">
        <is>
          <t>27BBBBB17077Z5</t>
        </is>
      </c>
      <c r="B17077" t="inlineStr">
        <is>
          <t>Jun-2020</t>
        </is>
      </c>
      <c r="C17077" s="2" t="n">
        <v>44506</v>
      </c>
      <c r="D17077" t="inlineStr">
        <is>
          <t>NON-NIL</t>
        </is>
      </c>
      <c r="E17077" t="n">
        <v>2699</v>
      </c>
    </row>
    <row r="17078">
      <c r="A17078" t="inlineStr">
        <is>
          <t>27BBBBB17078Z5</t>
        </is>
      </c>
      <c r="B17078" t="inlineStr">
        <is>
          <t>Aug-2017</t>
        </is>
      </c>
      <c r="C17078" s="2" t="n">
        <v>43959</v>
      </c>
      <c r="D17078" t="inlineStr">
        <is>
          <t>NIL</t>
        </is>
      </c>
      <c r="E17078" t="n">
        <v>17</v>
      </c>
    </row>
    <row r="17079">
      <c r="A17079" t="inlineStr">
        <is>
          <t>27BBBBB17079Z5</t>
        </is>
      </c>
      <c r="B17079" t="inlineStr">
        <is>
          <t>Dec-2018</t>
        </is>
      </c>
      <c r="C17079" s="2" t="n">
        <v>43576</v>
      </c>
      <c r="D17079" t="inlineStr">
        <is>
          <t>NON-NIL</t>
        </is>
      </c>
      <c r="E17079" t="n">
        <v>2269</v>
      </c>
    </row>
    <row r="17080">
      <c r="A17080" t="inlineStr">
        <is>
          <t>27BBBBB17080Z5</t>
        </is>
      </c>
      <c r="B17080" t="inlineStr">
        <is>
          <t>Mar-2023</t>
        </is>
      </c>
      <c r="C17080" s="2" t="n">
        <v>45528</v>
      </c>
      <c r="D17080" t="inlineStr">
        <is>
          <t>NIL</t>
        </is>
      </c>
      <c r="E17080" t="n">
        <v>39</v>
      </c>
    </row>
    <row r="17081">
      <c r="A17081" t="inlineStr">
        <is>
          <t>27BBBBB17081Z5</t>
        </is>
      </c>
      <c r="B17081" t="inlineStr">
        <is>
          <t>Apr-2018</t>
        </is>
      </c>
      <c r="C17081" s="2" t="n">
        <v>43637</v>
      </c>
      <c r="D17081" t="inlineStr">
        <is>
          <t>NIL</t>
        </is>
      </c>
      <c r="E17081" t="n">
        <v>1126</v>
      </c>
    </row>
    <row r="17082">
      <c r="A17082" t="inlineStr">
        <is>
          <t>27BBBBB17082Z5</t>
        </is>
      </c>
      <c r="B17082" t="inlineStr">
        <is>
          <t>Sep-2017</t>
        </is>
      </c>
      <c r="C17082" s="2" t="n">
        <v>44141</v>
      </c>
      <c r="D17082" t="inlineStr">
        <is>
          <t>NON-NIL</t>
        </is>
      </c>
      <c r="E17082" t="n">
        <v>261</v>
      </c>
    </row>
    <row r="17083">
      <c r="A17083" t="inlineStr">
        <is>
          <t>27BBBBB17083Z5</t>
        </is>
      </c>
      <c r="B17083" t="inlineStr">
        <is>
          <t>Sep-2018</t>
        </is>
      </c>
      <c r="C17083" s="2" t="n">
        <v>44285</v>
      </c>
      <c r="D17083" t="inlineStr">
        <is>
          <t>NON-NIL</t>
        </is>
      </c>
      <c r="E17083" t="n">
        <v>1180</v>
      </c>
    </row>
    <row r="17084">
      <c r="A17084" t="inlineStr">
        <is>
          <t>27BBBBB17084Z5</t>
        </is>
      </c>
      <c r="B17084" t="inlineStr">
        <is>
          <t>Mar-2018</t>
        </is>
      </c>
      <c r="C17084" s="2" t="n">
        <v>43401</v>
      </c>
      <c r="D17084" t="inlineStr">
        <is>
          <t>NIL</t>
        </is>
      </c>
      <c r="E17084" t="n">
        <v>2481</v>
      </c>
    </row>
    <row r="17085">
      <c r="A17085" t="inlineStr">
        <is>
          <t>27BBBBB17085Z5</t>
        </is>
      </c>
      <c r="B17085" t="inlineStr">
        <is>
          <t>Jul-2017</t>
        </is>
      </c>
      <c r="C17085" s="2" t="n">
        <v>43879</v>
      </c>
      <c r="D17085" t="inlineStr">
        <is>
          <t>NON-NIL</t>
        </is>
      </c>
      <c r="E17085" t="n">
        <v>1325</v>
      </c>
    </row>
    <row r="17086">
      <c r="A17086" t="inlineStr">
        <is>
          <t>27BBBBB17086Z5</t>
        </is>
      </c>
      <c r="B17086" t="inlineStr">
        <is>
          <t>Dec-2018</t>
        </is>
      </c>
      <c r="C17086" s="2" t="n">
        <v>43188</v>
      </c>
      <c r="D17086" t="inlineStr">
        <is>
          <t>NON-NIL</t>
        </is>
      </c>
      <c r="E17086" t="n">
        <v>2911</v>
      </c>
    </row>
    <row r="17087">
      <c r="A17087" t="inlineStr">
        <is>
          <t>27BBBBB17087Z5</t>
        </is>
      </c>
      <c r="B17087" t="inlineStr">
        <is>
          <t>Apr-2018</t>
        </is>
      </c>
      <c r="C17087" s="2" t="n">
        <v>44423</v>
      </c>
      <c r="D17087" t="inlineStr">
        <is>
          <t>NON-NIL</t>
        </is>
      </c>
      <c r="E17087" t="n">
        <v>1917</v>
      </c>
    </row>
    <row r="17088">
      <c r="A17088" t="inlineStr">
        <is>
          <t>27BBBBB17088Z5</t>
        </is>
      </c>
      <c r="B17088" t="inlineStr">
        <is>
          <t>Dec-2022</t>
        </is>
      </c>
      <c r="C17088" s="2" t="n">
        <v>44568</v>
      </c>
      <c r="D17088" t="inlineStr">
        <is>
          <t>NON-NIL</t>
        </is>
      </c>
      <c r="E17088" t="n">
        <v>1048</v>
      </c>
    </row>
    <row r="17089">
      <c r="A17089" t="inlineStr">
        <is>
          <t>27BBBBB17089Z5</t>
        </is>
      </c>
      <c r="B17089" t="inlineStr">
        <is>
          <t>Jan-2021</t>
        </is>
      </c>
      <c r="C17089" s="2" t="n">
        <v>45667</v>
      </c>
      <c r="D17089" t="inlineStr">
        <is>
          <t>NON-NIL</t>
        </is>
      </c>
      <c r="E17089" t="n">
        <v>234</v>
      </c>
    </row>
    <row r="17090">
      <c r="A17090" t="inlineStr">
        <is>
          <t>27BBBBB17090Z5</t>
        </is>
      </c>
      <c r="B17090" t="inlineStr">
        <is>
          <t>Jul-2018</t>
        </is>
      </c>
      <c r="C17090" s="2" t="n">
        <v>43867</v>
      </c>
      <c r="D17090" t="inlineStr">
        <is>
          <t>NIL</t>
        </is>
      </c>
      <c r="E17090" t="n">
        <v>1054</v>
      </c>
    </row>
    <row r="17091">
      <c r="A17091" t="inlineStr">
        <is>
          <t>27BBBBB17091Z5</t>
        </is>
      </c>
      <c r="B17091" t="inlineStr">
        <is>
          <t>Apr-2018</t>
        </is>
      </c>
      <c r="C17091" s="2" t="n">
        <v>43807</v>
      </c>
      <c r="D17091" t="inlineStr">
        <is>
          <t>NON-NIL</t>
        </is>
      </c>
      <c r="E17091" t="n">
        <v>2779</v>
      </c>
    </row>
    <row r="17092">
      <c r="A17092" t="inlineStr">
        <is>
          <t>27BBBBB17092Z5</t>
        </is>
      </c>
      <c r="B17092" t="inlineStr">
        <is>
          <t>Mar-2020</t>
        </is>
      </c>
      <c r="C17092" s="2" t="n">
        <v>44434</v>
      </c>
      <c r="D17092" t="inlineStr">
        <is>
          <t>NON-NIL</t>
        </is>
      </c>
      <c r="E17092" t="n">
        <v>2417</v>
      </c>
    </row>
    <row r="17093">
      <c r="A17093" t="inlineStr">
        <is>
          <t>27BBBBB17093Z5</t>
        </is>
      </c>
      <c r="B17093" t="inlineStr">
        <is>
          <t>Apr-2020</t>
        </is>
      </c>
      <c r="C17093" s="2" t="n">
        <v>44139</v>
      </c>
      <c r="D17093" t="inlineStr">
        <is>
          <t>NON-NIL</t>
        </is>
      </c>
      <c r="E17093" t="n">
        <v>2242</v>
      </c>
    </row>
    <row r="17094">
      <c r="A17094" t="inlineStr">
        <is>
          <t>27BBBBB17094Z5</t>
        </is>
      </c>
      <c r="B17094" t="inlineStr">
        <is>
          <t>May-2020</t>
        </is>
      </c>
      <c r="C17094" s="2" t="n">
        <v>44538</v>
      </c>
      <c r="D17094" t="inlineStr">
        <is>
          <t>NIL</t>
        </is>
      </c>
      <c r="E17094" t="n">
        <v>173</v>
      </c>
    </row>
    <row r="17095">
      <c r="A17095" t="inlineStr">
        <is>
          <t>27BBBBB17095Z5</t>
        </is>
      </c>
      <c r="B17095" t="inlineStr">
        <is>
          <t>Aug-2018</t>
        </is>
      </c>
      <c r="C17095" s="2" t="n">
        <v>43087</v>
      </c>
      <c r="D17095" t="inlineStr">
        <is>
          <t>NON-NIL</t>
        </is>
      </c>
      <c r="E17095" t="n">
        <v>2712</v>
      </c>
    </row>
    <row r="17096">
      <c r="A17096" t="inlineStr">
        <is>
          <t>27BBBBB17096Z5</t>
        </is>
      </c>
      <c r="B17096" t="inlineStr">
        <is>
          <t>Feb-2018</t>
        </is>
      </c>
      <c r="C17096" s="2" t="n">
        <v>43492</v>
      </c>
      <c r="D17096" t="inlineStr">
        <is>
          <t>NIL</t>
        </is>
      </c>
      <c r="E17096" t="n">
        <v>950</v>
      </c>
    </row>
    <row r="17097">
      <c r="A17097" t="inlineStr">
        <is>
          <t>27BBBBB17097Z5</t>
        </is>
      </c>
      <c r="B17097" t="inlineStr">
        <is>
          <t>Jul-2018</t>
        </is>
      </c>
      <c r="C17097" s="2" t="n">
        <v>43707</v>
      </c>
      <c r="D17097" t="inlineStr">
        <is>
          <t>NON-NIL</t>
        </is>
      </c>
      <c r="E17097" t="n">
        <v>424</v>
      </c>
    </row>
    <row r="17098">
      <c r="A17098" t="inlineStr">
        <is>
          <t>27BBBBB17098Z5</t>
        </is>
      </c>
      <c r="B17098" t="inlineStr">
        <is>
          <t>Jun-2020</t>
        </is>
      </c>
      <c r="C17098" s="2" t="n">
        <v>44189</v>
      </c>
      <c r="D17098" t="inlineStr">
        <is>
          <t>NIL</t>
        </is>
      </c>
      <c r="E17098" t="n">
        <v>194</v>
      </c>
    </row>
    <row r="17099">
      <c r="A17099" t="inlineStr">
        <is>
          <t>27BBBBB17099Z5</t>
        </is>
      </c>
      <c r="B17099" t="inlineStr">
        <is>
          <t>Jun-2020</t>
        </is>
      </c>
      <c r="C17099" s="2" t="n">
        <v>44730</v>
      </c>
      <c r="D17099" t="inlineStr">
        <is>
          <t>NIL</t>
        </is>
      </c>
      <c r="E17099" t="n">
        <v>78</v>
      </c>
    </row>
    <row r="17100">
      <c r="A17100" t="inlineStr">
        <is>
          <t>27BBBBB17100Z5</t>
        </is>
      </c>
      <c r="B17100" t="inlineStr">
        <is>
          <t>Dec-2022</t>
        </is>
      </c>
      <c r="C17100" s="2" t="n">
        <v>45605</v>
      </c>
      <c r="D17100" t="inlineStr">
        <is>
          <t>NON-NIL</t>
        </is>
      </c>
      <c r="E17100" t="n">
        <v>2094</v>
      </c>
    </row>
    <row r="17101">
      <c r="A17101" t="inlineStr">
        <is>
          <t>27BBBBB17101Z5</t>
        </is>
      </c>
      <c r="B17101" t="inlineStr">
        <is>
          <t>Nov-2017</t>
        </is>
      </c>
      <c r="C17101" s="2" t="n">
        <v>43536</v>
      </c>
      <c r="D17101" t="inlineStr">
        <is>
          <t>NIL</t>
        </is>
      </c>
      <c r="E17101" t="n">
        <v>2035</v>
      </c>
    </row>
    <row r="17102">
      <c r="A17102" t="inlineStr">
        <is>
          <t>27BBBBB17102Z5</t>
        </is>
      </c>
      <c r="B17102" t="inlineStr">
        <is>
          <t>Mar-2020</t>
        </is>
      </c>
      <c r="C17102" s="2" t="n">
        <v>44408</v>
      </c>
      <c r="D17102" t="inlineStr">
        <is>
          <t>NON-NIL</t>
        </is>
      </c>
      <c r="E17102" t="n">
        <v>2793</v>
      </c>
    </row>
    <row r="17103">
      <c r="A17103" t="inlineStr">
        <is>
          <t>27BBBBB17103Z5</t>
        </is>
      </c>
      <c r="B17103" t="inlineStr">
        <is>
          <t>Mar-2021</t>
        </is>
      </c>
      <c r="C17103" s="2" t="n">
        <v>44996</v>
      </c>
      <c r="D17103" t="inlineStr">
        <is>
          <t>NIL</t>
        </is>
      </c>
      <c r="E17103" t="n">
        <v>740</v>
      </c>
    </row>
    <row r="17104">
      <c r="A17104" t="inlineStr">
        <is>
          <t>27BBBBB17104Z5</t>
        </is>
      </c>
      <c r="B17104" t="inlineStr">
        <is>
          <t>Jun-2018</t>
        </is>
      </c>
      <c r="C17104" s="2" t="n">
        <v>43702</v>
      </c>
      <c r="D17104" t="inlineStr">
        <is>
          <t>NON-NIL</t>
        </is>
      </c>
      <c r="E17104" t="n">
        <v>678</v>
      </c>
    </row>
    <row r="17105">
      <c r="A17105" t="inlineStr">
        <is>
          <t>27BBBBB17105Z5</t>
        </is>
      </c>
      <c r="B17105" t="inlineStr">
        <is>
          <t>Apr-2020</t>
        </is>
      </c>
      <c r="C17105" s="2" t="n">
        <v>44578</v>
      </c>
      <c r="D17105" t="inlineStr">
        <is>
          <t>NIL</t>
        </is>
      </c>
      <c r="E17105" t="n">
        <v>2769</v>
      </c>
    </row>
    <row r="17106">
      <c r="A17106" t="inlineStr">
        <is>
          <t>27BBBBB17106Z5</t>
        </is>
      </c>
      <c r="B17106" t="inlineStr">
        <is>
          <t>Jan-2018</t>
        </is>
      </c>
      <c r="C17106" s="2" t="n">
        <v>44462</v>
      </c>
      <c r="D17106" t="inlineStr">
        <is>
          <t>NIL</t>
        </is>
      </c>
      <c r="E17106" t="n">
        <v>2831</v>
      </c>
    </row>
    <row r="17107">
      <c r="A17107" t="inlineStr">
        <is>
          <t>27BBBBB17107Z5</t>
        </is>
      </c>
      <c r="B17107" t="inlineStr">
        <is>
          <t>Jun-2018</t>
        </is>
      </c>
      <c r="C17107" s="2" t="n">
        <v>43367</v>
      </c>
      <c r="D17107" t="inlineStr">
        <is>
          <t>NIL</t>
        </is>
      </c>
      <c r="E17107" t="n">
        <v>1413</v>
      </c>
    </row>
    <row r="17108">
      <c r="A17108" t="inlineStr">
        <is>
          <t>27BBBBB17108Z5</t>
        </is>
      </c>
      <c r="B17108" t="inlineStr">
        <is>
          <t>Sep-2017</t>
        </is>
      </c>
      <c r="C17108" s="2" t="n">
        <v>44561</v>
      </c>
      <c r="D17108" t="inlineStr">
        <is>
          <t>NIL</t>
        </is>
      </c>
      <c r="E17108" t="n">
        <v>720</v>
      </c>
    </row>
    <row r="17109">
      <c r="A17109" t="inlineStr">
        <is>
          <t>27BBBBB17109Z5</t>
        </is>
      </c>
      <c r="B17109" t="inlineStr">
        <is>
          <t>Oct-2018</t>
        </is>
      </c>
      <c r="C17109" s="2" t="n">
        <v>42939</v>
      </c>
      <c r="D17109" t="inlineStr">
        <is>
          <t>NON-NIL</t>
        </is>
      </c>
      <c r="E17109" t="n">
        <v>753</v>
      </c>
    </row>
    <row r="17110">
      <c r="A17110" t="inlineStr">
        <is>
          <t>27BBBBB17110Z5</t>
        </is>
      </c>
      <c r="B17110" t="inlineStr">
        <is>
          <t>May-2018</t>
        </is>
      </c>
      <c r="C17110" s="2" t="n">
        <v>44303</v>
      </c>
      <c r="D17110" t="inlineStr">
        <is>
          <t>NON-NIL</t>
        </is>
      </c>
      <c r="E17110" t="n">
        <v>1640</v>
      </c>
    </row>
    <row r="17111">
      <c r="A17111" t="inlineStr">
        <is>
          <t>27BBBBB17111Z5</t>
        </is>
      </c>
      <c r="B17111" t="inlineStr">
        <is>
          <t>Jul-2018</t>
        </is>
      </c>
      <c r="C17111" s="2" t="n">
        <v>43235</v>
      </c>
      <c r="D17111" t="inlineStr">
        <is>
          <t>NIL</t>
        </is>
      </c>
      <c r="E17111" t="n">
        <v>954</v>
      </c>
    </row>
    <row r="17112">
      <c r="A17112" t="inlineStr">
        <is>
          <t>27BBBBB17112Z5</t>
        </is>
      </c>
      <c r="B17112" t="inlineStr">
        <is>
          <t>Aug-2017</t>
        </is>
      </c>
      <c r="C17112" s="2" t="n">
        <v>44026</v>
      </c>
      <c r="D17112" t="inlineStr">
        <is>
          <t>NON-NIL</t>
        </is>
      </c>
      <c r="E17112" t="n">
        <v>472</v>
      </c>
    </row>
    <row r="17113">
      <c r="A17113" t="inlineStr">
        <is>
          <t>27BBBBB17113Z5</t>
        </is>
      </c>
      <c r="B17113" t="inlineStr">
        <is>
          <t>May-2018</t>
        </is>
      </c>
      <c r="C17113" s="2" t="n">
        <v>43977</v>
      </c>
      <c r="D17113" t="inlineStr">
        <is>
          <t>NIL</t>
        </is>
      </c>
      <c r="E17113" t="n">
        <v>1356</v>
      </c>
    </row>
    <row r="17114">
      <c r="A17114" t="inlineStr">
        <is>
          <t>27BBBBB17114Z5</t>
        </is>
      </c>
      <c r="B17114" t="inlineStr">
        <is>
          <t>Aug-2017</t>
        </is>
      </c>
      <c r="C17114" s="2" t="n">
        <v>43891</v>
      </c>
      <c r="D17114" t="inlineStr">
        <is>
          <t>NIL</t>
        </is>
      </c>
      <c r="E17114" t="n">
        <v>773</v>
      </c>
    </row>
    <row r="17115">
      <c r="A17115" t="inlineStr">
        <is>
          <t>27BBBBB17115Z5</t>
        </is>
      </c>
      <c r="B17115" t="inlineStr">
        <is>
          <t>Jan-2018</t>
        </is>
      </c>
      <c r="C17115" s="2" t="n">
        <v>43327</v>
      </c>
      <c r="D17115" t="inlineStr">
        <is>
          <t>NON-NIL</t>
        </is>
      </c>
      <c r="E17115" t="n">
        <v>2457</v>
      </c>
    </row>
    <row r="17116">
      <c r="A17116" t="inlineStr">
        <is>
          <t>27BBBBB17116Z5</t>
        </is>
      </c>
      <c r="B17116" t="inlineStr">
        <is>
          <t>Jun-2020</t>
        </is>
      </c>
      <c r="C17116" s="2" t="n">
        <v>44777</v>
      </c>
      <c r="D17116" t="inlineStr">
        <is>
          <t>NON-NIL</t>
        </is>
      </c>
      <c r="E17116" t="n">
        <v>524</v>
      </c>
    </row>
    <row r="17117">
      <c r="A17117" t="inlineStr">
        <is>
          <t>27BBBBB17117Z5</t>
        </is>
      </c>
      <c r="B17117" t="inlineStr">
        <is>
          <t>Dec-2024</t>
        </is>
      </c>
      <c r="C17117" s="2" t="n">
        <v>44352</v>
      </c>
      <c r="D17117" t="inlineStr">
        <is>
          <t>NON-NIL</t>
        </is>
      </c>
      <c r="E17117" t="n">
        <v>1859</v>
      </c>
    </row>
    <row r="17118">
      <c r="A17118" t="inlineStr">
        <is>
          <t>27BBBBB17118Z5</t>
        </is>
      </c>
      <c r="B17118" t="inlineStr">
        <is>
          <t>Mar-2020</t>
        </is>
      </c>
      <c r="C17118" s="2" t="n">
        <v>44617</v>
      </c>
      <c r="D17118" t="inlineStr">
        <is>
          <t>NON-NIL</t>
        </is>
      </c>
      <c r="E17118" t="n">
        <v>2381</v>
      </c>
    </row>
    <row r="17119">
      <c r="A17119" t="inlineStr">
        <is>
          <t>27BBBBB17119Z5</t>
        </is>
      </c>
      <c r="B17119" t="inlineStr">
        <is>
          <t>Jan-2018</t>
        </is>
      </c>
      <c r="C17119" s="2" t="n">
        <v>43083</v>
      </c>
      <c r="D17119" t="inlineStr">
        <is>
          <t>NON-NIL</t>
        </is>
      </c>
      <c r="E17119" t="n">
        <v>2467</v>
      </c>
    </row>
    <row r="17120">
      <c r="A17120" t="inlineStr">
        <is>
          <t>27BBBBB17120Z5</t>
        </is>
      </c>
      <c r="B17120" t="inlineStr">
        <is>
          <t>Sep-2017</t>
        </is>
      </c>
      <c r="C17120" s="2" t="n">
        <v>44448</v>
      </c>
      <c r="D17120" t="inlineStr">
        <is>
          <t>NON-NIL</t>
        </is>
      </c>
      <c r="E17120" t="n">
        <v>219</v>
      </c>
    </row>
    <row r="17121">
      <c r="A17121" t="inlineStr">
        <is>
          <t>27BBBBB17121Z5</t>
        </is>
      </c>
      <c r="B17121" t="inlineStr">
        <is>
          <t>Sep-2018</t>
        </is>
      </c>
      <c r="C17121" s="2" t="n">
        <v>43888</v>
      </c>
      <c r="D17121" t="inlineStr">
        <is>
          <t>NON-NIL</t>
        </is>
      </c>
      <c r="E17121" t="n">
        <v>2653</v>
      </c>
    </row>
    <row r="17122">
      <c r="A17122" t="inlineStr">
        <is>
          <t>27BBBBB17122Z5</t>
        </is>
      </c>
      <c r="B17122" t="inlineStr">
        <is>
          <t>Sep-2018</t>
        </is>
      </c>
      <c r="C17122" s="2" t="n">
        <v>44407</v>
      </c>
      <c r="D17122" t="inlineStr">
        <is>
          <t>NON-NIL</t>
        </is>
      </c>
      <c r="E17122" t="n">
        <v>154</v>
      </c>
    </row>
    <row r="17123">
      <c r="A17123" t="inlineStr">
        <is>
          <t>27BBBBB17123Z5</t>
        </is>
      </c>
      <c r="B17123" t="inlineStr">
        <is>
          <t>Apr-2020</t>
        </is>
      </c>
      <c r="C17123" s="2" t="n">
        <v>44280</v>
      </c>
      <c r="D17123" t="inlineStr">
        <is>
          <t>NON-NIL</t>
        </is>
      </c>
      <c r="E17123" t="n">
        <v>2909</v>
      </c>
    </row>
    <row r="17124">
      <c r="A17124" t="inlineStr">
        <is>
          <t>27BBBBB17124Z5</t>
        </is>
      </c>
      <c r="B17124" t="inlineStr">
        <is>
          <t>Jul-2017</t>
        </is>
      </c>
      <c r="C17124" s="2" t="n">
        <v>43288</v>
      </c>
      <c r="D17124" t="inlineStr">
        <is>
          <t>NON-NIL</t>
        </is>
      </c>
      <c r="E17124" t="n">
        <v>579</v>
      </c>
    </row>
    <row r="17125">
      <c r="A17125" t="inlineStr">
        <is>
          <t>27BBBBB17125Z5</t>
        </is>
      </c>
      <c r="B17125" t="inlineStr">
        <is>
          <t>Aug-2017</t>
        </is>
      </c>
      <c r="C17125" s="2" t="n">
        <v>43069</v>
      </c>
      <c r="D17125" t="inlineStr">
        <is>
          <t>NIL</t>
        </is>
      </c>
      <c r="E17125" t="n">
        <v>2428</v>
      </c>
    </row>
    <row r="17126">
      <c r="A17126" t="inlineStr">
        <is>
          <t>27BBBBB17126Z5</t>
        </is>
      </c>
      <c r="B17126" t="inlineStr">
        <is>
          <t>Sep-2018</t>
        </is>
      </c>
      <c r="C17126" s="2" t="n">
        <v>44299</v>
      </c>
      <c r="D17126" t="inlineStr">
        <is>
          <t>NIL</t>
        </is>
      </c>
      <c r="E17126" t="n">
        <v>551</v>
      </c>
    </row>
    <row r="17127">
      <c r="A17127" t="inlineStr">
        <is>
          <t>27BBBBB17127Z5</t>
        </is>
      </c>
      <c r="B17127" t="inlineStr">
        <is>
          <t>May-2018</t>
        </is>
      </c>
      <c r="C17127" s="2" t="n">
        <v>44458</v>
      </c>
      <c r="D17127" t="inlineStr">
        <is>
          <t>NON-NIL</t>
        </is>
      </c>
      <c r="E17127" t="n">
        <v>582</v>
      </c>
    </row>
    <row r="17128">
      <c r="A17128" t="inlineStr">
        <is>
          <t>27BBBBB17128Z5</t>
        </is>
      </c>
      <c r="B17128" t="inlineStr">
        <is>
          <t>Jan-2018</t>
        </is>
      </c>
      <c r="C17128" s="2" t="n">
        <v>43694</v>
      </c>
      <c r="D17128" t="inlineStr">
        <is>
          <t>NON-NIL</t>
        </is>
      </c>
      <c r="E17128" t="n">
        <v>186</v>
      </c>
    </row>
    <row r="17129">
      <c r="A17129" t="inlineStr">
        <is>
          <t>27BBBBB17129Z5</t>
        </is>
      </c>
      <c r="B17129" t="inlineStr">
        <is>
          <t>Aug-2018</t>
        </is>
      </c>
      <c r="C17129" s="2" t="n">
        <v>44428</v>
      </c>
      <c r="D17129" t="inlineStr">
        <is>
          <t>NIL</t>
        </is>
      </c>
      <c r="E17129" t="n">
        <v>2103</v>
      </c>
    </row>
    <row r="17130">
      <c r="A17130" t="inlineStr">
        <is>
          <t>27BBBBB17130Z5</t>
        </is>
      </c>
      <c r="B17130" t="inlineStr">
        <is>
          <t>Aug-2018</t>
        </is>
      </c>
      <c r="C17130" s="2" t="n">
        <v>43339</v>
      </c>
      <c r="D17130" t="inlineStr">
        <is>
          <t>NON-NIL</t>
        </is>
      </c>
      <c r="E17130" t="n">
        <v>41</v>
      </c>
    </row>
    <row r="17131">
      <c r="A17131" t="inlineStr">
        <is>
          <t>27BBBBB17131Z5</t>
        </is>
      </c>
      <c r="B17131" t="inlineStr">
        <is>
          <t>Jun-2018</t>
        </is>
      </c>
      <c r="C17131" s="2" t="n">
        <v>43905</v>
      </c>
      <c r="D17131" t="inlineStr">
        <is>
          <t>NON-NIL</t>
        </is>
      </c>
      <c r="E17131" t="n">
        <v>1941</v>
      </c>
    </row>
    <row r="17132">
      <c r="A17132" t="inlineStr">
        <is>
          <t>27BBBBB17132Z5</t>
        </is>
      </c>
      <c r="B17132" t="inlineStr">
        <is>
          <t>Mar-2023</t>
        </is>
      </c>
      <c r="C17132" s="2" t="n">
        <v>43633</v>
      </c>
      <c r="D17132" t="inlineStr">
        <is>
          <t>NON-NIL</t>
        </is>
      </c>
      <c r="E17132" t="n">
        <v>1692</v>
      </c>
    </row>
    <row r="17133">
      <c r="A17133" t="inlineStr">
        <is>
          <t>27BBBBB17133Z5</t>
        </is>
      </c>
      <c r="B17133" t="inlineStr">
        <is>
          <t>Oct-2018</t>
        </is>
      </c>
      <c r="C17133" s="2" t="n">
        <v>43019</v>
      </c>
      <c r="D17133" t="inlineStr">
        <is>
          <t>NIL</t>
        </is>
      </c>
      <c r="E17133" t="n">
        <v>351</v>
      </c>
    </row>
    <row r="17134">
      <c r="A17134" t="inlineStr">
        <is>
          <t>27BBBBB17134Z5</t>
        </is>
      </c>
      <c r="B17134" t="inlineStr">
        <is>
          <t>Aug-2017</t>
        </is>
      </c>
      <c r="C17134" s="2" t="n">
        <v>43006</v>
      </c>
      <c r="D17134" t="inlineStr">
        <is>
          <t>NON-NIL</t>
        </is>
      </c>
      <c r="E17134" t="n">
        <v>488</v>
      </c>
    </row>
    <row r="17135">
      <c r="A17135" t="inlineStr">
        <is>
          <t>27BBBBB17135Z5</t>
        </is>
      </c>
      <c r="B17135" t="inlineStr">
        <is>
          <t>Oct-2017</t>
        </is>
      </c>
      <c r="C17135" s="2" t="n">
        <v>43088</v>
      </c>
      <c r="D17135" t="inlineStr">
        <is>
          <t>NIL</t>
        </is>
      </c>
      <c r="E17135" t="n">
        <v>2007</v>
      </c>
    </row>
    <row r="17136">
      <c r="A17136" t="inlineStr">
        <is>
          <t>27BBBBB17136Z5</t>
        </is>
      </c>
      <c r="B17136" t="inlineStr">
        <is>
          <t>Jan-2021</t>
        </is>
      </c>
      <c r="C17136" s="2" t="n">
        <v>45335</v>
      </c>
      <c r="D17136" t="inlineStr">
        <is>
          <t>NON-NIL</t>
        </is>
      </c>
      <c r="E17136" t="n">
        <v>436</v>
      </c>
    </row>
    <row r="17137">
      <c r="A17137" t="inlineStr">
        <is>
          <t>27BBBBB17137Z5</t>
        </is>
      </c>
      <c r="B17137" t="inlineStr">
        <is>
          <t>Jan-2018</t>
        </is>
      </c>
      <c r="C17137" s="2" t="n">
        <v>43960</v>
      </c>
      <c r="D17137" t="inlineStr">
        <is>
          <t>NON-NIL</t>
        </is>
      </c>
      <c r="E17137" t="n">
        <v>1863</v>
      </c>
    </row>
    <row r="17138">
      <c r="A17138" t="inlineStr">
        <is>
          <t>27BBBBB17138Z5</t>
        </is>
      </c>
      <c r="B17138" t="inlineStr">
        <is>
          <t>Nov-2017</t>
        </is>
      </c>
      <c r="C17138" s="2" t="n">
        <v>44109</v>
      </c>
      <c r="D17138" t="inlineStr">
        <is>
          <t>NIL</t>
        </is>
      </c>
      <c r="E17138" t="n">
        <v>2607</v>
      </c>
    </row>
    <row r="17139">
      <c r="A17139" t="inlineStr">
        <is>
          <t>27BBBBB17139Z5</t>
        </is>
      </c>
      <c r="B17139" t="inlineStr">
        <is>
          <t>Dec-2018</t>
        </is>
      </c>
      <c r="C17139" s="2" t="n">
        <v>44255</v>
      </c>
      <c r="D17139" t="inlineStr">
        <is>
          <t>NIL</t>
        </is>
      </c>
      <c r="E17139" t="n">
        <v>2784</v>
      </c>
    </row>
    <row r="17140">
      <c r="A17140" t="inlineStr">
        <is>
          <t>27BBBBB17140Z5</t>
        </is>
      </c>
      <c r="B17140" t="inlineStr">
        <is>
          <t>Jun-2020</t>
        </is>
      </c>
      <c r="C17140" s="2" t="n">
        <v>44564</v>
      </c>
      <c r="D17140" t="inlineStr">
        <is>
          <t>NON-NIL</t>
        </is>
      </c>
      <c r="E17140" t="n">
        <v>1402</v>
      </c>
    </row>
    <row r="17141">
      <c r="A17141" t="inlineStr">
        <is>
          <t>27BBBBB17141Z5</t>
        </is>
      </c>
      <c r="B17141" t="inlineStr">
        <is>
          <t>Jun-2018</t>
        </is>
      </c>
      <c r="C17141" s="2" t="n">
        <v>44019</v>
      </c>
      <c r="D17141" t="inlineStr">
        <is>
          <t>NIL</t>
        </is>
      </c>
      <c r="E17141" t="n">
        <v>535</v>
      </c>
    </row>
    <row r="17142">
      <c r="A17142" t="inlineStr">
        <is>
          <t>27BBBBB17142Z5</t>
        </is>
      </c>
      <c r="B17142" t="inlineStr">
        <is>
          <t>Nov-2018</t>
        </is>
      </c>
      <c r="C17142" s="2" t="n">
        <v>43461</v>
      </c>
      <c r="D17142" t="inlineStr">
        <is>
          <t>NON-NIL</t>
        </is>
      </c>
      <c r="E17142" t="n">
        <v>2933</v>
      </c>
    </row>
    <row r="17143">
      <c r="A17143" t="inlineStr">
        <is>
          <t>27BBBBB17143Z5</t>
        </is>
      </c>
      <c r="B17143" t="inlineStr">
        <is>
          <t>May-2018</t>
        </is>
      </c>
      <c r="C17143" s="2" t="n">
        <v>42984</v>
      </c>
      <c r="D17143" t="inlineStr">
        <is>
          <t>NON-NIL</t>
        </is>
      </c>
      <c r="E17143" t="n">
        <v>1770</v>
      </c>
    </row>
    <row r="17144">
      <c r="A17144" t="inlineStr">
        <is>
          <t>27BBBBB17144Z5</t>
        </is>
      </c>
      <c r="B17144" t="inlineStr">
        <is>
          <t>Feb-2018</t>
        </is>
      </c>
      <c r="C17144" s="2" t="n">
        <v>43680</v>
      </c>
      <c r="D17144" t="inlineStr">
        <is>
          <t>NIL</t>
        </is>
      </c>
      <c r="E17144" t="n">
        <v>19</v>
      </c>
    </row>
    <row r="17145">
      <c r="A17145" t="inlineStr">
        <is>
          <t>27BBBBB17145Z5</t>
        </is>
      </c>
      <c r="B17145" t="inlineStr">
        <is>
          <t>Jul-2020</t>
        </is>
      </c>
      <c r="C17145" s="2" t="n">
        <v>44674</v>
      </c>
      <c r="D17145" t="inlineStr">
        <is>
          <t>NON-NIL</t>
        </is>
      </c>
      <c r="E17145" t="n">
        <v>2142</v>
      </c>
    </row>
    <row r="17146">
      <c r="A17146" t="inlineStr">
        <is>
          <t>27BBBBB17146Z5</t>
        </is>
      </c>
      <c r="B17146" t="inlineStr">
        <is>
          <t>Sep-2018</t>
        </is>
      </c>
      <c r="C17146" s="2" t="n">
        <v>43371</v>
      </c>
      <c r="D17146" t="inlineStr">
        <is>
          <t>NON-NIL</t>
        </is>
      </c>
      <c r="E17146" t="n">
        <v>298</v>
      </c>
    </row>
    <row r="17147">
      <c r="A17147" t="inlineStr">
        <is>
          <t>27BBBBB17147Z5</t>
        </is>
      </c>
      <c r="B17147" t="inlineStr">
        <is>
          <t>Sep-2017</t>
        </is>
      </c>
      <c r="C17147" s="2" t="n">
        <v>42965</v>
      </c>
      <c r="D17147" t="inlineStr">
        <is>
          <t>NON-NIL</t>
        </is>
      </c>
      <c r="E17147" t="n">
        <v>820</v>
      </c>
    </row>
    <row r="17148">
      <c r="A17148" t="inlineStr">
        <is>
          <t>27BBBBB17148Z5</t>
        </is>
      </c>
      <c r="B17148" t="inlineStr">
        <is>
          <t>Jun-2020</t>
        </is>
      </c>
      <c r="C17148" s="2" t="n">
        <v>44457</v>
      </c>
      <c r="D17148" t="inlineStr">
        <is>
          <t>NIL</t>
        </is>
      </c>
      <c r="E17148" t="n">
        <v>2428</v>
      </c>
    </row>
    <row r="17149">
      <c r="A17149" t="inlineStr">
        <is>
          <t>27BBBBB17149Z5</t>
        </is>
      </c>
      <c r="B17149" t="inlineStr">
        <is>
          <t>Mar-2018</t>
        </is>
      </c>
      <c r="C17149" s="2" t="n">
        <v>44518</v>
      </c>
      <c r="D17149" t="inlineStr">
        <is>
          <t>NON-NIL</t>
        </is>
      </c>
      <c r="E17149" t="n">
        <v>1180</v>
      </c>
    </row>
    <row r="17150">
      <c r="A17150" t="inlineStr">
        <is>
          <t>27BBBBB17150Z5</t>
        </is>
      </c>
      <c r="B17150" t="inlineStr">
        <is>
          <t>Mar-2021</t>
        </is>
      </c>
      <c r="C17150" s="2" t="n">
        <v>43783</v>
      </c>
      <c r="D17150" t="inlineStr">
        <is>
          <t>NIL</t>
        </is>
      </c>
      <c r="E17150" t="n">
        <v>2002</v>
      </c>
    </row>
    <row r="17151">
      <c r="A17151" t="inlineStr">
        <is>
          <t>27BBBBB17151Z5</t>
        </is>
      </c>
      <c r="B17151" t="inlineStr">
        <is>
          <t>Mar-2023</t>
        </is>
      </c>
      <c r="C17151" s="2" t="n">
        <v>43933</v>
      </c>
      <c r="D17151" t="inlineStr">
        <is>
          <t>NIL</t>
        </is>
      </c>
      <c r="E17151" t="n">
        <v>2326</v>
      </c>
    </row>
    <row r="17152">
      <c r="A17152" t="inlineStr">
        <is>
          <t>27BBBBB17152Z5</t>
        </is>
      </c>
      <c r="B17152" t="inlineStr">
        <is>
          <t>Jan-2018</t>
        </is>
      </c>
      <c r="C17152" s="2" t="n">
        <v>44031</v>
      </c>
      <c r="D17152" t="inlineStr">
        <is>
          <t>NON-NIL</t>
        </is>
      </c>
      <c r="E17152" t="n">
        <v>880</v>
      </c>
    </row>
    <row r="17153">
      <c r="A17153" t="inlineStr">
        <is>
          <t>27BBBBB17153Z5</t>
        </is>
      </c>
      <c r="B17153" t="inlineStr">
        <is>
          <t>Aug-2017</t>
        </is>
      </c>
      <c r="C17153" s="2" t="n">
        <v>44498</v>
      </c>
      <c r="D17153" t="inlineStr">
        <is>
          <t>NON-NIL</t>
        </is>
      </c>
      <c r="E17153" t="n">
        <v>2060</v>
      </c>
    </row>
    <row r="17154">
      <c r="A17154" t="inlineStr">
        <is>
          <t>27BBBBB17154Z5</t>
        </is>
      </c>
      <c r="B17154" t="inlineStr">
        <is>
          <t>Nov-2017</t>
        </is>
      </c>
      <c r="C17154" s="2" t="n">
        <v>44447</v>
      </c>
      <c r="D17154" t="inlineStr">
        <is>
          <t>NON-NIL</t>
        </is>
      </c>
      <c r="E17154" t="n">
        <v>2365</v>
      </c>
    </row>
    <row r="17155">
      <c r="A17155" t="inlineStr">
        <is>
          <t>27BBBBB17155Z5</t>
        </is>
      </c>
      <c r="B17155" t="inlineStr">
        <is>
          <t>Nov-2017</t>
        </is>
      </c>
      <c r="C17155" s="2" t="n">
        <v>44187</v>
      </c>
      <c r="D17155" t="inlineStr">
        <is>
          <t>NIL</t>
        </is>
      </c>
      <c r="E17155" t="n">
        <v>2138</v>
      </c>
    </row>
    <row r="17156">
      <c r="A17156" t="inlineStr">
        <is>
          <t>27BBBBB17156Z5</t>
        </is>
      </c>
      <c r="B17156" t="inlineStr">
        <is>
          <t>Oct-2017</t>
        </is>
      </c>
      <c r="C17156" s="2" t="n">
        <v>43252</v>
      </c>
      <c r="D17156" t="inlineStr">
        <is>
          <t>NIL</t>
        </is>
      </c>
      <c r="E17156" t="n">
        <v>2132</v>
      </c>
    </row>
    <row r="17157">
      <c r="A17157" t="inlineStr">
        <is>
          <t>27BBBBB17157Z5</t>
        </is>
      </c>
      <c r="B17157" t="inlineStr">
        <is>
          <t>Sep-2017</t>
        </is>
      </c>
      <c r="C17157" s="2" t="n">
        <v>43796</v>
      </c>
      <c r="D17157" t="inlineStr">
        <is>
          <t>NIL</t>
        </is>
      </c>
      <c r="E17157" t="n">
        <v>2774</v>
      </c>
    </row>
    <row r="17158">
      <c r="A17158" t="inlineStr">
        <is>
          <t>27BBBBB17158Z5</t>
        </is>
      </c>
      <c r="B17158" t="inlineStr">
        <is>
          <t>Dec-2018</t>
        </is>
      </c>
      <c r="C17158" s="2" t="n">
        <v>43254</v>
      </c>
      <c r="D17158" t="inlineStr">
        <is>
          <t>NIL</t>
        </is>
      </c>
      <c r="E17158" t="n">
        <v>841</v>
      </c>
    </row>
    <row r="17159">
      <c r="A17159" t="inlineStr">
        <is>
          <t>27BBBBB17159Z5</t>
        </is>
      </c>
      <c r="B17159" t="inlineStr">
        <is>
          <t>Mar-2021</t>
        </is>
      </c>
      <c r="C17159" s="2" t="n">
        <v>44141</v>
      </c>
      <c r="D17159" t="inlineStr">
        <is>
          <t>NON-NIL</t>
        </is>
      </c>
      <c r="E17159" t="n">
        <v>2691</v>
      </c>
    </row>
    <row r="17160">
      <c r="A17160" t="inlineStr">
        <is>
          <t>27BBBBB17160Z5</t>
        </is>
      </c>
      <c r="B17160" t="inlineStr">
        <is>
          <t>Oct-2017</t>
        </is>
      </c>
      <c r="C17160" s="2" t="n">
        <v>44096</v>
      </c>
      <c r="D17160" t="inlineStr">
        <is>
          <t>NON-NIL</t>
        </is>
      </c>
      <c r="E17160" t="n">
        <v>1579</v>
      </c>
    </row>
    <row r="17161">
      <c r="A17161" t="inlineStr">
        <is>
          <t>27BBBBB17161Z5</t>
        </is>
      </c>
      <c r="B17161" t="inlineStr">
        <is>
          <t>Mar-2023</t>
        </is>
      </c>
      <c r="C17161" s="2" t="n">
        <v>43474</v>
      </c>
      <c r="D17161" t="inlineStr">
        <is>
          <t>NIL</t>
        </is>
      </c>
      <c r="E17161" t="n">
        <v>1959</v>
      </c>
    </row>
    <row r="17162">
      <c r="A17162" t="inlineStr">
        <is>
          <t>27BBBBB17162Z5</t>
        </is>
      </c>
      <c r="B17162" t="inlineStr">
        <is>
          <t>Dec-2018</t>
        </is>
      </c>
      <c r="C17162" s="2" t="n">
        <v>44252</v>
      </c>
      <c r="D17162" t="inlineStr">
        <is>
          <t>NON-NIL</t>
        </is>
      </c>
      <c r="E17162" t="n">
        <v>445</v>
      </c>
    </row>
    <row r="17163">
      <c r="A17163" t="inlineStr">
        <is>
          <t>27BBBBB17163Z5</t>
        </is>
      </c>
      <c r="B17163" t="inlineStr">
        <is>
          <t>Nov-2018</t>
        </is>
      </c>
      <c r="C17163" s="2" t="n">
        <v>44467</v>
      </c>
      <c r="D17163" t="inlineStr">
        <is>
          <t>NIL</t>
        </is>
      </c>
      <c r="E17163" t="n">
        <v>1342</v>
      </c>
    </row>
    <row r="17164">
      <c r="A17164" t="inlineStr">
        <is>
          <t>27BBBBB17164Z5</t>
        </is>
      </c>
      <c r="B17164" t="inlineStr">
        <is>
          <t>Jul-2020</t>
        </is>
      </c>
      <c r="C17164" s="2" t="n">
        <v>44762</v>
      </c>
      <c r="D17164" t="inlineStr">
        <is>
          <t>NON-NIL</t>
        </is>
      </c>
      <c r="E17164" t="n">
        <v>1479</v>
      </c>
    </row>
    <row r="17165">
      <c r="A17165" t="inlineStr">
        <is>
          <t>27BBBBB17165Z5</t>
        </is>
      </c>
      <c r="B17165" t="inlineStr">
        <is>
          <t>Aug-2017</t>
        </is>
      </c>
      <c r="C17165" s="2" t="n">
        <v>43472</v>
      </c>
      <c r="D17165" t="inlineStr">
        <is>
          <t>NIL</t>
        </is>
      </c>
      <c r="E17165" t="n">
        <v>444</v>
      </c>
    </row>
    <row r="17166">
      <c r="A17166" t="inlineStr">
        <is>
          <t>27BBBBB17166Z5</t>
        </is>
      </c>
      <c r="B17166" t="inlineStr">
        <is>
          <t>Apr-2020</t>
        </is>
      </c>
      <c r="C17166" s="2" t="n">
        <v>43859</v>
      </c>
      <c r="D17166" t="inlineStr">
        <is>
          <t>NON-NIL</t>
        </is>
      </c>
      <c r="E17166" t="n">
        <v>27</v>
      </c>
    </row>
    <row r="17167">
      <c r="A17167" t="inlineStr">
        <is>
          <t>27BBBBB17167Z5</t>
        </is>
      </c>
      <c r="B17167" t="inlineStr">
        <is>
          <t>Oct-2018</t>
        </is>
      </c>
      <c r="C17167" s="2" t="n">
        <v>43982</v>
      </c>
      <c r="D17167" t="inlineStr">
        <is>
          <t>NIL</t>
        </is>
      </c>
      <c r="E17167" t="n">
        <v>479</v>
      </c>
    </row>
    <row r="17168">
      <c r="A17168" t="inlineStr">
        <is>
          <t>27BBBBB17168Z5</t>
        </is>
      </c>
      <c r="B17168" t="inlineStr">
        <is>
          <t>Dec-2017</t>
        </is>
      </c>
      <c r="C17168" s="2" t="n">
        <v>43725</v>
      </c>
      <c r="D17168" t="inlineStr">
        <is>
          <t>NIL</t>
        </is>
      </c>
      <c r="E17168" t="n">
        <v>560</v>
      </c>
    </row>
    <row r="17169">
      <c r="A17169" t="inlineStr">
        <is>
          <t>27BBBBB17169Z5</t>
        </is>
      </c>
      <c r="B17169" t="inlineStr">
        <is>
          <t>Jan-2021</t>
        </is>
      </c>
      <c r="C17169" s="2" t="n">
        <v>44277</v>
      </c>
      <c r="D17169" t="inlineStr">
        <is>
          <t>NON-NIL</t>
        </is>
      </c>
      <c r="E17169" t="n">
        <v>1677</v>
      </c>
    </row>
    <row r="17170">
      <c r="A17170" t="inlineStr">
        <is>
          <t>27BBBBB17170Z5</t>
        </is>
      </c>
      <c r="B17170" t="inlineStr">
        <is>
          <t>Dec-2018</t>
        </is>
      </c>
      <c r="C17170" s="2" t="n">
        <v>43903</v>
      </c>
      <c r="D17170" t="inlineStr">
        <is>
          <t>NIL</t>
        </is>
      </c>
      <c r="E17170" t="n">
        <v>2382</v>
      </c>
    </row>
    <row r="17171">
      <c r="A17171" t="inlineStr">
        <is>
          <t>27BBBBB17171Z5</t>
        </is>
      </c>
      <c r="B17171" t="inlineStr">
        <is>
          <t>Jan-2018</t>
        </is>
      </c>
      <c r="C17171" s="2" t="n">
        <v>43756</v>
      </c>
      <c r="D17171" t="inlineStr">
        <is>
          <t>NIL</t>
        </is>
      </c>
      <c r="E17171" t="n">
        <v>508</v>
      </c>
    </row>
    <row r="17172">
      <c r="A17172" t="inlineStr">
        <is>
          <t>27BBBBB17172Z5</t>
        </is>
      </c>
      <c r="B17172" t="inlineStr">
        <is>
          <t>Jan-2021</t>
        </is>
      </c>
      <c r="C17172" s="2" t="n">
        <v>45432</v>
      </c>
      <c r="D17172" t="inlineStr">
        <is>
          <t>NON-NIL</t>
        </is>
      </c>
      <c r="E17172" t="n">
        <v>2236</v>
      </c>
    </row>
    <row r="17173">
      <c r="A17173" t="inlineStr">
        <is>
          <t>27BBBBB17173Z5</t>
        </is>
      </c>
      <c r="B17173" t="inlineStr">
        <is>
          <t>Aug-2017</t>
        </is>
      </c>
      <c r="C17173" s="2" t="n">
        <v>44042</v>
      </c>
      <c r="D17173" t="inlineStr">
        <is>
          <t>NIL</t>
        </is>
      </c>
      <c r="E17173" t="n">
        <v>2662</v>
      </c>
    </row>
    <row r="17174">
      <c r="A17174" t="inlineStr">
        <is>
          <t>27BBBBB17174Z5</t>
        </is>
      </c>
      <c r="B17174" t="inlineStr">
        <is>
          <t>Jan-2018</t>
        </is>
      </c>
      <c r="C17174" s="2" t="n">
        <v>44171</v>
      </c>
      <c r="D17174" t="inlineStr">
        <is>
          <t>NIL</t>
        </is>
      </c>
      <c r="E17174" t="n">
        <v>2969</v>
      </c>
    </row>
    <row r="17175">
      <c r="A17175" t="inlineStr">
        <is>
          <t>27BBBBB17175Z5</t>
        </is>
      </c>
      <c r="B17175" t="inlineStr">
        <is>
          <t>Aug-2017</t>
        </is>
      </c>
      <c r="C17175" s="2" t="n">
        <v>43641</v>
      </c>
      <c r="D17175" t="inlineStr">
        <is>
          <t>NIL</t>
        </is>
      </c>
      <c r="E17175" t="n">
        <v>641</v>
      </c>
    </row>
    <row r="17176">
      <c r="A17176" t="inlineStr">
        <is>
          <t>27BBBBB17176Z5</t>
        </is>
      </c>
      <c r="B17176" t="inlineStr">
        <is>
          <t>Feb-2018</t>
        </is>
      </c>
      <c r="C17176" s="2" t="n">
        <v>43965</v>
      </c>
      <c r="D17176" t="inlineStr">
        <is>
          <t>NIL</t>
        </is>
      </c>
      <c r="E17176" t="n">
        <v>1205</v>
      </c>
    </row>
    <row r="17177">
      <c r="A17177" t="inlineStr">
        <is>
          <t>27BBBBB17177Z5</t>
        </is>
      </c>
      <c r="B17177" t="inlineStr">
        <is>
          <t>Sep-2017</t>
        </is>
      </c>
      <c r="C17177" s="2" t="n">
        <v>44435</v>
      </c>
      <c r="D17177" t="inlineStr">
        <is>
          <t>NIL</t>
        </is>
      </c>
      <c r="E17177" t="n">
        <v>2615</v>
      </c>
    </row>
    <row r="17178">
      <c r="A17178" t="inlineStr">
        <is>
          <t>27BBBBB17178Z5</t>
        </is>
      </c>
      <c r="B17178" t="inlineStr">
        <is>
          <t>Jun-2018</t>
        </is>
      </c>
      <c r="C17178" s="2" t="n">
        <v>44471</v>
      </c>
      <c r="D17178" t="inlineStr">
        <is>
          <t>NON-NIL</t>
        </is>
      </c>
      <c r="E17178" t="n">
        <v>797</v>
      </c>
    </row>
    <row r="17179">
      <c r="A17179" t="inlineStr">
        <is>
          <t>27BBBBB17179Z5</t>
        </is>
      </c>
      <c r="B17179" t="inlineStr">
        <is>
          <t>Sep-2018</t>
        </is>
      </c>
      <c r="C17179" s="2" t="n">
        <v>43435</v>
      </c>
      <c r="D17179" t="inlineStr">
        <is>
          <t>NON-NIL</t>
        </is>
      </c>
      <c r="E17179" t="n">
        <v>1661</v>
      </c>
    </row>
    <row r="17180">
      <c r="A17180" t="inlineStr">
        <is>
          <t>27BBBBB17180Z5</t>
        </is>
      </c>
      <c r="B17180" t="inlineStr">
        <is>
          <t>Mar-2023</t>
        </is>
      </c>
      <c r="C17180" s="2" t="n">
        <v>44043</v>
      </c>
      <c r="D17180" t="inlineStr">
        <is>
          <t>NON-NIL</t>
        </is>
      </c>
      <c r="E17180" t="n">
        <v>1713</v>
      </c>
    </row>
    <row r="17181">
      <c r="A17181" t="inlineStr">
        <is>
          <t>27BBBBB17181Z5</t>
        </is>
      </c>
      <c r="B17181" t="inlineStr">
        <is>
          <t>Sep-2017</t>
        </is>
      </c>
      <c r="C17181" s="2" t="n">
        <v>43962</v>
      </c>
      <c r="D17181" t="inlineStr">
        <is>
          <t>NON-NIL</t>
        </is>
      </c>
      <c r="E17181" t="n">
        <v>2961</v>
      </c>
    </row>
    <row r="17182">
      <c r="A17182" t="inlineStr">
        <is>
          <t>27BBBBB17182Z5</t>
        </is>
      </c>
      <c r="B17182" t="inlineStr">
        <is>
          <t>Aug-2017</t>
        </is>
      </c>
      <c r="C17182" s="2" t="n">
        <v>44448</v>
      </c>
      <c r="D17182" t="inlineStr">
        <is>
          <t>NON-NIL</t>
        </is>
      </c>
      <c r="E17182" t="n">
        <v>2860</v>
      </c>
    </row>
    <row r="17183">
      <c r="A17183" t="inlineStr">
        <is>
          <t>27BBBBB17183Z5</t>
        </is>
      </c>
      <c r="B17183" t="inlineStr">
        <is>
          <t>Aug-2017</t>
        </is>
      </c>
      <c r="C17183" s="2" t="n">
        <v>44020</v>
      </c>
      <c r="D17183" t="inlineStr">
        <is>
          <t>NON-NIL</t>
        </is>
      </c>
      <c r="E17183" t="n">
        <v>2738</v>
      </c>
    </row>
    <row r="17184">
      <c r="A17184" t="inlineStr">
        <is>
          <t>27BBBBB17184Z5</t>
        </is>
      </c>
      <c r="B17184" t="inlineStr">
        <is>
          <t>Jan-2018</t>
        </is>
      </c>
      <c r="C17184" s="2" t="n">
        <v>43859</v>
      </c>
      <c r="D17184" t="inlineStr">
        <is>
          <t>NIL</t>
        </is>
      </c>
      <c r="E17184" t="n">
        <v>394</v>
      </c>
    </row>
    <row r="17185">
      <c r="A17185" t="inlineStr">
        <is>
          <t>27BBBBB17185Z5</t>
        </is>
      </c>
      <c r="B17185" t="inlineStr">
        <is>
          <t>Jul-2018</t>
        </is>
      </c>
      <c r="C17185" s="2" t="n">
        <v>43066</v>
      </c>
      <c r="D17185" t="inlineStr">
        <is>
          <t>NON-NIL</t>
        </is>
      </c>
      <c r="E17185" t="n">
        <v>1048</v>
      </c>
    </row>
    <row r="17186">
      <c r="A17186" t="inlineStr">
        <is>
          <t>27BBBBB17186Z5</t>
        </is>
      </c>
      <c r="B17186" t="inlineStr">
        <is>
          <t>Oct-2017</t>
        </is>
      </c>
      <c r="C17186" s="2" t="n">
        <v>43416</v>
      </c>
      <c r="D17186" t="inlineStr">
        <is>
          <t>NON-NIL</t>
        </is>
      </c>
      <c r="E17186" t="n">
        <v>2833</v>
      </c>
    </row>
    <row r="17187">
      <c r="A17187" t="inlineStr">
        <is>
          <t>27BBBBB17187Z5</t>
        </is>
      </c>
      <c r="B17187" t="inlineStr">
        <is>
          <t>May-2020</t>
        </is>
      </c>
      <c r="C17187" s="2" t="n">
        <v>44148</v>
      </c>
      <c r="D17187" t="inlineStr">
        <is>
          <t>NON-NIL</t>
        </is>
      </c>
      <c r="E17187" t="n">
        <v>21</v>
      </c>
    </row>
    <row r="17188">
      <c r="A17188" t="inlineStr">
        <is>
          <t>27BBBBB17188Z5</t>
        </is>
      </c>
      <c r="B17188" t="inlineStr">
        <is>
          <t>Mar-2023</t>
        </is>
      </c>
      <c r="C17188" s="2" t="n">
        <v>43539</v>
      </c>
      <c r="D17188" t="inlineStr">
        <is>
          <t>NON-NIL</t>
        </is>
      </c>
      <c r="E17188" t="n">
        <v>2083</v>
      </c>
    </row>
    <row r="17189">
      <c r="A17189" t="inlineStr">
        <is>
          <t>27BBBBB17189Z5</t>
        </is>
      </c>
      <c r="B17189" t="inlineStr">
        <is>
          <t>Jul-2017</t>
        </is>
      </c>
      <c r="C17189" s="2" t="n">
        <v>43353</v>
      </c>
      <c r="D17189" t="inlineStr">
        <is>
          <t>NIL</t>
        </is>
      </c>
      <c r="E17189" t="n">
        <v>1159</v>
      </c>
    </row>
    <row r="17190">
      <c r="A17190" t="inlineStr">
        <is>
          <t>27BBBBB17190Z5</t>
        </is>
      </c>
      <c r="B17190" t="inlineStr">
        <is>
          <t>Jul-2017</t>
        </is>
      </c>
      <c r="C17190" s="2" t="n">
        <v>44313</v>
      </c>
      <c r="D17190" t="inlineStr">
        <is>
          <t>NON-NIL</t>
        </is>
      </c>
      <c r="E17190" t="n">
        <v>447</v>
      </c>
    </row>
    <row r="17191">
      <c r="A17191" t="inlineStr">
        <is>
          <t>27BBBBB17191Z5</t>
        </is>
      </c>
      <c r="B17191" t="inlineStr">
        <is>
          <t>Aug-2018</t>
        </is>
      </c>
      <c r="C17191" s="2" t="n">
        <v>43297</v>
      </c>
      <c r="D17191" t="inlineStr">
        <is>
          <t>NIL</t>
        </is>
      </c>
      <c r="E17191" t="n">
        <v>1122</v>
      </c>
    </row>
    <row r="17192">
      <c r="A17192" t="inlineStr">
        <is>
          <t>27BBBBB17192Z5</t>
        </is>
      </c>
      <c r="B17192" t="inlineStr">
        <is>
          <t>Oct-2018</t>
        </is>
      </c>
      <c r="C17192" s="2" t="n">
        <v>43609</v>
      </c>
      <c r="D17192" t="inlineStr">
        <is>
          <t>NON-NIL</t>
        </is>
      </c>
      <c r="E17192" t="n">
        <v>2187</v>
      </c>
    </row>
    <row r="17193">
      <c r="A17193" t="inlineStr">
        <is>
          <t>27BBBBB17193Z5</t>
        </is>
      </c>
      <c r="B17193" t="inlineStr">
        <is>
          <t>Jul-2017</t>
        </is>
      </c>
      <c r="C17193" s="2" t="n">
        <v>42927</v>
      </c>
      <c r="D17193" t="inlineStr">
        <is>
          <t>NIL</t>
        </is>
      </c>
      <c r="E17193" t="n">
        <v>2496</v>
      </c>
    </row>
    <row r="17194">
      <c r="A17194" t="inlineStr">
        <is>
          <t>27BBBBB17194Z5</t>
        </is>
      </c>
      <c r="B17194" t="inlineStr">
        <is>
          <t>Sep-2017</t>
        </is>
      </c>
      <c r="C17194" s="2" t="n">
        <v>43469</v>
      </c>
      <c r="D17194" t="inlineStr">
        <is>
          <t>NON-NIL</t>
        </is>
      </c>
      <c r="E17194" t="n">
        <v>2035</v>
      </c>
    </row>
    <row r="17195">
      <c r="A17195" t="inlineStr">
        <is>
          <t>27BBBBB17195Z5</t>
        </is>
      </c>
      <c r="B17195" t="inlineStr">
        <is>
          <t>Dec-2017</t>
        </is>
      </c>
      <c r="C17195" s="2" t="n">
        <v>43752</v>
      </c>
      <c r="D17195" t="inlineStr">
        <is>
          <t>NIL</t>
        </is>
      </c>
      <c r="E17195" t="n">
        <v>2208</v>
      </c>
    </row>
    <row r="17196">
      <c r="A17196" t="inlineStr">
        <is>
          <t>27BBBBB17196Z5</t>
        </is>
      </c>
      <c r="B17196" t="inlineStr">
        <is>
          <t>Dec-2018</t>
        </is>
      </c>
      <c r="C17196" s="2" t="n">
        <v>43779</v>
      </c>
      <c r="D17196" t="inlineStr">
        <is>
          <t>NIL</t>
        </is>
      </c>
      <c r="E17196" t="n">
        <v>316</v>
      </c>
    </row>
    <row r="17197">
      <c r="A17197" t="inlineStr">
        <is>
          <t>27BBBBB17197Z5</t>
        </is>
      </c>
      <c r="B17197" t="inlineStr">
        <is>
          <t>Mar-2023</t>
        </is>
      </c>
      <c r="C17197" s="2" t="n">
        <v>45062</v>
      </c>
      <c r="D17197" t="inlineStr">
        <is>
          <t>NIL</t>
        </is>
      </c>
      <c r="E17197" t="n">
        <v>1961</v>
      </c>
    </row>
    <row r="17198">
      <c r="A17198" t="inlineStr">
        <is>
          <t>27BBBBB17198Z5</t>
        </is>
      </c>
      <c r="B17198" t="inlineStr">
        <is>
          <t>Nov-2017</t>
        </is>
      </c>
      <c r="C17198" s="2" t="n">
        <v>43286</v>
      </c>
      <c r="D17198" t="inlineStr">
        <is>
          <t>NIL</t>
        </is>
      </c>
      <c r="E17198" t="n">
        <v>2102</v>
      </c>
    </row>
    <row r="17199">
      <c r="A17199" t="inlineStr">
        <is>
          <t>27BBBBB17199Z5</t>
        </is>
      </c>
      <c r="B17199" t="inlineStr">
        <is>
          <t>Mar-2021</t>
        </is>
      </c>
      <c r="C17199" s="2" t="n">
        <v>45294</v>
      </c>
      <c r="D17199" t="inlineStr">
        <is>
          <t>NIL</t>
        </is>
      </c>
      <c r="E17199" t="n">
        <v>2231</v>
      </c>
    </row>
    <row r="17200">
      <c r="A17200" t="inlineStr">
        <is>
          <t>27BBBBB17200Z5</t>
        </is>
      </c>
      <c r="B17200" t="inlineStr">
        <is>
          <t>Dec-2022</t>
        </is>
      </c>
      <c r="C17200" s="2" t="n">
        <v>44850</v>
      </c>
      <c r="D17200" t="inlineStr">
        <is>
          <t>NIL</t>
        </is>
      </c>
      <c r="E17200" t="n">
        <v>2968</v>
      </c>
    </row>
    <row r="17201">
      <c r="A17201" t="inlineStr">
        <is>
          <t>27BBBBB17201Z5</t>
        </is>
      </c>
      <c r="B17201" t="inlineStr">
        <is>
          <t>Mar-2023</t>
        </is>
      </c>
      <c r="C17201" s="2" t="n">
        <v>43632</v>
      </c>
      <c r="D17201" t="inlineStr">
        <is>
          <t>NIL</t>
        </is>
      </c>
      <c r="E17201" t="n">
        <v>472</v>
      </c>
    </row>
    <row r="17202">
      <c r="A17202" t="inlineStr">
        <is>
          <t>27BBBBB17202Z5</t>
        </is>
      </c>
      <c r="B17202" t="inlineStr">
        <is>
          <t>May-2020</t>
        </is>
      </c>
      <c r="C17202" s="2" t="n">
        <v>44462</v>
      </c>
      <c r="D17202" t="inlineStr">
        <is>
          <t>NIL</t>
        </is>
      </c>
      <c r="E17202" t="n">
        <v>2639</v>
      </c>
    </row>
    <row r="17203">
      <c r="A17203" t="inlineStr">
        <is>
          <t>27BBBBB17203Z5</t>
        </is>
      </c>
      <c r="B17203" t="inlineStr">
        <is>
          <t>Aug-2017</t>
        </is>
      </c>
      <c r="C17203" s="2" t="n">
        <v>43105</v>
      </c>
      <c r="D17203" t="inlineStr">
        <is>
          <t>NON-NIL</t>
        </is>
      </c>
      <c r="E17203" t="n">
        <v>363</v>
      </c>
    </row>
    <row r="17204">
      <c r="A17204" t="inlineStr">
        <is>
          <t>27BBBBB17204Z5</t>
        </is>
      </c>
      <c r="B17204" t="inlineStr">
        <is>
          <t>Aug-2017</t>
        </is>
      </c>
      <c r="C17204" s="2" t="n">
        <v>44154</v>
      </c>
      <c r="D17204" t="inlineStr">
        <is>
          <t>NIL</t>
        </is>
      </c>
      <c r="E17204" t="n">
        <v>744</v>
      </c>
    </row>
    <row r="17205">
      <c r="A17205" t="inlineStr">
        <is>
          <t>27BBBBB17205Z5</t>
        </is>
      </c>
      <c r="B17205" t="inlineStr">
        <is>
          <t>May-2020</t>
        </is>
      </c>
      <c r="C17205" s="2" t="n">
        <v>44688</v>
      </c>
      <c r="D17205" t="inlineStr">
        <is>
          <t>NON-NIL</t>
        </is>
      </c>
      <c r="E17205" t="n">
        <v>1631</v>
      </c>
    </row>
    <row r="17206">
      <c r="A17206" t="inlineStr">
        <is>
          <t>27BBBBB17206Z5</t>
        </is>
      </c>
      <c r="B17206" t="inlineStr">
        <is>
          <t>Sep-2017</t>
        </is>
      </c>
      <c r="C17206" s="2" t="n">
        <v>44032</v>
      </c>
      <c r="D17206" t="inlineStr">
        <is>
          <t>NIL</t>
        </is>
      </c>
      <c r="E17206" t="n">
        <v>2277</v>
      </c>
    </row>
    <row r="17207">
      <c r="A17207" t="inlineStr">
        <is>
          <t>27BBBBB17207Z5</t>
        </is>
      </c>
      <c r="B17207" t="inlineStr">
        <is>
          <t>Dec-2017</t>
        </is>
      </c>
      <c r="C17207" s="2" t="n">
        <v>43989</v>
      </c>
      <c r="D17207" t="inlineStr">
        <is>
          <t>NIL</t>
        </is>
      </c>
      <c r="E17207" t="n">
        <v>2720</v>
      </c>
    </row>
    <row r="17208">
      <c r="A17208" t="inlineStr">
        <is>
          <t>27BBBBB17208Z5</t>
        </is>
      </c>
      <c r="B17208" t="inlineStr">
        <is>
          <t>Sep-2017</t>
        </is>
      </c>
      <c r="C17208" s="2" t="n">
        <v>42948</v>
      </c>
      <c r="D17208" t="inlineStr">
        <is>
          <t>NIL</t>
        </is>
      </c>
      <c r="E17208" t="n">
        <v>402</v>
      </c>
    </row>
    <row r="17209">
      <c r="A17209" t="inlineStr">
        <is>
          <t>27BBBBB17209Z5</t>
        </is>
      </c>
      <c r="B17209" t="inlineStr">
        <is>
          <t>Mar-2020</t>
        </is>
      </c>
      <c r="C17209" s="2" t="n">
        <v>44252</v>
      </c>
      <c r="D17209" t="inlineStr">
        <is>
          <t>NIL</t>
        </is>
      </c>
      <c r="E17209" t="n">
        <v>56</v>
      </c>
    </row>
    <row r="17210">
      <c r="A17210" t="inlineStr">
        <is>
          <t>27BBBBB17210Z5</t>
        </is>
      </c>
      <c r="B17210" t="inlineStr">
        <is>
          <t>Dec-2024</t>
        </is>
      </c>
      <c r="C17210" s="2" t="n">
        <v>44457</v>
      </c>
      <c r="D17210" t="inlineStr">
        <is>
          <t>NON-NIL</t>
        </is>
      </c>
      <c r="E17210" t="n">
        <v>1975</v>
      </c>
    </row>
    <row r="17211">
      <c r="A17211" t="inlineStr">
        <is>
          <t>27BBBBB17211Z5</t>
        </is>
      </c>
      <c r="B17211" t="inlineStr">
        <is>
          <t>Apr-2018</t>
        </is>
      </c>
      <c r="C17211" s="2" t="n">
        <v>43152</v>
      </c>
      <c r="D17211" t="inlineStr">
        <is>
          <t>NIL</t>
        </is>
      </c>
      <c r="E17211" t="n">
        <v>877</v>
      </c>
    </row>
    <row r="17212">
      <c r="A17212" t="inlineStr">
        <is>
          <t>27BBBBB17212Z5</t>
        </is>
      </c>
      <c r="B17212" t="inlineStr">
        <is>
          <t>Sep-2017</t>
        </is>
      </c>
      <c r="C17212" s="2" t="n">
        <v>43589</v>
      </c>
      <c r="D17212" t="inlineStr">
        <is>
          <t>NON-NIL</t>
        </is>
      </c>
      <c r="E17212" t="n">
        <v>1829</v>
      </c>
    </row>
    <row r="17213">
      <c r="A17213" t="inlineStr">
        <is>
          <t>27BBBBB17213Z5</t>
        </is>
      </c>
      <c r="B17213" t="inlineStr">
        <is>
          <t>Jul-2017</t>
        </is>
      </c>
      <c r="C17213" s="2" t="n">
        <v>43914</v>
      </c>
      <c r="D17213" t="inlineStr">
        <is>
          <t>NIL</t>
        </is>
      </c>
      <c r="E17213" t="n">
        <v>959</v>
      </c>
    </row>
    <row r="17214">
      <c r="A17214" t="inlineStr">
        <is>
          <t>27BBBBB17214Z5</t>
        </is>
      </c>
      <c r="B17214" t="inlineStr">
        <is>
          <t>Jul-2017</t>
        </is>
      </c>
      <c r="C17214" s="2" t="n">
        <v>43070</v>
      </c>
      <c r="D17214" t="inlineStr">
        <is>
          <t>NIL</t>
        </is>
      </c>
      <c r="E17214" t="n">
        <v>2259</v>
      </c>
    </row>
    <row r="17215">
      <c r="A17215" t="inlineStr">
        <is>
          <t>27BBBBB17215Z5</t>
        </is>
      </c>
      <c r="B17215" t="inlineStr">
        <is>
          <t>Oct-2018</t>
        </is>
      </c>
      <c r="C17215" s="2" t="n">
        <v>44209</v>
      </c>
      <c r="D17215" t="inlineStr">
        <is>
          <t>NIL</t>
        </is>
      </c>
      <c r="E17215" t="n">
        <v>2512</v>
      </c>
    </row>
    <row r="17216">
      <c r="A17216" t="inlineStr">
        <is>
          <t>27BBBBB17216Z5</t>
        </is>
      </c>
      <c r="B17216" t="inlineStr">
        <is>
          <t>Sep-2017</t>
        </is>
      </c>
      <c r="C17216" s="2" t="n">
        <v>43423</v>
      </c>
      <c r="D17216" t="inlineStr">
        <is>
          <t>NIL</t>
        </is>
      </c>
      <c r="E17216" t="n">
        <v>2985</v>
      </c>
    </row>
    <row r="17217">
      <c r="A17217" t="inlineStr">
        <is>
          <t>27BBBBB17217Z5</t>
        </is>
      </c>
      <c r="B17217" t="inlineStr">
        <is>
          <t>Aug-2017</t>
        </is>
      </c>
      <c r="C17217" s="2" t="n">
        <v>43366</v>
      </c>
      <c r="D17217" t="inlineStr">
        <is>
          <t>NIL</t>
        </is>
      </c>
      <c r="E17217" t="n">
        <v>1570</v>
      </c>
    </row>
    <row r="17218">
      <c r="A17218" t="inlineStr">
        <is>
          <t>27BBBBB17218Z5</t>
        </is>
      </c>
      <c r="B17218" t="inlineStr">
        <is>
          <t>Jan-2018</t>
        </is>
      </c>
      <c r="C17218" s="2" t="n">
        <v>42965</v>
      </c>
      <c r="D17218" t="inlineStr">
        <is>
          <t>NON-NIL</t>
        </is>
      </c>
      <c r="E17218" t="n">
        <v>223</v>
      </c>
    </row>
    <row r="17219">
      <c r="A17219" t="inlineStr">
        <is>
          <t>27BBBBB17219Z5</t>
        </is>
      </c>
      <c r="B17219" t="inlineStr">
        <is>
          <t>Nov-2018</t>
        </is>
      </c>
      <c r="C17219" s="2" t="n">
        <v>43783</v>
      </c>
      <c r="D17219" t="inlineStr">
        <is>
          <t>NIL</t>
        </is>
      </c>
      <c r="E17219" t="n">
        <v>166</v>
      </c>
    </row>
    <row r="17220">
      <c r="A17220" t="inlineStr">
        <is>
          <t>27BBBBB17220Z5</t>
        </is>
      </c>
      <c r="B17220" t="inlineStr">
        <is>
          <t>Jan-2021</t>
        </is>
      </c>
      <c r="C17220" s="2" t="n">
        <v>44470</v>
      </c>
      <c r="D17220" t="inlineStr">
        <is>
          <t>NON-NIL</t>
        </is>
      </c>
      <c r="E17220" t="n">
        <v>1155</v>
      </c>
    </row>
    <row r="17221">
      <c r="A17221" t="inlineStr">
        <is>
          <t>27BBBBB17221Z5</t>
        </is>
      </c>
      <c r="B17221" t="inlineStr">
        <is>
          <t>Jun-2020</t>
        </is>
      </c>
      <c r="C17221" s="2" t="n">
        <v>44476</v>
      </c>
      <c r="D17221" t="inlineStr">
        <is>
          <t>NON-NIL</t>
        </is>
      </c>
      <c r="E17221" t="n">
        <v>1754</v>
      </c>
    </row>
    <row r="17222">
      <c r="A17222" t="inlineStr">
        <is>
          <t>27BBBBB17222Z5</t>
        </is>
      </c>
      <c r="B17222" t="inlineStr">
        <is>
          <t>Mar-2020</t>
        </is>
      </c>
      <c r="C17222" s="2" t="n">
        <v>44228</v>
      </c>
      <c r="D17222" t="inlineStr">
        <is>
          <t>NON-NIL</t>
        </is>
      </c>
      <c r="E17222" t="n">
        <v>1069</v>
      </c>
    </row>
    <row r="17223">
      <c r="A17223" t="inlineStr">
        <is>
          <t>27BBBBB17223Z5</t>
        </is>
      </c>
      <c r="B17223" t="inlineStr">
        <is>
          <t>Mar-2023</t>
        </is>
      </c>
      <c r="C17223" s="2" t="n">
        <v>43618</v>
      </c>
      <c r="D17223" t="inlineStr">
        <is>
          <t>NON-NIL</t>
        </is>
      </c>
      <c r="E17223" t="n">
        <v>2063</v>
      </c>
    </row>
    <row r="17224">
      <c r="A17224" t="inlineStr">
        <is>
          <t>27BBBBB17224Z5</t>
        </is>
      </c>
      <c r="B17224" t="inlineStr">
        <is>
          <t>Dec-2018</t>
        </is>
      </c>
      <c r="C17224" s="2" t="n">
        <v>43583</v>
      </c>
      <c r="D17224" t="inlineStr">
        <is>
          <t>NON-NIL</t>
        </is>
      </c>
      <c r="E17224" t="n">
        <v>2739</v>
      </c>
    </row>
    <row r="17225">
      <c r="A17225" t="inlineStr">
        <is>
          <t>27BBBBB17225Z5</t>
        </is>
      </c>
      <c r="B17225" t="inlineStr">
        <is>
          <t>Oct-2017</t>
        </is>
      </c>
      <c r="C17225" s="2" t="n">
        <v>44342</v>
      </c>
      <c r="D17225" t="inlineStr">
        <is>
          <t>NIL</t>
        </is>
      </c>
      <c r="E17225" t="n">
        <v>489</v>
      </c>
    </row>
    <row r="17226">
      <c r="A17226" t="inlineStr">
        <is>
          <t>27BBBBB17226Z5</t>
        </is>
      </c>
      <c r="B17226" t="inlineStr">
        <is>
          <t>Mar-2020</t>
        </is>
      </c>
      <c r="C17226" s="2" t="n">
        <v>44149</v>
      </c>
      <c r="D17226" t="inlineStr">
        <is>
          <t>NIL</t>
        </is>
      </c>
      <c r="E17226" t="n">
        <v>321</v>
      </c>
    </row>
    <row r="17227">
      <c r="A17227" t="inlineStr">
        <is>
          <t>27BBBBB17227Z5</t>
        </is>
      </c>
      <c r="B17227" t="inlineStr">
        <is>
          <t>Mar-2020</t>
        </is>
      </c>
      <c r="C17227" s="2" t="n">
        <v>44873</v>
      </c>
      <c r="D17227" t="inlineStr">
        <is>
          <t>NIL</t>
        </is>
      </c>
      <c r="E17227" t="n">
        <v>1751</v>
      </c>
    </row>
    <row r="17228">
      <c r="A17228" t="inlineStr">
        <is>
          <t>27BBBBB17228Z5</t>
        </is>
      </c>
      <c r="B17228" t="inlineStr">
        <is>
          <t>May-2020</t>
        </is>
      </c>
      <c r="C17228" s="2" t="n">
        <v>44262</v>
      </c>
      <c r="D17228" t="inlineStr">
        <is>
          <t>NIL</t>
        </is>
      </c>
      <c r="E17228" t="n">
        <v>773</v>
      </c>
    </row>
    <row r="17229">
      <c r="A17229" t="inlineStr">
        <is>
          <t>27BBBBB17229Z5</t>
        </is>
      </c>
      <c r="B17229" t="inlineStr">
        <is>
          <t>May-2018</t>
        </is>
      </c>
      <c r="C17229" s="2" t="n">
        <v>44144</v>
      </c>
      <c r="D17229" t="inlineStr">
        <is>
          <t>NON-NIL</t>
        </is>
      </c>
      <c r="E17229" t="n">
        <v>2799</v>
      </c>
    </row>
    <row r="17230">
      <c r="A17230" t="inlineStr">
        <is>
          <t>27BBBBB17230Z5</t>
        </is>
      </c>
      <c r="B17230" t="inlineStr">
        <is>
          <t>Jul-2017</t>
        </is>
      </c>
      <c r="C17230" s="2" t="n">
        <v>44324</v>
      </c>
      <c r="D17230" t="inlineStr">
        <is>
          <t>NIL</t>
        </is>
      </c>
      <c r="E17230" t="n">
        <v>634</v>
      </c>
    </row>
    <row r="17231">
      <c r="A17231" t="inlineStr">
        <is>
          <t>27BBBBB17231Z5</t>
        </is>
      </c>
      <c r="B17231" t="inlineStr">
        <is>
          <t>Feb-2018</t>
        </is>
      </c>
      <c r="C17231" s="2" t="n">
        <v>43806</v>
      </c>
      <c r="D17231" t="inlineStr">
        <is>
          <t>NIL</t>
        </is>
      </c>
      <c r="E17231" t="n">
        <v>1737</v>
      </c>
    </row>
    <row r="17232">
      <c r="A17232" t="inlineStr">
        <is>
          <t>27BBBBB17232Z5</t>
        </is>
      </c>
      <c r="B17232" t="inlineStr">
        <is>
          <t>Jul-2018</t>
        </is>
      </c>
      <c r="C17232" s="2" t="n">
        <v>42993</v>
      </c>
      <c r="D17232" t="inlineStr">
        <is>
          <t>NIL</t>
        </is>
      </c>
      <c r="E17232" t="n">
        <v>902</v>
      </c>
    </row>
    <row r="17233">
      <c r="A17233" t="inlineStr">
        <is>
          <t>27BBBBB17233Z5</t>
        </is>
      </c>
      <c r="B17233" t="inlineStr">
        <is>
          <t>Feb-2018</t>
        </is>
      </c>
      <c r="C17233" s="2" t="n">
        <v>44073</v>
      </c>
      <c r="D17233" t="inlineStr">
        <is>
          <t>NON-NIL</t>
        </is>
      </c>
      <c r="E17233" t="n">
        <v>2762</v>
      </c>
    </row>
    <row r="17234">
      <c r="A17234" t="inlineStr">
        <is>
          <t>27BBBBB17234Z5</t>
        </is>
      </c>
      <c r="B17234" t="inlineStr">
        <is>
          <t>Mar-2020</t>
        </is>
      </c>
      <c r="C17234" s="2" t="n">
        <v>43860</v>
      </c>
      <c r="D17234" t="inlineStr">
        <is>
          <t>NON-NIL</t>
        </is>
      </c>
      <c r="E17234" t="n">
        <v>2754</v>
      </c>
    </row>
    <row r="17235">
      <c r="A17235" t="inlineStr">
        <is>
          <t>27BBBBB17235Z5</t>
        </is>
      </c>
      <c r="B17235" t="inlineStr">
        <is>
          <t>Nov-2018</t>
        </is>
      </c>
      <c r="C17235" s="2" t="n">
        <v>43942</v>
      </c>
      <c r="D17235" t="inlineStr">
        <is>
          <t>NON-NIL</t>
        </is>
      </c>
      <c r="E17235" t="n">
        <v>377</v>
      </c>
    </row>
    <row r="17236">
      <c r="A17236" t="inlineStr">
        <is>
          <t>27BBBBB17236Z5</t>
        </is>
      </c>
      <c r="B17236" t="inlineStr">
        <is>
          <t>Dec-2022</t>
        </is>
      </c>
      <c r="C17236" s="2" t="n">
        <v>44851</v>
      </c>
      <c r="D17236" t="inlineStr">
        <is>
          <t>NON-NIL</t>
        </is>
      </c>
      <c r="E17236" t="n">
        <v>2880</v>
      </c>
    </row>
    <row r="17237">
      <c r="A17237" t="inlineStr">
        <is>
          <t>27BBBBB17237Z5</t>
        </is>
      </c>
      <c r="B17237" t="inlineStr">
        <is>
          <t>Jul-2020</t>
        </is>
      </c>
      <c r="C17237" s="2" t="n">
        <v>44511</v>
      </c>
      <c r="D17237" t="inlineStr">
        <is>
          <t>NIL</t>
        </is>
      </c>
      <c r="E17237" t="n">
        <v>2662</v>
      </c>
    </row>
    <row r="17238">
      <c r="A17238" t="inlineStr">
        <is>
          <t>27BBBBB17238Z5</t>
        </is>
      </c>
      <c r="B17238" t="inlineStr">
        <is>
          <t>Oct-2017</t>
        </is>
      </c>
      <c r="C17238" s="2" t="n">
        <v>43198</v>
      </c>
      <c r="D17238" t="inlineStr">
        <is>
          <t>NIL</t>
        </is>
      </c>
      <c r="E17238" t="n">
        <v>1211</v>
      </c>
    </row>
    <row r="17239">
      <c r="A17239" t="inlineStr">
        <is>
          <t>27BBBBB17239Z5</t>
        </is>
      </c>
      <c r="B17239" t="inlineStr">
        <is>
          <t>Sep-2017</t>
        </is>
      </c>
      <c r="C17239" s="2" t="n">
        <v>43594</v>
      </c>
      <c r="D17239" t="inlineStr">
        <is>
          <t>NON-NIL</t>
        </is>
      </c>
      <c r="E17239" t="n">
        <v>1955</v>
      </c>
    </row>
    <row r="17240">
      <c r="A17240" t="inlineStr">
        <is>
          <t>27BBBBB17240Z5</t>
        </is>
      </c>
      <c r="B17240" t="inlineStr">
        <is>
          <t>May-2018</t>
        </is>
      </c>
      <c r="C17240" s="2" t="n">
        <v>44439</v>
      </c>
      <c r="D17240" t="inlineStr">
        <is>
          <t>NIL</t>
        </is>
      </c>
      <c r="E17240" t="n">
        <v>459</v>
      </c>
    </row>
    <row r="17241">
      <c r="A17241" t="inlineStr">
        <is>
          <t>27BBBBB17241Z5</t>
        </is>
      </c>
      <c r="B17241" t="inlineStr">
        <is>
          <t>Mar-2018</t>
        </is>
      </c>
      <c r="C17241" s="2" t="n">
        <v>44307</v>
      </c>
      <c r="D17241" t="inlineStr">
        <is>
          <t>NON-NIL</t>
        </is>
      </c>
      <c r="E17241" t="n">
        <v>505</v>
      </c>
    </row>
    <row r="17242">
      <c r="A17242" t="inlineStr">
        <is>
          <t>27BBBBB17242Z5</t>
        </is>
      </c>
      <c r="B17242" t="inlineStr">
        <is>
          <t>Mar-2023</t>
        </is>
      </c>
      <c r="C17242" s="2" t="n">
        <v>45151</v>
      </c>
      <c r="D17242" t="inlineStr">
        <is>
          <t>NIL</t>
        </is>
      </c>
      <c r="E17242" t="n">
        <v>158</v>
      </c>
    </row>
    <row r="17243">
      <c r="A17243" t="inlineStr">
        <is>
          <t>27BBBBB17243Z5</t>
        </is>
      </c>
      <c r="B17243" t="inlineStr">
        <is>
          <t>Mar-2023</t>
        </is>
      </c>
      <c r="C17243" s="2" t="n">
        <v>45308</v>
      </c>
      <c r="D17243" t="inlineStr">
        <is>
          <t>NON-NIL</t>
        </is>
      </c>
      <c r="E17243" t="n">
        <v>2859</v>
      </c>
    </row>
    <row r="17244">
      <c r="A17244" t="inlineStr">
        <is>
          <t>27BBBBB17244Z5</t>
        </is>
      </c>
      <c r="B17244" t="inlineStr">
        <is>
          <t>Sep-2017</t>
        </is>
      </c>
      <c r="C17244" s="2" t="n">
        <v>43254</v>
      </c>
      <c r="D17244" t="inlineStr">
        <is>
          <t>NIL</t>
        </is>
      </c>
      <c r="E17244" t="n">
        <v>708</v>
      </c>
    </row>
    <row r="17245">
      <c r="A17245" t="inlineStr">
        <is>
          <t>27BBBBB17245Z5</t>
        </is>
      </c>
      <c r="B17245" t="inlineStr">
        <is>
          <t>Oct-2017</t>
        </is>
      </c>
      <c r="C17245" s="2" t="n">
        <v>43259</v>
      </c>
      <c r="D17245" t="inlineStr">
        <is>
          <t>NON-NIL</t>
        </is>
      </c>
      <c r="E17245" t="n">
        <v>1478</v>
      </c>
    </row>
    <row r="17246">
      <c r="A17246" t="inlineStr">
        <is>
          <t>27BBBBB17246Z5</t>
        </is>
      </c>
      <c r="B17246" t="inlineStr">
        <is>
          <t>May-2020</t>
        </is>
      </c>
      <c r="C17246" s="2" t="n">
        <v>43909</v>
      </c>
      <c r="D17246" t="inlineStr">
        <is>
          <t>NIL</t>
        </is>
      </c>
      <c r="E17246" t="n">
        <v>1116</v>
      </c>
    </row>
    <row r="17247">
      <c r="A17247" t="inlineStr">
        <is>
          <t>27BBBBB17247Z5</t>
        </is>
      </c>
      <c r="B17247" t="inlineStr">
        <is>
          <t>Mar-2023</t>
        </is>
      </c>
      <c r="C17247" s="2" t="n">
        <v>44667</v>
      </c>
      <c r="D17247" t="inlineStr">
        <is>
          <t>NON-NIL</t>
        </is>
      </c>
      <c r="E17247" t="n">
        <v>2627</v>
      </c>
    </row>
    <row r="17248">
      <c r="A17248" t="inlineStr">
        <is>
          <t>27BBBBB17248Z5</t>
        </is>
      </c>
      <c r="B17248" t="inlineStr">
        <is>
          <t>Jun-2020</t>
        </is>
      </c>
      <c r="C17248" s="2" t="n">
        <v>44249</v>
      </c>
      <c r="D17248" t="inlineStr">
        <is>
          <t>NON-NIL</t>
        </is>
      </c>
      <c r="E17248" t="n">
        <v>757</v>
      </c>
    </row>
    <row r="17249">
      <c r="A17249" t="inlineStr">
        <is>
          <t>27BBBBB17249Z5</t>
        </is>
      </c>
      <c r="B17249" t="inlineStr">
        <is>
          <t>Nov-2017</t>
        </is>
      </c>
      <c r="C17249" s="2" t="n">
        <v>43854</v>
      </c>
      <c r="D17249" t="inlineStr">
        <is>
          <t>NON-NIL</t>
        </is>
      </c>
      <c r="E17249" t="n">
        <v>2639</v>
      </c>
    </row>
    <row r="17250">
      <c r="A17250" t="inlineStr">
        <is>
          <t>27BBBBB17250Z5</t>
        </is>
      </c>
      <c r="B17250" t="inlineStr">
        <is>
          <t>Aug-2017</t>
        </is>
      </c>
      <c r="C17250" s="2" t="n">
        <v>44230</v>
      </c>
      <c r="D17250" t="inlineStr">
        <is>
          <t>NIL</t>
        </is>
      </c>
      <c r="E17250" t="n">
        <v>1330</v>
      </c>
    </row>
    <row r="17251">
      <c r="A17251" t="inlineStr">
        <is>
          <t>27BBBBB17251Z5</t>
        </is>
      </c>
      <c r="B17251" t="inlineStr">
        <is>
          <t>Jun-2018</t>
        </is>
      </c>
      <c r="C17251" s="2" t="n">
        <v>44182</v>
      </c>
      <c r="D17251" t="inlineStr">
        <is>
          <t>NIL</t>
        </is>
      </c>
      <c r="E17251" t="n">
        <v>218</v>
      </c>
    </row>
    <row r="17252">
      <c r="A17252" t="inlineStr">
        <is>
          <t>27BBBBB17252Z5</t>
        </is>
      </c>
      <c r="B17252" t="inlineStr">
        <is>
          <t>Jun-2020</t>
        </is>
      </c>
      <c r="C17252" s="2" t="n">
        <v>44490</v>
      </c>
      <c r="D17252" t="inlineStr">
        <is>
          <t>NIL</t>
        </is>
      </c>
      <c r="E17252" t="n">
        <v>2012</v>
      </c>
    </row>
    <row r="17253">
      <c r="A17253" t="inlineStr">
        <is>
          <t>27BBBBB17253Z5</t>
        </is>
      </c>
      <c r="B17253" t="inlineStr">
        <is>
          <t>Aug-2018</t>
        </is>
      </c>
      <c r="C17253" s="2" t="n">
        <v>44243</v>
      </c>
      <c r="D17253" t="inlineStr">
        <is>
          <t>NIL</t>
        </is>
      </c>
      <c r="E17253" t="n">
        <v>932</v>
      </c>
    </row>
    <row r="17254">
      <c r="A17254" t="inlineStr">
        <is>
          <t>27BBBBB17254Z5</t>
        </is>
      </c>
      <c r="B17254" t="inlineStr">
        <is>
          <t>Aug-2017</t>
        </is>
      </c>
      <c r="C17254" s="2" t="n">
        <v>44422</v>
      </c>
      <c r="D17254" t="inlineStr">
        <is>
          <t>NIL</t>
        </is>
      </c>
      <c r="E17254" t="n">
        <v>1785</v>
      </c>
    </row>
    <row r="17255">
      <c r="A17255" t="inlineStr">
        <is>
          <t>27BBBBB17255Z5</t>
        </is>
      </c>
      <c r="B17255" t="inlineStr">
        <is>
          <t>Sep-2018</t>
        </is>
      </c>
      <c r="C17255" s="2" t="n">
        <v>43918</v>
      </c>
      <c r="D17255" t="inlineStr">
        <is>
          <t>NIL</t>
        </is>
      </c>
      <c r="E17255" t="n">
        <v>2918</v>
      </c>
    </row>
    <row r="17256">
      <c r="A17256" t="inlineStr">
        <is>
          <t>27BBBBB17256Z5</t>
        </is>
      </c>
      <c r="B17256" t="inlineStr">
        <is>
          <t>Jul-2020</t>
        </is>
      </c>
      <c r="C17256" s="2" t="n">
        <v>43881</v>
      </c>
      <c r="D17256" t="inlineStr">
        <is>
          <t>NIL</t>
        </is>
      </c>
      <c r="E17256" t="n">
        <v>2540</v>
      </c>
    </row>
    <row r="17257">
      <c r="A17257" t="inlineStr">
        <is>
          <t>27BBBBB17257Z5</t>
        </is>
      </c>
      <c r="B17257" t="inlineStr">
        <is>
          <t>Jul-2018</t>
        </is>
      </c>
      <c r="C17257" s="2" t="n">
        <v>43469</v>
      </c>
      <c r="D17257" t="inlineStr">
        <is>
          <t>NIL</t>
        </is>
      </c>
      <c r="E17257" t="n">
        <v>2815</v>
      </c>
    </row>
    <row r="17258">
      <c r="A17258" t="inlineStr">
        <is>
          <t>27BBBBB17258Z5</t>
        </is>
      </c>
      <c r="B17258" t="inlineStr">
        <is>
          <t>Oct-2018</t>
        </is>
      </c>
      <c r="C17258" s="2" t="n">
        <v>43116</v>
      </c>
      <c r="D17258" t="inlineStr">
        <is>
          <t>NON-NIL</t>
        </is>
      </c>
      <c r="E17258" t="n">
        <v>1902</v>
      </c>
    </row>
    <row r="17259">
      <c r="A17259" t="inlineStr">
        <is>
          <t>27BBBBB17259Z5</t>
        </is>
      </c>
      <c r="B17259" t="inlineStr">
        <is>
          <t>Nov-2017</t>
        </is>
      </c>
      <c r="C17259" s="2" t="n">
        <v>44358</v>
      </c>
      <c r="D17259" t="inlineStr">
        <is>
          <t>NON-NIL</t>
        </is>
      </c>
      <c r="E17259" t="n">
        <v>2352</v>
      </c>
    </row>
    <row r="17260">
      <c r="A17260" t="inlineStr">
        <is>
          <t>27BBBBB17260Z5</t>
        </is>
      </c>
      <c r="B17260" t="inlineStr">
        <is>
          <t>Oct-2017</t>
        </is>
      </c>
      <c r="C17260" s="2" t="n">
        <v>43374</v>
      </c>
      <c r="D17260" t="inlineStr">
        <is>
          <t>NON-NIL</t>
        </is>
      </c>
      <c r="E17260" t="n">
        <v>198</v>
      </c>
    </row>
    <row r="17261">
      <c r="A17261" t="inlineStr">
        <is>
          <t>27BBBBB17261Z5</t>
        </is>
      </c>
      <c r="B17261" t="inlineStr">
        <is>
          <t>Mar-2020</t>
        </is>
      </c>
      <c r="C17261" s="2" t="n">
        <v>44486</v>
      </c>
      <c r="D17261" t="inlineStr">
        <is>
          <t>NIL</t>
        </is>
      </c>
      <c r="E17261" t="n">
        <v>2507</v>
      </c>
    </row>
    <row r="17262">
      <c r="A17262" t="inlineStr">
        <is>
          <t>27BBBBB17262Z5</t>
        </is>
      </c>
      <c r="B17262" t="inlineStr">
        <is>
          <t>Jan-2018</t>
        </is>
      </c>
      <c r="C17262" s="2" t="n">
        <v>43467</v>
      </c>
      <c r="D17262" t="inlineStr">
        <is>
          <t>NIL</t>
        </is>
      </c>
      <c r="E17262" t="n">
        <v>872</v>
      </c>
    </row>
    <row r="17263">
      <c r="A17263" t="inlineStr">
        <is>
          <t>27BBBBB17263Z5</t>
        </is>
      </c>
      <c r="B17263" t="inlineStr">
        <is>
          <t>Jul-2017</t>
        </is>
      </c>
      <c r="C17263" s="2" t="n">
        <v>43724</v>
      </c>
      <c r="D17263" t="inlineStr">
        <is>
          <t>NON-NIL</t>
        </is>
      </c>
      <c r="E17263" t="n">
        <v>2459</v>
      </c>
    </row>
    <row r="17264">
      <c r="A17264" t="inlineStr">
        <is>
          <t>27BBBBB17264Z5</t>
        </is>
      </c>
      <c r="B17264" t="inlineStr">
        <is>
          <t>Apr-2018</t>
        </is>
      </c>
      <c r="C17264" s="2" t="n">
        <v>43769</v>
      </c>
      <c r="D17264" t="inlineStr">
        <is>
          <t>NON-NIL</t>
        </is>
      </c>
      <c r="E17264" t="n">
        <v>872</v>
      </c>
    </row>
    <row r="17265">
      <c r="A17265" t="inlineStr">
        <is>
          <t>27BBBBB17265Z5</t>
        </is>
      </c>
      <c r="B17265" t="inlineStr">
        <is>
          <t>Jan-2018</t>
        </is>
      </c>
      <c r="C17265" s="2" t="n">
        <v>43048</v>
      </c>
      <c r="D17265" t="inlineStr">
        <is>
          <t>NON-NIL</t>
        </is>
      </c>
      <c r="E17265" t="n">
        <v>1972</v>
      </c>
    </row>
    <row r="17266">
      <c r="A17266" t="inlineStr">
        <is>
          <t>27BBBBB17266Z5</t>
        </is>
      </c>
      <c r="B17266" t="inlineStr">
        <is>
          <t>Dec-2024</t>
        </is>
      </c>
      <c r="C17266" s="2" t="n">
        <v>43773</v>
      </c>
      <c r="D17266" t="inlineStr">
        <is>
          <t>NON-NIL</t>
        </is>
      </c>
      <c r="E17266" t="n">
        <v>1615</v>
      </c>
    </row>
    <row r="17267">
      <c r="A17267" t="inlineStr">
        <is>
          <t>27BBBBB17267Z5</t>
        </is>
      </c>
      <c r="B17267" t="inlineStr">
        <is>
          <t>Aug-2018</t>
        </is>
      </c>
      <c r="C17267" s="2" t="n">
        <v>43152</v>
      </c>
      <c r="D17267" t="inlineStr">
        <is>
          <t>NIL</t>
        </is>
      </c>
      <c r="E17267" t="n">
        <v>989</v>
      </c>
    </row>
    <row r="17268">
      <c r="A17268" t="inlineStr">
        <is>
          <t>27BBBBB17268Z5</t>
        </is>
      </c>
      <c r="B17268" t="inlineStr">
        <is>
          <t>Jan-2021</t>
        </is>
      </c>
      <c r="C17268" s="2" t="n">
        <v>45819</v>
      </c>
      <c r="D17268" t="inlineStr">
        <is>
          <t>NIL</t>
        </is>
      </c>
      <c r="E17268" t="n">
        <v>1712</v>
      </c>
    </row>
    <row r="17269">
      <c r="A17269" t="inlineStr">
        <is>
          <t>27BBBBB17269Z5</t>
        </is>
      </c>
      <c r="B17269" t="inlineStr">
        <is>
          <t>Nov-2017</t>
        </is>
      </c>
      <c r="C17269" s="2" t="n">
        <v>43987</v>
      </c>
      <c r="D17269" t="inlineStr">
        <is>
          <t>NIL</t>
        </is>
      </c>
      <c r="E17269" t="n">
        <v>2930</v>
      </c>
    </row>
    <row r="17270">
      <c r="A17270" t="inlineStr">
        <is>
          <t>27BBBBB17270Z5</t>
        </is>
      </c>
      <c r="B17270" t="inlineStr">
        <is>
          <t>Jun-2020</t>
        </is>
      </c>
      <c r="C17270" s="2" t="n">
        <v>44893</v>
      </c>
      <c r="D17270" t="inlineStr">
        <is>
          <t>NIL</t>
        </is>
      </c>
      <c r="E17270" t="n">
        <v>1956</v>
      </c>
    </row>
    <row r="17271">
      <c r="A17271" t="inlineStr">
        <is>
          <t>27BBBBB17271Z5</t>
        </is>
      </c>
      <c r="B17271" t="inlineStr">
        <is>
          <t>Dec-2024</t>
        </is>
      </c>
      <c r="C17271" s="2" t="n">
        <v>45674</v>
      </c>
      <c r="D17271" t="inlineStr">
        <is>
          <t>NON-NIL</t>
        </is>
      </c>
      <c r="E17271" t="n">
        <v>767</v>
      </c>
    </row>
    <row r="17272">
      <c r="A17272" t="inlineStr">
        <is>
          <t>27BBBBB17272Z5</t>
        </is>
      </c>
      <c r="B17272" t="inlineStr">
        <is>
          <t>Jul-2018</t>
        </is>
      </c>
      <c r="C17272" s="2" t="n">
        <v>43490</v>
      </c>
      <c r="D17272" t="inlineStr">
        <is>
          <t>NIL</t>
        </is>
      </c>
      <c r="E17272" t="n">
        <v>2642</v>
      </c>
    </row>
    <row r="17273">
      <c r="A17273" t="inlineStr">
        <is>
          <t>27BBBBB17273Z5</t>
        </is>
      </c>
      <c r="B17273" t="inlineStr">
        <is>
          <t>Jul-2020</t>
        </is>
      </c>
      <c r="C17273" s="2" t="n">
        <v>44583</v>
      </c>
      <c r="D17273" t="inlineStr">
        <is>
          <t>NON-NIL</t>
        </is>
      </c>
      <c r="E17273" t="n">
        <v>1511</v>
      </c>
    </row>
    <row r="17274">
      <c r="A17274" t="inlineStr">
        <is>
          <t>27BBBBB17274Z5</t>
        </is>
      </c>
      <c r="B17274" t="inlineStr">
        <is>
          <t>Jan-2021</t>
        </is>
      </c>
      <c r="C17274" s="2" t="n">
        <v>44206</v>
      </c>
      <c r="D17274" t="inlineStr">
        <is>
          <t>NON-NIL</t>
        </is>
      </c>
      <c r="E17274" t="n">
        <v>545</v>
      </c>
    </row>
    <row r="17275">
      <c r="A17275" t="inlineStr">
        <is>
          <t>27BBBBB17275Z5</t>
        </is>
      </c>
      <c r="B17275" t="inlineStr">
        <is>
          <t>Mar-2018</t>
        </is>
      </c>
      <c r="C17275" s="2" t="n">
        <v>43066</v>
      </c>
      <c r="D17275" t="inlineStr">
        <is>
          <t>NON-NIL</t>
        </is>
      </c>
      <c r="E17275" t="n">
        <v>312</v>
      </c>
    </row>
    <row r="17276">
      <c r="A17276" t="inlineStr">
        <is>
          <t>27BBBBB17276Z5</t>
        </is>
      </c>
      <c r="B17276" t="inlineStr">
        <is>
          <t>Jul-2018</t>
        </is>
      </c>
      <c r="C17276" s="2" t="n">
        <v>44516</v>
      </c>
      <c r="D17276" t="inlineStr">
        <is>
          <t>NON-NIL</t>
        </is>
      </c>
      <c r="E17276" t="n">
        <v>995</v>
      </c>
    </row>
    <row r="17277">
      <c r="A17277" t="inlineStr">
        <is>
          <t>27BBBBB17277Z5</t>
        </is>
      </c>
      <c r="B17277" t="inlineStr">
        <is>
          <t>Nov-2018</t>
        </is>
      </c>
      <c r="C17277" s="2" t="n">
        <v>43914</v>
      </c>
      <c r="D17277" t="inlineStr">
        <is>
          <t>NIL</t>
        </is>
      </c>
      <c r="E17277" t="n">
        <v>962</v>
      </c>
    </row>
    <row r="17278">
      <c r="A17278" t="inlineStr">
        <is>
          <t>27BBBBB17278Z5</t>
        </is>
      </c>
      <c r="B17278" t="inlineStr">
        <is>
          <t>Mar-2020</t>
        </is>
      </c>
      <c r="C17278" s="2" t="n">
        <v>44566</v>
      </c>
      <c r="D17278" t="inlineStr">
        <is>
          <t>NIL</t>
        </is>
      </c>
      <c r="E17278" t="n">
        <v>1981</v>
      </c>
    </row>
    <row r="17279">
      <c r="A17279" t="inlineStr">
        <is>
          <t>27BBBBB17279Z5</t>
        </is>
      </c>
      <c r="B17279" t="inlineStr">
        <is>
          <t>Jul-2020</t>
        </is>
      </c>
      <c r="C17279" s="2" t="n">
        <v>44382</v>
      </c>
      <c r="D17279" t="inlineStr">
        <is>
          <t>NON-NIL</t>
        </is>
      </c>
      <c r="E17279" t="n">
        <v>2564</v>
      </c>
    </row>
    <row r="17280">
      <c r="A17280" t="inlineStr">
        <is>
          <t>27BBBBB17280Z5</t>
        </is>
      </c>
      <c r="B17280" t="inlineStr">
        <is>
          <t>Sep-2017</t>
        </is>
      </c>
      <c r="C17280" s="2" t="n">
        <v>44534</v>
      </c>
      <c r="D17280" t="inlineStr">
        <is>
          <t>NON-NIL</t>
        </is>
      </c>
      <c r="E17280" t="n">
        <v>2166</v>
      </c>
    </row>
    <row r="17281">
      <c r="A17281" t="inlineStr">
        <is>
          <t>27BBBBB17281Z5</t>
        </is>
      </c>
      <c r="B17281" t="inlineStr">
        <is>
          <t>Sep-2017</t>
        </is>
      </c>
      <c r="C17281" s="2" t="n">
        <v>43398</v>
      </c>
      <c r="D17281" t="inlineStr">
        <is>
          <t>NIL</t>
        </is>
      </c>
      <c r="E17281" t="n">
        <v>2758</v>
      </c>
    </row>
    <row r="17282">
      <c r="A17282" t="inlineStr">
        <is>
          <t>27BBBBB17282Z5</t>
        </is>
      </c>
      <c r="B17282" t="inlineStr">
        <is>
          <t>Aug-2018</t>
        </is>
      </c>
      <c r="C17282" s="2" t="n">
        <v>43865</v>
      </c>
      <c r="D17282" t="inlineStr">
        <is>
          <t>NIL</t>
        </is>
      </c>
      <c r="E17282" t="n">
        <v>856</v>
      </c>
    </row>
    <row r="17283">
      <c r="A17283" t="inlineStr">
        <is>
          <t>27BBBBB17283Z5</t>
        </is>
      </c>
      <c r="B17283" t="inlineStr">
        <is>
          <t>Mar-2018</t>
        </is>
      </c>
      <c r="C17283" s="2" t="n">
        <v>43504</v>
      </c>
      <c r="D17283" t="inlineStr">
        <is>
          <t>NIL</t>
        </is>
      </c>
      <c r="E17283" t="n">
        <v>1723</v>
      </c>
    </row>
    <row r="17284">
      <c r="A17284" t="inlineStr">
        <is>
          <t>27BBBBB17284Z5</t>
        </is>
      </c>
      <c r="B17284" t="inlineStr">
        <is>
          <t>Dec-2018</t>
        </is>
      </c>
      <c r="C17284" s="2" t="n">
        <v>43342</v>
      </c>
      <c r="D17284" t="inlineStr">
        <is>
          <t>NON-NIL</t>
        </is>
      </c>
      <c r="E17284" t="n">
        <v>2289</v>
      </c>
    </row>
    <row r="17285">
      <c r="A17285" t="inlineStr">
        <is>
          <t>27BBBBB17285Z5</t>
        </is>
      </c>
      <c r="B17285" t="inlineStr">
        <is>
          <t>Mar-2023</t>
        </is>
      </c>
      <c r="C17285" s="2" t="n">
        <v>44060</v>
      </c>
      <c r="D17285" t="inlineStr">
        <is>
          <t>NON-NIL</t>
        </is>
      </c>
      <c r="E17285" t="n">
        <v>1479</v>
      </c>
    </row>
    <row r="17286">
      <c r="A17286" t="inlineStr">
        <is>
          <t>27BBBBB17286Z5</t>
        </is>
      </c>
      <c r="B17286" t="inlineStr">
        <is>
          <t>Apr-2018</t>
        </is>
      </c>
      <c r="C17286" s="2" t="n">
        <v>44149</v>
      </c>
      <c r="D17286" t="inlineStr">
        <is>
          <t>NON-NIL</t>
        </is>
      </c>
      <c r="E17286" t="n">
        <v>650</v>
      </c>
    </row>
    <row r="17287">
      <c r="A17287" t="inlineStr">
        <is>
          <t>27BBBBB17287Z5</t>
        </is>
      </c>
      <c r="B17287" t="inlineStr">
        <is>
          <t>Oct-2018</t>
        </is>
      </c>
      <c r="C17287" s="2" t="n">
        <v>44544</v>
      </c>
      <c r="D17287" t="inlineStr">
        <is>
          <t>NON-NIL</t>
        </is>
      </c>
      <c r="E17287" t="n">
        <v>461</v>
      </c>
    </row>
    <row r="17288">
      <c r="A17288" t="inlineStr">
        <is>
          <t>27BBBBB17288Z5</t>
        </is>
      </c>
      <c r="B17288" t="inlineStr">
        <is>
          <t>Jun-2020</t>
        </is>
      </c>
      <c r="C17288" s="2" t="n">
        <v>44245</v>
      </c>
      <c r="D17288" t="inlineStr">
        <is>
          <t>NIL</t>
        </is>
      </c>
      <c r="E17288" t="n">
        <v>124</v>
      </c>
    </row>
    <row r="17289">
      <c r="A17289" t="inlineStr">
        <is>
          <t>27BBBBB17289Z5</t>
        </is>
      </c>
      <c r="B17289" t="inlineStr">
        <is>
          <t>Jun-2020</t>
        </is>
      </c>
      <c r="C17289" s="2" t="n">
        <v>44245</v>
      </c>
      <c r="D17289" t="inlineStr">
        <is>
          <t>NIL</t>
        </is>
      </c>
      <c r="E17289" t="n">
        <v>916</v>
      </c>
    </row>
    <row r="17290">
      <c r="A17290" t="inlineStr">
        <is>
          <t>27BBBBB17290Z5</t>
        </is>
      </c>
      <c r="B17290" t="inlineStr">
        <is>
          <t>Feb-2018</t>
        </is>
      </c>
      <c r="C17290" s="2" t="n">
        <v>43145</v>
      </c>
      <c r="D17290" t="inlineStr">
        <is>
          <t>NIL</t>
        </is>
      </c>
      <c r="E17290" t="n">
        <v>1005</v>
      </c>
    </row>
    <row r="17291">
      <c r="A17291" t="inlineStr">
        <is>
          <t>27BBBBB17291Z5</t>
        </is>
      </c>
      <c r="B17291" t="inlineStr">
        <is>
          <t>Jan-2018</t>
        </is>
      </c>
      <c r="C17291" s="2" t="n">
        <v>43843</v>
      </c>
      <c r="D17291" t="inlineStr">
        <is>
          <t>NIL</t>
        </is>
      </c>
      <c r="E17291" t="n">
        <v>2961</v>
      </c>
    </row>
    <row r="17292">
      <c r="A17292" t="inlineStr">
        <is>
          <t>27BBBBB17292Z5</t>
        </is>
      </c>
      <c r="B17292" t="inlineStr">
        <is>
          <t>Jan-2021</t>
        </is>
      </c>
      <c r="C17292" s="2" t="n">
        <v>44417</v>
      </c>
      <c r="D17292" t="inlineStr">
        <is>
          <t>NON-NIL</t>
        </is>
      </c>
      <c r="E17292" t="n">
        <v>364</v>
      </c>
    </row>
    <row r="17293">
      <c r="A17293" t="inlineStr">
        <is>
          <t>27BBBBB17293Z5</t>
        </is>
      </c>
      <c r="B17293" t="inlineStr">
        <is>
          <t>Mar-2020</t>
        </is>
      </c>
      <c r="C17293" s="2" t="n">
        <v>43989</v>
      </c>
      <c r="D17293" t="inlineStr">
        <is>
          <t>NIL</t>
        </is>
      </c>
      <c r="E17293" t="n">
        <v>1266</v>
      </c>
    </row>
    <row r="17294">
      <c r="A17294" t="inlineStr">
        <is>
          <t>27BBBBB17294Z5</t>
        </is>
      </c>
      <c r="B17294" t="inlineStr">
        <is>
          <t>Jun-2020</t>
        </is>
      </c>
      <c r="C17294" s="2" t="n">
        <v>44307</v>
      </c>
      <c r="D17294" t="inlineStr">
        <is>
          <t>NIL</t>
        </is>
      </c>
      <c r="E17294" t="n">
        <v>1762</v>
      </c>
    </row>
    <row r="17295">
      <c r="A17295" t="inlineStr">
        <is>
          <t>27BBBBB17295Z5</t>
        </is>
      </c>
      <c r="B17295" t="inlineStr">
        <is>
          <t>Apr-2020</t>
        </is>
      </c>
      <c r="C17295" s="2" t="n">
        <v>44070</v>
      </c>
      <c r="D17295" t="inlineStr">
        <is>
          <t>NON-NIL</t>
        </is>
      </c>
      <c r="E17295" t="n">
        <v>890</v>
      </c>
    </row>
    <row r="17296">
      <c r="A17296" t="inlineStr">
        <is>
          <t>27BBBBB17296Z5</t>
        </is>
      </c>
      <c r="B17296" t="inlineStr">
        <is>
          <t>Jan-2018</t>
        </is>
      </c>
      <c r="C17296" s="2" t="n">
        <v>44116</v>
      </c>
      <c r="D17296" t="inlineStr">
        <is>
          <t>NIL</t>
        </is>
      </c>
      <c r="E17296" t="n">
        <v>681</v>
      </c>
    </row>
    <row r="17297">
      <c r="A17297" t="inlineStr">
        <is>
          <t>27BBBBB17297Z5</t>
        </is>
      </c>
      <c r="B17297" t="inlineStr">
        <is>
          <t>Jun-2018</t>
        </is>
      </c>
      <c r="C17297" s="2" t="n">
        <v>43574</v>
      </c>
      <c r="D17297" t="inlineStr">
        <is>
          <t>NIL</t>
        </is>
      </c>
      <c r="E17297" t="n">
        <v>412</v>
      </c>
    </row>
    <row r="17298">
      <c r="A17298" t="inlineStr">
        <is>
          <t>27BBBBB17298Z5</t>
        </is>
      </c>
      <c r="B17298" t="inlineStr">
        <is>
          <t>Sep-2017</t>
        </is>
      </c>
      <c r="C17298" s="2" t="n">
        <v>44046</v>
      </c>
      <c r="D17298" t="inlineStr">
        <is>
          <t>NON-NIL</t>
        </is>
      </c>
      <c r="E17298" t="n">
        <v>631</v>
      </c>
    </row>
    <row r="17299">
      <c r="A17299" t="inlineStr">
        <is>
          <t>27BBBBB17299Z5</t>
        </is>
      </c>
      <c r="B17299" t="inlineStr">
        <is>
          <t>Dec-2018</t>
        </is>
      </c>
      <c r="C17299" s="2" t="n">
        <v>43845</v>
      </c>
      <c r="D17299" t="inlineStr">
        <is>
          <t>NON-NIL</t>
        </is>
      </c>
      <c r="E17299" t="n">
        <v>1596</v>
      </c>
    </row>
    <row r="17300">
      <c r="A17300" t="inlineStr">
        <is>
          <t>27BBBBB17300Z5</t>
        </is>
      </c>
      <c r="B17300" t="inlineStr">
        <is>
          <t>Jun-2020</t>
        </is>
      </c>
      <c r="C17300" s="2" t="n">
        <v>44312</v>
      </c>
      <c r="D17300" t="inlineStr">
        <is>
          <t>NIL</t>
        </is>
      </c>
      <c r="E17300" t="n">
        <v>1352</v>
      </c>
    </row>
    <row r="17301">
      <c r="A17301" t="inlineStr">
        <is>
          <t>27BBBBB17301Z5</t>
        </is>
      </c>
      <c r="B17301" t="inlineStr">
        <is>
          <t>Jan-2018</t>
        </is>
      </c>
      <c r="C17301" s="2" t="n">
        <v>44510</v>
      </c>
      <c r="D17301" t="inlineStr">
        <is>
          <t>NIL</t>
        </is>
      </c>
      <c r="E17301" t="n">
        <v>1925</v>
      </c>
    </row>
    <row r="17302">
      <c r="A17302" t="inlineStr">
        <is>
          <t>27BBBBB17302Z5</t>
        </is>
      </c>
      <c r="B17302" t="inlineStr">
        <is>
          <t>Mar-2021</t>
        </is>
      </c>
      <c r="C17302" s="2" t="n">
        <v>45377</v>
      </c>
      <c r="D17302" t="inlineStr">
        <is>
          <t>NON-NIL</t>
        </is>
      </c>
      <c r="E17302" t="n">
        <v>3</v>
      </c>
    </row>
    <row r="17303">
      <c r="A17303" t="inlineStr">
        <is>
          <t>27BBBBB17303Z5</t>
        </is>
      </c>
      <c r="B17303" t="inlineStr">
        <is>
          <t>Oct-2017</t>
        </is>
      </c>
      <c r="C17303" s="2" t="n">
        <v>43384</v>
      </c>
      <c r="D17303" t="inlineStr">
        <is>
          <t>NIL</t>
        </is>
      </c>
      <c r="E17303" t="n">
        <v>1702</v>
      </c>
    </row>
    <row r="17304">
      <c r="A17304" t="inlineStr">
        <is>
          <t>27BBBBB17304Z5</t>
        </is>
      </c>
      <c r="B17304" t="inlineStr">
        <is>
          <t>Jan-2021</t>
        </is>
      </c>
      <c r="C17304" s="2" t="n">
        <v>45662</v>
      </c>
      <c r="D17304" t="inlineStr">
        <is>
          <t>NON-NIL</t>
        </is>
      </c>
      <c r="E17304" t="n">
        <v>954</v>
      </c>
    </row>
    <row r="17305">
      <c r="A17305" t="inlineStr">
        <is>
          <t>27BBBBB17305Z5</t>
        </is>
      </c>
      <c r="B17305" t="inlineStr">
        <is>
          <t>Oct-2017</t>
        </is>
      </c>
      <c r="C17305" s="2" t="n">
        <v>43078</v>
      </c>
      <c r="D17305" t="inlineStr">
        <is>
          <t>NON-NIL</t>
        </is>
      </c>
      <c r="E17305" t="n">
        <v>2437</v>
      </c>
    </row>
    <row r="17306">
      <c r="A17306" t="inlineStr">
        <is>
          <t>27BBBBB17306Z5</t>
        </is>
      </c>
      <c r="B17306" t="inlineStr">
        <is>
          <t>Jul-2017</t>
        </is>
      </c>
      <c r="C17306" s="2" t="n">
        <v>44560</v>
      </c>
      <c r="D17306" t="inlineStr">
        <is>
          <t>NON-NIL</t>
        </is>
      </c>
      <c r="E17306" t="n">
        <v>177</v>
      </c>
    </row>
    <row r="17307">
      <c r="A17307" t="inlineStr">
        <is>
          <t>27BBBBB17307Z5</t>
        </is>
      </c>
      <c r="B17307" t="inlineStr">
        <is>
          <t>Mar-2018</t>
        </is>
      </c>
      <c r="C17307" s="2" t="n">
        <v>43693</v>
      </c>
      <c r="D17307" t="inlineStr">
        <is>
          <t>NON-NIL</t>
        </is>
      </c>
      <c r="E17307" t="n">
        <v>2551</v>
      </c>
    </row>
    <row r="17308">
      <c r="A17308" t="inlineStr">
        <is>
          <t>27BBBBB17308Z5</t>
        </is>
      </c>
      <c r="B17308" t="inlineStr">
        <is>
          <t>Feb-2018</t>
        </is>
      </c>
      <c r="C17308" s="2" t="n">
        <v>43274</v>
      </c>
      <c r="D17308" t="inlineStr">
        <is>
          <t>NIL</t>
        </is>
      </c>
      <c r="E17308" t="n">
        <v>1681</v>
      </c>
    </row>
    <row r="17309">
      <c r="A17309" t="inlineStr">
        <is>
          <t>27BBBBB17309Z5</t>
        </is>
      </c>
      <c r="B17309" t="inlineStr">
        <is>
          <t>Oct-2018</t>
        </is>
      </c>
      <c r="C17309" s="2" t="n">
        <v>42957</v>
      </c>
      <c r="D17309" t="inlineStr">
        <is>
          <t>NON-NIL</t>
        </is>
      </c>
      <c r="E17309" t="n">
        <v>1015</v>
      </c>
    </row>
    <row r="17310">
      <c r="A17310" t="inlineStr">
        <is>
          <t>27BBBBB17310Z5</t>
        </is>
      </c>
      <c r="B17310" t="inlineStr">
        <is>
          <t>Aug-2018</t>
        </is>
      </c>
      <c r="C17310" s="2" t="n">
        <v>44379</v>
      </c>
      <c r="D17310" t="inlineStr">
        <is>
          <t>NIL</t>
        </is>
      </c>
      <c r="E17310" t="n">
        <v>2833</v>
      </c>
    </row>
    <row r="17311">
      <c r="A17311" t="inlineStr">
        <is>
          <t>27BBBBB17311Z5</t>
        </is>
      </c>
      <c r="B17311" t="inlineStr">
        <is>
          <t>Jul-2017</t>
        </is>
      </c>
      <c r="C17311" s="2" t="n">
        <v>43604</v>
      </c>
      <c r="D17311" t="inlineStr">
        <is>
          <t>NIL</t>
        </is>
      </c>
      <c r="E17311" t="n">
        <v>2634</v>
      </c>
    </row>
    <row r="17312">
      <c r="A17312" t="inlineStr">
        <is>
          <t>27BBBBB17312Z5</t>
        </is>
      </c>
      <c r="B17312" t="inlineStr">
        <is>
          <t>Dec-2024</t>
        </is>
      </c>
      <c r="C17312" s="2" t="n">
        <v>44973</v>
      </c>
      <c r="D17312" t="inlineStr">
        <is>
          <t>NIL</t>
        </is>
      </c>
      <c r="E17312" t="n">
        <v>2980</v>
      </c>
    </row>
    <row r="17313">
      <c r="A17313" t="inlineStr">
        <is>
          <t>27BBBBB17313Z5</t>
        </is>
      </c>
      <c r="B17313" t="inlineStr">
        <is>
          <t>Jan-2018</t>
        </is>
      </c>
      <c r="C17313" s="2" t="n">
        <v>43451</v>
      </c>
      <c r="D17313" t="inlineStr">
        <is>
          <t>NIL</t>
        </is>
      </c>
      <c r="E17313" t="n">
        <v>1877</v>
      </c>
    </row>
    <row r="17314">
      <c r="A17314" t="inlineStr">
        <is>
          <t>27BBBBB17314Z5</t>
        </is>
      </c>
      <c r="B17314" t="inlineStr">
        <is>
          <t>Jul-2020</t>
        </is>
      </c>
      <c r="C17314" s="2" t="n">
        <v>44127</v>
      </c>
      <c r="D17314" t="inlineStr">
        <is>
          <t>NIL</t>
        </is>
      </c>
      <c r="E17314" t="n">
        <v>1441</v>
      </c>
    </row>
    <row r="17315">
      <c r="A17315" t="inlineStr">
        <is>
          <t>27BBBBB17315Z5</t>
        </is>
      </c>
      <c r="B17315" t="inlineStr">
        <is>
          <t>May-2018</t>
        </is>
      </c>
      <c r="C17315" s="2" t="n">
        <v>44304</v>
      </c>
      <c r="D17315" t="inlineStr">
        <is>
          <t>NIL</t>
        </is>
      </c>
      <c r="E17315" t="n">
        <v>1272</v>
      </c>
    </row>
    <row r="17316">
      <c r="A17316" t="inlineStr">
        <is>
          <t>27BBBBB17316Z5</t>
        </is>
      </c>
      <c r="B17316" t="inlineStr">
        <is>
          <t>Jul-2018</t>
        </is>
      </c>
      <c r="C17316" s="2" t="n">
        <v>44226</v>
      </c>
      <c r="D17316" t="inlineStr">
        <is>
          <t>NIL</t>
        </is>
      </c>
      <c r="E17316" t="n">
        <v>2986</v>
      </c>
    </row>
    <row r="17317">
      <c r="A17317" t="inlineStr">
        <is>
          <t>27BBBBB17317Z5</t>
        </is>
      </c>
      <c r="B17317" t="inlineStr">
        <is>
          <t>Mar-2023</t>
        </is>
      </c>
      <c r="C17317" s="2" t="n">
        <v>45132</v>
      </c>
      <c r="D17317" t="inlineStr">
        <is>
          <t>NIL</t>
        </is>
      </c>
      <c r="E17317" t="n">
        <v>1369</v>
      </c>
    </row>
    <row r="17318">
      <c r="A17318" t="inlineStr">
        <is>
          <t>27BBBBB17318Z5</t>
        </is>
      </c>
      <c r="B17318" t="inlineStr">
        <is>
          <t>Jun-2020</t>
        </is>
      </c>
      <c r="C17318" s="2" t="n">
        <v>44318</v>
      </c>
      <c r="D17318" t="inlineStr">
        <is>
          <t>NIL</t>
        </is>
      </c>
      <c r="E17318" t="n">
        <v>2961</v>
      </c>
    </row>
    <row r="17319">
      <c r="A17319" t="inlineStr">
        <is>
          <t>27BBBBB17319Z5</t>
        </is>
      </c>
      <c r="B17319" t="inlineStr">
        <is>
          <t>Apr-2020</t>
        </is>
      </c>
      <c r="C17319" s="2" t="n">
        <v>44636</v>
      </c>
      <c r="D17319" t="inlineStr">
        <is>
          <t>NIL</t>
        </is>
      </c>
      <c r="E17319" t="n">
        <v>789</v>
      </c>
    </row>
    <row r="17320">
      <c r="A17320" t="inlineStr">
        <is>
          <t>27BBBBB17320Z5</t>
        </is>
      </c>
      <c r="B17320" t="inlineStr">
        <is>
          <t>Feb-2018</t>
        </is>
      </c>
      <c r="C17320" s="2" t="n">
        <v>43118</v>
      </c>
      <c r="D17320" t="inlineStr">
        <is>
          <t>NON-NIL</t>
        </is>
      </c>
      <c r="E17320" t="n">
        <v>737</v>
      </c>
    </row>
    <row r="17321">
      <c r="A17321" t="inlineStr">
        <is>
          <t>27BBBBB17321Z5</t>
        </is>
      </c>
      <c r="B17321" t="inlineStr">
        <is>
          <t>May-2018</t>
        </is>
      </c>
      <c r="C17321" s="2" t="n">
        <v>43329</v>
      </c>
      <c r="D17321" t="inlineStr">
        <is>
          <t>NIL</t>
        </is>
      </c>
      <c r="E17321" t="n">
        <v>2507</v>
      </c>
    </row>
    <row r="17322">
      <c r="A17322" t="inlineStr">
        <is>
          <t>27BBBBB17322Z5</t>
        </is>
      </c>
      <c r="B17322" t="inlineStr">
        <is>
          <t>Oct-2018</t>
        </is>
      </c>
      <c r="C17322" s="2" t="n">
        <v>44227</v>
      </c>
      <c r="D17322" t="inlineStr">
        <is>
          <t>NIL</t>
        </is>
      </c>
      <c r="E17322" t="n">
        <v>2304</v>
      </c>
    </row>
    <row r="17323">
      <c r="A17323" t="inlineStr">
        <is>
          <t>27BBBBB17323Z5</t>
        </is>
      </c>
      <c r="B17323" t="inlineStr">
        <is>
          <t>Mar-2023</t>
        </is>
      </c>
      <c r="C17323" s="2" t="n">
        <v>43720</v>
      </c>
      <c r="D17323" t="inlineStr">
        <is>
          <t>NIL</t>
        </is>
      </c>
      <c r="E17323" t="n">
        <v>2856</v>
      </c>
    </row>
    <row r="17324">
      <c r="A17324" t="inlineStr">
        <is>
          <t>27BBBBB17324Z5</t>
        </is>
      </c>
      <c r="B17324" t="inlineStr">
        <is>
          <t>Nov-2017</t>
        </is>
      </c>
      <c r="C17324" s="2" t="n">
        <v>44550</v>
      </c>
      <c r="D17324" t="inlineStr">
        <is>
          <t>NIL</t>
        </is>
      </c>
      <c r="E17324" t="n">
        <v>825</v>
      </c>
    </row>
    <row r="17325">
      <c r="A17325" t="inlineStr">
        <is>
          <t>27BBBBB17325Z5</t>
        </is>
      </c>
      <c r="B17325" t="inlineStr">
        <is>
          <t>Jan-2018</t>
        </is>
      </c>
      <c r="C17325" s="2" t="n">
        <v>44552</v>
      </c>
      <c r="D17325" t="inlineStr">
        <is>
          <t>NON-NIL</t>
        </is>
      </c>
      <c r="E17325" t="n">
        <v>2234</v>
      </c>
    </row>
    <row r="17326">
      <c r="A17326" t="inlineStr">
        <is>
          <t>27BBBBB17326Z5</t>
        </is>
      </c>
      <c r="B17326" t="inlineStr">
        <is>
          <t>Mar-2018</t>
        </is>
      </c>
      <c r="C17326" s="2" t="n">
        <v>44235</v>
      </c>
      <c r="D17326" t="inlineStr">
        <is>
          <t>NON-NIL</t>
        </is>
      </c>
      <c r="E17326" t="n">
        <v>77</v>
      </c>
    </row>
    <row r="17327">
      <c r="A17327" t="inlineStr">
        <is>
          <t>27BBBBB17327Z5</t>
        </is>
      </c>
      <c r="B17327" t="inlineStr">
        <is>
          <t>Aug-2017</t>
        </is>
      </c>
      <c r="C17327" s="2" t="n">
        <v>43783</v>
      </c>
      <c r="D17327" t="inlineStr">
        <is>
          <t>NIL</t>
        </is>
      </c>
      <c r="E17327" t="n">
        <v>860</v>
      </c>
    </row>
    <row r="17328">
      <c r="A17328" t="inlineStr">
        <is>
          <t>27BBBBB17328Z5</t>
        </is>
      </c>
      <c r="B17328" t="inlineStr">
        <is>
          <t>Jul-2017</t>
        </is>
      </c>
      <c r="C17328" s="2" t="n">
        <v>44525</v>
      </c>
      <c r="D17328" t="inlineStr">
        <is>
          <t>NIL</t>
        </is>
      </c>
      <c r="E17328" t="n">
        <v>2191</v>
      </c>
    </row>
    <row r="17329">
      <c r="A17329" t="inlineStr">
        <is>
          <t>27BBBBB17329Z5</t>
        </is>
      </c>
      <c r="B17329" t="inlineStr">
        <is>
          <t>Jul-2018</t>
        </is>
      </c>
      <c r="C17329" s="2" t="n">
        <v>43376</v>
      </c>
      <c r="D17329" t="inlineStr">
        <is>
          <t>NON-NIL</t>
        </is>
      </c>
      <c r="E17329" t="n">
        <v>1064</v>
      </c>
    </row>
    <row r="17330">
      <c r="A17330" t="inlineStr">
        <is>
          <t>27BBBBB17330Z5</t>
        </is>
      </c>
      <c r="B17330" t="inlineStr">
        <is>
          <t>Mar-2020</t>
        </is>
      </c>
      <c r="C17330" s="2" t="n">
        <v>44177</v>
      </c>
      <c r="D17330" t="inlineStr">
        <is>
          <t>NON-NIL</t>
        </is>
      </c>
      <c r="E17330" t="n">
        <v>2524</v>
      </c>
    </row>
    <row r="17331">
      <c r="A17331" t="inlineStr">
        <is>
          <t>27BBBBB17331Z5</t>
        </is>
      </c>
      <c r="B17331" t="inlineStr">
        <is>
          <t>Nov-2017</t>
        </is>
      </c>
      <c r="C17331" s="2" t="n">
        <v>43457</v>
      </c>
      <c r="D17331" t="inlineStr">
        <is>
          <t>NIL</t>
        </is>
      </c>
      <c r="E17331" t="n">
        <v>2642</v>
      </c>
    </row>
    <row r="17332">
      <c r="A17332" t="inlineStr">
        <is>
          <t>27BBBBB17332Z5</t>
        </is>
      </c>
      <c r="B17332" t="inlineStr">
        <is>
          <t>Nov-2018</t>
        </is>
      </c>
      <c r="C17332" s="2" t="n">
        <v>44313</v>
      </c>
      <c r="D17332" t="inlineStr">
        <is>
          <t>NIL</t>
        </is>
      </c>
      <c r="E17332" t="n">
        <v>2048</v>
      </c>
    </row>
    <row r="17333">
      <c r="A17333" t="inlineStr">
        <is>
          <t>27BBBBB17333Z5</t>
        </is>
      </c>
      <c r="B17333" t="inlineStr">
        <is>
          <t>Jun-2018</t>
        </is>
      </c>
      <c r="C17333" s="2" t="n">
        <v>44494</v>
      </c>
      <c r="D17333" t="inlineStr">
        <is>
          <t>NON-NIL</t>
        </is>
      </c>
      <c r="E17333" t="n">
        <v>215</v>
      </c>
    </row>
    <row r="17334">
      <c r="A17334" t="inlineStr">
        <is>
          <t>27BBBBB17334Z5</t>
        </is>
      </c>
      <c r="B17334" t="inlineStr">
        <is>
          <t>Apr-2020</t>
        </is>
      </c>
      <c r="C17334" s="2" t="n">
        <v>44046</v>
      </c>
      <c r="D17334" t="inlineStr">
        <is>
          <t>NON-NIL</t>
        </is>
      </c>
      <c r="E17334" t="n">
        <v>1069</v>
      </c>
    </row>
    <row r="17335">
      <c r="A17335" t="inlineStr">
        <is>
          <t>27BBBBB17335Z5</t>
        </is>
      </c>
      <c r="B17335" t="inlineStr">
        <is>
          <t>Dec-2017</t>
        </is>
      </c>
      <c r="C17335" s="2" t="n">
        <v>42970</v>
      </c>
      <c r="D17335" t="inlineStr">
        <is>
          <t>NON-NIL</t>
        </is>
      </c>
      <c r="E17335" t="n">
        <v>2330</v>
      </c>
    </row>
    <row r="17336">
      <c r="A17336" t="inlineStr">
        <is>
          <t>27BBBBB17336Z5</t>
        </is>
      </c>
      <c r="B17336" t="inlineStr">
        <is>
          <t>Nov-2017</t>
        </is>
      </c>
      <c r="C17336" s="2" t="n">
        <v>44222</v>
      </c>
      <c r="D17336" t="inlineStr">
        <is>
          <t>NON-NIL</t>
        </is>
      </c>
      <c r="E17336" t="n">
        <v>1572</v>
      </c>
    </row>
    <row r="17337">
      <c r="A17337" t="inlineStr">
        <is>
          <t>27BBBBB17337Z5</t>
        </is>
      </c>
      <c r="B17337" t="inlineStr">
        <is>
          <t>Jun-2018</t>
        </is>
      </c>
      <c r="C17337" s="2" t="n">
        <v>43179</v>
      </c>
      <c r="D17337" t="inlineStr">
        <is>
          <t>NIL</t>
        </is>
      </c>
      <c r="E17337" t="n">
        <v>2370</v>
      </c>
    </row>
    <row r="17338">
      <c r="A17338" t="inlineStr">
        <is>
          <t>27BBBBB17338Z5</t>
        </is>
      </c>
      <c r="B17338" t="inlineStr">
        <is>
          <t>Jan-2018</t>
        </is>
      </c>
      <c r="C17338" s="2" t="n">
        <v>42918</v>
      </c>
      <c r="D17338" t="inlineStr">
        <is>
          <t>NON-NIL</t>
        </is>
      </c>
      <c r="E17338" t="n">
        <v>2856</v>
      </c>
    </row>
    <row r="17339">
      <c r="A17339" t="inlineStr">
        <is>
          <t>27BBBBB17339Z5</t>
        </is>
      </c>
      <c r="B17339" t="inlineStr">
        <is>
          <t>Jul-2018</t>
        </is>
      </c>
      <c r="C17339" s="2" t="n">
        <v>43906</v>
      </c>
      <c r="D17339" t="inlineStr">
        <is>
          <t>NON-NIL</t>
        </is>
      </c>
      <c r="E17339" t="n">
        <v>434</v>
      </c>
    </row>
    <row r="17340">
      <c r="A17340" t="inlineStr">
        <is>
          <t>27BBBBB17340Z5</t>
        </is>
      </c>
      <c r="B17340" t="inlineStr">
        <is>
          <t>Mar-2018</t>
        </is>
      </c>
      <c r="C17340" s="2" t="n">
        <v>44385</v>
      </c>
      <c r="D17340" t="inlineStr">
        <is>
          <t>NON-NIL</t>
        </is>
      </c>
      <c r="E17340" t="n">
        <v>723</v>
      </c>
    </row>
    <row r="17341">
      <c r="A17341" t="inlineStr">
        <is>
          <t>27BBBBB17341Z5</t>
        </is>
      </c>
      <c r="B17341" t="inlineStr">
        <is>
          <t>Mar-2021</t>
        </is>
      </c>
      <c r="C17341" s="2" t="n">
        <v>45209</v>
      </c>
      <c r="D17341" t="inlineStr">
        <is>
          <t>NON-NIL</t>
        </is>
      </c>
      <c r="E17341" t="n">
        <v>2239</v>
      </c>
    </row>
    <row r="17342">
      <c r="A17342" t="inlineStr">
        <is>
          <t>27BBBBB17342Z5</t>
        </is>
      </c>
      <c r="B17342" t="inlineStr">
        <is>
          <t>Jul-2020</t>
        </is>
      </c>
      <c r="C17342" s="2" t="n">
        <v>43945</v>
      </c>
      <c r="D17342" t="inlineStr">
        <is>
          <t>NON-NIL</t>
        </is>
      </c>
      <c r="E17342" t="n">
        <v>1052</v>
      </c>
    </row>
    <row r="17343">
      <c r="A17343" t="inlineStr">
        <is>
          <t>27BBBBB17343Z5</t>
        </is>
      </c>
      <c r="B17343" t="inlineStr">
        <is>
          <t>Dec-2017</t>
        </is>
      </c>
      <c r="C17343" s="2" t="n">
        <v>43228</v>
      </c>
      <c r="D17343" t="inlineStr">
        <is>
          <t>NIL</t>
        </is>
      </c>
      <c r="E17343" t="n">
        <v>2543</v>
      </c>
    </row>
    <row r="17344">
      <c r="A17344" t="inlineStr">
        <is>
          <t>27BBBBB17344Z5</t>
        </is>
      </c>
      <c r="B17344" t="inlineStr">
        <is>
          <t>Sep-2018</t>
        </is>
      </c>
      <c r="C17344" s="2" t="n">
        <v>44487</v>
      </c>
      <c r="D17344" t="inlineStr">
        <is>
          <t>NON-NIL</t>
        </is>
      </c>
      <c r="E17344" t="n">
        <v>2300</v>
      </c>
    </row>
    <row r="17345">
      <c r="A17345" t="inlineStr">
        <is>
          <t>27BBBBB17345Z5</t>
        </is>
      </c>
      <c r="B17345" t="inlineStr">
        <is>
          <t>Dec-2018</t>
        </is>
      </c>
      <c r="C17345" s="2" t="n">
        <v>43432</v>
      </c>
      <c r="D17345" t="inlineStr">
        <is>
          <t>NIL</t>
        </is>
      </c>
      <c r="E17345" t="n">
        <v>2394</v>
      </c>
    </row>
    <row r="17346">
      <c r="A17346" t="inlineStr">
        <is>
          <t>27BBBBB17346Z5</t>
        </is>
      </c>
      <c r="B17346" t="inlineStr">
        <is>
          <t>Jul-2020</t>
        </is>
      </c>
      <c r="C17346" s="2" t="n">
        <v>43875</v>
      </c>
      <c r="D17346" t="inlineStr">
        <is>
          <t>NIL</t>
        </is>
      </c>
      <c r="E17346" t="n">
        <v>879</v>
      </c>
    </row>
    <row r="17347">
      <c r="A17347" t="inlineStr">
        <is>
          <t>27BBBBB17347Z5</t>
        </is>
      </c>
      <c r="B17347" t="inlineStr">
        <is>
          <t>Sep-2017</t>
        </is>
      </c>
      <c r="C17347" s="2" t="n">
        <v>43864</v>
      </c>
      <c r="D17347" t="inlineStr">
        <is>
          <t>NIL</t>
        </is>
      </c>
      <c r="E17347" t="n">
        <v>2114</v>
      </c>
    </row>
    <row r="17348">
      <c r="A17348" t="inlineStr">
        <is>
          <t>27BBBBB17348Z5</t>
        </is>
      </c>
      <c r="B17348" t="inlineStr">
        <is>
          <t>Jan-2021</t>
        </is>
      </c>
      <c r="C17348" s="2" t="n">
        <v>43638</v>
      </c>
      <c r="D17348" t="inlineStr">
        <is>
          <t>NIL</t>
        </is>
      </c>
      <c r="E17348" t="n">
        <v>2803</v>
      </c>
    </row>
    <row r="17349">
      <c r="A17349" t="inlineStr">
        <is>
          <t>27BBBBB17349Z5</t>
        </is>
      </c>
      <c r="B17349" t="inlineStr">
        <is>
          <t>Jun-2018</t>
        </is>
      </c>
      <c r="C17349" s="2" t="n">
        <v>44448</v>
      </c>
      <c r="D17349" t="inlineStr">
        <is>
          <t>NIL</t>
        </is>
      </c>
      <c r="E17349" t="n">
        <v>1759</v>
      </c>
    </row>
    <row r="17350">
      <c r="A17350" t="inlineStr">
        <is>
          <t>27BBBBB17350Z5</t>
        </is>
      </c>
      <c r="B17350" t="inlineStr">
        <is>
          <t>Mar-2018</t>
        </is>
      </c>
      <c r="C17350" s="2" t="n">
        <v>43660</v>
      </c>
      <c r="D17350" t="inlineStr">
        <is>
          <t>NON-NIL</t>
        </is>
      </c>
      <c r="E17350" t="n">
        <v>1616</v>
      </c>
    </row>
    <row r="17351">
      <c r="A17351" t="inlineStr">
        <is>
          <t>27BBBBB17351Z5</t>
        </is>
      </c>
      <c r="B17351" t="inlineStr">
        <is>
          <t>Dec-2024</t>
        </is>
      </c>
      <c r="C17351" s="2" t="n">
        <v>44806</v>
      </c>
      <c r="D17351" t="inlineStr">
        <is>
          <t>NIL</t>
        </is>
      </c>
      <c r="E17351" t="n">
        <v>922</v>
      </c>
    </row>
    <row r="17352">
      <c r="A17352" t="inlineStr">
        <is>
          <t>27BBBBB17352Z5</t>
        </is>
      </c>
      <c r="B17352" t="inlineStr">
        <is>
          <t>Apr-2020</t>
        </is>
      </c>
      <c r="C17352" s="2" t="n">
        <v>43978</v>
      </c>
      <c r="D17352" t="inlineStr">
        <is>
          <t>NON-NIL</t>
        </is>
      </c>
      <c r="E17352" t="n">
        <v>111</v>
      </c>
    </row>
    <row r="17353">
      <c r="A17353" t="inlineStr">
        <is>
          <t>27BBBBB17353Z5</t>
        </is>
      </c>
      <c r="B17353" t="inlineStr">
        <is>
          <t>Jan-2018</t>
        </is>
      </c>
      <c r="C17353" s="2" t="n">
        <v>43867</v>
      </c>
      <c r="D17353" t="inlineStr">
        <is>
          <t>NIL</t>
        </is>
      </c>
      <c r="E17353" t="n">
        <v>2819</v>
      </c>
    </row>
    <row r="17354">
      <c r="A17354" t="inlineStr">
        <is>
          <t>27BBBBB17354Z5</t>
        </is>
      </c>
      <c r="B17354" t="inlineStr">
        <is>
          <t>Oct-2017</t>
        </is>
      </c>
      <c r="C17354" s="2" t="n">
        <v>42945</v>
      </c>
      <c r="D17354" t="inlineStr">
        <is>
          <t>NIL</t>
        </is>
      </c>
      <c r="E17354" t="n">
        <v>1521</v>
      </c>
    </row>
    <row r="17355">
      <c r="A17355" t="inlineStr">
        <is>
          <t>27BBBBB17355Z5</t>
        </is>
      </c>
      <c r="B17355" t="inlineStr">
        <is>
          <t>Jun-2020</t>
        </is>
      </c>
      <c r="C17355" s="2" t="n">
        <v>44085</v>
      </c>
      <c r="D17355" t="inlineStr">
        <is>
          <t>NIL</t>
        </is>
      </c>
      <c r="E17355" t="n">
        <v>2832</v>
      </c>
    </row>
    <row r="17356">
      <c r="A17356" t="inlineStr">
        <is>
          <t>27BBBBB17356Z5</t>
        </is>
      </c>
      <c r="B17356" t="inlineStr">
        <is>
          <t>Sep-2018</t>
        </is>
      </c>
      <c r="C17356" s="2" t="n">
        <v>44510</v>
      </c>
      <c r="D17356" t="inlineStr">
        <is>
          <t>NIL</t>
        </is>
      </c>
      <c r="E17356" t="n">
        <v>1303</v>
      </c>
    </row>
    <row r="17357">
      <c r="A17357" t="inlineStr">
        <is>
          <t>27BBBBB17357Z5</t>
        </is>
      </c>
      <c r="B17357" t="inlineStr">
        <is>
          <t>Jan-2018</t>
        </is>
      </c>
      <c r="C17357" s="2" t="n">
        <v>43881</v>
      </c>
      <c r="D17357" t="inlineStr">
        <is>
          <t>NON-NIL</t>
        </is>
      </c>
      <c r="E17357" t="n">
        <v>1955</v>
      </c>
    </row>
    <row r="17358">
      <c r="A17358" t="inlineStr">
        <is>
          <t>27BBBBB17358Z5</t>
        </is>
      </c>
      <c r="B17358" t="inlineStr">
        <is>
          <t>Dec-2022</t>
        </is>
      </c>
      <c r="C17358" s="2" t="n">
        <v>43798</v>
      </c>
      <c r="D17358" t="inlineStr">
        <is>
          <t>NIL</t>
        </is>
      </c>
      <c r="E17358" t="n">
        <v>1265</v>
      </c>
    </row>
    <row r="17359">
      <c r="A17359" t="inlineStr">
        <is>
          <t>27BBBBB17359Z5</t>
        </is>
      </c>
      <c r="B17359" t="inlineStr">
        <is>
          <t>Mar-2021</t>
        </is>
      </c>
      <c r="C17359" s="2" t="n">
        <v>44001</v>
      </c>
      <c r="D17359" t="inlineStr">
        <is>
          <t>NIL</t>
        </is>
      </c>
      <c r="E17359" t="n">
        <v>2913</v>
      </c>
    </row>
    <row r="17360">
      <c r="A17360" t="inlineStr">
        <is>
          <t>27BBBBB17360Z5</t>
        </is>
      </c>
      <c r="B17360" t="inlineStr">
        <is>
          <t>Dec-2024</t>
        </is>
      </c>
      <c r="C17360" s="2" t="n">
        <v>45575</v>
      </c>
      <c r="D17360" t="inlineStr">
        <is>
          <t>NON-NIL</t>
        </is>
      </c>
      <c r="E17360" t="n">
        <v>1306</v>
      </c>
    </row>
    <row r="17361">
      <c r="A17361" t="inlineStr">
        <is>
          <t>27BBBBB17361Z5</t>
        </is>
      </c>
      <c r="B17361" t="inlineStr">
        <is>
          <t>May-2018</t>
        </is>
      </c>
      <c r="C17361" s="2" t="n">
        <v>43544</v>
      </c>
      <c r="D17361" t="inlineStr">
        <is>
          <t>NON-NIL</t>
        </is>
      </c>
      <c r="E17361" t="n">
        <v>2526</v>
      </c>
    </row>
    <row r="17362">
      <c r="A17362" t="inlineStr">
        <is>
          <t>27BBBBB17362Z5</t>
        </is>
      </c>
      <c r="B17362" t="inlineStr">
        <is>
          <t>Jun-2018</t>
        </is>
      </c>
      <c r="C17362" s="2" t="n">
        <v>42942</v>
      </c>
      <c r="D17362" t="inlineStr">
        <is>
          <t>NON-NIL</t>
        </is>
      </c>
      <c r="E17362" t="n">
        <v>344</v>
      </c>
    </row>
    <row r="17363">
      <c r="A17363" t="inlineStr">
        <is>
          <t>27BBBBB17363Z5</t>
        </is>
      </c>
      <c r="B17363" t="inlineStr">
        <is>
          <t>Dec-2018</t>
        </is>
      </c>
      <c r="C17363" s="2" t="n">
        <v>43098</v>
      </c>
      <c r="D17363" t="inlineStr">
        <is>
          <t>NIL</t>
        </is>
      </c>
      <c r="E17363" t="n">
        <v>2689</v>
      </c>
    </row>
    <row r="17364">
      <c r="A17364" t="inlineStr">
        <is>
          <t>27BBBBB17364Z5</t>
        </is>
      </c>
      <c r="B17364" t="inlineStr">
        <is>
          <t>Jun-2020</t>
        </is>
      </c>
      <c r="C17364" s="2" t="n">
        <v>44838</v>
      </c>
      <c r="D17364" t="inlineStr">
        <is>
          <t>NON-NIL</t>
        </is>
      </c>
      <c r="E17364" t="n">
        <v>1134</v>
      </c>
    </row>
    <row r="17365">
      <c r="A17365" t="inlineStr">
        <is>
          <t>27BBBBB17365Z5</t>
        </is>
      </c>
      <c r="B17365" t="inlineStr">
        <is>
          <t>Dec-2022</t>
        </is>
      </c>
      <c r="C17365" s="2" t="n">
        <v>44482</v>
      </c>
      <c r="D17365" t="inlineStr">
        <is>
          <t>NON-NIL</t>
        </is>
      </c>
      <c r="E17365" t="n">
        <v>2827</v>
      </c>
    </row>
    <row r="17366">
      <c r="A17366" t="inlineStr">
        <is>
          <t>27BBBBB17366Z5</t>
        </is>
      </c>
      <c r="B17366" t="inlineStr">
        <is>
          <t>Jul-2017</t>
        </is>
      </c>
      <c r="C17366" s="2" t="n">
        <v>44101</v>
      </c>
      <c r="D17366" t="inlineStr">
        <is>
          <t>NIL</t>
        </is>
      </c>
      <c r="E17366" t="n">
        <v>2030</v>
      </c>
    </row>
    <row r="17367">
      <c r="A17367" t="inlineStr">
        <is>
          <t>27BBBBB17367Z5</t>
        </is>
      </c>
      <c r="B17367" t="inlineStr">
        <is>
          <t>Dec-2018</t>
        </is>
      </c>
      <c r="C17367" s="2" t="n">
        <v>43362</v>
      </c>
      <c r="D17367" t="inlineStr">
        <is>
          <t>NIL</t>
        </is>
      </c>
      <c r="E17367" t="n">
        <v>362</v>
      </c>
    </row>
    <row r="17368">
      <c r="A17368" t="inlineStr">
        <is>
          <t>27BBBBB17368Z5</t>
        </is>
      </c>
      <c r="B17368" t="inlineStr">
        <is>
          <t>Mar-2020</t>
        </is>
      </c>
      <c r="C17368" s="2" t="n">
        <v>43870</v>
      </c>
      <c r="D17368" t="inlineStr">
        <is>
          <t>NIL</t>
        </is>
      </c>
      <c r="E17368" t="n">
        <v>2484</v>
      </c>
    </row>
    <row r="17369">
      <c r="A17369" t="inlineStr">
        <is>
          <t>27BBBBB17369Z5</t>
        </is>
      </c>
      <c r="B17369" t="inlineStr">
        <is>
          <t>Feb-2018</t>
        </is>
      </c>
      <c r="C17369" s="2" t="n">
        <v>43819</v>
      </c>
      <c r="D17369" t="inlineStr">
        <is>
          <t>NIL</t>
        </is>
      </c>
      <c r="E17369" t="n">
        <v>2080</v>
      </c>
    </row>
    <row r="17370">
      <c r="A17370" t="inlineStr">
        <is>
          <t>27BBBBB17370Z5</t>
        </is>
      </c>
      <c r="B17370" t="inlineStr">
        <is>
          <t>Jun-2020</t>
        </is>
      </c>
      <c r="C17370" s="2" t="n">
        <v>43943</v>
      </c>
      <c r="D17370" t="inlineStr">
        <is>
          <t>NIL</t>
        </is>
      </c>
      <c r="E17370" t="n">
        <v>1002</v>
      </c>
    </row>
    <row r="17371">
      <c r="A17371" t="inlineStr">
        <is>
          <t>27BBBBB17371Z5</t>
        </is>
      </c>
      <c r="B17371" t="inlineStr">
        <is>
          <t>Mar-2021</t>
        </is>
      </c>
      <c r="C17371" s="2" t="n">
        <v>45752</v>
      </c>
      <c r="D17371" t="inlineStr">
        <is>
          <t>NIL</t>
        </is>
      </c>
      <c r="E17371" t="n">
        <v>1947</v>
      </c>
    </row>
    <row r="17372">
      <c r="A17372" t="inlineStr">
        <is>
          <t>27BBBBB17372Z5</t>
        </is>
      </c>
      <c r="B17372" t="inlineStr">
        <is>
          <t>Oct-2017</t>
        </is>
      </c>
      <c r="C17372" s="2" t="n">
        <v>43325</v>
      </c>
      <c r="D17372" t="inlineStr">
        <is>
          <t>NIL</t>
        </is>
      </c>
      <c r="E17372" t="n">
        <v>2000</v>
      </c>
    </row>
    <row r="17373">
      <c r="A17373" t="inlineStr">
        <is>
          <t>27BBBBB17373Z5</t>
        </is>
      </c>
      <c r="B17373" t="inlineStr">
        <is>
          <t>Mar-2020</t>
        </is>
      </c>
      <c r="C17373" s="2" t="n">
        <v>43911</v>
      </c>
      <c r="D17373" t="inlineStr">
        <is>
          <t>NIL</t>
        </is>
      </c>
      <c r="E17373" t="n">
        <v>2853</v>
      </c>
    </row>
    <row r="17374">
      <c r="A17374" t="inlineStr">
        <is>
          <t>27BBBBB17374Z5</t>
        </is>
      </c>
      <c r="B17374" t="inlineStr">
        <is>
          <t>Jun-2020</t>
        </is>
      </c>
      <c r="C17374" s="2" t="n">
        <v>44305</v>
      </c>
      <c r="D17374" t="inlineStr">
        <is>
          <t>NIL</t>
        </is>
      </c>
      <c r="E17374" t="n">
        <v>699</v>
      </c>
    </row>
    <row r="17375">
      <c r="A17375" t="inlineStr">
        <is>
          <t>27BBBBB17375Z5</t>
        </is>
      </c>
      <c r="B17375" t="inlineStr">
        <is>
          <t>May-2018</t>
        </is>
      </c>
      <c r="C17375" s="2" t="n">
        <v>44311</v>
      </c>
      <c r="D17375" t="inlineStr">
        <is>
          <t>NIL</t>
        </is>
      </c>
      <c r="E17375" t="n">
        <v>2583</v>
      </c>
    </row>
    <row r="17376">
      <c r="A17376" t="inlineStr">
        <is>
          <t>27BBBBB17376Z5</t>
        </is>
      </c>
      <c r="B17376" t="inlineStr">
        <is>
          <t>Dec-2022</t>
        </is>
      </c>
      <c r="C17376" s="2" t="n">
        <v>43651</v>
      </c>
      <c r="D17376" t="inlineStr">
        <is>
          <t>NON-NIL</t>
        </is>
      </c>
      <c r="E17376" t="n">
        <v>2483</v>
      </c>
    </row>
    <row r="17377">
      <c r="A17377" t="inlineStr">
        <is>
          <t>27BBBBB17377Z5</t>
        </is>
      </c>
      <c r="B17377" t="inlineStr">
        <is>
          <t>Sep-2017</t>
        </is>
      </c>
      <c r="C17377" s="2" t="n">
        <v>42987</v>
      </c>
      <c r="D17377" t="inlineStr">
        <is>
          <t>NIL</t>
        </is>
      </c>
      <c r="E17377" t="n">
        <v>2178</v>
      </c>
    </row>
    <row r="17378">
      <c r="A17378" t="inlineStr">
        <is>
          <t>27BBBBB17378Z5</t>
        </is>
      </c>
      <c r="B17378" t="inlineStr">
        <is>
          <t>Apr-2020</t>
        </is>
      </c>
      <c r="C17378" s="2" t="n">
        <v>44062</v>
      </c>
      <c r="D17378" t="inlineStr">
        <is>
          <t>NON-NIL</t>
        </is>
      </c>
      <c r="E17378" t="n">
        <v>2720</v>
      </c>
    </row>
    <row r="17379">
      <c r="A17379" t="inlineStr">
        <is>
          <t>27BBBBB17379Z5</t>
        </is>
      </c>
      <c r="B17379" t="inlineStr">
        <is>
          <t>Dec-2024</t>
        </is>
      </c>
      <c r="C17379" s="2" t="n">
        <v>44957</v>
      </c>
      <c r="D17379" t="inlineStr">
        <is>
          <t>NIL</t>
        </is>
      </c>
      <c r="E17379" t="n">
        <v>828</v>
      </c>
    </row>
    <row r="17380">
      <c r="A17380" t="inlineStr">
        <is>
          <t>27BBBBB17380Z5</t>
        </is>
      </c>
      <c r="B17380" t="inlineStr">
        <is>
          <t>Jul-2017</t>
        </is>
      </c>
      <c r="C17380" s="2" t="n">
        <v>44291</v>
      </c>
      <c r="D17380" t="inlineStr">
        <is>
          <t>NON-NIL</t>
        </is>
      </c>
      <c r="E17380" t="n">
        <v>80</v>
      </c>
    </row>
    <row r="17381">
      <c r="A17381" t="inlineStr">
        <is>
          <t>27BBBBB17381Z5</t>
        </is>
      </c>
      <c r="B17381" t="inlineStr">
        <is>
          <t>Jul-2018</t>
        </is>
      </c>
      <c r="C17381" s="2" t="n">
        <v>43528</v>
      </c>
      <c r="D17381" t="inlineStr">
        <is>
          <t>NIL</t>
        </is>
      </c>
      <c r="E17381" t="n">
        <v>1824</v>
      </c>
    </row>
    <row r="17382">
      <c r="A17382" t="inlineStr">
        <is>
          <t>27BBBBB17382Z5</t>
        </is>
      </c>
      <c r="B17382" t="inlineStr">
        <is>
          <t>Oct-2018</t>
        </is>
      </c>
      <c r="C17382" s="2" t="n">
        <v>43213</v>
      </c>
      <c r="D17382" t="inlineStr">
        <is>
          <t>NON-NIL</t>
        </is>
      </c>
      <c r="E17382" t="n">
        <v>2362</v>
      </c>
    </row>
    <row r="17383">
      <c r="A17383" t="inlineStr">
        <is>
          <t>27BBBBB17383Z5</t>
        </is>
      </c>
      <c r="B17383" t="inlineStr">
        <is>
          <t>Mar-2018</t>
        </is>
      </c>
      <c r="C17383" s="2" t="n">
        <v>43919</v>
      </c>
      <c r="D17383" t="inlineStr">
        <is>
          <t>NIL</t>
        </is>
      </c>
      <c r="E17383" t="n">
        <v>310</v>
      </c>
    </row>
    <row r="17384">
      <c r="A17384" t="inlineStr">
        <is>
          <t>27BBBBB17384Z5</t>
        </is>
      </c>
      <c r="B17384" t="inlineStr">
        <is>
          <t>Apr-2018</t>
        </is>
      </c>
      <c r="C17384" s="2" t="n">
        <v>43125</v>
      </c>
      <c r="D17384" t="inlineStr">
        <is>
          <t>NIL</t>
        </is>
      </c>
      <c r="E17384" t="n">
        <v>2015</v>
      </c>
    </row>
    <row r="17385">
      <c r="A17385" t="inlineStr">
        <is>
          <t>27BBBBB17385Z5</t>
        </is>
      </c>
      <c r="B17385" t="inlineStr">
        <is>
          <t>Jul-2017</t>
        </is>
      </c>
      <c r="C17385" s="2" t="n">
        <v>43260</v>
      </c>
      <c r="D17385" t="inlineStr">
        <is>
          <t>NIL</t>
        </is>
      </c>
      <c r="E17385" t="n">
        <v>2316</v>
      </c>
    </row>
    <row r="17386">
      <c r="A17386" t="inlineStr">
        <is>
          <t>27BBBBB17386Z5</t>
        </is>
      </c>
      <c r="B17386" t="inlineStr">
        <is>
          <t>Jun-2020</t>
        </is>
      </c>
      <c r="C17386" s="2" t="n">
        <v>44536</v>
      </c>
      <c r="D17386" t="inlineStr">
        <is>
          <t>NON-NIL</t>
        </is>
      </c>
      <c r="E17386" t="n">
        <v>2648</v>
      </c>
    </row>
    <row r="17387">
      <c r="A17387" t="inlineStr">
        <is>
          <t>27BBBBB17387Z5</t>
        </is>
      </c>
      <c r="B17387" t="inlineStr">
        <is>
          <t>Mar-2023</t>
        </is>
      </c>
      <c r="C17387" s="2" t="n">
        <v>44016</v>
      </c>
      <c r="D17387" t="inlineStr">
        <is>
          <t>NON-NIL</t>
        </is>
      </c>
      <c r="E17387" t="n">
        <v>1364</v>
      </c>
    </row>
    <row r="17388">
      <c r="A17388" t="inlineStr">
        <is>
          <t>27BBBBB17388Z5</t>
        </is>
      </c>
      <c r="B17388" t="inlineStr">
        <is>
          <t>May-2018</t>
        </is>
      </c>
      <c r="C17388" s="2" t="n">
        <v>44171</v>
      </c>
      <c r="D17388" t="inlineStr">
        <is>
          <t>NIL</t>
        </is>
      </c>
      <c r="E17388" t="n">
        <v>697</v>
      </c>
    </row>
    <row r="17389">
      <c r="A17389" t="inlineStr">
        <is>
          <t>27BBBBB17389Z5</t>
        </is>
      </c>
      <c r="B17389" t="inlineStr">
        <is>
          <t>Sep-2018</t>
        </is>
      </c>
      <c r="C17389" s="2" t="n">
        <v>44362</v>
      </c>
      <c r="D17389" t="inlineStr">
        <is>
          <t>NON-NIL</t>
        </is>
      </c>
      <c r="E17389" t="n">
        <v>1853</v>
      </c>
    </row>
    <row r="17390">
      <c r="A17390" t="inlineStr">
        <is>
          <t>27BBBBB17390Z5</t>
        </is>
      </c>
      <c r="B17390" t="inlineStr">
        <is>
          <t>Mar-2023</t>
        </is>
      </c>
      <c r="C17390" s="2" t="n">
        <v>43936</v>
      </c>
      <c r="D17390" t="inlineStr">
        <is>
          <t>NON-NIL</t>
        </is>
      </c>
      <c r="E17390" t="n">
        <v>2071</v>
      </c>
    </row>
    <row r="17391">
      <c r="A17391" t="inlineStr">
        <is>
          <t>27BBBBB17391Z5</t>
        </is>
      </c>
      <c r="B17391" t="inlineStr">
        <is>
          <t>May-2018</t>
        </is>
      </c>
      <c r="C17391" s="2" t="n">
        <v>43982</v>
      </c>
      <c r="D17391" t="inlineStr">
        <is>
          <t>NIL</t>
        </is>
      </c>
      <c r="E17391" t="n">
        <v>2295</v>
      </c>
    </row>
    <row r="17392">
      <c r="A17392" t="inlineStr">
        <is>
          <t>27BBBBB17392Z5</t>
        </is>
      </c>
      <c r="B17392" t="inlineStr">
        <is>
          <t>Apr-2018</t>
        </is>
      </c>
      <c r="C17392" s="2" t="n">
        <v>44332</v>
      </c>
      <c r="D17392" t="inlineStr">
        <is>
          <t>NIL</t>
        </is>
      </c>
      <c r="E17392" t="n">
        <v>1925</v>
      </c>
    </row>
    <row r="17393">
      <c r="A17393" t="inlineStr">
        <is>
          <t>27BBBBB17393Z5</t>
        </is>
      </c>
      <c r="B17393" t="inlineStr">
        <is>
          <t>Nov-2017</t>
        </is>
      </c>
      <c r="C17393" s="2" t="n">
        <v>43961</v>
      </c>
      <c r="D17393" t="inlineStr">
        <is>
          <t>NON-NIL</t>
        </is>
      </c>
      <c r="E17393" t="n">
        <v>1092</v>
      </c>
    </row>
    <row r="17394">
      <c r="A17394" t="inlineStr">
        <is>
          <t>27BBBBB17394Z5</t>
        </is>
      </c>
      <c r="B17394" t="inlineStr">
        <is>
          <t>Dec-2024</t>
        </is>
      </c>
      <c r="C17394" s="2" t="n">
        <v>44973</v>
      </c>
      <c r="D17394" t="inlineStr">
        <is>
          <t>NON-NIL</t>
        </is>
      </c>
      <c r="E17394" t="n">
        <v>329</v>
      </c>
    </row>
    <row r="17395">
      <c r="A17395" t="inlineStr">
        <is>
          <t>27BBBBB17395Z5</t>
        </is>
      </c>
      <c r="B17395" t="inlineStr">
        <is>
          <t>Nov-2018</t>
        </is>
      </c>
      <c r="C17395" s="2" t="n">
        <v>43973</v>
      </c>
      <c r="D17395" t="inlineStr">
        <is>
          <t>NIL</t>
        </is>
      </c>
      <c r="E17395" t="n">
        <v>1166</v>
      </c>
    </row>
    <row r="17396">
      <c r="A17396" t="inlineStr">
        <is>
          <t>27BBBBB17396Z5</t>
        </is>
      </c>
      <c r="B17396" t="inlineStr">
        <is>
          <t>Jun-2020</t>
        </is>
      </c>
      <c r="C17396" s="2" t="n">
        <v>44251</v>
      </c>
      <c r="D17396" t="inlineStr">
        <is>
          <t>NIL</t>
        </is>
      </c>
      <c r="E17396" t="n">
        <v>804</v>
      </c>
    </row>
    <row r="17397">
      <c r="A17397" t="inlineStr">
        <is>
          <t>27BBBBB17397Z5</t>
        </is>
      </c>
      <c r="B17397" t="inlineStr">
        <is>
          <t>Feb-2018</t>
        </is>
      </c>
      <c r="C17397" s="2" t="n">
        <v>43238</v>
      </c>
      <c r="D17397" t="inlineStr">
        <is>
          <t>NIL</t>
        </is>
      </c>
      <c r="E17397" t="n">
        <v>2537</v>
      </c>
    </row>
    <row r="17398">
      <c r="A17398" t="inlineStr">
        <is>
          <t>27BBBBB17398Z5</t>
        </is>
      </c>
      <c r="B17398" t="inlineStr">
        <is>
          <t>Sep-2017</t>
        </is>
      </c>
      <c r="C17398" s="2" t="n">
        <v>44342</v>
      </c>
      <c r="D17398" t="inlineStr">
        <is>
          <t>NIL</t>
        </is>
      </c>
      <c r="E17398" t="n">
        <v>2566</v>
      </c>
    </row>
    <row r="17399">
      <c r="A17399" t="inlineStr">
        <is>
          <t>27BBBBB17399Z5</t>
        </is>
      </c>
      <c r="B17399" t="inlineStr">
        <is>
          <t>Oct-2018</t>
        </is>
      </c>
      <c r="C17399" s="2" t="n">
        <v>43061</v>
      </c>
      <c r="D17399" t="inlineStr">
        <is>
          <t>NIL</t>
        </is>
      </c>
      <c r="E17399" t="n">
        <v>1837</v>
      </c>
    </row>
    <row r="17400">
      <c r="A17400" t="inlineStr">
        <is>
          <t>27BBBBB17400Z5</t>
        </is>
      </c>
      <c r="B17400" t="inlineStr">
        <is>
          <t>Jan-2018</t>
        </is>
      </c>
      <c r="C17400" s="2" t="n">
        <v>43032</v>
      </c>
      <c r="D17400" t="inlineStr">
        <is>
          <t>NON-NIL</t>
        </is>
      </c>
      <c r="E17400" t="n">
        <v>1398</v>
      </c>
    </row>
    <row r="17401">
      <c r="A17401" t="inlineStr">
        <is>
          <t>27BBBBB17401Z5</t>
        </is>
      </c>
      <c r="B17401" t="inlineStr">
        <is>
          <t>Jun-2020</t>
        </is>
      </c>
      <c r="C17401" s="2" t="n">
        <v>44597</v>
      </c>
      <c r="D17401" t="inlineStr">
        <is>
          <t>NON-NIL</t>
        </is>
      </c>
      <c r="E17401" t="n">
        <v>442</v>
      </c>
    </row>
    <row r="17402">
      <c r="A17402" t="inlineStr">
        <is>
          <t>27BBBBB17402Z5</t>
        </is>
      </c>
      <c r="B17402" t="inlineStr">
        <is>
          <t>May-2020</t>
        </is>
      </c>
      <c r="C17402" s="2" t="n">
        <v>44334</v>
      </c>
      <c r="D17402" t="inlineStr">
        <is>
          <t>NIL</t>
        </is>
      </c>
      <c r="E17402" t="n">
        <v>2015</v>
      </c>
    </row>
    <row r="17403">
      <c r="A17403" t="inlineStr">
        <is>
          <t>27BBBBB17403Z5</t>
        </is>
      </c>
      <c r="B17403" t="inlineStr">
        <is>
          <t>Oct-2017</t>
        </is>
      </c>
      <c r="C17403" s="2" t="n">
        <v>43472</v>
      </c>
      <c r="D17403" t="inlineStr">
        <is>
          <t>NON-NIL</t>
        </is>
      </c>
      <c r="E17403" t="n">
        <v>1105</v>
      </c>
    </row>
    <row r="17404">
      <c r="A17404" t="inlineStr">
        <is>
          <t>27BBBBB17404Z5</t>
        </is>
      </c>
      <c r="B17404" t="inlineStr">
        <is>
          <t>Dec-2017</t>
        </is>
      </c>
      <c r="C17404" s="2" t="n">
        <v>43101</v>
      </c>
      <c r="D17404" t="inlineStr">
        <is>
          <t>NIL</t>
        </is>
      </c>
      <c r="E17404" t="n">
        <v>2494</v>
      </c>
    </row>
    <row r="17405">
      <c r="A17405" t="inlineStr">
        <is>
          <t>27BBBBB17405Z5</t>
        </is>
      </c>
      <c r="B17405" t="inlineStr">
        <is>
          <t>Sep-2018</t>
        </is>
      </c>
      <c r="C17405" s="2" t="n">
        <v>44501</v>
      </c>
      <c r="D17405" t="inlineStr">
        <is>
          <t>NON-NIL</t>
        </is>
      </c>
      <c r="E17405" t="n">
        <v>572</v>
      </c>
    </row>
    <row r="17406">
      <c r="A17406" t="inlineStr">
        <is>
          <t>27BBBBB17406Z5</t>
        </is>
      </c>
      <c r="B17406" t="inlineStr">
        <is>
          <t>Dec-2024</t>
        </is>
      </c>
      <c r="C17406" s="2" t="n">
        <v>44496</v>
      </c>
      <c r="D17406" t="inlineStr">
        <is>
          <t>NON-NIL</t>
        </is>
      </c>
      <c r="E17406" t="n">
        <v>2074</v>
      </c>
    </row>
    <row r="17407">
      <c r="A17407" t="inlineStr">
        <is>
          <t>27BBBBB17407Z5</t>
        </is>
      </c>
      <c r="B17407" t="inlineStr">
        <is>
          <t>Dec-2018</t>
        </is>
      </c>
      <c r="C17407" s="2" t="n">
        <v>44306</v>
      </c>
      <c r="D17407" t="inlineStr">
        <is>
          <t>NIL</t>
        </is>
      </c>
      <c r="E17407" t="n">
        <v>527</v>
      </c>
    </row>
    <row r="17408">
      <c r="A17408" t="inlineStr">
        <is>
          <t>27BBBBB17408Z5</t>
        </is>
      </c>
      <c r="B17408" t="inlineStr">
        <is>
          <t>Dec-2024</t>
        </is>
      </c>
      <c r="C17408" s="2" t="n">
        <v>45273</v>
      </c>
      <c r="D17408" t="inlineStr">
        <is>
          <t>NIL</t>
        </is>
      </c>
      <c r="E17408" t="n">
        <v>2721</v>
      </c>
    </row>
    <row r="17409">
      <c r="A17409" t="inlineStr">
        <is>
          <t>27BBBBB17409Z5</t>
        </is>
      </c>
      <c r="B17409" t="inlineStr">
        <is>
          <t>Oct-2018</t>
        </is>
      </c>
      <c r="C17409" s="2" t="n">
        <v>43366</v>
      </c>
      <c r="D17409" t="inlineStr">
        <is>
          <t>NON-NIL</t>
        </is>
      </c>
      <c r="E17409" t="n">
        <v>810</v>
      </c>
    </row>
    <row r="17410">
      <c r="A17410" t="inlineStr">
        <is>
          <t>27BBBBB17410Z5</t>
        </is>
      </c>
      <c r="B17410" t="inlineStr">
        <is>
          <t>Mar-2023</t>
        </is>
      </c>
      <c r="C17410" s="2" t="n">
        <v>44393</v>
      </c>
      <c r="D17410" t="inlineStr">
        <is>
          <t>NIL</t>
        </is>
      </c>
      <c r="E17410" t="n">
        <v>2009</v>
      </c>
    </row>
    <row r="17411">
      <c r="A17411" t="inlineStr">
        <is>
          <t>27BBBBB17411Z5</t>
        </is>
      </c>
      <c r="B17411" t="inlineStr">
        <is>
          <t>Jun-2020</t>
        </is>
      </c>
      <c r="C17411" s="2" t="n">
        <v>44150</v>
      </c>
      <c r="D17411" t="inlineStr">
        <is>
          <t>NIL</t>
        </is>
      </c>
      <c r="E17411" t="n">
        <v>516</v>
      </c>
    </row>
    <row r="17412">
      <c r="A17412" t="inlineStr">
        <is>
          <t>27BBBBB17412Z5</t>
        </is>
      </c>
      <c r="B17412" t="inlineStr">
        <is>
          <t>Aug-2017</t>
        </is>
      </c>
      <c r="C17412" s="2" t="n">
        <v>43427</v>
      </c>
      <c r="D17412" t="inlineStr">
        <is>
          <t>NIL</t>
        </is>
      </c>
      <c r="E17412" t="n">
        <v>2714</v>
      </c>
    </row>
    <row r="17413">
      <c r="A17413" t="inlineStr">
        <is>
          <t>27BBBBB17413Z5</t>
        </is>
      </c>
      <c r="B17413" t="inlineStr">
        <is>
          <t>Nov-2018</t>
        </is>
      </c>
      <c r="C17413" s="2" t="n">
        <v>44539</v>
      </c>
      <c r="D17413" t="inlineStr">
        <is>
          <t>NON-NIL</t>
        </is>
      </c>
      <c r="E17413" t="n">
        <v>1561</v>
      </c>
    </row>
    <row r="17414">
      <c r="A17414" t="inlineStr">
        <is>
          <t>27BBBBB17414Z5</t>
        </is>
      </c>
      <c r="B17414" t="inlineStr">
        <is>
          <t>Jun-2020</t>
        </is>
      </c>
      <c r="C17414" s="2" t="n">
        <v>44748</v>
      </c>
      <c r="D17414" t="inlineStr">
        <is>
          <t>NIL</t>
        </is>
      </c>
      <c r="E17414" t="n">
        <v>1340</v>
      </c>
    </row>
    <row r="17415">
      <c r="A17415" t="inlineStr">
        <is>
          <t>27BBBBB17415Z5</t>
        </is>
      </c>
      <c r="B17415" t="inlineStr">
        <is>
          <t>Apr-2018</t>
        </is>
      </c>
      <c r="C17415" s="2" t="n">
        <v>44299</v>
      </c>
      <c r="D17415" t="inlineStr">
        <is>
          <t>NON-NIL</t>
        </is>
      </c>
      <c r="E17415" t="n">
        <v>2397</v>
      </c>
    </row>
    <row r="17416">
      <c r="A17416" t="inlineStr">
        <is>
          <t>27BBBBB17416Z5</t>
        </is>
      </c>
      <c r="B17416" t="inlineStr">
        <is>
          <t>Oct-2017</t>
        </is>
      </c>
      <c r="C17416" s="2" t="n">
        <v>43818</v>
      </c>
      <c r="D17416" t="inlineStr">
        <is>
          <t>NIL</t>
        </is>
      </c>
      <c r="E17416" t="n">
        <v>559</v>
      </c>
    </row>
    <row r="17417">
      <c r="A17417" t="inlineStr">
        <is>
          <t>27BBBBB17417Z5</t>
        </is>
      </c>
      <c r="B17417" t="inlineStr">
        <is>
          <t>Dec-2018</t>
        </is>
      </c>
      <c r="C17417" s="2" t="n">
        <v>43040</v>
      </c>
      <c r="D17417" t="inlineStr">
        <is>
          <t>NIL</t>
        </is>
      </c>
      <c r="E17417" t="n">
        <v>1530</v>
      </c>
    </row>
    <row r="17418">
      <c r="A17418" t="inlineStr">
        <is>
          <t>27BBBBB17418Z5</t>
        </is>
      </c>
      <c r="B17418" t="inlineStr">
        <is>
          <t>Jan-2021</t>
        </is>
      </c>
      <c r="C17418" s="2" t="n">
        <v>43903</v>
      </c>
      <c r="D17418" t="inlineStr">
        <is>
          <t>NON-NIL</t>
        </is>
      </c>
      <c r="E17418" t="n">
        <v>1458</v>
      </c>
    </row>
    <row r="17419">
      <c r="A17419" t="inlineStr">
        <is>
          <t>27BBBBB17419Z5</t>
        </is>
      </c>
      <c r="B17419" t="inlineStr">
        <is>
          <t>Dec-2018</t>
        </is>
      </c>
      <c r="C17419" s="2" t="n">
        <v>43726</v>
      </c>
      <c r="D17419" t="inlineStr">
        <is>
          <t>NIL</t>
        </is>
      </c>
      <c r="E17419" t="n">
        <v>1155</v>
      </c>
    </row>
    <row r="17420">
      <c r="A17420" t="inlineStr">
        <is>
          <t>27BBBBB17420Z5</t>
        </is>
      </c>
      <c r="B17420" t="inlineStr">
        <is>
          <t>Sep-2018</t>
        </is>
      </c>
      <c r="C17420" s="2" t="n">
        <v>43582</v>
      </c>
      <c r="D17420" t="inlineStr">
        <is>
          <t>NON-NIL</t>
        </is>
      </c>
      <c r="E17420" t="n">
        <v>1061</v>
      </c>
    </row>
    <row r="17421">
      <c r="A17421" t="inlineStr">
        <is>
          <t>27BBBBB17421Z5</t>
        </is>
      </c>
      <c r="B17421" t="inlineStr">
        <is>
          <t>Jul-2017</t>
        </is>
      </c>
      <c r="C17421" s="2" t="n">
        <v>44179</v>
      </c>
      <c r="D17421" t="inlineStr">
        <is>
          <t>NON-NIL</t>
        </is>
      </c>
      <c r="E17421" t="n">
        <v>460</v>
      </c>
    </row>
    <row r="17422">
      <c r="A17422" t="inlineStr">
        <is>
          <t>27BBBBB17422Z5</t>
        </is>
      </c>
      <c r="B17422" t="inlineStr">
        <is>
          <t>Aug-2018</t>
        </is>
      </c>
      <c r="C17422" s="2" t="n">
        <v>43942</v>
      </c>
      <c r="D17422" t="inlineStr">
        <is>
          <t>NON-NIL</t>
        </is>
      </c>
      <c r="E17422" t="n">
        <v>764</v>
      </c>
    </row>
    <row r="17423">
      <c r="A17423" t="inlineStr">
        <is>
          <t>27BBBBB17423Z5</t>
        </is>
      </c>
      <c r="B17423" t="inlineStr">
        <is>
          <t>Jul-2020</t>
        </is>
      </c>
      <c r="C17423" s="2" t="n">
        <v>44727</v>
      </c>
      <c r="D17423" t="inlineStr">
        <is>
          <t>NON-NIL</t>
        </is>
      </c>
      <c r="E17423" t="n">
        <v>1526</v>
      </c>
    </row>
    <row r="17424">
      <c r="A17424" t="inlineStr">
        <is>
          <t>27BBBBB17424Z5</t>
        </is>
      </c>
      <c r="B17424" t="inlineStr">
        <is>
          <t>May-2020</t>
        </is>
      </c>
      <c r="C17424" s="2" t="n">
        <v>44702</v>
      </c>
      <c r="D17424" t="inlineStr">
        <is>
          <t>NON-NIL</t>
        </is>
      </c>
      <c r="E17424" t="n">
        <v>975</v>
      </c>
    </row>
    <row r="17425">
      <c r="A17425" t="inlineStr">
        <is>
          <t>27BBBBB17425Z5</t>
        </is>
      </c>
      <c r="B17425" t="inlineStr">
        <is>
          <t>Mar-2018</t>
        </is>
      </c>
      <c r="C17425" s="2" t="n">
        <v>43711</v>
      </c>
      <c r="D17425" t="inlineStr">
        <is>
          <t>NIL</t>
        </is>
      </c>
      <c r="E17425" t="n">
        <v>125</v>
      </c>
    </row>
    <row r="17426">
      <c r="A17426" t="inlineStr">
        <is>
          <t>27BBBBB17426Z5</t>
        </is>
      </c>
      <c r="B17426" t="inlineStr">
        <is>
          <t>Sep-2018</t>
        </is>
      </c>
      <c r="C17426" s="2" t="n">
        <v>44449</v>
      </c>
      <c r="D17426" t="inlineStr">
        <is>
          <t>NIL</t>
        </is>
      </c>
      <c r="E17426" t="n">
        <v>1475</v>
      </c>
    </row>
    <row r="17427">
      <c r="A17427" t="inlineStr">
        <is>
          <t>27BBBBB17427Z5</t>
        </is>
      </c>
      <c r="B17427" t="inlineStr">
        <is>
          <t>Sep-2017</t>
        </is>
      </c>
      <c r="C17427" s="2" t="n">
        <v>42939</v>
      </c>
      <c r="D17427" t="inlineStr">
        <is>
          <t>NON-NIL</t>
        </is>
      </c>
      <c r="E17427" t="n">
        <v>865</v>
      </c>
    </row>
    <row r="17428">
      <c r="A17428" t="inlineStr">
        <is>
          <t>27BBBBB17428Z5</t>
        </is>
      </c>
      <c r="B17428" t="inlineStr">
        <is>
          <t>Mar-2018</t>
        </is>
      </c>
      <c r="C17428" s="2" t="n">
        <v>44522</v>
      </c>
      <c r="D17428" t="inlineStr">
        <is>
          <t>NON-NIL</t>
        </is>
      </c>
      <c r="E17428" t="n">
        <v>2181</v>
      </c>
    </row>
    <row r="17429">
      <c r="A17429" t="inlineStr">
        <is>
          <t>27BBBBB17429Z5</t>
        </is>
      </c>
      <c r="B17429" t="inlineStr">
        <is>
          <t>Mar-2018</t>
        </is>
      </c>
      <c r="C17429" s="2" t="n">
        <v>43650</v>
      </c>
      <c r="D17429" t="inlineStr">
        <is>
          <t>NON-NIL</t>
        </is>
      </c>
      <c r="E17429" t="n">
        <v>2280</v>
      </c>
    </row>
    <row r="17430">
      <c r="A17430" t="inlineStr">
        <is>
          <t>27BBBBB17430Z5</t>
        </is>
      </c>
      <c r="B17430" t="inlineStr">
        <is>
          <t>Jul-2018</t>
        </is>
      </c>
      <c r="C17430" s="2" t="n">
        <v>42959</v>
      </c>
      <c r="D17430" t="inlineStr">
        <is>
          <t>NIL</t>
        </is>
      </c>
      <c r="E17430" t="n">
        <v>1221</v>
      </c>
    </row>
    <row r="17431">
      <c r="A17431" t="inlineStr">
        <is>
          <t>27BBBBB17431Z5</t>
        </is>
      </c>
      <c r="B17431" t="inlineStr">
        <is>
          <t>Nov-2017</t>
        </is>
      </c>
      <c r="C17431" s="2" t="n">
        <v>43844</v>
      </c>
      <c r="D17431" t="inlineStr">
        <is>
          <t>NON-NIL</t>
        </is>
      </c>
      <c r="E17431" t="n">
        <v>2537</v>
      </c>
    </row>
    <row r="17432">
      <c r="A17432" t="inlineStr">
        <is>
          <t>27BBBBB17432Z5</t>
        </is>
      </c>
      <c r="B17432" t="inlineStr">
        <is>
          <t>Mar-2020</t>
        </is>
      </c>
      <c r="C17432" s="2" t="n">
        <v>44668</v>
      </c>
      <c r="D17432" t="inlineStr">
        <is>
          <t>NIL</t>
        </is>
      </c>
      <c r="E17432" t="n">
        <v>983</v>
      </c>
    </row>
    <row r="17433">
      <c r="A17433" t="inlineStr">
        <is>
          <t>27BBBBB17433Z5</t>
        </is>
      </c>
      <c r="B17433" t="inlineStr">
        <is>
          <t>May-2020</t>
        </is>
      </c>
      <c r="C17433" s="2" t="n">
        <v>44291</v>
      </c>
      <c r="D17433" t="inlineStr">
        <is>
          <t>NON-NIL</t>
        </is>
      </c>
      <c r="E17433" t="n">
        <v>110</v>
      </c>
    </row>
    <row r="17434">
      <c r="A17434" t="inlineStr">
        <is>
          <t>27BBBBB17434Z5</t>
        </is>
      </c>
      <c r="B17434" t="inlineStr">
        <is>
          <t>Nov-2018</t>
        </is>
      </c>
      <c r="C17434" s="2" t="n">
        <v>44066</v>
      </c>
      <c r="D17434" t="inlineStr">
        <is>
          <t>NIL</t>
        </is>
      </c>
      <c r="E17434" t="n">
        <v>1067</v>
      </c>
    </row>
    <row r="17435">
      <c r="A17435" t="inlineStr">
        <is>
          <t>27BBBBB17435Z5</t>
        </is>
      </c>
      <c r="B17435" t="inlineStr">
        <is>
          <t>Dec-2022</t>
        </is>
      </c>
      <c r="C17435" s="2" t="n">
        <v>43597</v>
      </c>
      <c r="D17435" t="inlineStr">
        <is>
          <t>NON-NIL</t>
        </is>
      </c>
      <c r="E17435" t="n">
        <v>1489</v>
      </c>
    </row>
    <row r="17436">
      <c r="A17436" t="inlineStr">
        <is>
          <t>27BBBBB17436Z5</t>
        </is>
      </c>
      <c r="B17436" t="inlineStr">
        <is>
          <t>Aug-2017</t>
        </is>
      </c>
      <c r="C17436" s="2" t="n">
        <v>43747</v>
      </c>
      <c r="D17436" t="inlineStr">
        <is>
          <t>NON-NIL</t>
        </is>
      </c>
      <c r="E17436" t="n">
        <v>937</v>
      </c>
    </row>
    <row r="17437">
      <c r="A17437" t="inlineStr">
        <is>
          <t>27BBBBB17437Z5</t>
        </is>
      </c>
      <c r="B17437" t="inlineStr">
        <is>
          <t>Aug-2018</t>
        </is>
      </c>
      <c r="C17437" s="2" t="n">
        <v>43318</v>
      </c>
      <c r="D17437" t="inlineStr">
        <is>
          <t>NIL</t>
        </is>
      </c>
      <c r="E17437" t="n">
        <v>2961</v>
      </c>
    </row>
    <row r="17438">
      <c r="A17438" t="inlineStr">
        <is>
          <t>27BBBBB17438Z5</t>
        </is>
      </c>
      <c r="B17438" t="inlineStr">
        <is>
          <t>Jun-2020</t>
        </is>
      </c>
      <c r="C17438" s="2" t="n">
        <v>44457</v>
      </c>
      <c r="D17438" t="inlineStr">
        <is>
          <t>NIL</t>
        </is>
      </c>
      <c r="E17438" t="n">
        <v>57</v>
      </c>
    </row>
    <row r="17439">
      <c r="A17439" t="inlineStr">
        <is>
          <t>27BBBBB17439Z5</t>
        </is>
      </c>
      <c r="B17439" t="inlineStr">
        <is>
          <t>Jan-2018</t>
        </is>
      </c>
      <c r="C17439" s="2" t="n">
        <v>43809</v>
      </c>
      <c r="D17439" t="inlineStr">
        <is>
          <t>NON-NIL</t>
        </is>
      </c>
      <c r="E17439" t="n">
        <v>1830</v>
      </c>
    </row>
    <row r="17440">
      <c r="A17440" t="inlineStr">
        <is>
          <t>27BBBBB17440Z5</t>
        </is>
      </c>
      <c r="B17440" t="inlineStr">
        <is>
          <t>Oct-2017</t>
        </is>
      </c>
      <c r="C17440" s="2" t="n">
        <v>43457</v>
      </c>
      <c r="D17440" t="inlineStr">
        <is>
          <t>NIL</t>
        </is>
      </c>
      <c r="E17440" t="n">
        <v>130</v>
      </c>
    </row>
    <row r="17441">
      <c r="A17441" t="inlineStr">
        <is>
          <t>27BBBBB17441Z5</t>
        </is>
      </c>
      <c r="B17441" t="inlineStr">
        <is>
          <t>Sep-2017</t>
        </is>
      </c>
      <c r="C17441" s="2" t="n">
        <v>44433</v>
      </c>
      <c r="D17441" t="inlineStr">
        <is>
          <t>NON-NIL</t>
        </is>
      </c>
      <c r="E17441" t="n">
        <v>2644</v>
      </c>
    </row>
    <row r="17442">
      <c r="A17442" t="inlineStr">
        <is>
          <t>27BBBBB17442Z5</t>
        </is>
      </c>
      <c r="B17442" t="inlineStr">
        <is>
          <t>May-2018</t>
        </is>
      </c>
      <c r="C17442" s="2" t="n">
        <v>43898</v>
      </c>
      <c r="D17442" t="inlineStr">
        <is>
          <t>NON-NIL</t>
        </is>
      </c>
      <c r="E17442" t="n">
        <v>734</v>
      </c>
    </row>
    <row r="17443">
      <c r="A17443" t="inlineStr">
        <is>
          <t>27BBBBB17443Z5</t>
        </is>
      </c>
      <c r="B17443" t="inlineStr">
        <is>
          <t>Dec-2022</t>
        </is>
      </c>
      <c r="C17443" s="2" t="n">
        <v>45522</v>
      </c>
      <c r="D17443" t="inlineStr">
        <is>
          <t>NON-NIL</t>
        </is>
      </c>
      <c r="E17443" t="n">
        <v>2006</v>
      </c>
    </row>
    <row r="17444">
      <c r="A17444" t="inlineStr">
        <is>
          <t>27BBBBB17444Z5</t>
        </is>
      </c>
      <c r="B17444" t="inlineStr">
        <is>
          <t>Jan-2021</t>
        </is>
      </c>
      <c r="C17444" s="2" t="n">
        <v>45495</v>
      </c>
      <c r="D17444" t="inlineStr">
        <is>
          <t>NON-NIL</t>
        </is>
      </c>
      <c r="E17444" t="n">
        <v>2887</v>
      </c>
    </row>
    <row r="17445">
      <c r="A17445" t="inlineStr">
        <is>
          <t>27BBBBB17445Z5</t>
        </is>
      </c>
      <c r="B17445" t="inlineStr">
        <is>
          <t>Jan-2018</t>
        </is>
      </c>
      <c r="C17445" s="2" t="n">
        <v>44053</v>
      </c>
      <c r="D17445" t="inlineStr">
        <is>
          <t>NIL</t>
        </is>
      </c>
      <c r="E17445" t="n">
        <v>2701</v>
      </c>
    </row>
    <row r="17446">
      <c r="A17446" t="inlineStr">
        <is>
          <t>27BBBBB17446Z5</t>
        </is>
      </c>
      <c r="B17446" t="inlineStr">
        <is>
          <t>Feb-2018</t>
        </is>
      </c>
      <c r="C17446" s="2" t="n">
        <v>44524</v>
      </c>
      <c r="D17446" t="inlineStr">
        <is>
          <t>NON-NIL</t>
        </is>
      </c>
      <c r="E17446" t="n">
        <v>488</v>
      </c>
    </row>
    <row r="17447">
      <c r="A17447" t="inlineStr">
        <is>
          <t>27BBBBB17447Z5</t>
        </is>
      </c>
      <c r="B17447" t="inlineStr">
        <is>
          <t>Aug-2018</t>
        </is>
      </c>
      <c r="C17447" s="2" t="n">
        <v>43504</v>
      </c>
      <c r="D17447" t="inlineStr">
        <is>
          <t>NIL</t>
        </is>
      </c>
      <c r="E17447" t="n">
        <v>2020</v>
      </c>
    </row>
    <row r="17448">
      <c r="A17448" t="inlineStr">
        <is>
          <t>27BBBBB17448Z5</t>
        </is>
      </c>
      <c r="B17448" t="inlineStr">
        <is>
          <t>Oct-2017</t>
        </is>
      </c>
      <c r="C17448" s="2" t="n">
        <v>43756</v>
      </c>
      <c r="D17448" t="inlineStr">
        <is>
          <t>NON-NIL</t>
        </is>
      </c>
      <c r="E17448" t="n">
        <v>2645</v>
      </c>
    </row>
    <row r="17449">
      <c r="A17449" t="inlineStr">
        <is>
          <t>27BBBBB17449Z5</t>
        </is>
      </c>
      <c r="B17449" t="inlineStr">
        <is>
          <t>Oct-2018</t>
        </is>
      </c>
      <c r="C17449" s="2" t="n">
        <v>43064</v>
      </c>
      <c r="D17449" t="inlineStr">
        <is>
          <t>NIL</t>
        </is>
      </c>
      <c r="E17449" t="n">
        <v>2591</v>
      </c>
    </row>
    <row r="17450">
      <c r="A17450" t="inlineStr">
        <is>
          <t>27BBBBB17450Z5</t>
        </is>
      </c>
      <c r="B17450" t="inlineStr">
        <is>
          <t>Dec-2017</t>
        </is>
      </c>
      <c r="C17450" s="2" t="n">
        <v>44012</v>
      </c>
      <c r="D17450" t="inlineStr">
        <is>
          <t>NON-NIL</t>
        </is>
      </c>
      <c r="E17450" t="n">
        <v>1200</v>
      </c>
    </row>
    <row r="17451">
      <c r="A17451" t="inlineStr">
        <is>
          <t>27BBBBB17451Z5</t>
        </is>
      </c>
      <c r="B17451" t="inlineStr">
        <is>
          <t>Jan-2018</t>
        </is>
      </c>
      <c r="C17451" s="2" t="n">
        <v>44036</v>
      </c>
      <c r="D17451" t="inlineStr">
        <is>
          <t>NIL</t>
        </is>
      </c>
      <c r="E17451" t="n">
        <v>1847</v>
      </c>
    </row>
    <row r="17452">
      <c r="A17452" t="inlineStr">
        <is>
          <t>27BBBBB17452Z5</t>
        </is>
      </c>
      <c r="B17452" t="inlineStr">
        <is>
          <t>Dec-2018</t>
        </is>
      </c>
      <c r="C17452" s="2" t="n">
        <v>43662</v>
      </c>
      <c r="D17452" t="inlineStr">
        <is>
          <t>NON-NIL</t>
        </is>
      </c>
      <c r="E17452" t="n">
        <v>2109</v>
      </c>
    </row>
    <row r="17453">
      <c r="A17453" t="inlineStr">
        <is>
          <t>27BBBBB17453Z5</t>
        </is>
      </c>
      <c r="B17453" t="inlineStr">
        <is>
          <t>Feb-2018</t>
        </is>
      </c>
      <c r="C17453" s="2" t="n">
        <v>43062</v>
      </c>
      <c r="D17453" t="inlineStr">
        <is>
          <t>NON-NIL</t>
        </is>
      </c>
      <c r="E17453" t="n">
        <v>1132</v>
      </c>
    </row>
    <row r="17454">
      <c r="A17454" t="inlineStr">
        <is>
          <t>27BBBBB17454Z5</t>
        </is>
      </c>
      <c r="B17454" t="inlineStr">
        <is>
          <t>Dec-2018</t>
        </is>
      </c>
      <c r="C17454" s="2" t="n">
        <v>43245</v>
      </c>
      <c r="D17454" t="inlineStr">
        <is>
          <t>NON-NIL</t>
        </is>
      </c>
      <c r="E17454" t="n">
        <v>1547</v>
      </c>
    </row>
    <row r="17455">
      <c r="A17455" t="inlineStr">
        <is>
          <t>27BBBBB17455Z5</t>
        </is>
      </c>
      <c r="B17455" t="inlineStr">
        <is>
          <t>Jul-2020</t>
        </is>
      </c>
      <c r="C17455" s="2" t="n">
        <v>44078</v>
      </c>
      <c r="D17455" t="inlineStr">
        <is>
          <t>NIL</t>
        </is>
      </c>
      <c r="E17455" t="n">
        <v>292</v>
      </c>
    </row>
    <row r="17456">
      <c r="A17456" t="inlineStr">
        <is>
          <t>27BBBBB17456Z5</t>
        </is>
      </c>
      <c r="B17456" t="inlineStr">
        <is>
          <t>Apr-2018</t>
        </is>
      </c>
      <c r="C17456" s="2" t="n">
        <v>44189</v>
      </c>
      <c r="D17456" t="inlineStr">
        <is>
          <t>NIL</t>
        </is>
      </c>
      <c r="E17456" t="n">
        <v>20</v>
      </c>
    </row>
    <row r="17457">
      <c r="A17457" t="inlineStr">
        <is>
          <t>27BBBBB17457Z5</t>
        </is>
      </c>
      <c r="B17457" t="inlineStr">
        <is>
          <t>Nov-2017</t>
        </is>
      </c>
      <c r="C17457" s="2" t="n">
        <v>43288</v>
      </c>
      <c r="D17457" t="inlineStr">
        <is>
          <t>NON-NIL</t>
        </is>
      </c>
      <c r="E17457" t="n">
        <v>2571</v>
      </c>
    </row>
    <row r="17458">
      <c r="A17458" t="inlineStr">
        <is>
          <t>27BBBBB17458Z5</t>
        </is>
      </c>
      <c r="B17458" t="inlineStr">
        <is>
          <t>Jul-2017</t>
        </is>
      </c>
      <c r="C17458" s="2" t="n">
        <v>43822</v>
      </c>
      <c r="D17458" t="inlineStr">
        <is>
          <t>NON-NIL</t>
        </is>
      </c>
      <c r="E17458" t="n">
        <v>1669</v>
      </c>
    </row>
    <row r="17459">
      <c r="A17459" t="inlineStr">
        <is>
          <t>27BBBBB17459Z5</t>
        </is>
      </c>
      <c r="B17459" t="inlineStr">
        <is>
          <t>Jun-2018</t>
        </is>
      </c>
      <c r="C17459" s="2" t="n">
        <v>43130</v>
      </c>
      <c r="D17459" t="inlineStr">
        <is>
          <t>NON-NIL</t>
        </is>
      </c>
      <c r="E17459" t="n">
        <v>316</v>
      </c>
    </row>
    <row r="17460">
      <c r="A17460" t="inlineStr">
        <is>
          <t>27BBBBB17460Z5</t>
        </is>
      </c>
      <c r="B17460" t="inlineStr">
        <is>
          <t>Aug-2018</t>
        </is>
      </c>
      <c r="C17460" s="2" t="n">
        <v>43693</v>
      </c>
      <c r="D17460" t="inlineStr">
        <is>
          <t>NIL</t>
        </is>
      </c>
      <c r="E17460" t="n">
        <v>1034</v>
      </c>
    </row>
    <row r="17461">
      <c r="A17461" t="inlineStr">
        <is>
          <t>27BBBBB17461Z5</t>
        </is>
      </c>
      <c r="B17461" t="inlineStr">
        <is>
          <t>Jun-2020</t>
        </is>
      </c>
      <c r="C17461" s="2" t="n">
        <v>44145</v>
      </c>
      <c r="D17461" t="inlineStr">
        <is>
          <t>NON-NIL</t>
        </is>
      </c>
      <c r="E17461" t="n">
        <v>1340</v>
      </c>
    </row>
    <row r="17462">
      <c r="A17462" t="inlineStr">
        <is>
          <t>27BBBBB17462Z5</t>
        </is>
      </c>
      <c r="B17462" t="inlineStr">
        <is>
          <t>Mar-2018</t>
        </is>
      </c>
      <c r="C17462" s="2" t="n">
        <v>43316</v>
      </c>
      <c r="D17462" t="inlineStr">
        <is>
          <t>NON-NIL</t>
        </is>
      </c>
      <c r="E17462" t="n">
        <v>294</v>
      </c>
    </row>
    <row r="17463">
      <c r="A17463" t="inlineStr">
        <is>
          <t>27BBBBB17463Z5</t>
        </is>
      </c>
      <c r="B17463" t="inlineStr">
        <is>
          <t>Oct-2018</t>
        </is>
      </c>
      <c r="C17463" s="2" t="n">
        <v>44461</v>
      </c>
      <c r="D17463" t="inlineStr">
        <is>
          <t>NIL</t>
        </is>
      </c>
      <c r="E17463" t="n">
        <v>1390</v>
      </c>
    </row>
    <row r="17464">
      <c r="A17464" t="inlineStr">
        <is>
          <t>27BBBBB17464Z5</t>
        </is>
      </c>
      <c r="B17464" t="inlineStr">
        <is>
          <t>Dec-2017</t>
        </is>
      </c>
      <c r="C17464" s="2" t="n">
        <v>43999</v>
      </c>
      <c r="D17464" t="inlineStr">
        <is>
          <t>NON-NIL</t>
        </is>
      </c>
      <c r="E17464" t="n">
        <v>853</v>
      </c>
    </row>
    <row r="17465">
      <c r="A17465" t="inlineStr">
        <is>
          <t>27BBBBB17465Z5</t>
        </is>
      </c>
      <c r="B17465" t="inlineStr">
        <is>
          <t>Mar-2021</t>
        </is>
      </c>
      <c r="C17465" s="2" t="n">
        <v>43537</v>
      </c>
      <c r="D17465" t="inlineStr">
        <is>
          <t>NIL</t>
        </is>
      </c>
      <c r="E17465" t="n">
        <v>1105</v>
      </c>
    </row>
    <row r="17466">
      <c r="A17466" t="inlineStr">
        <is>
          <t>27BBBBB17466Z5</t>
        </is>
      </c>
      <c r="B17466" t="inlineStr">
        <is>
          <t>Jan-2021</t>
        </is>
      </c>
      <c r="C17466" s="2" t="n">
        <v>45038</v>
      </c>
      <c r="D17466" t="inlineStr">
        <is>
          <t>NIL</t>
        </is>
      </c>
      <c r="E17466" t="n">
        <v>274</v>
      </c>
    </row>
    <row r="17467">
      <c r="A17467" t="inlineStr">
        <is>
          <t>27BBBBB17467Z5</t>
        </is>
      </c>
      <c r="B17467" t="inlineStr">
        <is>
          <t>Nov-2017</t>
        </is>
      </c>
      <c r="C17467" s="2" t="n">
        <v>43495</v>
      </c>
      <c r="D17467" t="inlineStr">
        <is>
          <t>NIL</t>
        </is>
      </c>
      <c r="E17467" t="n">
        <v>2715</v>
      </c>
    </row>
    <row r="17468">
      <c r="A17468" t="inlineStr">
        <is>
          <t>27BBBBB17468Z5</t>
        </is>
      </c>
      <c r="B17468" t="inlineStr">
        <is>
          <t>Jan-2021</t>
        </is>
      </c>
      <c r="C17468" s="2" t="n">
        <v>44077</v>
      </c>
      <c r="D17468" t="inlineStr">
        <is>
          <t>NIL</t>
        </is>
      </c>
      <c r="E17468" t="n">
        <v>2409</v>
      </c>
    </row>
    <row r="17469">
      <c r="A17469" t="inlineStr">
        <is>
          <t>27BBBBB17469Z5</t>
        </is>
      </c>
      <c r="B17469" t="inlineStr">
        <is>
          <t>Feb-2018</t>
        </is>
      </c>
      <c r="C17469" s="2" t="n">
        <v>43055</v>
      </c>
      <c r="D17469" t="inlineStr">
        <is>
          <t>NON-NIL</t>
        </is>
      </c>
      <c r="E17469" t="n">
        <v>887</v>
      </c>
    </row>
    <row r="17470">
      <c r="A17470" t="inlineStr">
        <is>
          <t>27BBBBB17470Z5</t>
        </is>
      </c>
      <c r="B17470" t="inlineStr">
        <is>
          <t>Dec-2018</t>
        </is>
      </c>
      <c r="C17470" s="2" t="n">
        <v>44382</v>
      </c>
      <c r="D17470" t="inlineStr">
        <is>
          <t>NIL</t>
        </is>
      </c>
      <c r="E17470" t="n">
        <v>553</v>
      </c>
    </row>
    <row r="17471">
      <c r="A17471" t="inlineStr">
        <is>
          <t>27BBBBB17471Z5</t>
        </is>
      </c>
      <c r="B17471" t="inlineStr">
        <is>
          <t>Jun-2020</t>
        </is>
      </c>
      <c r="C17471" s="2" t="n">
        <v>44092</v>
      </c>
      <c r="D17471" t="inlineStr">
        <is>
          <t>NIL</t>
        </is>
      </c>
      <c r="E17471" t="n">
        <v>2035</v>
      </c>
    </row>
    <row r="17472">
      <c r="A17472" t="inlineStr">
        <is>
          <t>27BBBBB17472Z5</t>
        </is>
      </c>
      <c r="B17472" t="inlineStr">
        <is>
          <t>Nov-2018</t>
        </is>
      </c>
      <c r="C17472" s="2" t="n">
        <v>43734</v>
      </c>
      <c r="D17472" t="inlineStr">
        <is>
          <t>NIL</t>
        </is>
      </c>
      <c r="E17472" t="n">
        <v>608</v>
      </c>
    </row>
    <row r="17473">
      <c r="A17473" t="inlineStr">
        <is>
          <t>27BBBBB17473Z5</t>
        </is>
      </c>
      <c r="B17473" t="inlineStr">
        <is>
          <t>Apr-2020</t>
        </is>
      </c>
      <c r="C17473" s="2" t="n">
        <v>44159</v>
      </c>
      <c r="D17473" t="inlineStr">
        <is>
          <t>NIL</t>
        </is>
      </c>
      <c r="E17473" t="n">
        <v>2733</v>
      </c>
    </row>
    <row r="17474">
      <c r="A17474" t="inlineStr">
        <is>
          <t>27BBBBB17474Z5</t>
        </is>
      </c>
      <c r="B17474" t="inlineStr">
        <is>
          <t>Aug-2017</t>
        </is>
      </c>
      <c r="C17474" s="2" t="n">
        <v>43001</v>
      </c>
      <c r="D17474" t="inlineStr">
        <is>
          <t>NIL</t>
        </is>
      </c>
      <c r="E17474" t="n">
        <v>2806</v>
      </c>
    </row>
    <row r="17475">
      <c r="A17475" t="inlineStr">
        <is>
          <t>27BBBBB17475Z5</t>
        </is>
      </c>
      <c r="B17475" t="inlineStr">
        <is>
          <t>Jan-2021</t>
        </is>
      </c>
      <c r="C17475" s="2" t="n">
        <v>43856</v>
      </c>
      <c r="D17475" t="inlineStr">
        <is>
          <t>NIL</t>
        </is>
      </c>
      <c r="E17475" t="n">
        <v>32</v>
      </c>
    </row>
    <row r="17476">
      <c r="A17476" t="inlineStr">
        <is>
          <t>27BBBBB17476Z5</t>
        </is>
      </c>
      <c r="B17476" t="inlineStr">
        <is>
          <t>Dec-2022</t>
        </is>
      </c>
      <c r="C17476" s="2" t="n">
        <v>44110</v>
      </c>
      <c r="D17476" t="inlineStr">
        <is>
          <t>NON-NIL</t>
        </is>
      </c>
      <c r="E17476" t="n">
        <v>2662</v>
      </c>
    </row>
    <row r="17477">
      <c r="A17477" t="inlineStr">
        <is>
          <t>27BBBBB17477Z5</t>
        </is>
      </c>
      <c r="B17477" t="inlineStr">
        <is>
          <t>Jun-2018</t>
        </is>
      </c>
      <c r="C17477" s="2" t="n">
        <v>43499</v>
      </c>
      <c r="D17477" t="inlineStr">
        <is>
          <t>NIL</t>
        </is>
      </c>
      <c r="E17477" t="n">
        <v>268</v>
      </c>
    </row>
    <row r="17478">
      <c r="A17478" t="inlineStr">
        <is>
          <t>27BBBBB17478Z5</t>
        </is>
      </c>
      <c r="B17478" t="inlineStr">
        <is>
          <t>Apr-2018</t>
        </is>
      </c>
      <c r="C17478" s="2" t="n">
        <v>43697</v>
      </c>
      <c r="D17478" t="inlineStr">
        <is>
          <t>NON-NIL</t>
        </is>
      </c>
      <c r="E17478" t="n">
        <v>1754</v>
      </c>
    </row>
    <row r="17479">
      <c r="A17479" t="inlineStr">
        <is>
          <t>27BBBBB17479Z5</t>
        </is>
      </c>
      <c r="B17479" t="inlineStr">
        <is>
          <t>Oct-2017</t>
        </is>
      </c>
      <c r="C17479" s="2" t="n">
        <v>43701</v>
      </c>
      <c r="D17479" t="inlineStr">
        <is>
          <t>NON-NIL</t>
        </is>
      </c>
      <c r="E17479" t="n">
        <v>1965</v>
      </c>
    </row>
    <row r="17480">
      <c r="A17480" t="inlineStr">
        <is>
          <t>27BBBBB17480Z5</t>
        </is>
      </c>
      <c r="B17480" t="inlineStr">
        <is>
          <t>Nov-2017</t>
        </is>
      </c>
      <c r="C17480" s="2" t="n">
        <v>44548</v>
      </c>
      <c r="D17480" t="inlineStr">
        <is>
          <t>NON-NIL</t>
        </is>
      </c>
      <c r="E17480" t="n">
        <v>1013</v>
      </c>
    </row>
    <row r="17481">
      <c r="A17481" t="inlineStr">
        <is>
          <t>27BBBBB17481Z5</t>
        </is>
      </c>
      <c r="B17481" t="inlineStr">
        <is>
          <t>Apr-2020</t>
        </is>
      </c>
      <c r="C17481" s="2" t="n">
        <v>44314</v>
      </c>
      <c r="D17481" t="inlineStr">
        <is>
          <t>NON-NIL</t>
        </is>
      </c>
      <c r="E17481" t="n">
        <v>709</v>
      </c>
    </row>
    <row r="17482">
      <c r="A17482" t="inlineStr">
        <is>
          <t>27BBBBB17482Z5</t>
        </is>
      </c>
      <c r="B17482" t="inlineStr">
        <is>
          <t>Jul-2018</t>
        </is>
      </c>
      <c r="C17482" s="2" t="n">
        <v>43501</v>
      </c>
      <c r="D17482" t="inlineStr">
        <is>
          <t>NIL</t>
        </is>
      </c>
      <c r="E17482" t="n">
        <v>157</v>
      </c>
    </row>
    <row r="17483">
      <c r="A17483" t="inlineStr">
        <is>
          <t>27BBBBB17483Z5</t>
        </is>
      </c>
      <c r="B17483" t="inlineStr">
        <is>
          <t>Nov-2018</t>
        </is>
      </c>
      <c r="C17483" s="2" t="n">
        <v>43984</v>
      </c>
      <c r="D17483" t="inlineStr">
        <is>
          <t>NON-NIL</t>
        </is>
      </c>
      <c r="E17483" t="n">
        <v>2803</v>
      </c>
    </row>
    <row r="17484">
      <c r="A17484" t="inlineStr">
        <is>
          <t>27BBBBB17484Z5</t>
        </is>
      </c>
      <c r="B17484" t="inlineStr">
        <is>
          <t>Mar-2023</t>
        </is>
      </c>
      <c r="C17484" s="2" t="n">
        <v>43800</v>
      </c>
      <c r="D17484" t="inlineStr">
        <is>
          <t>NON-NIL</t>
        </is>
      </c>
      <c r="E17484" t="n">
        <v>1230</v>
      </c>
    </row>
    <row r="17485">
      <c r="A17485" t="inlineStr">
        <is>
          <t>27BBBBB17485Z5</t>
        </is>
      </c>
      <c r="B17485" t="inlineStr">
        <is>
          <t>Dec-2017</t>
        </is>
      </c>
      <c r="C17485" s="2" t="n">
        <v>42924</v>
      </c>
      <c r="D17485" t="inlineStr">
        <is>
          <t>NON-NIL</t>
        </is>
      </c>
      <c r="E17485" t="n">
        <v>1496</v>
      </c>
    </row>
    <row r="17486">
      <c r="A17486" t="inlineStr">
        <is>
          <t>27BBBBB17486Z5</t>
        </is>
      </c>
      <c r="B17486" t="inlineStr">
        <is>
          <t>Dec-2017</t>
        </is>
      </c>
      <c r="C17486" s="2" t="n">
        <v>43585</v>
      </c>
      <c r="D17486" t="inlineStr">
        <is>
          <t>NON-NIL</t>
        </is>
      </c>
      <c r="E17486" t="n">
        <v>2947</v>
      </c>
    </row>
    <row r="17487">
      <c r="A17487" t="inlineStr">
        <is>
          <t>27BBBBB17487Z5</t>
        </is>
      </c>
      <c r="B17487" t="inlineStr">
        <is>
          <t>Mar-2021</t>
        </is>
      </c>
      <c r="C17487" s="2" t="n">
        <v>44485</v>
      </c>
      <c r="D17487" t="inlineStr">
        <is>
          <t>NON-NIL</t>
        </is>
      </c>
      <c r="E17487" t="n">
        <v>814</v>
      </c>
    </row>
    <row r="17488">
      <c r="A17488" t="inlineStr">
        <is>
          <t>27BBBBB17488Z5</t>
        </is>
      </c>
      <c r="B17488" t="inlineStr">
        <is>
          <t>Jul-2020</t>
        </is>
      </c>
      <c r="C17488" s="2" t="n">
        <v>44916</v>
      </c>
      <c r="D17488" t="inlineStr">
        <is>
          <t>NIL</t>
        </is>
      </c>
      <c r="E17488" t="n">
        <v>791</v>
      </c>
    </row>
    <row r="17489">
      <c r="A17489" t="inlineStr">
        <is>
          <t>27BBBBB17489Z5</t>
        </is>
      </c>
      <c r="B17489" t="inlineStr">
        <is>
          <t>Sep-2017</t>
        </is>
      </c>
      <c r="C17489" s="2" t="n">
        <v>42955</v>
      </c>
      <c r="D17489" t="inlineStr">
        <is>
          <t>NON-NIL</t>
        </is>
      </c>
      <c r="E17489" t="n">
        <v>767</v>
      </c>
    </row>
    <row r="17490">
      <c r="A17490" t="inlineStr">
        <is>
          <t>27BBBBB17490Z5</t>
        </is>
      </c>
      <c r="B17490" t="inlineStr">
        <is>
          <t>Mar-2023</t>
        </is>
      </c>
      <c r="C17490" s="2" t="n">
        <v>43839</v>
      </c>
      <c r="D17490" t="inlineStr">
        <is>
          <t>NIL</t>
        </is>
      </c>
      <c r="E17490" t="n">
        <v>2853</v>
      </c>
    </row>
    <row r="17491">
      <c r="A17491" t="inlineStr">
        <is>
          <t>27BBBBB17491Z5</t>
        </is>
      </c>
      <c r="B17491" t="inlineStr">
        <is>
          <t>Jul-2020</t>
        </is>
      </c>
      <c r="C17491" s="2" t="n">
        <v>43944</v>
      </c>
      <c r="D17491" t="inlineStr">
        <is>
          <t>NON-NIL</t>
        </is>
      </c>
      <c r="E17491" t="n">
        <v>1602</v>
      </c>
    </row>
    <row r="17492">
      <c r="A17492" t="inlineStr">
        <is>
          <t>27BBBBB17492Z5</t>
        </is>
      </c>
      <c r="B17492" t="inlineStr">
        <is>
          <t>Dec-2017</t>
        </is>
      </c>
      <c r="C17492" s="2" t="n">
        <v>43253</v>
      </c>
      <c r="D17492" t="inlineStr">
        <is>
          <t>NIL</t>
        </is>
      </c>
      <c r="E17492" t="n">
        <v>1700</v>
      </c>
    </row>
    <row r="17493">
      <c r="A17493" t="inlineStr">
        <is>
          <t>27BBBBB17493Z5</t>
        </is>
      </c>
      <c r="B17493" t="inlineStr">
        <is>
          <t>Feb-2018</t>
        </is>
      </c>
      <c r="C17493" s="2" t="n">
        <v>44288</v>
      </c>
      <c r="D17493" t="inlineStr">
        <is>
          <t>NON-NIL</t>
        </is>
      </c>
      <c r="E17493" t="n">
        <v>1974</v>
      </c>
    </row>
    <row r="17494">
      <c r="A17494" t="inlineStr">
        <is>
          <t>27BBBBB17494Z5</t>
        </is>
      </c>
      <c r="B17494" t="inlineStr">
        <is>
          <t>Jul-2020</t>
        </is>
      </c>
      <c r="C17494" s="2" t="n">
        <v>43842</v>
      </c>
      <c r="D17494" t="inlineStr">
        <is>
          <t>NIL</t>
        </is>
      </c>
      <c r="E17494" t="n">
        <v>2719</v>
      </c>
    </row>
    <row r="17495">
      <c r="A17495" t="inlineStr">
        <is>
          <t>27BBBBB17495Z5</t>
        </is>
      </c>
      <c r="B17495" t="inlineStr">
        <is>
          <t>Jan-2021</t>
        </is>
      </c>
      <c r="C17495" s="2" t="n">
        <v>44443</v>
      </c>
      <c r="D17495" t="inlineStr">
        <is>
          <t>NON-NIL</t>
        </is>
      </c>
      <c r="E17495" t="n">
        <v>958</v>
      </c>
    </row>
    <row r="17496">
      <c r="A17496" t="inlineStr">
        <is>
          <t>27BBBBB17496Z5</t>
        </is>
      </c>
      <c r="B17496" t="inlineStr">
        <is>
          <t>Mar-2021</t>
        </is>
      </c>
      <c r="C17496" s="2" t="n">
        <v>44900</v>
      </c>
      <c r="D17496" t="inlineStr">
        <is>
          <t>NIL</t>
        </is>
      </c>
      <c r="E17496" t="n">
        <v>2027</v>
      </c>
    </row>
    <row r="17497">
      <c r="A17497" t="inlineStr">
        <is>
          <t>27BBBBB17497Z5</t>
        </is>
      </c>
      <c r="B17497" t="inlineStr">
        <is>
          <t>Jun-2020</t>
        </is>
      </c>
      <c r="C17497" s="2" t="n">
        <v>44806</v>
      </c>
      <c r="D17497" t="inlineStr">
        <is>
          <t>NON-NIL</t>
        </is>
      </c>
      <c r="E17497" t="n">
        <v>1132</v>
      </c>
    </row>
    <row r="17498">
      <c r="A17498" t="inlineStr">
        <is>
          <t>27BBBBB17498Z5</t>
        </is>
      </c>
      <c r="B17498" t="inlineStr">
        <is>
          <t>Dec-2017</t>
        </is>
      </c>
      <c r="C17498" s="2" t="n">
        <v>44552</v>
      </c>
      <c r="D17498" t="inlineStr">
        <is>
          <t>NON-NIL</t>
        </is>
      </c>
      <c r="E17498" t="n">
        <v>1123</v>
      </c>
    </row>
    <row r="17499">
      <c r="A17499" t="inlineStr">
        <is>
          <t>27BBBBB17499Z5</t>
        </is>
      </c>
      <c r="B17499" t="inlineStr">
        <is>
          <t>Mar-2021</t>
        </is>
      </c>
      <c r="C17499" s="2" t="n">
        <v>44278</v>
      </c>
      <c r="D17499" t="inlineStr">
        <is>
          <t>NIL</t>
        </is>
      </c>
      <c r="E17499" t="n">
        <v>2634</v>
      </c>
    </row>
    <row r="17500">
      <c r="A17500" t="inlineStr">
        <is>
          <t>27BBBBB17500Z5</t>
        </is>
      </c>
      <c r="B17500" t="inlineStr">
        <is>
          <t>Sep-2018</t>
        </is>
      </c>
      <c r="C17500" s="2" t="n">
        <v>43052</v>
      </c>
      <c r="D17500" t="inlineStr">
        <is>
          <t>NIL</t>
        </is>
      </c>
      <c r="E17500" t="n">
        <v>530</v>
      </c>
    </row>
    <row r="17501">
      <c r="A17501" t="inlineStr">
        <is>
          <t>27BBBBB17501Z5</t>
        </is>
      </c>
      <c r="B17501" t="inlineStr">
        <is>
          <t>Apr-2020</t>
        </is>
      </c>
      <c r="C17501" s="2" t="n">
        <v>44817</v>
      </c>
      <c r="D17501" t="inlineStr">
        <is>
          <t>NON-NIL</t>
        </is>
      </c>
      <c r="E17501" t="n">
        <v>2912</v>
      </c>
    </row>
    <row r="17502">
      <c r="A17502" t="inlineStr">
        <is>
          <t>27BBBBB17502Z5</t>
        </is>
      </c>
      <c r="B17502" t="inlineStr">
        <is>
          <t>Feb-2018</t>
        </is>
      </c>
      <c r="C17502" s="2" t="n">
        <v>44418</v>
      </c>
      <c r="D17502" t="inlineStr">
        <is>
          <t>NIL</t>
        </is>
      </c>
      <c r="E17502" t="n">
        <v>1390</v>
      </c>
    </row>
    <row r="17503">
      <c r="A17503" t="inlineStr">
        <is>
          <t>27BBBBB17503Z5</t>
        </is>
      </c>
      <c r="B17503" t="inlineStr">
        <is>
          <t>Oct-2018</t>
        </is>
      </c>
      <c r="C17503" s="2" t="n">
        <v>43347</v>
      </c>
      <c r="D17503" t="inlineStr">
        <is>
          <t>NON-NIL</t>
        </is>
      </c>
      <c r="E17503" t="n">
        <v>489</v>
      </c>
    </row>
    <row r="17504">
      <c r="A17504" t="inlineStr">
        <is>
          <t>27BBBBB17504Z5</t>
        </is>
      </c>
      <c r="B17504" t="inlineStr">
        <is>
          <t>Aug-2017</t>
        </is>
      </c>
      <c r="C17504" s="2" t="n">
        <v>43683</v>
      </c>
      <c r="D17504" t="inlineStr">
        <is>
          <t>NIL</t>
        </is>
      </c>
      <c r="E17504" t="n">
        <v>2192</v>
      </c>
    </row>
    <row r="17505">
      <c r="A17505" t="inlineStr">
        <is>
          <t>27BBBBB17505Z5</t>
        </is>
      </c>
      <c r="B17505" t="inlineStr">
        <is>
          <t>Dec-2022</t>
        </is>
      </c>
      <c r="C17505" s="2" t="n">
        <v>44691</v>
      </c>
      <c r="D17505" t="inlineStr">
        <is>
          <t>NON-NIL</t>
        </is>
      </c>
      <c r="E17505" t="n">
        <v>192</v>
      </c>
    </row>
    <row r="17506">
      <c r="A17506" t="inlineStr">
        <is>
          <t>27BBBBB17506Z5</t>
        </is>
      </c>
      <c r="B17506" t="inlineStr">
        <is>
          <t>Jul-2018</t>
        </is>
      </c>
      <c r="C17506" s="2" t="n">
        <v>43982</v>
      </c>
      <c r="D17506" t="inlineStr">
        <is>
          <t>NON-NIL</t>
        </is>
      </c>
      <c r="E17506" t="n">
        <v>1249</v>
      </c>
    </row>
    <row r="17507">
      <c r="A17507" t="inlineStr">
        <is>
          <t>27BBBBB17507Z5</t>
        </is>
      </c>
      <c r="B17507" t="inlineStr">
        <is>
          <t>Jan-2018</t>
        </is>
      </c>
      <c r="C17507" s="2" t="n">
        <v>43634</v>
      </c>
      <c r="D17507" t="inlineStr">
        <is>
          <t>NIL</t>
        </is>
      </c>
      <c r="E17507" t="n">
        <v>155</v>
      </c>
    </row>
    <row r="17508">
      <c r="A17508" t="inlineStr">
        <is>
          <t>27BBBBB17508Z5</t>
        </is>
      </c>
      <c r="B17508" t="inlineStr">
        <is>
          <t>Dec-2018</t>
        </is>
      </c>
      <c r="C17508" s="2" t="n">
        <v>43769</v>
      </c>
      <c r="D17508" t="inlineStr">
        <is>
          <t>NIL</t>
        </is>
      </c>
      <c r="E17508" t="n">
        <v>2735</v>
      </c>
    </row>
    <row r="17509">
      <c r="A17509" t="inlineStr">
        <is>
          <t>27BBBBB17509Z5</t>
        </is>
      </c>
      <c r="B17509" t="inlineStr">
        <is>
          <t>Dec-2018</t>
        </is>
      </c>
      <c r="C17509" s="2" t="n">
        <v>43634</v>
      </c>
      <c r="D17509" t="inlineStr">
        <is>
          <t>NON-NIL</t>
        </is>
      </c>
      <c r="E17509" t="n">
        <v>410</v>
      </c>
    </row>
    <row r="17510">
      <c r="A17510" t="inlineStr">
        <is>
          <t>27BBBBB17510Z5</t>
        </is>
      </c>
      <c r="B17510" t="inlineStr">
        <is>
          <t>Dec-2017</t>
        </is>
      </c>
      <c r="C17510" s="2" t="n">
        <v>44230</v>
      </c>
      <c r="D17510" t="inlineStr">
        <is>
          <t>NIL</t>
        </is>
      </c>
      <c r="E17510" t="n">
        <v>1698</v>
      </c>
    </row>
    <row r="17511">
      <c r="A17511" t="inlineStr">
        <is>
          <t>27BBBBB17511Z5</t>
        </is>
      </c>
      <c r="B17511" t="inlineStr">
        <is>
          <t>Jun-2018</t>
        </is>
      </c>
      <c r="C17511" s="2" t="n">
        <v>43012</v>
      </c>
      <c r="D17511" t="inlineStr">
        <is>
          <t>NIL</t>
        </is>
      </c>
      <c r="E17511" t="n">
        <v>364</v>
      </c>
    </row>
    <row r="17512">
      <c r="A17512" t="inlineStr">
        <is>
          <t>27BBBBB17512Z5</t>
        </is>
      </c>
      <c r="B17512" t="inlineStr">
        <is>
          <t>May-2018</t>
        </is>
      </c>
      <c r="C17512" s="2" t="n">
        <v>44221</v>
      </c>
      <c r="D17512" t="inlineStr">
        <is>
          <t>NON-NIL</t>
        </is>
      </c>
      <c r="E17512" t="n">
        <v>2278</v>
      </c>
    </row>
    <row r="17513">
      <c r="A17513" t="inlineStr">
        <is>
          <t>27BBBBB17513Z5</t>
        </is>
      </c>
      <c r="B17513" t="inlineStr">
        <is>
          <t>Apr-2020</t>
        </is>
      </c>
      <c r="C17513" s="2" t="n">
        <v>44170</v>
      </c>
      <c r="D17513" t="inlineStr">
        <is>
          <t>NON-NIL</t>
        </is>
      </c>
      <c r="E17513" t="n">
        <v>1783</v>
      </c>
    </row>
    <row r="17514">
      <c r="A17514" t="inlineStr">
        <is>
          <t>27BBBBB17514Z5</t>
        </is>
      </c>
      <c r="B17514" t="inlineStr">
        <is>
          <t>Jul-2020</t>
        </is>
      </c>
      <c r="C17514" s="2" t="n">
        <v>43951</v>
      </c>
      <c r="D17514" t="inlineStr">
        <is>
          <t>NON-NIL</t>
        </is>
      </c>
      <c r="E17514" t="n">
        <v>1538</v>
      </c>
    </row>
    <row r="17515">
      <c r="A17515" t="inlineStr">
        <is>
          <t>27BBBBB17515Z5</t>
        </is>
      </c>
      <c r="B17515" t="inlineStr">
        <is>
          <t>Dec-2017</t>
        </is>
      </c>
      <c r="C17515" s="2" t="n">
        <v>43637</v>
      </c>
      <c r="D17515" t="inlineStr">
        <is>
          <t>NIL</t>
        </is>
      </c>
      <c r="E17515" t="n">
        <v>2682</v>
      </c>
    </row>
    <row r="17516">
      <c r="A17516" t="inlineStr">
        <is>
          <t>27BBBBB17516Z5</t>
        </is>
      </c>
      <c r="B17516" t="inlineStr">
        <is>
          <t>Apr-2018</t>
        </is>
      </c>
      <c r="C17516" s="2" t="n">
        <v>44431</v>
      </c>
      <c r="D17516" t="inlineStr">
        <is>
          <t>NON-NIL</t>
        </is>
      </c>
      <c r="E17516" t="n">
        <v>1634</v>
      </c>
    </row>
    <row r="17517">
      <c r="A17517" t="inlineStr">
        <is>
          <t>27BBBBB17517Z5</t>
        </is>
      </c>
      <c r="B17517" t="inlineStr">
        <is>
          <t>Aug-2018</t>
        </is>
      </c>
      <c r="C17517" s="2" t="n">
        <v>43764</v>
      </c>
      <c r="D17517" t="inlineStr">
        <is>
          <t>NIL</t>
        </is>
      </c>
      <c r="E17517" t="n">
        <v>1969</v>
      </c>
    </row>
    <row r="17518">
      <c r="A17518" t="inlineStr">
        <is>
          <t>27BBBBB17518Z5</t>
        </is>
      </c>
      <c r="B17518" t="inlineStr">
        <is>
          <t>Dec-2017</t>
        </is>
      </c>
      <c r="C17518" s="2" t="n">
        <v>43493</v>
      </c>
      <c r="D17518" t="inlineStr">
        <is>
          <t>NIL</t>
        </is>
      </c>
      <c r="E17518" t="n">
        <v>2215</v>
      </c>
    </row>
    <row r="17519">
      <c r="A17519" t="inlineStr">
        <is>
          <t>27BBBBB17519Z5</t>
        </is>
      </c>
      <c r="B17519" t="inlineStr">
        <is>
          <t>Aug-2017</t>
        </is>
      </c>
      <c r="C17519" s="2" t="n">
        <v>44397</v>
      </c>
      <c r="D17519" t="inlineStr">
        <is>
          <t>NON-NIL</t>
        </is>
      </c>
      <c r="E17519" t="n">
        <v>2692</v>
      </c>
    </row>
    <row r="17520">
      <c r="A17520" t="inlineStr">
        <is>
          <t>27BBBBB17520Z5</t>
        </is>
      </c>
      <c r="B17520" t="inlineStr">
        <is>
          <t>Jun-2020</t>
        </is>
      </c>
      <c r="C17520" s="2" t="n">
        <v>44855</v>
      </c>
      <c r="D17520" t="inlineStr">
        <is>
          <t>NIL</t>
        </is>
      </c>
      <c r="E17520" t="n">
        <v>2638</v>
      </c>
    </row>
    <row r="17521">
      <c r="A17521" t="inlineStr">
        <is>
          <t>27BBBBB17521Z5</t>
        </is>
      </c>
      <c r="B17521" t="inlineStr">
        <is>
          <t>Jan-2018</t>
        </is>
      </c>
      <c r="C17521" s="2" t="n">
        <v>43832</v>
      </c>
      <c r="D17521" t="inlineStr">
        <is>
          <t>NON-NIL</t>
        </is>
      </c>
      <c r="E17521" t="n">
        <v>1781</v>
      </c>
    </row>
    <row r="17522">
      <c r="A17522" t="inlineStr">
        <is>
          <t>27BBBBB17522Z5</t>
        </is>
      </c>
      <c r="B17522" t="inlineStr">
        <is>
          <t>Jun-2018</t>
        </is>
      </c>
      <c r="C17522" s="2" t="n">
        <v>44223</v>
      </c>
      <c r="D17522" t="inlineStr">
        <is>
          <t>NIL</t>
        </is>
      </c>
      <c r="E17522" t="n">
        <v>1978</v>
      </c>
    </row>
    <row r="17523">
      <c r="A17523" t="inlineStr">
        <is>
          <t>27BBBBB17523Z5</t>
        </is>
      </c>
      <c r="B17523" t="inlineStr">
        <is>
          <t>Nov-2018</t>
        </is>
      </c>
      <c r="C17523" s="2" t="n">
        <v>43395</v>
      </c>
      <c r="D17523" t="inlineStr">
        <is>
          <t>NON-NIL</t>
        </is>
      </c>
      <c r="E17523" t="n">
        <v>999</v>
      </c>
    </row>
    <row r="17524">
      <c r="A17524" t="inlineStr">
        <is>
          <t>27BBBBB17524Z5</t>
        </is>
      </c>
      <c r="B17524" t="inlineStr">
        <is>
          <t>Mar-2018</t>
        </is>
      </c>
      <c r="C17524" s="2" t="n">
        <v>44057</v>
      </c>
      <c r="D17524" t="inlineStr">
        <is>
          <t>NIL</t>
        </is>
      </c>
      <c r="E17524" t="n">
        <v>2136</v>
      </c>
    </row>
    <row r="17525">
      <c r="A17525" t="inlineStr">
        <is>
          <t>27BBBBB17525Z5</t>
        </is>
      </c>
      <c r="B17525" t="inlineStr">
        <is>
          <t>Jan-2021</t>
        </is>
      </c>
      <c r="C17525" s="2" t="n">
        <v>44325</v>
      </c>
      <c r="D17525" t="inlineStr">
        <is>
          <t>NON-NIL</t>
        </is>
      </c>
      <c r="E17525" t="n">
        <v>2919</v>
      </c>
    </row>
    <row r="17526">
      <c r="A17526" t="inlineStr">
        <is>
          <t>27BBBBB17526Z5</t>
        </is>
      </c>
      <c r="B17526" t="inlineStr">
        <is>
          <t>Nov-2018</t>
        </is>
      </c>
      <c r="C17526" s="2" t="n">
        <v>43360</v>
      </c>
      <c r="D17526" t="inlineStr">
        <is>
          <t>NIL</t>
        </is>
      </c>
      <c r="E17526" t="n">
        <v>914</v>
      </c>
    </row>
    <row r="17527">
      <c r="A17527" t="inlineStr">
        <is>
          <t>27BBBBB17527Z5</t>
        </is>
      </c>
      <c r="B17527" t="inlineStr">
        <is>
          <t>Sep-2018</t>
        </is>
      </c>
      <c r="C17527" s="2" t="n">
        <v>43133</v>
      </c>
      <c r="D17527" t="inlineStr">
        <is>
          <t>NIL</t>
        </is>
      </c>
      <c r="E17527" t="n">
        <v>1368</v>
      </c>
    </row>
    <row r="17528">
      <c r="A17528" t="inlineStr">
        <is>
          <t>27BBBBB17528Z5</t>
        </is>
      </c>
      <c r="B17528" t="inlineStr">
        <is>
          <t>Dec-2022</t>
        </is>
      </c>
      <c r="C17528" s="2" t="n">
        <v>45756</v>
      </c>
      <c r="D17528" t="inlineStr">
        <is>
          <t>NON-NIL</t>
        </is>
      </c>
      <c r="E17528" t="n">
        <v>2836</v>
      </c>
    </row>
    <row r="17529">
      <c r="A17529" t="inlineStr">
        <is>
          <t>27BBBBB17529Z5</t>
        </is>
      </c>
      <c r="B17529" t="inlineStr">
        <is>
          <t>Jun-2018</t>
        </is>
      </c>
      <c r="C17529" s="2" t="n">
        <v>44436</v>
      </c>
      <c r="D17529" t="inlineStr">
        <is>
          <t>NON-NIL</t>
        </is>
      </c>
      <c r="E17529" t="n">
        <v>2973</v>
      </c>
    </row>
    <row r="17530">
      <c r="A17530" t="inlineStr">
        <is>
          <t>27BBBBB17530Z5</t>
        </is>
      </c>
      <c r="B17530" t="inlineStr">
        <is>
          <t>Feb-2018</t>
        </is>
      </c>
      <c r="C17530" s="2" t="n">
        <v>43066</v>
      </c>
      <c r="D17530" t="inlineStr">
        <is>
          <t>NIL</t>
        </is>
      </c>
      <c r="E17530" t="n">
        <v>1999</v>
      </c>
    </row>
    <row r="17531">
      <c r="A17531" t="inlineStr">
        <is>
          <t>27BBBBB17531Z5</t>
        </is>
      </c>
      <c r="B17531" t="inlineStr">
        <is>
          <t>Mar-2021</t>
        </is>
      </c>
      <c r="C17531" s="2" t="n">
        <v>44606</v>
      </c>
      <c r="D17531" t="inlineStr">
        <is>
          <t>NIL</t>
        </is>
      </c>
      <c r="E17531" t="n">
        <v>246</v>
      </c>
    </row>
    <row r="17532">
      <c r="A17532" t="inlineStr">
        <is>
          <t>27BBBBB17532Z5</t>
        </is>
      </c>
      <c r="B17532" t="inlineStr">
        <is>
          <t>Nov-2017</t>
        </is>
      </c>
      <c r="C17532" s="2" t="n">
        <v>44282</v>
      </c>
      <c r="D17532" t="inlineStr">
        <is>
          <t>NIL</t>
        </is>
      </c>
      <c r="E17532" t="n">
        <v>2097</v>
      </c>
    </row>
    <row r="17533">
      <c r="A17533" t="inlineStr">
        <is>
          <t>27BBBBB17533Z5</t>
        </is>
      </c>
      <c r="B17533" t="inlineStr">
        <is>
          <t>Sep-2017</t>
        </is>
      </c>
      <c r="C17533" s="2" t="n">
        <v>44199</v>
      </c>
      <c r="D17533" t="inlineStr">
        <is>
          <t>NIL</t>
        </is>
      </c>
      <c r="E17533" t="n">
        <v>2100</v>
      </c>
    </row>
    <row r="17534">
      <c r="A17534" t="inlineStr">
        <is>
          <t>27BBBBB17534Z5</t>
        </is>
      </c>
      <c r="B17534" t="inlineStr">
        <is>
          <t>Jun-2020</t>
        </is>
      </c>
      <c r="C17534" s="2" t="n">
        <v>44455</v>
      </c>
      <c r="D17534" t="inlineStr">
        <is>
          <t>NIL</t>
        </is>
      </c>
      <c r="E17534" t="n">
        <v>2205</v>
      </c>
    </row>
    <row r="17535">
      <c r="A17535" t="inlineStr">
        <is>
          <t>27BBBBB17535Z5</t>
        </is>
      </c>
      <c r="B17535" t="inlineStr">
        <is>
          <t>Feb-2018</t>
        </is>
      </c>
      <c r="C17535" s="2" t="n">
        <v>43276</v>
      </c>
      <c r="D17535" t="inlineStr">
        <is>
          <t>NIL</t>
        </is>
      </c>
      <c r="E17535" t="n">
        <v>2881</v>
      </c>
    </row>
    <row r="17536">
      <c r="A17536" t="inlineStr">
        <is>
          <t>27BBBBB17536Z5</t>
        </is>
      </c>
      <c r="B17536" t="inlineStr">
        <is>
          <t>Jan-2018</t>
        </is>
      </c>
      <c r="C17536" s="2" t="n">
        <v>43205</v>
      </c>
      <c r="D17536" t="inlineStr">
        <is>
          <t>NIL</t>
        </is>
      </c>
      <c r="E17536" t="n">
        <v>1002</v>
      </c>
    </row>
    <row r="17537">
      <c r="A17537" t="inlineStr">
        <is>
          <t>27BBBBB17537Z5</t>
        </is>
      </c>
      <c r="B17537" t="inlineStr">
        <is>
          <t>May-2020</t>
        </is>
      </c>
      <c r="C17537" s="2" t="n">
        <v>44021</v>
      </c>
      <c r="D17537" t="inlineStr">
        <is>
          <t>NIL</t>
        </is>
      </c>
      <c r="E17537" t="n">
        <v>93</v>
      </c>
    </row>
    <row r="17538">
      <c r="A17538" t="inlineStr">
        <is>
          <t>27BBBBB17538Z5</t>
        </is>
      </c>
      <c r="B17538" t="inlineStr">
        <is>
          <t>May-2020</t>
        </is>
      </c>
      <c r="C17538" s="2" t="n">
        <v>44788</v>
      </c>
      <c r="D17538" t="inlineStr">
        <is>
          <t>NON-NIL</t>
        </is>
      </c>
      <c r="E17538" t="n">
        <v>764</v>
      </c>
    </row>
    <row r="17539">
      <c r="A17539" t="inlineStr">
        <is>
          <t>27BBBBB17539Z5</t>
        </is>
      </c>
      <c r="B17539" t="inlineStr">
        <is>
          <t>Jul-2020</t>
        </is>
      </c>
      <c r="C17539" s="2" t="n">
        <v>44817</v>
      </c>
      <c r="D17539" t="inlineStr">
        <is>
          <t>NON-NIL</t>
        </is>
      </c>
      <c r="E17539" t="n">
        <v>605</v>
      </c>
    </row>
    <row r="17540">
      <c r="A17540" t="inlineStr">
        <is>
          <t>27BBBBB17540Z5</t>
        </is>
      </c>
      <c r="B17540" t="inlineStr">
        <is>
          <t>Nov-2018</t>
        </is>
      </c>
      <c r="C17540" s="2" t="n">
        <v>44023</v>
      </c>
      <c r="D17540" t="inlineStr">
        <is>
          <t>NON-NIL</t>
        </is>
      </c>
      <c r="E17540" t="n">
        <v>1963</v>
      </c>
    </row>
    <row r="17541">
      <c r="A17541" t="inlineStr">
        <is>
          <t>27BBBBB17541Z5</t>
        </is>
      </c>
      <c r="B17541" t="inlineStr">
        <is>
          <t>Nov-2018</t>
        </is>
      </c>
      <c r="C17541" s="2" t="n">
        <v>44311</v>
      </c>
      <c r="D17541" t="inlineStr">
        <is>
          <t>NIL</t>
        </is>
      </c>
      <c r="E17541" t="n">
        <v>2861</v>
      </c>
    </row>
    <row r="17542">
      <c r="A17542" t="inlineStr">
        <is>
          <t>27BBBBB17542Z5</t>
        </is>
      </c>
      <c r="B17542" t="inlineStr">
        <is>
          <t>Dec-2024</t>
        </is>
      </c>
      <c r="C17542" s="2" t="n">
        <v>44852</v>
      </c>
      <c r="D17542" t="inlineStr">
        <is>
          <t>NON-NIL</t>
        </is>
      </c>
      <c r="E17542" t="n">
        <v>2273</v>
      </c>
    </row>
    <row r="17543">
      <c r="A17543" t="inlineStr">
        <is>
          <t>27BBBBB17543Z5</t>
        </is>
      </c>
      <c r="B17543" t="inlineStr">
        <is>
          <t>Jun-2018</t>
        </is>
      </c>
      <c r="C17543" s="2" t="n">
        <v>44158</v>
      </c>
      <c r="D17543" t="inlineStr">
        <is>
          <t>NON-NIL</t>
        </is>
      </c>
      <c r="E17543" t="n">
        <v>638</v>
      </c>
    </row>
    <row r="17544">
      <c r="A17544" t="inlineStr">
        <is>
          <t>27BBBBB17544Z5</t>
        </is>
      </c>
      <c r="B17544" t="inlineStr">
        <is>
          <t>Sep-2017</t>
        </is>
      </c>
      <c r="C17544" s="2" t="n">
        <v>43909</v>
      </c>
      <c r="D17544" t="inlineStr">
        <is>
          <t>NIL</t>
        </is>
      </c>
      <c r="E17544" t="n">
        <v>1723</v>
      </c>
    </row>
    <row r="17545">
      <c r="A17545" t="inlineStr">
        <is>
          <t>27BBBBB17545Z5</t>
        </is>
      </c>
      <c r="B17545" t="inlineStr">
        <is>
          <t>Jul-2020</t>
        </is>
      </c>
      <c r="C17545" s="2" t="n">
        <v>43904</v>
      </c>
      <c r="D17545" t="inlineStr">
        <is>
          <t>NIL</t>
        </is>
      </c>
      <c r="E17545" t="n">
        <v>404</v>
      </c>
    </row>
    <row r="17546">
      <c r="A17546" t="inlineStr">
        <is>
          <t>27BBBBB17546Z5</t>
        </is>
      </c>
      <c r="B17546" t="inlineStr">
        <is>
          <t>Jan-2018</t>
        </is>
      </c>
      <c r="C17546" s="2" t="n">
        <v>44204</v>
      </c>
      <c r="D17546" t="inlineStr">
        <is>
          <t>NON-NIL</t>
        </is>
      </c>
      <c r="E17546" t="n">
        <v>2494</v>
      </c>
    </row>
    <row r="17547">
      <c r="A17547" t="inlineStr">
        <is>
          <t>27BBBBB17547Z5</t>
        </is>
      </c>
      <c r="B17547" t="inlineStr">
        <is>
          <t>Sep-2017</t>
        </is>
      </c>
      <c r="C17547" s="2" t="n">
        <v>43267</v>
      </c>
      <c r="D17547" t="inlineStr">
        <is>
          <t>NIL</t>
        </is>
      </c>
      <c r="E17547" t="n">
        <v>2819</v>
      </c>
    </row>
    <row r="17548">
      <c r="A17548" t="inlineStr">
        <is>
          <t>27BBBBB17548Z5</t>
        </is>
      </c>
      <c r="B17548" t="inlineStr">
        <is>
          <t>Mar-2021</t>
        </is>
      </c>
      <c r="C17548" s="2" t="n">
        <v>44404</v>
      </c>
      <c r="D17548" t="inlineStr">
        <is>
          <t>NIL</t>
        </is>
      </c>
      <c r="E17548" t="n">
        <v>34</v>
      </c>
    </row>
    <row r="17549">
      <c r="A17549" t="inlineStr">
        <is>
          <t>27BBBBB17549Z5</t>
        </is>
      </c>
      <c r="B17549" t="inlineStr">
        <is>
          <t>Sep-2018</t>
        </is>
      </c>
      <c r="C17549" s="2" t="n">
        <v>43950</v>
      </c>
      <c r="D17549" t="inlineStr">
        <is>
          <t>NON-NIL</t>
        </is>
      </c>
      <c r="E17549" t="n">
        <v>1671</v>
      </c>
    </row>
    <row r="17550">
      <c r="A17550" t="inlineStr">
        <is>
          <t>27BBBBB17550Z5</t>
        </is>
      </c>
      <c r="B17550" t="inlineStr">
        <is>
          <t>Aug-2018</t>
        </is>
      </c>
      <c r="C17550" s="2" t="n">
        <v>44353</v>
      </c>
      <c r="D17550" t="inlineStr">
        <is>
          <t>NON-NIL</t>
        </is>
      </c>
      <c r="E17550" t="n">
        <v>1556</v>
      </c>
    </row>
    <row r="17551">
      <c r="A17551" t="inlineStr">
        <is>
          <t>27BBBBB17551Z5</t>
        </is>
      </c>
      <c r="B17551" t="inlineStr">
        <is>
          <t>Jul-2020</t>
        </is>
      </c>
      <c r="C17551" s="2" t="n">
        <v>44039</v>
      </c>
      <c r="D17551" t="inlineStr">
        <is>
          <t>NON-NIL</t>
        </is>
      </c>
      <c r="E17551" t="n">
        <v>2913</v>
      </c>
    </row>
    <row r="17552">
      <c r="A17552" t="inlineStr">
        <is>
          <t>27BBBBB17552Z5</t>
        </is>
      </c>
      <c r="B17552" t="inlineStr">
        <is>
          <t>Sep-2017</t>
        </is>
      </c>
      <c r="C17552" s="2" t="n">
        <v>44020</v>
      </c>
      <c r="D17552" t="inlineStr">
        <is>
          <t>NIL</t>
        </is>
      </c>
      <c r="E17552" t="n">
        <v>885</v>
      </c>
    </row>
    <row r="17553">
      <c r="A17553" t="inlineStr">
        <is>
          <t>27BBBBB17553Z5</t>
        </is>
      </c>
      <c r="B17553" t="inlineStr">
        <is>
          <t>Dec-2017</t>
        </is>
      </c>
      <c r="C17553" s="2" t="n">
        <v>43931</v>
      </c>
      <c r="D17553" t="inlineStr">
        <is>
          <t>NIL</t>
        </is>
      </c>
      <c r="E17553" t="n">
        <v>2242</v>
      </c>
    </row>
    <row r="17554">
      <c r="A17554" t="inlineStr">
        <is>
          <t>27BBBBB17554Z5</t>
        </is>
      </c>
      <c r="B17554" t="inlineStr">
        <is>
          <t>Dec-2018</t>
        </is>
      </c>
      <c r="C17554" s="2" t="n">
        <v>43183</v>
      </c>
      <c r="D17554" t="inlineStr">
        <is>
          <t>NON-NIL</t>
        </is>
      </c>
      <c r="E17554" t="n">
        <v>2893</v>
      </c>
    </row>
    <row r="17555">
      <c r="A17555" t="inlineStr">
        <is>
          <t>27BBBBB17555Z5</t>
        </is>
      </c>
      <c r="B17555" t="inlineStr">
        <is>
          <t>Mar-2020</t>
        </is>
      </c>
      <c r="C17555" s="2" t="n">
        <v>44796</v>
      </c>
      <c r="D17555" t="inlineStr">
        <is>
          <t>NON-NIL</t>
        </is>
      </c>
      <c r="E17555" t="n">
        <v>342</v>
      </c>
    </row>
    <row r="17556">
      <c r="A17556" t="inlineStr">
        <is>
          <t>27BBBBB17556Z5</t>
        </is>
      </c>
      <c r="B17556" t="inlineStr">
        <is>
          <t>Feb-2018</t>
        </is>
      </c>
      <c r="C17556" s="2" t="n">
        <v>44074</v>
      </c>
      <c r="D17556" t="inlineStr">
        <is>
          <t>NON-NIL</t>
        </is>
      </c>
      <c r="E17556" t="n">
        <v>940</v>
      </c>
    </row>
    <row r="17557">
      <c r="A17557" t="inlineStr">
        <is>
          <t>27BBBBB17557Z5</t>
        </is>
      </c>
      <c r="B17557" t="inlineStr">
        <is>
          <t>Mar-2023</t>
        </is>
      </c>
      <c r="C17557" s="2" t="n">
        <v>43779</v>
      </c>
      <c r="D17557" t="inlineStr">
        <is>
          <t>NON-NIL</t>
        </is>
      </c>
      <c r="E17557" t="n">
        <v>2024</v>
      </c>
    </row>
    <row r="17558">
      <c r="A17558" t="inlineStr">
        <is>
          <t>27BBBBB17558Z5</t>
        </is>
      </c>
      <c r="B17558" t="inlineStr">
        <is>
          <t>Jul-2017</t>
        </is>
      </c>
      <c r="C17558" s="2" t="n">
        <v>43687</v>
      </c>
      <c r="D17558" t="inlineStr">
        <is>
          <t>NON-NIL</t>
        </is>
      </c>
      <c r="E17558" t="n">
        <v>1335</v>
      </c>
    </row>
    <row r="17559">
      <c r="A17559" t="inlineStr">
        <is>
          <t>27BBBBB17559Z5</t>
        </is>
      </c>
      <c r="B17559" t="inlineStr">
        <is>
          <t>Aug-2018</t>
        </is>
      </c>
      <c r="C17559" s="2" t="n">
        <v>43137</v>
      </c>
      <c r="D17559" t="inlineStr">
        <is>
          <t>NON-NIL</t>
        </is>
      </c>
      <c r="E17559" t="n">
        <v>2345</v>
      </c>
    </row>
    <row r="17560">
      <c r="A17560" t="inlineStr">
        <is>
          <t>27BBBBB17560Z5</t>
        </is>
      </c>
      <c r="B17560" t="inlineStr">
        <is>
          <t>Jun-2020</t>
        </is>
      </c>
      <c r="C17560" s="2" t="n">
        <v>43905</v>
      </c>
      <c r="D17560" t="inlineStr">
        <is>
          <t>NON-NIL</t>
        </is>
      </c>
      <c r="E17560" t="n">
        <v>2764</v>
      </c>
    </row>
    <row r="17561">
      <c r="A17561" t="inlineStr">
        <is>
          <t>27BBBBB17561Z5</t>
        </is>
      </c>
      <c r="B17561" t="inlineStr">
        <is>
          <t>Nov-2018</t>
        </is>
      </c>
      <c r="C17561" s="2" t="n">
        <v>43560</v>
      </c>
      <c r="D17561" t="inlineStr">
        <is>
          <t>NON-NIL</t>
        </is>
      </c>
      <c r="E17561" t="n">
        <v>1503</v>
      </c>
    </row>
    <row r="17562">
      <c r="A17562" t="inlineStr">
        <is>
          <t>27BBBBB17562Z5</t>
        </is>
      </c>
      <c r="B17562" t="inlineStr">
        <is>
          <t>Jun-2020</t>
        </is>
      </c>
      <c r="C17562" s="2" t="n">
        <v>44104</v>
      </c>
      <c r="D17562" t="inlineStr">
        <is>
          <t>NIL</t>
        </is>
      </c>
      <c r="E17562" t="n">
        <v>286</v>
      </c>
    </row>
    <row r="17563">
      <c r="A17563" t="inlineStr">
        <is>
          <t>27BBBBB17563Z5</t>
        </is>
      </c>
      <c r="B17563" t="inlineStr">
        <is>
          <t>Dec-2017</t>
        </is>
      </c>
      <c r="C17563" s="2" t="n">
        <v>44183</v>
      </c>
      <c r="D17563" t="inlineStr">
        <is>
          <t>NON-NIL</t>
        </is>
      </c>
      <c r="E17563" t="n">
        <v>1132</v>
      </c>
    </row>
    <row r="17564">
      <c r="A17564" t="inlineStr">
        <is>
          <t>27BBBBB17564Z5</t>
        </is>
      </c>
      <c r="B17564" t="inlineStr">
        <is>
          <t>Jan-2018</t>
        </is>
      </c>
      <c r="C17564" s="2" t="n">
        <v>43625</v>
      </c>
      <c r="D17564" t="inlineStr">
        <is>
          <t>NON-NIL</t>
        </is>
      </c>
      <c r="E17564" t="n">
        <v>105</v>
      </c>
    </row>
    <row r="17565">
      <c r="A17565" t="inlineStr">
        <is>
          <t>27BBBBB17565Z5</t>
        </is>
      </c>
      <c r="B17565" t="inlineStr">
        <is>
          <t>Aug-2017</t>
        </is>
      </c>
      <c r="C17565" s="2" t="n">
        <v>43811</v>
      </c>
      <c r="D17565" t="inlineStr">
        <is>
          <t>NIL</t>
        </is>
      </c>
      <c r="E17565" t="n">
        <v>2890</v>
      </c>
    </row>
    <row r="17566">
      <c r="A17566" t="inlineStr">
        <is>
          <t>27BBBBB17566Z5</t>
        </is>
      </c>
      <c r="B17566" t="inlineStr">
        <is>
          <t>Sep-2017</t>
        </is>
      </c>
      <c r="C17566" s="2" t="n">
        <v>44222</v>
      </c>
      <c r="D17566" t="inlineStr">
        <is>
          <t>NON-NIL</t>
        </is>
      </c>
      <c r="E17566" t="n">
        <v>1140</v>
      </c>
    </row>
    <row r="17567">
      <c r="A17567" t="inlineStr">
        <is>
          <t>27BBBBB17567Z5</t>
        </is>
      </c>
      <c r="B17567" t="inlineStr">
        <is>
          <t>Mar-2021</t>
        </is>
      </c>
      <c r="C17567" s="2" t="n">
        <v>45652</v>
      </c>
      <c r="D17567" t="inlineStr">
        <is>
          <t>NIL</t>
        </is>
      </c>
      <c r="E17567" t="n">
        <v>2434</v>
      </c>
    </row>
    <row r="17568">
      <c r="A17568" t="inlineStr">
        <is>
          <t>27BBBBB17568Z5</t>
        </is>
      </c>
      <c r="B17568" t="inlineStr">
        <is>
          <t>Jul-2017</t>
        </is>
      </c>
      <c r="C17568" s="2" t="n">
        <v>44168</v>
      </c>
      <c r="D17568" t="inlineStr">
        <is>
          <t>NON-NIL</t>
        </is>
      </c>
      <c r="E17568" t="n">
        <v>112</v>
      </c>
    </row>
    <row r="17569">
      <c r="A17569" t="inlineStr">
        <is>
          <t>27BBBBB17569Z5</t>
        </is>
      </c>
      <c r="B17569" t="inlineStr">
        <is>
          <t>Oct-2018</t>
        </is>
      </c>
      <c r="C17569" s="2" t="n">
        <v>43729</v>
      </c>
      <c r="D17569" t="inlineStr">
        <is>
          <t>NIL</t>
        </is>
      </c>
      <c r="E17569" t="n">
        <v>2986</v>
      </c>
    </row>
    <row r="17570">
      <c r="A17570" t="inlineStr">
        <is>
          <t>27BBBBB17570Z5</t>
        </is>
      </c>
      <c r="B17570" t="inlineStr">
        <is>
          <t>Apr-2018</t>
        </is>
      </c>
      <c r="C17570" s="2" t="n">
        <v>44249</v>
      </c>
      <c r="D17570" t="inlineStr">
        <is>
          <t>NON-NIL</t>
        </is>
      </c>
      <c r="E17570" t="n">
        <v>1712</v>
      </c>
    </row>
    <row r="17571">
      <c r="A17571" t="inlineStr">
        <is>
          <t>27BBBBB17571Z5</t>
        </is>
      </c>
      <c r="B17571" t="inlineStr">
        <is>
          <t>Jun-2018</t>
        </is>
      </c>
      <c r="C17571" s="2" t="n">
        <v>43044</v>
      </c>
      <c r="D17571" t="inlineStr">
        <is>
          <t>NIL</t>
        </is>
      </c>
      <c r="E17571" t="n">
        <v>1585</v>
      </c>
    </row>
    <row r="17572">
      <c r="A17572" t="inlineStr">
        <is>
          <t>27BBBBB17572Z5</t>
        </is>
      </c>
      <c r="B17572" t="inlineStr">
        <is>
          <t>Feb-2018</t>
        </is>
      </c>
      <c r="C17572" s="2" t="n">
        <v>44042</v>
      </c>
      <c r="D17572" t="inlineStr">
        <is>
          <t>NON-NIL</t>
        </is>
      </c>
      <c r="E17572" t="n">
        <v>1932</v>
      </c>
    </row>
    <row r="17573">
      <c r="A17573" t="inlineStr">
        <is>
          <t>27BBBBB17573Z5</t>
        </is>
      </c>
      <c r="B17573" t="inlineStr">
        <is>
          <t>Feb-2018</t>
        </is>
      </c>
      <c r="C17573" s="2" t="n">
        <v>43057</v>
      </c>
      <c r="D17573" t="inlineStr">
        <is>
          <t>NON-NIL</t>
        </is>
      </c>
      <c r="E17573" t="n">
        <v>2187</v>
      </c>
    </row>
    <row r="17574">
      <c r="A17574" t="inlineStr">
        <is>
          <t>27BBBBB17574Z5</t>
        </is>
      </c>
      <c r="B17574" t="inlineStr">
        <is>
          <t>Mar-2021</t>
        </is>
      </c>
      <c r="C17574" s="2" t="n">
        <v>44681</v>
      </c>
      <c r="D17574" t="inlineStr">
        <is>
          <t>NON-NIL</t>
        </is>
      </c>
      <c r="E17574" t="n">
        <v>2824</v>
      </c>
    </row>
    <row r="17575">
      <c r="A17575" t="inlineStr">
        <is>
          <t>27BBBBB17575Z5</t>
        </is>
      </c>
      <c r="B17575" t="inlineStr">
        <is>
          <t>Jul-2017</t>
        </is>
      </c>
      <c r="C17575" s="2" t="n">
        <v>44045</v>
      </c>
      <c r="D17575" t="inlineStr">
        <is>
          <t>NIL</t>
        </is>
      </c>
      <c r="E17575" t="n">
        <v>1111</v>
      </c>
    </row>
    <row r="17576">
      <c r="A17576" t="inlineStr">
        <is>
          <t>27BBBBB17576Z5</t>
        </is>
      </c>
      <c r="B17576" t="inlineStr">
        <is>
          <t>Jun-2020</t>
        </is>
      </c>
      <c r="C17576" s="2" t="n">
        <v>44563</v>
      </c>
      <c r="D17576" t="inlineStr">
        <is>
          <t>NIL</t>
        </is>
      </c>
      <c r="E17576" t="n">
        <v>2072</v>
      </c>
    </row>
    <row r="17577">
      <c r="A17577" t="inlineStr">
        <is>
          <t>27BBBBB17577Z5</t>
        </is>
      </c>
      <c r="B17577" t="inlineStr">
        <is>
          <t>Dec-2022</t>
        </is>
      </c>
      <c r="C17577" s="2" t="n">
        <v>44021</v>
      </c>
      <c r="D17577" t="inlineStr">
        <is>
          <t>NIL</t>
        </is>
      </c>
      <c r="E17577" t="n">
        <v>1828</v>
      </c>
    </row>
    <row r="17578">
      <c r="A17578" t="inlineStr">
        <is>
          <t>27BBBBB17578Z5</t>
        </is>
      </c>
      <c r="B17578" t="inlineStr">
        <is>
          <t>Jul-2020</t>
        </is>
      </c>
      <c r="C17578" s="2" t="n">
        <v>44321</v>
      </c>
      <c r="D17578" t="inlineStr">
        <is>
          <t>NON-NIL</t>
        </is>
      </c>
      <c r="E17578" t="n">
        <v>687</v>
      </c>
    </row>
    <row r="17579">
      <c r="A17579" t="inlineStr">
        <is>
          <t>27BBBBB17579Z5</t>
        </is>
      </c>
      <c r="B17579" t="inlineStr">
        <is>
          <t>Dec-2022</t>
        </is>
      </c>
      <c r="C17579" s="2" t="n">
        <v>45012</v>
      </c>
      <c r="D17579" t="inlineStr">
        <is>
          <t>NIL</t>
        </is>
      </c>
      <c r="E17579" t="n">
        <v>2844</v>
      </c>
    </row>
    <row r="17580">
      <c r="A17580" t="inlineStr">
        <is>
          <t>27BBBBB17580Z5</t>
        </is>
      </c>
      <c r="B17580" t="inlineStr">
        <is>
          <t>Jun-2018</t>
        </is>
      </c>
      <c r="C17580" s="2" t="n">
        <v>44352</v>
      </c>
      <c r="D17580" t="inlineStr">
        <is>
          <t>NIL</t>
        </is>
      </c>
      <c r="E17580" t="n">
        <v>658</v>
      </c>
    </row>
    <row r="17581">
      <c r="A17581" t="inlineStr">
        <is>
          <t>27BBBBB17581Z5</t>
        </is>
      </c>
      <c r="B17581" t="inlineStr">
        <is>
          <t>Jun-2018</t>
        </is>
      </c>
      <c r="C17581" s="2" t="n">
        <v>43806</v>
      </c>
      <c r="D17581" t="inlineStr">
        <is>
          <t>NON-NIL</t>
        </is>
      </c>
      <c r="E17581" t="n">
        <v>2222</v>
      </c>
    </row>
    <row r="17582">
      <c r="A17582" t="inlineStr">
        <is>
          <t>27BBBBB17582Z5</t>
        </is>
      </c>
      <c r="B17582" t="inlineStr">
        <is>
          <t>Mar-2021</t>
        </is>
      </c>
      <c r="C17582" s="2" t="n">
        <v>45783</v>
      </c>
      <c r="D17582" t="inlineStr">
        <is>
          <t>NIL</t>
        </is>
      </c>
      <c r="E17582" t="n">
        <v>2772</v>
      </c>
    </row>
    <row r="17583">
      <c r="A17583" t="inlineStr">
        <is>
          <t>27BBBBB17583Z5</t>
        </is>
      </c>
      <c r="B17583" t="inlineStr">
        <is>
          <t>Oct-2017</t>
        </is>
      </c>
      <c r="C17583" s="2" t="n">
        <v>43816</v>
      </c>
      <c r="D17583" t="inlineStr">
        <is>
          <t>NIL</t>
        </is>
      </c>
      <c r="E17583" t="n">
        <v>132</v>
      </c>
    </row>
    <row r="17584">
      <c r="A17584" t="inlineStr">
        <is>
          <t>27BBBBB17584Z5</t>
        </is>
      </c>
      <c r="B17584" t="inlineStr">
        <is>
          <t>Mar-2020</t>
        </is>
      </c>
      <c r="C17584" s="2" t="n">
        <v>43839</v>
      </c>
      <c r="D17584" t="inlineStr">
        <is>
          <t>NIL</t>
        </is>
      </c>
      <c r="E17584" t="n">
        <v>2902</v>
      </c>
    </row>
    <row r="17585">
      <c r="A17585" t="inlineStr">
        <is>
          <t>27BBBBB17585Z5</t>
        </is>
      </c>
      <c r="B17585" t="inlineStr">
        <is>
          <t>Apr-2020</t>
        </is>
      </c>
      <c r="C17585" s="2" t="n">
        <v>43982</v>
      </c>
      <c r="D17585" t="inlineStr">
        <is>
          <t>NIL</t>
        </is>
      </c>
      <c r="E17585" t="n">
        <v>1236</v>
      </c>
    </row>
    <row r="17586">
      <c r="A17586" t="inlineStr">
        <is>
          <t>27BBBBB17586Z5</t>
        </is>
      </c>
      <c r="B17586" t="inlineStr">
        <is>
          <t>Mar-2023</t>
        </is>
      </c>
      <c r="C17586" s="2" t="n">
        <v>45248</v>
      </c>
      <c r="D17586" t="inlineStr">
        <is>
          <t>NIL</t>
        </is>
      </c>
      <c r="E17586" t="n">
        <v>210</v>
      </c>
    </row>
    <row r="17587">
      <c r="A17587" t="inlineStr">
        <is>
          <t>27BBBBB17587Z5</t>
        </is>
      </c>
      <c r="B17587" t="inlineStr">
        <is>
          <t>Jun-2020</t>
        </is>
      </c>
      <c r="C17587" s="2" t="n">
        <v>44299</v>
      </c>
      <c r="D17587" t="inlineStr">
        <is>
          <t>NON-NIL</t>
        </is>
      </c>
      <c r="E17587" t="n">
        <v>2554</v>
      </c>
    </row>
    <row r="17588">
      <c r="A17588" t="inlineStr">
        <is>
          <t>27BBBBB17588Z5</t>
        </is>
      </c>
      <c r="B17588" t="inlineStr">
        <is>
          <t>Sep-2017</t>
        </is>
      </c>
      <c r="C17588" s="2" t="n">
        <v>43662</v>
      </c>
      <c r="D17588" t="inlineStr">
        <is>
          <t>NON-NIL</t>
        </is>
      </c>
      <c r="E17588" t="n">
        <v>1123</v>
      </c>
    </row>
    <row r="17589">
      <c r="A17589" t="inlineStr">
        <is>
          <t>27BBBBB17589Z5</t>
        </is>
      </c>
      <c r="B17589" t="inlineStr">
        <is>
          <t>Mar-2023</t>
        </is>
      </c>
      <c r="C17589" s="2" t="n">
        <v>44069</v>
      </c>
      <c r="D17589" t="inlineStr">
        <is>
          <t>NON-NIL</t>
        </is>
      </c>
      <c r="E17589" t="n">
        <v>231</v>
      </c>
    </row>
    <row r="17590">
      <c r="A17590" t="inlineStr">
        <is>
          <t>27BBBBB17590Z5</t>
        </is>
      </c>
      <c r="B17590" t="inlineStr">
        <is>
          <t>Dec-2017</t>
        </is>
      </c>
      <c r="C17590" s="2" t="n">
        <v>43808</v>
      </c>
      <c r="D17590" t="inlineStr">
        <is>
          <t>NON-NIL</t>
        </is>
      </c>
      <c r="E17590" t="n">
        <v>1620</v>
      </c>
    </row>
    <row r="17591">
      <c r="A17591" t="inlineStr">
        <is>
          <t>27BBBBB17591Z5</t>
        </is>
      </c>
      <c r="B17591" t="inlineStr">
        <is>
          <t>May-2020</t>
        </is>
      </c>
      <c r="C17591" s="2" t="n">
        <v>43969</v>
      </c>
      <c r="D17591" t="inlineStr">
        <is>
          <t>NON-NIL</t>
        </is>
      </c>
      <c r="E17591" t="n">
        <v>354</v>
      </c>
    </row>
    <row r="17592">
      <c r="A17592" t="inlineStr">
        <is>
          <t>27BBBBB17592Z5</t>
        </is>
      </c>
      <c r="B17592" t="inlineStr">
        <is>
          <t>Dec-2018</t>
        </is>
      </c>
      <c r="C17592" s="2" t="n">
        <v>44270</v>
      </c>
      <c r="D17592" t="inlineStr">
        <is>
          <t>NIL</t>
        </is>
      </c>
      <c r="E17592" t="n">
        <v>2398</v>
      </c>
    </row>
    <row r="17593">
      <c r="A17593" t="inlineStr">
        <is>
          <t>27BBBBB17593Z5</t>
        </is>
      </c>
      <c r="B17593" t="inlineStr">
        <is>
          <t>Feb-2018</t>
        </is>
      </c>
      <c r="C17593" s="2" t="n">
        <v>43421</v>
      </c>
      <c r="D17593" t="inlineStr">
        <is>
          <t>NIL</t>
        </is>
      </c>
      <c r="E17593" t="n">
        <v>2723</v>
      </c>
    </row>
    <row r="17594">
      <c r="A17594" t="inlineStr">
        <is>
          <t>27BBBBB17594Z5</t>
        </is>
      </c>
      <c r="B17594" t="inlineStr">
        <is>
          <t>Aug-2017</t>
        </is>
      </c>
      <c r="C17594" s="2" t="n">
        <v>43475</v>
      </c>
      <c r="D17594" t="inlineStr">
        <is>
          <t>NIL</t>
        </is>
      </c>
      <c r="E17594" t="n">
        <v>1024</v>
      </c>
    </row>
    <row r="17595">
      <c r="A17595" t="inlineStr">
        <is>
          <t>27BBBBB17595Z5</t>
        </is>
      </c>
      <c r="B17595" t="inlineStr">
        <is>
          <t>Sep-2018</t>
        </is>
      </c>
      <c r="C17595" s="2" t="n">
        <v>43481</v>
      </c>
      <c r="D17595" t="inlineStr">
        <is>
          <t>NON-NIL</t>
        </is>
      </c>
      <c r="E17595" t="n">
        <v>1342</v>
      </c>
    </row>
    <row r="17596">
      <c r="A17596" t="inlineStr">
        <is>
          <t>27BBBBB17596Z5</t>
        </is>
      </c>
      <c r="B17596" t="inlineStr">
        <is>
          <t>Apr-2020</t>
        </is>
      </c>
      <c r="C17596" s="2" t="n">
        <v>44011</v>
      </c>
      <c r="D17596" t="inlineStr">
        <is>
          <t>NIL</t>
        </is>
      </c>
      <c r="E17596" t="n">
        <v>380</v>
      </c>
    </row>
    <row r="17597">
      <c r="A17597" t="inlineStr">
        <is>
          <t>27BBBBB17597Z5</t>
        </is>
      </c>
      <c r="B17597" t="inlineStr">
        <is>
          <t>Aug-2018</t>
        </is>
      </c>
      <c r="C17597" s="2" t="n">
        <v>43313</v>
      </c>
      <c r="D17597" t="inlineStr">
        <is>
          <t>NIL</t>
        </is>
      </c>
      <c r="E17597" t="n">
        <v>729</v>
      </c>
    </row>
    <row r="17598">
      <c r="A17598" t="inlineStr">
        <is>
          <t>27BBBBB17598Z5</t>
        </is>
      </c>
      <c r="B17598" t="inlineStr">
        <is>
          <t>Dec-2024</t>
        </is>
      </c>
      <c r="C17598" s="2" t="n">
        <v>45712</v>
      </c>
      <c r="D17598" t="inlineStr">
        <is>
          <t>NON-NIL</t>
        </is>
      </c>
      <c r="E17598" t="n">
        <v>301</v>
      </c>
    </row>
    <row r="17599">
      <c r="A17599" t="inlineStr">
        <is>
          <t>27BBBBB17599Z5</t>
        </is>
      </c>
      <c r="B17599" t="inlineStr">
        <is>
          <t>Mar-2021</t>
        </is>
      </c>
      <c r="C17599" s="2" t="n">
        <v>44616</v>
      </c>
      <c r="D17599" t="inlineStr">
        <is>
          <t>NIL</t>
        </is>
      </c>
      <c r="E17599" t="n">
        <v>2392</v>
      </c>
    </row>
    <row r="17600">
      <c r="A17600" t="inlineStr">
        <is>
          <t>27BBBBB17600Z5</t>
        </is>
      </c>
      <c r="B17600" t="inlineStr">
        <is>
          <t>Nov-2017</t>
        </is>
      </c>
      <c r="C17600" s="2" t="n">
        <v>43539</v>
      </c>
      <c r="D17600" t="inlineStr">
        <is>
          <t>NON-NIL</t>
        </is>
      </c>
      <c r="E17600" t="n">
        <v>1070</v>
      </c>
    </row>
    <row r="17601">
      <c r="A17601" t="inlineStr">
        <is>
          <t>27BBBBB17601Z5</t>
        </is>
      </c>
      <c r="B17601" t="inlineStr">
        <is>
          <t>Jun-2018</t>
        </is>
      </c>
      <c r="C17601" s="2" t="n">
        <v>43926</v>
      </c>
      <c r="D17601" t="inlineStr">
        <is>
          <t>NON-NIL</t>
        </is>
      </c>
      <c r="E17601" t="n">
        <v>2345</v>
      </c>
    </row>
    <row r="17602">
      <c r="A17602" t="inlineStr">
        <is>
          <t>27BBBBB17602Z5</t>
        </is>
      </c>
      <c r="B17602" t="inlineStr">
        <is>
          <t>Mar-2020</t>
        </is>
      </c>
      <c r="C17602" s="2" t="n">
        <v>44378</v>
      </c>
      <c r="D17602" t="inlineStr">
        <is>
          <t>NON-NIL</t>
        </is>
      </c>
      <c r="E17602" t="n">
        <v>985</v>
      </c>
    </row>
    <row r="17603">
      <c r="A17603" t="inlineStr">
        <is>
          <t>27BBBBB17603Z5</t>
        </is>
      </c>
      <c r="B17603" t="inlineStr">
        <is>
          <t>Dec-2018</t>
        </is>
      </c>
      <c r="C17603" s="2" t="n">
        <v>44538</v>
      </c>
      <c r="D17603" t="inlineStr">
        <is>
          <t>NIL</t>
        </is>
      </c>
      <c r="E17603" t="n">
        <v>2713</v>
      </c>
    </row>
    <row r="17604">
      <c r="A17604" t="inlineStr">
        <is>
          <t>27BBBBB17604Z5</t>
        </is>
      </c>
      <c r="B17604" t="inlineStr">
        <is>
          <t>Mar-2021</t>
        </is>
      </c>
      <c r="C17604" s="2" t="n">
        <v>44215</v>
      </c>
      <c r="D17604" t="inlineStr">
        <is>
          <t>NON-NIL</t>
        </is>
      </c>
      <c r="E17604" t="n">
        <v>1247</v>
      </c>
    </row>
    <row r="17605">
      <c r="A17605" t="inlineStr">
        <is>
          <t>27BBBBB17605Z5</t>
        </is>
      </c>
      <c r="B17605" t="inlineStr">
        <is>
          <t>Mar-2018</t>
        </is>
      </c>
      <c r="C17605" s="2" t="n">
        <v>43472</v>
      </c>
      <c r="D17605" t="inlineStr">
        <is>
          <t>NIL</t>
        </is>
      </c>
      <c r="E17605" t="n">
        <v>2215</v>
      </c>
    </row>
    <row r="17606">
      <c r="A17606" t="inlineStr">
        <is>
          <t>27BBBBB17606Z5</t>
        </is>
      </c>
      <c r="B17606" t="inlineStr">
        <is>
          <t>Aug-2018</t>
        </is>
      </c>
      <c r="C17606" s="2" t="n">
        <v>44189</v>
      </c>
      <c r="D17606" t="inlineStr">
        <is>
          <t>NIL</t>
        </is>
      </c>
      <c r="E17606" t="n">
        <v>2471</v>
      </c>
    </row>
    <row r="17607">
      <c r="A17607" t="inlineStr">
        <is>
          <t>27BBBBB17607Z5</t>
        </is>
      </c>
      <c r="B17607" t="inlineStr">
        <is>
          <t>Oct-2018</t>
        </is>
      </c>
      <c r="C17607" s="2" t="n">
        <v>44525</v>
      </c>
      <c r="D17607" t="inlineStr">
        <is>
          <t>NON-NIL</t>
        </is>
      </c>
      <c r="E17607" t="n">
        <v>2943</v>
      </c>
    </row>
    <row r="17608">
      <c r="A17608" t="inlineStr">
        <is>
          <t>27BBBBB17608Z5</t>
        </is>
      </c>
      <c r="B17608" t="inlineStr">
        <is>
          <t>Mar-2023</t>
        </is>
      </c>
      <c r="C17608" s="2" t="n">
        <v>44896</v>
      </c>
      <c r="D17608" t="inlineStr">
        <is>
          <t>NON-NIL</t>
        </is>
      </c>
      <c r="E17608" t="n">
        <v>2729</v>
      </c>
    </row>
    <row r="17609">
      <c r="A17609" t="inlineStr">
        <is>
          <t>27BBBBB17609Z5</t>
        </is>
      </c>
      <c r="B17609" t="inlineStr">
        <is>
          <t>May-2018</t>
        </is>
      </c>
      <c r="C17609" s="2" t="n">
        <v>43692</v>
      </c>
      <c r="D17609" t="inlineStr">
        <is>
          <t>NON-NIL</t>
        </is>
      </c>
      <c r="E17609" t="n">
        <v>1944</v>
      </c>
    </row>
    <row r="17610">
      <c r="A17610" t="inlineStr">
        <is>
          <t>27BBBBB17610Z5</t>
        </is>
      </c>
      <c r="B17610" t="inlineStr">
        <is>
          <t>Apr-2020</t>
        </is>
      </c>
      <c r="C17610" s="2" t="n">
        <v>44349</v>
      </c>
      <c r="D17610" t="inlineStr">
        <is>
          <t>NIL</t>
        </is>
      </c>
      <c r="E17610" t="n">
        <v>126</v>
      </c>
    </row>
    <row r="17611">
      <c r="A17611" t="inlineStr">
        <is>
          <t>27BBBBB17611Z5</t>
        </is>
      </c>
      <c r="B17611" t="inlineStr">
        <is>
          <t>Mar-2018</t>
        </is>
      </c>
      <c r="C17611" s="2" t="n">
        <v>44082</v>
      </c>
      <c r="D17611" t="inlineStr">
        <is>
          <t>NIL</t>
        </is>
      </c>
      <c r="E17611" t="n">
        <v>2395</v>
      </c>
    </row>
    <row r="17612">
      <c r="A17612" t="inlineStr">
        <is>
          <t>27BBBBB17612Z5</t>
        </is>
      </c>
      <c r="B17612" t="inlineStr">
        <is>
          <t>Jul-2017</t>
        </is>
      </c>
      <c r="C17612" s="2" t="n">
        <v>44184</v>
      </c>
      <c r="D17612" t="inlineStr">
        <is>
          <t>NON-NIL</t>
        </is>
      </c>
      <c r="E17612" t="n">
        <v>2353</v>
      </c>
    </row>
    <row r="17613">
      <c r="A17613" t="inlineStr">
        <is>
          <t>27BBBBB17613Z5</t>
        </is>
      </c>
      <c r="B17613" t="inlineStr">
        <is>
          <t>Apr-2018</t>
        </is>
      </c>
      <c r="C17613" s="2" t="n">
        <v>44237</v>
      </c>
      <c r="D17613" t="inlineStr">
        <is>
          <t>NON-NIL</t>
        </is>
      </c>
      <c r="E17613" t="n">
        <v>1030</v>
      </c>
    </row>
    <row r="17614">
      <c r="A17614" t="inlineStr">
        <is>
          <t>27BBBBB17614Z5</t>
        </is>
      </c>
      <c r="B17614" t="inlineStr">
        <is>
          <t>Apr-2018</t>
        </is>
      </c>
      <c r="C17614" s="2" t="n">
        <v>44521</v>
      </c>
      <c r="D17614" t="inlineStr">
        <is>
          <t>NIL</t>
        </is>
      </c>
      <c r="E17614" t="n">
        <v>1473</v>
      </c>
    </row>
    <row r="17615">
      <c r="A17615" t="inlineStr">
        <is>
          <t>27BBBBB17615Z5</t>
        </is>
      </c>
      <c r="B17615" t="inlineStr">
        <is>
          <t>Aug-2018</t>
        </is>
      </c>
      <c r="C17615" s="2" t="n">
        <v>43680</v>
      </c>
      <c r="D17615" t="inlineStr">
        <is>
          <t>NON-NIL</t>
        </is>
      </c>
      <c r="E17615" t="n">
        <v>2786</v>
      </c>
    </row>
    <row r="17616">
      <c r="A17616" t="inlineStr">
        <is>
          <t>27BBBBB17616Z5</t>
        </is>
      </c>
      <c r="B17616" t="inlineStr">
        <is>
          <t>Jun-2018</t>
        </is>
      </c>
      <c r="C17616" s="2" t="n">
        <v>44486</v>
      </c>
      <c r="D17616" t="inlineStr">
        <is>
          <t>NIL</t>
        </is>
      </c>
      <c r="E17616" t="n">
        <v>2522</v>
      </c>
    </row>
    <row r="17617">
      <c r="A17617" t="inlineStr">
        <is>
          <t>27BBBBB17617Z5</t>
        </is>
      </c>
      <c r="B17617" t="inlineStr">
        <is>
          <t>Oct-2018</t>
        </is>
      </c>
      <c r="C17617" s="2" t="n">
        <v>43146</v>
      </c>
      <c r="D17617" t="inlineStr">
        <is>
          <t>NON-NIL</t>
        </is>
      </c>
      <c r="E17617" t="n">
        <v>384</v>
      </c>
    </row>
    <row r="17618">
      <c r="A17618" t="inlineStr">
        <is>
          <t>27BBBBB17618Z5</t>
        </is>
      </c>
      <c r="B17618" t="inlineStr">
        <is>
          <t>Dec-2018</t>
        </is>
      </c>
      <c r="C17618" s="2" t="n">
        <v>44483</v>
      </c>
      <c r="D17618" t="inlineStr">
        <is>
          <t>NIL</t>
        </is>
      </c>
      <c r="E17618" t="n">
        <v>935</v>
      </c>
    </row>
    <row r="17619">
      <c r="A17619" t="inlineStr">
        <is>
          <t>27BBBBB17619Z5</t>
        </is>
      </c>
      <c r="B17619" t="inlineStr">
        <is>
          <t>Jan-2021</t>
        </is>
      </c>
      <c r="C17619" s="2" t="n">
        <v>43972</v>
      </c>
      <c r="D17619" t="inlineStr">
        <is>
          <t>NIL</t>
        </is>
      </c>
      <c r="E17619" t="n">
        <v>2743</v>
      </c>
    </row>
    <row r="17620">
      <c r="A17620" t="inlineStr">
        <is>
          <t>27BBBBB17620Z5</t>
        </is>
      </c>
      <c r="B17620" t="inlineStr">
        <is>
          <t>Jul-2017</t>
        </is>
      </c>
      <c r="C17620" s="2" t="n">
        <v>42997</v>
      </c>
      <c r="D17620" t="inlineStr">
        <is>
          <t>NON-NIL</t>
        </is>
      </c>
      <c r="E17620" t="n">
        <v>2182</v>
      </c>
    </row>
    <row r="17621">
      <c r="A17621" t="inlineStr">
        <is>
          <t>27BBBBB17621Z5</t>
        </is>
      </c>
      <c r="B17621" t="inlineStr">
        <is>
          <t>Dec-2024</t>
        </is>
      </c>
      <c r="C17621" s="2" t="n">
        <v>43976</v>
      </c>
      <c r="D17621" t="inlineStr">
        <is>
          <t>NON-NIL</t>
        </is>
      </c>
      <c r="E17621" t="n">
        <v>2865</v>
      </c>
    </row>
    <row r="17622">
      <c r="A17622" t="inlineStr">
        <is>
          <t>27BBBBB17622Z5</t>
        </is>
      </c>
      <c r="B17622" t="inlineStr">
        <is>
          <t>Nov-2017</t>
        </is>
      </c>
      <c r="C17622" s="2" t="n">
        <v>43915</v>
      </c>
      <c r="D17622" t="inlineStr">
        <is>
          <t>NON-NIL</t>
        </is>
      </c>
      <c r="E17622" t="n">
        <v>2697</v>
      </c>
    </row>
    <row r="17623">
      <c r="A17623" t="inlineStr">
        <is>
          <t>27BBBBB17623Z5</t>
        </is>
      </c>
      <c r="B17623" t="inlineStr">
        <is>
          <t>Dec-2018</t>
        </is>
      </c>
      <c r="C17623" s="2" t="n">
        <v>43910</v>
      </c>
      <c r="D17623" t="inlineStr">
        <is>
          <t>NIL</t>
        </is>
      </c>
      <c r="E17623" t="n">
        <v>691</v>
      </c>
    </row>
    <row r="17624">
      <c r="A17624" t="inlineStr">
        <is>
          <t>27BBBBB17624Z5</t>
        </is>
      </c>
      <c r="B17624" t="inlineStr">
        <is>
          <t>Nov-2017</t>
        </is>
      </c>
      <c r="C17624" s="2" t="n">
        <v>43693</v>
      </c>
      <c r="D17624" t="inlineStr">
        <is>
          <t>NON-NIL</t>
        </is>
      </c>
      <c r="E17624" t="n">
        <v>1138</v>
      </c>
    </row>
    <row r="17625">
      <c r="A17625" t="inlineStr">
        <is>
          <t>27BBBBB17625Z5</t>
        </is>
      </c>
      <c r="B17625" t="inlineStr">
        <is>
          <t>Aug-2017</t>
        </is>
      </c>
      <c r="C17625" s="2" t="n">
        <v>43181</v>
      </c>
      <c r="D17625" t="inlineStr">
        <is>
          <t>NON-NIL</t>
        </is>
      </c>
      <c r="E17625" t="n">
        <v>1930</v>
      </c>
    </row>
    <row r="17626">
      <c r="A17626" t="inlineStr">
        <is>
          <t>27BBBBB17626Z5</t>
        </is>
      </c>
      <c r="B17626" t="inlineStr">
        <is>
          <t>Nov-2017</t>
        </is>
      </c>
      <c r="C17626" s="2" t="n">
        <v>43381</v>
      </c>
      <c r="D17626" t="inlineStr">
        <is>
          <t>NON-NIL</t>
        </is>
      </c>
      <c r="E17626" t="n">
        <v>2086</v>
      </c>
    </row>
    <row r="17627">
      <c r="A17627" t="inlineStr">
        <is>
          <t>27BBBBB17627Z5</t>
        </is>
      </c>
      <c r="B17627" t="inlineStr">
        <is>
          <t>Jul-2020</t>
        </is>
      </c>
      <c r="C17627" s="2" t="n">
        <v>43958</v>
      </c>
      <c r="D17627" t="inlineStr">
        <is>
          <t>NIL</t>
        </is>
      </c>
      <c r="E17627" t="n">
        <v>1565</v>
      </c>
    </row>
    <row r="17628">
      <c r="A17628" t="inlineStr">
        <is>
          <t>27BBBBB17628Z5</t>
        </is>
      </c>
      <c r="B17628" t="inlineStr">
        <is>
          <t>Jun-2020</t>
        </is>
      </c>
      <c r="C17628" s="2" t="n">
        <v>44149</v>
      </c>
      <c r="D17628" t="inlineStr">
        <is>
          <t>NIL</t>
        </is>
      </c>
      <c r="E17628" t="n">
        <v>2299</v>
      </c>
    </row>
    <row r="17629">
      <c r="A17629" t="inlineStr">
        <is>
          <t>27BBBBB17629Z5</t>
        </is>
      </c>
      <c r="B17629" t="inlineStr">
        <is>
          <t>Sep-2017</t>
        </is>
      </c>
      <c r="C17629" s="2" t="n">
        <v>44146</v>
      </c>
      <c r="D17629" t="inlineStr">
        <is>
          <t>NIL</t>
        </is>
      </c>
      <c r="E17629" t="n">
        <v>1227</v>
      </c>
    </row>
    <row r="17630">
      <c r="A17630" t="inlineStr">
        <is>
          <t>27BBBBB17630Z5</t>
        </is>
      </c>
      <c r="B17630" t="inlineStr">
        <is>
          <t>Jul-2017</t>
        </is>
      </c>
      <c r="C17630" s="2" t="n">
        <v>44252</v>
      </c>
      <c r="D17630" t="inlineStr">
        <is>
          <t>NON-NIL</t>
        </is>
      </c>
      <c r="E17630" t="n">
        <v>2017</v>
      </c>
    </row>
    <row r="17631">
      <c r="A17631" t="inlineStr">
        <is>
          <t>27BBBBB17631Z5</t>
        </is>
      </c>
      <c r="B17631" t="inlineStr">
        <is>
          <t>Dec-2018</t>
        </is>
      </c>
      <c r="C17631" s="2" t="n">
        <v>43784</v>
      </c>
      <c r="D17631" t="inlineStr">
        <is>
          <t>NON-NIL</t>
        </is>
      </c>
      <c r="E17631" t="n">
        <v>2756</v>
      </c>
    </row>
    <row r="17632">
      <c r="A17632" t="inlineStr">
        <is>
          <t>27BBBBB17632Z5</t>
        </is>
      </c>
      <c r="B17632" t="inlineStr">
        <is>
          <t>Jan-2018</t>
        </is>
      </c>
      <c r="C17632" s="2" t="n">
        <v>44051</v>
      </c>
      <c r="D17632" t="inlineStr">
        <is>
          <t>NON-NIL</t>
        </is>
      </c>
      <c r="E17632" t="n">
        <v>2629</v>
      </c>
    </row>
    <row r="17633">
      <c r="A17633" t="inlineStr">
        <is>
          <t>27BBBBB17633Z5</t>
        </is>
      </c>
      <c r="B17633" t="inlineStr">
        <is>
          <t>Feb-2018</t>
        </is>
      </c>
      <c r="C17633" s="2" t="n">
        <v>43776</v>
      </c>
      <c r="D17633" t="inlineStr">
        <is>
          <t>NON-NIL</t>
        </is>
      </c>
      <c r="E17633" t="n">
        <v>1282</v>
      </c>
    </row>
    <row r="17634">
      <c r="A17634" t="inlineStr">
        <is>
          <t>27BBBBB17634Z5</t>
        </is>
      </c>
      <c r="B17634" t="inlineStr">
        <is>
          <t>Dec-2018</t>
        </is>
      </c>
      <c r="C17634" s="2" t="n">
        <v>44279</v>
      </c>
      <c r="D17634" t="inlineStr">
        <is>
          <t>NON-NIL</t>
        </is>
      </c>
      <c r="E17634" t="n">
        <v>1107</v>
      </c>
    </row>
    <row r="17635">
      <c r="A17635" t="inlineStr">
        <is>
          <t>27BBBBB17635Z5</t>
        </is>
      </c>
      <c r="B17635" t="inlineStr">
        <is>
          <t>Apr-2020</t>
        </is>
      </c>
      <c r="C17635" s="2" t="n">
        <v>44706</v>
      </c>
      <c r="D17635" t="inlineStr">
        <is>
          <t>NON-NIL</t>
        </is>
      </c>
      <c r="E17635" t="n">
        <v>457</v>
      </c>
    </row>
    <row r="17636">
      <c r="A17636" t="inlineStr">
        <is>
          <t>27BBBBB17636Z5</t>
        </is>
      </c>
      <c r="B17636" t="inlineStr">
        <is>
          <t>Jul-2018</t>
        </is>
      </c>
      <c r="C17636" s="2" t="n">
        <v>42955</v>
      </c>
      <c r="D17636" t="inlineStr">
        <is>
          <t>NIL</t>
        </is>
      </c>
      <c r="E17636" t="n">
        <v>1660</v>
      </c>
    </row>
    <row r="17637">
      <c r="A17637" t="inlineStr">
        <is>
          <t>27BBBBB17637Z5</t>
        </is>
      </c>
      <c r="B17637" t="inlineStr">
        <is>
          <t>Dec-2022</t>
        </is>
      </c>
      <c r="C17637" s="2" t="n">
        <v>44595</v>
      </c>
      <c r="D17637" t="inlineStr">
        <is>
          <t>NON-NIL</t>
        </is>
      </c>
      <c r="E17637" t="n">
        <v>608</v>
      </c>
    </row>
    <row r="17638">
      <c r="A17638" t="inlineStr">
        <is>
          <t>27BBBBB17638Z5</t>
        </is>
      </c>
      <c r="B17638" t="inlineStr">
        <is>
          <t>Dec-2024</t>
        </is>
      </c>
      <c r="C17638" s="2" t="n">
        <v>44700</v>
      </c>
      <c r="D17638" t="inlineStr">
        <is>
          <t>NIL</t>
        </is>
      </c>
      <c r="E17638" t="n">
        <v>520</v>
      </c>
    </row>
    <row r="17639">
      <c r="A17639" t="inlineStr">
        <is>
          <t>27BBBBB17639Z5</t>
        </is>
      </c>
      <c r="B17639" t="inlineStr">
        <is>
          <t>Jul-2020</t>
        </is>
      </c>
      <c r="C17639" s="2" t="n">
        <v>43996</v>
      </c>
      <c r="D17639" t="inlineStr">
        <is>
          <t>NIL</t>
        </is>
      </c>
      <c r="E17639" t="n">
        <v>511</v>
      </c>
    </row>
    <row r="17640">
      <c r="A17640" t="inlineStr">
        <is>
          <t>27BBBBB17640Z5</t>
        </is>
      </c>
      <c r="B17640" t="inlineStr">
        <is>
          <t>Jul-2020</t>
        </is>
      </c>
      <c r="C17640" s="2" t="n">
        <v>44482</v>
      </c>
      <c r="D17640" t="inlineStr">
        <is>
          <t>NON-NIL</t>
        </is>
      </c>
      <c r="E17640" t="n">
        <v>115</v>
      </c>
    </row>
    <row r="17641">
      <c r="A17641" t="inlineStr">
        <is>
          <t>27BBBBB17641Z5</t>
        </is>
      </c>
      <c r="B17641" t="inlineStr">
        <is>
          <t>Mar-2023</t>
        </is>
      </c>
      <c r="C17641" s="2" t="n">
        <v>45785</v>
      </c>
      <c r="D17641" t="inlineStr">
        <is>
          <t>NIL</t>
        </is>
      </c>
      <c r="E17641" t="n">
        <v>670</v>
      </c>
    </row>
    <row r="17642">
      <c r="A17642" t="inlineStr">
        <is>
          <t>27BBBBB17642Z5</t>
        </is>
      </c>
      <c r="B17642" t="inlineStr">
        <is>
          <t>Jan-2018</t>
        </is>
      </c>
      <c r="C17642" s="2" t="n">
        <v>44466</v>
      </c>
      <c r="D17642" t="inlineStr">
        <is>
          <t>NIL</t>
        </is>
      </c>
      <c r="E17642" t="n">
        <v>1849</v>
      </c>
    </row>
    <row r="17643">
      <c r="A17643" t="inlineStr">
        <is>
          <t>27BBBBB17643Z5</t>
        </is>
      </c>
      <c r="B17643" t="inlineStr">
        <is>
          <t>Mar-2021</t>
        </is>
      </c>
      <c r="C17643" s="2" t="n">
        <v>44915</v>
      </c>
      <c r="D17643" t="inlineStr">
        <is>
          <t>NIL</t>
        </is>
      </c>
      <c r="E17643" t="n">
        <v>1057</v>
      </c>
    </row>
    <row r="17644">
      <c r="A17644" t="inlineStr">
        <is>
          <t>27BBBBB17644Z5</t>
        </is>
      </c>
      <c r="B17644" t="inlineStr">
        <is>
          <t>Jul-2020</t>
        </is>
      </c>
      <c r="C17644" s="2" t="n">
        <v>44061</v>
      </c>
      <c r="D17644" t="inlineStr">
        <is>
          <t>NON-NIL</t>
        </is>
      </c>
      <c r="E17644" t="n">
        <v>2240</v>
      </c>
    </row>
    <row r="17645">
      <c r="A17645" t="inlineStr">
        <is>
          <t>27BBBBB17645Z5</t>
        </is>
      </c>
      <c r="B17645" t="inlineStr">
        <is>
          <t>Apr-2018</t>
        </is>
      </c>
      <c r="C17645" s="2" t="n">
        <v>43220</v>
      </c>
      <c r="D17645" t="inlineStr">
        <is>
          <t>NON-NIL</t>
        </is>
      </c>
      <c r="E17645" t="n">
        <v>210</v>
      </c>
    </row>
    <row r="17646">
      <c r="A17646" t="inlineStr">
        <is>
          <t>27BBBBB17646Z5</t>
        </is>
      </c>
      <c r="B17646" t="inlineStr">
        <is>
          <t>Mar-2018</t>
        </is>
      </c>
      <c r="C17646" s="2" t="n">
        <v>42918</v>
      </c>
      <c r="D17646" t="inlineStr">
        <is>
          <t>NON-NIL</t>
        </is>
      </c>
      <c r="E17646" t="n">
        <v>1465</v>
      </c>
    </row>
    <row r="17647">
      <c r="A17647" t="inlineStr">
        <is>
          <t>27BBBBB17647Z5</t>
        </is>
      </c>
      <c r="B17647" t="inlineStr">
        <is>
          <t>Feb-2018</t>
        </is>
      </c>
      <c r="C17647" s="2" t="n">
        <v>43404</v>
      </c>
      <c r="D17647" t="inlineStr">
        <is>
          <t>NON-NIL</t>
        </is>
      </c>
      <c r="E17647" t="n">
        <v>1413</v>
      </c>
    </row>
    <row r="17648">
      <c r="A17648" t="inlineStr">
        <is>
          <t>27BBBBB17648Z5</t>
        </is>
      </c>
      <c r="B17648" t="inlineStr">
        <is>
          <t>Mar-2020</t>
        </is>
      </c>
      <c r="C17648" s="2" t="n">
        <v>44656</v>
      </c>
      <c r="D17648" t="inlineStr">
        <is>
          <t>NON-NIL</t>
        </is>
      </c>
      <c r="E17648" t="n">
        <v>2839</v>
      </c>
    </row>
    <row r="17649">
      <c r="A17649" t="inlineStr">
        <is>
          <t>27BBBBB17649Z5</t>
        </is>
      </c>
      <c r="B17649" t="inlineStr">
        <is>
          <t>Feb-2018</t>
        </is>
      </c>
      <c r="C17649" s="2" t="n">
        <v>43250</v>
      </c>
      <c r="D17649" t="inlineStr">
        <is>
          <t>NIL</t>
        </is>
      </c>
      <c r="E17649" t="n">
        <v>1221</v>
      </c>
    </row>
    <row r="17650">
      <c r="A17650" t="inlineStr">
        <is>
          <t>27BBBBB17650Z5</t>
        </is>
      </c>
      <c r="B17650" t="inlineStr">
        <is>
          <t>Dec-2022</t>
        </is>
      </c>
      <c r="C17650" s="2" t="n">
        <v>45781</v>
      </c>
      <c r="D17650" t="inlineStr">
        <is>
          <t>NIL</t>
        </is>
      </c>
      <c r="E17650" t="n">
        <v>280</v>
      </c>
    </row>
    <row r="17651">
      <c r="A17651" t="inlineStr">
        <is>
          <t>27BBBBB17651Z5</t>
        </is>
      </c>
      <c r="B17651" t="inlineStr">
        <is>
          <t>Sep-2018</t>
        </is>
      </c>
      <c r="C17651" s="2" t="n">
        <v>44102</v>
      </c>
      <c r="D17651" t="inlineStr">
        <is>
          <t>NIL</t>
        </is>
      </c>
      <c r="E17651" t="n">
        <v>1543</v>
      </c>
    </row>
    <row r="17652">
      <c r="A17652" t="inlineStr">
        <is>
          <t>27BBBBB17652Z5</t>
        </is>
      </c>
      <c r="B17652" t="inlineStr">
        <is>
          <t>Feb-2018</t>
        </is>
      </c>
      <c r="C17652" s="2" t="n">
        <v>43606</v>
      </c>
      <c r="D17652" t="inlineStr">
        <is>
          <t>NON-NIL</t>
        </is>
      </c>
      <c r="E17652" t="n">
        <v>1904</v>
      </c>
    </row>
    <row r="17653">
      <c r="A17653" t="inlineStr">
        <is>
          <t>27BBBBB17653Z5</t>
        </is>
      </c>
      <c r="B17653" t="inlineStr">
        <is>
          <t>Aug-2017</t>
        </is>
      </c>
      <c r="C17653" s="2" t="n">
        <v>43523</v>
      </c>
      <c r="D17653" t="inlineStr">
        <is>
          <t>NIL</t>
        </is>
      </c>
      <c r="E17653" t="n">
        <v>2141</v>
      </c>
    </row>
    <row r="17654">
      <c r="A17654" t="inlineStr">
        <is>
          <t>27BBBBB17654Z5</t>
        </is>
      </c>
      <c r="B17654" t="inlineStr">
        <is>
          <t>Aug-2017</t>
        </is>
      </c>
      <c r="C17654" s="2" t="n">
        <v>43751</v>
      </c>
      <c r="D17654" t="inlineStr">
        <is>
          <t>NIL</t>
        </is>
      </c>
      <c r="E17654" t="n">
        <v>2400</v>
      </c>
    </row>
    <row r="17655">
      <c r="A17655" t="inlineStr">
        <is>
          <t>27BBBBB17655Z5</t>
        </is>
      </c>
      <c r="B17655" t="inlineStr">
        <is>
          <t>Mar-2023</t>
        </is>
      </c>
      <c r="C17655" s="2" t="n">
        <v>44030</v>
      </c>
      <c r="D17655" t="inlineStr">
        <is>
          <t>NIL</t>
        </is>
      </c>
      <c r="E17655" t="n">
        <v>989</v>
      </c>
    </row>
    <row r="17656">
      <c r="A17656" t="inlineStr">
        <is>
          <t>27BBBBB17656Z5</t>
        </is>
      </c>
      <c r="B17656" t="inlineStr">
        <is>
          <t>Dec-2018</t>
        </is>
      </c>
      <c r="C17656" s="2" t="n">
        <v>43297</v>
      </c>
      <c r="D17656" t="inlineStr">
        <is>
          <t>NON-NIL</t>
        </is>
      </c>
      <c r="E17656" t="n">
        <v>1773</v>
      </c>
    </row>
    <row r="17657">
      <c r="A17657" t="inlineStr">
        <is>
          <t>27BBBBB17657Z5</t>
        </is>
      </c>
      <c r="B17657" t="inlineStr">
        <is>
          <t>Mar-2021</t>
        </is>
      </c>
      <c r="C17657" s="2" t="n">
        <v>44602</v>
      </c>
      <c r="D17657" t="inlineStr">
        <is>
          <t>NON-NIL</t>
        </is>
      </c>
      <c r="E17657" t="n">
        <v>644</v>
      </c>
    </row>
    <row r="17658">
      <c r="A17658" t="inlineStr">
        <is>
          <t>27BBBBB17658Z5</t>
        </is>
      </c>
      <c r="B17658" t="inlineStr">
        <is>
          <t>Sep-2017</t>
        </is>
      </c>
      <c r="C17658" s="2" t="n">
        <v>43293</v>
      </c>
      <c r="D17658" t="inlineStr">
        <is>
          <t>NON-NIL</t>
        </is>
      </c>
      <c r="E17658" t="n">
        <v>1076</v>
      </c>
    </row>
    <row r="17659">
      <c r="A17659" t="inlineStr">
        <is>
          <t>27BBBBB17659Z5</t>
        </is>
      </c>
      <c r="B17659" t="inlineStr">
        <is>
          <t>May-2018</t>
        </is>
      </c>
      <c r="C17659" s="2" t="n">
        <v>43028</v>
      </c>
      <c r="D17659" t="inlineStr">
        <is>
          <t>NON-NIL</t>
        </is>
      </c>
      <c r="E17659" t="n">
        <v>2280</v>
      </c>
    </row>
    <row r="17660">
      <c r="A17660" t="inlineStr">
        <is>
          <t>27BBBBB17660Z5</t>
        </is>
      </c>
      <c r="B17660" t="inlineStr">
        <is>
          <t>Mar-2018</t>
        </is>
      </c>
      <c r="C17660" s="2" t="n">
        <v>44271</v>
      </c>
      <c r="D17660" t="inlineStr">
        <is>
          <t>NIL</t>
        </is>
      </c>
      <c r="E17660" t="n">
        <v>551</v>
      </c>
    </row>
    <row r="17661">
      <c r="A17661" t="inlineStr">
        <is>
          <t>27BBBBB17661Z5</t>
        </is>
      </c>
      <c r="B17661" t="inlineStr">
        <is>
          <t>Jan-2021</t>
        </is>
      </c>
      <c r="C17661" s="2" t="n">
        <v>45125</v>
      </c>
      <c r="D17661" t="inlineStr">
        <is>
          <t>NON-NIL</t>
        </is>
      </c>
      <c r="E17661" t="n">
        <v>2485</v>
      </c>
    </row>
    <row r="17662">
      <c r="A17662" t="inlineStr">
        <is>
          <t>27BBBBB17662Z5</t>
        </is>
      </c>
      <c r="B17662" t="inlineStr">
        <is>
          <t>Sep-2017</t>
        </is>
      </c>
      <c r="C17662" s="2" t="n">
        <v>43901</v>
      </c>
      <c r="D17662" t="inlineStr">
        <is>
          <t>NON-NIL</t>
        </is>
      </c>
      <c r="E17662" t="n">
        <v>330</v>
      </c>
    </row>
    <row r="17663">
      <c r="A17663" t="inlineStr">
        <is>
          <t>27BBBBB17663Z5</t>
        </is>
      </c>
      <c r="B17663" t="inlineStr">
        <is>
          <t>Mar-2021</t>
        </is>
      </c>
      <c r="C17663" s="2" t="n">
        <v>43988</v>
      </c>
      <c r="D17663" t="inlineStr">
        <is>
          <t>NIL</t>
        </is>
      </c>
      <c r="E17663" t="n">
        <v>1225</v>
      </c>
    </row>
    <row r="17664">
      <c r="A17664" t="inlineStr">
        <is>
          <t>27BBBBB17664Z5</t>
        </is>
      </c>
      <c r="B17664" t="inlineStr">
        <is>
          <t>Jan-2018</t>
        </is>
      </c>
      <c r="C17664" s="2" t="n">
        <v>43041</v>
      </c>
      <c r="D17664" t="inlineStr">
        <is>
          <t>NIL</t>
        </is>
      </c>
      <c r="E17664" t="n">
        <v>651</v>
      </c>
    </row>
    <row r="17665">
      <c r="A17665" t="inlineStr">
        <is>
          <t>27BBBBB17665Z5</t>
        </is>
      </c>
      <c r="B17665" t="inlineStr">
        <is>
          <t>Nov-2018</t>
        </is>
      </c>
      <c r="C17665" s="2" t="n">
        <v>44424</v>
      </c>
      <c r="D17665" t="inlineStr">
        <is>
          <t>NIL</t>
        </is>
      </c>
      <c r="E17665" t="n">
        <v>3000</v>
      </c>
    </row>
    <row r="17666">
      <c r="A17666" t="inlineStr">
        <is>
          <t>27BBBBB17666Z5</t>
        </is>
      </c>
      <c r="B17666" t="inlineStr">
        <is>
          <t>Aug-2017</t>
        </is>
      </c>
      <c r="C17666" s="2" t="n">
        <v>43703</v>
      </c>
      <c r="D17666" t="inlineStr">
        <is>
          <t>NON-NIL</t>
        </is>
      </c>
      <c r="E17666" t="n">
        <v>2599</v>
      </c>
    </row>
    <row r="17667">
      <c r="A17667" t="inlineStr">
        <is>
          <t>27BBBBB17667Z5</t>
        </is>
      </c>
      <c r="B17667" t="inlineStr">
        <is>
          <t>Nov-2018</t>
        </is>
      </c>
      <c r="C17667" s="2" t="n">
        <v>43761</v>
      </c>
      <c r="D17667" t="inlineStr">
        <is>
          <t>NIL</t>
        </is>
      </c>
      <c r="E17667" t="n">
        <v>2829</v>
      </c>
    </row>
    <row r="17668">
      <c r="A17668" t="inlineStr">
        <is>
          <t>27BBBBB17668Z5</t>
        </is>
      </c>
      <c r="B17668" t="inlineStr">
        <is>
          <t>Feb-2018</t>
        </is>
      </c>
      <c r="C17668" s="2" t="n">
        <v>43956</v>
      </c>
      <c r="D17668" t="inlineStr">
        <is>
          <t>NIL</t>
        </is>
      </c>
      <c r="E17668" t="n">
        <v>542</v>
      </c>
    </row>
    <row r="17669">
      <c r="A17669" t="inlineStr">
        <is>
          <t>27BBBBB17669Z5</t>
        </is>
      </c>
      <c r="B17669" t="inlineStr">
        <is>
          <t>Sep-2018</t>
        </is>
      </c>
      <c r="C17669" s="2" t="n">
        <v>43863</v>
      </c>
      <c r="D17669" t="inlineStr">
        <is>
          <t>NON-NIL</t>
        </is>
      </c>
      <c r="E17669" t="n">
        <v>2198</v>
      </c>
    </row>
    <row r="17670">
      <c r="A17670" t="inlineStr">
        <is>
          <t>27BBBBB17670Z5</t>
        </is>
      </c>
      <c r="B17670" t="inlineStr">
        <is>
          <t>Apr-2018</t>
        </is>
      </c>
      <c r="C17670" s="2" t="n">
        <v>43359</v>
      </c>
      <c r="D17670" t="inlineStr">
        <is>
          <t>NIL</t>
        </is>
      </c>
      <c r="E17670" t="n">
        <v>2566</v>
      </c>
    </row>
    <row r="17671">
      <c r="A17671" t="inlineStr">
        <is>
          <t>27BBBBB17671Z5</t>
        </is>
      </c>
      <c r="B17671" t="inlineStr">
        <is>
          <t>Nov-2018</t>
        </is>
      </c>
      <c r="C17671" s="2" t="n">
        <v>43986</v>
      </c>
      <c r="D17671" t="inlineStr">
        <is>
          <t>NIL</t>
        </is>
      </c>
      <c r="E17671" t="n">
        <v>1115</v>
      </c>
    </row>
    <row r="17672">
      <c r="A17672" t="inlineStr">
        <is>
          <t>27BBBBB17672Z5</t>
        </is>
      </c>
      <c r="B17672" t="inlineStr">
        <is>
          <t>Oct-2017</t>
        </is>
      </c>
      <c r="C17672" s="2" t="n">
        <v>43479</v>
      </c>
      <c r="D17672" t="inlineStr">
        <is>
          <t>NIL</t>
        </is>
      </c>
      <c r="E17672" t="n">
        <v>939</v>
      </c>
    </row>
    <row r="17673">
      <c r="A17673" t="inlineStr">
        <is>
          <t>27BBBBB17673Z5</t>
        </is>
      </c>
      <c r="B17673" t="inlineStr">
        <is>
          <t>Aug-2018</t>
        </is>
      </c>
      <c r="C17673" s="2" t="n">
        <v>44154</v>
      </c>
      <c r="D17673" t="inlineStr">
        <is>
          <t>NON-NIL</t>
        </is>
      </c>
      <c r="E17673" t="n">
        <v>2419</v>
      </c>
    </row>
    <row r="17674">
      <c r="A17674" t="inlineStr">
        <is>
          <t>27BBBBB17674Z5</t>
        </is>
      </c>
      <c r="B17674" t="inlineStr">
        <is>
          <t>Jul-2017</t>
        </is>
      </c>
      <c r="C17674" s="2" t="n">
        <v>44265</v>
      </c>
      <c r="D17674" t="inlineStr">
        <is>
          <t>NON-NIL</t>
        </is>
      </c>
      <c r="E17674" t="n">
        <v>1483</v>
      </c>
    </row>
    <row r="17675">
      <c r="A17675" t="inlineStr">
        <is>
          <t>27BBBBB17675Z5</t>
        </is>
      </c>
      <c r="B17675" t="inlineStr">
        <is>
          <t>Jul-2020</t>
        </is>
      </c>
      <c r="C17675" s="2" t="n">
        <v>44457</v>
      </c>
      <c r="D17675" t="inlineStr">
        <is>
          <t>NON-NIL</t>
        </is>
      </c>
      <c r="E17675" t="n">
        <v>1193</v>
      </c>
    </row>
    <row r="17676">
      <c r="A17676" t="inlineStr">
        <is>
          <t>27BBBBB17676Z5</t>
        </is>
      </c>
      <c r="B17676" t="inlineStr">
        <is>
          <t>Mar-2023</t>
        </is>
      </c>
      <c r="C17676" s="2" t="n">
        <v>44244</v>
      </c>
      <c r="D17676" t="inlineStr">
        <is>
          <t>NON-NIL</t>
        </is>
      </c>
      <c r="E17676" t="n">
        <v>1004</v>
      </c>
    </row>
    <row r="17677">
      <c r="A17677" t="inlineStr">
        <is>
          <t>27BBBBB17677Z5</t>
        </is>
      </c>
      <c r="B17677" t="inlineStr">
        <is>
          <t>Nov-2018</t>
        </is>
      </c>
      <c r="C17677" s="2" t="n">
        <v>44352</v>
      </c>
      <c r="D17677" t="inlineStr">
        <is>
          <t>NIL</t>
        </is>
      </c>
      <c r="E17677" t="n">
        <v>1658</v>
      </c>
    </row>
    <row r="17678">
      <c r="A17678" t="inlineStr">
        <is>
          <t>27BBBBB17678Z5</t>
        </is>
      </c>
      <c r="B17678" t="inlineStr">
        <is>
          <t>Oct-2018</t>
        </is>
      </c>
      <c r="C17678" s="2" t="n">
        <v>43496</v>
      </c>
      <c r="D17678" t="inlineStr">
        <is>
          <t>NON-NIL</t>
        </is>
      </c>
      <c r="E17678" t="n">
        <v>2562</v>
      </c>
    </row>
    <row r="17679">
      <c r="A17679" t="inlineStr">
        <is>
          <t>27BBBBB17679Z5</t>
        </is>
      </c>
      <c r="B17679" t="inlineStr">
        <is>
          <t>Dec-2024</t>
        </is>
      </c>
      <c r="C17679" s="2" t="n">
        <v>44720</v>
      </c>
      <c r="D17679" t="inlineStr">
        <is>
          <t>NIL</t>
        </is>
      </c>
      <c r="E17679" t="n">
        <v>2034</v>
      </c>
    </row>
    <row r="17680">
      <c r="A17680" t="inlineStr">
        <is>
          <t>27BBBBB17680Z5</t>
        </is>
      </c>
      <c r="B17680" t="inlineStr">
        <is>
          <t>Jul-2018</t>
        </is>
      </c>
      <c r="C17680" s="2" t="n">
        <v>44025</v>
      </c>
      <c r="D17680" t="inlineStr">
        <is>
          <t>NON-NIL</t>
        </is>
      </c>
      <c r="E17680" t="n">
        <v>2921</v>
      </c>
    </row>
    <row r="17681">
      <c r="A17681" t="inlineStr">
        <is>
          <t>27BBBBB17681Z5</t>
        </is>
      </c>
      <c r="B17681" t="inlineStr">
        <is>
          <t>May-2018</t>
        </is>
      </c>
      <c r="C17681" s="2" t="n">
        <v>43087</v>
      </c>
      <c r="D17681" t="inlineStr">
        <is>
          <t>NON-NIL</t>
        </is>
      </c>
      <c r="E17681" t="n">
        <v>1558</v>
      </c>
    </row>
    <row r="17682">
      <c r="A17682" t="inlineStr">
        <is>
          <t>27BBBBB17682Z5</t>
        </is>
      </c>
      <c r="B17682" t="inlineStr">
        <is>
          <t>Jul-2020</t>
        </is>
      </c>
      <c r="C17682" s="2" t="n">
        <v>44029</v>
      </c>
      <c r="D17682" t="inlineStr">
        <is>
          <t>NIL</t>
        </is>
      </c>
      <c r="E17682" t="n">
        <v>2725</v>
      </c>
    </row>
    <row r="17683">
      <c r="A17683" t="inlineStr">
        <is>
          <t>27BBBBB17683Z5</t>
        </is>
      </c>
      <c r="B17683" t="inlineStr">
        <is>
          <t>Jan-2021</t>
        </is>
      </c>
      <c r="C17683" s="2" t="n">
        <v>44658</v>
      </c>
      <c r="D17683" t="inlineStr">
        <is>
          <t>NON-NIL</t>
        </is>
      </c>
      <c r="E17683" t="n">
        <v>1618</v>
      </c>
    </row>
    <row r="17684">
      <c r="A17684" t="inlineStr">
        <is>
          <t>27BBBBB17684Z5</t>
        </is>
      </c>
      <c r="B17684" t="inlineStr">
        <is>
          <t>Jun-2018</t>
        </is>
      </c>
      <c r="C17684" s="2" t="n">
        <v>43948</v>
      </c>
      <c r="D17684" t="inlineStr">
        <is>
          <t>NIL</t>
        </is>
      </c>
      <c r="E17684" t="n">
        <v>2074</v>
      </c>
    </row>
    <row r="17685">
      <c r="A17685" t="inlineStr">
        <is>
          <t>27BBBBB17685Z5</t>
        </is>
      </c>
      <c r="B17685" t="inlineStr">
        <is>
          <t>Dec-2022</t>
        </is>
      </c>
      <c r="C17685" s="2" t="n">
        <v>45230</v>
      </c>
      <c r="D17685" t="inlineStr">
        <is>
          <t>NIL</t>
        </is>
      </c>
      <c r="E17685" t="n">
        <v>450</v>
      </c>
    </row>
    <row r="17686">
      <c r="A17686" t="inlineStr">
        <is>
          <t>27BBBBB17686Z5</t>
        </is>
      </c>
      <c r="B17686" t="inlineStr">
        <is>
          <t>Jul-2018</t>
        </is>
      </c>
      <c r="C17686" s="2" t="n">
        <v>44198</v>
      </c>
      <c r="D17686" t="inlineStr">
        <is>
          <t>NIL</t>
        </is>
      </c>
      <c r="E17686" t="n">
        <v>776</v>
      </c>
    </row>
    <row r="17687">
      <c r="A17687" t="inlineStr">
        <is>
          <t>27BBBBB17687Z5</t>
        </is>
      </c>
      <c r="B17687" t="inlineStr">
        <is>
          <t>Dec-2024</t>
        </is>
      </c>
      <c r="C17687" s="2" t="n">
        <v>44832</v>
      </c>
      <c r="D17687" t="inlineStr">
        <is>
          <t>NIL</t>
        </is>
      </c>
      <c r="E17687" t="n">
        <v>2762</v>
      </c>
    </row>
    <row r="17688">
      <c r="A17688" t="inlineStr">
        <is>
          <t>27BBBBB17688Z5</t>
        </is>
      </c>
      <c r="B17688" t="inlineStr">
        <is>
          <t>Jul-2018</t>
        </is>
      </c>
      <c r="C17688" s="2" t="n">
        <v>43547</v>
      </c>
      <c r="D17688" t="inlineStr">
        <is>
          <t>NIL</t>
        </is>
      </c>
      <c r="E17688" t="n">
        <v>1440</v>
      </c>
    </row>
    <row r="17689">
      <c r="A17689" t="inlineStr">
        <is>
          <t>27BBBBB17689Z5</t>
        </is>
      </c>
      <c r="B17689" t="inlineStr">
        <is>
          <t>Apr-2020</t>
        </is>
      </c>
      <c r="C17689" s="2" t="n">
        <v>44042</v>
      </c>
      <c r="D17689" t="inlineStr">
        <is>
          <t>NON-NIL</t>
        </is>
      </c>
      <c r="E17689" t="n">
        <v>2889</v>
      </c>
    </row>
    <row r="17690">
      <c r="A17690" t="inlineStr">
        <is>
          <t>27BBBBB17690Z5</t>
        </is>
      </c>
      <c r="B17690" t="inlineStr">
        <is>
          <t>Jun-2020</t>
        </is>
      </c>
      <c r="C17690" s="2" t="n">
        <v>44424</v>
      </c>
      <c r="D17690" t="inlineStr">
        <is>
          <t>NIL</t>
        </is>
      </c>
      <c r="E17690" t="n">
        <v>801</v>
      </c>
    </row>
    <row r="17691">
      <c r="A17691" t="inlineStr">
        <is>
          <t>27BBBBB17691Z5</t>
        </is>
      </c>
      <c r="B17691" t="inlineStr">
        <is>
          <t>Mar-2020</t>
        </is>
      </c>
      <c r="C17691" s="2" t="n">
        <v>44804</v>
      </c>
      <c r="D17691" t="inlineStr">
        <is>
          <t>NON-NIL</t>
        </is>
      </c>
      <c r="E17691" t="n">
        <v>2203</v>
      </c>
    </row>
    <row r="17692">
      <c r="A17692" t="inlineStr">
        <is>
          <t>27BBBBB17692Z5</t>
        </is>
      </c>
      <c r="B17692" t="inlineStr">
        <is>
          <t>Jan-2021</t>
        </is>
      </c>
      <c r="C17692" s="2" t="n">
        <v>43585</v>
      </c>
      <c r="D17692" t="inlineStr">
        <is>
          <t>NON-NIL</t>
        </is>
      </c>
      <c r="E17692" t="n">
        <v>1804</v>
      </c>
    </row>
    <row r="17693">
      <c r="A17693" t="inlineStr">
        <is>
          <t>27BBBBB17693Z5</t>
        </is>
      </c>
      <c r="B17693" t="inlineStr">
        <is>
          <t>Dec-2024</t>
        </is>
      </c>
      <c r="C17693" s="2" t="n">
        <v>43491</v>
      </c>
      <c r="D17693" t="inlineStr">
        <is>
          <t>NIL</t>
        </is>
      </c>
      <c r="E17693" t="n">
        <v>1655</v>
      </c>
    </row>
    <row r="17694">
      <c r="A17694" t="inlineStr">
        <is>
          <t>27BBBBB17694Z5</t>
        </is>
      </c>
      <c r="B17694" t="inlineStr">
        <is>
          <t>Apr-2020</t>
        </is>
      </c>
      <c r="C17694" s="2" t="n">
        <v>43980</v>
      </c>
      <c r="D17694" t="inlineStr">
        <is>
          <t>NON-NIL</t>
        </is>
      </c>
      <c r="E17694" t="n">
        <v>921</v>
      </c>
    </row>
    <row r="17695">
      <c r="A17695" t="inlineStr">
        <is>
          <t>27BBBBB17695Z5</t>
        </is>
      </c>
      <c r="B17695" t="inlineStr">
        <is>
          <t>Apr-2018</t>
        </is>
      </c>
      <c r="C17695" s="2" t="n">
        <v>43611</v>
      </c>
      <c r="D17695" t="inlineStr">
        <is>
          <t>NIL</t>
        </is>
      </c>
      <c r="E17695" t="n">
        <v>2013</v>
      </c>
    </row>
    <row r="17696">
      <c r="A17696" t="inlineStr">
        <is>
          <t>27BBBBB17696Z5</t>
        </is>
      </c>
      <c r="B17696" t="inlineStr">
        <is>
          <t>Mar-2020</t>
        </is>
      </c>
      <c r="C17696" s="2" t="n">
        <v>44194</v>
      </c>
      <c r="D17696" t="inlineStr">
        <is>
          <t>NON-NIL</t>
        </is>
      </c>
      <c r="E17696" t="n">
        <v>2189</v>
      </c>
    </row>
    <row r="17697">
      <c r="A17697" t="inlineStr">
        <is>
          <t>27BBBBB17697Z5</t>
        </is>
      </c>
      <c r="B17697" t="inlineStr">
        <is>
          <t>Oct-2018</t>
        </is>
      </c>
      <c r="C17697" s="2" t="n">
        <v>43826</v>
      </c>
      <c r="D17697" t="inlineStr">
        <is>
          <t>NIL</t>
        </is>
      </c>
      <c r="E17697" t="n">
        <v>2316</v>
      </c>
    </row>
    <row r="17698">
      <c r="A17698" t="inlineStr">
        <is>
          <t>27BBBBB17698Z5</t>
        </is>
      </c>
      <c r="B17698" t="inlineStr">
        <is>
          <t>Sep-2017</t>
        </is>
      </c>
      <c r="C17698" s="2" t="n">
        <v>44040</v>
      </c>
      <c r="D17698" t="inlineStr">
        <is>
          <t>NON-NIL</t>
        </is>
      </c>
      <c r="E17698" t="n">
        <v>1060</v>
      </c>
    </row>
    <row r="17699">
      <c r="A17699" t="inlineStr">
        <is>
          <t>27BBBBB17699Z5</t>
        </is>
      </c>
      <c r="B17699" t="inlineStr">
        <is>
          <t>Jan-2018</t>
        </is>
      </c>
      <c r="C17699" s="2" t="n">
        <v>43822</v>
      </c>
      <c r="D17699" t="inlineStr">
        <is>
          <t>NON-NIL</t>
        </is>
      </c>
      <c r="E17699" t="n">
        <v>1553</v>
      </c>
    </row>
    <row r="17700">
      <c r="A17700" t="inlineStr">
        <is>
          <t>27BBBBB17700Z5</t>
        </is>
      </c>
      <c r="B17700" t="inlineStr">
        <is>
          <t>Mar-2021</t>
        </is>
      </c>
      <c r="C17700" s="2" t="n">
        <v>44080</v>
      </c>
      <c r="D17700" t="inlineStr">
        <is>
          <t>NON-NIL</t>
        </is>
      </c>
      <c r="E17700" t="n">
        <v>1911</v>
      </c>
    </row>
    <row r="17701">
      <c r="A17701" t="inlineStr">
        <is>
          <t>27BBBBB17701Z5</t>
        </is>
      </c>
      <c r="B17701" t="inlineStr">
        <is>
          <t>Nov-2017</t>
        </is>
      </c>
      <c r="C17701" s="2" t="n">
        <v>43959</v>
      </c>
      <c r="D17701" t="inlineStr">
        <is>
          <t>NON-NIL</t>
        </is>
      </c>
      <c r="E17701" t="n">
        <v>1189</v>
      </c>
    </row>
    <row r="17702">
      <c r="A17702" t="inlineStr">
        <is>
          <t>27BBBBB17702Z5</t>
        </is>
      </c>
      <c r="B17702" t="inlineStr">
        <is>
          <t>Jan-2021</t>
        </is>
      </c>
      <c r="C17702" s="2" t="n">
        <v>43553</v>
      </c>
      <c r="D17702" t="inlineStr">
        <is>
          <t>NIL</t>
        </is>
      </c>
      <c r="E17702" t="n">
        <v>601</v>
      </c>
    </row>
    <row r="17703">
      <c r="A17703" t="inlineStr">
        <is>
          <t>27BBBBB17703Z5</t>
        </is>
      </c>
      <c r="B17703" t="inlineStr">
        <is>
          <t>Dec-2017</t>
        </is>
      </c>
      <c r="C17703" s="2" t="n">
        <v>43399</v>
      </c>
      <c r="D17703" t="inlineStr">
        <is>
          <t>NON-NIL</t>
        </is>
      </c>
      <c r="E17703" t="n">
        <v>2532</v>
      </c>
    </row>
    <row r="17704">
      <c r="A17704" t="inlineStr">
        <is>
          <t>27BBBBB17704Z5</t>
        </is>
      </c>
      <c r="B17704" t="inlineStr">
        <is>
          <t>Mar-2021</t>
        </is>
      </c>
      <c r="C17704" s="2" t="n">
        <v>44045</v>
      </c>
      <c r="D17704" t="inlineStr">
        <is>
          <t>NON-NIL</t>
        </is>
      </c>
      <c r="E17704" t="n">
        <v>2071</v>
      </c>
    </row>
    <row r="17705">
      <c r="A17705" t="inlineStr">
        <is>
          <t>27BBBBB17705Z5</t>
        </is>
      </c>
      <c r="B17705" t="inlineStr">
        <is>
          <t>Oct-2017</t>
        </is>
      </c>
      <c r="C17705" s="2" t="n">
        <v>44530</v>
      </c>
      <c r="D17705" t="inlineStr">
        <is>
          <t>NIL</t>
        </is>
      </c>
      <c r="E17705" t="n">
        <v>591</v>
      </c>
    </row>
    <row r="17706">
      <c r="A17706" t="inlineStr">
        <is>
          <t>27BBBBB17706Z5</t>
        </is>
      </c>
      <c r="B17706" t="inlineStr">
        <is>
          <t>Dec-2017</t>
        </is>
      </c>
      <c r="C17706" s="2" t="n">
        <v>43441</v>
      </c>
      <c r="D17706" t="inlineStr">
        <is>
          <t>NIL</t>
        </is>
      </c>
      <c r="E17706" t="n">
        <v>445</v>
      </c>
    </row>
    <row r="17707">
      <c r="A17707" t="inlineStr">
        <is>
          <t>27BBBBB17707Z5</t>
        </is>
      </c>
      <c r="B17707" t="inlineStr">
        <is>
          <t>Dec-2018</t>
        </is>
      </c>
      <c r="C17707" s="2" t="n">
        <v>44316</v>
      </c>
      <c r="D17707" t="inlineStr">
        <is>
          <t>NIL</t>
        </is>
      </c>
      <c r="E17707" t="n">
        <v>582</v>
      </c>
    </row>
    <row r="17708">
      <c r="A17708" t="inlineStr">
        <is>
          <t>27BBBBB17708Z5</t>
        </is>
      </c>
      <c r="B17708" t="inlineStr">
        <is>
          <t>Apr-2018</t>
        </is>
      </c>
      <c r="C17708" s="2" t="n">
        <v>43613</v>
      </c>
      <c r="D17708" t="inlineStr">
        <is>
          <t>NIL</t>
        </is>
      </c>
      <c r="E17708" t="n">
        <v>2606</v>
      </c>
    </row>
    <row r="17709">
      <c r="A17709" t="inlineStr">
        <is>
          <t>27BBBBB17709Z5</t>
        </is>
      </c>
      <c r="B17709" t="inlineStr">
        <is>
          <t>Jul-2018</t>
        </is>
      </c>
      <c r="C17709" s="2" t="n">
        <v>43607</v>
      </c>
      <c r="D17709" t="inlineStr">
        <is>
          <t>NON-NIL</t>
        </is>
      </c>
      <c r="E17709" t="n">
        <v>670</v>
      </c>
    </row>
    <row r="17710">
      <c r="A17710" t="inlineStr">
        <is>
          <t>27BBBBB17710Z5</t>
        </is>
      </c>
      <c r="B17710" t="inlineStr">
        <is>
          <t>Nov-2018</t>
        </is>
      </c>
      <c r="C17710" s="2" t="n">
        <v>43544</v>
      </c>
      <c r="D17710" t="inlineStr">
        <is>
          <t>NIL</t>
        </is>
      </c>
      <c r="E17710" t="n">
        <v>2168</v>
      </c>
    </row>
    <row r="17711">
      <c r="A17711" t="inlineStr">
        <is>
          <t>27BBBBB17711Z5</t>
        </is>
      </c>
      <c r="B17711" t="inlineStr">
        <is>
          <t>Dec-2018</t>
        </is>
      </c>
      <c r="C17711" s="2" t="n">
        <v>43849</v>
      </c>
      <c r="D17711" t="inlineStr">
        <is>
          <t>NON-NIL</t>
        </is>
      </c>
      <c r="E17711" t="n">
        <v>2750</v>
      </c>
    </row>
    <row r="17712">
      <c r="A17712" t="inlineStr">
        <is>
          <t>27BBBBB17712Z5</t>
        </is>
      </c>
      <c r="B17712" t="inlineStr">
        <is>
          <t>Apr-2018</t>
        </is>
      </c>
      <c r="C17712" s="2" t="n">
        <v>43915</v>
      </c>
      <c r="D17712" t="inlineStr">
        <is>
          <t>NON-NIL</t>
        </is>
      </c>
      <c r="E17712" t="n">
        <v>2483</v>
      </c>
    </row>
    <row r="17713">
      <c r="A17713" t="inlineStr">
        <is>
          <t>27BBBBB17713Z5</t>
        </is>
      </c>
      <c r="B17713" t="inlineStr">
        <is>
          <t>Apr-2018</t>
        </is>
      </c>
      <c r="C17713" s="2" t="n">
        <v>43783</v>
      </c>
      <c r="D17713" t="inlineStr">
        <is>
          <t>NON-NIL</t>
        </is>
      </c>
      <c r="E17713" t="n">
        <v>2442</v>
      </c>
    </row>
    <row r="17714">
      <c r="A17714" t="inlineStr">
        <is>
          <t>27BBBBB17714Z5</t>
        </is>
      </c>
      <c r="B17714" t="inlineStr">
        <is>
          <t>Dec-2022</t>
        </is>
      </c>
      <c r="C17714" s="2" t="n">
        <v>44921</v>
      </c>
      <c r="D17714" t="inlineStr">
        <is>
          <t>NIL</t>
        </is>
      </c>
      <c r="E17714" t="n">
        <v>250</v>
      </c>
    </row>
    <row r="17715">
      <c r="A17715" t="inlineStr">
        <is>
          <t>27BBBBB17715Z5</t>
        </is>
      </c>
      <c r="B17715" t="inlineStr">
        <is>
          <t>Aug-2017</t>
        </is>
      </c>
      <c r="C17715" s="2" t="n">
        <v>43809</v>
      </c>
      <c r="D17715" t="inlineStr">
        <is>
          <t>NON-NIL</t>
        </is>
      </c>
      <c r="E17715" t="n">
        <v>2295</v>
      </c>
    </row>
    <row r="17716">
      <c r="A17716" t="inlineStr">
        <is>
          <t>27BBBBB17716Z5</t>
        </is>
      </c>
      <c r="B17716" t="inlineStr">
        <is>
          <t>Jan-2021</t>
        </is>
      </c>
      <c r="C17716" s="2" t="n">
        <v>45761</v>
      </c>
      <c r="D17716" t="inlineStr">
        <is>
          <t>NON-NIL</t>
        </is>
      </c>
      <c r="E17716" t="n">
        <v>492</v>
      </c>
    </row>
    <row r="17717">
      <c r="A17717" t="inlineStr">
        <is>
          <t>27BBBBB17717Z5</t>
        </is>
      </c>
      <c r="B17717" t="inlineStr">
        <is>
          <t>Dec-2024</t>
        </is>
      </c>
      <c r="C17717" s="2" t="n">
        <v>44339</v>
      </c>
      <c r="D17717" t="inlineStr">
        <is>
          <t>NIL</t>
        </is>
      </c>
      <c r="E17717" t="n">
        <v>447</v>
      </c>
    </row>
    <row r="17718">
      <c r="A17718" t="inlineStr">
        <is>
          <t>27BBBBB17718Z5</t>
        </is>
      </c>
      <c r="B17718" t="inlineStr">
        <is>
          <t>Oct-2017</t>
        </is>
      </c>
      <c r="C17718" s="2" t="n">
        <v>44001</v>
      </c>
      <c r="D17718" t="inlineStr">
        <is>
          <t>NON-NIL</t>
        </is>
      </c>
      <c r="E17718" t="n">
        <v>1141</v>
      </c>
    </row>
    <row r="17719">
      <c r="A17719" t="inlineStr">
        <is>
          <t>27BBBBB17719Z5</t>
        </is>
      </c>
      <c r="B17719" t="inlineStr">
        <is>
          <t>Apr-2020</t>
        </is>
      </c>
      <c r="C17719" s="2" t="n">
        <v>44182</v>
      </c>
      <c r="D17719" t="inlineStr">
        <is>
          <t>NIL</t>
        </is>
      </c>
      <c r="E17719" t="n">
        <v>928</v>
      </c>
    </row>
    <row r="17720">
      <c r="A17720" t="inlineStr">
        <is>
          <t>27BBBBB17720Z5</t>
        </is>
      </c>
      <c r="B17720" t="inlineStr">
        <is>
          <t>Aug-2018</t>
        </is>
      </c>
      <c r="C17720" s="2" t="n">
        <v>43584</v>
      </c>
      <c r="D17720" t="inlineStr">
        <is>
          <t>NON-NIL</t>
        </is>
      </c>
      <c r="E17720" t="n">
        <v>144</v>
      </c>
    </row>
    <row r="17721">
      <c r="A17721" t="inlineStr">
        <is>
          <t>27BBBBB17721Z5</t>
        </is>
      </c>
      <c r="B17721" t="inlineStr">
        <is>
          <t>Nov-2018</t>
        </is>
      </c>
      <c r="C17721" s="2" t="n">
        <v>43142</v>
      </c>
      <c r="D17721" t="inlineStr">
        <is>
          <t>NON-NIL</t>
        </is>
      </c>
      <c r="E17721" t="n">
        <v>1022</v>
      </c>
    </row>
    <row r="17722">
      <c r="A17722" t="inlineStr">
        <is>
          <t>27BBBBB17722Z5</t>
        </is>
      </c>
      <c r="B17722" t="inlineStr">
        <is>
          <t>Mar-2018</t>
        </is>
      </c>
      <c r="C17722" s="2" t="n">
        <v>43157</v>
      </c>
      <c r="D17722" t="inlineStr">
        <is>
          <t>NIL</t>
        </is>
      </c>
      <c r="E17722" t="n">
        <v>128</v>
      </c>
    </row>
    <row r="17723">
      <c r="A17723" t="inlineStr">
        <is>
          <t>27BBBBB17723Z5</t>
        </is>
      </c>
      <c r="B17723" t="inlineStr">
        <is>
          <t>Jan-2021</t>
        </is>
      </c>
      <c r="C17723" s="2" t="n">
        <v>43892</v>
      </c>
      <c r="D17723" t="inlineStr">
        <is>
          <t>NON-NIL</t>
        </is>
      </c>
      <c r="E17723" t="n">
        <v>1813</v>
      </c>
    </row>
    <row r="17724">
      <c r="A17724" t="inlineStr">
        <is>
          <t>27BBBBB17724Z5</t>
        </is>
      </c>
      <c r="B17724" t="inlineStr">
        <is>
          <t>Dec-2017</t>
        </is>
      </c>
      <c r="C17724" s="2" t="n">
        <v>43594</v>
      </c>
      <c r="D17724" t="inlineStr">
        <is>
          <t>NIL</t>
        </is>
      </c>
      <c r="E17724" t="n">
        <v>1913</v>
      </c>
    </row>
    <row r="17725">
      <c r="A17725" t="inlineStr">
        <is>
          <t>27BBBBB17725Z5</t>
        </is>
      </c>
      <c r="B17725" t="inlineStr">
        <is>
          <t>Mar-2023</t>
        </is>
      </c>
      <c r="C17725" s="2" t="n">
        <v>44388</v>
      </c>
      <c r="D17725" t="inlineStr">
        <is>
          <t>NIL</t>
        </is>
      </c>
      <c r="E17725" t="n">
        <v>298</v>
      </c>
    </row>
    <row r="17726">
      <c r="A17726" t="inlineStr">
        <is>
          <t>27BBBBB17726Z5</t>
        </is>
      </c>
      <c r="B17726" t="inlineStr">
        <is>
          <t>Jul-2020</t>
        </is>
      </c>
      <c r="C17726" s="2" t="n">
        <v>44902</v>
      </c>
      <c r="D17726" t="inlineStr">
        <is>
          <t>NIL</t>
        </is>
      </c>
      <c r="E17726" t="n">
        <v>1782</v>
      </c>
    </row>
    <row r="17727">
      <c r="A17727" t="inlineStr">
        <is>
          <t>27BBBBB17727Z5</t>
        </is>
      </c>
      <c r="B17727" t="inlineStr">
        <is>
          <t>May-2018</t>
        </is>
      </c>
      <c r="C17727" s="2" t="n">
        <v>43112</v>
      </c>
      <c r="D17727" t="inlineStr">
        <is>
          <t>NON-NIL</t>
        </is>
      </c>
      <c r="E17727" t="n">
        <v>2982</v>
      </c>
    </row>
    <row r="17728">
      <c r="A17728" t="inlineStr">
        <is>
          <t>27BBBBB17728Z5</t>
        </is>
      </c>
      <c r="B17728" t="inlineStr">
        <is>
          <t>Aug-2018</t>
        </is>
      </c>
      <c r="C17728" s="2" t="n">
        <v>43216</v>
      </c>
      <c r="D17728" t="inlineStr">
        <is>
          <t>NIL</t>
        </is>
      </c>
      <c r="E17728" t="n">
        <v>2164</v>
      </c>
    </row>
    <row r="17729">
      <c r="A17729" t="inlineStr">
        <is>
          <t>27BBBBB17729Z5</t>
        </is>
      </c>
      <c r="B17729" t="inlineStr">
        <is>
          <t>Oct-2018</t>
        </is>
      </c>
      <c r="C17729" s="2" t="n">
        <v>43018</v>
      </c>
      <c r="D17729" t="inlineStr">
        <is>
          <t>NON-NIL</t>
        </is>
      </c>
      <c r="E17729" t="n">
        <v>2736</v>
      </c>
    </row>
    <row r="17730">
      <c r="A17730" t="inlineStr">
        <is>
          <t>27BBBBB17730Z5</t>
        </is>
      </c>
      <c r="B17730" t="inlineStr">
        <is>
          <t>Dec-2022</t>
        </is>
      </c>
      <c r="C17730" s="2" t="n">
        <v>43493</v>
      </c>
      <c r="D17730" t="inlineStr">
        <is>
          <t>NIL</t>
        </is>
      </c>
      <c r="E17730" t="n">
        <v>835</v>
      </c>
    </row>
    <row r="17731">
      <c r="A17731" t="inlineStr">
        <is>
          <t>27BBBBB17731Z5</t>
        </is>
      </c>
      <c r="B17731" t="inlineStr">
        <is>
          <t>Aug-2018</t>
        </is>
      </c>
      <c r="C17731" s="2" t="n">
        <v>44080</v>
      </c>
      <c r="D17731" t="inlineStr">
        <is>
          <t>NIL</t>
        </is>
      </c>
      <c r="E17731" t="n">
        <v>666</v>
      </c>
    </row>
    <row r="17732">
      <c r="A17732" t="inlineStr">
        <is>
          <t>27BBBBB17732Z5</t>
        </is>
      </c>
      <c r="B17732" t="inlineStr">
        <is>
          <t>Jun-2020</t>
        </is>
      </c>
      <c r="C17732" s="2" t="n">
        <v>44375</v>
      </c>
      <c r="D17732" t="inlineStr">
        <is>
          <t>NON-NIL</t>
        </is>
      </c>
      <c r="E17732" t="n">
        <v>1837</v>
      </c>
    </row>
    <row r="17733">
      <c r="A17733" t="inlineStr">
        <is>
          <t>27BBBBB17733Z5</t>
        </is>
      </c>
      <c r="B17733" t="inlineStr">
        <is>
          <t>Jul-2020</t>
        </is>
      </c>
      <c r="C17733" s="2" t="n">
        <v>44140</v>
      </c>
      <c r="D17733" t="inlineStr">
        <is>
          <t>NON-NIL</t>
        </is>
      </c>
      <c r="E17733" t="n">
        <v>1497</v>
      </c>
    </row>
    <row r="17734">
      <c r="A17734" t="inlineStr">
        <is>
          <t>27BBBBB17734Z5</t>
        </is>
      </c>
      <c r="B17734" t="inlineStr">
        <is>
          <t>Mar-2021</t>
        </is>
      </c>
      <c r="C17734" s="2" t="n">
        <v>43477</v>
      </c>
      <c r="D17734" t="inlineStr">
        <is>
          <t>NIL</t>
        </is>
      </c>
      <c r="E17734" t="n">
        <v>2663</v>
      </c>
    </row>
    <row r="17735">
      <c r="A17735" t="inlineStr">
        <is>
          <t>27BBBBB17735Z5</t>
        </is>
      </c>
      <c r="B17735" t="inlineStr">
        <is>
          <t>Nov-2018</t>
        </is>
      </c>
      <c r="C17735" s="2" t="n">
        <v>44030</v>
      </c>
      <c r="D17735" t="inlineStr">
        <is>
          <t>NON-NIL</t>
        </is>
      </c>
      <c r="E17735" t="n">
        <v>174</v>
      </c>
    </row>
    <row r="17736">
      <c r="A17736" t="inlineStr">
        <is>
          <t>27BBBBB17736Z5</t>
        </is>
      </c>
      <c r="B17736" t="inlineStr">
        <is>
          <t>Jun-2018</t>
        </is>
      </c>
      <c r="C17736" s="2" t="n">
        <v>43424</v>
      </c>
      <c r="D17736" t="inlineStr">
        <is>
          <t>NON-NIL</t>
        </is>
      </c>
      <c r="E17736" t="n">
        <v>1101</v>
      </c>
    </row>
    <row r="17737">
      <c r="A17737" t="inlineStr">
        <is>
          <t>27BBBBB17737Z5</t>
        </is>
      </c>
      <c r="B17737" t="inlineStr">
        <is>
          <t>Jun-2018</t>
        </is>
      </c>
      <c r="C17737" s="2" t="n">
        <v>43265</v>
      </c>
      <c r="D17737" t="inlineStr">
        <is>
          <t>NON-NIL</t>
        </is>
      </c>
      <c r="E17737" t="n">
        <v>1490</v>
      </c>
    </row>
    <row r="17738">
      <c r="A17738" t="inlineStr">
        <is>
          <t>27BBBBB17738Z5</t>
        </is>
      </c>
      <c r="B17738" t="inlineStr">
        <is>
          <t>Jan-2018</t>
        </is>
      </c>
      <c r="C17738" s="2" t="n">
        <v>43740</v>
      </c>
      <c r="D17738" t="inlineStr">
        <is>
          <t>NIL</t>
        </is>
      </c>
      <c r="E17738" t="n">
        <v>2880</v>
      </c>
    </row>
    <row r="17739">
      <c r="A17739" t="inlineStr">
        <is>
          <t>27BBBBB17739Z5</t>
        </is>
      </c>
      <c r="B17739" t="inlineStr">
        <is>
          <t>Mar-2023</t>
        </is>
      </c>
      <c r="C17739" s="2" t="n">
        <v>44150</v>
      </c>
      <c r="D17739" t="inlineStr">
        <is>
          <t>NIL</t>
        </is>
      </c>
      <c r="E17739" t="n">
        <v>2401</v>
      </c>
    </row>
    <row r="17740">
      <c r="A17740" t="inlineStr">
        <is>
          <t>27BBBBB17740Z5</t>
        </is>
      </c>
      <c r="B17740" t="inlineStr">
        <is>
          <t>Jan-2018</t>
        </is>
      </c>
      <c r="C17740" s="2" t="n">
        <v>43847</v>
      </c>
      <c r="D17740" t="inlineStr">
        <is>
          <t>NON-NIL</t>
        </is>
      </c>
      <c r="E17740" t="n">
        <v>339</v>
      </c>
    </row>
    <row r="17741">
      <c r="A17741" t="inlineStr">
        <is>
          <t>27BBBBB17741Z5</t>
        </is>
      </c>
      <c r="B17741" t="inlineStr">
        <is>
          <t>Mar-2018</t>
        </is>
      </c>
      <c r="C17741" s="2" t="n">
        <v>43115</v>
      </c>
      <c r="D17741" t="inlineStr">
        <is>
          <t>NIL</t>
        </is>
      </c>
      <c r="E17741" t="n">
        <v>1300</v>
      </c>
    </row>
    <row r="17742">
      <c r="A17742" t="inlineStr">
        <is>
          <t>27BBBBB17742Z5</t>
        </is>
      </c>
      <c r="B17742" t="inlineStr">
        <is>
          <t>Jan-2021</t>
        </is>
      </c>
      <c r="C17742" s="2" t="n">
        <v>45637</v>
      </c>
      <c r="D17742" t="inlineStr">
        <is>
          <t>NON-NIL</t>
        </is>
      </c>
      <c r="E17742" t="n">
        <v>665</v>
      </c>
    </row>
    <row r="17743">
      <c r="A17743" t="inlineStr">
        <is>
          <t>27BBBBB17743Z5</t>
        </is>
      </c>
      <c r="B17743" t="inlineStr">
        <is>
          <t>Jun-2018</t>
        </is>
      </c>
      <c r="C17743" s="2" t="n">
        <v>43464</v>
      </c>
      <c r="D17743" t="inlineStr">
        <is>
          <t>NIL</t>
        </is>
      </c>
      <c r="E17743" t="n">
        <v>2384</v>
      </c>
    </row>
    <row r="17744">
      <c r="A17744" t="inlineStr">
        <is>
          <t>27BBBBB17744Z5</t>
        </is>
      </c>
      <c r="B17744" t="inlineStr">
        <is>
          <t>Aug-2017</t>
        </is>
      </c>
      <c r="C17744" s="2" t="n">
        <v>44488</v>
      </c>
      <c r="D17744" t="inlineStr">
        <is>
          <t>NON-NIL</t>
        </is>
      </c>
      <c r="E17744" t="n">
        <v>1095</v>
      </c>
    </row>
    <row r="17745">
      <c r="A17745" t="inlineStr">
        <is>
          <t>27BBBBB17745Z5</t>
        </is>
      </c>
      <c r="B17745" t="inlineStr">
        <is>
          <t>Feb-2018</t>
        </is>
      </c>
      <c r="C17745" s="2" t="n">
        <v>43373</v>
      </c>
      <c r="D17745" t="inlineStr">
        <is>
          <t>NIL</t>
        </is>
      </c>
      <c r="E17745" t="n">
        <v>1612</v>
      </c>
    </row>
    <row r="17746">
      <c r="A17746" t="inlineStr">
        <is>
          <t>27BBBBB17746Z5</t>
        </is>
      </c>
      <c r="B17746" t="inlineStr">
        <is>
          <t>May-2018</t>
        </is>
      </c>
      <c r="C17746" s="2" t="n">
        <v>44240</v>
      </c>
      <c r="D17746" t="inlineStr">
        <is>
          <t>NON-NIL</t>
        </is>
      </c>
      <c r="E17746" t="n">
        <v>705</v>
      </c>
    </row>
    <row r="17747">
      <c r="A17747" t="inlineStr">
        <is>
          <t>27BBBBB17747Z5</t>
        </is>
      </c>
      <c r="B17747" t="inlineStr">
        <is>
          <t>Jan-2018</t>
        </is>
      </c>
      <c r="C17747" s="2" t="n">
        <v>43162</v>
      </c>
      <c r="D17747" t="inlineStr">
        <is>
          <t>NIL</t>
        </is>
      </c>
      <c r="E17747" t="n">
        <v>2387</v>
      </c>
    </row>
    <row r="17748">
      <c r="A17748" t="inlineStr">
        <is>
          <t>27BBBBB17748Z5</t>
        </is>
      </c>
      <c r="B17748" t="inlineStr">
        <is>
          <t>Apr-2020</t>
        </is>
      </c>
      <c r="C17748" s="2" t="n">
        <v>44144</v>
      </c>
      <c r="D17748" t="inlineStr">
        <is>
          <t>NIL</t>
        </is>
      </c>
      <c r="E17748" t="n">
        <v>272</v>
      </c>
    </row>
    <row r="17749">
      <c r="A17749" t="inlineStr">
        <is>
          <t>27BBBBB17749Z5</t>
        </is>
      </c>
      <c r="B17749" t="inlineStr">
        <is>
          <t>May-2018</t>
        </is>
      </c>
      <c r="C17749" s="2" t="n">
        <v>44412</v>
      </c>
      <c r="D17749" t="inlineStr">
        <is>
          <t>NIL</t>
        </is>
      </c>
      <c r="E17749" t="n">
        <v>2604</v>
      </c>
    </row>
    <row r="17750">
      <c r="A17750" t="inlineStr">
        <is>
          <t>27BBBBB17750Z5</t>
        </is>
      </c>
      <c r="B17750" t="inlineStr">
        <is>
          <t>Jul-2020</t>
        </is>
      </c>
      <c r="C17750" s="2" t="n">
        <v>44371</v>
      </c>
      <c r="D17750" t="inlineStr">
        <is>
          <t>NIL</t>
        </is>
      </c>
      <c r="E17750" t="n">
        <v>557</v>
      </c>
    </row>
    <row r="17751">
      <c r="A17751" t="inlineStr">
        <is>
          <t>27BBBBB17751Z5</t>
        </is>
      </c>
      <c r="B17751" t="inlineStr">
        <is>
          <t>Jul-2020</t>
        </is>
      </c>
      <c r="C17751" s="2" t="n">
        <v>44017</v>
      </c>
      <c r="D17751" t="inlineStr">
        <is>
          <t>NON-NIL</t>
        </is>
      </c>
      <c r="E17751" t="n">
        <v>91</v>
      </c>
    </row>
    <row r="17752">
      <c r="A17752" t="inlineStr">
        <is>
          <t>27BBBBB17752Z5</t>
        </is>
      </c>
      <c r="B17752" t="inlineStr">
        <is>
          <t>Aug-2018</t>
        </is>
      </c>
      <c r="C17752" s="2" t="n">
        <v>44544</v>
      </c>
      <c r="D17752" t="inlineStr">
        <is>
          <t>NON-NIL</t>
        </is>
      </c>
      <c r="E17752" t="n">
        <v>2356</v>
      </c>
    </row>
    <row r="17753">
      <c r="A17753" t="inlineStr">
        <is>
          <t>27BBBBB17753Z5</t>
        </is>
      </c>
      <c r="B17753" t="inlineStr">
        <is>
          <t>Dec-2018</t>
        </is>
      </c>
      <c r="C17753" s="2" t="n">
        <v>43240</v>
      </c>
      <c r="D17753" t="inlineStr">
        <is>
          <t>NIL</t>
        </is>
      </c>
      <c r="E17753" t="n">
        <v>1265</v>
      </c>
    </row>
    <row r="17754">
      <c r="A17754" t="inlineStr">
        <is>
          <t>27BBBBB17754Z5</t>
        </is>
      </c>
      <c r="B17754" t="inlineStr">
        <is>
          <t>Mar-2020</t>
        </is>
      </c>
      <c r="C17754" s="2" t="n">
        <v>44593</v>
      </c>
      <c r="D17754" t="inlineStr">
        <is>
          <t>NIL</t>
        </is>
      </c>
      <c r="E17754" t="n">
        <v>767</v>
      </c>
    </row>
    <row r="17755">
      <c r="A17755" t="inlineStr">
        <is>
          <t>27BBBBB17755Z5</t>
        </is>
      </c>
      <c r="B17755" t="inlineStr">
        <is>
          <t>Mar-2020</t>
        </is>
      </c>
      <c r="C17755" s="2" t="n">
        <v>44374</v>
      </c>
      <c r="D17755" t="inlineStr">
        <is>
          <t>NIL</t>
        </is>
      </c>
      <c r="E17755" t="n">
        <v>639</v>
      </c>
    </row>
    <row r="17756">
      <c r="A17756" t="inlineStr">
        <is>
          <t>27BBBBB17756Z5</t>
        </is>
      </c>
      <c r="B17756" t="inlineStr">
        <is>
          <t>Aug-2018</t>
        </is>
      </c>
      <c r="C17756" s="2" t="n">
        <v>43769</v>
      </c>
      <c r="D17756" t="inlineStr">
        <is>
          <t>NIL</t>
        </is>
      </c>
      <c r="E17756" t="n">
        <v>2372</v>
      </c>
    </row>
    <row r="17757">
      <c r="A17757" t="inlineStr">
        <is>
          <t>27BBBBB17757Z5</t>
        </is>
      </c>
      <c r="B17757" t="inlineStr">
        <is>
          <t>Mar-2023</t>
        </is>
      </c>
      <c r="C17757" s="2" t="n">
        <v>45522</v>
      </c>
      <c r="D17757" t="inlineStr">
        <is>
          <t>NON-NIL</t>
        </is>
      </c>
      <c r="E17757" t="n">
        <v>688</v>
      </c>
    </row>
    <row r="17758">
      <c r="A17758" t="inlineStr">
        <is>
          <t>27BBBBB17758Z5</t>
        </is>
      </c>
      <c r="B17758" t="inlineStr">
        <is>
          <t>Dec-2024</t>
        </is>
      </c>
      <c r="C17758" s="2" t="n">
        <v>45160</v>
      </c>
      <c r="D17758" t="inlineStr">
        <is>
          <t>NON-NIL</t>
        </is>
      </c>
      <c r="E17758" t="n">
        <v>40</v>
      </c>
    </row>
    <row r="17759">
      <c r="A17759" t="inlineStr">
        <is>
          <t>27BBBBB17759Z5</t>
        </is>
      </c>
      <c r="B17759" t="inlineStr">
        <is>
          <t>May-2018</t>
        </is>
      </c>
      <c r="C17759" s="2" t="n">
        <v>44256</v>
      </c>
      <c r="D17759" t="inlineStr">
        <is>
          <t>NIL</t>
        </is>
      </c>
      <c r="E17759" t="n">
        <v>2106</v>
      </c>
    </row>
    <row r="17760">
      <c r="A17760" t="inlineStr">
        <is>
          <t>27BBBBB17760Z5</t>
        </is>
      </c>
      <c r="B17760" t="inlineStr">
        <is>
          <t>Dec-2017</t>
        </is>
      </c>
      <c r="C17760" s="2" t="n">
        <v>43755</v>
      </c>
      <c r="D17760" t="inlineStr">
        <is>
          <t>NON-NIL</t>
        </is>
      </c>
      <c r="E17760" t="n">
        <v>1282</v>
      </c>
    </row>
    <row r="17761">
      <c r="A17761" t="inlineStr">
        <is>
          <t>27BBBBB17761Z5</t>
        </is>
      </c>
      <c r="B17761" t="inlineStr">
        <is>
          <t>Jan-2021</t>
        </is>
      </c>
      <c r="C17761" s="2" t="n">
        <v>43647</v>
      </c>
      <c r="D17761" t="inlineStr">
        <is>
          <t>NIL</t>
        </is>
      </c>
      <c r="E17761" t="n">
        <v>1135</v>
      </c>
    </row>
    <row r="17762">
      <c r="A17762" t="inlineStr">
        <is>
          <t>27BBBBB17762Z5</t>
        </is>
      </c>
      <c r="B17762" t="inlineStr">
        <is>
          <t>Nov-2018</t>
        </is>
      </c>
      <c r="C17762" s="2" t="n">
        <v>43991</v>
      </c>
      <c r="D17762" t="inlineStr">
        <is>
          <t>NIL</t>
        </is>
      </c>
      <c r="E17762" t="n">
        <v>1961</v>
      </c>
    </row>
    <row r="17763">
      <c r="A17763" t="inlineStr">
        <is>
          <t>27BBBBB17763Z5</t>
        </is>
      </c>
      <c r="B17763" t="inlineStr">
        <is>
          <t>Oct-2017</t>
        </is>
      </c>
      <c r="C17763" s="2" t="n">
        <v>43954</v>
      </c>
      <c r="D17763" t="inlineStr">
        <is>
          <t>NON-NIL</t>
        </is>
      </c>
      <c r="E17763" t="n">
        <v>1661</v>
      </c>
    </row>
    <row r="17764">
      <c r="A17764" t="inlineStr">
        <is>
          <t>27BBBBB17764Z5</t>
        </is>
      </c>
      <c r="B17764" t="inlineStr">
        <is>
          <t>May-2020</t>
        </is>
      </c>
      <c r="C17764" s="2" t="n">
        <v>44843</v>
      </c>
      <c r="D17764" t="inlineStr">
        <is>
          <t>NIL</t>
        </is>
      </c>
      <c r="E17764" t="n">
        <v>2025</v>
      </c>
    </row>
    <row r="17765">
      <c r="A17765" t="inlineStr">
        <is>
          <t>27BBBBB17765Z5</t>
        </is>
      </c>
      <c r="B17765" t="inlineStr">
        <is>
          <t>Dec-2024</t>
        </is>
      </c>
      <c r="C17765" s="2" t="n">
        <v>44059</v>
      </c>
      <c r="D17765" t="inlineStr">
        <is>
          <t>NON-NIL</t>
        </is>
      </c>
      <c r="E17765" t="n">
        <v>619</v>
      </c>
    </row>
    <row r="17766">
      <c r="A17766" t="inlineStr">
        <is>
          <t>27BBBBB17766Z5</t>
        </is>
      </c>
      <c r="B17766" t="inlineStr">
        <is>
          <t>Mar-2023</t>
        </is>
      </c>
      <c r="C17766" s="2" t="n">
        <v>45456</v>
      </c>
      <c r="D17766" t="inlineStr">
        <is>
          <t>NON-NIL</t>
        </is>
      </c>
      <c r="E17766" t="n">
        <v>2672</v>
      </c>
    </row>
    <row r="17767">
      <c r="A17767" t="inlineStr">
        <is>
          <t>27BBBBB17767Z5</t>
        </is>
      </c>
      <c r="B17767" t="inlineStr">
        <is>
          <t>Apr-2018</t>
        </is>
      </c>
      <c r="C17767" s="2" t="n">
        <v>43031</v>
      </c>
      <c r="D17767" t="inlineStr">
        <is>
          <t>NIL</t>
        </is>
      </c>
      <c r="E17767" t="n">
        <v>719</v>
      </c>
    </row>
    <row r="17768">
      <c r="A17768" t="inlineStr">
        <is>
          <t>27BBBBB17768Z5</t>
        </is>
      </c>
      <c r="B17768" t="inlineStr">
        <is>
          <t>Jun-2020</t>
        </is>
      </c>
      <c r="C17768" s="2" t="n">
        <v>43971</v>
      </c>
      <c r="D17768" t="inlineStr">
        <is>
          <t>NON-NIL</t>
        </is>
      </c>
      <c r="E17768" t="n">
        <v>258</v>
      </c>
    </row>
    <row r="17769">
      <c r="A17769" t="inlineStr">
        <is>
          <t>27BBBBB17769Z5</t>
        </is>
      </c>
      <c r="B17769" t="inlineStr">
        <is>
          <t>Jul-2017</t>
        </is>
      </c>
      <c r="C17769" s="2" t="n">
        <v>43731</v>
      </c>
      <c r="D17769" t="inlineStr">
        <is>
          <t>NIL</t>
        </is>
      </c>
      <c r="E17769" t="n">
        <v>2779</v>
      </c>
    </row>
    <row r="17770">
      <c r="A17770" t="inlineStr">
        <is>
          <t>27BBBBB17770Z5</t>
        </is>
      </c>
      <c r="B17770" t="inlineStr">
        <is>
          <t>Aug-2018</t>
        </is>
      </c>
      <c r="C17770" s="2" t="n">
        <v>43618</v>
      </c>
      <c r="D17770" t="inlineStr">
        <is>
          <t>NON-NIL</t>
        </is>
      </c>
      <c r="E17770" t="n">
        <v>2194</v>
      </c>
    </row>
    <row r="17771">
      <c r="A17771" t="inlineStr">
        <is>
          <t>27BBBBB17771Z5</t>
        </is>
      </c>
      <c r="B17771" t="inlineStr">
        <is>
          <t>Mar-2020</t>
        </is>
      </c>
      <c r="C17771" s="2" t="n">
        <v>44905</v>
      </c>
      <c r="D17771" t="inlineStr">
        <is>
          <t>NON-NIL</t>
        </is>
      </c>
      <c r="E17771" t="n">
        <v>16</v>
      </c>
    </row>
    <row r="17772">
      <c r="A17772" t="inlineStr">
        <is>
          <t>27BBBBB17772Z5</t>
        </is>
      </c>
      <c r="B17772" t="inlineStr">
        <is>
          <t>Jan-2021</t>
        </is>
      </c>
      <c r="C17772" s="2" t="n">
        <v>45037</v>
      </c>
      <c r="D17772" t="inlineStr">
        <is>
          <t>NON-NIL</t>
        </is>
      </c>
      <c r="E17772" t="n">
        <v>637</v>
      </c>
    </row>
    <row r="17773">
      <c r="A17773" t="inlineStr">
        <is>
          <t>27BBBBB17773Z5</t>
        </is>
      </c>
      <c r="B17773" t="inlineStr">
        <is>
          <t>Jan-2021</t>
        </is>
      </c>
      <c r="C17773" s="2" t="n">
        <v>44158</v>
      </c>
      <c r="D17773" t="inlineStr">
        <is>
          <t>NIL</t>
        </is>
      </c>
      <c r="E17773" t="n">
        <v>2186</v>
      </c>
    </row>
    <row r="17774">
      <c r="A17774" t="inlineStr">
        <is>
          <t>27BBBBB17774Z5</t>
        </is>
      </c>
      <c r="B17774" t="inlineStr">
        <is>
          <t>Sep-2017</t>
        </is>
      </c>
      <c r="C17774" s="2" t="n">
        <v>43377</v>
      </c>
      <c r="D17774" t="inlineStr">
        <is>
          <t>NON-NIL</t>
        </is>
      </c>
      <c r="E17774" t="n">
        <v>261</v>
      </c>
    </row>
    <row r="17775">
      <c r="A17775" t="inlineStr">
        <is>
          <t>27BBBBB17775Z5</t>
        </is>
      </c>
      <c r="B17775" t="inlineStr">
        <is>
          <t>Jul-2017</t>
        </is>
      </c>
      <c r="C17775" s="2" t="n">
        <v>43580</v>
      </c>
      <c r="D17775" t="inlineStr">
        <is>
          <t>NON-NIL</t>
        </is>
      </c>
      <c r="E17775" t="n">
        <v>105</v>
      </c>
    </row>
    <row r="17776">
      <c r="A17776" t="inlineStr">
        <is>
          <t>27BBBBB17776Z5</t>
        </is>
      </c>
      <c r="B17776" t="inlineStr">
        <is>
          <t>Nov-2018</t>
        </is>
      </c>
      <c r="C17776" s="2" t="n">
        <v>43998</v>
      </c>
      <c r="D17776" t="inlineStr">
        <is>
          <t>NIL</t>
        </is>
      </c>
      <c r="E17776" t="n">
        <v>701</v>
      </c>
    </row>
    <row r="17777">
      <c r="A17777" t="inlineStr">
        <is>
          <t>27BBBBB17777Z5</t>
        </is>
      </c>
      <c r="B17777" t="inlineStr">
        <is>
          <t>Jan-2018</t>
        </is>
      </c>
      <c r="C17777" s="2" t="n">
        <v>44218</v>
      </c>
      <c r="D17777" t="inlineStr">
        <is>
          <t>NON-NIL</t>
        </is>
      </c>
      <c r="E17777" t="n">
        <v>759</v>
      </c>
    </row>
    <row r="17778">
      <c r="A17778" t="inlineStr">
        <is>
          <t>27BBBBB17778Z5</t>
        </is>
      </c>
      <c r="B17778" t="inlineStr">
        <is>
          <t>Mar-2021</t>
        </is>
      </c>
      <c r="C17778" s="2" t="n">
        <v>44673</v>
      </c>
      <c r="D17778" t="inlineStr">
        <is>
          <t>NON-NIL</t>
        </is>
      </c>
      <c r="E17778" t="n">
        <v>531</v>
      </c>
    </row>
    <row r="17779">
      <c r="A17779" t="inlineStr">
        <is>
          <t>27BBBBB17779Z5</t>
        </is>
      </c>
      <c r="B17779" t="inlineStr">
        <is>
          <t>Sep-2018</t>
        </is>
      </c>
      <c r="C17779" s="2" t="n">
        <v>44450</v>
      </c>
      <c r="D17779" t="inlineStr">
        <is>
          <t>NON-NIL</t>
        </is>
      </c>
      <c r="E17779" t="n">
        <v>278</v>
      </c>
    </row>
    <row r="17780">
      <c r="A17780" t="inlineStr">
        <is>
          <t>27BBBBB17780Z5</t>
        </is>
      </c>
      <c r="B17780" t="inlineStr">
        <is>
          <t>Jul-2017</t>
        </is>
      </c>
      <c r="C17780" s="2" t="n">
        <v>43725</v>
      </c>
      <c r="D17780" t="inlineStr">
        <is>
          <t>NON-NIL</t>
        </is>
      </c>
      <c r="E17780" t="n">
        <v>120</v>
      </c>
    </row>
    <row r="17781">
      <c r="A17781" t="inlineStr">
        <is>
          <t>27BBBBB17781Z5</t>
        </is>
      </c>
      <c r="B17781" t="inlineStr">
        <is>
          <t>Dec-2024</t>
        </is>
      </c>
      <c r="C17781" s="2" t="n">
        <v>45586</v>
      </c>
      <c r="D17781" t="inlineStr">
        <is>
          <t>NON-NIL</t>
        </is>
      </c>
      <c r="E17781" t="n">
        <v>544</v>
      </c>
    </row>
    <row r="17782">
      <c r="A17782" t="inlineStr">
        <is>
          <t>27BBBBB17782Z5</t>
        </is>
      </c>
      <c r="B17782" t="inlineStr">
        <is>
          <t>Nov-2018</t>
        </is>
      </c>
      <c r="C17782" s="2" t="n">
        <v>43033</v>
      </c>
      <c r="D17782" t="inlineStr">
        <is>
          <t>NIL</t>
        </is>
      </c>
      <c r="E17782" t="n">
        <v>2299</v>
      </c>
    </row>
    <row r="17783">
      <c r="A17783" t="inlineStr">
        <is>
          <t>27BBBBB17783Z5</t>
        </is>
      </c>
      <c r="B17783" t="inlineStr">
        <is>
          <t>Nov-2018</t>
        </is>
      </c>
      <c r="C17783" s="2" t="n">
        <v>44351</v>
      </c>
      <c r="D17783" t="inlineStr">
        <is>
          <t>NIL</t>
        </is>
      </c>
      <c r="E17783" t="n">
        <v>2419</v>
      </c>
    </row>
    <row r="17784">
      <c r="A17784" t="inlineStr">
        <is>
          <t>27BBBBB17784Z5</t>
        </is>
      </c>
      <c r="B17784" t="inlineStr">
        <is>
          <t>Mar-2023</t>
        </is>
      </c>
      <c r="C17784" s="2" t="n">
        <v>44261</v>
      </c>
      <c r="D17784" t="inlineStr">
        <is>
          <t>NON-NIL</t>
        </is>
      </c>
      <c r="E17784" t="n">
        <v>2896</v>
      </c>
    </row>
    <row r="17785">
      <c r="A17785" t="inlineStr">
        <is>
          <t>27BBBBB17785Z5</t>
        </is>
      </c>
      <c r="B17785" t="inlineStr">
        <is>
          <t>Jun-2020</t>
        </is>
      </c>
      <c r="C17785" s="2" t="n">
        <v>44432</v>
      </c>
      <c r="D17785" t="inlineStr">
        <is>
          <t>NON-NIL</t>
        </is>
      </c>
      <c r="E17785" t="n">
        <v>2945</v>
      </c>
    </row>
    <row r="17786">
      <c r="A17786" t="inlineStr">
        <is>
          <t>27BBBBB17786Z5</t>
        </is>
      </c>
      <c r="B17786" t="inlineStr">
        <is>
          <t>Dec-2024</t>
        </is>
      </c>
      <c r="C17786" s="2" t="n">
        <v>44229</v>
      </c>
      <c r="D17786" t="inlineStr">
        <is>
          <t>NIL</t>
        </is>
      </c>
      <c r="E17786" t="n">
        <v>812</v>
      </c>
    </row>
    <row r="17787">
      <c r="A17787" t="inlineStr">
        <is>
          <t>27BBBBB17787Z5</t>
        </is>
      </c>
      <c r="B17787" t="inlineStr">
        <is>
          <t>Jan-2018</t>
        </is>
      </c>
      <c r="C17787" s="2" t="n">
        <v>44507</v>
      </c>
      <c r="D17787" t="inlineStr">
        <is>
          <t>NON-NIL</t>
        </is>
      </c>
      <c r="E17787" t="n">
        <v>815</v>
      </c>
    </row>
    <row r="17788">
      <c r="A17788" t="inlineStr">
        <is>
          <t>27BBBBB17788Z5</t>
        </is>
      </c>
      <c r="B17788" t="inlineStr">
        <is>
          <t>Jul-2018</t>
        </is>
      </c>
      <c r="C17788" s="2" t="n">
        <v>43454</v>
      </c>
      <c r="D17788" t="inlineStr">
        <is>
          <t>NIL</t>
        </is>
      </c>
      <c r="E17788" t="n">
        <v>2130</v>
      </c>
    </row>
    <row r="17789">
      <c r="A17789" t="inlineStr">
        <is>
          <t>27BBBBB17789Z5</t>
        </is>
      </c>
      <c r="B17789" t="inlineStr">
        <is>
          <t>Mar-2023</t>
        </is>
      </c>
      <c r="C17789" s="2" t="n">
        <v>45159</v>
      </c>
      <c r="D17789" t="inlineStr">
        <is>
          <t>NIL</t>
        </is>
      </c>
      <c r="E17789" t="n">
        <v>159</v>
      </c>
    </row>
    <row r="17790">
      <c r="A17790" t="inlineStr">
        <is>
          <t>27BBBBB17790Z5</t>
        </is>
      </c>
      <c r="B17790" t="inlineStr">
        <is>
          <t>Jul-2020</t>
        </is>
      </c>
      <c r="C17790" s="2" t="n">
        <v>44326</v>
      </c>
      <c r="D17790" t="inlineStr">
        <is>
          <t>NIL</t>
        </is>
      </c>
      <c r="E17790" t="n">
        <v>739</v>
      </c>
    </row>
    <row r="17791">
      <c r="A17791" t="inlineStr">
        <is>
          <t>27BBBBB17791Z5</t>
        </is>
      </c>
      <c r="B17791" t="inlineStr">
        <is>
          <t>May-2018</t>
        </is>
      </c>
      <c r="C17791" s="2" t="n">
        <v>43756</v>
      </c>
      <c r="D17791" t="inlineStr">
        <is>
          <t>NON-NIL</t>
        </is>
      </c>
      <c r="E17791" t="n">
        <v>2118</v>
      </c>
    </row>
    <row r="17792">
      <c r="A17792" t="inlineStr">
        <is>
          <t>27BBBBB17792Z5</t>
        </is>
      </c>
      <c r="B17792" t="inlineStr">
        <is>
          <t>Jul-2020</t>
        </is>
      </c>
      <c r="C17792" s="2" t="n">
        <v>44250</v>
      </c>
      <c r="D17792" t="inlineStr">
        <is>
          <t>NON-NIL</t>
        </is>
      </c>
      <c r="E17792" t="n">
        <v>2174</v>
      </c>
    </row>
    <row r="17793">
      <c r="A17793" t="inlineStr">
        <is>
          <t>27BBBBB17793Z5</t>
        </is>
      </c>
      <c r="B17793" t="inlineStr">
        <is>
          <t>Mar-2018</t>
        </is>
      </c>
      <c r="C17793" s="2" t="n">
        <v>43360</v>
      </c>
      <c r="D17793" t="inlineStr">
        <is>
          <t>NON-NIL</t>
        </is>
      </c>
      <c r="E17793" t="n">
        <v>299</v>
      </c>
    </row>
    <row r="17794">
      <c r="A17794" t="inlineStr">
        <is>
          <t>27BBBBB17794Z5</t>
        </is>
      </c>
      <c r="B17794" t="inlineStr">
        <is>
          <t>Jul-2020</t>
        </is>
      </c>
      <c r="C17794" s="2" t="n">
        <v>44708</v>
      </c>
      <c r="D17794" t="inlineStr">
        <is>
          <t>NON-NIL</t>
        </is>
      </c>
      <c r="E17794" t="n">
        <v>151</v>
      </c>
    </row>
    <row r="17795">
      <c r="A17795" t="inlineStr">
        <is>
          <t>27BBBBB17795Z5</t>
        </is>
      </c>
      <c r="B17795" t="inlineStr">
        <is>
          <t>Jul-2018</t>
        </is>
      </c>
      <c r="C17795" s="2" t="n">
        <v>44258</v>
      </c>
      <c r="D17795" t="inlineStr">
        <is>
          <t>NIL</t>
        </is>
      </c>
      <c r="E17795" t="n">
        <v>516</v>
      </c>
    </row>
    <row r="17796">
      <c r="A17796" t="inlineStr">
        <is>
          <t>27BBBBB17796Z5</t>
        </is>
      </c>
      <c r="B17796" t="inlineStr">
        <is>
          <t>Mar-2020</t>
        </is>
      </c>
      <c r="C17796" s="2" t="n">
        <v>44349</v>
      </c>
      <c r="D17796" t="inlineStr">
        <is>
          <t>NON-NIL</t>
        </is>
      </c>
      <c r="E17796" t="n">
        <v>469</v>
      </c>
    </row>
    <row r="17797">
      <c r="A17797" t="inlineStr">
        <is>
          <t>27BBBBB17797Z5</t>
        </is>
      </c>
      <c r="B17797" t="inlineStr">
        <is>
          <t>Jul-2017</t>
        </is>
      </c>
      <c r="C17797" s="2" t="n">
        <v>43640</v>
      </c>
      <c r="D17797" t="inlineStr">
        <is>
          <t>NON-NIL</t>
        </is>
      </c>
      <c r="E17797" t="n">
        <v>406</v>
      </c>
    </row>
    <row r="17798">
      <c r="A17798" t="inlineStr">
        <is>
          <t>27BBBBB17798Z5</t>
        </is>
      </c>
      <c r="B17798" t="inlineStr">
        <is>
          <t>Sep-2018</t>
        </is>
      </c>
      <c r="C17798" s="2" t="n">
        <v>44415</v>
      </c>
      <c r="D17798" t="inlineStr">
        <is>
          <t>NON-NIL</t>
        </is>
      </c>
      <c r="E17798" t="n">
        <v>2648</v>
      </c>
    </row>
    <row r="17799">
      <c r="A17799" t="inlineStr">
        <is>
          <t>27BBBBB17799Z5</t>
        </is>
      </c>
      <c r="B17799" t="inlineStr">
        <is>
          <t>Mar-2021</t>
        </is>
      </c>
      <c r="C17799" s="2" t="n">
        <v>44815</v>
      </c>
      <c r="D17799" t="inlineStr">
        <is>
          <t>NON-NIL</t>
        </is>
      </c>
      <c r="E17799" t="n">
        <v>1364</v>
      </c>
    </row>
    <row r="17800">
      <c r="A17800" t="inlineStr">
        <is>
          <t>27BBBBB17800Z5</t>
        </is>
      </c>
      <c r="B17800" t="inlineStr">
        <is>
          <t>Nov-2017</t>
        </is>
      </c>
      <c r="C17800" s="2" t="n">
        <v>44442</v>
      </c>
      <c r="D17800" t="inlineStr">
        <is>
          <t>NON-NIL</t>
        </is>
      </c>
      <c r="E17800" t="n">
        <v>452</v>
      </c>
    </row>
    <row r="17801">
      <c r="A17801" t="inlineStr">
        <is>
          <t>27BBBBB17801Z5</t>
        </is>
      </c>
      <c r="B17801" t="inlineStr">
        <is>
          <t>May-2018</t>
        </is>
      </c>
      <c r="C17801" s="2" t="n">
        <v>43807</v>
      </c>
      <c r="D17801" t="inlineStr">
        <is>
          <t>NON-NIL</t>
        </is>
      </c>
      <c r="E17801" t="n">
        <v>2574</v>
      </c>
    </row>
    <row r="17802">
      <c r="A17802" t="inlineStr">
        <is>
          <t>27BBBBB17802Z5</t>
        </is>
      </c>
      <c r="B17802" t="inlineStr">
        <is>
          <t>Aug-2018</t>
        </is>
      </c>
      <c r="C17802" s="2" t="n">
        <v>43049</v>
      </c>
      <c r="D17802" t="inlineStr">
        <is>
          <t>NIL</t>
        </is>
      </c>
      <c r="E17802" t="n">
        <v>635</v>
      </c>
    </row>
    <row r="17803">
      <c r="A17803" t="inlineStr">
        <is>
          <t>27BBBBB17803Z5</t>
        </is>
      </c>
      <c r="B17803" t="inlineStr">
        <is>
          <t>Dec-2017</t>
        </is>
      </c>
      <c r="C17803" s="2" t="n">
        <v>44294</v>
      </c>
      <c r="D17803" t="inlineStr">
        <is>
          <t>NIL</t>
        </is>
      </c>
      <c r="E17803" t="n">
        <v>33</v>
      </c>
    </row>
    <row r="17804">
      <c r="A17804" t="inlineStr">
        <is>
          <t>27BBBBB17804Z5</t>
        </is>
      </c>
      <c r="B17804" t="inlineStr">
        <is>
          <t>Oct-2018</t>
        </is>
      </c>
      <c r="C17804" s="2" t="n">
        <v>43366</v>
      </c>
      <c r="D17804" t="inlineStr">
        <is>
          <t>NIL</t>
        </is>
      </c>
      <c r="E17804" t="n">
        <v>1753</v>
      </c>
    </row>
    <row r="17805">
      <c r="A17805" t="inlineStr">
        <is>
          <t>27BBBBB17805Z5</t>
        </is>
      </c>
      <c r="B17805" t="inlineStr">
        <is>
          <t>Oct-2018</t>
        </is>
      </c>
      <c r="C17805" s="2" t="n">
        <v>43301</v>
      </c>
      <c r="D17805" t="inlineStr">
        <is>
          <t>NIL</t>
        </is>
      </c>
      <c r="E17805" t="n">
        <v>773</v>
      </c>
    </row>
    <row r="17806">
      <c r="A17806" t="inlineStr">
        <is>
          <t>27BBBBB17806Z5</t>
        </is>
      </c>
      <c r="B17806" t="inlineStr">
        <is>
          <t>Apr-2020</t>
        </is>
      </c>
      <c r="C17806" s="2" t="n">
        <v>43986</v>
      </c>
      <c r="D17806" t="inlineStr">
        <is>
          <t>NIL</t>
        </is>
      </c>
      <c r="E17806" t="n">
        <v>724</v>
      </c>
    </row>
    <row r="17807">
      <c r="A17807" t="inlineStr">
        <is>
          <t>27BBBBB17807Z5</t>
        </is>
      </c>
      <c r="B17807" t="inlineStr">
        <is>
          <t>Jan-2021</t>
        </is>
      </c>
      <c r="C17807" s="2" t="n">
        <v>44172</v>
      </c>
      <c r="D17807" t="inlineStr">
        <is>
          <t>NON-NIL</t>
        </is>
      </c>
      <c r="E17807" t="n">
        <v>1565</v>
      </c>
    </row>
    <row r="17808">
      <c r="A17808" t="inlineStr">
        <is>
          <t>27BBBBB17808Z5</t>
        </is>
      </c>
      <c r="B17808" t="inlineStr">
        <is>
          <t>Mar-2021</t>
        </is>
      </c>
      <c r="C17808" s="2" t="n">
        <v>44108</v>
      </c>
      <c r="D17808" t="inlineStr">
        <is>
          <t>NON-NIL</t>
        </is>
      </c>
      <c r="E17808" t="n">
        <v>486</v>
      </c>
    </row>
    <row r="17809">
      <c r="A17809" t="inlineStr">
        <is>
          <t>27BBBBB17809Z5</t>
        </is>
      </c>
      <c r="B17809" t="inlineStr">
        <is>
          <t>Mar-2021</t>
        </is>
      </c>
      <c r="C17809" s="2" t="n">
        <v>45694</v>
      </c>
      <c r="D17809" t="inlineStr">
        <is>
          <t>NIL</t>
        </is>
      </c>
      <c r="E17809" t="n">
        <v>426</v>
      </c>
    </row>
    <row r="17810">
      <c r="A17810" t="inlineStr">
        <is>
          <t>27BBBBB17810Z5</t>
        </is>
      </c>
      <c r="B17810" t="inlineStr">
        <is>
          <t>Jul-2017</t>
        </is>
      </c>
      <c r="C17810" s="2" t="n">
        <v>43033</v>
      </c>
      <c r="D17810" t="inlineStr">
        <is>
          <t>NON-NIL</t>
        </is>
      </c>
      <c r="E17810" t="n">
        <v>402</v>
      </c>
    </row>
    <row r="17811">
      <c r="A17811" t="inlineStr">
        <is>
          <t>27BBBBB17811Z5</t>
        </is>
      </c>
      <c r="B17811" t="inlineStr">
        <is>
          <t>Jul-2020</t>
        </is>
      </c>
      <c r="C17811" s="2" t="n">
        <v>44844</v>
      </c>
      <c r="D17811" t="inlineStr">
        <is>
          <t>NIL</t>
        </is>
      </c>
      <c r="E17811" t="n">
        <v>1880</v>
      </c>
    </row>
    <row r="17812">
      <c r="A17812" t="inlineStr">
        <is>
          <t>27BBBBB17812Z5</t>
        </is>
      </c>
      <c r="B17812" t="inlineStr">
        <is>
          <t>Jul-2017</t>
        </is>
      </c>
      <c r="C17812" s="2" t="n">
        <v>43904</v>
      </c>
      <c r="D17812" t="inlineStr">
        <is>
          <t>NON-NIL</t>
        </is>
      </c>
      <c r="E17812" t="n">
        <v>2617</v>
      </c>
    </row>
    <row r="17813">
      <c r="A17813" t="inlineStr">
        <is>
          <t>27BBBBB17813Z5</t>
        </is>
      </c>
      <c r="B17813" t="inlineStr">
        <is>
          <t>Jan-2021</t>
        </is>
      </c>
      <c r="C17813" s="2" t="n">
        <v>44406</v>
      </c>
      <c r="D17813" t="inlineStr">
        <is>
          <t>NON-NIL</t>
        </is>
      </c>
      <c r="E17813" t="n">
        <v>2295</v>
      </c>
    </row>
    <row r="17814">
      <c r="A17814" t="inlineStr">
        <is>
          <t>27BBBBB17814Z5</t>
        </is>
      </c>
      <c r="B17814" t="inlineStr">
        <is>
          <t>Sep-2018</t>
        </is>
      </c>
      <c r="C17814" s="2" t="n">
        <v>44480</v>
      </c>
      <c r="D17814" t="inlineStr">
        <is>
          <t>NIL</t>
        </is>
      </c>
      <c r="E17814" t="n">
        <v>542</v>
      </c>
    </row>
    <row r="17815">
      <c r="A17815" t="inlineStr">
        <is>
          <t>27BBBBB17815Z5</t>
        </is>
      </c>
      <c r="B17815" t="inlineStr">
        <is>
          <t>Jan-2021</t>
        </is>
      </c>
      <c r="C17815" s="2" t="n">
        <v>45619</v>
      </c>
      <c r="D17815" t="inlineStr">
        <is>
          <t>NON-NIL</t>
        </is>
      </c>
      <c r="E17815" t="n">
        <v>1900</v>
      </c>
    </row>
    <row r="17816">
      <c r="A17816" t="inlineStr">
        <is>
          <t>27BBBBB17816Z5</t>
        </is>
      </c>
      <c r="B17816" t="inlineStr">
        <is>
          <t>Oct-2018</t>
        </is>
      </c>
      <c r="C17816" s="2" t="n">
        <v>44154</v>
      </c>
      <c r="D17816" t="inlineStr">
        <is>
          <t>NON-NIL</t>
        </is>
      </c>
      <c r="E17816" t="n">
        <v>2614</v>
      </c>
    </row>
    <row r="17817">
      <c r="A17817" t="inlineStr">
        <is>
          <t>27BBBBB17817Z5</t>
        </is>
      </c>
      <c r="B17817" t="inlineStr">
        <is>
          <t>Jul-2018</t>
        </is>
      </c>
      <c r="C17817" s="2" t="n">
        <v>43879</v>
      </c>
      <c r="D17817" t="inlineStr">
        <is>
          <t>NON-NIL</t>
        </is>
      </c>
      <c r="E17817" t="n">
        <v>202</v>
      </c>
    </row>
    <row r="17818">
      <c r="A17818" t="inlineStr">
        <is>
          <t>27BBBBB17818Z5</t>
        </is>
      </c>
      <c r="B17818" t="inlineStr">
        <is>
          <t>Jul-2020</t>
        </is>
      </c>
      <c r="C17818" s="2" t="n">
        <v>44510</v>
      </c>
      <c r="D17818" t="inlineStr">
        <is>
          <t>NON-NIL</t>
        </is>
      </c>
      <c r="E17818" t="n">
        <v>2027</v>
      </c>
    </row>
    <row r="17819">
      <c r="A17819" t="inlineStr">
        <is>
          <t>27BBBBB17819Z5</t>
        </is>
      </c>
      <c r="B17819" t="inlineStr">
        <is>
          <t>May-2018</t>
        </is>
      </c>
      <c r="C17819" s="2" t="n">
        <v>44346</v>
      </c>
      <c r="D17819" t="inlineStr">
        <is>
          <t>NIL</t>
        </is>
      </c>
      <c r="E17819" t="n">
        <v>2615</v>
      </c>
    </row>
    <row r="17820">
      <c r="A17820" t="inlineStr">
        <is>
          <t>27BBBBB17820Z5</t>
        </is>
      </c>
      <c r="B17820" t="inlineStr">
        <is>
          <t>Apr-2020</t>
        </is>
      </c>
      <c r="C17820" s="2" t="n">
        <v>44589</v>
      </c>
      <c r="D17820" t="inlineStr">
        <is>
          <t>NIL</t>
        </is>
      </c>
      <c r="E17820" t="n">
        <v>2005</v>
      </c>
    </row>
    <row r="17821">
      <c r="A17821" t="inlineStr">
        <is>
          <t>27BBBBB17821Z5</t>
        </is>
      </c>
      <c r="B17821" t="inlineStr">
        <is>
          <t>Apr-2018</t>
        </is>
      </c>
      <c r="C17821" s="2" t="n">
        <v>43611</v>
      </c>
      <c r="D17821" t="inlineStr">
        <is>
          <t>NIL</t>
        </is>
      </c>
      <c r="E17821" t="n">
        <v>792</v>
      </c>
    </row>
    <row r="17822">
      <c r="A17822" t="inlineStr">
        <is>
          <t>27BBBBB17822Z5</t>
        </is>
      </c>
      <c r="B17822" t="inlineStr">
        <is>
          <t>Jul-2018</t>
        </is>
      </c>
      <c r="C17822" s="2" t="n">
        <v>43354</v>
      </c>
      <c r="D17822" t="inlineStr">
        <is>
          <t>NON-NIL</t>
        </is>
      </c>
      <c r="E17822" t="n">
        <v>802</v>
      </c>
    </row>
    <row r="17823">
      <c r="A17823" t="inlineStr">
        <is>
          <t>27BBBBB17823Z5</t>
        </is>
      </c>
      <c r="B17823" t="inlineStr">
        <is>
          <t>Dec-2017</t>
        </is>
      </c>
      <c r="C17823" s="2" t="n">
        <v>43523</v>
      </c>
      <c r="D17823" t="inlineStr">
        <is>
          <t>NIL</t>
        </is>
      </c>
      <c r="E17823" t="n">
        <v>2293</v>
      </c>
    </row>
    <row r="17824">
      <c r="A17824" t="inlineStr">
        <is>
          <t>27BBBBB17824Z5</t>
        </is>
      </c>
      <c r="B17824" t="inlineStr">
        <is>
          <t>Mar-2018</t>
        </is>
      </c>
      <c r="C17824" s="2" t="n">
        <v>43572</v>
      </c>
      <c r="D17824" t="inlineStr">
        <is>
          <t>NON-NIL</t>
        </is>
      </c>
      <c r="E17824" t="n">
        <v>478</v>
      </c>
    </row>
    <row r="17825">
      <c r="A17825" t="inlineStr">
        <is>
          <t>27BBBBB17825Z5</t>
        </is>
      </c>
      <c r="B17825" t="inlineStr">
        <is>
          <t>Oct-2017</t>
        </is>
      </c>
      <c r="C17825" s="2" t="n">
        <v>43704</v>
      </c>
      <c r="D17825" t="inlineStr">
        <is>
          <t>NIL</t>
        </is>
      </c>
      <c r="E17825" t="n">
        <v>1930</v>
      </c>
    </row>
    <row r="17826">
      <c r="A17826" t="inlineStr">
        <is>
          <t>27BBBBB17826Z5</t>
        </is>
      </c>
      <c r="B17826" t="inlineStr">
        <is>
          <t>May-2020</t>
        </is>
      </c>
      <c r="C17826" s="2" t="n">
        <v>43944</v>
      </c>
      <c r="D17826" t="inlineStr">
        <is>
          <t>NIL</t>
        </is>
      </c>
      <c r="E17826" t="n">
        <v>2352</v>
      </c>
    </row>
    <row r="17827">
      <c r="A17827" t="inlineStr">
        <is>
          <t>27BBBBB17827Z5</t>
        </is>
      </c>
      <c r="B17827" t="inlineStr">
        <is>
          <t>Jun-2018</t>
        </is>
      </c>
      <c r="C17827" s="2" t="n">
        <v>43431</v>
      </c>
      <c r="D17827" t="inlineStr">
        <is>
          <t>NIL</t>
        </is>
      </c>
      <c r="E17827" t="n">
        <v>725</v>
      </c>
    </row>
    <row r="17828">
      <c r="A17828" t="inlineStr">
        <is>
          <t>27BBBBB17828Z5</t>
        </is>
      </c>
      <c r="B17828" t="inlineStr">
        <is>
          <t>May-2020</t>
        </is>
      </c>
      <c r="C17828" s="2" t="n">
        <v>44467</v>
      </c>
      <c r="D17828" t="inlineStr">
        <is>
          <t>NIL</t>
        </is>
      </c>
      <c r="E17828" t="n">
        <v>841</v>
      </c>
    </row>
    <row r="17829">
      <c r="A17829" t="inlineStr">
        <is>
          <t>27BBBBB17829Z5</t>
        </is>
      </c>
      <c r="B17829" t="inlineStr">
        <is>
          <t>Dec-2022</t>
        </is>
      </c>
      <c r="C17829" s="2" t="n">
        <v>45208</v>
      </c>
      <c r="D17829" t="inlineStr">
        <is>
          <t>NON-NIL</t>
        </is>
      </c>
      <c r="E17829" t="n">
        <v>2347</v>
      </c>
    </row>
    <row r="17830">
      <c r="A17830" t="inlineStr">
        <is>
          <t>27BBBBB17830Z5</t>
        </is>
      </c>
      <c r="B17830" t="inlineStr">
        <is>
          <t>Jul-2017</t>
        </is>
      </c>
      <c r="C17830" s="2" t="n">
        <v>44005</v>
      </c>
      <c r="D17830" t="inlineStr">
        <is>
          <t>NIL</t>
        </is>
      </c>
      <c r="E17830" t="n">
        <v>411</v>
      </c>
    </row>
    <row r="17831">
      <c r="A17831" t="inlineStr">
        <is>
          <t>27BBBBB17831Z5</t>
        </is>
      </c>
      <c r="B17831" t="inlineStr">
        <is>
          <t>Sep-2017</t>
        </is>
      </c>
      <c r="C17831" s="2" t="n">
        <v>43287</v>
      </c>
      <c r="D17831" t="inlineStr">
        <is>
          <t>NON-NIL</t>
        </is>
      </c>
      <c r="E17831" t="n">
        <v>610</v>
      </c>
    </row>
    <row r="17832">
      <c r="A17832" t="inlineStr">
        <is>
          <t>27BBBBB17832Z5</t>
        </is>
      </c>
      <c r="B17832" t="inlineStr">
        <is>
          <t>Mar-2020</t>
        </is>
      </c>
      <c r="C17832" s="2" t="n">
        <v>44249</v>
      </c>
      <c r="D17832" t="inlineStr">
        <is>
          <t>NON-NIL</t>
        </is>
      </c>
      <c r="E17832" t="n">
        <v>486</v>
      </c>
    </row>
    <row r="17833">
      <c r="A17833" t="inlineStr">
        <is>
          <t>27BBBBB17833Z5</t>
        </is>
      </c>
      <c r="B17833" t="inlineStr">
        <is>
          <t>Apr-2018</t>
        </is>
      </c>
      <c r="C17833" s="2" t="n">
        <v>43700</v>
      </c>
      <c r="D17833" t="inlineStr">
        <is>
          <t>NIL</t>
        </is>
      </c>
      <c r="E17833" t="n">
        <v>1836</v>
      </c>
    </row>
    <row r="17834">
      <c r="A17834" t="inlineStr">
        <is>
          <t>27BBBBB17834Z5</t>
        </is>
      </c>
      <c r="B17834" t="inlineStr">
        <is>
          <t>Aug-2018</t>
        </is>
      </c>
      <c r="C17834" s="2" t="n">
        <v>43007</v>
      </c>
      <c r="D17834" t="inlineStr">
        <is>
          <t>NIL</t>
        </is>
      </c>
      <c r="E17834" t="n">
        <v>2263</v>
      </c>
    </row>
    <row r="17835">
      <c r="A17835" t="inlineStr">
        <is>
          <t>27BBBBB17835Z5</t>
        </is>
      </c>
      <c r="B17835" t="inlineStr">
        <is>
          <t>Jul-2017</t>
        </is>
      </c>
      <c r="C17835" s="2" t="n">
        <v>44315</v>
      </c>
      <c r="D17835" t="inlineStr">
        <is>
          <t>NON-NIL</t>
        </is>
      </c>
      <c r="E17835" t="n">
        <v>808</v>
      </c>
    </row>
    <row r="17836">
      <c r="A17836" t="inlineStr">
        <is>
          <t>27BBBBB17836Z5</t>
        </is>
      </c>
      <c r="B17836" t="inlineStr">
        <is>
          <t>Jan-2021</t>
        </is>
      </c>
      <c r="C17836" s="2" t="n">
        <v>43547</v>
      </c>
      <c r="D17836" t="inlineStr">
        <is>
          <t>NON-NIL</t>
        </is>
      </c>
      <c r="E17836" t="n">
        <v>1650</v>
      </c>
    </row>
    <row r="17837">
      <c r="A17837" t="inlineStr">
        <is>
          <t>27BBBBB17837Z5</t>
        </is>
      </c>
      <c r="B17837" t="inlineStr">
        <is>
          <t>Mar-2021</t>
        </is>
      </c>
      <c r="C17837" s="2" t="n">
        <v>44430</v>
      </c>
      <c r="D17837" t="inlineStr">
        <is>
          <t>NIL</t>
        </is>
      </c>
      <c r="E17837" t="n">
        <v>2022</v>
      </c>
    </row>
    <row r="17838">
      <c r="A17838" t="inlineStr">
        <is>
          <t>27BBBBB17838Z5</t>
        </is>
      </c>
      <c r="B17838" t="inlineStr">
        <is>
          <t>Sep-2018</t>
        </is>
      </c>
      <c r="C17838" s="2" t="n">
        <v>44028</v>
      </c>
      <c r="D17838" t="inlineStr">
        <is>
          <t>NIL</t>
        </is>
      </c>
      <c r="E17838" t="n">
        <v>1945</v>
      </c>
    </row>
    <row r="17839">
      <c r="A17839" t="inlineStr">
        <is>
          <t>27BBBBB17839Z5</t>
        </is>
      </c>
      <c r="B17839" t="inlineStr">
        <is>
          <t>Jul-2017</t>
        </is>
      </c>
      <c r="C17839" s="2" t="n">
        <v>44548</v>
      </c>
      <c r="D17839" t="inlineStr">
        <is>
          <t>NIL</t>
        </is>
      </c>
      <c r="E17839" t="n">
        <v>2791</v>
      </c>
    </row>
    <row r="17840">
      <c r="A17840" t="inlineStr">
        <is>
          <t>27BBBBB17840Z5</t>
        </is>
      </c>
      <c r="B17840" t="inlineStr">
        <is>
          <t>Dec-2024</t>
        </is>
      </c>
      <c r="C17840" s="2" t="n">
        <v>43848</v>
      </c>
      <c r="D17840" t="inlineStr">
        <is>
          <t>NON-NIL</t>
        </is>
      </c>
      <c r="E17840" t="n">
        <v>1483</v>
      </c>
    </row>
    <row r="17841">
      <c r="A17841" t="inlineStr">
        <is>
          <t>27BBBBB17841Z5</t>
        </is>
      </c>
      <c r="B17841" t="inlineStr">
        <is>
          <t>Mar-2021</t>
        </is>
      </c>
      <c r="C17841" s="2" t="n">
        <v>43784</v>
      </c>
      <c r="D17841" t="inlineStr">
        <is>
          <t>NIL</t>
        </is>
      </c>
      <c r="E17841" t="n">
        <v>1745</v>
      </c>
    </row>
    <row r="17842">
      <c r="A17842" t="inlineStr">
        <is>
          <t>27BBBBB17842Z5</t>
        </is>
      </c>
      <c r="B17842" t="inlineStr">
        <is>
          <t>Dec-2018</t>
        </is>
      </c>
      <c r="C17842" s="2" t="n">
        <v>43779</v>
      </c>
      <c r="D17842" t="inlineStr">
        <is>
          <t>NON-NIL</t>
        </is>
      </c>
      <c r="E17842" t="n">
        <v>2801</v>
      </c>
    </row>
    <row r="17843">
      <c r="A17843" t="inlineStr">
        <is>
          <t>27BBBBB17843Z5</t>
        </is>
      </c>
      <c r="B17843" t="inlineStr">
        <is>
          <t>Apr-2020</t>
        </is>
      </c>
      <c r="C17843" s="2" t="n">
        <v>44608</v>
      </c>
      <c r="D17843" t="inlineStr">
        <is>
          <t>NON-NIL</t>
        </is>
      </c>
      <c r="E17843" t="n">
        <v>358</v>
      </c>
    </row>
    <row r="17844">
      <c r="A17844" t="inlineStr">
        <is>
          <t>27BBBBB17844Z5</t>
        </is>
      </c>
      <c r="B17844" t="inlineStr">
        <is>
          <t>Jan-2021</t>
        </is>
      </c>
      <c r="C17844" s="2" t="n">
        <v>44402</v>
      </c>
      <c r="D17844" t="inlineStr">
        <is>
          <t>NIL</t>
        </is>
      </c>
      <c r="E17844" t="n">
        <v>2868</v>
      </c>
    </row>
    <row r="17845">
      <c r="A17845" t="inlineStr">
        <is>
          <t>27BBBBB17845Z5</t>
        </is>
      </c>
      <c r="B17845" t="inlineStr">
        <is>
          <t>Jun-2018</t>
        </is>
      </c>
      <c r="C17845" s="2" t="n">
        <v>43738</v>
      </c>
      <c r="D17845" t="inlineStr">
        <is>
          <t>NIL</t>
        </is>
      </c>
      <c r="E17845" t="n">
        <v>2554</v>
      </c>
    </row>
    <row r="17846">
      <c r="A17846" t="inlineStr">
        <is>
          <t>27BBBBB17846Z5</t>
        </is>
      </c>
      <c r="B17846" t="inlineStr">
        <is>
          <t>Nov-2017</t>
        </is>
      </c>
      <c r="C17846" s="2" t="n">
        <v>44337</v>
      </c>
      <c r="D17846" t="inlineStr">
        <is>
          <t>NIL</t>
        </is>
      </c>
      <c r="E17846" t="n">
        <v>982</v>
      </c>
    </row>
    <row r="17847">
      <c r="A17847" t="inlineStr">
        <is>
          <t>27BBBBB17847Z5</t>
        </is>
      </c>
      <c r="B17847" t="inlineStr">
        <is>
          <t>Jun-2020</t>
        </is>
      </c>
      <c r="C17847" s="2" t="n">
        <v>44823</v>
      </c>
      <c r="D17847" t="inlineStr">
        <is>
          <t>NIL</t>
        </is>
      </c>
      <c r="E17847" t="n">
        <v>2671</v>
      </c>
    </row>
    <row r="17848">
      <c r="A17848" t="inlineStr">
        <is>
          <t>27BBBBB17848Z5</t>
        </is>
      </c>
      <c r="B17848" t="inlineStr">
        <is>
          <t>Aug-2017</t>
        </is>
      </c>
      <c r="C17848" s="2" t="n">
        <v>43722</v>
      </c>
      <c r="D17848" t="inlineStr">
        <is>
          <t>NIL</t>
        </is>
      </c>
      <c r="E17848" t="n">
        <v>897</v>
      </c>
    </row>
    <row r="17849">
      <c r="A17849" t="inlineStr">
        <is>
          <t>27BBBBB17849Z5</t>
        </is>
      </c>
      <c r="B17849" t="inlineStr">
        <is>
          <t>Apr-2020</t>
        </is>
      </c>
      <c r="C17849" s="2" t="n">
        <v>44425</v>
      </c>
      <c r="D17849" t="inlineStr">
        <is>
          <t>NIL</t>
        </is>
      </c>
      <c r="E17849" t="n">
        <v>1295</v>
      </c>
    </row>
    <row r="17850">
      <c r="A17850" t="inlineStr">
        <is>
          <t>27BBBBB17850Z5</t>
        </is>
      </c>
      <c r="B17850" t="inlineStr">
        <is>
          <t>Dec-2018</t>
        </is>
      </c>
      <c r="C17850" s="2" t="n">
        <v>43359</v>
      </c>
      <c r="D17850" t="inlineStr">
        <is>
          <t>NIL</t>
        </is>
      </c>
      <c r="E17850" t="n">
        <v>2133</v>
      </c>
    </row>
    <row r="17851">
      <c r="A17851" t="inlineStr">
        <is>
          <t>27BBBBB17851Z5</t>
        </is>
      </c>
      <c r="B17851" t="inlineStr">
        <is>
          <t>Jul-2017</t>
        </is>
      </c>
      <c r="C17851" s="2" t="n">
        <v>43909</v>
      </c>
      <c r="D17851" t="inlineStr">
        <is>
          <t>NIL</t>
        </is>
      </c>
      <c r="E17851" t="n">
        <v>547</v>
      </c>
    </row>
    <row r="17852">
      <c r="A17852" t="inlineStr">
        <is>
          <t>27BBBBB17852Z5</t>
        </is>
      </c>
      <c r="B17852" t="inlineStr">
        <is>
          <t>Aug-2017</t>
        </is>
      </c>
      <c r="C17852" s="2" t="n">
        <v>44148</v>
      </c>
      <c r="D17852" t="inlineStr">
        <is>
          <t>NIL</t>
        </is>
      </c>
      <c r="E17852" t="n">
        <v>2650</v>
      </c>
    </row>
    <row r="17853">
      <c r="A17853" t="inlineStr">
        <is>
          <t>27BBBBB17853Z5</t>
        </is>
      </c>
      <c r="B17853" t="inlineStr">
        <is>
          <t>Jun-2020</t>
        </is>
      </c>
      <c r="C17853" s="2" t="n">
        <v>44779</v>
      </c>
      <c r="D17853" t="inlineStr">
        <is>
          <t>NIL</t>
        </is>
      </c>
      <c r="E17853" t="n">
        <v>1024</v>
      </c>
    </row>
    <row r="17854">
      <c r="A17854" t="inlineStr">
        <is>
          <t>27BBBBB17854Z5</t>
        </is>
      </c>
      <c r="B17854" t="inlineStr">
        <is>
          <t>Nov-2018</t>
        </is>
      </c>
      <c r="C17854" s="2" t="n">
        <v>44008</v>
      </c>
      <c r="D17854" t="inlineStr">
        <is>
          <t>NON-NIL</t>
        </is>
      </c>
      <c r="E17854" t="n">
        <v>2811</v>
      </c>
    </row>
    <row r="17855">
      <c r="A17855" t="inlineStr">
        <is>
          <t>27BBBBB17855Z5</t>
        </is>
      </c>
      <c r="B17855" t="inlineStr">
        <is>
          <t>Aug-2018</t>
        </is>
      </c>
      <c r="C17855" s="2" t="n">
        <v>43782</v>
      </c>
      <c r="D17855" t="inlineStr">
        <is>
          <t>NIL</t>
        </is>
      </c>
      <c r="E17855" t="n">
        <v>1746</v>
      </c>
    </row>
    <row r="17856">
      <c r="A17856" t="inlineStr">
        <is>
          <t>27BBBBB17856Z5</t>
        </is>
      </c>
      <c r="B17856" t="inlineStr">
        <is>
          <t>Sep-2017</t>
        </is>
      </c>
      <c r="C17856" s="2" t="n">
        <v>43248</v>
      </c>
      <c r="D17856" t="inlineStr">
        <is>
          <t>NON-NIL</t>
        </is>
      </c>
      <c r="E17856" t="n">
        <v>2891</v>
      </c>
    </row>
    <row r="17857">
      <c r="A17857" t="inlineStr">
        <is>
          <t>27BBBBB17857Z5</t>
        </is>
      </c>
      <c r="B17857" t="inlineStr">
        <is>
          <t>Jul-2017</t>
        </is>
      </c>
      <c r="C17857" s="2" t="n">
        <v>43606</v>
      </c>
      <c r="D17857" t="inlineStr">
        <is>
          <t>NON-NIL</t>
        </is>
      </c>
      <c r="E17857" t="n">
        <v>2059</v>
      </c>
    </row>
    <row r="17858">
      <c r="A17858" t="inlineStr">
        <is>
          <t>27BBBBB17858Z5</t>
        </is>
      </c>
      <c r="B17858" t="inlineStr">
        <is>
          <t>Sep-2018</t>
        </is>
      </c>
      <c r="C17858" s="2" t="n">
        <v>43689</v>
      </c>
      <c r="D17858" t="inlineStr">
        <is>
          <t>NIL</t>
        </is>
      </c>
      <c r="E17858" t="n">
        <v>2513</v>
      </c>
    </row>
    <row r="17859">
      <c r="A17859" t="inlineStr">
        <is>
          <t>27BBBBB17859Z5</t>
        </is>
      </c>
      <c r="B17859" t="inlineStr">
        <is>
          <t>Mar-2018</t>
        </is>
      </c>
      <c r="C17859" s="2" t="n">
        <v>43880</v>
      </c>
      <c r="D17859" t="inlineStr">
        <is>
          <t>NON-NIL</t>
        </is>
      </c>
      <c r="E17859" t="n">
        <v>654</v>
      </c>
    </row>
    <row r="17860">
      <c r="A17860" t="inlineStr">
        <is>
          <t>27BBBBB17860Z5</t>
        </is>
      </c>
      <c r="B17860" t="inlineStr">
        <is>
          <t>Jan-2018</t>
        </is>
      </c>
      <c r="C17860" s="2" t="n">
        <v>44280</v>
      </c>
      <c r="D17860" t="inlineStr">
        <is>
          <t>NIL</t>
        </is>
      </c>
      <c r="E17860" t="n">
        <v>1559</v>
      </c>
    </row>
    <row r="17861">
      <c r="A17861" t="inlineStr">
        <is>
          <t>27BBBBB17861Z5</t>
        </is>
      </c>
      <c r="B17861" t="inlineStr">
        <is>
          <t>Jun-2018</t>
        </is>
      </c>
      <c r="C17861" s="2" t="n">
        <v>43444</v>
      </c>
      <c r="D17861" t="inlineStr">
        <is>
          <t>NON-NIL</t>
        </is>
      </c>
      <c r="E17861" t="n">
        <v>897</v>
      </c>
    </row>
    <row r="17862">
      <c r="A17862" t="inlineStr">
        <is>
          <t>27BBBBB17862Z5</t>
        </is>
      </c>
      <c r="B17862" t="inlineStr">
        <is>
          <t>Jan-2021</t>
        </is>
      </c>
      <c r="C17862" s="2" t="n">
        <v>45788</v>
      </c>
      <c r="D17862" t="inlineStr">
        <is>
          <t>NON-NIL</t>
        </is>
      </c>
      <c r="E17862" t="n">
        <v>55</v>
      </c>
    </row>
    <row r="17863">
      <c r="A17863" t="inlineStr">
        <is>
          <t>27BBBBB17863Z5</t>
        </is>
      </c>
      <c r="B17863" t="inlineStr">
        <is>
          <t>Jun-2020</t>
        </is>
      </c>
      <c r="C17863" s="2" t="n">
        <v>44803</v>
      </c>
      <c r="D17863" t="inlineStr">
        <is>
          <t>NON-NIL</t>
        </is>
      </c>
      <c r="E17863" t="n">
        <v>639</v>
      </c>
    </row>
    <row r="17864">
      <c r="A17864" t="inlineStr">
        <is>
          <t>27BBBBB17864Z5</t>
        </is>
      </c>
      <c r="B17864" t="inlineStr">
        <is>
          <t>Mar-2021</t>
        </is>
      </c>
      <c r="C17864" s="2" t="n">
        <v>44947</v>
      </c>
      <c r="D17864" t="inlineStr">
        <is>
          <t>NON-NIL</t>
        </is>
      </c>
      <c r="E17864" t="n">
        <v>746</v>
      </c>
    </row>
    <row r="17865">
      <c r="A17865" t="inlineStr">
        <is>
          <t>27BBBBB17865Z5</t>
        </is>
      </c>
      <c r="B17865" t="inlineStr">
        <is>
          <t>Sep-2017</t>
        </is>
      </c>
      <c r="C17865" s="2" t="n">
        <v>43555</v>
      </c>
      <c r="D17865" t="inlineStr">
        <is>
          <t>NIL</t>
        </is>
      </c>
      <c r="E17865" t="n">
        <v>1868</v>
      </c>
    </row>
    <row r="17866">
      <c r="A17866" t="inlineStr">
        <is>
          <t>27BBBBB17866Z5</t>
        </is>
      </c>
      <c r="B17866" t="inlineStr">
        <is>
          <t>Nov-2018</t>
        </is>
      </c>
      <c r="C17866" s="2" t="n">
        <v>43667</v>
      </c>
      <c r="D17866" t="inlineStr">
        <is>
          <t>NIL</t>
        </is>
      </c>
      <c r="E17866" t="n">
        <v>633</v>
      </c>
    </row>
    <row r="17867">
      <c r="A17867" t="inlineStr">
        <is>
          <t>27BBBBB17867Z5</t>
        </is>
      </c>
      <c r="B17867" t="inlineStr">
        <is>
          <t>May-2018</t>
        </is>
      </c>
      <c r="C17867" s="2" t="n">
        <v>44164</v>
      </c>
      <c r="D17867" t="inlineStr">
        <is>
          <t>NIL</t>
        </is>
      </c>
      <c r="E17867" t="n">
        <v>175</v>
      </c>
    </row>
    <row r="17868">
      <c r="A17868" t="inlineStr">
        <is>
          <t>27BBBBB17868Z5</t>
        </is>
      </c>
      <c r="B17868" t="inlineStr">
        <is>
          <t>Jan-2021</t>
        </is>
      </c>
      <c r="C17868" s="2" t="n">
        <v>45429</v>
      </c>
      <c r="D17868" t="inlineStr">
        <is>
          <t>NIL</t>
        </is>
      </c>
      <c r="E17868" t="n">
        <v>185</v>
      </c>
    </row>
    <row r="17869">
      <c r="A17869" t="inlineStr">
        <is>
          <t>27BBBBB17869Z5</t>
        </is>
      </c>
      <c r="B17869" t="inlineStr">
        <is>
          <t>Apr-2020</t>
        </is>
      </c>
      <c r="C17869" s="2" t="n">
        <v>44851</v>
      </c>
      <c r="D17869" t="inlineStr">
        <is>
          <t>NIL</t>
        </is>
      </c>
      <c r="E17869" t="n">
        <v>2089</v>
      </c>
    </row>
    <row r="17870">
      <c r="A17870" t="inlineStr">
        <is>
          <t>27BBBBB17870Z5</t>
        </is>
      </c>
      <c r="B17870" t="inlineStr">
        <is>
          <t>Mar-2018</t>
        </is>
      </c>
      <c r="C17870" s="2" t="n">
        <v>43081</v>
      </c>
      <c r="D17870" t="inlineStr">
        <is>
          <t>NON-NIL</t>
        </is>
      </c>
      <c r="E17870" t="n">
        <v>942</v>
      </c>
    </row>
    <row r="17871">
      <c r="A17871" t="inlineStr">
        <is>
          <t>27BBBBB17871Z5</t>
        </is>
      </c>
      <c r="B17871" t="inlineStr">
        <is>
          <t>Jul-2018</t>
        </is>
      </c>
      <c r="C17871" s="2" t="n">
        <v>43217</v>
      </c>
      <c r="D17871" t="inlineStr">
        <is>
          <t>NIL</t>
        </is>
      </c>
      <c r="E17871" t="n">
        <v>1389</v>
      </c>
    </row>
    <row r="17872">
      <c r="A17872" t="inlineStr">
        <is>
          <t>27BBBBB17872Z5</t>
        </is>
      </c>
      <c r="B17872" t="inlineStr">
        <is>
          <t>Jan-2018</t>
        </is>
      </c>
      <c r="C17872" s="2" t="n">
        <v>44310</v>
      </c>
      <c r="D17872" t="inlineStr">
        <is>
          <t>NIL</t>
        </is>
      </c>
      <c r="E17872" t="n">
        <v>1238</v>
      </c>
    </row>
    <row r="17873">
      <c r="A17873" t="inlineStr">
        <is>
          <t>27BBBBB17873Z5</t>
        </is>
      </c>
      <c r="B17873" t="inlineStr">
        <is>
          <t>Jan-2018</t>
        </is>
      </c>
      <c r="C17873" s="2" t="n">
        <v>43960</v>
      </c>
      <c r="D17873" t="inlineStr">
        <is>
          <t>NIL</t>
        </is>
      </c>
      <c r="E17873" t="n">
        <v>210</v>
      </c>
    </row>
    <row r="17874">
      <c r="A17874" t="inlineStr">
        <is>
          <t>27BBBBB17874Z5</t>
        </is>
      </c>
      <c r="B17874" t="inlineStr">
        <is>
          <t>Apr-2018</t>
        </is>
      </c>
      <c r="C17874" s="2" t="n">
        <v>43745</v>
      </c>
      <c r="D17874" t="inlineStr">
        <is>
          <t>NIL</t>
        </is>
      </c>
      <c r="E17874" t="n">
        <v>1956</v>
      </c>
    </row>
    <row r="17875">
      <c r="A17875" t="inlineStr">
        <is>
          <t>27BBBBB17875Z5</t>
        </is>
      </c>
      <c r="B17875" t="inlineStr">
        <is>
          <t>Jun-2018</t>
        </is>
      </c>
      <c r="C17875" s="2" t="n">
        <v>44207</v>
      </c>
      <c r="D17875" t="inlineStr">
        <is>
          <t>NON-NIL</t>
        </is>
      </c>
      <c r="E17875" t="n">
        <v>411</v>
      </c>
    </row>
    <row r="17876">
      <c r="A17876" t="inlineStr">
        <is>
          <t>27BBBBB17876Z5</t>
        </is>
      </c>
      <c r="B17876" t="inlineStr">
        <is>
          <t>Mar-2020</t>
        </is>
      </c>
      <c r="C17876" s="2" t="n">
        <v>44634</v>
      </c>
      <c r="D17876" t="inlineStr">
        <is>
          <t>NON-NIL</t>
        </is>
      </c>
      <c r="E17876" t="n">
        <v>450</v>
      </c>
    </row>
    <row r="17877">
      <c r="A17877" t="inlineStr">
        <is>
          <t>27BBBBB17877Z5</t>
        </is>
      </c>
      <c r="B17877" t="inlineStr">
        <is>
          <t>Sep-2018</t>
        </is>
      </c>
      <c r="C17877" s="2" t="n">
        <v>43767</v>
      </c>
      <c r="D17877" t="inlineStr">
        <is>
          <t>NON-NIL</t>
        </is>
      </c>
      <c r="E17877" t="n">
        <v>144</v>
      </c>
    </row>
    <row r="17878">
      <c r="A17878" t="inlineStr">
        <is>
          <t>27BBBBB17878Z5</t>
        </is>
      </c>
      <c r="B17878" t="inlineStr">
        <is>
          <t>Mar-2018</t>
        </is>
      </c>
      <c r="C17878" s="2" t="n">
        <v>43393</v>
      </c>
      <c r="D17878" t="inlineStr">
        <is>
          <t>NIL</t>
        </is>
      </c>
      <c r="E17878" t="n">
        <v>865</v>
      </c>
    </row>
    <row r="17879">
      <c r="A17879" t="inlineStr">
        <is>
          <t>27BBBBB17879Z5</t>
        </is>
      </c>
      <c r="B17879" t="inlineStr">
        <is>
          <t>Nov-2017</t>
        </is>
      </c>
      <c r="C17879" s="2" t="n">
        <v>43514</v>
      </c>
      <c r="D17879" t="inlineStr">
        <is>
          <t>NON-NIL</t>
        </is>
      </c>
      <c r="E17879" t="n">
        <v>2039</v>
      </c>
    </row>
    <row r="17880">
      <c r="A17880" t="inlineStr">
        <is>
          <t>27BBBBB17880Z5</t>
        </is>
      </c>
      <c r="B17880" t="inlineStr">
        <is>
          <t>Dec-2022</t>
        </is>
      </c>
      <c r="C17880" s="2" t="n">
        <v>45115</v>
      </c>
      <c r="D17880" t="inlineStr">
        <is>
          <t>NON-NIL</t>
        </is>
      </c>
      <c r="E17880" t="n">
        <v>2077</v>
      </c>
    </row>
    <row r="17881">
      <c r="A17881" t="inlineStr">
        <is>
          <t>27BBBBB17881Z5</t>
        </is>
      </c>
      <c r="B17881" t="inlineStr">
        <is>
          <t>Sep-2017</t>
        </is>
      </c>
      <c r="C17881" s="2" t="n">
        <v>44541</v>
      </c>
      <c r="D17881" t="inlineStr">
        <is>
          <t>NON-NIL</t>
        </is>
      </c>
      <c r="E17881" t="n">
        <v>2373</v>
      </c>
    </row>
    <row r="17882">
      <c r="A17882" t="inlineStr">
        <is>
          <t>27BBBBB17882Z5</t>
        </is>
      </c>
      <c r="B17882" t="inlineStr">
        <is>
          <t>Mar-2020</t>
        </is>
      </c>
      <c r="C17882" s="2" t="n">
        <v>44418</v>
      </c>
      <c r="D17882" t="inlineStr">
        <is>
          <t>NON-NIL</t>
        </is>
      </c>
      <c r="E17882" t="n">
        <v>1058</v>
      </c>
    </row>
    <row r="17883">
      <c r="A17883" t="inlineStr">
        <is>
          <t>27BBBBB17883Z5</t>
        </is>
      </c>
      <c r="B17883" t="inlineStr">
        <is>
          <t>Jun-2018</t>
        </is>
      </c>
      <c r="C17883" s="2" t="n">
        <v>44205</v>
      </c>
      <c r="D17883" t="inlineStr">
        <is>
          <t>NON-NIL</t>
        </is>
      </c>
      <c r="E17883" t="n">
        <v>2128</v>
      </c>
    </row>
    <row r="17884">
      <c r="A17884" t="inlineStr">
        <is>
          <t>27BBBBB17884Z5</t>
        </is>
      </c>
      <c r="B17884" t="inlineStr">
        <is>
          <t>Dec-2022</t>
        </is>
      </c>
      <c r="C17884" s="2" t="n">
        <v>45329</v>
      </c>
      <c r="D17884" t="inlineStr">
        <is>
          <t>NIL</t>
        </is>
      </c>
      <c r="E17884" t="n">
        <v>2960</v>
      </c>
    </row>
    <row r="17885">
      <c r="A17885" t="inlineStr">
        <is>
          <t>27BBBBB17885Z5</t>
        </is>
      </c>
      <c r="B17885" t="inlineStr">
        <is>
          <t>May-2018</t>
        </is>
      </c>
      <c r="C17885" s="2" t="n">
        <v>43374</v>
      </c>
      <c r="D17885" t="inlineStr">
        <is>
          <t>NIL</t>
        </is>
      </c>
      <c r="E17885" t="n">
        <v>1272</v>
      </c>
    </row>
    <row r="17886">
      <c r="A17886" t="inlineStr">
        <is>
          <t>27BBBBB17886Z5</t>
        </is>
      </c>
      <c r="B17886" t="inlineStr">
        <is>
          <t>Sep-2017</t>
        </is>
      </c>
      <c r="C17886" s="2" t="n">
        <v>44320</v>
      </c>
      <c r="D17886" t="inlineStr">
        <is>
          <t>NIL</t>
        </is>
      </c>
      <c r="E17886" t="n">
        <v>567</v>
      </c>
    </row>
    <row r="17887">
      <c r="A17887" t="inlineStr">
        <is>
          <t>27BBBBB17887Z5</t>
        </is>
      </c>
      <c r="B17887" t="inlineStr">
        <is>
          <t>Dec-2022</t>
        </is>
      </c>
      <c r="C17887" s="2" t="n">
        <v>44612</v>
      </c>
      <c r="D17887" t="inlineStr">
        <is>
          <t>NON-NIL</t>
        </is>
      </c>
      <c r="E17887" t="n">
        <v>2298</v>
      </c>
    </row>
    <row r="17888">
      <c r="A17888" t="inlineStr">
        <is>
          <t>27BBBBB17888Z5</t>
        </is>
      </c>
      <c r="B17888" t="inlineStr">
        <is>
          <t>Dec-2018</t>
        </is>
      </c>
      <c r="C17888" s="2" t="n">
        <v>43836</v>
      </c>
      <c r="D17888" t="inlineStr">
        <is>
          <t>NON-NIL</t>
        </is>
      </c>
      <c r="E17888" t="n">
        <v>2360</v>
      </c>
    </row>
    <row r="17889">
      <c r="A17889" t="inlineStr">
        <is>
          <t>27BBBBB17889Z5</t>
        </is>
      </c>
      <c r="B17889" t="inlineStr">
        <is>
          <t>Jun-2018</t>
        </is>
      </c>
      <c r="C17889" s="2" t="n">
        <v>43992</v>
      </c>
      <c r="D17889" t="inlineStr">
        <is>
          <t>NON-NIL</t>
        </is>
      </c>
      <c r="E17889" t="n">
        <v>1802</v>
      </c>
    </row>
    <row r="17890">
      <c r="A17890" t="inlineStr">
        <is>
          <t>27BBBBB17890Z5</t>
        </is>
      </c>
      <c r="B17890" t="inlineStr">
        <is>
          <t>Nov-2017</t>
        </is>
      </c>
      <c r="C17890" s="2" t="n">
        <v>44198</v>
      </c>
      <c r="D17890" t="inlineStr">
        <is>
          <t>NIL</t>
        </is>
      </c>
      <c r="E17890" t="n">
        <v>1956</v>
      </c>
    </row>
    <row r="17891">
      <c r="A17891" t="inlineStr">
        <is>
          <t>27BBBBB17891Z5</t>
        </is>
      </c>
      <c r="B17891" t="inlineStr">
        <is>
          <t>Nov-2018</t>
        </is>
      </c>
      <c r="C17891" s="2" t="n">
        <v>43061</v>
      </c>
      <c r="D17891" t="inlineStr">
        <is>
          <t>NIL</t>
        </is>
      </c>
      <c r="E17891" t="n">
        <v>1175</v>
      </c>
    </row>
    <row r="17892">
      <c r="A17892" t="inlineStr">
        <is>
          <t>27BBBBB17892Z5</t>
        </is>
      </c>
      <c r="B17892" t="inlineStr">
        <is>
          <t>Sep-2017</t>
        </is>
      </c>
      <c r="C17892" s="2" t="n">
        <v>44321</v>
      </c>
      <c r="D17892" t="inlineStr">
        <is>
          <t>NIL</t>
        </is>
      </c>
      <c r="E17892" t="n">
        <v>375</v>
      </c>
    </row>
    <row r="17893">
      <c r="A17893" t="inlineStr">
        <is>
          <t>27BBBBB17893Z5</t>
        </is>
      </c>
      <c r="B17893" t="inlineStr">
        <is>
          <t>Jun-2018</t>
        </is>
      </c>
      <c r="C17893" s="2" t="n">
        <v>43163</v>
      </c>
      <c r="D17893" t="inlineStr">
        <is>
          <t>NON-NIL</t>
        </is>
      </c>
      <c r="E17893" t="n">
        <v>217</v>
      </c>
    </row>
    <row r="17894">
      <c r="A17894" t="inlineStr">
        <is>
          <t>27BBBBB17894Z5</t>
        </is>
      </c>
      <c r="B17894" t="inlineStr">
        <is>
          <t>Jul-2018</t>
        </is>
      </c>
      <c r="C17894" s="2" t="n">
        <v>43342</v>
      </c>
      <c r="D17894" t="inlineStr">
        <is>
          <t>NON-NIL</t>
        </is>
      </c>
      <c r="E17894" t="n">
        <v>2867</v>
      </c>
    </row>
    <row r="17895">
      <c r="A17895" t="inlineStr">
        <is>
          <t>27BBBBB17895Z5</t>
        </is>
      </c>
      <c r="B17895" t="inlineStr">
        <is>
          <t>Aug-2017</t>
        </is>
      </c>
      <c r="C17895" s="2" t="n">
        <v>44212</v>
      </c>
      <c r="D17895" t="inlineStr">
        <is>
          <t>NON-NIL</t>
        </is>
      </c>
      <c r="E17895" t="n">
        <v>2281</v>
      </c>
    </row>
    <row r="17896">
      <c r="A17896" t="inlineStr">
        <is>
          <t>27BBBBB17896Z5</t>
        </is>
      </c>
      <c r="B17896" t="inlineStr">
        <is>
          <t>Jan-2021</t>
        </is>
      </c>
      <c r="C17896" s="2" t="n">
        <v>45192</v>
      </c>
      <c r="D17896" t="inlineStr">
        <is>
          <t>NON-NIL</t>
        </is>
      </c>
      <c r="E17896" t="n">
        <v>2127</v>
      </c>
    </row>
    <row r="17897">
      <c r="A17897" t="inlineStr">
        <is>
          <t>27BBBBB17897Z5</t>
        </is>
      </c>
      <c r="B17897" t="inlineStr">
        <is>
          <t>Jan-2021</t>
        </is>
      </c>
      <c r="C17897" s="2" t="n">
        <v>45244</v>
      </c>
      <c r="D17897" t="inlineStr">
        <is>
          <t>NON-NIL</t>
        </is>
      </c>
      <c r="E17897" t="n">
        <v>908</v>
      </c>
    </row>
    <row r="17898">
      <c r="A17898" t="inlineStr">
        <is>
          <t>27BBBBB17898Z5</t>
        </is>
      </c>
      <c r="B17898" t="inlineStr">
        <is>
          <t>May-2020</t>
        </is>
      </c>
      <c r="C17898" s="2" t="n">
        <v>44544</v>
      </c>
      <c r="D17898" t="inlineStr">
        <is>
          <t>NON-NIL</t>
        </is>
      </c>
      <c r="E17898" t="n">
        <v>1379</v>
      </c>
    </row>
    <row r="17899">
      <c r="A17899" t="inlineStr">
        <is>
          <t>27BBBBB17899Z5</t>
        </is>
      </c>
      <c r="B17899" t="inlineStr">
        <is>
          <t>Dec-2024</t>
        </is>
      </c>
      <c r="C17899" s="2" t="n">
        <v>45465</v>
      </c>
      <c r="D17899" t="inlineStr">
        <is>
          <t>NIL</t>
        </is>
      </c>
      <c r="E17899" t="n">
        <v>2662</v>
      </c>
    </row>
    <row r="17900">
      <c r="A17900" t="inlineStr">
        <is>
          <t>27BBBBB17900Z5</t>
        </is>
      </c>
      <c r="B17900" t="inlineStr">
        <is>
          <t>May-2018</t>
        </is>
      </c>
      <c r="C17900" s="2" t="n">
        <v>44143</v>
      </c>
      <c r="D17900" t="inlineStr">
        <is>
          <t>NIL</t>
        </is>
      </c>
      <c r="E17900" t="n">
        <v>803</v>
      </c>
    </row>
    <row r="17901">
      <c r="A17901" t="inlineStr">
        <is>
          <t>27BBBBB17901Z5</t>
        </is>
      </c>
      <c r="B17901" t="inlineStr">
        <is>
          <t>Apr-2020</t>
        </is>
      </c>
      <c r="C17901" s="2" t="n">
        <v>44232</v>
      </c>
      <c r="D17901" t="inlineStr">
        <is>
          <t>NIL</t>
        </is>
      </c>
      <c r="E17901" t="n">
        <v>2411</v>
      </c>
    </row>
    <row r="17902">
      <c r="A17902" t="inlineStr">
        <is>
          <t>27BBBBB17902Z5</t>
        </is>
      </c>
      <c r="B17902" t="inlineStr">
        <is>
          <t>Jan-2018</t>
        </is>
      </c>
      <c r="C17902" s="2" t="n">
        <v>43771</v>
      </c>
      <c r="D17902" t="inlineStr">
        <is>
          <t>NON-NIL</t>
        </is>
      </c>
      <c r="E17902" t="n">
        <v>1710</v>
      </c>
    </row>
    <row r="17903">
      <c r="A17903" t="inlineStr">
        <is>
          <t>27BBBBB17903Z5</t>
        </is>
      </c>
      <c r="B17903" t="inlineStr">
        <is>
          <t>Jul-2017</t>
        </is>
      </c>
      <c r="C17903" s="2" t="n">
        <v>43830</v>
      </c>
      <c r="D17903" t="inlineStr">
        <is>
          <t>NIL</t>
        </is>
      </c>
      <c r="E17903" t="n">
        <v>1774</v>
      </c>
    </row>
    <row r="17904">
      <c r="A17904" t="inlineStr">
        <is>
          <t>27BBBBB17904Z5</t>
        </is>
      </c>
      <c r="B17904" t="inlineStr">
        <is>
          <t>Dec-2018</t>
        </is>
      </c>
      <c r="C17904" s="2" t="n">
        <v>44457</v>
      </c>
      <c r="D17904" t="inlineStr">
        <is>
          <t>NIL</t>
        </is>
      </c>
      <c r="E17904" t="n">
        <v>2523</v>
      </c>
    </row>
    <row r="17905">
      <c r="A17905" t="inlineStr">
        <is>
          <t>27BBBBB17905Z5</t>
        </is>
      </c>
      <c r="B17905" t="inlineStr">
        <is>
          <t>Dec-2022</t>
        </is>
      </c>
      <c r="C17905" s="2" t="n">
        <v>44719</v>
      </c>
      <c r="D17905" t="inlineStr">
        <is>
          <t>NIL</t>
        </is>
      </c>
      <c r="E17905" t="n">
        <v>785</v>
      </c>
    </row>
    <row r="17906">
      <c r="A17906" t="inlineStr">
        <is>
          <t>27BBBBB17906Z5</t>
        </is>
      </c>
      <c r="B17906" t="inlineStr">
        <is>
          <t>Jul-2018</t>
        </is>
      </c>
      <c r="C17906" s="2" t="n">
        <v>44317</v>
      </c>
      <c r="D17906" t="inlineStr">
        <is>
          <t>NIL</t>
        </is>
      </c>
      <c r="E17906" t="n">
        <v>1225</v>
      </c>
    </row>
    <row r="17907">
      <c r="A17907" t="inlineStr">
        <is>
          <t>27BBBBB17907Z5</t>
        </is>
      </c>
      <c r="B17907" t="inlineStr">
        <is>
          <t>Jul-2018</t>
        </is>
      </c>
      <c r="C17907" s="2" t="n">
        <v>44280</v>
      </c>
      <c r="D17907" t="inlineStr">
        <is>
          <t>NIL</t>
        </is>
      </c>
      <c r="E17907" t="n">
        <v>1672</v>
      </c>
    </row>
    <row r="17908">
      <c r="A17908" t="inlineStr">
        <is>
          <t>27BBBBB17908Z5</t>
        </is>
      </c>
      <c r="B17908" t="inlineStr">
        <is>
          <t>Nov-2017</t>
        </is>
      </c>
      <c r="C17908" s="2" t="n">
        <v>43831</v>
      </c>
      <c r="D17908" t="inlineStr">
        <is>
          <t>NIL</t>
        </is>
      </c>
      <c r="E17908" t="n">
        <v>2769</v>
      </c>
    </row>
    <row r="17909">
      <c r="A17909" t="inlineStr">
        <is>
          <t>27BBBBB17909Z5</t>
        </is>
      </c>
      <c r="B17909" t="inlineStr">
        <is>
          <t>Aug-2017</t>
        </is>
      </c>
      <c r="C17909" s="2" t="n">
        <v>44049</v>
      </c>
      <c r="D17909" t="inlineStr">
        <is>
          <t>NIL</t>
        </is>
      </c>
      <c r="E17909" t="n">
        <v>2798</v>
      </c>
    </row>
    <row r="17910">
      <c r="A17910" t="inlineStr">
        <is>
          <t>27BBBBB17910Z5</t>
        </is>
      </c>
      <c r="B17910" t="inlineStr">
        <is>
          <t>Sep-2017</t>
        </is>
      </c>
      <c r="C17910" s="2" t="n">
        <v>43243</v>
      </c>
      <c r="D17910" t="inlineStr">
        <is>
          <t>NIL</t>
        </is>
      </c>
      <c r="E17910" t="n">
        <v>2540</v>
      </c>
    </row>
    <row r="17911">
      <c r="A17911" t="inlineStr">
        <is>
          <t>27BBBBB17911Z5</t>
        </is>
      </c>
      <c r="B17911" t="inlineStr">
        <is>
          <t>Jul-2018</t>
        </is>
      </c>
      <c r="C17911" s="2" t="n">
        <v>43913</v>
      </c>
      <c r="D17911" t="inlineStr">
        <is>
          <t>NIL</t>
        </is>
      </c>
      <c r="E17911" t="n">
        <v>1079</v>
      </c>
    </row>
    <row r="17912">
      <c r="A17912" t="inlineStr">
        <is>
          <t>27BBBBB17912Z5</t>
        </is>
      </c>
      <c r="B17912" t="inlineStr">
        <is>
          <t>Jun-2018</t>
        </is>
      </c>
      <c r="C17912" s="2" t="n">
        <v>43185</v>
      </c>
      <c r="D17912" t="inlineStr">
        <is>
          <t>NON-NIL</t>
        </is>
      </c>
      <c r="E17912" t="n">
        <v>933</v>
      </c>
    </row>
    <row r="17913">
      <c r="A17913" t="inlineStr">
        <is>
          <t>27BBBBB17913Z5</t>
        </is>
      </c>
      <c r="B17913" t="inlineStr">
        <is>
          <t>Nov-2017</t>
        </is>
      </c>
      <c r="C17913" s="2" t="n">
        <v>44282</v>
      </c>
      <c r="D17913" t="inlineStr">
        <is>
          <t>NON-NIL</t>
        </is>
      </c>
      <c r="E17913" t="n">
        <v>429</v>
      </c>
    </row>
    <row r="17914">
      <c r="A17914" t="inlineStr">
        <is>
          <t>27BBBBB17914Z5</t>
        </is>
      </c>
      <c r="B17914" t="inlineStr">
        <is>
          <t>Apr-2020</t>
        </is>
      </c>
      <c r="C17914" s="2" t="n">
        <v>44397</v>
      </c>
      <c r="D17914" t="inlineStr">
        <is>
          <t>NIL</t>
        </is>
      </c>
      <c r="E17914" t="n">
        <v>321</v>
      </c>
    </row>
    <row r="17915">
      <c r="A17915" t="inlineStr">
        <is>
          <t>27BBBBB17915Z5</t>
        </is>
      </c>
      <c r="B17915" t="inlineStr">
        <is>
          <t>Jul-2020</t>
        </is>
      </c>
      <c r="C17915" s="2" t="n">
        <v>44123</v>
      </c>
      <c r="D17915" t="inlineStr">
        <is>
          <t>NIL</t>
        </is>
      </c>
      <c r="E17915" t="n">
        <v>1775</v>
      </c>
    </row>
    <row r="17916">
      <c r="A17916" t="inlineStr">
        <is>
          <t>27BBBBB17916Z5</t>
        </is>
      </c>
      <c r="B17916" t="inlineStr">
        <is>
          <t>Jan-2018</t>
        </is>
      </c>
      <c r="C17916" s="2" t="n">
        <v>43433</v>
      </c>
      <c r="D17916" t="inlineStr">
        <is>
          <t>NIL</t>
        </is>
      </c>
      <c r="E17916" t="n">
        <v>1173</v>
      </c>
    </row>
    <row r="17917">
      <c r="A17917" t="inlineStr">
        <is>
          <t>27BBBBB17917Z5</t>
        </is>
      </c>
      <c r="B17917" t="inlineStr">
        <is>
          <t>May-2018</t>
        </is>
      </c>
      <c r="C17917" s="2" t="n">
        <v>44528</v>
      </c>
      <c r="D17917" t="inlineStr">
        <is>
          <t>NIL</t>
        </is>
      </c>
      <c r="E17917" t="n">
        <v>1983</v>
      </c>
    </row>
    <row r="17918">
      <c r="A17918" t="inlineStr">
        <is>
          <t>27BBBBB17918Z5</t>
        </is>
      </c>
      <c r="B17918" t="inlineStr">
        <is>
          <t>Aug-2017</t>
        </is>
      </c>
      <c r="C17918" s="2" t="n">
        <v>44447</v>
      </c>
      <c r="D17918" t="inlineStr">
        <is>
          <t>NON-NIL</t>
        </is>
      </c>
      <c r="E17918" t="n">
        <v>634</v>
      </c>
    </row>
    <row r="17919">
      <c r="A17919" t="inlineStr">
        <is>
          <t>27BBBBB17919Z5</t>
        </is>
      </c>
      <c r="B17919" t="inlineStr">
        <is>
          <t>Jan-2021</t>
        </is>
      </c>
      <c r="C17919" s="2" t="n">
        <v>44542</v>
      </c>
      <c r="D17919" t="inlineStr">
        <is>
          <t>NIL</t>
        </is>
      </c>
      <c r="E17919" t="n">
        <v>2808</v>
      </c>
    </row>
    <row r="17920">
      <c r="A17920" t="inlineStr">
        <is>
          <t>27BBBBB17920Z5</t>
        </is>
      </c>
      <c r="B17920" t="inlineStr">
        <is>
          <t>Feb-2018</t>
        </is>
      </c>
      <c r="C17920" s="2" t="n">
        <v>43738</v>
      </c>
      <c r="D17920" t="inlineStr">
        <is>
          <t>NON-NIL</t>
        </is>
      </c>
      <c r="E17920" t="n">
        <v>967</v>
      </c>
    </row>
    <row r="17921">
      <c r="A17921" t="inlineStr">
        <is>
          <t>27BBBBB17921Z5</t>
        </is>
      </c>
      <c r="B17921" t="inlineStr">
        <is>
          <t>Jan-2018</t>
        </is>
      </c>
      <c r="C17921" s="2" t="n">
        <v>43413</v>
      </c>
      <c r="D17921" t="inlineStr">
        <is>
          <t>NIL</t>
        </is>
      </c>
      <c r="E17921" t="n">
        <v>2757</v>
      </c>
    </row>
    <row r="17922">
      <c r="A17922" t="inlineStr">
        <is>
          <t>27BBBBB17922Z5</t>
        </is>
      </c>
      <c r="B17922" t="inlineStr">
        <is>
          <t>Jan-2021</t>
        </is>
      </c>
      <c r="C17922" s="2" t="n">
        <v>44111</v>
      </c>
      <c r="D17922" t="inlineStr">
        <is>
          <t>NON-NIL</t>
        </is>
      </c>
      <c r="E17922" t="n">
        <v>1504</v>
      </c>
    </row>
    <row r="17923">
      <c r="A17923" t="inlineStr">
        <is>
          <t>27BBBBB17923Z5</t>
        </is>
      </c>
      <c r="B17923" t="inlineStr">
        <is>
          <t>Jun-2020</t>
        </is>
      </c>
      <c r="C17923" s="2" t="n">
        <v>44018</v>
      </c>
      <c r="D17923" t="inlineStr">
        <is>
          <t>NON-NIL</t>
        </is>
      </c>
      <c r="E17923" t="n">
        <v>1765</v>
      </c>
    </row>
    <row r="17924">
      <c r="A17924" t="inlineStr">
        <is>
          <t>27BBBBB17924Z5</t>
        </is>
      </c>
      <c r="B17924" t="inlineStr">
        <is>
          <t>Dec-2017</t>
        </is>
      </c>
      <c r="C17924" s="2" t="n">
        <v>43163</v>
      </c>
      <c r="D17924" t="inlineStr">
        <is>
          <t>NIL</t>
        </is>
      </c>
      <c r="E17924" t="n">
        <v>2460</v>
      </c>
    </row>
    <row r="17925">
      <c r="A17925" t="inlineStr">
        <is>
          <t>27BBBBB17925Z5</t>
        </is>
      </c>
      <c r="B17925" t="inlineStr">
        <is>
          <t>Feb-2018</t>
        </is>
      </c>
      <c r="C17925" s="2" t="n">
        <v>43708</v>
      </c>
      <c r="D17925" t="inlineStr">
        <is>
          <t>NIL</t>
        </is>
      </c>
      <c r="E17925" t="n">
        <v>448</v>
      </c>
    </row>
    <row r="17926">
      <c r="A17926" t="inlineStr">
        <is>
          <t>27BBBBB17926Z5</t>
        </is>
      </c>
      <c r="B17926" t="inlineStr">
        <is>
          <t>Dec-2022</t>
        </is>
      </c>
      <c r="C17926" s="2" t="n">
        <v>45165</v>
      </c>
      <c r="D17926" t="inlineStr">
        <is>
          <t>NON-NIL</t>
        </is>
      </c>
      <c r="E17926" t="n">
        <v>2143</v>
      </c>
    </row>
    <row r="17927">
      <c r="A17927" t="inlineStr">
        <is>
          <t>27BBBBB17927Z5</t>
        </is>
      </c>
      <c r="B17927" t="inlineStr">
        <is>
          <t>Jun-2018</t>
        </is>
      </c>
      <c r="C17927" s="2" t="n">
        <v>43569</v>
      </c>
      <c r="D17927" t="inlineStr">
        <is>
          <t>NON-NIL</t>
        </is>
      </c>
      <c r="E17927" t="n">
        <v>932</v>
      </c>
    </row>
    <row r="17928">
      <c r="A17928" t="inlineStr">
        <is>
          <t>27BBBBB17928Z5</t>
        </is>
      </c>
      <c r="B17928" t="inlineStr">
        <is>
          <t>Mar-2020</t>
        </is>
      </c>
      <c r="C17928" s="2" t="n">
        <v>43862</v>
      </c>
      <c r="D17928" t="inlineStr">
        <is>
          <t>NIL</t>
        </is>
      </c>
      <c r="E17928" t="n">
        <v>2616</v>
      </c>
    </row>
    <row r="17929">
      <c r="A17929" t="inlineStr">
        <is>
          <t>27BBBBB17929Z5</t>
        </is>
      </c>
      <c r="B17929" t="inlineStr">
        <is>
          <t>Jan-2018</t>
        </is>
      </c>
      <c r="C17929" s="2" t="n">
        <v>44411</v>
      </c>
      <c r="D17929" t="inlineStr">
        <is>
          <t>NON-NIL</t>
        </is>
      </c>
      <c r="E17929" t="n">
        <v>2095</v>
      </c>
    </row>
    <row r="17930">
      <c r="A17930" t="inlineStr">
        <is>
          <t>27BBBBB17930Z5</t>
        </is>
      </c>
      <c r="B17930" t="inlineStr">
        <is>
          <t>Nov-2017</t>
        </is>
      </c>
      <c r="C17930" s="2" t="n">
        <v>43756</v>
      </c>
      <c r="D17930" t="inlineStr">
        <is>
          <t>NON-NIL</t>
        </is>
      </c>
      <c r="E17930" t="n">
        <v>1366</v>
      </c>
    </row>
    <row r="17931">
      <c r="A17931" t="inlineStr">
        <is>
          <t>27BBBBB17931Z5</t>
        </is>
      </c>
      <c r="B17931" t="inlineStr">
        <is>
          <t>Dec-2022</t>
        </is>
      </c>
      <c r="C17931" s="2" t="n">
        <v>44189</v>
      </c>
      <c r="D17931" t="inlineStr">
        <is>
          <t>NON-NIL</t>
        </is>
      </c>
      <c r="E17931" t="n">
        <v>63</v>
      </c>
    </row>
    <row r="17932">
      <c r="A17932" t="inlineStr">
        <is>
          <t>27BBBBB17932Z5</t>
        </is>
      </c>
      <c r="B17932" t="inlineStr">
        <is>
          <t>Dec-2022</t>
        </is>
      </c>
      <c r="C17932" s="2" t="n">
        <v>43570</v>
      </c>
      <c r="D17932" t="inlineStr">
        <is>
          <t>NON-NIL</t>
        </is>
      </c>
      <c r="E17932" t="n">
        <v>1970</v>
      </c>
    </row>
    <row r="17933">
      <c r="A17933" t="inlineStr">
        <is>
          <t>27BBBBB17933Z5</t>
        </is>
      </c>
      <c r="B17933" t="inlineStr">
        <is>
          <t>Mar-2023</t>
        </is>
      </c>
      <c r="C17933" s="2" t="n">
        <v>44344</v>
      </c>
      <c r="D17933" t="inlineStr">
        <is>
          <t>NON-NIL</t>
        </is>
      </c>
      <c r="E17933" t="n">
        <v>2007</v>
      </c>
    </row>
    <row r="17934">
      <c r="A17934" t="inlineStr">
        <is>
          <t>27BBBBB17934Z5</t>
        </is>
      </c>
      <c r="B17934" t="inlineStr">
        <is>
          <t>Jan-2018</t>
        </is>
      </c>
      <c r="C17934" s="2" t="n">
        <v>44390</v>
      </c>
      <c r="D17934" t="inlineStr">
        <is>
          <t>NON-NIL</t>
        </is>
      </c>
      <c r="E17934" t="n">
        <v>2330</v>
      </c>
    </row>
    <row r="17935">
      <c r="A17935" t="inlineStr">
        <is>
          <t>27BBBBB17935Z5</t>
        </is>
      </c>
      <c r="B17935" t="inlineStr">
        <is>
          <t>May-2018</t>
        </is>
      </c>
      <c r="C17935" s="2" t="n">
        <v>43180</v>
      </c>
      <c r="D17935" t="inlineStr">
        <is>
          <t>NON-NIL</t>
        </is>
      </c>
      <c r="E17935" t="n">
        <v>113</v>
      </c>
    </row>
    <row r="17936">
      <c r="A17936" t="inlineStr">
        <is>
          <t>27BBBBB17936Z5</t>
        </is>
      </c>
      <c r="B17936" t="inlineStr">
        <is>
          <t>Sep-2018</t>
        </is>
      </c>
      <c r="C17936" s="2" t="n">
        <v>44191</v>
      </c>
      <c r="D17936" t="inlineStr">
        <is>
          <t>NON-NIL</t>
        </is>
      </c>
      <c r="E17936" t="n">
        <v>260</v>
      </c>
    </row>
    <row r="17937">
      <c r="A17937" t="inlineStr">
        <is>
          <t>27BBBBB17937Z5</t>
        </is>
      </c>
      <c r="B17937" t="inlineStr">
        <is>
          <t>May-2018</t>
        </is>
      </c>
      <c r="C17937" s="2" t="n">
        <v>43257</v>
      </c>
      <c r="D17937" t="inlineStr">
        <is>
          <t>NON-NIL</t>
        </is>
      </c>
      <c r="E17937" t="n">
        <v>194</v>
      </c>
    </row>
    <row r="17938">
      <c r="A17938" t="inlineStr">
        <is>
          <t>27BBBBB17938Z5</t>
        </is>
      </c>
      <c r="B17938" t="inlineStr">
        <is>
          <t>Jun-2020</t>
        </is>
      </c>
      <c r="C17938" s="2" t="n">
        <v>44874</v>
      </c>
      <c r="D17938" t="inlineStr">
        <is>
          <t>NIL</t>
        </is>
      </c>
      <c r="E17938" t="n">
        <v>2579</v>
      </c>
    </row>
    <row r="17939">
      <c r="A17939" t="inlineStr">
        <is>
          <t>27BBBBB17939Z5</t>
        </is>
      </c>
      <c r="B17939" t="inlineStr">
        <is>
          <t>Dec-2022</t>
        </is>
      </c>
      <c r="C17939" s="2" t="n">
        <v>44450</v>
      </c>
      <c r="D17939" t="inlineStr">
        <is>
          <t>NIL</t>
        </is>
      </c>
      <c r="E17939" t="n">
        <v>1861</v>
      </c>
    </row>
    <row r="17940">
      <c r="A17940" t="inlineStr">
        <is>
          <t>27BBBBB17940Z5</t>
        </is>
      </c>
      <c r="B17940" t="inlineStr">
        <is>
          <t>Oct-2018</t>
        </is>
      </c>
      <c r="C17940" s="2" t="n">
        <v>43315</v>
      </c>
      <c r="D17940" t="inlineStr">
        <is>
          <t>NON-NIL</t>
        </is>
      </c>
      <c r="E17940" t="n">
        <v>2273</v>
      </c>
    </row>
    <row r="17941">
      <c r="A17941" t="inlineStr">
        <is>
          <t>27BBBBB17941Z5</t>
        </is>
      </c>
      <c r="B17941" t="inlineStr">
        <is>
          <t>Mar-2018</t>
        </is>
      </c>
      <c r="C17941" s="2" t="n">
        <v>44393</v>
      </c>
      <c r="D17941" t="inlineStr">
        <is>
          <t>NON-NIL</t>
        </is>
      </c>
      <c r="E17941" t="n">
        <v>2594</v>
      </c>
    </row>
    <row r="17942">
      <c r="A17942" t="inlineStr">
        <is>
          <t>27BBBBB17942Z5</t>
        </is>
      </c>
      <c r="B17942" t="inlineStr">
        <is>
          <t>Oct-2018</t>
        </is>
      </c>
      <c r="C17942" s="2" t="n">
        <v>43897</v>
      </c>
      <c r="D17942" t="inlineStr">
        <is>
          <t>NON-NIL</t>
        </is>
      </c>
      <c r="E17942" t="n">
        <v>1919</v>
      </c>
    </row>
    <row r="17943">
      <c r="A17943" t="inlineStr">
        <is>
          <t>27BBBBB17943Z5</t>
        </is>
      </c>
      <c r="B17943" t="inlineStr">
        <is>
          <t>Jul-2018</t>
        </is>
      </c>
      <c r="C17943" s="2" t="n">
        <v>42989</v>
      </c>
      <c r="D17943" t="inlineStr">
        <is>
          <t>NIL</t>
        </is>
      </c>
      <c r="E17943" t="n">
        <v>2127</v>
      </c>
    </row>
    <row r="17944">
      <c r="A17944" t="inlineStr">
        <is>
          <t>27BBBBB17944Z5</t>
        </is>
      </c>
      <c r="B17944" t="inlineStr">
        <is>
          <t>Dec-2018</t>
        </is>
      </c>
      <c r="C17944" s="2" t="n">
        <v>43750</v>
      </c>
      <c r="D17944" t="inlineStr">
        <is>
          <t>NON-NIL</t>
        </is>
      </c>
      <c r="E17944" t="n">
        <v>2277</v>
      </c>
    </row>
    <row r="17945">
      <c r="A17945" t="inlineStr">
        <is>
          <t>27BBBBB17945Z5</t>
        </is>
      </c>
      <c r="B17945" t="inlineStr">
        <is>
          <t>Dec-2017</t>
        </is>
      </c>
      <c r="C17945" s="2" t="n">
        <v>44305</v>
      </c>
      <c r="D17945" t="inlineStr">
        <is>
          <t>NON-NIL</t>
        </is>
      </c>
      <c r="E17945" t="n">
        <v>1358</v>
      </c>
    </row>
    <row r="17946">
      <c r="A17946" t="inlineStr">
        <is>
          <t>27BBBBB17946Z5</t>
        </is>
      </c>
      <c r="B17946" t="inlineStr">
        <is>
          <t>Sep-2017</t>
        </is>
      </c>
      <c r="C17946" s="2" t="n">
        <v>43681</v>
      </c>
      <c r="D17946" t="inlineStr">
        <is>
          <t>NIL</t>
        </is>
      </c>
      <c r="E17946" t="n">
        <v>2668</v>
      </c>
    </row>
    <row r="17947">
      <c r="A17947" t="inlineStr">
        <is>
          <t>27BBBBB17947Z5</t>
        </is>
      </c>
      <c r="B17947" t="inlineStr">
        <is>
          <t>Jun-2018</t>
        </is>
      </c>
      <c r="C17947" s="2" t="n">
        <v>43957</v>
      </c>
      <c r="D17947" t="inlineStr">
        <is>
          <t>NIL</t>
        </is>
      </c>
      <c r="E17947" t="n">
        <v>1428</v>
      </c>
    </row>
    <row r="17948">
      <c r="A17948" t="inlineStr">
        <is>
          <t>27BBBBB17948Z5</t>
        </is>
      </c>
      <c r="B17948" t="inlineStr">
        <is>
          <t>Aug-2017</t>
        </is>
      </c>
      <c r="C17948" s="2" t="n">
        <v>44102</v>
      </c>
      <c r="D17948" t="inlineStr">
        <is>
          <t>NIL</t>
        </is>
      </c>
      <c r="E17948" t="n">
        <v>2516</v>
      </c>
    </row>
    <row r="17949">
      <c r="A17949" t="inlineStr">
        <is>
          <t>27BBBBB17949Z5</t>
        </is>
      </c>
      <c r="B17949" t="inlineStr">
        <is>
          <t>Sep-2018</t>
        </is>
      </c>
      <c r="C17949" s="2" t="n">
        <v>44465</v>
      </c>
      <c r="D17949" t="inlineStr">
        <is>
          <t>NIL</t>
        </is>
      </c>
      <c r="E17949" t="n">
        <v>437</v>
      </c>
    </row>
    <row r="17950">
      <c r="A17950" t="inlineStr">
        <is>
          <t>27BBBBB17950Z5</t>
        </is>
      </c>
      <c r="B17950" t="inlineStr">
        <is>
          <t>Dec-2022</t>
        </is>
      </c>
      <c r="C17950" s="2" t="n">
        <v>44614</v>
      </c>
      <c r="D17950" t="inlineStr">
        <is>
          <t>NON-NIL</t>
        </is>
      </c>
      <c r="E17950" t="n">
        <v>1894</v>
      </c>
    </row>
    <row r="17951">
      <c r="A17951" t="inlineStr">
        <is>
          <t>27BBBBB17951Z5</t>
        </is>
      </c>
      <c r="B17951" t="inlineStr">
        <is>
          <t>Aug-2018</t>
        </is>
      </c>
      <c r="C17951" s="2" t="n">
        <v>44226</v>
      </c>
      <c r="D17951" t="inlineStr">
        <is>
          <t>NON-NIL</t>
        </is>
      </c>
      <c r="E17951" t="n">
        <v>2114</v>
      </c>
    </row>
    <row r="17952">
      <c r="A17952" t="inlineStr">
        <is>
          <t>27BBBBB17952Z5</t>
        </is>
      </c>
      <c r="B17952" t="inlineStr">
        <is>
          <t>Mar-2023</t>
        </is>
      </c>
      <c r="C17952" s="2" t="n">
        <v>44660</v>
      </c>
      <c r="D17952" t="inlineStr">
        <is>
          <t>NON-NIL</t>
        </is>
      </c>
      <c r="E17952" t="n">
        <v>1061</v>
      </c>
    </row>
    <row r="17953">
      <c r="A17953" t="inlineStr">
        <is>
          <t>27BBBBB17953Z5</t>
        </is>
      </c>
      <c r="B17953" t="inlineStr">
        <is>
          <t>Dec-2022</t>
        </is>
      </c>
      <c r="C17953" s="2" t="n">
        <v>44185</v>
      </c>
      <c r="D17953" t="inlineStr">
        <is>
          <t>NON-NIL</t>
        </is>
      </c>
      <c r="E17953" t="n">
        <v>1917</v>
      </c>
    </row>
    <row r="17954">
      <c r="A17954" t="inlineStr">
        <is>
          <t>27BBBBB17954Z5</t>
        </is>
      </c>
      <c r="B17954" t="inlineStr">
        <is>
          <t>Nov-2017</t>
        </is>
      </c>
      <c r="C17954" s="2" t="n">
        <v>44369</v>
      </c>
      <c r="D17954" t="inlineStr">
        <is>
          <t>NIL</t>
        </is>
      </c>
      <c r="E17954" t="n">
        <v>337</v>
      </c>
    </row>
    <row r="17955">
      <c r="A17955" t="inlineStr">
        <is>
          <t>27BBBBB17955Z5</t>
        </is>
      </c>
      <c r="B17955" t="inlineStr">
        <is>
          <t>Mar-2018</t>
        </is>
      </c>
      <c r="C17955" s="2" t="n">
        <v>43469</v>
      </c>
      <c r="D17955" t="inlineStr">
        <is>
          <t>NON-NIL</t>
        </is>
      </c>
      <c r="E17955" t="n">
        <v>2799</v>
      </c>
    </row>
    <row r="17956">
      <c r="A17956" t="inlineStr">
        <is>
          <t>27BBBBB17956Z5</t>
        </is>
      </c>
      <c r="B17956" t="inlineStr">
        <is>
          <t>Jan-2018</t>
        </is>
      </c>
      <c r="C17956" s="2" t="n">
        <v>44021</v>
      </c>
      <c r="D17956" t="inlineStr">
        <is>
          <t>NON-NIL</t>
        </is>
      </c>
      <c r="E17956" t="n">
        <v>1250</v>
      </c>
    </row>
    <row r="17957">
      <c r="A17957" t="inlineStr">
        <is>
          <t>27BBBBB17957Z5</t>
        </is>
      </c>
      <c r="B17957" t="inlineStr">
        <is>
          <t>Oct-2018</t>
        </is>
      </c>
      <c r="C17957" s="2" t="n">
        <v>43608</v>
      </c>
      <c r="D17957" t="inlineStr">
        <is>
          <t>NIL</t>
        </is>
      </c>
      <c r="E17957" t="n">
        <v>1599</v>
      </c>
    </row>
    <row r="17958">
      <c r="A17958" t="inlineStr">
        <is>
          <t>27BBBBB17958Z5</t>
        </is>
      </c>
      <c r="B17958" t="inlineStr">
        <is>
          <t>Dec-2024</t>
        </is>
      </c>
      <c r="C17958" s="2" t="n">
        <v>44192</v>
      </c>
      <c r="D17958" t="inlineStr">
        <is>
          <t>NON-NIL</t>
        </is>
      </c>
      <c r="E17958" t="n">
        <v>1250</v>
      </c>
    </row>
    <row r="17959">
      <c r="A17959" t="inlineStr">
        <is>
          <t>27BBBBB17959Z5</t>
        </is>
      </c>
      <c r="B17959" t="inlineStr">
        <is>
          <t>Sep-2018</t>
        </is>
      </c>
      <c r="C17959" s="2" t="n">
        <v>44223</v>
      </c>
      <c r="D17959" t="inlineStr">
        <is>
          <t>NIL</t>
        </is>
      </c>
      <c r="E17959" t="n">
        <v>599</v>
      </c>
    </row>
    <row r="17960">
      <c r="A17960" t="inlineStr">
        <is>
          <t>27BBBBB17960Z5</t>
        </is>
      </c>
      <c r="B17960" t="inlineStr">
        <is>
          <t>Mar-2020</t>
        </is>
      </c>
      <c r="C17960" s="2" t="n">
        <v>44256</v>
      </c>
      <c r="D17960" t="inlineStr">
        <is>
          <t>NIL</t>
        </is>
      </c>
      <c r="E17960" t="n">
        <v>2197</v>
      </c>
    </row>
    <row r="17961">
      <c r="A17961" t="inlineStr">
        <is>
          <t>27BBBBB17961Z5</t>
        </is>
      </c>
      <c r="B17961" t="inlineStr">
        <is>
          <t>Apr-2020</t>
        </is>
      </c>
      <c r="C17961" s="2" t="n">
        <v>44034</v>
      </c>
      <c r="D17961" t="inlineStr">
        <is>
          <t>NON-NIL</t>
        </is>
      </c>
      <c r="E17961" t="n">
        <v>2406</v>
      </c>
    </row>
    <row r="17962">
      <c r="A17962" t="inlineStr">
        <is>
          <t>27BBBBB17962Z5</t>
        </is>
      </c>
      <c r="B17962" t="inlineStr">
        <is>
          <t>Jun-2018</t>
        </is>
      </c>
      <c r="C17962" s="2" t="n">
        <v>44330</v>
      </c>
      <c r="D17962" t="inlineStr">
        <is>
          <t>NIL</t>
        </is>
      </c>
      <c r="E17962" t="n">
        <v>2476</v>
      </c>
    </row>
    <row r="17963">
      <c r="A17963" t="inlineStr">
        <is>
          <t>27BBBBB17963Z5</t>
        </is>
      </c>
      <c r="B17963" t="inlineStr">
        <is>
          <t>Nov-2017</t>
        </is>
      </c>
      <c r="C17963" s="2" t="n">
        <v>43482</v>
      </c>
      <c r="D17963" t="inlineStr">
        <is>
          <t>NON-NIL</t>
        </is>
      </c>
      <c r="E17963" t="n">
        <v>415</v>
      </c>
    </row>
    <row r="17964">
      <c r="A17964" t="inlineStr">
        <is>
          <t>27BBBBB17964Z5</t>
        </is>
      </c>
      <c r="B17964" t="inlineStr">
        <is>
          <t>Mar-2020</t>
        </is>
      </c>
      <c r="C17964" s="2" t="n">
        <v>44639</v>
      </c>
      <c r="D17964" t="inlineStr">
        <is>
          <t>NIL</t>
        </is>
      </c>
      <c r="E17964" t="n">
        <v>2962</v>
      </c>
    </row>
    <row r="17965">
      <c r="A17965" t="inlineStr">
        <is>
          <t>27BBBBB17965Z5</t>
        </is>
      </c>
      <c r="B17965" t="inlineStr">
        <is>
          <t>Apr-2018</t>
        </is>
      </c>
      <c r="C17965" s="2" t="n">
        <v>43172</v>
      </c>
      <c r="D17965" t="inlineStr">
        <is>
          <t>NON-NIL</t>
        </is>
      </c>
      <c r="E17965" t="n">
        <v>1723</v>
      </c>
    </row>
    <row r="17966">
      <c r="A17966" t="inlineStr">
        <is>
          <t>27BBBBB17966Z5</t>
        </is>
      </c>
      <c r="B17966" t="inlineStr">
        <is>
          <t>Nov-2018</t>
        </is>
      </c>
      <c r="C17966" s="2" t="n">
        <v>44441</v>
      </c>
      <c r="D17966" t="inlineStr">
        <is>
          <t>NON-NIL</t>
        </is>
      </c>
      <c r="E17966" t="n">
        <v>438</v>
      </c>
    </row>
    <row r="17967">
      <c r="A17967" t="inlineStr">
        <is>
          <t>27BBBBB17967Z5</t>
        </is>
      </c>
      <c r="B17967" t="inlineStr">
        <is>
          <t>May-2018</t>
        </is>
      </c>
      <c r="C17967" s="2" t="n">
        <v>43051</v>
      </c>
      <c r="D17967" t="inlineStr">
        <is>
          <t>NON-NIL</t>
        </is>
      </c>
      <c r="E17967" t="n">
        <v>167</v>
      </c>
    </row>
    <row r="17968">
      <c r="A17968" t="inlineStr">
        <is>
          <t>27BBBBB17968Z5</t>
        </is>
      </c>
      <c r="B17968" t="inlineStr">
        <is>
          <t>Jul-2017</t>
        </is>
      </c>
      <c r="C17968" s="2" t="n">
        <v>42956</v>
      </c>
      <c r="D17968" t="inlineStr">
        <is>
          <t>NON-NIL</t>
        </is>
      </c>
      <c r="E17968" t="n">
        <v>2527</v>
      </c>
    </row>
    <row r="17969">
      <c r="A17969" t="inlineStr">
        <is>
          <t>27BBBBB17969Z5</t>
        </is>
      </c>
      <c r="B17969" t="inlineStr">
        <is>
          <t>Mar-2021</t>
        </is>
      </c>
      <c r="C17969" s="2" t="n">
        <v>45059</v>
      </c>
      <c r="D17969" t="inlineStr">
        <is>
          <t>NIL</t>
        </is>
      </c>
      <c r="E17969" t="n">
        <v>1751</v>
      </c>
    </row>
    <row r="17970">
      <c r="A17970" t="inlineStr">
        <is>
          <t>27BBBBB17970Z5</t>
        </is>
      </c>
      <c r="B17970" t="inlineStr">
        <is>
          <t>Nov-2018</t>
        </is>
      </c>
      <c r="C17970" s="2" t="n">
        <v>43618</v>
      </c>
      <c r="D17970" t="inlineStr">
        <is>
          <t>NON-NIL</t>
        </is>
      </c>
      <c r="E17970" t="n">
        <v>90</v>
      </c>
    </row>
    <row r="17971">
      <c r="A17971" t="inlineStr">
        <is>
          <t>27BBBBB17971Z5</t>
        </is>
      </c>
      <c r="B17971" t="inlineStr">
        <is>
          <t>Nov-2018</t>
        </is>
      </c>
      <c r="C17971" s="2" t="n">
        <v>44460</v>
      </c>
      <c r="D17971" t="inlineStr">
        <is>
          <t>NON-NIL</t>
        </is>
      </c>
      <c r="E17971" t="n">
        <v>1262</v>
      </c>
    </row>
    <row r="17972">
      <c r="A17972" t="inlineStr">
        <is>
          <t>27BBBBB17972Z5</t>
        </is>
      </c>
      <c r="B17972" t="inlineStr">
        <is>
          <t>Sep-2017</t>
        </is>
      </c>
      <c r="C17972" s="2" t="n">
        <v>44549</v>
      </c>
      <c r="D17972" t="inlineStr">
        <is>
          <t>NIL</t>
        </is>
      </c>
      <c r="E17972" t="n">
        <v>460</v>
      </c>
    </row>
    <row r="17973">
      <c r="A17973" t="inlineStr">
        <is>
          <t>27BBBBB17973Z5</t>
        </is>
      </c>
      <c r="B17973" t="inlineStr">
        <is>
          <t>Jan-2021</t>
        </is>
      </c>
      <c r="C17973" s="2" t="n">
        <v>45227</v>
      </c>
      <c r="D17973" t="inlineStr">
        <is>
          <t>NON-NIL</t>
        </is>
      </c>
      <c r="E17973" t="n">
        <v>685</v>
      </c>
    </row>
    <row r="17974">
      <c r="A17974" t="inlineStr">
        <is>
          <t>27BBBBB17974Z5</t>
        </is>
      </c>
      <c r="B17974" t="inlineStr">
        <is>
          <t>Mar-2023</t>
        </is>
      </c>
      <c r="C17974" s="2" t="n">
        <v>44113</v>
      </c>
      <c r="D17974" t="inlineStr">
        <is>
          <t>NIL</t>
        </is>
      </c>
      <c r="E17974" t="n">
        <v>376</v>
      </c>
    </row>
    <row r="17975">
      <c r="A17975" t="inlineStr">
        <is>
          <t>27BBBBB17975Z5</t>
        </is>
      </c>
      <c r="B17975" t="inlineStr">
        <is>
          <t>Aug-2018</t>
        </is>
      </c>
      <c r="C17975" s="2" t="n">
        <v>43804</v>
      </c>
      <c r="D17975" t="inlineStr">
        <is>
          <t>NON-NIL</t>
        </is>
      </c>
      <c r="E17975" t="n">
        <v>1186</v>
      </c>
    </row>
    <row r="17976">
      <c r="A17976" t="inlineStr">
        <is>
          <t>27BBBBB17976Z5</t>
        </is>
      </c>
      <c r="B17976" t="inlineStr">
        <is>
          <t>Nov-2018</t>
        </is>
      </c>
      <c r="C17976" s="2" t="n">
        <v>43873</v>
      </c>
      <c r="D17976" t="inlineStr">
        <is>
          <t>NON-NIL</t>
        </is>
      </c>
      <c r="E17976" t="n">
        <v>2785</v>
      </c>
    </row>
    <row r="17977">
      <c r="A17977" t="inlineStr">
        <is>
          <t>27BBBBB17977Z5</t>
        </is>
      </c>
      <c r="B17977" t="inlineStr">
        <is>
          <t>Mar-2018</t>
        </is>
      </c>
      <c r="C17977" s="2" t="n">
        <v>44198</v>
      </c>
      <c r="D17977" t="inlineStr">
        <is>
          <t>NON-NIL</t>
        </is>
      </c>
      <c r="E17977" t="n">
        <v>1400</v>
      </c>
    </row>
    <row r="17978">
      <c r="A17978" t="inlineStr">
        <is>
          <t>27BBBBB17978Z5</t>
        </is>
      </c>
      <c r="B17978" t="inlineStr">
        <is>
          <t>Dec-2022</t>
        </is>
      </c>
      <c r="C17978" s="2" t="n">
        <v>45685</v>
      </c>
      <c r="D17978" t="inlineStr">
        <is>
          <t>NIL</t>
        </is>
      </c>
      <c r="E17978" t="n">
        <v>2646</v>
      </c>
    </row>
    <row r="17979">
      <c r="A17979" t="inlineStr">
        <is>
          <t>27BBBBB17979Z5</t>
        </is>
      </c>
      <c r="B17979" t="inlineStr">
        <is>
          <t>Mar-2021</t>
        </is>
      </c>
      <c r="C17979" s="2" t="n">
        <v>44913</v>
      </c>
      <c r="D17979" t="inlineStr">
        <is>
          <t>NON-NIL</t>
        </is>
      </c>
      <c r="E17979" t="n">
        <v>1628</v>
      </c>
    </row>
    <row r="17980">
      <c r="A17980" t="inlineStr">
        <is>
          <t>27BBBBB17980Z5</t>
        </is>
      </c>
      <c r="B17980" t="inlineStr">
        <is>
          <t>Mar-2023</t>
        </is>
      </c>
      <c r="C17980" s="2" t="n">
        <v>45766</v>
      </c>
      <c r="D17980" t="inlineStr">
        <is>
          <t>NON-NIL</t>
        </is>
      </c>
      <c r="E17980" t="n">
        <v>2519</v>
      </c>
    </row>
    <row r="17981">
      <c r="A17981" t="inlineStr">
        <is>
          <t>27BBBBB17981Z5</t>
        </is>
      </c>
      <c r="B17981" t="inlineStr">
        <is>
          <t>Dec-2017</t>
        </is>
      </c>
      <c r="C17981" s="2" t="n">
        <v>43847</v>
      </c>
      <c r="D17981" t="inlineStr">
        <is>
          <t>NIL</t>
        </is>
      </c>
      <c r="E17981" t="n">
        <v>2998</v>
      </c>
    </row>
    <row r="17982">
      <c r="A17982" t="inlineStr">
        <is>
          <t>27BBBBB17982Z5</t>
        </is>
      </c>
      <c r="B17982" t="inlineStr">
        <is>
          <t>Jun-2018</t>
        </is>
      </c>
      <c r="C17982" s="2" t="n">
        <v>43704</v>
      </c>
      <c r="D17982" t="inlineStr">
        <is>
          <t>NIL</t>
        </is>
      </c>
      <c r="E17982" t="n">
        <v>647</v>
      </c>
    </row>
    <row r="17983">
      <c r="A17983" t="inlineStr">
        <is>
          <t>27BBBBB17983Z5</t>
        </is>
      </c>
      <c r="B17983" t="inlineStr">
        <is>
          <t>May-2018</t>
        </is>
      </c>
      <c r="C17983" s="2" t="n">
        <v>43527</v>
      </c>
      <c r="D17983" t="inlineStr">
        <is>
          <t>NON-NIL</t>
        </is>
      </c>
      <c r="E17983" t="n">
        <v>151</v>
      </c>
    </row>
    <row r="17984">
      <c r="A17984" t="inlineStr">
        <is>
          <t>27BBBBB17984Z5</t>
        </is>
      </c>
      <c r="B17984" t="inlineStr">
        <is>
          <t>Sep-2018</t>
        </is>
      </c>
      <c r="C17984" s="2" t="n">
        <v>44471</v>
      </c>
      <c r="D17984" t="inlineStr">
        <is>
          <t>NON-NIL</t>
        </is>
      </c>
      <c r="E17984" t="n">
        <v>2312</v>
      </c>
    </row>
    <row r="17985">
      <c r="A17985" t="inlineStr">
        <is>
          <t>27BBBBB17985Z5</t>
        </is>
      </c>
      <c r="B17985" t="inlineStr">
        <is>
          <t>Jul-2020</t>
        </is>
      </c>
      <c r="C17985" s="2" t="n">
        <v>44858</v>
      </c>
      <c r="D17985" t="inlineStr">
        <is>
          <t>NIL</t>
        </is>
      </c>
      <c r="E17985" t="n">
        <v>1320</v>
      </c>
    </row>
    <row r="17986">
      <c r="A17986" t="inlineStr">
        <is>
          <t>27BBBBB17986Z5</t>
        </is>
      </c>
      <c r="B17986" t="inlineStr">
        <is>
          <t>Nov-2017</t>
        </is>
      </c>
      <c r="C17986" s="2" t="n">
        <v>43572</v>
      </c>
      <c r="D17986" t="inlineStr">
        <is>
          <t>NON-NIL</t>
        </is>
      </c>
      <c r="E17986" t="n">
        <v>2181</v>
      </c>
    </row>
    <row r="17987">
      <c r="A17987" t="inlineStr">
        <is>
          <t>27BBBBB17987Z5</t>
        </is>
      </c>
      <c r="B17987" t="inlineStr">
        <is>
          <t>Mar-2020</t>
        </is>
      </c>
      <c r="C17987" s="2" t="n">
        <v>43851</v>
      </c>
      <c r="D17987" t="inlineStr">
        <is>
          <t>NON-NIL</t>
        </is>
      </c>
      <c r="E17987" t="n">
        <v>1721</v>
      </c>
    </row>
    <row r="17988">
      <c r="A17988" t="inlineStr">
        <is>
          <t>27BBBBB17988Z5</t>
        </is>
      </c>
      <c r="B17988" t="inlineStr">
        <is>
          <t>Jun-2020</t>
        </is>
      </c>
      <c r="C17988" s="2" t="n">
        <v>44179</v>
      </c>
      <c r="D17988" t="inlineStr">
        <is>
          <t>NON-NIL</t>
        </is>
      </c>
      <c r="E17988" t="n">
        <v>2340</v>
      </c>
    </row>
    <row r="17989">
      <c r="A17989" t="inlineStr">
        <is>
          <t>27BBBBB17989Z5</t>
        </is>
      </c>
      <c r="B17989" t="inlineStr">
        <is>
          <t>May-2020</t>
        </is>
      </c>
      <c r="C17989" s="2" t="n">
        <v>44507</v>
      </c>
      <c r="D17989" t="inlineStr">
        <is>
          <t>NIL</t>
        </is>
      </c>
      <c r="E17989" t="n">
        <v>2670</v>
      </c>
    </row>
    <row r="17990">
      <c r="A17990" t="inlineStr">
        <is>
          <t>27BBBBB17990Z5</t>
        </is>
      </c>
      <c r="B17990" t="inlineStr">
        <is>
          <t>Sep-2017</t>
        </is>
      </c>
      <c r="C17990" s="2" t="n">
        <v>44552</v>
      </c>
      <c r="D17990" t="inlineStr">
        <is>
          <t>NON-NIL</t>
        </is>
      </c>
      <c r="E17990" t="n">
        <v>844</v>
      </c>
    </row>
    <row r="17991">
      <c r="A17991" t="inlineStr">
        <is>
          <t>27BBBBB17991Z5</t>
        </is>
      </c>
      <c r="B17991" t="inlineStr">
        <is>
          <t>Aug-2017</t>
        </is>
      </c>
      <c r="C17991" s="2" t="n">
        <v>43952</v>
      </c>
      <c r="D17991" t="inlineStr">
        <is>
          <t>NON-NIL</t>
        </is>
      </c>
      <c r="E17991" t="n">
        <v>1581</v>
      </c>
    </row>
    <row r="17992">
      <c r="A17992" t="inlineStr">
        <is>
          <t>27BBBBB17992Z5</t>
        </is>
      </c>
      <c r="B17992" t="inlineStr">
        <is>
          <t>Mar-2020</t>
        </is>
      </c>
      <c r="C17992" s="2" t="n">
        <v>44289</v>
      </c>
      <c r="D17992" t="inlineStr">
        <is>
          <t>NON-NIL</t>
        </is>
      </c>
      <c r="E17992" t="n">
        <v>383</v>
      </c>
    </row>
    <row r="17993">
      <c r="A17993" t="inlineStr">
        <is>
          <t>27BBBBB17993Z5</t>
        </is>
      </c>
      <c r="B17993" t="inlineStr">
        <is>
          <t>Oct-2018</t>
        </is>
      </c>
      <c r="C17993" s="2" t="n">
        <v>43477</v>
      </c>
      <c r="D17993" t="inlineStr">
        <is>
          <t>NIL</t>
        </is>
      </c>
      <c r="E17993" t="n">
        <v>1897</v>
      </c>
    </row>
    <row r="17994">
      <c r="A17994" t="inlineStr">
        <is>
          <t>27BBBBB17994Z5</t>
        </is>
      </c>
      <c r="B17994" t="inlineStr">
        <is>
          <t>Mar-2020</t>
        </is>
      </c>
      <c r="C17994" s="2" t="n">
        <v>44835</v>
      </c>
      <c r="D17994" t="inlineStr">
        <is>
          <t>NIL</t>
        </is>
      </c>
      <c r="E17994" t="n">
        <v>1455</v>
      </c>
    </row>
    <row r="17995">
      <c r="A17995" t="inlineStr">
        <is>
          <t>27BBBBB17995Z5</t>
        </is>
      </c>
      <c r="B17995" t="inlineStr">
        <is>
          <t>Dec-2024</t>
        </is>
      </c>
      <c r="C17995" s="2" t="n">
        <v>43888</v>
      </c>
      <c r="D17995" t="inlineStr">
        <is>
          <t>NON-NIL</t>
        </is>
      </c>
      <c r="E17995" t="n">
        <v>2890</v>
      </c>
    </row>
    <row r="17996">
      <c r="A17996" t="inlineStr">
        <is>
          <t>27BBBBB17996Z5</t>
        </is>
      </c>
      <c r="B17996" t="inlineStr">
        <is>
          <t>Dec-2017</t>
        </is>
      </c>
      <c r="C17996" s="2" t="n">
        <v>43867</v>
      </c>
      <c r="D17996" t="inlineStr">
        <is>
          <t>NON-NIL</t>
        </is>
      </c>
      <c r="E17996" t="n">
        <v>725</v>
      </c>
    </row>
    <row r="17997">
      <c r="A17997" t="inlineStr">
        <is>
          <t>27BBBBB17997Z5</t>
        </is>
      </c>
      <c r="B17997" t="inlineStr">
        <is>
          <t>Mar-2020</t>
        </is>
      </c>
      <c r="C17997" s="2" t="n">
        <v>44019</v>
      </c>
      <c r="D17997" t="inlineStr">
        <is>
          <t>NON-NIL</t>
        </is>
      </c>
      <c r="E17997" t="n">
        <v>2208</v>
      </c>
    </row>
    <row r="17998">
      <c r="A17998" t="inlineStr">
        <is>
          <t>27BBBBB17998Z5</t>
        </is>
      </c>
      <c r="B17998" t="inlineStr">
        <is>
          <t>Mar-2021</t>
        </is>
      </c>
      <c r="C17998" s="2" t="n">
        <v>43747</v>
      </c>
      <c r="D17998" t="inlineStr">
        <is>
          <t>NON-NIL</t>
        </is>
      </c>
      <c r="E17998" t="n">
        <v>2027</v>
      </c>
    </row>
    <row r="17999">
      <c r="A17999" t="inlineStr">
        <is>
          <t>27BBBBB17999Z5</t>
        </is>
      </c>
      <c r="B17999" t="inlineStr">
        <is>
          <t>Apr-2018</t>
        </is>
      </c>
      <c r="C17999" s="2" t="n">
        <v>43569</v>
      </c>
      <c r="D17999" t="inlineStr">
        <is>
          <t>NON-NIL</t>
        </is>
      </c>
      <c r="E17999" t="n">
        <v>1010</v>
      </c>
    </row>
    <row r="18000">
      <c r="A18000" t="inlineStr">
        <is>
          <t>27BBBBB18000Z5</t>
        </is>
      </c>
      <c r="B18000" t="inlineStr">
        <is>
          <t>Oct-2018</t>
        </is>
      </c>
      <c r="C18000" s="2" t="n">
        <v>43442</v>
      </c>
      <c r="D18000" t="inlineStr">
        <is>
          <t>NON-NIL</t>
        </is>
      </c>
      <c r="E18000" t="n">
        <v>654</v>
      </c>
    </row>
    <row r="18001">
      <c r="A18001" t="inlineStr">
        <is>
          <t>27BBBBB18001Z5</t>
        </is>
      </c>
      <c r="B18001" t="inlineStr">
        <is>
          <t>Mar-2023</t>
        </is>
      </c>
      <c r="C18001" s="2" t="n">
        <v>45306</v>
      </c>
      <c r="D18001" t="inlineStr">
        <is>
          <t>NON-NIL</t>
        </is>
      </c>
      <c r="E18001" t="n">
        <v>293</v>
      </c>
    </row>
    <row r="18002">
      <c r="A18002" t="inlineStr">
        <is>
          <t>27BBBBB18002Z5</t>
        </is>
      </c>
      <c r="B18002" t="inlineStr">
        <is>
          <t>Jan-2018</t>
        </is>
      </c>
      <c r="C18002" s="2" t="n">
        <v>43138</v>
      </c>
      <c r="D18002" t="inlineStr">
        <is>
          <t>NIL</t>
        </is>
      </c>
      <c r="E18002" t="n">
        <v>388</v>
      </c>
    </row>
    <row r="18003">
      <c r="A18003" t="inlineStr">
        <is>
          <t>27BBBBB18003Z5</t>
        </is>
      </c>
      <c r="B18003" t="inlineStr">
        <is>
          <t>Dec-2022</t>
        </is>
      </c>
      <c r="C18003" s="2" t="n">
        <v>43515</v>
      </c>
      <c r="D18003" t="inlineStr">
        <is>
          <t>NIL</t>
        </is>
      </c>
      <c r="E18003" t="n">
        <v>225</v>
      </c>
    </row>
    <row r="18004">
      <c r="A18004" t="inlineStr">
        <is>
          <t>27BBBBB18004Z5</t>
        </is>
      </c>
      <c r="B18004" t="inlineStr">
        <is>
          <t>Jul-2017</t>
        </is>
      </c>
      <c r="C18004" s="2" t="n">
        <v>43885</v>
      </c>
      <c r="D18004" t="inlineStr">
        <is>
          <t>NIL</t>
        </is>
      </c>
      <c r="E18004" t="n">
        <v>1708</v>
      </c>
    </row>
    <row r="18005">
      <c r="A18005" t="inlineStr">
        <is>
          <t>27BBBBB18005Z5</t>
        </is>
      </c>
      <c r="B18005" t="inlineStr">
        <is>
          <t>Feb-2018</t>
        </is>
      </c>
      <c r="C18005" s="2" t="n">
        <v>43079</v>
      </c>
      <c r="D18005" t="inlineStr">
        <is>
          <t>NIL</t>
        </is>
      </c>
      <c r="E18005" t="n">
        <v>296</v>
      </c>
    </row>
    <row r="18006">
      <c r="A18006" t="inlineStr">
        <is>
          <t>27BBBBB18006Z5</t>
        </is>
      </c>
      <c r="B18006" t="inlineStr">
        <is>
          <t>Oct-2017</t>
        </is>
      </c>
      <c r="C18006" s="2" t="n">
        <v>43320</v>
      </c>
      <c r="D18006" t="inlineStr">
        <is>
          <t>NON-NIL</t>
        </is>
      </c>
      <c r="E18006" t="n">
        <v>1705</v>
      </c>
    </row>
    <row r="18007">
      <c r="A18007" t="inlineStr">
        <is>
          <t>27BBBBB18007Z5</t>
        </is>
      </c>
      <c r="B18007" t="inlineStr">
        <is>
          <t>Sep-2018</t>
        </is>
      </c>
      <c r="C18007" s="2" t="n">
        <v>43856</v>
      </c>
      <c r="D18007" t="inlineStr">
        <is>
          <t>NON-NIL</t>
        </is>
      </c>
      <c r="E18007" t="n">
        <v>256</v>
      </c>
    </row>
    <row r="18008">
      <c r="A18008" t="inlineStr">
        <is>
          <t>27BBBBB18008Z5</t>
        </is>
      </c>
      <c r="B18008" t="inlineStr">
        <is>
          <t>Sep-2017</t>
        </is>
      </c>
      <c r="C18008" s="2" t="n">
        <v>44385</v>
      </c>
      <c r="D18008" t="inlineStr">
        <is>
          <t>NIL</t>
        </is>
      </c>
      <c r="E18008" t="n">
        <v>921</v>
      </c>
    </row>
    <row r="18009">
      <c r="A18009" t="inlineStr">
        <is>
          <t>27BBBBB18009Z5</t>
        </is>
      </c>
      <c r="B18009" t="inlineStr">
        <is>
          <t>Jun-2020</t>
        </is>
      </c>
      <c r="C18009" s="2" t="n">
        <v>44102</v>
      </c>
      <c r="D18009" t="inlineStr">
        <is>
          <t>NIL</t>
        </is>
      </c>
      <c r="E18009" t="n">
        <v>1061</v>
      </c>
    </row>
    <row r="18010">
      <c r="A18010" t="inlineStr">
        <is>
          <t>27BBBBB18010Z5</t>
        </is>
      </c>
      <c r="B18010" t="inlineStr">
        <is>
          <t>Nov-2017</t>
        </is>
      </c>
      <c r="C18010" s="2" t="n">
        <v>44065</v>
      </c>
      <c r="D18010" t="inlineStr">
        <is>
          <t>NON-NIL</t>
        </is>
      </c>
      <c r="E18010" t="n">
        <v>37</v>
      </c>
    </row>
    <row r="18011">
      <c r="A18011" t="inlineStr">
        <is>
          <t>27BBBBB18011Z5</t>
        </is>
      </c>
      <c r="B18011" t="inlineStr">
        <is>
          <t>Feb-2018</t>
        </is>
      </c>
      <c r="C18011" s="2" t="n">
        <v>44088</v>
      </c>
      <c r="D18011" t="inlineStr">
        <is>
          <t>NON-NIL</t>
        </is>
      </c>
      <c r="E18011" t="n">
        <v>2685</v>
      </c>
    </row>
    <row r="18012">
      <c r="A18012" t="inlineStr">
        <is>
          <t>27BBBBB18012Z5</t>
        </is>
      </c>
      <c r="B18012" t="inlineStr">
        <is>
          <t>Mar-2023</t>
        </is>
      </c>
      <c r="C18012" s="2" t="n">
        <v>45004</v>
      </c>
      <c r="D18012" t="inlineStr">
        <is>
          <t>NIL</t>
        </is>
      </c>
      <c r="E18012" t="n">
        <v>957</v>
      </c>
    </row>
    <row r="18013">
      <c r="A18013" t="inlineStr">
        <is>
          <t>27BBBBB18013Z5</t>
        </is>
      </c>
      <c r="B18013" t="inlineStr">
        <is>
          <t>Nov-2017</t>
        </is>
      </c>
      <c r="C18013" s="2" t="n">
        <v>43733</v>
      </c>
      <c r="D18013" t="inlineStr">
        <is>
          <t>NON-NIL</t>
        </is>
      </c>
      <c r="E18013" t="n">
        <v>581</v>
      </c>
    </row>
    <row r="18014">
      <c r="A18014" t="inlineStr">
        <is>
          <t>27BBBBB18014Z5</t>
        </is>
      </c>
      <c r="B18014" t="inlineStr">
        <is>
          <t>Jul-2017</t>
        </is>
      </c>
      <c r="C18014" s="2" t="n">
        <v>43676</v>
      </c>
      <c r="D18014" t="inlineStr">
        <is>
          <t>NIL</t>
        </is>
      </c>
      <c r="E18014" t="n">
        <v>1501</v>
      </c>
    </row>
    <row r="18015">
      <c r="A18015" t="inlineStr">
        <is>
          <t>27BBBBB18015Z5</t>
        </is>
      </c>
      <c r="B18015" t="inlineStr">
        <is>
          <t>Jul-2018</t>
        </is>
      </c>
      <c r="C18015" s="2" t="n">
        <v>43230</v>
      </c>
      <c r="D18015" t="inlineStr">
        <is>
          <t>NIL</t>
        </is>
      </c>
      <c r="E18015" t="n">
        <v>2366</v>
      </c>
    </row>
    <row r="18016">
      <c r="A18016" t="inlineStr">
        <is>
          <t>27BBBBB18016Z5</t>
        </is>
      </c>
      <c r="B18016" t="inlineStr">
        <is>
          <t>Dec-2024</t>
        </is>
      </c>
      <c r="C18016" s="2" t="n">
        <v>45094</v>
      </c>
      <c r="D18016" t="inlineStr">
        <is>
          <t>NON-NIL</t>
        </is>
      </c>
      <c r="E18016" t="n">
        <v>328</v>
      </c>
    </row>
    <row r="18017">
      <c r="A18017" t="inlineStr">
        <is>
          <t>27BBBBB18017Z5</t>
        </is>
      </c>
      <c r="B18017" t="inlineStr">
        <is>
          <t>May-2018</t>
        </is>
      </c>
      <c r="C18017" s="2" t="n">
        <v>43401</v>
      </c>
      <c r="D18017" t="inlineStr">
        <is>
          <t>NON-NIL</t>
        </is>
      </c>
      <c r="E18017" t="n">
        <v>578</v>
      </c>
    </row>
    <row r="18018">
      <c r="A18018" t="inlineStr">
        <is>
          <t>27BBBBB18018Z5</t>
        </is>
      </c>
      <c r="B18018" t="inlineStr">
        <is>
          <t>Nov-2018</t>
        </is>
      </c>
      <c r="C18018" s="2" t="n">
        <v>43039</v>
      </c>
      <c r="D18018" t="inlineStr">
        <is>
          <t>NON-NIL</t>
        </is>
      </c>
      <c r="E18018" t="n">
        <v>2676</v>
      </c>
    </row>
    <row r="18019">
      <c r="A18019" t="inlineStr">
        <is>
          <t>27BBBBB18019Z5</t>
        </is>
      </c>
      <c r="B18019" t="inlineStr">
        <is>
          <t>Sep-2017</t>
        </is>
      </c>
      <c r="C18019" s="2" t="n">
        <v>43638</v>
      </c>
      <c r="D18019" t="inlineStr">
        <is>
          <t>NIL</t>
        </is>
      </c>
      <c r="E18019" t="n">
        <v>1576</v>
      </c>
    </row>
    <row r="18020">
      <c r="A18020" t="inlineStr">
        <is>
          <t>27BBBBB18020Z5</t>
        </is>
      </c>
      <c r="B18020" t="inlineStr">
        <is>
          <t>Dec-2018</t>
        </is>
      </c>
      <c r="C18020" s="2" t="n">
        <v>43782</v>
      </c>
      <c r="D18020" t="inlineStr">
        <is>
          <t>NON-NIL</t>
        </is>
      </c>
      <c r="E18020" t="n">
        <v>467</v>
      </c>
    </row>
    <row r="18021">
      <c r="A18021" t="inlineStr">
        <is>
          <t>27BBBBB18021Z5</t>
        </is>
      </c>
      <c r="B18021" t="inlineStr">
        <is>
          <t>Jun-2020</t>
        </is>
      </c>
      <c r="C18021" s="2" t="n">
        <v>44091</v>
      </c>
      <c r="D18021" t="inlineStr">
        <is>
          <t>NON-NIL</t>
        </is>
      </c>
      <c r="E18021" t="n">
        <v>2729</v>
      </c>
    </row>
    <row r="18022">
      <c r="A18022" t="inlineStr">
        <is>
          <t>27BBBBB18022Z5</t>
        </is>
      </c>
      <c r="B18022" t="inlineStr">
        <is>
          <t>Jun-2018</t>
        </is>
      </c>
      <c r="C18022" s="2" t="n">
        <v>44526</v>
      </c>
      <c r="D18022" t="inlineStr">
        <is>
          <t>NIL</t>
        </is>
      </c>
      <c r="E18022" t="n">
        <v>658</v>
      </c>
    </row>
    <row r="18023">
      <c r="A18023" t="inlineStr">
        <is>
          <t>27BBBBB18023Z5</t>
        </is>
      </c>
      <c r="B18023" t="inlineStr">
        <is>
          <t>Mar-2020</t>
        </is>
      </c>
      <c r="C18023" s="2" t="n">
        <v>44425</v>
      </c>
      <c r="D18023" t="inlineStr">
        <is>
          <t>NIL</t>
        </is>
      </c>
      <c r="E18023" t="n">
        <v>1695</v>
      </c>
    </row>
    <row r="18024">
      <c r="A18024" t="inlineStr">
        <is>
          <t>27BBBBB18024Z5</t>
        </is>
      </c>
      <c r="B18024" t="inlineStr">
        <is>
          <t>Nov-2017</t>
        </is>
      </c>
      <c r="C18024" s="2" t="n">
        <v>44456</v>
      </c>
      <c r="D18024" t="inlineStr">
        <is>
          <t>NIL</t>
        </is>
      </c>
      <c r="E18024" t="n">
        <v>1085</v>
      </c>
    </row>
    <row r="18025">
      <c r="A18025" t="inlineStr">
        <is>
          <t>27BBBBB18025Z5</t>
        </is>
      </c>
      <c r="B18025" t="inlineStr">
        <is>
          <t>Mar-2021</t>
        </is>
      </c>
      <c r="C18025" s="2" t="n">
        <v>43602</v>
      </c>
      <c r="D18025" t="inlineStr">
        <is>
          <t>NON-NIL</t>
        </is>
      </c>
      <c r="E18025" t="n">
        <v>617</v>
      </c>
    </row>
    <row r="18026">
      <c r="A18026" t="inlineStr">
        <is>
          <t>27BBBBB18026Z5</t>
        </is>
      </c>
      <c r="B18026" t="inlineStr">
        <is>
          <t>Jun-2018</t>
        </is>
      </c>
      <c r="C18026" s="2" t="n">
        <v>44375</v>
      </c>
      <c r="D18026" t="inlineStr">
        <is>
          <t>NIL</t>
        </is>
      </c>
      <c r="E18026" t="n">
        <v>1254</v>
      </c>
    </row>
    <row r="18027">
      <c r="A18027" t="inlineStr">
        <is>
          <t>27BBBBB18027Z5</t>
        </is>
      </c>
      <c r="B18027" t="inlineStr">
        <is>
          <t>Apr-2020</t>
        </is>
      </c>
      <c r="C18027" s="2" t="n">
        <v>44829</v>
      </c>
      <c r="D18027" t="inlineStr">
        <is>
          <t>NON-NIL</t>
        </is>
      </c>
      <c r="E18027" t="n">
        <v>1674</v>
      </c>
    </row>
    <row r="18028">
      <c r="A18028" t="inlineStr">
        <is>
          <t>27BBBBB18028Z5</t>
        </is>
      </c>
      <c r="B18028" t="inlineStr">
        <is>
          <t>Jan-2018</t>
        </is>
      </c>
      <c r="C18028" s="2" t="n">
        <v>44471</v>
      </c>
      <c r="D18028" t="inlineStr">
        <is>
          <t>NON-NIL</t>
        </is>
      </c>
      <c r="E18028" t="n">
        <v>2348</v>
      </c>
    </row>
    <row r="18029">
      <c r="A18029" t="inlineStr">
        <is>
          <t>27BBBBB18029Z5</t>
        </is>
      </c>
      <c r="B18029" t="inlineStr">
        <is>
          <t>Sep-2018</t>
        </is>
      </c>
      <c r="C18029" s="2" t="n">
        <v>43558</v>
      </c>
      <c r="D18029" t="inlineStr">
        <is>
          <t>NIL</t>
        </is>
      </c>
      <c r="E18029" t="n">
        <v>1344</v>
      </c>
    </row>
    <row r="18030">
      <c r="A18030" t="inlineStr">
        <is>
          <t>27BBBBB18030Z5</t>
        </is>
      </c>
      <c r="B18030" t="inlineStr">
        <is>
          <t>Feb-2018</t>
        </is>
      </c>
      <c r="C18030" s="2" t="n">
        <v>43853</v>
      </c>
      <c r="D18030" t="inlineStr">
        <is>
          <t>NON-NIL</t>
        </is>
      </c>
      <c r="E18030" t="n">
        <v>2324</v>
      </c>
    </row>
    <row r="18031">
      <c r="A18031" t="inlineStr">
        <is>
          <t>27BBBBB18031Z5</t>
        </is>
      </c>
      <c r="B18031" t="inlineStr">
        <is>
          <t>May-2018</t>
        </is>
      </c>
      <c r="C18031" s="2" t="n">
        <v>43174</v>
      </c>
      <c r="D18031" t="inlineStr">
        <is>
          <t>NON-NIL</t>
        </is>
      </c>
      <c r="E18031" t="n">
        <v>763</v>
      </c>
    </row>
    <row r="18032">
      <c r="A18032" t="inlineStr">
        <is>
          <t>27BBBBB18032Z5</t>
        </is>
      </c>
      <c r="B18032" t="inlineStr">
        <is>
          <t>Dec-2024</t>
        </is>
      </c>
      <c r="C18032" s="2" t="n">
        <v>44862</v>
      </c>
      <c r="D18032" t="inlineStr">
        <is>
          <t>NON-NIL</t>
        </is>
      </c>
      <c r="E18032" t="n">
        <v>52</v>
      </c>
    </row>
    <row r="18033">
      <c r="A18033" t="inlineStr">
        <is>
          <t>27BBBBB18033Z5</t>
        </is>
      </c>
      <c r="B18033" t="inlineStr">
        <is>
          <t>Nov-2018</t>
        </is>
      </c>
      <c r="C18033" s="2" t="n">
        <v>43966</v>
      </c>
      <c r="D18033" t="inlineStr">
        <is>
          <t>NON-NIL</t>
        </is>
      </c>
      <c r="E18033" t="n">
        <v>2001</v>
      </c>
    </row>
    <row r="18034">
      <c r="A18034" t="inlineStr">
        <is>
          <t>27BBBBB18034Z5</t>
        </is>
      </c>
      <c r="B18034" t="inlineStr">
        <is>
          <t>Jun-2020</t>
        </is>
      </c>
      <c r="C18034" s="2" t="n">
        <v>43836</v>
      </c>
      <c r="D18034" t="inlineStr">
        <is>
          <t>NON-NIL</t>
        </is>
      </c>
      <c r="E18034" t="n">
        <v>2660</v>
      </c>
    </row>
    <row r="18035">
      <c r="A18035" t="inlineStr">
        <is>
          <t>27BBBBB18035Z5</t>
        </is>
      </c>
      <c r="B18035" t="inlineStr">
        <is>
          <t>Sep-2017</t>
        </is>
      </c>
      <c r="C18035" s="2" t="n">
        <v>43142</v>
      </c>
      <c r="D18035" t="inlineStr">
        <is>
          <t>NON-NIL</t>
        </is>
      </c>
      <c r="E18035" t="n">
        <v>1613</v>
      </c>
    </row>
    <row r="18036">
      <c r="A18036" t="inlineStr">
        <is>
          <t>27BBBBB18036Z5</t>
        </is>
      </c>
      <c r="B18036" t="inlineStr">
        <is>
          <t>Jan-2018</t>
        </is>
      </c>
      <c r="C18036" s="2" t="n">
        <v>44538</v>
      </c>
      <c r="D18036" t="inlineStr">
        <is>
          <t>NIL</t>
        </is>
      </c>
      <c r="E18036" t="n">
        <v>1774</v>
      </c>
    </row>
    <row r="18037">
      <c r="A18037" t="inlineStr">
        <is>
          <t>27BBBBB18037Z5</t>
        </is>
      </c>
      <c r="B18037" t="inlineStr">
        <is>
          <t>Jan-2021</t>
        </is>
      </c>
      <c r="C18037" s="2" t="n">
        <v>45017</v>
      </c>
      <c r="D18037" t="inlineStr">
        <is>
          <t>NIL</t>
        </is>
      </c>
      <c r="E18037" t="n">
        <v>2264</v>
      </c>
    </row>
    <row r="18038">
      <c r="A18038" t="inlineStr">
        <is>
          <t>27BBBBB18038Z5</t>
        </is>
      </c>
      <c r="B18038" t="inlineStr">
        <is>
          <t>Jun-2020</t>
        </is>
      </c>
      <c r="C18038" s="2" t="n">
        <v>43963</v>
      </c>
      <c r="D18038" t="inlineStr">
        <is>
          <t>NON-NIL</t>
        </is>
      </c>
      <c r="E18038" t="n">
        <v>271</v>
      </c>
    </row>
    <row r="18039">
      <c r="A18039" t="inlineStr">
        <is>
          <t>27BBBBB18039Z5</t>
        </is>
      </c>
      <c r="B18039" t="inlineStr">
        <is>
          <t>May-2018</t>
        </is>
      </c>
      <c r="C18039" s="2" t="n">
        <v>44120</v>
      </c>
      <c r="D18039" t="inlineStr">
        <is>
          <t>NON-NIL</t>
        </is>
      </c>
      <c r="E18039" t="n">
        <v>1959</v>
      </c>
    </row>
    <row r="18040">
      <c r="A18040" t="inlineStr">
        <is>
          <t>27BBBBB18040Z5</t>
        </is>
      </c>
      <c r="B18040" t="inlineStr">
        <is>
          <t>Nov-2017</t>
        </is>
      </c>
      <c r="C18040" s="2" t="n">
        <v>44039</v>
      </c>
      <c r="D18040" t="inlineStr">
        <is>
          <t>NON-NIL</t>
        </is>
      </c>
      <c r="E18040" t="n">
        <v>366</v>
      </c>
    </row>
    <row r="18041">
      <c r="A18041" t="inlineStr">
        <is>
          <t>27BBBBB18041Z5</t>
        </is>
      </c>
      <c r="B18041" t="inlineStr">
        <is>
          <t>Dec-2017</t>
        </is>
      </c>
      <c r="C18041" s="2" t="n">
        <v>44084</v>
      </c>
      <c r="D18041" t="inlineStr">
        <is>
          <t>NON-NIL</t>
        </is>
      </c>
      <c r="E18041" t="n">
        <v>2114</v>
      </c>
    </row>
    <row r="18042">
      <c r="A18042" t="inlineStr">
        <is>
          <t>27BBBBB18042Z5</t>
        </is>
      </c>
      <c r="B18042" t="inlineStr">
        <is>
          <t>Jun-2018</t>
        </is>
      </c>
      <c r="C18042" s="2" t="n">
        <v>43598</v>
      </c>
      <c r="D18042" t="inlineStr">
        <is>
          <t>NIL</t>
        </is>
      </c>
      <c r="E18042" t="n">
        <v>81</v>
      </c>
    </row>
    <row r="18043">
      <c r="A18043" t="inlineStr">
        <is>
          <t>27BBBBB18043Z5</t>
        </is>
      </c>
      <c r="B18043" t="inlineStr">
        <is>
          <t>Jul-2017</t>
        </is>
      </c>
      <c r="C18043" s="2" t="n">
        <v>43064</v>
      </c>
      <c r="D18043" t="inlineStr">
        <is>
          <t>NIL</t>
        </is>
      </c>
      <c r="E18043" t="n">
        <v>1646</v>
      </c>
    </row>
    <row r="18044">
      <c r="A18044" t="inlineStr">
        <is>
          <t>27BBBBB18044Z5</t>
        </is>
      </c>
      <c r="B18044" t="inlineStr">
        <is>
          <t>Jan-2018</t>
        </is>
      </c>
      <c r="C18044" s="2" t="n">
        <v>43813</v>
      </c>
      <c r="D18044" t="inlineStr">
        <is>
          <t>NON-NIL</t>
        </is>
      </c>
      <c r="E18044" t="n">
        <v>114</v>
      </c>
    </row>
    <row r="18045">
      <c r="A18045" t="inlineStr">
        <is>
          <t>27BBBBB18045Z5</t>
        </is>
      </c>
      <c r="B18045" t="inlineStr">
        <is>
          <t>Aug-2017</t>
        </is>
      </c>
      <c r="C18045" s="2" t="n">
        <v>43609</v>
      </c>
      <c r="D18045" t="inlineStr">
        <is>
          <t>NON-NIL</t>
        </is>
      </c>
      <c r="E18045" t="n">
        <v>1505</v>
      </c>
    </row>
    <row r="18046">
      <c r="A18046" t="inlineStr">
        <is>
          <t>27BBBBB18046Z5</t>
        </is>
      </c>
      <c r="B18046" t="inlineStr">
        <is>
          <t>Jun-2018</t>
        </is>
      </c>
      <c r="C18046" s="2" t="n">
        <v>44480</v>
      </c>
      <c r="D18046" t="inlineStr">
        <is>
          <t>NIL</t>
        </is>
      </c>
      <c r="E18046" t="n">
        <v>1672</v>
      </c>
    </row>
    <row r="18047">
      <c r="A18047" t="inlineStr">
        <is>
          <t>27BBBBB18047Z5</t>
        </is>
      </c>
      <c r="B18047" t="inlineStr">
        <is>
          <t>Jul-2017</t>
        </is>
      </c>
      <c r="C18047" s="2" t="n">
        <v>44091</v>
      </c>
      <c r="D18047" t="inlineStr">
        <is>
          <t>NIL</t>
        </is>
      </c>
      <c r="E18047" t="n">
        <v>337</v>
      </c>
    </row>
    <row r="18048">
      <c r="A18048" t="inlineStr">
        <is>
          <t>27BBBBB18048Z5</t>
        </is>
      </c>
      <c r="B18048" t="inlineStr">
        <is>
          <t>Sep-2018</t>
        </is>
      </c>
      <c r="C18048" s="2" t="n">
        <v>44364</v>
      </c>
      <c r="D18048" t="inlineStr">
        <is>
          <t>NON-NIL</t>
        </is>
      </c>
      <c r="E18048" t="n">
        <v>2497</v>
      </c>
    </row>
    <row r="18049">
      <c r="A18049" t="inlineStr">
        <is>
          <t>27BBBBB18049Z5</t>
        </is>
      </c>
      <c r="B18049" t="inlineStr">
        <is>
          <t>Jan-2021</t>
        </is>
      </c>
      <c r="C18049" s="2" t="n">
        <v>44322</v>
      </c>
      <c r="D18049" t="inlineStr">
        <is>
          <t>NIL</t>
        </is>
      </c>
      <c r="E18049" t="n">
        <v>788</v>
      </c>
    </row>
    <row r="18050">
      <c r="A18050" t="inlineStr">
        <is>
          <t>27BBBBB18050Z5</t>
        </is>
      </c>
      <c r="B18050" t="inlineStr">
        <is>
          <t>Dec-2017</t>
        </is>
      </c>
      <c r="C18050" s="2" t="n">
        <v>44357</v>
      </c>
      <c r="D18050" t="inlineStr">
        <is>
          <t>NON-NIL</t>
        </is>
      </c>
      <c r="E18050" t="n">
        <v>386</v>
      </c>
    </row>
    <row r="18051">
      <c r="A18051" t="inlineStr">
        <is>
          <t>27BBBBB18051Z5</t>
        </is>
      </c>
      <c r="B18051" t="inlineStr">
        <is>
          <t>Jun-2018</t>
        </is>
      </c>
      <c r="C18051" s="2" t="n">
        <v>44159</v>
      </c>
      <c r="D18051" t="inlineStr">
        <is>
          <t>NON-NIL</t>
        </is>
      </c>
      <c r="E18051" t="n">
        <v>1451</v>
      </c>
    </row>
    <row r="18052">
      <c r="A18052" t="inlineStr">
        <is>
          <t>27BBBBB18052Z5</t>
        </is>
      </c>
      <c r="B18052" t="inlineStr">
        <is>
          <t>Mar-2018</t>
        </is>
      </c>
      <c r="C18052" s="2" t="n">
        <v>43905</v>
      </c>
      <c r="D18052" t="inlineStr">
        <is>
          <t>NIL</t>
        </is>
      </c>
      <c r="E18052" t="n">
        <v>1985</v>
      </c>
    </row>
    <row r="18053">
      <c r="A18053" t="inlineStr">
        <is>
          <t>27BBBBB18053Z5</t>
        </is>
      </c>
      <c r="B18053" t="inlineStr">
        <is>
          <t>May-2018</t>
        </is>
      </c>
      <c r="C18053" s="2" t="n">
        <v>44014</v>
      </c>
      <c r="D18053" t="inlineStr">
        <is>
          <t>NON-NIL</t>
        </is>
      </c>
      <c r="E18053" t="n">
        <v>2692</v>
      </c>
    </row>
    <row r="18054">
      <c r="A18054" t="inlineStr">
        <is>
          <t>27BBBBB18054Z5</t>
        </is>
      </c>
      <c r="B18054" t="inlineStr">
        <is>
          <t>Sep-2018</t>
        </is>
      </c>
      <c r="C18054" s="2" t="n">
        <v>43017</v>
      </c>
      <c r="D18054" t="inlineStr">
        <is>
          <t>NIL</t>
        </is>
      </c>
      <c r="E18054" t="n">
        <v>2369</v>
      </c>
    </row>
    <row r="18055">
      <c r="A18055" t="inlineStr">
        <is>
          <t>27BBBBB18055Z5</t>
        </is>
      </c>
      <c r="B18055" t="inlineStr">
        <is>
          <t>Mar-2021</t>
        </is>
      </c>
      <c r="C18055" s="2" t="n">
        <v>45470</v>
      </c>
      <c r="D18055" t="inlineStr">
        <is>
          <t>NIL</t>
        </is>
      </c>
      <c r="E18055" t="n">
        <v>378</v>
      </c>
    </row>
    <row r="18056">
      <c r="A18056" t="inlineStr">
        <is>
          <t>27BBBBB18056Z5</t>
        </is>
      </c>
      <c r="B18056" t="inlineStr">
        <is>
          <t>Aug-2017</t>
        </is>
      </c>
      <c r="C18056" s="2" t="n">
        <v>44102</v>
      </c>
      <c r="D18056" t="inlineStr">
        <is>
          <t>NIL</t>
        </is>
      </c>
      <c r="E18056" t="n">
        <v>2908</v>
      </c>
    </row>
    <row r="18057">
      <c r="A18057" t="inlineStr">
        <is>
          <t>27BBBBB18057Z5</t>
        </is>
      </c>
      <c r="B18057" t="inlineStr">
        <is>
          <t>Apr-2020</t>
        </is>
      </c>
      <c r="C18057" s="2" t="n">
        <v>43856</v>
      </c>
      <c r="D18057" t="inlineStr">
        <is>
          <t>NON-NIL</t>
        </is>
      </c>
      <c r="E18057" t="n">
        <v>822</v>
      </c>
    </row>
    <row r="18058">
      <c r="A18058" t="inlineStr">
        <is>
          <t>27BBBBB18058Z5</t>
        </is>
      </c>
      <c r="B18058" t="inlineStr">
        <is>
          <t>Feb-2018</t>
        </is>
      </c>
      <c r="C18058" s="2" t="n">
        <v>43938</v>
      </c>
      <c r="D18058" t="inlineStr">
        <is>
          <t>NIL</t>
        </is>
      </c>
      <c r="E18058" t="n">
        <v>1564</v>
      </c>
    </row>
    <row r="18059">
      <c r="A18059" t="inlineStr">
        <is>
          <t>27BBBBB18059Z5</t>
        </is>
      </c>
      <c r="B18059" t="inlineStr">
        <is>
          <t>Sep-2017</t>
        </is>
      </c>
      <c r="C18059" s="2" t="n">
        <v>44170</v>
      </c>
      <c r="D18059" t="inlineStr">
        <is>
          <t>NON-NIL</t>
        </is>
      </c>
      <c r="E18059" t="n">
        <v>2220</v>
      </c>
    </row>
    <row r="18060">
      <c r="A18060" t="inlineStr">
        <is>
          <t>27BBBBB18060Z5</t>
        </is>
      </c>
      <c r="B18060" t="inlineStr">
        <is>
          <t>Sep-2018</t>
        </is>
      </c>
      <c r="C18060" s="2" t="n">
        <v>43294</v>
      </c>
      <c r="D18060" t="inlineStr">
        <is>
          <t>NIL</t>
        </is>
      </c>
      <c r="E18060" t="n">
        <v>2639</v>
      </c>
    </row>
    <row r="18061">
      <c r="A18061" t="inlineStr">
        <is>
          <t>27BBBBB18061Z5</t>
        </is>
      </c>
      <c r="B18061" t="inlineStr">
        <is>
          <t>Oct-2017</t>
        </is>
      </c>
      <c r="C18061" s="2" t="n">
        <v>43851</v>
      </c>
      <c r="D18061" t="inlineStr">
        <is>
          <t>NON-NIL</t>
        </is>
      </c>
      <c r="E18061" t="n">
        <v>1986</v>
      </c>
    </row>
    <row r="18062">
      <c r="A18062" t="inlineStr">
        <is>
          <t>27BBBBB18062Z5</t>
        </is>
      </c>
      <c r="B18062" t="inlineStr">
        <is>
          <t>Oct-2018</t>
        </is>
      </c>
      <c r="C18062" s="2" t="n">
        <v>44187</v>
      </c>
      <c r="D18062" t="inlineStr">
        <is>
          <t>NIL</t>
        </is>
      </c>
      <c r="E18062" t="n">
        <v>2888</v>
      </c>
    </row>
    <row r="18063">
      <c r="A18063" t="inlineStr">
        <is>
          <t>27BBBBB18063Z5</t>
        </is>
      </c>
      <c r="B18063" t="inlineStr">
        <is>
          <t>Feb-2018</t>
        </is>
      </c>
      <c r="C18063" s="2" t="n">
        <v>43724</v>
      </c>
      <c r="D18063" t="inlineStr">
        <is>
          <t>NON-NIL</t>
        </is>
      </c>
      <c r="E18063" t="n">
        <v>1763</v>
      </c>
    </row>
    <row r="18064">
      <c r="A18064" t="inlineStr">
        <is>
          <t>27BBBBB18064Z5</t>
        </is>
      </c>
      <c r="B18064" t="inlineStr">
        <is>
          <t>Sep-2017</t>
        </is>
      </c>
      <c r="C18064" s="2" t="n">
        <v>43142</v>
      </c>
      <c r="D18064" t="inlineStr">
        <is>
          <t>NON-NIL</t>
        </is>
      </c>
      <c r="E18064" t="n">
        <v>2403</v>
      </c>
    </row>
    <row r="18065">
      <c r="A18065" t="inlineStr">
        <is>
          <t>27BBBBB18065Z5</t>
        </is>
      </c>
      <c r="B18065" t="inlineStr">
        <is>
          <t>Jul-2020</t>
        </is>
      </c>
      <c r="C18065" s="2" t="n">
        <v>44687</v>
      </c>
      <c r="D18065" t="inlineStr">
        <is>
          <t>NIL</t>
        </is>
      </c>
      <c r="E18065" t="n">
        <v>1668</v>
      </c>
    </row>
    <row r="18066">
      <c r="A18066" t="inlineStr">
        <is>
          <t>27BBBBB18066Z5</t>
        </is>
      </c>
      <c r="B18066" t="inlineStr">
        <is>
          <t>Jul-2020</t>
        </is>
      </c>
      <c r="C18066" s="2" t="n">
        <v>44736</v>
      </c>
      <c r="D18066" t="inlineStr">
        <is>
          <t>NON-NIL</t>
        </is>
      </c>
      <c r="E18066" t="n">
        <v>1541</v>
      </c>
    </row>
    <row r="18067">
      <c r="A18067" t="inlineStr">
        <is>
          <t>27BBBBB18067Z5</t>
        </is>
      </c>
      <c r="B18067" t="inlineStr">
        <is>
          <t>Oct-2018</t>
        </is>
      </c>
      <c r="C18067" s="2" t="n">
        <v>44330</v>
      </c>
      <c r="D18067" t="inlineStr">
        <is>
          <t>NIL</t>
        </is>
      </c>
      <c r="E18067" t="n">
        <v>1463</v>
      </c>
    </row>
    <row r="18068">
      <c r="A18068" t="inlineStr">
        <is>
          <t>27BBBBB18068Z5</t>
        </is>
      </c>
      <c r="B18068" t="inlineStr">
        <is>
          <t>Dec-2022</t>
        </is>
      </c>
      <c r="C18068" s="2" t="n">
        <v>45395</v>
      </c>
      <c r="D18068" t="inlineStr">
        <is>
          <t>NIL</t>
        </is>
      </c>
      <c r="E18068" t="n">
        <v>2125</v>
      </c>
    </row>
    <row r="18069">
      <c r="A18069" t="inlineStr">
        <is>
          <t>27BBBBB18069Z5</t>
        </is>
      </c>
      <c r="B18069" t="inlineStr">
        <is>
          <t>Sep-2018</t>
        </is>
      </c>
      <c r="C18069" s="2" t="n">
        <v>43162</v>
      </c>
      <c r="D18069" t="inlineStr">
        <is>
          <t>NIL</t>
        </is>
      </c>
      <c r="E18069" t="n">
        <v>186</v>
      </c>
    </row>
    <row r="18070">
      <c r="A18070" t="inlineStr">
        <is>
          <t>27BBBBB18070Z5</t>
        </is>
      </c>
      <c r="B18070" t="inlineStr">
        <is>
          <t>Oct-2017</t>
        </is>
      </c>
      <c r="C18070" s="2" t="n">
        <v>43821</v>
      </c>
      <c r="D18070" t="inlineStr">
        <is>
          <t>NIL</t>
        </is>
      </c>
      <c r="E18070" t="n">
        <v>1988</v>
      </c>
    </row>
    <row r="18071">
      <c r="A18071" t="inlineStr">
        <is>
          <t>27BBBBB18071Z5</t>
        </is>
      </c>
      <c r="B18071" t="inlineStr">
        <is>
          <t>May-2018</t>
        </is>
      </c>
      <c r="C18071" s="2" t="n">
        <v>44039</v>
      </c>
      <c r="D18071" t="inlineStr">
        <is>
          <t>NON-NIL</t>
        </is>
      </c>
      <c r="E18071" t="n">
        <v>1339</v>
      </c>
    </row>
    <row r="18072">
      <c r="A18072" t="inlineStr">
        <is>
          <t>27BBBBB18072Z5</t>
        </is>
      </c>
      <c r="B18072" t="inlineStr">
        <is>
          <t>Apr-2018</t>
        </is>
      </c>
      <c r="C18072" s="2" t="n">
        <v>43560</v>
      </c>
      <c r="D18072" t="inlineStr">
        <is>
          <t>NON-NIL</t>
        </is>
      </c>
      <c r="E18072" t="n">
        <v>348</v>
      </c>
    </row>
    <row r="18073">
      <c r="A18073" t="inlineStr">
        <is>
          <t>27BBBBB18073Z5</t>
        </is>
      </c>
      <c r="B18073" t="inlineStr">
        <is>
          <t>Jun-2020</t>
        </is>
      </c>
      <c r="C18073" s="2" t="n">
        <v>43928</v>
      </c>
      <c r="D18073" t="inlineStr">
        <is>
          <t>NIL</t>
        </is>
      </c>
      <c r="E18073" t="n">
        <v>691</v>
      </c>
    </row>
    <row r="18074">
      <c r="A18074" t="inlineStr">
        <is>
          <t>27BBBBB18074Z5</t>
        </is>
      </c>
      <c r="B18074" t="inlineStr">
        <is>
          <t>Oct-2018</t>
        </is>
      </c>
      <c r="C18074" s="2" t="n">
        <v>44143</v>
      </c>
      <c r="D18074" t="inlineStr">
        <is>
          <t>NIL</t>
        </is>
      </c>
      <c r="E18074" t="n">
        <v>1222</v>
      </c>
    </row>
    <row r="18075">
      <c r="A18075" t="inlineStr">
        <is>
          <t>27BBBBB18075Z5</t>
        </is>
      </c>
      <c r="B18075" t="inlineStr">
        <is>
          <t>Jul-2020</t>
        </is>
      </c>
      <c r="C18075" s="2" t="n">
        <v>44701</v>
      </c>
      <c r="D18075" t="inlineStr">
        <is>
          <t>NON-NIL</t>
        </is>
      </c>
      <c r="E18075" t="n">
        <v>1238</v>
      </c>
    </row>
    <row r="18076">
      <c r="A18076" t="inlineStr">
        <is>
          <t>27BBBBB18076Z5</t>
        </is>
      </c>
      <c r="B18076" t="inlineStr">
        <is>
          <t>Nov-2018</t>
        </is>
      </c>
      <c r="C18076" s="2" t="n">
        <v>44333</v>
      </c>
      <c r="D18076" t="inlineStr">
        <is>
          <t>NON-NIL</t>
        </is>
      </c>
      <c r="E18076" t="n">
        <v>470</v>
      </c>
    </row>
    <row r="18077">
      <c r="A18077" t="inlineStr">
        <is>
          <t>27BBBBB18077Z5</t>
        </is>
      </c>
      <c r="B18077" t="inlineStr">
        <is>
          <t>Dec-2018</t>
        </is>
      </c>
      <c r="C18077" s="2" t="n">
        <v>43961</v>
      </c>
      <c r="D18077" t="inlineStr">
        <is>
          <t>NON-NIL</t>
        </is>
      </c>
      <c r="E18077" t="n">
        <v>359</v>
      </c>
    </row>
    <row r="18078">
      <c r="A18078" t="inlineStr">
        <is>
          <t>27BBBBB18078Z5</t>
        </is>
      </c>
      <c r="B18078" t="inlineStr">
        <is>
          <t>Jan-2018</t>
        </is>
      </c>
      <c r="C18078" s="2" t="n">
        <v>43702</v>
      </c>
      <c r="D18078" t="inlineStr">
        <is>
          <t>NIL</t>
        </is>
      </c>
      <c r="E18078" t="n">
        <v>1724</v>
      </c>
    </row>
    <row r="18079">
      <c r="A18079" t="inlineStr">
        <is>
          <t>27BBBBB18079Z5</t>
        </is>
      </c>
      <c r="B18079" t="inlineStr">
        <is>
          <t>Dec-2017</t>
        </is>
      </c>
      <c r="C18079" s="2" t="n">
        <v>43076</v>
      </c>
      <c r="D18079" t="inlineStr">
        <is>
          <t>NIL</t>
        </is>
      </c>
      <c r="E18079" t="n">
        <v>2013</v>
      </c>
    </row>
    <row r="18080">
      <c r="A18080" t="inlineStr">
        <is>
          <t>27BBBBB18080Z5</t>
        </is>
      </c>
      <c r="B18080" t="inlineStr">
        <is>
          <t>Apr-2020</t>
        </is>
      </c>
      <c r="C18080" s="2" t="n">
        <v>44637</v>
      </c>
      <c r="D18080" t="inlineStr">
        <is>
          <t>NIL</t>
        </is>
      </c>
      <c r="E18080" t="n">
        <v>411</v>
      </c>
    </row>
    <row r="18081">
      <c r="A18081" t="inlineStr">
        <is>
          <t>27BBBBB18081Z5</t>
        </is>
      </c>
      <c r="B18081" t="inlineStr">
        <is>
          <t>Oct-2017</t>
        </is>
      </c>
      <c r="C18081" s="2" t="n">
        <v>43922</v>
      </c>
      <c r="D18081" t="inlineStr">
        <is>
          <t>NON-NIL</t>
        </is>
      </c>
      <c r="E18081" t="n">
        <v>812</v>
      </c>
    </row>
    <row r="18082">
      <c r="A18082" t="inlineStr">
        <is>
          <t>27BBBBB18082Z5</t>
        </is>
      </c>
      <c r="B18082" t="inlineStr">
        <is>
          <t>Mar-2023</t>
        </is>
      </c>
      <c r="C18082" s="2" t="n">
        <v>44755</v>
      </c>
      <c r="D18082" t="inlineStr">
        <is>
          <t>NON-NIL</t>
        </is>
      </c>
      <c r="E18082" t="n">
        <v>1420</v>
      </c>
    </row>
    <row r="18083">
      <c r="A18083" t="inlineStr">
        <is>
          <t>27BBBBB18083Z5</t>
        </is>
      </c>
      <c r="B18083" t="inlineStr">
        <is>
          <t>Dec-2022</t>
        </is>
      </c>
      <c r="C18083" s="2" t="n">
        <v>45192</v>
      </c>
      <c r="D18083" t="inlineStr">
        <is>
          <t>NIL</t>
        </is>
      </c>
      <c r="E18083" t="n">
        <v>1558</v>
      </c>
    </row>
    <row r="18084">
      <c r="A18084" t="inlineStr">
        <is>
          <t>27BBBBB18084Z5</t>
        </is>
      </c>
      <c r="B18084" t="inlineStr">
        <is>
          <t>Mar-2020</t>
        </is>
      </c>
      <c r="C18084" s="2" t="n">
        <v>44257</v>
      </c>
      <c r="D18084" t="inlineStr">
        <is>
          <t>NON-NIL</t>
        </is>
      </c>
      <c r="E18084" t="n">
        <v>1969</v>
      </c>
    </row>
    <row r="18085">
      <c r="A18085" t="inlineStr">
        <is>
          <t>27BBBBB18085Z5</t>
        </is>
      </c>
      <c r="B18085" t="inlineStr">
        <is>
          <t>Jul-2020</t>
        </is>
      </c>
      <c r="C18085" s="2" t="n">
        <v>44375</v>
      </c>
      <c r="D18085" t="inlineStr">
        <is>
          <t>NON-NIL</t>
        </is>
      </c>
      <c r="E18085" t="n">
        <v>203</v>
      </c>
    </row>
    <row r="18086">
      <c r="A18086" t="inlineStr">
        <is>
          <t>27BBBBB18086Z5</t>
        </is>
      </c>
      <c r="B18086" t="inlineStr">
        <is>
          <t>Jul-2020</t>
        </is>
      </c>
      <c r="C18086" s="2" t="n">
        <v>44228</v>
      </c>
      <c r="D18086" t="inlineStr">
        <is>
          <t>NIL</t>
        </is>
      </c>
      <c r="E18086" t="n">
        <v>998</v>
      </c>
    </row>
    <row r="18087">
      <c r="A18087" t="inlineStr">
        <is>
          <t>27BBBBB18087Z5</t>
        </is>
      </c>
      <c r="B18087" t="inlineStr">
        <is>
          <t>Aug-2018</t>
        </is>
      </c>
      <c r="C18087" s="2" t="n">
        <v>43845</v>
      </c>
      <c r="D18087" t="inlineStr">
        <is>
          <t>NIL</t>
        </is>
      </c>
      <c r="E18087" t="n">
        <v>692</v>
      </c>
    </row>
    <row r="18088">
      <c r="A18088" t="inlineStr">
        <is>
          <t>27BBBBB18088Z5</t>
        </is>
      </c>
      <c r="B18088" t="inlineStr">
        <is>
          <t>Jul-2018</t>
        </is>
      </c>
      <c r="C18088" s="2" t="n">
        <v>43125</v>
      </c>
      <c r="D18088" t="inlineStr">
        <is>
          <t>NIL</t>
        </is>
      </c>
      <c r="E18088" t="n">
        <v>2044</v>
      </c>
    </row>
    <row r="18089">
      <c r="A18089" t="inlineStr">
        <is>
          <t>27BBBBB18089Z5</t>
        </is>
      </c>
      <c r="B18089" t="inlineStr">
        <is>
          <t>Jul-2018</t>
        </is>
      </c>
      <c r="C18089" s="2" t="n">
        <v>43056</v>
      </c>
      <c r="D18089" t="inlineStr">
        <is>
          <t>NIL</t>
        </is>
      </c>
      <c r="E18089" t="n">
        <v>917</v>
      </c>
    </row>
    <row r="18090">
      <c r="A18090" t="inlineStr">
        <is>
          <t>27BBBBB18090Z5</t>
        </is>
      </c>
      <c r="B18090" t="inlineStr">
        <is>
          <t>May-2018</t>
        </is>
      </c>
      <c r="C18090" s="2" t="n">
        <v>43290</v>
      </c>
      <c r="D18090" t="inlineStr">
        <is>
          <t>NIL</t>
        </is>
      </c>
      <c r="E18090" t="n">
        <v>2565</v>
      </c>
    </row>
    <row r="18091">
      <c r="A18091" t="inlineStr">
        <is>
          <t>27BBBBB18091Z5</t>
        </is>
      </c>
      <c r="B18091" t="inlineStr">
        <is>
          <t>Jan-2018</t>
        </is>
      </c>
      <c r="C18091" s="2" t="n">
        <v>43083</v>
      </c>
      <c r="D18091" t="inlineStr">
        <is>
          <t>NIL</t>
        </is>
      </c>
      <c r="E18091" t="n">
        <v>2022</v>
      </c>
    </row>
    <row r="18092">
      <c r="A18092" t="inlineStr">
        <is>
          <t>27BBBBB18092Z5</t>
        </is>
      </c>
      <c r="B18092" t="inlineStr">
        <is>
          <t>Jul-2020</t>
        </is>
      </c>
      <c r="C18092" s="2" t="n">
        <v>44184</v>
      </c>
      <c r="D18092" t="inlineStr">
        <is>
          <t>NON-NIL</t>
        </is>
      </c>
      <c r="E18092" t="n">
        <v>2</v>
      </c>
    </row>
    <row r="18093">
      <c r="A18093" t="inlineStr">
        <is>
          <t>27BBBBB18093Z5</t>
        </is>
      </c>
      <c r="B18093" t="inlineStr">
        <is>
          <t>Oct-2017</t>
        </is>
      </c>
      <c r="C18093" s="2" t="n">
        <v>42983</v>
      </c>
      <c r="D18093" t="inlineStr">
        <is>
          <t>NIL</t>
        </is>
      </c>
      <c r="E18093" t="n">
        <v>2720</v>
      </c>
    </row>
    <row r="18094">
      <c r="A18094" t="inlineStr">
        <is>
          <t>27BBBBB18094Z5</t>
        </is>
      </c>
      <c r="B18094" t="inlineStr">
        <is>
          <t>Feb-2018</t>
        </is>
      </c>
      <c r="C18094" s="2" t="n">
        <v>43969</v>
      </c>
      <c r="D18094" t="inlineStr">
        <is>
          <t>NON-NIL</t>
        </is>
      </c>
      <c r="E18094" t="n">
        <v>2245</v>
      </c>
    </row>
    <row r="18095">
      <c r="A18095" t="inlineStr">
        <is>
          <t>27BBBBB18095Z5</t>
        </is>
      </c>
      <c r="B18095" t="inlineStr">
        <is>
          <t>Jul-2017</t>
        </is>
      </c>
      <c r="C18095" s="2" t="n">
        <v>43404</v>
      </c>
      <c r="D18095" t="inlineStr">
        <is>
          <t>NON-NIL</t>
        </is>
      </c>
      <c r="E18095" t="n">
        <v>803</v>
      </c>
    </row>
    <row r="18096">
      <c r="A18096" t="inlineStr">
        <is>
          <t>27BBBBB18096Z5</t>
        </is>
      </c>
      <c r="B18096" t="inlineStr">
        <is>
          <t>Jul-2018</t>
        </is>
      </c>
      <c r="C18096" s="2" t="n">
        <v>43052</v>
      </c>
      <c r="D18096" t="inlineStr">
        <is>
          <t>NIL</t>
        </is>
      </c>
      <c r="E18096" t="n">
        <v>324</v>
      </c>
    </row>
    <row r="18097">
      <c r="A18097" t="inlineStr">
        <is>
          <t>27BBBBB18097Z5</t>
        </is>
      </c>
      <c r="B18097" t="inlineStr">
        <is>
          <t>Dec-2018</t>
        </is>
      </c>
      <c r="C18097" s="2" t="n">
        <v>43018</v>
      </c>
      <c r="D18097" t="inlineStr">
        <is>
          <t>NIL</t>
        </is>
      </c>
      <c r="E18097" t="n">
        <v>2481</v>
      </c>
    </row>
    <row r="18098">
      <c r="A18098" t="inlineStr">
        <is>
          <t>27BBBBB18098Z5</t>
        </is>
      </c>
      <c r="B18098" t="inlineStr">
        <is>
          <t>Jul-2020</t>
        </is>
      </c>
      <c r="C18098" s="2" t="n">
        <v>44700</v>
      </c>
      <c r="D18098" t="inlineStr">
        <is>
          <t>NIL</t>
        </is>
      </c>
      <c r="E18098" t="n">
        <v>636</v>
      </c>
    </row>
    <row r="18099">
      <c r="A18099" t="inlineStr">
        <is>
          <t>27BBBBB18099Z5</t>
        </is>
      </c>
      <c r="B18099" t="inlineStr">
        <is>
          <t>Aug-2018</t>
        </is>
      </c>
      <c r="C18099" s="2" t="n">
        <v>42942</v>
      </c>
      <c r="D18099" t="inlineStr">
        <is>
          <t>NIL</t>
        </is>
      </c>
      <c r="E18099" t="n">
        <v>2874</v>
      </c>
    </row>
    <row r="18100">
      <c r="A18100" t="inlineStr">
        <is>
          <t>27BBBBB18100Z5</t>
        </is>
      </c>
      <c r="B18100" t="inlineStr">
        <is>
          <t>Mar-2020</t>
        </is>
      </c>
      <c r="C18100" s="2" t="n">
        <v>44524</v>
      </c>
      <c r="D18100" t="inlineStr">
        <is>
          <t>NON-NIL</t>
        </is>
      </c>
      <c r="E18100" t="n">
        <v>442</v>
      </c>
    </row>
    <row r="18101">
      <c r="A18101" t="inlineStr">
        <is>
          <t>27BBBBB18101Z5</t>
        </is>
      </c>
      <c r="B18101" t="inlineStr">
        <is>
          <t>Nov-2018</t>
        </is>
      </c>
      <c r="C18101" s="2" t="n">
        <v>43812</v>
      </c>
      <c r="D18101" t="inlineStr">
        <is>
          <t>NON-NIL</t>
        </is>
      </c>
      <c r="E18101" t="n">
        <v>1590</v>
      </c>
    </row>
    <row r="18102">
      <c r="A18102" t="inlineStr">
        <is>
          <t>27BBBBB18102Z5</t>
        </is>
      </c>
      <c r="B18102" t="inlineStr">
        <is>
          <t>Jul-2018</t>
        </is>
      </c>
      <c r="C18102" s="2" t="n">
        <v>43915</v>
      </c>
      <c r="D18102" t="inlineStr">
        <is>
          <t>NON-NIL</t>
        </is>
      </c>
      <c r="E18102" t="n">
        <v>2339</v>
      </c>
    </row>
    <row r="18103">
      <c r="A18103" t="inlineStr">
        <is>
          <t>27BBBBB18103Z5</t>
        </is>
      </c>
      <c r="B18103" t="inlineStr">
        <is>
          <t>May-2020</t>
        </is>
      </c>
      <c r="C18103" s="2" t="n">
        <v>44514</v>
      </c>
      <c r="D18103" t="inlineStr">
        <is>
          <t>NIL</t>
        </is>
      </c>
      <c r="E18103" t="n">
        <v>880</v>
      </c>
    </row>
    <row r="18104">
      <c r="A18104" t="inlineStr">
        <is>
          <t>27BBBBB18104Z5</t>
        </is>
      </c>
      <c r="B18104" t="inlineStr">
        <is>
          <t>Mar-2018</t>
        </is>
      </c>
      <c r="C18104" s="2" t="n">
        <v>44452</v>
      </c>
      <c r="D18104" t="inlineStr">
        <is>
          <t>NON-NIL</t>
        </is>
      </c>
      <c r="E18104" t="n">
        <v>2554</v>
      </c>
    </row>
    <row r="18105">
      <c r="A18105" t="inlineStr">
        <is>
          <t>27BBBBB18105Z5</t>
        </is>
      </c>
      <c r="B18105" t="inlineStr">
        <is>
          <t>Dec-2018</t>
        </is>
      </c>
      <c r="C18105" s="2" t="n">
        <v>43198</v>
      </c>
      <c r="D18105" t="inlineStr">
        <is>
          <t>NON-NIL</t>
        </is>
      </c>
      <c r="E18105" t="n">
        <v>2593</v>
      </c>
    </row>
    <row r="18106">
      <c r="A18106" t="inlineStr">
        <is>
          <t>27BBBBB18106Z5</t>
        </is>
      </c>
      <c r="B18106" t="inlineStr">
        <is>
          <t>Feb-2018</t>
        </is>
      </c>
      <c r="C18106" s="2" t="n">
        <v>43191</v>
      </c>
      <c r="D18106" t="inlineStr">
        <is>
          <t>NIL</t>
        </is>
      </c>
      <c r="E18106" t="n">
        <v>1876</v>
      </c>
    </row>
    <row r="18107">
      <c r="A18107" t="inlineStr">
        <is>
          <t>27BBBBB18107Z5</t>
        </is>
      </c>
      <c r="B18107" t="inlineStr">
        <is>
          <t>Sep-2018</t>
        </is>
      </c>
      <c r="C18107" s="2" t="n">
        <v>43779</v>
      </c>
      <c r="D18107" t="inlineStr">
        <is>
          <t>NIL</t>
        </is>
      </c>
      <c r="E18107" t="n">
        <v>675</v>
      </c>
    </row>
    <row r="18108">
      <c r="A18108" t="inlineStr">
        <is>
          <t>27BBBBB18108Z5</t>
        </is>
      </c>
      <c r="B18108" t="inlineStr">
        <is>
          <t>Jul-2020</t>
        </is>
      </c>
      <c r="C18108" s="2" t="n">
        <v>44662</v>
      </c>
      <c r="D18108" t="inlineStr">
        <is>
          <t>NON-NIL</t>
        </is>
      </c>
      <c r="E18108" t="n">
        <v>704</v>
      </c>
    </row>
    <row r="18109">
      <c r="A18109" t="inlineStr">
        <is>
          <t>27BBBBB18109Z5</t>
        </is>
      </c>
      <c r="B18109" t="inlineStr">
        <is>
          <t>Oct-2017</t>
        </is>
      </c>
      <c r="C18109" s="2" t="n">
        <v>44373</v>
      </c>
      <c r="D18109" t="inlineStr">
        <is>
          <t>NON-NIL</t>
        </is>
      </c>
      <c r="E18109" t="n">
        <v>1576</v>
      </c>
    </row>
    <row r="18110">
      <c r="A18110" t="inlineStr">
        <is>
          <t>27BBBBB18110Z5</t>
        </is>
      </c>
      <c r="B18110" t="inlineStr">
        <is>
          <t>Oct-2017</t>
        </is>
      </c>
      <c r="C18110" s="2" t="n">
        <v>44437</v>
      </c>
      <c r="D18110" t="inlineStr">
        <is>
          <t>NIL</t>
        </is>
      </c>
      <c r="E18110" t="n">
        <v>85</v>
      </c>
    </row>
    <row r="18111">
      <c r="A18111" t="inlineStr">
        <is>
          <t>27BBBBB18111Z5</t>
        </is>
      </c>
      <c r="B18111" t="inlineStr">
        <is>
          <t>Jul-2018</t>
        </is>
      </c>
      <c r="C18111" s="2" t="n">
        <v>44402</v>
      </c>
      <c r="D18111" t="inlineStr">
        <is>
          <t>NON-NIL</t>
        </is>
      </c>
      <c r="E18111" t="n">
        <v>39</v>
      </c>
    </row>
    <row r="18112">
      <c r="A18112" t="inlineStr">
        <is>
          <t>27BBBBB18112Z5</t>
        </is>
      </c>
      <c r="B18112" t="inlineStr">
        <is>
          <t>May-2020</t>
        </is>
      </c>
      <c r="C18112" s="2" t="n">
        <v>44198</v>
      </c>
      <c r="D18112" t="inlineStr">
        <is>
          <t>NON-NIL</t>
        </is>
      </c>
      <c r="E18112" t="n">
        <v>2904</v>
      </c>
    </row>
    <row r="18113">
      <c r="A18113" t="inlineStr">
        <is>
          <t>27BBBBB18113Z5</t>
        </is>
      </c>
      <c r="B18113" t="inlineStr">
        <is>
          <t>Sep-2018</t>
        </is>
      </c>
      <c r="C18113" s="2" t="n">
        <v>43261</v>
      </c>
      <c r="D18113" t="inlineStr">
        <is>
          <t>NON-NIL</t>
        </is>
      </c>
      <c r="E18113" t="n">
        <v>2500</v>
      </c>
    </row>
    <row r="18114">
      <c r="A18114" t="inlineStr">
        <is>
          <t>27BBBBB18114Z5</t>
        </is>
      </c>
      <c r="B18114" t="inlineStr">
        <is>
          <t>Aug-2018</t>
        </is>
      </c>
      <c r="C18114" s="2" t="n">
        <v>43861</v>
      </c>
      <c r="D18114" t="inlineStr">
        <is>
          <t>NON-NIL</t>
        </is>
      </c>
      <c r="E18114" t="n">
        <v>1173</v>
      </c>
    </row>
    <row r="18115">
      <c r="A18115" t="inlineStr">
        <is>
          <t>27BBBBB18115Z5</t>
        </is>
      </c>
      <c r="B18115" t="inlineStr">
        <is>
          <t>May-2018</t>
        </is>
      </c>
      <c r="C18115" s="2" t="n">
        <v>43776</v>
      </c>
      <c r="D18115" t="inlineStr">
        <is>
          <t>NON-NIL</t>
        </is>
      </c>
      <c r="E18115" t="n">
        <v>2759</v>
      </c>
    </row>
    <row r="18116">
      <c r="A18116" t="inlineStr">
        <is>
          <t>27BBBBB18116Z5</t>
        </is>
      </c>
      <c r="B18116" t="inlineStr">
        <is>
          <t>Nov-2018</t>
        </is>
      </c>
      <c r="C18116" s="2" t="n">
        <v>44525</v>
      </c>
      <c r="D18116" t="inlineStr">
        <is>
          <t>NON-NIL</t>
        </is>
      </c>
      <c r="E18116" t="n">
        <v>11</v>
      </c>
    </row>
    <row r="18117">
      <c r="A18117" t="inlineStr">
        <is>
          <t>27BBBBB18117Z5</t>
        </is>
      </c>
      <c r="B18117" t="inlineStr">
        <is>
          <t>Feb-2018</t>
        </is>
      </c>
      <c r="C18117" s="2" t="n">
        <v>44522</v>
      </c>
      <c r="D18117" t="inlineStr">
        <is>
          <t>NIL</t>
        </is>
      </c>
      <c r="E18117" t="n">
        <v>1421</v>
      </c>
    </row>
    <row r="18118">
      <c r="A18118" t="inlineStr">
        <is>
          <t>27BBBBB18118Z5</t>
        </is>
      </c>
      <c r="B18118" t="inlineStr">
        <is>
          <t>Aug-2018</t>
        </is>
      </c>
      <c r="C18118" s="2" t="n">
        <v>43329</v>
      </c>
      <c r="D18118" t="inlineStr">
        <is>
          <t>NON-NIL</t>
        </is>
      </c>
      <c r="E18118" t="n">
        <v>2257</v>
      </c>
    </row>
    <row r="18119">
      <c r="A18119" t="inlineStr">
        <is>
          <t>27BBBBB18119Z5</t>
        </is>
      </c>
      <c r="B18119" t="inlineStr">
        <is>
          <t>Jan-2018</t>
        </is>
      </c>
      <c r="C18119" s="2" t="n">
        <v>43826</v>
      </c>
      <c r="D18119" t="inlineStr">
        <is>
          <t>NON-NIL</t>
        </is>
      </c>
      <c r="E18119" t="n">
        <v>683</v>
      </c>
    </row>
    <row r="18120">
      <c r="A18120" t="inlineStr">
        <is>
          <t>27BBBBB18120Z5</t>
        </is>
      </c>
      <c r="B18120" t="inlineStr">
        <is>
          <t>Feb-2018</t>
        </is>
      </c>
      <c r="C18120" s="2" t="n">
        <v>43312</v>
      </c>
      <c r="D18120" t="inlineStr">
        <is>
          <t>NON-NIL</t>
        </is>
      </c>
      <c r="E18120" t="n">
        <v>2424</v>
      </c>
    </row>
    <row r="18121">
      <c r="A18121" t="inlineStr">
        <is>
          <t>27BBBBB18121Z5</t>
        </is>
      </c>
      <c r="B18121" t="inlineStr">
        <is>
          <t>Jul-2020</t>
        </is>
      </c>
      <c r="C18121" s="2" t="n">
        <v>44757</v>
      </c>
      <c r="D18121" t="inlineStr">
        <is>
          <t>NIL</t>
        </is>
      </c>
      <c r="E18121" t="n">
        <v>1830</v>
      </c>
    </row>
    <row r="18122">
      <c r="A18122" t="inlineStr">
        <is>
          <t>27BBBBB18122Z5</t>
        </is>
      </c>
      <c r="B18122" t="inlineStr">
        <is>
          <t>Mar-2023</t>
        </is>
      </c>
      <c r="C18122" s="2" t="n">
        <v>44618</v>
      </c>
      <c r="D18122" t="inlineStr">
        <is>
          <t>NON-NIL</t>
        </is>
      </c>
      <c r="E18122" t="n">
        <v>16</v>
      </c>
    </row>
    <row r="18123">
      <c r="A18123" t="inlineStr">
        <is>
          <t>27BBBBB18123Z5</t>
        </is>
      </c>
      <c r="B18123" t="inlineStr">
        <is>
          <t>Feb-2018</t>
        </is>
      </c>
      <c r="C18123" s="2" t="n">
        <v>43372</v>
      </c>
      <c r="D18123" t="inlineStr">
        <is>
          <t>NON-NIL</t>
        </is>
      </c>
      <c r="E18123" t="n">
        <v>2014</v>
      </c>
    </row>
    <row r="18124">
      <c r="A18124" t="inlineStr">
        <is>
          <t>27BBBBB18124Z5</t>
        </is>
      </c>
      <c r="B18124" t="inlineStr">
        <is>
          <t>Jul-2020</t>
        </is>
      </c>
      <c r="C18124" s="2" t="n">
        <v>43999</v>
      </c>
      <c r="D18124" t="inlineStr">
        <is>
          <t>NON-NIL</t>
        </is>
      </c>
      <c r="E18124" t="n">
        <v>1879</v>
      </c>
    </row>
    <row r="18125">
      <c r="A18125" t="inlineStr">
        <is>
          <t>27BBBBB18125Z5</t>
        </is>
      </c>
      <c r="B18125" t="inlineStr">
        <is>
          <t>Nov-2017</t>
        </is>
      </c>
      <c r="C18125" s="2" t="n">
        <v>43761</v>
      </c>
      <c r="D18125" t="inlineStr">
        <is>
          <t>NON-NIL</t>
        </is>
      </c>
      <c r="E18125" t="n">
        <v>2517</v>
      </c>
    </row>
    <row r="18126">
      <c r="A18126" t="inlineStr">
        <is>
          <t>27BBBBB18126Z5</t>
        </is>
      </c>
      <c r="B18126" t="inlineStr">
        <is>
          <t>Oct-2017</t>
        </is>
      </c>
      <c r="C18126" s="2" t="n">
        <v>43719</v>
      </c>
      <c r="D18126" t="inlineStr">
        <is>
          <t>NON-NIL</t>
        </is>
      </c>
      <c r="E18126" t="n">
        <v>1561</v>
      </c>
    </row>
    <row r="18127">
      <c r="A18127" t="inlineStr">
        <is>
          <t>27BBBBB18127Z5</t>
        </is>
      </c>
      <c r="B18127" t="inlineStr">
        <is>
          <t>Dec-2017</t>
        </is>
      </c>
      <c r="C18127" s="2" t="n">
        <v>43285</v>
      </c>
      <c r="D18127" t="inlineStr">
        <is>
          <t>NIL</t>
        </is>
      </c>
      <c r="E18127" t="n">
        <v>1395</v>
      </c>
    </row>
    <row r="18128">
      <c r="A18128" t="inlineStr">
        <is>
          <t>27BBBBB18128Z5</t>
        </is>
      </c>
      <c r="B18128" t="inlineStr">
        <is>
          <t>May-2020</t>
        </is>
      </c>
      <c r="C18128" s="2" t="n">
        <v>44690</v>
      </c>
      <c r="D18128" t="inlineStr">
        <is>
          <t>NIL</t>
        </is>
      </c>
      <c r="E18128" t="n">
        <v>1451</v>
      </c>
    </row>
    <row r="18129">
      <c r="A18129" t="inlineStr">
        <is>
          <t>27BBBBB18129Z5</t>
        </is>
      </c>
      <c r="B18129" t="inlineStr">
        <is>
          <t>Apr-2020</t>
        </is>
      </c>
      <c r="C18129" s="2" t="n">
        <v>44859</v>
      </c>
      <c r="D18129" t="inlineStr">
        <is>
          <t>NIL</t>
        </is>
      </c>
      <c r="E18129" t="n">
        <v>2627</v>
      </c>
    </row>
    <row r="18130">
      <c r="A18130" t="inlineStr">
        <is>
          <t>27BBBBB18130Z5</t>
        </is>
      </c>
      <c r="B18130" t="inlineStr">
        <is>
          <t>Mar-2023</t>
        </is>
      </c>
      <c r="C18130" s="2" t="n">
        <v>44371</v>
      </c>
      <c r="D18130" t="inlineStr">
        <is>
          <t>NON-NIL</t>
        </is>
      </c>
      <c r="E18130" t="n">
        <v>1503</v>
      </c>
    </row>
    <row r="18131">
      <c r="A18131" t="inlineStr">
        <is>
          <t>27BBBBB18131Z5</t>
        </is>
      </c>
      <c r="B18131" t="inlineStr">
        <is>
          <t>Mar-2021</t>
        </is>
      </c>
      <c r="C18131" s="2" t="n">
        <v>44066</v>
      </c>
      <c r="D18131" t="inlineStr">
        <is>
          <t>NIL</t>
        </is>
      </c>
      <c r="E18131" t="n">
        <v>235</v>
      </c>
    </row>
    <row r="18132">
      <c r="A18132" t="inlineStr">
        <is>
          <t>27BBBBB18132Z5</t>
        </is>
      </c>
      <c r="B18132" t="inlineStr">
        <is>
          <t>Jul-2020</t>
        </is>
      </c>
      <c r="C18132" s="2" t="n">
        <v>44307</v>
      </c>
      <c r="D18132" t="inlineStr">
        <is>
          <t>NIL</t>
        </is>
      </c>
      <c r="E18132" t="n">
        <v>315</v>
      </c>
    </row>
    <row r="18133">
      <c r="A18133" t="inlineStr">
        <is>
          <t>27BBBBB18133Z5</t>
        </is>
      </c>
      <c r="B18133" t="inlineStr">
        <is>
          <t>Oct-2017</t>
        </is>
      </c>
      <c r="C18133" s="2" t="n">
        <v>42968</v>
      </c>
      <c r="D18133" t="inlineStr">
        <is>
          <t>NIL</t>
        </is>
      </c>
      <c r="E18133" t="n">
        <v>1568</v>
      </c>
    </row>
    <row r="18134">
      <c r="A18134" t="inlineStr">
        <is>
          <t>27BBBBB18134Z5</t>
        </is>
      </c>
      <c r="B18134" t="inlineStr">
        <is>
          <t>Dec-2022</t>
        </is>
      </c>
      <c r="C18134" s="2" t="n">
        <v>44497</v>
      </c>
      <c r="D18134" t="inlineStr">
        <is>
          <t>NIL</t>
        </is>
      </c>
      <c r="E18134" t="n">
        <v>447</v>
      </c>
    </row>
    <row r="18135">
      <c r="A18135" t="inlineStr">
        <is>
          <t>27BBBBB18135Z5</t>
        </is>
      </c>
      <c r="B18135" t="inlineStr">
        <is>
          <t>Oct-2018</t>
        </is>
      </c>
      <c r="C18135" s="2" t="n">
        <v>44150</v>
      </c>
      <c r="D18135" t="inlineStr">
        <is>
          <t>NON-NIL</t>
        </is>
      </c>
      <c r="E18135" t="n">
        <v>2809</v>
      </c>
    </row>
    <row r="18136">
      <c r="A18136" t="inlineStr">
        <is>
          <t>27BBBBB18136Z5</t>
        </is>
      </c>
      <c r="B18136" t="inlineStr">
        <is>
          <t>Dec-2018</t>
        </is>
      </c>
      <c r="C18136" s="2" t="n">
        <v>44526</v>
      </c>
      <c r="D18136" t="inlineStr">
        <is>
          <t>NIL</t>
        </is>
      </c>
      <c r="E18136" t="n">
        <v>2936</v>
      </c>
    </row>
    <row r="18137">
      <c r="A18137" t="inlineStr">
        <is>
          <t>27BBBBB18137Z5</t>
        </is>
      </c>
      <c r="B18137" t="inlineStr">
        <is>
          <t>Mar-2021</t>
        </is>
      </c>
      <c r="C18137" s="2" t="n">
        <v>44891</v>
      </c>
      <c r="D18137" t="inlineStr">
        <is>
          <t>NIL</t>
        </is>
      </c>
      <c r="E18137" t="n">
        <v>736</v>
      </c>
    </row>
    <row r="18138">
      <c r="A18138" t="inlineStr">
        <is>
          <t>27BBBBB18138Z5</t>
        </is>
      </c>
      <c r="B18138" t="inlineStr">
        <is>
          <t>Dec-2017</t>
        </is>
      </c>
      <c r="C18138" s="2" t="n">
        <v>44490</v>
      </c>
      <c r="D18138" t="inlineStr">
        <is>
          <t>NIL</t>
        </is>
      </c>
      <c r="E18138" t="n">
        <v>465</v>
      </c>
    </row>
    <row r="18139">
      <c r="A18139" t="inlineStr">
        <is>
          <t>27BBBBB18139Z5</t>
        </is>
      </c>
      <c r="B18139" t="inlineStr">
        <is>
          <t>Dec-2024</t>
        </is>
      </c>
      <c r="C18139" s="2" t="n">
        <v>45654</v>
      </c>
      <c r="D18139" t="inlineStr">
        <is>
          <t>NON-NIL</t>
        </is>
      </c>
      <c r="E18139" t="n">
        <v>210</v>
      </c>
    </row>
    <row r="18140">
      <c r="A18140" t="inlineStr">
        <is>
          <t>27BBBBB18140Z5</t>
        </is>
      </c>
      <c r="B18140" t="inlineStr">
        <is>
          <t>Jul-2017</t>
        </is>
      </c>
      <c r="C18140" s="2" t="n">
        <v>43191</v>
      </c>
      <c r="D18140" t="inlineStr">
        <is>
          <t>NON-NIL</t>
        </is>
      </c>
      <c r="E18140" t="n">
        <v>603</v>
      </c>
    </row>
    <row r="18141">
      <c r="A18141" t="inlineStr">
        <is>
          <t>27BBBBB18141Z5</t>
        </is>
      </c>
      <c r="B18141" t="inlineStr">
        <is>
          <t>Aug-2017</t>
        </is>
      </c>
      <c r="C18141" s="2" t="n">
        <v>43928</v>
      </c>
      <c r="D18141" t="inlineStr">
        <is>
          <t>NON-NIL</t>
        </is>
      </c>
      <c r="E18141" t="n">
        <v>787</v>
      </c>
    </row>
    <row r="18142">
      <c r="A18142" t="inlineStr">
        <is>
          <t>27BBBBB18142Z5</t>
        </is>
      </c>
      <c r="B18142" t="inlineStr">
        <is>
          <t>Jan-2021</t>
        </is>
      </c>
      <c r="C18142" s="2" t="n">
        <v>44635</v>
      </c>
      <c r="D18142" t="inlineStr">
        <is>
          <t>NON-NIL</t>
        </is>
      </c>
      <c r="E18142" t="n">
        <v>1112</v>
      </c>
    </row>
    <row r="18143">
      <c r="A18143" t="inlineStr">
        <is>
          <t>27BBBBB18143Z5</t>
        </is>
      </c>
      <c r="B18143" t="inlineStr">
        <is>
          <t>Mar-2023</t>
        </is>
      </c>
      <c r="C18143" s="2" t="n">
        <v>45659</v>
      </c>
      <c r="D18143" t="inlineStr">
        <is>
          <t>NIL</t>
        </is>
      </c>
      <c r="E18143" t="n">
        <v>2064</v>
      </c>
    </row>
    <row r="18144">
      <c r="A18144" t="inlineStr">
        <is>
          <t>27BBBBB18144Z5</t>
        </is>
      </c>
      <c r="B18144" t="inlineStr">
        <is>
          <t>Jul-2018</t>
        </is>
      </c>
      <c r="C18144" s="2" t="n">
        <v>44408</v>
      </c>
      <c r="D18144" t="inlineStr">
        <is>
          <t>NON-NIL</t>
        </is>
      </c>
      <c r="E18144" t="n">
        <v>525</v>
      </c>
    </row>
    <row r="18145">
      <c r="A18145" t="inlineStr">
        <is>
          <t>27BBBBB18145Z5</t>
        </is>
      </c>
      <c r="B18145" t="inlineStr">
        <is>
          <t>Dec-2024</t>
        </is>
      </c>
      <c r="C18145" s="2" t="n">
        <v>44931</v>
      </c>
      <c r="D18145" t="inlineStr">
        <is>
          <t>NON-NIL</t>
        </is>
      </c>
      <c r="E18145" t="n">
        <v>881</v>
      </c>
    </row>
    <row r="18146">
      <c r="A18146" t="inlineStr">
        <is>
          <t>27BBBBB18146Z5</t>
        </is>
      </c>
      <c r="B18146" t="inlineStr">
        <is>
          <t>Sep-2018</t>
        </is>
      </c>
      <c r="C18146" s="2" t="n">
        <v>44366</v>
      </c>
      <c r="D18146" t="inlineStr">
        <is>
          <t>NON-NIL</t>
        </is>
      </c>
      <c r="E18146" t="n">
        <v>965</v>
      </c>
    </row>
    <row r="18147">
      <c r="A18147" t="inlineStr">
        <is>
          <t>27BBBBB18147Z5</t>
        </is>
      </c>
      <c r="B18147" t="inlineStr">
        <is>
          <t>Dec-2018</t>
        </is>
      </c>
      <c r="C18147" s="2" t="n">
        <v>44049</v>
      </c>
      <c r="D18147" t="inlineStr">
        <is>
          <t>NIL</t>
        </is>
      </c>
      <c r="E18147" t="n">
        <v>1454</v>
      </c>
    </row>
    <row r="18148">
      <c r="A18148" t="inlineStr">
        <is>
          <t>27BBBBB18148Z5</t>
        </is>
      </c>
      <c r="B18148" t="inlineStr">
        <is>
          <t>Dec-2017</t>
        </is>
      </c>
      <c r="C18148" s="2" t="n">
        <v>44046</v>
      </c>
      <c r="D18148" t="inlineStr">
        <is>
          <t>NON-NIL</t>
        </is>
      </c>
      <c r="E18148" t="n">
        <v>23</v>
      </c>
    </row>
    <row r="18149">
      <c r="A18149" t="inlineStr">
        <is>
          <t>27BBBBB18149Z5</t>
        </is>
      </c>
      <c r="B18149" t="inlineStr">
        <is>
          <t>Apr-2020</t>
        </is>
      </c>
      <c r="C18149" s="2" t="n">
        <v>44666</v>
      </c>
      <c r="D18149" t="inlineStr">
        <is>
          <t>NON-NIL</t>
        </is>
      </c>
      <c r="E18149" t="n">
        <v>1619</v>
      </c>
    </row>
    <row r="18150">
      <c r="A18150" t="inlineStr">
        <is>
          <t>27BBBBB18150Z5</t>
        </is>
      </c>
      <c r="B18150" t="inlineStr">
        <is>
          <t>Dec-2018</t>
        </is>
      </c>
      <c r="C18150" s="2" t="n">
        <v>43693</v>
      </c>
      <c r="D18150" t="inlineStr">
        <is>
          <t>NON-NIL</t>
        </is>
      </c>
      <c r="E18150" t="n">
        <v>464</v>
      </c>
    </row>
    <row r="18151">
      <c r="A18151" t="inlineStr">
        <is>
          <t>27BBBBB18151Z5</t>
        </is>
      </c>
      <c r="B18151" t="inlineStr">
        <is>
          <t>Dec-2018</t>
        </is>
      </c>
      <c r="C18151" s="2" t="n">
        <v>44193</v>
      </c>
      <c r="D18151" t="inlineStr">
        <is>
          <t>NIL</t>
        </is>
      </c>
      <c r="E18151" t="n">
        <v>515</v>
      </c>
    </row>
    <row r="18152">
      <c r="A18152" t="inlineStr">
        <is>
          <t>27BBBBB18152Z5</t>
        </is>
      </c>
      <c r="B18152" t="inlineStr">
        <is>
          <t>Mar-2021</t>
        </is>
      </c>
      <c r="C18152" s="2" t="n">
        <v>44651</v>
      </c>
      <c r="D18152" t="inlineStr">
        <is>
          <t>NON-NIL</t>
        </is>
      </c>
      <c r="E18152" t="n">
        <v>692</v>
      </c>
    </row>
    <row r="18153">
      <c r="A18153" t="inlineStr">
        <is>
          <t>27BBBBB18153Z5</t>
        </is>
      </c>
      <c r="B18153" t="inlineStr">
        <is>
          <t>Feb-2018</t>
        </is>
      </c>
      <c r="C18153" s="2" t="n">
        <v>43255</v>
      </c>
      <c r="D18153" t="inlineStr">
        <is>
          <t>NIL</t>
        </is>
      </c>
      <c r="E18153" t="n">
        <v>2121</v>
      </c>
    </row>
    <row r="18154">
      <c r="A18154" t="inlineStr">
        <is>
          <t>27BBBBB18154Z5</t>
        </is>
      </c>
      <c r="B18154" t="inlineStr">
        <is>
          <t>Dec-2018</t>
        </is>
      </c>
      <c r="C18154" s="2" t="n">
        <v>43838</v>
      </c>
      <c r="D18154" t="inlineStr">
        <is>
          <t>NON-NIL</t>
        </is>
      </c>
      <c r="E18154" t="n">
        <v>1730</v>
      </c>
    </row>
    <row r="18155">
      <c r="A18155" t="inlineStr">
        <is>
          <t>27BBBBB18155Z5</t>
        </is>
      </c>
      <c r="B18155" t="inlineStr">
        <is>
          <t>Mar-2020</t>
        </is>
      </c>
      <c r="C18155" s="2" t="n">
        <v>44310</v>
      </c>
      <c r="D18155" t="inlineStr">
        <is>
          <t>NIL</t>
        </is>
      </c>
      <c r="E18155" t="n">
        <v>1611</v>
      </c>
    </row>
    <row r="18156">
      <c r="A18156" t="inlineStr">
        <is>
          <t>27BBBBB18156Z5</t>
        </is>
      </c>
      <c r="B18156" t="inlineStr">
        <is>
          <t>Nov-2018</t>
        </is>
      </c>
      <c r="C18156" s="2" t="n">
        <v>43191</v>
      </c>
      <c r="D18156" t="inlineStr">
        <is>
          <t>NIL</t>
        </is>
      </c>
      <c r="E18156" t="n">
        <v>879</v>
      </c>
    </row>
    <row r="18157">
      <c r="A18157" t="inlineStr">
        <is>
          <t>27BBBBB18157Z5</t>
        </is>
      </c>
      <c r="B18157" t="inlineStr">
        <is>
          <t>Nov-2017</t>
        </is>
      </c>
      <c r="C18157" s="2" t="n">
        <v>43661</v>
      </c>
      <c r="D18157" t="inlineStr">
        <is>
          <t>NON-NIL</t>
        </is>
      </c>
      <c r="E18157" t="n">
        <v>307</v>
      </c>
    </row>
    <row r="18158">
      <c r="A18158" t="inlineStr">
        <is>
          <t>27BBBBB18158Z5</t>
        </is>
      </c>
      <c r="B18158" t="inlineStr">
        <is>
          <t>Dec-2024</t>
        </is>
      </c>
      <c r="C18158" s="2" t="n">
        <v>45330</v>
      </c>
      <c r="D18158" t="inlineStr">
        <is>
          <t>NIL</t>
        </is>
      </c>
      <c r="E18158" t="n">
        <v>2333</v>
      </c>
    </row>
    <row r="18159">
      <c r="A18159" t="inlineStr">
        <is>
          <t>27BBBBB18159Z5</t>
        </is>
      </c>
      <c r="B18159" t="inlineStr">
        <is>
          <t>Oct-2017</t>
        </is>
      </c>
      <c r="C18159" s="2" t="n">
        <v>43658</v>
      </c>
      <c r="D18159" t="inlineStr">
        <is>
          <t>NIL</t>
        </is>
      </c>
      <c r="E18159" t="n">
        <v>271</v>
      </c>
    </row>
    <row r="18160">
      <c r="A18160" t="inlineStr">
        <is>
          <t>27BBBBB18160Z5</t>
        </is>
      </c>
      <c r="B18160" t="inlineStr">
        <is>
          <t>Jul-2018</t>
        </is>
      </c>
      <c r="C18160" s="2" t="n">
        <v>43512</v>
      </c>
      <c r="D18160" t="inlineStr">
        <is>
          <t>NIL</t>
        </is>
      </c>
      <c r="E18160" t="n">
        <v>2967</v>
      </c>
    </row>
    <row r="18161">
      <c r="A18161" t="inlineStr">
        <is>
          <t>27BBBBB18161Z5</t>
        </is>
      </c>
      <c r="B18161" t="inlineStr">
        <is>
          <t>Sep-2018</t>
        </is>
      </c>
      <c r="C18161" s="2" t="n">
        <v>44022</v>
      </c>
      <c r="D18161" t="inlineStr">
        <is>
          <t>NIL</t>
        </is>
      </c>
      <c r="E18161" t="n">
        <v>2174</v>
      </c>
    </row>
    <row r="18162">
      <c r="A18162" t="inlineStr">
        <is>
          <t>27BBBBB18162Z5</t>
        </is>
      </c>
      <c r="B18162" t="inlineStr">
        <is>
          <t>Jun-2018</t>
        </is>
      </c>
      <c r="C18162" s="2" t="n">
        <v>42966</v>
      </c>
      <c r="D18162" t="inlineStr">
        <is>
          <t>NON-NIL</t>
        </is>
      </c>
      <c r="E18162" t="n">
        <v>2462</v>
      </c>
    </row>
    <row r="18163">
      <c r="A18163" t="inlineStr">
        <is>
          <t>27BBBBB18163Z5</t>
        </is>
      </c>
      <c r="B18163" t="inlineStr">
        <is>
          <t>Aug-2017</t>
        </is>
      </c>
      <c r="C18163" s="2" t="n">
        <v>44542</v>
      </c>
      <c r="D18163" t="inlineStr">
        <is>
          <t>NIL</t>
        </is>
      </c>
      <c r="E18163" t="n">
        <v>2171</v>
      </c>
    </row>
    <row r="18164">
      <c r="A18164" t="inlineStr">
        <is>
          <t>27BBBBB18164Z5</t>
        </is>
      </c>
      <c r="B18164" t="inlineStr">
        <is>
          <t>May-2020</t>
        </is>
      </c>
      <c r="C18164" s="2" t="n">
        <v>44358</v>
      </c>
      <c r="D18164" t="inlineStr">
        <is>
          <t>NIL</t>
        </is>
      </c>
      <c r="E18164" t="n">
        <v>1336</v>
      </c>
    </row>
    <row r="18165">
      <c r="A18165" t="inlineStr">
        <is>
          <t>27BBBBB18165Z5</t>
        </is>
      </c>
      <c r="B18165" t="inlineStr">
        <is>
          <t>Oct-2018</t>
        </is>
      </c>
      <c r="C18165" s="2" t="n">
        <v>43294</v>
      </c>
      <c r="D18165" t="inlineStr">
        <is>
          <t>NIL</t>
        </is>
      </c>
      <c r="E18165" t="n">
        <v>385</v>
      </c>
    </row>
    <row r="18166">
      <c r="A18166" t="inlineStr">
        <is>
          <t>27BBBBB18166Z5</t>
        </is>
      </c>
      <c r="B18166" t="inlineStr">
        <is>
          <t>Apr-2020</t>
        </is>
      </c>
      <c r="C18166" s="2" t="n">
        <v>44693</v>
      </c>
      <c r="D18166" t="inlineStr">
        <is>
          <t>NIL</t>
        </is>
      </c>
      <c r="E18166" t="n">
        <v>2283</v>
      </c>
    </row>
    <row r="18167">
      <c r="A18167" t="inlineStr">
        <is>
          <t>27BBBBB18167Z5</t>
        </is>
      </c>
      <c r="B18167" t="inlineStr">
        <is>
          <t>Oct-2017</t>
        </is>
      </c>
      <c r="C18167" s="2" t="n">
        <v>44292</v>
      </c>
      <c r="D18167" t="inlineStr">
        <is>
          <t>NIL</t>
        </is>
      </c>
      <c r="E18167" t="n">
        <v>689</v>
      </c>
    </row>
    <row r="18168">
      <c r="A18168" t="inlineStr">
        <is>
          <t>27BBBBB18168Z5</t>
        </is>
      </c>
      <c r="B18168" t="inlineStr">
        <is>
          <t>Oct-2017</t>
        </is>
      </c>
      <c r="C18168" s="2" t="n">
        <v>42966</v>
      </c>
      <c r="D18168" t="inlineStr">
        <is>
          <t>NIL</t>
        </is>
      </c>
      <c r="E18168" t="n">
        <v>1412</v>
      </c>
    </row>
    <row r="18169">
      <c r="A18169" t="inlineStr">
        <is>
          <t>27BBBBB18169Z5</t>
        </is>
      </c>
      <c r="B18169" t="inlineStr">
        <is>
          <t>Sep-2017</t>
        </is>
      </c>
      <c r="C18169" s="2" t="n">
        <v>43985</v>
      </c>
      <c r="D18169" t="inlineStr">
        <is>
          <t>NON-NIL</t>
        </is>
      </c>
      <c r="E18169" t="n">
        <v>2122</v>
      </c>
    </row>
    <row r="18170">
      <c r="A18170" t="inlineStr">
        <is>
          <t>27BBBBB18170Z5</t>
        </is>
      </c>
      <c r="B18170" t="inlineStr">
        <is>
          <t>Dec-2017</t>
        </is>
      </c>
      <c r="C18170" s="2" t="n">
        <v>44528</v>
      </c>
      <c r="D18170" t="inlineStr">
        <is>
          <t>NIL</t>
        </is>
      </c>
      <c r="E18170" t="n">
        <v>1951</v>
      </c>
    </row>
    <row r="18171">
      <c r="A18171" t="inlineStr">
        <is>
          <t>27BBBBB18171Z5</t>
        </is>
      </c>
      <c r="B18171" t="inlineStr">
        <is>
          <t>Apr-2020</t>
        </is>
      </c>
      <c r="C18171" s="2" t="n">
        <v>44036</v>
      </c>
      <c r="D18171" t="inlineStr">
        <is>
          <t>NON-NIL</t>
        </is>
      </c>
      <c r="E18171" t="n">
        <v>2293</v>
      </c>
    </row>
    <row r="18172">
      <c r="A18172" t="inlineStr">
        <is>
          <t>27BBBBB18172Z5</t>
        </is>
      </c>
      <c r="B18172" t="inlineStr">
        <is>
          <t>Mar-2018</t>
        </is>
      </c>
      <c r="C18172" s="2" t="n">
        <v>43798</v>
      </c>
      <c r="D18172" t="inlineStr">
        <is>
          <t>NON-NIL</t>
        </is>
      </c>
      <c r="E18172" t="n">
        <v>2120</v>
      </c>
    </row>
    <row r="18173">
      <c r="A18173" t="inlineStr">
        <is>
          <t>27BBBBB18173Z5</t>
        </is>
      </c>
      <c r="B18173" t="inlineStr">
        <is>
          <t>Mar-2018</t>
        </is>
      </c>
      <c r="C18173" s="2" t="n">
        <v>43285</v>
      </c>
      <c r="D18173" t="inlineStr">
        <is>
          <t>NON-NIL</t>
        </is>
      </c>
      <c r="E18173" t="n">
        <v>651</v>
      </c>
    </row>
    <row r="18174">
      <c r="A18174" t="inlineStr">
        <is>
          <t>27BBBBB18174Z5</t>
        </is>
      </c>
      <c r="B18174" t="inlineStr">
        <is>
          <t>Sep-2017</t>
        </is>
      </c>
      <c r="C18174" s="2" t="n">
        <v>44212</v>
      </c>
      <c r="D18174" t="inlineStr">
        <is>
          <t>NON-NIL</t>
        </is>
      </c>
      <c r="E18174" t="n">
        <v>2621</v>
      </c>
    </row>
    <row r="18175">
      <c r="A18175" t="inlineStr">
        <is>
          <t>27BBBBB18175Z5</t>
        </is>
      </c>
      <c r="B18175" t="inlineStr">
        <is>
          <t>Apr-2020</t>
        </is>
      </c>
      <c r="C18175" s="2" t="n">
        <v>44869</v>
      </c>
      <c r="D18175" t="inlineStr">
        <is>
          <t>NIL</t>
        </is>
      </c>
      <c r="E18175" t="n">
        <v>1400</v>
      </c>
    </row>
    <row r="18176">
      <c r="A18176" t="inlineStr">
        <is>
          <t>27BBBBB18176Z5</t>
        </is>
      </c>
      <c r="B18176" t="inlineStr">
        <is>
          <t>Dec-2024</t>
        </is>
      </c>
      <c r="C18176" s="2" t="n">
        <v>43647</v>
      </c>
      <c r="D18176" t="inlineStr">
        <is>
          <t>NON-NIL</t>
        </is>
      </c>
      <c r="E18176" t="n">
        <v>1357</v>
      </c>
    </row>
    <row r="18177">
      <c r="A18177" t="inlineStr">
        <is>
          <t>27BBBBB18177Z5</t>
        </is>
      </c>
      <c r="B18177" t="inlineStr">
        <is>
          <t>Feb-2018</t>
        </is>
      </c>
      <c r="C18177" s="2" t="n">
        <v>43260</v>
      </c>
      <c r="D18177" t="inlineStr">
        <is>
          <t>NIL</t>
        </is>
      </c>
      <c r="E18177" t="n">
        <v>2733</v>
      </c>
    </row>
    <row r="18178">
      <c r="A18178" t="inlineStr">
        <is>
          <t>27BBBBB18178Z5</t>
        </is>
      </c>
      <c r="B18178" t="inlineStr">
        <is>
          <t>Mar-2021</t>
        </is>
      </c>
      <c r="C18178" s="2" t="n">
        <v>45650</v>
      </c>
      <c r="D18178" t="inlineStr">
        <is>
          <t>NIL</t>
        </is>
      </c>
      <c r="E18178" t="n">
        <v>1282</v>
      </c>
    </row>
    <row r="18179">
      <c r="A18179" t="inlineStr">
        <is>
          <t>27BBBBB18179Z5</t>
        </is>
      </c>
      <c r="B18179" t="inlineStr">
        <is>
          <t>Mar-2023</t>
        </is>
      </c>
      <c r="C18179" s="2" t="n">
        <v>44375</v>
      </c>
      <c r="D18179" t="inlineStr">
        <is>
          <t>NON-NIL</t>
        </is>
      </c>
      <c r="E18179" t="n">
        <v>851</v>
      </c>
    </row>
    <row r="18180">
      <c r="A18180" t="inlineStr">
        <is>
          <t>27BBBBB18180Z5</t>
        </is>
      </c>
      <c r="B18180" t="inlineStr">
        <is>
          <t>Mar-2018</t>
        </is>
      </c>
      <c r="C18180" s="2" t="n">
        <v>43016</v>
      </c>
      <c r="D18180" t="inlineStr">
        <is>
          <t>NIL</t>
        </is>
      </c>
      <c r="E18180" t="n">
        <v>2694</v>
      </c>
    </row>
    <row r="18181">
      <c r="A18181" t="inlineStr">
        <is>
          <t>27BBBBB18181Z5</t>
        </is>
      </c>
      <c r="B18181" t="inlineStr">
        <is>
          <t>Dec-2024</t>
        </is>
      </c>
      <c r="C18181" s="2" t="n">
        <v>44275</v>
      </c>
      <c r="D18181" t="inlineStr">
        <is>
          <t>NIL</t>
        </is>
      </c>
      <c r="E18181" t="n">
        <v>1464</v>
      </c>
    </row>
    <row r="18182">
      <c r="A18182" t="inlineStr">
        <is>
          <t>27BBBBB18182Z5</t>
        </is>
      </c>
      <c r="B18182" t="inlineStr">
        <is>
          <t>Sep-2018</t>
        </is>
      </c>
      <c r="C18182" s="2" t="n">
        <v>43495</v>
      </c>
      <c r="D18182" t="inlineStr">
        <is>
          <t>NON-NIL</t>
        </is>
      </c>
      <c r="E18182" t="n">
        <v>1349</v>
      </c>
    </row>
    <row r="18183">
      <c r="A18183" t="inlineStr">
        <is>
          <t>27BBBBB18183Z5</t>
        </is>
      </c>
      <c r="B18183" t="inlineStr">
        <is>
          <t>Jan-2018</t>
        </is>
      </c>
      <c r="C18183" s="2" t="n">
        <v>43774</v>
      </c>
      <c r="D18183" t="inlineStr">
        <is>
          <t>NON-NIL</t>
        </is>
      </c>
      <c r="E18183" t="n">
        <v>653</v>
      </c>
    </row>
    <row r="18184">
      <c r="A18184" t="inlineStr">
        <is>
          <t>27BBBBB18184Z5</t>
        </is>
      </c>
      <c r="B18184" t="inlineStr">
        <is>
          <t>Jul-2020</t>
        </is>
      </c>
      <c r="C18184" s="2" t="n">
        <v>43927</v>
      </c>
      <c r="D18184" t="inlineStr">
        <is>
          <t>NON-NIL</t>
        </is>
      </c>
      <c r="E18184" t="n">
        <v>1006</v>
      </c>
    </row>
    <row r="18185">
      <c r="A18185" t="inlineStr">
        <is>
          <t>27BBBBB18185Z5</t>
        </is>
      </c>
      <c r="B18185" t="inlineStr">
        <is>
          <t>Mar-2020</t>
        </is>
      </c>
      <c r="C18185" s="2" t="n">
        <v>43907</v>
      </c>
      <c r="D18185" t="inlineStr">
        <is>
          <t>NON-NIL</t>
        </is>
      </c>
      <c r="E18185" t="n">
        <v>188</v>
      </c>
    </row>
    <row r="18186">
      <c r="A18186" t="inlineStr">
        <is>
          <t>27BBBBB18186Z5</t>
        </is>
      </c>
      <c r="B18186" t="inlineStr">
        <is>
          <t>Mar-2018</t>
        </is>
      </c>
      <c r="C18186" s="2" t="n">
        <v>44277</v>
      </c>
      <c r="D18186" t="inlineStr">
        <is>
          <t>NON-NIL</t>
        </is>
      </c>
      <c r="E18186" t="n">
        <v>2073</v>
      </c>
    </row>
    <row r="18187">
      <c r="A18187" t="inlineStr">
        <is>
          <t>27BBBBB18187Z5</t>
        </is>
      </c>
      <c r="B18187" t="inlineStr">
        <is>
          <t>Jul-2017</t>
        </is>
      </c>
      <c r="C18187" s="2" t="n">
        <v>43495</v>
      </c>
      <c r="D18187" t="inlineStr">
        <is>
          <t>NON-NIL</t>
        </is>
      </c>
      <c r="E18187" t="n">
        <v>116</v>
      </c>
    </row>
    <row r="18188">
      <c r="A18188" t="inlineStr">
        <is>
          <t>27BBBBB18188Z5</t>
        </is>
      </c>
      <c r="B18188" t="inlineStr">
        <is>
          <t>Mar-2020</t>
        </is>
      </c>
      <c r="C18188" s="2" t="n">
        <v>44157</v>
      </c>
      <c r="D18188" t="inlineStr">
        <is>
          <t>NIL</t>
        </is>
      </c>
      <c r="E18188" t="n">
        <v>196</v>
      </c>
    </row>
    <row r="18189">
      <c r="A18189" t="inlineStr">
        <is>
          <t>27BBBBB18189Z5</t>
        </is>
      </c>
      <c r="B18189" t="inlineStr">
        <is>
          <t>May-2018</t>
        </is>
      </c>
      <c r="C18189" s="2" t="n">
        <v>44113</v>
      </c>
      <c r="D18189" t="inlineStr">
        <is>
          <t>NON-NIL</t>
        </is>
      </c>
      <c r="E18189" t="n">
        <v>1474</v>
      </c>
    </row>
    <row r="18190">
      <c r="A18190" t="inlineStr">
        <is>
          <t>27BBBBB18190Z5</t>
        </is>
      </c>
      <c r="B18190" t="inlineStr">
        <is>
          <t>May-2018</t>
        </is>
      </c>
      <c r="C18190" s="2" t="n">
        <v>44125</v>
      </c>
      <c r="D18190" t="inlineStr">
        <is>
          <t>NON-NIL</t>
        </is>
      </c>
      <c r="E18190" t="n">
        <v>2571</v>
      </c>
    </row>
    <row r="18191">
      <c r="A18191" t="inlineStr">
        <is>
          <t>27BBBBB18191Z5</t>
        </is>
      </c>
      <c r="B18191" t="inlineStr">
        <is>
          <t>Sep-2017</t>
        </is>
      </c>
      <c r="C18191" s="2" t="n">
        <v>43186</v>
      </c>
      <c r="D18191" t="inlineStr">
        <is>
          <t>NIL</t>
        </is>
      </c>
      <c r="E18191" t="n">
        <v>696</v>
      </c>
    </row>
    <row r="18192">
      <c r="A18192" t="inlineStr">
        <is>
          <t>27BBBBB18192Z5</t>
        </is>
      </c>
      <c r="B18192" t="inlineStr">
        <is>
          <t>Nov-2018</t>
        </is>
      </c>
      <c r="C18192" s="2" t="n">
        <v>43739</v>
      </c>
      <c r="D18192" t="inlineStr">
        <is>
          <t>NIL</t>
        </is>
      </c>
      <c r="E18192" t="n">
        <v>2986</v>
      </c>
    </row>
    <row r="18193">
      <c r="A18193" t="inlineStr">
        <is>
          <t>27BBBBB18193Z5</t>
        </is>
      </c>
      <c r="B18193" t="inlineStr">
        <is>
          <t>Aug-2017</t>
        </is>
      </c>
      <c r="C18193" s="2" t="n">
        <v>43264</v>
      </c>
      <c r="D18193" t="inlineStr">
        <is>
          <t>NON-NIL</t>
        </is>
      </c>
      <c r="E18193" t="n">
        <v>1192</v>
      </c>
    </row>
    <row r="18194">
      <c r="A18194" t="inlineStr">
        <is>
          <t>27BBBBB18194Z5</t>
        </is>
      </c>
      <c r="B18194" t="inlineStr">
        <is>
          <t>Dec-2017</t>
        </is>
      </c>
      <c r="C18194" s="2" t="n">
        <v>43012</v>
      </c>
      <c r="D18194" t="inlineStr">
        <is>
          <t>NIL</t>
        </is>
      </c>
      <c r="E18194" t="n">
        <v>916</v>
      </c>
    </row>
    <row r="18195">
      <c r="A18195" t="inlineStr">
        <is>
          <t>27BBBBB18195Z5</t>
        </is>
      </c>
      <c r="B18195" t="inlineStr">
        <is>
          <t>Sep-2017</t>
        </is>
      </c>
      <c r="C18195" s="2" t="n">
        <v>43613</v>
      </c>
      <c r="D18195" t="inlineStr">
        <is>
          <t>NIL</t>
        </is>
      </c>
      <c r="E18195" t="n">
        <v>2029</v>
      </c>
    </row>
    <row r="18196">
      <c r="A18196" t="inlineStr">
        <is>
          <t>27BBBBB18196Z5</t>
        </is>
      </c>
      <c r="B18196" t="inlineStr">
        <is>
          <t>Nov-2018</t>
        </is>
      </c>
      <c r="C18196" s="2" t="n">
        <v>42988</v>
      </c>
      <c r="D18196" t="inlineStr">
        <is>
          <t>NIL</t>
        </is>
      </c>
      <c r="E18196" t="n">
        <v>1401</v>
      </c>
    </row>
    <row r="18197">
      <c r="A18197" t="inlineStr">
        <is>
          <t>27BBBBB18197Z5</t>
        </is>
      </c>
      <c r="B18197" t="inlineStr">
        <is>
          <t>Jul-2018</t>
        </is>
      </c>
      <c r="C18197" s="2" t="n">
        <v>43088</v>
      </c>
      <c r="D18197" t="inlineStr">
        <is>
          <t>NON-NIL</t>
        </is>
      </c>
      <c r="E18197" t="n">
        <v>2951</v>
      </c>
    </row>
    <row r="18198">
      <c r="A18198" t="inlineStr">
        <is>
          <t>27BBBBB18198Z5</t>
        </is>
      </c>
      <c r="B18198" t="inlineStr">
        <is>
          <t>Mar-2021</t>
        </is>
      </c>
      <c r="C18198" s="2" t="n">
        <v>44500</v>
      </c>
      <c r="D18198" t="inlineStr">
        <is>
          <t>NIL</t>
        </is>
      </c>
      <c r="E18198" t="n">
        <v>842</v>
      </c>
    </row>
    <row r="18199">
      <c r="A18199" t="inlineStr">
        <is>
          <t>27BBBBB18199Z5</t>
        </is>
      </c>
      <c r="B18199" t="inlineStr">
        <is>
          <t>Sep-2017</t>
        </is>
      </c>
      <c r="C18199" s="2" t="n">
        <v>44266</v>
      </c>
      <c r="D18199" t="inlineStr">
        <is>
          <t>NON-NIL</t>
        </is>
      </c>
      <c r="E18199" t="n">
        <v>2061</v>
      </c>
    </row>
    <row r="18200">
      <c r="A18200" t="inlineStr">
        <is>
          <t>27BBBBB18200Z5</t>
        </is>
      </c>
      <c r="B18200" t="inlineStr">
        <is>
          <t>Jun-2020</t>
        </is>
      </c>
      <c r="C18200" s="2" t="n">
        <v>43905</v>
      </c>
      <c r="D18200" t="inlineStr">
        <is>
          <t>NIL</t>
        </is>
      </c>
      <c r="E18200" t="n">
        <v>531</v>
      </c>
    </row>
    <row r="18201">
      <c r="A18201" t="inlineStr">
        <is>
          <t>27BBBBB18201Z5</t>
        </is>
      </c>
      <c r="B18201" t="inlineStr">
        <is>
          <t>Nov-2018</t>
        </is>
      </c>
      <c r="C18201" s="2" t="n">
        <v>43218</v>
      </c>
      <c r="D18201" t="inlineStr">
        <is>
          <t>NIL</t>
        </is>
      </c>
      <c r="E18201" t="n">
        <v>1165</v>
      </c>
    </row>
    <row r="18202">
      <c r="A18202" t="inlineStr">
        <is>
          <t>27BBBBB18202Z5</t>
        </is>
      </c>
      <c r="B18202" t="inlineStr">
        <is>
          <t>Dec-2022</t>
        </is>
      </c>
      <c r="C18202" s="2" t="n">
        <v>43982</v>
      </c>
      <c r="D18202" t="inlineStr">
        <is>
          <t>NON-NIL</t>
        </is>
      </c>
      <c r="E18202" t="n">
        <v>1984</v>
      </c>
    </row>
    <row r="18203">
      <c r="A18203" t="inlineStr">
        <is>
          <t>27BBBBB18203Z5</t>
        </is>
      </c>
      <c r="B18203" t="inlineStr">
        <is>
          <t>Dec-2018</t>
        </is>
      </c>
      <c r="C18203" s="2" t="n">
        <v>43079</v>
      </c>
      <c r="D18203" t="inlineStr">
        <is>
          <t>NIL</t>
        </is>
      </c>
      <c r="E18203" t="n">
        <v>2048</v>
      </c>
    </row>
    <row r="18204">
      <c r="A18204" t="inlineStr">
        <is>
          <t>27BBBBB18204Z5</t>
        </is>
      </c>
      <c r="B18204" t="inlineStr">
        <is>
          <t>Apr-2018</t>
        </is>
      </c>
      <c r="C18204" s="2" t="n">
        <v>43788</v>
      </c>
      <c r="D18204" t="inlineStr">
        <is>
          <t>NON-NIL</t>
        </is>
      </c>
      <c r="E18204" t="n">
        <v>2722</v>
      </c>
    </row>
    <row r="18205">
      <c r="A18205" t="inlineStr">
        <is>
          <t>27BBBBB18205Z5</t>
        </is>
      </c>
      <c r="B18205" t="inlineStr">
        <is>
          <t>Nov-2017</t>
        </is>
      </c>
      <c r="C18205" s="2" t="n">
        <v>43600</v>
      </c>
      <c r="D18205" t="inlineStr">
        <is>
          <t>NIL</t>
        </is>
      </c>
      <c r="E18205" t="n">
        <v>1569</v>
      </c>
    </row>
    <row r="18206">
      <c r="A18206" t="inlineStr">
        <is>
          <t>27BBBBB18206Z5</t>
        </is>
      </c>
      <c r="B18206" t="inlineStr">
        <is>
          <t>Dec-2018</t>
        </is>
      </c>
      <c r="C18206" s="2" t="n">
        <v>43355</v>
      </c>
      <c r="D18206" t="inlineStr">
        <is>
          <t>NIL</t>
        </is>
      </c>
      <c r="E18206" t="n">
        <v>76</v>
      </c>
    </row>
    <row r="18207">
      <c r="A18207" t="inlineStr">
        <is>
          <t>27BBBBB18207Z5</t>
        </is>
      </c>
      <c r="B18207" t="inlineStr">
        <is>
          <t>Dec-2024</t>
        </is>
      </c>
      <c r="C18207" s="2" t="n">
        <v>45709</v>
      </c>
      <c r="D18207" t="inlineStr">
        <is>
          <t>NON-NIL</t>
        </is>
      </c>
      <c r="E18207" t="n">
        <v>1625</v>
      </c>
    </row>
    <row r="18208">
      <c r="A18208" t="inlineStr">
        <is>
          <t>27BBBBB18208Z5</t>
        </is>
      </c>
      <c r="B18208" t="inlineStr">
        <is>
          <t>Jun-2018</t>
        </is>
      </c>
      <c r="C18208" s="2" t="n">
        <v>43699</v>
      </c>
      <c r="D18208" t="inlineStr">
        <is>
          <t>NON-NIL</t>
        </is>
      </c>
      <c r="E18208" t="n">
        <v>2575</v>
      </c>
    </row>
    <row r="18209">
      <c r="A18209" t="inlineStr">
        <is>
          <t>27BBBBB18209Z5</t>
        </is>
      </c>
      <c r="B18209" t="inlineStr">
        <is>
          <t>Jul-2020</t>
        </is>
      </c>
      <c r="C18209" s="2" t="n">
        <v>44204</v>
      </c>
      <c r="D18209" t="inlineStr">
        <is>
          <t>NIL</t>
        </is>
      </c>
      <c r="E18209" t="n">
        <v>722</v>
      </c>
    </row>
    <row r="18210">
      <c r="A18210" t="inlineStr">
        <is>
          <t>27BBBBB18210Z5</t>
        </is>
      </c>
      <c r="B18210" t="inlineStr">
        <is>
          <t>Apr-2018</t>
        </is>
      </c>
      <c r="C18210" s="2" t="n">
        <v>44417</v>
      </c>
      <c r="D18210" t="inlineStr">
        <is>
          <t>NON-NIL</t>
        </is>
      </c>
      <c r="E18210" t="n">
        <v>1029</v>
      </c>
    </row>
    <row r="18211">
      <c r="A18211" t="inlineStr">
        <is>
          <t>27BBBBB18211Z5</t>
        </is>
      </c>
      <c r="B18211" t="inlineStr">
        <is>
          <t>May-2018</t>
        </is>
      </c>
      <c r="C18211" s="2" t="n">
        <v>43439</v>
      </c>
      <c r="D18211" t="inlineStr">
        <is>
          <t>NIL</t>
        </is>
      </c>
      <c r="E18211" t="n">
        <v>2891</v>
      </c>
    </row>
    <row r="18212">
      <c r="A18212" t="inlineStr">
        <is>
          <t>27BBBBB18212Z5</t>
        </is>
      </c>
      <c r="B18212" t="inlineStr">
        <is>
          <t>Dec-2022</t>
        </is>
      </c>
      <c r="C18212" s="2" t="n">
        <v>43801</v>
      </c>
      <c r="D18212" t="inlineStr">
        <is>
          <t>NIL</t>
        </is>
      </c>
      <c r="E18212" t="n">
        <v>1387</v>
      </c>
    </row>
    <row r="18213">
      <c r="A18213" t="inlineStr">
        <is>
          <t>27BBBBB18213Z5</t>
        </is>
      </c>
      <c r="B18213" t="inlineStr">
        <is>
          <t>Dec-2022</t>
        </is>
      </c>
      <c r="C18213" s="2" t="n">
        <v>44675</v>
      </c>
      <c r="D18213" t="inlineStr">
        <is>
          <t>NON-NIL</t>
        </is>
      </c>
      <c r="E18213" t="n">
        <v>2950</v>
      </c>
    </row>
    <row r="18214">
      <c r="A18214" t="inlineStr">
        <is>
          <t>27BBBBB18214Z5</t>
        </is>
      </c>
      <c r="B18214" t="inlineStr">
        <is>
          <t>Apr-2018</t>
        </is>
      </c>
      <c r="C18214" s="2" t="n">
        <v>43294</v>
      </c>
      <c r="D18214" t="inlineStr">
        <is>
          <t>NIL</t>
        </is>
      </c>
      <c r="E18214" t="n">
        <v>1815</v>
      </c>
    </row>
    <row r="18215">
      <c r="A18215" t="inlineStr">
        <is>
          <t>27BBBBB18215Z5</t>
        </is>
      </c>
      <c r="B18215" t="inlineStr">
        <is>
          <t>Nov-2017</t>
        </is>
      </c>
      <c r="C18215" s="2" t="n">
        <v>43737</v>
      </c>
      <c r="D18215" t="inlineStr">
        <is>
          <t>NIL</t>
        </is>
      </c>
      <c r="E18215" t="n">
        <v>2245</v>
      </c>
    </row>
    <row r="18216">
      <c r="A18216" t="inlineStr">
        <is>
          <t>27BBBBB18216Z5</t>
        </is>
      </c>
      <c r="B18216" t="inlineStr">
        <is>
          <t>Dec-2024</t>
        </is>
      </c>
      <c r="C18216" s="2" t="n">
        <v>44461</v>
      </c>
      <c r="D18216" t="inlineStr">
        <is>
          <t>NIL</t>
        </is>
      </c>
      <c r="E18216" t="n">
        <v>2154</v>
      </c>
    </row>
    <row r="18217">
      <c r="A18217" t="inlineStr">
        <is>
          <t>27BBBBB18217Z5</t>
        </is>
      </c>
      <c r="B18217" t="inlineStr">
        <is>
          <t>Apr-2018</t>
        </is>
      </c>
      <c r="C18217" s="2" t="n">
        <v>44402</v>
      </c>
      <c r="D18217" t="inlineStr">
        <is>
          <t>NIL</t>
        </is>
      </c>
      <c r="E18217" t="n">
        <v>1451</v>
      </c>
    </row>
    <row r="18218">
      <c r="A18218" t="inlineStr">
        <is>
          <t>27BBBBB18218Z5</t>
        </is>
      </c>
      <c r="B18218" t="inlineStr">
        <is>
          <t>Mar-2020</t>
        </is>
      </c>
      <c r="C18218" s="2" t="n">
        <v>44861</v>
      </c>
      <c r="D18218" t="inlineStr">
        <is>
          <t>NON-NIL</t>
        </is>
      </c>
      <c r="E18218" t="n">
        <v>458</v>
      </c>
    </row>
    <row r="18219">
      <c r="A18219" t="inlineStr">
        <is>
          <t>27BBBBB18219Z5</t>
        </is>
      </c>
      <c r="B18219" t="inlineStr">
        <is>
          <t>Aug-2017</t>
        </is>
      </c>
      <c r="C18219" s="2" t="n">
        <v>44477</v>
      </c>
      <c r="D18219" t="inlineStr">
        <is>
          <t>NIL</t>
        </is>
      </c>
      <c r="E18219" t="n">
        <v>1866</v>
      </c>
    </row>
    <row r="18220">
      <c r="A18220" t="inlineStr">
        <is>
          <t>27BBBBB18220Z5</t>
        </is>
      </c>
      <c r="B18220" t="inlineStr">
        <is>
          <t>Oct-2018</t>
        </is>
      </c>
      <c r="C18220" s="2" t="n">
        <v>43052</v>
      </c>
      <c r="D18220" t="inlineStr">
        <is>
          <t>NIL</t>
        </is>
      </c>
      <c r="E18220" t="n">
        <v>1139</v>
      </c>
    </row>
    <row r="18221">
      <c r="A18221" t="inlineStr">
        <is>
          <t>27BBBBB18221Z5</t>
        </is>
      </c>
      <c r="B18221" t="inlineStr">
        <is>
          <t>Aug-2018</t>
        </is>
      </c>
      <c r="C18221" s="2" t="n">
        <v>43834</v>
      </c>
      <c r="D18221" t="inlineStr">
        <is>
          <t>NIL</t>
        </is>
      </c>
      <c r="E18221" t="n">
        <v>1622</v>
      </c>
    </row>
    <row r="18222">
      <c r="A18222" t="inlineStr">
        <is>
          <t>27BBBBB18222Z5</t>
        </is>
      </c>
      <c r="B18222" t="inlineStr">
        <is>
          <t>May-2018</t>
        </is>
      </c>
      <c r="C18222" s="2" t="n">
        <v>44408</v>
      </c>
      <c r="D18222" t="inlineStr">
        <is>
          <t>NON-NIL</t>
        </is>
      </c>
      <c r="E18222" t="n">
        <v>2473</v>
      </c>
    </row>
    <row r="18223">
      <c r="A18223" t="inlineStr">
        <is>
          <t>27BBBBB18223Z5</t>
        </is>
      </c>
      <c r="B18223" t="inlineStr">
        <is>
          <t>Jan-2018</t>
        </is>
      </c>
      <c r="C18223" s="2" t="n">
        <v>43940</v>
      </c>
      <c r="D18223" t="inlineStr">
        <is>
          <t>NIL</t>
        </is>
      </c>
      <c r="E18223" t="n">
        <v>2913</v>
      </c>
    </row>
    <row r="18224">
      <c r="A18224" t="inlineStr">
        <is>
          <t>27BBBBB18224Z5</t>
        </is>
      </c>
      <c r="B18224" t="inlineStr">
        <is>
          <t>Jan-2021</t>
        </is>
      </c>
      <c r="C18224" s="2" t="n">
        <v>43893</v>
      </c>
      <c r="D18224" t="inlineStr">
        <is>
          <t>NON-NIL</t>
        </is>
      </c>
      <c r="E18224" t="n">
        <v>1986</v>
      </c>
    </row>
    <row r="18225">
      <c r="A18225" t="inlineStr">
        <is>
          <t>27BBBBB18225Z5</t>
        </is>
      </c>
      <c r="B18225" t="inlineStr">
        <is>
          <t>May-2020</t>
        </is>
      </c>
      <c r="C18225" s="2" t="n">
        <v>44339</v>
      </c>
      <c r="D18225" t="inlineStr">
        <is>
          <t>NON-NIL</t>
        </is>
      </c>
      <c r="E18225" t="n">
        <v>2525</v>
      </c>
    </row>
    <row r="18226">
      <c r="A18226" t="inlineStr">
        <is>
          <t>27BBBBB18226Z5</t>
        </is>
      </c>
      <c r="B18226" t="inlineStr">
        <is>
          <t>Jun-2018</t>
        </is>
      </c>
      <c r="C18226" s="2" t="n">
        <v>44319</v>
      </c>
      <c r="D18226" t="inlineStr">
        <is>
          <t>NIL</t>
        </is>
      </c>
      <c r="E18226" t="n">
        <v>2076</v>
      </c>
    </row>
    <row r="18227">
      <c r="A18227" t="inlineStr">
        <is>
          <t>27BBBBB18227Z5</t>
        </is>
      </c>
      <c r="B18227" t="inlineStr">
        <is>
          <t>Mar-2018</t>
        </is>
      </c>
      <c r="C18227" s="2" t="n">
        <v>44366</v>
      </c>
      <c r="D18227" t="inlineStr">
        <is>
          <t>NIL</t>
        </is>
      </c>
      <c r="E18227" t="n">
        <v>1553</v>
      </c>
    </row>
    <row r="18228">
      <c r="A18228" t="inlineStr">
        <is>
          <t>27BBBBB18228Z5</t>
        </is>
      </c>
      <c r="B18228" t="inlineStr">
        <is>
          <t>Apr-2018</t>
        </is>
      </c>
      <c r="C18228" s="2" t="n">
        <v>43802</v>
      </c>
      <c r="D18228" t="inlineStr">
        <is>
          <t>NON-NIL</t>
        </is>
      </c>
      <c r="E18228" t="n">
        <v>2502</v>
      </c>
    </row>
    <row r="18229">
      <c r="A18229" t="inlineStr">
        <is>
          <t>27BBBBB18229Z5</t>
        </is>
      </c>
      <c r="B18229" t="inlineStr">
        <is>
          <t>Jul-2018</t>
        </is>
      </c>
      <c r="C18229" s="2" t="n">
        <v>42995</v>
      </c>
      <c r="D18229" t="inlineStr">
        <is>
          <t>NIL</t>
        </is>
      </c>
      <c r="E18229" t="n">
        <v>1963</v>
      </c>
    </row>
    <row r="18230">
      <c r="A18230" t="inlineStr">
        <is>
          <t>27BBBBB18230Z5</t>
        </is>
      </c>
      <c r="B18230" t="inlineStr">
        <is>
          <t>Apr-2018</t>
        </is>
      </c>
      <c r="C18230" s="2" t="n">
        <v>42927</v>
      </c>
      <c r="D18230" t="inlineStr">
        <is>
          <t>NON-NIL</t>
        </is>
      </c>
      <c r="E18230" t="n">
        <v>1543</v>
      </c>
    </row>
    <row r="18231">
      <c r="A18231" t="inlineStr">
        <is>
          <t>27BBBBB18231Z5</t>
        </is>
      </c>
      <c r="B18231" t="inlineStr">
        <is>
          <t>Aug-2018</t>
        </is>
      </c>
      <c r="C18231" s="2" t="n">
        <v>43292</v>
      </c>
      <c r="D18231" t="inlineStr">
        <is>
          <t>NIL</t>
        </is>
      </c>
      <c r="E18231" t="n">
        <v>1022</v>
      </c>
    </row>
    <row r="18232">
      <c r="A18232" t="inlineStr">
        <is>
          <t>27BBBBB18232Z5</t>
        </is>
      </c>
      <c r="B18232" t="inlineStr">
        <is>
          <t>Mar-2018</t>
        </is>
      </c>
      <c r="C18232" s="2" t="n">
        <v>43767</v>
      </c>
      <c r="D18232" t="inlineStr">
        <is>
          <t>NIL</t>
        </is>
      </c>
      <c r="E18232" t="n">
        <v>2350</v>
      </c>
    </row>
    <row r="18233">
      <c r="A18233" t="inlineStr">
        <is>
          <t>27BBBBB18233Z5</t>
        </is>
      </c>
      <c r="B18233" t="inlineStr">
        <is>
          <t>Jan-2021</t>
        </is>
      </c>
      <c r="C18233" s="2" t="n">
        <v>45313</v>
      </c>
      <c r="D18233" t="inlineStr">
        <is>
          <t>NIL</t>
        </is>
      </c>
      <c r="E18233" t="n">
        <v>1356</v>
      </c>
    </row>
    <row r="18234">
      <c r="A18234" t="inlineStr">
        <is>
          <t>27BBBBB18234Z5</t>
        </is>
      </c>
      <c r="B18234" t="inlineStr">
        <is>
          <t>Oct-2017</t>
        </is>
      </c>
      <c r="C18234" s="2" t="n">
        <v>44372</v>
      </c>
      <c r="D18234" t="inlineStr">
        <is>
          <t>NON-NIL</t>
        </is>
      </c>
      <c r="E18234" t="n">
        <v>789</v>
      </c>
    </row>
    <row r="18235">
      <c r="A18235" t="inlineStr">
        <is>
          <t>27BBBBB18235Z5</t>
        </is>
      </c>
      <c r="B18235" t="inlineStr">
        <is>
          <t>Jul-2017</t>
        </is>
      </c>
      <c r="C18235" s="2" t="n">
        <v>44152</v>
      </c>
      <c r="D18235" t="inlineStr">
        <is>
          <t>NIL</t>
        </is>
      </c>
      <c r="E18235" t="n">
        <v>2035</v>
      </c>
    </row>
    <row r="18236">
      <c r="A18236" t="inlineStr">
        <is>
          <t>27BBBBB18236Z5</t>
        </is>
      </c>
      <c r="B18236" t="inlineStr">
        <is>
          <t>Jan-2021</t>
        </is>
      </c>
      <c r="C18236" s="2" t="n">
        <v>45298</v>
      </c>
      <c r="D18236" t="inlineStr">
        <is>
          <t>NON-NIL</t>
        </is>
      </c>
      <c r="E18236" t="n">
        <v>2890</v>
      </c>
    </row>
    <row r="18237">
      <c r="A18237" t="inlineStr">
        <is>
          <t>27BBBBB18237Z5</t>
        </is>
      </c>
      <c r="B18237" t="inlineStr">
        <is>
          <t>Jul-2017</t>
        </is>
      </c>
      <c r="C18237" s="2" t="n">
        <v>42930</v>
      </c>
      <c r="D18237" t="inlineStr">
        <is>
          <t>NIL</t>
        </is>
      </c>
      <c r="E18237" t="n">
        <v>2490</v>
      </c>
    </row>
    <row r="18238">
      <c r="A18238" t="inlineStr">
        <is>
          <t>27BBBBB18238Z5</t>
        </is>
      </c>
      <c r="B18238" t="inlineStr">
        <is>
          <t>Sep-2017</t>
        </is>
      </c>
      <c r="C18238" s="2" t="n">
        <v>44202</v>
      </c>
      <c r="D18238" t="inlineStr">
        <is>
          <t>NON-NIL</t>
        </is>
      </c>
      <c r="E18238" t="n">
        <v>502</v>
      </c>
    </row>
    <row r="18239">
      <c r="A18239" t="inlineStr">
        <is>
          <t>27BBBBB18239Z5</t>
        </is>
      </c>
      <c r="B18239" t="inlineStr">
        <is>
          <t>Oct-2018</t>
        </is>
      </c>
      <c r="C18239" s="2" t="n">
        <v>44024</v>
      </c>
      <c r="D18239" t="inlineStr">
        <is>
          <t>NON-NIL</t>
        </is>
      </c>
      <c r="E18239" t="n">
        <v>430</v>
      </c>
    </row>
    <row r="18240">
      <c r="A18240" t="inlineStr">
        <is>
          <t>27BBBBB18240Z5</t>
        </is>
      </c>
      <c r="B18240" t="inlineStr">
        <is>
          <t>Aug-2017</t>
        </is>
      </c>
      <c r="C18240" s="2" t="n">
        <v>43771</v>
      </c>
      <c r="D18240" t="inlineStr">
        <is>
          <t>NON-NIL</t>
        </is>
      </c>
      <c r="E18240" t="n">
        <v>2429</v>
      </c>
    </row>
    <row r="18241">
      <c r="A18241" t="inlineStr">
        <is>
          <t>27BBBBB18241Z5</t>
        </is>
      </c>
      <c r="B18241" t="inlineStr">
        <is>
          <t>Jun-2018</t>
        </is>
      </c>
      <c r="C18241" s="2" t="n">
        <v>43539</v>
      </c>
      <c r="D18241" t="inlineStr">
        <is>
          <t>NON-NIL</t>
        </is>
      </c>
      <c r="E18241" t="n">
        <v>338</v>
      </c>
    </row>
    <row r="18242">
      <c r="A18242" t="inlineStr">
        <is>
          <t>27BBBBB18242Z5</t>
        </is>
      </c>
      <c r="B18242" t="inlineStr">
        <is>
          <t>Aug-2018</t>
        </is>
      </c>
      <c r="C18242" s="2" t="n">
        <v>44076</v>
      </c>
      <c r="D18242" t="inlineStr">
        <is>
          <t>NIL</t>
        </is>
      </c>
      <c r="E18242" t="n">
        <v>825</v>
      </c>
    </row>
    <row r="18243">
      <c r="A18243" t="inlineStr">
        <is>
          <t>27BBBBB18243Z5</t>
        </is>
      </c>
      <c r="B18243" t="inlineStr">
        <is>
          <t>Jun-2020</t>
        </is>
      </c>
      <c r="C18243" s="2" t="n">
        <v>44902</v>
      </c>
      <c r="D18243" t="inlineStr">
        <is>
          <t>NIL</t>
        </is>
      </c>
      <c r="E18243" t="n">
        <v>549</v>
      </c>
    </row>
    <row r="18244">
      <c r="A18244" t="inlineStr">
        <is>
          <t>27BBBBB18244Z5</t>
        </is>
      </c>
      <c r="B18244" t="inlineStr">
        <is>
          <t>Apr-2020</t>
        </is>
      </c>
      <c r="C18244" s="2" t="n">
        <v>43942</v>
      </c>
      <c r="D18244" t="inlineStr">
        <is>
          <t>NON-NIL</t>
        </is>
      </c>
      <c r="E18244" t="n">
        <v>575</v>
      </c>
    </row>
    <row r="18245">
      <c r="A18245" t="inlineStr">
        <is>
          <t>27BBBBB18245Z5</t>
        </is>
      </c>
      <c r="B18245" t="inlineStr">
        <is>
          <t>Jan-2021</t>
        </is>
      </c>
      <c r="C18245" s="2" t="n">
        <v>43868</v>
      </c>
      <c r="D18245" t="inlineStr">
        <is>
          <t>NON-NIL</t>
        </is>
      </c>
      <c r="E18245" t="n">
        <v>2925</v>
      </c>
    </row>
    <row r="18246">
      <c r="A18246" t="inlineStr">
        <is>
          <t>27BBBBB18246Z5</t>
        </is>
      </c>
      <c r="B18246" t="inlineStr">
        <is>
          <t>Aug-2017</t>
        </is>
      </c>
      <c r="C18246" s="2" t="n">
        <v>43989</v>
      </c>
      <c r="D18246" t="inlineStr">
        <is>
          <t>NIL</t>
        </is>
      </c>
      <c r="E18246" t="n">
        <v>412</v>
      </c>
    </row>
    <row r="18247">
      <c r="A18247" t="inlineStr">
        <is>
          <t>27BBBBB18247Z5</t>
        </is>
      </c>
      <c r="B18247" t="inlineStr">
        <is>
          <t>Sep-2018</t>
        </is>
      </c>
      <c r="C18247" s="2" t="n">
        <v>43554</v>
      </c>
      <c r="D18247" t="inlineStr">
        <is>
          <t>NIL</t>
        </is>
      </c>
      <c r="E18247" t="n">
        <v>2151</v>
      </c>
    </row>
    <row r="18248">
      <c r="A18248" t="inlineStr">
        <is>
          <t>27BBBBB18248Z5</t>
        </is>
      </c>
      <c r="B18248" t="inlineStr">
        <is>
          <t>Mar-2023</t>
        </is>
      </c>
      <c r="C18248" s="2" t="n">
        <v>44357</v>
      </c>
      <c r="D18248" t="inlineStr">
        <is>
          <t>NON-NIL</t>
        </is>
      </c>
      <c r="E18248" t="n">
        <v>365</v>
      </c>
    </row>
    <row r="18249">
      <c r="A18249" t="inlineStr">
        <is>
          <t>27BBBBB18249Z5</t>
        </is>
      </c>
      <c r="B18249" t="inlineStr">
        <is>
          <t>Nov-2017</t>
        </is>
      </c>
      <c r="C18249" s="2" t="n">
        <v>44339</v>
      </c>
      <c r="D18249" t="inlineStr">
        <is>
          <t>NIL</t>
        </is>
      </c>
      <c r="E18249" t="n">
        <v>898</v>
      </c>
    </row>
    <row r="18250">
      <c r="A18250" t="inlineStr">
        <is>
          <t>27BBBBB18250Z5</t>
        </is>
      </c>
      <c r="B18250" t="inlineStr">
        <is>
          <t>Nov-2017</t>
        </is>
      </c>
      <c r="C18250" s="2" t="n">
        <v>43859</v>
      </c>
      <c r="D18250" t="inlineStr">
        <is>
          <t>NON-NIL</t>
        </is>
      </c>
      <c r="E18250" t="n">
        <v>2567</v>
      </c>
    </row>
    <row r="18251">
      <c r="A18251" t="inlineStr">
        <is>
          <t>27BBBBB18251Z5</t>
        </is>
      </c>
      <c r="B18251" t="inlineStr">
        <is>
          <t>Jun-2020</t>
        </is>
      </c>
      <c r="C18251" s="2" t="n">
        <v>44897</v>
      </c>
      <c r="D18251" t="inlineStr">
        <is>
          <t>NIL</t>
        </is>
      </c>
      <c r="E18251" t="n">
        <v>2028</v>
      </c>
    </row>
    <row r="18252">
      <c r="A18252" t="inlineStr">
        <is>
          <t>27BBBBB18252Z5</t>
        </is>
      </c>
      <c r="B18252" t="inlineStr">
        <is>
          <t>Jan-2018</t>
        </is>
      </c>
      <c r="C18252" s="2" t="n">
        <v>44439</v>
      </c>
      <c r="D18252" t="inlineStr">
        <is>
          <t>NIL</t>
        </is>
      </c>
      <c r="E18252" t="n">
        <v>1161</v>
      </c>
    </row>
    <row r="18253">
      <c r="A18253" t="inlineStr">
        <is>
          <t>27BBBBB18253Z5</t>
        </is>
      </c>
      <c r="B18253" t="inlineStr">
        <is>
          <t>Dec-2024</t>
        </is>
      </c>
      <c r="C18253" s="2" t="n">
        <v>45163</v>
      </c>
      <c r="D18253" t="inlineStr">
        <is>
          <t>NIL</t>
        </is>
      </c>
      <c r="E18253" t="n">
        <v>1963</v>
      </c>
    </row>
    <row r="18254">
      <c r="A18254" t="inlineStr">
        <is>
          <t>27BBBBB18254Z5</t>
        </is>
      </c>
      <c r="B18254" t="inlineStr">
        <is>
          <t>Apr-2018</t>
        </is>
      </c>
      <c r="C18254" s="2" t="n">
        <v>43856</v>
      </c>
      <c r="D18254" t="inlineStr">
        <is>
          <t>NON-NIL</t>
        </is>
      </c>
      <c r="E18254" t="n">
        <v>799</v>
      </c>
    </row>
    <row r="18255">
      <c r="A18255" t="inlineStr">
        <is>
          <t>27BBBBB18255Z5</t>
        </is>
      </c>
      <c r="B18255" t="inlineStr">
        <is>
          <t>Mar-2018</t>
        </is>
      </c>
      <c r="C18255" s="2" t="n">
        <v>44292</v>
      </c>
      <c r="D18255" t="inlineStr">
        <is>
          <t>NIL</t>
        </is>
      </c>
      <c r="E18255" t="n">
        <v>1316</v>
      </c>
    </row>
    <row r="18256">
      <c r="A18256" t="inlineStr">
        <is>
          <t>27BBBBB18256Z5</t>
        </is>
      </c>
      <c r="B18256" t="inlineStr">
        <is>
          <t>Oct-2018</t>
        </is>
      </c>
      <c r="C18256" s="2" t="n">
        <v>43758</v>
      </c>
      <c r="D18256" t="inlineStr">
        <is>
          <t>NIL</t>
        </is>
      </c>
      <c r="E18256" t="n">
        <v>1520</v>
      </c>
    </row>
    <row r="18257">
      <c r="A18257" t="inlineStr">
        <is>
          <t>27BBBBB18257Z5</t>
        </is>
      </c>
      <c r="B18257" t="inlineStr">
        <is>
          <t>Mar-2018</t>
        </is>
      </c>
      <c r="C18257" s="2" t="n">
        <v>43029</v>
      </c>
      <c r="D18257" t="inlineStr">
        <is>
          <t>NIL</t>
        </is>
      </c>
      <c r="E18257" t="n">
        <v>1524</v>
      </c>
    </row>
    <row r="18258">
      <c r="A18258" t="inlineStr">
        <is>
          <t>27BBBBB18258Z5</t>
        </is>
      </c>
      <c r="B18258" t="inlineStr">
        <is>
          <t>Jul-2017</t>
        </is>
      </c>
      <c r="C18258" s="2" t="n">
        <v>43336</v>
      </c>
      <c r="D18258" t="inlineStr">
        <is>
          <t>NON-NIL</t>
        </is>
      </c>
      <c r="E18258" t="n">
        <v>1008</v>
      </c>
    </row>
    <row r="18259">
      <c r="A18259" t="inlineStr">
        <is>
          <t>27BBBBB18259Z5</t>
        </is>
      </c>
      <c r="B18259" t="inlineStr">
        <is>
          <t>Apr-2020</t>
        </is>
      </c>
      <c r="C18259" s="2" t="n">
        <v>44344</v>
      </c>
      <c r="D18259" t="inlineStr">
        <is>
          <t>NIL</t>
        </is>
      </c>
      <c r="E18259" t="n">
        <v>793</v>
      </c>
    </row>
    <row r="18260">
      <c r="A18260" t="inlineStr">
        <is>
          <t>27BBBBB18260Z5</t>
        </is>
      </c>
      <c r="B18260" t="inlineStr">
        <is>
          <t>Nov-2018</t>
        </is>
      </c>
      <c r="C18260" s="2" t="n">
        <v>44491</v>
      </c>
      <c r="D18260" t="inlineStr">
        <is>
          <t>NON-NIL</t>
        </is>
      </c>
      <c r="E18260" t="n">
        <v>486</v>
      </c>
    </row>
    <row r="18261">
      <c r="A18261" t="inlineStr">
        <is>
          <t>27BBBBB18261Z5</t>
        </is>
      </c>
      <c r="B18261" t="inlineStr">
        <is>
          <t>Mar-2021</t>
        </is>
      </c>
      <c r="C18261" s="2" t="n">
        <v>44700</v>
      </c>
      <c r="D18261" t="inlineStr">
        <is>
          <t>NON-NIL</t>
        </is>
      </c>
      <c r="E18261" t="n">
        <v>1689</v>
      </c>
    </row>
    <row r="18262">
      <c r="A18262" t="inlineStr">
        <is>
          <t>27BBBBB18262Z5</t>
        </is>
      </c>
      <c r="B18262" t="inlineStr">
        <is>
          <t>Jan-2018</t>
        </is>
      </c>
      <c r="C18262" s="2" t="n">
        <v>44460</v>
      </c>
      <c r="D18262" t="inlineStr">
        <is>
          <t>NON-NIL</t>
        </is>
      </c>
      <c r="E18262" t="n">
        <v>2247</v>
      </c>
    </row>
    <row r="18263">
      <c r="A18263" t="inlineStr">
        <is>
          <t>27BBBBB18263Z5</t>
        </is>
      </c>
      <c r="B18263" t="inlineStr">
        <is>
          <t>Aug-2017</t>
        </is>
      </c>
      <c r="C18263" s="2" t="n">
        <v>43857</v>
      </c>
      <c r="D18263" t="inlineStr">
        <is>
          <t>NON-NIL</t>
        </is>
      </c>
      <c r="E18263" t="n">
        <v>1493</v>
      </c>
    </row>
    <row r="18264">
      <c r="A18264" t="inlineStr">
        <is>
          <t>27BBBBB18264Z5</t>
        </is>
      </c>
      <c r="B18264" t="inlineStr">
        <is>
          <t>Sep-2017</t>
        </is>
      </c>
      <c r="C18264" s="2" t="n">
        <v>43622</v>
      </c>
      <c r="D18264" t="inlineStr">
        <is>
          <t>NON-NIL</t>
        </is>
      </c>
      <c r="E18264" t="n">
        <v>2721</v>
      </c>
    </row>
    <row r="18265">
      <c r="A18265" t="inlineStr">
        <is>
          <t>27BBBBB18265Z5</t>
        </is>
      </c>
      <c r="B18265" t="inlineStr">
        <is>
          <t>May-2018</t>
        </is>
      </c>
      <c r="C18265" s="2" t="n">
        <v>44497</v>
      </c>
      <c r="D18265" t="inlineStr">
        <is>
          <t>NON-NIL</t>
        </is>
      </c>
      <c r="E18265" t="n">
        <v>947</v>
      </c>
    </row>
    <row r="18266">
      <c r="A18266" t="inlineStr">
        <is>
          <t>27BBBBB18266Z5</t>
        </is>
      </c>
      <c r="B18266" t="inlineStr">
        <is>
          <t>Dec-2024</t>
        </is>
      </c>
      <c r="C18266" s="2" t="n">
        <v>43798</v>
      </c>
      <c r="D18266" t="inlineStr">
        <is>
          <t>NON-NIL</t>
        </is>
      </c>
      <c r="E18266" t="n">
        <v>2406</v>
      </c>
    </row>
    <row r="18267">
      <c r="A18267" t="inlineStr">
        <is>
          <t>27BBBBB18267Z5</t>
        </is>
      </c>
      <c r="B18267" t="inlineStr">
        <is>
          <t>Mar-2020</t>
        </is>
      </c>
      <c r="C18267" s="2" t="n">
        <v>44573</v>
      </c>
      <c r="D18267" t="inlineStr">
        <is>
          <t>NIL</t>
        </is>
      </c>
      <c r="E18267" t="n">
        <v>1210</v>
      </c>
    </row>
    <row r="18268">
      <c r="A18268" t="inlineStr">
        <is>
          <t>27BBBBB18268Z5</t>
        </is>
      </c>
      <c r="B18268" t="inlineStr">
        <is>
          <t>Sep-2018</t>
        </is>
      </c>
      <c r="C18268" s="2" t="n">
        <v>43784</v>
      </c>
      <c r="D18268" t="inlineStr">
        <is>
          <t>NIL</t>
        </is>
      </c>
      <c r="E18268" t="n">
        <v>412</v>
      </c>
    </row>
    <row r="18269">
      <c r="A18269" t="inlineStr">
        <is>
          <t>27BBBBB18269Z5</t>
        </is>
      </c>
      <c r="B18269" t="inlineStr">
        <is>
          <t>Dec-2017</t>
        </is>
      </c>
      <c r="C18269" s="2" t="n">
        <v>43281</v>
      </c>
      <c r="D18269" t="inlineStr">
        <is>
          <t>NON-NIL</t>
        </is>
      </c>
      <c r="E18269" t="n">
        <v>1658</v>
      </c>
    </row>
    <row r="18270">
      <c r="A18270" t="inlineStr">
        <is>
          <t>27BBBBB18270Z5</t>
        </is>
      </c>
      <c r="B18270" t="inlineStr">
        <is>
          <t>May-2018</t>
        </is>
      </c>
      <c r="C18270" s="2" t="n">
        <v>43069</v>
      </c>
      <c r="D18270" t="inlineStr">
        <is>
          <t>NON-NIL</t>
        </is>
      </c>
      <c r="E18270" t="n">
        <v>390</v>
      </c>
    </row>
    <row r="18271">
      <c r="A18271" t="inlineStr">
        <is>
          <t>27BBBBB18271Z5</t>
        </is>
      </c>
      <c r="B18271" t="inlineStr">
        <is>
          <t>Aug-2018</t>
        </is>
      </c>
      <c r="C18271" s="2" t="n">
        <v>43758</v>
      </c>
      <c r="D18271" t="inlineStr">
        <is>
          <t>NIL</t>
        </is>
      </c>
      <c r="E18271" t="n">
        <v>360</v>
      </c>
    </row>
    <row r="18272">
      <c r="A18272" t="inlineStr">
        <is>
          <t>27BBBBB18272Z5</t>
        </is>
      </c>
      <c r="B18272" t="inlineStr">
        <is>
          <t>Dec-2024</t>
        </is>
      </c>
      <c r="C18272" s="2" t="n">
        <v>44254</v>
      </c>
      <c r="D18272" t="inlineStr">
        <is>
          <t>NIL</t>
        </is>
      </c>
      <c r="E18272" t="n">
        <v>2852</v>
      </c>
    </row>
    <row r="18273">
      <c r="A18273" t="inlineStr">
        <is>
          <t>27BBBBB18273Z5</t>
        </is>
      </c>
      <c r="B18273" t="inlineStr">
        <is>
          <t>Jul-2018</t>
        </is>
      </c>
      <c r="C18273" s="2" t="n">
        <v>43399</v>
      </c>
      <c r="D18273" t="inlineStr">
        <is>
          <t>NON-NIL</t>
        </is>
      </c>
      <c r="E18273" t="n">
        <v>64</v>
      </c>
    </row>
    <row r="18274">
      <c r="A18274" t="inlineStr">
        <is>
          <t>27BBBBB18274Z5</t>
        </is>
      </c>
      <c r="B18274" t="inlineStr">
        <is>
          <t>Jan-2018</t>
        </is>
      </c>
      <c r="C18274" s="2" t="n">
        <v>43018</v>
      </c>
      <c r="D18274" t="inlineStr">
        <is>
          <t>NON-NIL</t>
        </is>
      </c>
      <c r="E18274" t="n">
        <v>2147</v>
      </c>
    </row>
    <row r="18275">
      <c r="A18275" t="inlineStr">
        <is>
          <t>27BBBBB18275Z5</t>
        </is>
      </c>
      <c r="B18275" t="inlineStr">
        <is>
          <t>Nov-2017</t>
        </is>
      </c>
      <c r="C18275" s="2" t="n">
        <v>43049</v>
      </c>
      <c r="D18275" t="inlineStr">
        <is>
          <t>NIL</t>
        </is>
      </c>
      <c r="E18275" t="n">
        <v>567</v>
      </c>
    </row>
    <row r="18276">
      <c r="A18276" t="inlineStr">
        <is>
          <t>27BBBBB18276Z5</t>
        </is>
      </c>
      <c r="B18276" t="inlineStr">
        <is>
          <t>Feb-2018</t>
        </is>
      </c>
      <c r="C18276" s="2" t="n">
        <v>43699</v>
      </c>
      <c r="D18276" t="inlineStr">
        <is>
          <t>NIL</t>
        </is>
      </c>
      <c r="E18276" t="n">
        <v>2179</v>
      </c>
    </row>
    <row r="18277">
      <c r="A18277" t="inlineStr">
        <is>
          <t>27BBBBB18277Z5</t>
        </is>
      </c>
      <c r="B18277" t="inlineStr">
        <is>
          <t>Mar-2020</t>
        </is>
      </c>
      <c r="C18277" s="2" t="n">
        <v>44173</v>
      </c>
      <c r="D18277" t="inlineStr">
        <is>
          <t>NON-NIL</t>
        </is>
      </c>
      <c r="E18277" t="n">
        <v>2799</v>
      </c>
    </row>
    <row r="18278">
      <c r="A18278" t="inlineStr">
        <is>
          <t>27BBBBB18278Z5</t>
        </is>
      </c>
      <c r="B18278" t="inlineStr">
        <is>
          <t>Dec-2024</t>
        </is>
      </c>
      <c r="C18278" s="2" t="n">
        <v>45457</v>
      </c>
      <c r="D18278" t="inlineStr">
        <is>
          <t>NON-NIL</t>
        </is>
      </c>
      <c r="E18278" t="n">
        <v>1792</v>
      </c>
    </row>
    <row r="18279">
      <c r="A18279" t="inlineStr">
        <is>
          <t>27BBBBB18279Z5</t>
        </is>
      </c>
      <c r="B18279" t="inlineStr">
        <is>
          <t>Mar-2020</t>
        </is>
      </c>
      <c r="C18279" s="2" t="n">
        <v>43858</v>
      </c>
      <c r="D18279" t="inlineStr">
        <is>
          <t>NON-NIL</t>
        </is>
      </c>
      <c r="E18279" t="n">
        <v>27</v>
      </c>
    </row>
    <row r="18280">
      <c r="A18280" t="inlineStr">
        <is>
          <t>27BBBBB18280Z5</t>
        </is>
      </c>
      <c r="B18280" t="inlineStr">
        <is>
          <t>Dec-2022</t>
        </is>
      </c>
      <c r="C18280" s="2" t="n">
        <v>44257</v>
      </c>
      <c r="D18280" t="inlineStr">
        <is>
          <t>NIL</t>
        </is>
      </c>
      <c r="E18280" t="n">
        <v>72</v>
      </c>
    </row>
    <row r="18281">
      <c r="A18281" t="inlineStr">
        <is>
          <t>27BBBBB18281Z5</t>
        </is>
      </c>
      <c r="B18281" t="inlineStr">
        <is>
          <t>Mar-2020</t>
        </is>
      </c>
      <c r="C18281" s="2" t="n">
        <v>44014</v>
      </c>
      <c r="D18281" t="inlineStr">
        <is>
          <t>NON-NIL</t>
        </is>
      </c>
      <c r="E18281" t="n">
        <v>652</v>
      </c>
    </row>
    <row r="18282">
      <c r="A18282" t="inlineStr">
        <is>
          <t>27BBBBB18282Z5</t>
        </is>
      </c>
      <c r="B18282" t="inlineStr">
        <is>
          <t>Sep-2017</t>
        </is>
      </c>
      <c r="C18282" s="2" t="n">
        <v>43596</v>
      </c>
      <c r="D18282" t="inlineStr">
        <is>
          <t>NON-NIL</t>
        </is>
      </c>
      <c r="E18282" t="n">
        <v>1540</v>
      </c>
    </row>
    <row r="18283">
      <c r="A18283" t="inlineStr">
        <is>
          <t>27BBBBB18283Z5</t>
        </is>
      </c>
      <c r="B18283" t="inlineStr">
        <is>
          <t>Mar-2018</t>
        </is>
      </c>
      <c r="C18283" s="2" t="n">
        <v>43694</v>
      </c>
      <c r="D18283" t="inlineStr">
        <is>
          <t>NIL</t>
        </is>
      </c>
      <c r="E18283" t="n">
        <v>2803</v>
      </c>
    </row>
    <row r="18284">
      <c r="A18284" t="inlineStr">
        <is>
          <t>27BBBBB18284Z5</t>
        </is>
      </c>
      <c r="B18284" t="inlineStr">
        <is>
          <t>Mar-2020</t>
        </is>
      </c>
      <c r="C18284" s="2" t="n">
        <v>44121</v>
      </c>
      <c r="D18284" t="inlineStr">
        <is>
          <t>NIL</t>
        </is>
      </c>
      <c r="E18284" t="n">
        <v>2167</v>
      </c>
    </row>
    <row r="18285">
      <c r="A18285" t="inlineStr">
        <is>
          <t>27BBBBB18285Z5</t>
        </is>
      </c>
      <c r="B18285" t="inlineStr">
        <is>
          <t>May-2018</t>
        </is>
      </c>
      <c r="C18285" s="2" t="n">
        <v>43638</v>
      </c>
      <c r="D18285" t="inlineStr">
        <is>
          <t>NIL</t>
        </is>
      </c>
      <c r="E18285" t="n">
        <v>738</v>
      </c>
    </row>
    <row r="18286">
      <c r="A18286" t="inlineStr">
        <is>
          <t>27BBBBB18286Z5</t>
        </is>
      </c>
      <c r="B18286" t="inlineStr">
        <is>
          <t>Dec-2018</t>
        </is>
      </c>
      <c r="C18286" s="2" t="n">
        <v>44323</v>
      </c>
      <c r="D18286" t="inlineStr">
        <is>
          <t>NIL</t>
        </is>
      </c>
      <c r="E18286" t="n">
        <v>736</v>
      </c>
    </row>
    <row r="18287">
      <c r="A18287" t="inlineStr">
        <is>
          <t>27BBBBB18287Z5</t>
        </is>
      </c>
      <c r="B18287" t="inlineStr">
        <is>
          <t>Nov-2018</t>
        </is>
      </c>
      <c r="C18287" s="2" t="n">
        <v>43698</v>
      </c>
      <c r="D18287" t="inlineStr">
        <is>
          <t>NON-NIL</t>
        </is>
      </c>
      <c r="E18287" t="n">
        <v>1081</v>
      </c>
    </row>
    <row r="18288">
      <c r="A18288" t="inlineStr">
        <is>
          <t>27BBBBB18288Z5</t>
        </is>
      </c>
      <c r="B18288" t="inlineStr">
        <is>
          <t>Jul-2020</t>
        </is>
      </c>
      <c r="C18288" s="2" t="n">
        <v>44057</v>
      </c>
      <c r="D18288" t="inlineStr">
        <is>
          <t>NON-NIL</t>
        </is>
      </c>
      <c r="E18288" t="n">
        <v>407</v>
      </c>
    </row>
    <row r="18289">
      <c r="A18289" t="inlineStr">
        <is>
          <t>27BBBBB18289Z5</t>
        </is>
      </c>
      <c r="B18289" t="inlineStr">
        <is>
          <t>Dec-2018</t>
        </is>
      </c>
      <c r="C18289" s="2" t="n">
        <v>43332</v>
      </c>
      <c r="D18289" t="inlineStr">
        <is>
          <t>NON-NIL</t>
        </is>
      </c>
      <c r="E18289" t="n">
        <v>1648</v>
      </c>
    </row>
    <row r="18290">
      <c r="A18290" t="inlineStr">
        <is>
          <t>27BBBBB18290Z5</t>
        </is>
      </c>
      <c r="B18290" t="inlineStr">
        <is>
          <t>Aug-2018</t>
        </is>
      </c>
      <c r="C18290" s="2" t="n">
        <v>44093</v>
      </c>
      <c r="D18290" t="inlineStr">
        <is>
          <t>NON-NIL</t>
        </is>
      </c>
      <c r="E18290" t="n">
        <v>2801</v>
      </c>
    </row>
    <row r="18291">
      <c r="A18291" t="inlineStr">
        <is>
          <t>27BBBBB18291Z5</t>
        </is>
      </c>
      <c r="B18291" t="inlineStr">
        <is>
          <t>Jul-2017</t>
        </is>
      </c>
      <c r="C18291" s="2" t="n">
        <v>43954</v>
      </c>
      <c r="D18291" t="inlineStr">
        <is>
          <t>NON-NIL</t>
        </is>
      </c>
      <c r="E18291" t="n">
        <v>446</v>
      </c>
    </row>
    <row r="18292">
      <c r="A18292" t="inlineStr">
        <is>
          <t>27BBBBB18292Z5</t>
        </is>
      </c>
      <c r="B18292" t="inlineStr">
        <is>
          <t>Dec-2018</t>
        </is>
      </c>
      <c r="C18292" s="2" t="n">
        <v>43544</v>
      </c>
      <c r="D18292" t="inlineStr">
        <is>
          <t>NIL</t>
        </is>
      </c>
      <c r="E18292" t="n">
        <v>1574</v>
      </c>
    </row>
    <row r="18293">
      <c r="A18293" t="inlineStr">
        <is>
          <t>27BBBBB18293Z5</t>
        </is>
      </c>
      <c r="B18293" t="inlineStr">
        <is>
          <t>Jul-2020</t>
        </is>
      </c>
      <c r="C18293" s="2" t="n">
        <v>43926</v>
      </c>
      <c r="D18293" t="inlineStr">
        <is>
          <t>NON-NIL</t>
        </is>
      </c>
      <c r="E18293" t="n">
        <v>1239</v>
      </c>
    </row>
    <row r="18294">
      <c r="A18294" t="inlineStr">
        <is>
          <t>27BBBBB18294Z5</t>
        </is>
      </c>
      <c r="B18294" t="inlineStr">
        <is>
          <t>Jan-2018</t>
        </is>
      </c>
      <c r="C18294" s="2" t="n">
        <v>44042</v>
      </c>
      <c r="D18294" t="inlineStr">
        <is>
          <t>NIL</t>
        </is>
      </c>
      <c r="E18294" t="n">
        <v>2443</v>
      </c>
    </row>
    <row r="18295">
      <c r="A18295" t="inlineStr">
        <is>
          <t>27BBBBB18295Z5</t>
        </is>
      </c>
      <c r="B18295" t="inlineStr">
        <is>
          <t>Jan-2018</t>
        </is>
      </c>
      <c r="C18295" s="2" t="n">
        <v>43184</v>
      </c>
      <c r="D18295" t="inlineStr">
        <is>
          <t>NON-NIL</t>
        </is>
      </c>
      <c r="E18295" t="n">
        <v>1279</v>
      </c>
    </row>
    <row r="18296">
      <c r="A18296" t="inlineStr">
        <is>
          <t>27BBBBB18296Z5</t>
        </is>
      </c>
      <c r="B18296" t="inlineStr">
        <is>
          <t>Jan-2018</t>
        </is>
      </c>
      <c r="C18296" s="2" t="n">
        <v>43655</v>
      </c>
      <c r="D18296" t="inlineStr">
        <is>
          <t>NIL</t>
        </is>
      </c>
      <c r="E18296" t="n">
        <v>2231</v>
      </c>
    </row>
    <row r="18297">
      <c r="A18297" t="inlineStr">
        <is>
          <t>27BBBBB18297Z5</t>
        </is>
      </c>
      <c r="B18297" t="inlineStr">
        <is>
          <t>Jan-2018</t>
        </is>
      </c>
      <c r="C18297" s="2" t="n">
        <v>43515</v>
      </c>
      <c r="D18297" t="inlineStr">
        <is>
          <t>NIL</t>
        </is>
      </c>
      <c r="E18297" t="n">
        <v>35</v>
      </c>
    </row>
    <row r="18298">
      <c r="A18298" t="inlineStr">
        <is>
          <t>27BBBBB18298Z5</t>
        </is>
      </c>
      <c r="B18298" t="inlineStr">
        <is>
          <t>Dec-2024</t>
        </is>
      </c>
      <c r="C18298" s="2" t="n">
        <v>44396</v>
      </c>
      <c r="D18298" t="inlineStr">
        <is>
          <t>NIL</t>
        </is>
      </c>
      <c r="E18298" t="n">
        <v>2223</v>
      </c>
    </row>
    <row r="18299">
      <c r="A18299" t="inlineStr">
        <is>
          <t>27BBBBB18299Z5</t>
        </is>
      </c>
      <c r="B18299" t="inlineStr">
        <is>
          <t>Feb-2018</t>
        </is>
      </c>
      <c r="C18299" s="2" t="n">
        <v>42937</v>
      </c>
      <c r="D18299" t="inlineStr">
        <is>
          <t>NIL</t>
        </is>
      </c>
      <c r="E18299" t="n">
        <v>1189</v>
      </c>
    </row>
    <row r="18300">
      <c r="A18300" t="inlineStr">
        <is>
          <t>27BBBBB18300Z5</t>
        </is>
      </c>
      <c r="B18300" t="inlineStr">
        <is>
          <t>Jan-2021</t>
        </is>
      </c>
      <c r="C18300" s="2" t="n">
        <v>43668</v>
      </c>
      <c r="D18300" t="inlineStr">
        <is>
          <t>NON-NIL</t>
        </is>
      </c>
      <c r="E18300" t="n">
        <v>1742</v>
      </c>
    </row>
    <row r="18301">
      <c r="A18301" t="inlineStr">
        <is>
          <t>27BBBBB18301Z5</t>
        </is>
      </c>
      <c r="B18301" t="inlineStr">
        <is>
          <t>Nov-2017</t>
        </is>
      </c>
      <c r="C18301" s="2" t="n">
        <v>43600</v>
      </c>
      <c r="D18301" t="inlineStr">
        <is>
          <t>NON-NIL</t>
        </is>
      </c>
      <c r="E18301" t="n">
        <v>1086</v>
      </c>
    </row>
    <row r="18302">
      <c r="A18302" t="inlineStr">
        <is>
          <t>27BBBBB18302Z5</t>
        </is>
      </c>
      <c r="B18302" t="inlineStr">
        <is>
          <t>Mar-2021</t>
        </is>
      </c>
      <c r="C18302" s="2" t="n">
        <v>44694</v>
      </c>
      <c r="D18302" t="inlineStr">
        <is>
          <t>NON-NIL</t>
        </is>
      </c>
      <c r="E18302" t="n">
        <v>1329</v>
      </c>
    </row>
    <row r="18303">
      <c r="A18303" t="inlineStr">
        <is>
          <t>27BBBBB18303Z5</t>
        </is>
      </c>
      <c r="B18303" t="inlineStr">
        <is>
          <t>Jan-2018</t>
        </is>
      </c>
      <c r="C18303" s="2" t="n">
        <v>43106</v>
      </c>
      <c r="D18303" t="inlineStr">
        <is>
          <t>NIL</t>
        </is>
      </c>
      <c r="E18303" t="n">
        <v>1512</v>
      </c>
    </row>
    <row r="18304">
      <c r="A18304" t="inlineStr">
        <is>
          <t>27BBBBB18304Z5</t>
        </is>
      </c>
      <c r="B18304" t="inlineStr">
        <is>
          <t>Jun-2018</t>
        </is>
      </c>
      <c r="C18304" s="2" t="n">
        <v>44172</v>
      </c>
      <c r="D18304" t="inlineStr">
        <is>
          <t>NIL</t>
        </is>
      </c>
      <c r="E18304" t="n">
        <v>2051</v>
      </c>
    </row>
    <row r="18305">
      <c r="A18305" t="inlineStr">
        <is>
          <t>27BBBBB18305Z5</t>
        </is>
      </c>
      <c r="B18305" t="inlineStr">
        <is>
          <t>Nov-2018</t>
        </is>
      </c>
      <c r="C18305" s="2" t="n">
        <v>43646</v>
      </c>
      <c r="D18305" t="inlineStr">
        <is>
          <t>NIL</t>
        </is>
      </c>
      <c r="E18305" t="n">
        <v>2931</v>
      </c>
    </row>
    <row r="18306">
      <c r="A18306" t="inlineStr">
        <is>
          <t>27BBBBB18306Z5</t>
        </is>
      </c>
      <c r="B18306" t="inlineStr">
        <is>
          <t>Apr-2018</t>
        </is>
      </c>
      <c r="C18306" s="2" t="n">
        <v>43437</v>
      </c>
      <c r="D18306" t="inlineStr">
        <is>
          <t>NON-NIL</t>
        </is>
      </c>
      <c r="E18306" t="n">
        <v>2303</v>
      </c>
    </row>
    <row r="18307">
      <c r="A18307" t="inlineStr">
        <is>
          <t>27BBBBB18307Z5</t>
        </is>
      </c>
      <c r="B18307" t="inlineStr">
        <is>
          <t>Mar-2021</t>
        </is>
      </c>
      <c r="C18307" s="2" t="n">
        <v>44992</v>
      </c>
      <c r="D18307" t="inlineStr">
        <is>
          <t>NIL</t>
        </is>
      </c>
      <c r="E18307" t="n">
        <v>107</v>
      </c>
    </row>
    <row r="18308">
      <c r="A18308" t="inlineStr">
        <is>
          <t>27BBBBB18308Z5</t>
        </is>
      </c>
      <c r="B18308" t="inlineStr">
        <is>
          <t>Sep-2018</t>
        </is>
      </c>
      <c r="C18308" s="2" t="n">
        <v>43176</v>
      </c>
      <c r="D18308" t="inlineStr">
        <is>
          <t>NON-NIL</t>
        </is>
      </c>
      <c r="E18308" t="n">
        <v>2604</v>
      </c>
    </row>
    <row r="18309">
      <c r="A18309" t="inlineStr">
        <is>
          <t>27BBBBB18309Z5</t>
        </is>
      </c>
      <c r="B18309" t="inlineStr">
        <is>
          <t>Mar-2018</t>
        </is>
      </c>
      <c r="C18309" s="2" t="n">
        <v>44086</v>
      </c>
      <c r="D18309" t="inlineStr">
        <is>
          <t>NON-NIL</t>
        </is>
      </c>
      <c r="E18309" t="n">
        <v>2326</v>
      </c>
    </row>
    <row r="18310">
      <c r="A18310" t="inlineStr">
        <is>
          <t>27BBBBB18310Z5</t>
        </is>
      </c>
      <c r="B18310" t="inlineStr">
        <is>
          <t>Sep-2017</t>
        </is>
      </c>
      <c r="C18310" s="2" t="n">
        <v>43755</v>
      </c>
      <c r="D18310" t="inlineStr">
        <is>
          <t>NON-NIL</t>
        </is>
      </c>
      <c r="E18310" t="n">
        <v>42</v>
      </c>
    </row>
    <row r="18311">
      <c r="A18311" t="inlineStr">
        <is>
          <t>27BBBBB18311Z5</t>
        </is>
      </c>
      <c r="B18311" t="inlineStr">
        <is>
          <t>May-2020</t>
        </is>
      </c>
      <c r="C18311" s="2" t="n">
        <v>44869</v>
      </c>
      <c r="D18311" t="inlineStr">
        <is>
          <t>NON-NIL</t>
        </is>
      </c>
      <c r="E18311" t="n">
        <v>412</v>
      </c>
    </row>
    <row r="18312">
      <c r="A18312" t="inlineStr">
        <is>
          <t>27BBBBB18312Z5</t>
        </is>
      </c>
      <c r="B18312" t="inlineStr">
        <is>
          <t>Sep-2017</t>
        </is>
      </c>
      <c r="C18312" s="2" t="n">
        <v>43125</v>
      </c>
      <c r="D18312" t="inlineStr">
        <is>
          <t>NON-NIL</t>
        </is>
      </c>
      <c r="E18312" t="n">
        <v>1138</v>
      </c>
    </row>
    <row r="18313">
      <c r="A18313" t="inlineStr">
        <is>
          <t>27BBBBB18313Z5</t>
        </is>
      </c>
      <c r="B18313" t="inlineStr">
        <is>
          <t>May-2020</t>
        </is>
      </c>
      <c r="C18313" s="2" t="n">
        <v>43942</v>
      </c>
      <c r="D18313" t="inlineStr">
        <is>
          <t>NON-NIL</t>
        </is>
      </c>
      <c r="E18313" t="n">
        <v>1272</v>
      </c>
    </row>
    <row r="18314">
      <c r="A18314" t="inlineStr">
        <is>
          <t>27BBBBB18314Z5</t>
        </is>
      </c>
      <c r="B18314" t="inlineStr">
        <is>
          <t>Jul-2017</t>
        </is>
      </c>
      <c r="C18314" s="2" t="n">
        <v>43596</v>
      </c>
      <c r="D18314" t="inlineStr">
        <is>
          <t>NIL</t>
        </is>
      </c>
      <c r="E18314" t="n">
        <v>614</v>
      </c>
    </row>
    <row r="18315">
      <c r="A18315" t="inlineStr">
        <is>
          <t>27BBBBB18315Z5</t>
        </is>
      </c>
      <c r="B18315" t="inlineStr">
        <is>
          <t>Jun-2018</t>
        </is>
      </c>
      <c r="C18315" s="2" t="n">
        <v>43820</v>
      </c>
      <c r="D18315" t="inlineStr">
        <is>
          <t>NIL</t>
        </is>
      </c>
      <c r="E18315" t="n">
        <v>1466</v>
      </c>
    </row>
    <row r="18316">
      <c r="A18316" t="inlineStr">
        <is>
          <t>27BBBBB18316Z5</t>
        </is>
      </c>
      <c r="B18316" t="inlineStr">
        <is>
          <t>Mar-2020</t>
        </is>
      </c>
      <c r="C18316" s="2" t="n">
        <v>43985</v>
      </c>
      <c r="D18316" t="inlineStr">
        <is>
          <t>NIL</t>
        </is>
      </c>
      <c r="E18316" t="n">
        <v>76</v>
      </c>
    </row>
    <row r="18317">
      <c r="A18317" t="inlineStr">
        <is>
          <t>27BBBBB18317Z5</t>
        </is>
      </c>
      <c r="B18317" t="inlineStr">
        <is>
          <t>Mar-2021</t>
        </is>
      </c>
      <c r="C18317" s="2" t="n">
        <v>43508</v>
      </c>
      <c r="D18317" t="inlineStr">
        <is>
          <t>NIL</t>
        </is>
      </c>
      <c r="E18317" t="n">
        <v>862</v>
      </c>
    </row>
    <row r="18318">
      <c r="A18318" t="inlineStr">
        <is>
          <t>27BBBBB18318Z5</t>
        </is>
      </c>
      <c r="B18318" t="inlineStr">
        <is>
          <t>Jun-2020</t>
        </is>
      </c>
      <c r="C18318" s="2" t="n">
        <v>44785</v>
      </c>
      <c r="D18318" t="inlineStr">
        <is>
          <t>NON-NIL</t>
        </is>
      </c>
      <c r="E18318" t="n">
        <v>722</v>
      </c>
    </row>
    <row r="18319">
      <c r="A18319" t="inlineStr">
        <is>
          <t>27BBBBB18319Z5</t>
        </is>
      </c>
      <c r="B18319" t="inlineStr">
        <is>
          <t>Dec-2022</t>
        </is>
      </c>
      <c r="C18319" s="2" t="n">
        <v>45820</v>
      </c>
      <c r="D18319" t="inlineStr">
        <is>
          <t>NON-NIL</t>
        </is>
      </c>
      <c r="E18319" t="n">
        <v>1319</v>
      </c>
    </row>
    <row r="18320">
      <c r="A18320" t="inlineStr">
        <is>
          <t>27BBBBB18320Z5</t>
        </is>
      </c>
      <c r="B18320" t="inlineStr">
        <is>
          <t>May-2018</t>
        </is>
      </c>
      <c r="C18320" s="2" t="n">
        <v>43990</v>
      </c>
      <c r="D18320" t="inlineStr">
        <is>
          <t>NIL</t>
        </is>
      </c>
      <c r="E18320" t="n">
        <v>1843</v>
      </c>
    </row>
    <row r="18321">
      <c r="A18321" t="inlineStr">
        <is>
          <t>27BBBBB18321Z5</t>
        </is>
      </c>
      <c r="B18321" t="inlineStr">
        <is>
          <t>May-2018</t>
        </is>
      </c>
      <c r="C18321" s="2" t="n">
        <v>43387</v>
      </c>
      <c r="D18321" t="inlineStr">
        <is>
          <t>NIL</t>
        </is>
      </c>
      <c r="E18321" t="n">
        <v>1749</v>
      </c>
    </row>
    <row r="18322">
      <c r="A18322" t="inlineStr">
        <is>
          <t>27BBBBB18322Z5</t>
        </is>
      </c>
      <c r="B18322" t="inlineStr">
        <is>
          <t>Mar-2021</t>
        </is>
      </c>
      <c r="C18322" s="2" t="n">
        <v>44113</v>
      </c>
      <c r="D18322" t="inlineStr">
        <is>
          <t>NIL</t>
        </is>
      </c>
      <c r="E18322" t="n">
        <v>2607</v>
      </c>
    </row>
    <row r="18323">
      <c r="A18323" t="inlineStr">
        <is>
          <t>27BBBBB18323Z5</t>
        </is>
      </c>
      <c r="B18323" t="inlineStr">
        <is>
          <t>Sep-2018</t>
        </is>
      </c>
      <c r="C18323" s="2" t="n">
        <v>44385</v>
      </c>
      <c r="D18323" t="inlineStr">
        <is>
          <t>NIL</t>
        </is>
      </c>
      <c r="E18323" t="n">
        <v>751</v>
      </c>
    </row>
    <row r="18324">
      <c r="A18324" t="inlineStr">
        <is>
          <t>27BBBBB18324Z5</t>
        </is>
      </c>
      <c r="B18324" t="inlineStr">
        <is>
          <t>Sep-2018</t>
        </is>
      </c>
      <c r="C18324" s="2" t="n">
        <v>44395</v>
      </c>
      <c r="D18324" t="inlineStr">
        <is>
          <t>NON-NIL</t>
        </is>
      </c>
      <c r="E18324" t="n">
        <v>485</v>
      </c>
    </row>
    <row r="18325">
      <c r="A18325" t="inlineStr">
        <is>
          <t>27BBBBB18325Z5</t>
        </is>
      </c>
      <c r="B18325" t="inlineStr">
        <is>
          <t>Apr-2020</t>
        </is>
      </c>
      <c r="C18325" s="2" t="n">
        <v>44318</v>
      </c>
      <c r="D18325" t="inlineStr">
        <is>
          <t>NON-NIL</t>
        </is>
      </c>
      <c r="E18325" t="n">
        <v>2505</v>
      </c>
    </row>
    <row r="18326">
      <c r="A18326" t="inlineStr">
        <is>
          <t>27BBBBB18326Z5</t>
        </is>
      </c>
      <c r="B18326" t="inlineStr">
        <is>
          <t>Jun-2018</t>
        </is>
      </c>
      <c r="C18326" s="2" t="n">
        <v>43951</v>
      </c>
      <c r="D18326" t="inlineStr">
        <is>
          <t>NON-NIL</t>
        </is>
      </c>
      <c r="E18326" t="n">
        <v>408</v>
      </c>
    </row>
    <row r="18327">
      <c r="A18327" t="inlineStr">
        <is>
          <t>27BBBBB18327Z5</t>
        </is>
      </c>
      <c r="B18327" t="inlineStr">
        <is>
          <t>Aug-2018</t>
        </is>
      </c>
      <c r="C18327" s="2" t="n">
        <v>44516</v>
      </c>
      <c r="D18327" t="inlineStr">
        <is>
          <t>NIL</t>
        </is>
      </c>
      <c r="E18327" t="n">
        <v>1296</v>
      </c>
    </row>
    <row r="18328">
      <c r="A18328" t="inlineStr">
        <is>
          <t>27BBBBB18328Z5</t>
        </is>
      </c>
      <c r="B18328" t="inlineStr">
        <is>
          <t>Mar-2020</t>
        </is>
      </c>
      <c r="C18328" s="2" t="n">
        <v>44676</v>
      </c>
      <c r="D18328" t="inlineStr">
        <is>
          <t>NON-NIL</t>
        </is>
      </c>
      <c r="E18328" t="n">
        <v>2396</v>
      </c>
    </row>
    <row r="18329">
      <c r="A18329" t="inlineStr">
        <is>
          <t>27BBBBB18329Z5</t>
        </is>
      </c>
      <c r="B18329" t="inlineStr">
        <is>
          <t>Jun-2018</t>
        </is>
      </c>
      <c r="C18329" s="2" t="n">
        <v>43743</v>
      </c>
      <c r="D18329" t="inlineStr">
        <is>
          <t>NIL</t>
        </is>
      </c>
      <c r="E18329" t="n">
        <v>1421</v>
      </c>
    </row>
    <row r="18330">
      <c r="A18330" t="inlineStr">
        <is>
          <t>27BBBBB18330Z5</t>
        </is>
      </c>
      <c r="B18330" t="inlineStr">
        <is>
          <t>Sep-2017</t>
        </is>
      </c>
      <c r="C18330" s="2" t="n">
        <v>43006</v>
      </c>
      <c r="D18330" t="inlineStr">
        <is>
          <t>NIL</t>
        </is>
      </c>
      <c r="E18330" t="n">
        <v>274</v>
      </c>
    </row>
    <row r="18331">
      <c r="A18331" t="inlineStr">
        <is>
          <t>27BBBBB18331Z5</t>
        </is>
      </c>
      <c r="B18331" t="inlineStr">
        <is>
          <t>Aug-2017</t>
        </is>
      </c>
      <c r="C18331" s="2" t="n">
        <v>43217</v>
      </c>
      <c r="D18331" t="inlineStr">
        <is>
          <t>NIL</t>
        </is>
      </c>
      <c r="E18331" t="n">
        <v>2288</v>
      </c>
    </row>
    <row r="18332">
      <c r="A18332" t="inlineStr">
        <is>
          <t>27BBBBB18332Z5</t>
        </is>
      </c>
      <c r="B18332" t="inlineStr">
        <is>
          <t>Mar-2018</t>
        </is>
      </c>
      <c r="C18332" s="2" t="n">
        <v>44053</v>
      </c>
      <c r="D18332" t="inlineStr">
        <is>
          <t>NON-NIL</t>
        </is>
      </c>
      <c r="E18332" t="n">
        <v>2518</v>
      </c>
    </row>
    <row r="18333">
      <c r="A18333" t="inlineStr">
        <is>
          <t>27BBBBB18333Z5</t>
        </is>
      </c>
      <c r="B18333" t="inlineStr">
        <is>
          <t>Feb-2018</t>
        </is>
      </c>
      <c r="C18333" s="2" t="n">
        <v>42966</v>
      </c>
      <c r="D18333" t="inlineStr">
        <is>
          <t>NON-NIL</t>
        </is>
      </c>
      <c r="E18333" t="n">
        <v>1130</v>
      </c>
    </row>
    <row r="18334">
      <c r="A18334" t="inlineStr">
        <is>
          <t>27BBBBB18334Z5</t>
        </is>
      </c>
      <c r="B18334" t="inlineStr">
        <is>
          <t>Mar-2023</t>
        </is>
      </c>
      <c r="C18334" s="2" t="n">
        <v>45659</v>
      </c>
      <c r="D18334" t="inlineStr">
        <is>
          <t>NIL</t>
        </is>
      </c>
      <c r="E18334" t="n">
        <v>1953</v>
      </c>
    </row>
    <row r="18335">
      <c r="A18335" t="inlineStr">
        <is>
          <t>27BBBBB18335Z5</t>
        </is>
      </c>
      <c r="B18335" t="inlineStr">
        <is>
          <t>Jun-2020</t>
        </is>
      </c>
      <c r="C18335" s="2" t="n">
        <v>44760</v>
      </c>
      <c r="D18335" t="inlineStr">
        <is>
          <t>NON-NIL</t>
        </is>
      </c>
      <c r="E18335" t="n">
        <v>2245</v>
      </c>
    </row>
    <row r="18336">
      <c r="A18336" t="inlineStr">
        <is>
          <t>27BBBBB18336Z5</t>
        </is>
      </c>
      <c r="B18336" t="inlineStr">
        <is>
          <t>Dec-2022</t>
        </is>
      </c>
      <c r="C18336" s="2" t="n">
        <v>43931</v>
      </c>
      <c r="D18336" t="inlineStr">
        <is>
          <t>NIL</t>
        </is>
      </c>
      <c r="E18336" t="n">
        <v>984</v>
      </c>
    </row>
    <row r="18337">
      <c r="A18337" t="inlineStr">
        <is>
          <t>27BBBBB18337Z5</t>
        </is>
      </c>
      <c r="B18337" t="inlineStr">
        <is>
          <t>Dec-2017</t>
        </is>
      </c>
      <c r="C18337" s="2" t="n">
        <v>43489</v>
      </c>
      <c r="D18337" t="inlineStr">
        <is>
          <t>NON-NIL</t>
        </is>
      </c>
      <c r="E18337" t="n">
        <v>372</v>
      </c>
    </row>
    <row r="18338">
      <c r="A18338" t="inlineStr">
        <is>
          <t>27BBBBB18338Z5</t>
        </is>
      </c>
      <c r="B18338" t="inlineStr">
        <is>
          <t>Sep-2018</t>
        </is>
      </c>
      <c r="C18338" s="2" t="n">
        <v>43367</v>
      </c>
      <c r="D18338" t="inlineStr">
        <is>
          <t>NON-NIL</t>
        </is>
      </c>
      <c r="E18338" t="n">
        <v>1645</v>
      </c>
    </row>
    <row r="18339">
      <c r="A18339" t="inlineStr">
        <is>
          <t>27BBBBB18339Z5</t>
        </is>
      </c>
      <c r="B18339" t="inlineStr">
        <is>
          <t>May-2018</t>
        </is>
      </c>
      <c r="C18339" s="2" t="n">
        <v>44013</v>
      </c>
      <c r="D18339" t="inlineStr">
        <is>
          <t>NON-NIL</t>
        </is>
      </c>
      <c r="E18339" t="n">
        <v>136</v>
      </c>
    </row>
    <row r="18340">
      <c r="A18340" t="inlineStr">
        <is>
          <t>27BBBBB18340Z5</t>
        </is>
      </c>
      <c r="B18340" t="inlineStr">
        <is>
          <t>Nov-2018</t>
        </is>
      </c>
      <c r="C18340" s="2" t="n">
        <v>44394</v>
      </c>
      <c r="D18340" t="inlineStr">
        <is>
          <t>NIL</t>
        </is>
      </c>
      <c r="E18340" t="n">
        <v>595</v>
      </c>
    </row>
    <row r="18341">
      <c r="A18341" t="inlineStr">
        <is>
          <t>27BBBBB18341Z5</t>
        </is>
      </c>
      <c r="B18341" t="inlineStr">
        <is>
          <t>Jan-2018</t>
        </is>
      </c>
      <c r="C18341" s="2" t="n">
        <v>43603</v>
      </c>
      <c r="D18341" t="inlineStr">
        <is>
          <t>NIL</t>
        </is>
      </c>
      <c r="E18341" t="n">
        <v>1664</v>
      </c>
    </row>
    <row r="18342">
      <c r="A18342" t="inlineStr">
        <is>
          <t>27BBBBB18342Z5</t>
        </is>
      </c>
      <c r="B18342" t="inlineStr">
        <is>
          <t>Oct-2018</t>
        </is>
      </c>
      <c r="C18342" s="2" t="n">
        <v>43020</v>
      </c>
      <c r="D18342" t="inlineStr">
        <is>
          <t>NIL</t>
        </is>
      </c>
      <c r="E18342" t="n">
        <v>1464</v>
      </c>
    </row>
    <row r="18343">
      <c r="A18343" t="inlineStr">
        <is>
          <t>27BBBBB18343Z5</t>
        </is>
      </c>
      <c r="B18343" t="inlineStr">
        <is>
          <t>May-2020</t>
        </is>
      </c>
      <c r="C18343" s="2" t="n">
        <v>44728</v>
      </c>
      <c r="D18343" t="inlineStr">
        <is>
          <t>NON-NIL</t>
        </is>
      </c>
      <c r="E18343" t="n">
        <v>942</v>
      </c>
    </row>
    <row r="18344">
      <c r="A18344" t="inlineStr">
        <is>
          <t>27BBBBB18344Z5</t>
        </is>
      </c>
      <c r="B18344" t="inlineStr">
        <is>
          <t>Apr-2018</t>
        </is>
      </c>
      <c r="C18344" s="2" t="n">
        <v>43937</v>
      </c>
      <c r="D18344" t="inlineStr">
        <is>
          <t>NON-NIL</t>
        </is>
      </c>
      <c r="E18344" t="n">
        <v>2165</v>
      </c>
    </row>
    <row r="18345">
      <c r="A18345" t="inlineStr">
        <is>
          <t>27BBBBB18345Z5</t>
        </is>
      </c>
      <c r="B18345" t="inlineStr">
        <is>
          <t>Apr-2020</t>
        </is>
      </c>
      <c r="C18345" s="2" t="n">
        <v>44015</v>
      </c>
      <c r="D18345" t="inlineStr">
        <is>
          <t>NON-NIL</t>
        </is>
      </c>
      <c r="E18345" t="n">
        <v>510</v>
      </c>
    </row>
    <row r="18346">
      <c r="A18346" t="inlineStr">
        <is>
          <t>27BBBBB18346Z5</t>
        </is>
      </c>
      <c r="B18346" t="inlineStr">
        <is>
          <t>Jan-2021</t>
        </is>
      </c>
      <c r="C18346" s="2" t="n">
        <v>45482</v>
      </c>
      <c r="D18346" t="inlineStr">
        <is>
          <t>NIL</t>
        </is>
      </c>
      <c r="E18346" t="n">
        <v>808</v>
      </c>
    </row>
    <row r="18347">
      <c r="A18347" t="inlineStr">
        <is>
          <t>27BBBBB18347Z5</t>
        </is>
      </c>
      <c r="B18347" t="inlineStr">
        <is>
          <t>May-2020</t>
        </is>
      </c>
      <c r="C18347" s="2" t="n">
        <v>44852</v>
      </c>
      <c r="D18347" t="inlineStr">
        <is>
          <t>NIL</t>
        </is>
      </c>
      <c r="E18347" t="n">
        <v>2083</v>
      </c>
    </row>
    <row r="18348">
      <c r="A18348" t="inlineStr">
        <is>
          <t>27BBBBB18348Z5</t>
        </is>
      </c>
      <c r="B18348" t="inlineStr">
        <is>
          <t>Feb-2018</t>
        </is>
      </c>
      <c r="C18348" s="2" t="n">
        <v>44534</v>
      </c>
      <c r="D18348" t="inlineStr">
        <is>
          <t>NIL</t>
        </is>
      </c>
      <c r="E18348" t="n">
        <v>1288</v>
      </c>
    </row>
    <row r="18349">
      <c r="A18349" t="inlineStr">
        <is>
          <t>27BBBBB18349Z5</t>
        </is>
      </c>
      <c r="B18349" t="inlineStr">
        <is>
          <t>Dec-2017</t>
        </is>
      </c>
      <c r="C18349" s="2" t="n">
        <v>43994</v>
      </c>
      <c r="D18349" t="inlineStr">
        <is>
          <t>NIL</t>
        </is>
      </c>
      <c r="E18349" t="n">
        <v>2335</v>
      </c>
    </row>
    <row r="18350">
      <c r="A18350" t="inlineStr">
        <is>
          <t>27BBBBB18350Z5</t>
        </is>
      </c>
      <c r="B18350" t="inlineStr">
        <is>
          <t>Dec-2018</t>
        </is>
      </c>
      <c r="C18350" s="2" t="n">
        <v>43877</v>
      </c>
      <c r="D18350" t="inlineStr">
        <is>
          <t>NON-NIL</t>
        </is>
      </c>
      <c r="E18350" t="n">
        <v>2413</v>
      </c>
    </row>
    <row r="18351">
      <c r="A18351" t="inlineStr">
        <is>
          <t>27BBBBB18351Z5</t>
        </is>
      </c>
      <c r="B18351" t="inlineStr">
        <is>
          <t>Mar-2023</t>
        </is>
      </c>
      <c r="C18351" s="2" t="n">
        <v>43977</v>
      </c>
      <c r="D18351" t="inlineStr">
        <is>
          <t>NON-NIL</t>
        </is>
      </c>
      <c r="E18351" t="n">
        <v>1069</v>
      </c>
    </row>
    <row r="18352">
      <c r="A18352" t="inlineStr">
        <is>
          <t>27BBBBB18352Z5</t>
        </is>
      </c>
      <c r="B18352" t="inlineStr">
        <is>
          <t>Apr-2020</t>
        </is>
      </c>
      <c r="C18352" s="2" t="n">
        <v>44749</v>
      </c>
      <c r="D18352" t="inlineStr">
        <is>
          <t>NIL</t>
        </is>
      </c>
      <c r="E18352" t="n">
        <v>1581</v>
      </c>
    </row>
    <row r="18353">
      <c r="A18353" t="inlineStr">
        <is>
          <t>27BBBBB18353Z5</t>
        </is>
      </c>
      <c r="B18353" t="inlineStr">
        <is>
          <t>Jun-2018</t>
        </is>
      </c>
      <c r="C18353" s="2" t="n">
        <v>43276</v>
      </c>
      <c r="D18353" t="inlineStr">
        <is>
          <t>NON-NIL</t>
        </is>
      </c>
      <c r="E18353" t="n">
        <v>2458</v>
      </c>
    </row>
    <row r="18354">
      <c r="A18354" t="inlineStr">
        <is>
          <t>27BBBBB18354Z5</t>
        </is>
      </c>
      <c r="B18354" t="inlineStr">
        <is>
          <t>Mar-2023</t>
        </is>
      </c>
      <c r="C18354" s="2" t="n">
        <v>45248</v>
      </c>
      <c r="D18354" t="inlineStr">
        <is>
          <t>NIL</t>
        </is>
      </c>
      <c r="E18354" t="n">
        <v>630</v>
      </c>
    </row>
    <row r="18355">
      <c r="A18355" t="inlineStr">
        <is>
          <t>27BBBBB18355Z5</t>
        </is>
      </c>
      <c r="B18355" t="inlineStr">
        <is>
          <t>Mar-2018</t>
        </is>
      </c>
      <c r="C18355" s="2" t="n">
        <v>44213</v>
      </c>
      <c r="D18355" t="inlineStr">
        <is>
          <t>NIL</t>
        </is>
      </c>
      <c r="E18355" t="n">
        <v>603</v>
      </c>
    </row>
    <row r="18356">
      <c r="A18356" t="inlineStr">
        <is>
          <t>27BBBBB18356Z5</t>
        </is>
      </c>
      <c r="B18356" t="inlineStr">
        <is>
          <t>Jul-2020</t>
        </is>
      </c>
      <c r="C18356" s="2" t="n">
        <v>43850</v>
      </c>
      <c r="D18356" t="inlineStr">
        <is>
          <t>NIL</t>
        </is>
      </c>
      <c r="E18356" t="n">
        <v>2918</v>
      </c>
    </row>
    <row r="18357">
      <c r="A18357" t="inlineStr">
        <is>
          <t>27BBBBB18357Z5</t>
        </is>
      </c>
      <c r="B18357" t="inlineStr">
        <is>
          <t>Apr-2020</t>
        </is>
      </c>
      <c r="C18357" s="2" t="n">
        <v>44116</v>
      </c>
      <c r="D18357" t="inlineStr">
        <is>
          <t>NIL</t>
        </is>
      </c>
      <c r="E18357" t="n">
        <v>229</v>
      </c>
    </row>
    <row r="18358">
      <c r="A18358" t="inlineStr">
        <is>
          <t>27BBBBB18358Z5</t>
        </is>
      </c>
      <c r="B18358" t="inlineStr">
        <is>
          <t>Oct-2017</t>
        </is>
      </c>
      <c r="C18358" s="2" t="n">
        <v>44289</v>
      </c>
      <c r="D18358" t="inlineStr">
        <is>
          <t>NON-NIL</t>
        </is>
      </c>
      <c r="E18358" t="n">
        <v>357</v>
      </c>
    </row>
    <row r="18359">
      <c r="A18359" t="inlineStr">
        <is>
          <t>27BBBBB18359Z5</t>
        </is>
      </c>
      <c r="B18359" t="inlineStr">
        <is>
          <t>Apr-2018</t>
        </is>
      </c>
      <c r="C18359" s="2" t="n">
        <v>43943</v>
      </c>
      <c r="D18359" t="inlineStr">
        <is>
          <t>NIL</t>
        </is>
      </c>
      <c r="E18359" t="n">
        <v>510</v>
      </c>
    </row>
    <row r="18360">
      <c r="A18360" t="inlineStr">
        <is>
          <t>27BBBBB18360Z5</t>
        </is>
      </c>
      <c r="B18360" t="inlineStr">
        <is>
          <t>Oct-2018</t>
        </is>
      </c>
      <c r="C18360" s="2" t="n">
        <v>43735</v>
      </c>
      <c r="D18360" t="inlineStr">
        <is>
          <t>NON-NIL</t>
        </is>
      </c>
      <c r="E18360" t="n">
        <v>1290</v>
      </c>
    </row>
    <row r="18361">
      <c r="A18361" t="inlineStr">
        <is>
          <t>27BBBBB18361Z5</t>
        </is>
      </c>
      <c r="B18361" t="inlineStr">
        <is>
          <t>Jun-2020</t>
        </is>
      </c>
      <c r="C18361" s="2" t="n">
        <v>44170</v>
      </c>
      <c r="D18361" t="inlineStr">
        <is>
          <t>NON-NIL</t>
        </is>
      </c>
      <c r="E18361" t="n">
        <v>1638</v>
      </c>
    </row>
    <row r="18362">
      <c r="A18362" t="inlineStr">
        <is>
          <t>27BBBBB18362Z5</t>
        </is>
      </c>
      <c r="B18362" t="inlineStr">
        <is>
          <t>Jun-2020</t>
        </is>
      </c>
      <c r="C18362" s="2" t="n">
        <v>44244</v>
      </c>
      <c r="D18362" t="inlineStr">
        <is>
          <t>NIL</t>
        </is>
      </c>
      <c r="E18362" t="n">
        <v>2502</v>
      </c>
    </row>
    <row r="18363">
      <c r="A18363" t="inlineStr">
        <is>
          <t>27BBBBB18363Z5</t>
        </is>
      </c>
      <c r="B18363" t="inlineStr">
        <is>
          <t>Aug-2018</t>
        </is>
      </c>
      <c r="C18363" s="2" t="n">
        <v>43677</v>
      </c>
      <c r="D18363" t="inlineStr">
        <is>
          <t>NIL</t>
        </is>
      </c>
      <c r="E18363" t="n">
        <v>144</v>
      </c>
    </row>
    <row r="18364">
      <c r="A18364" t="inlineStr">
        <is>
          <t>27BBBBB18364Z5</t>
        </is>
      </c>
      <c r="B18364" t="inlineStr">
        <is>
          <t>Apr-2018</t>
        </is>
      </c>
      <c r="C18364" s="2" t="n">
        <v>44492</v>
      </c>
      <c r="D18364" t="inlineStr">
        <is>
          <t>NIL</t>
        </is>
      </c>
      <c r="E18364" t="n">
        <v>437</v>
      </c>
    </row>
    <row r="18365">
      <c r="A18365" t="inlineStr">
        <is>
          <t>27BBBBB18365Z5</t>
        </is>
      </c>
      <c r="B18365" t="inlineStr">
        <is>
          <t>Sep-2017</t>
        </is>
      </c>
      <c r="C18365" s="2" t="n">
        <v>43807</v>
      </c>
      <c r="D18365" t="inlineStr">
        <is>
          <t>NON-NIL</t>
        </is>
      </c>
      <c r="E18365" t="n">
        <v>1439</v>
      </c>
    </row>
    <row r="18366">
      <c r="A18366" t="inlineStr">
        <is>
          <t>27BBBBB18366Z5</t>
        </is>
      </c>
      <c r="B18366" t="inlineStr">
        <is>
          <t>Nov-2018</t>
        </is>
      </c>
      <c r="C18366" s="2" t="n">
        <v>43113</v>
      </c>
      <c r="D18366" t="inlineStr">
        <is>
          <t>NON-NIL</t>
        </is>
      </c>
      <c r="E18366" t="n">
        <v>2584</v>
      </c>
    </row>
    <row r="18367">
      <c r="A18367" t="inlineStr">
        <is>
          <t>27BBBBB18367Z5</t>
        </is>
      </c>
      <c r="B18367" t="inlineStr">
        <is>
          <t>Jan-2021</t>
        </is>
      </c>
      <c r="C18367" s="2" t="n">
        <v>45315</v>
      </c>
      <c r="D18367" t="inlineStr">
        <is>
          <t>NIL</t>
        </is>
      </c>
      <c r="E18367" t="n">
        <v>524</v>
      </c>
    </row>
    <row r="18368">
      <c r="A18368" t="inlineStr">
        <is>
          <t>27BBBBB18368Z5</t>
        </is>
      </c>
      <c r="B18368" t="inlineStr">
        <is>
          <t>Mar-2020</t>
        </is>
      </c>
      <c r="C18368" s="2" t="n">
        <v>44390</v>
      </c>
      <c r="D18368" t="inlineStr">
        <is>
          <t>NIL</t>
        </is>
      </c>
      <c r="E18368" t="n">
        <v>1126</v>
      </c>
    </row>
    <row r="18369">
      <c r="A18369" t="inlineStr">
        <is>
          <t>27BBBBB18369Z5</t>
        </is>
      </c>
      <c r="B18369" t="inlineStr">
        <is>
          <t>Jul-2017</t>
        </is>
      </c>
      <c r="C18369" s="2" t="n">
        <v>43784</v>
      </c>
      <c r="D18369" t="inlineStr">
        <is>
          <t>NIL</t>
        </is>
      </c>
      <c r="E18369" t="n">
        <v>626</v>
      </c>
    </row>
    <row r="18370">
      <c r="A18370" t="inlineStr">
        <is>
          <t>27BBBBB18370Z5</t>
        </is>
      </c>
      <c r="B18370" t="inlineStr">
        <is>
          <t>Jul-2020</t>
        </is>
      </c>
      <c r="C18370" s="2" t="n">
        <v>44247</v>
      </c>
      <c r="D18370" t="inlineStr">
        <is>
          <t>NIL</t>
        </is>
      </c>
      <c r="E18370" t="n">
        <v>1109</v>
      </c>
    </row>
    <row r="18371">
      <c r="A18371" t="inlineStr">
        <is>
          <t>27BBBBB18371Z5</t>
        </is>
      </c>
      <c r="B18371" t="inlineStr">
        <is>
          <t>Jul-2020</t>
        </is>
      </c>
      <c r="C18371" s="2" t="n">
        <v>44141</v>
      </c>
      <c r="D18371" t="inlineStr">
        <is>
          <t>NON-NIL</t>
        </is>
      </c>
      <c r="E18371" t="n">
        <v>365</v>
      </c>
    </row>
    <row r="18372">
      <c r="A18372" t="inlineStr">
        <is>
          <t>27BBBBB18372Z5</t>
        </is>
      </c>
      <c r="B18372" t="inlineStr">
        <is>
          <t>Dec-2024</t>
        </is>
      </c>
      <c r="C18372" s="2" t="n">
        <v>44431</v>
      </c>
      <c r="D18372" t="inlineStr">
        <is>
          <t>NIL</t>
        </is>
      </c>
      <c r="E18372" t="n">
        <v>978</v>
      </c>
    </row>
    <row r="18373">
      <c r="A18373" t="inlineStr">
        <is>
          <t>27BBBBB18373Z5</t>
        </is>
      </c>
      <c r="B18373" t="inlineStr">
        <is>
          <t>Nov-2018</t>
        </is>
      </c>
      <c r="C18373" s="2" t="n">
        <v>44106</v>
      </c>
      <c r="D18373" t="inlineStr">
        <is>
          <t>NON-NIL</t>
        </is>
      </c>
      <c r="E18373" t="n">
        <v>1819</v>
      </c>
    </row>
    <row r="18374">
      <c r="A18374" t="inlineStr">
        <is>
          <t>27BBBBB18374Z5</t>
        </is>
      </c>
      <c r="B18374" t="inlineStr">
        <is>
          <t>Feb-2018</t>
        </is>
      </c>
      <c r="C18374" s="2" t="n">
        <v>44519</v>
      </c>
      <c r="D18374" t="inlineStr">
        <is>
          <t>NIL</t>
        </is>
      </c>
      <c r="E18374" t="n">
        <v>661</v>
      </c>
    </row>
    <row r="18375">
      <c r="A18375" t="inlineStr">
        <is>
          <t>27BBBBB18375Z5</t>
        </is>
      </c>
      <c r="B18375" t="inlineStr">
        <is>
          <t>Jul-2018</t>
        </is>
      </c>
      <c r="C18375" s="2" t="n">
        <v>43629</v>
      </c>
      <c r="D18375" t="inlineStr">
        <is>
          <t>NIL</t>
        </is>
      </c>
      <c r="E18375" t="n">
        <v>228</v>
      </c>
    </row>
    <row r="18376">
      <c r="A18376" t="inlineStr">
        <is>
          <t>27BBBBB18376Z5</t>
        </is>
      </c>
      <c r="B18376" t="inlineStr">
        <is>
          <t>Sep-2018</t>
        </is>
      </c>
      <c r="C18376" s="2" t="n">
        <v>44339</v>
      </c>
      <c r="D18376" t="inlineStr">
        <is>
          <t>NON-NIL</t>
        </is>
      </c>
      <c r="E18376" t="n">
        <v>1205</v>
      </c>
    </row>
    <row r="18377">
      <c r="A18377" t="inlineStr">
        <is>
          <t>27BBBBB18377Z5</t>
        </is>
      </c>
      <c r="B18377" t="inlineStr">
        <is>
          <t>Aug-2017</t>
        </is>
      </c>
      <c r="C18377" s="2" t="n">
        <v>43772</v>
      </c>
      <c r="D18377" t="inlineStr">
        <is>
          <t>NIL</t>
        </is>
      </c>
      <c r="E18377" t="n">
        <v>443</v>
      </c>
    </row>
    <row r="18378">
      <c r="A18378" t="inlineStr">
        <is>
          <t>27BBBBB18378Z5</t>
        </is>
      </c>
      <c r="B18378" t="inlineStr">
        <is>
          <t>Nov-2017</t>
        </is>
      </c>
      <c r="C18378" s="2" t="n">
        <v>44542</v>
      </c>
      <c r="D18378" t="inlineStr">
        <is>
          <t>NIL</t>
        </is>
      </c>
      <c r="E18378" t="n">
        <v>1341</v>
      </c>
    </row>
    <row r="18379">
      <c r="A18379" t="inlineStr">
        <is>
          <t>27BBBBB18379Z5</t>
        </is>
      </c>
      <c r="B18379" t="inlineStr">
        <is>
          <t>Jun-2018</t>
        </is>
      </c>
      <c r="C18379" s="2" t="n">
        <v>44202</v>
      </c>
      <c r="D18379" t="inlineStr">
        <is>
          <t>NON-NIL</t>
        </is>
      </c>
      <c r="E18379" t="n">
        <v>395</v>
      </c>
    </row>
    <row r="18380">
      <c r="A18380" t="inlineStr">
        <is>
          <t>27BBBBB18380Z5</t>
        </is>
      </c>
      <c r="B18380" t="inlineStr">
        <is>
          <t>Oct-2017</t>
        </is>
      </c>
      <c r="C18380" s="2" t="n">
        <v>44093</v>
      </c>
      <c r="D18380" t="inlineStr">
        <is>
          <t>NON-NIL</t>
        </is>
      </c>
      <c r="E18380" t="n">
        <v>699</v>
      </c>
    </row>
    <row r="18381">
      <c r="A18381" t="inlineStr">
        <is>
          <t>27BBBBB18381Z5</t>
        </is>
      </c>
      <c r="B18381" t="inlineStr">
        <is>
          <t>Aug-2018</t>
        </is>
      </c>
      <c r="C18381" s="2" t="n">
        <v>43356</v>
      </c>
      <c r="D18381" t="inlineStr">
        <is>
          <t>NIL</t>
        </is>
      </c>
      <c r="E18381" t="n">
        <v>1802</v>
      </c>
    </row>
    <row r="18382">
      <c r="A18382" t="inlineStr">
        <is>
          <t>27BBBBB18382Z5</t>
        </is>
      </c>
      <c r="B18382" t="inlineStr">
        <is>
          <t>Jun-2020</t>
        </is>
      </c>
      <c r="C18382" s="2" t="n">
        <v>44183</v>
      </c>
      <c r="D18382" t="inlineStr">
        <is>
          <t>NON-NIL</t>
        </is>
      </c>
      <c r="E18382" t="n">
        <v>567</v>
      </c>
    </row>
    <row r="18383">
      <c r="A18383" t="inlineStr">
        <is>
          <t>27BBBBB18383Z5</t>
        </is>
      </c>
      <c r="B18383" t="inlineStr">
        <is>
          <t>Jul-2017</t>
        </is>
      </c>
      <c r="C18383" s="2" t="n">
        <v>43711</v>
      </c>
      <c r="D18383" t="inlineStr">
        <is>
          <t>NON-NIL</t>
        </is>
      </c>
      <c r="E18383" t="n">
        <v>2625</v>
      </c>
    </row>
    <row r="18384">
      <c r="A18384" t="inlineStr">
        <is>
          <t>27BBBBB18384Z5</t>
        </is>
      </c>
      <c r="B18384" t="inlineStr">
        <is>
          <t>Jun-2018</t>
        </is>
      </c>
      <c r="C18384" s="2" t="n">
        <v>43163</v>
      </c>
      <c r="D18384" t="inlineStr">
        <is>
          <t>NON-NIL</t>
        </is>
      </c>
      <c r="E18384" t="n">
        <v>2377</v>
      </c>
    </row>
    <row r="18385">
      <c r="A18385" t="inlineStr">
        <is>
          <t>27BBBBB18385Z5</t>
        </is>
      </c>
      <c r="B18385" t="inlineStr">
        <is>
          <t>Mar-2023</t>
        </is>
      </c>
      <c r="C18385" s="2" t="n">
        <v>45494</v>
      </c>
      <c r="D18385" t="inlineStr">
        <is>
          <t>NIL</t>
        </is>
      </c>
      <c r="E18385" t="n">
        <v>2070</v>
      </c>
    </row>
    <row r="18386">
      <c r="A18386" t="inlineStr">
        <is>
          <t>27BBBBB18386Z5</t>
        </is>
      </c>
      <c r="B18386" t="inlineStr">
        <is>
          <t>Aug-2018</t>
        </is>
      </c>
      <c r="C18386" s="2" t="n">
        <v>43316</v>
      </c>
      <c r="D18386" t="inlineStr">
        <is>
          <t>NON-NIL</t>
        </is>
      </c>
      <c r="E18386" t="n">
        <v>587</v>
      </c>
    </row>
    <row r="18387">
      <c r="A18387" t="inlineStr">
        <is>
          <t>27BBBBB18387Z5</t>
        </is>
      </c>
      <c r="B18387" t="inlineStr">
        <is>
          <t>Jul-2020</t>
        </is>
      </c>
      <c r="C18387" s="2" t="n">
        <v>43940</v>
      </c>
      <c r="D18387" t="inlineStr">
        <is>
          <t>NIL</t>
        </is>
      </c>
      <c r="E18387" t="n">
        <v>1761</v>
      </c>
    </row>
    <row r="18388">
      <c r="A18388" t="inlineStr">
        <is>
          <t>27BBBBB18388Z5</t>
        </is>
      </c>
      <c r="B18388" t="inlineStr">
        <is>
          <t>Oct-2017</t>
        </is>
      </c>
      <c r="C18388" s="2" t="n">
        <v>43325</v>
      </c>
      <c r="D18388" t="inlineStr">
        <is>
          <t>NON-NIL</t>
        </is>
      </c>
      <c r="E18388" t="n">
        <v>1951</v>
      </c>
    </row>
    <row r="18389">
      <c r="A18389" t="inlineStr">
        <is>
          <t>27BBBBB18389Z5</t>
        </is>
      </c>
      <c r="B18389" t="inlineStr">
        <is>
          <t>May-2020</t>
        </is>
      </c>
      <c r="C18389" s="2" t="n">
        <v>44129</v>
      </c>
      <c r="D18389" t="inlineStr">
        <is>
          <t>NON-NIL</t>
        </is>
      </c>
      <c r="E18389" t="n">
        <v>742</v>
      </c>
    </row>
    <row r="18390">
      <c r="A18390" t="inlineStr">
        <is>
          <t>27BBBBB18390Z5</t>
        </is>
      </c>
      <c r="B18390" t="inlineStr">
        <is>
          <t>Jun-2020</t>
        </is>
      </c>
      <c r="C18390" s="2" t="n">
        <v>44219</v>
      </c>
      <c r="D18390" t="inlineStr">
        <is>
          <t>NIL</t>
        </is>
      </c>
      <c r="E18390" t="n">
        <v>2999</v>
      </c>
    </row>
    <row r="18391">
      <c r="A18391" t="inlineStr">
        <is>
          <t>27BBBBB18391Z5</t>
        </is>
      </c>
      <c r="B18391" t="inlineStr">
        <is>
          <t>Dec-2018</t>
        </is>
      </c>
      <c r="C18391" s="2" t="n">
        <v>43826</v>
      </c>
      <c r="D18391" t="inlineStr">
        <is>
          <t>NIL</t>
        </is>
      </c>
      <c r="E18391" t="n">
        <v>2923</v>
      </c>
    </row>
    <row r="18392">
      <c r="A18392" t="inlineStr">
        <is>
          <t>27BBBBB18392Z5</t>
        </is>
      </c>
      <c r="B18392" t="inlineStr">
        <is>
          <t>Apr-2018</t>
        </is>
      </c>
      <c r="C18392" s="2" t="n">
        <v>43677</v>
      </c>
      <c r="D18392" t="inlineStr">
        <is>
          <t>NIL</t>
        </is>
      </c>
      <c r="E18392" t="n">
        <v>2911</v>
      </c>
    </row>
    <row r="18393">
      <c r="A18393" t="inlineStr">
        <is>
          <t>27BBBBB18393Z5</t>
        </is>
      </c>
      <c r="B18393" t="inlineStr">
        <is>
          <t>Jan-2018</t>
        </is>
      </c>
      <c r="C18393" s="2" t="n">
        <v>44531</v>
      </c>
      <c r="D18393" t="inlineStr">
        <is>
          <t>NON-NIL</t>
        </is>
      </c>
      <c r="E18393" t="n">
        <v>2879</v>
      </c>
    </row>
    <row r="18394">
      <c r="A18394" t="inlineStr">
        <is>
          <t>27BBBBB18394Z5</t>
        </is>
      </c>
      <c r="B18394" t="inlineStr">
        <is>
          <t>Dec-2022</t>
        </is>
      </c>
      <c r="C18394" s="2" t="n">
        <v>44663</v>
      </c>
      <c r="D18394" t="inlineStr">
        <is>
          <t>NIL</t>
        </is>
      </c>
      <c r="E18394" t="n">
        <v>934</v>
      </c>
    </row>
    <row r="18395">
      <c r="A18395" t="inlineStr">
        <is>
          <t>27BBBBB18395Z5</t>
        </is>
      </c>
      <c r="B18395" t="inlineStr">
        <is>
          <t>Mar-2021</t>
        </is>
      </c>
      <c r="C18395" s="2" t="n">
        <v>44504</v>
      </c>
      <c r="D18395" t="inlineStr">
        <is>
          <t>NON-NIL</t>
        </is>
      </c>
      <c r="E18395" t="n">
        <v>1549</v>
      </c>
    </row>
    <row r="18396">
      <c r="A18396" t="inlineStr">
        <is>
          <t>27BBBBB18396Z5</t>
        </is>
      </c>
      <c r="B18396" t="inlineStr">
        <is>
          <t>Feb-2018</t>
        </is>
      </c>
      <c r="C18396" s="2" t="n">
        <v>43314</v>
      </c>
      <c r="D18396" t="inlineStr">
        <is>
          <t>NON-NIL</t>
        </is>
      </c>
      <c r="E18396" t="n">
        <v>1863</v>
      </c>
    </row>
    <row r="18397">
      <c r="A18397" t="inlineStr">
        <is>
          <t>27BBBBB18397Z5</t>
        </is>
      </c>
      <c r="B18397" t="inlineStr">
        <is>
          <t>Mar-2023</t>
        </is>
      </c>
      <c r="C18397" s="2" t="n">
        <v>44905</v>
      </c>
      <c r="D18397" t="inlineStr">
        <is>
          <t>NON-NIL</t>
        </is>
      </c>
      <c r="E18397" t="n">
        <v>2881</v>
      </c>
    </row>
    <row r="18398">
      <c r="A18398" t="inlineStr">
        <is>
          <t>27BBBBB18398Z5</t>
        </is>
      </c>
      <c r="B18398" t="inlineStr">
        <is>
          <t>Apr-2020</t>
        </is>
      </c>
      <c r="C18398" s="2" t="n">
        <v>44256</v>
      </c>
      <c r="D18398" t="inlineStr">
        <is>
          <t>NIL</t>
        </is>
      </c>
      <c r="E18398" t="n">
        <v>907</v>
      </c>
    </row>
    <row r="18399">
      <c r="A18399" t="inlineStr">
        <is>
          <t>27BBBBB18399Z5</t>
        </is>
      </c>
      <c r="B18399" t="inlineStr">
        <is>
          <t>Sep-2017</t>
        </is>
      </c>
      <c r="C18399" s="2" t="n">
        <v>43808</v>
      </c>
      <c r="D18399" t="inlineStr">
        <is>
          <t>NON-NIL</t>
        </is>
      </c>
      <c r="E18399" t="n">
        <v>1500</v>
      </c>
    </row>
    <row r="18400">
      <c r="A18400" t="inlineStr">
        <is>
          <t>27BBBBB18400Z5</t>
        </is>
      </c>
      <c r="B18400" t="inlineStr">
        <is>
          <t>Jul-2017</t>
        </is>
      </c>
      <c r="C18400" s="2" t="n">
        <v>44514</v>
      </c>
      <c r="D18400" t="inlineStr">
        <is>
          <t>NIL</t>
        </is>
      </c>
      <c r="E18400" t="n">
        <v>2289</v>
      </c>
    </row>
    <row r="18401">
      <c r="A18401" t="inlineStr">
        <is>
          <t>27BBBBB18401Z5</t>
        </is>
      </c>
      <c r="B18401" t="inlineStr">
        <is>
          <t>Mar-2023</t>
        </is>
      </c>
      <c r="C18401" s="2" t="n">
        <v>44179</v>
      </c>
      <c r="D18401" t="inlineStr">
        <is>
          <t>NIL</t>
        </is>
      </c>
      <c r="E18401" t="n">
        <v>1298</v>
      </c>
    </row>
    <row r="18402">
      <c r="A18402" t="inlineStr">
        <is>
          <t>27BBBBB18402Z5</t>
        </is>
      </c>
      <c r="B18402" t="inlineStr">
        <is>
          <t>Nov-2017</t>
        </is>
      </c>
      <c r="C18402" s="2" t="n">
        <v>43934</v>
      </c>
      <c r="D18402" t="inlineStr">
        <is>
          <t>NIL</t>
        </is>
      </c>
      <c r="E18402" t="n">
        <v>36</v>
      </c>
    </row>
    <row r="18403">
      <c r="A18403" t="inlineStr">
        <is>
          <t>27BBBBB18403Z5</t>
        </is>
      </c>
      <c r="B18403" t="inlineStr">
        <is>
          <t>Jun-2020</t>
        </is>
      </c>
      <c r="C18403" s="2" t="n">
        <v>43920</v>
      </c>
      <c r="D18403" t="inlineStr">
        <is>
          <t>NON-NIL</t>
        </is>
      </c>
      <c r="E18403" t="n">
        <v>1898</v>
      </c>
    </row>
    <row r="18404">
      <c r="A18404" t="inlineStr">
        <is>
          <t>27BBBBB18404Z5</t>
        </is>
      </c>
      <c r="B18404" t="inlineStr">
        <is>
          <t>Jul-2018</t>
        </is>
      </c>
      <c r="C18404" s="2" t="n">
        <v>44342</v>
      </c>
      <c r="D18404" t="inlineStr">
        <is>
          <t>NON-NIL</t>
        </is>
      </c>
      <c r="E18404" t="n">
        <v>968</v>
      </c>
    </row>
    <row r="18405">
      <c r="A18405" t="inlineStr">
        <is>
          <t>27BBBBB18405Z5</t>
        </is>
      </c>
      <c r="B18405" t="inlineStr">
        <is>
          <t>Aug-2018</t>
        </is>
      </c>
      <c r="C18405" s="2" t="n">
        <v>44190</v>
      </c>
      <c r="D18405" t="inlineStr">
        <is>
          <t>NON-NIL</t>
        </is>
      </c>
      <c r="E18405" t="n">
        <v>2982</v>
      </c>
    </row>
    <row r="18406">
      <c r="A18406" t="inlineStr">
        <is>
          <t>27BBBBB18406Z5</t>
        </is>
      </c>
      <c r="B18406" t="inlineStr">
        <is>
          <t>Jan-2021</t>
        </is>
      </c>
      <c r="C18406" s="2" t="n">
        <v>45585</v>
      </c>
      <c r="D18406" t="inlineStr">
        <is>
          <t>NIL</t>
        </is>
      </c>
      <c r="E18406" t="n">
        <v>1283</v>
      </c>
    </row>
    <row r="18407">
      <c r="A18407" t="inlineStr">
        <is>
          <t>27BBBBB18407Z5</t>
        </is>
      </c>
      <c r="B18407" t="inlineStr">
        <is>
          <t>Mar-2020</t>
        </is>
      </c>
      <c r="C18407" s="2" t="n">
        <v>44541</v>
      </c>
      <c r="D18407" t="inlineStr">
        <is>
          <t>NIL</t>
        </is>
      </c>
      <c r="E18407" t="n">
        <v>2335</v>
      </c>
    </row>
    <row r="18408">
      <c r="A18408" t="inlineStr">
        <is>
          <t>27BBBBB18408Z5</t>
        </is>
      </c>
      <c r="B18408" t="inlineStr">
        <is>
          <t>Oct-2017</t>
        </is>
      </c>
      <c r="C18408" s="2" t="n">
        <v>44320</v>
      </c>
      <c r="D18408" t="inlineStr">
        <is>
          <t>NIL</t>
        </is>
      </c>
      <c r="E18408" t="n">
        <v>62</v>
      </c>
    </row>
    <row r="18409">
      <c r="A18409" t="inlineStr">
        <is>
          <t>27BBBBB18409Z5</t>
        </is>
      </c>
      <c r="B18409" t="inlineStr">
        <is>
          <t>Jul-2018</t>
        </is>
      </c>
      <c r="C18409" s="2" t="n">
        <v>44015</v>
      </c>
      <c r="D18409" t="inlineStr">
        <is>
          <t>NIL</t>
        </is>
      </c>
      <c r="E18409" t="n">
        <v>464</v>
      </c>
    </row>
    <row r="18410">
      <c r="A18410" t="inlineStr">
        <is>
          <t>27BBBBB18410Z5</t>
        </is>
      </c>
      <c r="B18410" t="inlineStr">
        <is>
          <t>Aug-2017</t>
        </is>
      </c>
      <c r="C18410" s="2" t="n">
        <v>44307</v>
      </c>
      <c r="D18410" t="inlineStr">
        <is>
          <t>NON-NIL</t>
        </is>
      </c>
      <c r="E18410" t="n">
        <v>2346</v>
      </c>
    </row>
    <row r="18411">
      <c r="A18411" t="inlineStr">
        <is>
          <t>27BBBBB18411Z5</t>
        </is>
      </c>
      <c r="B18411" t="inlineStr">
        <is>
          <t>Mar-2023</t>
        </is>
      </c>
      <c r="C18411" s="2" t="n">
        <v>44475</v>
      </c>
      <c r="D18411" t="inlineStr">
        <is>
          <t>NIL</t>
        </is>
      </c>
      <c r="E18411" t="n">
        <v>1926</v>
      </c>
    </row>
    <row r="18412">
      <c r="A18412" t="inlineStr">
        <is>
          <t>27BBBBB18412Z5</t>
        </is>
      </c>
      <c r="B18412" t="inlineStr">
        <is>
          <t>Nov-2018</t>
        </is>
      </c>
      <c r="C18412" s="2" t="n">
        <v>44536</v>
      </c>
      <c r="D18412" t="inlineStr">
        <is>
          <t>NIL</t>
        </is>
      </c>
      <c r="E18412" t="n">
        <v>2853</v>
      </c>
    </row>
    <row r="18413">
      <c r="A18413" t="inlineStr">
        <is>
          <t>27BBBBB18413Z5</t>
        </is>
      </c>
      <c r="B18413" t="inlineStr">
        <is>
          <t>Jul-2017</t>
        </is>
      </c>
      <c r="C18413" s="2" t="n">
        <v>43139</v>
      </c>
      <c r="D18413" t="inlineStr">
        <is>
          <t>NON-NIL</t>
        </is>
      </c>
      <c r="E18413" t="n">
        <v>716</v>
      </c>
    </row>
    <row r="18414">
      <c r="A18414" t="inlineStr">
        <is>
          <t>27BBBBB18414Z5</t>
        </is>
      </c>
      <c r="B18414" t="inlineStr">
        <is>
          <t>Apr-2020</t>
        </is>
      </c>
      <c r="C18414" s="2" t="n">
        <v>44878</v>
      </c>
      <c r="D18414" t="inlineStr">
        <is>
          <t>NON-NIL</t>
        </is>
      </c>
      <c r="E18414" t="n">
        <v>1867</v>
      </c>
    </row>
    <row r="18415">
      <c r="A18415" t="inlineStr">
        <is>
          <t>27BBBBB18415Z5</t>
        </is>
      </c>
      <c r="B18415" t="inlineStr">
        <is>
          <t>Oct-2018</t>
        </is>
      </c>
      <c r="C18415" s="2" t="n">
        <v>43480</v>
      </c>
      <c r="D18415" t="inlineStr">
        <is>
          <t>NON-NIL</t>
        </is>
      </c>
      <c r="E18415" t="n">
        <v>2196</v>
      </c>
    </row>
    <row r="18416">
      <c r="A18416" t="inlineStr">
        <is>
          <t>27BBBBB18416Z5</t>
        </is>
      </c>
      <c r="B18416" t="inlineStr">
        <is>
          <t>Jan-2021</t>
        </is>
      </c>
      <c r="C18416" s="2" t="n">
        <v>44340</v>
      </c>
      <c r="D18416" t="inlineStr">
        <is>
          <t>NIL</t>
        </is>
      </c>
      <c r="E18416" t="n">
        <v>1894</v>
      </c>
    </row>
    <row r="18417">
      <c r="A18417" t="inlineStr">
        <is>
          <t>27BBBBB18417Z5</t>
        </is>
      </c>
      <c r="B18417" t="inlineStr">
        <is>
          <t>Jun-2018</t>
        </is>
      </c>
      <c r="C18417" s="2" t="n">
        <v>44325</v>
      </c>
      <c r="D18417" t="inlineStr">
        <is>
          <t>NON-NIL</t>
        </is>
      </c>
      <c r="E18417" t="n">
        <v>2175</v>
      </c>
    </row>
    <row r="18418">
      <c r="A18418" t="inlineStr">
        <is>
          <t>27BBBBB18418Z5</t>
        </is>
      </c>
      <c r="B18418" t="inlineStr">
        <is>
          <t>Dec-2022</t>
        </is>
      </c>
      <c r="C18418" s="2" t="n">
        <v>44737</v>
      </c>
      <c r="D18418" t="inlineStr">
        <is>
          <t>NON-NIL</t>
        </is>
      </c>
      <c r="E18418" t="n">
        <v>2304</v>
      </c>
    </row>
    <row r="18419">
      <c r="A18419" t="inlineStr">
        <is>
          <t>27BBBBB18419Z5</t>
        </is>
      </c>
      <c r="B18419" t="inlineStr">
        <is>
          <t>Dec-2017</t>
        </is>
      </c>
      <c r="C18419" s="2" t="n">
        <v>44409</v>
      </c>
      <c r="D18419" t="inlineStr">
        <is>
          <t>NIL</t>
        </is>
      </c>
      <c r="E18419" t="n">
        <v>490</v>
      </c>
    </row>
    <row r="18420">
      <c r="A18420" t="inlineStr">
        <is>
          <t>27BBBBB18420Z5</t>
        </is>
      </c>
      <c r="B18420" t="inlineStr">
        <is>
          <t>Feb-2018</t>
        </is>
      </c>
      <c r="C18420" s="2" t="n">
        <v>44047</v>
      </c>
      <c r="D18420" t="inlineStr">
        <is>
          <t>NON-NIL</t>
        </is>
      </c>
      <c r="E18420" t="n">
        <v>73</v>
      </c>
    </row>
    <row r="18421">
      <c r="A18421" t="inlineStr">
        <is>
          <t>27BBBBB18421Z5</t>
        </is>
      </c>
      <c r="B18421" t="inlineStr">
        <is>
          <t>Mar-2018</t>
        </is>
      </c>
      <c r="C18421" s="2" t="n">
        <v>44218</v>
      </c>
      <c r="D18421" t="inlineStr">
        <is>
          <t>NIL</t>
        </is>
      </c>
      <c r="E18421" t="n">
        <v>1525</v>
      </c>
    </row>
    <row r="18422">
      <c r="A18422" t="inlineStr">
        <is>
          <t>27BBBBB18422Z5</t>
        </is>
      </c>
      <c r="B18422" t="inlineStr">
        <is>
          <t>Oct-2017</t>
        </is>
      </c>
      <c r="C18422" s="2" t="n">
        <v>44450</v>
      </c>
      <c r="D18422" t="inlineStr">
        <is>
          <t>NON-NIL</t>
        </is>
      </c>
      <c r="E18422" t="n">
        <v>2201</v>
      </c>
    </row>
    <row r="18423">
      <c r="A18423" t="inlineStr">
        <is>
          <t>27BBBBB18423Z5</t>
        </is>
      </c>
      <c r="B18423" t="inlineStr">
        <is>
          <t>Oct-2018</t>
        </is>
      </c>
      <c r="C18423" s="2" t="n">
        <v>42990</v>
      </c>
      <c r="D18423" t="inlineStr">
        <is>
          <t>NON-NIL</t>
        </is>
      </c>
      <c r="E18423" t="n">
        <v>2133</v>
      </c>
    </row>
    <row r="18424">
      <c r="A18424" t="inlineStr">
        <is>
          <t>27BBBBB18424Z5</t>
        </is>
      </c>
      <c r="B18424" t="inlineStr">
        <is>
          <t>Sep-2018</t>
        </is>
      </c>
      <c r="C18424" s="2" t="n">
        <v>43185</v>
      </c>
      <c r="D18424" t="inlineStr">
        <is>
          <t>NIL</t>
        </is>
      </c>
      <c r="E18424" t="n">
        <v>877</v>
      </c>
    </row>
    <row r="18425">
      <c r="A18425" t="inlineStr">
        <is>
          <t>27BBBBB18425Z5</t>
        </is>
      </c>
      <c r="B18425" t="inlineStr">
        <is>
          <t>May-2018</t>
        </is>
      </c>
      <c r="C18425" s="2" t="n">
        <v>43954</v>
      </c>
      <c r="D18425" t="inlineStr">
        <is>
          <t>NIL</t>
        </is>
      </c>
      <c r="E18425" t="n">
        <v>1184</v>
      </c>
    </row>
    <row r="18426">
      <c r="A18426" t="inlineStr">
        <is>
          <t>27BBBBB18426Z5</t>
        </is>
      </c>
      <c r="B18426" t="inlineStr">
        <is>
          <t>Jun-2020</t>
        </is>
      </c>
      <c r="C18426" s="2" t="n">
        <v>43924</v>
      </c>
      <c r="D18426" t="inlineStr">
        <is>
          <t>NIL</t>
        </is>
      </c>
      <c r="E18426" t="n">
        <v>2966</v>
      </c>
    </row>
    <row r="18427">
      <c r="A18427" t="inlineStr">
        <is>
          <t>27BBBBB18427Z5</t>
        </is>
      </c>
      <c r="B18427" t="inlineStr">
        <is>
          <t>May-2020</t>
        </is>
      </c>
      <c r="C18427" s="2" t="n">
        <v>44664</v>
      </c>
      <c r="D18427" t="inlineStr">
        <is>
          <t>NON-NIL</t>
        </is>
      </c>
      <c r="E18427" t="n">
        <v>321</v>
      </c>
    </row>
    <row r="18428">
      <c r="A18428" t="inlineStr">
        <is>
          <t>27BBBBB18428Z5</t>
        </is>
      </c>
      <c r="B18428" t="inlineStr">
        <is>
          <t>Sep-2017</t>
        </is>
      </c>
      <c r="C18428" s="2" t="n">
        <v>44361</v>
      </c>
      <c r="D18428" t="inlineStr">
        <is>
          <t>NIL</t>
        </is>
      </c>
      <c r="E18428" t="n">
        <v>102</v>
      </c>
    </row>
    <row r="18429">
      <c r="A18429" t="inlineStr">
        <is>
          <t>27BBBBB18429Z5</t>
        </is>
      </c>
      <c r="B18429" t="inlineStr">
        <is>
          <t>Apr-2018</t>
        </is>
      </c>
      <c r="C18429" s="2" t="n">
        <v>43655</v>
      </c>
      <c r="D18429" t="inlineStr">
        <is>
          <t>NIL</t>
        </is>
      </c>
      <c r="E18429" t="n">
        <v>376</v>
      </c>
    </row>
    <row r="18430">
      <c r="A18430" t="inlineStr">
        <is>
          <t>27BBBBB18430Z5</t>
        </is>
      </c>
      <c r="B18430" t="inlineStr">
        <is>
          <t>May-2018</t>
        </is>
      </c>
      <c r="C18430" s="2" t="n">
        <v>44384</v>
      </c>
      <c r="D18430" t="inlineStr">
        <is>
          <t>NON-NIL</t>
        </is>
      </c>
      <c r="E18430" t="n">
        <v>2625</v>
      </c>
    </row>
    <row r="18431">
      <c r="A18431" t="inlineStr">
        <is>
          <t>27BBBBB18431Z5</t>
        </is>
      </c>
      <c r="B18431" t="inlineStr">
        <is>
          <t>Dec-2022</t>
        </is>
      </c>
      <c r="C18431" s="2" t="n">
        <v>43586</v>
      </c>
      <c r="D18431" t="inlineStr">
        <is>
          <t>NIL</t>
        </is>
      </c>
      <c r="E18431" t="n">
        <v>955</v>
      </c>
    </row>
    <row r="18432">
      <c r="A18432" t="inlineStr">
        <is>
          <t>27BBBBB18432Z5</t>
        </is>
      </c>
      <c r="B18432" t="inlineStr">
        <is>
          <t>Mar-2020</t>
        </is>
      </c>
      <c r="C18432" s="2" t="n">
        <v>43866</v>
      </c>
      <c r="D18432" t="inlineStr">
        <is>
          <t>NIL</t>
        </is>
      </c>
      <c r="E18432" t="n">
        <v>1098</v>
      </c>
    </row>
    <row r="18433">
      <c r="A18433" t="inlineStr">
        <is>
          <t>27BBBBB18433Z5</t>
        </is>
      </c>
      <c r="B18433" t="inlineStr">
        <is>
          <t>Jul-2018</t>
        </is>
      </c>
      <c r="C18433" s="2" t="n">
        <v>44396</v>
      </c>
      <c r="D18433" t="inlineStr">
        <is>
          <t>NON-NIL</t>
        </is>
      </c>
      <c r="E18433" t="n">
        <v>1377</v>
      </c>
    </row>
    <row r="18434">
      <c r="A18434" t="inlineStr">
        <is>
          <t>27BBBBB18434Z5</t>
        </is>
      </c>
      <c r="B18434" t="inlineStr">
        <is>
          <t>Aug-2018</t>
        </is>
      </c>
      <c r="C18434" s="2" t="n">
        <v>44511</v>
      </c>
      <c r="D18434" t="inlineStr">
        <is>
          <t>NON-NIL</t>
        </is>
      </c>
      <c r="E18434" t="n">
        <v>2260</v>
      </c>
    </row>
    <row r="18435">
      <c r="A18435" t="inlineStr">
        <is>
          <t>27BBBBB18435Z5</t>
        </is>
      </c>
      <c r="B18435" t="inlineStr">
        <is>
          <t>Dec-2024</t>
        </is>
      </c>
      <c r="C18435" s="2" t="n">
        <v>45493</v>
      </c>
      <c r="D18435" t="inlineStr">
        <is>
          <t>NON-NIL</t>
        </is>
      </c>
      <c r="E18435" t="n">
        <v>1199</v>
      </c>
    </row>
    <row r="18436">
      <c r="A18436" t="inlineStr">
        <is>
          <t>27BBBBB18436Z5</t>
        </is>
      </c>
      <c r="B18436" t="inlineStr">
        <is>
          <t>Jul-2018</t>
        </is>
      </c>
      <c r="C18436" s="2" t="n">
        <v>43527</v>
      </c>
      <c r="D18436" t="inlineStr">
        <is>
          <t>NIL</t>
        </is>
      </c>
      <c r="E18436" t="n">
        <v>887</v>
      </c>
    </row>
    <row r="18437">
      <c r="A18437" t="inlineStr">
        <is>
          <t>27BBBBB18437Z5</t>
        </is>
      </c>
      <c r="B18437" t="inlineStr">
        <is>
          <t>Jun-2020</t>
        </is>
      </c>
      <c r="C18437" s="2" t="n">
        <v>43877</v>
      </c>
      <c r="D18437" t="inlineStr">
        <is>
          <t>NIL</t>
        </is>
      </c>
      <c r="E18437" t="n">
        <v>1896</v>
      </c>
    </row>
    <row r="18438">
      <c r="A18438" t="inlineStr">
        <is>
          <t>27BBBBB18438Z5</t>
        </is>
      </c>
      <c r="B18438" t="inlineStr">
        <is>
          <t>Mar-2023</t>
        </is>
      </c>
      <c r="C18438" s="2" t="n">
        <v>44184</v>
      </c>
      <c r="D18438" t="inlineStr">
        <is>
          <t>NON-NIL</t>
        </is>
      </c>
      <c r="E18438" t="n">
        <v>1691</v>
      </c>
    </row>
    <row r="18439">
      <c r="A18439" t="inlineStr">
        <is>
          <t>27BBBBB18439Z5</t>
        </is>
      </c>
      <c r="B18439" t="inlineStr">
        <is>
          <t>Jul-2018</t>
        </is>
      </c>
      <c r="C18439" s="2" t="n">
        <v>43361</v>
      </c>
      <c r="D18439" t="inlineStr">
        <is>
          <t>NON-NIL</t>
        </is>
      </c>
      <c r="E18439" t="n">
        <v>1405</v>
      </c>
    </row>
    <row r="18440">
      <c r="A18440" t="inlineStr">
        <is>
          <t>27BBBBB18440Z5</t>
        </is>
      </c>
      <c r="B18440" t="inlineStr">
        <is>
          <t>Apr-2020</t>
        </is>
      </c>
      <c r="C18440" s="2" t="n">
        <v>44458</v>
      </c>
      <c r="D18440" t="inlineStr">
        <is>
          <t>NIL</t>
        </is>
      </c>
      <c r="E18440" t="n">
        <v>736</v>
      </c>
    </row>
    <row r="18441">
      <c r="A18441" t="inlineStr">
        <is>
          <t>27BBBBB18441Z5</t>
        </is>
      </c>
      <c r="B18441" t="inlineStr">
        <is>
          <t>Jun-2020</t>
        </is>
      </c>
      <c r="C18441" s="2" t="n">
        <v>43957</v>
      </c>
      <c r="D18441" t="inlineStr">
        <is>
          <t>NON-NIL</t>
        </is>
      </c>
      <c r="E18441" t="n">
        <v>2268</v>
      </c>
    </row>
    <row r="18442">
      <c r="A18442" t="inlineStr">
        <is>
          <t>27BBBBB18442Z5</t>
        </is>
      </c>
      <c r="B18442" t="inlineStr">
        <is>
          <t>Mar-2020</t>
        </is>
      </c>
      <c r="C18442" s="2" t="n">
        <v>44419</v>
      </c>
      <c r="D18442" t="inlineStr">
        <is>
          <t>NON-NIL</t>
        </is>
      </c>
      <c r="E18442" t="n">
        <v>2437</v>
      </c>
    </row>
    <row r="18443">
      <c r="A18443" t="inlineStr">
        <is>
          <t>27BBBBB18443Z5</t>
        </is>
      </c>
      <c r="B18443" t="inlineStr">
        <is>
          <t>Aug-2017</t>
        </is>
      </c>
      <c r="C18443" s="2" t="n">
        <v>44003</v>
      </c>
      <c r="D18443" t="inlineStr">
        <is>
          <t>NON-NIL</t>
        </is>
      </c>
      <c r="E18443" t="n">
        <v>45</v>
      </c>
    </row>
    <row r="18444">
      <c r="A18444" t="inlineStr">
        <is>
          <t>27BBBBB18444Z5</t>
        </is>
      </c>
      <c r="B18444" t="inlineStr">
        <is>
          <t>May-2018</t>
        </is>
      </c>
      <c r="C18444" s="2" t="n">
        <v>44013</v>
      </c>
      <c r="D18444" t="inlineStr">
        <is>
          <t>NON-NIL</t>
        </is>
      </c>
      <c r="E18444" t="n">
        <v>1894</v>
      </c>
    </row>
    <row r="18445">
      <c r="A18445" t="inlineStr">
        <is>
          <t>27BBBBB18445Z5</t>
        </is>
      </c>
      <c r="B18445" t="inlineStr">
        <is>
          <t>Jan-2018</t>
        </is>
      </c>
      <c r="C18445" s="2" t="n">
        <v>43851</v>
      </c>
      <c r="D18445" t="inlineStr">
        <is>
          <t>NON-NIL</t>
        </is>
      </c>
      <c r="E18445" t="n">
        <v>2733</v>
      </c>
    </row>
    <row r="18446">
      <c r="A18446" t="inlineStr">
        <is>
          <t>27BBBBB18446Z5</t>
        </is>
      </c>
      <c r="B18446" t="inlineStr">
        <is>
          <t>May-2020</t>
        </is>
      </c>
      <c r="C18446" s="2" t="n">
        <v>44512</v>
      </c>
      <c r="D18446" t="inlineStr">
        <is>
          <t>NIL</t>
        </is>
      </c>
      <c r="E18446" t="n">
        <v>716</v>
      </c>
    </row>
    <row r="18447">
      <c r="A18447" t="inlineStr">
        <is>
          <t>27BBBBB18447Z5</t>
        </is>
      </c>
      <c r="B18447" t="inlineStr">
        <is>
          <t>Aug-2017</t>
        </is>
      </c>
      <c r="C18447" s="2" t="n">
        <v>44265</v>
      </c>
      <c r="D18447" t="inlineStr">
        <is>
          <t>NIL</t>
        </is>
      </c>
      <c r="E18447" t="n">
        <v>364</v>
      </c>
    </row>
    <row r="18448">
      <c r="A18448" t="inlineStr">
        <is>
          <t>27BBBBB18448Z5</t>
        </is>
      </c>
      <c r="B18448" t="inlineStr">
        <is>
          <t>Jul-2017</t>
        </is>
      </c>
      <c r="C18448" s="2" t="n">
        <v>44111</v>
      </c>
      <c r="D18448" t="inlineStr">
        <is>
          <t>NIL</t>
        </is>
      </c>
      <c r="E18448" t="n">
        <v>1138</v>
      </c>
    </row>
    <row r="18449">
      <c r="A18449" t="inlineStr">
        <is>
          <t>27BBBBB18449Z5</t>
        </is>
      </c>
      <c r="B18449" t="inlineStr">
        <is>
          <t>Apr-2020</t>
        </is>
      </c>
      <c r="C18449" s="2" t="n">
        <v>43977</v>
      </c>
      <c r="D18449" t="inlineStr">
        <is>
          <t>NON-NIL</t>
        </is>
      </c>
      <c r="E18449" t="n">
        <v>2925</v>
      </c>
    </row>
    <row r="18450">
      <c r="A18450" t="inlineStr">
        <is>
          <t>27BBBBB18450Z5</t>
        </is>
      </c>
      <c r="B18450" t="inlineStr">
        <is>
          <t>May-2020</t>
        </is>
      </c>
      <c r="C18450" s="2" t="n">
        <v>44854</v>
      </c>
      <c r="D18450" t="inlineStr">
        <is>
          <t>NON-NIL</t>
        </is>
      </c>
      <c r="E18450" t="n">
        <v>2564</v>
      </c>
    </row>
    <row r="18451">
      <c r="A18451" t="inlineStr">
        <is>
          <t>27BBBBB18451Z5</t>
        </is>
      </c>
      <c r="B18451" t="inlineStr">
        <is>
          <t>Jan-2021</t>
        </is>
      </c>
      <c r="C18451" s="2" t="n">
        <v>45280</v>
      </c>
      <c r="D18451" t="inlineStr">
        <is>
          <t>NON-NIL</t>
        </is>
      </c>
      <c r="E18451" t="n">
        <v>2942</v>
      </c>
    </row>
    <row r="18452">
      <c r="A18452" t="inlineStr">
        <is>
          <t>27BBBBB18452Z5</t>
        </is>
      </c>
      <c r="B18452" t="inlineStr">
        <is>
          <t>Mar-2020</t>
        </is>
      </c>
      <c r="C18452" s="2" t="n">
        <v>44171</v>
      </c>
      <c r="D18452" t="inlineStr">
        <is>
          <t>NIL</t>
        </is>
      </c>
      <c r="E18452" t="n">
        <v>536</v>
      </c>
    </row>
    <row r="18453">
      <c r="A18453" t="inlineStr">
        <is>
          <t>27BBBBB18453Z5</t>
        </is>
      </c>
      <c r="B18453" t="inlineStr">
        <is>
          <t>Aug-2017</t>
        </is>
      </c>
      <c r="C18453" s="2" t="n">
        <v>42932</v>
      </c>
      <c r="D18453" t="inlineStr">
        <is>
          <t>NON-NIL</t>
        </is>
      </c>
      <c r="E18453" t="n">
        <v>1057</v>
      </c>
    </row>
    <row r="18454">
      <c r="A18454" t="inlineStr">
        <is>
          <t>27BBBBB18454Z5</t>
        </is>
      </c>
      <c r="B18454" t="inlineStr">
        <is>
          <t>Oct-2017</t>
        </is>
      </c>
      <c r="C18454" s="2" t="n">
        <v>43699</v>
      </c>
      <c r="D18454" t="inlineStr">
        <is>
          <t>NON-NIL</t>
        </is>
      </c>
      <c r="E18454" t="n">
        <v>1106</v>
      </c>
    </row>
    <row r="18455">
      <c r="A18455" t="inlineStr">
        <is>
          <t>27BBBBB18455Z5</t>
        </is>
      </c>
      <c r="B18455" t="inlineStr">
        <is>
          <t>Jun-2018</t>
        </is>
      </c>
      <c r="C18455" s="2" t="n">
        <v>43865</v>
      </c>
      <c r="D18455" t="inlineStr">
        <is>
          <t>NON-NIL</t>
        </is>
      </c>
      <c r="E18455" t="n">
        <v>2684</v>
      </c>
    </row>
    <row r="18456">
      <c r="A18456" t="inlineStr">
        <is>
          <t>27BBBBB18456Z5</t>
        </is>
      </c>
      <c r="B18456" t="inlineStr">
        <is>
          <t>Jul-2018</t>
        </is>
      </c>
      <c r="C18456" s="2" t="n">
        <v>43780</v>
      </c>
      <c r="D18456" t="inlineStr">
        <is>
          <t>NON-NIL</t>
        </is>
      </c>
      <c r="E18456" t="n">
        <v>661</v>
      </c>
    </row>
    <row r="18457">
      <c r="A18457" t="inlineStr">
        <is>
          <t>27BBBBB18457Z5</t>
        </is>
      </c>
      <c r="B18457" t="inlineStr">
        <is>
          <t>Mar-2023</t>
        </is>
      </c>
      <c r="C18457" s="2" t="n">
        <v>45794</v>
      </c>
      <c r="D18457" t="inlineStr">
        <is>
          <t>NIL</t>
        </is>
      </c>
      <c r="E18457" t="n">
        <v>1317</v>
      </c>
    </row>
    <row r="18458">
      <c r="A18458" t="inlineStr">
        <is>
          <t>27BBBBB18458Z5</t>
        </is>
      </c>
      <c r="B18458" t="inlineStr">
        <is>
          <t>Jun-2018</t>
        </is>
      </c>
      <c r="C18458" s="2" t="n">
        <v>43490</v>
      </c>
      <c r="D18458" t="inlineStr">
        <is>
          <t>NON-NIL</t>
        </is>
      </c>
      <c r="E18458" t="n">
        <v>549</v>
      </c>
    </row>
    <row r="18459">
      <c r="A18459" t="inlineStr">
        <is>
          <t>27BBBBB18459Z5</t>
        </is>
      </c>
      <c r="B18459" t="inlineStr">
        <is>
          <t>Jan-2021</t>
        </is>
      </c>
      <c r="C18459" s="2" t="n">
        <v>45640</v>
      </c>
      <c r="D18459" t="inlineStr">
        <is>
          <t>NIL</t>
        </is>
      </c>
      <c r="E18459" t="n">
        <v>1202</v>
      </c>
    </row>
    <row r="18460">
      <c r="A18460" t="inlineStr">
        <is>
          <t>27BBBBB18460Z5</t>
        </is>
      </c>
      <c r="B18460" t="inlineStr">
        <is>
          <t>Jun-2020</t>
        </is>
      </c>
      <c r="C18460" s="2" t="n">
        <v>44709</v>
      </c>
      <c r="D18460" t="inlineStr">
        <is>
          <t>NON-NIL</t>
        </is>
      </c>
      <c r="E18460" t="n">
        <v>926</v>
      </c>
    </row>
    <row r="18461">
      <c r="A18461" t="inlineStr">
        <is>
          <t>27BBBBB18461Z5</t>
        </is>
      </c>
      <c r="B18461" t="inlineStr">
        <is>
          <t>Jan-2021</t>
        </is>
      </c>
      <c r="C18461" s="2" t="n">
        <v>45313</v>
      </c>
      <c r="D18461" t="inlineStr">
        <is>
          <t>NON-NIL</t>
        </is>
      </c>
      <c r="E18461" t="n">
        <v>1668</v>
      </c>
    </row>
    <row r="18462">
      <c r="A18462" t="inlineStr">
        <is>
          <t>27BBBBB18462Z5</t>
        </is>
      </c>
      <c r="B18462" t="inlineStr">
        <is>
          <t>Sep-2018</t>
        </is>
      </c>
      <c r="C18462" s="2" t="n">
        <v>44140</v>
      </c>
      <c r="D18462" t="inlineStr">
        <is>
          <t>NON-NIL</t>
        </is>
      </c>
      <c r="E18462" t="n">
        <v>2031</v>
      </c>
    </row>
    <row r="18463">
      <c r="A18463" t="inlineStr">
        <is>
          <t>27BBBBB18463Z5</t>
        </is>
      </c>
      <c r="B18463" t="inlineStr">
        <is>
          <t>Jul-2020</t>
        </is>
      </c>
      <c r="C18463" s="2" t="n">
        <v>44510</v>
      </c>
      <c r="D18463" t="inlineStr">
        <is>
          <t>NIL</t>
        </is>
      </c>
      <c r="E18463" t="n">
        <v>2053</v>
      </c>
    </row>
    <row r="18464">
      <c r="A18464" t="inlineStr">
        <is>
          <t>27BBBBB18464Z5</t>
        </is>
      </c>
      <c r="B18464" t="inlineStr">
        <is>
          <t>Nov-2018</t>
        </is>
      </c>
      <c r="C18464" s="2" t="n">
        <v>43192</v>
      </c>
      <c r="D18464" t="inlineStr">
        <is>
          <t>NON-NIL</t>
        </is>
      </c>
      <c r="E18464" t="n">
        <v>1547</v>
      </c>
    </row>
    <row r="18465">
      <c r="A18465" t="inlineStr">
        <is>
          <t>27BBBBB18465Z5</t>
        </is>
      </c>
      <c r="B18465" t="inlineStr">
        <is>
          <t>Dec-2017</t>
        </is>
      </c>
      <c r="C18465" s="2" t="n">
        <v>43142</v>
      </c>
      <c r="D18465" t="inlineStr">
        <is>
          <t>NON-NIL</t>
        </is>
      </c>
      <c r="E18465" t="n">
        <v>1367</v>
      </c>
    </row>
    <row r="18466">
      <c r="A18466" t="inlineStr">
        <is>
          <t>27BBBBB18466Z5</t>
        </is>
      </c>
      <c r="B18466" t="inlineStr">
        <is>
          <t>May-2020</t>
        </is>
      </c>
      <c r="C18466" s="2" t="n">
        <v>44796</v>
      </c>
      <c r="D18466" t="inlineStr">
        <is>
          <t>NIL</t>
        </is>
      </c>
      <c r="E18466" t="n">
        <v>209</v>
      </c>
    </row>
    <row r="18467">
      <c r="A18467" t="inlineStr">
        <is>
          <t>27BBBBB18467Z5</t>
        </is>
      </c>
      <c r="B18467" t="inlineStr">
        <is>
          <t>May-2020</t>
        </is>
      </c>
      <c r="C18467" s="2" t="n">
        <v>44258</v>
      </c>
      <c r="D18467" t="inlineStr">
        <is>
          <t>NIL</t>
        </is>
      </c>
      <c r="E18467" t="n">
        <v>263</v>
      </c>
    </row>
    <row r="18468">
      <c r="A18468" t="inlineStr">
        <is>
          <t>27BBBBB18468Z5</t>
        </is>
      </c>
      <c r="B18468" t="inlineStr">
        <is>
          <t>Dec-2018</t>
        </is>
      </c>
      <c r="C18468" s="2" t="n">
        <v>44442</v>
      </c>
      <c r="D18468" t="inlineStr">
        <is>
          <t>NIL</t>
        </is>
      </c>
      <c r="E18468" t="n">
        <v>744</v>
      </c>
    </row>
    <row r="18469">
      <c r="A18469" t="inlineStr">
        <is>
          <t>27BBBBB18469Z5</t>
        </is>
      </c>
      <c r="B18469" t="inlineStr">
        <is>
          <t>Oct-2018</t>
        </is>
      </c>
      <c r="C18469" s="2" t="n">
        <v>43267</v>
      </c>
      <c r="D18469" t="inlineStr">
        <is>
          <t>NIL</t>
        </is>
      </c>
      <c r="E18469" t="n">
        <v>991</v>
      </c>
    </row>
    <row r="18470">
      <c r="A18470" t="inlineStr">
        <is>
          <t>27BBBBB18470Z5</t>
        </is>
      </c>
      <c r="B18470" t="inlineStr">
        <is>
          <t>Sep-2017</t>
        </is>
      </c>
      <c r="C18470" s="2" t="n">
        <v>44368</v>
      </c>
      <c r="D18470" t="inlineStr">
        <is>
          <t>NON-NIL</t>
        </is>
      </c>
      <c r="E18470" t="n">
        <v>1369</v>
      </c>
    </row>
    <row r="18471">
      <c r="A18471" t="inlineStr">
        <is>
          <t>27BBBBB18471Z5</t>
        </is>
      </c>
      <c r="B18471" t="inlineStr">
        <is>
          <t>May-2018</t>
        </is>
      </c>
      <c r="C18471" s="2" t="n">
        <v>44474</v>
      </c>
      <c r="D18471" t="inlineStr">
        <is>
          <t>NIL</t>
        </is>
      </c>
      <c r="E18471" t="n">
        <v>926</v>
      </c>
    </row>
    <row r="18472">
      <c r="A18472" t="inlineStr">
        <is>
          <t>27BBBBB18472Z5</t>
        </is>
      </c>
      <c r="B18472" t="inlineStr">
        <is>
          <t>Apr-2018</t>
        </is>
      </c>
      <c r="C18472" s="2" t="n">
        <v>44052</v>
      </c>
      <c r="D18472" t="inlineStr">
        <is>
          <t>NIL</t>
        </is>
      </c>
      <c r="E18472" t="n">
        <v>2030</v>
      </c>
    </row>
    <row r="18473">
      <c r="A18473" t="inlineStr">
        <is>
          <t>27BBBBB18473Z5</t>
        </is>
      </c>
      <c r="B18473" t="inlineStr">
        <is>
          <t>Jul-2018</t>
        </is>
      </c>
      <c r="C18473" s="2" t="n">
        <v>44495</v>
      </c>
      <c r="D18473" t="inlineStr">
        <is>
          <t>NON-NIL</t>
        </is>
      </c>
      <c r="E18473" t="n">
        <v>2704</v>
      </c>
    </row>
    <row r="18474">
      <c r="A18474" t="inlineStr">
        <is>
          <t>27BBBBB18474Z5</t>
        </is>
      </c>
      <c r="B18474" t="inlineStr">
        <is>
          <t>Aug-2018</t>
        </is>
      </c>
      <c r="C18474" s="2" t="n">
        <v>44520</v>
      </c>
      <c r="D18474" t="inlineStr">
        <is>
          <t>NON-NIL</t>
        </is>
      </c>
      <c r="E18474" t="n">
        <v>375</v>
      </c>
    </row>
    <row r="18475">
      <c r="A18475" t="inlineStr">
        <is>
          <t>27BBBBB18475Z5</t>
        </is>
      </c>
      <c r="B18475" t="inlineStr">
        <is>
          <t>Mar-2021</t>
        </is>
      </c>
      <c r="C18475" s="2" t="n">
        <v>45421</v>
      </c>
      <c r="D18475" t="inlineStr">
        <is>
          <t>NIL</t>
        </is>
      </c>
      <c r="E18475" t="n">
        <v>1965</v>
      </c>
    </row>
    <row r="18476">
      <c r="A18476" t="inlineStr">
        <is>
          <t>27BBBBB18476Z5</t>
        </is>
      </c>
      <c r="B18476" t="inlineStr">
        <is>
          <t>Mar-2023</t>
        </is>
      </c>
      <c r="C18476" s="2" t="n">
        <v>43674</v>
      </c>
      <c r="D18476" t="inlineStr">
        <is>
          <t>NON-NIL</t>
        </is>
      </c>
      <c r="E18476" t="n">
        <v>884</v>
      </c>
    </row>
    <row r="18477">
      <c r="A18477" t="inlineStr">
        <is>
          <t>27BBBBB18477Z5</t>
        </is>
      </c>
      <c r="B18477" t="inlineStr">
        <is>
          <t>Mar-2020</t>
        </is>
      </c>
      <c r="C18477" s="2" t="n">
        <v>44754</v>
      </c>
      <c r="D18477" t="inlineStr">
        <is>
          <t>NON-NIL</t>
        </is>
      </c>
      <c r="E18477" t="n">
        <v>1140</v>
      </c>
    </row>
    <row r="18478">
      <c r="A18478" t="inlineStr">
        <is>
          <t>27BBBBB18478Z5</t>
        </is>
      </c>
      <c r="B18478" t="inlineStr">
        <is>
          <t>Jul-2017</t>
        </is>
      </c>
      <c r="C18478" s="2" t="n">
        <v>43918</v>
      </c>
      <c r="D18478" t="inlineStr">
        <is>
          <t>NIL</t>
        </is>
      </c>
      <c r="E18478" t="n">
        <v>2761</v>
      </c>
    </row>
    <row r="18479">
      <c r="A18479" t="inlineStr">
        <is>
          <t>27BBBBB18479Z5</t>
        </is>
      </c>
      <c r="B18479" t="inlineStr">
        <is>
          <t>Mar-2020</t>
        </is>
      </c>
      <c r="C18479" s="2" t="n">
        <v>44326</v>
      </c>
      <c r="D18479" t="inlineStr">
        <is>
          <t>NON-NIL</t>
        </is>
      </c>
      <c r="E18479" t="n">
        <v>1633</v>
      </c>
    </row>
    <row r="18480">
      <c r="A18480" t="inlineStr">
        <is>
          <t>27BBBBB18480Z5</t>
        </is>
      </c>
      <c r="B18480" t="inlineStr">
        <is>
          <t>Sep-2018</t>
        </is>
      </c>
      <c r="C18480" s="2" t="n">
        <v>43047</v>
      </c>
      <c r="D18480" t="inlineStr">
        <is>
          <t>NIL</t>
        </is>
      </c>
      <c r="E18480" t="n">
        <v>2612</v>
      </c>
    </row>
    <row r="18481">
      <c r="A18481" t="inlineStr">
        <is>
          <t>27BBBBB18481Z5</t>
        </is>
      </c>
      <c r="B18481" t="inlineStr">
        <is>
          <t>Apr-2018</t>
        </is>
      </c>
      <c r="C18481" s="2" t="n">
        <v>43001</v>
      </c>
      <c r="D18481" t="inlineStr">
        <is>
          <t>NON-NIL</t>
        </is>
      </c>
      <c r="E18481" t="n">
        <v>180</v>
      </c>
    </row>
    <row r="18482">
      <c r="A18482" t="inlineStr">
        <is>
          <t>27BBBBB18482Z5</t>
        </is>
      </c>
      <c r="B18482" t="inlineStr">
        <is>
          <t>Nov-2017</t>
        </is>
      </c>
      <c r="C18482" s="2" t="n">
        <v>43768</v>
      </c>
      <c r="D18482" t="inlineStr">
        <is>
          <t>NON-NIL</t>
        </is>
      </c>
      <c r="E18482" t="n">
        <v>2800</v>
      </c>
    </row>
    <row r="18483">
      <c r="A18483" t="inlineStr">
        <is>
          <t>27BBBBB18483Z5</t>
        </is>
      </c>
      <c r="B18483" t="inlineStr">
        <is>
          <t>Sep-2017</t>
        </is>
      </c>
      <c r="C18483" s="2" t="n">
        <v>44499</v>
      </c>
      <c r="D18483" t="inlineStr">
        <is>
          <t>NON-NIL</t>
        </is>
      </c>
      <c r="E18483" t="n">
        <v>767</v>
      </c>
    </row>
    <row r="18484">
      <c r="A18484" t="inlineStr">
        <is>
          <t>27BBBBB18484Z5</t>
        </is>
      </c>
      <c r="B18484" t="inlineStr">
        <is>
          <t>Mar-2023</t>
        </is>
      </c>
      <c r="C18484" s="2" t="n">
        <v>44363</v>
      </c>
      <c r="D18484" t="inlineStr">
        <is>
          <t>NON-NIL</t>
        </is>
      </c>
      <c r="E18484" t="n">
        <v>2856</v>
      </c>
    </row>
    <row r="18485">
      <c r="A18485" t="inlineStr">
        <is>
          <t>27BBBBB18485Z5</t>
        </is>
      </c>
      <c r="B18485" t="inlineStr">
        <is>
          <t>Mar-2020</t>
        </is>
      </c>
      <c r="C18485" s="2" t="n">
        <v>44706</v>
      </c>
      <c r="D18485" t="inlineStr">
        <is>
          <t>NON-NIL</t>
        </is>
      </c>
      <c r="E18485" t="n">
        <v>292</v>
      </c>
    </row>
    <row r="18486">
      <c r="A18486" t="inlineStr">
        <is>
          <t>27BBBBB18486Z5</t>
        </is>
      </c>
      <c r="B18486" t="inlineStr">
        <is>
          <t>Jun-2018</t>
        </is>
      </c>
      <c r="C18486" s="2" t="n">
        <v>44145</v>
      </c>
      <c r="D18486" t="inlineStr">
        <is>
          <t>NIL</t>
        </is>
      </c>
      <c r="E18486" t="n">
        <v>118</v>
      </c>
    </row>
    <row r="18487">
      <c r="A18487" t="inlineStr">
        <is>
          <t>27BBBBB18487Z5</t>
        </is>
      </c>
      <c r="B18487" t="inlineStr">
        <is>
          <t>Aug-2018</t>
        </is>
      </c>
      <c r="C18487" s="2" t="n">
        <v>44398</v>
      </c>
      <c r="D18487" t="inlineStr">
        <is>
          <t>NON-NIL</t>
        </is>
      </c>
      <c r="E18487" t="n">
        <v>690</v>
      </c>
    </row>
    <row r="18488">
      <c r="A18488" t="inlineStr">
        <is>
          <t>27BBBBB18488Z5</t>
        </is>
      </c>
      <c r="B18488" t="inlineStr">
        <is>
          <t>Jan-2018</t>
        </is>
      </c>
      <c r="C18488" s="2" t="n">
        <v>44529</v>
      </c>
      <c r="D18488" t="inlineStr">
        <is>
          <t>NIL</t>
        </is>
      </c>
      <c r="E18488" t="n">
        <v>482</v>
      </c>
    </row>
    <row r="18489">
      <c r="A18489" t="inlineStr">
        <is>
          <t>27BBBBB18489Z5</t>
        </is>
      </c>
      <c r="B18489" t="inlineStr">
        <is>
          <t>Dec-2018</t>
        </is>
      </c>
      <c r="C18489" s="2" t="n">
        <v>43022</v>
      </c>
      <c r="D18489" t="inlineStr">
        <is>
          <t>NIL</t>
        </is>
      </c>
      <c r="E18489" t="n">
        <v>2651</v>
      </c>
    </row>
    <row r="18490">
      <c r="A18490" t="inlineStr">
        <is>
          <t>27BBBBB18490Z5</t>
        </is>
      </c>
      <c r="B18490" t="inlineStr">
        <is>
          <t>Jan-2021</t>
        </is>
      </c>
      <c r="C18490" s="2" t="n">
        <v>43940</v>
      </c>
      <c r="D18490" t="inlineStr">
        <is>
          <t>NON-NIL</t>
        </is>
      </c>
      <c r="E18490" t="n">
        <v>1738</v>
      </c>
    </row>
    <row r="18491">
      <c r="A18491" t="inlineStr">
        <is>
          <t>27BBBBB18491Z5</t>
        </is>
      </c>
      <c r="B18491" t="inlineStr">
        <is>
          <t>Dec-2022</t>
        </is>
      </c>
      <c r="C18491" s="2" t="n">
        <v>45669</v>
      </c>
      <c r="D18491" t="inlineStr">
        <is>
          <t>NIL</t>
        </is>
      </c>
      <c r="E18491" t="n">
        <v>2512</v>
      </c>
    </row>
    <row r="18492">
      <c r="A18492" t="inlineStr">
        <is>
          <t>27BBBBB18492Z5</t>
        </is>
      </c>
      <c r="B18492" t="inlineStr">
        <is>
          <t>Aug-2018</t>
        </is>
      </c>
      <c r="C18492" s="2" t="n">
        <v>44241</v>
      </c>
      <c r="D18492" t="inlineStr">
        <is>
          <t>NON-NIL</t>
        </is>
      </c>
      <c r="E18492" t="n">
        <v>2775</v>
      </c>
    </row>
    <row r="18493">
      <c r="A18493" t="inlineStr">
        <is>
          <t>27BBBBB18493Z5</t>
        </is>
      </c>
      <c r="B18493" t="inlineStr">
        <is>
          <t>Nov-2018</t>
        </is>
      </c>
      <c r="C18493" s="2" t="n">
        <v>43745</v>
      </c>
      <c r="D18493" t="inlineStr">
        <is>
          <t>NIL</t>
        </is>
      </c>
      <c r="E18493" t="n">
        <v>991</v>
      </c>
    </row>
    <row r="18494">
      <c r="A18494" t="inlineStr">
        <is>
          <t>27BBBBB18494Z5</t>
        </is>
      </c>
      <c r="B18494" t="inlineStr">
        <is>
          <t>Mar-2021</t>
        </is>
      </c>
      <c r="C18494" s="2" t="n">
        <v>44357</v>
      </c>
      <c r="D18494" t="inlineStr">
        <is>
          <t>NIL</t>
        </is>
      </c>
      <c r="E18494" t="n">
        <v>617</v>
      </c>
    </row>
    <row r="18495">
      <c r="A18495" t="inlineStr">
        <is>
          <t>27BBBBB18495Z5</t>
        </is>
      </c>
      <c r="B18495" t="inlineStr">
        <is>
          <t>Jan-2018</t>
        </is>
      </c>
      <c r="C18495" s="2" t="n">
        <v>43535</v>
      </c>
      <c r="D18495" t="inlineStr">
        <is>
          <t>NON-NIL</t>
        </is>
      </c>
      <c r="E18495" t="n">
        <v>2886</v>
      </c>
    </row>
    <row r="18496">
      <c r="A18496" t="inlineStr">
        <is>
          <t>27BBBBB18496Z5</t>
        </is>
      </c>
      <c r="B18496" t="inlineStr">
        <is>
          <t>Dec-2017</t>
        </is>
      </c>
      <c r="C18496" s="2" t="n">
        <v>43839</v>
      </c>
      <c r="D18496" t="inlineStr">
        <is>
          <t>NIL</t>
        </is>
      </c>
      <c r="E18496" t="n">
        <v>2091</v>
      </c>
    </row>
    <row r="18497">
      <c r="A18497" t="inlineStr">
        <is>
          <t>27BBBBB18497Z5</t>
        </is>
      </c>
      <c r="B18497" t="inlineStr">
        <is>
          <t>Mar-2021</t>
        </is>
      </c>
      <c r="C18497" s="2" t="n">
        <v>44489</v>
      </c>
      <c r="D18497" t="inlineStr">
        <is>
          <t>NON-NIL</t>
        </is>
      </c>
      <c r="E18497" t="n">
        <v>2777</v>
      </c>
    </row>
    <row r="18498">
      <c r="A18498" t="inlineStr">
        <is>
          <t>27BBBBB18498Z5</t>
        </is>
      </c>
      <c r="B18498" t="inlineStr">
        <is>
          <t>Dec-2022</t>
        </is>
      </c>
      <c r="C18498" s="2" t="n">
        <v>45459</v>
      </c>
      <c r="D18498" t="inlineStr">
        <is>
          <t>NIL</t>
        </is>
      </c>
      <c r="E18498" t="n">
        <v>2160</v>
      </c>
    </row>
    <row r="18499">
      <c r="A18499" t="inlineStr">
        <is>
          <t>27BBBBB18499Z5</t>
        </is>
      </c>
      <c r="B18499" t="inlineStr">
        <is>
          <t>Jul-2017</t>
        </is>
      </c>
      <c r="C18499" s="2" t="n">
        <v>43494</v>
      </c>
      <c r="D18499" t="inlineStr">
        <is>
          <t>NIL</t>
        </is>
      </c>
      <c r="E18499" t="n">
        <v>2503</v>
      </c>
    </row>
    <row r="18500">
      <c r="A18500" t="inlineStr">
        <is>
          <t>27BBBBB18500Z5</t>
        </is>
      </c>
      <c r="B18500" t="inlineStr">
        <is>
          <t>Dec-2018</t>
        </is>
      </c>
      <c r="C18500" s="2" t="n">
        <v>43700</v>
      </c>
      <c r="D18500" t="inlineStr">
        <is>
          <t>NIL</t>
        </is>
      </c>
      <c r="E18500" t="n">
        <v>747</v>
      </c>
    </row>
    <row r="18501">
      <c r="A18501" t="inlineStr">
        <is>
          <t>27BBBBB18501Z5</t>
        </is>
      </c>
      <c r="B18501" t="inlineStr">
        <is>
          <t>Aug-2017</t>
        </is>
      </c>
      <c r="C18501" s="2" t="n">
        <v>43423</v>
      </c>
      <c r="D18501" t="inlineStr">
        <is>
          <t>NON-NIL</t>
        </is>
      </c>
      <c r="E18501" t="n">
        <v>2458</v>
      </c>
    </row>
    <row r="18502">
      <c r="A18502" t="inlineStr">
        <is>
          <t>27BBBBB18502Z5</t>
        </is>
      </c>
      <c r="B18502" t="inlineStr">
        <is>
          <t>Feb-2018</t>
        </is>
      </c>
      <c r="C18502" s="2" t="n">
        <v>43511</v>
      </c>
      <c r="D18502" t="inlineStr">
        <is>
          <t>NIL</t>
        </is>
      </c>
      <c r="E18502" t="n">
        <v>1008</v>
      </c>
    </row>
    <row r="18503">
      <c r="A18503" t="inlineStr">
        <is>
          <t>27BBBBB18503Z5</t>
        </is>
      </c>
      <c r="B18503" t="inlineStr">
        <is>
          <t>Jan-2021</t>
        </is>
      </c>
      <c r="C18503" s="2" t="n">
        <v>44331</v>
      </c>
      <c r="D18503" t="inlineStr">
        <is>
          <t>NIL</t>
        </is>
      </c>
      <c r="E18503" t="n">
        <v>1319</v>
      </c>
    </row>
    <row r="18504">
      <c r="A18504" t="inlineStr">
        <is>
          <t>27BBBBB18504Z5</t>
        </is>
      </c>
      <c r="B18504" t="inlineStr">
        <is>
          <t>Jan-2021</t>
        </is>
      </c>
      <c r="C18504" s="2" t="n">
        <v>45038</v>
      </c>
      <c r="D18504" t="inlineStr">
        <is>
          <t>NIL</t>
        </is>
      </c>
      <c r="E18504" t="n">
        <v>505</v>
      </c>
    </row>
    <row r="18505">
      <c r="A18505" t="inlineStr">
        <is>
          <t>27BBBBB18505Z5</t>
        </is>
      </c>
      <c r="B18505" t="inlineStr">
        <is>
          <t>May-2020</t>
        </is>
      </c>
      <c r="C18505" s="2" t="n">
        <v>44084</v>
      </c>
      <c r="D18505" t="inlineStr">
        <is>
          <t>NIL</t>
        </is>
      </c>
      <c r="E18505" t="n">
        <v>746</v>
      </c>
    </row>
    <row r="18506">
      <c r="A18506" t="inlineStr">
        <is>
          <t>27BBBBB18506Z5</t>
        </is>
      </c>
      <c r="B18506" t="inlineStr">
        <is>
          <t>Jan-2018</t>
        </is>
      </c>
      <c r="C18506" s="2" t="n">
        <v>43051</v>
      </c>
      <c r="D18506" t="inlineStr">
        <is>
          <t>NIL</t>
        </is>
      </c>
      <c r="E18506" t="n">
        <v>962</v>
      </c>
    </row>
    <row r="18507">
      <c r="A18507" t="inlineStr">
        <is>
          <t>27BBBBB18507Z5</t>
        </is>
      </c>
      <c r="B18507" t="inlineStr">
        <is>
          <t>Jun-2020</t>
        </is>
      </c>
      <c r="C18507" s="2" t="n">
        <v>43845</v>
      </c>
      <c r="D18507" t="inlineStr">
        <is>
          <t>NON-NIL</t>
        </is>
      </c>
      <c r="E18507" t="n">
        <v>2471</v>
      </c>
    </row>
    <row r="18508">
      <c r="A18508" t="inlineStr">
        <is>
          <t>27BBBBB18508Z5</t>
        </is>
      </c>
      <c r="B18508" t="inlineStr">
        <is>
          <t>Sep-2017</t>
        </is>
      </c>
      <c r="C18508" s="2" t="n">
        <v>44163</v>
      </c>
      <c r="D18508" t="inlineStr">
        <is>
          <t>NIL</t>
        </is>
      </c>
      <c r="E18508" t="n">
        <v>1728</v>
      </c>
    </row>
    <row r="18509">
      <c r="A18509" t="inlineStr">
        <is>
          <t>27BBBBB18509Z5</t>
        </is>
      </c>
      <c r="B18509" t="inlineStr">
        <is>
          <t>Apr-2018</t>
        </is>
      </c>
      <c r="C18509" s="2" t="n">
        <v>44114</v>
      </c>
      <c r="D18509" t="inlineStr">
        <is>
          <t>NIL</t>
        </is>
      </c>
      <c r="E18509" t="n">
        <v>934</v>
      </c>
    </row>
    <row r="18510">
      <c r="A18510" t="inlineStr">
        <is>
          <t>27BBBBB18510Z5</t>
        </is>
      </c>
      <c r="B18510" t="inlineStr">
        <is>
          <t>Mar-2021</t>
        </is>
      </c>
      <c r="C18510" s="2" t="n">
        <v>44254</v>
      </c>
      <c r="D18510" t="inlineStr">
        <is>
          <t>NON-NIL</t>
        </is>
      </c>
      <c r="E18510" t="n">
        <v>1246</v>
      </c>
    </row>
    <row r="18511">
      <c r="A18511" t="inlineStr">
        <is>
          <t>27BBBBB18511Z5</t>
        </is>
      </c>
      <c r="B18511" t="inlineStr">
        <is>
          <t>Aug-2017</t>
        </is>
      </c>
      <c r="C18511" s="2" t="n">
        <v>44326</v>
      </c>
      <c r="D18511" t="inlineStr">
        <is>
          <t>NIL</t>
        </is>
      </c>
      <c r="E18511" t="n">
        <v>663</v>
      </c>
    </row>
    <row r="18512">
      <c r="A18512" t="inlineStr">
        <is>
          <t>27BBBBB18512Z5</t>
        </is>
      </c>
      <c r="B18512" t="inlineStr">
        <is>
          <t>Aug-2017</t>
        </is>
      </c>
      <c r="C18512" s="2" t="n">
        <v>43954</v>
      </c>
      <c r="D18512" t="inlineStr">
        <is>
          <t>NIL</t>
        </is>
      </c>
      <c r="E18512" t="n">
        <v>1394</v>
      </c>
    </row>
    <row r="18513">
      <c r="A18513" t="inlineStr">
        <is>
          <t>27BBBBB18513Z5</t>
        </is>
      </c>
      <c r="B18513" t="inlineStr">
        <is>
          <t>Oct-2018</t>
        </is>
      </c>
      <c r="C18513" s="2" t="n">
        <v>44172</v>
      </c>
      <c r="D18513" t="inlineStr">
        <is>
          <t>NIL</t>
        </is>
      </c>
      <c r="E18513" t="n">
        <v>181</v>
      </c>
    </row>
    <row r="18514">
      <c r="A18514" t="inlineStr">
        <is>
          <t>27BBBBB18514Z5</t>
        </is>
      </c>
      <c r="B18514" t="inlineStr">
        <is>
          <t>Aug-2017</t>
        </is>
      </c>
      <c r="C18514" s="2" t="n">
        <v>44236</v>
      </c>
      <c r="D18514" t="inlineStr">
        <is>
          <t>NIL</t>
        </is>
      </c>
      <c r="E18514" t="n">
        <v>1718</v>
      </c>
    </row>
    <row r="18515">
      <c r="A18515" t="inlineStr">
        <is>
          <t>27BBBBB18515Z5</t>
        </is>
      </c>
      <c r="B18515" t="inlineStr">
        <is>
          <t>Dec-2017</t>
        </is>
      </c>
      <c r="C18515" s="2" t="n">
        <v>44401</v>
      </c>
      <c r="D18515" t="inlineStr">
        <is>
          <t>NIL</t>
        </is>
      </c>
      <c r="E18515" t="n">
        <v>361</v>
      </c>
    </row>
    <row r="18516">
      <c r="A18516" t="inlineStr">
        <is>
          <t>27BBBBB18516Z5</t>
        </is>
      </c>
      <c r="B18516" t="inlineStr">
        <is>
          <t>Nov-2017</t>
        </is>
      </c>
      <c r="C18516" s="2" t="n">
        <v>43731</v>
      </c>
      <c r="D18516" t="inlineStr">
        <is>
          <t>NON-NIL</t>
        </is>
      </c>
      <c r="E18516" t="n">
        <v>2862</v>
      </c>
    </row>
    <row r="18517">
      <c r="A18517" t="inlineStr">
        <is>
          <t>27BBBBB18517Z5</t>
        </is>
      </c>
      <c r="B18517" t="inlineStr">
        <is>
          <t>Dec-2024</t>
        </is>
      </c>
      <c r="C18517" s="2" t="n">
        <v>44801</v>
      </c>
      <c r="D18517" t="inlineStr">
        <is>
          <t>NIL</t>
        </is>
      </c>
      <c r="E18517" t="n">
        <v>1655</v>
      </c>
    </row>
    <row r="18518">
      <c r="A18518" t="inlineStr">
        <is>
          <t>27BBBBB18518Z5</t>
        </is>
      </c>
      <c r="B18518" t="inlineStr">
        <is>
          <t>Nov-2017</t>
        </is>
      </c>
      <c r="C18518" s="2" t="n">
        <v>43548</v>
      </c>
      <c r="D18518" t="inlineStr">
        <is>
          <t>NON-NIL</t>
        </is>
      </c>
      <c r="E18518" t="n">
        <v>2053</v>
      </c>
    </row>
    <row r="18519">
      <c r="A18519" t="inlineStr">
        <is>
          <t>27BBBBB18519Z5</t>
        </is>
      </c>
      <c r="B18519" t="inlineStr">
        <is>
          <t>Mar-2018</t>
        </is>
      </c>
      <c r="C18519" s="2" t="n">
        <v>43957</v>
      </c>
      <c r="D18519" t="inlineStr">
        <is>
          <t>NON-NIL</t>
        </is>
      </c>
      <c r="E18519" t="n">
        <v>1622</v>
      </c>
    </row>
    <row r="18520">
      <c r="A18520" t="inlineStr">
        <is>
          <t>27BBBBB18520Z5</t>
        </is>
      </c>
      <c r="B18520" t="inlineStr">
        <is>
          <t>Oct-2017</t>
        </is>
      </c>
      <c r="C18520" s="2" t="n">
        <v>43242</v>
      </c>
      <c r="D18520" t="inlineStr">
        <is>
          <t>NON-NIL</t>
        </is>
      </c>
      <c r="E18520" t="n">
        <v>1209</v>
      </c>
    </row>
    <row r="18521">
      <c r="A18521" t="inlineStr">
        <is>
          <t>27BBBBB18521Z5</t>
        </is>
      </c>
      <c r="B18521" t="inlineStr">
        <is>
          <t>Mar-2020</t>
        </is>
      </c>
      <c r="C18521" s="2" t="n">
        <v>44013</v>
      </c>
      <c r="D18521" t="inlineStr">
        <is>
          <t>NON-NIL</t>
        </is>
      </c>
      <c r="E18521" t="n">
        <v>1615</v>
      </c>
    </row>
    <row r="18522">
      <c r="A18522" t="inlineStr">
        <is>
          <t>27BBBBB18522Z5</t>
        </is>
      </c>
      <c r="B18522" t="inlineStr">
        <is>
          <t>Aug-2017</t>
        </is>
      </c>
      <c r="C18522" s="2" t="n">
        <v>43809</v>
      </c>
      <c r="D18522" t="inlineStr">
        <is>
          <t>NON-NIL</t>
        </is>
      </c>
      <c r="E18522" t="n">
        <v>779</v>
      </c>
    </row>
    <row r="18523">
      <c r="A18523" t="inlineStr">
        <is>
          <t>27BBBBB18523Z5</t>
        </is>
      </c>
      <c r="B18523" t="inlineStr">
        <is>
          <t>May-2018</t>
        </is>
      </c>
      <c r="C18523" s="2" t="n">
        <v>44518</v>
      </c>
      <c r="D18523" t="inlineStr">
        <is>
          <t>NON-NIL</t>
        </is>
      </c>
      <c r="E18523" t="n">
        <v>1059</v>
      </c>
    </row>
    <row r="18524">
      <c r="A18524" t="inlineStr">
        <is>
          <t>27BBBBB18524Z5</t>
        </is>
      </c>
      <c r="B18524" t="inlineStr">
        <is>
          <t>Dec-2017</t>
        </is>
      </c>
      <c r="C18524" s="2" t="n">
        <v>42968</v>
      </c>
      <c r="D18524" t="inlineStr">
        <is>
          <t>NIL</t>
        </is>
      </c>
      <c r="E18524" t="n">
        <v>464</v>
      </c>
    </row>
    <row r="18525">
      <c r="A18525" t="inlineStr">
        <is>
          <t>27BBBBB18525Z5</t>
        </is>
      </c>
      <c r="B18525" t="inlineStr">
        <is>
          <t>Oct-2018</t>
        </is>
      </c>
      <c r="C18525" s="2" t="n">
        <v>44278</v>
      </c>
      <c r="D18525" t="inlineStr">
        <is>
          <t>NIL</t>
        </is>
      </c>
      <c r="E18525" t="n">
        <v>2234</v>
      </c>
    </row>
    <row r="18526">
      <c r="A18526" t="inlineStr">
        <is>
          <t>27BBBBB18526Z5</t>
        </is>
      </c>
      <c r="B18526" t="inlineStr">
        <is>
          <t>Apr-2020</t>
        </is>
      </c>
      <c r="C18526" s="2" t="n">
        <v>44088</v>
      </c>
      <c r="D18526" t="inlineStr">
        <is>
          <t>NIL</t>
        </is>
      </c>
      <c r="E18526" t="n">
        <v>1143</v>
      </c>
    </row>
    <row r="18527">
      <c r="A18527" t="inlineStr">
        <is>
          <t>27BBBBB18527Z5</t>
        </is>
      </c>
      <c r="B18527" t="inlineStr">
        <is>
          <t>Aug-2018</t>
        </is>
      </c>
      <c r="C18527" s="2" t="n">
        <v>43172</v>
      </c>
      <c r="D18527" t="inlineStr">
        <is>
          <t>NIL</t>
        </is>
      </c>
      <c r="E18527" t="n">
        <v>2388</v>
      </c>
    </row>
    <row r="18528">
      <c r="A18528" t="inlineStr">
        <is>
          <t>27BBBBB18528Z5</t>
        </is>
      </c>
      <c r="B18528" t="inlineStr">
        <is>
          <t>Oct-2017</t>
        </is>
      </c>
      <c r="C18528" s="2" t="n">
        <v>44095</v>
      </c>
      <c r="D18528" t="inlineStr">
        <is>
          <t>NIL</t>
        </is>
      </c>
      <c r="E18528" t="n">
        <v>2343</v>
      </c>
    </row>
    <row r="18529">
      <c r="A18529" t="inlineStr">
        <is>
          <t>27BBBBB18529Z5</t>
        </is>
      </c>
      <c r="B18529" t="inlineStr">
        <is>
          <t>Oct-2017</t>
        </is>
      </c>
      <c r="C18529" s="2" t="n">
        <v>43361</v>
      </c>
      <c r="D18529" t="inlineStr">
        <is>
          <t>NON-NIL</t>
        </is>
      </c>
      <c r="E18529" t="n">
        <v>687</v>
      </c>
    </row>
    <row r="18530">
      <c r="A18530" t="inlineStr">
        <is>
          <t>27BBBBB18530Z5</t>
        </is>
      </c>
      <c r="B18530" t="inlineStr">
        <is>
          <t>Dec-2024</t>
        </is>
      </c>
      <c r="C18530" s="2" t="n">
        <v>44396</v>
      </c>
      <c r="D18530" t="inlineStr">
        <is>
          <t>NIL</t>
        </is>
      </c>
      <c r="E18530" t="n">
        <v>1338</v>
      </c>
    </row>
    <row r="18531">
      <c r="A18531" t="inlineStr">
        <is>
          <t>27BBBBB18531Z5</t>
        </is>
      </c>
      <c r="B18531" t="inlineStr">
        <is>
          <t>Jan-2018</t>
        </is>
      </c>
      <c r="C18531" s="2" t="n">
        <v>42990</v>
      </c>
      <c r="D18531" t="inlineStr">
        <is>
          <t>NON-NIL</t>
        </is>
      </c>
      <c r="E18531" t="n">
        <v>415</v>
      </c>
    </row>
    <row r="18532">
      <c r="A18532" t="inlineStr">
        <is>
          <t>27BBBBB18532Z5</t>
        </is>
      </c>
      <c r="B18532" t="inlineStr">
        <is>
          <t>Jul-2017</t>
        </is>
      </c>
      <c r="C18532" s="2" t="n">
        <v>44002</v>
      </c>
      <c r="D18532" t="inlineStr">
        <is>
          <t>NON-NIL</t>
        </is>
      </c>
      <c r="E18532" t="n">
        <v>2571</v>
      </c>
    </row>
    <row r="18533">
      <c r="A18533" t="inlineStr">
        <is>
          <t>27BBBBB18533Z5</t>
        </is>
      </c>
      <c r="B18533" t="inlineStr">
        <is>
          <t>Jan-2021</t>
        </is>
      </c>
      <c r="C18533" s="2" t="n">
        <v>44287</v>
      </c>
      <c r="D18533" t="inlineStr">
        <is>
          <t>NIL</t>
        </is>
      </c>
      <c r="E18533" t="n">
        <v>1001</v>
      </c>
    </row>
    <row r="18534">
      <c r="A18534" t="inlineStr">
        <is>
          <t>27BBBBB18534Z5</t>
        </is>
      </c>
      <c r="B18534" t="inlineStr">
        <is>
          <t>Jan-2021</t>
        </is>
      </c>
      <c r="C18534" s="2" t="n">
        <v>43921</v>
      </c>
      <c r="D18534" t="inlineStr">
        <is>
          <t>NIL</t>
        </is>
      </c>
      <c r="E18534" t="n">
        <v>210</v>
      </c>
    </row>
    <row r="18535">
      <c r="A18535" t="inlineStr">
        <is>
          <t>27BBBBB18535Z5</t>
        </is>
      </c>
      <c r="B18535" t="inlineStr">
        <is>
          <t>Sep-2017</t>
        </is>
      </c>
      <c r="C18535" s="2" t="n">
        <v>43534</v>
      </c>
      <c r="D18535" t="inlineStr">
        <is>
          <t>NON-NIL</t>
        </is>
      </c>
      <c r="E18535" t="n">
        <v>933</v>
      </c>
    </row>
    <row r="18536">
      <c r="A18536" t="inlineStr">
        <is>
          <t>27BBBBB18536Z5</t>
        </is>
      </c>
      <c r="B18536" t="inlineStr">
        <is>
          <t>Jun-2018</t>
        </is>
      </c>
      <c r="C18536" s="2" t="n">
        <v>43511</v>
      </c>
      <c r="D18536" t="inlineStr">
        <is>
          <t>NON-NIL</t>
        </is>
      </c>
      <c r="E18536" t="n">
        <v>1570</v>
      </c>
    </row>
    <row r="18537">
      <c r="A18537" t="inlineStr">
        <is>
          <t>27BBBBB18537Z5</t>
        </is>
      </c>
      <c r="B18537" t="inlineStr">
        <is>
          <t>Nov-2017</t>
        </is>
      </c>
      <c r="C18537" s="2" t="n">
        <v>43684</v>
      </c>
      <c r="D18537" t="inlineStr">
        <is>
          <t>NON-NIL</t>
        </is>
      </c>
      <c r="E18537" t="n">
        <v>2723</v>
      </c>
    </row>
    <row r="18538">
      <c r="A18538" t="inlineStr">
        <is>
          <t>27BBBBB18538Z5</t>
        </is>
      </c>
      <c r="B18538" t="inlineStr">
        <is>
          <t>Mar-2018</t>
        </is>
      </c>
      <c r="C18538" s="2" t="n">
        <v>42951</v>
      </c>
      <c r="D18538" t="inlineStr">
        <is>
          <t>NIL</t>
        </is>
      </c>
      <c r="E18538" t="n">
        <v>2834</v>
      </c>
    </row>
    <row r="18539">
      <c r="A18539" t="inlineStr">
        <is>
          <t>27BBBBB18539Z5</t>
        </is>
      </c>
      <c r="B18539" t="inlineStr">
        <is>
          <t>May-2018</t>
        </is>
      </c>
      <c r="C18539" s="2" t="n">
        <v>43127</v>
      </c>
      <c r="D18539" t="inlineStr">
        <is>
          <t>NON-NIL</t>
        </is>
      </c>
      <c r="E18539" t="n">
        <v>2598</v>
      </c>
    </row>
    <row r="18540">
      <c r="A18540" t="inlineStr">
        <is>
          <t>27BBBBB18540Z5</t>
        </is>
      </c>
      <c r="B18540" t="inlineStr">
        <is>
          <t>Oct-2017</t>
        </is>
      </c>
      <c r="C18540" s="2" t="n">
        <v>43523</v>
      </c>
      <c r="D18540" t="inlineStr">
        <is>
          <t>NIL</t>
        </is>
      </c>
      <c r="E18540" t="n">
        <v>1470</v>
      </c>
    </row>
    <row r="18541">
      <c r="A18541" t="inlineStr">
        <is>
          <t>27BBBBB18541Z5</t>
        </is>
      </c>
      <c r="B18541" t="inlineStr">
        <is>
          <t>Jul-2018</t>
        </is>
      </c>
      <c r="C18541" s="2" t="n">
        <v>43223</v>
      </c>
      <c r="D18541" t="inlineStr">
        <is>
          <t>NIL</t>
        </is>
      </c>
      <c r="E18541" t="n">
        <v>1417</v>
      </c>
    </row>
    <row r="18542">
      <c r="A18542" t="inlineStr">
        <is>
          <t>27BBBBB18542Z5</t>
        </is>
      </c>
      <c r="B18542" t="inlineStr">
        <is>
          <t>Dec-2024</t>
        </is>
      </c>
      <c r="C18542" s="2" t="n">
        <v>43738</v>
      </c>
      <c r="D18542" t="inlineStr">
        <is>
          <t>NON-NIL</t>
        </is>
      </c>
      <c r="E18542" t="n">
        <v>1121</v>
      </c>
    </row>
    <row r="18543">
      <c r="A18543" t="inlineStr">
        <is>
          <t>27BBBBB18543Z5</t>
        </is>
      </c>
      <c r="B18543" t="inlineStr">
        <is>
          <t>Jul-2017</t>
        </is>
      </c>
      <c r="C18543" s="2" t="n">
        <v>44064</v>
      </c>
      <c r="D18543" t="inlineStr">
        <is>
          <t>NIL</t>
        </is>
      </c>
      <c r="E18543" t="n">
        <v>1400</v>
      </c>
    </row>
    <row r="18544">
      <c r="A18544" t="inlineStr">
        <is>
          <t>27BBBBB18544Z5</t>
        </is>
      </c>
      <c r="B18544" t="inlineStr">
        <is>
          <t>Aug-2018</t>
        </is>
      </c>
      <c r="C18544" s="2" t="n">
        <v>43359</v>
      </c>
      <c r="D18544" t="inlineStr">
        <is>
          <t>NIL</t>
        </is>
      </c>
      <c r="E18544" t="n">
        <v>493</v>
      </c>
    </row>
    <row r="18545">
      <c r="A18545" t="inlineStr">
        <is>
          <t>27BBBBB18545Z5</t>
        </is>
      </c>
      <c r="B18545" t="inlineStr">
        <is>
          <t>Apr-2018</t>
        </is>
      </c>
      <c r="C18545" s="2" t="n">
        <v>44208</v>
      </c>
      <c r="D18545" t="inlineStr">
        <is>
          <t>NON-NIL</t>
        </is>
      </c>
      <c r="E18545" t="n">
        <v>417</v>
      </c>
    </row>
    <row r="18546">
      <c r="A18546" t="inlineStr">
        <is>
          <t>27BBBBB18546Z5</t>
        </is>
      </c>
      <c r="B18546" t="inlineStr">
        <is>
          <t>Jul-2018</t>
        </is>
      </c>
      <c r="C18546" s="2" t="n">
        <v>43454</v>
      </c>
      <c r="D18546" t="inlineStr">
        <is>
          <t>NON-NIL</t>
        </is>
      </c>
      <c r="E18546" t="n">
        <v>1702</v>
      </c>
    </row>
    <row r="18547">
      <c r="A18547" t="inlineStr">
        <is>
          <t>27BBBBB18547Z5</t>
        </is>
      </c>
      <c r="B18547" t="inlineStr">
        <is>
          <t>Sep-2018</t>
        </is>
      </c>
      <c r="C18547" s="2" t="n">
        <v>43461</v>
      </c>
      <c r="D18547" t="inlineStr">
        <is>
          <t>NON-NIL</t>
        </is>
      </c>
      <c r="E18547" t="n">
        <v>2092</v>
      </c>
    </row>
    <row r="18548">
      <c r="A18548" t="inlineStr">
        <is>
          <t>27BBBBB18548Z5</t>
        </is>
      </c>
      <c r="B18548" t="inlineStr">
        <is>
          <t>Mar-2018</t>
        </is>
      </c>
      <c r="C18548" s="2" t="n">
        <v>43847</v>
      </c>
      <c r="D18548" t="inlineStr">
        <is>
          <t>NIL</t>
        </is>
      </c>
      <c r="E18548" t="n">
        <v>1657</v>
      </c>
    </row>
    <row r="18549">
      <c r="A18549" t="inlineStr">
        <is>
          <t>27BBBBB18549Z5</t>
        </is>
      </c>
      <c r="B18549" t="inlineStr">
        <is>
          <t>Dec-2024</t>
        </is>
      </c>
      <c r="C18549" s="2" t="n">
        <v>44002</v>
      </c>
      <c r="D18549" t="inlineStr">
        <is>
          <t>NON-NIL</t>
        </is>
      </c>
      <c r="E18549" t="n">
        <v>2937</v>
      </c>
    </row>
    <row r="18550">
      <c r="A18550" t="inlineStr">
        <is>
          <t>27BBBBB18550Z5</t>
        </is>
      </c>
      <c r="B18550" t="inlineStr">
        <is>
          <t>Mar-2021</t>
        </is>
      </c>
      <c r="C18550" s="2" t="n">
        <v>43760</v>
      </c>
      <c r="D18550" t="inlineStr">
        <is>
          <t>NON-NIL</t>
        </is>
      </c>
      <c r="E18550" t="n">
        <v>1482</v>
      </c>
    </row>
    <row r="18551">
      <c r="A18551" t="inlineStr">
        <is>
          <t>27BBBBB18551Z5</t>
        </is>
      </c>
      <c r="B18551" t="inlineStr">
        <is>
          <t>Apr-2020</t>
        </is>
      </c>
      <c r="C18551" s="2" t="n">
        <v>44275</v>
      </c>
      <c r="D18551" t="inlineStr">
        <is>
          <t>NIL</t>
        </is>
      </c>
      <c r="E18551" t="n">
        <v>2558</v>
      </c>
    </row>
    <row r="18552">
      <c r="A18552" t="inlineStr">
        <is>
          <t>27BBBBB18552Z5</t>
        </is>
      </c>
      <c r="B18552" t="inlineStr">
        <is>
          <t>Sep-2017</t>
        </is>
      </c>
      <c r="C18552" s="2" t="n">
        <v>43959</v>
      </c>
      <c r="D18552" t="inlineStr">
        <is>
          <t>NON-NIL</t>
        </is>
      </c>
      <c r="E18552" t="n">
        <v>2776</v>
      </c>
    </row>
    <row r="18553">
      <c r="A18553" t="inlineStr">
        <is>
          <t>27BBBBB18553Z5</t>
        </is>
      </c>
      <c r="B18553" t="inlineStr">
        <is>
          <t>Dec-2018</t>
        </is>
      </c>
      <c r="C18553" s="2" t="n">
        <v>43972</v>
      </c>
      <c r="D18553" t="inlineStr">
        <is>
          <t>NIL</t>
        </is>
      </c>
      <c r="E18553" t="n">
        <v>1053</v>
      </c>
    </row>
    <row r="18554">
      <c r="A18554" t="inlineStr">
        <is>
          <t>27BBBBB18554Z5</t>
        </is>
      </c>
      <c r="B18554" t="inlineStr">
        <is>
          <t>Nov-2017</t>
        </is>
      </c>
      <c r="C18554" s="2" t="n">
        <v>43051</v>
      </c>
      <c r="D18554" t="inlineStr">
        <is>
          <t>NIL</t>
        </is>
      </c>
      <c r="E18554" t="n">
        <v>93</v>
      </c>
    </row>
    <row r="18555">
      <c r="A18555" t="inlineStr">
        <is>
          <t>27BBBBB18555Z5</t>
        </is>
      </c>
      <c r="B18555" t="inlineStr">
        <is>
          <t>Oct-2018</t>
        </is>
      </c>
      <c r="C18555" s="2" t="n">
        <v>42987</v>
      </c>
      <c r="D18555" t="inlineStr">
        <is>
          <t>NIL</t>
        </is>
      </c>
      <c r="E18555" t="n">
        <v>2219</v>
      </c>
    </row>
    <row r="18556">
      <c r="A18556" t="inlineStr">
        <is>
          <t>27BBBBB18556Z5</t>
        </is>
      </c>
      <c r="B18556" t="inlineStr">
        <is>
          <t>Nov-2018</t>
        </is>
      </c>
      <c r="C18556" s="2" t="n">
        <v>43398</v>
      </c>
      <c r="D18556" t="inlineStr">
        <is>
          <t>NON-NIL</t>
        </is>
      </c>
      <c r="E18556" t="n">
        <v>502</v>
      </c>
    </row>
    <row r="18557">
      <c r="A18557" t="inlineStr">
        <is>
          <t>27BBBBB18557Z5</t>
        </is>
      </c>
      <c r="B18557" t="inlineStr">
        <is>
          <t>Jan-2021</t>
        </is>
      </c>
      <c r="C18557" s="2" t="n">
        <v>44767</v>
      </c>
      <c r="D18557" t="inlineStr">
        <is>
          <t>NON-NIL</t>
        </is>
      </c>
      <c r="E18557" t="n">
        <v>813</v>
      </c>
    </row>
    <row r="18558">
      <c r="A18558" t="inlineStr">
        <is>
          <t>27BBBBB18558Z5</t>
        </is>
      </c>
      <c r="B18558" t="inlineStr">
        <is>
          <t>Feb-2018</t>
        </is>
      </c>
      <c r="C18558" s="2" t="n">
        <v>44342</v>
      </c>
      <c r="D18558" t="inlineStr">
        <is>
          <t>NON-NIL</t>
        </is>
      </c>
      <c r="E18558" t="n">
        <v>1091</v>
      </c>
    </row>
    <row r="18559">
      <c r="A18559" t="inlineStr">
        <is>
          <t>27BBBBB18559Z5</t>
        </is>
      </c>
      <c r="B18559" t="inlineStr">
        <is>
          <t>May-2018</t>
        </is>
      </c>
      <c r="C18559" s="2" t="n">
        <v>44210</v>
      </c>
      <c r="D18559" t="inlineStr">
        <is>
          <t>NON-NIL</t>
        </is>
      </c>
      <c r="E18559" t="n">
        <v>2541</v>
      </c>
    </row>
    <row r="18560">
      <c r="A18560" t="inlineStr">
        <is>
          <t>27BBBBB18560Z5</t>
        </is>
      </c>
      <c r="B18560" t="inlineStr">
        <is>
          <t>Dec-2022</t>
        </is>
      </c>
      <c r="C18560" s="2" t="n">
        <v>44758</v>
      </c>
      <c r="D18560" t="inlineStr">
        <is>
          <t>NIL</t>
        </is>
      </c>
      <c r="E18560" t="n">
        <v>2309</v>
      </c>
    </row>
    <row r="18561">
      <c r="A18561" t="inlineStr">
        <is>
          <t>27BBBBB18561Z5</t>
        </is>
      </c>
      <c r="B18561" t="inlineStr">
        <is>
          <t>Nov-2017</t>
        </is>
      </c>
      <c r="C18561" s="2" t="n">
        <v>43509</v>
      </c>
      <c r="D18561" t="inlineStr">
        <is>
          <t>NIL</t>
        </is>
      </c>
      <c r="E18561" t="n">
        <v>415</v>
      </c>
    </row>
    <row r="18562">
      <c r="A18562" t="inlineStr">
        <is>
          <t>27BBBBB18562Z5</t>
        </is>
      </c>
      <c r="B18562" t="inlineStr">
        <is>
          <t>Apr-2018</t>
        </is>
      </c>
      <c r="C18562" s="2" t="n">
        <v>44506</v>
      </c>
      <c r="D18562" t="inlineStr">
        <is>
          <t>NIL</t>
        </is>
      </c>
      <c r="E18562" t="n">
        <v>2248</v>
      </c>
    </row>
    <row r="18563">
      <c r="A18563" t="inlineStr">
        <is>
          <t>27BBBBB18563Z5</t>
        </is>
      </c>
      <c r="B18563" t="inlineStr">
        <is>
          <t>Aug-2018</t>
        </is>
      </c>
      <c r="C18563" s="2" t="n">
        <v>43447</v>
      </c>
      <c r="D18563" t="inlineStr">
        <is>
          <t>NON-NIL</t>
        </is>
      </c>
      <c r="E18563" t="n">
        <v>2566</v>
      </c>
    </row>
    <row r="18564">
      <c r="A18564" t="inlineStr">
        <is>
          <t>27BBBBB18564Z5</t>
        </is>
      </c>
      <c r="B18564" t="inlineStr">
        <is>
          <t>May-2020</t>
        </is>
      </c>
      <c r="C18564" s="2" t="n">
        <v>44007</v>
      </c>
      <c r="D18564" t="inlineStr">
        <is>
          <t>NON-NIL</t>
        </is>
      </c>
      <c r="E18564" t="n">
        <v>763</v>
      </c>
    </row>
    <row r="18565">
      <c r="A18565" t="inlineStr">
        <is>
          <t>27BBBBB18565Z5</t>
        </is>
      </c>
      <c r="B18565" t="inlineStr">
        <is>
          <t>Jun-2018</t>
        </is>
      </c>
      <c r="C18565" s="2" t="n">
        <v>43052</v>
      </c>
      <c r="D18565" t="inlineStr">
        <is>
          <t>NIL</t>
        </is>
      </c>
      <c r="E18565" t="n">
        <v>1073</v>
      </c>
    </row>
    <row r="18566">
      <c r="A18566" t="inlineStr">
        <is>
          <t>27BBBBB18566Z5</t>
        </is>
      </c>
      <c r="B18566" t="inlineStr">
        <is>
          <t>Sep-2017</t>
        </is>
      </c>
      <c r="C18566" s="2" t="n">
        <v>43241</v>
      </c>
      <c r="D18566" t="inlineStr">
        <is>
          <t>NIL</t>
        </is>
      </c>
      <c r="E18566" t="n">
        <v>1915</v>
      </c>
    </row>
    <row r="18567">
      <c r="A18567" t="inlineStr">
        <is>
          <t>27BBBBB18567Z5</t>
        </is>
      </c>
      <c r="B18567" t="inlineStr">
        <is>
          <t>Oct-2018</t>
        </is>
      </c>
      <c r="C18567" s="2" t="n">
        <v>43550</v>
      </c>
      <c r="D18567" t="inlineStr">
        <is>
          <t>NIL</t>
        </is>
      </c>
      <c r="E18567" t="n">
        <v>1240</v>
      </c>
    </row>
    <row r="18568">
      <c r="A18568" t="inlineStr">
        <is>
          <t>27BBBBB18568Z5</t>
        </is>
      </c>
      <c r="B18568" t="inlineStr">
        <is>
          <t>Mar-2023</t>
        </is>
      </c>
      <c r="C18568" s="2" t="n">
        <v>44623</v>
      </c>
      <c r="D18568" t="inlineStr">
        <is>
          <t>NIL</t>
        </is>
      </c>
      <c r="E18568" t="n">
        <v>672</v>
      </c>
    </row>
    <row r="18569">
      <c r="A18569" t="inlineStr">
        <is>
          <t>27BBBBB18569Z5</t>
        </is>
      </c>
      <c r="B18569" t="inlineStr">
        <is>
          <t>Dec-2017</t>
        </is>
      </c>
      <c r="C18569" s="2" t="n">
        <v>43155</v>
      </c>
      <c r="D18569" t="inlineStr">
        <is>
          <t>NIL</t>
        </is>
      </c>
      <c r="E18569" t="n">
        <v>2785</v>
      </c>
    </row>
    <row r="18570">
      <c r="A18570" t="inlineStr">
        <is>
          <t>27BBBBB18570Z5</t>
        </is>
      </c>
      <c r="B18570" t="inlineStr">
        <is>
          <t>Aug-2017</t>
        </is>
      </c>
      <c r="C18570" s="2" t="n">
        <v>43961</v>
      </c>
      <c r="D18570" t="inlineStr">
        <is>
          <t>NIL</t>
        </is>
      </c>
      <c r="E18570" t="n">
        <v>485</v>
      </c>
    </row>
    <row r="18571">
      <c r="A18571" t="inlineStr">
        <is>
          <t>27BBBBB18571Z5</t>
        </is>
      </c>
      <c r="B18571" t="inlineStr">
        <is>
          <t>Oct-2017</t>
        </is>
      </c>
      <c r="C18571" s="2" t="n">
        <v>44113</v>
      </c>
      <c r="D18571" t="inlineStr">
        <is>
          <t>NIL</t>
        </is>
      </c>
      <c r="E18571" t="n">
        <v>2817</v>
      </c>
    </row>
    <row r="18572">
      <c r="A18572" t="inlineStr">
        <is>
          <t>27BBBBB18572Z5</t>
        </is>
      </c>
      <c r="B18572" t="inlineStr">
        <is>
          <t>Oct-2017</t>
        </is>
      </c>
      <c r="C18572" s="2" t="n">
        <v>43658</v>
      </c>
      <c r="D18572" t="inlineStr">
        <is>
          <t>NIL</t>
        </is>
      </c>
      <c r="E18572" t="n">
        <v>131</v>
      </c>
    </row>
    <row r="18573">
      <c r="A18573" t="inlineStr">
        <is>
          <t>27BBBBB18573Z5</t>
        </is>
      </c>
      <c r="B18573" t="inlineStr">
        <is>
          <t>Jul-2017</t>
        </is>
      </c>
      <c r="C18573" s="2" t="n">
        <v>42945</v>
      </c>
      <c r="D18573" t="inlineStr">
        <is>
          <t>NIL</t>
        </is>
      </c>
      <c r="E18573" t="n">
        <v>2313</v>
      </c>
    </row>
    <row r="18574">
      <c r="A18574" t="inlineStr">
        <is>
          <t>27BBBBB18574Z5</t>
        </is>
      </c>
      <c r="B18574" t="inlineStr">
        <is>
          <t>Aug-2018</t>
        </is>
      </c>
      <c r="C18574" s="2" t="n">
        <v>43626</v>
      </c>
      <c r="D18574" t="inlineStr">
        <is>
          <t>NON-NIL</t>
        </is>
      </c>
      <c r="E18574" t="n">
        <v>2911</v>
      </c>
    </row>
    <row r="18575">
      <c r="A18575" t="inlineStr">
        <is>
          <t>27BBBBB18575Z5</t>
        </is>
      </c>
      <c r="B18575" t="inlineStr">
        <is>
          <t>Nov-2018</t>
        </is>
      </c>
      <c r="C18575" s="2" t="n">
        <v>43573</v>
      </c>
      <c r="D18575" t="inlineStr">
        <is>
          <t>NON-NIL</t>
        </is>
      </c>
      <c r="E18575" t="n">
        <v>1552</v>
      </c>
    </row>
    <row r="18576">
      <c r="A18576" t="inlineStr">
        <is>
          <t>27BBBBB18576Z5</t>
        </is>
      </c>
      <c r="B18576" t="inlineStr">
        <is>
          <t>Jan-2021</t>
        </is>
      </c>
      <c r="C18576" s="2" t="n">
        <v>45630</v>
      </c>
      <c r="D18576" t="inlineStr">
        <is>
          <t>NIL</t>
        </is>
      </c>
      <c r="E18576" t="n">
        <v>1255</v>
      </c>
    </row>
    <row r="18577">
      <c r="A18577" t="inlineStr">
        <is>
          <t>27BBBBB18577Z5</t>
        </is>
      </c>
      <c r="B18577" t="inlineStr">
        <is>
          <t>Mar-2018</t>
        </is>
      </c>
      <c r="C18577" s="2" t="n">
        <v>43884</v>
      </c>
      <c r="D18577" t="inlineStr">
        <is>
          <t>NON-NIL</t>
        </is>
      </c>
      <c r="E18577" t="n">
        <v>496</v>
      </c>
    </row>
    <row r="18578">
      <c r="A18578" t="inlineStr">
        <is>
          <t>27BBBBB18578Z5</t>
        </is>
      </c>
      <c r="B18578" t="inlineStr">
        <is>
          <t>Dec-2017</t>
        </is>
      </c>
      <c r="C18578" s="2" t="n">
        <v>43899</v>
      </c>
      <c r="D18578" t="inlineStr">
        <is>
          <t>NON-NIL</t>
        </is>
      </c>
      <c r="E18578" t="n">
        <v>2629</v>
      </c>
    </row>
    <row r="18579">
      <c r="A18579" t="inlineStr">
        <is>
          <t>27BBBBB18579Z5</t>
        </is>
      </c>
      <c r="B18579" t="inlineStr">
        <is>
          <t>Jul-2018</t>
        </is>
      </c>
      <c r="C18579" s="2" t="n">
        <v>43873</v>
      </c>
      <c r="D18579" t="inlineStr">
        <is>
          <t>NIL</t>
        </is>
      </c>
      <c r="E18579" t="n">
        <v>1954</v>
      </c>
    </row>
    <row r="18580">
      <c r="A18580" t="inlineStr">
        <is>
          <t>27BBBBB18580Z5</t>
        </is>
      </c>
      <c r="B18580" t="inlineStr">
        <is>
          <t>Sep-2017</t>
        </is>
      </c>
      <c r="C18580" s="2" t="n">
        <v>44366</v>
      </c>
      <c r="D18580" t="inlineStr">
        <is>
          <t>NIL</t>
        </is>
      </c>
      <c r="E18580" t="n">
        <v>2566</v>
      </c>
    </row>
    <row r="18581">
      <c r="A18581" t="inlineStr">
        <is>
          <t>27BBBBB18581Z5</t>
        </is>
      </c>
      <c r="B18581" t="inlineStr">
        <is>
          <t>Aug-2018</t>
        </is>
      </c>
      <c r="C18581" s="2" t="n">
        <v>43837</v>
      </c>
      <c r="D18581" t="inlineStr">
        <is>
          <t>NON-NIL</t>
        </is>
      </c>
      <c r="E18581" t="n">
        <v>812</v>
      </c>
    </row>
    <row r="18582">
      <c r="A18582" t="inlineStr">
        <is>
          <t>27BBBBB18582Z5</t>
        </is>
      </c>
      <c r="B18582" t="inlineStr">
        <is>
          <t>Sep-2018</t>
        </is>
      </c>
      <c r="C18582" s="2" t="n">
        <v>43764</v>
      </c>
      <c r="D18582" t="inlineStr">
        <is>
          <t>NIL</t>
        </is>
      </c>
      <c r="E18582" t="n">
        <v>1637</v>
      </c>
    </row>
    <row r="18583">
      <c r="A18583" t="inlineStr">
        <is>
          <t>27BBBBB18583Z5</t>
        </is>
      </c>
      <c r="B18583" t="inlineStr">
        <is>
          <t>Mar-2021</t>
        </is>
      </c>
      <c r="C18583" s="2" t="n">
        <v>43771</v>
      </c>
      <c r="D18583" t="inlineStr">
        <is>
          <t>NON-NIL</t>
        </is>
      </c>
      <c r="E18583" t="n">
        <v>2154</v>
      </c>
    </row>
    <row r="18584">
      <c r="A18584" t="inlineStr">
        <is>
          <t>27BBBBB18584Z5</t>
        </is>
      </c>
      <c r="B18584" t="inlineStr">
        <is>
          <t>Nov-2018</t>
        </is>
      </c>
      <c r="C18584" s="2" t="n">
        <v>43554</v>
      </c>
      <c r="D18584" t="inlineStr">
        <is>
          <t>NON-NIL</t>
        </is>
      </c>
      <c r="E18584" t="n">
        <v>636</v>
      </c>
    </row>
    <row r="18585">
      <c r="A18585" t="inlineStr">
        <is>
          <t>27BBBBB18585Z5</t>
        </is>
      </c>
      <c r="B18585" t="inlineStr">
        <is>
          <t>Dec-2017</t>
        </is>
      </c>
      <c r="C18585" s="2" t="n">
        <v>43006</v>
      </c>
      <c r="D18585" t="inlineStr">
        <is>
          <t>NON-NIL</t>
        </is>
      </c>
      <c r="E18585" t="n">
        <v>2625</v>
      </c>
    </row>
    <row r="18586">
      <c r="A18586" t="inlineStr">
        <is>
          <t>27BBBBB18586Z5</t>
        </is>
      </c>
      <c r="B18586" t="inlineStr">
        <is>
          <t>Aug-2018</t>
        </is>
      </c>
      <c r="C18586" s="2" t="n">
        <v>44125</v>
      </c>
      <c r="D18586" t="inlineStr">
        <is>
          <t>NIL</t>
        </is>
      </c>
      <c r="E18586" t="n">
        <v>2949</v>
      </c>
    </row>
    <row r="18587">
      <c r="A18587" t="inlineStr">
        <is>
          <t>27BBBBB18587Z5</t>
        </is>
      </c>
      <c r="B18587" t="inlineStr">
        <is>
          <t>Oct-2018</t>
        </is>
      </c>
      <c r="C18587" s="2" t="n">
        <v>43865</v>
      </c>
      <c r="D18587" t="inlineStr">
        <is>
          <t>NON-NIL</t>
        </is>
      </c>
      <c r="E18587" t="n">
        <v>1307</v>
      </c>
    </row>
    <row r="18588">
      <c r="A18588" t="inlineStr">
        <is>
          <t>27BBBBB18588Z5</t>
        </is>
      </c>
      <c r="B18588" t="inlineStr">
        <is>
          <t>Apr-2018</t>
        </is>
      </c>
      <c r="C18588" s="2" t="n">
        <v>44447</v>
      </c>
      <c r="D18588" t="inlineStr">
        <is>
          <t>NIL</t>
        </is>
      </c>
      <c r="E18588" t="n">
        <v>111</v>
      </c>
    </row>
    <row r="18589">
      <c r="A18589" t="inlineStr">
        <is>
          <t>27BBBBB18589Z5</t>
        </is>
      </c>
      <c r="B18589" t="inlineStr">
        <is>
          <t>Mar-2020</t>
        </is>
      </c>
      <c r="C18589" s="2" t="n">
        <v>44803</v>
      </c>
      <c r="D18589" t="inlineStr">
        <is>
          <t>NIL</t>
        </is>
      </c>
      <c r="E18589" t="n">
        <v>907</v>
      </c>
    </row>
    <row r="18590">
      <c r="A18590" t="inlineStr">
        <is>
          <t>27BBBBB18590Z5</t>
        </is>
      </c>
      <c r="B18590" t="inlineStr">
        <is>
          <t>Jun-2020</t>
        </is>
      </c>
      <c r="C18590" s="2" t="n">
        <v>44682</v>
      </c>
      <c r="D18590" t="inlineStr">
        <is>
          <t>NON-NIL</t>
        </is>
      </c>
      <c r="E18590" t="n">
        <v>2054</v>
      </c>
    </row>
    <row r="18591">
      <c r="A18591" t="inlineStr">
        <is>
          <t>27BBBBB18591Z5</t>
        </is>
      </c>
      <c r="B18591" t="inlineStr">
        <is>
          <t>Sep-2018</t>
        </is>
      </c>
      <c r="C18591" s="2" t="n">
        <v>44027</v>
      </c>
      <c r="D18591" t="inlineStr">
        <is>
          <t>NON-NIL</t>
        </is>
      </c>
      <c r="E18591" t="n">
        <v>1637</v>
      </c>
    </row>
    <row r="18592">
      <c r="A18592" t="inlineStr">
        <is>
          <t>27BBBBB18592Z5</t>
        </is>
      </c>
      <c r="B18592" t="inlineStr">
        <is>
          <t>Sep-2018</t>
        </is>
      </c>
      <c r="C18592" s="2" t="n">
        <v>44009</v>
      </c>
      <c r="D18592" t="inlineStr">
        <is>
          <t>NON-NIL</t>
        </is>
      </c>
      <c r="E18592" t="n">
        <v>2952</v>
      </c>
    </row>
    <row r="18593">
      <c r="A18593" t="inlineStr">
        <is>
          <t>27BBBBB18593Z5</t>
        </is>
      </c>
      <c r="B18593" t="inlineStr">
        <is>
          <t>Mar-2020</t>
        </is>
      </c>
      <c r="C18593" s="2" t="n">
        <v>44040</v>
      </c>
      <c r="D18593" t="inlineStr">
        <is>
          <t>NIL</t>
        </is>
      </c>
      <c r="E18593" t="n">
        <v>1071</v>
      </c>
    </row>
    <row r="18594">
      <c r="A18594" t="inlineStr">
        <is>
          <t>27BBBBB18594Z5</t>
        </is>
      </c>
      <c r="B18594" t="inlineStr">
        <is>
          <t>Aug-2017</t>
        </is>
      </c>
      <c r="C18594" s="2" t="n">
        <v>44027</v>
      </c>
      <c r="D18594" t="inlineStr">
        <is>
          <t>NIL</t>
        </is>
      </c>
      <c r="E18594" t="n">
        <v>596</v>
      </c>
    </row>
    <row r="18595">
      <c r="A18595" t="inlineStr">
        <is>
          <t>27BBBBB18595Z5</t>
        </is>
      </c>
      <c r="B18595" t="inlineStr">
        <is>
          <t>Apr-2018</t>
        </is>
      </c>
      <c r="C18595" s="2" t="n">
        <v>43115</v>
      </c>
      <c r="D18595" t="inlineStr">
        <is>
          <t>NIL</t>
        </is>
      </c>
      <c r="E18595" t="n">
        <v>2354</v>
      </c>
    </row>
    <row r="18596">
      <c r="A18596" t="inlineStr">
        <is>
          <t>27BBBBB18596Z5</t>
        </is>
      </c>
      <c r="B18596" t="inlineStr">
        <is>
          <t>Jul-2017</t>
        </is>
      </c>
      <c r="C18596" s="2" t="n">
        <v>43197</v>
      </c>
      <c r="D18596" t="inlineStr">
        <is>
          <t>NIL</t>
        </is>
      </c>
      <c r="E18596" t="n">
        <v>319</v>
      </c>
    </row>
    <row r="18597">
      <c r="A18597" t="inlineStr">
        <is>
          <t>27BBBBB18597Z5</t>
        </is>
      </c>
      <c r="B18597" t="inlineStr">
        <is>
          <t>Feb-2018</t>
        </is>
      </c>
      <c r="C18597" s="2" t="n">
        <v>43805</v>
      </c>
      <c r="D18597" t="inlineStr">
        <is>
          <t>NIL</t>
        </is>
      </c>
      <c r="E18597" t="n">
        <v>238</v>
      </c>
    </row>
    <row r="18598">
      <c r="A18598" t="inlineStr">
        <is>
          <t>27BBBBB18598Z5</t>
        </is>
      </c>
      <c r="B18598" t="inlineStr">
        <is>
          <t>May-2018</t>
        </is>
      </c>
      <c r="C18598" s="2" t="n">
        <v>44357</v>
      </c>
      <c r="D18598" t="inlineStr">
        <is>
          <t>NON-NIL</t>
        </is>
      </c>
      <c r="E18598" t="n">
        <v>2077</v>
      </c>
    </row>
    <row r="18599">
      <c r="A18599" t="inlineStr">
        <is>
          <t>27BBBBB18599Z5</t>
        </is>
      </c>
      <c r="B18599" t="inlineStr">
        <is>
          <t>Nov-2018</t>
        </is>
      </c>
      <c r="C18599" s="2" t="n">
        <v>43397</v>
      </c>
      <c r="D18599" t="inlineStr">
        <is>
          <t>NON-NIL</t>
        </is>
      </c>
      <c r="E18599" t="n">
        <v>155</v>
      </c>
    </row>
    <row r="18600">
      <c r="A18600" t="inlineStr">
        <is>
          <t>27BBBBB18600Z5</t>
        </is>
      </c>
      <c r="B18600" t="inlineStr">
        <is>
          <t>Nov-2017</t>
        </is>
      </c>
      <c r="C18600" s="2" t="n">
        <v>43820</v>
      </c>
      <c r="D18600" t="inlineStr">
        <is>
          <t>NON-NIL</t>
        </is>
      </c>
      <c r="E18600" t="n">
        <v>2706</v>
      </c>
    </row>
    <row r="18601">
      <c r="A18601" t="inlineStr">
        <is>
          <t>27BBBBB18601Z5</t>
        </is>
      </c>
      <c r="B18601" t="inlineStr">
        <is>
          <t>Mar-2023</t>
        </is>
      </c>
      <c r="C18601" s="2" t="n">
        <v>43489</v>
      </c>
      <c r="D18601" t="inlineStr">
        <is>
          <t>NON-NIL</t>
        </is>
      </c>
      <c r="E18601" t="n">
        <v>50</v>
      </c>
    </row>
    <row r="18602">
      <c r="A18602" t="inlineStr">
        <is>
          <t>27BBBBB18602Z5</t>
        </is>
      </c>
      <c r="B18602" t="inlineStr">
        <is>
          <t>Dec-2018</t>
        </is>
      </c>
      <c r="C18602" s="2" t="n">
        <v>43916</v>
      </c>
      <c r="D18602" t="inlineStr">
        <is>
          <t>NIL</t>
        </is>
      </c>
      <c r="E18602" t="n">
        <v>239</v>
      </c>
    </row>
    <row r="18603">
      <c r="A18603" t="inlineStr">
        <is>
          <t>27BBBBB18603Z5</t>
        </is>
      </c>
      <c r="B18603" t="inlineStr">
        <is>
          <t>Apr-2018</t>
        </is>
      </c>
      <c r="C18603" s="2" t="n">
        <v>43921</v>
      </c>
      <c r="D18603" t="inlineStr">
        <is>
          <t>NON-NIL</t>
        </is>
      </c>
      <c r="E18603" t="n">
        <v>2938</v>
      </c>
    </row>
    <row r="18604">
      <c r="A18604" t="inlineStr">
        <is>
          <t>27BBBBB18604Z5</t>
        </is>
      </c>
      <c r="B18604" t="inlineStr">
        <is>
          <t>May-2020</t>
        </is>
      </c>
      <c r="C18604" s="2" t="n">
        <v>44570</v>
      </c>
      <c r="D18604" t="inlineStr">
        <is>
          <t>NIL</t>
        </is>
      </c>
      <c r="E18604" t="n">
        <v>2285</v>
      </c>
    </row>
    <row r="18605">
      <c r="A18605" t="inlineStr">
        <is>
          <t>27BBBBB18605Z5</t>
        </is>
      </c>
      <c r="B18605" t="inlineStr">
        <is>
          <t>Dec-2018</t>
        </is>
      </c>
      <c r="C18605" s="2" t="n">
        <v>44446</v>
      </c>
      <c r="D18605" t="inlineStr">
        <is>
          <t>NIL</t>
        </is>
      </c>
      <c r="E18605" t="n">
        <v>1437</v>
      </c>
    </row>
    <row r="18606">
      <c r="A18606" t="inlineStr">
        <is>
          <t>27BBBBB18606Z5</t>
        </is>
      </c>
      <c r="B18606" t="inlineStr">
        <is>
          <t>Aug-2017</t>
        </is>
      </c>
      <c r="C18606" s="2" t="n">
        <v>43803</v>
      </c>
      <c r="D18606" t="inlineStr">
        <is>
          <t>NON-NIL</t>
        </is>
      </c>
      <c r="E18606" t="n">
        <v>187</v>
      </c>
    </row>
    <row r="18607">
      <c r="A18607" t="inlineStr">
        <is>
          <t>27BBBBB18607Z5</t>
        </is>
      </c>
      <c r="B18607" t="inlineStr">
        <is>
          <t>Mar-2021</t>
        </is>
      </c>
      <c r="C18607" s="2" t="n">
        <v>45220</v>
      </c>
      <c r="D18607" t="inlineStr">
        <is>
          <t>NON-NIL</t>
        </is>
      </c>
      <c r="E18607" t="n">
        <v>1650</v>
      </c>
    </row>
    <row r="18608">
      <c r="A18608" t="inlineStr">
        <is>
          <t>27BBBBB18608Z5</t>
        </is>
      </c>
      <c r="B18608" t="inlineStr">
        <is>
          <t>Dec-2024</t>
        </is>
      </c>
      <c r="C18608" s="2" t="n">
        <v>45510</v>
      </c>
      <c r="D18608" t="inlineStr">
        <is>
          <t>NIL</t>
        </is>
      </c>
      <c r="E18608" t="n">
        <v>1632</v>
      </c>
    </row>
    <row r="18609">
      <c r="A18609" t="inlineStr">
        <is>
          <t>27BBBBB18609Z5</t>
        </is>
      </c>
      <c r="B18609" t="inlineStr">
        <is>
          <t>Nov-2018</t>
        </is>
      </c>
      <c r="C18609" s="2" t="n">
        <v>43041</v>
      </c>
      <c r="D18609" t="inlineStr">
        <is>
          <t>NIL</t>
        </is>
      </c>
      <c r="E18609" t="n">
        <v>2863</v>
      </c>
    </row>
    <row r="18610">
      <c r="A18610" t="inlineStr">
        <is>
          <t>27BBBBB18610Z5</t>
        </is>
      </c>
      <c r="B18610" t="inlineStr">
        <is>
          <t>Dec-2024</t>
        </is>
      </c>
      <c r="C18610" s="2" t="n">
        <v>45490</v>
      </c>
      <c r="D18610" t="inlineStr">
        <is>
          <t>NON-NIL</t>
        </is>
      </c>
      <c r="E18610" t="n">
        <v>415</v>
      </c>
    </row>
    <row r="18611">
      <c r="A18611" t="inlineStr">
        <is>
          <t>27BBBBB18611Z5</t>
        </is>
      </c>
      <c r="B18611" t="inlineStr">
        <is>
          <t>Mar-2023</t>
        </is>
      </c>
      <c r="C18611" s="2" t="n">
        <v>45285</v>
      </c>
      <c r="D18611" t="inlineStr">
        <is>
          <t>NON-NIL</t>
        </is>
      </c>
      <c r="E18611" t="n">
        <v>1351</v>
      </c>
    </row>
    <row r="18612">
      <c r="A18612" t="inlineStr">
        <is>
          <t>27BBBBB18612Z5</t>
        </is>
      </c>
      <c r="B18612" t="inlineStr">
        <is>
          <t>Jun-2018</t>
        </is>
      </c>
      <c r="C18612" s="2" t="n">
        <v>43352</v>
      </c>
      <c r="D18612" t="inlineStr">
        <is>
          <t>NIL</t>
        </is>
      </c>
      <c r="E18612" t="n">
        <v>2823</v>
      </c>
    </row>
    <row r="18613">
      <c r="A18613" t="inlineStr">
        <is>
          <t>27BBBBB18613Z5</t>
        </is>
      </c>
      <c r="B18613" t="inlineStr">
        <is>
          <t>Mar-2018</t>
        </is>
      </c>
      <c r="C18613" s="2" t="n">
        <v>43665</v>
      </c>
      <c r="D18613" t="inlineStr">
        <is>
          <t>NIL</t>
        </is>
      </c>
      <c r="E18613" t="n">
        <v>1156</v>
      </c>
    </row>
    <row r="18614">
      <c r="A18614" t="inlineStr">
        <is>
          <t>27BBBBB18614Z5</t>
        </is>
      </c>
      <c r="B18614" t="inlineStr">
        <is>
          <t>Feb-2018</t>
        </is>
      </c>
      <c r="C18614" s="2" t="n">
        <v>43361</v>
      </c>
      <c r="D18614" t="inlineStr">
        <is>
          <t>NON-NIL</t>
        </is>
      </c>
      <c r="E18614" t="n">
        <v>1135</v>
      </c>
    </row>
    <row r="18615">
      <c r="A18615" t="inlineStr">
        <is>
          <t>27BBBBB18615Z5</t>
        </is>
      </c>
      <c r="B18615" t="inlineStr">
        <is>
          <t>Sep-2017</t>
        </is>
      </c>
      <c r="C18615" s="2" t="n">
        <v>43670</v>
      </c>
      <c r="D18615" t="inlineStr">
        <is>
          <t>NON-NIL</t>
        </is>
      </c>
      <c r="E18615" t="n">
        <v>618</v>
      </c>
    </row>
    <row r="18616">
      <c r="A18616" t="inlineStr">
        <is>
          <t>27BBBBB18616Z5</t>
        </is>
      </c>
      <c r="B18616" t="inlineStr">
        <is>
          <t>Nov-2018</t>
        </is>
      </c>
      <c r="C18616" s="2" t="n">
        <v>43136</v>
      </c>
      <c r="D18616" t="inlineStr">
        <is>
          <t>NIL</t>
        </is>
      </c>
      <c r="E18616" t="n">
        <v>578</v>
      </c>
    </row>
    <row r="18617">
      <c r="A18617" t="inlineStr">
        <is>
          <t>27BBBBB18617Z5</t>
        </is>
      </c>
      <c r="B18617" t="inlineStr">
        <is>
          <t>Aug-2018</t>
        </is>
      </c>
      <c r="C18617" s="2" t="n">
        <v>43455</v>
      </c>
      <c r="D18617" t="inlineStr">
        <is>
          <t>NON-NIL</t>
        </is>
      </c>
      <c r="E18617" t="n">
        <v>2138</v>
      </c>
    </row>
    <row r="18618">
      <c r="A18618" t="inlineStr">
        <is>
          <t>27BBBBB18618Z5</t>
        </is>
      </c>
      <c r="B18618" t="inlineStr">
        <is>
          <t>Sep-2018</t>
        </is>
      </c>
      <c r="C18618" s="2" t="n">
        <v>43547</v>
      </c>
      <c r="D18618" t="inlineStr">
        <is>
          <t>NON-NIL</t>
        </is>
      </c>
      <c r="E18618" t="n">
        <v>1542</v>
      </c>
    </row>
    <row r="18619">
      <c r="A18619" t="inlineStr">
        <is>
          <t>27BBBBB18619Z5</t>
        </is>
      </c>
      <c r="B18619" t="inlineStr">
        <is>
          <t>Jan-2018</t>
        </is>
      </c>
      <c r="C18619" s="2" t="n">
        <v>43217</v>
      </c>
      <c r="D18619" t="inlineStr">
        <is>
          <t>NON-NIL</t>
        </is>
      </c>
      <c r="E18619" t="n">
        <v>602</v>
      </c>
    </row>
    <row r="18620">
      <c r="A18620" t="inlineStr">
        <is>
          <t>27BBBBB18620Z5</t>
        </is>
      </c>
      <c r="B18620" t="inlineStr">
        <is>
          <t>Dec-2024</t>
        </is>
      </c>
      <c r="C18620" s="2" t="n">
        <v>44599</v>
      </c>
      <c r="D18620" t="inlineStr">
        <is>
          <t>NON-NIL</t>
        </is>
      </c>
      <c r="E18620" t="n">
        <v>1243</v>
      </c>
    </row>
    <row r="18621">
      <c r="A18621" t="inlineStr">
        <is>
          <t>27BBBBB18621Z5</t>
        </is>
      </c>
      <c r="B18621" t="inlineStr">
        <is>
          <t>Dec-2022</t>
        </is>
      </c>
      <c r="C18621" s="2" t="n">
        <v>44454</v>
      </c>
      <c r="D18621" t="inlineStr">
        <is>
          <t>NIL</t>
        </is>
      </c>
      <c r="E18621" t="n">
        <v>1888</v>
      </c>
    </row>
    <row r="18622">
      <c r="A18622" t="inlineStr">
        <is>
          <t>27BBBBB18622Z5</t>
        </is>
      </c>
      <c r="B18622" t="inlineStr">
        <is>
          <t>Mar-2020</t>
        </is>
      </c>
      <c r="C18622" s="2" t="n">
        <v>44708</v>
      </c>
      <c r="D18622" t="inlineStr">
        <is>
          <t>NIL</t>
        </is>
      </c>
      <c r="E18622" t="n">
        <v>275</v>
      </c>
    </row>
    <row r="18623">
      <c r="A18623" t="inlineStr">
        <is>
          <t>27BBBBB18623Z5</t>
        </is>
      </c>
      <c r="B18623" t="inlineStr">
        <is>
          <t>Jul-2017</t>
        </is>
      </c>
      <c r="C18623" s="2" t="n">
        <v>43144</v>
      </c>
      <c r="D18623" t="inlineStr">
        <is>
          <t>NIL</t>
        </is>
      </c>
      <c r="E18623" t="n">
        <v>923</v>
      </c>
    </row>
    <row r="18624">
      <c r="A18624" t="inlineStr">
        <is>
          <t>27BBBBB18624Z5</t>
        </is>
      </c>
      <c r="B18624" t="inlineStr">
        <is>
          <t>Apr-2018</t>
        </is>
      </c>
      <c r="C18624" s="2" t="n">
        <v>43352</v>
      </c>
      <c r="D18624" t="inlineStr">
        <is>
          <t>NON-NIL</t>
        </is>
      </c>
      <c r="E18624" t="n">
        <v>1255</v>
      </c>
    </row>
    <row r="18625">
      <c r="A18625" t="inlineStr">
        <is>
          <t>27BBBBB18625Z5</t>
        </is>
      </c>
      <c r="B18625" t="inlineStr">
        <is>
          <t>Dec-2017</t>
        </is>
      </c>
      <c r="C18625" s="2" t="n">
        <v>43441</v>
      </c>
      <c r="D18625" t="inlineStr">
        <is>
          <t>NON-NIL</t>
        </is>
      </c>
      <c r="E18625" t="n">
        <v>1415</v>
      </c>
    </row>
    <row r="18626">
      <c r="A18626" t="inlineStr">
        <is>
          <t>27BBBBB18626Z5</t>
        </is>
      </c>
      <c r="B18626" t="inlineStr">
        <is>
          <t>Apr-2020</t>
        </is>
      </c>
      <c r="C18626" s="2" t="n">
        <v>44141</v>
      </c>
      <c r="D18626" t="inlineStr">
        <is>
          <t>NON-NIL</t>
        </is>
      </c>
      <c r="E18626" t="n">
        <v>2902</v>
      </c>
    </row>
    <row r="18627">
      <c r="A18627" t="inlineStr">
        <is>
          <t>27BBBBB18627Z5</t>
        </is>
      </c>
      <c r="B18627" t="inlineStr">
        <is>
          <t>May-2020</t>
        </is>
      </c>
      <c r="C18627" s="2" t="n">
        <v>44448</v>
      </c>
      <c r="D18627" t="inlineStr">
        <is>
          <t>NON-NIL</t>
        </is>
      </c>
      <c r="E18627" t="n">
        <v>2428</v>
      </c>
    </row>
    <row r="18628">
      <c r="A18628" t="inlineStr">
        <is>
          <t>27BBBBB18628Z5</t>
        </is>
      </c>
      <c r="B18628" t="inlineStr">
        <is>
          <t>Mar-2018</t>
        </is>
      </c>
      <c r="C18628" s="2" t="n">
        <v>43780</v>
      </c>
      <c r="D18628" t="inlineStr">
        <is>
          <t>NIL</t>
        </is>
      </c>
      <c r="E18628" t="n">
        <v>912</v>
      </c>
    </row>
    <row r="18629">
      <c r="A18629" t="inlineStr">
        <is>
          <t>27BBBBB18629Z5</t>
        </is>
      </c>
      <c r="B18629" t="inlineStr">
        <is>
          <t>Dec-2022</t>
        </is>
      </c>
      <c r="C18629" s="2" t="n">
        <v>45512</v>
      </c>
      <c r="D18629" t="inlineStr">
        <is>
          <t>NIL</t>
        </is>
      </c>
      <c r="E18629" t="n">
        <v>811</v>
      </c>
    </row>
    <row r="18630">
      <c r="A18630" t="inlineStr">
        <is>
          <t>27BBBBB18630Z5</t>
        </is>
      </c>
      <c r="B18630" t="inlineStr">
        <is>
          <t>Oct-2017</t>
        </is>
      </c>
      <c r="C18630" s="2" t="n">
        <v>43046</v>
      </c>
      <c r="D18630" t="inlineStr">
        <is>
          <t>NON-NIL</t>
        </is>
      </c>
      <c r="E18630" t="n">
        <v>2486</v>
      </c>
    </row>
    <row r="18631">
      <c r="A18631" t="inlineStr">
        <is>
          <t>27BBBBB18631Z5</t>
        </is>
      </c>
      <c r="B18631" t="inlineStr">
        <is>
          <t>Oct-2017</t>
        </is>
      </c>
      <c r="C18631" s="2" t="n">
        <v>43427</v>
      </c>
      <c r="D18631" t="inlineStr">
        <is>
          <t>NON-NIL</t>
        </is>
      </c>
      <c r="E18631" t="n">
        <v>2284</v>
      </c>
    </row>
    <row r="18632">
      <c r="A18632" t="inlineStr">
        <is>
          <t>27BBBBB18632Z5</t>
        </is>
      </c>
      <c r="B18632" t="inlineStr">
        <is>
          <t>Dec-2018</t>
        </is>
      </c>
      <c r="C18632" s="2" t="n">
        <v>43092</v>
      </c>
      <c r="D18632" t="inlineStr">
        <is>
          <t>NON-NIL</t>
        </is>
      </c>
      <c r="E18632" t="n">
        <v>1680</v>
      </c>
    </row>
    <row r="18633">
      <c r="A18633" t="inlineStr">
        <is>
          <t>27BBBBB18633Z5</t>
        </is>
      </c>
      <c r="B18633" t="inlineStr">
        <is>
          <t>Jun-2018</t>
        </is>
      </c>
      <c r="C18633" s="2" t="n">
        <v>44193</v>
      </c>
      <c r="D18633" t="inlineStr">
        <is>
          <t>NIL</t>
        </is>
      </c>
      <c r="E18633" t="n">
        <v>2064</v>
      </c>
    </row>
    <row r="18634">
      <c r="A18634" t="inlineStr">
        <is>
          <t>27BBBBB18634Z5</t>
        </is>
      </c>
      <c r="B18634" t="inlineStr">
        <is>
          <t>Apr-2018</t>
        </is>
      </c>
      <c r="C18634" s="2" t="n">
        <v>43851</v>
      </c>
      <c r="D18634" t="inlineStr">
        <is>
          <t>NIL</t>
        </is>
      </c>
      <c r="E18634" t="n">
        <v>2015</v>
      </c>
    </row>
    <row r="18635">
      <c r="A18635" t="inlineStr">
        <is>
          <t>27BBBBB18635Z5</t>
        </is>
      </c>
      <c r="B18635" t="inlineStr">
        <is>
          <t>Sep-2017</t>
        </is>
      </c>
      <c r="C18635" s="2" t="n">
        <v>43013</v>
      </c>
      <c r="D18635" t="inlineStr">
        <is>
          <t>NON-NIL</t>
        </is>
      </c>
      <c r="E18635" t="n">
        <v>1290</v>
      </c>
    </row>
    <row r="18636">
      <c r="A18636" t="inlineStr">
        <is>
          <t>27BBBBB18636Z5</t>
        </is>
      </c>
      <c r="B18636" t="inlineStr">
        <is>
          <t>Jun-2018</t>
        </is>
      </c>
      <c r="C18636" s="2" t="n">
        <v>43447</v>
      </c>
      <c r="D18636" t="inlineStr">
        <is>
          <t>NIL</t>
        </is>
      </c>
      <c r="E18636" t="n">
        <v>2837</v>
      </c>
    </row>
    <row r="18637">
      <c r="A18637" t="inlineStr">
        <is>
          <t>27BBBBB18637Z5</t>
        </is>
      </c>
      <c r="B18637" t="inlineStr">
        <is>
          <t>Jun-2020</t>
        </is>
      </c>
      <c r="C18637" s="2" t="n">
        <v>44780</v>
      </c>
      <c r="D18637" t="inlineStr">
        <is>
          <t>NON-NIL</t>
        </is>
      </c>
      <c r="E18637" t="n">
        <v>770</v>
      </c>
    </row>
    <row r="18638">
      <c r="A18638" t="inlineStr">
        <is>
          <t>27BBBBB18638Z5</t>
        </is>
      </c>
      <c r="B18638" t="inlineStr">
        <is>
          <t>Dec-2024</t>
        </is>
      </c>
      <c r="C18638" s="2" t="n">
        <v>44663</v>
      </c>
      <c r="D18638" t="inlineStr">
        <is>
          <t>NON-NIL</t>
        </is>
      </c>
      <c r="E18638" t="n">
        <v>1884</v>
      </c>
    </row>
    <row r="18639">
      <c r="A18639" t="inlineStr">
        <is>
          <t>27BBBBB18639Z5</t>
        </is>
      </c>
      <c r="B18639" t="inlineStr">
        <is>
          <t>Apr-2020</t>
        </is>
      </c>
      <c r="C18639" s="2" t="n">
        <v>43973</v>
      </c>
      <c r="D18639" t="inlineStr">
        <is>
          <t>NIL</t>
        </is>
      </c>
      <c r="E18639" t="n">
        <v>2530</v>
      </c>
    </row>
    <row r="18640">
      <c r="A18640" t="inlineStr">
        <is>
          <t>27BBBBB18640Z5</t>
        </is>
      </c>
      <c r="B18640" t="inlineStr">
        <is>
          <t>Jul-2018</t>
        </is>
      </c>
      <c r="C18640" s="2" t="n">
        <v>43427</v>
      </c>
      <c r="D18640" t="inlineStr">
        <is>
          <t>NON-NIL</t>
        </is>
      </c>
      <c r="E18640" t="n">
        <v>267</v>
      </c>
    </row>
    <row r="18641">
      <c r="A18641" t="inlineStr">
        <is>
          <t>27BBBBB18641Z5</t>
        </is>
      </c>
      <c r="B18641" t="inlineStr">
        <is>
          <t>Dec-2024</t>
        </is>
      </c>
      <c r="C18641" s="2" t="n">
        <v>45101</v>
      </c>
      <c r="D18641" t="inlineStr">
        <is>
          <t>NIL</t>
        </is>
      </c>
      <c r="E18641" t="n">
        <v>1827</v>
      </c>
    </row>
    <row r="18642">
      <c r="A18642" t="inlineStr">
        <is>
          <t>27BBBBB18642Z5</t>
        </is>
      </c>
      <c r="B18642" t="inlineStr">
        <is>
          <t>Jul-2020</t>
        </is>
      </c>
      <c r="C18642" s="2" t="n">
        <v>44607</v>
      </c>
      <c r="D18642" t="inlineStr">
        <is>
          <t>NIL</t>
        </is>
      </c>
      <c r="E18642" t="n">
        <v>638</v>
      </c>
    </row>
    <row r="18643">
      <c r="A18643" t="inlineStr">
        <is>
          <t>27BBBBB18643Z5</t>
        </is>
      </c>
      <c r="B18643" t="inlineStr">
        <is>
          <t>Jul-2018</t>
        </is>
      </c>
      <c r="C18643" s="2" t="n">
        <v>43936</v>
      </c>
      <c r="D18643" t="inlineStr">
        <is>
          <t>NIL</t>
        </is>
      </c>
      <c r="E18643" t="n">
        <v>443</v>
      </c>
    </row>
    <row r="18644">
      <c r="A18644" t="inlineStr">
        <is>
          <t>27BBBBB18644Z5</t>
        </is>
      </c>
      <c r="B18644" t="inlineStr">
        <is>
          <t>May-2020</t>
        </is>
      </c>
      <c r="C18644" s="2" t="n">
        <v>44643</v>
      </c>
      <c r="D18644" t="inlineStr">
        <is>
          <t>NON-NIL</t>
        </is>
      </c>
      <c r="E18644" t="n">
        <v>355</v>
      </c>
    </row>
    <row r="18645">
      <c r="A18645" t="inlineStr">
        <is>
          <t>27BBBBB18645Z5</t>
        </is>
      </c>
      <c r="B18645" t="inlineStr">
        <is>
          <t>Nov-2018</t>
        </is>
      </c>
      <c r="C18645" s="2" t="n">
        <v>44282</v>
      </c>
      <c r="D18645" t="inlineStr">
        <is>
          <t>NIL</t>
        </is>
      </c>
      <c r="E18645" t="n">
        <v>2801</v>
      </c>
    </row>
    <row r="18646">
      <c r="A18646" t="inlineStr">
        <is>
          <t>27BBBBB18646Z5</t>
        </is>
      </c>
      <c r="B18646" t="inlineStr">
        <is>
          <t>Sep-2017</t>
        </is>
      </c>
      <c r="C18646" s="2" t="n">
        <v>43105</v>
      </c>
      <c r="D18646" t="inlineStr">
        <is>
          <t>NON-NIL</t>
        </is>
      </c>
      <c r="E18646" t="n">
        <v>2615</v>
      </c>
    </row>
    <row r="18647">
      <c r="A18647" t="inlineStr">
        <is>
          <t>27BBBBB18647Z5</t>
        </is>
      </c>
      <c r="B18647" t="inlineStr">
        <is>
          <t>Mar-2018</t>
        </is>
      </c>
      <c r="C18647" s="2" t="n">
        <v>43136</v>
      </c>
      <c r="D18647" t="inlineStr">
        <is>
          <t>NIL</t>
        </is>
      </c>
      <c r="E18647" t="n">
        <v>2690</v>
      </c>
    </row>
    <row r="18648">
      <c r="A18648" t="inlineStr">
        <is>
          <t>27BBBBB18648Z5</t>
        </is>
      </c>
      <c r="B18648" t="inlineStr">
        <is>
          <t>May-2020</t>
        </is>
      </c>
      <c r="C18648" s="2" t="n">
        <v>44459</v>
      </c>
      <c r="D18648" t="inlineStr">
        <is>
          <t>NIL</t>
        </is>
      </c>
      <c r="E18648" t="n">
        <v>806</v>
      </c>
    </row>
    <row r="18649">
      <c r="A18649" t="inlineStr">
        <is>
          <t>27BBBBB18649Z5</t>
        </is>
      </c>
      <c r="B18649" t="inlineStr">
        <is>
          <t>Mar-2021</t>
        </is>
      </c>
      <c r="C18649" s="2" t="n">
        <v>45817</v>
      </c>
      <c r="D18649" t="inlineStr">
        <is>
          <t>NIL</t>
        </is>
      </c>
      <c r="E18649" t="n">
        <v>1672</v>
      </c>
    </row>
    <row r="18650">
      <c r="A18650" t="inlineStr">
        <is>
          <t>27BBBBB18650Z5</t>
        </is>
      </c>
      <c r="B18650" t="inlineStr">
        <is>
          <t>Jul-2017</t>
        </is>
      </c>
      <c r="C18650" s="2" t="n">
        <v>43949</v>
      </c>
      <c r="D18650" t="inlineStr">
        <is>
          <t>NON-NIL</t>
        </is>
      </c>
      <c r="E18650" t="n">
        <v>733</v>
      </c>
    </row>
    <row r="18651">
      <c r="A18651" t="inlineStr">
        <is>
          <t>27BBBBB18651Z5</t>
        </is>
      </c>
      <c r="B18651" t="inlineStr">
        <is>
          <t>Nov-2017</t>
        </is>
      </c>
      <c r="C18651" s="2" t="n">
        <v>43770</v>
      </c>
      <c r="D18651" t="inlineStr">
        <is>
          <t>NON-NIL</t>
        </is>
      </c>
      <c r="E18651" t="n">
        <v>2220</v>
      </c>
    </row>
    <row r="18652">
      <c r="A18652" t="inlineStr">
        <is>
          <t>27BBBBB18652Z5</t>
        </is>
      </c>
      <c r="B18652" t="inlineStr">
        <is>
          <t>Nov-2018</t>
        </is>
      </c>
      <c r="C18652" s="2" t="n">
        <v>43895</v>
      </c>
      <c r="D18652" t="inlineStr">
        <is>
          <t>NIL</t>
        </is>
      </c>
      <c r="E18652" t="n">
        <v>2317</v>
      </c>
    </row>
    <row r="18653">
      <c r="A18653" t="inlineStr">
        <is>
          <t>27BBBBB18653Z5</t>
        </is>
      </c>
      <c r="B18653" t="inlineStr">
        <is>
          <t>Jul-2017</t>
        </is>
      </c>
      <c r="C18653" s="2" t="n">
        <v>43165</v>
      </c>
      <c r="D18653" t="inlineStr">
        <is>
          <t>NIL</t>
        </is>
      </c>
      <c r="E18653" t="n">
        <v>2262</v>
      </c>
    </row>
    <row r="18654">
      <c r="A18654" t="inlineStr">
        <is>
          <t>27BBBBB18654Z5</t>
        </is>
      </c>
      <c r="B18654" t="inlineStr">
        <is>
          <t>Sep-2017</t>
        </is>
      </c>
      <c r="C18654" s="2" t="n">
        <v>43712</v>
      </c>
      <c r="D18654" t="inlineStr">
        <is>
          <t>NIL</t>
        </is>
      </c>
      <c r="E18654" t="n">
        <v>1757</v>
      </c>
    </row>
    <row r="18655">
      <c r="A18655" t="inlineStr">
        <is>
          <t>27BBBBB18655Z5</t>
        </is>
      </c>
      <c r="B18655" t="inlineStr">
        <is>
          <t>Aug-2017</t>
        </is>
      </c>
      <c r="C18655" s="2" t="n">
        <v>42961</v>
      </c>
      <c r="D18655" t="inlineStr">
        <is>
          <t>NON-NIL</t>
        </is>
      </c>
      <c r="E18655" t="n">
        <v>716</v>
      </c>
    </row>
    <row r="18656">
      <c r="A18656" t="inlineStr">
        <is>
          <t>27BBBBB18656Z5</t>
        </is>
      </c>
      <c r="B18656" t="inlineStr">
        <is>
          <t>Mar-2021</t>
        </is>
      </c>
      <c r="C18656" s="2" t="n">
        <v>44696</v>
      </c>
      <c r="D18656" t="inlineStr">
        <is>
          <t>NIL</t>
        </is>
      </c>
      <c r="E18656" t="n">
        <v>2278</v>
      </c>
    </row>
    <row r="18657">
      <c r="A18657" t="inlineStr">
        <is>
          <t>27BBBBB18657Z5</t>
        </is>
      </c>
      <c r="B18657" t="inlineStr">
        <is>
          <t>Jan-2018</t>
        </is>
      </c>
      <c r="C18657" s="2" t="n">
        <v>43653</v>
      </c>
      <c r="D18657" t="inlineStr">
        <is>
          <t>NIL</t>
        </is>
      </c>
      <c r="E18657" t="n">
        <v>2539</v>
      </c>
    </row>
    <row r="18658">
      <c r="A18658" t="inlineStr">
        <is>
          <t>27BBBBB18658Z5</t>
        </is>
      </c>
      <c r="B18658" t="inlineStr">
        <is>
          <t>Jul-2017</t>
        </is>
      </c>
      <c r="C18658" s="2" t="n">
        <v>43341</v>
      </c>
      <c r="D18658" t="inlineStr">
        <is>
          <t>NIL</t>
        </is>
      </c>
      <c r="E18658" t="n">
        <v>373</v>
      </c>
    </row>
    <row r="18659">
      <c r="A18659" t="inlineStr">
        <is>
          <t>27BBBBB18659Z5</t>
        </is>
      </c>
      <c r="B18659" t="inlineStr">
        <is>
          <t>Jun-2018</t>
        </is>
      </c>
      <c r="C18659" s="2" t="n">
        <v>44002</v>
      </c>
      <c r="D18659" t="inlineStr">
        <is>
          <t>NON-NIL</t>
        </is>
      </c>
      <c r="E18659" t="n">
        <v>695</v>
      </c>
    </row>
    <row r="18660">
      <c r="A18660" t="inlineStr">
        <is>
          <t>27BBBBB18660Z5</t>
        </is>
      </c>
      <c r="B18660" t="inlineStr">
        <is>
          <t>Jun-2020</t>
        </is>
      </c>
      <c r="C18660" s="2" t="n">
        <v>44517</v>
      </c>
      <c r="D18660" t="inlineStr">
        <is>
          <t>NIL</t>
        </is>
      </c>
      <c r="E18660" t="n">
        <v>246</v>
      </c>
    </row>
    <row r="18661">
      <c r="A18661" t="inlineStr">
        <is>
          <t>27BBBBB18661Z5</t>
        </is>
      </c>
      <c r="B18661" t="inlineStr">
        <is>
          <t>Dec-2022</t>
        </is>
      </c>
      <c r="C18661" s="2" t="n">
        <v>43953</v>
      </c>
      <c r="D18661" t="inlineStr">
        <is>
          <t>NIL</t>
        </is>
      </c>
      <c r="E18661" t="n">
        <v>687</v>
      </c>
    </row>
    <row r="18662">
      <c r="A18662" t="inlineStr">
        <is>
          <t>27BBBBB18662Z5</t>
        </is>
      </c>
      <c r="B18662" t="inlineStr">
        <is>
          <t>Oct-2017</t>
        </is>
      </c>
      <c r="C18662" s="2" t="n">
        <v>44307</v>
      </c>
      <c r="D18662" t="inlineStr">
        <is>
          <t>NON-NIL</t>
        </is>
      </c>
      <c r="E18662" t="n">
        <v>1324</v>
      </c>
    </row>
    <row r="18663">
      <c r="A18663" t="inlineStr">
        <is>
          <t>27BBBBB18663Z5</t>
        </is>
      </c>
      <c r="B18663" t="inlineStr">
        <is>
          <t>Oct-2018</t>
        </is>
      </c>
      <c r="C18663" s="2" t="n">
        <v>44202</v>
      </c>
      <c r="D18663" t="inlineStr">
        <is>
          <t>NIL</t>
        </is>
      </c>
      <c r="E18663" t="n">
        <v>529</v>
      </c>
    </row>
    <row r="18664">
      <c r="A18664" t="inlineStr">
        <is>
          <t>27BBBBB18664Z5</t>
        </is>
      </c>
      <c r="B18664" t="inlineStr">
        <is>
          <t>Dec-2022</t>
        </is>
      </c>
      <c r="C18664" s="2" t="n">
        <v>45402</v>
      </c>
      <c r="D18664" t="inlineStr">
        <is>
          <t>NIL</t>
        </is>
      </c>
      <c r="E18664" t="n">
        <v>2845</v>
      </c>
    </row>
    <row r="18665">
      <c r="A18665" t="inlineStr">
        <is>
          <t>27BBBBB18665Z5</t>
        </is>
      </c>
      <c r="B18665" t="inlineStr">
        <is>
          <t>May-2020</t>
        </is>
      </c>
      <c r="C18665" s="2" t="n">
        <v>44796</v>
      </c>
      <c r="D18665" t="inlineStr">
        <is>
          <t>NIL</t>
        </is>
      </c>
      <c r="E18665" t="n">
        <v>1855</v>
      </c>
    </row>
    <row r="18666">
      <c r="A18666" t="inlineStr">
        <is>
          <t>27BBBBB18666Z5</t>
        </is>
      </c>
      <c r="B18666" t="inlineStr">
        <is>
          <t>Oct-2017</t>
        </is>
      </c>
      <c r="C18666" s="2" t="n">
        <v>43491</v>
      </c>
      <c r="D18666" t="inlineStr">
        <is>
          <t>NON-NIL</t>
        </is>
      </c>
      <c r="E18666" t="n">
        <v>2974</v>
      </c>
    </row>
    <row r="18667">
      <c r="A18667" t="inlineStr">
        <is>
          <t>27BBBBB18667Z5</t>
        </is>
      </c>
      <c r="B18667" t="inlineStr">
        <is>
          <t>May-2020</t>
        </is>
      </c>
      <c r="C18667" s="2" t="n">
        <v>44917</v>
      </c>
      <c r="D18667" t="inlineStr">
        <is>
          <t>NIL</t>
        </is>
      </c>
      <c r="E18667" t="n">
        <v>727</v>
      </c>
    </row>
    <row r="18668">
      <c r="A18668" t="inlineStr">
        <is>
          <t>27BBBBB18668Z5</t>
        </is>
      </c>
      <c r="B18668" t="inlineStr">
        <is>
          <t>Jan-2018</t>
        </is>
      </c>
      <c r="C18668" s="2" t="n">
        <v>43355</v>
      </c>
      <c r="D18668" t="inlineStr">
        <is>
          <t>NON-NIL</t>
        </is>
      </c>
      <c r="E18668" t="n">
        <v>169</v>
      </c>
    </row>
    <row r="18669">
      <c r="A18669" t="inlineStr">
        <is>
          <t>27BBBBB18669Z5</t>
        </is>
      </c>
      <c r="B18669" t="inlineStr">
        <is>
          <t>Jan-2018</t>
        </is>
      </c>
      <c r="C18669" s="2" t="n">
        <v>44130</v>
      </c>
      <c r="D18669" t="inlineStr">
        <is>
          <t>NIL</t>
        </is>
      </c>
      <c r="E18669" t="n">
        <v>2458</v>
      </c>
    </row>
    <row r="18670">
      <c r="A18670" t="inlineStr">
        <is>
          <t>27BBBBB18670Z5</t>
        </is>
      </c>
      <c r="B18670" t="inlineStr">
        <is>
          <t>Jun-2018</t>
        </is>
      </c>
      <c r="C18670" s="2" t="n">
        <v>43040</v>
      </c>
      <c r="D18670" t="inlineStr">
        <is>
          <t>NIL</t>
        </is>
      </c>
      <c r="E18670" t="n">
        <v>2797</v>
      </c>
    </row>
    <row r="18671">
      <c r="A18671" t="inlineStr">
        <is>
          <t>27BBBBB18671Z5</t>
        </is>
      </c>
      <c r="B18671" t="inlineStr">
        <is>
          <t>Oct-2018</t>
        </is>
      </c>
      <c r="C18671" s="2" t="n">
        <v>43129</v>
      </c>
      <c r="D18671" t="inlineStr">
        <is>
          <t>NIL</t>
        </is>
      </c>
      <c r="E18671" t="n">
        <v>483</v>
      </c>
    </row>
    <row r="18672">
      <c r="A18672" t="inlineStr">
        <is>
          <t>27BBBBB18672Z5</t>
        </is>
      </c>
      <c r="B18672" t="inlineStr">
        <is>
          <t>Mar-2023</t>
        </is>
      </c>
      <c r="C18672" s="2" t="n">
        <v>44917</v>
      </c>
      <c r="D18672" t="inlineStr">
        <is>
          <t>NON-NIL</t>
        </is>
      </c>
      <c r="E18672" t="n">
        <v>1312</v>
      </c>
    </row>
    <row r="18673">
      <c r="A18673" t="inlineStr">
        <is>
          <t>27BBBBB18673Z5</t>
        </is>
      </c>
      <c r="B18673" t="inlineStr">
        <is>
          <t>Apr-2020</t>
        </is>
      </c>
      <c r="C18673" s="2" t="n">
        <v>44034</v>
      </c>
      <c r="D18673" t="inlineStr">
        <is>
          <t>NON-NIL</t>
        </is>
      </c>
      <c r="E18673" t="n">
        <v>2318</v>
      </c>
    </row>
    <row r="18674">
      <c r="A18674" t="inlineStr">
        <is>
          <t>27BBBBB18674Z5</t>
        </is>
      </c>
      <c r="B18674" t="inlineStr">
        <is>
          <t>Oct-2018</t>
        </is>
      </c>
      <c r="C18674" s="2" t="n">
        <v>43036</v>
      </c>
      <c r="D18674" t="inlineStr">
        <is>
          <t>NIL</t>
        </is>
      </c>
      <c r="E18674" t="n">
        <v>1918</v>
      </c>
    </row>
    <row r="18675">
      <c r="A18675" t="inlineStr">
        <is>
          <t>27BBBBB18675Z5</t>
        </is>
      </c>
      <c r="B18675" t="inlineStr">
        <is>
          <t>Dec-2017</t>
        </is>
      </c>
      <c r="C18675" s="2" t="n">
        <v>43167</v>
      </c>
      <c r="D18675" t="inlineStr">
        <is>
          <t>NON-NIL</t>
        </is>
      </c>
      <c r="E18675" t="n">
        <v>33</v>
      </c>
    </row>
    <row r="18676">
      <c r="A18676" t="inlineStr">
        <is>
          <t>27BBBBB18676Z5</t>
        </is>
      </c>
      <c r="B18676" t="inlineStr">
        <is>
          <t>Nov-2018</t>
        </is>
      </c>
      <c r="C18676" s="2" t="n">
        <v>43202</v>
      </c>
      <c r="D18676" t="inlineStr">
        <is>
          <t>NON-NIL</t>
        </is>
      </c>
      <c r="E18676" t="n">
        <v>2701</v>
      </c>
    </row>
    <row r="18677">
      <c r="A18677" t="inlineStr">
        <is>
          <t>27BBBBB18677Z5</t>
        </is>
      </c>
      <c r="B18677" t="inlineStr">
        <is>
          <t>Apr-2020</t>
        </is>
      </c>
      <c r="C18677" s="2" t="n">
        <v>44414</v>
      </c>
      <c r="D18677" t="inlineStr">
        <is>
          <t>NON-NIL</t>
        </is>
      </c>
      <c r="E18677" t="n">
        <v>55</v>
      </c>
    </row>
    <row r="18678">
      <c r="A18678" t="inlineStr">
        <is>
          <t>27BBBBB18678Z5</t>
        </is>
      </c>
      <c r="B18678" t="inlineStr">
        <is>
          <t>Jul-2018</t>
        </is>
      </c>
      <c r="C18678" s="2" t="n">
        <v>44470</v>
      </c>
      <c r="D18678" t="inlineStr">
        <is>
          <t>NON-NIL</t>
        </is>
      </c>
      <c r="E18678" t="n">
        <v>477</v>
      </c>
    </row>
    <row r="18679">
      <c r="A18679" t="inlineStr">
        <is>
          <t>27BBBBB18679Z5</t>
        </is>
      </c>
      <c r="B18679" t="inlineStr">
        <is>
          <t>Mar-2020</t>
        </is>
      </c>
      <c r="C18679" s="2" t="n">
        <v>44323</v>
      </c>
      <c r="D18679" t="inlineStr">
        <is>
          <t>NIL</t>
        </is>
      </c>
      <c r="E18679" t="n">
        <v>1832</v>
      </c>
    </row>
    <row r="18680">
      <c r="A18680" t="inlineStr">
        <is>
          <t>27BBBBB18680Z5</t>
        </is>
      </c>
      <c r="B18680" t="inlineStr">
        <is>
          <t>Jan-2021</t>
        </is>
      </c>
      <c r="C18680" s="2" t="n">
        <v>44835</v>
      </c>
      <c r="D18680" t="inlineStr">
        <is>
          <t>NON-NIL</t>
        </is>
      </c>
      <c r="E18680" t="n">
        <v>657</v>
      </c>
    </row>
    <row r="18681">
      <c r="A18681" t="inlineStr">
        <is>
          <t>27BBBBB18681Z5</t>
        </is>
      </c>
      <c r="B18681" t="inlineStr">
        <is>
          <t>Sep-2017</t>
        </is>
      </c>
      <c r="C18681" s="2" t="n">
        <v>43656</v>
      </c>
      <c r="D18681" t="inlineStr">
        <is>
          <t>NON-NIL</t>
        </is>
      </c>
      <c r="E18681" t="n">
        <v>231</v>
      </c>
    </row>
    <row r="18682">
      <c r="A18682" t="inlineStr">
        <is>
          <t>27BBBBB18682Z5</t>
        </is>
      </c>
      <c r="B18682" t="inlineStr">
        <is>
          <t>Dec-2022</t>
        </is>
      </c>
      <c r="C18682" s="2" t="n">
        <v>44162</v>
      </c>
      <c r="D18682" t="inlineStr">
        <is>
          <t>NON-NIL</t>
        </is>
      </c>
      <c r="E18682" t="n">
        <v>1851</v>
      </c>
    </row>
    <row r="18683">
      <c r="A18683" t="inlineStr">
        <is>
          <t>27BBBBB18683Z5</t>
        </is>
      </c>
      <c r="B18683" t="inlineStr">
        <is>
          <t>Oct-2017</t>
        </is>
      </c>
      <c r="C18683" s="2" t="n">
        <v>43301</v>
      </c>
      <c r="D18683" t="inlineStr">
        <is>
          <t>NON-NIL</t>
        </is>
      </c>
      <c r="E18683" t="n">
        <v>2505</v>
      </c>
    </row>
    <row r="18684">
      <c r="A18684" t="inlineStr">
        <is>
          <t>27BBBBB18684Z5</t>
        </is>
      </c>
      <c r="B18684" t="inlineStr">
        <is>
          <t>May-2020</t>
        </is>
      </c>
      <c r="C18684" s="2" t="n">
        <v>44812</v>
      </c>
      <c r="D18684" t="inlineStr">
        <is>
          <t>NIL</t>
        </is>
      </c>
      <c r="E18684" t="n">
        <v>2343</v>
      </c>
    </row>
    <row r="18685">
      <c r="A18685" t="inlineStr">
        <is>
          <t>27BBBBB18685Z5</t>
        </is>
      </c>
      <c r="B18685" t="inlineStr">
        <is>
          <t>Mar-2023</t>
        </is>
      </c>
      <c r="C18685" s="2" t="n">
        <v>45537</v>
      </c>
      <c r="D18685" t="inlineStr">
        <is>
          <t>NON-NIL</t>
        </is>
      </c>
      <c r="E18685" t="n">
        <v>2485</v>
      </c>
    </row>
    <row r="18686">
      <c r="A18686" t="inlineStr">
        <is>
          <t>27BBBBB18686Z5</t>
        </is>
      </c>
      <c r="B18686" t="inlineStr">
        <is>
          <t>May-2018</t>
        </is>
      </c>
      <c r="C18686" s="2" t="n">
        <v>43065</v>
      </c>
      <c r="D18686" t="inlineStr">
        <is>
          <t>NIL</t>
        </is>
      </c>
      <c r="E18686" t="n">
        <v>1113</v>
      </c>
    </row>
    <row r="18687">
      <c r="A18687" t="inlineStr">
        <is>
          <t>27BBBBB18687Z5</t>
        </is>
      </c>
      <c r="B18687" t="inlineStr">
        <is>
          <t>Sep-2017</t>
        </is>
      </c>
      <c r="C18687" s="2" t="n">
        <v>43371</v>
      </c>
      <c r="D18687" t="inlineStr">
        <is>
          <t>NIL</t>
        </is>
      </c>
      <c r="E18687" t="n">
        <v>1785</v>
      </c>
    </row>
    <row r="18688">
      <c r="A18688" t="inlineStr">
        <is>
          <t>27BBBBB18688Z5</t>
        </is>
      </c>
      <c r="B18688" t="inlineStr">
        <is>
          <t>Jan-2018</t>
        </is>
      </c>
      <c r="C18688" s="2" t="n">
        <v>43359</v>
      </c>
      <c r="D18688" t="inlineStr">
        <is>
          <t>NON-NIL</t>
        </is>
      </c>
      <c r="E18688" t="n">
        <v>2219</v>
      </c>
    </row>
    <row r="18689">
      <c r="A18689" t="inlineStr">
        <is>
          <t>27BBBBB18689Z5</t>
        </is>
      </c>
      <c r="B18689" t="inlineStr">
        <is>
          <t>Nov-2018</t>
        </is>
      </c>
      <c r="C18689" s="2" t="n">
        <v>43326</v>
      </c>
      <c r="D18689" t="inlineStr">
        <is>
          <t>NIL</t>
        </is>
      </c>
      <c r="E18689" t="n">
        <v>2424</v>
      </c>
    </row>
    <row r="18690">
      <c r="A18690" t="inlineStr">
        <is>
          <t>27BBBBB18690Z5</t>
        </is>
      </c>
      <c r="B18690" t="inlineStr">
        <is>
          <t>Jul-2020</t>
        </is>
      </c>
      <c r="C18690" s="2" t="n">
        <v>44613</v>
      </c>
      <c r="D18690" t="inlineStr">
        <is>
          <t>NIL</t>
        </is>
      </c>
      <c r="E18690" t="n">
        <v>33</v>
      </c>
    </row>
    <row r="18691">
      <c r="A18691" t="inlineStr">
        <is>
          <t>27BBBBB18691Z5</t>
        </is>
      </c>
      <c r="B18691" t="inlineStr">
        <is>
          <t>Mar-2021</t>
        </is>
      </c>
      <c r="C18691" s="2" t="n">
        <v>44511</v>
      </c>
      <c r="D18691" t="inlineStr">
        <is>
          <t>NON-NIL</t>
        </is>
      </c>
      <c r="E18691" t="n">
        <v>2846</v>
      </c>
    </row>
    <row r="18692">
      <c r="A18692" t="inlineStr">
        <is>
          <t>27BBBBB18692Z5</t>
        </is>
      </c>
      <c r="B18692" t="inlineStr">
        <is>
          <t>Jul-2018</t>
        </is>
      </c>
      <c r="C18692" s="2" t="n">
        <v>43052</v>
      </c>
      <c r="D18692" t="inlineStr">
        <is>
          <t>NON-NIL</t>
        </is>
      </c>
      <c r="E18692" t="n">
        <v>1524</v>
      </c>
    </row>
    <row r="18693">
      <c r="A18693" t="inlineStr">
        <is>
          <t>27BBBBB18693Z5</t>
        </is>
      </c>
      <c r="B18693" t="inlineStr">
        <is>
          <t>May-2020</t>
        </is>
      </c>
      <c r="C18693" s="2" t="n">
        <v>44604</v>
      </c>
      <c r="D18693" t="inlineStr">
        <is>
          <t>NIL</t>
        </is>
      </c>
      <c r="E18693" t="n">
        <v>2038</v>
      </c>
    </row>
    <row r="18694">
      <c r="A18694" t="inlineStr">
        <is>
          <t>27BBBBB18694Z5</t>
        </is>
      </c>
      <c r="B18694" t="inlineStr">
        <is>
          <t>Jan-2021</t>
        </is>
      </c>
      <c r="C18694" s="2" t="n">
        <v>43702</v>
      </c>
      <c r="D18694" t="inlineStr">
        <is>
          <t>NIL</t>
        </is>
      </c>
      <c r="E18694" t="n">
        <v>1883</v>
      </c>
    </row>
    <row r="18695">
      <c r="A18695" t="inlineStr">
        <is>
          <t>27BBBBB18695Z5</t>
        </is>
      </c>
      <c r="B18695" t="inlineStr">
        <is>
          <t>Oct-2018</t>
        </is>
      </c>
      <c r="C18695" s="2" t="n">
        <v>42999</v>
      </c>
      <c r="D18695" t="inlineStr">
        <is>
          <t>NIL</t>
        </is>
      </c>
      <c r="E18695" t="n">
        <v>1330</v>
      </c>
    </row>
    <row r="18696">
      <c r="A18696" t="inlineStr">
        <is>
          <t>27BBBBB18696Z5</t>
        </is>
      </c>
      <c r="B18696" t="inlineStr">
        <is>
          <t>Feb-2018</t>
        </is>
      </c>
      <c r="C18696" s="2" t="n">
        <v>43941</v>
      </c>
      <c r="D18696" t="inlineStr">
        <is>
          <t>NIL</t>
        </is>
      </c>
      <c r="E18696" t="n">
        <v>1431</v>
      </c>
    </row>
    <row r="18697">
      <c r="A18697" t="inlineStr">
        <is>
          <t>27BBBBB18697Z5</t>
        </is>
      </c>
      <c r="B18697" t="inlineStr">
        <is>
          <t>Dec-2017</t>
        </is>
      </c>
      <c r="C18697" s="2" t="n">
        <v>44005</v>
      </c>
      <c r="D18697" t="inlineStr">
        <is>
          <t>NON-NIL</t>
        </is>
      </c>
      <c r="E18697" t="n">
        <v>1742</v>
      </c>
    </row>
    <row r="18698">
      <c r="A18698" t="inlineStr">
        <is>
          <t>27BBBBB18698Z5</t>
        </is>
      </c>
      <c r="B18698" t="inlineStr">
        <is>
          <t>Oct-2017</t>
        </is>
      </c>
      <c r="C18698" s="2" t="n">
        <v>43973</v>
      </c>
      <c r="D18698" t="inlineStr">
        <is>
          <t>NON-NIL</t>
        </is>
      </c>
      <c r="E18698" t="n">
        <v>1949</v>
      </c>
    </row>
    <row r="18699">
      <c r="A18699" t="inlineStr">
        <is>
          <t>27BBBBB18699Z5</t>
        </is>
      </c>
      <c r="B18699" t="inlineStr">
        <is>
          <t>Mar-2021</t>
        </is>
      </c>
      <c r="C18699" s="2" t="n">
        <v>44664</v>
      </c>
      <c r="D18699" t="inlineStr">
        <is>
          <t>NON-NIL</t>
        </is>
      </c>
      <c r="E18699" t="n">
        <v>328</v>
      </c>
    </row>
    <row r="18700">
      <c r="A18700" t="inlineStr">
        <is>
          <t>27BBBBB18700Z5</t>
        </is>
      </c>
      <c r="B18700" t="inlineStr">
        <is>
          <t>Jan-2021</t>
        </is>
      </c>
      <c r="C18700" s="2" t="n">
        <v>44183</v>
      </c>
      <c r="D18700" t="inlineStr">
        <is>
          <t>NON-NIL</t>
        </is>
      </c>
      <c r="E18700" t="n">
        <v>1363</v>
      </c>
    </row>
    <row r="18701">
      <c r="A18701" t="inlineStr">
        <is>
          <t>27BBBBB18701Z5</t>
        </is>
      </c>
      <c r="B18701" t="inlineStr">
        <is>
          <t>Jul-2017</t>
        </is>
      </c>
      <c r="C18701" s="2" t="n">
        <v>43609</v>
      </c>
      <c r="D18701" t="inlineStr">
        <is>
          <t>NIL</t>
        </is>
      </c>
      <c r="E18701" t="n">
        <v>2584</v>
      </c>
    </row>
    <row r="18702">
      <c r="A18702" t="inlineStr">
        <is>
          <t>27BBBBB18702Z5</t>
        </is>
      </c>
      <c r="B18702" t="inlineStr">
        <is>
          <t>Jan-2018</t>
        </is>
      </c>
      <c r="C18702" s="2" t="n">
        <v>43780</v>
      </c>
      <c r="D18702" t="inlineStr">
        <is>
          <t>NIL</t>
        </is>
      </c>
      <c r="E18702" t="n">
        <v>2494</v>
      </c>
    </row>
    <row r="18703">
      <c r="A18703" t="inlineStr">
        <is>
          <t>27BBBBB18703Z5</t>
        </is>
      </c>
      <c r="B18703" t="inlineStr">
        <is>
          <t>Jan-2018</t>
        </is>
      </c>
      <c r="C18703" s="2" t="n">
        <v>43710</v>
      </c>
      <c r="D18703" t="inlineStr">
        <is>
          <t>NIL</t>
        </is>
      </c>
      <c r="E18703" t="n">
        <v>700</v>
      </c>
    </row>
    <row r="18704">
      <c r="A18704" t="inlineStr">
        <is>
          <t>27BBBBB18704Z5</t>
        </is>
      </c>
      <c r="B18704" t="inlineStr">
        <is>
          <t>Jan-2018</t>
        </is>
      </c>
      <c r="C18704" s="2" t="n">
        <v>43001</v>
      </c>
      <c r="D18704" t="inlineStr">
        <is>
          <t>NIL</t>
        </is>
      </c>
      <c r="E18704" t="n">
        <v>1996</v>
      </c>
    </row>
    <row r="18705">
      <c r="A18705" t="inlineStr">
        <is>
          <t>27BBBBB18705Z5</t>
        </is>
      </c>
      <c r="B18705" t="inlineStr">
        <is>
          <t>Aug-2018</t>
        </is>
      </c>
      <c r="C18705" s="2" t="n">
        <v>43654</v>
      </c>
      <c r="D18705" t="inlineStr">
        <is>
          <t>NIL</t>
        </is>
      </c>
      <c r="E18705" t="n">
        <v>506</v>
      </c>
    </row>
    <row r="18706">
      <c r="A18706" t="inlineStr">
        <is>
          <t>27BBBBB18706Z5</t>
        </is>
      </c>
      <c r="B18706" t="inlineStr">
        <is>
          <t>Dec-2022</t>
        </is>
      </c>
      <c r="C18706" s="2" t="n">
        <v>44189</v>
      </c>
      <c r="D18706" t="inlineStr">
        <is>
          <t>NIL</t>
        </is>
      </c>
      <c r="E18706" t="n">
        <v>2607</v>
      </c>
    </row>
    <row r="18707">
      <c r="A18707" t="inlineStr">
        <is>
          <t>27BBBBB18707Z5</t>
        </is>
      </c>
      <c r="B18707" t="inlineStr">
        <is>
          <t>Sep-2018</t>
        </is>
      </c>
      <c r="C18707" s="2" t="n">
        <v>44319</v>
      </c>
      <c r="D18707" t="inlineStr">
        <is>
          <t>NON-NIL</t>
        </is>
      </c>
      <c r="E18707" t="n">
        <v>659</v>
      </c>
    </row>
    <row r="18708">
      <c r="A18708" t="inlineStr">
        <is>
          <t>27BBBBB18708Z5</t>
        </is>
      </c>
      <c r="B18708" t="inlineStr">
        <is>
          <t>Sep-2017</t>
        </is>
      </c>
      <c r="C18708" s="2" t="n">
        <v>43236</v>
      </c>
      <c r="D18708" t="inlineStr">
        <is>
          <t>NIL</t>
        </is>
      </c>
      <c r="E18708" t="n">
        <v>590</v>
      </c>
    </row>
    <row r="18709">
      <c r="A18709" t="inlineStr">
        <is>
          <t>27BBBBB18709Z5</t>
        </is>
      </c>
      <c r="B18709" t="inlineStr">
        <is>
          <t>Dec-2024</t>
        </is>
      </c>
      <c r="C18709" s="2" t="n">
        <v>43988</v>
      </c>
      <c r="D18709" t="inlineStr">
        <is>
          <t>NON-NIL</t>
        </is>
      </c>
      <c r="E18709" t="n">
        <v>1778</v>
      </c>
    </row>
    <row r="18710">
      <c r="A18710" t="inlineStr">
        <is>
          <t>27BBBBB18710Z5</t>
        </is>
      </c>
      <c r="B18710" t="inlineStr">
        <is>
          <t>Mar-2018</t>
        </is>
      </c>
      <c r="C18710" s="2" t="n">
        <v>43226</v>
      </c>
      <c r="D18710" t="inlineStr">
        <is>
          <t>NON-NIL</t>
        </is>
      </c>
      <c r="E18710" t="n">
        <v>320</v>
      </c>
    </row>
    <row r="18711">
      <c r="A18711" t="inlineStr">
        <is>
          <t>27BBBBB18711Z5</t>
        </is>
      </c>
      <c r="B18711" t="inlineStr">
        <is>
          <t>Dec-2017</t>
        </is>
      </c>
      <c r="C18711" s="2" t="n">
        <v>43549</v>
      </c>
      <c r="D18711" t="inlineStr">
        <is>
          <t>NIL</t>
        </is>
      </c>
      <c r="E18711" t="n">
        <v>1746</v>
      </c>
    </row>
    <row r="18712">
      <c r="A18712" t="inlineStr">
        <is>
          <t>27BBBBB18712Z5</t>
        </is>
      </c>
      <c r="B18712" t="inlineStr">
        <is>
          <t>Sep-2018</t>
        </is>
      </c>
      <c r="C18712" s="2" t="n">
        <v>44387</v>
      </c>
      <c r="D18712" t="inlineStr">
        <is>
          <t>NIL</t>
        </is>
      </c>
      <c r="E18712" t="n">
        <v>2328</v>
      </c>
    </row>
    <row r="18713">
      <c r="A18713" t="inlineStr">
        <is>
          <t>27BBBBB18713Z5</t>
        </is>
      </c>
      <c r="B18713" t="inlineStr">
        <is>
          <t>Jul-2017</t>
        </is>
      </c>
      <c r="C18713" s="2" t="n">
        <v>44315</v>
      </c>
      <c r="D18713" t="inlineStr">
        <is>
          <t>NON-NIL</t>
        </is>
      </c>
      <c r="E18713" t="n">
        <v>454</v>
      </c>
    </row>
    <row r="18714">
      <c r="A18714" t="inlineStr">
        <is>
          <t>27BBBBB18714Z5</t>
        </is>
      </c>
      <c r="B18714" t="inlineStr">
        <is>
          <t>Jan-2018</t>
        </is>
      </c>
      <c r="C18714" s="2" t="n">
        <v>44239</v>
      </c>
      <c r="D18714" t="inlineStr">
        <is>
          <t>NIL</t>
        </is>
      </c>
      <c r="E18714" t="n">
        <v>724</v>
      </c>
    </row>
    <row r="18715">
      <c r="A18715" t="inlineStr">
        <is>
          <t>27BBBBB18715Z5</t>
        </is>
      </c>
      <c r="B18715" t="inlineStr">
        <is>
          <t>Nov-2017</t>
        </is>
      </c>
      <c r="C18715" s="2" t="n">
        <v>44339</v>
      </c>
      <c r="D18715" t="inlineStr">
        <is>
          <t>NON-NIL</t>
        </is>
      </c>
      <c r="E18715" t="n">
        <v>1618</v>
      </c>
    </row>
    <row r="18716">
      <c r="A18716" t="inlineStr">
        <is>
          <t>27BBBBB18716Z5</t>
        </is>
      </c>
      <c r="B18716" t="inlineStr">
        <is>
          <t>Oct-2017</t>
        </is>
      </c>
      <c r="C18716" s="2" t="n">
        <v>43877</v>
      </c>
      <c r="D18716" t="inlineStr">
        <is>
          <t>NON-NIL</t>
        </is>
      </c>
      <c r="E18716" t="n">
        <v>2954</v>
      </c>
    </row>
    <row r="18717">
      <c r="A18717" t="inlineStr">
        <is>
          <t>27BBBBB18717Z5</t>
        </is>
      </c>
      <c r="B18717" t="inlineStr">
        <is>
          <t>Jul-2018</t>
        </is>
      </c>
      <c r="C18717" s="2" t="n">
        <v>44410</v>
      </c>
      <c r="D18717" t="inlineStr">
        <is>
          <t>NON-NIL</t>
        </is>
      </c>
      <c r="E18717" t="n">
        <v>1949</v>
      </c>
    </row>
    <row r="18718">
      <c r="A18718" t="inlineStr">
        <is>
          <t>27BBBBB18718Z5</t>
        </is>
      </c>
      <c r="B18718" t="inlineStr">
        <is>
          <t>Sep-2017</t>
        </is>
      </c>
      <c r="C18718" s="2" t="n">
        <v>43776</v>
      </c>
      <c r="D18718" t="inlineStr">
        <is>
          <t>NIL</t>
        </is>
      </c>
      <c r="E18718" t="n">
        <v>841</v>
      </c>
    </row>
    <row r="18719">
      <c r="A18719" t="inlineStr">
        <is>
          <t>27BBBBB18719Z5</t>
        </is>
      </c>
      <c r="B18719" t="inlineStr">
        <is>
          <t>Jul-2020</t>
        </is>
      </c>
      <c r="C18719" s="2" t="n">
        <v>44509</v>
      </c>
      <c r="D18719" t="inlineStr">
        <is>
          <t>NON-NIL</t>
        </is>
      </c>
      <c r="E18719" t="n">
        <v>2399</v>
      </c>
    </row>
    <row r="18720">
      <c r="A18720" t="inlineStr">
        <is>
          <t>27BBBBB18720Z5</t>
        </is>
      </c>
      <c r="B18720" t="inlineStr">
        <is>
          <t>Aug-2018</t>
        </is>
      </c>
      <c r="C18720" s="2" t="n">
        <v>43747</v>
      </c>
      <c r="D18720" t="inlineStr">
        <is>
          <t>NIL</t>
        </is>
      </c>
      <c r="E18720" t="n">
        <v>2966</v>
      </c>
    </row>
    <row r="18721">
      <c r="A18721" t="inlineStr">
        <is>
          <t>27BBBBB18721Z5</t>
        </is>
      </c>
      <c r="B18721" t="inlineStr">
        <is>
          <t>May-2018</t>
        </is>
      </c>
      <c r="C18721" s="2" t="n">
        <v>43511</v>
      </c>
      <c r="D18721" t="inlineStr">
        <is>
          <t>NON-NIL</t>
        </is>
      </c>
      <c r="E18721" t="n">
        <v>529</v>
      </c>
    </row>
    <row r="18722">
      <c r="A18722" t="inlineStr">
        <is>
          <t>27BBBBB18722Z5</t>
        </is>
      </c>
      <c r="B18722" t="inlineStr">
        <is>
          <t>Dec-2017</t>
        </is>
      </c>
      <c r="C18722" s="2" t="n">
        <v>43974</v>
      </c>
      <c r="D18722" t="inlineStr">
        <is>
          <t>NON-NIL</t>
        </is>
      </c>
      <c r="E18722" t="n">
        <v>2822</v>
      </c>
    </row>
    <row r="18723">
      <c r="A18723" t="inlineStr">
        <is>
          <t>27BBBBB18723Z5</t>
        </is>
      </c>
      <c r="B18723" t="inlineStr">
        <is>
          <t>Dec-2022</t>
        </is>
      </c>
      <c r="C18723" s="2" t="n">
        <v>43962</v>
      </c>
      <c r="D18723" t="inlineStr">
        <is>
          <t>NON-NIL</t>
        </is>
      </c>
      <c r="E18723" t="n">
        <v>387</v>
      </c>
    </row>
    <row r="18724">
      <c r="A18724" t="inlineStr">
        <is>
          <t>27BBBBB18724Z5</t>
        </is>
      </c>
      <c r="B18724" t="inlineStr">
        <is>
          <t>Dec-2017</t>
        </is>
      </c>
      <c r="C18724" s="2" t="n">
        <v>44159</v>
      </c>
      <c r="D18724" t="inlineStr">
        <is>
          <t>NIL</t>
        </is>
      </c>
      <c r="E18724" t="n">
        <v>1889</v>
      </c>
    </row>
    <row r="18725">
      <c r="A18725" t="inlineStr">
        <is>
          <t>27BBBBB18725Z5</t>
        </is>
      </c>
      <c r="B18725" t="inlineStr">
        <is>
          <t>Dec-2022</t>
        </is>
      </c>
      <c r="C18725" s="2" t="n">
        <v>44955</v>
      </c>
      <c r="D18725" t="inlineStr">
        <is>
          <t>NON-NIL</t>
        </is>
      </c>
      <c r="E18725" t="n">
        <v>1521</v>
      </c>
    </row>
    <row r="18726">
      <c r="A18726" t="inlineStr">
        <is>
          <t>27BBBBB18726Z5</t>
        </is>
      </c>
      <c r="B18726" t="inlineStr">
        <is>
          <t>Sep-2018</t>
        </is>
      </c>
      <c r="C18726" s="2" t="n">
        <v>43123</v>
      </c>
      <c r="D18726" t="inlineStr">
        <is>
          <t>NIL</t>
        </is>
      </c>
      <c r="E18726" t="n">
        <v>2542</v>
      </c>
    </row>
    <row r="18727">
      <c r="A18727" t="inlineStr">
        <is>
          <t>27BBBBB18727Z5</t>
        </is>
      </c>
      <c r="B18727" t="inlineStr">
        <is>
          <t>Mar-2023</t>
        </is>
      </c>
      <c r="C18727" s="2" t="n">
        <v>44906</v>
      </c>
      <c r="D18727" t="inlineStr">
        <is>
          <t>NON-NIL</t>
        </is>
      </c>
      <c r="E18727" t="n">
        <v>2734</v>
      </c>
    </row>
    <row r="18728">
      <c r="A18728" t="inlineStr">
        <is>
          <t>27BBBBB18728Z5</t>
        </is>
      </c>
      <c r="B18728" t="inlineStr">
        <is>
          <t>Mar-2020</t>
        </is>
      </c>
      <c r="C18728" s="2" t="n">
        <v>43927</v>
      </c>
      <c r="D18728" t="inlineStr">
        <is>
          <t>NIL</t>
        </is>
      </c>
      <c r="E18728" t="n">
        <v>835</v>
      </c>
    </row>
    <row r="18729">
      <c r="A18729" t="inlineStr">
        <is>
          <t>27BBBBB18729Z5</t>
        </is>
      </c>
      <c r="B18729" t="inlineStr">
        <is>
          <t>Jan-2018</t>
        </is>
      </c>
      <c r="C18729" s="2" t="n">
        <v>44210</v>
      </c>
      <c r="D18729" t="inlineStr">
        <is>
          <t>NON-NIL</t>
        </is>
      </c>
      <c r="E18729" t="n">
        <v>2615</v>
      </c>
    </row>
    <row r="18730">
      <c r="A18730" t="inlineStr">
        <is>
          <t>27BBBBB18730Z5</t>
        </is>
      </c>
      <c r="B18730" t="inlineStr">
        <is>
          <t>Aug-2017</t>
        </is>
      </c>
      <c r="C18730" s="2" t="n">
        <v>43737</v>
      </c>
      <c r="D18730" t="inlineStr">
        <is>
          <t>NON-NIL</t>
        </is>
      </c>
      <c r="E18730" t="n">
        <v>2063</v>
      </c>
    </row>
    <row r="18731">
      <c r="A18731" t="inlineStr">
        <is>
          <t>27BBBBB18731Z5</t>
        </is>
      </c>
      <c r="B18731" t="inlineStr">
        <is>
          <t>Jul-2020</t>
        </is>
      </c>
      <c r="C18731" s="2" t="n">
        <v>44644</v>
      </c>
      <c r="D18731" t="inlineStr">
        <is>
          <t>NON-NIL</t>
        </is>
      </c>
      <c r="E18731" t="n">
        <v>2807</v>
      </c>
    </row>
    <row r="18732">
      <c r="A18732" t="inlineStr">
        <is>
          <t>27BBBBB18732Z5</t>
        </is>
      </c>
      <c r="B18732" t="inlineStr">
        <is>
          <t>Jun-2020</t>
        </is>
      </c>
      <c r="C18732" s="2" t="n">
        <v>44211</v>
      </c>
      <c r="D18732" t="inlineStr">
        <is>
          <t>NIL</t>
        </is>
      </c>
      <c r="E18732" t="n">
        <v>1437</v>
      </c>
    </row>
    <row r="18733">
      <c r="A18733" t="inlineStr">
        <is>
          <t>27BBBBB18733Z5</t>
        </is>
      </c>
      <c r="B18733" t="inlineStr">
        <is>
          <t>Apr-2020</t>
        </is>
      </c>
      <c r="C18733" s="2" t="n">
        <v>43975</v>
      </c>
      <c r="D18733" t="inlineStr">
        <is>
          <t>NIL</t>
        </is>
      </c>
      <c r="E18733" t="n">
        <v>2929</v>
      </c>
    </row>
    <row r="18734">
      <c r="A18734" t="inlineStr">
        <is>
          <t>27BBBBB18734Z5</t>
        </is>
      </c>
      <c r="B18734" t="inlineStr">
        <is>
          <t>Jun-2018</t>
        </is>
      </c>
      <c r="C18734" s="2" t="n">
        <v>43746</v>
      </c>
      <c r="D18734" t="inlineStr">
        <is>
          <t>NON-NIL</t>
        </is>
      </c>
      <c r="E18734" t="n">
        <v>2260</v>
      </c>
    </row>
    <row r="18735">
      <c r="A18735" t="inlineStr">
        <is>
          <t>27BBBBB18735Z5</t>
        </is>
      </c>
      <c r="B18735" t="inlineStr">
        <is>
          <t>Oct-2018</t>
        </is>
      </c>
      <c r="C18735" s="2" t="n">
        <v>43910</v>
      </c>
      <c r="D18735" t="inlineStr">
        <is>
          <t>NIL</t>
        </is>
      </c>
      <c r="E18735" t="n">
        <v>1240</v>
      </c>
    </row>
    <row r="18736">
      <c r="A18736" t="inlineStr">
        <is>
          <t>27BBBBB18736Z5</t>
        </is>
      </c>
      <c r="B18736" t="inlineStr">
        <is>
          <t>Nov-2017</t>
        </is>
      </c>
      <c r="C18736" s="2" t="n">
        <v>43869</v>
      </c>
      <c r="D18736" t="inlineStr">
        <is>
          <t>NON-NIL</t>
        </is>
      </c>
      <c r="E18736" t="n">
        <v>905</v>
      </c>
    </row>
    <row r="18737">
      <c r="A18737" t="inlineStr">
        <is>
          <t>27BBBBB18737Z5</t>
        </is>
      </c>
      <c r="B18737" t="inlineStr">
        <is>
          <t>Aug-2017</t>
        </is>
      </c>
      <c r="C18737" s="2" t="n">
        <v>43896</v>
      </c>
      <c r="D18737" t="inlineStr">
        <is>
          <t>NIL</t>
        </is>
      </c>
      <c r="E18737" t="n">
        <v>1307</v>
      </c>
    </row>
    <row r="18738">
      <c r="A18738" t="inlineStr">
        <is>
          <t>27BBBBB18738Z5</t>
        </is>
      </c>
      <c r="B18738" t="inlineStr">
        <is>
          <t>Oct-2018</t>
        </is>
      </c>
      <c r="C18738" s="2" t="n">
        <v>43472</v>
      </c>
      <c r="D18738" t="inlineStr">
        <is>
          <t>NIL</t>
        </is>
      </c>
      <c r="E18738" t="n">
        <v>1720</v>
      </c>
    </row>
    <row r="18739">
      <c r="A18739" t="inlineStr">
        <is>
          <t>27BBBBB18739Z5</t>
        </is>
      </c>
      <c r="B18739" t="inlineStr">
        <is>
          <t>Apr-2020</t>
        </is>
      </c>
      <c r="C18739" s="2" t="n">
        <v>44627</v>
      </c>
      <c r="D18739" t="inlineStr">
        <is>
          <t>NIL</t>
        </is>
      </c>
      <c r="E18739" t="n">
        <v>1065</v>
      </c>
    </row>
    <row r="18740">
      <c r="A18740" t="inlineStr">
        <is>
          <t>27BBBBB18740Z5</t>
        </is>
      </c>
      <c r="B18740" t="inlineStr">
        <is>
          <t>Apr-2018</t>
        </is>
      </c>
      <c r="C18740" s="2" t="n">
        <v>43631</v>
      </c>
      <c r="D18740" t="inlineStr">
        <is>
          <t>NIL</t>
        </is>
      </c>
      <c r="E18740" t="n">
        <v>1585</v>
      </c>
    </row>
    <row r="18741">
      <c r="A18741" t="inlineStr">
        <is>
          <t>27BBBBB18741Z5</t>
        </is>
      </c>
      <c r="B18741" t="inlineStr">
        <is>
          <t>Jan-2021</t>
        </is>
      </c>
      <c r="C18741" s="2" t="n">
        <v>43813</v>
      </c>
      <c r="D18741" t="inlineStr">
        <is>
          <t>NIL</t>
        </is>
      </c>
      <c r="E18741" t="n">
        <v>1289</v>
      </c>
    </row>
    <row r="18742">
      <c r="A18742" t="inlineStr">
        <is>
          <t>27BBBBB18742Z5</t>
        </is>
      </c>
      <c r="B18742" t="inlineStr">
        <is>
          <t>Sep-2017</t>
        </is>
      </c>
      <c r="C18742" s="2" t="n">
        <v>43314</v>
      </c>
      <c r="D18742" t="inlineStr">
        <is>
          <t>NIL</t>
        </is>
      </c>
      <c r="E18742" t="n">
        <v>118</v>
      </c>
    </row>
    <row r="18743">
      <c r="A18743" t="inlineStr">
        <is>
          <t>27BBBBB18743Z5</t>
        </is>
      </c>
      <c r="B18743" t="inlineStr">
        <is>
          <t>Oct-2017</t>
        </is>
      </c>
      <c r="C18743" s="2" t="n">
        <v>43602</v>
      </c>
      <c r="D18743" t="inlineStr">
        <is>
          <t>NON-NIL</t>
        </is>
      </c>
      <c r="E18743" t="n">
        <v>457</v>
      </c>
    </row>
    <row r="18744">
      <c r="A18744" t="inlineStr">
        <is>
          <t>27BBBBB18744Z5</t>
        </is>
      </c>
      <c r="B18744" t="inlineStr">
        <is>
          <t>Jul-2018</t>
        </is>
      </c>
      <c r="C18744" s="2" t="n">
        <v>43400</v>
      </c>
      <c r="D18744" t="inlineStr">
        <is>
          <t>NON-NIL</t>
        </is>
      </c>
      <c r="E18744" t="n">
        <v>304</v>
      </c>
    </row>
    <row r="18745">
      <c r="A18745" t="inlineStr">
        <is>
          <t>27BBBBB18745Z5</t>
        </is>
      </c>
      <c r="B18745" t="inlineStr">
        <is>
          <t>May-2020</t>
        </is>
      </c>
      <c r="C18745" s="2" t="n">
        <v>44516</v>
      </c>
      <c r="D18745" t="inlineStr">
        <is>
          <t>NON-NIL</t>
        </is>
      </c>
      <c r="E18745" t="n">
        <v>1352</v>
      </c>
    </row>
    <row r="18746">
      <c r="A18746" t="inlineStr">
        <is>
          <t>27BBBBB18746Z5</t>
        </is>
      </c>
      <c r="B18746" t="inlineStr">
        <is>
          <t>Oct-2017</t>
        </is>
      </c>
      <c r="C18746" s="2" t="n">
        <v>43179</v>
      </c>
      <c r="D18746" t="inlineStr">
        <is>
          <t>NIL</t>
        </is>
      </c>
      <c r="E18746" t="n">
        <v>1182</v>
      </c>
    </row>
    <row r="18747">
      <c r="A18747" t="inlineStr">
        <is>
          <t>27BBBBB18747Z5</t>
        </is>
      </c>
      <c r="B18747" t="inlineStr">
        <is>
          <t>Dec-2017</t>
        </is>
      </c>
      <c r="C18747" s="2" t="n">
        <v>43290</v>
      </c>
      <c r="D18747" t="inlineStr">
        <is>
          <t>NON-NIL</t>
        </is>
      </c>
      <c r="E18747" t="n">
        <v>1120</v>
      </c>
    </row>
    <row r="18748">
      <c r="A18748" t="inlineStr">
        <is>
          <t>27BBBBB18748Z5</t>
        </is>
      </c>
      <c r="B18748" t="inlineStr">
        <is>
          <t>Dec-2017</t>
        </is>
      </c>
      <c r="C18748" s="2" t="n">
        <v>44023</v>
      </c>
      <c r="D18748" t="inlineStr">
        <is>
          <t>NIL</t>
        </is>
      </c>
      <c r="E18748" t="n">
        <v>482</v>
      </c>
    </row>
    <row r="18749">
      <c r="A18749" t="inlineStr">
        <is>
          <t>27BBBBB18749Z5</t>
        </is>
      </c>
      <c r="B18749" t="inlineStr">
        <is>
          <t>Aug-2018</t>
        </is>
      </c>
      <c r="C18749" s="2" t="n">
        <v>43598</v>
      </c>
      <c r="D18749" t="inlineStr">
        <is>
          <t>NIL</t>
        </is>
      </c>
      <c r="E18749" t="n">
        <v>1754</v>
      </c>
    </row>
    <row r="18750">
      <c r="A18750" t="inlineStr">
        <is>
          <t>27BBBBB18750Z5</t>
        </is>
      </c>
      <c r="B18750" t="inlineStr">
        <is>
          <t>Jul-2017</t>
        </is>
      </c>
      <c r="C18750" s="2" t="n">
        <v>43618</v>
      </c>
      <c r="D18750" t="inlineStr">
        <is>
          <t>NIL</t>
        </is>
      </c>
      <c r="E18750" t="n">
        <v>1844</v>
      </c>
    </row>
    <row r="18751">
      <c r="A18751" t="inlineStr">
        <is>
          <t>27BBBBB18751Z5</t>
        </is>
      </c>
      <c r="B18751" t="inlineStr">
        <is>
          <t>Mar-2023</t>
        </is>
      </c>
      <c r="C18751" s="2" t="n">
        <v>44532</v>
      </c>
      <c r="D18751" t="inlineStr">
        <is>
          <t>NIL</t>
        </is>
      </c>
      <c r="E18751" t="n">
        <v>2943</v>
      </c>
    </row>
    <row r="18752">
      <c r="A18752" t="inlineStr">
        <is>
          <t>27BBBBB18752Z5</t>
        </is>
      </c>
      <c r="B18752" t="inlineStr">
        <is>
          <t>Jun-2018</t>
        </is>
      </c>
      <c r="C18752" s="2" t="n">
        <v>42925</v>
      </c>
      <c r="D18752" t="inlineStr">
        <is>
          <t>NON-NIL</t>
        </is>
      </c>
      <c r="E18752" t="n">
        <v>725</v>
      </c>
    </row>
    <row r="18753">
      <c r="A18753" t="inlineStr">
        <is>
          <t>27BBBBB18753Z5</t>
        </is>
      </c>
      <c r="B18753" t="inlineStr">
        <is>
          <t>Feb-2018</t>
        </is>
      </c>
      <c r="C18753" s="2" t="n">
        <v>43988</v>
      </c>
      <c r="D18753" t="inlineStr">
        <is>
          <t>NON-NIL</t>
        </is>
      </c>
      <c r="E18753" t="n">
        <v>1195</v>
      </c>
    </row>
    <row r="18754">
      <c r="A18754" t="inlineStr">
        <is>
          <t>27BBBBB18754Z5</t>
        </is>
      </c>
      <c r="B18754" t="inlineStr">
        <is>
          <t>Dec-2017</t>
        </is>
      </c>
      <c r="C18754" s="2" t="n">
        <v>44032</v>
      </c>
      <c r="D18754" t="inlineStr">
        <is>
          <t>NON-NIL</t>
        </is>
      </c>
      <c r="E18754" t="n">
        <v>1340</v>
      </c>
    </row>
    <row r="18755">
      <c r="A18755" t="inlineStr">
        <is>
          <t>27BBBBB18755Z5</t>
        </is>
      </c>
      <c r="B18755" t="inlineStr">
        <is>
          <t>Jan-2021</t>
        </is>
      </c>
      <c r="C18755" s="2" t="n">
        <v>45524</v>
      </c>
      <c r="D18755" t="inlineStr">
        <is>
          <t>NIL</t>
        </is>
      </c>
      <c r="E18755" t="n">
        <v>2335</v>
      </c>
    </row>
    <row r="18756">
      <c r="A18756" t="inlineStr">
        <is>
          <t>27BBBBB18756Z5</t>
        </is>
      </c>
      <c r="B18756" t="inlineStr">
        <is>
          <t>Jan-2021</t>
        </is>
      </c>
      <c r="C18756" s="2" t="n">
        <v>44475</v>
      </c>
      <c r="D18756" t="inlineStr">
        <is>
          <t>NIL</t>
        </is>
      </c>
      <c r="E18756" t="n">
        <v>2805</v>
      </c>
    </row>
    <row r="18757">
      <c r="A18757" t="inlineStr">
        <is>
          <t>27BBBBB18757Z5</t>
        </is>
      </c>
      <c r="B18757" t="inlineStr">
        <is>
          <t>Dec-2022</t>
        </is>
      </c>
      <c r="C18757" s="2" t="n">
        <v>44647</v>
      </c>
      <c r="D18757" t="inlineStr">
        <is>
          <t>NIL</t>
        </is>
      </c>
      <c r="E18757" t="n">
        <v>2638</v>
      </c>
    </row>
    <row r="18758">
      <c r="A18758" t="inlineStr">
        <is>
          <t>27BBBBB18758Z5</t>
        </is>
      </c>
      <c r="B18758" t="inlineStr">
        <is>
          <t>Aug-2017</t>
        </is>
      </c>
      <c r="C18758" s="2" t="n">
        <v>43936</v>
      </c>
      <c r="D18758" t="inlineStr">
        <is>
          <t>NIL</t>
        </is>
      </c>
      <c r="E18758" t="n">
        <v>49</v>
      </c>
    </row>
    <row r="18759">
      <c r="A18759" t="inlineStr">
        <is>
          <t>27BBBBB18759Z5</t>
        </is>
      </c>
      <c r="B18759" t="inlineStr">
        <is>
          <t>Feb-2018</t>
        </is>
      </c>
      <c r="C18759" s="2" t="n">
        <v>43165</v>
      </c>
      <c r="D18759" t="inlineStr">
        <is>
          <t>NON-NIL</t>
        </is>
      </c>
      <c r="E18759" t="n">
        <v>628</v>
      </c>
    </row>
    <row r="18760">
      <c r="A18760" t="inlineStr">
        <is>
          <t>27BBBBB18760Z5</t>
        </is>
      </c>
      <c r="B18760" t="inlineStr">
        <is>
          <t>Oct-2017</t>
        </is>
      </c>
      <c r="C18760" s="2" t="n">
        <v>42984</v>
      </c>
      <c r="D18760" t="inlineStr">
        <is>
          <t>NON-NIL</t>
        </is>
      </c>
      <c r="E18760" t="n">
        <v>1420</v>
      </c>
    </row>
    <row r="18761">
      <c r="A18761" t="inlineStr">
        <is>
          <t>27BBBBB18761Z5</t>
        </is>
      </c>
      <c r="B18761" t="inlineStr">
        <is>
          <t>Feb-2018</t>
        </is>
      </c>
      <c r="C18761" s="2" t="n">
        <v>44502</v>
      </c>
      <c r="D18761" t="inlineStr">
        <is>
          <t>NIL</t>
        </is>
      </c>
      <c r="E18761" t="n">
        <v>944</v>
      </c>
    </row>
    <row r="18762">
      <c r="A18762" t="inlineStr">
        <is>
          <t>27BBBBB18762Z5</t>
        </is>
      </c>
      <c r="B18762" t="inlineStr">
        <is>
          <t>Apr-2020</t>
        </is>
      </c>
      <c r="C18762" s="2" t="n">
        <v>43990</v>
      </c>
      <c r="D18762" t="inlineStr">
        <is>
          <t>NON-NIL</t>
        </is>
      </c>
      <c r="E18762" t="n">
        <v>2458</v>
      </c>
    </row>
    <row r="18763">
      <c r="A18763" t="inlineStr">
        <is>
          <t>27BBBBB18763Z5</t>
        </is>
      </c>
      <c r="B18763" t="inlineStr">
        <is>
          <t>May-2018</t>
        </is>
      </c>
      <c r="C18763" s="2" t="n">
        <v>44183</v>
      </c>
      <c r="D18763" t="inlineStr">
        <is>
          <t>NON-NIL</t>
        </is>
      </c>
      <c r="E18763" t="n">
        <v>218</v>
      </c>
    </row>
    <row r="18764">
      <c r="A18764" t="inlineStr">
        <is>
          <t>27BBBBB18764Z5</t>
        </is>
      </c>
      <c r="B18764" t="inlineStr">
        <is>
          <t>May-2020</t>
        </is>
      </c>
      <c r="C18764" s="2" t="n">
        <v>44322</v>
      </c>
      <c r="D18764" t="inlineStr">
        <is>
          <t>NON-NIL</t>
        </is>
      </c>
      <c r="E18764" t="n">
        <v>1183</v>
      </c>
    </row>
    <row r="18765">
      <c r="A18765" t="inlineStr">
        <is>
          <t>27BBBBB18765Z5</t>
        </is>
      </c>
      <c r="B18765" t="inlineStr">
        <is>
          <t>Jun-2018</t>
        </is>
      </c>
      <c r="C18765" s="2" t="n">
        <v>43920</v>
      </c>
      <c r="D18765" t="inlineStr">
        <is>
          <t>NIL</t>
        </is>
      </c>
      <c r="E18765" t="n">
        <v>2896</v>
      </c>
    </row>
    <row r="18766">
      <c r="A18766" t="inlineStr">
        <is>
          <t>27BBBBB18766Z5</t>
        </is>
      </c>
      <c r="B18766" t="inlineStr">
        <is>
          <t>May-2018</t>
        </is>
      </c>
      <c r="C18766" s="2" t="n">
        <v>43557</v>
      </c>
      <c r="D18766" t="inlineStr">
        <is>
          <t>NIL</t>
        </is>
      </c>
      <c r="E18766" t="n">
        <v>1440</v>
      </c>
    </row>
    <row r="18767">
      <c r="A18767" t="inlineStr">
        <is>
          <t>27BBBBB18767Z5</t>
        </is>
      </c>
      <c r="B18767" t="inlineStr">
        <is>
          <t>Sep-2017</t>
        </is>
      </c>
      <c r="C18767" s="2" t="n">
        <v>43801</v>
      </c>
      <c r="D18767" t="inlineStr">
        <is>
          <t>NON-NIL</t>
        </is>
      </c>
      <c r="E18767" t="n">
        <v>1407</v>
      </c>
    </row>
    <row r="18768">
      <c r="A18768" t="inlineStr">
        <is>
          <t>27BBBBB18768Z5</t>
        </is>
      </c>
      <c r="B18768" t="inlineStr">
        <is>
          <t>Jul-2017</t>
        </is>
      </c>
      <c r="C18768" s="2" t="n">
        <v>43016</v>
      </c>
      <c r="D18768" t="inlineStr">
        <is>
          <t>NON-NIL</t>
        </is>
      </c>
      <c r="E18768" t="n">
        <v>1453</v>
      </c>
    </row>
    <row r="18769">
      <c r="A18769" t="inlineStr">
        <is>
          <t>27BBBBB18769Z5</t>
        </is>
      </c>
      <c r="B18769" t="inlineStr">
        <is>
          <t>Aug-2018</t>
        </is>
      </c>
      <c r="C18769" s="2" t="n">
        <v>43088</v>
      </c>
      <c r="D18769" t="inlineStr">
        <is>
          <t>NON-NIL</t>
        </is>
      </c>
      <c r="E18769" t="n">
        <v>1537</v>
      </c>
    </row>
    <row r="18770">
      <c r="A18770" t="inlineStr">
        <is>
          <t>27BBBBB18770Z5</t>
        </is>
      </c>
      <c r="B18770" t="inlineStr">
        <is>
          <t>Mar-2018</t>
        </is>
      </c>
      <c r="C18770" s="2" t="n">
        <v>44054</v>
      </c>
      <c r="D18770" t="inlineStr">
        <is>
          <t>NON-NIL</t>
        </is>
      </c>
      <c r="E18770" t="n">
        <v>865</v>
      </c>
    </row>
    <row r="18771">
      <c r="A18771" t="inlineStr">
        <is>
          <t>27BBBBB18771Z5</t>
        </is>
      </c>
      <c r="B18771" t="inlineStr">
        <is>
          <t>Jun-2020</t>
        </is>
      </c>
      <c r="C18771" s="2" t="n">
        <v>44381</v>
      </c>
      <c r="D18771" t="inlineStr">
        <is>
          <t>NIL</t>
        </is>
      </c>
      <c r="E18771" t="n">
        <v>555</v>
      </c>
    </row>
    <row r="18772">
      <c r="A18772" t="inlineStr">
        <is>
          <t>27BBBBB18772Z5</t>
        </is>
      </c>
      <c r="B18772" t="inlineStr">
        <is>
          <t>Jun-2020</t>
        </is>
      </c>
      <c r="C18772" s="2" t="n">
        <v>44438</v>
      </c>
      <c r="D18772" t="inlineStr">
        <is>
          <t>NIL</t>
        </is>
      </c>
      <c r="E18772" t="n">
        <v>2933</v>
      </c>
    </row>
    <row r="18773">
      <c r="A18773" t="inlineStr">
        <is>
          <t>27BBBBB18773Z5</t>
        </is>
      </c>
      <c r="B18773" t="inlineStr">
        <is>
          <t>Dec-2022</t>
        </is>
      </c>
      <c r="C18773" s="2" t="n">
        <v>44479</v>
      </c>
      <c r="D18773" t="inlineStr">
        <is>
          <t>NIL</t>
        </is>
      </c>
      <c r="E18773" t="n">
        <v>1467</v>
      </c>
    </row>
    <row r="18774">
      <c r="A18774" t="inlineStr">
        <is>
          <t>27BBBBB18774Z5</t>
        </is>
      </c>
      <c r="B18774" t="inlineStr">
        <is>
          <t>Jul-2017</t>
        </is>
      </c>
      <c r="C18774" s="2" t="n">
        <v>44439</v>
      </c>
      <c r="D18774" t="inlineStr">
        <is>
          <t>NIL</t>
        </is>
      </c>
      <c r="E18774" t="n">
        <v>2857</v>
      </c>
    </row>
    <row r="18775">
      <c r="A18775" t="inlineStr">
        <is>
          <t>27BBBBB18775Z5</t>
        </is>
      </c>
      <c r="B18775" t="inlineStr">
        <is>
          <t>Jul-2017</t>
        </is>
      </c>
      <c r="C18775" s="2" t="n">
        <v>42938</v>
      </c>
      <c r="D18775" t="inlineStr">
        <is>
          <t>NON-NIL</t>
        </is>
      </c>
      <c r="E18775" t="n">
        <v>1675</v>
      </c>
    </row>
    <row r="18776">
      <c r="A18776" t="inlineStr">
        <is>
          <t>27BBBBB18776Z5</t>
        </is>
      </c>
      <c r="B18776" t="inlineStr">
        <is>
          <t>Jan-2018</t>
        </is>
      </c>
      <c r="C18776" s="2" t="n">
        <v>43756</v>
      </c>
      <c r="D18776" t="inlineStr">
        <is>
          <t>NON-NIL</t>
        </is>
      </c>
      <c r="E18776" t="n">
        <v>323</v>
      </c>
    </row>
    <row r="18777">
      <c r="A18777" t="inlineStr">
        <is>
          <t>27BBBBB18777Z5</t>
        </is>
      </c>
      <c r="B18777" t="inlineStr">
        <is>
          <t>Jun-2020</t>
        </is>
      </c>
      <c r="C18777" s="2" t="n">
        <v>44390</v>
      </c>
      <c r="D18777" t="inlineStr">
        <is>
          <t>NON-NIL</t>
        </is>
      </c>
      <c r="E18777" t="n">
        <v>2671</v>
      </c>
    </row>
    <row r="18778">
      <c r="A18778" t="inlineStr">
        <is>
          <t>27BBBBB18778Z5</t>
        </is>
      </c>
      <c r="B18778" t="inlineStr">
        <is>
          <t>Mar-2023</t>
        </is>
      </c>
      <c r="C18778" s="2" t="n">
        <v>45496</v>
      </c>
      <c r="D18778" t="inlineStr">
        <is>
          <t>NON-NIL</t>
        </is>
      </c>
      <c r="E18778" t="n">
        <v>934</v>
      </c>
    </row>
    <row r="18779">
      <c r="A18779" t="inlineStr">
        <is>
          <t>27BBBBB18779Z5</t>
        </is>
      </c>
      <c r="B18779" t="inlineStr">
        <is>
          <t>Dec-2017</t>
        </is>
      </c>
      <c r="C18779" s="2" t="n">
        <v>43019</v>
      </c>
      <c r="D18779" t="inlineStr">
        <is>
          <t>NON-NIL</t>
        </is>
      </c>
      <c r="E18779" t="n">
        <v>1872</v>
      </c>
    </row>
    <row r="18780">
      <c r="A18780" t="inlineStr">
        <is>
          <t>27BBBBB18780Z5</t>
        </is>
      </c>
      <c r="B18780" t="inlineStr">
        <is>
          <t>Oct-2018</t>
        </is>
      </c>
      <c r="C18780" s="2" t="n">
        <v>43116</v>
      </c>
      <c r="D18780" t="inlineStr">
        <is>
          <t>NON-NIL</t>
        </is>
      </c>
      <c r="E18780" t="n">
        <v>83</v>
      </c>
    </row>
    <row r="18781">
      <c r="A18781" t="inlineStr">
        <is>
          <t>27BBBBB18781Z5</t>
        </is>
      </c>
      <c r="B18781" t="inlineStr">
        <is>
          <t>Mar-2018</t>
        </is>
      </c>
      <c r="C18781" s="2" t="n">
        <v>44509</v>
      </c>
      <c r="D18781" t="inlineStr">
        <is>
          <t>NIL</t>
        </is>
      </c>
      <c r="E18781" t="n">
        <v>1710</v>
      </c>
    </row>
    <row r="18782">
      <c r="A18782" t="inlineStr">
        <is>
          <t>27BBBBB18782Z5</t>
        </is>
      </c>
      <c r="B18782" t="inlineStr">
        <is>
          <t>Jul-2020</t>
        </is>
      </c>
      <c r="C18782" s="2" t="n">
        <v>44109</v>
      </c>
      <c r="D18782" t="inlineStr">
        <is>
          <t>NON-NIL</t>
        </is>
      </c>
      <c r="E18782" t="n">
        <v>2483</v>
      </c>
    </row>
    <row r="18783">
      <c r="A18783" t="inlineStr">
        <is>
          <t>27BBBBB18783Z5</t>
        </is>
      </c>
      <c r="B18783" t="inlineStr">
        <is>
          <t>Nov-2017</t>
        </is>
      </c>
      <c r="C18783" s="2" t="n">
        <v>43257</v>
      </c>
      <c r="D18783" t="inlineStr">
        <is>
          <t>NIL</t>
        </is>
      </c>
      <c r="E18783" t="n">
        <v>2924</v>
      </c>
    </row>
    <row r="18784">
      <c r="A18784" t="inlineStr">
        <is>
          <t>27BBBBB18784Z5</t>
        </is>
      </c>
      <c r="B18784" t="inlineStr">
        <is>
          <t>May-2018</t>
        </is>
      </c>
      <c r="C18784" s="2" t="n">
        <v>43584</v>
      </c>
      <c r="D18784" t="inlineStr">
        <is>
          <t>NIL</t>
        </is>
      </c>
      <c r="E18784" t="n">
        <v>2497</v>
      </c>
    </row>
    <row r="18785">
      <c r="A18785" t="inlineStr">
        <is>
          <t>27BBBBB18785Z5</t>
        </is>
      </c>
      <c r="B18785" t="inlineStr">
        <is>
          <t>Nov-2018</t>
        </is>
      </c>
      <c r="C18785" s="2" t="n">
        <v>43374</v>
      </c>
      <c r="D18785" t="inlineStr">
        <is>
          <t>NIL</t>
        </is>
      </c>
      <c r="E18785" t="n">
        <v>2760</v>
      </c>
    </row>
    <row r="18786">
      <c r="A18786" t="inlineStr">
        <is>
          <t>27BBBBB18786Z5</t>
        </is>
      </c>
      <c r="B18786" t="inlineStr">
        <is>
          <t>Dec-2022</t>
        </is>
      </c>
      <c r="C18786" s="2" t="n">
        <v>44904</v>
      </c>
      <c r="D18786" t="inlineStr">
        <is>
          <t>NIL</t>
        </is>
      </c>
      <c r="E18786" t="n">
        <v>170</v>
      </c>
    </row>
    <row r="18787">
      <c r="A18787" t="inlineStr">
        <is>
          <t>27BBBBB18787Z5</t>
        </is>
      </c>
      <c r="B18787" t="inlineStr">
        <is>
          <t>Oct-2018</t>
        </is>
      </c>
      <c r="C18787" s="2" t="n">
        <v>44472</v>
      </c>
      <c r="D18787" t="inlineStr">
        <is>
          <t>NON-NIL</t>
        </is>
      </c>
      <c r="E18787" t="n">
        <v>2886</v>
      </c>
    </row>
    <row r="18788">
      <c r="A18788" t="inlineStr">
        <is>
          <t>27BBBBB18788Z5</t>
        </is>
      </c>
      <c r="B18788" t="inlineStr">
        <is>
          <t>Jul-2020</t>
        </is>
      </c>
      <c r="C18788" s="2" t="n">
        <v>44615</v>
      </c>
      <c r="D18788" t="inlineStr">
        <is>
          <t>NIL</t>
        </is>
      </c>
      <c r="E18788" t="n">
        <v>415</v>
      </c>
    </row>
    <row r="18789">
      <c r="A18789" t="inlineStr">
        <is>
          <t>27BBBBB18789Z5</t>
        </is>
      </c>
      <c r="B18789" t="inlineStr">
        <is>
          <t>Dec-2017</t>
        </is>
      </c>
      <c r="C18789" s="2" t="n">
        <v>42970</v>
      </c>
      <c r="D18789" t="inlineStr">
        <is>
          <t>NON-NIL</t>
        </is>
      </c>
      <c r="E18789" t="n">
        <v>748</v>
      </c>
    </row>
    <row r="18790">
      <c r="A18790" t="inlineStr">
        <is>
          <t>27BBBBB18790Z5</t>
        </is>
      </c>
      <c r="B18790" t="inlineStr">
        <is>
          <t>Jul-2018</t>
        </is>
      </c>
      <c r="C18790" s="2" t="n">
        <v>43255</v>
      </c>
      <c r="D18790" t="inlineStr">
        <is>
          <t>NON-NIL</t>
        </is>
      </c>
      <c r="E18790" t="n">
        <v>1867</v>
      </c>
    </row>
    <row r="18791">
      <c r="A18791" t="inlineStr">
        <is>
          <t>27BBBBB18791Z5</t>
        </is>
      </c>
      <c r="B18791" t="inlineStr">
        <is>
          <t>Feb-2018</t>
        </is>
      </c>
      <c r="C18791" s="2" t="n">
        <v>43833</v>
      </c>
      <c r="D18791" t="inlineStr">
        <is>
          <t>NON-NIL</t>
        </is>
      </c>
      <c r="E18791" t="n">
        <v>1607</v>
      </c>
    </row>
    <row r="18792">
      <c r="A18792" t="inlineStr">
        <is>
          <t>27BBBBB18792Z5</t>
        </is>
      </c>
      <c r="B18792" t="inlineStr">
        <is>
          <t>Nov-2018</t>
        </is>
      </c>
      <c r="C18792" s="2" t="n">
        <v>44341</v>
      </c>
      <c r="D18792" t="inlineStr">
        <is>
          <t>NON-NIL</t>
        </is>
      </c>
      <c r="E18792" t="n">
        <v>1678</v>
      </c>
    </row>
    <row r="18793">
      <c r="A18793" t="inlineStr">
        <is>
          <t>27BBBBB18793Z5</t>
        </is>
      </c>
      <c r="B18793" t="inlineStr">
        <is>
          <t>Apr-2020</t>
        </is>
      </c>
      <c r="C18793" s="2" t="n">
        <v>44656</v>
      </c>
      <c r="D18793" t="inlineStr">
        <is>
          <t>NIL</t>
        </is>
      </c>
      <c r="E18793" t="n">
        <v>1466</v>
      </c>
    </row>
    <row r="18794">
      <c r="A18794" t="inlineStr">
        <is>
          <t>27BBBBB18794Z5</t>
        </is>
      </c>
      <c r="B18794" t="inlineStr">
        <is>
          <t>Sep-2017</t>
        </is>
      </c>
      <c r="C18794" s="2" t="n">
        <v>44379</v>
      </c>
      <c r="D18794" t="inlineStr">
        <is>
          <t>NIL</t>
        </is>
      </c>
      <c r="E18794" t="n">
        <v>258</v>
      </c>
    </row>
    <row r="18795">
      <c r="A18795" t="inlineStr">
        <is>
          <t>27BBBBB18795Z5</t>
        </is>
      </c>
      <c r="B18795" t="inlineStr">
        <is>
          <t>Nov-2018</t>
        </is>
      </c>
      <c r="C18795" s="2" t="n">
        <v>44236</v>
      </c>
      <c r="D18795" t="inlineStr">
        <is>
          <t>NIL</t>
        </is>
      </c>
      <c r="E18795" t="n">
        <v>596</v>
      </c>
    </row>
    <row r="18796">
      <c r="A18796" t="inlineStr">
        <is>
          <t>27BBBBB18796Z5</t>
        </is>
      </c>
      <c r="B18796" t="inlineStr">
        <is>
          <t>Apr-2018</t>
        </is>
      </c>
      <c r="C18796" s="2" t="n">
        <v>42920</v>
      </c>
      <c r="D18796" t="inlineStr">
        <is>
          <t>NON-NIL</t>
        </is>
      </c>
      <c r="E18796" t="n">
        <v>2684</v>
      </c>
    </row>
    <row r="18797">
      <c r="A18797" t="inlineStr">
        <is>
          <t>27BBBBB18797Z5</t>
        </is>
      </c>
      <c r="B18797" t="inlineStr">
        <is>
          <t>Jun-2020</t>
        </is>
      </c>
      <c r="C18797" s="2" t="n">
        <v>43988</v>
      </c>
      <c r="D18797" t="inlineStr">
        <is>
          <t>NON-NIL</t>
        </is>
      </c>
      <c r="E18797" t="n">
        <v>654</v>
      </c>
    </row>
    <row r="18798">
      <c r="A18798" t="inlineStr">
        <is>
          <t>27BBBBB18798Z5</t>
        </is>
      </c>
      <c r="B18798" t="inlineStr">
        <is>
          <t>Jun-2020</t>
        </is>
      </c>
      <c r="C18798" s="2" t="n">
        <v>44414</v>
      </c>
      <c r="D18798" t="inlineStr">
        <is>
          <t>NIL</t>
        </is>
      </c>
      <c r="E18798" t="n">
        <v>606</v>
      </c>
    </row>
    <row r="18799">
      <c r="A18799" t="inlineStr">
        <is>
          <t>27BBBBB18799Z5</t>
        </is>
      </c>
      <c r="B18799" t="inlineStr">
        <is>
          <t>Sep-2018</t>
        </is>
      </c>
      <c r="C18799" s="2" t="n">
        <v>44467</v>
      </c>
      <c r="D18799" t="inlineStr">
        <is>
          <t>NIL</t>
        </is>
      </c>
      <c r="E18799" t="n">
        <v>2437</v>
      </c>
    </row>
    <row r="18800">
      <c r="A18800" t="inlineStr">
        <is>
          <t>27BBBBB18800Z5</t>
        </is>
      </c>
      <c r="B18800" t="inlineStr">
        <is>
          <t>Jun-2018</t>
        </is>
      </c>
      <c r="C18800" s="2" t="n">
        <v>44157</v>
      </c>
      <c r="D18800" t="inlineStr">
        <is>
          <t>NIL</t>
        </is>
      </c>
      <c r="E18800" t="n">
        <v>514</v>
      </c>
    </row>
    <row r="18801">
      <c r="A18801" t="inlineStr">
        <is>
          <t>27BBBBB18801Z5</t>
        </is>
      </c>
      <c r="B18801" t="inlineStr">
        <is>
          <t>Dec-2018</t>
        </is>
      </c>
      <c r="C18801" s="2" t="n">
        <v>43165</v>
      </c>
      <c r="D18801" t="inlineStr">
        <is>
          <t>NIL</t>
        </is>
      </c>
      <c r="E18801" t="n">
        <v>1107</v>
      </c>
    </row>
    <row r="18802">
      <c r="A18802" t="inlineStr">
        <is>
          <t>27BBBBB18802Z5</t>
        </is>
      </c>
      <c r="B18802" t="inlineStr">
        <is>
          <t>Jul-2018</t>
        </is>
      </c>
      <c r="C18802" s="2" t="n">
        <v>43759</v>
      </c>
      <c r="D18802" t="inlineStr">
        <is>
          <t>NIL</t>
        </is>
      </c>
      <c r="E18802" t="n">
        <v>626</v>
      </c>
    </row>
    <row r="18803">
      <c r="A18803" t="inlineStr">
        <is>
          <t>27BBBBB18803Z5</t>
        </is>
      </c>
      <c r="B18803" t="inlineStr">
        <is>
          <t>Jan-2021</t>
        </is>
      </c>
      <c r="C18803" s="2" t="n">
        <v>45541</v>
      </c>
      <c r="D18803" t="inlineStr">
        <is>
          <t>NON-NIL</t>
        </is>
      </c>
      <c r="E18803" t="n">
        <v>2377</v>
      </c>
    </row>
    <row r="18804">
      <c r="A18804" t="inlineStr">
        <is>
          <t>27BBBBB18804Z5</t>
        </is>
      </c>
      <c r="B18804" t="inlineStr">
        <is>
          <t>Jul-2017</t>
        </is>
      </c>
      <c r="C18804" s="2" t="n">
        <v>43215</v>
      </c>
      <c r="D18804" t="inlineStr">
        <is>
          <t>NIL</t>
        </is>
      </c>
      <c r="E18804" t="n">
        <v>500</v>
      </c>
    </row>
    <row r="18805">
      <c r="A18805" t="inlineStr">
        <is>
          <t>27BBBBB18805Z5</t>
        </is>
      </c>
      <c r="B18805" t="inlineStr">
        <is>
          <t>Mar-2018</t>
        </is>
      </c>
      <c r="C18805" s="2" t="n">
        <v>44090</v>
      </c>
      <c r="D18805" t="inlineStr">
        <is>
          <t>NON-NIL</t>
        </is>
      </c>
      <c r="E18805" t="n">
        <v>394</v>
      </c>
    </row>
    <row r="18806">
      <c r="A18806" t="inlineStr">
        <is>
          <t>27BBBBB18806Z5</t>
        </is>
      </c>
      <c r="B18806" t="inlineStr">
        <is>
          <t>Jul-2020</t>
        </is>
      </c>
      <c r="C18806" s="2" t="n">
        <v>44775</v>
      </c>
      <c r="D18806" t="inlineStr">
        <is>
          <t>NON-NIL</t>
        </is>
      </c>
      <c r="E18806" t="n">
        <v>1463</v>
      </c>
    </row>
    <row r="18807">
      <c r="A18807" t="inlineStr">
        <is>
          <t>27BBBBB18807Z5</t>
        </is>
      </c>
      <c r="B18807" t="inlineStr">
        <is>
          <t>Jul-2020</t>
        </is>
      </c>
      <c r="C18807" s="2" t="n">
        <v>44624</v>
      </c>
      <c r="D18807" t="inlineStr">
        <is>
          <t>NON-NIL</t>
        </is>
      </c>
      <c r="E18807" t="n">
        <v>1938</v>
      </c>
    </row>
    <row r="18808">
      <c r="A18808" t="inlineStr">
        <is>
          <t>27BBBBB18808Z5</t>
        </is>
      </c>
      <c r="B18808" t="inlineStr">
        <is>
          <t>Jul-2020</t>
        </is>
      </c>
      <c r="C18808" s="2" t="n">
        <v>43890</v>
      </c>
      <c r="D18808" t="inlineStr">
        <is>
          <t>NIL</t>
        </is>
      </c>
      <c r="E18808" t="n">
        <v>977</v>
      </c>
    </row>
    <row r="18809">
      <c r="A18809" t="inlineStr">
        <is>
          <t>27BBBBB18809Z5</t>
        </is>
      </c>
      <c r="B18809" t="inlineStr">
        <is>
          <t>Sep-2017</t>
        </is>
      </c>
      <c r="C18809" s="2" t="n">
        <v>43730</v>
      </c>
      <c r="D18809" t="inlineStr">
        <is>
          <t>NIL</t>
        </is>
      </c>
      <c r="E18809" t="n">
        <v>2213</v>
      </c>
    </row>
    <row r="18810">
      <c r="A18810" t="inlineStr">
        <is>
          <t>27BBBBB18810Z5</t>
        </is>
      </c>
      <c r="B18810" t="inlineStr">
        <is>
          <t>Feb-2018</t>
        </is>
      </c>
      <c r="C18810" s="2" t="n">
        <v>44297</v>
      </c>
      <c r="D18810" t="inlineStr">
        <is>
          <t>NIL</t>
        </is>
      </c>
      <c r="E18810" t="n">
        <v>2548</v>
      </c>
    </row>
    <row r="18811">
      <c r="A18811" t="inlineStr">
        <is>
          <t>27BBBBB18811Z5</t>
        </is>
      </c>
      <c r="B18811" t="inlineStr">
        <is>
          <t>Dec-2018</t>
        </is>
      </c>
      <c r="C18811" s="2" t="n">
        <v>44261</v>
      </c>
      <c r="D18811" t="inlineStr">
        <is>
          <t>NIL</t>
        </is>
      </c>
      <c r="E18811" t="n">
        <v>439</v>
      </c>
    </row>
    <row r="18812">
      <c r="A18812" t="inlineStr">
        <is>
          <t>27BBBBB18812Z5</t>
        </is>
      </c>
      <c r="B18812" t="inlineStr">
        <is>
          <t>Jul-2020</t>
        </is>
      </c>
      <c r="C18812" s="2" t="n">
        <v>44188</v>
      </c>
      <c r="D18812" t="inlineStr">
        <is>
          <t>NIL</t>
        </is>
      </c>
      <c r="E18812" t="n">
        <v>1382</v>
      </c>
    </row>
    <row r="18813">
      <c r="A18813" t="inlineStr">
        <is>
          <t>27BBBBB18813Z5</t>
        </is>
      </c>
      <c r="B18813" t="inlineStr">
        <is>
          <t>Mar-2021</t>
        </is>
      </c>
      <c r="C18813" s="2" t="n">
        <v>45725</v>
      </c>
      <c r="D18813" t="inlineStr">
        <is>
          <t>NON-NIL</t>
        </is>
      </c>
      <c r="E18813" t="n">
        <v>556</v>
      </c>
    </row>
    <row r="18814">
      <c r="A18814" t="inlineStr">
        <is>
          <t>27BBBBB18814Z5</t>
        </is>
      </c>
      <c r="B18814" t="inlineStr">
        <is>
          <t>Mar-2021</t>
        </is>
      </c>
      <c r="C18814" s="2" t="n">
        <v>43664</v>
      </c>
      <c r="D18814" t="inlineStr">
        <is>
          <t>NIL</t>
        </is>
      </c>
      <c r="E18814" t="n">
        <v>283</v>
      </c>
    </row>
    <row r="18815">
      <c r="A18815" t="inlineStr">
        <is>
          <t>27BBBBB18815Z5</t>
        </is>
      </c>
      <c r="B18815" t="inlineStr">
        <is>
          <t>Mar-2020</t>
        </is>
      </c>
      <c r="C18815" s="2" t="n">
        <v>44776</v>
      </c>
      <c r="D18815" t="inlineStr">
        <is>
          <t>NON-NIL</t>
        </is>
      </c>
      <c r="E18815" t="n">
        <v>1387</v>
      </c>
    </row>
    <row r="18816">
      <c r="A18816" t="inlineStr">
        <is>
          <t>27BBBBB18816Z5</t>
        </is>
      </c>
      <c r="B18816" t="inlineStr">
        <is>
          <t>Jul-2017</t>
        </is>
      </c>
      <c r="C18816" s="2" t="n">
        <v>43921</v>
      </c>
      <c r="D18816" t="inlineStr">
        <is>
          <t>NON-NIL</t>
        </is>
      </c>
      <c r="E18816" t="n">
        <v>2252</v>
      </c>
    </row>
    <row r="18817">
      <c r="A18817" t="inlineStr">
        <is>
          <t>27BBBBB18817Z5</t>
        </is>
      </c>
      <c r="B18817" t="inlineStr">
        <is>
          <t>Mar-2021</t>
        </is>
      </c>
      <c r="C18817" s="2" t="n">
        <v>43544</v>
      </c>
      <c r="D18817" t="inlineStr">
        <is>
          <t>NON-NIL</t>
        </is>
      </c>
      <c r="E18817" t="n">
        <v>2476</v>
      </c>
    </row>
    <row r="18818">
      <c r="A18818" t="inlineStr">
        <is>
          <t>27BBBBB18818Z5</t>
        </is>
      </c>
      <c r="B18818" t="inlineStr">
        <is>
          <t>Jun-2020</t>
        </is>
      </c>
      <c r="C18818" s="2" t="n">
        <v>44822</v>
      </c>
      <c r="D18818" t="inlineStr">
        <is>
          <t>NIL</t>
        </is>
      </c>
      <c r="E18818" t="n">
        <v>1503</v>
      </c>
    </row>
    <row r="18819">
      <c r="A18819" t="inlineStr">
        <is>
          <t>27BBBBB18819Z5</t>
        </is>
      </c>
      <c r="B18819" t="inlineStr">
        <is>
          <t>Mar-2023</t>
        </is>
      </c>
      <c r="C18819" s="2" t="n">
        <v>45755</v>
      </c>
      <c r="D18819" t="inlineStr">
        <is>
          <t>NIL</t>
        </is>
      </c>
      <c r="E18819" t="n">
        <v>2886</v>
      </c>
    </row>
    <row r="18820">
      <c r="A18820" t="inlineStr">
        <is>
          <t>27BBBBB18820Z5</t>
        </is>
      </c>
      <c r="B18820" t="inlineStr">
        <is>
          <t>Mar-2018</t>
        </is>
      </c>
      <c r="C18820" s="2" t="n">
        <v>44228</v>
      </c>
      <c r="D18820" t="inlineStr">
        <is>
          <t>NON-NIL</t>
        </is>
      </c>
      <c r="E18820" t="n">
        <v>2640</v>
      </c>
    </row>
    <row r="18821">
      <c r="A18821" t="inlineStr">
        <is>
          <t>27BBBBB18821Z5</t>
        </is>
      </c>
      <c r="B18821" t="inlineStr">
        <is>
          <t>Oct-2017</t>
        </is>
      </c>
      <c r="C18821" s="2" t="n">
        <v>43807</v>
      </c>
      <c r="D18821" t="inlineStr">
        <is>
          <t>NON-NIL</t>
        </is>
      </c>
      <c r="E18821" t="n">
        <v>543</v>
      </c>
    </row>
    <row r="18822">
      <c r="A18822" t="inlineStr">
        <is>
          <t>27BBBBB18822Z5</t>
        </is>
      </c>
      <c r="B18822" t="inlineStr">
        <is>
          <t>Mar-2020</t>
        </is>
      </c>
      <c r="C18822" s="2" t="n">
        <v>44861</v>
      </c>
      <c r="D18822" t="inlineStr">
        <is>
          <t>NIL</t>
        </is>
      </c>
      <c r="E18822" t="n">
        <v>928</v>
      </c>
    </row>
    <row r="18823">
      <c r="A18823" t="inlineStr">
        <is>
          <t>27BBBBB18823Z5</t>
        </is>
      </c>
      <c r="B18823" t="inlineStr">
        <is>
          <t>Jan-2021</t>
        </is>
      </c>
      <c r="C18823" s="2" t="n">
        <v>44568</v>
      </c>
      <c r="D18823" t="inlineStr">
        <is>
          <t>NIL</t>
        </is>
      </c>
      <c r="E18823" t="n">
        <v>1368</v>
      </c>
    </row>
    <row r="18824">
      <c r="A18824" t="inlineStr">
        <is>
          <t>27BBBBB18824Z5</t>
        </is>
      </c>
      <c r="B18824" t="inlineStr">
        <is>
          <t>Feb-2018</t>
        </is>
      </c>
      <c r="C18824" s="2" t="n">
        <v>43638</v>
      </c>
      <c r="D18824" t="inlineStr">
        <is>
          <t>NON-NIL</t>
        </is>
      </c>
      <c r="E18824" t="n">
        <v>743</v>
      </c>
    </row>
    <row r="18825">
      <c r="A18825" t="inlineStr">
        <is>
          <t>27BBBBB18825Z5</t>
        </is>
      </c>
      <c r="B18825" t="inlineStr">
        <is>
          <t>Nov-2017</t>
        </is>
      </c>
      <c r="C18825" s="2" t="n">
        <v>43578</v>
      </c>
      <c r="D18825" t="inlineStr">
        <is>
          <t>NON-NIL</t>
        </is>
      </c>
      <c r="E18825" t="n">
        <v>1176</v>
      </c>
    </row>
    <row r="18826">
      <c r="A18826" t="inlineStr">
        <is>
          <t>27BBBBB18826Z5</t>
        </is>
      </c>
      <c r="B18826" t="inlineStr">
        <is>
          <t>Nov-2017</t>
        </is>
      </c>
      <c r="C18826" s="2" t="n">
        <v>43326</v>
      </c>
      <c r="D18826" t="inlineStr">
        <is>
          <t>NON-NIL</t>
        </is>
      </c>
      <c r="E18826" t="n">
        <v>1820</v>
      </c>
    </row>
    <row r="18827">
      <c r="A18827" t="inlineStr">
        <is>
          <t>27BBBBB18827Z5</t>
        </is>
      </c>
      <c r="B18827" t="inlineStr">
        <is>
          <t>Jun-2018</t>
        </is>
      </c>
      <c r="C18827" s="2" t="n">
        <v>44559</v>
      </c>
      <c r="D18827" t="inlineStr">
        <is>
          <t>NIL</t>
        </is>
      </c>
      <c r="E18827" t="n">
        <v>1452</v>
      </c>
    </row>
    <row r="18828">
      <c r="A18828" t="inlineStr">
        <is>
          <t>27BBBBB18828Z5</t>
        </is>
      </c>
      <c r="B18828" t="inlineStr">
        <is>
          <t>May-2018</t>
        </is>
      </c>
      <c r="C18828" s="2" t="n">
        <v>43261</v>
      </c>
      <c r="D18828" t="inlineStr">
        <is>
          <t>NIL</t>
        </is>
      </c>
      <c r="E18828" t="n">
        <v>2657</v>
      </c>
    </row>
    <row r="18829">
      <c r="A18829" t="inlineStr">
        <is>
          <t>27BBBBB18829Z5</t>
        </is>
      </c>
      <c r="B18829" t="inlineStr">
        <is>
          <t>Jun-2020</t>
        </is>
      </c>
      <c r="C18829" s="2" t="n">
        <v>44352</v>
      </c>
      <c r="D18829" t="inlineStr">
        <is>
          <t>NIL</t>
        </is>
      </c>
      <c r="E18829" t="n">
        <v>2383</v>
      </c>
    </row>
    <row r="18830">
      <c r="A18830" t="inlineStr">
        <is>
          <t>27BBBBB18830Z5</t>
        </is>
      </c>
      <c r="B18830" t="inlineStr">
        <is>
          <t>Dec-2022</t>
        </is>
      </c>
      <c r="C18830" s="2" t="n">
        <v>45329</v>
      </c>
      <c r="D18830" t="inlineStr">
        <is>
          <t>NON-NIL</t>
        </is>
      </c>
      <c r="E18830" t="n">
        <v>1297</v>
      </c>
    </row>
    <row r="18831">
      <c r="A18831" t="inlineStr">
        <is>
          <t>27BBBBB18831Z5</t>
        </is>
      </c>
      <c r="B18831" t="inlineStr">
        <is>
          <t>Sep-2018</t>
        </is>
      </c>
      <c r="C18831" s="2" t="n">
        <v>43774</v>
      </c>
      <c r="D18831" t="inlineStr">
        <is>
          <t>NIL</t>
        </is>
      </c>
      <c r="E18831" t="n">
        <v>453</v>
      </c>
    </row>
    <row r="18832">
      <c r="A18832" t="inlineStr">
        <is>
          <t>27BBBBB18832Z5</t>
        </is>
      </c>
      <c r="B18832" t="inlineStr">
        <is>
          <t>Sep-2017</t>
        </is>
      </c>
      <c r="C18832" s="2" t="n">
        <v>44255</v>
      </c>
      <c r="D18832" t="inlineStr">
        <is>
          <t>NIL</t>
        </is>
      </c>
      <c r="E18832" t="n">
        <v>2058</v>
      </c>
    </row>
    <row r="18833">
      <c r="A18833" t="inlineStr">
        <is>
          <t>27BBBBB18833Z5</t>
        </is>
      </c>
      <c r="B18833" t="inlineStr">
        <is>
          <t>Jun-2018</t>
        </is>
      </c>
      <c r="C18833" s="2" t="n">
        <v>43224</v>
      </c>
      <c r="D18833" t="inlineStr">
        <is>
          <t>NIL</t>
        </is>
      </c>
      <c r="E18833" t="n">
        <v>2343</v>
      </c>
    </row>
    <row r="18834">
      <c r="A18834" t="inlineStr">
        <is>
          <t>27BBBBB18834Z5</t>
        </is>
      </c>
      <c r="B18834" t="inlineStr">
        <is>
          <t>Jan-2021</t>
        </is>
      </c>
      <c r="C18834" s="2" t="n">
        <v>44639</v>
      </c>
      <c r="D18834" t="inlineStr">
        <is>
          <t>NON-NIL</t>
        </is>
      </c>
      <c r="E18834" t="n">
        <v>2607</v>
      </c>
    </row>
    <row r="18835">
      <c r="A18835" t="inlineStr">
        <is>
          <t>27BBBBB18835Z5</t>
        </is>
      </c>
      <c r="B18835" t="inlineStr">
        <is>
          <t>May-2018</t>
        </is>
      </c>
      <c r="C18835" s="2" t="n">
        <v>44148</v>
      </c>
      <c r="D18835" t="inlineStr">
        <is>
          <t>NON-NIL</t>
        </is>
      </c>
      <c r="E18835" t="n">
        <v>22</v>
      </c>
    </row>
    <row r="18836">
      <c r="A18836" t="inlineStr">
        <is>
          <t>27BBBBB18836Z5</t>
        </is>
      </c>
      <c r="B18836" t="inlineStr">
        <is>
          <t>Nov-2017</t>
        </is>
      </c>
      <c r="C18836" s="2" t="n">
        <v>44419</v>
      </c>
      <c r="D18836" t="inlineStr">
        <is>
          <t>NIL</t>
        </is>
      </c>
      <c r="E18836" t="n">
        <v>2965</v>
      </c>
    </row>
    <row r="18837">
      <c r="A18837" t="inlineStr">
        <is>
          <t>27BBBBB18837Z5</t>
        </is>
      </c>
      <c r="B18837" t="inlineStr">
        <is>
          <t>Jul-2018</t>
        </is>
      </c>
      <c r="C18837" s="2" t="n">
        <v>43063</v>
      </c>
      <c r="D18837" t="inlineStr">
        <is>
          <t>NON-NIL</t>
        </is>
      </c>
      <c r="E18837" t="n">
        <v>2560</v>
      </c>
    </row>
    <row r="18838">
      <c r="A18838" t="inlineStr">
        <is>
          <t>27BBBBB18838Z5</t>
        </is>
      </c>
      <c r="B18838" t="inlineStr">
        <is>
          <t>Feb-2018</t>
        </is>
      </c>
      <c r="C18838" s="2" t="n">
        <v>44378</v>
      </c>
      <c r="D18838" t="inlineStr">
        <is>
          <t>NON-NIL</t>
        </is>
      </c>
      <c r="E18838" t="n">
        <v>94</v>
      </c>
    </row>
    <row r="18839">
      <c r="A18839" t="inlineStr">
        <is>
          <t>27BBBBB18839Z5</t>
        </is>
      </c>
      <c r="B18839" t="inlineStr">
        <is>
          <t>Mar-2020</t>
        </is>
      </c>
      <c r="C18839" s="2" t="n">
        <v>44033</v>
      </c>
      <c r="D18839" t="inlineStr">
        <is>
          <t>NIL</t>
        </is>
      </c>
      <c r="E18839" t="n">
        <v>1517</v>
      </c>
    </row>
    <row r="18840">
      <c r="A18840" t="inlineStr">
        <is>
          <t>27BBBBB18840Z5</t>
        </is>
      </c>
      <c r="B18840" t="inlineStr">
        <is>
          <t>Jul-2018</t>
        </is>
      </c>
      <c r="C18840" s="2" t="n">
        <v>44132</v>
      </c>
      <c r="D18840" t="inlineStr">
        <is>
          <t>NON-NIL</t>
        </is>
      </c>
      <c r="E18840" t="n">
        <v>601</v>
      </c>
    </row>
    <row r="18841">
      <c r="A18841" t="inlineStr">
        <is>
          <t>27BBBBB18841Z5</t>
        </is>
      </c>
      <c r="B18841" t="inlineStr">
        <is>
          <t>Dec-2024</t>
        </is>
      </c>
      <c r="C18841" s="2" t="n">
        <v>44753</v>
      </c>
      <c r="D18841" t="inlineStr">
        <is>
          <t>NON-NIL</t>
        </is>
      </c>
      <c r="E18841" t="n">
        <v>872</v>
      </c>
    </row>
    <row r="18842">
      <c r="A18842" t="inlineStr">
        <is>
          <t>27BBBBB18842Z5</t>
        </is>
      </c>
      <c r="B18842" t="inlineStr">
        <is>
          <t>Jun-2020</t>
        </is>
      </c>
      <c r="C18842" s="2" t="n">
        <v>43991</v>
      </c>
      <c r="D18842" t="inlineStr">
        <is>
          <t>NON-NIL</t>
        </is>
      </c>
      <c r="E18842" t="n">
        <v>1689</v>
      </c>
    </row>
    <row r="18843">
      <c r="A18843" t="inlineStr">
        <is>
          <t>27BBBBB18843Z5</t>
        </is>
      </c>
      <c r="B18843" t="inlineStr">
        <is>
          <t>Oct-2017</t>
        </is>
      </c>
      <c r="C18843" s="2" t="n">
        <v>44532</v>
      </c>
      <c r="D18843" t="inlineStr">
        <is>
          <t>NON-NIL</t>
        </is>
      </c>
      <c r="E18843" t="n">
        <v>2018</v>
      </c>
    </row>
    <row r="18844">
      <c r="A18844" t="inlineStr">
        <is>
          <t>27BBBBB18844Z5</t>
        </is>
      </c>
      <c r="B18844" t="inlineStr">
        <is>
          <t>Apr-2018</t>
        </is>
      </c>
      <c r="C18844" s="2" t="n">
        <v>43099</v>
      </c>
      <c r="D18844" t="inlineStr">
        <is>
          <t>NON-NIL</t>
        </is>
      </c>
      <c r="E18844" t="n">
        <v>2125</v>
      </c>
    </row>
    <row r="18845">
      <c r="A18845" t="inlineStr">
        <is>
          <t>27BBBBB18845Z5</t>
        </is>
      </c>
      <c r="B18845" t="inlineStr">
        <is>
          <t>Feb-2018</t>
        </is>
      </c>
      <c r="C18845" s="2" t="n">
        <v>43120</v>
      </c>
      <c r="D18845" t="inlineStr">
        <is>
          <t>NON-NIL</t>
        </is>
      </c>
      <c r="E18845" t="n">
        <v>1885</v>
      </c>
    </row>
    <row r="18846">
      <c r="A18846" t="inlineStr">
        <is>
          <t>27BBBBB18846Z5</t>
        </is>
      </c>
      <c r="B18846" t="inlineStr">
        <is>
          <t>Mar-2023</t>
        </is>
      </c>
      <c r="C18846" s="2" t="n">
        <v>45532</v>
      </c>
      <c r="D18846" t="inlineStr">
        <is>
          <t>NIL</t>
        </is>
      </c>
      <c r="E18846" t="n">
        <v>2932</v>
      </c>
    </row>
    <row r="18847">
      <c r="A18847" t="inlineStr">
        <is>
          <t>27BBBBB18847Z5</t>
        </is>
      </c>
      <c r="B18847" t="inlineStr">
        <is>
          <t>Jun-2018</t>
        </is>
      </c>
      <c r="C18847" s="2" t="n">
        <v>44420</v>
      </c>
      <c r="D18847" t="inlineStr">
        <is>
          <t>NIL</t>
        </is>
      </c>
      <c r="E18847" t="n">
        <v>1706</v>
      </c>
    </row>
    <row r="18848">
      <c r="A18848" t="inlineStr">
        <is>
          <t>27BBBBB18848Z5</t>
        </is>
      </c>
      <c r="B18848" t="inlineStr">
        <is>
          <t>Aug-2017</t>
        </is>
      </c>
      <c r="C18848" s="2" t="n">
        <v>43727</v>
      </c>
      <c r="D18848" t="inlineStr">
        <is>
          <t>NON-NIL</t>
        </is>
      </c>
      <c r="E18848" t="n">
        <v>1034</v>
      </c>
    </row>
    <row r="18849">
      <c r="A18849" t="inlineStr">
        <is>
          <t>27BBBBB18849Z5</t>
        </is>
      </c>
      <c r="B18849" t="inlineStr">
        <is>
          <t>Apr-2020</t>
        </is>
      </c>
      <c r="C18849" s="2" t="n">
        <v>43901</v>
      </c>
      <c r="D18849" t="inlineStr">
        <is>
          <t>NIL</t>
        </is>
      </c>
      <c r="E18849" t="n">
        <v>916</v>
      </c>
    </row>
    <row r="18850">
      <c r="A18850" t="inlineStr">
        <is>
          <t>27BBBBB18850Z5</t>
        </is>
      </c>
      <c r="B18850" t="inlineStr">
        <is>
          <t>Dec-2022</t>
        </is>
      </c>
      <c r="C18850" s="2" t="n">
        <v>45721</v>
      </c>
      <c r="D18850" t="inlineStr">
        <is>
          <t>NIL</t>
        </is>
      </c>
      <c r="E18850" t="n">
        <v>171</v>
      </c>
    </row>
    <row r="18851">
      <c r="A18851" t="inlineStr">
        <is>
          <t>27BBBBB18851Z5</t>
        </is>
      </c>
      <c r="B18851" t="inlineStr">
        <is>
          <t>Sep-2018</t>
        </is>
      </c>
      <c r="C18851" s="2" t="n">
        <v>44195</v>
      </c>
      <c r="D18851" t="inlineStr">
        <is>
          <t>NON-NIL</t>
        </is>
      </c>
      <c r="E18851" t="n">
        <v>1064</v>
      </c>
    </row>
    <row r="18852">
      <c r="A18852" t="inlineStr">
        <is>
          <t>27BBBBB18852Z5</t>
        </is>
      </c>
      <c r="B18852" t="inlineStr">
        <is>
          <t>Jul-2018</t>
        </is>
      </c>
      <c r="C18852" s="2" t="n">
        <v>43831</v>
      </c>
      <c r="D18852" t="inlineStr">
        <is>
          <t>NON-NIL</t>
        </is>
      </c>
      <c r="E18852" t="n">
        <v>2845</v>
      </c>
    </row>
    <row r="18853">
      <c r="A18853" t="inlineStr">
        <is>
          <t>27BBBBB18853Z5</t>
        </is>
      </c>
      <c r="B18853" t="inlineStr">
        <is>
          <t>Apr-2020</t>
        </is>
      </c>
      <c r="C18853" s="2" t="n">
        <v>44724</v>
      </c>
      <c r="D18853" t="inlineStr">
        <is>
          <t>NIL</t>
        </is>
      </c>
      <c r="E18853" t="n">
        <v>1247</v>
      </c>
    </row>
    <row r="18854">
      <c r="A18854" t="inlineStr">
        <is>
          <t>27BBBBB18854Z5</t>
        </is>
      </c>
      <c r="B18854" t="inlineStr">
        <is>
          <t>Mar-2023</t>
        </is>
      </c>
      <c r="C18854" s="2" t="n">
        <v>45481</v>
      </c>
      <c r="D18854" t="inlineStr">
        <is>
          <t>NON-NIL</t>
        </is>
      </c>
      <c r="E18854" t="n">
        <v>2213</v>
      </c>
    </row>
    <row r="18855">
      <c r="A18855" t="inlineStr">
        <is>
          <t>27BBBBB18855Z5</t>
        </is>
      </c>
      <c r="B18855" t="inlineStr">
        <is>
          <t>Dec-2024</t>
        </is>
      </c>
      <c r="C18855" s="2" t="n">
        <v>43830</v>
      </c>
      <c r="D18855" t="inlineStr">
        <is>
          <t>NON-NIL</t>
        </is>
      </c>
      <c r="E18855" t="n">
        <v>1772</v>
      </c>
    </row>
    <row r="18856">
      <c r="A18856" t="inlineStr">
        <is>
          <t>27BBBBB18856Z5</t>
        </is>
      </c>
      <c r="B18856" t="inlineStr">
        <is>
          <t>Mar-2021</t>
        </is>
      </c>
      <c r="C18856" s="2" t="n">
        <v>45828</v>
      </c>
      <c r="D18856" t="inlineStr">
        <is>
          <t>NIL</t>
        </is>
      </c>
      <c r="E18856" t="n">
        <v>632</v>
      </c>
    </row>
    <row r="18857">
      <c r="A18857" t="inlineStr">
        <is>
          <t>27BBBBB18857Z5</t>
        </is>
      </c>
      <c r="B18857" t="inlineStr">
        <is>
          <t>Feb-2018</t>
        </is>
      </c>
      <c r="C18857" s="2" t="n">
        <v>43424</v>
      </c>
      <c r="D18857" t="inlineStr">
        <is>
          <t>NIL</t>
        </is>
      </c>
      <c r="E18857" t="n">
        <v>1412</v>
      </c>
    </row>
    <row r="18858">
      <c r="A18858" t="inlineStr">
        <is>
          <t>27BBBBB18858Z5</t>
        </is>
      </c>
      <c r="B18858" t="inlineStr">
        <is>
          <t>Dec-2017</t>
        </is>
      </c>
      <c r="C18858" s="2" t="n">
        <v>43077</v>
      </c>
      <c r="D18858" t="inlineStr">
        <is>
          <t>NON-NIL</t>
        </is>
      </c>
      <c r="E18858" t="n">
        <v>2304</v>
      </c>
    </row>
    <row r="18859">
      <c r="A18859" t="inlineStr">
        <is>
          <t>27BBBBB18859Z5</t>
        </is>
      </c>
      <c r="B18859" t="inlineStr">
        <is>
          <t>Mar-2021</t>
        </is>
      </c>
      <c r="C18859" s="2" t="n">
        <v>44958</v>
      </c>
      <c r="D18859" t="inlineStr">
        <is>
          <t>NIL</t>
        </is>
      </c>
      <c r="E18859" t="n">
        <v>2945</v>
      </c>
    </row>
    <row r="18860">
      <c r="A18860" t="inlineStr">
        <is>
          <t>27BBBBB18860Z5</t>
        </is>
      </c>
      <c r="B18860" t="inlineStr">
        <is>
          <t>Nov-2017</t>
        </is>
      </c>
      <c r="C18860" s="2" t="n">
        <v>43202</v>
      </c>
      <c r="D18860" t="inlineStr">
        <is>
          <t>NIL</t>
        </is>
      </c>
      <c r="E18860" t="n">
        <v>1909</v>
      </c>
    </row>
    <row r="18861">
      <c r="A18861" t="inlineStr">
        <is>
          <t>27BBBBB18861Z5</t>
        </is>
      </c>
      <c r="B18861" t="inlineStr">
        <is>
          <t>May-2020</t>
        </is>
      </c>
      <c r="C18861" s="2" t="n">
        <v>44819</v>
      </c>
      <c r="D18861" t="inlineStr">
        <is>
          <t>NON-NIL</t>
        </is>
      </c>
      <c r="E18861" t="n">
        <v>2998</v>
      </c>
    </row>
    <row r="18862">
      <c r="A18862" t="inlineStr">
        <is>
          <t>27BBBBB18862Z5</t>
        </is>
      </c>
      <c r="B18862" t="inlineStr">
        <is>
          <t>Apr-2018</t>
        </is>
      </c>
      <c r="C18862" s="2" t="n">
        <v>44474</v>
      </c>
      <c r="D18862" t="inlineStr">
        <is>
          <t>NIL</t>
        </is>
      </c>
      <c r="E18862" t="n">
        <v>293</v>
      </c>
    </row>
    <row r="18863">
      <c r="A18863" t="inlineStr">
        <is>
          <t>27BBBBB18863Z5</t>
        </is>
      </c>
      <c r="B18863" t="inlineStr">
        <is>
          <t>Jun-2020</t>
        </is>
      </c>
      <c r="C18863" s="2" t="n">
        <v>44105</v>
      </c>
      <c r="D18863" t="inlineStr">
        <is>
          <t>NON-NIL</t>
        </is>
      </c>
      <c r="E18863" t="n">
        <v>2020</v>
      </c>
    </row>
    <row r="18864">
      <c r="A18864" t="inlineStr">
        <is>
          <t>27BBBBB18864Z5</t>
        </is>
      </c>
      <c r="B18864" t="inlineStr">
        <is>
          <t>Jan-2021</t>
        </is>
      </c>
      <c r="C18864" s="2" t="n">
        <v>43608</v>
      </c>
      <c r="D18864" t="inlineStr">
        <is>
          <t>NIL</t>
        </is>
      </c>
      <c r="E18864" t="n">
        <v>1583</v>
      </c>
    </row>
    <row r="18865">
      <c r="A18865" t="inlineStr">
        <is>
          <t>27BBBBB18865Z5</t>
        </is>
      </c>
      <c r="B18865" t="inlineStr">
        <is>
          <t>Dec-2024</t>
        </is>
      </c>
      <c r="C18865" s="2" t="n">
        <v>44917</v>
      </c>
      <c r="D18865" t="inlineStr">
        <is>
          <t>NIL</t>
        </is>
      </c>
      <c r="E18865" t="n">
        <v>2689</v>
      </c>
    </row>
    <row r="18866">
      <c r="A18866" t="inlineStr">
        <is>
          <t>27BBBBB18866Z5</t>
        </is>
      </c>
      <c r="B18866" t="inlineStr">
        <is>
          <t>Jun-2020</t>
        </is>
      </c>
      <c r="C18866" s="2" t="n">
        <v>44044</v>
      </c>
      <c r="D18866" t="inlineStr">
        <is>
          <t>NON-NIL</t>
        </is>
      </c>
      <c r="E18866" t="n">
        <v>1270</v>
      </c>
    </row>
    <row r="18867">
      <c r="A18867" t="inlineStr">
        <is>
          <t>27BBBBB18867Z5</t>
        </is>
      </c>
      <c r="B18867" t="inlineStr">
        <is>
          <t>Jun-2020</t>
        </is>
      </c>
      <c r="C18867" s="2" t="n">
        <v>44669</v>
      </c>
      <c r="D18867" t="inlineStr">
        <is>
          <t>NIL</t>
        </is>
      </c>
      <c r="E18867" t="n">
        <v>2120</v>
      </c>
    </row>
    <row r="18868">
      <c r="A18868" t="inlineStr">
        <is>
          <t>27BBBBB18868Z5</t>
        </is>
      </c>
      <c r="B18868" t="inlineStr">
        <is>
          <t>Sep-2018</t>
        </is>
      </c>
      <c r="C18868" s="2" t="n">
        <v>43992</v>
      </c>
      <c r="D18868" t="inlineStr">
        <is>
          <t>NON-NIL</t>
        </is>
      </c>
      <c r="E18868" t="n">
        <v>771</v>
      </c>
    </row>
    <row r="18869">
      <c r="A18869" t="inlineStr">
        <is>
          <t>27BBBBB18869Z5</t>
        </is>
      </c>
      <c r="B18869" t="inlineStr">
        <is>
          <t>Apr-2020</t>
        </is>
      </c>
      <c r="C18869" s="2" t="n">
        <v>43926</v>
      </c>
      <c r="D18869" t="inlineStr">
        <is>
          <t>NON-NIL</t>
        </is>
      </c>
      <c r="E18869" t="n">
        <v>1902</v>
      </c>
    </row>
    <row r="18870">
      <c r="A18870" t="inlineStr">
        <is>
          <t>27BBBBB18870Z5</t>
        </is>
      </c>
      <c r="B18870" t="inlineStr">
        <is>
          <t>Mar-2023</t>
        </is>
      </c>
      <c r="C18870" s="2" t="n">
        <v>45811</v>
      </c>
      <c r="D18870" t="inlineStr">
        <is>
          <t>NIL</t>
        </is>
      </c>
      <c r="E18870" t="n">
        <v>1037</v>
      </c>
    </row>
    <row r="18871">
      <c r="A18871" t="inlineStr">
        <is>
          <t>27BBBBB18871Z5</t>
        </is>
      </c>
      <c r="B18871" t="inlineStr">
        <is>
          <t>Mar-2021</t>
        </is>
      </c>
      <c r="C18871" s="2" t="n">
        <v>45677</v>
      </c>
      <c r="D18871" t="inlineStr">
        <is>
          <t>NIL</t>
        </is>
      </c>
      <c r="E18871" t="n">
        <v>2490</v>
      </c>
    </row>
    <row r="18872">
      <c r="A18872" t="inlineStr">
        <is>
          <t>27BBBBB18872Z5</t>
        </is>
      </c>
      <c r="B18872" t="inlineStr">
        <is>
          <t>Aug-2018</t>
        </is>
      </c>
      <c r="C18872" s="2" t="n">
        <v>43757</v>
      </c>
      <c r="D18872" t="inlineStr">
        <is>
          <t>NON-NIL</t>
        </is>
      </c>
      <c r="E18872" t="n">
        <v>2937</v>
      </c>
    </row>
    <row r="18873">
      <c r="A18873" t="inlineStr">
        <is>
          <t>27BBBBB18873Z5</t>
        </is>
      </c>
      <c r="B18873" t="inlineStr">
        <is>
          <t>Nov-2017</t>
        </is>
      </c>
      <c r="C18873" s="2" t="n">
        <v>44141</v>
      </c>
      <c r="D18873" t="inlineStr">
        <is>
          <t>NIL</t>
        </is>
      </c>
      <c r="E18873" t="n">
        <v>980</v>
      </c>
    </row>
    <row r="18874">
      <c r="A18874" t="inlineStr">
        <is>
          <t>27BBBBB18874Z5</t>
        </is>
      </c>
      <c r="B18874" t="inlineStr">
        <is>
          <t>Mar-2020</t>
        </is>
      </c>
      <c r="C18874" s="2" t="n">
        <v>43987</v>
      </c>
      <c r="D18874" t="inlineStr">
        <is>
          <t>NIL</t>
        </is>
      </c>
      <c r="E18874" t="n">
        <v>696</v>
      </c>
    </row>
    <row r="18875">
      <c r="A18875" t="inlineStr">
        <is>
          <t>27BBBBB18875Z5</t>
        </is>
      </c>
      <c r="B18875" t="inlineStr">
        <is>
          <t>Jan-2018</t>
        </is>
      </c>
      <c r="C18875" s="2" t="n">
        <v>43590</v>
      </c>
      <c r="D18875" t="inlineStr">
        <is>
          <t>NON-NIL</t>
        </is>
      </c>
      <c r="E18875" t="n">
        <v>876</v>
      </c>
    </row>
    <row r="18876">
      <c r="A18876" t="inlineStr">
        <is>
          <t>27BBBBB18876Z5</t>
        </is>
      </c>
      <c r="B18876" t="inlineStr">
        <is>
          <t>Dec-2024</t>
        </is>
      </c>
      <c r="C18876" s="2" t="n">
        <v>43698</v>
      </c>
      <c r="D18876" t="inlineStr">
        <is>
          <t>NON-NIL</t>
        </is>
      </c>
      <c r="E18876" t="n">
        <v>1464</v>
      </c>
    </row>
    <row r="18877">
      <c r="A18877" t="inlineStr">
        <is>
          <t>27BBBBB18877Z5</t>
        </is>
      </c>
      <c r="B18877" t="inlineStr">
        <is>
          <t>Jun-2020</t>
        </is>
      </c>
      <c r="C18877" s="2" t="n">
        <v>44570</v>
      </c>
      <c r="D18877" t="inlineStr">
        <is>
          <t>NON-NIL</t>
        </is>
      </c>
      <c r="E18877" t="n">
        <v>2430</v>
      </c>
    </row>
    <row r="18878">
      <c r="A18878" t="inlineStr">
        <is>
          <t>27BBBBB18878Z5</t>
        </is>
      </c>
      <c r="B18878" t="inlineStr">
        <is>
          <t>Jul-2017</t>
        </is>
      </c>
      <c r="C18878" s="2" t="n">
        <v>43721</v>
      </c>
      <c r="D18878" t="inlineStr">
        <is>
          <t>NIL</t>
        </is>
      </c>
      <c r="E18878" t="n">
        <v>2083</v>
      </c>
    </row>
    <row r="18879">
      <c r="A18879" t="inlineStr">
        <is>
          <t>27BBBBB18879Z5</t>
        </is>
      </c>
      <c r="B18879" t="inlineStr">
        <is>
          <t>Jan-2021</t>
        </is>
      </c>
      <c r="C18879" s="2" t="n">
        <v>43639</v>
      </c>
      <c r="D18879" t="inlineStr">
        <is>
          <t>NON-NIL</t>
        </is>
      </c>
      <c r="E18879" t="n">
        <v>306</v>
      </c>
    </row>
    <row r="18880">
      <c r="A18880" t="inlineStr">
        <is>
          <t>27BBBBB18880Z5</t>
        </is>
      </c>
      <c r="B18880" t="inlineStr">
        <is>
          <t>Sep-2018</t>
        </is>
      </c>
      <c r="C18880" s="2" t="n">
        <v>43388</v>
      </c>
      <c r="D18880" t="inlineStr">
        <is>
          <t>NIL</t>
        </is>
      </c>
      <c r="E18880" t="n">
        <v>2345</v>
      </c>
    </row>
    <row r="18881">
      <c r="A18881" t="inlineStr">
        <is>
          <t>27BBBBB18881Z5</t>
        </is>
      </c>
      <c r="B18881" t="inlineStr">
        <is>
          <t>Sep-2017</t>
        </is>
      </c>
      <c r="C18881" s="2" t="n">
        <v>43156</v>
      </c>
      <c r="D18881" t="inlineStr">
        <is>
          <t>NIL</t>
        </is>
      </c>
      <c r="E18881" t="n">
        <v>921</v>
      </c>
    </row>
    <row r="18882">
      <c r="A18882" t="inlineStr">
        <is>
          <t>27BBBBB18882Z5</t>
        </is>
      </c>
      <c r="B18882" t="inlineStr">
        <is>
          <t>Dec-2017</t>
        </is>
      </c>
      <c r="C18882" s="2" t="n">
        <v>43538</v>
      </c>
      <c r="D18882" t="inlineStr">
        <is>
          <t>NIL</t>
        </is>
      </c>
      <c r="E18882" t="n">
        <v>912</v>
      </c>
    </row>
    <row r="18883">
      <c r="A18883" t="inlineStr">
        <is>
          <t>27BBBBB18883Z5</t>
        </is>
      </c>
      <c r="B18883" t="inlineStr">
        <is>
          <t>Aug-2018</t>
        </is>
      </c>
      <c r="C18883" s="2" t="n">
        <v>44460</v>
      </c>
      <c r="D18883" t="inlineStr">
        <is>
          <t>NIL</t>
        </is>
      </c>
      <c r="E18883" t="n">
        <v>281</v>
      </c>
    </row>
    <row r="18884">
      <c r="A18884" t="inlineStr">
        <is>
          <t>27BBBBB18884Z5</t>
        </is>
      </c>
      <c r="B18884" t="inlineStr">
        <is>
          <t>Nov-2017</t>
        </is>
      </c>
      <c r="C18884" s="2" t="n">
        <v>43957</v>
      </c>
      <c r="D18884" t="inlineStr">
        <is>
          <t>NIL</t>
        </is>
      </c>
      <c r="E18884" t="n">
        <v>2732</v>
      </c>
    </row>
    <row r="18885">
      <c r="A18885" t="inlineStr">
        <is>
          <t>27BBBBB18885Z5</t>
        </is>
      </c>
      <c r="B18885" t="inlineStr">
        <is>
          <t>Jan-2021</t>
        </is>
      </c>
      <c r="C18885" s="2" t="n">
        <v>45619</v>
      </c>
      <c r="D18885" t="inlineStr">
        <is>
          <t>NIL</t>
        </is>
      </c>
      <c r="E18885" t="n">
        <v>2807</v>
      </c>
    </row>
    <row r="18886">
      <c r="A18886" t="inlineStr">
        <is>
          <t>27BBBBB18886Z5</t>
        </is>
      </c>
      <c r="B18886" t="inlineStr">
        <is>
          <t>Nov-2017</t>
        </is>
      </c>
      <c r="C18886" s="2" t="n">
        <v>42942</v>
      </c>
      <c r="D18886" t="inlineStr">
        <is>
          <t>NON-NIL</t>
        </is>
      </c>
      <c r="E18886" t="n">
        <v>1071</v>
      </c>
    </row>
    <row r="18887">
      <c r="A18887" t="inlineStr">
        <is>
          <t>27BBBBB18887Z5</t>
        </is>
      </c>
      <c r="B18887" t="inlineStr">
        <is>
          <t>Aug-2017</t>
        </is>
      </c>
      <c r="C18887" s="2" t="n">
        <v>43973</v>
      </c>
      <c r="D18887" t="inlineStr">
        <is>
          <t>NIL</t>
        </is>
      </c>
      <c r="E18887" t="n">
        <v>1225</v>
      </c>
    </row>
    <row r="18888">
      <c r="A18888" t="inlineStr">
        <is>
          <t>27BBBBB18888Z5</t>
        </is>
      </c>
      <c r="B18888" t="inlineStr">
        <is>
          <t>Apr-2018</t>
        </is>
      </c>
      <c r="C18888" s="2" t="n">
        <v>43913</v>
      </c>
      <c r="D18888" t="inlineStr">
        <is>
          <t>NON-NIL</t>
        </is>
      </c>
      <c r="E18888" t="n">
        <v>1049</v>
      </c>
    </row>
    <row r="18889">
      <c r="A18889" t="inlineStr">
        <is>
          <t>27BBBBB18889Z5</t>
        </is>
      </c>
      <c r="B18889" t="inlineStr">
        <is>
          <t>Dec-2018</t>
        </is>
      </c>
      <c r="C18889" s="2" t="n">
        <v>43810</v>
      </c>
      <c r="D18889" t="inlineStr">
        <is>
          <t>NON-NIL</t>
        </is>
      </c>
      <c r="E18889" t="n">
        <v>2266</v>
      </c>
    </row>
    <row r="18890">
      <c r="A18890" t="inlineStr">
        <is>
          <t>27BBBBB18890Z5</t>
        </is>
      </c>
      <c r="B18890" t="inlineStr">
        <is>
          <t>Feb-2018</t>
        </is>
      </c>
      <c r="C18890" s="2" t="n">
        <v>44155</v>
      </c>
      <c r="D18890" t="inlineStr">
        <is>
          <t>NIL</t>
        </is>
      </c>
      <c r="E18890" t="n">
        <v>2347</v>
      </c>
    </row>
    <row r="18891">
      <c r="A18891" t="inlineStr">
        <is>
          <t>27BBBBB18891Z5</t>
        </is>
      </c>
      <c r="B18891" t="inlineStr">
        <is>
          <t>Dec-2022</t>
        </is>
      </c>
      <c r="C18891" s="2" t="n">
        <v>44057</v>
      </c>
      <c r="D18891" t="inlineStr">
        <is>
          <t>NON-NIL</t>
        </is>
      </c>
      <c r="E18891" t="n">
        <v>2860</v>
      </c>
    </row>
    <row r="18892">
      <c r="A18892" t="inlineStr">
        <is>
          <t>27BBBBB18892Z5</t>
        </is>
      </c>
      <c r="B18892" t="inlineStr">
        <is>
          <t>Oct-2018</t>
        </is>
      </c>
      <c r="C18892" s="2" t="n">
        <v>43163</v>
      </c>
      <c r="D18892" t="inlineStr">
        <is>
          <t>NIL</t>
        </is>
      </c>
      <c r="E18892" t="n">
        <v>1069</v>
      </c>
    </row>
    <row r="18893">
      <c r="A18893" t="inlineStr">
        <is>
          <t>27BBBBB18893Z5</t>
        </is>
      </c>
      <c r="B18893" t="inlineStr">
        <is>
          <t>Dec-2024</t>
        </is>
      </c>
      <c r="C18893" s="2" t="n">
        <v>45539</v>
      </c>
      <c r="D18893" t="inlineStr">
        <is>
          <t>NIL</t>
        </is>
      </c>
      <c r="E18893" t="n">
        <v>2976</v>
      </c>
    </row>
    <row r="18894">
      <c r="A18894" t="inlineStr">
        <is>
          <t>27BBBBB18894Z5</t>
        </is>
      </c>
      <c r="B18894" t="inlineStr">
        <is>
          <t>Apr-2018</t>
        </is>
      </c>
      <c r="C18894" s="2" t="n">
        <v>44513</v>
      </c>
      <c r="D18894" t="inlineStr">
        <is>
          <t>NON-NIL</t>
        </is>
      </c>
      <c r="E18894" t="n">
        <v>1123</v>
      </c>
    </row>
    <row r="18895">
      <c r="A18895" t="inlineStr">
        <is>
          <t>27BBBBB18895Z5</t>
        </is>
      </c>
      <c r="B18895" t="inlineStr">
        <is>
          <t>Dec-2017</t>
        </is>
      </c>
      <c r="C18895" s="2" t="n">
        <v>43353</v>
      </c>
      <c r="D18895" t="inlineStr">
        <is>
          <t>NON-NIL</t>
        </is>
      </c>
      <c r="E18895" t="n">
        <v>2811</v>
      </c>
    </row>
    <row r="18896">
      <c r="A18896" t="inlineStr">
        <is>
          <t>27BBBBB18896Z5</t>
        </is>
      </c>
      <c r="B18896" t="inlineStr">
        <is>
          <t>Dec-2017</t>
        </is>
      </c>
      <c r="C18896" s="2" t="n">
        <v>43219</v>
      </c>
      <c r="D18896" t="inlineStr">
        <is>
          <t>NIL</t>
        </is>
      </c>
      <c r="E18896" t="n">
        <v>2181</v>
      </c>
    </row>
    <row r="18897">
      <c r="A18897" t="inlineStr">
        <is>
          <t>27BBBBB18897Z5</t>
        </is>
      </c>
      <c r="B18897" t="inlineStr">
        <is>
          <t>Mar-2020</t>
        </is>
      </c>
      <c r="C18897" s="2" t="n">
        <v>44244</v>
      </c>
      <c r="D18897" t="inlineStr">
        <is>
          <t>NON-NIL</t>
        </is>
      </c>
      <c r="E18897" t="n">
        <v>1982</v>
      </c>
    </row>
    <row r="18898">
      <c r="A18898" t="inlineStr">
        <is>
          <t>27BBBBB18898Z5</t>
        </is>
      </c>
      <c r="B18898" t="inlineStr">
        <is>
          <t>Aug-2017</t>
        </is>
      </c>
      <c r="C18898" s="2" t="n">
        <v>42924</v>
      </c>
      <c r="D18898" t="inlineStr">
        <is>
          <t>NIL</t>
        </is>
      </c>
      <c r="E18898" t="n">
        <v>1699</v>
      </c>
    </row>
    <row r="18899">
      <c r="A18899" t="inlineStr">
        <is>
          <t>27BBBBB18899Z5</t>
        </is>
      </c>
      <c r="B18899" t="inlineStr">
        <is>
          <t>Mar-2020</t>
        </is>
      </c>
      <c r="C18899" s="2" t="n">
        <v>43873</v>
      </c>
      <c r="D18899" t="inlineStr">
        <is>
          <t>NON-NIL</t>
        </is>
      </c>
      <c r="E18899" t="n">
        <v>2943</v>
      </c>
    </row>
    <row r="18900">
      <c r="A18900" t="inlineStr">
        <is>
          <t>27BBBBB18900Z5</t>
        </is>
      </c>
      <c r="B18900" t="inlineStr">
        <is>
          <t>Dec-2017</t>
        </is>
      </c>
      <c r="C18900" s="2" t="n">
        <v>43693</v>
      </c>
      <c r="D18900" t="inlineStr">
        <is>
          <t>NIL</t>
        </is>
      </c>
      <c r="E18900" t="n">
        <v>1346</v>
      </c>
    </row>
    <row r="18901">
      <c r="A18901" t="inlineStr">
        <is>
          <t>27BBBBB18901Z5</t>
        </is>
      </c>
      <c r="B18901" t="inlineStr">
        <is>
          <t>Aug-2017</t>
        </is>
      </c>
      <c r="C18901" s="2" t="n">
        <v>43668</v>
      </c>
      <c r="D18901" t="inlineStr">
        <is>
          <t>NON-NIL</t>
        </is>
      </c>
      <c r="E18901" t="n">
        <v>678</v>
      </c>
    </row>
    <row r="18902">
      <c r="A18902" t="inlineStr">
        <is>
          <t>27BBBBB18902Z5</t>
        </is>
      </c>
      <c r="B18902" t="inlineStr">
        <is>
          <t>May-2018</t>
        </is>
      </c>
      <c r="C18902" s="2" t="n">
        <v>43089</v>
      </c>
      <c r="D18902" t="inlineStr">
        <is>
          <t>NON-NIL</t>
        </is>
      </c>
      <c r="E18902" t="n">
        <v>2054</v>
      </c>
    </row>
    <row r="18903">
      <c r="A18903" t="inlineStr">
        <is>
          <t>27BBBBB18903Z5</t>
        </is>
      </c>
      <c r="B18903" t="inlineStr">
        <is>
          <t>Mar-2018</t>
        </is>
      </c>
      <c r="C18903" s="2" t="n">
        <v>43445</v>
      </c>
      <c r="D18903" t="inlineStr">
        <is>
          <t>NON-NIL</t>
        </is>
      </c>
      <c r="E18903" t="n">
        <v>2694</v>
      </c>
    </row>
    <row r="18904">
      <c r="A18904" t="inlineStr">
        <is>
          <t>27BBBBB18904Z5</t>
        </is>
      </c>
      <c r="B18904" t="inlineStr">
        <is>
          <t>Feb-2018</t>
        </is>
      </c>
      <c r="C18904" s="2" t="n">
        <v>43071</v>
      </c>
      <c r="D18904" t="inlineStr">
        <is>
          <t>NON-NIL</t>
        </is>
      </c>
      <c r="E18904" t="n">
        <v>1724</v>
      </c>
    </row>
    <row r="18905">
      <c r="A18905" t="inlineStr">
        <is>
          <t>27BBBBB18905Z5</t>
        </is>
      </c>
      <c r="B18905" t="inlineStr">
        <is>
          <t>Dec-2024</t>
        </is>
      </c>
      <c r="C18905" s="2" t="n">
        <v>45748</v>
      </c>
      <c r="D18905" t="inlineStr">
        <is>
          <t>NIL</t>
        </is>
      </c>
      <c r="E18905" t="n">
        <v>1424</v>
      </c>
    </row>
    <row r="18906">
      <c r="A18906" t="inlineStr">
        <is>
          <t>27BBBBB18906Z5</t>
        </is>
      </c>
      <c r="B18906" t="inlineStr">
        <is>
          <t>Oct-2018</t>
        </is>
      </c>
      <c r="C18906" s="2" t="n">
        <v>44514</v>
      </c>
      <c r="D18906" t="inlineStr">
        <is>
          <t>NIL</t>
        </is>
      </c>
      <c r="E18906" t="n">
        <v>1759</v>
      </c>
    </row>
    <row r="18907">
      <c r="A18907" t="inlineStr">
        <is>
          <t>27BBBBB18907Z5</t>
        </is>
      </c>
      <c r="B18907" t="inlineStr">
        <is>
          <t>May-2018</t>
        </is>
      </c>
      <c r="C18907" s="2" t="n">
        <v>43776</v>
      </c>
      <c r="D18907" t="inlineStr">
        <is>
          <t>NIL</t>
        </is>
      </c>
      <c r="E18907" t="n">
        <v>712</v>
      </c>
    </row>
    <row r="18908">
      <c r="A18908" t="inlineStr">
        <is>
          <t>27BBBBB18908Z5</t>
        </is>
      </c>
      <c r="B18908" t="inlineStr">
        <is>
          <t>Jul-2017</t>
        </is>
      </c>
      <c r="C18908" s="2" t="n">
        <v>42967</v>
      </c>
      <c r="D18908" t="inlineStr">
        <is>
          <t>NIL</t>
        </is>
      </c>
      <c r="E18908" t="n">
        <v>1858</v>
      </c>
    </row>
    <row r="18909">
      <c r="A18909" t="inlineStr">
        <is>
          <t>27BBBBB18909Z5</t>
        </is>
      </c>
      <c r="B18909" t="inlineStr">
        <is>
          <t>Apr-2018</t>
        </is>
      </c>
      <c r="C18909" s="2" t="n">
        <v>43642</v>
      </c>
      <c r="D18909" t="inlineStr">
        <is>
          <t>NIL</t>
        </is>
      </c>
      <c r="E18909" t="n">
        <v>249</v>
      </c>
    </row>
    <row r="18910">
      <c r="A18910" t="inlineStr">
        <is>
          <t>27BBBBB18910Z5</t>
        </is>
      </c>
      <c r="B18910" t="inlineStr">
        <is>
          <t>Jun-2020</t>
        </is>
      </c>
      <c r="C18910" s="2" t="n">
        <v>44036</v>
      </c>
      <c r="D18910" t="inlineStr">
        <is>
          <t>NON-NIL</t>
        </is>
      </c>
      <c r="E18910" t="n">
        <v>2014</v>
      </c>
    </row>
    <row r="18911">
      <c r="A18911" t="inlineStr">
        <is>
          <t>27BBBBB18911Z5</t>
        </is>
      </c>
      <c r="B18911" t="inlineStr">
        <is>
          <t>Mar-2020</t>
        </is>
      </c>
      <c r="C18911" s="2" t="n">
        <v>43933</v>
      </c>
      <c r="D18911" t="inlineStr">
        <is>
          <t>NIL</t>
        </is>
      </c>
      <c r="E18911" t="n">
        <v>1415</v>
      </c>
    </row>
    <row r="18912">
      <c r="A18912" t="inlineStr">
        <is>
          <t>27BBBBB18912Z5</t>
        </is>
      </c>
      <c r="B18912" t="inlineStr">
        <is>
          <t>Nov-2018</t>
        </is>
      </c>
      <c r="C18912" s="2" t="n">
        <v>44473</v>
      </c>
      <c r="D18912" t="inlineStr">
        <is>
          <t>NIL</t>
        </is>
      </c>
      <c r="E18912" t="n">
        <v>2308</v>
      </c>
    </row>
    <row r="18913">
      <c r="A18913" t="inlineStr">
        <is>
          <t>27BBBBB18913Z5</t>
        </is>
      </c>
      <c r="B18913" t="inlineStr">
        <is>
          <t>Nov-2017</t>
        </is>
      </c>
      <c r="C18913" s="2" t="n">
        <v>44308</v>
      </c>
      <c r="D18913" t="inlineStr">
        <is>
          <t>NIL</t>
        </is>
      </c>
      <c r="E18913" t="n">
        <v>2461</v>
      </c>
    </row>
    <row r="18914">
      <c r="A18914" t="inlineStr">
        <is>
          <t>27BBBBB18914Z5</t>
        </is>
      </c>
      <c r="B18914" t="inlineStr">
        <is>
          <t>Dec-2017</t>
        </is>
      </c>
      <c r="C18914" s="2" t="n">
        <v>43250</v>
      </c>
      <c r="D18914" t="inlineStr">
        <is>
          <t>NON-NIL</t>
        </is>
      </c>
      <c r="E18914" t="n">
        <v>332</v>
      </c>
    </row>
    <row r="18915">
      <c r="A18915" t="inlineStr">
        <is>
          <t>27BBBBB18915Z5</t>
        </is>
      </c>
      <c r="B18915" t="inlineStr">
        <is>
          <t>Sep-2018</t>
        </is>
      </c>
      <c r="C18915" s="2" t="n">
        <v>43262</v>
      </c>
      <c r="D18915" t="inlineStr">
        <is>
          <t>NON-NIL</t>
        </is>
      </c>
      <c r="E18915" t="n">
        <v>1045</v>
      </c>
    </row>
    <row r="18916">
      <c r="A18916" t="inlineStr">
        <is>
          <t>27BBBBB18916Z5</t>
        </is>
      </c>
      <c r="B18916" t="inlineStr">
        <is>
          <t>Nov-2017</t>
        </is>
      </c>
      <c r="C18916" s="2" t="n">
        <v>43194</v>
      </c>
      <c r="D18916" t="inlineStr">
        <is>
          <t>NIL</t>
        </is>
      </c>
      <c r="E18916" t="n">
        <v>525</v>
      </c>
    </row>
    <row r="18917">
      <c r="A18917" t="inlineStr">
        <is>
          <t>27BBBBB18917Z5</t>
        </is>
      </c>
      <c r="B18917" t="inlineStr">
        <is>
          <t>Jun-2020</t>
        </is>
      </c>
      <c r="C18917" s="2" t="n">
        <v>44329</v>
      </c>
      <c r="D18917" t="inlineStr">
        <is>
          <t>NON-NIL</t>
        </is>
      </c>
      <c r="E18917" t="n">
        <v>2587</v>
      </c>
    </row>
    <row r="18918">
      <c r="A18918" t="inlineStr">
        <is>
          <t>27BBBBB18918Z5</t>
        </is>
      </c>
      <c r="B18918" t="inlineStr">
        <is>
          <t>Apr-2020</t>
        </is>
      </c>
      <c r="C18918" s="2" t="n">
        <v>44178</v>
      </c>
      <c r="D18918" t="inlineStr">
        <is>
          <t>NON-NIL</t>
        </is>
      </c>
      <c r="E18918" t="n">
        <v>2346</v>
      </c>
    </row>
    <row r="18919">
      <c r="A18919" t="inlineStr">
        <is>
          <t>27BBBBB18919Z5</t>
        </is>
      </c>
      <c r="B18919" t="inlineStr">
        <is>
          <t>Sep-2017</t>
        </is>
      </c>
      <c r="C18919" s="2" t="n">
        <v>43706</v>
      </c>
      <c r="D18919" t="inlineStr">
        <is>
          <t>NIL</t>
        </is>
      </c>
      <c r="E18919" t="n">
        <v>209</v>
      </c>
    </row>
    <row r="18920">
      <c r="A18920" t="inlineStr">
        <is>
          <t>27BBBBB18920Z5</t>
        </is>
      </c>
      <c r="B18920" t="inlineStr">
        <is>
          <t>Jun-2018</t>
        </is>
      </c>
      <c r="C18920" s="2" t="n">
        <v>43352</v>
      </c>
      <c r="D18920" t="inlineStr">
        <is>
          <t>NIL</t>
        </is>
      </c>
      <c r="E18920" t="n">
        <v>232</v>
      </c>
    </row>
    <row r="18921">
      <c r="A18921" t="inlineStr">
        <is>
          <t>27BBBBB18921Z5</t>
        </is>
      </c>
      <c r="B18921" t="inlineStr">
        <is>
          <t>Jan-2021</t>
        </is>
      </c>
      <c r="C18921" s="2" t="n">
        <v>43538</v>
      </c>
      <c r="D18921" t="inlineStr">
        <is>
          <t>NON-NIL</t>
        </is>
      </c>
      <c r="E18921" t="n">
        <v>1407</v>
      </c>
    </row>
    <row r="18922">
      <c r="A18922" t="inlineStr">
        <is>
          <t>27BBBBB18922Z5</t>
        </is>
      </c>
      <c r="B18922" t="inlineStr">
        <is>
          <t>Mar-2023</t>
        </is>
      </c>
      <c r="C18922" s="2" t="n">
        <v>45101</v>
      </c>
      <c r="D18922" t="inlineStr">
        <is>
          <t>NIL</t>
        </is>
      </c>
      <c r="E18922" t="n">
        <v>2756</v>
      </c>
    </row>
    <row r="18923">
      <c r="A18923" t="inlineStr">
        <is>
          <t>27BBBBB18923Z5</t>
        </is>
      </c>
      <c r="B18923" t="inlineStr">
        <is>
          <t>Aug-2017</t>
        </is>
      </c>
      <c r="C18923" s="2" t="n">
        <v>43287</v>
      </c>
      <c r="D18923" t="inlineStr">
        <is>
          <t>NIL</t>
        </is>
      </c>
      <c r="E18923" t="n">
        <v>2164</v>
      </c>
    </row>
    <row r="18924">
      <c r="A18924" t="inlineStr">
        <is>
          <t>27BBBBB18924Z5</t>
        </is>
      </c>
      <c r="B18924" t="inlineStr">
        <is>
          <t>Mar-2021</t>
        </is>
      </c>
      <c r="C18924" s="2" t="n">
        <v>44772</v>
      </c>
      <c r="D18924" t="inlineStr">
        <is>
          <t>NIL</t>
        </is>
      </c>
      <c r="E18924" t="n">
        <v>2403</v>
      </c>
    </row>
    <row r="18925">
      <c r="A18925" t="inlineStr">
        <is>
          <t>27BBBBB18925Z5</t>
        </is>
      </c>
      <c r="B18925" t="inlineStr">
        <is>
          <t>Mar-2020</t>
        </is>
      </c>
      <c r="C18925" s="2" t="n">
        <v>44105</v>
      </c>
      <c r="D18925" t="inlineStr">
        <is>
          <t>NIL</t>
        </is>
      </c>
      <c r="E18925" t="n">
        <v>290</v>
      </c>
    </row>
    <row r="18926">
      <c r="A18926" t="inlineStr">
        <is>
          <t>27BBBBB18926Z5</t>
        </is>
      </c>
      <c r="B18926" t="inlineStr">
        <is>
          <t>Jul-2017</t>
        </is>
      </c>
      <c r="C18926" s="2" t="n">
        <v>44355</v>
      </c>
      <c r="D18926" t="inlineStr">
        <is>
          <t>NON-NIL</t>
        </is>
      </c>
      <c r="E18926" t="n">
        <v>2389</v>
      </c>
    </row>
    <row r="18927">
      <c r="A18927" t="inlineStr">
        <is>
          <t>27BBBBB18927Z5</t>
        </is>
      </c>
      <c r="B18927" t="inlineStr">
        <is>
          <t>Dec-2024</t>
        </is>
      </c>
      <c r="C18927" s="2" t="n">
        <v>45249</v>
      </c>
      <c r="D18927" t="inlineStr">
        <is>
          <t>NON-NIL</t>
        </is>
      </c>
      <c r="E18927" t="n">
        <v>2192</v>
      </c>
    </row>
    <row r="18928">
      <c r="A18928" t="inlineStr">
        <is>
          <t>27BBBBB18928Z5</t>
        </is>
      </c>
      <c r="B18928" t="inlineStr">
        <is>
          <t>Dec-2018</t>
        </is>
      </c>
      <c r="C18928" s="2" t="n">
        <v>43017</v>
      </c>
      <c r="D18928" t="inlineStr">
        <is>
          <t>NON-NIL</t>
        </is>
      </c>
      <c r="E18928" t="n">
        <v>590</v>
      </c>
    </row>
    <row r="18929">
      <c r="A18929" t="inlineStr">
        <is>
          <t>27BBBBB18929Z5</t>
        </is>
      </c>
      <c r="B18929" t="inlineStr">
        <is>
          <t>May-2018</t>
        </is>
      </c>
      <c r="C18929" s="2" t="n">
        <v>43275</v>
      </c>
      <c r="D18929" t="inlineStr">
        <is>
          <t>NIL</t>
        </is>
      </c>
      <c r="E18929" t="n">
        <v>2078</v>
      </c>
    </row>
    <row r="18930">
      <c r="A18930" t="inlineStr">
        <is>
          <t>27BBBBB18930Z5</t>
        </is>
      </c>
      <c r="B18930" t="inlineStr">
        <is>
          <t>Sep-2018</t>
        </is>
      </c>
      <c r="C18930" s="2" t="n">
        <v>44344</v>
      </c>
      <c r="D18930" t="inlineStr">
        <is>
          <t>NON-NIL</t>
        </is>
      </c>
      <c r="E18930" t="n">
        <v>862</v>
      </c>
    </row>
    <row r="18931">
      <c r="A18931" t="inlineStr">
        <is>
          <t>27BBBBB18931Z5</t>
        </is>
      </c>
      <c r="B18931" t="inlineStr">
        <is>
          <t>Mar-2018</t>
        </is>
      </c>
      <c r="C18931" s="2" t="n">
        <v>43242</v>
      </c>
      <c r="D18931" t="inlineStr">
        <is>
          <t>NIL</t>
        </is>
      </c>
      <c r="E18931" t="n">
        <v>204</v>
      </c>
    </row>
    <row r="18932">
      <c r="A18932" t="inlineStr">
        <is>
          <t>27BBBBB18932Z5</t>
        </is>
      </c>
      <c r="B18932" t="inlineStr">
        <is>
          <t>Jan-2018</t>
        </is>
      </c>
      <c r="C18932" s="2" t="n">
        <v>43899</v>
      </c>
      <c r="D18932" t="inlineStr">
        <is>
          <t>NON-NIL</t>
        </is>
      </c>
      <c r="E18932" t="n">
        <v>150</v>
      </c>
    </row>
    <row r="18933">
      <c r="A18933" t="inlineStr">
        <is>
          <t>27BBBBB18933Z5</t>
        </is>
      </c>
      <c r="B18933" t="inlineStr">
        <is>
          <t>Feb-2018</t>
        </is>
      </c>
      <c r="C18933" s="2" t="n">
        <v>43217</v>
      </c>
      <c r="D18933" t="inlineStr">
        <is>
          <t>NON-NIL</t>
        </is>
      </c>
      <c r="E18933" t="n">
        <v>363</v>
      </c>
    </row>
    <row r="18934">
      <c r="A18934" t="inlineStr">
        <is>
          <t>27BBBBB18934Z5</t>
        </is>
      </c>
      <c r="B18934" t="inlineStr">
        <is>
          <t>Oct-2018</t>
        </is>
      </c>
      <c r="C18934" s="2" t="n">
        <v>42938</v>
      </c>
      <c r="D18934" t="inlineStr">
        <is>
          <t>NON-NIL</t>
        </is>
      </c>
      <c r="E18934" t="n">
        <v>2732</v>
      </c>
    </row>
    <row r="18935">
      <c r="A18935" t="inlineStr">
        <is>
          <t>27BBBBB18935Z5</t>
        </is>
      </c>
      <c r="B18935" t="inlineStr">
        <is>
          <t>Aug-2018</t>
        </is>
      </c>
      <c r="C18935" s="2" t="n">
        <v>43821</v>
      </c>
      <c r="D18935" t="inlineStr">
        <is>
          <t>NON-NIL</t>
        </is>
      </c>
      <c r="E18935" t="n">
        <v>1436</v>
      </c>
    </row>
    <row r="18936">
      <c r="A18936" t="inlineStr">
        <is>
          <t>27BBBBB18936Z5</t>
        </is>
      </c>
      <c r="B18936" t="inlineStr">
        <is>
          <t>Mar-2020</t>
        </is>
      </c>
      <c r="C18936" s="2" t="n">
        <v>44583</v>
      </c>
      <c r="D18936" t="inlineStr">
        <is>
          <t>NON-NIL</t>
        </is>
      </c>
      <c r="E18936" t="n">
        <v>1903</v>
      </c>
    </row>
    <row r="18937">
      <c r="A18937" t="inlineStr">
        <is>
          <t>27BBBBB18937Z5</t>
        </is>
      </c>
      <c r="B18937" t="inlineStr">
        <is>
          <t>Jul-2017</t>
        </is>
      </c>
      <c r="C18937" s="2" t="n">
        <v>43555</v>
      </c>
      <c r="D18937" t="inlineStr">
        <is>
          <t>NIL</t>
        </is>
      </c>
      <c r="E18937" t="n">
        <v>691</v>
      </c>
    </row>
    <row r="18938">
      <c r="A18938" t="inlineStr">
        <is>
          <t>27BBBBB18938Z5</t>
        </is>
      </c>
      <c r="B18938" t="inlineStr">
        <is>
          <t>Oct-2017</t>
        </is>
      </c>
      <c r="C18938" s="2" t="n">
        <v>43661</v>
      </c>
      <c r="D18938" t="inlineStr">
        <is>
          <t>NON-NIL</t>
        </is>
      </c>
      <c r="E18938" t="n">
        <v>782</v>
      </c>
    </row>
    <row r="18939">
      <c r="A18939" t="inlineStr">
        <is>
          <t>27BBBBB18939Z5</t>
        </is>
      </c>
      <c r="B18939" t="inlineStr">
        <is>
          <t>Nov-2017</t>
        </is>
      </c>
      <c r="C18939" s="2" t="n">
        <v>44378</v>
      </c>
      <c r="D18939" t="inlineStr">
        <is>
          <t>NIL</t>
        </is>
      </c>
      <c r="E18939" t="n">
        <v>1823</v>
      </c>
    </row>
    <row r="18940">
      <c r="A18940" t="inlineStr">
        <is>
          <t>27BBBBB18940Z5</t>
        </is>
      </c>
      <c r="B18940" t="inlineStr">
        <is>
          <t>Feb-2018</t>
        </is>
      </c>
      <c r="C18940" s="2" t="n">
        <v>44292</v>
      </c>
      <c r="D18940" t="inlineStr">
        <is>
          <t>NIL</t>
        </is>
      </c>
      <c r="E18940" t="n">
        <v>719</v>
      </c>
    </row>
    <row r="18941">
      <c r="A18941" t="inlineStr">
        <is>
          <t>27BBBBB18941Z5</t>
        </is>
      </c>
      <c r="B18941" t="inlineStr">
        <is>
          <t>Jan-2021</t>
        </is>
      </c>
      <c r="C18941" s="2" t="n">
        <v>45128</v>
      </c>
      <c r="D18941" t="inlineStr">
        <is>
          <t>NON-NIL</t>
        </is>
      </c>
      <c r="E18941" t="n">
        <v>612</v>
      </c>
    </row>
    <row r="18942">
      <c r="A18942" t="inlineStr">
        <is>
          <t>27BBBBB18942Z5</t>
        </is>
      </c>
      <c r="B18942" t="inlineStr">
        <is>
          <t>Jul-2018</t>
        </is>
      </c>
      <c r="C18942" s="2" t="n">
        <v>44217</v>
      </c>
      <c r="D18942" t="inlineStr">
        <is>
          <t>NIL</t>
        </is>
      </c>
      <c r="E18942" t="n">
        <v>1978</v>
      </c>
    </row>
    <row r="18943">
      <c r="A18943" t="inlineStr">
        <is>
          <t>27BBBBB18943Z5</t>
        </is>
      </c>
      <c r="B18943" t="inlineStr">
        <is>
          <t>Dec-2017</t>
        </is>
      </c>
      <c r="C18943" s="2" t="n">
        <v>43686</v>
      </c>
      <c r="D18943" t="inlineStr">
        <is>
          <t>NIL</t>
        </is>
      </c>
      <c r="E18943" t="n">
        <v>472</v>
      </c>
    </row>
    <row r="18944">
      <c r="A18944" t="inlineStr">
        <is>
          <t>27BBBBB18944Z5</t>
        </is>
      </c>
      <c r="B18944" t="inlineStr">
        <is>
          <t>Aug-2017</t>
        </is>
      </c>
      <c r="C18944" s="2" t="n">
        <v>44224</v>
      </c>
      <c r="D18944" t="inlineStr">
        <is>
          <t>NON-NIL</t>
        </is>
      </c>
      <c r="E18944" t="n">
        <v>2055</v>
      </c>
    </row>
    <row r="18945">
      <c r="A18945" t="inlineStr">
        <is>
          <t>27BBBBB18945Z5</t>
        </is>
      </c>
      <c r="B18945" t="inlineStr">
        <is>
          <t>Oct-2017</t>
        </is>
      </c>
      <c r="C18945" s="2" t="n">
        <v>44261</v>
      </c>
      <c r="D18945" t="inlineStr">
        <is>
          <t>NON-NIL</t>
        </is>
      </c>
      <c r="E18945" t="n">
        <v>1272</v>
      </c>
    </row>
    <row r="18946">
      <c r="A18946" t="inlineStr">
        <is>
          <t>27BBBBB18946Z5</t>
        </is>
      </c>
      <c r="B18946" t="inlineStr">
        <is>
          <t>Mar-2023</t>
        </is>
      </c>
      <c r="C18946" s="2" t="n">
        <v>44491</v>
      </c>
      <c r="D18946" t="inlineStr">
        <is>
          <t>NON-NIL</t>
        </is>
      </c>
      <c r="E18946" t="n">
        <v>2695</v>
      </c>
    </row>
    <row r="18947">
      <c r="A18947" t="inlineStr">
        <is>
          <t>27BBBBB18947Z5</t>
        </is>
      </c>
      <c r="B18947" t="inlineStr">
        <is>
          <t>Mar-2021</t>
        </is>
      </c>
      <c r="C18947" s="2" t="n">
        <v>44613</v>
      </c>
      <c r="D18947" t="inlineStr">
        <is>
          <t>NON-NIL</t>
        </is>
      </c>
      <c r="E18947" t="n">
        <v>2717</v>
      </c>
    </row>
    <row r="18948">
      <c r="A18948" t="inlineStr">
        <is>
          <t>27BBBBB18948Z5</t>
        </is>
      </c>
      <c r="B18948" t="inlineStr">
        <is>
          <t>Jun-2018</t>
        </is>
      </c>
      <c r="C18948" s="2" t="n">
        <v>44266</v>
      </c>
      <c r="D18948" t="inlineStr">
        <is>
          <t>NIL</t>
        </is>
      </c>
      <c r="E18948" t="n">
        <v>2673</v>
      </c>
    </row>
    <row r="18949">
      <c r="A18949" t="inlineStr">
        <is>
          <t>27BBBBB18949Z5</t>
        </is>
      </c>
      <c r="B18949" t="inlineStr">
        <is>
          <t>May-2020</t>
        </is>
      </c>
      <c r="C18949" s="2" t="n">
        <v>44226</v>
      </c>
      <c r="D18949" t="inlineStr">
        <is>
          <t>NON-NIL</t>
        </is>
      </c>
      <c r="E18949" t="n">
        <v>2569</v>
      </c>
    </row>
    <row r="18950">
      <c r="A18950" t="inlineStr">
        <is>
          <t>27BBBBB18950Z5</t>
        </is>
      </c>
      <c r="B18950" t="inlineStr">
        <is>
          <t>Aug-2018</t>
        </is>
      </c>
      <c r="C18950" s="2" t="n">
        <v>43543</v>
      </c>
      <c r="D18950" t="inlineStr">
        <is>
          <t>NON-NIL</t>
        </is>
      </c>
      <c r="E18950" t="n">
        <v>2272</v>
      </c>
    </row>
    <row r="18951">
      <c r="A18951" t="inlineStr">
        <is>
          <t>27BBBBB18951Z5</t>
        </is>
      </c>
      <c r="B18951" t="inlineStr">
        <is>
          <t>Feb-2018</t>
        </is>
      </c>
      <c r="C18951" s="2" t="n">
        <v>43135</v>
      </c>
      <c r="D18951" t="inlineStr">
        <is>
          <t>NON-NIL</t>
        </is>
      </c>
      <c r="E18951" t="n">
        <v>485</v>
      </c>
    </row>
    <row r="18952">
      <c r="A18952" t="inlineStr">
        <is>
          <t>27BBBBB18952Z5</t>
        </is>
      </c>
      <c r="B18952" t="inlineStr">
        <is>
          <t>Nov-2017</t>
        </is>
      </c>
      <c r="C18952" s="2" t="n">
        <v>43632</v>
      </c>
      <c r="D18952" t="inlineStr">
        <is>
          <t>NIL</t>
        </is>
      </c>
      <c r="E18952" t="n">
        <v>1608</v>
      </c>
    </row>
    <row r="18953">
      <c r="A18953" t="inlineStr">
        <is>
          <t>27BBBBB18953Z5</t>
        </is>
      </c>
      <c r="B18953" t="inlineStr">
        <is>
          <t>Mar-2023</t>
        </is>
      </c>
      <c r="C18953" s="2" t="n">
        <v>45001</v>
      </c>
      <c r="D18953" t="inlineStr">
        <is>
          <t>NON-NIL</t>
        </is>
      </c>
      <c r="E18953" t="n">
        <v>1426</v>
      </c>
    </row>
    <row r="18954">
      <c r="A18954" t="inlineStr">
        <is>
          <t>27BBBBB18954Z5</t>
        </is>
      </c>
      <c r="B18954" t="inlineStr">
        <is>
          <t>Feb-2018</t>
        </is>
      </c>
      <c r="C18954" s="2" t="n">
        <v>43536</v>
      </c>
      <c r="D18954" t="inlineStr">
        <is>
          <t>NON-NIL</t>
        </is>
      </c>
      <c r="E18954" t="n">
        <v>1075</v>
      </c>
    </row>
    <row r="18955">
      <c r="A18955" t="inlineStr">
        <is>
          <t>27BBBBB18955Z5</t>
        </is>
      </c>
      <c r="B18955" t="inlineStr">
        <is>
          <t>Dec-2024</t>
        </is>
      </c>
      <c r="C18955" s="2" t="n">
        <v>43647</v>
      </c>
      <c r="D18955" t="inlineStr">
        <is>
          <t>NIL</t>
        </is>
      </c>
      <c r="E18955" t="n">
        <v>852</v>
      </c>
    </row>
    <row r="18956">
      <c r="A18956" t="inlineStr">
        <is>
          <t>27BBBBB18956Z5</t>
        </is>
      </c>
      <c r="B18956" t="inlineStr">
        <is>
          <t>Jul-2017</t>
        </is>
      </c>
      <c r="C18956" s="2" t="n">
        <v>43157</v>
      </c>
      <c r="D18956" t="inlineStr">
        <is>
          <t>NIL</t>
        </is>
      </c>
      <c r="E18956" t="n">
        <v>674</v>
      </c>
    </row>
    <row r="18957">
      <c r="A18957" t="inlineStr">
        <is>
          <t>27BBBBB18957Z5</t>
        </is>
      </c>
      <c r="B18957" t="inlineStr">
        <is>
          <t>Jul-2020</t>
        </is>
      </c>
      <c r="C18957" s="2" t="n">
        <v>44833</v>
      </c>
      <c r="D18957" t="inlineStr">
        <is>
          <t>NIL</t>
        </is>
      </c>
      <c r="E18957" t="n">
        <v>2054</v>
      </c>
    </row>
    <row r="18958">
      <c r="A18958" t="inlineStr">
        <is>
          <t>27BBBBB18958Z5</t>
        </is>
      </c>
      <c r="B18958" t="inlineStr">
        <is>
          <t>Jan-2021</t>
        </is>
      </c>
      <c r="C18958" s="2" t="n">
        <v>44349</v>
      </c>
      <c r="D18958" t="inlineStr">
        <is>
          <t>NIL</t>
        </is>
      </c>
      <c r="E18958" t="n">
        <v>2970</v>
      </c>
    </row>
    <row r="18959">
      <c r="A18959" t="inlineStr">
        <is>
          <t>27BBBBB18959Z5</t>
        </is>
      </c>
      <c r="B18959" t="inlineStr">
        <is>
          <t>Aug-2017</t>
        </is>
      </c>
      <c r="C18959" s="2" t="n">
        <v>43831</v>
      </c>
      <c r="D18959" t="inlineStr">
        <is>
          <t>NIL</t>
        </is>
      </c>
      <c r="E18959" t="n">
        <v>1182</v>
      </c>
    </row>
    <row r="18960">
      <c r="A18960" t="inlineStr">
        <is>
          <t>27BBBBB18960Z5</t>
        </is>
      </c>
      <c r="B18960" t="inlineStr">
        <is>
          <t>Nov-2017</t>
        </is>
      </c>
      <c r="C18960" s="2" t="n">
        <v>43522</v>
      </c>
      <c r="D18960" t="inlineStr">
        <is>
          <t>NON-NIL</t>
        </is>
      </c>
      <c r="E18960" t="n">
        <v>2700</v>
      </c>
    </row>
    <row r="18961">
      <c r="A18961" t="inlineStr">
        <is>
          <t>27BBBBB18961Z5</t>
        </is>
      </c>
      <c r="B18961" t="inlineStr">
        <is>
          <t>Sep-2018</t>
        </is>
      </c>
      <c r="C18961" s="2" t="n">
        <v>43720</v>
      </c>
      <c r="D18961" t="inlineStr">
        <is>
          <t>NIL</t>
        </is>
      </c>
      <c r="E18961" t="n">
        <v>1875</v>
      </c>
    </row>
    <row r="18962">
      <c r="A18962" t="inlineStr">
        <is>
          <t>27BBBBB18962Z5</t>
        </is>
      </c>
      <c r="B18962" t="inlineStr">
        <is>
          <t>Dec-2024</t>
        </is>
      </c>
      <c r="C18962" s="2" t="n">
        <v>45372</v>
      </c>
      <c r="D18962" t="inlineStr">
        <is>
          <t>NIL</t>
        </is>
      </c>
      <c r="E18962" t="n">
        <v>2947</v>
      </c>
    </row>
    <row r="18963">
      <c r="A18963" t="inlineStr">
        <is>
          <t>27BBBBB18963Z5</t>
        </is>
      </c>
      <c r="B18963" t="inlineStr">
        <is>
          <t>Mar-2018</t>
        </is>
      </c>
      <c r="C18963" s="2" t="n">
        <v>43571</v>
      </c>
      <c r="D18963" t="inlineStr">
        <is>
          <t>NON-NIL</t>
        </is>
      </c>
      <c r="E18963" t="n">
        <v>1515</v>
      </c>
    </row>
    <row r="18964">
      <c r="A18964" t="inlineStr">
        <is>
          <t>27BBBBB18964Z5</t>
        </is>
      </c>
      <c r="B18964" t="inlineStr">
        <is>
          <t>Apr-2020</t>
        </is>
      </c>
      <c r="C18964" s="2" t="n">
        <v>44194</v>
      </c>
      <c r="D18964" t="inlineStr">
        <is>
          <t>NON-NIL</t>
        </is>
      </c>
      <c r="E18964" t="n">
        <v>2585</v>
      </c>
    </row>
    <row r="18965">
      <c r="A18965" t="inlineStr">
        <is>
          <t>27BBBBB18965Z5</t>
        </is>
      </c>
      <c r="B18965" t="inlineStr">
        <is>
          <t>Mar-2018</t>
        </is>
      </c>
      <c r="C18965" s="2" t="n">
        <v>43708</v>
      </c>
      <c r="D18965" t="inlineStr">
        <is>
          <t>NIL</t>
        </is>
      </c>
      <c r="E18965" t="n">
        <v>585</v>
      </c>
    </row>
    <row r="18966">
      <c r="A18966" t="inlineStr">
        <is>
          <t>27BBBBB18966Z5</t>
        </is>
      </c>
      <c r="B18966" t="inlineStr">
        <is>
          <t>Jul-2018</t>
        </is>
      </c>
      <c r="C18966" s="2" t="n">
        <v>42975</v>
      </c>
      <c r="D18966" t="inlineStr">
        <is>
          <t>NIL</t>
        </is>
      </c>
      <c r="E18966" t="n">
        <v>30</v>
      </c>
    </row>
    <row r="18967">
      <c r="A18967" t="inlineStr">
        <is>
          <t>27BBBBB18967Z5</t>
        </is>
      </c>
      <c r="B18967" t="inlineStr">
        <is>
          <t>Mar-2018</t>
        </is>
      </c>
      <c r="C18967" s="2" t="n">
        <v>43995</v>
      </c>
      <c r="D18967" t="inlineStr">
        <is>
          <t>NIL</t>
        </is>
      </c>
      <c r="E18967" t="n">
        <v>357</v>
      </c>
    </row>
    <row r="18968">
      <c r="A18968" t="inlineStr">
        <is>
          <t>27BBBBB18968Z5</t>
        </is>
      </c>
      <c r="B18968" t="inlineStr">
        <is>
          <t>Jan-2018</t>
        </is>
      </c>
      <c r="C18968" s="2" t="n">
        <v>43334</v>
      </c>
      <c r="D18968" t="inlineStr">
        <is>
          <t>NON-NIL</t>
        </is>
      </c>
      <c r="E18968" t="n">
        <v>1943</v>
      </c>
    </row>
    <row r="18969">
      <c r="A18969" t="inlineStr">
        <is>
          <t>27BBBBB18969Z5</t>
        </is>
      </c>
      <c r="B18969" t="inlineStr">
        <is>
          <t>Jul-2017</t>
        </is>
      </c>
      <c r="C18969" s="2" t="n">
        <v>44030</v>
      </c>
      <c r="D18969" t="inlineStr">
        <is>
          <t>NON-NIL</t>
        </is>
      </c>
      <c r="E18969" t="n">
        <v>1959</v>
      </c>
    </row>
    <row r="18970">
      <c r="A18970" t="inlineStr">
        <is>
          <t>27BBBBB18970Z5</t>
        </is>
      </c>
      <c r="B18970" t="inlineStr">
        <is>
          <t>Mar-2018</t>
        </is>
      </c>
      <c r="C18970" s="2" t="n">
        <v>44063</v>
      </c>
      <c r="D18970" t="inlineStr">
        <is>
          <t>NIL</t>
        </is>
      </c>
      <c r="E18970" t="n">
        <v>1243</v>
      </c>
    </row>
    <row r="18971">
      <c r="A18971" t="inlineStr">
        <is>
          <t>27BBBBB18971Z5</t>
        </is>
      </c>
      <c r="B18971" t="inlineStr">
        <is>
          <t>Mar-2020</t>
        </is>
      </c>
      <c r="C18971" s="2" t="n">
        <v>44063</v>
      </c>
      <c r="D18971" t="inlineStr">
        <is>
          <t>NON-NIL</t>
        </is>
      </c>
      <c r="E18971" t="n">
        <v>1047</v>
      </c>
    </row>
    <row r="18972">
      <c r="A18972" t="inlineStr">
        <is>
          <t>27BBBBB18972Z5</t>
        </is>
      </c>
      <c r="B18972" t="inlineStr">
        <is>
          <t>Jan-2021</t>
        </is>
      </c>
      <c r="C18972" s="2" t="n">
        <v>45304</v>
      </c>
      <c r="D18972" t="inlineStr">
        <is>
          <t>NON-NIL</t>
        </is>
      </c>
      <c r="E18972" t="n">
        <v>1900</v>
      </c>
    </row>
    <row r="18973">
      <c r="A18973" t="inlineStr">
        <is>
          <t>27BBBBB18973Z5</t>
        </is>
      </c>
      <c r="B18973" t="inlineStr">
        <is>
          <t>Mar-2018</t>
        </is>
      </c>
      <c r="C18973" s="2" t="n">
        <v>44096</v>
      </c>
      <c r="D18973" t="inlineStr">
        <is>
          <t>NIL</t>
        </is>
      </c>
      <c r="E18973" t="n">
        <v>1783</v>
      </c>
    </row>
    <row r="18974">
      <c r="A18974" t="inlineStr">
        <is>
          <t>27BBBBB18974Z5</t>
        </is>
      </c>
      <c r="B18974" t="inlineStr">
        <is>
          <t>Jul-2020</t>
        </is>
      </c>
      <c r="C18974" s="2" t="n">
        <v>44754</v>
      </c>
      <c r="D18974" t="inlineStr">
        <is>
          <t>NIL</t>
        </is>
      </c>
      <c r="E18974" t="n">
        <v>2626</v>
      </c>
    </row>
    <row r="18975">
      <c r="A18975" t="inlineStr">
        <is>
          <t>27BBBBB18975Z5</t>
        </is>
      </c>
      <c r="B18975" t="inlineStr">
        <is>
          <t>Feb-2018</t>
        </is>
      </c>
      <c r="C18975" s="2" t="n">
        <v>43284</v>
      </c>
      <c r="D18975" t="inlineStr">
        <is>
          <t>NIL</t>
        </is>
      </c>
      <c r="E18975" t="n">
        <v>2152</v>
      </c>
    </row>
    <row r="18976">
      <c r="A18976" t="inlineStr">
        <is>
          <t>27BBBBB18976Z5</t>
        </is>
      </c>
      <c r="B18976" t="inlineStr">
        <is>
          <t>Mar-2020</t>
        </is>
      </c>
      <c r="C18976" s="2" t="n">
        <v>44363</v>
      </c>
      <c r="D18976" t="inlineStr">
        <is>
          <t>NIL</t>
        </is>
      </c>
      <c r="E18976" t="n">
        <v>1474</v>
      </c>
    </row>
    <row r="18977">
      <c r="A18977" t="inlineStr">
        <is>
          <t>27BBBBB18977Z5</t>
        </is>
      </c>
      <c r="B18977" t="inlineStr">
        <is>
          <t>Oct-2018</t>
        </is>
      </c>
      <c r="C18977" s="2" t="n">
        <v>43072</v>
      </c>
      <c r="D18977" t="inlineStr">
        <is>
          <t>NIL</t>
        </is>
      </c>
      <c r="E18977" t="n">
        <v>1256</v>
      </c>
    </row>
    <row r="18978">
      <c r="A18978" t="inlineStr">
        <is>
          <t>27BBBBB18978Z5</t>
        </is>
      </c>
      <c r="B18978" t="inlineStr">
        <is>
          <t>Dec-2017</t>
        </is>
      </c>
      <c r="C18978" s="2" t="n">
        <v>43541</v>
      </c>
      <c r="D18978" t="inlineStr">
        <is>
          <t>NIL</t>
        </is>
      </c>
      <c r="E18978" t="n">
        <v>281</v>
      </c>
    </row>
    <row r="18979">
      <c r="A18979" t="inlineStr">
        <is>
          <t>27BBBBB18979Z5</t>
        </is>
      </c>
      <c r="B18979" t="inlineStr">
        <is>
          <t>Aug-2017</t>
        </is>
      </c>
      <c r="C18979" s="2" t="n">
        <v>44523</v>
      </c>
      <c r="D18979" t="inlineStr">
        <is>
          <t>NON-NIL</t>
        </is>
      </c>
      <c r="E18979" t="n">
        <v>2249</v>
      </c>
    </row>
    <row r="18980">
      <c r="A18980" t="inlineStr">
        <is>
          <t>27BBBBB18980Z5</t>
        </is>
      </c>
      <c r="B18980" t="inlineStr">
        <is>
          <t>Nov-2018</t>
        </is>
      </c>
      <c r="C18980" s="2" t="n">
        <v>44028</v>
      </c>
      <c r="D18980" t="inlineStr">
        <is>
          <t>NIL</t>
        </is>
      </c>
      <c r="E18980" t="n">
        <v>2087</v>
      </c>
    </row>
    <row r="18981">
      <c r="A18981" t="inlineStr">
        <is>
          <t>27BBBBB18981Z5</t>
        </is>
      </c>
      <c r="B18981" t="inlineStr">
        <is>
          <t>Mar-2023</t>
        </is>
      </c>
      <c r="C18981" s="2" t="n">
        <v>45723</v>
      </c>
      <c r="D18981" t="inlineStr">
        <is>
          <t>NON-NIL</t>
        </is>
      </c>
      <c r="E18981" t="n">
        <v>578</v>
      </c>
    </row>
    <row r="18982">
      <c r="A18982" t="inlineStr">
        <is>
          <t>27BBBBB18982Z5</t>
        </is>
      </c>
      <c r="B18982" t="inlineStr">
        <is>
          <t>Mar-2018</t>
        </is>
      </c>
      <c r="C18982" s="2" t="n">
        <v>44068</v>
      </c>
      <c r="D18982" t="inlineStr">
        <is>
          <t>NIL</t>
        </is>
      </c>
      <c r="E18982" t="n">
        <v>1664</v>
      </c>
    </row>
    <row r="18983">
      <c r="A18983" t="inlineStr">
        <is>
          <t>27BBBBB18983Z5</t>
        </is>
      </c>
      <c r="B18983" t="inlineStr">
        <is>
          <t>Jun-2020</t>
        </is>
      </c>
      <c r="C18983" s="2" t="n">
        <v>44539</v>
      </c>
      <c r="D18983" t="inlineStr">
        <is>
          <t>NON-NIL</t>
        </is>
      </c>
      <c r="E18983" t="n">
        <v>2708</v>
      </c>
    </row>
    <row r="18984">
      <c r="A18984" t="inlineStr">
        <is>
          <t>27BBBBB18984Z5</t>
        </is>
      </c>
      <c r="B18984" t="inlineStr">
        <is>
          <t>Aug-2018</t>
        </is>
      </c>
      <c r="C18984" s="2" t="n">
        <v>43915</v>
      </c>
      <c r="D18984" t="inlineStr">
        <is>
          <t>NON-NIL</t>
        </is>
      </c>
      <c r="E18984" t="n">
        <v>2251</v>
      </c>
    </row>
    <row r="18985">
      <c r="A18985" t="inlineStr">
        <is>
          <t>27BBBBB18985Z5</t>
        </is>
      </c>
      <c r="B18985" t="inlineStr">
        <is>
          <t>Apr-2018</t>
        </is>
      </c>
      <c r="C18985" s="2" t="n">
        <v>44317</v>
      </c>
      <c r="D18985" t="inlineStr">
        <is>
          <t>NIL</t>
        </is>
      </c>
      <c r="E18985" t="n">
        <v>2330</v>
      </c>
    </row>
    <row r="18986">
      <c r="A18986" t="inlineStr">
        <is>
          <t>27BBBBB18986Z5</t>
        </is>
      </c>
      <c r="B18986" t="inlineStr">
        <is>
          <t>Feb-2018</t>
        </is>
      </c>
      <c r="C18986" s="2" t="n">
        <v>44026</v>
      </c>
      <c r="D18986" t="inlineStr">
        <is>
          <t>NIL</t>
        </is>
      </c>
      <c r="E18986" t="n">
        <v>298</v>
      </c>
    </row>
    <row r="18987">
      <c r="A18987" t="inlineStr">
        <is>
          <t>27BBBBB18987Z5</t>
        </is>
      </c>
      <c r="B18987" t="inlineStr">
        <is>
          <t>Jun-2020</t>
        </is>
      </c>
      <c r="C18987" s="2" t="n">
        <v>44202</v>
      </c>
      <c r="D18987" t="inlineStr">
        <is>
          <t>NON-NIL</t>
        </is>
      </c>
      <c r="E18987" t="n">
        <v>1665</v>
      </c>
    </row>
    <row r="18988">
      <c r="A18988" t="inlineStr">
        <is>
          <t>27BBBBB18988Z5</t>
        </is>
      </c>
      <c r="B18988" t="inlineStr">
        <is>
          <t>Jul-2017</t>
        </is>
      </c>
      <c r="C18988" s="2" t="n">
        <v>44450</v>
      </c>
      <c r="D18988" t="inlineStr">
        <is>
          <t>NIL</t>
        </is>
      </c>
      <c r="E18988" t="n">
        <v>3000</v>
      </c>
    </row>
    <row r="18989">
      <c r="A18989" t="inlineStr">
        <is>
          <t>27BBBBB18989Z5</t>
        </is>
      </c>
      <c r="B18989" t="inlineStr">
        <is>
          <t>Nov-2018</t>
        </is>
      </c>
      <c r="C18989" s="2" t="n">
        <v>43349</v>
      </c>
      <c r="D18989" t="inlineStr">
        <is>
          <t>NON-NIL</t>
        </is>
      </c>
      <c r="E18989" t="n">
        <v>1241</v>
      </c>
    </row>
    <row r="18990">
      <c r="A18990" t="inlineStr">
        <is>
          <t>27BBBBB18990Z5</t>
        </is>
      </c>
      <c r="B18990" t="inlineStr">
        <is>
          <t>Aug-2017</t>
        </is>
      </c>
      <c r="C18990" s="2" t="n">
        <v>44176</v>
      </c>
      <c r="D18990" t="inlineStr">
        <is>
          <t>NIL</t>
        </is>
      </c>
      <c r="E18990" t="n">
        <v>663</v>
      </c>
    </row>
    <row r="18991">
      <c r="A18991" t="inlineStr">
        <is>
          <t>27BBBBB18991Z5</t>
        </is>
      </c>
      <c r="B18991" t="inlineStr">
        <is>
          <t>Jun-2018</t>
        </is>
      </c>
      <c r="C18991" s="2" t="n">
        <v>43059</v>
      </c>
      <c r="D18991" t="inlineStr">
        <is>
          <t>NON-NIL</t>
        </is>
      </c>
      <c r="E18991" t="n">
        <v>1491</v>
      </c>
    </row>
    <row r="18992">
      <c r="A18992" t="inlineStr">
        <is>
          <t>27BBBBB18992Z5</t>
        </is>
      </c>
      <c r="B18992" t="inlineStr">
        <is>
          <t>May-2020</t>
        </is>
      </c>
      <c r="C18992" s="2" t="n">
        <v>43890</v>
      </c>
      <c r="D18992" t="inlineStr">
        <is>
          <t>NIL</t>
        </is>
      </c>
      <c r="E18992" t="n">
        <v>233</v>
      </c>
    </row>
    <row r="18993">
      <c r="A18993" t="inlineStr">
        <is>
          <t>27BBBBB18993Z5</t>
        </is>
      </c>
      <c r="B18993" t="inlineStr">
        <is>
          <t>Apr-2020</t>
        </is>
      </c>
      <c r="C18993" s="2" t="n">
        <v>43893</v>
      </c>
      <c r="D18993" t="inlineStr">
        <is>
          <t>NON-NIL</t>
        </is>
      </c>
      <c r="E18993" t="n">
        <v>1155</v>
      </c>
    </row>
    <row r="18994">
      <c r="A18994" t="inlineStr">
        <is>
          <t>27BBBBB18994Z5</t>
        </is>
      </c>
      <c r="B18994" t="inlineStr">
        <is>
          <t>Dec-2017</t>
        </is>
      </c>
      <c r="C18994" s="2" t="n">
        <v>43436</v>
      </c>
      <c r="D18994" t="inlineStr">
        <is>
          <t>NIL</t>
        </is>
      </c>
      <c r="E18994" t="n">
        <v>464</v>
      </c>
    </row>
    <row r="18995">
      <c r="A18995" t="inlineStr">
        <is>
          <t>27BBBBB18995Z5</t>
        </is>
      </c>
      <c r="B18995" t="inlineStr">
        <is>
          <t>Jul-2017</t>
        </is>
      </c>
      <c r="C18995" s="2" t="n">
        <v>43854</v>
      </c>
      <c r="D18995" t="inlineStr">
        <is>
          <t>NIL</t>
        </is>
      </c>
      <c r="E18995" t="n">
        <v>431</v>
      </c>
    </row>
    <row r="18996">
      <c r="A18996" t="inlineStr">
        <is>
          <t>27BBBBB18996Z5</t>
        </is>
      </c>
      <c r="B18996" t="inlineStr">
        <is>
          <t>Mar-2018</t>
        </is>
      </c>
      <c r="C18996" s="2" t="n">
        <v>44407</v>
      </c>
      <c r="D18996" t="inlineStr">
        <is>
          <t>NIL</t>
        </is>
      </c>
      <c r="E18996" t="n">
        <v>536</v>
      </c>
    </row>
    <row r="18997">
      <c r="A18997" t="inlineStr">
        <is>
          <t>27BBBBB18997Z5</t>
        </is>
      </c>
      <c r="B18997" t="inlineStr">
        <is>
          <t>May-2020</t>
        </is>
      </c>
      <c r="C18997" s="2" t="n">
        <v>44750</v>
      </c>
      <c r="D18997" t="inlineStr">
        <is>
          <t>NIL</t>
        </is>
      </c>
      <c r="E18997" t="n">
        <v>2345</v>
      </c>
    </row>
    <row r="18998">
      <c r="A18998" t="inlineStr">
        <is>
          <t>27BBBBB18998Z5</t>
        </is>
      </c>
      <c r="B18998" t="inlineStr">
        <is>
          <t>Dec-2024</t>
        </is>
      </c>
      <c r="C18998" s="2" t="n">
        <v>45421</v>
      </c>
      <c r="D18998" t="inlineStr">
        <is>
          <t>NIL</t>
        </is>
      </c>
      <c r="E18998" t="n">
        <v>2102</v>
      </c>
    </row>
    <row r="18999">
      <c r="A18999" t="inlineStr">
        <is>
          <t>27BBBBB18999Z5</t>
        </is>
      </c>
      <c r="B18999" t="inlineStr">
        <is>
          <t>Oct-2017</t>
        </is>
      </c>
      <c r="C18999" s="2" t="n">
        <v>42987</v>
      </c>
      <c r="D18999" t="inlineStr">
        <is>
          <t>NIL</t>
        </is>
      </c>
      <c r="E18999" t="n">
        <v>1598</v>
      </c>
    </row>
    <row r="19000">
      <c r="A19000" t="inlineStr">
        <is>
          <t>27BBBBB19000Z5</t>
        </is>
      </c>
      <c r="B19000" t="inlineStr">
        <is>
          <t>Dec-2017</t>
        </is>
      </c>
      <c r="C19000" s="2" t="n">
        <v>42921</v>
      </c>
      <c r="D19000" t="inlineStr">
        <is>
          <t>NIL</t>
        </is>
      </c>
      <c r="E19000" t="n">
        <v>643</v>
      </c>
    </row>
    <row r="19001">
      <c r="A19001" t="inlineStr">
        <is>
          <t>27BBBBB19001Z5</t>
        </is>
      </c>
      <c r="B19001" t="inlineStr">
        <is>
          <t>Oct-2018</t>
        </is>
      </c>
      <c r="C19001" s="2" t="n">
        <v>43349</v>
      </c>
      <c r="D19001" t="inlineStr">
        <is>
          <t>NIL</t>
        </is>
      </c>
      <c r="E19001" t="n">
        <v>1785</v>
      </c>
    </row>
    <row r="19002">
      <c r="A19002" t="inlineStr">
        <is>
          <t>27BBBBB19002Z5</t>
        </is>
      </c>
      <c r="B19002" t="inlineStr">
        <is>
          <t>Feb-2018</t>
        </is>
      </c>
      <c r="C19002" s="2" t="n">
        <v>43433</v>
      </c>
      <c r="D19002" t="inlineStr">
        <is>
          <t>NON-NIL</t>
        </is>
      </c>
      <c r="E19002" t="n">
        <v>998</v>
      </c>
    </row>
    <row r="19003">
      <c r="A19003" t="inlineStr">
        <is>
          <t>27BBBBB19003Z5</t>
        </is>
      </c>
      <c r="B19003" t="inlineStr">
        <is>
          <t>Aug-2018</t>
        </is>
      </c>
      <c r="C19003" s="2" t="n">
        <v>44483</v>
      </c>
      <c r="D19003" t="inlineStr">
        <is>
          <t>NIL</t>
        </is>
      </c>
      <c r="E19003" t="n">
        <v>2325</v>
      </c>
    </row>
    <row r="19004">
      <c r="A19004" t="inlineStr">
        <is>
          <t>27BBBBB19004Z5</t>
        </is>
      </c>
      <c r="B19004" t="inlineStr">
        <is>
          <t>Mar-2020</t>
        </is>
      </c>
      <c r="C19004" s="2" t="n">
        <v>43918</v>
      </c>
      <c r="D19004" t="inlineStr">
        <is>
          <t>NIL</t>
        </is>
      </c>
      <c r="E19004" t="n">
        <v>2394</v>
      </c>
    </row>
    <row r="19005">
      <c r="A19005" t="inlineStr">
        <is>
          <t>27BBBBB19005Z5</t>
        </is>
      </c>
      <c r="B19005" t="inlineStr">
        <is>
          <t>Apr-2018</t>
        </is>
      </c>
      <c r="C19005" s="2" t="n">
        <v>44025</v>
      </c>
      <c r="D19005" t="inlineStr">
        <is>
          <t>NIL</t>
        </is>
      </c>
      <c r="E19005" t="n">
        <v>398</v>
      </c>
    </row>
    <row r="19006">
      <c r="A19006" t="inlineStr">
        <is>
          <t>27BBBBB19006Z5</t>
        </is>
      </c>
      <c r="B19006" t="inlineStr">
        <is>
          <t>Jun-2020</t>
        </is>
      </c>
      <c r="C19006" s="2" t="n">
        <v>44005</v>
      </c>
      <c r="D19006" t="inlineStr">
        <is>
          <t>NIL</t>
        </is>
      </c>
      <c r="E19006" t="n">
        <v>2352</v>
      </c>
    </row>
    <row r="19007">
      <c r="A19007" t="inlineStr">
        <is>
          <t>27BBBBB19007Z5</t>
        </is>
      </c>
      <c r="B19007" t="inlineStr">
        <is>
          <t>Oct-2018</t>
        </is>
      </c>
      <c r="C19007" s="2" t="n">
        <v>43781</v>
      </c>
      <c r="D19007" t="inlineStr">
        <is>
          <t>NON-NIL</t>
        </is>
      </c>
      <c r="E19007" t="n">
        <v>31</v>
      </c>
    </row>
    <row r="19008">
      <c r="A19008" t="inlineStr">
        <is>
          <t>27BBBBB19008Z5</t>
        </is>
      </c>
      <c r="B19008" t="inlineStr">
        <is>
          <t>Mar-2023</t>
        </is>
      </c>
      <c r="C19008" s="2" t="n">
        <v>45371</v>
      </c>
      <c r="D19008" t="inlineStr">
        <is>
          <t>NIL</t>
        </is>
      </c>
      <c r="E19008" t="n">
        <v>177</v>
      </c>
    </row>
    <row r="19009">
      <c r="A19009" t="inlineStr">
        <is>
          <t>27BBBBB19009Z5</t>
        </is>
      </c>
      <c r="B19009" t="inlineStr">
        <is>
          <t>May-2020</t>
        </is>
      </c>
      <c r="C19009" s="2" t="n">
        <v>44523</v>
      </c>
      <c r="D19009" t="inlineStr">
        <is>
          <t>NIL</t>
        </is>
      </c>
      <c r="E19009" t="n">
        <v>1357</v>
      </c>
    </row>
    <row r="19010">
      <c r="A19010" t="inlineStr">
        <is>
          <t>27BBBBB19010Z5</t>
        </is>
      </c>
      <c r="B19010" t="inlineStr">
        <is>
          <t>Dec-2018</t>
        </is>
      </c>
      <c r="C19010" s="2" t="n">
        <v>43670</v>
      </c>
      <c r="D19010" t="inlineStr">
        <is>
          <t>NIL</t>
        </is>
      </c>
      <c r="E19010" t="n">
        <v>876</v>
      </c>
    </row>
    <row r="19011">
      <c r="A19011" t="inlineStr">
        <is>
          <t>27BBBBB19011Z5</t>
        </is>
      </c>
      <c r="B19011" t="inlineStr">
        <is>
          <t>Dec-2024</t>
        </is>
      </c>
      <c r="C19011" s="2" t="n">
        <v>43727</v>
      </c>
      <c r="D19011" t="inlineStr">
        <is>
          <t>NON-NIL</t>
        </is>
      </c>
      <c r="E19011" t="n">
        <v>1174</v>
      </c>
    </row>
    <row r="19012">
      <c r="A19012" t="inlineStr">
        <is>
          <t>27BBBBB19012Z5</t>
        </is>
      </c>
      <c r="B19012" t="inlineStr">
        <is>
          <t>Dec-2022</t>
        </is>
      </c>
      <c r="C19012" s="2" t="n">
        <v>43819</v>
      </c>
      <c r="D19012" t="inlineStr">
        <is>
          <t>NON-NIL</t>
        </is>
      </c>
      <c r="E19012" t="n">
        <v>1177</v>
      </c>
    </row>
    <row r="19013">
      <c r="A19013" t="inlineStr">
        <is>
          <t>27BBBBB19013Z5</t>
        </is>
      </c>
      <c r="B19013" t="inlineStr">
        <is>
          <t>Aug-2018</t>
        </is>
      </c>
      <c r="C19013" s="2" t="n">
        <v>44041</v>
      </c>
      <c r="D19013" t="inlineStr">
        <is>
          <t>NIL</t>
        </is>
      </c>
      <c r="E19013" t="n">
        <v>807</v>
      </c>
    </row>
    <row r="19014">
      <c r="A19014" t="inlineStr">
        <is>
          <t>27BBBBB19014Z5</t>
        </is>
      </c>
      <c r="B19014" t="inlineStr">
        <is>
          <t>Dec-2024</t>
        </is>
      </c>
      <c r="C19014" s="2" t="n">
        <v>43613</v>
      </c>
      <c r="D19014" t="inlineStr">
        <is>
          <t>NIL</t>
        </is>
      </c>
      <c r="E19014" t="n">
        <v>34</v>
      </c>
    </row>
    <row r="19015">
      <c r="A19015" t="inlineStr">
        <is>
          <t>27BBBBB19015Z5</t>
        </is>
      </c>
      <c r="B19015" t="inlineStr">
        <is>
          <t>Aug-2017</t>
        </is>
      </c>
      <c r="C19015" s="2" t="n">
        <v>43992</v>
      </c>
      <c r="D19015" t="inlineStr">
        <is>
          <t>NIL</t>
        </is>
      </c>
      <c r="E19015" t="n">
        <v>217</v>
      </c>
    </row>
    <row r="19016">
      <c r="A19016" t="inlineStr">
        <is>
          <t>27BBBBB19016Z5</t>
        </is>
      </c>
      <c r="B19016" t="inlineStr">
        <is>
          <t>Nov-2018</t>
        </is>
      </c>
      <c r="C19016" s="2" t="n">
        <v>43776</v>
      </c>
      <c r="D19016" t="inlineStr">
        <is>
          <t>NIL</t>
        </is>
      </c>
      <c r="E19016" t="n">
        <v>967</v>
      </c>
    </row>
    <row r="19017">
      <c r="A19017" t="inlineStr">
        <is>
          <t>27BBBBB19017Z5</t>
        </is>
      </c>
      <c r="B19017" t="inlineStr">
        <is>
          <t>Aug-2018</t>
        </is>
      </c>
      <c r="C19017" s="2" t="n">
        <v>43334</v>
      </c>
      <c r="D19017" t="inlineStr">
        <is>
          <t>NON-NIL</t>
        </is>
      </c>
      <c r="E19017" t="n">
        <v>114</v>
      </c>
    </row>
    <row r="19018">
      <c r="A19018" t="inlineStr">
        <is>
          <t>27BBBBB19018Z5</t>
        </is>
      </c>
      <c r="B19018" t="inlineStr">
        <is>
          <t>Jan-2018</t>
        </is>
      </c>
      <c r="C19018" s="2" t="n">
        <v>44462</v>
      </c>
      <c r="D19018" t="inlineStr">
        <is>
          <t>NON-NIL</t>
        </is>
      </c>
      <c r="E19018" t="n">
        <v>368</v>
      </c>
    </row>
    <row r="19019">
      <c r="A19019" t="inlineStr">
        <is>
          <t>27BBBBB19019Z5</t>
        </is>
      </c>
      <c r="B19019" t="inlineStr">
        <is>
          <t>Aug-2018</t>
        </is>
      </c>
      <c r="C19019" s="2" t="n">
        <v>43232</v>
      </c>
      <c r="D19019" t="inlineStr">
        <is>
          <t>NIL</t>
        </is>
      </c>
      <c r="E19019" t="n">
        <v>942</v>
      </c>
    </row>
    <row r="19020">
      <c r="A19020" t="inlineStr">
        <is>
          <t>27BBBBB19020Z5</t>
        </is>
      </c>
      <c r="B19020" t="inlineStr">
        <is>
          <t>May-2018</t>
        </is>
      </c>
      <c r="C19020" s="2" t="n">
        <v>44098</v>
      </c>
      <c r="D19020" t="inlineStr">
        <is>
          <t>NIL</t>
        </is>
      </c>
      <c r="E19020" t="n">
        <v>1774</v>
      </c>
    </row>
    <row r="19021">
      <c r="A19021" t="inlineStr">
        <is>
          <t>27BBBBB19021Z5</t>
        </is>
      </c>
      <c r="B19021" t="inlineStr">
        <is>
          <t>Dec-2022</t>
        </is>
      </c>
      <c r="C19021" s="2" t="n">
        <v>45075</v>
      </c>
      <c r="D19021" t="inlineStr">
        <is>
          <t>NIL</t>
        </is>
      </c>
      <c r="E19021" t="n">
        <v>2347</v>
      </c>
    </row>
    <row r="19022">
      <c r="A19022" t="inlineStr">
        <is>
          <t>27BBBBB19022Z5</t>
        </is>
      </c>
      <c r="B19022" t="inlineStr">
        <is>
          <t>Jan-2018</t>
        </is>
      </c>
      <c r="C19022" s="2" t="n">
        <v>44085</v>
      </c>
      <c r="D19022" t="inlineStr">
        <is>
          <t>NON-NIL</t>
        </is>
      </c>
      <c r="E19022" t="n">
        <v>1091</v>
      </c>
    </row>
    <row r="19023">
      <c r="A19023" t="inlineStr">
        <is>
          <t>27BBBBB19023Z5</t>
        </is>
      </c>
      <c r="B19023" t="inlineStr">
        <is>
          <t>Jul-2017</t>
        </is>
      </c>
      <c r="C19023" s="2" t="n">
        <v>44220</v>
      </c>
      <c r="D19023" t="inlineStr">
        <is>
          <t>NIL</t>
        </is>
      </c>
      <c r="E19023" t="n">
        <v>527</v>
      </c>
    </row>
    <row r="19024">
      <c r="A19024" t="inlineStr">
        <is>
          <t>27BBBBB19024Z5</t>
        </is>
      </c>
      <c r="B19024" t="inlineStr">
        <is>
          <t>Dec-2022</t>
        </is>
      </c>
      <c r="C19024" s="2" t="n">
        <v>43650</v>
      </c>
      <c r="D19024" t="inlineStr">
        <is>
          <t>NON-NIL</t>
        </is>
      </c>
      <c r="E19024" t="n">
        <v>2671</v>
      </c>
    </row>
    <row r="19025">
      <c r="A19025" t="inlineStr">
        <is>
          <t>27BBBBB19025Z5</t>
        </is>
      </c>
      <c r="B19025" t="inlineStr">
        <is>
          <t>Dec-2017</t>
        </is>
      </c>
      <c r="C19025" s="2" t="n">
        <v>43678</v>
      </c>
      <c r="D19025" t="inlineStr">
        <is>
          <t>NON-NIL</t>
        </is>
      </c>
      <c r="E19025" t="n">
        <v>1290</v>
      </c>
    </row>
    <row r="19026">
      <c r="A19026" t="inlineStr">
        <is>
          <t>27BBBBB19026Z5</t>
        </is>
      </c>
      <c r="B19026" t="inlineStr">
        <is>
          <t>Dec-2024</t>
        </is>
      </c>
      <c r="C19026" s="2" t="n">
        <v>45201</v>
      </c>
      <c r="D19026" t="inlineStr">
        <is>
          <t>NON-NIL</t>
        </is>
      </c>
      <c r="E19026" t="n">
        <v>1882</v>
      </c>
    </row>
    <row r="19027">
      <c r="A19027" t="inlineStr">
        <is>
          <t>27BBBBB19027Z5</t>
        </is>
      </c>
      <c r="B19027" t="inlineStr">
        <is>
          <t>Apr-2020</t>
        </is>
      </c>
      <c r="C19027" s="2" t="n">
        <v>44023</v>
      </c>
      <c r="D19027" t="inlineStr">
        <is>
          <t>NON-NIL</t>
        </is>
      </c>
      <c r="E19027" t="n">
        <v>664</v>
      </c>
    </row>
    <row r="19028">
      <c r="A19028" t="inlineStr">
        <is>
          <t>27BBBBB19028Z5</t>
        </is>
      </c>
      <c r="B19028" t="inlineStr">
        <is>
          <t>Sep-2018</t>
        </is>
      </c>
      <c r="C19028" s="2" t="n">
        <v>44374</v>
      </c>
      <c r="D19028" t="inlineStr">
        <is>
          <t>NIL</t>
        </is>
      </c>
      <c r="E19028" t="n">
        <v>728</v>
      </c>
    </row>
    <row r="19029">
      <c r="A19029" t="inlineStr">
        <is>
          <t>27BBBBB19029Z5</t>
        </is>
      </c>
      <c r="B19029" t="inlineStr">
        <is>
          <t>Mar-2021</t>
        </is>
      </c>
      <c r="C19029" s="2" t="n">
        <v>45326</v>
      </c>
      <c r="D19029" t="inlineStr">
        <is>
          <t>NIL</t>
        </is>
      </c>
      <c r="E19029" t="n">
        <v>1033</v>
      </c>
    </row>
    <row r="19030">
      <c r="A19030" t="inlineStr">
        <is>
          <t>27BBBBB19030Z5</t>
        </is>
      </c>
      <c r="B19030" t="inlineStr">
        <is>
          <t>Sep-2017</t>
        </is>
      </c>
      <c r="C19030" s="2" t="n">
        <v>44515</v>
      </c>
      <c r="D19030" t="inlineStr">
        <is>
          <t>NON-NIL</t>
        </is>
      </c>
      <c r="E19030" t="n">
        <v>1506</v>
      </c>
    </row>
    <row r="19031">
      <c r="A19031" t="inlineStr">
        <is>
          <t>27BBBBB19031Z5</t>
        </is>
      </c>
      <c r="B19031" t="inlineStr">
        <is>
          <t>Jul-2018</t>
        </is>
      </c>
      <c r="C19031" s="2" t="n">
        <v>43212</v>
      </c>
      <c r="D19031" t="inlineStr">
        <is>
          <t>NIL</t>
        </is>
      </c>
      <c r="E19031" t="n">
        <v>1390</v>
      </c>
    </row>
    <row r="19032">
      <c r="A19032" t="inlineStr">
        <is>
          <t>27BBBBB19032Z5</t>
        </is>
      </c>
      <c r="B19032" t="inlineStr">
        <is>
          <t>Aug-2018</t>
        </is>
      </c>
      <c r="C19032" s="2" t="n">
        <v>43887</v>
      </c>
      <c r="D19032" t="inlineStr">
        <is>
          <t>NIL</t>
        </is>
      </c>
      <c r="E19032" t="n">
        <v>1252</v>
      </c>
    </row>
    <row r="19033">
      <c r="A19033" t="inlineStr">
        <is>
          <t>27BBBBB19033Z5</t>
        </is>
      </c>
      <c r="B19033" t="inlineStr">
        <is>
          <t>Nov-2017</t>
        </is>
      </c>
      <c r="C19033" s="2" t="n">
        <v>43081</v>
      </c>
      <c r="D19033" t="inlineStr">
        <is>
          <t>NON-NIL</t>
        </is>
      </c>
      <c r="E19033" t="n">
        <v>637</v>
      </c>
    </row>
    <row r="19034">
      <c r="A19034" t="inlineStr">
        <is>
          <t>27BBBBB19034Z5</t>
        </is>
      </c>
      <c r="B19034" t="inlineStr">
        <is>
          <t>Dec-2024</t>
        </is>
      </c>
      <c r="C19034" s="2" t="n">
        <v>45044</v>
      </c>
      <c r="D19034" t="inlineStr">
        <is>
          <t>NON-NIL</t>
        </is>
      </c>
      <c r="E19034" t="n">
        <v>2032</v>
      </c>
    </row>
    <row r="19035">
      <c r="A19035" t="inlineStr">
        <is>
          <t>27BBBBB19035Z5</t>
        </is>
      </c>
      <c r="B19035" t="inlineStr">
        <is>
          <t>Apr-2018</t>
        </is>
      </c>
      <c r="C19035" s="2" t="n">
        <v>44362</v>
      </c>
      <c r="D19035" t="inlineStr">
        <is>
          <t>NON-NIL</t>
        </is>
      </c>
      <c r="E19035" t="n">
        <v>420</v>
      </c>
    </row>
    <row r="19036">
      <c r="A19036" t="inlineStr">
        <is>
          <t>27BBBBB19036Z5</t>
        </is>
      </c>
      <c r="B19036" t="inlineStr">
        <is>
          <t>Dec-2024</t>
        </is>
      </c>
      <c r="C19036" s="2" t="n">
        <v>43765</v>
      </c>
      <c r="D19036" t="inlineStr">
        <is>
          <t>NIL</t>
        </is>
      </c>
      <c r="E19036" t="n">
        <v>1282</v>
      </c>
    </row>
    <row r="19037">
      <c r="A19037" t="inlineStr">
        <is>
          <t>27BBBBB19037Z5</t>
        </is>
      </c>
      <c r="B19037" t="inlineStr">
        <is>
          <t>Oct-2018</t>
        </is>
      </c>
      <c r="C19037" s="2" t="n">
        <v>43820</v>
      </c>
      <c r="D19037" t="inlineStr">
        <is>
          <t>NIL</t>
        </is>
      </c>
      <c r="E19037" t="n">
        <v>77</v>
      </c>
    </row>
    <row r="19038">
      <c r="A19038" t="inlineStr">
        <is>
          <t>27BBBBB19038Z5</t>
        </is>
      </c>
      <c r="B19038" t="inlineStr">
        <is>
          <t>Jan-2021</t>
        </is>
      </c>
      <c r="C19038" s="2" t="n">
        <v>45522</v>
      </c>
      <c r="D19038" t="inlineStr">
        <is>
          <t>NON-NIL</t>
        </is>
      </c>
      <c r="E19038" t="n">
        <v>2245</v>
      </c>
    </row>
    <row r="19039">
      <c r="A19039" t="inlineStr">
        <is>
          <t>27BBBBB19039Z5</t>
        </is>
      </c>
      <c r="B19039" t="inlineStr">
        <is>
          <t>Dec-2017</t>
        </is>
      </c>
      <c r="C19039" s="2" t="n">
        <v>43466</v>
      </c>
      <c r="D19039" t="inlineStr">
        <is>
          <t>NIL</t>
        </is>
      </c>
      <c r="E19039" t="n">
        <v>186</v>
      </c>
    </row>
    <row r="19040">
      <c r="A19040" t="inlineStr">
        <is>
          <t>27BBBBB19040Z5</t>
        </is>
      </c>
      <c r="B19040" t="inlineStr">
        <is>
          <t>May-2018</t>
        </is>
      </c>
      <c r="C19040" s="2" t="n">
        <v>43668</v>
      </c>
      <c r="D19040" t="inlineStr">
        <is>
          <t>NIL</t>
        </is>
      </c>
      <c r="E19040" t="n">
        <v>2116</v>
      </c>
    </row>
    <row r="19041">
      <c r="A19041" t="inlineStr">
        <is>
          <t>27BBBBB19041Z5</t>
        </is>
      </c>
      <c r="B19041" t="inlineStr">
        <is>
          <t>Jul-2018</t>
        </is>
      </c>
      <c r="C19041" s="2" t="n">
        <v>43311</v>
      </c>
      <c r="D19041" t="inlineStr">
        <is>
          <t>NIL</t>
        </is>
      </c>
      <c r="E19041" t="n">
        <v>1530</v>
      </c>
    </row>
    <row r="19042">
      <c r="A19042" t="inlineStr">
        <is>
          <t>27BBBBB19042Z5</t>
        </is>
      </c>
      <c r="B19042" t="inlineStr">
        <is>
          <t>Apr-2018</t>
        </is>
      </c>
      <c r="C19042" s="2" t="n">
        <v>43327</v>
      </c>
      <c r="D19042" t="inlineStr">
        <is>
          <t>NON-NIL</t>
        </is>
      </c>
      <c r="E19042" t="n">
        <v>1441</v>
      </c>
    </row>
    <row r="19043">
      <c r="A19043" t="inlineStr">
        <is>
          <t>27BBBBB19043Z5</t>
        </is>
      </c>
      <c r="B19043" t="inlineStr">
        <is>
          <t>Mar-2020</t>
        </is>
      </c>
      <c r="C19043" s="2" t="n">
        <v>44814</v>
      </c>
      <c r="D19043" t="inlineStr">
        <is>
          <t>NON-NIL</t>
        </is>
      </c>
      <c r="E19043" t="n">
        <v>458</v>
      </c>
    </row>
    <row r="19044">
      <c r="A19044" t="inlineStr">
        <is>
          <t>27BBBBB19044Z5</t>
        </is>
      </c>
      <c r="B19044" t="inlineStr">
        <is>
          <t>Jul-2017</t>
        </is>
      </c>
      <c r="C19044" s="2" t="n">
        <v>43894</v>
      </c>
      <c r="D19044" t="inlineStr">
        <is>
          <t>NON-NIL</t>
        </is>
      </c>
      <c r="E19044" t="n">
        <v>1585</v>
      </c>
    </row>
    <row r="19045">
      <c r="A19045" t="inlineStr">
        <is>
          <t>27BBBBB19045Z5</t>
        </is>
      </c>
      <c r="B19045" t="inlineStr">
        <is>
          <t>Nov-2017</t>
        </is>
      </c>
      <c r="C19045" s="2" t="n">
        <v>43728</v>
      </c>
      <c r="D19045" t="inlineStr">
        <is>
          <t>NIL</t>
        </is>
      </c>
      <c r="E19045" t="n">
        <v>535</v>
      </c>
    </row>
    <row r="19046">
      <c r="A19046" t="inlineStr">
        <is>
          <t>27BBBBB19046Z5</t>
        </is>
      </c>
      <c r="B19046" t="inlineStr">
        <is>
          <t>Jul-2018</t>
        </is>
      </c>
      <c r="C19046" s="2" t="n">
        <v>44062</v>
      </c>
      <c r="D19046" t="inlineStr">
        <is>
          <t>NON-NIL</t>
        </is>
      </c>
      <c r="E19046" t="n">
        <v>632</v>
      </c>
    </row>
    <row r="19047">
      <c r="A19047" t="inlineStr">
        <is>
          <t>27BBBBB19047Z5</t>
        </is>
      </c>
      <c r="B19047" t="inlineStr">
        <is>
          <t>Jul-2017</t>
        </is>
      </c>
      <c r="C19047" s="2" t="n">
        <v>44134</v>
      </c>
      <c r="D19047" t="inlineStr">
        <is>
          <t>NIL</t>
        </is>
      </c>
      <c r="E19047" t="n">
        <v>721</v>
      </c>
    </row>
    <row r="19048">
      <c r="A19048" t="inlineStr">
        <is>
          <t>27BBBBB19048Z5</t>
        </is>
      </c>
      <c r="B19048" t="inlineStr">
        <is>
          <t>Dec-2022</t>
        </is>
      </c>
      <c r="C19048" s="2" t="n">
        <v>43831</v>
      </c>
      <c r="D19048" t="inlineStr">
        <is>
          <t>NIL</t>
        </is>
      </c>
      <c r="E19048" t="n">
        <v>1753</v>
      </c>
    </row>
    <row r="19049">
      <c r="A19049" t="inlineStr">
        <is>
          <t>27BBBBB19049Z5</t>
        </is>
      </c>
      <c r="B19049" t="inlineStr">
        <is>
          <t>Aug-2017</t>
        </is>
      </c>
      <c r="C19049" s="2" t="n">
        <v>43607</v>
      </c>
      <c r="D19049" t="inlineStr">
        <is>
          <t>NON-NIL</t>
        </is>
      </c>
      <c r="E19049" t="n">
        <v>2737</v>
      </c>
    </row>
    <row r="19050">
      <c r="A19050" t="inlineStr">
        <is>
          <t>27BBBBB19050Z5</t>
        </is>
      </c>
      <c r="B19050" t="inlineStr">
        <is>
          <t>Apr-2020</t>
        </is>
      </c>
      <c r="C19050" s="2" t="n">
        <v>44761</v>
      </c>
      <c r="D19050" t="inlineStr">
        <is>
          <t>NIL</t>
        </is>
      </c>
      <c r="E19050" t="n">
        <v>1960</v>
      </c>
    </row>
    <row r="19051">
      <c r="A19051" t="inlineStr">
        <is>
          <t>27BBBBB19051Z5</t>
        </is>
      </c>
      <c r="B19051" t="inlineStr">
        <is>
          <t>Aug-2017</t>
        </is>
      </c>
      <c r="C19051" s="2" t="n">
        <v>43186</v>
      </c>
      <c r="D19051" t="inlineStr">
        <is>
          <t>NIL</t>
        </is>
      </c>
      <c r="E19051" t="n">
        <v>2028</v>
      </c>
    </row>
    <row r="19052">
      <c r="A19052" t="inlineStr">
        <is>
          <t>27BBBBB19052Z5</t>
        </is>
      </c>
      <c r="B19052" t="inlineStr">
        <is>
          <t>May-2020</t>
        </is>
      </c>
      <c r="C19052" s="2" t="n">
        <v>44104</v>
      </c>
      <c r="D19052" t="inlineStr">
        <is>
          <t>NON-NIL</t>
        </is>
      </c>
      <c r="E19052" t="n">
        <v>802</v>
      </c>
    </row>
    <row r="19053">
      <c r="A19053" t="inlineStr">
        <is>
          <t>27BBBBB19053Z5</t>
        </is>
      </c>
      <c r="B19053" t="inlineStr">
        <is>
          <t>Mar-2018</t>
        </is>
      </c>
      <c r="C19053" s="2" t="n">
        <v>43359</v>
      </c>
      <c r="D19053" t="inlineStr">
        <is>
          <t>NIL</t>
        </is>
      </c>
      <c r="E19053" t="n">
        <v>587</v>
      </c>
    </row>
    <row r="19054">
      <c r="A19054" t="inlineStr">
        <is>
          <t>27BBBBB19054Z5</t>
        </is>
      </c>
      <c r="B19054" t="inlineStr">
        <is>
          <t>Jan-2021</t>
        </is>
      </c>
      <c r="C19054" s="2" t="n">
        <v>43565</v>
      </c>
      <c r="D19054" t="inlineStr">
        <is>
          <t>NON-NIL</t>
        </is>
      </c>
      <c r="E19054" t="n">
        <v>1915</v>
      </c>
    </row>
    <row r="19055">
      <c r="A19055" t="inlineStr">
        <is>
          <t>27BBBBB19055Z5</t>
        </is>
      </c>
      <c r="B19055" t="inlineStr">
        <is>
          <t>Aug-2018</t>
        </is>
      </c>
      <c r="C19055" s="2" t="n">
        <v>43368</v>
      </c>
      <c r="D19055" t="inlineStr">
        <is>
          <t>NON-NIL</t>
        </is>
      </c>
      <c r="E19055" t="n">
        <v>1139</v>
      </c>
    </row>
    <row r="19056">
      <c r="A19056" t="inlineStr">
        <is>
          <t>27BBBBB19056Z5</t>
        </is>
      </c>
      <c r="B19056" t="inlineStr">
        <is>
          <t>Jun-2018</t>
        </is>
      </c>
      <c r="C19056" s="2" t="n">
        <v>43848</v>
      </c>
      <c r="D19056" t="inlineStr">
        <is>
          <t>NIL</t>
        </is>
      </c>
      <c r="E19056" t="n">
        <v>2288</v>
      </c>
    </row>
    <row r="19057">
      <c r="A19057" t="inlineStr">
        <is>
          <t>27BBBBB19057Z5</t>
        </is>
      </c>
      <c r="B19057" t="inlineStr">
        <is>
          <t>Dec-2017</t>
        </is>
      </c>
      <c r="C19057" s="2" t="n">
        <v>43711</v>
      </c>
      <c r="D19057" t="inlineStr">
        <is>
          <t>NIL</t>
        </is>
      </c>
      <c r="E19057" t="n">
        <v>2079</v>
      </c>
    </row>
    <row r="19058">
      <c r="A19058" t="inlineStr">
        <is>
          <t>27BBBBB19058Z5</t>
        </is>
      </c>
      <c r="B19058" t="inlineStr">
        <is>
          <t>Aug-2018</t>
        </is>
      </c>
      <c r="C19058" s="2" t="n">
        <v>43887</v>
      </c>
      <c r="D19058" t="inlineStr">
        <is>
          <t>NON-NIL</t>
        </is>
      </c>
      <c r="E19058" t="n">
        <v>2023</v>
      </c>
    </row>
    <row r="19059">
      <c r="A19059" t="inlineStr">
        <is>
          <t>27BBBBB19059Z5</t>
        </is>
      </c>
      <c r="B19059" t="inlineStr">
        <is>
          <t>Apr-2020</t>
        </is>
      </c>
      <c r="C19059" s="2" t="n">
        <v>44179</v>
      </c>
      <c r="D19059" t="inlineStr">
        <is>
          <t>NON-NIL</t>
        </is>
      </c>
      <c r="E19059" t="n">
        <v>529</v>
      </c>
    </row>
    <row r="19060">
      <c r="A19060" t="inlineStr">
        <is>
          <t>27BBBBB19060Z5</t>
        </is>
      </c>
      <c r="B19060" t="inlineStr">
        <is>
          <t>Jun-2018</t>
        </is>
      </c>
      <c r="C19060" s="2" t="n">
        <v>44083</v>
      </c>
      <c r="D19060" t="inlineStr">
        <is>
          <t>NON-NIL</t>
        </is>
      </c>
      <c r="E19060" t="n">
        <v>2466</v>
      </c>
    </row>
    <row r="19061">
      <c r="A19061" t="inlineStr">
        <is>
          <t>27BBBBB19061Z5</t>
        </is>
      </c>
      <c r="B19061" t="inlineStr">
        <is>
          <t>Dec-2018</t>
        </is>
      </c>
      <c r="C19061" s="2" t="n">
        <v>43695</v>
      </c>
      <c r="D19061" t="inlineStr">
        <is>
          <t>NIL</t>
        </is>
      </c>
      <c r="E19061" t="n">
        <v>330</v>
      </c>
    </row>
    <row r="19062">
      <c r="A19062" t="inlineStr">
        <is>
          <t>27BBBBB19062Z5</t>
        </is>
      </c>
      <c r="B19062" t="inlineStr">
        <is>
          <t>Oct-2018</t>
        </is>
      </c>
      <c r="C19062" s="2" t="n">
        <v>43888</v>
      </c>
      <c r="D19062" t="inlineStr">
        <is>
          <t>NON-NIL</t>
        </is>
      </c>
      <c r="E19062" t="n">
        <v>2684</v>
      </c>
    </row>
    <row r="19063">
      <c r="A19063" t="inlineStr">
        <is>
          <t>27BBBBB19063Z5</t>
        </is>
      </c>
      <c r="B19063" t="inlineStr">
        <is>
          <t>Mar-2021</t>
        </is>
      </c>
      <c r="C19063" s="2" t="n">
        <v>44957</v>
      </c>
      <c r="D19063" t="inlineStr">
        <is>
          <t>NON-NIL</t>
        </is>
      </c>
      <c r="E19063" t="n">
        <v>615</v>
      </c>
    </row>
    <row r="19064">
      <c r="A19064" t="inlineStr">
        <is>
          <t>27BBBBB19064Z5</t>
        </is>
      </c>
      <c r="B19064" t="inlineStr">
        <is>
          <t>Dec-2017</t>
        </is>
      </c>
      <c r="C19064" s="2" t="n">
        <v>44423</v>
      </c>
      <c r="D19064" t="inlineStr">
        <is>
          <t>NIL</t>
        </is>
      </c>
      <c r="E19064" t="n">
        <v>2871</v>
      </c>
    </row>
    <row r="19065">
      <c r="A19065" t="inlineStr">
        <is>
          <t>27BBBBB19065Z5</t>
        </is>
      </c>
      <c r="B19065" t="inlineStr">
        <is>
          <t>Sep-2018</t>
        </is>
      </c>
      <c r="C19065" s="2" t="n">
        <v>43061</v>
      </c>
      <c r="D19065" t="inlineStr">
        <is>
          <t>NON-NIL</t>
        </is>
      </c>
      <c r="E19065" t="n">
        <v>1738</v>
      </c>
    </row>
    <row r="19066">
      <c r="A19066" t="inlineStr">
        <is>
          <t>27BBBBB19066Z5</t>
        </is>
      </c>
      <c r="B19066" t="inlineStr">
        <is>
          <t>Oct-2018</t>
        </is>
      </c>
      <c r="C19066" s="2" t="n">
        <v>43454</v>
      </c>
      <c r="D19066" t="inlineStr">
        <is>
          <t>NIL</t>
        </is>
      </c>
      <c r="E19066" t="n">
        <v>2211</v>
      </c>
    </row>
    <row r="19067">
      <c r="A19067" t="inlineStr">
        <is>
          <t>27BBBBB19067Z5</t>
        </is>
      </c>
      <c r="B19067" t="inlineStr">
        <is>
          <t>Dec-2018</t>
        </is>
      </c>
      <c r="C19067" s="2" t="n">
        <v>42964</v>
      </c>
      <c r="D19067" t="inlineStr">
        <is>
          <t>NON-NIL</t>
        </is>
      </c>
      <c r="E19067" t="n">
        <v>120</v>
      </c>
    </row>
    <row r="19068">
      <c r="A19068" t="inlineStr">
        <is>
          <t>27BBBBB19068Z5</t>
        </is>
      </c>
      <c r="B19068" t="inlineStr">
        <is>
          <t>May-2018</t>
        </is>
      </c>
      <c r="C19068" s="2" t="n">
        <v>44004</v>
      </c>
      <c r="D19068" t="inlineStr">
        <is>
          <t>NIL</t>
        </is>
      </c>
      <c r="E19068" t="n">
        <v>2209</v>
      </c>
    </row>
    <row r="19069">
      <c r="A19069" t="inlineStr">
        <is>
          <t>27BBBBB19069Z5</t>
        </is>
      </c>
      <c r="B19069" t="inlineStr">
        <is>
          <t>Apr-2020</t>
        </is>
      </c>
      <c r="C19069" s="2" t="n">
        <v>44077</v>
      </c>
      <c r="D19069" t="inlineStr">
        <is>
          <t>NON-NIL</t>
        </is>
      </c>
      <c r="E19069" t="n">
        <v>1658</v>
      </c>
    </row>
    <row r="19070">
      <c r="A19070" t="inlineStr">
        <is>
          <t>27BBBBB19070Z5</t>
        </is>
      </c>
      <c r="B19070" t="inlineStr">
        <is>
          <t>Dec-2017</t>
        </is>
      </c>
      <c r="C19070" s="2" t="n">
        <v>43115</v>
      </c>
      <c r="D19070" t="inlineStr">
        <is>
          <t>NON-NIL</t>
        </is>
      </c>
      <c r="E19070" t="n">
        <v>403</v>
      </c>
    </row>
    <row r="19071">
      <c r="A19071" t="inlineStr">
        <is>
          <t>27BBBBB19071Z5</t>
        </is>
      </c>
      <c r="B19071" t="inlineStr">
        <is>
          <t>Oct-2018</t>
        </is>
      </c>
      <c r="C19071" s="2" t="n">
        <v>44079</v>
      </c>
      <c r="D19071" t="inlineStr">
        <is>
          <t>NON-NIL</t>
        </is>
      </c>
      <c r="E19071" t="n">
        <v>2040</v>
      </c>
    </row>
    <row r="19072">
      <c r="A19072" t="inlineStr">
        <is>
          <t>27BBBBB19072Z5</t>
        </is>
      </c>
      <c r="B19072" t="inlineStr">
        <is>
          <t>Jun-2018</t>
        </is>
      </c>
      <c r="C19072" s="2" t="n">
        <v>43990</v>
      </c>
      <c r="D19072" t="inlineStr">
        <is>
          <t>NIL</t>
        </is>
      </c>
      <c r="E19072" t="n">
        <v>2620</v>
      </c>
    </row>
    <row r="19073">
      <c r="A19073" t="inlineStr">
        <is>
          <t>27BBBBB19073Z5</t>
        </is>
      </c>
      <c r="B19073" t="inlineStr">
        <is>
          <t>Oct-2017</t>
        </is>
      </c>
      <c r="C19073" s="2" t="n">
        <v>44043</v>
      </c>
      <c r="D19073" t="inlineStr">
        <is>
          <t>NON-NIL</t>
        </is>
      </c>
      <c r="E19073" t="n">
        <v>909</v>
      </c>
    </row>
    <row r="19074">
      <c r="A19074" t="inlineStr">
        <is>
          <t>27BBBBB19074Z5</t>
        </is>
      </c>
      <c r="B19074" t="inlineStr">
        <is>
          <t>Aug-2018</t>
        </is>
      </c>
      <c r="C19074" s="2" t="n">
        <v>44152</v>
      </c>
      <c r="D19074" t="inlineStr">
        <is>
          <t>NIL</t>
        </is>
      </c>
      <c r="E19074" t="n">
        <v>1879</v>
      </c>
    </row>
    <row r="19075">
      <c r="A19075" t="inlineStr">
        <is>
          <t>27BBBBB19075Z5</t>
        </is>
      </c>
      <c r="B19075" t="inlineStr">
        <is>
          <t>Jul-2018</t>
        </is>
      </c>
      <c r="C19075" s="2" t="n">
        <v>43755</v>
      </c>
      <c r="D19075" t="inlineStr">
        <is>
          <t>NIL</t>
        </is>
      </c>
      <c r="E19075" t="n">
        <v>2728</v>
      </c>
    </row>
    <row r="19076">
      <c r="A19076" t="inlineStr">
        <is>
          <t>27BBBBB19076Z5</t>
        </is>
      </c>
      <c r="B19076" t="inlineStr">
        <is>
          <t>Aug-2018</t>
        </is>
      </c>
      <c r="C19076" s="2" t="n">
        <v>43143</v>
      </c>
      <c r="D19076" t="inlineStr">
        <is>
          <t>NON-NIL</t>
        </is>
      </c>
      <c r="E19076" t="n">
        <v>2994</v>
      </c>
    </row>
    <row r="19077">
      <c r="A19077" t="inlineStr">
        <is>
          <t>27BBBBB19077Z5</t>
        </is>
      </c>
      <c r="B19077" t="inlineStr">
        <is>
          <t>Dec-2024</t>
        </is>
      </c>
      <c r="C19077" s="2" t="n">
        <v>44289</v>
      </c>
      <c r="D19077" t="inlineStr">
        <is>
          <t>NIL</t>
        </is>
      </c>
      <c r="E19077" t="n">
        <v>2600</v>
      </c>
    </row>
    <row r="19078">
      <c r="A19078" t="inlineStr">
        <is>
          <t>27BBBBB19078Z5</t>
        </is>
      </c>
      <c r="B19078" t="inlineStr">
        <is>
          <t>Oct-2018</t>
        </is>
      </c>
      <c r="C19078" s="2" t="n">
        <v>43124</v>
      </c>
      <c r="D19078" t="inlineStr">
        <is>
          <t>NON-NIL</t>
        </is>
      </c>
      <c r="E19078" t="n">
        <v>1463</v>
      </c>
    </row>
    <row r="19079">
      <c r="A19079" t="inlineStr">
        <is>
          <t>27BBBBB19079Z5</t>
        </is>
      </c>
      <c r="B19079" t="inlineStr">
        <is>
          <t>Dec-2018</t>
        </is>
      </c>
      <c r="C19079" s="2" t="n">
        <v>44528</v>
      </c>
      <c r="D19079" t="inlineStr">
        <is>
          <t>NIL</t>
        </is>
      </c>
      <c r="E19079" t="n">
        <v>2328</v>
      </c>
    </row>
    <row r="19080">
      <c r="A19080" t="inlineStr">
        <is>
          <t>27BBBBB19080Z5</t>
        </is>
      </c>
      <c r="B19080" t="inlineStr">
        <is>
          <t>Mar-2023</t>
        </is>
      </c>
      <c r="C19080" s="2" t="n">
        <v>43806</v>
      </c>
      <c r="D19080" t="inlineStr">
        <is>
          <t>NON-NIL</t>
        </is>
      </c>
      <c r="E19080" t="n">
        <v>951</v>
      </c>
    </row>
    <row r="19081">
      <c r="A19081" t="inlineStr">
        <is>
          <t>27BBBBB19081Z5</t>
        </is>
      </c>
      <c r="B19081" t="inlineStr">
        <is>
          <t>Nov-2017</t>
        </is>
      </c>
      <c r="C19081" s="2" t="n">
        <v>43581</v>
      </c>
      <c r="D19081" t="inlineStr">
        <is>
          <t>NIL</t>
        </is>
      </c>
      <c r="E19081" t="n">
        <v>1102</v>
      </c>
    </row>
    <row r="19082">
      <c r="A19082" t="inlineStr">
        <is>
          <t>27BBBBB19082Z5</t>
        </is>
      </c>
      <c r="B19082" t="inlineStr">
        <is>
          <t>May-2018</t>
        </is>
      </c>
      <c r="C19082" s="2" t="n">
        <v>43500</v>
      </c>
      <c r="D19082" t="inlineStr">
        <is>
          <t>NON-NIL</t>
        </is>
      </c>
      <c r="E19082" t="n">
        <v>73</v>
      </c>
    </row>
    <row r="19083">
      <c r="A19083" t="inlineStr">
        <is>
          <t>27BBBBB19083Z5</t>
        </is>
      </c>
      <c r="B19083" t="inlineStr">
        <is>
          <t>Aug-2018</t>
        </is>
      </c>
      <c r="C19083" s="2" t="n">
        <v>44283</v>
      </c>
      <c r="D19083" t="inlineStr">
        <is>
          <t>NIL</t>
        </is>
      </c>
      <c r="E19083" t="n">
        <v>1909</v>
      </c>
    </row>
    <row r="19084">
      <c r="A19084" t="inlineStr">
        <is>
          <t>27BBBBB19084Z5</t>
        </is>
      </c>
      <c r="B19084" t="inlineStr">
        <is>
          <t>Dec-2022</t>
        </is>
      </c>
      <c r="C19084" s="2" t="n">
        <v>45232</v>
      </c>
      <c r="D19084" t="inlineStr">
        <is>
          <t>NON-NIL</t>
        </is>
      </c>
      <c r="E19084" t="n">
        <v>2630</v>
      </c>
    </row>
    <row r="19085">
      <c r="A19085" t="inlineStr">
        <is>
          <t>27BBBBB19085Z5</t>
        </is>
      </c>
      <c r="B19085" t="inlineStr">
        <is>
          <t>Apr-2020</t>
        </is>
      </c>
      <c r="C19085" s="2" t="n">
        <v>43881</v>
      </c>
      <c r="D19085" t="inlineStr">
        <is>
          <t>NIL</t>
        </is>
      </c>
      <c r="E19085" t="n">
        <v>2879</v>
      </c>
    </row>
    <row r="19086">
      <c r="A19086" t="inlineStr">
        <is>
          <t>27BBBBB19086Z5</t>
        </is>
      </c>
      <c r="B19086" t="inlineStr">
        <is>
          <t>Oct-2018</t>
        </is>
      </c>
      <c r="C19086" s="2" t="n">
        <v>44077</v>
      </c>
      <c r="D19086" t="inlineStr">
        <is>
          <t>NIL</t>
        </is>
      </c>
      <c r="E19086" t="n">
        <v>2118</v>
      </c>
    </row>
    <row r="19087">
      <c r="A19087" t="inlineStr">
        <is>
          <t>27BBBBB19087Z5</t>
        </is>
      </c>
      <c r="B19087" t="inlineStr">
        <is>
          <t>Apr-2020</t>
        </is>
      </c>
      <c r="C19087" s="2" t="n">
        <v>44470</v>
      </c>
      <c r="D19087" t="inlineStr">
        <is>
          <t>NON-NIL</t>
        </is>
      </c>
      <c r="E19087" t="n">
        <v>2457</v>
      </c>
    </row>
    <row r="19088">
      <c r="A19088" t="inlineStr">
        <is>
          <t>27BBBBB19088Z5</t>
        </is>
      </c>
      <c r="B19088" t="inlineStr">
        <is>
          <t>Apr-2020</t>
        </is>
      </c>
      <c r="C19088" s="2" t="n">
        <v>44845</v>
      </c>
      <c r="D19088" t="inlineStr">
        <is>
          <t>NIL</t>
        </is>
      </c>
      <c r="E19088" t="n">
        <v>1879</v>
      </c>
    </row>
    <row r="19089">
      <c r="A19089" t="inlineStr">
        <is>
          <t>27BBBBB19089Z5</t>
        </is>
      </c>
      <c r="B19089" t="inlineStr">
        <is>
          <t>Jul-2017</t>
        </is>
      </c>
      <c r="C19089" s="2" t="n">
        <v>43550</v>
      </c>
      <c r="D19089" t="inlineStr">
        <is>
          <t>NON-NIL</t>
        </is>
      </c>
      <c r="E19089" t="n">
        <v>2897</v>
      </c>
    </row>
    <row r="19090">
      <c r="A19090" t="inlineStr">
        <is>
          <t>27BBBBB19090Z5</t>
        </is>
      </c>
      <c r="B19090" t="inlineStr">
        <is>
          <t>Mar-2018</t>
        </is>
      </c>
      <c r="C19090" s="2" t="n">
        <v>44061</v>
      </c>
      <c r="D19090" t="inlineStr">
        <is>
          <t>NIL</t>
        </is>
      </c>
      <c r="E19090" t="n">
        <v>502</v>
      </c>
    </row>
    <row r="19091">
      <c r="A19091" t="inlineStr">
        <is>
          <t>27BBBBB19091Z5</t>
        </is>
      </c>
      <c r="B19091" t="inlineStr">
        <is>
          <t>Feb-2018</t>
        </is>
      </c>
      <c r="C19091" s="2" t="n">
        <v>43585</v>
      </c>
      <c r="D19091" t="inlineStr">
        <is>
          <t>NON-NIL</t>
        </is>
      </c>
      <c r="E19091" t="n">
        <v>2808</v>
      </c>
    </row>
    <row r="19092">
      <c r="A19092" t="inlineStr">
        <is>
          <t>27BBBBB19092Z5</t>
        </is>
      </c>
      <c r="B19092" t="inlineStr">
        <is>
          <t>Mar-2020</t>
        </is>
      </c>
      <c r="C19092" s="2" t="n">
        <v>44805</v>
      </c>
      <c r="D19092" t="inlineStr">
        <is>
          <t>NON-NIL</t>
        </is>
      </c>
      <c r="E19092" t="n">
        <v>2310</v>
      </c>
    </row>
    <row r="19093">
      <c r="A19093" t="inlineStr">
        <is>
          <t>27BBBBB19093Z5</t>
        </is>
      </c>
      <c r="B19093" t="inlineStr">
        <is>
          <t>Jul-2020</t>
        </is>
      </c>
      <c r="C19093" s="2" t="n">
        <v>44222</v>
      </c>
      <c r="D19093" t="inlineStr">
        <is>
          <t>NON-NIL</t>
        </is>
      </c>
      <c r="E19093" t="n">
        <v>810</v>
      </c>
    </row>
    <row r="19094">
      <c r="A19094" t="inlineStr">
        <is>
          <t>27BBBBB19094Z5</t>
        </is>
      </c>
      <c r="B19094" t="inlineStr">
        <is>
          <t>Nov-2018</t>
        </is>
      </c>
      <c r="C19094" s="2" t="n">
        <v>43547</v>
      </c>
      <c r="D19094" t="inlineStr">
        <is>
          <t>NON-NIL</t>
        </is>
      </c>
      <c r="E19094" t="n">
        <v>341</v>
      </c>
    </row>
    <row r="19095">
      <c r="A19095" t="inlineStr">
        <is>
          <t>27BBBBB19095Z5</t>
        </is>
      </c>
      <c r="B19095" t="inlineStr">
        <is>
          <t>Dec-2017</t>
        </is>
      </c>
      <c r="C19095" s="2" t="n">
        <v>44493</v>
      </c>
      <c r="D19095" t="inlineStr">
        <is>
          <t>NON-NIL</t>
        </is>
      </c>
      <c r="E19095" t="n">
        <v>1342</v>
      </c>
    </row>
    <row r="19096">
      <c r="A19096" t="inlineStr">
        <is>
          <t>27BBBBB19096Z5</t>
        </is>
      </c>
      <c r="B19096" t="inlineStr">
        <is>
          <t>May-2018</t>
        </is>
      </c>
      <c r="C19096" s="2" t="n">
        <v>44269</v>
      </c>
      <c r="D19096" t="inlineStr">
        <is>
          <t>NIL</t>
        </is>
      </c>
      <c r="E19096" t="n">
        <v>762</v>
      </c>
    </row>
    <row r="19097">
      <c r="A19097" t="inlineStr">
        <is>
          <t>27BBBBB19097Z5</t>
        </is>
      </c>
      <c r="B19097" t="inlineStr">
        <is>
          <t>Sep-2017</t>
        </is>
      </c>
      <c r="C19097" s="2" t="n">
        <v>44343</v>
      </c>
      <c r="D19097" t="inlineStr">
        <is>
          <t>NON-NIL</t>
        </is>
      </c>
      <c r="E19097" t="n">
        <v>1633</v>
      </c>
    </row>
    <row r="19098">
      <c r="A19098" t="inlineStr">
        <is>
          <t>27BBBBB19098Z5</t>
        </is>
      </c>
      <c r="B19098" t="inlineStr">
        <is>
          <t>Jan-2018</t>
        </is>
      </c>
      <c r="C19098" s="2" t="n">
        <v>44231</v>
      </c>
      <c r="D19098" t="inlineStr">
        <is>
          <t>NIL</t>
        </is>
      </c>
      <c r="E19098" t="n">
        <v>2196</v>
      </c>
    </row>
    <row r="19099">
      <c r="A19099" t="inlineStr">
        <is>
          <t>27BBBBB19099Z5</t>
        </is>
      </c>
      <c r="B19099" t="inlineStr">
        <is>
          <t>Oct-2018</t>
        </is>
      </c>
      <c r="C19099" s="2" t="n">
        <v>44034</v>
      </c>
      <c r="D19099" t="inlineStr">
        <is>
          <t>NIL</t>
        </is>
      </c>
      <c r="E19099" t="n">
        <v>306</v>
      </c>
    </row>
    <row r="19100">
      <c r="A19100" t="inlineStr">
        <is>
          <t>27BBBBB19100Z5</t>
        </is>
      </c>
      <c r="B19100" t="inlineStr">
        <is>
          <t>Aug-2018</t>
        </is>
      </c>
      <c r="C19100" s="2" t="n">
        <v>43182</v>
      </c>
      <c r="D19100" t="inlineStr">
        <is>
          <t>NON-NIL</t>
        </is>
      </c>
      <c r="E19100" t="n">
        <v>2607</v>
      </c>
    </row>
    <row r="19101">
      <c r="A19101" t="inlineStr">
        <is>
          <t>27BBBBB19101Z5</t>
        </is>
      </c>
      <c r="B19101" t="inlineStr">
        <is>
          <t>Dec-2024</t>
        </is>
      </c>
      <c r="C19101" s="2" t="n">
        <v>45684</v>
      </c>
      <c r="D19101" t="inlineStr">
        <is>
          <t>NIL</t>
        </is>
      </c>
      <c r="E19101" t="n">
        <v>2667</v>
      </c>
    </row>
    <row r="19102">
      <c r="A19102" t="inlineStr">
        <is>
          <t>27BBBBB19102Z5</t>
        </is>
      </c>
      <c r="B19102" t="inlineStr">
        <is>
          <t>Mar-2021</t>
        </is>
      </c>
      <c r="C19102" s="2" t="n">
        <v>45826</v>
      </c>
      <c r="D19102" t="inlineStr">
        <is>
          <t>NIL</t>
        </is>
      </c>
      <c r="E19102" t="n">
        <v>894</v>
      </c>
    </row>
    <row r="19103">
      <c r="A19103" t="inlineStr">
        <is>
          <t>27BBBBB19103Z5</t>
        </is>
      </c>
      <c r="B19103" t="inlineStr">
        <is>
          <t>Jun-2018</t>
        </is>
      </c>
      <c r="C19103" s="2" t="n">
        <v>43034</v>
      </c>
      <c r="D19103" t="inlineStr">
        <is>
          <t>NIL</t>
        </is>
      </c>
      <c r="E19103" t="n">
        <v>641</v>
      </c>
    </row>
    <row r="19104">
      <c r="A19104" t="inlineStr">
        <is>
          <t>27BBBBB19104Z5</t>
        </is>
      </c>
      <c r="B19104" t="inlineStr">
        <is>
          <t>May-2020</t>
        </is>
      </c>
      <c r="C19104" s="2" t="n">
        <v>44240</v>
      </c>
      <c r="D19104" t="inlineStr">
        <is>
          <t>NIL</t>
        </is>
      </c>
      <c r="E19104" t="n">
        <v>933</v>
      </c>
    </row>
    <row r="19105">
      <c r="A19105" t="inlineStr">
        <is>
          <t>27BBBBB19105Z5</t>
        </is>
      </c>
      <c r="B19105" t="inlineStr">
        <is>
          <t>Jun-2020</t>
        </is>
      </c>
      <c r="C19105" s="2" t="n">
        <v>44504</v>
      </c>
      <c r="D19105" t="inlineStr">
        <is>
          <t>NIL</t>
        </is>
      </c>
      <c r="E19105" t="n">
        <v>2988</v>
      </c>
    </row>
    <row r="19106">
      <c r="A19106" t="inlineStr">
        <is>
          <t>27BBBBB19106Z5</t>
        </is>
      </c>
      <c r="B19106" t="inlineStr">
        <is>
          <t>Aug-2018</t>
        </is>
      </c>
      <c r="C19106" s="2" t="n">
        <v>44219</v>
      </c>
      <c r="D19106" t="inlineStr">
        <is>
          <t>NON-NIL</t>
        </is>
      </c>
      <c r="E19106" t="n">
        <v>2701</v>
      </c>
    </row>
    <row r="19107">
      <c r="A19107" t="inlineStr">
        <is>
          <t>27BBBBB19107Z5</t>
        </is>
      </c>
      <c r="B19107" t="inlineStr">
        <is>
          <t>Dec-2024</t>
        </is>
      </c>
      <c r="C19107" s="2" t="n">
        <v>43887</v>
      </c>
      <c r="D19107" t="inlineStr">
        <is>
          <t>NIL</t>
        </is>
      </c>
      <c r="E19107" t="n">
        <v>1912</v>
      </c>
    </row>
    <row r="19108">
      <c r="A19108" t="inlineStr">
        <is>
          <t>27BBBBB19108Z5</t>
        </is>
      </c>
      <c r="B19108" t="inlineStr">
        <is>
          <t>Apr-2018</t>
        </is>
      </c>
      <c r="C19108" s="2" t="n">
        <v>43701</v>
      </c>
      <c r="D19108" t="inlineStr">
        <is>
          <t>NON-NIL</t>
        </is>
      </c>
      <c r="E19108" t="n">
        <v>1034</v>
      </c>
    </row>
    <row r="19109">
      <c r="A19109" t="inlineStr">
        <is>
          <t>27BBBBB19109Z5</t>
        </is>
      </c>
      <c r="B19109" t="inlineStr">
        <is>
          <t>Jan-2018</t>
        </is>
      </c>
      <c r="C19109" s="2" t="n">
        <v>44173</v>
      </c>
      <c r="D19109" t="inlineStr">
        <is>
          <t>NIL</t>
        </is>
      </c>
      <c r="E19109" t="n">
        <v>42</v>
      </c>
    </row>
    <row r="19110">
      <c r="A19110" t="inlineStr">
        <is>
          <t>27BBBBB19110Z5</t>
        </is>
      </c>
      <c r="B19110" t="inlineStr">
        <is>
          <t>Mar-2023</t>
        </is>
      </c>
      <c r="C19110" s="2" t="n">
        <v>45216</v>
      </c>
      <c r="D19110" t="inlineStr">
        <is>
          <t>NIL</t>
        </is>
      </c>
      <c r="E19110" t="n">
        <v>275</v>
      </c>
    </row>
    <row r="19111">
      <c r="A19111" t="inlineStr">
        <is>
          <t>27BBBBB19111Z5</t>
        </is>
      </c>
      <c r="B19111" t="inlineStr">
        <is>
          <t>Aug-2017</t>
        </is>
      </c>
      <c r="C19111" s="2" t="n">
        <v>43467</v>
      </c>
      <c r="D19111" t="inlineStr">
        <is>
          <t>NON-NIL</t>
        </is>
      </c>
      <c r="E19111" t="n">
        <v>1319</v>
      </c>
    </row>
    <row r="19112">
      <c r="A19112" t="inlineStr">
        <is>
          <t>27BBBBB19112Z5</t>
        </is>
      </c>
      <c r="B19112" t="inlineStr">
        <is>
          <t>Oct-2018</t>
        </is>
      </c>
      <c r="C19112" s="2" t="n">
        <v>44013</v>
      </c>
      <c r="D19112" t="inlineStr">
        <is>
          <t>NIL</t>
        </is>
      </c>
      <c r="E19112" t="n">
        <v>2538</v>
      </c>
    </row>
    <row r="19113">
      <c r="A19113" t="inlineStr">
        <is>
          <t>27BBBBB19113Z5</t>
        </is>
      </c>
      <c r="B19113" t="inlineStr">
        <is>
          <t>Jun-2020</t>
        </is>
      </c>
      <c r="C19113" s="2" t="n">
        <v>44474</v>
      </c>
      <c r="D19113" t="inlineStr">
        <is>
          <t>NON-NIL</t>
        </is>
      </c>
      <c r="E19113" t="n">
        <v>2176</v>
      </c>
    </row>
    <row r="19114">
      <c r="A19114" t="inlineStr">
        <is>
          <t>27BBBBB19114Z5</t>
        </is>
      </c>
      <c r="B19114" t="inlineStr">
        <is>
          <t>Mar-2023</t>
        </is>
      </c>
      <c r="C19114" s="2" t="n">
        <v>45458</v>
      </c>
      <c r="D19114" t="inlineStr">
        <is>
          <t>NON-NIL</t>
        </is>
      </c>
      <c r="E19114" t="n">
        <v>1360</v>
      </c>
    </row>
    <row r="19115">
      <c r="A19115" t="inlineStr">
        <is>
          <t>27BBBBB19115Z5</t>
        </is>
      </c>
      <c r="B19115" t="inlineStr">
        <is>
          <t>May-2018</t>
        </is>
      </c>
      <c r="C19115" s="2" t="n">
        <v>42931</v>
      </c>
      <c r="D19115" t="inlineStr">
        <is>
          <t>NON-NIL</t>
        </is>
      </c>
      <c r="E19115" t="n">
        <v>430</v>
      </c>
    </row>
    <row r="19116">
      <c r="A19116" t="inlineStr">
        <is>
          <t>27BBBBB19116Z5</t>
        </is>
      </c>
      <c r="B19116" t="inlineStr">
        <is>
          <t>Nov-2018</t>
        </is>
      </c>
      <c r="C19116" s="2" t="n">
        <v>43075</v>
      </c>
      <c r="D19116" t="inlineStr">
        <is>
          <t>NIL</t>
        </is>
      </c>
      <c r="E19116" t="n">
        <v>728</v>
      </c>
    </row>
    <row r="19117">
      <c r="A19117" t="inlineStr">
        <is>
          <t>27BBBBB19117Z5</t>
        </is>
      </c>
      <c r="B19117" t="inlineStr">
        <is>
          <t>Jun-2018</t>
        </is>
      </c>
      <c r="C19117" s="2" t="n">
        <v>43616</v>
      </c>
      <c r="D19117" t="inlineStr">
        <is>
          <t>NIL</t>
        </is>
      </c>
      <c r="E19117" t="n">
        <v>2221</v>
      </c>
    </row>
    <row r="19118">
      <c r="A19118" t="inlineStr">
        <is>
          <t>27BBBBB19118Z5</t>
        </is>
      </c>
      <c r="B19118" t="inlineStr">
        <is>
          <t>Apr-2018</t>
        </is>
      </c>
      <c r="C19118" s="2" t="n">
        <v>44468</v>
      </c>
      <c r="D19118" t="inlineStr">
        <is>
          <t>NIL</t>
        </is>
      </c>
      <c r="E19118" t="n">
        <v>670</v>
      </c>
    </row>
    <row r="19119">
      <c r="A19119" t="inlineStr">
        <is>
          <t>27BBBBB19119Z5</t>
        </is>
      </c>
      <c r="B19119" t="inlineStr">
        <is>
          <t>Jan-2018</t>
        </is>
      </c>
      <c r="C19119" s="2" t="n">
        <v>43512</v>
      </c>
      <c r="D19119" t="inlineStr">
        <is>
          <t>NON-NIL</t>
        </is>
      </c>
      <c r="E19119" t="n">
        <v>2371</v>
      </c>
    </row>
    <row r="19120">
      <c r="A19120" t="inlineStr">
        <is>
          <t>27BBBBB19120Z5</t>
        </is>
      </c>
      <c r="B19120" t="inlineStr">
        <is>
          <t>Sep-2018</t>
        </is>
      </c>
      <c r="C19120" s="2" t="n">
        <v>44520</v>
      </c>
      <c r="D19120" t="inlineStr">
        <is>
          <t>NIL</t>
        </is>
      </c>
      <c r="E19120" t="n">
        <v>2010</v>
      </c>
    </row>
    <row r="19121">
      <c r="A19121" t="inlineStr">
        <is>
          <t>27BBBBB19121Z5</t>
        </is>
      </c>
      <c r="B19121" t="inlineStr">
        <is>
          <t>Mar-2023</t>
        </is>
      </c>
      <c r="C19121" s="2" t="n">
        <v>44905</v>
      </c>
      <c r="D19121" t="inlineStr">
        <is>
          <t>NON-NIL</t>
        </is>
      </c>
      <c r="E19121" t="n">
        <v>1332</v>
      </c>
    </row>
    <row r="19122">
      <c r="A19122" t="inlineStr">
        <is>
          <t>27BBBBB19122Z5</t>
        </is>
      </c>
      <c r="B19122" t="inlineStr">
        <is>
          <t>Aug-2018</t>
        </is>
      </c>
      <c r="C19122" s="2" t="n">
        <v>43844</v>
      </c>
      <c r="D19122" t="inlineStr">
        <is>
          <t>NIL</t>
        </is>
      </c>
      <c r="E19122" t="n">
        <v>1980</v>
      </c>
    </row>
    <row r="19123">
      <c r="A19123" t="inlineStr">
        <is>
          <t>27BBBBB19123Z5</t>
        </is>
      </c>
      <c r="B19123" t="inlineStr">
        <is>
          <t>Dec-2022</t>
        </is>
      </c>
      <c r="C19123" s="2" t="n">
        <v>43718</v>
      </c>
      <c r="D19123" t="inlineStr">
        <is>
          <t>NIL</t>
        </is>
      </c>
      <c r="E19123" t="n">
        <v>2916</v>
      </c>
    </row>
    <row r="19124">
      <c r="A19124" t="inlineStr">
        <is>
          <t>27BBBBB19124Z5</t>
        </is>
      </c>
      <c r="B19124" t="inlineStr">
        <is>
          <t>May-2020</t>
        </is>
      </c>
      <c r="C19124" s="2" t="n">
        <v>44684</v>
      </c>
      <c r="D19124" t="inlineStr">
        <is>
          <t>NIL</t>
        </is>
      </c>
      <c r="E19124" t="n">
        <v>1974</v>
      </c>
    </row>
    <row r="19125">
      <c r="A19125" t="inlineStr">
        <is>
          <t>27BBBBB19125Z5</t>
        </is>
      </c>
      <c r="B19125" t="inlineStr">
        <is>
          <t>Aug-2017</t>
        </is>
      </c>
      <c r="C19125" s="2" t="n">
        <v>44521</v>
      </c>
      <c r="D19125" t="inlineStr">
        <is>
          <t>NON-NIL</t>
        </is>
      </c>
      <c r="E19125" t="n">
        <v>1783</v>
      </c>
    </row>
    <row r="19126">
      <c r="A19126" t="inlineStr">
        <is>
          <t>27BBBBB19126Z5</t>
        </is>
      </c>
      <c r="B19126" t="inlineStr">
        <is>
          <t>Jul-2017</t>
        </is>
      </c>
      <c r="C19126" s="2" t="n">
        <v>44162</v>
      </c>
      <c r="D19126" t="inlineStr">
        <is>
          <t>NON-NIL</t>
        </is>
      </c>
      <c r="E19126" t="n">
        <v>1420</v>
      </c>
    </row>
    <row r="19127">
      <c r="A19127" t="inlineStr">
        <is>
          <t>27BBBBB19127Z5</t>
        </is>
      </c>
      <c r="B19127" t="inlineStr">
        <is>
          <t>Jul-2018</t>
        </is>
      </c>
      <c r="C19127" s="2" t="n">
        <v>43911</v>
      </c>
      <c r="D19127" t="inlineStr">
        <is>
          <t>NON-NIL</t>
        </is>
      </c>
      <c r="E19127" t="n">
        <v>2278</v>
      </c>
    </row>
    <row r="19128">
      <c r="A19128" t="inlineStr">
        <is>
          <t>27BBBBB19128Z5</t>
        </is>
      </c>
      <c r="B19128" t="inlineStr">
        <is>
          <t>Jul-2017</t>
        </is>
      </c>
      <c r="C19128" s="2" t="n">
        <v>44558</v>
      </c>
      <c r="D19128" t="inlineStr">
        <is>
          <t>NON-NIL</t>
        </is>
      </c>
      <c r="E19128" t="n">
        <v>2236</v>
      </c>
    </row>
    <row r="19129">
      <c r="A19129" t="inlineStr">
        <is>
          <t>27BBBBB19129Z5</t>
        </is>
      </c>
      <c r="B19129" t="inlineStr">
        <is>
          <t>Jan-2018</t>
        </is>
      </c>
      <c r="C19129" s="2" t="n">
        <v>44317</v>
      </c>
      <c r="D19129" t="inlineStr">
        <is>
          <t>NIL</t>
        </is>
      </c>
      <c r="E19129" t="n">
        <v>271</v>
      </c>
    </row>
    <row r="19130">
      <c r="A19130" t="inlineStr">
        <is>
          <t>27BBBBB19130Z5</t>
        </is>
      </c>
      <c r="B19130" t="inlineStr">
        <is>
          <t>Jan-2018</t>
        </is>
      </c>
      <c r="C19130" s="2" t="n">
        <v>43327</v>
      </c>
      <c r="D19130" t="inlineStr">
        <is>
          <t>NON-NIL</t>
        </is>
      </c>
      <c r="E19130" t="n">
        <v>2346</v>
      </c>
    </row>
    <row r="19131">
      <c r="A19131" t="inlineStr">
        <is>
          <t>27BBBBB19131Z5</t>
        </is>
      </c>
      <c r="B19131" t="inlineStr">
        <is>
          <t>Aug-2017</t>
        </is>
      </c>
      <c r="C19131" s="2" t="n">
        <v>43870</v>
      </c>
      <c r="D19131" t="inlineStr">
        <is>
          <t>NON-NIL</t>
        </is>
      </c>
      <c r="E19131" t="n">
        <v>1212</v>
      </c>
    </row>
    <row r="19132">
      <c r="A19132" t="inlineStr">
        <is>
          <t>27BBBBB19132Z5</t>
        </is>
      </c>
      <c r="B19132" t="inlineStr">
        <is>
          <t>Dec-2024</t>
        </is>
      </c>
      <c r="C19132" s="2" t="n">
        <v>43817</v>
      </c>
      <c r="D19132" t="inlineStr">
        <is>
          <t>NIL</t>
        </is>
      </c>
      <c r="E19132" t="n">
        <v>2290</v>
      </c>
    </row>
    <row r="19133">
      <c r="A19133" t="inlineStr">
        <is>
          <t>27BBBBB19133Z5</t>
        </is>
      </c>
      <c r="B19133" t="inlineStr">
        <is>
          <t>Mar-2021</t>
        </is>
      </c>
      <c r="C19133" s="2" t="n">
        <v>44246</v>
      </c>
      <c r="D19133" t="inlineStr">
        <is>
          <t>NIL</t>
        </is>
      </c>
      <c r="E19133" t="n">
        <v>1162</v>
      </c>
    </row>
    <row r="19134">
      <c r="A19134" t="inlineStr">
        <is>
          <t>27BBBBB19134Z5</t>
        </is>
      </c>
      <c r="B19134" t="inlineStr">
        <is>
          <t>Oct-2017</t>
        </is>
      </c>
      <c r="C19134" s="2" t="n">
        <v>42958</v>
      </c>
      <c r="D19134" t="inlineStr">
        <is>
          <t>NIL</t>
        </is>
      </c>
      <c r="E19134" t="n">
        <v>1118</v>
      </c>
    </row>
    <row r="19135">
      <c r="A19135" t="inlineStr">
        <is>
          <t>27BBBBB19135Z5</t>
        </is>
      </c>
      <c r="B19135" t="inlineStr">
        <is>
          <t>Aug-2018</t>
        </is>
      </c>
      <c r="C19135" s="2" t="n">
        <v>43518</v>
      </c>
      <c r="D19135" t="inlineStr">
        <is>
          <t>NIL</t>
        </is>
      </c>
      <c r="E19135" t="n">
        <v>1548</v>
      </c>
    </row>
    <row r="19136">
      <c r="A19136" t="inlineStr">
        <is>
          <t>27BBBBB19136Z5</t>
        </is>
      </c>
      <c r="B19136" t="inlineStr">
        <is>
          <t>Feb-2018</t>
        </is>
      </c>
      <c r="C19136" s="2" t="n">
        <v>43514</v>
      </c>
      <c r="D19136" t="inlineStr">
        <is>
          <t>NIL</t>
        </is>
      </c>
      <c r="E19136" t="n">
        <v>2657</v>
      </c>
    </row>
    <row r="19137">
      <c r="A19137" t="inlineStr">
        <is>
          <t>27BBBBB19137Z5</t>
        </is>
      </c>
      <c r="B19137" t="inlineStr">
        <is>
          <t>Mar-2018</t>
        </is>
      </c>
      <c r="C19137" s="2" t="n">
        <v>43047</v>
      </c>
      <c r="D19137" t="inlineStr">
        <is>
          <t>NIL</t>
        </is>
      </c>
      <c r="E19137" t="n">
        <v>2953</v>
      </c>
    </row>
    <row r="19138">
      <c r="A19138" t="inlineStr">
        <is>
          <t>27BBBBB19138Z5</t>
        </is>
      </c>
      <c r="B19138" t="inlineStr">
        <is>
          <t>Nov-2017</t>
        </is>
      </c>
      <c r="C19138" s="2" t="n">
        <v>43658</v>
      </c>
      <c r="D19138" t="inlineStr">
        <is>
          <t>NIL</t>
        </is>
      </c>
      <c r="E19138" t="n">
        <v>409</v>
      </c>
    </row>
    <row r="19139">
      <c r="A19139" t="inlineStr">
        <is>
          <t>27BBBBB19139Z5</t>
        </is>
      </c>
      <c r="B19139" t="inlineStr">
        <is>
          <t>Mar-2020</t>
        </is>
      </c>
      <c r="C19139" s="2" t="n">
        <v>43856</v>
      </c>
      <c r="D19139" t="inlineStr">
        <is>
          <t>NIL</t>
        </is>
      </c>
      <c r="E19139" t="n">
        <v>1211</v>
      </c>
    </row>
    <row r="19140">
      <c r="A19140" t="inlineStr">
        <is>
          <t>27BBBBB19140Z5</t>
        </is>
      </c>
      <c r="B19140" t="inlineStr">
        <is>
          <t>Mar-2018</t>
        </is>
      </c>
      <c r="C19140" s="2" t="n">
        <v>43080</v>
      </c>
      <c r="D19140" t="inlineStr">
        <is>
          <t>NIL</t>
        </is>
      </c>
      <c r="E19140" t="n">
        <v>1611</v>
      </c>
    </row>
    <row r="19141">
      <c r="A19141" t="inlineStr">
        <is>
          <t>27BBBBB19141Z5</t>
        </is>
      </c>
      <c r="B19141" t="inlineStr">
        <is>
          <t>Jul-2020</t>
        </is>
      </c>
      <c r="C19141" s="2" t="n">
        <v>43996</v>
      </c>
      <c r="D19141" t="inlineStr">
        <is>
          <t>NON-NIL</t>
        </is>
      </c>
      <c r="E19141" t="n">
        <v>1917</v>
      </c>
    </row>
    <row r="19142">
      <c r="A19142" t="inlineStr">
        <is>
          <t>27BBBBB19142Z5</t>
        </is>
      </c>
      <c r="B19142" t="inlineStr">
        <is>
          <t>Nov-2017</t>
        </is>
      </c>
      <c r="C19142" s="2" t="n">
        <v>43800</v>
      </c>
      <c r="D19142" t="inlineStr">
        <is>
          <t>NON-NIL</t>
        </is>
      </c>
      <c r="E19142" t="n">
        <v>1925</v>
      </c>
    </row>
    <row r="19143">
      <c r="A19143" t="inlineStr">
        <is>
          <t>27BBBBB19143Z5</t>
        </is>
      </c>
      <c r="B19143" t="inlineStr">
        <is>
          <t>Dec-2024</t>
        </is>
      </c>
      <c r="C19143" s="2" t="n">
        <v>44211</v>
      </c>
      <c r="D19143" t="inlineStr">
        <is>
          <t>NIL</t>
        </is>
      </c>
      <c r="E19143" t="n">
        <v>2691</v>
      </c>
    </row>
    <row r="19144">
      <c r="A19144" t="inlineStr">
        <is>
          <t>27BBBBB19144Z5</t>
        </is>
      </c>
      <c r="B19144" t="inlineStr">
        <is>
          <t>Oct-2018</t>
        </is>
      </c>
      <c r="C19144" s="2" t="n">
        <v>44381</v>
      </c>
      <c r="D19144" t="inlineStr">
        <is>
          <t>NIL</t>
        </is>
      </c>
      <c r="E19144" t="n">
        <v>2588</v>
      </c>
    </row>
    <row r="19145">
      <c r="A19145" t="inlineStr">
        <is>
          <t>27BBBBB19145Z5</t>
        </is>
      </c>
      <c r="B19145" t="inlineStr">
        <is>
          <t>Nov-2017</t>
        </is>
      </c>
      <c r="C19145" s="2" t="n">
        <v>43512</v>
      </c>
      <c r="D19145" t="inlineStr">
        <is>
          <t>NIL</t>
        </is>
      </c>
      <c r="E19145" t="n">
        <v>1454</v>
      </c>
    </row>
    <row r="19146">
      <c r="A19146" t="inlineStr">
        <is>
          <t>27BBBBB19146Z5</t>
        </is>
      </c>
      <c r="B19146" t="inlineStr">
        <is>
          <t>Aug-2018</t>
        </is>
      </c>
      <c r="C19146" s="2" t="n">
        <v>43149</v>
      </c>
      <c r="D19146" t="inlineStr">
        <is>
          <t>NIL</t>
        </is>
      </c>
      <c r="E19146" t="n">
        <v>1590</v>
      </c>
    </row>
    <row r="19147">
      <c r="A19147" t="inlineStr">
        <is>
          <t>27BBBBB19147Z5</t>
        </is>
      </c>
      <c r="B19147" t="inlineStr">
        <is>
          <t>Jan-2021</t>
        </is>
      </c>
      <c r="C19147" s="2" t="n">
        <v>43964</v>
      </c>
      <c r="D19147" t="inlineStr">
        <is>
          <t>NON-NIL</t>
        </is>
      </c>
      <c r="E19147" t="n">
        <v>908</v>
      </c>
    </row>
    <row r="19148">
      <c r="A19148" t="inlineStr">
        <is>
          <t>27BBBBB19148Z5</t>
        </is>
      </c>
      <c r="B19148" t="inlineStr">
        <is>
          <t>Feb-2018</t>
        </is>
      </c>
      <c r="C19148" s="2" t="n">
        <v>44244</v>
      </c>
      <c r="D19148" t="inlineStr">
        <is>
          <t>NON-NIL</t>
        </is>
      </c>
      <c r="E19148" t="n">
        <v>2830</v>
      </c>
    </row>
    <row r="19149">
      <c r="A19149" t="inlineStr">
        <is>
          <t>27BBBBB19149Z5</t>
        </is>
      </c>
      <c r="B19149" t="inlineStr">
        <is>
          <t>Sep-2017</t>
        </is>
      </c>
      <c r="C19149" s="2" t="n">
        <v>44073</v>
      </c>
      <c r="D19149" t="inlineStr">
        <is>
          <t>NIL</t>
        </is>
      </c>
      <c r="E19149" t="n">
        <v>2114</v>
      </c>
    </row>
    <row r="19150">
      <c r="A19150" t="inlineStr">
        <is>
          <t>27BBBBB19150Z5</t>
        </is>
      </c>
      <c r="B19150" t="inlineStr">
        <is>
          <t>Mar-2021</t>
        </is>
      </c>
      <c r="C19150" s="2" t="n">
        <v>44448</v>
      </c>
      <c r="D19150" t="inlineStr">
        <is>
          <t>NON-NIL</t>
        </is>
      </c>
      <c r="E19150" t="n">
        <v>2255</v>
      </c>
    </row>
    <row r="19151">
      <c r="A19151" t="inlineStr">
        <is>
          <t>27BBBBB19151Z5</t>
        </is>
      </c>
      <c r="B19151" t="inlineStr">
        <is>
          <t>Feb-2018</t>
        </is>
      </c>
      <c r="C19151" s="2" t="n">
        <v>43301</v>
      </c>
      <c r="D19151" t="inlineStr">
        <is>
          <t>NIL</t>
        </is>
      </c>
      <c r="E19151" t="n">
        <v>1787</v>
      </c>
    </row>
    <row r="19152">
      <c r="A19152" t="inlineStr">
        <is>
          <t>27BBBBB19152Z5</t>
        </is>
      </c>
      <c r="B19152" t="inlineStr">
        <is>
          <t>Nov-2018</t>
        </is>
      </c>
      <c r="C19152" s="2" t="n">
        <v>43890</v>
      </c>
      <c r="D19152" t="inlineStr">
        <is>
          <t>NON-NIL</t>
        </is>
      </c>
      <c r="E19152" t="n">
        <v>872</v>
      </c>
    </row>
    <row r="19153">
      <c r="A19153" t="inlineStr">
        <is>
          <t>27BBBBB19153Z5</t>
        </is>
      </c>
      <c r="B19153" t="inlineStr">
        <is>
          <t>Sep-2018</t>
        </is>
      </c>
      <c r="C19153" s="2" t="n">
        <v>43870</v>
      </c>
      <c r="D19153" t="inlineStr">
        <is>
          <t>NIL</t>
        </is>
      </c>
      <c r="E19153" t="n">
        <v>237</v>
      </c>
    </row>
    <row r="19154">
      <c r="A19154" t="inlineStr">
        <is>
          <t>27BBBBB19154Z5</t>
        </is>
      </c>
      <c r="B19154" t="inlineStr">
        <is>
          <t>Jul-2018</t>
        </is>
      </c>
      <c r="C19154" s="2" t="n">
        <v>42982</v>
      </c>
      <c r="D19154" t="inlineStr">
        <is>
          <t>NIL</t>
        </is>
      </c>
      <c r="E19154" t="n">
        <v>1623</v>
      </c>
    </row>
    <row r="19155">
      <c r="A19155" t="inlineStr">
        <is>
          <t>27BBBBB19155Z5</t>
        </is>
      </c>
      <c r="B19155" t="inlineStr">
        <is>
          <t>Jul-2020</t>
        </is>
      </c>
      <c r="C19155" s="2" t="n">
        <v>44074</v>
      </c>
      <c r="D19155" t="inlineStr">
        <is>
          <t>NON-NIL</t>
        </is>
      </c>
      <c r="E19155" t="n">
        <v>2305</v>
      </c>
    </row>
    <row r="19156">
      <c r="A19156" t="inlineStr">
        <is>
          <t>27BBBBB19156Z5</t>
        </is>
      </c>
      <c r="B19156" t="inlineStr">
        <is>
          <t>Nov-2017</t>
        </is>
      </c>
      <c r="C19156" s="2" t="n">
        <v>43979</v>
      </c>
      <c r="D19156" t="inlineStr">
        <is>
          <t>NON-NIL</t>
        </is>
      </c>
      <c r="E19156" t="n">
        <v>35</v>
      </c>
    </row>
    <row r="19157">
      <c r="A19157" t="inlineStr">
        <is>
          <t>27BBBBB19157Z5</t>
        </is>
      </c>
      <c r="B19157" t="inlineStr">
        <is>
          <t>Dec-2024</t>
        </is>
      </c>
      <c r="C19157" s="2" t="n">
        <v>44729</v>
      </c>
      <c r="D19157" t="inlineStr">
        <is>
          <t>NON-NIL</t>
        </is>
      </c>
      <c r="E19157" t="n">
        <v>1910</v>
      </c>
    </row>
    <row r="19158">
      <c r="A19158" t="inlineStr">
        <is>
          <t>27BBBBB19158Z5</t>
        </is>
      </c>
      <c r="B19158" t="inlineStr">
        <is>
          <t>Feb-2018</t>
        </is>
      </c>
      <c r="C19158" s="2" t="n">
        <v>43181</v>
      </c>
      <c r="D19158" t="inlineStr">
        <is>
          <t>NON-NIL</t>
        </is>
      </c>
      <c r="E19158" t="n">
        <v>2898</v>
      </c>
    </row>
    <row r="19159">
      <c r="A19159" t="inlineStr">
        <is>
          <t>27BBBBB19159Z5</t>
        </is>
      </c>
      <c r="B19159" t="inlineStr">
        <is>
          <t>Jun-2018</t>
        </is>
      </c>
      <c r="C19159" s="2" t="n">
        <v>43285</v>
      </c>
      <c r="D19159" t="inlineStr">
        <is>
          <t>NIL</t>
        </is>
      </c>
      <c r="E19159" t="n">
        <v>42</v>
      </c>
    </row>
    <row r="19160">
      <c r="A19160" t="inlineStr">
        <is>
          <t>27BBBBB19160Z5</t>
        </is>
      </c>
      <c r="B19160" t="inlineStr">
        <is>
          <t>Mar-2020</t>
        </is>
      </c>
      <c r="C19160" s="2" t="n">
        <v>44538</v>
      </c>
      <c r="D19160" t="inlineStr">
        <is>
          <t>NIL</t>
        </is>
      </c>
      <c r="E19160" t="n">
        <v>2541</v>
      </c>
    </row>
    <row r="19161">
      <c r="A19161" t="inlineStr">
        <is>
          <t>27BBBBB19161Z5</t>
        </is>
      </c>
      <c r="B19161" t="inlineStr">
        <is>
          <t>Sep-2018</t>
        </is>
      </c>
      <c r="C19161" s="2" t="n">
        <v>43544</v>
      </c>
      <c r="D19161" t="inlineStr">
        <is>
          <t>NIL</t>
        </is>
      </c>
      <c r="E19161" t="n">
        <v>1352</v>
      </c>
    </row>
    <row r="19162">
      <c r="A19162" t="inlineStr">
        <is>
          <t>27BBBBB19162Z5</t>
        </is>
      </c>
      <c r="B19162" t="inlineStr">
        <is>
          <t>Nov-2018</t>
        </is>
      </c>
      <c r="C19162" s="2" t="n">
        <v>43004</v>
      </c>
      <c r="D19162" t="inlineStr">
        <is>
          <t>NON-NIL</t>
        </is>
      </c>
      <c r="E19162" t="n">
        <v>243</v>
      </c>
    </row>
    <row r="19163">
      <c r="A19163" t="inlineStr">
        <is>
          <t>27BBBBB19163Z5</t>
        </is>
      </c>
      <c r="B19163" t="inlineStr">
        <is>
          <t>May-2020</t>
        </is>
      </c>
      <c r="C19163" s="2" t="n">
        <v>44775</v>
      </c>
      <c r="D19163" t="inlineStr">
        <is>
          <t>NIL</t>
        </is>
      </c>
      <c r="E19163" t="n">
        <v>2456</v>
      </c>
    </row>
    <row r="19164">
      <c r="A19164" t="inlineStr">
        <is>
          <t>27BBBBB19164Z5</t>
        </is>
      </c>
      <c r="B19164" t="inlineStr">
        <is>
          <t>Mar-2021</t>
        </is>
      </c>
      <c r="C19164" s="2" t="n">
        <v>43835</v>
      </c>
      <c r="D19164" t="inlineStr">
        <is>
          <t>NON-NIL</t>
        </is>
      </c>
      <c r="E19164" t="n">
        <v>2157</v>
      </c>
    </row>
    <row r="19165">
      <c r="A19165" t="inlineStr">
        <is>
          <t>27BBBBB19165Z5</t>
        </is>
      </c>
      <c r="B19165" t="inlineStr">
        <is>
          <t>Dec-2018</t>
        </is>
      </c>
      <c r="C19165" s="2" t="n">
        <v>43362</v>
      </c>
      <c r="D19165" t="inlineStr">
        <is>
          <t>NON-NIL</t>
        </is>
      </c>
      <c r="E19165" t="n">
        <v>1465</v>
      </c>
    </row>
    <row r="19166">
      <c r="A19166" t="inlineStr">
        <is>
          <t>27BBBBB19166Z5</t>
        </is>
      </c>
      <c r="B19166" t="inlineStr">
        <is>
          <t>Dec-2017</t>
        </is>
      </c>
      <c r="C19166" s="2" t="n">
        <v>43450</v>
      </c>
      <c r="D19166" t="inlineStr">
        <is>
          <t>NON-NIL</t>
        </is>
      </c>
      <c r="E19166" t="n">
        <v>1134</v>
      </c>
    </row>
    <row r="19167">
      <c r="A19167" t="inlineStr">
        <is>
          <t>27BBBBB19167Z5</t>
        </is>
      </c>
      <c r="B19167" t="inlineStr">
        <is>
          <t>Aug-2018</t>
        </is>
      </c>
      <c r="C19167" s="2" t="n">
        <v>43869</v>
      </c>
      <c r="D19167" t="inlineStr">
        <is>
          <t>NON-NIL</t>
        </is>
      </c>
      <c r="E19167" t="n">
        <v>1376</v>
      </c>
    </row>
    <row r="19168">
      <c r="A19168" t="inlineStr">
        <is>
          <t>27BBBBB19168Z5</t>
        </is>
      </c>
      <c r="B19168" t="inlineStr">
        <is>
          <t>Dec-2024</t>
        </is>
      </c>
      <c r="C19168" s="2" t="n">
        <v>44079</v>
      </c>
      <c r="D19168" t="inlineStr">
        <is>
          <t>NIL</t>
        </is>
      </c>
      <c r="E19168" t="n">
        <v>61</v>
      </c>
    </row>
    <row r="19169">
      <c r="A19169" t="inlineStr">
        <is>
          <t>27BBBBB19169Z5</t>
        </is>
      </c>
      <c r="B19169" t="inlineStr">
        <is>
          <t>Nov-2018</t>
        </is>
      </c>
      <c r="C19169" s="2" t="n">
        <v>43288</v>
      </c>
      <c r="D19169" t="inlineStr">
        <is>
          <t>NIL</t>
        </is>
      </c>
      <c r="E19169" t="n">
        <v>2415</v>
      </c>
    </row>
    <row r="19170">
      <c r="A19170" t="inlineStr">
        <is>
          <t>27BBBBB19170Z5</t>
        </is>
      </c>
      <c r="B19170" t="inlineStr">
        <is>
          <t>Oct-2017</t>
        </is>
      </c>
      <c r="C19170" s="2" t="n">
        <v>43495</v>
      </c>
      <c r="D19170" t="inlineStr">
        <is>
          <t>NIL</t>
        </is>
      </c>
      <c r="E19170" t="n">
        <v>2781</v>
      </c>
    </row>
    <row r="19171">
      <c r="A19171" t="inlineStr">
        <is>
          <t>27BBBBB19171Z5</t>
        </is>
      </c>
      <c r="B19171" t="inlineStr">
        <is>
          <t>Dec-2018</t>
        </is>
      </c>
      <c r="C19171" s="2" t="n">
        <v>44229</v>
      </c>
      <c r="D19171" t="inlineStr">
        <is>
          <t>NIL</t>
        </is>
      </c>
      <c r="E19171" t="n">
        <v>717</v>
      </c>
    </row>
    <row r="19172">
      <c r="A19172" t="inlineStr">
        <is>
          <t>27BBBBB19172Z5</t>
        </is>
      </c>
      <c r="B19172" t="inlineStr">
        <is>
          <t>Jul-2017</t>
        </is>
      </c>
      <c r="C19172" s="2" t="n">
        <v>44005</v>
      </c>
      <c r="D19172" t="inlineStr">
        <is>
          <t>NON-NIL</t>
        </is>
      </c>
      <c r="E19172" t="n">
        <v>1974</v>
      </c>
    </row>
    <row r="19173">
      <c r="A19173" t="inlineStr">
        <is>
          <t>27BBBBB19173Z5</t>
        </is>
      </c>
      <c r="B19173" t="inlineStr">
        <is>
          <t>Dec-2022</t>
        </is>
      </c>
      <c r="C19173" s="2" t="n">
        <v>43932</v>
      </c>
      <c r="D19173" t="inlineStr">
        <is>
          <t>NIL</t>
        </is>
      </c>
      <c r="E19173" t="n">
        <v>2996</v>
      </c>
    </row>
    <row r="19174">
      <c r="A19174" t="inlineStr">
        <is>
          <t>27BBBBB19174Z5</t>
        </is>
      </c>
      <c r="B19174" t="inlineStr">
        <is>
          <t>Mar-2020</t>
        </is>
      </c>
      <c r="C19174" s="2" t="n">
        <v>44048</v>
      </c>
      <c r="D19174" t="inlineStr">
        <is>
          <t>NON-NIL</t>
        </is>
      </c>
      <c r="E19174" t="n">
        <v>203</v>
      </c>
    </row>
    <row r="19175">
      <c r="A19175" t="inlineStr">
        <is>
          <t>27BBBBB19175Z5</t>
        </is>
      </c>
      <c r="B19175" t="inlineStr">
        <is>
          <t>Mar-2020</t>
        </is>
      </c>
      <c r="C19175" s="2" t="n">
        <v>44068</v>
      </c>
      <c r="D19175" t="inlineStr">
        <is>
          <t>NIL</t>
        </is>
      </c>
      <c r="E19175" t="n">
        <v>1589</v>
      </c>
    </row>
    <row r="19176">
      <c r="A19176" t="inlineStr">
        <is>
          <t>27BBBBB19176Z5</t>
        </is>
      </c>
      <c r="B19176" t="inlineStr">
        <is>
          <t>Dec-2018</t>
        </is>
      </c>
      <c r="C19176" s="2" t="n">
        <v>44094</v>
      </c>
      <c r="D19176" t="inlineStr">
        <is>
          <t>NON-NIL</t>
        </is>
      </c>
      <c r="E19176" t="n">
        <v>1389</v>
      </c>
    </row>
    <row r="19177">
      <c r="A19177" t="inlineStr">
        <is>
          <t>27BBBBB19177Z5</t>
        </is>
      </c>
      <c r="B19177" t="inlineStr">
        <is>
          <t>Feb-2018</t>
        </is>
      </c>
      <c r="C19177" s="2" t="n">
        <v>44108</v>
      </c>
      <c r="D19177" t="inlineStr">
        <is>
          <t>NON-NIL</t>
        </is>
      </c>
      <c r="E19177" t="n">
        <v>890</v>
      </c>
    </row>
    <row r="19178">
      <c r="A19178" t="inlineStr">
        <is>
          <t>27BBBBB19178Z5</t>
        </is>
      </c>
      <c r="B19178" t="inlineStr">
        <is>
          <t>Nov-2017</t>
        </is>
      </c>
      <c r="C19178" s="2" t="n">
        <v>43264</v>
      </c>
      <c r="D19178" t="inlineStr">
        <is>
          <t>NON-NIL</t>
        </is>
      </c>
      <c r="E19178" t="n">
        <v>102</v>
      </c>
    </row>
    <row r="19179">
      <c r="A19179" t="inlineStr">
        <is>
          <t>27BBBBB19179Z5</t>
        </is>
      </c>
      <c r="B19179" t="inlineStr">
        <is>
          <t>Jan-2021</t>
        </is>
      </c>
      <c r="C19179" s="2" t="n">
        <v>45718</v>
      </c>
      <c r="D19179" t="inlineStr">
        <is>
          <t>NON-NIL</t>
        </is>
      </c>
      <c r="E19179" t="n">
        <v>1411</v>
      </c>
    </row>
    <row r="19180">
      <c r="A19180" t="inlineStr">
        <is>
          <t>27BBBBB19180Z5</t>
        </is>
      </c>
      <c r="B19180" t="inlineStr">
        <is>
          <t>Nov-2018</t>
        </is>
      </c>
      <c r="C19180" s="2" t="n">
        <v>43266</v>
      </c>
      <c r="D19180" t="inlineStr">
        <is>
          <t>NON-NIL</t>
        </is>
      </c>
      <c r="E19180" t="n">
        <v>332</v>
      </c>
    </row>
    <row r="19181">
      <c r="A19181" t="inlineStr">
        <is>
          <t>27BBBBB19181Z5</t>
        </is>
      </c>
      <c r="B19181" t="inlineStr">
        <is>
          <t>Jan-2021</t>
        </is>
      </c>
      <c r="C19181" s="2" t="n">
        <v>44323</v>
      </c>
      <c r="D19181" t="inlineStr">
        <is>
          <t>NIL</t>
        </is>
      </c>
      <c r="E19181" t="n">
        <v>1695</v>
      </c>
    </row>
    <row r="19182">
      <c r="A19182" t="inlineStr">
        <is>
          <t>27BBBBB19182Z5</t>
        </is>
      </c>
      <c r="B19182" t="inlineStr">
        <is>
          <t>Oct-2018</t>
        </is>
      </c>
      <c r="C19182" s="2" t="n">
        <v>43799</v>
      </c>
      <c r="D19182" t="inlineStr">
        <is>
          <t>NON-NIL</t>
        </is>
      </c>
      <c r="E19182" t="n">
        <v>511</v>
      </c>
    </row>
    <row r="19183">
      <c r="A19183" t="inlineStr">
        <is>
          <t>27BBBBB19183Z5</t>
        </is>
      </c>
      <c r="B19183" t="inlineStr">
        <is>
          <t>Mar-2020</t>
        </is>
      </c>
      <c r="C19183" s="2" t="n">
        <v>44447</v>
      </c>
      <c r="D19183" t="inlineStr">
        <is>
          <t>NIL</t>
        </is>
      </c>
      <c r="E19183" t="n">
        <v>2349</v>
      </c>
    </row>
    <row r="19184">
      <c r="A19184" t="inlineStr">
        <is>
          <t>27BBBBB19184Z5</t>
        </is>
      </c>
      <c r="B19184" t="inlineStr">
        <is>
          <t>Mar-2023</t>
        </is>
      </c>
      <c r="C19184" s="2" t="n">
        <v>45774</v>
      </c>
      <c r="D19184" t="inlineStr">
        <is>
          <t>NON-NIL</t>
        </is>
      </c>
      <c r="E19184" t="n">
        <v>2844</v>
      </c>
    </row>
    <row r="19185">
      <c r="A19185" t="inlineStr">
        <is>
          <t>27BBBBB19185Z5</t>
        </is>
      </c>
      <c r="B19185" t="inlineStr">
        <is>
          <t>Apr-2018</t>
        </is>
      </c>
      <c r="C19185" s="2" t="n">
        <v>44223</v>
      </c>
      <c r="D19185" t="inlineStr">
        <is>
          <t>NIL</t>
        </is>
      </c>
      <c r="E19185" t="n">
        <v>2511</v>
      </c>
    </row>
    <row r="19186">
      <c r="A19186" t="inlineStr">
        <is>
          <t>27BBBBB19186Z5</t>
        </is>
      </c>
      <c r="B19186" t="inlineStr">
        <is>
          <t>Oct-2017</t>
        </is>
      </c>
      <c r="C19186" s="2" t="n">
        <v>44215</v>
      </c>
      <c r="D19186" t="inlineStr">
        <is>
          <t>NON-NIL</t>
        </is>
      </c>
      <c r="E19186" t="n">
        <v>2468</v>
      </c>
    </row>
    <row r="19187">
      <c r="A19187" t="inlineStr">
        <is>
          <t>27BBBBB19187Z5</t>
        </is>
      </c>
      <c r="B19187" t="inlineStr">
        <is>
          <t>Oct-2018</t>
        </is>
      </c>
      <c r="C19187" s="2" t="n">
        <v>43936</v>
      </c>
      <c r="D19187" t="inlineStr">
        <is>
          <t>NIL</t>
        </is>
      </c>
      <c r="E19187" t="n">
        <v>2967</v>
      </c>
    </row>
    <row r="19188">
      <c r="A19188" t="inlineStr">
        <is>
          <t>27BBBBB19188Z5</t>
        </is>
      </c>
      <c r="B19188" t="inlineStr">
        <is>
          <t>Mar-2018</t>
        </is>
      </c>
      <c r="C19188" s="2" t="n">
        <v>43727</v>
      </c>
      <c r="D19188" t="inlineStr">
        <is>
          <t>NON-NIL</t>
        </is>
      </c>
      <c r="E19188" t="n">
        <v>2284</v>
      </c>
    </row>
    <row r="19189">
      <c r="A19189" t="inlineStr">
        <is>
          <t>27BBBBB19189Z5</t>
        </is>
      </c>
      <c r="B19189" t="inlineStr">
        <is>
          <t>Apr-2020</t>
        </is>
      </c>
      <c r="C19189" s="2" t="n">
        <v>44767</v>
      </c>
      <c r="D19189" t="inlineStr">
        <is>
          <t>NIL</t>
        </is>
      </c>
      <c r="E19189" t="n">
        <v>1866</v>
      </c>
    </row>
    <row r="19190">
      <c r="A19190" t="inlineStr">
        <is>
          <t>27BBBBB19190Z5</t>
        </is>
      </c>
      <c r="B19190" t="inlineStr">
        <is>
          <t>Jun-2018</t>
        </is>
      </c>
      <c r="C19190" s="2" t="n">
        <v>43010</v>
      </c>
      <c r="D19190" t="inlineStr">
        <is>
          <t>NON-NIL</t>
        </is>
      </c>
      <c r="E19190" t="n">
        <v>80</v>
      </c>
    </row>
    <row r="19191">
      <c r="A19191" t="inlineStr">
        <is>
          <t>27BBBBB19191Z5</t>
        </is>
      </c>
      <c r="B19191" t="inlineStr">
        <is>
          <t>Mar-2023</t>
        </is>
      </c>
      <c r="C19191" s="2" t="n">
        <v>43482</v>
      </c>
      <c r="D19191" t="inlineStr">
        <is>
          <t>NON-NIL</t>
        </is>
      </c>
      <c r="E19191" t="n">
        <v>2884</v>
      </c>
    </row>
    <row r="19192">
      <c r="A19192" t="inlineStr">
        <is>
          <t>27BBBBB19192Z5</t>
        </is>
      </c>
      <c r="B19192" t="inlineStr">
        <is>
          <t>Nov-2018</t>
        </is>
      </c>
      <c r="C19192" s="2" t="n">
        <v>43272</v>
      </c>
      <c r="D19192" t="inlineStr">
        <is>
          <t>NIL</t>
        </is>
      </c>
      <c r="E19192" t="n">
        <v>2412</v>
      </c>
    </row>
    <row r="19193">
      <c r="A19193" t="inlineStr">
        <is>
          <t>27BBBBB19193Z5</t>
        </is>
      </c>
      <c r="B19193" t="inlineStr">
        <is>
          <t>Jan-2021</t>
        </is>
      </c>
      <c r="C19193" s="2" t="n">
        <v>45504</v>
      </c>
      <c r="D19193" t="inlineStr">
        <is>
          <t>NON-NIL</t>
        </is>
      </c>
      <c r="E19193" t="n">
        <v>2462</v>
      </c>
    </row>
    <row r="19194">
      <c r="A19194" t="inlineStr">
        <is>
          <t>27BBBBB19194Z5</t>
        </is>
      </c>
      <c r="B19194" t="inlineStr">
        <is>
          <t>Mar-2020</t>
        </is>
      </c>
      <c r="C19194" s="2" t="n">
        <v>44097</v>
      </c>
      <c r="D19194" t="inlineStr">
        <is>
          <t>NIL</t>
        </is>
      </c>
      <c r="E19194" t="n">
        <v>2989</v>
      </c>
    </row>
    <row r="19195">
      <c r="A19195" t="inlineStr">
        <is>
          <t>27BBBBB19195Z5</t>
        </is>
      </c>
      <c r="B19195" t="inlineStr">
        <is>
          <t>Jul-2017</t>
        </is>
      </c>
      <c r="C19195" s="2" t="n">
        <v>43429</v>
      </c>
      <c r="D19195" t="inlineStr">
        <is>
          <t>NON-NIL</t>
        </is>
      </c>
      <c r="E19195" t="n">
        <v>1407</v>
      </c>
    </row>
    <row r="19196">
      <c r="A19196" t="inlineStr">
        <is>
          <t>27BBBBB19196Z5</t>
        </is>
      </c>
      <c r="B19196" t="inlineStr">
        <is>
          <t>Jan-2021</t>
        </is>
      </c>
      <c r="C19196" s="2" t="n">
        <v>45646</v>
      </c>
      <c r="D19196" t="inlineStr">
        <is>
          <t>NON-NIL</t>
        </is>
      </c>
      <c r="E19196" t="n">
        <v>890</v>
      </c>
    </row>
    <row r="19197">
      <c r="A19197" t="inlineStr">
        <is>
          <t>27BBBBB19197Z5</t>
        </is>
      </c>
      <c r="B19197" t="inlineStr">
        <is>
          <t>Mar-2020</t>
        </is>
      </c>
      <c r="C19197" s="2" t="n">
        <v>44337</v>
      </c>
      <c r="D19197" t="inlineStr">
        <is>
          <t>NIL</t>
        </is>
      </c>
      <c r="E19197" t="n">
        <v>741</v>
      </c>
    </row>
    <row r="19198">
      <c r="A19198" t="inlineStr">
        <is>
          <t>27BBBBB19198Z5</t>
        </is>
      </c>
      <c r="B19198" t="inlineStr">
        <is>
          <t>Mar-2023</t>
        </is>
      </c>
      <c r="C19198" s="2" t="n">
        <v>44717</v>
      </c>
      <c r="D19198" t="inlineStr">
        <is>
          <t>NON-NIL</t>
        </is>
      </c>
      <c r="E19198" t="n">
        <v>2714</v>
      </c>
    </row>
    <row r="19199">
      <c r="A19199" t="inlineStr">
        <is>
          <t>27BBBBB19199Z5</t>
        </is>
      </c>
      <c r="B19199" t="inlineStr">
        <is>
          <t>Dec-2022</t>
        </is>
      </c>
      <c r="C19199" s="2" t="n">
        <v>43576</v>
      </c>
      <c r="D19199" t="inlineStr">
        <is>
          <t>NON-NIL</t>
        </is>
      </c>
      <c r="E19199" t="n">
        <v>746</v>
      </c>
    </row>
    <row r="19200">
      <c r="A19200" t="inlineStr">
        <is>
          <t>27BBBBB19200Z5</t>
        </is>
      </c>
      <c r="B19200" t="inlineStr">
        <is>
          <t>Aug-2017</t>
        </is>
      </c>
      <c r="C19200" s="2" t="n">
        <v>44490</v>
      </c>
      <c r="D19200" t="inlineStr">
        <is>
          <t>NON-NIL</t>
        </is>
      </c>
      <c r="E19200" t="n">
        <v>2152</v>
      </c>
    </row>
    <row r="19201">
      <c r="A19201" t="inlineStr">
        <is>
          <t>27BBBBB19201Z5</t>
        </is>
      </c>
      <c r="B19201" t="inlineStr">
        <is>
          <t>Dec-2018</t>
        </is>
      </c>
      <c r="C19201" s="2" t="n">
        <v>44444</v>
      </c>
      <c r="D19201" t="inlineStr">
        <is>
          <t>NIL</t>
        </is>
      </c>
      <c r="E19201" t="n">
        <v>2744</v>
      </c>
    </row>
    <row r="19202">
      <c r="A19202" t="inlineStr">
        <is>
          <t>27BBBBB19202Z5</t>
        </is>
      </c>
      <c r="B19202" t="inlineStr">
        <is>
          <t>Apr-2018</t>
        </is>
      </c>
      <c r="C19202" s="2" t="n">
        <v>43865</v>
      </c>
      <c r="D19202" t="inlineStr">
        <is>
          <t>NON-NIL</t>
        </is>
      </c>
      <c r="E19202" t="n">
        <v>775</v>
      </c>
    </row>
    <row r="19203">
      <c r="A19203" t="inlineStr">
        <is>
          <t>27BBBBB19203Z5</t>
        </is>
      </c>
      <c r="B19203" t="inlineStr">
        <is>
          <t>Mar-2023</t>
        </is>
      </c>
      <c r="C19203" s="2" t="n">
        <v>43913</v>
      </c>
      <c r="D19203" t="inlineStr">
        <is>
          <t>NIL</t>
        </is>
      </c>
      <c r="E19203" t="n">
        <v>1625</v>
      </c>
    </row>
    <row r="19204">
      <c r="A19204" t="inlineStr">
        <is>
          <t>27BBBBB19204Z5</t>
        </is>
      </c>
      <c r="B19204" t="inlineStr">
        <is>
          <t>Apr-2018</t>
        </is>
      </c>
      <c r="C19204" s="2" t="n">
        <v>43902</v>
      </c>
      <c r="D19204" t="inlineStr">
        <is>
          <t>NIL</t>
        </is>
      </c>
      <c r="E19204" t="n">
        <v>2280</v>
      </c>
    </row>
    <row r="19205">
      <c r="A19205" t="inlineStr">
        <is>
          <t>27BBBBB19205Z5</t>
        </is>
      </c>
      <c r="B19205" t="inlineStr">
        <is>
          <t>Jun-2020</t>
        </is>
      </c>
      <c r="C19205" s="2" t="n">
        <v>44724</v>
      </c>
      <c r="D19205" t="inlineStr">
        <is>
          <t>NIL</t>
        </is>
      </c>
      <c r="E19205" t="n">
        <v>2297</v>
      </c>
    </row>
    <row r="19206">
      <c r="A19206" t="inlineStr">
        <is>
          <t>27BBBBB19206Z5</t>
        </is>
      </c>
      <c r="B19206" t="inlineStr">
        <is>
          <t>Oct-2017</t>
        </is>
      </c>
      <c r="C19206" s="2" t="n">
        <v>43174</v>
      </c>
      <c r="D19206" t="inlineStr">
        <is>
          <t>NON-NIL</t>
        </is>
      </c>
      <c r="E19206" t="n">
        <v>2765</v>
      </c>
    </row>
    <row r="19207">
      <c r="A19207" t="inlineStr">
        <is>
          <t>27BBBBB19207Z5</t>
        </is>
      </c>
      <c r="B19207" t="inlineStr">
        <is>
          <t>Sep-2017</t>
        </is>
      </c>
      <c r="C19207" s="2" t="n">
        <v>43980</v>
      </c>
      <c r="D19207" t="inlineStr">
        <is>
          <t>NIL</t>
        </is>
      </c>
      <c r="E19207" t="n">
        <v>1884</v>
      </c>
    </row>
    <row r="19208">
      <c r="A19208" t="inlineStr">
        <is>
          <t>27BBBBB19208Z5</t>
        </is>
      </c>
      <c r="B19208" t="inlineStr">
        <is>
          <t>Mar-2020</t>
        </is>
      </c>
      <c r="C19208" s="2" t="n">
        <v>43907</v>
      </c>
      <c r="D19208" t="inlineStr">
        <is>
          <t>NIL</t>
        </is>
      </c>
      <c r="E19208" t="n">
        <v>1806</v>
      </c>
    </row>
    <row r="19209">
      <c r="A19209" t="inlineStr">
        <is>
          <t>27BBBBB19209Z5</t>
        </is>
      </c>
      <c r="B19209" t="inlineStr">
        <is>
          <t>Sep-2018</t>
        </is>
      </c>
      <c r="C19209" s="2" t="n">
        <v>43528</v>
      </c>
      <c r="D19209" t="inlineStr">
        <is>
          <t>NON-NIL</t>
        </is>
      </c>
      <c r="E19209" t="n">
        <v>434</v>
      </c>
    </row>
    <row r="19210">
      <c r="A19210" t="inlineStr">
        <is>
          <t>27BBBBB19210Z5</t>
        </is>
      </c>
      <c r="B19210" t="inlineStr">
        <is>
          <t>Dec-2022</t>
        </is>
      </c>
      <c r="C19210" s="2" t="n">
        <v>43594</v>
      </c>
      <c r="D19210" t="inlineStr">
        <is>
          <t>NIL</t>
        </is>
      </c>
      <c r="E19210" t="n">
        <v>1855</v>
      </c>
    </row>
    <row r="19211">
      <c r="A19211" t="inlineStr">
        <is>
          <t>27BBBBB19211Z5</t>
        </is>
      </c>
      <c r="B19211" t="inlineStr">
        <is>
          <t>Jun-2020</t>
        </is>
      </c>
      <c r="C19211" s="2" t="n">
        <v>44487</v>
      </c>
      <c r="D19211" t="inlineStr">
        <is>
          <t>NIL</t>
        </is>
      </c>
      <c r="E19211" t="n">
        <v>1779</v>
      </c>
    </row>
    <row r="19212">
      <c r="A19212" t="inlineStr">
        <is>
          <t>27BBBBB19212Z5</t>
        </is>
      </c>
      <c r="B19212" t="inlineStr">
        <is>
          <t>Dec-2024</t>
        </is>
      </c>
      <c r="C19212" s="2" t="n">
        <v>45336</v>
      </c>
      <c r="D19212" t="inlineStr">
        <is>
          <t>NON-NIL</t>
        </is>
      </c>
      <c r="E19212" t="n">
        <v>2693</v>
      </c>
    </row>
    <row r="19213">
      <c r="A19213" t="inlineStr">
        <is>
          <t>27BBBBB19213Z5</t>
        </is>
      </c>
      <c r="B19213" t="inlineStr">
        <is>
          <t>Dec-2018</t>
        </is>
      </c>
      <c r="C19213" s="2" t="n">
        <v>43423</v>
      </c>
      <c r="D19213" t="inlineStr">
        <is>
          <t>NON-NIL</t>
        </is>
      </c>
      <c r="E19213" t="n">
        <v>527</v>
      </c>
    </row>
    <row r="19214">
      <c r="A19214" t="inlineStr">
        <is>
          <t>27BBBBB19214Z5</t>
        </is>
      </c>
      <c r="B19214" t="inlineStr">
        <is>
          <t>Dec-2024</t>
        </is>
      </c>
      <c r="C19214" s="2" t="n">
        <v>45021</v>
      </c>
      <c r="D19214" t="inlineStr">
        <is>
          <t>NIL</t>
        </is>
      </c>
      <c r="E19214" t="n">
        <v>999</v>
      </c>
    </row>
    <row r="19215">
      <c r="A19215" t="inlineStr">
        <is>
          <t>27BBBBB19215Z5</t>
        </is>
      </c>
      <c r="B19215" t="inlineStr">
        <is>
          <t>Jun-2018</t>
        </is>
      </c>
      <c r="C19215" s="2" t="n">
        <v>44090</v>
      </c>
      <c r="D19215" t="inlineStr">
        <is>
          <t>NIL</t>
        </is>
      </c>
      <c r="E19215" t="n">
        <v>310</v>
      </c>
    </row>
    <row r="19216">
      <c r="A19216" t="inlineStr">
        <is>
          <t>27BBBBB19216Z5</t>
        </is>
      </c>
      <c r="B19216" t="inlineStr">
        <is>
          <t>Aug-2017</t>
        </is>
      </c>
      <c r="C19216" s="2" t="n">
        <v>43104</v>
      </c>
      <c r="D19216" t="inlineStr">
        <is>
          <t>NON-NIL</t>
        </is>
      </c>
      <c r="E19216" t="n">
        <v>364</v>
      </c>
    </row>
    <row r="19217">
      <c r="A19217" t="inlineStr">
        <is>
          <t>27BBBBB19217Z5</t>
        </is>
      </c>
      <c r="B19217" t="inlineStr">
        <is>
          <t>May-2018</t>
        </is>
      </c>
      <c r="C19217" s="2" t="n">
        <v>43263</v>
      </c>
      <c r="D19217" t="inlineStr">
        <is>
          <t>NIL</t>
        </is>
      </c>
      <c r="E19217" t="n">
        <v>925</v>
      </c>
    </row>
    <row r="19218">
      <c r="A19218" t="inlineStr">
        <is>
          <t>27BBBBB19218Z5</t>
        </is>
      </c>
      <c r="B19218" t="inlineStr">
        <is>
          <t>Nov-2018</t>
        </is>
      </c>
      <c r="C19218" s="2" t="n">
        <v>43949</v>
      </c>
      <c r="D19218" t="inlineStr">
        <is>
          <t>NIL</t>
        </is>
      </c>
      <c r="E19218" t="n">
        <v>2333</v>
      </c>
    </row>
    <row r="19219">
      <c r="A19219" t="inlineStr">
        <is>
          <t>27BBBBB19219Z5</t>
        </is>
      </c>
      <c r="B19219" t="inlineStr">
        <is>
          <t>Dec-2017</t>
        </is>
      </c>
      <c r="C19219" s="2" t="n">
        <v>43757</v>
      </c>
      <c r="D19219" t="inlineStr">
        <is>
          <t>NON-NIL</t>
        </is>
      </c>
      <c r="E19219" t="n">
        <v>1813</v>
      </c>
    </row>
    <row r="19220">
      <c r="A19220" t="inlineStr">
        <is>
          <t>27BBBBB19220Z5</t>
        </is>
      </c>
      <c r="B19220" t="inlineStr">
        <is>
          <t>Dec-2024</t>
        </is>
      </c>
      <c r="C19220" s="2" t="n">
        <v>43961</v>
      </c>
      <c r="D19220" t="inlineStr">
        <is>
          <t>NON-NIL</t>
        </is>
      </c>
      <c r="E19220" t="n">
        <v>592</v>
      </c>
    </row>
    <row r="19221">
      <c r="A19221" t="inlineStr">
        <is>
          <t>27BBBBB19221Z5</t>
        </is>
      </c>
      <c r="B19221" t="inlineStr">
        <is>
          <t>Sep-2017</t>
        </is>
      </c>
      <c r="C19221" s="2" t="n">
        <v>43355</v>
      </c>
      <c r="D19221" t="inlineStr">
        <is>
          <t>NIL</t>
        </is>
      </c>
      <c r="E19221" t="n">
        <v>1070</v>
      </c>
    </row>
    <row r="19222">
      <c r="A19222" t="inlineStr">
        <is>
          <t>27BBBBB19222Z5</t>
        </is>
      </c>
      <c r="B19222" t="inlineStr">
        <is>
          <t>Mar-2021</t>
        </is>
      </c>
      <c r="C19222" s="2" t="n">
        <v>44636</v>
      </c>
      <c r="D19222" t="inlineStr">
        <is>
          <t>NIL</t>
        </is>
      </c>
      <c r="E19222" t="n">
        <v>1161</v>
      </c>
    </row>
    <row r="19223">
      <c r="A19223" t="inlineStr">
        <is>
          <t>27BBBBB19223Z5</t>
        </is>
      </c>
      <c r="B19223" t="inlineStr">
        <is>
          <t>Nov-2018</t>
        </is>
      </c>
      <c r="C19223" s="2" t="n">
        <v>44050</v>
      </c>
      <c r="D19223" t="inlineStr">
        <is>
          <t>NON-NIL</t>
        </is>
      </c>
      <c r="E19223" t="n">
        <v>1189</v>
      </c>
    </row>
    <row r="19224">
      <c r="A19224" t="inlineStr">
        <is>
          <t>27BBBBB19224Z5</t>
        </is>
      </c>
      <c r="B19224" t="inlineStr">
        <is>
          <t>Jul-2018</t>
        </is>
      </c>
      <c r="C19224" s="2" t="n">
        <v>44135</v>
      </c>
      <c r="D19224" t="inlineStr">
        <is>
          <t>NON-NIL</t>
        </is>
      </c>
      <c r="E19224" t="n">
        <v>400</v>
      </c>
    </row>
    <row r="19225">
      <c r="A19225" t="inlineStr">
        <is>
          <t>27BBBBB19225Z5</t>
        </is>
      </c>
      <c r="B19225" t="inlineStr">
        <is>
          <t>Mar-2021</t>
        </is>
      </c>
      <c r="C19225" s="2" t="n">
        <v>43497</v>
      </c>
      <c r="D19225" t="inlineStr">
        <is>
          <t>NON-NIL</t>
        </is>
      </c>
      <c r="E19225" t="n">
        <v>2416</v>
      </c>
    </row>
    <row r="19226">
      <c r="A19226" t="inlineStr">
        <is>
          <t>27BBBBB19226Z5</t>
        </is>
      </c>
      <c r="B19226" t="inlineStr">
        <is>
          <t>Apr-2020</t>
        </is>
      </c>
      <c r="C19226" s="2" t="n">
        <v>43966</v>
      </c>
      <c r="D19226" t="inlineStr">
        <is>
          <t>NIL</t>
        </is>
      </c>
      <c r="E19226" t="n">
        <v>996</v>
      </c>
    </row>
    <row r="19227">
      <c r="A19227" t="inlineStr">
        <is>
          <t>27BBBBB19227Z5</t>
        </is>
      </c>
      <c r="B19227" t="inlineStr">
        <is>
          <t>Oct-2018</t>
        </is>
      </c>
      <c r="C19227" s="2" t="n">
        <v>43759</v>
      </c>
      <c r="D19227" t="inlineStr">
        <is>
          <t>NON-NIL</t>
        </is>
      </c>
      <c r="E19227" t="n">
        <v>1945</v>
      </c>
    </row>
    <row r="19228">
      <c r="A19228" t="inlineStr">
        <is>
          <t>27BBBBB19228Z5</t>
        </is>
      </c>
      <c r="B19228" t="inlineStr">
        <is>
          <t>Nov-2017</t>
        </is>
      </c>
      <c r="C19228" s="2" t="n">
        <v>43937</v>
      </c>
      <c r="D19228" t="inlineStr">
        <is>
          <t>NIL</t>
        </is>
      </c>
      <c r="E19228" t="n">
        <v>1333</v>
      </c>
    </row>
    <row r="19229">
      <c r="A19229" t="inlineStr">
        <is>
          <t>27BBBBB19229Z5</t>
        </is>
      </c>
      <c r="B19229" t="inlineStr">
        <is>
          <t>Sep-2018</t>
        </is>
      </c>
      <c r="C19229" s="2" t="n">
        <v>44528</v>
      </c>
      <c r="D19229" t="inlineStr">
        <is>
          <t>NON-NIL</t>
        </is>
      </c>
      <c r="E19229" t="n">
        <v>1416</v>
      </c>
    </row>
    <row r="19230">
      <c r="A19230" t="inlineStr">
        <is>
          <t>27BBBBB19230Z5</t>
        </is>
      </c>
      <c r="B19230" t="inlineStr">
        <is>
          <t>May-2018</t>
        </is>
      </c>
      <c r="C19230" s="2" t="n">
        <v>44333</v>
      </c>
      <c r="D19230" t="inlineStr">
        <is>
          <t>NIL</t>
        </is>
      </c>
      <c r="E19230" t="n">
        <v>17</v>
      </c>
    </row>
    <row r="19231">
      <c r="A19231" t="inlineStr">
        <is>
          <t>27BBBBB19231Z5</t>
        </is>
      </c>
      <c r="B19231" t="inlineStr">
        <is>
          <t>May-2018</t>
        </is>
      </c>
      <c r="C19231" s="2" t="n">
        <v>43468</v>
      </c>
      <c r="D19231" t="inlineStr">
        <is>
          <t>NIL</t>
        </is>
      </c>
      <c r="E19231" t="n">
        <v>1881</v>
      </c>
    </row>
    <row r="19232">
      <c r="A19232" t="inlineStr">
        <is>
          <t>27BBBBB19232Z5</t>
        </is>
      </c>
      <c r="B19232" t="inlineStr">
        <is>
          <t>Dec-2022</t>
        </is>
      </c>
      <c r="C19232" s="2" t="n">
        <v>44730</v>
      </c>
      <c r="D19232" t="inlineStr">
        <is>
          <t>NON-NIL</t>
        </is>
      </c>
      <c r="E19232" t="n">
        <v>2483</v>
      </c>
    </row>
    <row r="19233">
      <c r="A19233" t="inlineStr">
        <is>
          <t>27BBBBB19233Z5</t>
        </is>
      </c>
      <c r="B19233" t="inlineStr">
        <is>
          <t>Jul-2020</t>
        </is>
      </c>
      <c r="C19233" s="2" t="n">
        <v>43920</v>
      </c>
      <c r="D19233" t="inlineStr">
        <is>
          <t>NON-NIL</t>
        </is>
      </c>
      <c r="E19233" t="n">
        <v>1233</v>
      </c>
    </row>
    <row r="19234">
      <c r="A19234" t="inlineStr">
        <is>
          <t>27BBBBB19234Z5</t>
        </is>
      </c>
      <c r="B19234" t="inlineStr">
        <is>
          <t>Oct-2018</t>
        </is>
      </c>
      <c r="C19234" s="2" t="n">
        <v>44503</v>
      </c>
      <c r="D19234" t="inlineStr">
        <is>
          <t>NON-NIL</t>
        </is>
      </c>
      <c r="E19234" t="n">
        <v>1031</v>
      </c>
    </row>
    <row r="19235">
      <c r="A19235" t="inlineStr">
        <is>
          <t>27BBBBB19235Z5</t>
        </is>
      </c>
      <c r="B19235" t="inlineStr">
        <is>
          <t>Aug-2017</t>
        </is>
      </c>
      <c r="C19235" s="2" t="n">
        <v>43680</v>
      </c>
      <c r="D19235" t="inlineStr">
        <is>
          <t>NIL</t>
        </is>
      </c>
      <c r="E19235" t="n">
        <v>2612</v>
      </c>
    </row>
    <row r="19236">
      <c r="A19236" t="inlineStr">
        <is>
          <t>27BBBBB19236Z5</t>
        </is>
      </c>
      <c r="B19236" t="inlineStr">
        <is>
          <t>Jul-2020</t>
        </is>
      </c>
      <c r="C19236" s="2" t="n">
        <v>44416</v>
      </c>
      <c r="D19236" t="inlineStr">
        <is>
          <t>NON-NIL</t>
        </is>
      </c>
      <c r="E19236" t="n">
        <v>53</v>
      </c>
    </row>
    <row r="19237">
      <c r="A19237" t="inlineStr">
        <is>
          <t>27BBBBB19237Z5</t>
        </is>
      </c>
      <c r="B19237" t="inlineStr">
        <is>
          <t>Jul-2020</t>
        </is>
      </c>
      <c r="C19237" s="2" t="n">
        <v>44341</v>
      </c>
      <c r="D19237" t="inlineStr">
        <is>
          <t>NIL</t>
        </is>
      </c>
      <c r="E19237" t="n">
        <v>1596</v>
      </c>
    </row>
    <row r="19238">
      <c r="A19238" t="inlineStr">
        <is>
          <t>27BBBBB19238Z5</t>
        </is>
      </c>
      <c r="B19238" t="inlineStr">
        <is>
          <t>Mar-2020</t>
        </is>
      </c>
      <c r="C19238" s="2" t="n">
        <v>44134</v>
      </c>
      <c r="D19238" t="inlineStr">
        <is>
          <t>NIL</t>
        </is>
      </c>
      <c r="E19238" t="n">
        <v>1361</v>
      </c>
    </row>
    <row r="19239">
      <c r="A19239" t="inlineStr">
        <is>
          <t>27BBBBB19239Z5</t>
        </is>
      </c>
      <c r="B19239" t="inlineStr">
        <is>
          <t>Mar-2023</t>
        </is>
      </c>
      <c r="C19239" s="2" t="n">
        <v>44028</v>
      </c>
      <c r="D19239" t="inlineStr">
        <is>
          <t>NON-NIL</t>
        </is>
      </c>
      <c r="E19239" t="n">
        <v>167</v>
      </c>
    </row>
    <row r="19240">
      <c r="A19240" t="inlineStr">
        <is>
          <t>27BBBBB19240Z5</t>
        </is>
      </c>
      <c r="B19240" t="inlineStr">
        <is>
          <t>Dec-2024</t>
        </is>
      </c>
      <c r="C19240" s="2" t="n">
        <v>45108</v>
      </c>
      <c r="D19240" t="inlineStr">
        <is>
          <t>NON-NIL</t>
        </is>
      </c>
      <c r="E19240" t="n">
        <v>1261</v>
      </c>
    </row>
    <row r="19241">
      <c r="A19241" t="inlineStr">
        <is>
          <t>27BBBBB19241Z5</t>
        </is>
      </c>
      <c r="B19241" t="inlineStr">
        <is>
          <t>Jun-2020</t>
        </is>
      </c>
      <c r="C19241" s="2" t="n">
        <v>44036</v>
      </c>
      <c r="D19241" t="inlineStr">
        <is>
          <t>NON-NIL</t>
        </is>
      </c>
      <c r="E19241" t="n">
        <v>571</v>
      </c>
    </row>
    <row r="19242">
      <c r="A19242" t="inlineStr">
        <is>
          <t>27BBBBB19242Z5</t>
        </is>
      </c>
      <c r="B19242" t="inlineStr">
        <is>
          <t>Dec-2017</t>
        </is>
      </c>
      <c r="C19242" s="2" t="n">
        <v>42939</v>
      </c>
      <c r="D19242" t="inlineStr">
        <is>
          <t>NIL</t>
        </is>
      </c>
      <c r="E19242" t="n">
        <v>1070</v>
      </c>
    </row>
    <row r="19243">
      <c r="A19243" t="inlineStr">
        <is>
          <t>27BBBBB19243Z5</t>
        </is>
      </c>
      <c r="B19243" t="inlineStr">
        <is>
          <t>Jul-2018</t>
        </is>
      </c>
      <c r="C19243" s="2" t="n">
        <v>44020</v>
      </c>
      <c r="D19243" t="inlineStr">
        <is>
          <t>NON-NIL</t>
        </is>
      </c>
      <c r="E19243" t="n">
        <v>940</v>
      </c>
    </row>
    <row r="19244">
      <c r="A19244" t="inlineStr">
        <is>
          <t>27BBBBB19244Z5</t>
        </is>
      </c>
      <c r="B19244" t="inlineStr">
        <is>
          <t>Mar-2023</t>
        </is>
      </c>
      <c r="C19244" s="2" t="n">
        <v>45608</v>
      </c>
      <c r="D19244" t="inlineStr">
        <is>
          <t>NON-NIL</t>
        </is>
      </c>
      <c r="E19244" t="n">
        <v>1031</v>
      </c>
    </row>
    <row r="19245">
      <c r="A19245" t="inlineStr">
        <is>
          <t>27BBBBB19245Z5</t>
        </is>
      </c>
      <c r="B19245" t="inlineStr">
        <is>
          <t>Oct-2018</t>
        </is>
      </c>
      <c r="C19245" s="2" t="n">
        <v>43832</v>
      </c>
      <c r="D19245" t="inlineStr">
        <is>
          <t>NIL</t>
        </is>
      </c>
      <c r="E19245" t="n">
        <v>2640</v>
      </c>
    </row>
    <row r="19246">
      <c r="A19246" t="inlineStr">
        <is>
          <t>27BBBBB19246Z5</t>
        </is>
      </c>
      <c r="B19246" t="inlineStr">
        <is>
          <t>Jul-2018</t>
        </is>
      </c>
      <c r="C19246" s="2" t="n">
        <v>44501</v>
      </c>
      <c r="D19246" t="inlineStr">
        <is>
          <t>NIL</t>
        </is>
      </c>
      <c r="E19246" t="n">
        <v>1075</v>
      </c>
    </row>
    <row r="19247">
      <c r="A19247" t="inlineStr">
        <is>
          <t>27BBBBB19247Z5</t>
        </is>
      </c>
      <c r="B19247" t="inlineStr">
        <is>
          <t>Nov-2018</t>
        </is>
      </c>
      <c r="C19247" s="2" t="n">
        <v>42980</v>
      </c>
      <c r="D19247" t="inlineStr">
        <is>
          <t>NON-NIL</t>
        </is>
      </c>
      <c r="E19247" t="n">
        <v>1918</v>
      </c>
    </row>
    <row r="19248">
      <c r="A19248" t="inlineStr">
        <is>
          <t>27BBBBB19248Z5</t>
        </is>
      </c>
      <c r="B19248" t="inlineStr">
        <is>
          <t>Dec-2024</t>
        </is>
      </c>
      <c r="C19248" s="2" t="n">
        <v>44429</v>
      </c>
      <c r="D19248" t="inlineStr">
        <is>
          <t>NON-NIL</t>
        </is>
      </c>
      <c r="E19248" t="n">
        <v>2229</v>
      </c>
    </row>
    <row r="19249">
      <c r="A19249" t="inlineStr">
        <is>
          <t>27BBBBB19249Z5</t>
        </is>
      </c>
      <c r="B19249" t="inlineStr">
        <is>
          <t>Nov-2018</t>
        </is>
      </c>
      <c r="C19249" s="2" t="n">
        <v>43453</v>
      </c>
      <c r="D19249" t="inlineStr">
        <is>
          <t>NON-NIL</t>
        </is>
      </c>
      <c r="E19249" t="n">
        <v>1411</v>
      </c>
    </row>
    <row r="19250">
      <c r="A19250" t="inlineStr">
        <is>
          <t>27BBBBB19250Z5</t>
        </is>
      </c>
      <c r="B19250" t="inlineStr">
        <is>
          <t>Mar-2018</t>
        </is>
      </c>
      <c r="C19250" s="2" t="n">
        <v>44056</v>
      </c>
      <c r="D19250" t="inlineStr">
        <is>
          <t>NIL</t>
        </is>
      </c>
      <c r="E19250" t="n">
        <v>516</v>
      </c>
    </row>
    <row r="19251">
      <c r="A19251" t="inlineStr">
        <is>
          <t>27BBBBB19251Z5</t>
        </is>
      </c>
      <c r="B19251" t="inlineStr">
        <is>
          <t>Apr-2018</t>
        </is>
      </c>
      <c r="C19251" s="2" t="n">
        <v>43746</v>
      </c>
      <c r="D19251" t="inlineStr">
        <is>
          <t>NIL</t>
        </is>
      </c>
      <c r="E19251" t="n">
        <v>2749</v>
      </c>
    </row>
    <row r="19252">
      <c r="A19252" t="inlineStr">
        <is>
          <t>27BBBBB19252Z5</t>
        </is>
      </c>
      <c r="B19252" t="inlineStr">
        <is>
          <t>Dec-2022</t>
        </is>
      </c>
      <c r="C19252" s="2" t="n">
        <v>44797</v>
      </c>
      <c r="D19252" t="inlineStr">
        <is>
          <t>NON-NIL</t>
        </is>
      </c>
      <c r="E19252" t="n">
        <v>184</v>
      </c>
    </row>
    <row r="19253">
      <c r="A19253" t="inlineStr">
        <is>
          <t>27BBBBB19253Z5</t>
        </is>
      </c>
      <c r="B19253" t="inlineStr">
        <is>
          <t>Mar-2020</t>
        </is>
      </c>
      <c r="C19253" s="2" t="n">
        <v>44923</v>
      </c>
      <c r="D19253" t="inlineStr">
        <is>
          <t>NIL</t>
        </is>
      </c>
      <c r="E19253" t="n">
        <v>1950</v>
      </c>
    </row>
    <row r="19254">
      <c r="A19254" t="inlineStr">
        <is>
          <t>27BBBBB19254Z5</t>
        </is>
      </c>
      <c r="B19254" t="inlineStr">
        <is>
          <t>Nov-2017</t>
        </is>
      </c>
      <c r="C19254" s="2" t="n">
        <v>44079</v>
      </c>
      <c r="D19254" t="inlineStr">
        <is>
          <t>NIL</t>
        </is>
      </c>
      <c r="E19254" t="n">
        <v>2156</v>
      </c>
    </row>
    <row r="19255">
      <c r="A19255" t="inlineStr">
        <is>
          <t>27BBBBB19255Z5</t>
        </is>
      </c>
      <c r="B19255" t="inlineStr">
        <is>
          <t>Mar-2020</t>
        </is>
      </c>
      <c r="C19255" s="2" t="n">
        <v>44179</v>
      </c>
      <c r="D19255" t="inlineStr">
        <is>
          <t>NIL</t>
        </is>
      </c>
      <c r="E19255" t="n">
        <v>864</v>
      </c>
    </row>
    <row r="19256">
      <c r="A19256" t="inlineStr">
        <is>
          <t>27BBBBB19256Z5</t>
        </is>
      </c>
      <c r="B19256" t="inlineStr">
        <is>
          <t>Oct-2017</t>
        </is>
      </c>
      <c r="C19256" s="2" t="n">
        <v>44461</v>
      </c>
      <c r="D19256" t="inlineStr">
        <is>
          <t>NIL</t>
        </is>
      </c>
      <c r="E19256" t="n">
        <v>768</v>
      </c>
    </row>
    <row r="19257">
      <c r="A19257" t="inlineStr">
        <is>
          <t>27BBBBB19257Z5</t>
        </is>
      </c>
      <c r="B19257" t="inlineStr">
        <is>
          <t>Jun-2018</t>
        </is>
      </c>
      <c r="C19257" s="2" t="n">
        <v>43663</v>
      </c>
      <c r="D19257" t="inlineStr">
        <is>
          <t>NIL</t>
        </is>
      </c>
      <c r="E19257" t="n">
        <v>82</v>
      </c>
    </row>
    <row r="19258">
      <c r="A19258" t="inlineStr">
        <is>
          <t>27BBBBB19258Z5</t>
        </is>
      </c>
      <c r="B19258" t="inlineStr">
        <is>
          <t>Jun-2020</t>
        </is>
      </c>
      <c r="C19258" s="2" t="n">
        <v>44289</v>
      </c>
      <c r="D19258" t="inlineStr">
        <is>
          <t>NIL</t>
        </is>
      </c>
      <c r="E19258" t="n">
        <v>2352</v>
      </c>
    </row>
    <row r="19259">
      <c r="A19259" t="inlineStr">
        <is>
          <t>27BBBBB19259Z5</t>
        </is>
      </c>
      <c r="B19259" t="inlineStr">
        <is>
          <t>Dec-2018</t>
        </is>
      </c>
      <c r="C19259" s="2" t="n">
        <v>44001</v>
      </c>
      <c r="D19259" t="inlineStr">
        <is>
          <t>NIL</t>
        </is>
      </c>
      <c r="E19259" t="n">
        <v>2929</v>
      </c>
    </row>
    <row r="19260">
      <c r="A19260" t="inlineStr">
        <is>
          <t>27BBBBB19260Z5</t>
        </is>
      </c>
      <c r="B19260" t="inlineStr">
        <is>
          <t>Feb-2018</t>
        </is>
      </c>
      <c r="C19260" s="2" t="n">
        <v>43266</v>
      </c>
      <c r="D19260" t="inlineStr">
        <is>
          <t>NON-NIL</t>
        </is>
      </c>
      <c r="E19260" t="n">
        <v>1209</v>
      </c>
    </row>
    <row r="19261">
      <c r="A19261" t="inlineStr">
        <is>
          <t>27BBBBB19261Z5</t>
        </is>
      </c>
      <c r="B19261" t="inlineStr">
        <is>
          <t>Dec-2017</t>
        </is>
      </c>
      <c r="C19261" s="2" t="n">
        <v>43950</v>
      </c>
      <c r="D19261" t="inlineStr">
        <is>
          <t>NON-NIL</t>
        </is>
      </c>
      <c r="E19261" t="n">
        <v>1227</v>
      </c>
    </row>
    <row r="19262">
      <c r="A19262" t="inlineStr">
        <is>
          <t>27BBBBB19262Z5</t>
        </is>
      </c>
      <c r="B19262" t="inlineStr">
        <is>
          <t>May-2020</t>
        </is>
      </c>
      <c r="C19262" s="2" t="n">
        <v>44373</v>
      </c>
      <c r="D19262" t="inlineStr">
        <is>
          <t>NON-NIL</t>
        </is>
      </c>
      <c r="E19262" t="n">
        <v>2496</v>
      </c>
    </row>
    <row r="19263">
      <c r="A19263" t="inlineStr">
        <is>
          <t>27BBBBB19263Z5</t>
        </is>
      </c>
      <c r="B19263" t="inlineStr">
        <is>
          <t>Dec-2022</t>
        </is>
      </c>
      <c r="C19263" s="2" t="n">
        <v>44675</v>
      </c>
      <c r="D19263" t="inlineStr">
        <is>
          <t>NON-NIL</t>
        </is>
      </c>
      <c r="E19263" t="n">
        <v>1658</v>
      </c>
    </row>
    <row r="19264">
      <c r="A19264" t="inlineStr">
        <is>
          <t>27BBBBB19264Z5</t>
        </is>
      </c>
      <c r="B19264" t="inlineStr">
        <is>
          <t>Jun-2020</t>
        </is>
      </c>
      <c r="C19264" s="2" t="n">
        <v>44711</v>
      </c>
      <c r="D19264" t="inlineStr">
        <is>
          <t>NIL</t>
        </is>
      </c>
      <c r="E19264" t="n">
        <v>1214</v>
      </c>
    </row>
    <row r="19265">
      <c r="A19265" t="inlineStr">
        <is>
          <t>27BBBBB19265Z5</t>
        </is>
      </c>
      <c r="B19265" t="inlineStr">
        <is>
          <t>Dec-2017</t>
        </is>
      </c>
      <c r="C19265" s="2" t="n">
        <v>43596</v>
      </c>
      <c r="D19265" t="inlineStr">
        <is>
          <t>NON-NIL</t>
        </is>
      </c>
      <c r="E19265" t="n">
        <v>1987</v>
      </c>
    </row>
    <row r="19266">
      <c r="A19266" t="inlineStr">
        <is>
          <t>27BBBBB19266Z5</t>
        </is>
      </c>
      <c r="B19266" t="inlineStr">
        <is>
          <t>Apr-2020</t>
        </is>
      </c>
      <c r="C19266" s="2" t="n">
        <v>44325</v>
      </c>
      <c r="D19266" t="inlineStr">
        <is>
          <t>NON-NIL</t>
        </is>
      </c>
      <c r="E19266" t="n">
        <v>1883</v>
      </c>
    </row>
    <row r="19267">
      <c r="A19267" t="inlineStr">
        <is>
          <t>27BBBBB19267Z5</t>
        </is>
      </c>
      <c r="B19267" t="inlineStr">
        <is>
          <t>Aug-2017</t>
        </is>
      </c>
      <c r="C19267" s="2" t="n">
        <v>44097</v>
      </c>
      <c r="D19267" t="inlineStr">
        <is>
          <t>NON-NIL</t>
        </is>
      </c>
      <c r="E19267" t="n">
        <v>1431</v>
      </c>
    </row>
    <row r="19268">
      <c r="A19268" t="inlineStr">
        <is>
          <t>27BBBBB19268Z5</t>
        </is>
      </c>
      <c r="B19268" t="inlineStr">
        <is>
          <t>Sep-2017</t>
        </is>
      </c>
      <c r="C19268" s="2" t="n">
        <v>43207</v>
      </c>
      <c r="D19268" t="inlineStr">
        <is>
          <t>NON-NIL</t>
        </is>
      </c>
      <c r="E19268" t="n">
        <v>302</v>
      </c>
    </row>
    <row r="19269">
      <c r="A19269" t="inlineStr">
        <is>
          <t>27BBBBB19269Z5</t>
        </is>
      </c>
      <c r="B19269" t="inlineStr">
        <is>
          <t>May-2020</t>
        </is>
      </c>
      <c r="C19269" s="2" t="n">
        <v>44735</v>
      </c>
      <c r="D19269" t="inlineStr">
        <is>
          <t>NON-NIL</t>
        </is>
      </c>
      <c r="E19269" t="n">
        <v>725</v>
      </c>
    </row>
    <row r="19270">
      <c r="A19270" t="inlineStr">
        <is>
          <t>27BBBBB19270Z5</t>
        </is>
      </c>
      <c r="B19270" t="inlineStr">
        <is>
          <t>Mar-2023</t>
        </is>
      </c>
      <c r="C19270" s="2" t="n">
        <v>44643</v>
      </c>
      <c r="D19270" t="inlineStr">
        <is>
          <t>NON-NIL</t>
        </is>
      </c>
      <c r="E19270" t="n">
        <v>164</v>
      </c>
    </row>
    <row r="19271">
      <c r="A19271" t="inlineStr">
        <is>
          <t>27BBBBB19271Z5</t>
        </is>
      </c>
      <c r="B19271" t="inlineStr">
        <is>
          <t>Mar-2020</t>
        </is>
      </c>
      <c r="C19271" s="2" t="n">
        <v>44116</v>
      </c>
      <c r="D19271" t="inlineStr">
        <is>
          <t>NIL</t>
        </is>
      </c>
      <c r="E19271" t="n">
        <v>981</v>
      </c>
    </row>
    <row r="19272">
      <c r="A19272" t="inlineStr">
        <is>
          <t>27BBBBB19272Z5</t>
        </is>
      </c>
      <c r="B19272" t="inlineStr">
        <is>
          <t>Aug-2017</t>
        </is>
      </c>
      <c r="C19272" s="2" t="n">
        <v>43093</v>
      </c>
      <c r="D19272" t="inlineStr">
        <is>
          <t>NON-NIL</t>
        </is>
      </c>
      <c r="E19272" t="n">
        <v>694</v>
      </c>
    </row>
    <row r="19273">
      <c r="A19273" t="inlineStr">
        <is>
          <t>27BBBBB19273Z5</t>
        </is>
      </c>
      <c r="B19273" t="inlineStr">
        <is>
          <t>Dec-2022</t>
        </is>
      </c>
      <c r="C19273" s="2" t="n">
        <v>44032</v>
      </c>
      <c r="D19273" t="inlineStr">
        <is>
          <t>NON-NIL</t>
        </is>
      </c>
      <c r="E19273" t="n">
        <v>2</v>
      </c>
    </row>
    <row r="19274">
      <c r="A19274" t="inlineStr">
        <is>
          <t>27BBBBB19274Z5</t>
        </is>
      </c>
      <c r="B19274" t="inlineStr">
        <is>
          <t>Jan-2021</t>
        </is>
      </c>
      <c r="C19274" s="2" t="n">
        <v>44066</v>
      </c>
      <c r="D19274" t="inlineStr">
        <is>
          <t>NON-NIL</t>
        </is>
      </c>
      <c r="E19274" t="n">
        <v>1877</v>
      </c>
    </row>
    <row r="19275">
      <c r="A19275" t="inlineStr">
        <is>
          <t>27BBBBB19275Z5</t>
        </is>
      </c>
      <c r="B19275" t="inlineStr">
        <is>
          <t>Oct-2017</t>
        </is>
      </c>
      <c r="C19275" s="2" t="n">
        <v>43660</v>
      </c>
      <c r="D19275" t="inlineStr">
        <is>
          <t>NIL</t>
        </is>
      </c>
      <c r="E19275" t="n">
        <v>2027</v>
      </c>
    </row>
    <row r="19276">
      <c r="A19276" t="inlineStr">
        <is>
          <t>27BBBBB19276Z5</t>
        </is>
      </c>
      <c r="B19276" t="inlineStr">
        <is>
          <t>Dec-2022</t>
        </is>
      </c>
      <c r="C19276" s="2" t="n">
        <v>45010</v>
      </c>
      <c r="D19276" t="inlineStr">
        <is>
          <t>NIL</t>
        </is>
      </c>
      <c r="E19276" t="n">
        <v>2902</v>
      </c>
    </row>
    <row r="19277">
      <c r="A19277" t="inlineStr">
        <is>
          <t>27BBBBB19277Z5</t>
        </is>
      </c>
      <c r="B19277" t="inlineStr">
        <is>
          <t>Jul-2018</t>
        </is>
      </c>
      <c r="C19277" s="2" t="n">
        <v>43694</v>
      </c>
      <c r="D19277" t="inlineStr">
        <is>
          <t>NON-NIL</t>
        </is>
      </c>
      <c r="E19277" t="n">
        <v>100</v>
      </c>
    </row>
    <row r="19278">
      <c r="A19278" t="inlineStr">
        <is>
          <t>27BBBBB19278Z5</t>
        </is>
      </c>
      <c r="B19278" t="inlineStr">
        <is>
          <t>Mar-2020</t>
        </is>
      </c>
      <c r="C19278" s="2" t="n">
        <v>43853</v>
      </c>
      <c r="D19278" t="inlineStr">
        <is>
          <t>NON-NIL</t>
        </is>
      </c>
      <c r="E19278" t="n">
        <v>1455</v>
      </c>
    </row>
    <row r="19279">
      <c r="A19279" t="inlineStr">
        <is>
          <t>27BBBBB19279Z5</t>
        </is>
      </c>
      <c r="B19279" t="inlineStr">
        <is>
          <t>Aug-2017</t>
        </is>
      </c>
      <c r="C19279" s="2" t="n">
        <v>44023</v>
      </c>
      <c r="D19279" t="inlineStr">
        <is>
          <t>NIL</t>
        </is>
      </c>
      <c r="E19279" t="n">
        <v>2541</v>
      </c>
    </row>
    <row r="19280">
      <c r="A19280" t="inlineStr">
        <is>
          <t>27BBBBB19280Z5</t>
        </is>
      </c>
      <c r="B19280" t="inlineStr">
        <is>
          <t>Mar-2018</t>
        </is>
      </c>
      <c r="C19280" s="2" t="n">
        <v>43884</v>
      </c>
      <c r="D19280" t="inlineStr">
        <is>
          <t>NIL</t>
        </is>
      </c>
      <c r="E19280" t="n">
        <v>221</v>
      </c>
    </row>
    <row r="19281">
      <c r="A19281" t="inlineStr">
        <is>
          <t>27BBBBB19281Z5</t>
        </is>
      </c>
      <c r="B19281" t="inlineStr">
        <is>
          <t>Sep-2018</t>
        </is>
      </c>
      <c r="C19281" s="2" t="n">
        <v>43778</v>
      </c>
      <c r="D19281" t="inlineStr">
        <is>
          <t>NON-NIL</t>
        </is>
      </c>
      <c r="E19281" t="n">
        <v>818</v>
      </c>
    </row>
    <row r="19282">
      <c r="A19282" t="inlineStr">
        <is>
          <t>27BBBBB19282Z5</t>
        </is>
      </c>
      <c r="B19282" t="inlineStr">
        <is>
          <t>Dec-2022</t>
        </is>
      </c>
      <c r="C19282" s="2" t="n">
        <v>45098</v>
      </c>
      <c r="D19282" t="inlineStr">
        <is>
          <t>NIL</t>
        </is>
      </c>
      <c r="E19282" t="n">
        <v>763</v>
      </c>
    </row>
    <row r="19283">
      <c r="A19283" t="inlineStr">
        <is>
          <t>27BBBBB19283Z5</t>
        </is>
      </c>
      <c r="B19283" t="inlineStr">
        <is>
          <t>Dec-2017</t>
        </is>
      </c>
      <c r="C19283" s="2" t="n">
        <v>43997</v>
      </c>
      <c r="D19283" t="inlineStr">
        <is>
          <t>NON-NIL</t>
        </is>
      </c>
      <c r="E19283" t="n">
        <v>2140</v>
      </c>
    </row>
    <row r="19284">
      <c r="A19284" t="inlineStr">
        <is>
          <t>27BBBBB19284Z5</t>
        </is>
      </c>
      <c r="B19284" t="inlineStr">
        <is>
          <t>Jan-2018</t>
        </is>
      </c>
      <c r="C19284" s="2" t="n">
        <v>44523</v>
      </c>
      <c r="D19284" t="inlineStr">
        <is>
          <t>NIL</t>
        </is>
      </c>
      <c r="E19284" t="n">
        <v>1571</v>
      </c>
    </row>
    <row r="19285">
      <c r="A19285" t="inlineStr">
        <is>
          <t>27BBBBB19285Z5</t>
        </is>
      </c>
      <c r="B19285" t="inlineStr">
        <is>
          <t>Mar-2020</t>
        </is>
      </c>
      <c r="C19285" s="2" t="n">
        <v>44814</v>
      </c>
      <c r="D19285" t="inlineStr">
        <is>
          <t>NIL</t>
        </is>
      </c>
      <c r="E19285" t="n">
        <v>905</v>
      </c>
    </row>
    <row r="19286">
      <c r="A19286" t="inlineStr">
        <is>
          <t>27BBBBB19286Z5</t>
        </is>
      </c>
      <c r="B19286" t="inlineStr">
        <is>
          <t>Dec-2022</t>
        </is>
      </c>
      <c r="C19286" s="2" t="n">
        <v>45129</v>
      </c>
      <c r="D19286" t="inlineStr">
        <is>
          <t>NON-NIL</t>
        </is>
      </c>
      <c r="E19286" t="n">
        <v>1461</v>
      </c>
    </row>
    <row r="19287">
      <c r="A19287" t="inlineStr">
        <is>
          <t>27BBBBB19287Z5</t>
        </is>
      </c>
      <c r="B19287" t="inlineStr">
        <is>
          <t>May-2020</t>
        </is>
      </c>
      <c r="C19287" s="2" t="n">
        <v>44857</v>
      </c>
      <c r="D19287" t="inlineStr">
        <is>
          <t>NIL</t>
        </is>
      </c>
      <c r="E19287" t="n">
        <v>871</v>
      </c>
    </row>
    <row r="19288">
      <c r="A19288" t="inlineStr">
        <is>
          <t>27BBBBB19288Z5</t>
        </is>
      </c>
      <c r="B19288" t="inlineStr">
        <is>
          <t>Jun-2018</t>
        </is>
      </c>
      <c r="C19288" s="2" t="n">
        <v>43270</v>
      </c>
      <c r="D19288" t="inlineStr">
        <is>
          <t>NON-NIL</t>
        </is>
      </c>
      <c r="E19288" t="n">
        <v>2536</v>
      </c>
    </row>
    <row r="19289">
      <c r="A19289" t="inlineStr">
        <is>
          <t>27BBBBB19289Z5</t>
        </is>
      </c>
      <c r="B19289" t="inlineStr">
        <is>
          <t>Jul-2017</t>
        </is>
      </c>
      <c r="C19289" s="2" t="n">
        <v>43905</v>
      </c>
      <c r="D19289" t="inlineStr">
        <is>
          <t>NON-NIL</t>
        </is>
      </c>
      <c r="E19289" t="n">
        <v>1457</v>
      </c>
    </row>
    <row r="19290">
      <c r="A19290" t="inlineStr">
        <is>
          <t>27BBBBB19290Z5</t>
        </is>
      </c>
      <c r="B19290" t="inlineStr">
        <is>
          <t>Apr-2020</t>
        </is>
      </c>
      <c r="C19290" s="2" t="n">
        <v>44560</v>
      </c>
      <c r="D19290" t="inlineStr">
        <is>
          <t>NON-NIL</t>
        </is>
      </c>
      <c r="E19290" t="n">
        <v>2314</v>
      </c>
    </row>
    <row r="19291">
      <c r="A19291" t="inlineStr">
        <is>
          <t>27BBBBB19291Z5</t>
        </is>
      </c>
      <c r="B19291" t="inlineStr">
        <is>
          <t>Aug-2017</t>
        </is>
      </c>
      <c r="C19291" s="2" t="n">
        <v>43033</v>
      </c>
      <c r="D19291" t="inlineStr">
        <is>
          <t>NON-NIL</t>
        </is>
      </c>
      <c r="E19291" t="n">
        <v>877</v>
      </c>
    </row>
    <row r="19292">
      <c r="A19292" t="inlineStr">
        <is>
          <t>27BBBBB19292Z5</t>
        </is>
      </c>
      <c r="B19292" t="inlineStr">
        <is>
          <t>Mar-2020</t>
        </is>
      </c>
      <c r="C19292" s="2" t="n">
        <v>44873</v>
      </c>
      <c r="D19292" t="inlineStr">
        <is>
          <t>NON-NIL</t>
        </is>
      </c>
      <c r="E19292" t="n">
        <v>2631</v>
      </c>
    </row>
    <row r="19293">
      <c r="A19293" t="inlineStr">
        <is>
          <t>27BBBBB19293Z5</t>
        </is>
      </c>
      <c r="B19293" t="inlineStr">
        <is>
          <t>Apr-2020</t>
        </is>
      </c>
      <c r="C19293" s="2" t="n">
        <v>44814</v>
      </c>
      <c r="D19293" t="inlineStr">
        <is>
          <t>NIL</t>
        </is>
      </c>
      <c r="E19293" t="n">
        <v>1211</v>
      </c>
    </row>
    <row r="19294">
      <c r="A19294" t="inlineStr">
        <is>
          <t>27BBBBB19294Z5</t>
        </is>
      </c>
      <c r="B19294" t="inlineStr">
        <is>
          <t>Oct-2018</t>
        </is>
      </c>
      <c r="C19294" s="2" t="n">
        <v>43044</v>
      </c>
      <c r="D19294" t="inlineStr">
        <is>
          <t>NIL</t>
        </is>
      </c>
      <c r="E19294" t="n">
        <v>2949</v>
      </c>
    </row>
    <row r="19295">
      <c r="A19295" t="inlineStr">
        <is>
          <t>27BBBBB19295Z5</t>
        </is>
      </c>
      <c r="B19295" t="inlineStr">
        <is>
          <t>Apr-2018</t>
        </is>
      </c>
      <c r="C19295" s="2" t="n">
        <v>42921</v>
      </c>
      <c r="D19295" t="inlineStr">
        <is>
          <t>NON-NIL</t>
        </is>
      </c>
      <c r="E19295" t="n">
        <v>550</v>
      </c>
    </row>
    <row r="19296">
      <c r="A19296" t="inlineStr">
        <is>
          <t>27BBBBB19296Z5</t>
        </is>
      </c>
      <c r="B19296" t="inlineStr">
        <is>
          <t>Jun-2020</t>
        </is>
      </c>
      <c r="C19296" s="2" t="n">
        <v>44376</v>
      </c>
      <c r="D19296" t="inlineStr">
        <is>
          <t>NIL</t>
        </is>
      </c>
      <c r="E19296" t="n">
        <v>2380</v>
      </c>
    </row>
    <row r="19297">
      <c r="A19297" t="inlineStr">
        <is>
          <t>27BBBBB19297Z5</t>
        </is>
      </c>
      <c r="B19297" t="inlineStr">
        <is>
          <t>Oct-2017</t>
        </is>
      </c>
      <c r="C19297" s="2" t="n">
        <v>43495</v>
      </c>
      <c r="D19297" t="inlineStr">
        <is>
          <t>NON-NIL</t>
        </is>
      </c>
      <c r="E19297" t="n">
        <v>2195</v>
      </c>
    </row>
    <row r="19298">
      <c r="A19298" t="inlineStr">
        <is>
          <t>27BBBBB19298Z5</t>
        </is>
      </c>
      <c r="B19298" t="inlineStr">
        <is>
          <t>Dec-2022</t>
        </is>
      </c>
      <c r="C19298" s="2" t="n">
        <v>44181</v>
      </c>
      <c r="D19298" t="inlineStr">
        <is>
          <t>NON-NIL</t>
        </is>
      </c>
      <c r="E19298" t="n">
        <v>122</v>
      </c>
    </row>
    <row r="19299">
      <c r="A19299" t="inlineStr">
        <is>
          <t>27BBBBB19299Z5</t>
        </is>
      </c>
      <c r="B19299" t="inlineStr">
        <is>
          <t>May-2020</t>
        </is>
      </c>
      <c r="C19299" s="2" t="n">
        <v>44176</v>
      </c>
      <c r="D19299" t="inlineStr">
        <is>
          <t>NIL</t>
        </is>
      </c>
      <c r="E19299" t="n">
        <v>1666</v>
      </c>
    </row>
    <row r="19300">
      <c r="A19300" t="inlineStr">
        <is>
          <t>27BBBBB19300Z5</t>
        </is>
      </c>
      <c r="B19300" t="inlineStr">
        <is>
          <t>Dec-2022</t>
        </is>
      </c>
      <c r="C19300" s="2" t="n">
        <v>45768</v>
      </c>
      <c r="D19300" t="inlineStr">
        <is>
          <t>NIL</t>
        </is>
      </c>
      <c r="E19300" t="n">
        <v>2124</v>
      </c>
    </row>
    <row r="19301">
      <c r="A19301" t="inlineStr">
        <is>
          <t>27BBBBB19301Z5</t>
        </is>
      </c>
      <c r="B19301" t="inlineStr">
        <is>
          <t>Dec-2022</t>
        </is>
      </c>
      <c r="C19301" s="2" t="n">
        <v>45126</v>
      </c>
      <c r="D19301" t="inlineStr">
        <is>
          <t>NIL</t>
        </is>
      </c>
      <c r="E19301" t="n">
        <v>1600</v>
      </c>
    </row>
    <row r="19302">
      <c r="A19302" t="inlineStr">
        <is>
          <t>27BBBBB19302Z5</t>
        </is>
      </c>
      <c r="B19302" t="inlineStr">
        <is>
          <t>Aug-2018</t>
        </is>
      </c>
      <c r="C19302" s="2" t="n">
        <v>43239</v>
      </c>
      <c r="D19302" t="inlineStr">
        <is>
          <t>NIL</t>
        </is>
      </c>
      <c r="E19302" t="n">
        <v>945</v>
      </c>
    </row>
    <row r="19303">
      <c r="A19303" t="inlineStr">
        <is>
          <t>27BBBBB19303Z5</t>
        </is>
      </c>
      <c r="B19303" t="inlineStr">
        <is>
          <t>Jul-2020</t>
        </is>
      </c>
      <c r="C19303" s="2" t="n">
        <v>44052</v>
      </c>
      <c r="D19303" t="inlineStr">
        <is>
          <t>NIL</t>
        </is>
      </c>
      <c r="E19303" t="n">
        <v>165</v>
      </c>
    </row>
    <row r="19304">
      <c r="A19304" t="inlineStr">
        <is>
          <t>27BBBBB19304Z5</t>
        </is>
      </c>
      <c r="B19304" t="inlineStr">
        <is>
          <t>Sep-2018</t>
        </is>
      </c>
      <c r="C19304" s="2" t="n">
        <v>43075</v>
      </c>
      <c r="D19304" t="inlineStr">
        <is>
          <t>NON-NIL</t>
        </is>
      </c>
      <c r="E19304" t="n">
        <v>2436</v>
      </c>
    </row>
    <row r="19305">
      <c r="A19305" t="inlineStr">
        <is>
          <t>27BBBBB19305Z5</t>
        </is>
      </c>
      <c r="B19305" t="inlineStr">
        <is>
          <t>Jun-2018</t>
        </is>
      </c>
      <c r="C19305" s="2" t="n">
        <v>43249</v>
      </c>
      <c r="D19305" t="inlineStr">
        <is>
          <t>NIL</t>
        </is>
      </c>
      <c r="E19305" t="n">
        <v>1447</v>
      </c>
    </row>
    <row r="19306">
      <c r="A19306" t="inlineStr">
        <is>
          <t>27BBBBB19306Z5</t>
        </is>
      </c>
      <c r="B19306" t="inlineStr">
        <is>
          <t>Jul-2018</t>
        </is>
      </c>
      <c r="C19306" s="2" t="n">
        <v>44322</v>
      </c>
      <c r="D19306" t="inlineStr">
        <is>
          <t>NIL</t>
        </is>
      </c>
      <c r="E19306" t="n">
        <v>1438</v>
      </c>
    </row>
    <row r="19307">
      <c r="A19307" t="inlineStr">
        <is>
          <t>27BBBBB19307Z5</t>
        </is>
      </c>
      <c r="B19307" t="inlineStr">
        <is>
          <t>Jul-2018</t>
        </is>
      </c>
      <c r="C19307" s="2" t="n">
        <v>44102</v>
      </c>
      <c r="D19307" t="inlineStr">
        <is>
          <t>NON-NIL</t>
        </is>
      </c>
      <c r="E19307" t="n">
        <v>943</v>
      </c>
    </row>
    <row r="19308">
      <c r="A19308" t="inlineStr">
        <is>
          <t>27BBBBB19308Z5</t>
        </is>
      </c>
      <c r="B19308" t="inlineStr">
        <is>
          <t>May-2018</t>
        </is>
      </c>
      <c r="C19308" s="2" t="n">
        <v>44279</v>
      </c>
      <c r="D19308" t="inlineStr">
        <is>
          <t>NIL</t>
        </is>
      </c>
      <c r="E19308" t="n">
        <v>1676</v>
      </c>
    </row>
    <row r="19309">
      <c r="A19309" t="inlineStr">
        <is>
          <t>27BBBBB19309Z5</t>
        </is>
      </c>
      <c r="B19309" t="inlineStr">
        <is>
          <t>Mar-2020</t>
        </is>
      </c>
      <c r="C19309" s="2" t="n">
        <v>43958</v>
      </c>
      <c r="D19309" t="inlineStr">
        <is>
          <t>NIL</t>
        </is>
      </c>
      <c r="E19309" t="n">
        <v>284</v>
      </c>
    </row>
    <row r="19310">
      <c r="A19310" t="inlineStr">
        <is>
          <t>27BBBBB19310Z5</t>
        </is>
      </c>
      <c r="B19310" t="inlineStr">
        <is>
          <t>Apr-2018</t>
        </is>
      </c>
      <c r="C19310" s="2" t="n">
        <v>43950</v>
      </c>
      <c r="D19310" t="inlineStr">
        <is>
          <t>NON-NIL</t>
        </is>
      </c>
      <c r="E19310" t="n">
        <v>1478</v>
      </c>
    </row>
    <row r="19311">
      <c r="A19311" t="inlineStr">
        <is>
          <t>27BBBBB19311Z5</t>
        </is>
      </c>
      <c r="B19311" t="inlineStr">
        <is>
          <t>Apr-2018</t>
        </is>
      </c>
      <c r="C19311" s="2" t="n">
        <v>43948</v>
      </c>
      <c r="D19311" t="inlineStr">
        <is>
          <t>NON-NIL</t>
        </is>
      </c>
      <c r="E19311" t="n">
        <v>341</v>
      </c>
    </row>
    <row r="19312">
      <c r="A19312" t="inlineStr">
        <is>
          <t>27BBBBB19312Z5</t>
        </is>
      </c>
      <c r="B19312" t="inlineStr">
        <is>
          <t>Oct-2017</t>
        </is>
      </c>
      <c r="C19312" s="2" t="n">
        <v>44117</v>
      </c>
      <c r="D19312" t="inlineStr">
        <is>
          <t>NON-NIL</t>
        </is>
      </c>
      <c r="E19312" t="n">
        <v>2007</v>
      </c>
    </row>
    <row r="19313">
      <c r="A19313" t="inlineStr">
        <is>
          <t>27BBBBB19313Z5</t>
        </is>
      </c>
      <c r="B19313" t="inlineStr">
        <is>
          <t>May-2018</t>
        </is>
      </c>
      <c r="C19313" s="2" t="n">
        <v>44538</v>
      </c>
      <c r="D19313" t="inlineStr">
        <is>
          <t>NON-NIL</t>
        </is>
      </c>
      <c r="E19313" t="n">
        <v>941</v>
      </c>
    </row>
    <row r="19314">
      <c r="A19314" t="inlineStr">
        <is>
          <t>27BBBBB19314Z5</t>
        </is>
      </c>
      <c r="B19314" t="inlineStr">
        <is>
          <t>Jul-2020</t>
        </is>
      </c>
      <c r="C19314" s="2" t="n">
        <v>44318</v>
      </c>
      <c r="D19314" t="inlineStr">
        <is>
          <t>NON-NIL</t>
        </is>
      </c>
      <c r="E19314" t="n">
        <v>2410</v>
      </c>
    </row>
    <row r="19315">
      <c r="A19315" t="inlineStr">
        <is>
          <t>27BBBBB19315Z5</t>
        </is>
      </c>
      <c r="B19315" t="inlineStr">
        <is>
          <t>Feb-2018</t>
        </is>
      </c>
      <c r="C19315" s="2" t="n">
        <v>43359</v>
      </c>
      <c r="D19315" t="inlineStr">
        <is>
          <t>NIL</t>
        </is>
      </c>
      <c r="E19315" t="n">
        <v>923</v>
      </c>
    </row>
    <row r="19316">
      <c r="A19316" t="inlineStr">
        <is>
          <t>27BBBBB19316Z5</t>
        </is>
      </c>
      <c r="B19316" t="inlineStr">
        <is>
          <t>Jun-2018</t>
        </is>
      </c>
      <c r="C19316" s="2" t="n">
        <v>43746</v>
      </c>
      <c r="D19316" t="inlineStr">
        <is>
          <t>NIL</t>
        </is>
      </c>
      <c r="E19316" t="n">
        <v>2999</v>
      </c>
    </row>
    <row r="19317">
      <c r="A19317" t="inlineStr">
        <is>
          <t>27BBBBB19317Z5</t>
        </is>
      </c>
      <c r="B19317" t="inlineStr">
        <is>
          <t>Mar-2021</t>
        </is>
      </c>
      <c r="C19317" s="2" t="n">
        <v>43678</v>
      </c>
      <c r="D19317" t="inlineStr">
        <is>
          <t>NON-NIL</t>
        </is>
      </c>
      <c r="E19317" t="n">
        <v>428</v>
      </c>
    </row>
    <row r="19318">
      <c r="A19318" t="inlineStr">
        <is>
          <t>27BBBBB19318Z5</t>
        </is>
      </c>
      <c r="B19318" t="inlineStr">
        <is>
          <t>Aug-2017</t>
        </is>
      </c>
      <c r="C19318" s="2" t="n">
        <v>43934</v>
      </c>
      <c r="D19318" t="inlineStr">
        <is>
          <t>NIL</t>
        </is>
      </c>
      <c r="E19318" t="n">
        <v>2573</v>
      </c>
    </row>
    <row r="19319">
      <c r="A19319" t="inlineStr">
        <is>
          <t>27BBBBB19319Z5</t>
        </is>
      </c>
      <c r="B19319" t="inlineStr">
        <is>
          <t>Aug-2018</t>
        </is>
      </c>
      <c r="C19319" s="2" t="n">
        <v>43434</v>
      </c>
      <c r="D19319" t="inlineStr">
        <is>
          <t>NON-NIL</t>
        </is>
      </c>
      <c r="E19319" t="n">
        <v>1548</v>
      </c>
    </row>
    <row r="19320">
      <c r="A19320" t="inlineStr">
        <is>
          <t>27BBBBB19320Z5</t>
        </is>
      </c>
      <c r="B19320" t="inlineStr">
        <is>
          <t>Dec-2017</t>
        </is>
      </c>
      <c r="C19320" s="2" t="n">
        <v>44136</v>
      </c>
      <c r="D19320" t="inlineStr">
        <is>
          <t>NIL</t>
        </is>
      </c>
      <c r="E19320" t="n">
        <v>394</v>
      </c>
    </row>
    <row r="19321">
      <c r="A19321" t="inlineStr">
        <is>
          <t>27BBBBB19321Z5</t>
        </is>
      </c>
      <c r="B19321" t="inlineStr">
        <is>
          <t>Nov-2017</t>
        </is>
      </c>
      <c r="C19321" s="2" t="n">
        <v>43198</v>
      </c>
      <c r="D19321" t="inlineStr">
        <is>
          <t>NIL</t>
        </is>
      </c>
      <c r="E19321" t="n">
        <v>236</v>
      </c>
    </row>
    <row r="19322">
      <c r="A19322" t="inlineStr">
        <is>
          <t>27BBBBB19322Z5</t>
        </is>
      </c>
      <c r="B19322" t="inlineStr">
        <is>
          <t>Jul-2018</t>
        </is>
      </c>
      <c r="C19322" s="2" t="n">
        <v>44181</v>
      </c>
      <c r="D19322" t="inlineStr">
        <is>
          <t>NON-NIL</t>
        </is>
      </c>
      <c r="E19322" t="n">
        <v>842</v>
      </c>
    </row>
    <row r="19323">
      <c r="A19323" t="inlineStr">
        <is>
          <t>27BBBBB19323Z5</t>
        </is>
      </c>
      <c r="B19323" t="inlineStr">
        <is>
          <t>Sep-2018</t>
        </is>
      </c>
      <c r="C19323" s="2" t="n">
        <v>44172</v>
      </c>
      <c r="D19323" t="inlineStr">
        <is>
          <t>NON-NIL</t>
        </is>
      </c>
      <c r="E19323" t="n">
        <v>572</v>
      </c>
    </row>
    <row r="19324">
      <c r="A19324" t="inlineStr">
        <is>
          <t>27BBBBB19324Z5</t>
        </is>
      </c>
      <c r="B19324" t="inlineStr">
        <is>
          <t>Sep-2018</t>
        </is>
      </c>
      <c r="C19324" s="2" t="n">
        <v>43023</v>
      </c>
      <c r="D19324" t="inlineStr">
        <is>
          <t>NON-NIL</t>
        </is>
      </c>
      <c r="E19324" t="n">
        <v>1679</v>
      </c>
    </row>
    <row r="19325">
      <c r="A19325" t="inlineStr">
        <is>
          <t>27BBBBB19325Z5</t>
        </is>
      </c>
      <c r="B19325" t="inlineStr">
        <is>
          <t>Mar-2018</t>
        </is>
      </c>
      <c r="C19325" s="2" t="n">
        <v>43982</v>
      </c>
      <c r="D19325" t="inlineStr">
        <is>
          <t>NON-NIL</t>
        </is>
      </c>
      <c r="E19325" t="n">
        <v>2115</v>
      </c>
    </row>
    <row r="19326">
      <c r="A19326" t="inlineStr">
        <is>
          <t>27BBBBB19326Z5</t>
        </is>
      </c>
      <c r="B19326" t="inlineStr">
        <is>
          <t>Dec-2022</t>
        </is>
      </c>
      <c r="C19326" s="2" t="n">
        <v>44039</v>
      </c>
      <c r="D19326" t="inlineStr">
        <is>
          <t>NON-NIL</t>
        </is>
      </c>
      <c r="E19326" t="n">
        <v>2682</v>
      </c>
    </row>
    <row r="19327">
      <c r="A19327" t="inlineStr">
        <is>
          <t>27BBBBB19327Z5</t>
        </is>
      </c>
      <c r="B19327" t="inlineStr">
        <is>
          <t>Nov-2018</t>
        </is>
      </c>
      <c r="C19327" s="2" t="n">
        <v>43829</v>
      </c>
      <c r="D19327" t="inlineStr">
        <is>
          <t>NIL</t>
        </is>
      </c>
      <c r="E19327" t="n">
        <v>1320</v>
      </c>
    </row>
    <row r="19328">
      <c r="A19328" t="inlineStr">
        <is>
          <t>27BBBBB19328Z5</t>
        </is>
      </c>
      <c r="B19328" t="inlineStr">
        <is>
          <t>Mar-2023</t>
        </is>
      </c>
      <c r="C19328" s="2" t="n">
        <v>45687</v>
      </c>
      <c r="D19328" t="inlineStr">
        <is>
          <t>NON-NIL</t>
        </is>
      </c>
      <c r="E19328" t="n">
        <v>1457</v>
      </c>
    </row>
    <row r="19329">
      <c r="A19329" t="inlineStr">
        <is>
          <t>27BBBBB19329Z5</t>
        </is>
      </c>
      <c r="B19329" t="inlineStr">
        <is>
          <t>Jul-2020</t>
        </is>
      </c>
      <c r="C19329" s="2" t="n">
        <v>44200</v>
      </c>
      <c r="D19329" t="inlineStr">
        <is>
          <t>NIL</t>
        </is>
      </c>
      <c r="E19329" t="n">
        <v>2834</v>
      </c>
    </row>
    <row r="19330">
      <c r="A19330" t="inlineStr">
        <is>
          <t>27BBBBB19330Z5</t>
        </is>
      </c>
      <c r="B19330" t="inlineStr">
        <is>
          <t>Jul-2018</t>
        </is>
      </c>
      <c r="C19330" s="2" t="n">
        <v>43308</v>
      </c>
      <c r="D19330" t="inlineStr">
        <is>
          <t>NIL</t>
        </is>
      </c>
      <c r="E19330" t="n">
        <v>1703</v>
      </c>
    </row>
    <row r="19331">
      <c r="A19331" t="inlineStr">
        <is>
          <t>27BBBBB19331Z5</t>
        </is>
      </c>
      <c r="B19331" t="inlineStr">
        <is>
          <t>Nov-2017</t>
        </is>
      </c>
      <c r="C19331" s="2" t="n">
        <v>43843</v>
      </c>
      <c r="D19331" t="inlineStr">
        <is>
          <t>NON-NIL</t>
        </is>
      </c>
      <c r="E19331" t="n">
        <v>1857</v>
      </c>
    </row>
    <row r="19332">
      <c r="A19332" t="inlineStr">
        <is>
          <t>27BBBBB19332Z5</t>
        </is>
      </c>
      <c r="B19332" t="inlineStr">
        <is>
          <t>Dec-2024</t>
        </is>
      </c>
      <c r="C19332" s="2" t="n">
        <v>45548</v>
      </c>
      <c r="D19332" t="inlineStr">
        <is>
          <t>NIL</t>
        </is>
      </c>
      <c r="E19332" t="n">
        <v>2245</v>
      </c>
    </row>
    <row r="19333">
      <c r="A19333" t="inlineStr">
        <is>
          <t>27BBBBB19333Z5</t>
        </is>
      </c>
      <c r="B19333" t="inlineStr">
        <is>
          <t>Jan-2018</t>
        </is>
      </c>
      <c r="C19333" s="2" t="n">
        <v>44068</v>
      </c>
      <c r="D19333" t="inlineStr">
        <is>
          <t>NIL</t>
        </is>
      </c>
      <c r="E19333" t="n">
        <v>628</v>
      </c>
    </row>
    <row r="19334">
      <c r="A19334" t="inlineStr">
        <is>
          <t>27BBBBB19334Z5</t>
        </is>
      </c>
      <c r="B19334" t="inlineStr">
        <is>
          <t>Apr-2020</t>
        </is>
      </c>
      <c r="C19334" s="2" t="n">
        <v>44476</v>
      </c>
      <c r="D19334" t="inlineStr">
        <is>
          <t>NON-NIL</t>
        </is>
      </c>
      <c r="E19334" t="n">
        <v>569</v>
      </c>
    </row>
    <row r="19335">
      <c r="A19335" t="inlineStr">
        <is>
          <t>27BBBBB19335Z5</t>
        </is>
      </c>
      <c r="B19335" t="inlineStr">
        <is>
          <t>Feb-2018</t>
        </is>
      </c>
      <c r="C19335" s="2" t="n">
        <v>43120</v>
      </c>
      <c r="D19335" t="inlineStr">
        <is>
          <t>NIL</t>
        </is>
      </c>
      <c r="E19335" t="n">
        <v>1539</v>
      </c>
    </row>
    <row r="19336">
      <c r="A19336" t="inlineStr">
        <is>
          <t>27BBBBB19336Z5</t>
        </is>
      </c>
      <c r="B19336" t="inlineStr">
        <is>
          <t>Jun-2018</t>
        </is>
      </c>
      <c r="C19336" s="2" t="n">
        <v>43799</v>
      </c>
      <c r="D19336" t="inlineStr">
        <is>
          <t>NON-NIL</t>
        </is>
      </c>
      <c r="E19336" t="n">
        <v>227</v>
      </c>
    </row>
    <row r="19337">
      <c r="A19337" t="inlineStr">
        <is>
          <t>27BBBBB19337Z5</t>
        </is>
      </c>
      <c r="B19337" t="inlineStr">
        <is>
          <t>Nov-2017</t>
        </is>
      </c>
      <c r="C19337" s="2" t="n">
        <v>43182</v>
      </c>
      <c r="D19337" t="inlineStr">
        <is>
          <t>NON-NIL</t>
        </is>
      </c>
      <c r="E19337" t="n">
        <v>1993</v>
      </c>
    </row>
    <row r="19338">
      <c r="A19338" t="inlineStr">
        <is>
          <t>27BBBBB19338Z5</t>
        </is>
      </c>
      <c r="B19338" t="inlineStr">
        <is>
          <t>Mar-2020</t>
        </is>
      </c>
      <c r="C19338" s="2" t="n">
        <v>44655</v>
      </c>
      <c r="D19338" t="inlineStr">
        <is>
          <t>NIL</t>
        </is>
      </c>
      <c r="E19338" t="n">
        <v>1842</v>
      </c>
    </row>
    <row r="19339">
      <c r="A19339" t="inlineStr">
        <is>
          <t>27BBBBB19339Z5</t>
        </is>
      </c>
      <c r="B19339" t="inlineStr">
        <is>
          <t>Mar-2020</t>
        </is>
      </c>
      <c r="C19339" s="2" t="n">
        <v>43978</v>
      </c>
      <c r="D19339" t="inlineStr">
        <is>
          <t>NON-NIL</t>
        </is>
      </c>
      <c r="E19339" t="n">
        <v>1075</v>
      </c>
    </row>
    <row r="19340">
      <c r="A19340" t="inlineStr">
        <is>
          <t>27BBBBB19340Z5</t>
        </is>
      </c>
      <c r="B19340" t="inlineStr">
        <is>
          <t>Dec-2024</t>
        </is>
      </c>
      <c r="C19340" s="2" t="n">
        <v>45116</v>
      </c>
      <c r="D19340" t="inlineStr">
        <is>
          <t>NON-NIL</t>
        </is>
      </c>
      <c r="E19340" t="n">
        <v>2202</v>
      </c>
    </row>
    <row r="19341">
      <c r="A19341" t="inlineStr">
        <is>
          <t>27BBBBB19341Z5</t>
        </is>
      </c>
      <c r="B19341" t="inlineStr">
        <is>
          <t>Oct-2018</t>
        </is>
      </c>
      <c r="C19341" s="2" t="n">
        <v>43110</v>
      </c>
      <c r="D19341" t="inlineStr">
        <is>
          <t>NIL</t>
        </is>
      </c>
      <c r="E19341" t="n">
        <v>725</v>
      </c>
    </row>
    <row r="19342">
      <c r="A19342" t="inlineStr">
        <is>
          <t>27BBBBB19342Z5</t>
        </is>
      </c>
      <c r="B19342" t="inlineStr">
        <is>
          <t>May-2018</t>
        </is>
      </c>
      <c r="C19342" s="2" t="n">
        <v>43737</v>
      </c>
      <c r="D19342" t="inlineStr">
        <is>
          <t>NON-NIL</t>
        </is>
      </c>
      <c r="E19342" t="n">
        <v>967</v>
      </c>
    </row>
    <row r="19343">
      <c r="A19343" t="inlineStr">
        <is>
          <t>27BBBBB19343Z5</t>
        </is>
      </c>
      <c r="B19343" t="inlineStr">
        <is>
          <t>May-2020</t>
        </is>
      </c>
      <c r="C19343" s="2" t="n">
        <v>44600</v>
      </c>
      <c r="D19343" t="inlineStr">
        <is>
          <t>NIL</t>
        </is>
      </c>
      <c r="E19343" t="n">
        <v>1878</v>
      </c>
    </row>
    <row r="19344">
      <c r="A19344" t="inlineStr">
        <is>
          <t>27BBBBB19344Z5</t>
        </is>
      </c>
      <c r="B19344" t="inlineStr">
        <is>
          <t>Oct-2018</t>
        </is>
      </c>
      <c r="C19344" s="2" t="n">
        <v>43526</v>
      </c>
      <c r="D19344" t="inlineStr">
        <is>
          <t>NIL</t>
        </is>
      </c>
      <c r="E19344" t="n">
        <v>1431</v>
      </c>
    </row>
    <row r="19345">
      <c r="A19345" t="inlineStr">
        <is>
          <t>27BBBBB19345Z5</t>
        </is>
      </c>
      <c r="B19345" t="inlineStr">
        <is>
          <t>Mar-2023</t>
        </is>
      </c>
      <c r="C19345" s="2" t="n">
        <v>45324</v>
      </c>
      <c r="D19345" t="inlineStr">
        <is>
          <t>NON-NIL</t>
        </is>
      </c>
      <c r="E19345" t="n">
        <v>1403</v>
      </c>
    </row>
    <row r="19346">
      <c r="A19346" t="inlineStr">
        <is>
          <t>27BBBBB19346Z5</t>
        </is>
      </c>
      <c r="B19346" t="inlineStr">
        <is>
          <t>Apr-2020</t>
        </is>
      </c>
      <c r="C19346" s="2" t="n">
        <v>44284</v>
      </c>
      <c r="D19346" t="inlineStr">
        <is>
          <t>NON-NIL</t>
        </is>
      </c>
      <c r="E19346" t="n">
        <v>622</v>
      </c>
    </row>
    <row r="19347">
      <c r="A19347" t="inlineStr">
        <is>
          <t>27BBBBB19347Z5</t>
        </is>
      </c>
      <c r="B19347" t="inlineStr">
        <is>
          <t>Sep-2017</t>
        </is>
      </c>
      <c r="C19347" s="2" t="n">
        <v>43966</v>
      </c>
      <c r="D19347" t="inlineStr">
        <is>
          <t>NIL</t>
        </is>
      </c>
      <c r="E19347" t="n">
        <v>1397</v>
      </c>
    </row>
    <row r="19348">
      <c r="A19348" t="inlineStr">
        <is>
          <t>27BBBBB19348Z5</t>
        </is>
      </c>
      <c r="B19348" t="inlineStr">
        <is>
          <t>Apr-2020</t>
        </is>
      </c>
      <c r="C19348" s="2" t="n">
        <v>44126</v>
      </c>
      <c r="D19348" t="inlineStr">
        <is>
          <t>NON-NIL</t>
        </is>
      </c>
      <c r="E19348" t="n">
        <v>2370</v>
      </c>
    </row>
    <row r="19349">
      <c r="A19349" t="inlineStr">
        <is>
          <t>27BBBBB19349Z5</t>
        </is>
      </c>
      <c r="B19349" t="inlineStr">
        <is>
          <t>Sep-2017</t>
        </is>
      </c>
      <c r="C19349" s="2" t="n">
        <v>43694</v>
      </c>
      <c r="D19349" t="inlineStr">
        <is>
          <t>NIL</t>
        </is>
      </c>
      <c r="E19349" t="n">
        <v>1581</v>
      </c>
    </row>
    <row r="19350">
      <c r="A19350" t="inlineStr">
        <is>
          <t>27BBBBB19350Z5</t>
        </is>
      </c>
      <c r="B19350" t="inlineStr">
        <is>
          <t>Sep-2017</t>
        </is>
      </c>
      <c r="C19350" s="2" t="n">
        <v>44350</v>
      </c>
      <c r="D19350" t="inlineStr">
        <is>
          <t>NIL</t>
        </is>
      </c>
      <c r="E19350" t="n">
        <v>1623</v>
      </c>
    </row>
    <row r="19351">
      <c r="A19351" t="inlineStr">
        <is>
          <t>27BBBBB19351Z5</t>
        </is>
      </c>
      <c r="B19351" t="inlineStr">
        <is>
          <t>Aug-2018</t>
        </is>
      </c>
      <c r="C19351" s="2" t="n">
        <v>43984</v>
      </c>
      <c r="D19351" t="inlineStr">
        <is>
          <t>NIL</t>
        </is>
      </c>
      <c r="E19351" t="n">
        <v>2115</v>
      </c>
    </row>
    <row r="19352">
      <c r="A19352" t="inlineStr">
        <is>
          <t>27BBBBB19352Z5</t>
        </is>
      </c>
      <c r="B19352" t="inlineStr">
        <is>
          <t>Nov-2017</t>
        </is>
      </c>
      <c r="C19352" s="2" t="n">
        <v>43374</v>
      </c>
      <c r="D19352" t="inlineStr">
        <is>
          <t>NIL</t>
        </is>
      </c>
      <c r="E19352" t="n">
        <v>1053</v>
      </c>
    </row>
    <row r="19353">
      <c r="A19353" t="inlineStr">
        <is>
          <t>27BBBBB19353Z5</t>
        </is>
      </c>
      <c r="B19353" t="inlineStr">
        <is>
          <t>Jun-2018</t>
        </is>
      </c>
      <c r="C19353" s="2" t="n">
        <v>43865</v>
      </c>
      <c r="D19353" t="inlineStr">
        <is>
          <t>NON-NIL</t>
        </is>
      </c>
      <c r="E19353" t="n">
        <v>1221</v>
      </c>
    </row>
    <row r="19354">
      <c r="A19354" t="inlineStr">
        <is>
          <t>27BBBBB19354Z5</t>
        </is>
      </c>
      <c r="B19354" t="inlineStr">
        <is>
          <t>Mar-2021</t>
        </is>
      </c>
      <c r="C19354" s="2" t="n">
        <v>44146</v>
      </c>
      <c r="D19354" t="inlineStr">
        <is>
          <t>NIL</t>
        </is>
      </c>
      <c r="E19354" t="n">
        <v>2485</v>
      </c>
    </row>
    <row r="19355">
      <c r="A19355" t="inlineStr">
        <is>
          <t>27BBBBB19355Z5</t>
        </is>
      </c>
      <c r="B19355" t="inlineStr">
        <is>
          <t>Dec-2017</t>
        </is>
      </c>
      <c r="C19355" s="2" t="n">
        <v>43004</v>
      </c>
      <c r="D19355" t="inlineStr">
        <is>
          <t>NON-NIL</t>
        </is>
      </c>
      <c r="E19355" t="n">
        <v>1815</v>
      </c>
    </row>
    <row r="19356">
      <c r="A19356" t="inlineStr">
        <is>
          <t>27BBBBB19356Z5</t>
        </is>
      </c>
      <c r="B19356" t="inlineStr">
        <is>
          <t>Apr-2020</t>
        </is>
      </c>
      <c r="C19356" s="2" t="n">
        <v>44336</v>
      </c>
      <c r="D19356" t="inlineStr">
        <is>
          <t>NON-NIL</t>
        </is>
      </c>
      <c r="E19356" t="n">
        <v>2040</v>
      </c>
    </row>
    <row r="19357">
      <c r="A19357" t="inlineStr">
        <is>
          <t>27BBBBB19357Z5</t>
        </is>
      </c>
      <c r="B19357" t="inlineStr">
        <is>
          <t>Jan-2018</t>
        </is>
      </c>
      <c r="C19357" s="2" t="n">
        <v>43654</v>
      </c>
      <c r="D19357" t="inlineStr">
        <is>
          <t>NON-NIL</t>
        </is>
      </c>
      <c r="E19357" t="n">
        <v>142</v>
      </c>
    </row>
    <row r="19358">
      <c r="A19358" t="inlineStr">
        <is>
          <t>27BBBBB19358Z5</t>
        </is>
      </c>
      <c r="B19358" t="inlineStr">
        <is>
          <t>May-2018</t>
        </is>
      </c>
      <c r="C19358" s="2" t="n">
        <v>43371</v>
      </c>
      <c r="D19358" t="inlineStr">
        <is>
          <t>NON-NIL</t>
        </is>
      </c>
      <c r="E19358" t="n">
        <v>1355</v>
      </c>
    </row>
    <row r="19359">
      <c r="A19359" t="inlineStr">
        <is>
          <t>27BBBBB19359Z5</t>
        </is>
      </c>
      <c r="B19359" t="inlineStr">
        <is>
          <t>Jun-2018</t>
        </is>
      </c>
      <c r="C19359" s="2" t="n">
        <v>43607</v>
      </c>
      <c r="D19359" t="inlineStr">
        <is>
          <t>NIL</t>
        </is>
      </c>
      <c r="E19359" t="n">
        <v>57</v>
      </c>
    </row>
    <row r="19360">
      <c r="A19360" t="inlineStr">
        <is>
          <t>27BBBBB19360Z5</t>
        </is>
      </c>
      <c r="B19360" t="inlineStr">
        <is>
          <t>Jul-2018</t>
        </is>
      </c>
      <c r="C19360" s="2" t="n">
        <v>43112</v>
      </c>
      <c r="D19360" t="inlineStr">
        <is>
          <t>NIL</t>
        </is>
      </c>
      <c r="E19360" t="n">
        <v>1774</v>
      </c>
    </row>
    <row r="19361">
      <c r="A19361" t="inlineStr">
        <is>
          <t>27BBBBB19361Z5</t>
        </is>
      </c>
      <c r="B19361" t="inlineStr">
        <is>
          <t>Feb-2018</t>
        </is>
      </c>
      <c r="C19361" s="2" t="n">
        <v>44068</v>
      </c>
      <c r="D19361" t="inlineStr">
        <is>
          <t>NON-NIL</t>
        </is>
      </c>
      <c r="E19361" t="n">
        <v>2796</v>
      </c>
    </row>
    <row r="19362">
      <c r="A19362" t="inlineStr">
        <is>
          <t>27BBBBB19362Z5</t>
        </is>
      </c>
      <c r="B19362" t="inlineStr">
        <is>
          <t>Mar-2018</t>
        </is>
      </c>
      <c r="C19362" s="2" t="n">
        <v>44101</v>
      </c>
      <c r="D19362" t="inlineStr">
        <is>
          <t>NON-NIL</t>
        </is>
      </c>
      <c r="E19362" t="n">
        <v>475</v>
      </c>
    </row>
    <row r="19363">
      <c r="A19363" t="inlineStr">
        <is>
          <t>27BBBBB19363Z5</t>
        </is>
      </c>
      <c r="B19363" t="inlineStr">
        <is>
          <t>Feb-2018</t>
        </is>
      </c>
      <c r="C19363" s="2" t="n">
        <v>44248</v>
      </c>
      <c r="D19363" t="inlineStr">
        <is>
          <t>NIL</t>
        </is>
      </c>
      <c r="E19363" t="n">
        <v>724</v>
      </c>
    </row>
    <row r="19364">
      <c r="A19364" t="inlineStr">
        <is>
          <t>27BBBBB19364Z5</t>
        </is>
      </c>
      <c r="B19364" t="inlineStr">
        <is>
          <t>Apr-2018</t>
        </is>
      </c>
      <c r="C19364" s="2" t="n">
        <v>44150</v>
      </c>
      <c r="D19364" t="inlineStr">
        <is>
          <t>NIL</t>
        </is>
      </c>
      <c r="E19364" t="n">
        <v>1889</v>
      </c>
    </row>
    <row r="19365">
      <c r="A19365" t="inlineStr">
        <is>
          <t>27BBBBB19365Z5</t>
        </is>
      </c>
      <c r="B19365" t="inlineStr">
        <is>
          <t>Jul-2020</t>
        </is>
      </c>
      <c r="C19365" s="2" t="n">
        <v>44109</v>
      </c>
      <c r="D19365" t="inlineStr">
        <is>
          <t>NON-NIL</t>
        </is>
      </c>
      <c r="E19365" t="n">
        <v>400</v>
      </c>
    </row>
    <row r="19366">
      <c r="A19366" t="inlineStr">
        <is>
          <t>27BBBBB19366Z5</t>
        </is>
      </c>
      <c r="B19366" t="inlineStr">
        <is>
          <t>Dec-2017</t>
        </is>
      </c>
      <c r="C19366" s="2" t="n">
        <v>44235</v>
      </c>
      <c r="D19366" t="inlineStr">
        <is>
          <t>NIL</t>
        </is>
      </c>
      <c r="E19366" t="n">
        <v>665</v>
      </c>
    </row>
    <row r="19367">
      <c r="A19367" t="inlineStr">
        <is>
          <t>27BBBBB19367Z5</t>
        </is>
      </c>
      <c r="B19367" t="inlineStr">
        <is>
          <t>Oct-2018</t>
        </is>
      </c>
      <c r="C19367" s="2" t="n">
        <v>44519</v>
      </c>
      <c r="D19367" t="inlineStr">
        <is>
          <t>NON-NIL</t>
        </is>
      </c>
      <c r="E19367" t="n">
        <v>868</v>
      </c>
    </row>
    <row r="19368">
      <c r="A19368" t="inlineStr">
        <is>
          <t>27BBBBB19368Z5</t>
        </is>
      </c>
      <c r="B19368" t="inlineStr">
        <is>
          <t>Dec-2017</t>
        </is>
      </c>
      <c r="C19368" s="2" t="n">
        <v>44366</v>
      </c>
      <c r="D19368" t="inlineStr">
        <is>
          <t>NON-NIL</t>
        </is>
      </c>
      <c r="E19368" t="n">
        <v>2892</v>
      </c>
    </row>
    <row r="19369">
      <c r="A19369" t="inlineStr">
        <is>
          <t>27BBBBB19369Z5</t>
        </is>
      </c>
      <c r="B19369" t="inlineStr">
        <is>
          <t>Dec-2017</t>
        </is>
      </c>
      <c r="C19369" s="2" t="n">
        <v>43723</v>
      </c>
      <c r="D19369" t="inlineStr">
        <is>
          <t>NIL</t>
        </is>
      </c>
      <c r="E19369" t="n">
        <v>767</v>
      </c>
    </row>
    <row r="19370">
      <c r="A19370" t="inlineStr">
        <is>
          <t>27BBBBB19370Z5</t>
        </is>
      </c>
      <c r="B19370" t="inlineStr">
        <is>
          <t>Aug-2017</t>
        </is>
      </c>
      <c r="C19370" s="2" t="n">
        <v>44532</v>
      </c>
      <c r="D19370" t="inlineStr">
        <is>
          <t>NON-NIL</t>
        </is>
      </c>
      <c r="E19370" t="n">
        <v>1781</v>
      </c>
    </row>
    <row r="19371">
      <c r="A19371" t="inlineStr">
        <is>
          <t>27BBBBB19371Z5</t>
        </is>
      </c>
      <c r="B19371" t="inlineStr">
        <is>
          <t>Mar-2020</t>
        </is>
      </c>
      <c r="C19371" s="2" t="n">
        <v>43927</v>
      </c>
      <c r="D19371" t="inlineStr">
        <is>
          <t>NON-NIL</t>
        </is>
      </c>
      <c r="E19371" t="n">
        <v>1629</v>
      </c>
    </row>
    <row r="19372">
      <c r="A19372" t="inlineStr">
        <is>
          <t>27BBBBB19372Z5</t>
        </is>
      </c>
      <c r="B19372" t="inlineStr">
        <is>
          <t>Apr-2018</t>
        </is>
      </c>
      <c r="C19372" s="2" t="n">
        <v>43866</v>
      </c>
      <c r="D19372" t="inlineStr">
        <is>
          <t>NON-NIL</t>
        </is>
      </c>
      <c r="E19372" t="n">
        <v>2712</v>
      </c>
    </row>
    <row r="19373">
      <c r="A19373" t="inlineStr">
        <is>
          <t>27BBBBB19373Z5</t>
        </is>
      </c>
      <c r="B19373" t="inlineStr">
        <is>
          <t>Sep-2018</t>
        </is>
      </c>
      <c r="C19373" s="2" t="n">
        <v>43189</v>
      </c>
      <c r="D19373" t="inlineStr">
        <is>
          <t>NIL</t>
        </is>
      </c>
      <c r="E19373" t="n">
        <v>1251</v>
      </c>
    </row>
    <row r="19374">
      <c r="A19374" t="inlineStr">
        <is>
          <t>27BBBBB19374Z5</t>
        </is>
      </c>
      <c r="B19374" t="inlineStr">
        <is>
          <t>Jun-2018</t>
        </is>
      </c>
      <c r="C19374" s="2" t="n">
        <v>43528</v>
      </c>
      <c r="D19374" t="inlineStr">
        <is>
          <t>NON-NIL</t>
        </is>
      </c>
      <c r="E19374" t="n">
        <v>1624</v>
      </c>
    </row>
    <row r="19375">
      <c r="A19375" t="inlineStr">
        <is>
          <t>27BBBBB19375Z5</t>
        </is>
      </c>
      <c r="B19375" t="inlineStr">
        <is>
          <t>Aug-2018</t>
        </is>
      </c>
      <c r="C19375" s="2" t="n">
        <v>43309</v>
      </c>
      <c r="D19375" t="inlineStr">
        <is>
          <t>NIL</t>
        </is>
      </c>
      <c r="E19375" t="n">
        <v>2213</v>
      </c>
    </row>
    <row r="19376">
      <c r="A19376" t="inlineStr">
        <is>
          <t>27BBBBB19376Z5</t>
        </is>
      </c>
      <c r="B19376" t="inlineStr">
        <is>
          <t>Apr-2018</t>
        </is>
      </c>
      <c r="C19376" s="2" t="n">
        <v>43942</v>
      </c>
      <c r="D19376" t="inlineStr">
        <is>
          <t>NIL</t>
        </is>
      </c>
      <c r="E19376" t="n">
        <v>159</v>
      </c>
    </row>
    <row r="19377">
      <c r="A19377" t="inlineStr">
        <is>
          <t>27BBBBB19377Z5</t>
        </is>
      </c>
      <c r="B19377" t="inlineStr">
        <is>
          <t>Jun-2020</t>
        </is>
      </c>
      <c r="C19377" s="2" t="n">
        <v>44017</v>
      </c>
      <c r="D19377" t="inlineStr">
        <is>
          <t>NIL</t>
        </is>
      </c>
      <c r="E19377" t="n">
        <v>600</v>
      </c>
    </row>
    <row r="19378">
      <c r="A19378" t="inlineStr">
        <is>
          <t>27BBBBB19378Z5</t>
        </is>
      </c>
      <c r="B19378" t="inlineStr">
        <is>
          <t>Sep-2017</t>
        </is>
      </c>
      <c r="C19378" s="2" t="n">
        <v>43467</v>
      </c>
      <c r="D19378" t="inlineStr">
        <is>
          <t>NIL</t>
        </is>
      </c>
      <c r="E19378" t="n">
        <v>2738</v>
      </c>
    </row>
    <row r="19379">
      <c r="A19379" t="inlineStr">
        <is>
          <t>27BBBBB19379Z5</t>
        </is>
      </c>
      <c r="B19379" t="inlineStr">
        <is>
          <t>Jan-2018</t>
        </is>
      </c>
      <c r="C19379" s="2" t="n">
        <v>43401</v>
      </c>
      <c r="D19379" t="inlineStr">
        <is>
          <t>NON-NIL</t>
        </is>
      </c>
      <c r="E19379" t="n">
        <v>1378</v>
      </c>
    </row>
    <row r="19380">
      <c r="A19380" t="inlineStr">
        <is>
          <t>27BBBBB19380Z5</t>
        </is>
      </c>
      <c r="B19380" t="inlineStr">
        <is>
          <t>Jun-2020</t>
        </is>
      </c>
      <c r="C19380" s="2" t="n">
        <v>44328</v>
      </c>
      <c r="D19380" t="inlineStr">
        <is>
          <t>NON-NIL</t>
        </is>
      </c>
      <c r="E19380" t="n">
        <v>1497</v>
      </c>
    </row>
    <row r="19381">
      <c r="A19381" t="inlineStr">
        <is>
          <t>27BBBBB19381Z5</t>
        </is>
      </c>
      <c r="B19381" t="inlineStr">
        <is>
          <t>Jul-2017</t>
        </is>
      </c>
      <c r="C19381" s="2" t="n">
        <v>43223</v>
      </c>
      <c r="D19381" t="inlineStr">
        <is>
          <t>NIL</t>
        </is>
      </c>
      <c r="E19381" t="n">
        <v>2550</v>
      </c>
    </row>
    <row r="19382">
      <c r="A19382" t="inlineStr">
        <is>
          <t>27BBBBB19382Z5</t>
        </is>
      </c>
      <c r="B19382" t="inlineStr">
        <is>
          <t>Jul-2017</t>
        </is>
      </c>
      <c r="C19382" s="2" t="n">
        <v>43397</v>
      </c>
      <c r="D19382" t="inlineStr">
        <is>
          <t>NIL</t>
        </is>
      </c>
      <c r="E19382" t="n">
        <v>1086</v>
      </c>
    </row>
    <row r="19383">
      <c r="A19383" t="inlineStr">
        <is>
          <t>27BBBBB19383Z5</t>
        </is>
      </c>
      <c r="B19383" t="inlineStr">
        <is>
          <t>Mar-2018</t>
        </is>
      </c>
      <c r="C19383" s="2" t="n">
        <v>43114</v>
      </c>
      <c r="D19383" t="inlineStr">
        <is>
          <t>NIL</t>
        </is>
      </c>
      <c r="E19383" t="n">
        <v>940</v>
      </c>
    </row>
    <row r="19384">
      <c r="A19384" t="inlineStr">
        <is>
          <t>27BBBBB19384Z5</t>
        </is>
      </c>
      <c r="B19384" t="inlineStr">
        <is>
          <t>Nov-2017</t>
        </is>
      </c>
      <c r="C19384" s="2" t="n">
        <v>44543</v>
      </c>
      <c r="D19384" t="inlineStr">
        <is>
          <t>NIL</t>
        </is>
      </c>
      <c r="E19384" t="n">
        <v>1072</v>
      </c>
    </row>
    <row r="19385">
      <c r="A19385" t="inlineStr">
        <is>
          <t>27BBBBB19385Z5</t>
        </is>
      </c>
      <c r="B19385" t="inlineStr">
        <is>
          <t>Mar-2021</t>
        </is>
      </c>
      <c r="C19385" s="2" t="n">
        <v>44806</v>
      </c>
      <c r="D19385" t="inlineStr">
        <is>
          <t>NON-NIL</t>
        </is>
      </c>
      <c r="E19385" t="n">
        <v>1977</v>
      </c>
    </row>
    <row r="19386">
      <c r="A19386" t="inlineStr">
        <is>
          <t>27BBBBB19386Z5</t>
        </is>
      </c>
      <c r="B19386" t="inlineStr">
        <is>
          <t>Dec-2018</t>
        </is>
      </c>
      <c r="C19386" s="2" t="n">
        <v>43352</v>
      </c>
      <c r="D19386" t="inlineStr">
        <is>
          <t>NIL</t>
        </is>
      </c>
      <c r="E19386" t="n">
        <v>1987</v>
      </c>
    </row>
    <row r="19387">
      <c r="A19387" t="inlineStr">
        <is>
          <t>27BBBBB19387Z5</t>
        </is>
      </c>
      <c r="B19387" t="inlineStr">
        <is>
          <t>Mar-2020</t>
        </is>
      </c>
      <c r="C19387" s="2" t="n">
        <v>44337</v>
      </c>
      <c r="D19387" t="inlineStr">
        <is>
          <t>NON-NIL</t>
        </is>
      </c>
      <c r="E19387" t="n">
        <v>14</v>
      </c>
    </row>
    <row r="19388">
      <c r="A19388" t="inlineStr">
        <is>
          <t>27BBBBB19388Z5</t>
        </is>
      </c>
      <c r="B19388" t="inlineStr">
        <is>
          <t>Dec-2018</t>
        </is>
      </c>
      <c r="C19388" s="2" t="n">
        <v>43731</v>
      </c>
      <c r="D19388" t="inlineStr">
        <is>
          <t>NIL</t>
        </is>
      </c>
      <c r="E19388" t="n">
        <v>2098</v>
      </c>
    </row>
    <row r="19389">
      <c r="A19389" t="inlineStr">
        <is>
          <t>27BBBBB19389Z5</t>
        </is>
      </c>
      <c r="B19389" t="inlineStr">
        <is>
          <t>Jan-2021</t>
        </is>
      </c>
      <c r="C19389" s="2" t="n">
        <v>44043</v>
      </c>
      <c r="D19389" t="inlineStr">
        <is>
          <t>NON-NIL</t>
        </is>
      </c>
      <c r="E19389" t="n">
        <v>545</v>
      </c>
    </row>
    <row r="19390">
      <c r="A19390" t="inlineStr">
        <is>
          <t>27BBBBB19390Z5</t>
        </is>
      </c>
      <c r="B19390" t="inlineStr">
        <is>
          <t>Apr-2018</t>
        </is>
      </c>
      <c r="C19390" s="2" t="n">
        <v>44242</v>
      </c>
      <c r="D19390" t="inlineStr">
        <is>
          <t>NON-NIL</t>
        </is>
      </c>
      <c r="E19390" t="n">
        <v>1859</v>
      </c>
    </row>
    <row r="19391">
      <c r="A19391" t="inlineStr">
        <is>
          <t>27BBBBB19391Z5</t>
        </is>
      </c>
      <c r="B19391" t="inlineStr">
        <is>
          <t>Jan-2021</t>
        </is>
      </c>
      <c r="C19391" s="2" t="n">
        <v>44190</v>
      </c>
      <c r="D19391" t="inlineStr">
        <is>
          <t>NIL</t>
        </is>
      </c>
      <c r="E19391" t="n">
        <v>334</v>
      </c>
    </row>
    <row r="19392">
      <c r="A19392" t="inlineStr">
        <is>
          <t>27BBBBB19392Z5</t>
        </is>
      </c>
      <c r="B19392" t="inlineStr">
        <is>
          <t>Oct-2017</t>
        </is>
      </c>
      <c r="C19392" s="2" t="n">
        <v>43332</v>
      </c>
      <c r="D19392" t="inlineStr">
        <is>
          <t>NIL</t>
        </is>
      </c>
      <c r="E19392" t="n">
        <v>6</v>
      </c>
    </row>
    <row r="19393">
      <c r="A19393" t="inlineStr">
        <is>
          <t>27BBBBB19393Z5</t>
        </is>
      </c>
      <c r="B19393" t="inlineStr">
        <is>
          <t>Dec-2018</t>
        </is>
      </c>
      <c r="C19393" s="2" t="n">
        <v>43132</v>
      </c>
      <c r="D19393" t="inlineStr">
        <is>
          <t>NON-NIL</t>
        </is>
      </c>
      <c r="E19393" t="n">
        <v>1034</v>
      </c>
    </row>
    <row r="19394">
      <c r="A19394" t="inlineStr">
        <is>
          <t>27BBBBB19394Z5</t>
        </is>
      </c>
      <c r="B19394" t="inlineStr">
        <is>
          <t>Nov-2017</t>
        </is>
      </c>
      <c r="C19394" s="2" t="n">
        <v>43738</v>
      </c>
      <c r="D19394" t="inlineStr">
        <is>
          <t>NON-NIL</t>
        </is>
      </c>
      <c r="E19394" t="n">
        <v>80</v>
      </c>
    </row>
    <row r="19395">
      <c r="A19395" t="inlineStr">
        <is>
          <t>27BBBBB19395Z5</t>
        </is>
      </c>
      <c r="B19395" t="inlineStr">
        <is>
          <t>Jul-2017</t>
        </is>
      </c>
      <c r="C19395" s="2" t="n">
        <v>43067</v>
      </c>
      <c r="D19395" t="inlineStr">
        <is>
          <t>NON-NIL</t>
        </is>
      </c>
      <c r="E19395" t="n">
        <v>2105</v>
      </c>
    </row>
    <row r="19396">
      <c r="A19396" t="inlineStr">
        <is>
          <t>27BBBBB19396Z5</t>
        </is>
      </c>
      <c r="B19396" t="inlineStr">
        <is>
          <t>Apr-2018</t>
        </is>
      </c>
      <c r="C19396" s="2" t="n">
        <v>43792</v>
      </c>
      <c r="D19396" t="inlineStr">
        <is>
          <t>NON-NIL</t>
        </is>
      </c>
      <c r="E19396" t="n">
        <v>955</v>
      </c>
    </row>
    <row r="19397">
      <c r="A19397" t="inlineStr">
        <is>
          <t>27BBBBB19397Z5</t>
        </is>
      </c>
      <c r="B19397" t="inlineStr">
        <is>
          <t>Sep-2018</t>
        </is>
      </c>
      <c r="C19397" s="2" t="n">
        <v>44455</v>
      </c>
      <c r="D19397" t="inlineStr">
        <is>
          <t>NON-NIL</t>
        </is>
      </c>
      <c r="E19397" t="n">
        <v>1758</v>
      </c>
    </row>
    <row r="19398">
      <c r="A19398" t="inlineStr">
        <is>
          <t>27BBBBB19398Z5</t>
        </is>
      </c>
      <c r="B19398" t="inlineStr">
        <is>
          <t>Mar-2023</t>
        </is>
      </c>
      <c r="C19398" s="2" t="n">
        <v>43828</v>
      </c>
      <c r="D19398" t="inlineStr">
        <is>
          <t>NON-NIL</t>
        </is>
      </c>
      <c r="E19398" t="n">
        <v>2281</v>
      </c>
    </row>
    <row r="19399">
      <c r="A19399" t="inlineStr">
        <is>
          <t>27BBBBB19399Z5</t>
        </is>
      </c>
      <c r="B19399" t="inlineStr">
        <is>
          <t>Mar-2021</t>
        </is>
      </c>
      <c r="C19399" s="2" t="n">
        <v>43962</v>
      </c>
      <c r="D19399" t="inlineStr">
        <is>
          <t>NON-NIL</t>
        </is>
      </c>
      <c r="E19399" t="n">
        <v>2866</v>
      </c>
    </row>
    <row r="19400">
      <c r="A19400" t="inlineStr">
        <is>
          <t>27BBBBB19400Z5</t>
        </is>
      </c>
      <c r="B19400" t="inlineStr">
        <is>
          <t>Jan-2018</t>
        </is>
      </c>
      <c r="C19400" s="2" t="n">
        <v>44383</v>
      </c>
      <c r="D19400" t="inlineStr">
        <is>
          <t>NON-NIL</t>
        </is>
      </c>
      <c r="E19400" t="n">
        <v>2678</v>
      </c>
    </row>
    <row r="19401">
      <c r="A19401" t="inlineStr">
        <is>
          <t>27BBBBB19401Z5</t>
        </is>
      </c>
      <c r="B19401" t="inlineStr">
        <is>
          <t>Jun-2018</t>
        </is>
      </c>
      <c r="C19401" s="2" t="n">
        <v>43434</v>
      </c>
      <c r="D19401" t="inlineStr">
        <is>
          <t>NON-NIL</t>
        </is>
      </c>
      <c r="E19401" t="n">
        <v>1125</v>
      </c>
    </row>
    <row r="19402">
      <c r="A19402" t="inlineStr">
        <is>
          <t>27BBBBB19402Z5</t>
        </is>
      </c>
      <c r="B19402" t="inlineStr">
        <is>
          <t>Jul-2017</t>
        </is>
      </c>
      <c r="C19402" s="2" t="n">
        <v>43169</v>
      </c>
      <c r="D19402" t="inlineStr">
        <is>
          <t>NON-NIL</t>
        </is>
      </c>
      <c r="E19402" t="n">
        <v>199</v>
      </c>
    </row>
    <row r="19403">
      <c r="A19403" t="inlineStr">
        <is>
          <t>27BBBBB19403Z5</t>
        </is>
      </c>
      <c r="B19403" t="inlineStr">
        <is>
          <t>Jun-2018</t>
        </is>
      </c>
      <c r="C19403" s="2" t="n">
        <v>44243</v>
      </c>
      <c r="D19403" t="inlineStr">
        <is>
          <t>NIL</t>
        </is>
      </c>
      <c r="E19403" t="n">
        <v>1385</v>
      </c>
    </row>
    <row r="19404">
      <c r="A19404" t="inlineStr">
        <is>
          <t>27BBBBB19404Z5</t>
        </is>
      </c>
      <c r="B19404" t="inlineStr">
        <is>
          <t>Mar-2018</t>
        </is>
      </c>
      <c r="C19404" s="2" t="n">
        <v>43370</v>
      </c>
      <c r="D19404" t="inlineStr">
        <is>
          <t>NIL</t>
        </is>
      </c>
      <c r="E19404" t="n">
        <v>1612</v>
      </c>
    </row>
    <row r="19405">
      <c r="A19405" t="inlineStr">
        <is>
          <t>27BBBBB19405Z5</t>
        </is>
      </c>
      <c r="B19405" t="inlineStr">
        <is>
          <t>Feb-2018</t>
        </is>
      </c>
      <c r="C19405" s="2" t="n">
        <v>43665</v>
      </c>
      <c r="D19405" t="inlineStr">
        <is>
          <t>NIL</t>
        </is>
      </c>
      <c r="E19405" t="n">
        <v>2504</v>
      </c>
    </row>
    <row r="19406">
      <c r="A19406" t="inlineStr">
        <is>
          <t>27BBBBB19406Z5</t>
        </is>
      </c>
      <c r="B19406" t="inlineStr">
        <is>
          <t>Dec-2017</t>
        </is>
      </c>
      <c r="C19406" s="2" t="n">
        <v>43799</v>
      </c>
      <c r="D19406" t="inlineStr">
        <is>
          <t>NIL</t>
        </is>
      </c>
      <c r="E19406" t="n">
        <v>1648</v>
      </c>
    </row>
    <row r="19407">
      <c r="A19407" t="inlineStr">
        <is>
          <t>27BBBBB19407Z5</t>
        </is>
      </c>
      <c r="B19407" t="inlineStr">
        <is>
          <t>Mar-2020</t>
        </is>
      </c>
      <c r="C19407" s="2" t="n">
        <v>43952</v>
      </c>
      <c r="D19407" t="inlineStr">
        <is>
          <t>NIL</t>
        </is>
      </c>
      <c r="E19407" t="n">
        <v>1556</v>
      </c>
    </row>
    <row r="19408">
      <c r="A19408" t="inlineStr">
        <is>
          <t>27BBBBB19408Z5</t>
        </is>
      </c>
      <c r="B19408" t="inlineStr">
        <is>
          <t>Dec-2018</t>
        </is>
      </c>
      <c r="C19408" s="2" t="n">
        <v>43013</v>
      </c>
      <c r="D19408" t="inlineStr">
        <is>
          <t>NON-NIL</t>
        </is>
      </c>
      <c r="E19408" t="n">
        <v>1952</v>
      </c>
    </row>
    <row r="19409">
      <c r="A19409" t="inlineStr">
        <is>
          <t>27BBBBB19409Z5</t>
        </is>
      </c>
      <c r="B19409" t="inlineStr">
        <is>
          <t>Mar-2023</t>
        </is>
      </c>
      <c r="C19409" s="2" t="n">
        <v>45039</v>
      </c>
      <c r="D19409" t="inlineStr">
        <is>
          <t>NIL</t>
        </is>
      </c>
      <c r="E19409" t="n">
        <v>110</v>
      </c>
    </row>
    <row r="19410">
      <c r="A19410" t="inlineStr">
        <is>
          <t>27BBBBB19410Z5</t>
        </is>
      </c>
      <c r="B19410" t="inlineStr">
        <is>
          <t>Mar-2021</t>
        </is>
      </c>
      <c r="C19410" s="2" t="n">
        <v>44391</v>
      </c>
      <c r="D19410" t="inlineStr">
        <is>
          <t>NIL</t>
        </is>
      </c>
      <c r="E19410" t="n">
        <v>2022</v>
      </c>
    </row>
    <row r="19411">
      <c r="A19411" t="inlineStr">
        <is>
          <t>27BBBBB19411Z5</t>
        </is>
      </c>
      <c r="B19411" t="inlineStr">
        <is>
          <t>Oct-2017</t>
        </is>
      </c>
      <c r="C19411" s="2" t="n">
        <v>43991</v>
      </c>
      <c r="D19411" t="inlineStr">
        <is>
          <t>NON-NIL</t>
        </is>
      </c>
      <c r="E19411" t="n">
        <v>870</v>
      </c>
    </row>
    <row r="19412">
      <c r="A19412" t="inlineStr">
        <is>
          <t>27BBBBB19412Z5</t>
        </is>
      </c>
      <c r="B19412" t="inlineStr">
        <is>
          <t>Dec-2018</t>
        </is>
      </c>
      <c r="C19412" s="2" t="n">
        <v>44400</v>
      </c>
      <c r="D19412" t="inlineStr">
        <is>
          <t>NIL</t>
        </is>
      </c>
      <c r="E19412" t="n">
        <v>614</v>
      </c>
    </row>
    <row r="19413">
      <c r="A19413" t="inlineStr">
        <is>
          <t>27BBBBB19413Z5</t>
        </is>
      </c>
      <c r="B19413" t="inlineStr">
        <is>
          <t>Sep-2018</t>
        </is>
      </c>
      <c r="C19413" s="2" t="n">
        <v>43625</v>
      </c>
      <c r="D19413" t="inlineStr">
        <is>
          <t>NIL</t>
        </is>
      </c>
      <c r="E19413" t="n">
        <v>2802</v>
      </c>
    </row>
    <row r="19414">
      <c r="A19414" t="inlineStr">
        <is>
          <t>27BBBBB19414Z5</t>
        </is>
      </c>
      <c r="B19414" t="inlineStr">
        <is>
          <t>Sep-2018</t>
        </is>
      </c>
      <c r="C19414" s="2" t="n">
        <v>44248</v>
      </c>
      <c r="D19414" t="inlineStr">
        <is>
          <t>NIL</t>
        </is>
      </c>
      <c r="E19414" t="n">
        <v>2251</v>
      </c>
    </row>
    <row r="19415">
      <c r="A19415" t="inlineStr">
        <is>
          <t>27BBBBB19415Z5</t>
        </is>
      </c>
      <c r="B19415" t="inlineStr">
        <is>
          <t>Dec-2022</t>
        </is>
      </c>
      <c r="C19415" s="2" t="n">
        <v>45153</v>
      </c>
      <c r="D19415" t="inlineStr">
        <is>
          <t>NIL</t>
        </is>
      </c>
      <c r="E19415" t="n">
        <v>1187</v>
      </c>
    </row>
    <row r="19416">
      <c r="A19416" t="inlineStr">
        <is>
          <t>27BBBBB19416Z5</t>
        </is>
      </c>
      <c r="B19416" t="inlineStr">
        <is>
          <t>Apr-2018</t>
        </is>
      </c>
      <c r="C19416" s="2" t="n">
        <v>43253</v>
      </c>
      <c r="D19416" t="inlineStr">
        <is>
          <t>NON-NIL</t>
        </is>
      </c>
      <c r="E19416" t="n">
        <v>1649</v>
      </c>
    </row>
    <row r="19417">
      <c r="A19417" t="inlineStr">
        <is>
          <t>27BBBBB19417Z5</t>
        </is>
      </c>
      <c r="B19417" t="inlineStr">
        <is>
          <t>Jul-2017</t>
        </is>
      </c>
      <c r="C19417" s="2" t="n">
        <v>43354</v>
      </c>
      <c r="D19417" t="inlineStr">
        <is>
          <t>NON-NIL</t>
        </is>
      </c>
      <c r="E19417" t="n">
        <v>1729</v>
      </c>
    </row>
    <row r="19418">
      <c r="A19418" t="inlineStr">
        <is>
          <t>27BBBBB19418Z5</t>
        </is>
      </c>
      <c r="B19418" t="inlineStr">
        <is>
          <t>Oct-2017</t>
        </is>
      </c>
      <c r="C19418" s="2" t="n">
        <v>44271</v>
      </c>
      <c r="D19418" t="inlineStr">
        <is>
          <t>NIL</t>
        </is>
      </c>
      <c r="E19418" t="n">
        <v>2047</v>
      </c>
    </row>
    <row r="19419">
      <c r="A19419" t="inlineStr">
        <is>
          <t>27BBBBB19419Z5</t>
        </is>
      </c>
      <c r="B19419" t="inlineStr">
        <is>
          <t>Dec-2022</t>
        </is>
      </c>
      <c r="C19419" s="2" t="n">
        <v>44459</v>
      </c>
      <c r="D19419" t="inlineStr">
        <is>
          <t>NON-NIL</t>
        </is>
      </c>
      <c r="E19419" t="n">
        <v>839</v>
      </c>
    </row>
    <row r="19420">
      <c r="A19420" t="inlineStr">
        <is>
          <t>27BBBBB19420Z5</t>
        </is>
      </c>
      <c r="B19420" t="inlineStr">
        <is>
          <t>Jul-2020</t>
        </is>
      </c>
      <c r="C19420" s="2" t="n">
        <v>44548</v>
      </c>
      <c r="D19420" t="inlineStr">
        <is>
          <t>NON-NIL</t>
        </is>
      </c>
      <c r="E19420" t="n">
        <v>2665</v>
      </c>
    </row>
    <row r="19421">
      <c r="A19421" t="inlineStr">
        <is>
          <t>27BBBBB19421Z5</t>
        </is>
      </c>
      <c r="B19421" t="inlineStr">
        <is>
          <t>Aug-2018</t>
        </is>
      </c>
      <c r="C19421" s="2" t="n">
        <v>43332</v>
      </c>
      <c r="D19421" t="inlineStr">
        <is>
          <t>NIL</t>
        </is>
      </c>
      <c r="E19421" t="n">
        <v>1450</v>
      </c>
    </row>
    <row r="19422">
      <c r="A19422" t="inlineStr">
        <is>
          <t>27BBBBB19422Z5</t>
        </is>
      </c>
      <c r="B19422" t="inlineStr">
        <is>
          <t>May-2018</t>
        </is>
      </c>
      <c r="C19422" s="2" t="n">
        <v>44211</v>
      </c>
      <c r="D19422" t="inlineStr">
        <is>
          <t>NIL</t>
        </is>
      </c>
      <c r="E19422" t="n">
        <v>108</v>
      </c>
    </row>
    <row r="19423">
      <c r="A19423" t="inlineStr">
        <is>
          <t>27BBBBB19423Z5</t>
        </is>
      </c>
      <c r="B19423" t="inlineStr">
        <is>
          <t>Apr-2018</t>
        </is>
      </c>
      <c r="C19423" s="2" t="n">
        <v>43075</v>
      </c>
      <c r="D19423" t="inlineStr">
        <is>
          <t>NON-NIL</t>
        </is>
      </c>
      <c r="E19423" t="n">
        <v>370</v>
      </c>
    </row>
    <row r="19424">
      <c r="A19424" t="inlineStr">
        <is>
          <t>27BBBBB19424Z5</t>
        </is>
      </c>
      <c r="B19424" t="inlineStr">
        <is>
          <t>Mar-2021</t>
        </is>
      </c>
      <c r="C19424" s="2" t="n">
        <v>43578</v>
      </c>
      <c r="D19424" t="inlineStr">
        <is>
          <t>NON-NIL</t>
        </is>
      </c>
      <c r="E19424" t="n">
        <v>2684</v>
      </c>
    </row>
    <row r="19425">
      <c r="A19425" t="inlineStr">
        <is>
          <t>27BBBBB19425Z5</t>
        </is>
      </c>
      <c r="B19425" t="inlineStr">
        <is>
          <t>May-2020</t>
        </is>
      </c>
      <c r="C19425" s="2" t="n">
        <v>44608</v>
      </c>
      <c r="D19425" t="inlineStr">
        <is>
          <t>NON-NIL</t>
        </is>
      </c>
      <c r="E19425" t="n">
        <v>735</v>
      </c>
    </row>
    <row r="19426">
      <c r="A19426" t="inlineStr">
        <is>
          <t>27BBBBB19426Z5</t>
        </is>
      </c>
      <c r="B19426" t="inlineStr">
        <is>
          <t>Nov-2018</t>
        </is>
      </c>
      <c r="C19426" s="2" t="n">
        <v>43042</v>
      </c>
      <c r="D19426" t="inlineStr">
        <is>
          <t>NON-NIL</t>
        </is>
      </c>
      <c r="E19426" t="n">
        <v>200</v>
      </c>
    </row>
    <row r="19427">
      <c r="A19427" t="inlineStr">
        <is>
          <t>27BBBBB19427Z5</t>
        </is>
      </c>
      <c r="B19427" t="inlineStr">
        <is>
          <t>Mar-2018</t>
        </is>
      </c>
      <c r="C19427" s="2" t="n">
        <v>44554</v>
      </c>
      <c r="D19427" t="inlineStr">
        <is>
          <t>NIL</t>
        </is>
      </c>
      <c r="E19427" t="n">
        <v>1851</v>
      </c>
    </row>
    <row r="19428">
      <c r="A19428" t="inlineStr">
        <is>
          <t>27BBBBB19428Z5</t>
        </is>
      </c>
      <c r="B19428" t="inlineStr">
        <is>
          <t>Sep-2017</t>
        </is>
      </c>
      <c r="C19428" s="2" t="n">
        <v>43060</v>
      </c>
      <c r="D19428" t="inlineStr">
        <is>
          <t>NIL</t>
        </is>
      </c>
      <c r="E19428" t="n">
        <v>2430</v>
      </c>
    </row>
    <row r="19429">
      <c r="A19429" t="inlineStr">
        <is>
          <t>27BBBBB19429Z5</t>
        </is>
      </c>
      <c r="B19429" t="inlineStr">
        <is>
          <t>Aug-2017</t>
        </is>
      </c>
      <c r="C19429" s="2" t="n">
        <v>44363</v>
      </c>
      <c r="D19429" t="inlineStr">
        <is>
          <t>NON-NIL</t>
        </is>
      </c>
      <c r="E19429" t="n">
        <v>968</v>
      </c>
    </row>
    <row r="19430">
      <c r="A19430" t="inlineStr">
        <is>
          <t>27BBBBB19430Z5</t>
        </is>
      </c>
      <c r="B19430" t="inlineStr">
        <is>
          <t>Oct-2017</t>
        </is>
      </c>
      <c r="C19430" s="2" t="n">
        <v>43461</v>
      </c>
      <c r="D19430" t="inlineStr">
        <is>
          <t>NON-NIL</t>
        </is>
      </c>
      <c r="E19430" t="n">
        <v>2319</v>
      </c>
    </row>
    <row r="19431">
      <c r="A19431" t="inlineStr">
        <is>
          <t>27BBBBB19431Z5</t>
        </is>
      </c>
      <c r="B19431" t="inlineStr">
        <is>
          <t>Sep-2017</t>
        </is>
      </c>
      <c r="C19431" s="2" t="n">
        <v>43550</v>
      </c>
      <c r="D19431" t="inlineStr">
        <is>
          <t>NIL</t>
        </is>
      </c>
      <c r="E19431" t="n">
        <v>2371</v>
      </c>
    </row>
    <row r="19432">
      <c r="A19432" t="inlineStr">
        <is>
          <t>27BBBBB19432Z5</t>
        </is>
      </c>
      <c r="B19432" t="inlineStr">
        <is>
          <t>Mar-2018</t>
        </is>
      </c>
      <c r="C19432" s="2" t="n">
        <v>43210</v>
      </c>
      <c r="D19432" t="inlineStr">
        <is>
          <t>NON-NIL</t>
        </is>
      </c>
      <c r="E19432" t="n">
        <v>1980</v>
      </c>
    </row>
    <row r="19433">
      <c r="A19433" t="inlineStr">
        <is>
          <t>27BBBBB19433Z5</t>
        </is>
      </c>
      <c r="B19433" t="inlineStr">
        <is>
          <t>Oct-2018</t>
        </is>
      </c>
      <c r="C19433" s="2" t="n">
        <v>44257</v>
      </c>
      <c r="D19433" t="inlineStr">
        <is>
          <t>NON-NIL</t>
        </is>
      </c>
      <c r="E19433" t="n">
        <v>353</v>
      </c>
    </row>
    <row r="19434">
      <c r="A19434" t="inlineStr">
        <is>
          <t>27BBBBB19434Z5</t>
        </is>
      </c>
      <c r="B19434" t="inlineStr">
        <is>
          <t>Jan-2018</t>
        </is>
      </c>
      <c r="C19434" s="2" t="n">
        <v>43982</v>
      </c>
      <c r="D19434" t="inlineStr">
        <is>
          <t>NIL</t>
        </is>
      </c>
      <c r="E19434" t="n">
        <v>2761</v>
      </c>
    </row>
    <row r="19435">
      <c r="A19435" t="inlineStr">
        <is>
          <t>27BBBBB19435Z5</t>
        </is>
      </c>
      <c r="B19435" t="inlineStr">
        <is>
          <t>Dec-2024</t>
        </is>
      </c>
      <c r="C19435" s="2" t="n">
        <v>44642</v>
      </c>
      <c r="D19435" t="inlineStr">
        <is>
          <t>NON-NIL</t>
        </is>
      </c>
      <c r="E19435" t="n">
        <v>1232</v>
      </c>
    </row>
    <row r="19436">
      <c r="A19436" t="inlineStr">
        <is>
          <t>27BBBBB19436Z5</t>
        </is>
      </c>
      <c r="B19436" t="inlineStr">
        <is>
          <t>Dec-2017</t>
        </is>
      </c>
      <c r="C19436" s="2" t="n">
        <v>44196</v>
      </c>
      <c r="D19436" t="inlineStr">
        <is>
          <t>NIL</t>
        </is>
      </c>
      <c r="E19436" t="n">
        <v>1026</v>
      </c>
    </row>
    <row r="19437">
      <c r="A19437" t="inlineStr">
        <is>
          <t>27BBBBB19437Z5</t>
        </is>
      </c>
      <c r="B19437" t="inlineStr">
        <is>
          <t>Dec-2022</t>
        </is>
      </c>
      <c r="C19437" s="2" t="n">
        <v>44794</v>
      </c>
      <c r="D19437" t="inlineStr">
        <is>
          <t>NON-NIL</t>
        </is>
      </c>
      <c r="E19437" t="n">
        <v>1670</v>
      </c>
    </row>
    <row r="19438">
      <c r="A19438" t="inlineStr">
        <is>
          <t>27BBBBB19438Z5</t>
        </is>
      </c>
      <c r="B19438" t="inlineStr">
        <is>
          <t>Dec-2017</t>
        </is>
      </c>
      <c r="C19438" s="2" t="n">
        <v>44491</v>
      </c>
      <c r="D19438" t="inlineStr">
        <is>
          <t>NON-NIL</t>
        </is>
      </c>
      <c r="E19438" t="n">
        <v>2769</v>
      </c>
    </row>
    <row r="19439">
      <c r="A19439" t="inlineStr">
        <is>
          <t>27BBBBB19439Z5</t>
        </is>
      </c>
      <c r="B19439" t="inlineStr">
        <is>
          <t>Mar-2021</t>
        </is>
      </c>
      <c r="C19439" s="2" t="n">
        <v>45135</v>
      </c>
      <c r="D19439" t="inlineStr">
        <is>
          <t>NON-NIL</t>
        </is>
      </c>
      <c r="E19439" t="n">
        <v>1920</v>
      </c>
    </row>
    <row r="19440">
      <c r="A19440" t="inlineStr">
        <is>
          <t>27BBBBB19440Z5</t>
        </is>
      </c>
      <c r="B19440" t="inlineStr">
        <is>
          <t>May-2018</t>
        </is>
      </c>
      <c r="C19440" s="2" t="n">
        <v>43499</v>
      </c>
      <c r="D19440" t="inlineStr">
        <is>
          <t>NIL</t>
        </is>
      </c>
      <c r="E19440" t="n">
        <v>373</v>
      </c>
    </row>
    <row r="19441">
      <c r="A19441" t="inlineStr">
        <is>
          <t>27BBBBB19441Z5</t>
        </is>
      </c>
      <c r="B19441" t="inlineStr">
        <is>
          <t>Sep-2018</t>
        </is>
      </c>
      <c r="C19441" s="2" t="n">
        <v>43256</v>
      </c>
      <c r="D19441" t="inlineStr">
        <is>
          <t>NIL</t>
        </is>
      </c>
      <c r="E19441" t="n">
        <v>2487</v>
      </c>
    </row>
    <row r="19442">
      <c r="A19442" t="inlineStr">
        <is>
          <t>27BBBBB19442Z5</t>
        </is>
      </c>
      <c r="B19442" t="inlineStr">
        <is>
          <t>Apr-2018</t>
        </is>
      </c>
      <c r="C19442" s="2" t="n">
        <v>43500</v>
      </c>
      <c r="D19442" t="inlineStr">
        <is>
          <t>NIL</t>
        </is>
      </c>
      <c r="E19442" t="n">
        <v>963</v>
      </c>
    </row>
    <row r="19443">
      <c r="A19443" t="inlineStr">
        <is>
          <t>27BBBBB19443Z5</t>
        </is>
      </c>
      <c r="B19443" t="inlineStr">
        <is>
          <t>Aug-2017</t>
        </is>
      </c>
      <c r="C19443" s="2" t="n">
        <v>43223</v>
      </c>
      <c r="D19443" t="inlineStr">
        <is>
          <t>NIL</t>
        </is>
      </c>
      <c r="E19443" t="n">
        <v>1320</v>
      </c>
    </row>
    <row r="19444">
      <c r="A19444" t="inlineStr">
        <is>
          <t>27BBBBB19444Z5</t>
        </is>
      </c>
      <c r="B19444" t="inlineStr">
        <is>
          <t>Jun-2018</t>
        </is>
      </c>
      <c r="C19444" s="2" t="n">
        <v>44150</v>
      </c>
      <c r="D19444" t="inlineStr">
        <is>
          <t>NON-NIL</t>
        </is>
      </c>
      <c r="E19444" t="n">
        <v>563</v>
      </c>
    </row>
    <row r="19445">
      <c r="A19445" t="inlineStr">
        <is>
          <t>27BBBBB19445Z5</t>
        </is>
      </c>
      <c r="B19445" t="inlineStr">
        <is>
          <t>Oct-2017</t>
        </is>
      </c>
      <c r="C19445" s="2" t="n">
        <v>43554</v>
      </c>
      <c r="D19445" t="inlineStr">
        <is>
          <t>NIL</t>
        </is>
      </c>
      <c r="E19445" t="n">
        <v>43</v>
      </c>
    </row>
    <row r="19446">
      <c r="A19446" t="inlineStr">
        <is>
          <t>27BBBBB19446Z5</t>
        </is>
      </c>
      <c r="B19446" t="inlineStr">
        <is>
          <t>Aug-2018</t>
        </is>
      </c>
      <c r="C19446" s="2" t="n">
        <v>43880</v>
      </c>
      <c r="D19446" t="inlineStr">
        <is>
          <t>NON-NIL</t>
        </is>
      </c>
      <c r="E19446" t="n">
        <v>927</v>
      </c>
    </row>
    <row r="19447">
      <c r="A19447" t="inlineStr">
        <is>
          <t>27BBBBB19447Z5</t>
        </is>
      </c>
      <c r="B19447" t="inlineStr">
        <is>
          <t>Jan-2018</t>
        </is>
      </c>
      <c r="C19447" s="2" t="n">
        <v>43193</v>
      </c>
      <c r="D19447" t="inlineStr">
        <is>
          <t>NIL</t>
        </is>
      </c>
      <c r="E19447" t="n">
        <v>910</v>
      </c>
    </row>
    <row r="19448">
      <c r="A19448" t="inlineStr">
        <is>
          <t>27BBBBB19448Z5</t>
        </is>
      </c>
      <c r="B19448" t="inlineStr">
        <is>
          <t>Oct-2017</t>
        </is>
      </c>
      <c r="C19448" s="2" t="n">
        <v>44201</v>
      </c>
      <c r="D19448" t="inlineStr">
        <is>
          <t>NIL</t>
        </is>
      </c>
      <c r="E19448" t="n">
        <v>65</v>
      </c>
    </row>
    <row r="19449">
      <c r="A19449" t="inlineStr">
        <is>
          <t>27BBBBB19449Z5</t>
        </is>
      </c>
      <c r="B19449" t="inlineStr">
        <is>
          <t>Jan-2021</t>
        </is>
      </c>
      <c r="C19449" s="2" t="n">
        <v>45074</v>
      </c>
      <c r="D19449" t="inlineStr">
        <is>
          <t>NON-NIL</t>
        </is>
      </c>
      <c r="E19449" t="n">
        <v>632</v>
      </c>
    </row>
    <row r="19450">
      <c r="A19450" t="inlineStr">
        <is>
          <t>27BBBBB19450Z5</t>
        </is>
      </c>
      <c r="B19450" t="inlineStr">
        <is>
          <t>Mar-2023</t>
        </is>
      </c>
      <c r="C19450" s="2" t="n">
        <v>44254</v>
      </c>
      <c r="D19450" t="inlineStr">
        <is>
          <t>NIL</t>
        </is>
      </c>
      <c r="E19450" t="n">
        <v>266</v>
      </c>
    </row>
    <row r="19451">
      <c r="A19451" t="inlineStr">
        <is>
          <t>27BBBBB19451Z5</t>
        </is>
      </c>
      <c r="B19451" t="inlineStr">
        <is>
          <t>Oct-2017</t>
        </is>
      </c>
      <c r="C19451" s="2" t="n">
        <v>43386</v>
      </c>
      <c r="D19451" t="inlineStr">
        <is>
          <t>NIL</t>
        </is>
      </c>
      <c r="E19451" t="n">
        <v>1011</v>
      </c>
    </row>
    <row r="19452">
      <c r="A19452" t="inlineStr">
        <is>
          <t>27BBBBB19452Z5</t>
        </is>
      </c>
      <c r="B19452" t="inlineStr">
        <is>
          <t>Jul-2017</t>
        </is>
      </c>
      <c r="C19452" s="2" t="n">
        <v>43499</v>
      </c>
      <c r="D19452" t="inlineStr">
        <is>
          <t>NIL</t>
        </is>
      </c>
      <c r="E19452" t="n">
        <v>1253</v>
      </c>
    </row>
    <row r="19453">
      <c r="A19453" t="inlineStr">
        <is>
          <t>27BBBBB19453Z5</t>
        </is>
      </c>
      <c r="B19453" t="inlineStr">
        <is>
          <t>Apr-2018</t>
        </is>
      </c>
      <c r="C19453" s="2" t="n">
        <v>44390</v>
      </c>
      <c r="D19453" t="inlineStr">
        <is>
          <t>NIL</t>
        </is>
      </c>
      <c r="E19453" t="n">
        <v>1141</v>
      </c>
    </row>
    <row r="19454">
      <c r="A19454" t="inlineStr">
        <is>
          <t>27BBBBB19454Z5</t>
        </is>
      </c>
      <c r="B19454" t="inlineStr">
        <is>
          <t>Mar-2020</t>
        </is>
      </c>
      <c r="C19454" s="2" t="n">
        <v>44041</v>
      </c>
      <c r="D19454" t="inlineStr">
        <is>
          <t>NON-NIL</t>
        </is>
      </c>
      <c r="E19454" t="n">
        <v>457</v>
      </c>
    </row>
    <row r="19455">
      <c r="A19455" t="inlineStr">
        <is>
          <t>27BBBBB19455Z5</t>
        </is>
      </c>
      <c r="B19455" t="inlineStr">
        <is>
          <t>Oct-2018</t>
        </is>
      </c>
      <c r="C19455" s="2" t="n">
        <v>44108</v>
      </c>
      <c r="D19455" t="inlineStr">
        <is>
          <t>NIL</t>
        </is>
      </c>
      <c r="E19455" t="n">
        <v>2586</v>
      </c>
    </row>
    <row r="19456">
      <c r="A19456" t="inlineStr">
        <is>
          <t>27BBBBB19456Z5</t>
        </is>
      </c>
      <c r="B19456" t="inlineStr">
        <is>
          <t>Jan-2018</t>
        </is>
      </c>
      <c r="C19456" s="2" t="n">
        <v>43410</v>
      </c>
      <c r="D19456" t="inlineStr">
        <is>
          <t>NIL</t>
        </is>
      </c>
      <c r="E19456" t="n">
        <v>2519</v>
      </c>
    </row>
    <row r="19457">
      <c r="A19457" t="inlineStr">
        <is>
          <t>27BBBBB19457Z5</t>
        </is>
      </c>
      <c r="B19457" t="inlineStr">
        <is>
          <t>Mar-2020</t>
        </is>
      </c>
      <c r="C19457" s="2" t="n">
        <v>44100</v>
      </c>
      <c r="D19457" t="inlineStr">
        <is>
          <t>NON-NIL</t>
        </is>
      </c>
      <c r="E19457" t="n">
        <v>823</v>
      </c>
    </row>
    <row r="19458">
      <c r="A19458" t="inlineStr">
        <is>
          <t>27BBBBB19458Z5</t>
        </is>
      </c>
      <c r="B19458" t="inlineStr">
        <is>
          <t>Jun-2018</t>
        </is>
      </c>
      <c r="C19458" s="2" t="n">
        <v>44466</v>
      </c>
      <c r="D19458" t="inlineStr">
        <is>
          <t>NIL</t>
        </is>
      </c>
      <c r="E19458" t="n">
        <v>1610</v>
      </c>
    </row>
    <row r="19459">
      <c r="A19459" t="inlineStr">
        <is>
          <t>27BBBBB19459Z5</t>
        </is>
      </c>
      <c r="B19459" t="inlineStr">
        <is>
          <t>Oct-2017</t>
        </is>
      </c>
      <c r="C19459" s="2" t="n">
        <v>44122</v>
      </c>
      <c r="D19459" t="inlineStr">
        <is>
          <t>NIL</t>
        </is>
      </c>
      <c r="E19459" t="n">
        <v>64</v>
      </c>
    </row>
    <row r="19460">
      <c r="A19460" t="inlineStr">
        <is>
          <t>27BBBBB19460Z5</t>
        </is>
      </c>
      <c r="B19460" t="inlineStr">
        <is>
          <t>Dec-2022</t>
        </is>
      </c>
      <c r="C19460" s="2" t="n">
        <v>44255</v>
      </c>
      <c r="D19460" t="inlineStr">
        <is>
          <t>NON-NIL</t>
        </is>
      </c>
      <c r="E19460" t="n">
        <v>1477</v>
      </c>
    </row>
    <row r="19461">
      <c r="A19461" t="inlineStr">
        <is>
          <t>27BBBBB19461Z5</t>
        </is>
      </c>
      <c r="B19461" t="inlineStr">
        <is>
          <t>Dec-2018</t>
        </is>
      </c>
      <c r="C19461" s="2" t="n">
        <v>43478</v>
      </c>
      <c r="D19461" t="inlineStr">
        <is>
          <t>NIL</t>
        </is>
      </c>
      <c r="E19461" t="n">
        <v>230</v>
      </c>
    </row>
    <row r="19462">
      <c r="A19462" t="inlineStr">
        <is>
          <t>27BBBBB19462Z5</t>
        </is>
      </c>
      <c r="B19462" t="inlineStr">
        <is>
          <t>Sep-2018</t>
        </is>
      </c>
      <c r="C19462" s="2" t="n">
        <v>43647</v>
      </c>
      <c r="D19462" t="inlineStr">
        <is>
          <t>NIL</t>
        </is>
      </c>
      <c r="E19462" t="n">
        <v>2137</v>
      </c>
    </row>
    <row r="19463">
      <c r="A19463" t="inlineStr">
        <is>
          <t>27BBBBB19463Z5</t>
        </is>
      </c>
      <c r="B19463" t="inlineStr">
        <is>
          <t>Apr-2020</t>
        </is>
      </c>
      <c r="C19463" s="2" t="n">
        <v>44001</v>
      </c>
      <c r="D19463" t="inlineStr">
        <is>
          <t>NIL</t>
        </is>
      </c>
      <c r="E19463" t="n">
        <v>2630</v>
      </c>
    </row>
    <row r="19464">
      <c r="A19464" t="inlineStr">
        <is>
          <t>27BBBBB19464Z5</t>
        </is>
      </c>
      <c r="B19464" t="inlineStr">
        <is>
          <t>Aug-2018</t>
        </is>
      </c>
      <c r="C19464" s="2" t="n">
        <v>44510</v>
      </c>
      <c r="D19464" t="inlineStr">
        <is>
          <t>NIL</t>
        </is>
      </c>
      <c r="E19464" t="n">
        <v>1654</v>
      </c>
    </row>
    <row r="19465">
      <c r="A19465" t="inlineStr">
        <is>
          <t>27BBBBB19465Z5</t>
        </is>
      </c>
      <c r="B19465" t="inlineStr">
        <is>
          <t>Oct-2017</t>
        </is>
      </c>
      <c r="C19465" s="2" t="n">
        <v>43144</v>
      </c>
      <c r="D19465" t="inlineStr">
        <is>
          <t>NON-NIL</t>
        </is>
      </c>
      <c r="E19465" t="n">
        <v>353</v>
      </c>
    </row>
    <row r="19466">
      <c r="A19466" t="inlineStr">
        <is>
          <t>27BBBBB19466Z5</t>
        </is>
      </c>
      <c r="B19466" t="inlineStr">
        <is>
          <t>Jun-2020</t>
        </is>
      </c>
      <c r="C19466" s="2" t="n">
        <v>44281</v>
      </c>
      <c r="D19466" t="inlineStr">
        <is>
          <t>NIL</t>
        </is>
      </c>
      <c r="E19466" t="n">
        <v>672</v>
      </c>
    </row>
    <row r="19467">
      <c r="A19467" t="inlineStr">
        <is>
          <t>27BBBBB19467Z5</t>
        </is>
      </c>
      <c r="B19467" t="inlineStr">
        <is>
          <t>Jul-2020</t>
        </is>
      </c>
      <c r="C19467" s="2" t="n">
        <v>44228</v>
      </c>
      <c r="D19467" t="inlineStr">
        <is>
          <t>NIL</t>
        </is>
      </c>
      <c r="E19467" t="n">
        <v>2938</v>
      </c>
    </row>
    <row r="19468">
      <c r="A19468" t="inlineStr">
        <is>
          <t>27BBBBB19468Z5</t>
        </is>
      </c>
      <c r="B19468" t="inlineStr">
        <is>
          <t>Sep-2017</t>
        </is>
      </c>
      <c r="C19468" s="2" t="n">
        <v>43789</v>
      </c>
      <c r="D19468" t="inlineStr">
        <is>
          <t>NON-NIL</t>
        </is>
      </c>
      <c r="E19468" t="n">
        <v>490</v>
      </c>
    </row>
    <row r="19469">
      <c r="A19469" t="inlineStr">
        <is>
          <t>27BBBBB19469Z5</t>
        </is>
      </c>
      <c r="B19469" t="inlineStr">
        <is>
          <t>Jun-2020</t>
        </is>
      </c>
      <c r="C19469" s="2" t="n">
        <v>44078</v>
      </c>
      <c r="D19469" t="inlineStr">
        <is>
          <t>NON-NIL</t>
        </is>
      </c>
      <c r="E19469" t="n">
        <v>825</v>
      </c>
    </row>
    <row r="19470">
      <c r="A19470" t="inlineStr">
        <is>
          <t>27BBBBB19470Z5</t>
        </is>
      </c>
      <c r="B19470" t="inlineStr">
        <is>
          <t>Nov-2017</t>
        </is>
      </c>
      <c r="C19470" s="2" t="n">
        <v>43869</v>
      </c>
      <c r="D19470" t="inlineStr">
        <is>
          <t>NIL</t>
        </is>
      </c>
      <c r="E19470" t="n">
        <v>1502</v>
      </c>
    </row>
    <row r="19471">
      <c r="A19471" t="inlineStr">
        <is>
          <t>27BBBBB19471Z5</t>
        </is>
      </c>
      <c r="B19471" t="inlineStr">
        <is>
          <t>Apr-2018</t>
        </is>
      </c>
      <c r="C19471" s="2" t="n">
        <v>44294</v>
      </c>
      <c r="D19471" t="inlineStr">
        <is>
          <t>NIL</t>
        </is>
      </c>
      <c r="E19471" t="n">
        <v>1954</v>
      </c>
    </row>
    <row r="19472">
      <c r="A19472" t="inlineStr">
        <is>
          <t>27BBBBB19472Z5</t>
        </is>
      </c>
      <c r="B19472" t="inlineStr">
        <is>
          <t>Aug-2018</t>
        </is>
      </c>
      <c r="C19472" s="2" t="n">
        <v>44198</v>
      </c>
      <c r="D19472" t="inlineStr">
        <is>
          <t>NON-NIL</t>
        </is>
      </c>
      <c r="E19472" t="n">
        <v>467</v>
      </c>
    </row>
    <row r="19473">
      <c r="A19473" t="inlineStr">
        <is>
          <t>27BBBBB19473Z5</t>
        </is>
      </c>
      <c r="B19473" t="inlineStr">
        <is>
          <t>Jul-2018</t>
        </is>
      </c>
      <c r="C19473" s="2" t="n">
        <v>44503</v>
      </c>
      <c r="D19473" t="inlineStr">
        <is>
          <t>NIL</t>
        </is>
      </c>
      <c r="E19473" t="n">
        <v>865</v>
      </c>
    </row>
    <row r="19474">
      <c r="A19474" t="inlineStr">
        <is>
          <t>27BBBBB19474Z5</t>
        </is>
      </c>
      <c r="B19474" t="inlineStr">
        <is>
          <t>Jun-2018</t>
        </is>
      </c>
      <c r="C19474" s="2" t="n">
        <v>42973</v>
      </c>
      <c r="D19474" t="inlineStr">
        <is>
          <t>NIL</t>
        </is>
      </c>
      <c r="E19474" t="n">
        <v>2105</v>
      </c>
    </row>
    <row r="19475">
      <c r="A19475" t="inlineStr">
        <is>
          <t>27BBBBB19475Z5</t>
        </is>
      </c>
      <c r="B19475" t="inlineStr">
        <is>
          <t>Mar-2021</t>
        </is>
      </c>
      <c r="C19475" s="2" t="n">
        <v>45108</v>
      </c>
      <c r="D19475" t="inlineStr">
        <is>
          <t>NON-NIL</t>
        </is>
      </c>
      <c r="E19475" t="n">
        <v>1251</v>
      </c>
    </row>
    <row r="19476">
      <c r="A19476" t="inlineStr">
        <is>
          <t>27BBBBB19476Z5</t>
        </is>
      </c>
      <c r="B19476" t="inlineStr">
        <is>
          <t>Apr-2018</t>
        </is>
      </c>
      <c r="C19476" s="2" t="n">
        <v>43808</v>
      </c>
      <c r="D19476" t="inlineStr">
        <is>
          <t>NIL</t>
        </is>
      </c>
      <c r="E19476" t="n">
        <v>1519</v>
      </c>
    </row>
    <row r="19477">
      <c r="A19477" t="inlineStr">
        <is>
          <t>27BBBBB19477Z5</t>
        </is>
      </c>
      <c r="B19477" t="inlineStr">
        <is>
          <t>Aug-2018</t>
        </is>
      </c>
      <c r="C19477" s="2" t="n">
        <v>43585</v>
      </c>
      <c r="D19477" t="inlineStr">
        <is>
          <t>NIL</t>
        </is>
      </c>
      <c r="E19477" t="n">
        <v>547</v>
      </c>
    </row>
    <row r="19478">
      <c r="A19478" t="inlineStr">
        <is>
          <t>27BBBBB19478Z5</t>
        </is>
      </c>
      <c r="B19478" t="inlineStr">
        <is>
          <t>Jul-2020</t>
        </is>
      </c>
      <c r="C19478" s="2" t="n">
        <v>43895</v>
      </c>
      <c r="D19478" t="inlineStr">
        <is>
          <t>NIL</t>
        </is>
      </c>
      <c r="E19478" t="n">
        <v>2113</v>
      </c>
    </row>
    <row r="19479">
      <c r="A19479" t="inlineStr">
        <is>
          <t>27BBBBB19479Z5</t>
        </is>
      </c>
      <c r="B19479" t="inlineStr">
        <is>
          <t>Mar-2018</t>
        </is>
      </c>
      <c r="C19479" s="2" t="n">
        <v>43358</v>
      </c>
      <c r="D19479" t="inlineStr">
        <is>
          <t>NON-NIL</t>
        </is>
      </c>
      <c r="E19479" t="n">
        <v>1096</v>
      </c>
    </row>
    <row r="19480">
      <c r="A19480" t="inlineStr">
        <is>
          <t>27BBBBB19480Z5</t>
        </is>
      </c>
      <c r="B19480" t="inlineStr">
        <is>
          <t>Jul-2017</t>
        </is>
      </c>
      <c r="C19480" s="2" t="n">
        <v>44074</v>
      </c>
      <c r="D19480" t="inlineStr">
        <is>
          <t>NON-NIL</t>
        </is>
      </c>
      <c r="E19480" t="n">
        <v>1116</v>
      </c>
    </row>
    <row r="19481">
      <c r="A19481" t="inlineStr">
        <is>
          <t>27BBBBB19481Z5</t>
        </is>
      </c>
      <c r="B19481" t="inlineStr">
        <is>
          <t>Mar-2023</t>
        </is>
      </c>
      <c r="C19481" s="2" t="n">
        <v>44428</v>
      </c>
      <c r="D19481" t="inlineStr">
        <is>
          <t>NON-NIL</t>
        </is>
      </c>
      <c r="E19481" t="n">
        <v>1243</v>
      </c>
    </row>
    <row r="19482">
      <c r="A19482" t="inlineStr">
        <is>
          <t>27BBBBB19482Z5</t>
        </is>
      </c>
      <c r="B19482" t="inlineStr">
        <is>
          <t>Sep-2017</t>
        </is>
      </c>
      <c r="C19482" s="2" t="n">
        <v>43859</v>
      </c>
      <c r="D19482" t="inlineStr">
        <is>
          <t>NIL</t>
        </is>
      </c>
      <c r="E19482" t="n">
        <v>196</v>
      </c>
    </row>
    <row r="19483">
      <c r="A19483" t="inlineStr">
        <is>
          <t>27BBBBB19483Z5</t>
        </is>
      </c>
      <c r="B19483" t="inlineStr">
        <is>
          <t>Mar-2023</t>
        </is>
      </c>
      <c r="C19483" s="2" t="n">
        <v>45453</v>
      </c>
      <c r="D19483" t="inlineStr">
        <is>
          <t>NIL</t>
        </is>
      </c>
      <c r="E19483" t="n">
        <v>2958</v>
      </c>
    </row>
    <row r="19484">
      <c r="A19484" t="inlineStr">
        <is>
          <t>27BBBBB19484Z5</t>
        </is>
      </c>
      <c r="B19484" t="inlineStr">
        <is>
          <t>Apr-2020</t>
        </is>
      </c>
      <c r="C19484" s="2" t="n">
        <v>44207</v>
      </c>
      <c r="D19484" t="inlineStr">
        <is>
          <t>NIL</t>
        </is>
      </c>
      <c r="E19484" t="n">
        <v>90</v>
      </c>
    </row>
    <row r="19485">
      <c r="A19485" t="inlineStr">
        <is>
          <t>27BBBBB19485Z5</t>
        </is>
      </c>
      <c r="B19485" t="inlineStr">
        <is>
          <t>Dec-2024</t>
        </is>
      </c>
      <c r="C19485" s="2" t="n">
        <v>45314</v>
      </c>
      <c r="D19485" t="inlineStr">
        <is>
          <t>NIL</t>
        </is>
      </c>
      <c r="E19485" t="n">
        <v>1034</v>
      </c>
    </row>
    <row r="19486">
      <c r="A19486" t="inlineStr">
        <is>
          <t>27BBBBB19486Z5</t>
        </is>
      </c>
      <c r="B19486" t="inlineStr">
        <is>
          <t>Mar-2023</t>
        </is>
      </c>
      <c r="C19486" s="2" t="n">
        <v>43778</v>
      </c>
      <c r="D19486" t="inlineStr">
        <is>
          <t>NIL</t>
        </is>
      </c>
      <c r="E19486" t="n">
        <v>2944</v>
      </c>
    </row>
    <row r="19487">
      <c r="A19487" t="inlineStr">
        <is>
          <t>27BBBBB19487Z5</t>
        </is>
      </c>
      <c r="B19487" t="inlineStr">
        <is>
          <t>Jan-2018</t>
        </is>
      </c>
      <c r="C19487" s="2" t="n">
        <v>44010</v>
      </c>
      <c r="D19487" t="inlineStr">
        <is>
          <t>NON-NIL</t>
        </is>
      </c>
      <c r="E19487" t="n">
        <v>2694</v>
      </c>
    </row>
    <row r="19488">
      <c r="A19488" t="inlineStr">
        <is>
          <t>27BBBBB19488Z5</t>
        </is>
      </c>
      <c r="B19488" t="inlineStr">
        <is>
          <t>Aug-2017</t>
        </is>
      </c>
      <c r="C19488" s="2" t="n">
        <v>44400</v>
      </c>
      <c r="D19488" t="inlineStr">
        <is>
          <t>NON-NIL</t>
        </is>
      </c>
      <c r="E19488" t="n">
        <v>635</v>
      </c>
    </row>
    <row r="19489">
      <c r="A19489" t="inlineStr">
        <is>
          <t>27BBBBB19489Z5</t>
        </is>
      </c>
      <c r="B19489" t="inlineStr">
        <is>
          <t>Jun-2020</t>
        </is>
      </c>
      <c r="C19489" s="2" t="n">
        <v>43947</v>
      </c>
      <c r="D19489" t="inlineStr">
        <is>
          <t>NIL</t>
        </is>
      </c>
      <c r="E19489" t="n">
        <v>2951</v>
      </c>
    </row>
    <row r="19490">
      <c r="A19490" t="inlineStr">
        <is>
          <t>27BBBBB19490Z5</t>
        </is>
      </c>
      <c r="B19490" t="inlineStr">
        <is>
          <t>Mar-2020</t>
        </is>
      </c>
      <c r="C19490" s="2" t="n">
        <v>43940</v>
      </c>
      <c r="D19490" t="inlineStr">
        <is>
          <t>NIL</t>
        </is>
      </c>
      <c r="E19490" t="n">
        <v>1702</v>
      </c>
    </row>
    <row r="19491">
      <c r="A19491" t="inlineStr">
        <is>
          <t>27BBBBB19491Z5</t>
        </is>
      </c>
      <c r="B19491" t="inlineStr">
        <is>
          <t>Mar-2021</t>
        </is>
      </c>
      <c r="C19491" s="2" t="n">
        <v>44790</v>
      </c>
      <c r="D19491" t="inlineStr">
        <is>
          <t>NON-NIL</t>
        </is>
      </c>
      <c r="E19491" t="n">
        <v>2024</v>
      </c>
    </row>
    <row r="19492">
      <c r="A19492" t="inlineStr">
        <is>
          <t>27BBBBB19492Z5</t>
        </is>
      </c>
      <c r="B19492" t="inlineStr">
        <is>
          <t>Dec-2022</t>
        </is>
      </c>
      <c r="C19492" s="2" t="n">
        <v>44429</v>
      </c>
      <c r="D19492" t="inlineStr">
        <is>
          <t>NON-NIL</t>
        </is>
      </c>
      <c r="E19492" t="n">
        <v>243</v>
      </c>
    </row>
    <row r="19493">
      <c r="A19493" t="inlineStr">
        <is>
          <t>27BBBBB19493Z5</t>
        </is>
      </c>
      <c r="B19493" t="inlineStr">
        <is>
          <t>Jul-2018</t>
        </is>
      </c>
      <c r="C19493" s="2" t="n">
        <v>43096</v>
      </c>
      <c r="D19493" t="inlineStr">
        <is>
          <t>NON-NIL</t>
        </is>
      </c>
      <c r="E19493" t="n">
        <v>1232</v>
      </c>
    </row>
    <row r="19494">
      <c r="A19494" t="inlineStr">
        <is>
          <t>27BBBBB19494Z5</t>
        </is>
      </c>
      <c r="B19494" t="inlineStr">
        <is>
          <t>Nov-2018</t>
        </is>
      </c>
      <c r="C19494" s="2" t="n">
        <v>43146</v>
      </c>
      <c r="D19494" t="inlineStr">
        <is>
          <t>NON-NIL</t>
        </is>
      </c>
      <c r="E19494" t="n">
        <v>1120</v>
      </c>
    </row>
    <row r="19495">
      <c r="A19495" t="inlineStr">
        <is>
          <t>27BBBBB19495Z5</t>
        </is>
      </c>
      <c r="B19495" t="inlineStr">
        <is>
          <t>Feb-2018</t>
        </is>
      </c>
      <c r="C19495" s="2" t="n">
        <v>43128</v>
      </c>
      <c r="D19495" t="inlineStr">
        <is>
          <t>NON-NIL</t>
        </is>
      </c>
      <c r="E19495" t="n">
        <v>1930</v>
      </c>
    </row>
    <row r="19496">
      <c r="A19496" t="inlineStr">
        <is>
          <t>27BBBBB19496Z5</t>
        </is>
      </c>
      <c r="B19496" t="inlineStr">
        <is>
          <t>Sep-2018</t>
        </is>
      </c>
      <c r="C19496" s="2" t="n">
        <v>44269</v>
      </c>
      <c r="D19496" t="inlineStr">
        <is>
          <t>NIL</t>
        </is>
      </c>
      <c r="E19496" t="n">
        <v>831</v>
      </c>
    </row>
    <row r="19497">
      <c r="A19497" t="inlineStr">
        <is>
          <t>27BBBBB19497Z5</t>
        </is>
      </c>
      <c r="B19497" t="inlineStr">
        <is>
          <t>Dec-2018</t>
        </is>
      </c>
      <c r="C19497" s="2" t="n">
        <v>43651</v>
      </c>
      <c r="D19497" t="inlineStr">
        <is>
          <t>NIL</t>
        </is>
      </c>
      <c r="E19497" t="n">
        <v>338</v>
      </c>
    </row>
    <row r="19498">
      <c r="A19498" t="inlineStr">
        <is>
          <t>27BBBBB19498Z5</t>
        </is>
      </c>
      <c r="B19498" t="inlineStr">
        <is>
          <t>Jan-2018</t>
        </is>
      </c>
      <c r="C19498" s="2" t="n">
        <v>43277</v>
      </c>
      <c r="D19498" t="inlineStr">
        <is>
          <t>NIL</t>
        </is>
      </c>
      <c r="E19498" t="n">
        <v>154</v>
      </c>
    </row>
    <row r="19499">
      <c r="A19499" t="inlineStr">
        <is>
          <t>27BBBBB19499Z5</t>
        </is>
      </c>
      <c r="B19499" t="inlineStr">
        <is>
          <t>Dec-2024</t>
        </is>
      </c>
      <c r="C19499" s="2" t="n">
        <v>45121</v>
      </c>
      <c r="D19499" t="inlineStr">
        <is>
          <t>NON-NIL</t>
        </is>
      </c>
      <c r="E19499" t="n">
        <v>2516</v>
      </c>
    </row>
    <row r="19500">
      <c r="A19500" t="inlineStr">
        <is>
          <t>27BBBBB19500Z5</t>
        </is>
      </c>
      <c r="B19500" t="inlineStr">
        <is>
          <t>Apr-2020</t>
        </is>
      </c>
      <c r="C19500" s="2" t="n">
        <v>44447</v>
      </c>
      <c r="D19500" t="inlineStr">
        <is>
          <t>NON-NIL</t>
        </is>
      </c>
      <c r="E19500" t="n">
        <v>1367</v>
      </c>
    </row>
    <row r="19501">
      <c r="A19501" t="inlineStr">
        <is>
          <t>27BBBBB19501Z5</t>
        </is>
      </c>
      <c r="B19501" t="inlineStr">
        <is>
          <t>Apr-2020</t>
        </is>
      </c>
      <c r="C19501" s="2" t="n">
        <v>44331</v>
      </c>
      <c r="D19501" t="inlineStr">
        <is>
          <t>NON-NIL</t>
        </is>
      </c>
      <c r="E19501" t="n">
        <v>1928</v>
      </c>
    </row>
    <row r="19502">
      <c r="A19502" t="inlineStr">
        <is>
          <t>27BBBBB19502Z5</t>
        </is>
      </c>
      <c r="B19502" t="inlineStr">
        <is>
          <t>May-2020</t>
        </is>
      </c>
      <c r="C19502" s="2" t="n">
        <v>44795</v>
      </c>
      <c r="D19502" t="inlineStr">
        <is>
          <t>NON-NIL</t>
        </is>
      </c>
      <c r="E19502" t="n">
        <v>1870</v>
      </c>
    </row>
    <row r="19503">
      <c r="A19503" t="inlineStr">
        <is>
          <t>27BBBBB19503Z5</t>
        </is>
      </c>
      <c r="B19503" t="inlineStr">
        <is>
          <t>Jan-2018</t>
        </is>
      </c>
      <c r="C19503" s="2" t="n">
        <v>43035</v>
      </c>
      <c r="D19503" t="inlineStr">
        <is>
          <t>NON-NIL</t>
        </is>
      </c>
      <c r="E19503" t="n">
        <v>2372</v>
      </c>
    </row>
    <row r="19504">
      <c r="A19504" t="inlineStr">
        <is>
          <t>27BBBBB19504Z5</t>
        </is>
      </c>
      <c r="B19504" t="inlineStr">
        <is>
          <t>Jul-2018</t>
        </is>
      </c>
      <c r="C19504" s="2" t="n">
        <v>44495</v>
      </c>
      <c r="D19504" t="inlineStr">
        <is>
          <t>NIL</t>
        </is>
      </c>
      <c r="E19504" t="n">
        <v>308</v>
      </c>
    </row>
    <row r="19505">
      <c r="A19505" t="inlineStr">
        <is>
          <t>27BBBBB19505Z5</t>
        </is>
      </c>
      <c r="B19505" t="inlineStr">
        <is>
          <t>Jul-2020</t>
        </is>
      </c>
      <c r="C19505" s="2" t="n">
        <v>43851</v>
      </c>
      <c r="D19505" t="inlineStr">
        <is>
          <t>NON-NIL</t>
        </is>
      </c>
      <c r="E19505" t="n">
        <v>1975</v>
      </c>
    </row>
    <row r="19506">
      <c r="A19506" t="inlineStr">
        <is>
          <t>27BBBBB19506Z5</t>
        </is>
      </c>
      <c r="B19506" t="inlineStr">
        <is>
          <t>Oct-2018</t>
        </is>
      </c>
      <c r="C19506" s="2" t="n">
        <v>43132</v>
      </c>
      <c r="D19506" t="inlineStr">
        <is>
          <t>NON-NIL</t>
        </is>
      </c>
      <c r="E19506" t="n">
        <v>2766</v>
      </c>
    </row>
    <row r="19507">
      <c r="A19507" t="inlineStr">
        <is>
          <t>27BBBBB19507Z5</t>
        </is>
      </c>
      <c r="B19507" t="inlineStr">
        <is>
          <t>Dec-2024</t>
        </is>
      </c>
      <c r="C19507" s="2" t="n">
        <v>45458</v>
      </c>
      <c r="D19507" t="inlineStr">
        <is>
          <t>NIL</t>
        </is>
      </c>
      <c r="E19507" t="n">
        <v>1675</v>
      </c>
    </row>
    <row r="19508">
      <c r="A19508" t="inlineStr">
        <is>
          <t>27BBBBB19508Z5</t>
        </is>
      </c>
      <c r="B19508" t="inlineStr">
        <is>
          <t>Jan-2021</t>
        </is>
      </c>
      <c r="C19508" s="2" t="n">
        <v>44409</v>
      </c>
      <c r="D19508" t="inlineStr">
        <is>
          <t>NIL</t>
        </is>
      </c>
      <c r="E19508" t="n">
        <v>563</v>
      </c>
    </row>
    <row r="19509">
      <c r="A19509" t="inlineStr">
        <is>
          <t>27BBBBB19509Z5</t>
        </is>
      </c>
      <c r="B19509" t="inlineStr">
        <is>
          <t>Mar-2021</t>
        </is>
      </c>
      <c r="C19509" s="2" t="n">
        <v>44695</v>
      </c>
      <c r="D19509" t="inlineStr">
        <is>
          <t>NIL</t>
        </is>
      </c>
      <c r="E19509" t="n">
        <v>1984</v>
      </c>
    </row>
    <row r="19510">
      <c r="A19510" t="inlineStr">
        <is>
          <t>27BBBBB19510Z5</t>
        </is>
      </c>
      <c r="B19510" t="inlineStr">
        <is>
          <t>Nov-2017</t>
        </is>
      </c>
      <c r="C19510" s="2" t="n">
        <v>43162</v>
      </c>
      <c r="D19510" t="inlineStr">
        <is>
          <t>NIL</t>
        </is>
      </c>
      <c r="E19510" t="n">
        <v>1367</v>
      </c>
    </row>
    <row r="19511">
      <c r="A19511" t="inlineStr">
        <is>
          <t>27BBBBB19511Z5</t>
        </is>
      </c>
      <c r="B19511" t="inlineStr">
        <is>
          <t>Nov-2018</t>
        </is>
      </c>
      <c r="C19511" s="2" t="n">
        <v>43723</v>
      </c>
      <c r="D19511" t="inlineStr">
        <is>
          <t>NIL</t>
        </is>
      </c>
      <c r="E19511" t="n">
        <v>200</v>
      </c>
    </row>
    <row r="19512">
      <c r="A19512" t="inlineStr">
        <is>
          <t>27BBBBB19512Z5</t>
        </is>
      </c>
      <c r="B19512" t="inlineStr">
        <is>
          <t>Nov-2018</t>
        </is>
      </c>
      <c r="C19512" s="2" t="n">
        <v>43179</v>
      </c>
      <c r="D19512" t="inlineStr">
        <is>
          <t>NON-NIL</t>
        </is>
      </c>
      <c r="E19512" t="n">
        <v>2897</v>
      </c>
    </row>
    <row r="19513">
      <c r="A19513" t="inlineStr">
        <is>
          <t>27BBBBB19513Z5</t>
        </is>
      </c>
      <c r="B19513" t="inlineStr">
        <is>
          <t>Aug-2017</t>
        </is>
      </c>
      <c r="C19513" s="2" t="n">
        <v>43119</v>
      </c>
      <c r="D19513" t="inlineStr">
        <is>
          <t>NON-NIL</t>
        </is>
      </c>
      <c r="E19513" t="n">
        <v>1435</v>
      </c>
    </row>
    <row r="19514">
      <c r="A19514" t="inlineStr">
        <is>
          <t>27BBBBB19514Z5</t>
        </is>
      </c>
      <c r="B19514" t="inlineStr">
        <is>
          <t>Jun-2018</t>
        </is>
      </c>
      <c r="C19514" s="2" t="n">
        <v>42986</v>
      </c>
      <c r="D19514" t="inlineStr">
        <is>
          <t>NIL</t>
        </is>
      </c>
      <c r="E19514" t="n">
        <v>1487</v>
      </c>
    </row>
    <row r="19515">
      <c r="A19515" t="inlineStr">
        <is>
          <t>27BBBBB19515Z5</t>
        </is>
      </c>
      <c r="B19515" t="inlineStr">
        <is>
          <t>Jul-2020</t>
        </is>
      </c>
      <c r="C19515" s="2" t="n">
        <v>44491</v>
      </c>
      <c r="D19515" t="inlineStr">
        <is>
          <t>NIL</t>
        </is>
      </c>
      <c r="E19515" t="n">
        <v>2089</v>
      </c>
    </row>
    <row r="19516">
      <c r="A19516" t="inlineStr">
        <is>
          <t>27BBBBB19516Z5</t>
        </is>
      </c>
      <c r="B19516" t="inlineStr">
        <is>
          <t>May-2018</t>
        </is>
      </c>
      <c r="C19516" s="2" t="n">
        <v>43342</v>
      </c>
      <c r="D19516" t="inlineStr">
        <is>
          <t>NIL</t>
        </is>
      </c>
      <c r="E19516" t="n">
        <v>2569</v>
      </c>
    </row>
    <row r="19517">
      <c r="A19517" t="inlineStr">
        <is>
          <t>27BBBBB19517Z5</t>
        </is>
      </c>
      <c r="B19517" t="inlineStr">
        <is>
          <t>Apr-2020</t>
        </is>
      </c>
      <c r="C19517" s="2" t="n">
        <v>44223</v>
      </c>
      <c r="D19517" t="inlineStr">
        <is>
          <t>NON-NIL</t>
        </is>
      </c>
      <c r="E19517" t="n">
        <v>2091</v>
      </c>
    </row>
    <row r="19518">
      <c r="A19518" t="inlineStr">
        <is>
          <t>27BBBBB19518Z5</t>
        </is>
      </c>
      <c r="B19518" t="inlineStr">
        <is>
          <t>Jul-2018</t>
        </is>
      </c>
      <c r="C19518" s="2" t="n">
        <v>44262</v>
      </c>
      <c r="D19518" t="inlineStr">
        <is>
          <t>NON-NIL</t>
        </is>
      </c>
      <c r="E19518" t="n">
        <v>2937</v>
      </c>
    </row>
    <row r="19519">
      <c r="A19519" t="inlineStr">
        <is>
          <t>27BBBBB19519Z5</t>
        </is>
      </c>
      <c r="B19519" t="inlineStr">
        <is>
          <t>Oct-2018</t>
        </is>
      </c>
      <c r="C19519" s="2" t="n">
        <v>44284</v>
      </c>
      <c r="D19519" t="inlineStr">
        <is>
          <t>NON-NIL</t>
        </is>
      </c>
      <c r="E19519" t="n">
        <v>2969</v>
      </c>
    </row>
    <row r="19520">
      <c r="A19520" t="inlineStr">
        <is>
          <t>27BBBBB19520Z5</t>
        </is>
      </c>
      <c r="B19520" t="inlineStr">
        <is>
          <t>Apr-2020</t>
        </is>
      </c>
      <c r="C19520" s="2" t="n">
        <v>44661</v>
      </c>
      <c r="D19520" t="inlineStr">
        <is>
          <t>NIL</t>
        </is>
      </c>
      <c r="E19520" t="n">
        <v>1126</v>
      </c>
    </row>
    <row r="19521">
      <c r="A19521" t="inlineStr">
        <is>
          <t>27BBBBB19521Z5</t>
        </is>
      </c>
      <c r="B19521" t="inlineStr">
        <is>
          <t>Jul-2020</t>
        </is>
      </c>
      <c r="C19521" s="2" t="n">
        <v>44082</v>
      </c>
      <c r="D19521" t="inlineStr">
        <is>
          <t>NON-NIL</t>
        </is>
      </c>
      <c r="E19521" t="n">
        <v>756</v>
      </c>
    </row>
    <row r="19522">
      <c r="A19522" t="inlineStr">
        <is>
          <t>27BBBBB19522Z5</t>
        </is>
      </c>
      <c r="B19522" t="inlineStr">
        <is>
          <t>Oct-2017</t>
        </is>
      </c>
      <c r="C19522" s="2" t="n">
        <v>44150</v>
      </c>
      <c r="D19522" t="inlineStr">
        <is>
          <t>NIL</t>
        </is>
      </c>
      <c r="E19522" t="n">
        <v>1370</v>
      </c>
    </row>
    <row r="19523">
      <c r="A19523" t="inlineStr">
        <is>
          <t>27BBBBB19523Z5</t>
        </is>
      </c>
      <c r="B19523" t="inlineStr">
        <is>
          <t>Mar-2021</t>
        </is>
      </c>
      <c r="C19523" s="2" t="n">
        <v>45652</v>
      </c>
      <c r="D19523" t="inlineStr">
        <is>
          <t>NON-NIL</t>
        </is>
      </c>
      <c r="E19523" t="n">
        <v>2871</v>
      </c>
    </row>
    <row r="19524">
      <c r="A19524" t="inlineStr">
        <is>
          <t>27BBBBB19524Z5</t>
        </is>
      </c>
      <c r="B19524" t="inlineStr">
        <is>
          <t>Apr-2020</t>
        </is>
      </c>
      <c r="C19524" s="2" t="n">
        <v>44202</v>
      </c>
      <c r="D19524" t="inlineStr">
        <is>
          <t>NIL</t>
        </is>
      </c>
      <c r="E19524" t="n">
        <v>57</v>
      </c>
    </row>
    <row r="19525">
      <c r="A19525" t="inlineStr">
        <is>
          <t>27BBBBB19525Z5</t>
        </is>
      </c>
      <c r="B19525" t="inlineStr">
        <is>
          <t>Dec-2018</t>
        </is>
      </c>
      <c r="C19525" s="2" t="n">
        <v>43806</v>
      </c>
      <c r="D19525" t="inlineStr">
        <is>
          <t>NON-NIL</t>
        </is>
      </c>
      <c r="E19525" t="n">
        <v>670</v>
      </c>
    </row>
    <row r="19526">
      <c r="A19526" t="inlineStr">
        <is>
          <t>27BBBBB19526Z5</t>
        </is>
      </c>
      <c r="B19526" t="inlineStr">
        <is>
          <t>Jul-2018</t>
        </is>
      </c>
      <c r="C19526" s="2" t="n">
        <v>43432</v>
      </c>
      <c r="D19526" t="inlineStr">
        <is>
          <t>NIL</t>
        </is>
      </c>
      <c r="E19526" t="n">
        <v>2461</v>
      </c>
    </row>
    <row r="19527">
      <c r="A19527" t="inlineStr">
        <is>
          <t>27BBBBB19527Z5</t>
        </is>
      </c>
      <c r="B19527" t="inlineStr">
        <is>
          <t>Jan-2021</t>
        </is>
      </c>
      <c r="C19527" s="2" t="n">
        <v>44532</v>
      </c>
      <c r="D19527" t="inlineStr">
        <is>
          <t>NIL</t>
        </is>
      </c>
      <c r="E19527" t="n">
        <v>2371</v>
      </c>
    </row>
    <row r="19528">
      <c r="A19528" t="inlineStr">
        <is>
          <t>27BBBBB19528Z5</t>
        </is>
      </c>
      <c r="B19528" t="inlineStr">
        <is>
          <t>Sep-2018</t>
        </is>
      </c>
      <c r="C19528" s="2" t="n">
        <v>44369</v>
      </c>
      <c r="D19528" t="inlineStr">
        <is>
          <t>NON-NIL</t>
        </is>
      </c>
      <c r="E19528" t="n">
        <v>880</v>
      </c>
    </row>
    <row r="19529">
      <c r="A19529" t="inlineStr">
        <is>
          <t>27BBBBB19529Z5</t>
        </is>
      </c>
      <c r="B19529" t="inlineStr">
        <is>
          <t>Aug-2018</t>
        </is>
      </c>
      <c r="C19529" s="2" t="n">
        <v>44261</v>
      </c>
      <c r="D19529" t="inlineStr">
        <is>
          <t>NIL</t>
        </is>
      </c>
      <c r="E19529" t="n">
        <v>1853</v>
      </c>
    </row>
    <row r="19530">
      <c r="A19530" t="inlineStr">
        <is>
          <t>27BBBBB19530Z5</t>
        </is>
      </c>
      <c r="B19530" t="inlineStr">
        <is>
          <t>Dec-2022</t>
        </is>
      </c>
      <c r="C19530" s="2" t="n">
        <v>43809</v>
      </c>
      <c r="D19530" t="inlineStr">
        <is>
          <t>NIL</t>
        </is>
      </c>
      <c r="E19530" t="n">
        <v>293</v>
      </c>
    </row>
    <row r="19531">
      <c r="A19531" t="inlineStr">
        <is>
          <t>27BBBBB19531Z5</t>
        </is>
      </c>
      <c r="B19531" t="inlineStr">
        <is>
          <t>Feb-2018</t>
        </is>
      </c>
      <c r="C19531" s="2" t="n">
        <v>43885</v>
      </c>
      <c r="D19531" t="inlineStr">
        <is>
          <t>NIL</t>
        </is>
      </c>
      <c r="E19531" t="n">
        <v>1222</v>
      </c>
    </row>
    <row r="19532">
      <c r="A19532" t="inlineStr">
        <is>
          <t>27BBBBB19532Z5</t>
        </is>
      </c>
      <c r="B19532" t="inlineStr">
        <is>
          <t>Jun-2018</t>
        </is>
      </c>
      <c r="C19532" s="2" t="n">
        <v>44144</v>
      </c>
      <c r="D19532" t="inlineStr">
        <is>
          <t>NIL</t>
        </is>
      </c>
      <c r="E19532" t="n">
        <v>2510</v>
      </c>
    </row>
    <row r="19533">
      <c r="A19533" t="inlineStr">
        <is>
          <t>27BBBBB19533Z5</t>
        </is>
      </c>
      <c r="B19533" t="inlineStr">
        <is>
          <t>Jan-2018</t>
        </is>
      </c>
      <c r="C19533" s="2" t="n">
        <v>43208</v>
      </c>
      <c r="D19533" t="inlineStr">
        <is>
          <t>NIL</t>
        </is>
      </c>
      <c r="E19533" t="n">
        <v>1878</v>
      </c>
    </row>
    <row r="19534">
      <c r="A19534" t="inlineStr">
        <is>
          <t>27BBBBB19534Z5</t>
        </is>
      </c>
      <c r="B19534" t="inlineStr">
        <is>
          <t>Mar-2020</t>
        </is>
      </c>
      <c r="C19534" s="2" t="n">
        <v>44860</v>
      </c>
      <c r="D19534" t="inlineStr">
        <is>
          <t>NON-NIL</t>
        </is>
      </c>
      <c r="E19534" t="n">
        <v>2397</v>
      </c>
    </row>
    <row r="19535">
      <c r="A19535" t="inlineStr">
        <is>
          <t>27BBBBB19535Z5</t>
        </is>
      </c>
      <c r="B19535" t="inlineStr">
        <is>
          <t>Apr-2018</t>
        </is>
      </c>
      <c r="C19535" s="2" t="n">
        <v>43068</v>
      </c>
      <c r="D19535" t="inlineStr">
        <is>
          <t>NON-NIL</t>
        </is>
      </c>
      <c r="E19535" t="n">
        <v>1649</v>
      </c>
    </row>
    <row r="19536">
      <c r="A19536" t="inlineStr">
        <is>
          <t>27BBBBB19536Z5</t>
        </is>
      </c>
      <c r="B19536" t="inlineStr">
        <is>
          <t>Dec-2024</t>
        </is>
      </c>
      <c r="C19536" s="2" t="n">
        <v>43724</v>
      </c>
      <c r="D19536" t="inlineStr">
        <is>
          <t>NIL</t>
        </is>
      </c>
      <c r="E19536" t="n">
        <v>276</v>
      </c>
    </row>
    <row r="19537">
      <c r="A19537" t="inlineStr">
        <is>
          <t>27BBBBB19537Z5</t>
        </is>
      </c>
      <c r="B19537" t="inlineStr">
        <is>
          <t>Jul-2020</t>
        </is>
      </c>
      <c r="C19537" s="2" t="n">
        <v>44511</v>
      </c>
      <c r="D19537" t="inlineStr">
        <is>
          <t>NON-NIL</t>
        </is>
      </c>
      <c r="E19537" t="n">
        <v>2405</v>
      </c>
    </row>
    <row r="19538">
      <c r="A19538" t="inlineStr">
        <is>
          <t>27BBBBB19538Z5</t>
        </is>
      </c>
      <c r="B19538" t="inlineStr">
        <is>
          <t>Mar-2021</t>
        </is>
      </c>
      <c r="C19538" s="2" t="n">
        <v>43909</v>
      </c>
      <c r="D19538" t="inlineStr">
        <is>
          <t>NIL</t>
        </is>
      </c>
      <c r="E19538" t="n">
        <v>2563</v>
      </c>
    </row>
    <row r="19539">
      <c r="A19539" t="inlineStr">
        <is>
          <t>27BBBBB19539Z5</t>
        </is>
      </c>
      <c r="B19539" t="inlineStr">
        <is>
          <t>Dec-2018</t>
        </is>
      </c>
      <c r="C19539" s="2" t="n">
        <v>43602</v>
      </c>
      <c r="D19539" t="inlineStr">
        <is>
          <t>NIL</t>
        </is>
      </c>
      <c r="E19539" t="n">
        <v>2788</v>
      </c>
    </row>
    <row r="19540">
      <c r="A19540" t="inlineStr">
        <is>
          <t>27BBBBB19540Z5</t>
        </is>
      </c>
      <c r="B19540" t="inlineStr">
        <is>
          <t>Sep-2017</t>
        </is>
      </c>
      <c r="C19540" s="2" t="n">
        <v>44182</v>
      </c>
      <c r="D19540" t="inlineStr">
        <is>
          <t>NON-NIL</t>
        </is>
      </c>
      <c r="E19540" t="n">
        <v>1733</v>
      </c>
    </row>
    <row r="19541">
      <c r="A19541" t="inlineStr">
        <is>
          <t>27BBBBB19541Z5</t>
        </is>
      </c>
      <c r="B19541" t="inlineStr">
        <is>
          <t>May-2020</t>
        </is>
      </c>
      <c r="C19541" s="2" t="n">
        <v>44671</v>
      </c>
      <c r="D19541" t="inlineStr">
        <is>
          <t>NON-NIL</t>
        </is>
      </c>
      <c r="E19541" t="n">
        <v>2506</v>
      </c>
    </row>
    <row r="19542">
      <c r="A19542" t="inlineStr">
        <is>
          <t>27BBBBB19542Z5</t>
        </is>
      </c>
      <c r="B19542" t="inlineStr">
        <is>
          <t>Jul-2018</t>
        </is>
      </c>
      <c r="C19542" s="2" t="n">
        <v>43897</v>
      </c>
      <c r="D19542" t="inlineStr">
        <is>
          <t>NIL</t>
        </is>
      </c>
      <c r="E19542" t="n">
        <v>338</v>
      </c>
    </row>
    <row r="19543">
      <c r="A19543" t="inlineStr">
        <is>
          <t>27BBBBB19543Z5</t>
        </is>
      </c>
      <c r="B19543" t="inlineStr">
        <is>
          <t>Mar-2020</t>
        </is>
      </c>
      <c r="C19543" s="2" t="n">
        <v>44685</v>
      </c>
      <c r="D19543" t="inlineStr">
        <is>
          <t>NIL</t>
        </is>
      </c>
      <c r="E19543" t="n">
        <v>1206</v>
      </c>
    </row>
    <row r="19544">
      <c r="A19544" t="inlineStr">
        <is>
          <t>27BBBBB19544Z5</t>
        </is>
      </c>
      <c r="B19544" t="inlineStr">
        <is>
          <t>Aug-2017</t>
        </is>
      </c>
      <c r="C19544" s="2" t="n">
        <v>44376</v>
      </c>
      <c r="D19544" t="inlineStr">
        <is>
          <t>NIL</t>
        </is>
      </c>
      <c r="E19544" t="n">
        <v>1246</v>
      </c>
    </row>
    <row r="19545">
      <c r="A19545" t="inlineStr">
        <is>
          <t>27BBBBB19545Z5</t>
        </is>
      </c>
      <c r="B19545" t="inlineStr">
        <is>
          <t>May-2018</t>
        </is>
      </c>
      <c r="C19545" s="2" t="n">
        <v>43698</v>
      </c>
      <c r="D19545" t="inlineStr">
        <is>
          <t>NIL</t>
        </is>
      </c>
      <c r="E19545" t="n">
        <v>1376</v>
      </c>
    </row>
    <row r="19546">
      <c r="A19546" t="inlineStr">
        <is>
          <t>27BBBBB19546Z5</t>
        </is>
      </c>
      <c r="B19546" t="inlineStr">
        <is>
          <t>Sep-2018</t>
        </is>
      </c>
      <c r="C19546" s="2" t="n">
        <v>44226</v>
      </c>
      <c r="D19546" t="inlineStr">
        <is>
          <t>NON-NIL</t>
        </is>
      </c>
      <c r="E19546" t="n">
        <v>942</v>
      </c>
    </row>
    <row r="19547">
      <c r="A19547" t="inlineStr">
        <is>
          <t>27BBBBB19547Z5</t>
        </is>
      </c>
      <c r="B19547" t="inlineStr">
        <is>
          <t>May-2020</t>
        </is>
      </c>
      <c r="C19547" s="2" t="n">
        <v>44638</v>
      </c>
      <c r="D19547" t="inlineStr">
        <is>
          <t>NON-NIL</t>
        </is>
      </c>
      <c r="E19547" t="n">
        <v>2947</v>
      </c>
    </row>
    <row r="19548">
      <c r="A19548" t="inlineStr">
        <is>
          <t>27BBBBB19548Z5</t>
        </is>
      </c>
      <c r="B19548" t="inlineStr">
        <is>
          <t>Jun-2020</t>
        </is>
      </c>
      <c r="C19548" s="2" t="n">
        <v>44059</v>
      </c>
      <c r="D19548" t="inlineStr">
        <is>
          <t>NON-NIL</t>
        </is>
      </c>
      <c r="E19548" t="n">
        <v>555</v>
      </c>
    </row>
    <row r="19549">
      <c r="A19549" t="inlineStr">
        <is>
          <t>27BBBBB19549Z5</t>
        </is>
      </c>
      <c r="B19549" t="inlineStr">
        <is>
          <t>Nov-2018</t>
        </is>
      </c>
      <c r="C19549" s="2" t="n">
        <v>44425</v>
      </c>
      <c r="D19549" t="inlineStr">
        <is>
          <t>NIL</t>
        </is>
      </c>
      <c r="E19549" t="n">
        <v>2630</v>
      </c>
    </row>
    <row r="19550">
      <c r="A19550" t="inlineStr">
        <is>
          <t>27BBBBB19550Z5</t>
        </is>
      </c>
      <c r="B19550" t="inlineStr">
        <is>
          <t>Nov-2017</t>
        </is>
      </c>
      <c r="C19550" s="2" t="n">
        <v>43789</v>
      </c>
      <c r="D19550" t="inlineStr">
        <is>
          <t>NON-NIL</t>
        </is>
      </c>
      <c r="E19550" t="n">
        <v>2937</v>
      </c>
    </row>
    <row r="19551">
      <c r="A19551" t="inlineStr">
        <is>
          <t>27BBBBB19551Z5</t>
        </is>
      </c>
      <c r="B19551" t="inlineStr">
        <is>
          <t>Dec-2017</t>
        </is>
      </c>
      <c r="C19551" s="2" t="n">
        <v>43801</v>
      </c>
      <c r="D19551" t="inlineStr">
        <is>
          <t>NIL</t>
        </is>
      </c>
      <c r="E19551" t="n">
        <v>748</v>
      </c>
    </row>
    <row r="19552">
      <c r="A19552" t="inlineStr">
        <is>
          <t>27BBBBB19552Z5</t>
        </is>
      </c>
      <c r="B19552" t="inlineStr">
        <is>
          <t>Jul-2018</t>
        </is>
      </c>
      <c r="C19552" s="2" t="n">
        <v>43772</v>
      </c>
      <c r="D19552" t="inlineStr">
        <is>
          <t>NON-NIL</t>
        </is>
      </c>
      <c r="E19552" t="n">
        <v>16</v>
      </c>
    </row>
    <row r="19553">
      <c r="A19553" t="inlineStr">
        <is>
          <t>27BBBBB19553Z5</t>
        </is>
      </c>
      <c r="B19553" t="inlineStr">
        <is>
          <t>Aug-2017</t>
        </is>
      </c>
      <c r="C19553" s="2" t="n">
        <v>44135</v>
      </c>
      <c r="D19553" t="inlineStr">
        <is>
          <t>NIL</t>
        </is>
      </c>
      <c r="E19553" t="n">
        <v>1070</v>
      </c>
    </row>
    <row r="19554">
      <c r="A19554" t="inlineStr">
        <is>
          <t>27BBBBB19554Z5</t>
        </is>
      </c>
      <c r="B19554" t="inlineStr">
        <is>
          <t>Oct-2017</t>
        </is>
      </c>
      <c r="C19554" s="2" t="n">
        <v>43897</v>
      </c>
      <c r="D19554" t="inlineStr">
        <is>
          <t>NON-NIL</t>
        </is>
      </c>
      <c r="E19554" t="n">
        <v>716</v>
      </c>
    </row>
    <row r="19555">
      <c r="A19555" t="inlineStr">
        <is>
          <t>27BBBBB19555Z5</t>
        </is>
      </c>
      <c r="B19555" t="inlineStr">
        <is>
          <t>Jun-2018</t>
        </is>
      </c>
      <c r="C19555" s="2" t="n">
        <v>43804</v>
      </c>
      <c r="D19555" t="inlineStr">
        <is>
          <t>NIL</t>
        </is>
      </c>
      <c r="E19555" t="n">
        <v>636</v>
      </c>
    </row>
    <row r="19556">
      <c r="A19556" t="inlineStr">
        <is>
          <t>27BBBBB19556Z5</t>
        </is>
      </c>
      <c r="B19556" t="inlineStr">
        <is>
          <t>Jul-2017</t>
        </is>
      </c>
      <c r="C19556" s="2" t="n">
        <v>43104</v>
      </c>
      <c r="D19556" t="inlineStr">
        <is>
          <t>NIL</t>
        </is>
      </c>
      <c r="E19556" t="n">
        <v>279</v>
      </c>
    </row>
    <row r="19557">
      <c r="A19557" t="inlineStr">
        <is>
          <t>27BBBBB19557Z5</t>
        </is>
      </c>
      <c r="B19557" t="inlineStr">
        <is>
          <t>Mar-2020</t>
        </is>
      </c>
      <c r="C19557" s="2" t="n">
        <v>43924</v>
      </c>
      <c r="D19557" t="inlineStr">
        <is>
          <t>NON-NIL</t>
        </is>
      </c>
      <c r="E19557" t="n">
        <v>1347</v>
      </c>
    </row>
    <row r="19558">
      <c r="A19558" t="inlineStr">
        <is>
          <t>27BBBBB19558Z5</t>
        </is>
      </c>
      <c r="B19558" t="inlineStr">
        <is>
          <t>Apr-2020</t>
        </is>
      </c>
      <c r="C19558" s="2" t="n">
        <v>44607</v>
      </c>
      <c r="D19558" t="inlineStr">
        <is>
          <t>NON-NIL</t>
        </is>
      </c>
      <c r="E19558" t="n">
        <v>1591</v>
      </c>
    </row>
    <row r="19559">
      <c r="A19559" t="inlineStr">
        <is>
          <t>27BBBBB19559Z5</t>
        </is>
      </c>
      <c r="B19559" t="inlineStr">
        <is>
          <t>Jun-2018</t>
        </is>
      </c>
      <c r="C19559" s="2" t="n">
        <v>44111</v>
      </c>
      <c r="D19559" t="inlineStr">
        <is>
          <t>NIL</t>
        </is>
      </c>
      <c r="E19559" t="n">
        <v>2515</v>
      </c>
    </row>
    <row r="19560">
      <c r="A19560" t="inlineStr">
        <is>
          <t>27BBBBB19560Z5</t>
        </is>
      </c>
      <c r="B19560" t="inlineStr">
        <is>
          <t>Dec-2022</t>
        </is>
      </c>
      <c r="C19560" s="2" t="n">
        <v>45091</v>
      </c>
      <c r="D19560" t="inlineStr">
        <is>
          <t>NON-NIL</t>
        </is>
      </c>
      <c r="E19560" t="n">
        <v>2036</v>
      </c>
    </row>
    <row r="19561">
      <c r="A19561" t="inlineStr">
        <is>
          <t>27BBBBB19561Z5</t>
        </is>
      </c>
      <c r="B19561" t="inlineStr">
        <is>
          <t>Oct-2017</t>
        </is>
      </c>
      <c r="C19561" s="2" t="n">
        <v>43470</v>
      </c>
      <c r="D19561" t="inlineStr">
        <is>
          <t>NON-NIL</t>
        </is>
      </c>
      <c r="E19561" t="n">
        <v>775</v>
      </c>
    </row>
    <row r="19562">
      <c r="A19562" t="inlineStr">
        <is>
          <t>27BBBBB19562Z5</t>
        </is>
      </c>
      <c r="B19562" t="inlineStr">
        <is>
          <t>Apr-2020</t>
        </is>
      </c>
      <c r="C19562" s="2" t="n">
        <v>44734</v>
      </c>
      <c r="D19562" t="inlineStr">
        <is>
          <t>NON-NIL</t>
        </is>
      </c>
      <c r="E19562" t="n">
        <v>2100</v>
      </c>
    </row>
    <row r="19563">
      <c r="A19563" t="inlineStr">
        <is>
          <t>27BBBBB19563Z5</t>
        </is>
      </c>
      <c r="B19563" t="inlineStr">
        <is>
          <t>Apr-2018</t>
        </is>
      </c>
      <c r="C19563" s="2" t="n">
        <v>43595</v>
      </c>
      <c r="D19563" t="inlineStr">
        <is>
          <t>NON-NIL</t>
        </is>
      </c>
      <c r="E19563" t="n">
        <v>1164</v>
      </c>
    </row>
    <row r="19564">
      <c r="A19564" t="inlineStr">
        <is>
          <t>27BBBBB19564Z5</t>
        </is>
      </c>
      <c r="B19564" t="inlineStr">
        <is>
          <t>Dec-2022</t>
        </is>
      </c>
      <c r="C19564" s="2" t="n">
        <v>45791</v>
      </c>
      <c r="D19564" t="inlineStr">
        <is>
          <t>NON-NIL</t>
        </is>
      </c>
      <c r="E19564" t="n">
        <v>502</v>
      </c>
    </row>
    <row r="19565">
      <c r="A19565" t="inlineStr">
        <is>
          <t>27BBBBB19565Z5</t>
        </is>
      </c>
      <c r="B19565" t="inlineStr">
        <is>
          <t>Nov-2017</t>
        </is>
      </c>
      <c r="C19565" s="2" t="n">
        <v>44349</v>
      </c>
      <c r="D19565" t="inlineStr">
        <is>
          <t>NON-NIL</t>
        </is>
      </c>
      <c r="E19565" t="n">
        <v>456</v>
      </c>
    </row>
    <row r="19566">
      <c r="A19566" t="inlineStr">
        <is>
          <t>27BBBBB19566Z5</t>
        </is>
      </c>
      <c r="B19566" t="inlineStr">
        <is>
          <t>Jun-2020</t>
        </is>
      </c>
      <c r="C19566" s="2" t="n">
        <v>44772</v>
      </c>
      <c r="D19566" t="inlineStr">
        <is>
          <t>NIL</t>
        </is>
      </c>
      <c r="E19566" t="n">
        <v>39</v>
      </c>
    </row>
    <row r="19567">
      <c r="A19567" t="inlineStr">
        <is>
          <t>27BBBBB19567Z5</t>
        </is>
      </c>
      <c r="B19567" t="inlineStr">
        <is>
          <t>Oct-2018</t>
        </is>
      </c>
      <c r="C19567" s="2" t="n">
        <v>44286</v>
      </c>
      <c r="D19567" t="inlineStr">
        <is>
          <t>NIL</t>
        </is>
      </c>
      <c r="E19567" t="n">
        <v>2020</v>
      </c>
    </row>
    <row r="19568">
      <c r="A19568" t="inlineStr">
        <is>
          <t>27BBBBB19568Z5</t>
        </is>
      </c>
      <c r="B19568" t="inlineStr">
        <is>
          <t>Dec-2018</t>
        </is>
      </c>
      <c r="C19568" s="2" t="n">
        <v>44334</v>
      </c>
      <c r="D19568" t="inlineStr">
        <is>
          <t>NON-NIL</t>
        </is>
      </c>
      <c r="E19568" t="n">
        <v>921</v>
      </c>
    </row>
    <row r="19569">
      <c r="A19569" t="inlineStr">
        <is>
          <t>27BBBBB19569Z5</t>
        </is>
      </c>
      <c r="B19569" t="inlineStr">
        <is>
          <t>Jun-2018</t>
        </is>
      </c>
      <c r="C19569" s="2" t="n">
        <v>44217</v>
      </c>
      <c r="D19569" t="inlineStr">
        <is>
          <t>NON-NIL</t>
        </is>
      </c>
      <c r="E19569" t="n">
        <v>1002</v>
      </c>
    </row>
    <row r="19570">
      <c r="A19570" t="inlineStr">
        <is>
          <t>27BBBBB19570Z5</t>
        </is>
      </c>
      <c r="B19570" t="inlineStr">
        <is>
          <t>Jan-2018</t>
        </is>
      </c>
      <c r="C19570" s="2" t="n">
        <v>42940</v>
      </c>
      <c r="D19570" t="inlineStr">
        <is>
          <t>NIL</t>
        </is>
      </c>
      <c r="E19570" t="n">
        <v>57</v>
      </c>
    </row>
    <row r="19571">
      <c r="A19571" t="inlineStr">
        <is>
          <t>27BBBBB19571Z5</t>
        </is>
      </c>
      <c r="B19571" t="inlineStr">
        <is>
          <t>Dec-2017</t>
        </is>
      </c>
      <c r="C19571" s="2" t="n">
        <v>44486</v>
      </c>
      <c r="D19571" t="inlineStr">
        <is>
          <t>NON-NIL</t>
        </is>
      </c>
      <c r="E19571" t="n">
        <v>1477</v>
      </c>
    </row>
    <row r="19572">
      <c r="A19572" t="inlineStr">
        <is>
          <t>27BBBBB19572Z5</t>
        </is>
      </c>
      <c r="B19572" t="inlineStr">
        <is>
          <t>Aug-2017</t>
        </is>
      </c>
      <c r="C19572" s="2" t="n">
        <v>43107</v>
      </c>
      <c r="D19572" t="inlineStr">
        <is>
          <t>NIL</t>
        </is>
      </c>
      <c r="E19572" t="n">
        <v>2535</v>
      </c>
    </row>
    <row r="19573">
      <c r="A19573" t="inlineStr">
        <is>
          <t>27BBBBB19573Z5</t>
        </is>
      </c>
      <c r="B19573" t="inlineStr">
        <is>
          <t>Dec-2024</t>
        </is>
      </c>
      <c r="C19573" s="2" t="n">
        <v>45782</v>
      </c>
      <c r="D19573" t="inlineStr">
        <is>
          <t>NIL</t>
        </is>
      </c>
      <c r="E19573" t="n">
        <v>1325</v>
      </c>
    </row>
    <row r="19574">
      <c r="A19574" t="inlineStr">
        <is>
          <t>27BBBBB19574Z5</t>
        </is>
      </c>
      <c r="B19574" t="inlineStr">
        <is>
          <t>Jun-2020</t>
        </is>
      </c>
      <c r="C19574" s="2" t="n">
        <v>44477</v>
      </c>
      <c r="D19574" t="inlineStr">
        <is>
          <t>NON-NIL</t>
        </is>
      </c>
      <c r="E19574" t="n">
        <v>2555</v>
      </c>
    </row>
    <row r="19575">
      <c r="A19575" t="inlineStr">
        <is>
          <t>27BBBBB19575Z5</t>
        </is>
      </c>
      <c r="B19575" t="inlineStr">
        <is>
          <t>Jun-2020</t>
        </is>
      </c>
      <c r="C19575" s="2" t="n">
        <v>44686</v>
      </c>
      <c r="D19575" t="inlineStr">
        <is>
          <t>NIL</t>
        </is>
      </c>
      <c r="E19575" t="n">
        <v>2672</v>
      </c>
    </row>
    <row r="19576">
      <c r="A19576" t="inlineStr">
        <is>
          <t>27BBBBB19576Z5</t>
        </is>
      </c>
      <c r="B19576" t="inlineStr">
        <is>
          <t>Jun-2018</t>
        </is>
      </c>
      <c r="C19576" s="2" t="n">
        <v>44559</v>
      </c>
      <c r="D19576" t="inlineStr">
        <is>
          <t>NON-NIL</t>
        </is>
      </c>
      <c r="E19576" t="n">
        <v>771</v>
      </c>
    </row>
    <row r="19577">
      <c r="A19577" t="inlineStr">
        <is>
          <t>27BBBBB19577Z5</t>
        </is>
      </c>
      <c r="B19577" t="inlineStr">
        <is>
          <t>Nov-2018</t>
        </is>
      </c>
      <c r="C19577" s="2" t="n">
        <v>43844</v>
      </c>
      <c r="D19577" t="inlineStr">
        <is>
          <t>NIL</t>
        </is>
      </c>
      <c r="E19577" t="n">
        <v>390</v>
      </c>
    </row>
    <row r="19578">
      <c r="A19578" t="inlineStr">
        <is>
          <t>27BBBBB19578Z5</t>
        </is>
      </c>
      <c r="B19578" t="inlineStr">
        <is>
          <t>Apr-2018</t>
        </is>
      </c>
      <c r="C19578" s="2" t="n">
        <v>43847</v>
      </c>
      <c r="D19578" t="inlineStr">
        <is>
          <t>NON-NIL</t>
        </is>
      </c>
      <c r="E19578" t="n">
        <v>68</v>
      </c>
    </row>
    <row r="19579">
      <c r="A19579" t="inlineStr">
        <is>
          <t>27BBBBB19579Z5</t>
        </is>
      </c>
      <c r="B19579" t="inlineStr">
        <is>
          <t>Jul-2017</t>
        </is>
      </c>
      <c r="C19579" s="2" t="n">
        <v>44508</v>
      </c>
      <c r="D19579" t="inlineStr">
        <is>
          <t>NIL</t>
        </is>
      </c>
      <c r="E19579" t="n">
        <v>2113</v>
      </c>
    </row>
    <row r="19580">
      <c r="A19580" t="inlineStr">
        <is>
          <t>27BBBBB19580Z5</t>
        </is>
      </c>
      <c r="B19580" t="inlineStr">
        <is>
          <t>Dec-2024</t>
        </is>
      </c>
      <c r="C19580" s="2" t="n">
        <v>45138</v>
      </c>
      <c r="D19580" t="inlineStr">
        <is>
          <t>NIL</t>
        </is>
      </c>
      <c r="E19580" t="n">
        <v>2388</v>
      </c>
    </row>
    <row r="19581">
      <c r="A19581" t="inlineStr">
        <is>
          <t>27BBBBB19581Z5</t>
        </is>
      </c>
      <c r="B19581" t="inlineStr">
        <is>
          <t>Jul-2017</t>
        </is>
      </c>
      <c r="C19581" s="2" t="n">
        <v>42963</v>
      </c>
      <c r="D19581" t="inlineStr">
        <is>
          <t>NIL</t>
        </is>
      </c>
      <c r="E19581" t="n">
        <v>838</v>
      </c>
    </row>
    <row r="19582">
      <c r="A19582" t="inlineStr">
        <is>
          <t>27BBBBB19582Z5</t>
        </is>
      </c>
      <c r="B19582" t="inlineStr">
        <is>
          <t>Aug-2018</t>
        </is>
      </c>
      <c r="C19582" s="2" t="n">
        <v>44284</v>
      </c>
      <c r="D19582" t="inlineStr">
        <is>
          <t>NON-NIL</t>
        </is>
      </c>
      <c r="E19582" t="n">
        <v>1039</v>
      </c>
    </row>
    <row r="19583">
      <c r="A19583" t="inlineStr">
        <is>
          <t>27BBBBB19583Z5</t>
        </is>
      </c>
      <c r="B19583" t="inlineStr">
        <is>
          <t>Sep-2018</t>
        </is>
      </c>
      <c r="C19583" s="2" t="n">
        <v>43468</v>
      </c>
      <c r="D19583" t="inlineStr">
        <is>
          <t>NON-NIL</t>
        </is>
      </c>
      <c r="E19583" t="n">
        <v>2081</v>
      </c>
    </row>
    <row r="19584">
      <c r="A19584" t="inlineStr">
        <is>
          <t>27BBBBB19584Z5</t>
        </is>
      </c>
      <c r="B19584" t="inlineStr">
        <is>
          <t>Dec-2017</t>
        </is>
      </c>
      <c r="C19584" s="2" t="n">
        <v>43074</v>
      </c>
      <c r="D19584" t="inlineStr">
        <is>
          <t>NIL</t>
        </is>
      </c>
      <c r="E19584" t="n">
        <v>599</v>
      </c>
    </row>
    <row r="19585">
      <c r="A19585" t="inlineStr">
        <is>
          <t>27BBBBB19585Z5</t>
        </is>
      </c>
      <c r="B19585" t="inlineStr">
        <is>
          <t>Oct-2018</t>
        </is>
      </c>
      <c r="C19585" s="2" t="n">
        <v>44251</v>
      </c>
      <c r="D19585" t="inlineStr">
        <is>
          <t>NON-NIL</t>
        </is>
      </c>
      <c r="E19585" t="n">
        <v>1734</v>
      </c>
    </row>
    <row r="19586">
      <c r="A19586" t="inlineStr">
        <is>
          <t>27BBBBB19586Z5</t>
        </is>
      </c>
      <c r="B19586" t="inlineStr">
        <is>
          <t>Mar-2023</t>
        </is>
      </c>
      <c r="C19586" s="2" t="n">
        <v>44748</v>
      </c>
      <c r="D19586" t="inlineStr">
        <is>
          <t>NIL</t>
        </is>
      </c>
      <c r="E19586" t="n">
        <v>160</v>
      </c>
    </row>
    <row r="19587">
      <c r="A19587" t="inlineStr">
        <is>
          <t>27BBBBB19587Z5</t>
        </is>
      </c>
      <c r="B19587" t="inlineStr">
        <is>
          <t>Oct-2017</t>
        </is>
      </c>
      <c r="C19587" s="2" t="n">
        <v>43909</v>
      </c>
      <c r="D19587" t="inlineStr">
        <is>
          <t>NON-NIL</t>
        </is>
      </c>
      <c r="E19587" t="n">
        <v>171</v>
      </c>
    </row>
    <row r="19588">
      <c r="A19588" t="inlineStr">
        <is>
          <t>27BBBBB19588Z5</t>
        </is>
      </c>
      <c r="B19588" t="inlineStr">
        <is>
          <t>Aug-2017</t>
        </is>
      </c>
      <c r="C19588" s="2" t="n">
        <v>44315</v>
      </c>
      <c r="D19588" t="inlineStr">
        <is>
          <t>NIL</t>
        </is>
      </c>
      <c r="E19588" t="n">
        <v>1091</v>
      </c>
    </row>
    <row r="19589">
      <c r="A19589" t="inlineStr">
        <is>
          <t>27BBBBB19589Z5</t>
        </is>
      </c>
      <c r="B19589" t="inlineStr">
        <is>
          <t>Jun-2018</t>
        </is>
      </c>
      <c r="C19589" s="2" t="n">
        <v>44401</v>
      </c>
      <c r="D19589" t="inlineStr">
        <is>
          <t>NON-NIL</t>
        </is>
      </c>
      <c r="E19589" t="n">
        <v>1125</v>
      </c>
    </row>
    <row r="19590">
      <c r="A19590" t="inlineStr">
        <is>
          <t>27BBBBB19590Z5</t>
        </is>
      </c>
      <c r="B19590" t="inlineStr">
        <is>
          <t>Mar-2023</t>
        </is>
      </c>
      <c r="C19590" s="2" t="n">
        <v>45243</v>
      </c>
      <c r="D19590" t="inlineStr">
        <is>
          <t>NON-NIL</t>
        </is>
      </c>
      <c r="E19590" t="n">
        <v>688</v>
      </c>
    </row>
    <row r="19591">
      <c r="A19591" t="inlineStr">
        <is>
          <t>27BBBBB19591Z5</t>
        </is>
      </c>
      <c r="B19591" t="inlineStr">
        <is>
          <t>Jul-2020</t>
        </is>
      </c>
      <c r="C19591" s="2" t="n">
        <v>44327</v>
      </c>
      <c r="D19591" t="inlineStr">
        <is>
          <t>NIL</t>
        </is>
      </c>
      <c r="E19591" t="n">
        <v>144</v>
      </c>
    </row>
    <row r="19592">
      <c r="A19592" t="inlineStr">
        <is>
          <t>27BBBBB19592Z5</t>
        </is>
      </c>
      <c r="B19592" t="inlineStr">
        <is>
          <t>Dec-2018</t>
        </is>
      </c>
      <c r="C19592" s="2" t="n">
        <v>44502</v>
      </c>
      <c r="D19592" t="inlineStr">
        <is>
          <t>NIL</t>
        </is>
      </c>
      <c r="E19592" t="n">
        <v>727</v>
      </c>
    </row>
    <row r="19593">
      <c r="A19593" t="inlineStr">
        <is>
          <t>27BBBBB19593Z5</t>
        </is>
      </c>
      <c r="B19593" t="inlineStr">
        <is>
          <t>Jun-2020</t>
        </is>
      </c>
      <c r="C19593" s="2" t="n">
        <v>44543</v>
      </c>
      <c r="D19593" t="inlineStr">
        <is>
          <t>NON-NIL</t>
        </is>
      </c>
      <c r="E19593" t="n">
        <v>489</v>
      </c>
    </row>
    <row r="19594">
      <c r="A19594" t="inlineStr">
        <is>
          <t>27BBBBB19594Z5</t>
        </is>
      </c>
      <c r="B19594" t="inlineStr">
        <is>
          <t>Feb-2018</t>
        </is>
      </c>
      <c r="C19594" s="2" t="n">
        <v>43365</v>
      </c>
      <c r="D19594" t="inlineStr">
        <is>
          <t>NIL</t>
        </is>
      </c>
      <c r="E19594" t="n">
        <v>973</v>
      </c>
    </row>
    <row r="19595">
      <c r="A19595" t="inlineStr">
        <is>
          <t>27BBBBB19595Z5</t>
        </is>
      </c>
      <c r="B19595" t="inlineStr">
        <is>
          <t>Jan-2021</t>
        </is>
      </c>
      <c r="C19595" s="2" t="n">
        <v>45037</v>
      </c>
      <c r="D19595" t="inlineStr">
        <is>
          <t>NON-NIL</t>
        </is>
      </c>
      <c r="E19595" t="n">
        <v>1973</v>
      </c>
    </row>
    <row r="19596">
      <c r="A19596" t="inlineStr">
        <is>
          <t>27BBBBB19596Z5</t>
        </is>
      </c>
      <c r="B19596" t="inlineStr">
        <is>
          <t>Aug-2018</t>
        </is>
      </c>
      <c r="C19596" s="2" t="n">
        <v>43076</v>
      </c>
      <c r="D19596" t="inlineStr">
        <is>
          <t>NIL</t>
        </is>
      </c>
      <c r="E19596" t="n">
        <v>1122</v>
      </c>
    </row>
    <row r="19597">
      <c r="A19597" t="inlineStr">
        <is>
          <t>27BBBBB19597Z5</t>
        </is>
      </c>
      <c r="B19597" t="inlineStr">
        <is>
          <t>Dec-2024</t>
        </is>
      </c>
      <c r="C19597" s="2" t="n">
        <v>43590</v>
      </c>
      <c r="D19597" t="inlineStr">
        <is>
          <t>NON-NIL</t>
        </is>
      </c>
      <c r="E19597" t="n">
        <v>2209</v>
      </c>
    </row>
    <row r="19598">
      <c r="A19598" t="inlineStr">
        <is>
          <t>27BBBBB19598Z5</t>
        </is>
      </c>
      <c r="B19598" t="inlineStr">
        <is>
          <t>Oct-2018</t>
        </is>
      </c>
      <c r="C19598" s="2" t="n">
        <v>43129</v>
      </c>
      <c r="D19598" t="inlineStr">
        <is>
          <t>NON-NIL</t>
        </is>
      </c>
      <c r="E19598" t="n">
        <v>2687</v>
      </c>
    </row>
    <row r="19599">
      <c r="A19599" t="inlineStr">
        <is>
          <t>27BBBBB19599Z5</t>
        </is>
      </c>
      <c r="B19599" t="inlineStr">
        <is>
          <t>Oct-2017</t>
        </is>
      </c>
      <c r="C19599" s="2" t="n">
        <v>44460</v>
      </c>
      <c r="D19599" t="inlineStr">
        <is>
          <t>NIL</t>
        </is>
      </c>
      <c r="E19599" t="n">
        <v>2342</v>
      </c>
    </row>
    <row r="19600">
      <c r="A19600" t="inlineStr">
        <is>
          <t>27BBBBB19600Z5</t>
        </is>
      </c>
      <c r="B19600" t="inlineStr">
        <is>
          <t>Jul-2020</t>
        </is>
      </c>
      <c r="C19600" s="2" t="n">
        <v>44110</v>
      </c>
      <c r="D19600" t="inlineStr">
        <is>
          <t>NIL</t>
        </is>
      </c>
      <c r="E19600" t="n">
        <v>1232</v>
      </c>
    </row>
    <row r="19601">
      <c r="A19601" t="inlineStr">
        <is>
          <t>27BBBBB19601Z5</t>
        </is>
      </c>
      <c r="B19601" t="inlineStr">
        <is>
          <t>Sep-2017</t>
        </is>
      </c>
      <c r="C19601" s="2" t="n">
        <v>43969</v>
      </c>
      <c r="D19601" t="inlineStr">
        <is>
          <t>NON-NIL</t>
        </is>
      </c>
      <c r="E19601" t="n">
        <v>2216</v>
      </c>
    </row>
    <row r="19602">
      <c r="A19602" t="inlineStr">
        <is>
          <t>27BBBBB19602Z5</t>
        </is>
      </c>
      <c r="B19602" t="inlineStr">
        <is>
          <t>Aug-2018</t>
        </is>
      </c>
      <c r="C19602" s="2" t="n">
        <v>44442</v>
      </c>
      <c r="D19602" t="inlineStr">
        <is>
          <t>NON-NIL</t>
        </is>
      </c>
      <c r="E19602" t="n">
        <v>1114</v>
      </c>
    </row>
    <row r="19603">
      <c r="A19603" t="inlineStr">
        <is>
          <t>27BBBBB19603Z5</t>
        </is>
      </c>
      <c r="B19603" t="inlineStr">
        <is>
          <t>Dec-2024</t>
        </is>
      </c>
      <c r="C19603" s="2" t="n">
        <v>44222</v>
      </c>
      <c r="D19603" t="inlineStr">
        <is>
          <t>NON-NIL</t>
        </is>
      </c>
      <c r="E19603" t="n">
        <v>1333</v>
      </c>
    </row>
    <row r="19604">
      <c r="A19604" t="inlineStr">
        <is>
          <t>27BBBBB19604Z5</t>
        </is>
      </c>
      <c r="B19604" t="inlineStr">
        <is>
          <t>Mar-2020</t>
        </is>
      </c>
      <c r="C19604" s="2" t="n">
        <v>43953</v>
      </c>
      <c r="D19604" t="inlineStr">
        <is>
          <t>NON-NIL</t>
        </is>
      </c>
      <c r="E19604" t="n">
        <v>1623</v>
      </c>
    </row>
    <row r="19605">
      <c r="A19605" t="inlineStr">
        <is>
          <t>27BBBBB19605Z5</t>
        </is>
      </c>
      <c r="B19605" t="inlineStr">
        <is>
          <t>Dec-2022</t>
        </is>
      </c>
      <c r="C19605" s="2" t="n">
        <v>44665</v>
      </c>
      <c r="D19605" t="inlineStr">
        <is>
          <t>NIL</t>
        </is>
      </c>
      <c r="E19605" t="n">
        <v>1772</v>
      </c>
    </row>
    <row r="19606">
      <c r="A19606" t="inlineStr">
        <is>
          <t>27BBBBB19606Z5</t>
        </is>
      </c>
      <c r="B19606" t="inlineStr">
        <is>
          <t>Mar-2021</t>
        </is>
      </c>
      <c r="C19606" s="2" t="n">
        <v>44757</v>
      </c>
      <c r="D19606" t="inlineStr">
        <is>
          <t>NIL</t>
        </is>
      </c>
      <c r="E19606" t="n">
        <v>1479</v>
      </c>
    </row>
    <row r="19607">
      <c r="A19607" t="inlineStr">
        <is>
          <t>27BBBBB19607Z5</t>
        </is>
      </c>
      <c r="B19607" t="inlineStr">
        <is>
          <t>Dec-2024</t>
        </is>
      </c>
      <c r="C19607" s="2" t="n">
        <v>45263</v>
      </c>
      <c r="D19607" t="inlineStr">
        <is>
          <t>NIL</t>
        </is>
      </c>
      <c r="E19607" t="n">
        <v>2656</v>
      </c>
    </row>
    <row r="19608">
      <c r="A19608" t="inlineStr">
        <is>
          <t>27BBBBB19608Z5</t>
        </is>
      </c>
      <c r="B19608" t="inlineStr">
        <is>
          <t>Apr-2018</t>
        </is>
      </c>
      <c r="C19608" s="2" t="n">
        <v>43373</v>
      </c>
      <c r="D19608" t="inlineStr">
        <is>
          <t>NON-NIL</t>
        </is>
      </c>
      <c r="E19608" t="n">
        <v>1067</v>
      </c>
    </row>
    <row r="19609">
      <c r="A19609" t="inlineStr">
        <is>
          <t>27BBBBB19609Z5</t>
        </is>
      </c>
      <c r="B19609" t="inlineStr">
        <is>
          <t>Nov-2018</t>
        </is>
      </c>
      <c r="C19609" s="2" t="n">
        <v>44455</v>
      </c>
      <c r="D19609" t="inlineStr">
        <is>
          <t>NIL</t>
        </is>
      </c>
      <c r="E19609" t="n">
        <v>723</v>
      </c>
    </row>
    <row r="19610">
      <c r="A19610" t="inlineStr">
        <is>
          <t>27BBBBB19610Z5</t>
        </is>
      </c>
      <c r="B19610" t="inlineStr">
        <is>
          <t>Nov-2017</t>
        </is>
      </c>
      <c r="C19610" s="2" t="n">
        <v>44210</v>
      </c>
      <c r="D19610" t="inlineStr">
        <is>
          <t>NON-NIL</t>
        </is>
      </c>
      <c r="E19610" t="n">
        <v>1123</v>
      </c>
    </row>
    <row r="19611">
      <c r="A19611" t="inlineStr">
        <is>
          <t>27BBBBB19611Z5</t>
        </is>
      </c>
      <c r="B19611" t="inlineStr">
        <is>
          <t>Dec-2022</t>
        </is>
      </c>
      <c r="C19611" s="2" t="n">
        <v>44862</v>
      </c>
      <c r="D19611" t="inlineStr">
        <is>
          <t>NIL</t>
        </is>
      </c>
      <c r="E19611" t="n">
        <v>2090</v>
      </c>
    </row>
    <row r="19612">
      <c r="A19612" t="inlineStr">
        <is>
          <t>27BBBBB19612Z5</t>
        </is>
      </c>
      <c r="B19612" t="inlineStr">
        <is>
          <t>May-2020</t>
        </is>
      </c>
      <c r="C19612" s="2" t="n">
        <v>43833</v>
      </c>
      <c r="D19612" t="inlineStr">
        <is>
          <t>NIL</t>
        </is>
      </c>
      <c r="E19612" t="n">
        <v>1558</v>
      </c>
    </row>
    <row r="19613">
      <c r="A19613" t="inlineStr">
        <is>
          <t>27BBBBB19613Z5</t>
        </is>
      </c>
      <c r="B19613" t="inlineStr">
        <is>
          <t>Apr-2020</t>
        </is>
      </c>
      <c r="C19613" s="2" t="n">
        <v>44452</v>
      </c>
      <c r="D19613" t="inlineStr">
        <is>
          <t>NON-NIL</t>
        </is>
      </c>
      <c r="E19613" t="n">
        <v>1555</v>
      </c>
    </row>
    <row r="19614">
      <c r="A19614" t="inlineStr">
        <is>
          <t>27BBBBB19614Z5</t>
        </is>
      </c>
      <c r="B19614" t="inlineStr">
        <is>
          <t>Jul-2018</t>
        </is>
      </c>
      <c r="C19614" s="2" t="n">
        <v>43912</v>
      </c>
      <c r="D19614" t="inlineStr">
        <is>
          <t>NIL</t>
        </is>
      </c>
      <c r="E19614" t="n">
        <v>1231</v>
      </c>
    </row>
    <row r="19615">
      <c r="A19615" t="inlineStr">
        <is>
          <t>27BBBBB19615Z5</t>
        </is>
      </c>
      <c r="B19615" t="inlineStr">
        <is>
          <t>Jul-2017</t>
        </is>
      </c>
      <c r="C19615" s="2" t="n">
        <v>43614</v>
      </c>
      <c r="D19615" t="inlineStr">
        <is>
          <t>NON-NIL</t>
        </is>
      </c>
      <c r="E19615" t="n">
        <v>352</v>
      </c>
    </row>
    <row r="19616">
      <c r="A19616" t="inlineStr">
        <is>
          <t>27BBBBB19616Z5</t>
        </is>
      </c>
      <c r="B19616" t="inlineStr">
        <is>
          <t>Mar-2021</t>
        </is>
      </c>
      <c r="C19616" s="2" t="n">
        <v>45745</v>
      </c>
      <c r="D19616" t="inlineStr">
        <is>
          <t>NON-NIL</t>
        </is>
      </c>
      <c r="E19616" t="n">
        <v>1661</v>
      </c>
    </row>
    <row r="19617">
      <c r="A19617" t="inlineStr">
        <is>
          <t>27BBBBB19617Z5</t>
        </is>
      </c>
      <c r="B19617" t="inlineStr">
        <is>
          <t>Nov-2018</t>
        </is>
      </c>
      <c r="C19617" s="2" t="n">
        <v>44141</v>
      </c>
      <c r="D19617" t="inlineStr">
        <is>
          <t>NIL</t>
        </is>
      </c>
      <c r="E19617" t="n">
        <v>2584</v>
      </c>
    </row>
    <row r="19618">
      <c r="A19618" t="inlineStr">
        <is>
          <t>27BBBBB19618Z5</t>
        </is>
      </c>
      <c r="B19618" t="inlineStr">
        <is>
          <t>Aug-2018</t>
        </is>
      </c>
      <c r="C19618" s="2" t="n">
        <v>43621</v>
      </c>
      <c r="D19618" t="inlineStr">
        <is>
          <t>NON-NIL</t>
        </is>
      </c>
      <c r="E19618" t="n">
        <v>372</v>
      </c>
    </row>
    <row r="19619">
      <c r="A19619" t="inlineStr">
        <is>
          <t>27BBBBB19619Z5</t>
        </is>
      </c>
      <c r="B19619" t="inlineStr">
        <is>
          <t>Oct-2018</t>
        </is>
      </c>
      <c r="C19619" s="2" t="n">
        <v>44435</v>
      </c>
      <c r="D19619" t="inlineStr">
        <is>
          <t>NIL</t>
        </is>
      </c>
      <c r="E19619" t="n">
        <v>1320</v>
      </c>
    </row>
    <row r="19620">
      <c r="A19620" t="inlineStr">
        <is>
          <t>27BBBBB19620Z5</t>
        </is>
      </c>
      <c r="B19620" t="inlineStr">
        <is>
          <t>Nov-2017</t>
        </is>
      </c>
      <c r="C19620" s="2" t="n">
        <v>44314</v>
      </c>
      <c r="D19620" t="inlineStr">
        <is>
          <t>NIL</t>
        </is>
      </c>
      <c r="E19620" t="n">
        <v>755</v>
      </c>
    </row>
    <row r="19621">
      <c r="A19621" t="inlineStr">
        <is>
          <t>27BBBBB19621Z5</t>
        </is>
      </c>
      <c r="B19621" t="inlineStr">
        <is>
          <t>Jan-2018</t>
        </is>
      </c>
      <c r="C19621" s="2" t="n">
        <v>43706</v>
      </c>
      <c r="D19621" t="inlineStr">
        <is>
          <t>NON-NIL</t>
        </is>
      </c>
      <c r="E19621" t="n">
        <v>417</v>
      </c>
    </row>
    <row r="19622">
      <c r="A19622" t="inlineStr">
        <is>
          <t>27BBBBB19622Z5</t>
        </is>
      </c>
      <c r="B19622" t="inlineStr">
        <is>
          <t>Mar-2020</t>
        </is>
      </c>
      <c r="C19622" s="2" t="n">
        <v>44036</v>
      </c>
      <c r="D19622" t="inlineStr">
        <is>
          <t>NIL</t>
        </is>
      </c>
      <c r="E19622" t="n">
        <v>591</v>
      </c>
    </row>
    <row r="19623">
      <c r="A19623" t="inlineStr">
        <is>
          <t>27BBBBB19623Z5</t>
        </is>
      </c>
      <c r="B19623" t="inlineStr">
        <is>
          <t>Dec-2024</t>
        </is>
      </c>
      <c r="C19623" s="2" t="n">
        <v>45532</v>
      </c>
      <c r="D19623" t="inlineStr">
        <is>
          <t>NON-NIL</t>
        </is>
      </c>
      <c r="E19623" t="n">
        <v>1677</v>
      </c>
    </row>
    <row r="19624">
      <c r="A19624" t="inlineStr">
        <is>
          <t>27BBBBB19624Z5</t>
        </is>
      </c>
      <c r="B19624" t="inlineStr">
        <is>
          <t>Apr-2020</t>
        </is>
      </c>
      <c r="C19624" s="2" t="n">
        <v>44915</v>
      </c>
      <c r="D19624" t="inlineStr">
        <is>
          <t>NIL</t>
        </is>
      </c>
      <c r="E19624" t="n">
        <v>1731</v>
      </c>
    </row>
    <row r="19625">
      <c r="A19625" t="inlineStr">
        <is>
          <t>27BBBBB19625Z5</t>
        </is>
      </c>
      <c r="B19625" t="inlineStr">
        <is>
          <t>Mar-2018</t>
        </is>
      </c>
      <c r="C19625" s="2" t="n">
        <v>43313</v>
      </c>
      <c r="D19625" t="inlineStr">
        <is>
          <t>NIL</t>
        </is>
      </c>
      <c r="E19625" t="n">
        <v>2616</v>
      </c>
    </row>
    <row r="19626">
      <c r="A19626" t="inlineStr">
        <is>
          <t>27BBBBB19626Z5</t>
        </is>
      </c>
      <c r="B19626" t="inlineStr">
        <is>
          <t>Dec-2017</t>
        </is>
      </c>
      <c r="C19626" s="2" t="n">
        <v>43346</v>
      </c>
      <c r="D19626" t="inlineStr">
        <is>
          <t>NON-NIL</t>
        </is>
      </c>
      <c r="E19626" t="n">
        <v>525</v>
      </c>
    </row>
    <row r="19627">
      <c r="A19627" t="inlineStr">
        <is>
          <t>27BBBBB19627Z5</t>
        </is>
      </c>
      <c r="B19627" t="inlineStr">
        <is>
          <t>Sep-2017</t>
        </is>
      </c>
      <c r="C19627" s="2" t="n">
        <v>43882</v>
      </c>
      <c r="D19627" t="inlineStr">
        <is>
          <t>NIL</t>
        </is>
      </c>
      <c r="E19627" t="n">
        <v>707</v>
      </c>
    </row>
    <row r="19628">
      <c r="A19628" t="inlineStr">
        <is>
          <t>27BBBBB19628Z5</t>
        </is>
      </c>
      <c r="B19628" t="inlineStr">
        <is>
          <t>Sep-2018</t>
        </is>
      </c>
      <c r="C19628" s="2" t="n">
        <v>43408</v>
      </c>
      <c r="D19628" t="inlineStr">
        <is>
          <t>NIL</t>
        </is>
      </c>
      <c r="E19628" t="n">
        <v>1593</v>
      </c>
    </row>
    <row r="19629">
      <c r="A19629" t="inlineStr">
        <is>
          <t>27BBBBB19629Z5</t>
        </is>
      </c>
      <c r="B19629" t="inlineStr">
        <is>
          <t>Mar-2018</t>
        </is>
      </c>
      <c r="C19629" s="2" t="n">
        <v>43868</v>
      </c>
      <c r="D19629" t="inlineStr">
        <is>
          <t>NIL</t>
        </is>
      </c>
      <c r="E19629" t="n">
        <v>614</v>
      </c>
    </row>
    <row r="19630">
      <c r="A19630" t="inlineStr">
        <is>
          <t>27BBBBB19630Z5</t>
        </is>
      </c>
      <c r="B19630" t="inlineStr">
        <is>
          <t>Feb-2018</t>
        </is>
      </c>
      <c r="C19630" s="2" t="n">
        <v>43595</v>
      </c>
      <c r="D19630" t="inlineStr">
        <is>
          <t>NIL</t>
        </is>
      </c>
      <c r="E19630" t="n">
        <v>917</v>
      </c>
    </row>
    <row r="19631">
      <c r="A19631" t="inlineStr">
        <is>
          <t>27BBBBB19631Z5</t>
        </is>
      </c>
      <c r="B19631" t="inlineStr">
        <is>
          <t>Jan-2021</t>
        </is>
      </c>
      <c r="C19631" s="2" t="n">
        <v>44116</v>
      </c>
      <c r="D19631" t="inlineStr">
        <is>
          <t>NIL</t>
        </is>
      </c>
      <c r="E19631" t="n">
        <v>2145</v>
      </c>
    </row>
    <row r="19632">
      <c r="A19632" t="inlineStr">
        <is>
          <t>27BBBBB19632Z5</t>
        </is>
      </c>
      <c r="B19632" t="inlineStr">
        <is>
          <t>Jun-2020</t>
        </is>
      </c>
      <c r="C19632" s="2" t="n">
        <v>44923</v>
      </c>
      <c r="D19632" t="inlineStr">
        <is>
          <t>NIL</t>
        </is>
      </c>
      <c r="E19632" t="n">
        <v>1179</v>
      </c>
    </row>
    <row r="19633">
      <c r="A19633" t="inlineStr">
        <is>
          <t>27BBBBB19633Z5</t>
        </is>
      </c>
      <c r="B19633" t="inlineStr">
        <is>
          <t>Mar-2020</t>
        </is>
      </c>
      <c r="C19633" s="2" t="n">
        <v>44488</v>
      </c>
      <c r="D19633" t="inlineStr">
        <is>
          <t>NIL</t>
        </is>
      </c>
      <c r="E19633" t="n">
        <v>2232</v>
      </c>
    </row>
    <row r="19634">
      <c r="A19634" t="inlineStr">
        <is>
          <t>27BBBBB19634Z5</t>
        </is>
      </c>
      <c r="B19634" t="inlineStr">
        <is>
          <t>Oct-2018</t>
        </is>
      </c>
      <c r="C19634" s="2" t="n">
        <v>43744</v>
      </c>
      <c r="D19634" t="inlineStr">
        <is>
          <t>NIL</t>
        </is>
      </c>
      <c r="E19634" t="n">
        <v>974</v>
      </c>
    </row>
    <row r="19635">
      <c r="A19635" t="inlineStr">
        <is>
          <t>27BBBBB19635Z5</t>
        </is>
      </c>
      <c r="B19635" t="inlineStr">
        <is>
          <t>Nov-2017</t>
        </is>
      </c>
      <c r="C19635" s="2" t="n">
        <v>44192</v>
      </c>
      <c r="D19635" t="inlineStr">
        <is>
          <t>NIL</t>
        </is>
      </c>
      <c r="E19635" t="n">
        <v>1048</v>
      </c>
    </row>
    <row r="19636">
      <c r="A19636" t="inlineStr">
        <is>
          <t>27BBBBB19636Z5</t>
        </is>
      </c>
      <c r="B19636" t="inlineStr">
        <is>
          <t>Nov-2018</t>
        </is>
      </c>
      <c r="C19636" s="2" t="n">
        <v>44138</v>
      </c>
      <c r="D19636" t="inlineStr">
        <is>
          <t>NIL</t>
        </is>
      </c>
      <c r="E19636" t="n">
        <v>603</v>
      </c>
    </row>
    <row r="19637">
      <c r="A19637" t="inlineStr">
        <is>
          <t>27BBBBB19637Z5</t>
        </is>
      </c>
      <c r="B19637" t="inlineStr">
        <is>
          <t>Mar-2021</t>
        </is>
      </c>
      <c r="C19637" s="2" t="n">
        <v>44606</v>
      </c>
      <c r="D19637" t="inlineStr">
        <is>
          <t>NIL</t>
        </is>
      </c>
      <c r="E19637" t="n">
        <v>2771</v>
      </c>
    </row>
    <row r="19638">
      <c r="A19638" t="inlineStr">
        <is>
          <t>27BBBBB19638Z5</t>
        </is>
      </c>
      <c r="B19638" t="inlineStr">
        <is>
          <t>Jan-2018</t>
        </is>
      </c>
      <c r="C19638" s="2" t="n">
        <v>44434</v>
      </c>
      <c r="D19638" t="inlineStr">
        <is>
          <t>NON-NIL</t>
        </is>
      </c>
      <c r="E19638" t="n">
        <v>756</v>
      </c>
    </row>
    <row r="19639">
      <c r="A19639" t="inlineStr">
        <is>
          <t>27BBBBB19639Z5</t>
        </is>
      </c>
      <c r="B19639" t="inlineStr">
        <is>
          <t>Nov-2018</t>
        </is>
      </c>
      <c r="C19639" s="2" t="n">
        <v>44114</v>
      </c>
      <c r="D19639" t="inlineStr">
        <is>
          <t>NON-NIL</t>
        </is>
      </c>
      <c r="E19639" t="n">
        <v>1579</v>
      </c>
    </row>
    <row r="19640">
      <c r="A19640" t="inlineStr">
        <is>
          <t>27BBBBB19640Z5</t>
        </is>
      </c>
      <c r="B19640" t="inlineStr">
        <is>
          <t>Mar-2020</t>
        </is>
      </c>
      <c r="C19640" s="2" t="n">
        <v>44480</v>
      </c>
      <c r="D19640" t="inlineStr">
        <is>
          <t>NON-NIL</t>
        </is>
      </c>
      <c r="E19640" t="n">
        <v>2152</v>
      </c>
    </row>
    <row r="19641">
      <c r="A19641" t="inlineStr">
        <is>
          <t>27BBBBB19641Z5</t>
        </is>
      </c>
      <c r="B19641" t="inlineStr">
        <is>
          <t>Jul-2020</t>
        </is>
      </c>
      <c r="C19641" s="2" t="n">
        <v>44048</v>
      </c>
      <c r="D19641" t="inlineStr">
        <is>
          <t>NIL</t>
        </is>
      </c>
      <c r="E19641" t="n">
        <v>607</v>
      </c>
    </row>
    <row r="19642">
      <c r="A19642" t="inlineStr">
        <is>
          <t>27BBBBB19642Z5</t>
        </is>
      </c>
      <c r="B19642" t="inlineStr">
        <is>
          <t>Mar-2018</t>
        </is>
      </c>
      <c r="C19642" s="2" t="n">
        <v>43381</v>
      </c>
      <c r="D19642" t="inlineStr">
        <is>
          <t>NIL</t>
        </is>
      </c>
      <c r="E19642" t="n">
        <v>2838</v>
      </c>
    </row>
    <row r="19643">
      <c r="A19643" t="inlineStr">
        <is>
          <t>27BBBBB19643Z5</t>
        </is>
      </c>
      <c r="B19643" t="inlineStr">
        <is>
          <t>Jul-2018</t>
        </is>
      </c>
      <c r="C19643" s="2" t="n">
        <v>43606</v>
      </c>
      <c r="D19643" t="inlineStr">
        <is>
          <t>NON-NIL</t>
        </is>
      </c>
      <c r="E19643" t="n">
        <v>305</v>
      </c>
    </row>
    <row r="19644">
      <c r="A19644" t="inlineStr">
        <is>
          <t>27BBBBB19644Z5</t>
        </is>
      </c>
      <c r="B19644" t="inlineStr">
        <is>
          <t>Jul-2018</t>
        </is>
      </c>
      <c r="C19644" s="2" t="n">
        <v>44349</v>
      </c>
      <c r="D19644" t="inlineStr">
        <is>
          <t>NON-NIL</t>
        </is>
      </c>
      <c r="E19644" t="n">
        <v>870</v>
      </c>
    </row>
    <row r="19645">
      <c r="A19645" t="inlineStr">
        <is>
          <t>27BBBBB19645Z5</t>
        </is>
      </c>
      <c r="B19645" t="inlineStr">
        <is>
          <t>Aug-2017</t>
        </is>
      </c>
      <c r="C19645" s="2" t="n">
        <v>44223</v>
      </c>
      <c r="D19645" t="inlineStr">
        <is>
          <t>NIL</t>
        </is>
      </c>
      <c r="E19645" t="n">
        <v>696</v>
      </c>
    </row>
    <row r="19646">
      <c r="A19646" t="inlineStr">
        <is>
          <t>27BBBBB19646Z5</t>
        </is>
      </c>
      <c r="B19646" t="inlineStr">
        <is>
          <t>Oct-2018</t>
        </is>
      </c>
      <c r="C19646" s="2" t="n">
        <v>43385</v>
      </c>
      <c r="D19646" t="inlineStr">
        <is>
          <t>NIL</t>
        </is>
      </c>
      <c r="E19646" t="n">
        <v>350</v>
      </c>
    </row>
    <row r="19647">
      <c r="A19647" t="inlineStr">
        <is>
          <t>27BBBBB19647Z5</t>
        </is>
      </c>
      <c r="B19647" t="inlineStr">
        <is>
          <t>Sep-2018</t>
        </is>
      </c>
      <c r="C19647" s="2" t="n">
        <v>44006</v>
      </c>
      <c r="D19647" t="inlineStr">
        <is>
          <t>NON-NIL</t>
        </is>
      </c>
      <c r="E19647" t="n">
        <v>2696</v>
      </c>
    </row>
    <row r="19648">
      <c r="A19648" t="inlineStr">
        <is>
          <t>27BBBBB19648Z5</t>
        </is>
      </c>
      <c r="B19648" t="inlineStr">
        <is>
          <t>Sep-2017</t>
        </is>
      </c>
      <c r="C19648" s="2" t="n">
        <v>44461</v>
      </c>
      <c r="D19648" t="inlineStr">
        <is>
          <t>NIL</t>
        </is>
      </c>
      <c r="E19648" t="n">
        <v>1621</v>
      </c>
    </row>
    <row r="19649">
      <c r="A19649" t="inlineStr">
        <is>
          <t>27BBBBB19649Z5</t>
        </is>
      </c>
      <c r="B19649" t="inlineStr">
        <is>
          <t>Jul-2017</t>
        </is>
      </c>
      <c r="C19649" s="2" t="n">
        <v>43527</v>
      </c>
      <c r="D19649" t="inlineStr">
        <is>
          <t>NON-NIL</t>
        </is>
      </c>
      <c r="E19649" t="n">
        <v>2329</v>
      </c>
    </row>
    <row r="19650">
      <c r="A19650" t="inlineStr">
        <is>
          <t>27BBBBB19650Z5</t>
        </is>
      </c>
      <c r="B19650" t="inlineStr">
        <is>
          <t>Jul-2020</t>
        </is>
      </c>
      <c r="C19650" s="2" t="n">
        <v>44044</v>
      </c>
      <c r="D19650" t="inlineStr">
        <is>
          <t>NIL</t>
        </is>
      </c>
      <c r="E19650" t="n">
        <v>391</v>
      </c>
    </row>
    <row r="19651">
      <c r="A19651" t="inlineStr">
        <is>
          <t>27BBBBB19651Z5</t>
        </is>
      </c>
      <c r="B19651" t="inlineStr">
        <is>
          <t>Feb-2018</t>
        </is>
      </c>
      <c r="C19651" s="2" t="n">
        <v>43010</v>
      </c>
      <c r="D19651" t="inlineStr">
        <is>
          <t>NIL</t>
        </is>
      </c>
      <c r="E19651" t="n">
        <v>2119</v>
      </c>
    </row>
    <row r="19652">
      <c r="A19652" t="inlineStr">
        <is>
          <t>27BBBBB19652Z5</t>
        </is>
      </c>
      <c r="B19652" t="inlineStr">
        <is>
          <t>Dec-2018</t>
        </is>
      </c>
      <c r="C19652" s="2" t="n">
        <v>44141</v>
      </c>
      <c r="D19652" t="inlineStr">
        <is>
          <t>NON-NIL</t>
        </is>
      </c>
      <c r="E19652" t="n">
        <v>1351</v>
      </c>
    </row>
    <row r="19653">
      <c r="A19653" t="inlineStr">
        <is>
          <t>27BBBBB19653Z5</t>
        </is>
      </c>
      <c r="B19653" t="inlineStr">
        <is>
          <t>Jun-2018</t>
        </is>
      </c>
      <c r="C19653" s="2" t="n">
        <v>44146</v>
      </c>
      <c r="D19653" t="inlineStr">
        <is>
          <t>NON-NIL</t>
        </is>
      </c>
      <c r="E19653" t="n">
        <v>1691</v>
      </c>
    </row>
    <row r="19654">
      <c r="A19654" t="inlineStr">
        <is>
          <t>27BBBBB19654Z5</t>
        </is>
      </c>
      <c r="B19654" t="inlineStr">
        <is>
          <t>Mar-2021</t>
        </is>
      </c>
      <c r="C19654" s="2" t="n">
        <v>45285</v>
      </c>
      <c r="D19654" t="inlineStr">
        <is>
          <t>NIL</t>
        </is>
      </c>
      <c r="E19654" t="n">
        <v>164</v>
      </c>
    </row>
    <row r="19655">
      <c r="A19655" t="inlineStr">
        <is>
          <t>27BBBBB19655Z5</t>
        </is>
      </c>
      <c r="B19655" t="inlineStr">
        <is>
          <t>Jul-2018</t>
        </is>
      </c>
      <c r="C19655" s="2" t="n">
        <v>43279</v>
      </c>
      <c r="D19655" t="inlineStr">
        <is>
          <t>NIL</t>
        </is>
      </c>
      <c r="E19655" t="n">
        <v>1007</v>
      </c>
    </row>
    <row r="19656">
      <c r="A19656" t="inlineStr">
        <is>
          <t>27BBBBB19656Z5</t>
        </is>
      </c>
      <c r="B19656" t="inlineStr">
        <is>
          <t>Dec-2024</t>
        </is>
      </c>
      <c r="C19656" s="2" t="n">
        <v>45164</v>
      </c>
      <c r="D19656" t="inlineStr">
        <is>
          <t>NON-NIL</t>
        </is>
      </c>
      <c r="E19656" t="n">
        <v>1636</v>
      </c>
    </row>
    <row r="19657">
      <c r="A19657" t="inlineStr">
        <is>
          <t>27BBBBB19657Z5</t>
        </is>
      </c>
      <c r="B19657" t="inlineStr">
        <is>
          <t>Mar-2023</t>
        </is>
      </c>
      <c r="C19657" s="2" t="n">
        <v>43600</v>
      </c>
      <c r="D19657" t="inlineStr">
        <is>
          <t>NIL</t>
        </is>
      </c>
      <c r="E19657" t="n">
        <v>2352</v>
      </c>
    </row>
    <row r="19658">
      <c r="A19658" t="inlineStr">
        <is>
          <t>27BBBBB19658Z5</t>
        </is>
      </c>
      <c r="B19658" t="inlineStr">
        <is>
          <t>Jul-2020</t>
        </is>
      </c>
      <c r="C19658" s="2" t="n">
        <v>44779</v>
      </c>
      <c r="D19658" t="inlineStr">
        <is>
          <t>NON-NIL</t>
        </is>
      </c>
      <c r="E19658" t="n">
        <v>1881</v>
      </c>
    </row>
    <row r="19659">
      <c r="A19659" t="inlineStr">
        <is>
          <t>27BBBBB19659Z5</t>
        </is>
      </c>
      <c r="B19659" t="inlineStr">
        <is>
          <t>Feb-2018</t>
        </is>
      </c>
      <c r="C19659" s="2" t="n">
        <v>44324</v>
      </c>
      <c r="D19659" t="inlineStr">
        <is>
          <t>NON-NIL</t>
        </is>
      </c>
      <c r="E19659" t="n">
        <v>1664</v>
      </c>
    </row>
    <row r="19660">
      <c r="A19660" t="inlineStr">
        <is>
          <t>27BBBBB19660Z5</t>
        </is>
      </c>
      <c r="B19660" t="inlineStr">
        <is>
          <t>Mar-2021</t>
        </is>
      </c>
      <c r="C19660" s="2" t="n">
        <v>44571</v>
      </c>
      <c r="D19660" t="inlineStr">
        <is>
          <t>NON-NIL</t>
        </is>
      </c>
      <c r="E19660" t="n">
        <v>2291</v>
      </c>
    </row>
    <row r="19661">
      <c r="A19661" t="inlineStr">
        <is>
          <t>27BBBBB19661Z5</t>
        </is>
      </c>
      <c r="B19661" t="inlineStr">
        <is>
          <t>Mar-2018</t>
        </is>
      </c>
      <c r="C19661" s="2" t="n">
        <v>44233</v>
      </c>
      <c r="D19661" t="inlineStr">
        <is>
          <t>NON-NIL</t>
        </is>
      </c>
      <c r="E19661" t="n">
        <v>2832</v>
      </c>
    </row>
    <row r="19662">
      <c r="A19662" t="inlineStr">
        <is>
          <t>27BBBBB19662Z5</t>
        </is>
      </c>
      <c r="B19662" t="inlineStr">
        <is>
          <t>May-2020</t>
        </is>
      </c>
      <c r="C19662" s="2" t="n">
        <v>44589</v>
      </c>
      <c r="D19662" t="inlineStr">
        <is>
          <t>NON-NIL</t>
        </is>
      </c>
      <c r="E19662" t="n">
        <v>230</v>
      </c>
    </row>
    <row r="19663">
      <c r="A19663" t="inlineStr">
        <is>
          <t>27BBBBB19663Z5</t>
        </is>
      </c>
      <c r="B19663" t="inlineStr">
        <is>
          <t>Feb-2018</t>
        </is>
      </c>
      <c r="C19663" s="2" t="n">
        <v>44089</v>
      </c>
      <c r="D19663" t="inlineStr">
        <is>
          <t>NON-NIL</t>
        </is>
      </c>
      <c r="E19663" t="n">
        <v>2529</v>
      </c>
    </row>
    <row r="19664">
      <c r="A19664" t="inlineStr">
        <is>
          <t>27BBBBB19664Z5</t>
        </is>
      </c>
      <c r="B19664" t="inlineStr">
        <is>
          <t>Aug-2017</t>
        </is>
      </c>
      <c r="C19664" s="2" t="n">
        <v>43809</v>
      </c>
      <c r="D19664" t="inlineStr">
        <is>
          <t>NON-NIL</t>
        </is>
      </c>
      <c r="E19664" t="n">
        <v>2783</v>
      </c>
    </row>
    <row r="19665">
      <c r="A19665" t="inlineStr">
        <is>
          <t>27BBBBB19665Z5</t>
        </is>
      </c>
      <c r="B19665" t="inlineStr">
        <is>
          <t>Jun-2018</t>
        </is>
      </c>
      <c r="C19665" s="2" t="n">
        <v>44253</v>
      </c>
      <c r="D19665" t="inlineStr">
        <is>
          <t>NON-NIL</t>
        </is>
      </c>
      <c r="E19665" t="n">
        <v>1656</v>
      </c>
    </row>
    <row r="19666">
      <c r="A19666" t="inlineStr">
        <is>
          <t>27BBBBB19666Z5</t>
        </is>
      </c>
      <c r="B19666" t="inlineStr">
        <is>
          <t>Jul-2018</t>
        </is>
      </c>
      <c r="C19666" s="2" t="n">
        <v>42937</v>
      </c>
      <c r="D19666" t="inlineStr">
        <is>
          <t>NON-NIL</t>
        </is>
      </c>
      <c r="E19666" t="n">
        <v>1042</v>
      </c>
    </row>
    <row r="19667">
      <c r="A19667" t="inlineStr">
        <is>
          <t>27BBBBB19667Z5</t>
        </is>
      </c>
      <c r="B19667" t="inlineStr">
        <is>
          <t>Nov-2018</t>
        </is>
      </c>
      <c r="C19667" s="2" t="n">
        <v>43434</v>
      </c>
      <c r="D19667" t="inlineStr">
        <is>
          <t>NON-NIL</t>
        </is>
      </c>
      <c r="E19667" t="n">
        <v>1143</v>
      </c>
    </row>
    <row r="19668">
      <c r="A19668" t="inlineStr">
        <is>
          <t>27BBBBB19668Z5</t>
        </is>
      </c>
      <c r="B19668" t="inlineStr">
        <is>
          <t>Mar-2021</t>
        </is>
      </c>
      <c r="C19668" s="2" t="n">
        <v>44761</v>
      </c>
      <c r="D19668" t="inlineStr">
        <is>
          <t>NIL</t>
        </is>
      </c>
      <c r="E19668" t="n">
        <v>1535</v>
      </c>
    </row>
    <row r="19669">
      <c r="A19669" t="inlineStr">
        <is>
          <t>27BBBBB19669Z5</t>
        </is>
      </c>
      <c r="B19669" t="inlineStr">
        <is>
          <t>Aug-2018</t>
        </is>
      </c>
      <c r="C19669" s="2" t="n">
        <v>43765</v>
      </c>
      <c r="D19669" t="inlineStr">
        <is>
          <t>NIL</t>
        </is>
      </c>
      <c r="E19669" t="n">
        <v>2934</v>
      </c>
    </row>
    <row r="19670">
      <c r="A19670" t="inlineStr">
        <is>
          <t>27BBBBB19670Z5</t>
        </is>
      </c>
      <c r="B19670" t="inlineStr">
        <is>
          <t>Jul-2020</t>
        </is>
      </c>
      <c r="C19670" s="2" t="n">
        <v>43950</v>
      </c>
      <c r="D19670" t="inlineStr">
        <is>
          <t>NON-NIL</t>
        </is>
      </c>
      <c r="E19670" t="n">
        <v>2866</v>
      </c>
    </row>
    <row r="19671">
      <c r="A19671" t="inlineStr">
        <is>
          <t>27BBBBB19671Z5</t>
        </is>
      </c>
      <c r="B19671" t="inlineStr">
        <is>
          <t>Mar-2023</t>
        </is>
      </c>
      <c r="C19671" s="2" t="n">
        <v>45512</v>
      </c>
      <c r="D19671" t="inlineStr">
        <is>
          <t>NON-NIL</t>
        </is>
      </c>
      <c r="E19671" t="n">
        <v>2582</v>
      </c>
    </row>
    <row r="19672">
      <c r="A19672" t="inlineStr">
        <is>
          <t>27BBBBB19672Z5</t>
        </is>
      </c>
      <c r="B19672" t="inlineStr">
        <is>
          <t>Jan-2018</t>
        </is>
      </c>
      <c r="C19672" s="2" t="n">
        <v>43859</v>
      </c>
      <c r="D19672" t="inlineStr">
        <is>
          <t>NIL</t>
        </is>
      </c>
      <c r="E19672" t="n">
        <v>2184</v>
      </c>
    </row>
    <row r="19673">
      <c r="A19673" t="inlineStr">
        <is>
          <t>27BBBBB19673Z5</t>
        </is>
      </c>
      <c r="B19673" t="inlineStr">
        <is>
          <t>Mar-2020</t>
        </is>
      </c>
      <c r="C19673" s="2" t="n">
        <v>44229</v>
      </c>
      <c r="D19673" t="inlineStr">
        <is>
          <t>NON-NIL</t>
        </is>
      </c>
      <c r="E19673" t="n">
        <v>2793</v>
      </c>
    </row>
    <row r="19674">
      <c r="A19674" t="inlineStr">
        <is>
          <t>27BBBBB19674Z5</t>
        </is>
      </c>
      <c r="B19674" t="inlineStr">
        <is>
          <t>Dec-2022</t>
        </is>
      </c>
      <c r="C19674" s="2" t="n">
        <v>43704</v>
      </c>
      <c r="D19674" t="inlineStr">
        <is>
          <t>NON-NIL</t>
        </is>
      </c>
      <c r="E19674" t="n">
        <v>1869</v>
      </c>
    </row>
    <row r="19675">
      <c r="A19675" t="inlineStr">
        <is>
          <t>27BBBBB19675Z5</t>
        </is>
      </c>
      <c r="B19675" t="inlineStr">
        <is>
          <t>Dec-2018</t>
        </is>
      </c>
      <c r="C19675" s="2" t="n">
        <v>43686</v>
      </c>
      <c r="D19675" t="inlineStr">
        <is>
          <t>NON-NIL</t>
        </is>
      </c>
      <c r="E19675" t="n">
        <v>2204</v>
      </c>
    </row>
    <row r="19676">
      <c r="A19676" t="inlineStr">
        <is>
          <t>27BBBBB19676Z5</t>
        </is>
      </c>
      <c r="B19676" t="inlineStr">
        <is>
          <t>Oct-2017</t>
        </is>
      </c>
      <c r="C19676" s="2" t="n">
        <v>42968</v>
      </c>
      <c r="D19676" t="inlineStr">
        <is>
          <t>NON-NIL</t>
        </is>
      </c>
      <c r="E19676" t="n">
        <v>851</v>
      </c>
    </row>
    <row r="19677">
      <c r="A19677" t="inlineStr">
        <is>
          <t>27BBBBB19677Z5</t>
        </is>
      </c>
      <c r="B19677" t="inlineStr">
        <is>
          <t>Mar-2021</t>
        </is>
      </c>
      <c r="C19677" s="2" t="n">
        <v>45501</v>
      </c>
      <c r="D19677" t="inlineStr">
        <is>
          <t>NON-NIL</t>
        </is>
      </c>
      <c r="E19677" t="n">
        <v>952</v>
      </c>
    </row>
    <row r="19678">
      <c r="A19678" t="inlineStr">
        <is>
          <t>27BBBBB19678Z5</t>
        </is>
      </c>
      <c r="B19678" t="inlineStr">
        <is>
          <t>Jan-2021</t>
        </is>
      </c>
      <c r="C19678" s="2" t="n">
        <v>45726</v>
      </c>
      <c r="D19678" t="inlineStr">
        <is>
          <t>NON-NIL</t>
        </is>
      </c>
      <c r="E19678" t="n">
        <v>2415</v>
      </c>
    </row>
    <row r="19679">
      <c r="A19679" t="inlineStr">
        <is>
          <t>27BBBBB19679Z5</t>
        </is>
      </c>
      <c r="B19679" t="inlineStr">
        <is>
          <t>Sep-2017</t>
        </is>
      </c>
      <c r="C19679" s="2" t="n">
        <v>42955</v>
      </c>
      <c r="D19679" t="inlineStr">
        <is>
          <t>NIL</t>
        </is>
      </c>
      <c r="E19679" t="n">
        <v>1402</v>
      </c>
    </row>
    <row r="19680">
      <c r="A19680" t="inlineStr">
        <is>
          <t>27BBBBB19680Z5</t>
        </is>
      </c>
      <c r="B19680" t="inlineStr">
        <is>
          <t>Dec-2024</t>
        </is>
      </c>
      <c r="C19680" s="2" t="n">
        <v>45327</v>
      </c>
      <c r="D19680" t="inlineStr">
        <is>
          <t>NON-NIL</t>
        </is>
      </c>
      <c r="E19680" t="n">
        <v>1206</v>
      </c>
    </row>
    <row r="19681">
      <c r="A19681" t="inlineStr">
        <is>
          <t>27BBBBB19681Z5</t>
        </is>
      </c>
      <c r="B19681" t="inlineStr">
        <is>
          <t>Dec-2018</t>
        </is>
      </c>
      <c r="C19681" s="2" t="n">
        <v>43387</v>
      </c>
      <c r="D19681" t="inlineStr">
        <is>
          <t>NON-NIL</t>
        </is>
      </c>
      <c r="E19681" t="n">
        <v>1264</v>
      </c>
    </row>
    <row r="19682">
      <c r="A19682" t="inlineStr">
        <is>
          <t>27BBBBB19682Z5</t>
        </is>
      </c>
      <c r="B19682" t="inlineStr">
        <is>
          <t>Sep-2017</t>
        </is>
      </c>
      <c r="C19682" s="2" t="n">
        <v>43154</v>
      </c>
      <c r="D19682" t="inlineStr">
        <is>
          <t>NON-NIL</t>
        </is>
      </c>
      <c r="E19682" t="n">
        <v>929</v>
      </c>
    </row>
    <row r="19683">
      <c r="A19683" t="inlineStr">
        <is>
          <t>27BBBBB19683Z5</t>
        </is>
      </c>
      <c r="B19683" t="inlineStr">
        <is>
          <t>Feb-2018</t>
        </is>
      </c>
      <c r="C19683" s="2" t="n">
        <v>43884</v>
      </c>
      <c r="D19683" t="inlineStr">
        <is>
          <t>NON-NIL</t>
        </is>
      </c>
      <c r="E19683" t="n">
        <v>1700</v>
      </c>
    </row>
    <row r="19684">
      <c r="A19684" t="inlineStr">
        <is>
          <t>27BBBBB19684Z5</t>
        </is>
      </c>
      <c r="B19684" t="inlineStr">
        <is>
          <t>Aug-2018</t>
        </is>
      </c>
      <c r="C19684" s="2" t="n">
        <v>44489</v>
      </c>
      <c r="D19684" t="inlineStr">
        <is>
          <t>NIL</t>
        </is>
      </c>
      <c r="E19684" t="n">
        <v>1755</v>
      </c>
    </row>
    <row r="19685">
      <c r="A19685" t="inlineStr">
        <is>
          <t>27BBBBB19685Z5</t>
        </is>
      </c>
      <c r="B19685" t="inlineStr">
        <is>
          <t>Dec-2022</t>
        </is>
      </c>
      <c r="C19685" s="2" t="n">
        <v>45290</v>
      </c>
      <c r="D19685" t="inlineStr">
        <is>
          <t>NIL</t>
        </is>
      </c>
      <c r="E19685" t="n">
        <v>569</v>
      </c>
    </row>
    <row r="19686">
      <c r="A19686" t="inlineStr">
        <is>
          <t>27BBBBB19686Z5</t>
        </is>
      </c>
      <c r="B19686" t="inlineStr">
        <is>
          <t>Mar-2018</t>
        </is>
      </c>
      <c r="C19686" s="2" t="n">
        <v>43308</v>
      </c>
      <c r="D19686" t="inlineStr">
        <is>
          <t>NON-NIL</t>
        </is>
      </c>
      <c r="E19686" t="n">
        <v>1678</v>
      </c>
    </row>
    <row r="19687">
      <c r="A19687" t="inlineStr">
        <is>
          <t>27BBBBB19687Z5</t>
        </is>
      </c>
      <c r="B19687" t="inlineStr">
        <is>
          <t>Dec-2017</t>
        </is>
      </c>
      <c r="C19687" s="2" t="n">
        <v>44316</v>
      </c>
      <c r="D19687" t="inlineStr">
        <is>
          <t>NIL</t>
        </is>
      </c>
      <c r="E19687" t="n">
        <v>2451</v>
      </c>
    </row>
    <row r="19688">
      <c r="A19688" t="inlineStr">
        <is>
          <t>27BBBBB19688Z5</t>
        </is>
      </c>
      <c r="B19688" t="inlineStr">
        <is>
          <t>Oct-2018</t>
        </is>
      </c>
      <c r="C19688" s="2" t="n">
        <v>44058</v>
      </c>
      <c r="D19688" t="inlineStr">
        <is>
          <t>NIL</t>
        </is>
      </c>
      <c r="E19688" t="n">
        <v>331</v>
      </c>
    </row>
    <row r="19689">
      <c r="A19689" t="inlineStr">
        <is>
          <t>27BBBBB19689Z5</t>
        </is>
      </c>
      <c r="B19689" t="inlineStr">
        <is>
          <t>May-2020</t>
        </is>
      </c>
      <c r="C19689" s="2" t="n">
        <v>43981</v>
      </c>
      <c r="D19689" t="inlineStr">
        <is>
          <t>NIL</t>
        </is>
      </c>
      <c r="E19689" t="n">
        <v>1322</v>
      </c>
    </row>
    <row r="19690">
      <c r="A19690" t="inlineStr">
        <is>
          <t>27BBBBB19690Z5</t>
        </is>
      </c>
      <c r="B19690" t="inlineStr">
        <is>
          <t>Jul-2017</t>
        </is>
      </c>
      <c r="C19690" s="2" t="n">
        <v>43191</v>
      </c>
      <c r="D19690" t="inlineStr">
        <is>
          <t>NIL</t>
        </is>
      </c>
      <c r="E19690" t="n">
        <v>2135</v>
      </c>
    </row>
    <row r="19691">
      <c r="A19691" t="inlineStr">
        <is>
          <t>27BBBBB19691Z5</t>
        </is>
      </c>
      <c r="B19691" t="inlineStr">
        <is>
          <t>Sep-2017</t>
        </is>
      </c>
      <c r="C19691" s="2" t="n">
        <v>43969</v>
      </c>
      <c r="D19691" t="inlineStr">
        <is>
          <t>NON-NIL</t>
        </is>
      </c>
      <c r="E19691" t="n">
        <v>1185</v>
      </c>
    </row>
    <row r="19692">
      <c r="A19692" t="inlineStr">
        <is>
          <t>27BBBBB19692Z5</t>
        </is>
      </c>
      <c r="B19692" t="inlineStr">
        <is>
          <t>Jul-2020</t>
        </is>
      </c>
      <c r="C19692" s="2" t="n">
        <v>44610</v>
      </c>
      <c r="D19692" t="inlineStr">
        <is>
          <t>NON-NIL</t>
        </is>
      </c>
      <c r="E19692" t="n">
        <v>1499</v>
      </c>
    </row>
    <row r="19693">
      <c r="A19693" t="inlineStr">
        <is>
          <t>27BBBBB19693Z5</t>
        </is>
      </c>
      <c r="B19693" t="inlineStr">
        <is>
          <t>Feb-2018</t>
        </is>
      </c>
      <c r="C19693" s="2" t="n">
        <v>43334</v>
      </c>
      <c r="D19693" t="inlineStr">
        <is>
          <t>NON-NIL</t>
        </is>
      </c>
      <c r="E19693" t="n">
        <v>136</v>
      </c>
    </row>
    <row r="19694">
      <c r="A19694" t="inlineStr">
        <is>
          <t>27BBBBB19694Z5</t>
        </is>
      </c>
      <c r="B19694" t="inlineStr">
        <is>
          <t>Apr-2018</t>
        </is>
      </c>
      <c r="C19694" s="2" t="n">
        <v>43484</v>
      </c>
      <c r="D19694" t="inlineStr">
        <is>
          <t>NIL</t>
        </is>
      </c>
      <c r="E19694" t="n">
        <v>389</v>
      </c>
    </row>
    <row r="19695">
      <c r="A19695" t="inlineStr">
        <is>
          <t>27BBBBB19695Z5</t>
        </is>
      </c>
      <c r="B19695" t="inlineStr">
        <is>
          <t>Dec-2024</t>
        </is>
      </c>
      <c r="C19695" s="2" t="n">
        <v>43962</v>
      </c>
      <c r="D19695" t="inlineStr">
        <is>
          <t>NIL</t>
        </is>
      </c>
      <c r="E19695" t="n">
        <v>2754</v>
      </c>
    </row>
    <row r="19696">
      <c r="A19696" t="inlineStr">
        <is>
          <t>27BBBBB19696Z5</t>
        </is>
      </c>
      <c r="B19696" t="inlineStr">
        <is>
          <t>Dec-2018</t>
        </is>
      </c>
      <c r="C19696" s="2" t="n">
        <v>43585</v>
      </c>
      <c r="D19696" t="inlineStr">
        <is>
          <t>NIL</t>
        </is>
      </c>
      <c r="E19696" t="n">
        <v>2002</v>
      </c>
    </row>
    <row r="19697">
      <c r="A19697" t="inlineStr">
        <is>
          <t>27BBBBB19697Z5</t>
        </is>
      </c>
      <c r="B19697" t="inlineStr">
        <is>
          <t>Mar-2021</t>
        </is>
      </c>
      <c r="C19697" s="2" t="n">
        <v>45770</v>
      </c>
      <c r="D19697" t="inlineStr">
        <is>
          <t>NON-NIL</t>
        </is>
      </c>
      <c r="E19697" t="n">
        <v>2419</v>
      </c>
    </row>
    <row r="19698">
      <c r="A19698" t="inlineStr">
        <is>
          <t>27BBBBB19698Z5</t>
        </is>
      </c>
      <c r="B19698" t="inlineStr">
        <is>
          <t>Sep-2017</t>
        </is>
      </c>
      <c r="C19698" s="2" t="n">
        <v>43467</v>
      </c>
      <c r="D19698" t="inlineStr">
        <is>
          <t>NON-NIL</t>
        </is>
      </c>
      <c r="E19698" t="n">
        <v>1696</v>
      </c>
    </row>
    <row r="19699">
      <c r="A19699" t="inlineStr">
        <is>
          <t>27BBBBB19699Z5</t>
        </is>
      </c>
      <c r="B19699" t="inlineStr">
        <is>
          <t>Jul-2017</t>
        </is>
      </c>
      <c r="C19699" s="2" t="n">
        <v>44237</v>
      </c>
      <c r="D19699" t="inlineStr">
        <is>
          <t>NON-NIL</t>
        </is>
      </c>
      <c r="E19699" t="n">
        <v>2705</v>
      </c>
    </row>
    <row r="19700">
      <c r="A19700" t="inlineStr">
        <is>
          <t>27BBBBB19700Z5</t>
        </is>
      </c>
      <c r="B19700" t="inlineStr">
        <is>
          <t>Mar-2020</t>
        </is>
      </c>
      <c r="C19700" s="2" t="n">
        <v>44204</v>
      </c>
      <c r="D19700" t="inlineStr">
        <is>
          <t>NON-NIL</t>
        </is>
      </c>
      <c r="E19700" t="n">
        <v>1543</v>
      </c>
    </row>
    <row r="19701">
      <c r="A19701" t="inlineStr">
        <is>
          <t>27BBBBB19701Z5</t>
        </is>
      </c>
      <c r="B19701" t="inlineStr">
        <is>
          <t>Sep-2017</t>
        </is>
      </c>
      <c r="C19701" s="2" t="n">
        <v>43909</v>
      </c>
      <c r="D19701" t="inlineStr">
        <is>
          <t>NIL</t>
        </is>
      </c>
      <c r="E19701" t="n">
        <v>1278</v>
      </c>
    </row>
    <row r="19702">
      <c r="A19702" t="inlineStr">
        <is>
          <t>27BBBBB19702Z5</t>
        </is>
      </c>
      <c r="B19702" t="inlineStr">
        <is>
          <t>Oct-2017</t>
        </is>
      </c>
      <c r="C19702" s="2" t="n">
        <v>43403</v>
      </c>
      <c r="D19702" t="inlineStr">
        <is>
          <t>NIL</t>
        </is>
      </c>
      <c r="E19702" t="n">
        <v>1936</v>
      </c>
    </row>
    <row r="19703">
      <c r="A19703" t="inlineStr">
        <is>
          <t>27BBBBB19703Z5</t>
        </is>
      </c>
      <c r="B19703" t="inlineStr">
        <is>
          <t>Dec-2024</t>
        </is>
      </c>
      <c r="C19703" s="2" t="n">
        <v>45729</v>
      </c>
      <c r="D19703" t="inlineStr">
        <is>
          <t>NIL</t>
        </is>
      </c>
      <c r="E19703" t="n">
        <v>458</v>
      </c>
    </row>
    <row r="19704">
      <c r="A19704" t="inlineStr">
        <is>
          <t>27BBBBB19704Z5</t>
        </is>
      </c>
      <c r="B19704" t="inlineStr">
        <is>
          <t>Mar-2018</t>
        </is>
      </c>
      <c r="C19704" s="2" t="n">
        <v>43306</v>
      </c>
      <c r="D19704" t="inlineStr">
        <is>
          <t>NON-NIL</t>
        </is>
      </c>
      <c r="E19704" t="n">
        <v>1354</v>
      </c>
    </row>
    <row r="19705">
      <c r="A19705" t="inlineStr">
        <is>
          <t>27BBBBB19705Z5</t>
        </is>
      </c>
      <c r="B19705" t="inlineStr">
        <is>
          <t>May-2018</t>
        </is>
      </c>
      <c r="C19705" s="2" t="n">
        <v>43036</v>
      </c>
      <c r="D19705" t="inlineStr">
        <is>
          <t>NON-NIL</t>
        </is>
      </c>
      <c r="E19705" t="n">
        <v>1101</v>
      </c>
    </row>
    <row r="19706">
      <c r="A19706" t="inlineStr">
        <is>
          <t>27BBBBB19706Z5</t>
        </is>
      </c>
      <c r="B19706" t="inlineStr">
        <is>
          <t>Apr-2018</t>
        </is>
      </c>
      <c r="C19706" s="2" t="n">
        <v>43610</v>
      </c>
      <c r="D19706" t="inlineStr">
        <is>
          <t>NON-NIL</t>
        </is>
      </c>
      <c r="E19706" t="n">
        <v>2333</v>
      </c>
    </row>
    <row r="19707">
      <c r="A19707" t="inlineStr">
        <is>
          <t>27BBBBB19707Z5</t>
        </is>
      </c>
      <c r="B19707" t="inlineStr">
        <is>
          <t>Mar-2020</t>
        </is>
      </c>
      <c r="C19707" s="2" t="n">
        <v>44517</v>
      </c>
      <c r="D19707" t="inlineStr">
        <is>
          <t>NIL</t>
        </is>
      </c>
      <c r="E19707" t="n">
        <v>2687</v>
      </c>
    </row>
    <row r="19708">
      <c r="A19708" t="inlineStr">
        <is>
          <t>27BBBBB19708Z5</t>
        </is>
      </c>
      <c r="B19708" t="inlineStr">
        <is>
          <t>May-2018</t>
        </is>
      </c>
      <c r="C19708" s="2" t="n">
        <v>44102</v>
      </c>
      <c r="D19708" t="inlineStr">
        <is>
          <t>NON-NIL</t>
        </is>
      </c>
      <c r="E19708" t="n">
        <v>1185</v>
      </c>
    </row>
    <row r="19709">
      <c r="A19709" t="inlineStr">
        <is>
          <t>27BBBBB19709Z5</t>
        </is>
      </c>
      <c r="B19709" t="inlineStr">
        <is>
          <t>Jan-2021</t>
        </is>
      </c>
      <c r="C19709" s="2" t="n">
        <v>44008</v>
      </c>
      <c r="D19709" t="inlineStr">
        <is>
          <t>NON-NIL</t>
        </is>
      </c>
      <c r="E19709" t="n">
        <v>1087</v>
      </c>
    </row>
    <row r="19710">
      <c r="A19710" t="inlineStr">
        <is>
          <t>27BBBBB19710Z5</t>
        </is>
      </c>
      <c r="B19710" t="inlineStr">
        <is>
          <t>Apr-2020</t>
        </is>
      </c>
      <c r="C19710" s="2" t="n">
        <v>44243</v>
      </c>
      <c r="D19710" t="inlineStr">
        <is>
          <t>NIL</t>
        </is>
      </c>
      <c r="E19710" t="n">
        <v>2851</v>
      </c>
    </row>
    <row r="19711">
      <c r="A19711" t="inlineStr">
        <is>
          <t>27BBBBB19711Z5</t>
        </is>
      </c>
      <c r="B19711" t="inlineStr">
        <is>
          <t>Nov-2017</t>
        </is>
      </c>
      <c r="C19711" s="2" t="n">
        <v>44486</v>
      </c>
      <c r="D19711" t="inlineStr">
        <is>
          <t>NIL</t>
        </is>
      </c>
      <c r="E19711" t="n">
        <v>1922</v>
      </c>
    </row>
    <row r="19712">
      <c r="A19712" t="inlineStr">
        <is>
          <t>27BBBBB19712Z5</t>
        </is>
      </c>
      <c r="B19712" t="inlineStr">
        <is>
          <t>Mar-2018</t>
        </is>
      </c>
      <c r="C19712" s="2" t="n">
        <v>43735</v>
      </c>
      <c r="D19712" t="inlineStr">
        <is>
          <t>NON-NIL</t>
        </is>
      </c>
      <c r="E19712" t="n">
        <v>1067</v>
      </c>
    </row>
    <row r="19713">
      <c r="A19713" t="inlineStr">
        <is>
          <t>27BBBBB19713Z5</t>
        </is>
      </c>
      <c r="B19713" t="inlineStr">
        <is>
          <t>Dec-2018</t>
        </is>
      </c>
      <c r="C19713" s="2" t="n">
        <v>44400</v>
      </c>
      <c r="D19713" t="inlineStr">
        <is>
          <t>NON-NIL</t>
        </is>
      </c>
      <c r="E19713" t="n">
        <v>1295</v>
      </c>
    </row>
    <row r="19714">
      <c r="A19714" t="inlineStr">
        <is>
          <t>27BBBBB19714Z5</t>
        </is>
      </c>
      <c r="B19714" t="inlineStr">
        <is>
          <t>Dec-2022</t>
        </is>
      </c>
      <c r="C19714" s="2" t="n">
        <v>43622</v>
      </c>
      <c r="D19714" t="inlineStr">
        <is>
          <t>NIL</t>
        </is>
      </c>
      <c r="E19714" t="n">
        <v>2919</v>
      </c>
    </row>
    <row r="19715">
      <c r="A19715" t="inlineStr">
        <is>
          <t>27BBBBB19715Z5</t>
        </is>
      </c>
      <c r="B19715" t="inlineStr">
        <is>
          <t>Dec-2017</t>
        </is>
      </c>
      <c r="C19715" s="2" t="n">
        <v>43667</v>
      </c>
      <c r="D19715" t="inlineStr">
        <is>
          <t>NON-NIL</t>
        </is>
      </c>
      <c r="E19715" t="n">
        <v>461</v>
      </c>
    </row>
    <row r="19716">
      <c r="A19716" t="inlineStr">
        <is>
          <t>27BBBBB19716Z5</t>
        </is>
      </c>
      <c r="B19716" t="inlineStr">
        <is>
          <t>Mar-2023</t>
        </is>
      </c>
      <c r="C19716" s="2" t="n">
        <v>44531</v>
      </c>
      <c r="D19716" t="inlineStr">
        <is>
          <t>NIL</t>
        </is>
      </c>
      <c r="E19716" t="n">
        <v>1422</v>
      </c>
    </row>
    <row r="19717">
      <c r="A19717" t="inlineStr">
        <is>
          <t>27BBBBB19717Z5</t>
        </is>
      </c>
      <c r="B19717" t="inlineStr">
        <is>
          <t>Oct-2018</t>
        </is>
      </c>
      <c r="C19717" s="2" t="n">
        <v>43631</v>
      </c>
      <c r="D19717" t="inlineStr">
        <is>
          <t>NON-NIL</t>
        </is>
      </c>
      <c r="E19717" t="n">
        <v>2906</v>
      </c>
    </row>
    <row r="19718">
      <c r="A19718" t="inlineStr">
        <is>
          <t>27BBBBB19718Z5</t>
        </is>
      </c>
      <c r="B19718" t="inlineStr">
        <is>
          <t>Mar-2023</t>
        </is>
      </c>
      <c r="C19718" s="2" t="n">
        <v>44751</v>
      </c>
      <c r="D19718" t="inlineStr">
        <is>
          <t>NON-NIL</t>
        </is>
      </c>
      <c r="E19718" t="n">
        <v>1423</v>
      </c>
    </row>
    <row r="19719">
      <c r="A19719" t="inlineStr">
        <is>
          <t>27BBBBB19719Z5</t>
        </is>
      </c>
      <c r="B19719" t="inlineStr">
        <is>
          <t>Oct-2017</t>
        </is>
      </c>
      <c r="C19719" s="2" t="n">
        <v>43306</v>
      </c>
      <c r="D19719" t="inlineStr">
        <is>
          <t>NIL</t>
        </is>
      </c>
      <c r="E19719" t="n">
        <v>704</v>
      </c>
    </row>
    <row r="19720">
      <c r="A19720" t="inlineStr">
        <is>
          <t>27BBBBB19720Z5</t>
        </is>
      </c>
      <c r="B19720" t="inlineStr">
        <is>
          <t>Mar-2023</t>
        </is>
      </c>
      <c r="C19720" s="2" t="n">
        <v>45634</v>
      </c>
      <c r="D19720" t="inlineStr">
        <is>
          <t>NIL</t>
        </is>
      </c>
      <c r="E19720" t="n">
        <v>384</v>
      </c>
    </row>
    <row r="19721">
      <c r="A19721" t="inlineStr">
        <is>
          <t>27BBBBB19721Z5</t>
        </is>
      </c>
      <c r="B19721" t="inlineStr">
        <is>
          <t>Jul-2020</t>
        </is>
      </c>
      <c r="C19721" s="2" t="n">
        <v>44548</v>
      </c>
      <c r="D19721" t="inlineStr">
        <is>
          <t>NIL</t>
        </is>
      </c>
      <c r="E19721" t="n">
        <v>393</v>
      </c>
    </row>
    <row r="19722">
      <c r="A19722" t="inlineStr">
        <is>
          <t>27BBBBB19722Z5</t>
        </is>
      </c>
      <c r="B19722" t="inlineStr">
        <is>
          <t>May-2018</t>
        </is>
      </c>
      <c r="C19722" s="2" t="n">
        <v>43348</v>
      </c>
      <c r="D19722" t="inlineStr">
        <is>
          <t>NON-NIL</t>
        </is>
      </c>
      <c r="E19722" t="n">
        <v>771</v>
      </c>
    </row>
    <row r="19723">
      <c r="A19723" t="inlineStr">
        <is>
          <t>27BBBBB19723Z5</t>
        </is>
      </c>
      <c r="B19723" t="inlineStr">
        <is>
          <t>Jul-2018</t>
        </is>
      </c>
      <c r="C19723" s="2" t="n">
        <v>43001</v>
      </c>
      <c r="D19723" t="inlineStr">
        <is>
          <t>NIL</t>
        </is>
      </c>
      <c r="E19723" t="n">
        <v>2223</v>
      </c>
    </row>
    <row r="19724">
      <c r="A19724" t="inlineStr">
        <is>
          <t>27BBBBB19724Z5</t>
        </is>
      </c>
      <c r="B19724" t="inlineStr">
        <is>
          <t>Apr-2018</t>
        </is>
      </c>
      <c r="C19724" s="2" t="n">
        <v>43768</v>
      </c>
      <c r="D19724" t="inlineStr">
        <is>
          <t>NON-NIL</t>
        </is>
      </c>
      <c r="E19724" t="n">
        <v>1508</v>
      </c>
    </row>
    <row r="19725">
      <c r="A19725" t="inlineStr">
        <is>
          <t>27BBBBB19725Z5</t>
        </is>
      </c>
      <c r="B19725" t="inlineStr">
        <is>
          <t>May-2020</t>
        </is>
      </c>
      <c r="C19725" s="2" t="n">
        <v>44752</v>
      </c>
      <c r="D19725" t="inlineStr">
        <is>
          <t>NON-NIL</t>
        </is>
      </c>
      <c r="E19725" t="n">
        <v>2602</v>
      </c>
    </row>
    <row r="19726">
      <c r="A19726" t="inlineStr">
        <is>
          <t>27BBBBB19726Z5</t>
        </is>
      </c>
      <c r="B19726" t="inlineStr">
        <is>
          <t>Oct-2017</t>
        </is>
      </c>
      <c r="C19726" s="2" t="n">
        <v>44101</v>
      </c>
      <c r="D19726" t="inlineStr">
        <is>
          <t>NIL</t>
        </is>
      </c>
      <c r="E19726" t="n">
        <v>1075</v>
      </c>
    </row>
    <row r="19727">
      <c r="A19727" t="inlineStr">
        <is>
          <t>27BBBBB19727Z5</t>
        </is>
      </c>
      <c r="B19727" t="inlineStr">
        <is>
          <t>Jul-2018</t>
        </is>
      </c>
      <c r="C19727" s="2" t="n">
        <v>43641</v>
      </c>
      <c r="D19727" t="inlineStr">
        <is>
          <t>NON-NIL</t>
        </is>
      </c>
      <c r="E19727" t="n">
        <v>257</v>
      </c>
    </row>
    <row r="19728">
      <c r="A19728" t="inlineStr">
        <is>
          <t>27BBBBB19728Z5</t>
        </is>
      </c>
      <c r="B19728" t="inlineStr">
        <is>
          <t>May-2018</t>
        </is>
      </c>
      <c r="C19728" s="2" t="n">
        <v>43074</v>
      </c>
      <c r="D19728" t="inlineStr">
        <is>
          <t>NIL</t>
        </is>
      </c>
      <c r="E19728" t="n">
        <v>592</v>
      </c>
    </row>
    <row r="19729">
      <c r="A19729" t="inlineStr">
        <is>
          <t>27BBBBB19729Z5</t>
        </is>
      </c>
      <c r="B19729" t="inlineStr">
        <is>
          <t>Nov-2017</t>
        </is>
      </c>
      <c r="C19729" s="2" t="n">
        <v>44359</v>
      </c>
      <c r="D19729" t="inlineStr">
        <is>
          <t>NIL</t>
        </is>
      </c>
      <c r="E19729" t="n">
        <v>572</v>
      </c>
    </row>
    <row r="19730">
      <c r="A19730" t="inlineStr">
        <is>
          <t>27BBBBB19730Z5</t>
        </is>
      </c>
      <c r="B19730" t="inlineStr">
        <is>
          <t>Jul-2020</t>
        </is>
      </c>
      <c r="C19730" s="2" t="n">
        <v>43957</v>
      </c>
      <c r="D19730" t="inlineStr">
        <is>
          <t>NON-NIL</t>
        </is>
      </c>
      <c r="E19730" t="n">
        <v>2029</v>
      </c>
    </row>
    <row r="19731">
      <c r="A19731" t="inlineStr">
        <is>
          <t>27BBBBB19731Z5</t>
        </is>
      </c>
      <c r="B19731" t="inlineStr">
        <is>
          <t>Jun-2018</t>
        </is>
      </c>
      <c r="C19731" s="2" t="n">
        <v>43040</v>
      </c>
      <c r="D19731" t="inlineStr">
        <is>
          <t>NIL</t>
        </is>
      </c>
      <c r="E19731" t="n">
        <v>663</v>
      </c>
    </row>
    <row r="19732">
      <c r="A19732" t="inlineStr">
        <is>
          <t>27BBBBB19732Z5</t>
        </is>
      </c>
      <c r="B19732" t="inlineStr">
        <is>
          <t>Sep-2018</t>
        </is>
      </c>
      <c r="C19732" s="2" t="n">
        <v>44454</v>
      </c>
      <c r="D19732" t="inlineStr">
        <is>
          <t>NIL</t>
        </is>
      </c>
      <c r="E19732" t="n">
        <v>2474</v>
      </c>
    </row>
    <row r="19733">
      <c r="A19733" t="inlineStr">
        <is>
          <t>27BBBBB19733Z5</t>
        </is>
      </c>
      <c r="B19733" t="inlineStr">
        <is>
          <t>Mar-2021</t>
        </is>
      </c>
      <c r="C19733" s="2" t="n">
        <v>45477</v>
      </c>
      <c r="D19733" t="inlineStr">
        <is>
          <t>NON-NIL</t>
        </is>
      </c>
      <c r="E19733" t="n">
        <v>1702</v>
      </c>
    </row>
    <row r="19734">
      <c r="A19734" t="inlineStr">
        <is>
          <t>27BBBBB19734Z5</t>
        </is>
      </c>
      <c r="B19734" t="inlineStr">
        <is>
          <t>May-2020</t>
        </is>
      </c>
      <c r="C19734" s="2" t="n">
        <v>43857</v>
      </c>
      <c r="D19734" t="inlineStr">
        <is>
          <t>NIL</t>
        </is>
      </c>
      <c r="E19734" t="n">
        <v>798</v>
      </c>
    </row>
    <row r="19735">
      <c r="A19735" t="inlineStr">
        <is>
          <t>27BBBBB19735Z5</t>
        </is>
      </c>
      <c r="B19735" t="inlineStr">
        <is>
          <t>Sep-2018</t>
        </is>
      </c>
      <c r="C19735" s="2" t="n">
        <v>43834</v>
      </c>
      <c r="D19735" t="inlineStr">
        <is>
          <t>NIL</t>
        </is>
      </c>
      <c r="E19735" t="n">
        <v>712</v>
      </c>
    </row>
    <row r="19736">
      <c r="A19736" t="inlineStr">
        <is>
          <t>27BBBBB19736Z5</t>
        </is>
      </c>
      <c r="B19736" t="inlineStr">
        <is>
          <t>Nov-2018</t>
        </is>
      </c>
      <c r="C19736" s="2" t="n">
        <v>43755</v>
      </c>
      <c r="D19736" t="inlineStr">
        <is>
          <t>NON-NIL</t>
        </is>
      </c>
      <c r="E19736" t="n">
        <v>1801</v>
      </c>
    </row>
    <row r="19737">
      <c r="A19737" t="inlineStr">
        <is>
          <t>27BBBBB19737Z5</t>
        </is>
      </c>
      <c r="B19737" t="inlineStr">
        <is>
          <t>Nov-2018</t>
        </is>
      </c>
      <c r="C19737" s="2" t="n">
        <v>44211</v>
      </c>
      <c r="D19737" t="inlineStr">
        <is>
          <t>NON-NIL</t>
        </is>
      </c>
      <c r="E19737" t="n">
        <v>711</v>
      </c>
    </row>
    <row r="19738">
      <c r="A19738" t="inlineStr">
        <is>
          <t>27BBBBB19738Z5</t>
        </is>
      </c>
      <c r="B19738" t="inlineStr">
        <is>
          <t>Mar-2021</t>
        </is>
      </c>
      <c r="C19738" s="2" t="n">
        <v>45779</v>
      </c>
      <c r="D19738" t="inlineStr">
        <is>
          <t>NON-NIL</t>
        </is>
      </c>
      <c r="E19738" t="n">
        <v>295</v>
      </c>
    </row>
    <row r="19739">
      <c r="A19739" t="inlineStr">
        <is>
          <t>27BBBBB19739Z5</t>
        </is>
      </c>
      <c r="B19739" t="inlineStr">
        <is>
          <t>Dec-2017</t>
        </is>
      </c>
      <c r="C19739" s="2" t="n">
        <v>43949</v>
      </c>
      <c r="D19739" t="inlineStr">
        <is>
          <t>NON-NIL</t>
        </is>
      </c>
      <c r="E19739" t="n">
        <v>82</v>
      </c>
    </row>
    <row r="19740">
      <c r="A19740" t="inlineStr">
        <is>
          <t>27BBBBB19740Z5</t>
        </is>
      </c>
      <c r="B19740" t="inlineStr">
        <is>
          <t>May-2018</t>
        </is>
      </c>
      <c r="C19740" s="2" t="n">
        <v>44468</v>
      </c>
      <c r="D19740" t="inlineStr">
        <is>
          <t>NON-NIL</t>
        </is>
      </c>
      <c r="E19740" t="n">
        <v>1404</v>
      </c>
    </row>
    <row r="19741">
      <c r="A19741" t="inlineStr">
        <is>
          <t>27BBBBB19741Z5</t>
        </is>
      </c>
      <c r="B19741" t="inlineStr">
        <is>
          <t>Mar-2018</t>
        </is>
      </c>
      <c r="C19741" s="2" t="n">
        <v>43232</v>
      </c>
      <c r="D19741" t="inlineStr">
        <is>
          <t>NIL</t>
        </is>
      </c>
      <c r="E19741" t="n">
        <v>528</v>
      </c>
    </row>
    <row r="19742">
      <c r="A19742" t="inlineStr">
        <is>
          <t>27BBBBB19742Z5</t>
        </is>
      </c>
      <c r="B19742" t="inlineStr">
        <is>
          <t>Jan-2021</t>
        </is>
      </c>
      <c r="C19742" s="2" t="n">
        <v>45393</v>
      </c>
      <c r="D19742" t="inlineStr">
        <is>
          <t>NIL</t>
        </is>
      </c>
      <c r="E19742" t="n">
        <v>2466</v>
      </c>
    </row>
    <row r="19743">
      <c r="A19743" t="inlineStr">
        <is>
          <t>27BBBBB19743Z5</t>
        </is>
      </c>
      <c r="B19743" t="inlineStr">
        <is>
          <t>Oct-2018</t>
        </is>
      </c>
      <c r="C19743" s="2" t="n">
        <v>42938</v>
      </c>
      <c r="D19743" t="inlineStr">
        <is>
          <t>NIL</t>
        </is>
      </c>
      <c r="E19743" t="n">
        <v>1933</v>
      </c>
    </row>
    <row r="19744">
      <c r="A19744" t="inlineStr">
        <is>
          <t>27BBBBB19744Z5</t>
        </is>
      </c>
      <c r="B19744" t="inlineStr">
        <is>
          <t>Dec-2018</t>
        </is>
      </c>
      <c r="C19744" s="2" t="n">
        <v>43733</v>
      </c>
      <c r="D19744" t="inlineStr">
        <is>
          <t>NON-NIL</t>
        </is>
      </c>
      <c r="E19744" t="n">
        <v>2374</v>
      </c>
    </row>
    <row r="19745">
      <c r="A19745" t="inlineStr">
        <is>
          <t>27BBBBB19745Z5</t>
        </is>
      </c>
      <c r="B19745" t="inlineStr">
        <is>
          <t>Oct-2017</t>
        </is>
      </c>
      <c r="C19745" s="2" t="n">
        <v>43385</v>
      </c>
      <c r="D19745" t="inlineStr">
        <is>
          <t>NIL</t>
        </is>
      </c>
      <c r="E19745" t="n">
        <v>474</v>
      </c>
    </row>
    <row r="19746">
      <c r="A19746" t="inlineStr">
        <is>
          <t>27BBBBB19746Z5</t>
        </is>
      </c>
      <c r="B19746" t="inlineStr">
        <is>
          <t>Mar-2021</t>
        </is>
      </c>
      <c r="C19746" s="2" t="n">
        <v>45086</v>
      </c>
      <c r="D19746" t="inlineStr">
        <is>
          <t>NIL</t>
        </is>
      </c>
      <c r="E19746" t="n">
        <v>1182</v>
      </c>
    </row>
    <row r="19747">
      <c r="A19747" t="inlineStr">
        <is>
          <t>27BBBBB19747Z5</t>
        </is>
      </c>
      <c r="B19747" t="inlineStr">
        <is>
          <t>Jun-2018</t>
        </is>
      </c>
      <c r="C19747" s="2" t="n">
        <v>43326</v>
      </c>
      <c r="D19747" t="inlineStr">
        <is>
          <t>NON-NIL</t>
        </is>
      </c>
      <c r="E19747" t="n">
        <v>1069</v>
      </c>
    </row>
    <row r="19748">
      <c r="A19748" t="inlineStr">
        <is>
          <t>27BBBBB19748Z5</t>
        </is>
      </c>
      <c r="B19748" t="inlineStr">
        <is>
          <t>Oct-2018</t>
        </is>
      </c>
      <c r="C19748" s="2" t="n">
        <v>43142</v>
      </c>
      <c r="D19748" t="inlineStr">
        <is>
          <t>NON-NIL</t>
        </is>
      </c>
      <c r="E19748" t="n">
        <v>1356</v>
      </c>
    </row>
    <row r="19749">
      <c r="A19749" t="inlineStr">
        <is>
          <t>27BBBBB19749Z5</t>
        </is>
      </c>
      <c r="B19749" t="inlineStr">
        <is>
          <t>Nov-2018</t>
        </is>
      </c>
      <c r="C19749" s="2" t="n">
        <v>44176</v>
      </c>
      <c r="D19749" t="inlineStr">
        <is>
          <t>NIL</t>
        </is>
      </c>
      <c r="E19749" t="n">
        <v>1444</v>
      </c>
    </row>
    <row r="19750">
      <c r="A19750" t="inlineStr">
        <is>
          <t>27BBBBB19750Z5</t>
        </is>
      </c>
      <c r="B19750" t="inlineStr">
        <is>
          <t>Mar-2018</t>
        </is>
      </c>
      <c r="C19750" s="2" t="n">
        <v>43021</v>
      </c>
      <c r="D19750" t="inlineStr">
        <is>
          <t>NIL</t>
        </is>
      </c>
      <c r="E19750" t="n">
        <v>1770</v>
      </c>
    </row>
    <row r="19751">
      <c r="A19751" t="inlineStr">
        <is>
          <t>27BBBBB19751Z5</t>
        </is>
      </c>
      <c r="B19751" t="inlineStr">
        <is>
          <t>Apr-2018</t>
        </is>
      </c>
      <c r="C19751" s="2" t="n">
        <v>44431</v>
      </c>
      <c r="D19751" t="inlineStr">
        <is>
          <t>NIL</t>
        </is>
      </c>
      <c r="E19751" t="n">
        <v>1883</v>
      </c>
    </row>
    <row r="19752">
      <c r="A19752" t="inlineStr">
        <is>
          <t>27BBBBB19752Z5</t>
        </is>
      </c>
      <c r="B19752" t="inlineStr">
        <is>
          <t>Mar-2023</t>
        </is>
      </c>
      <c r="C19752" s="2" t="n">
        <v>43837</v>
      </c>
      <c r="D19752" t="inlineStr">
        <is>
          <t>NON-NIL</t>
        </is>
      </c>
      <c r="E19752" t="n">
        <v>1080</v>
      </c>
    </row>
    <row r="19753">
      <c r="A19753" t="inlineStr">
        <is>
          <t>27BBBBB19753Z5</t>
        </is>
      </c>
      <c r="B19753" t="inlineStr">
        <is>
          <t>Oct-2017</t>
        </is>
      </c>
      <c r="C19753" s="2" t="n">
        <v>43496</v>
      </c>
      <c r="D19753" t="inlineStr">
        <is>
          <t>NON-NIL</t>
        </is>
      </c>
      <c r="E19753" t="n">
        <v>1018</v>
      </c>
    </row>
    <row r="19754">
      <c r="A19754" t="inlineStr">
        <is>
          <t>27BBBBB19754Z5</t>
        </is>
      </c>
      <c r="B19754" t="inlineStr">
        <is>
          <t>Mar-2021</t>
        </is>
      </c>
      <c r="C19754" s="2" t="n">
        <v>45463</v>
      </c>
      <c r="D19754" t="inlineStr">
        <is>
          <t>NIL</t>
        </is>
      </c>
      <c r="E19754" t="n">
        <v>924</v>
      </c>
    </row>
    <row r="19755">
      <c r="A19755" t="inlineStr">
        <is>
          <t>27BBBBB19755Z5</t>
        </is>
      </c>
      <c r="B19755" t="inlineStr">
        <is>
          <t>Aug-2018</t>
        </is>
      </c>
      <c r="C19755" s="2" t="n">
        <v>43997</v>
      </c>
      <c r="D19755" t="inlineStr">
        <is>
          <t>NON-NIL</t>
        </is>
      </c>
      <c r="E19755" t="n">
        <v>200</v>
      </c>
    </row>
    <row r="19756">
      <c r="A19756" t="inlineStr">
        <is>
          <t>27BBBBB19756Z5</t>
        </is>
      </c>
      <c r="B19756" t="inlineStr">
        <is>
          <t>Dec-2017</t>
        </is>
      </c>
      <c r="C19756" s="2" t="n">
        <v>42987</v>
      </c>
      <c r="D19756" t="inlineStr">
        <is>
          <t>NON-NIL</t>
        </is>
      </c>
      <c r="E19756" t="n">
        <v>2</v>
      </c>
    </row>
    <row r="19757">
      <c r="A19757" t="inlineStr">
        <is>
          <t>27BBBBB19757Z5</t>
        </is>
      </c>
      <c r="B19757" t="inlineStr">
        <is>
          <t>Jan-2021</t>
        </is>
      </c>
      <c r="C19757" s="2" t="n">
        <v>43978</v>
      </c>
      <c r="D19757" t="inlineStr">
        <is>
          <t>NON-NIL</t>
        </is>
      </c>
      <c r="E19757" t="n">
        <v>287</v>
      </c>
    </row>
    <row r="19758">
      <c r="A19758" t="inlineStr">
        <is>
          <t>27BBBBB19758Z5</t>
        </is>
      </c>
      <c r="B19758" t="inlineStr">
        <is>
          <t>Feb-2018</t>
        </is>
      </c>
      <c r="C19758" s="2" t="n">
        <v>43469</v>
      </c>
      <c r="D19758" t="inlineStr">
        <is>
          <t>NON-NIL</t>
        </is>
      </c>
      <c r="E19758" t="n">
        <v>1905</v>
      </c>
    </row>
    <row r="19759">
      <c r="A19759" t="inlineStr">
        <is>
          <t>27BBBBB19759Z5</t>
        </is>
      </c>
      <c r="B19759" t="inlineStr">
        <is>
          <t>Jul-2020</t>
        </is>
      </c>
      <c r="C19759" s="2" t="n">
        <v>44599</v>
      </c>
      <c r="D19759" t="inlineStr">
        <is>
          <t>NON-NIL</t>
        </is>
      </c>
      <c r="E19759" t="n">
        <v>2226</v>
      </c>
    </row>
    <row r="19760">
      <c r="A19760" t="inlineStr">
        <is>
          <t>27BBBBB19760Z5</t>
        </is>
      </c>
      <c r="B19760" t="inlineStr">
        <is>
          <t>Nov-2018</t>
        </is>
      </c>
      <c r="C19760" s="2" t="n">
        <v>43960</v>
      </c>
      <c r="D19760" t="inlineStr">
        <is>
          <t>NON-NIL</t>
        </is>
      </c>
      <c r="E19760" t="n">
        <v>434</v>
      </c>
    </row>
    <row r="19761">
      <c r="A19761" t="inlineStr">
        <is>
          <t>27BBBBB19761Z5</t>
        </is>
      </c>
      <c r="B19761" t="inlineStr">
        <is>
          <t>Apr-2020</t>
        </is>
      </c>
      <c r="C19761" s="2" t="n">
        <v>44039</v>
      </c>
      <c r="D19761" t="inlineStr">
        <is>
          <t>NON-NIL</t>
        </is>
      </c>
      <c r="E19761" t="n">
        <v>450</v>
      </c>
    </row>
    <row r="19762">
      <c r="A19762" t="inlineStr">
        <is>
          <t>27BBBBB19762Z5</t>
        </is>
      </c>
      <c r="B19762" t="inlineStr">
        <is>
          <t>Oct-2017</t>
        </is>
      </c>
      <c r="C19762" s="2" t="n">
        <v>42980</v>
      </c>
      <c r="D19762" t="inlineStr">
        <is>
          <t>NIL</t>
        </is>
      </c>
      <c r="E19762" t="n">
        <v>1089</v>
      </c>
    </row>
    <row r="19763">
      <c r="A19763" t="inlineStr">
        <is>
          <t>27BBBBB19763Z5</t>
        </is>
      </c>
      <c r="B19763" t="inlineStr">
        <is>
          <t>May-2018</t>
        </is>
      </c>
      <c r="C19763" s="2" t="n">
        <v>42946</v>
      </c>
      <c r="D19763" t="inlineStr">
        <is>
          <t>NON-NIL</t>
        </is>
      </c>
      <c r="E19763" t="n">
        <v>339</v>
      </c>
    </row>
    <row r="19764">
      <c r="A19764" t="inlineStr">
        <is>
          <t>27BBBBB19764Z5</t>
        </is>
      </c>
      <c r="B19764" t="inlineStr">
        <is>
          <t>Jul-2018</t>
        </is>
      </c>
      <c r="C19764" s="2" t="n">
        <v>44376</v>
      </c>
      <c r="D19764" t="inlineStr">
        <is>
          <t>NIL</t>
        </is>
      </c>
      <c r="E19764" t="n">
        <v>1357</v>
      </c>
    </row>
    <row r="19765">
      <c r="A19765" t="inlineStr">
        <is>
          <t>27BBBBB19765Z5</t>
        </is>
      </c>
      <c r="B19765" t="inlineStr">
        <is>
          <t>Aug-2017</t>
        </is>
      </c>
      <c r="C19765" s="2" t="n">
        <v>43937</v>
      </c>
      <c r="D19765" t="inlineStr">
        <is>
          <t>NIL</t>
        </is>
      </c>
      <c r="E19765" t="n">
        <v>2901</v>
      </c>
    </row>
    <row r="19766">
      <c r="A19766" t="inlineStr">
        <is>
          <t>27BBBBB19766Z5</t>
        </is>
      </c>
      <c r="B19766" t="inlineStr">
        <is>
          <t>Mar-2020</t>
        </is>
      </c>
      <c r="C19766" s="2" t="n">
        <v>44043</v>
      </c>
      <c r="D19766" t="inlineStr">
        <is>
          <t>NON-NIL</t>
        </is>
      </c>
      <c r="E19766" t="n">
        <v>253</v>
      </c>
    </row>
    <row r="19767">
      <c r="A19767" t="inlineStr">
        <is>
          <t>27BBBBB19767Z5</t>
        </is>
      </c>
      <c r="B19767" t="inlineStr">
        <is>
          <t>May-2020</t>
        </is>
      </c>
      <c r="C19767" s="2" t="n">
        <v>44679</v>
      </c>
      <c r="D19767" t="inlineStr">
        <is>
          <t>NIL</t>
        </is>
      </c>
      <c r="E19767" t="n">
        <v>1104</v>
      </c>
    </row>
    <row r="19768">
      <c r="A19768" t="inlineStr">
        <is>
          <t>27BBBBB19768Z5</t>
        </is>
      </c>
      <c r="B19768" t="inlineStr">
        <is>
          <t>Apr-2018</t>
        </is>
      </c>
      <c r="C19768" s="2" t="n">
        <v>44159</v>
      </c>
      <c r="D19768" t="inlineStr">
        <is>
          <t>NON-NIL</t>
        </is>
      </c>
      <c r="E19768" t="n">
        <v>2865</v>
      </c>
    </row>
    <row r="19769">
      <c r="A19769" t="inlineStr">
        <is>
          <t>27BBBBB19769Z5</t>
        </is>
      </c>
      <c r="B19769" t="inlineStr">
        <is>
          <t>Nov-2018</t>
        </is>
      </c>
      <c r="C19769" s="2" t="n">
        <v>43194</v>
      </c>
      <c r="D19769" t="inlineStr">
        <is>
          <t>NIL</t>
        </is>
      </c>
      <c r="E19769" t="n">
        <v>52</v>
      </c>
    </row>
    <row r="19770">
      <c r="A19770" t="inlineStr">
        <is>
          <t>27BBBBB19770Z5</t>
        </is>
      </c>
      <c r="B19770" t="inlineStr">
        <is>
          <t>Nov-2017</t>
        </is>
      </c>
      <c r="C19770" s="2" t="n">
        <v>43881</v>
      </c>
      <c r="D19770" t="inlineStr">
        <is>
          <t>NON-NIL</t>
        </is>
      </c>
      <c r="E19770" t="n">
        <v>1499</v>
      </c>
    </row>
    <row r="19771">
      <c r="A19771" t="inlineStr">
        <is>
          <t>27BBBBB19771Z5</t>
        </is>
      </c>
      <c r="B19771" t="inlineStr">
        <is>
          <t>Mar-2018</t>
        </is>
      </c>
      <c r="C19771" s="2" t="n">
        <v>43463</v>
      </c>
      <c r="D19771" t="inlineStr">
        <is>
          <t>NIL</t>
        </is>
      </c>
      <c r="E19771" t="n">
        <v>129</v>
      </c>
    </row>
    <row r="19772">
      <c r="A19772" t="inlineStr">
        <is>
          <t>27BBBBB19772Z5</t>
        </is>
      </c>
      <c r="B19772" t="inlineStr">
        <is>
          <t>Mar-2020</t>
        </is>
      </c>
      <c r="C19772" s="2" t="n">
        <v>44322</v>
      </c>
      <c r="D19772" t="inlineStr">
        <is>
          <t>NON-NIL</t>
        </is>
      </c>
      <c r="E19772" t="n">
        <v>2145</v>
      </c>
    </row>
    <row r="19773">
      <c r="A19773" t="inlineStr">
        <is>
          <t>27BBBBB19773Z5</t>
        </is>
      </c>
      <c r="B19773" t="inlineStr">
        <is>
          <t>Jun-2018</t>
        </is>
      </c>
      <c r="C19773" s="2" t="n">
        <v>43232</v>
      </c>
      <c r="D19773" t="inlineStr">
        <is>
          <t>NIL</t>
        </is>
      </c>
      <c r="E19773" t="n">
        <v>1846</v>
      </c>
    </row>
    <row r="19774">
      <c r="A19774" t="inlineStr">
        <is>
          <t>27BBBBB19774Z5</t>
        </is>
      </c>
      <c r="B19774" t="inlineStr">
        <is>
          <t>Mar-2018</t>
        </is>
      </c>
      <c r="C19774" s="2" t="n">
        <v>43163</v>
      </c>
      <c r="D19774" t="inlineStr">
        <is>
          <t>NON-NIL</t>
        </is>
      </c>
      <c r="E19774" t="n">
        <v>1031</v>
      </c>
    </row>
    <row r="19775">
      <c r="A19775" t="inlineStr">
        <is>
          <t>27BBBBB19775Z5</t>
        </is>
      </c>
      <c r="B19775" t="inlineStr">
        <is>
          <t>Dec-2024</t>
        </is>
      </c>
      <c r="C19775" s="2" t="n">
        <v>45445</v>
      </c>
      <c r="D19775" t="inlineStr">
        <is>
          <t>NIL</t>
        </is>
      </c>
      <c r="E19775" t="n">
        <v>2314</v>
      </c>
    </row>
    <row r="19776">
      <c r="A19776" t="inlineStr">
        <is>
          <t>27BBBBB19776Z5</t>
        </is>
      </c>
      <c r="B19776" t="inlineStr">
        <is>
          <t>Jan-2021</t>
        </is>
      </c>
      <c r="C19776" s="2" t="n">
        <v>44188</v>
      </c>
      <c r="D19776" t="inlineStr">
        <is>
          <t>NIL</t>
        </is>
      </c>
      <c r="E19776" t="n">
        <v>558</v>
      </c>
    </row>
    <row r="19777">
      <c r="A19777" t="inlineStr">
        <is>
          <t>27BBBBB19777Z5</t>
        </is>
      </c>
      <c r="B19777" t="inlineStr">
        <is>
          <t>Jul-2020</t>
        </is>
      </c>
      <c r="C19777" s="2" t="n">
        <v>44886</v>
      </c>
      <c r="D19777" t="inlineStr">
        <is>
          <t>NIL</t>
        </is>
      </c>
      <c r="E19777" t="n">
        <v>2590</v>
      </c>
    </row>
    <row r="19778">
      <c r="A19778" t="inlineStr">
        <is>
          <t>27BBBBB19778Z5</t>
        </is>
      </c>
      <c r="B19778" t="inlineStr">
        <is>
          <t>Jun-2020</t>
        </is>
      </c>
      <c r="C19778" s="2" t="n">
        <v>44915</v>
      </c>
      <c r="D19778" t="inlineStr">
        <is>
          <t>NON-NIL</t>
        </is>
      </c>
      <c r="E19778" t="n">
        <v>2045</v>
      </c>
    </row>
    <row r="19779">
      <c r="A19779" t="inlineStr">
        <is>
          <t>27BBBBB19779Z5</t>
        </is>
      </c>
      <c r="B19779" t="inlineStr">
        <is>
          <t>Mar-2023</t>
        </is>
      </c>
      <c r="C19779" s="2" t="n">
        <v>43845</v>
      </c>
      <c r="D19779" t="inlineStr">
        <is>
          <t>NON-NIL</t>
        </is>
      </c>
      <c r="E19779" t="n">
        <v>931</v>
      </c>
    </row>
    <row r="19780">
      <c r="A19780" t="inlineStr">
        <is>
          <t>27BBBBB19780Z5</t>
        </is>
      </c>
      <c r="B19780" t="inlineStr">
        <is>
          <t>Dec-2024</t>
        </is>
      </c>
      <c r="C19780" s="2" t="n">
        <v>43770</v>
      </c>
      <c r="D19780" t="inlineStr">
        <is>
          <t>NIL</t>
        </is>
      </c>
      <c r="E19780" t="n">
        <v>911</v>
      </c>
    </row>
    <row r="19781">
      <c r="A19781" t="inlineStr">
        <is>
          <t>27BBBBB19781Z5</t>
        </is>
      </c>
      <c r="B19781" t="inlineStr">
        <is>
          <t>Jul-2017</t>
        </is>
      </c>
      <c r="C19781" s="2" t="n">
        <v>43110</v>
      </c>
      <c r="D19781" t="inlineStr">
        <is>
          <t>NIL</t>
        </is>
      </c>
      <c r="E19781" t="n">
        <v>869</v>
      </c>
    </row>
    <row r="19782">
      <c r="A19782" t="inlineStr">
        <is>
          <t>27BBBBB19782Z5</t>
        </is>
      </c>
      <c r="B19782" t="inlineStr">
        <is>
          <t>Jan-2018</t>
        </is>
      </c>
      <c r="C19782" s="2" t="n">
        <v>44251</v>
      </c>
      <c r="D19782" t="inlineStr">
        <is>
          <t>NON-NIL</t>
        </is>
      </c>
      <c r="E19782" t="n">
        <v>5</v>
      </c>
    </row>
    <row r="19783">
      <c r="A19783" t="inlineStr">
        <is>
          <t>27BBBBB19783Z5</t>
        </is>
      </c>
      <c r="B19783" t="inlineStr">
        <is>
          <t>Feb-2018</t>
        </is>
      </c>
      <c r="C19783" s="2" t="n">
        <v>43590</v>
      </c>
      <c r="D19783" t="inlineStr">
        <is>
          <t>NIL</t>
        </is>
      </c>
      <c r="E19783" t="n">
        <v>1528</v>
      </c>
    </row>
    <row r="19784">
      <c r="A19784" t="inlineStr">
        <is>
          <t>27BBBBB19784Z5</t>
        </is>
      </c>
      <c r="B19784" t="inlineStr">
        <is>
          <t>Jun-2018</t>
        </is>
      </c>
      <c r="C19784" s="2" t="n">
        <v>43910</v>
      </c>
      <c r="D19784" t="inlineStr">
        <is>
          <t>NON-NIL</t>
        </is>
      </c>
      <c r="E19784" t="n">
        <v>952</v>
      </c>
    </row>
    <row r="19785">
      <c r="A19785" t="inlineStr">
        <is>
          <t>27BBBBB19785Z5</t>
        </is>
      </c>
      <c r="B19785" t="inlineStr">
        <is>
          <t>Jul-2020</t>
        </is>
      </c>
      <c r="C19785" s="2" t="n">
        <v>44657</v>
      </c>
      <c r="D19785" t="inlineStr">
        <is>
          <t>NON-NIL</t>
        </is>
      </c>
      <c r="E19785" t="n">
        <v>616</v>
      </c>
    </row>
    <row r="19786">
      <c r="A19786" t="inlineStr">
        <is>
          <t>27BBBBB19786Z5</t>
        </is>
      </c>
      <c r="B19786" t="inlineStr">
        <is>
          <t>Dec-2024</t>
        </is>
      </c>
      <c r="C19786" s="2" t="n">
        <v>43743</v>
      </c>
      <c r="D19786" t="inlineStr">
        <is>
          <t>NIL</t>
        </is>
      </c>
      <c r="E19786" t="n">
        <v>2780</v>
      </c>
    </row>
    <row r="19787">
      <c r="A19787" t="inlineStr">
        <is>
          <t>27BBBBB19787Z5</t>
        </is>
      </c>
      <c r="B19787" t="inlineStr">
        <is>
          <t>Oct-2018</t>
        </is>
      </c>
      <c r="C19787" s="2" t="n">
        <v>44180</v>
      </c>
      <c r="D19787" t="inlineStr">
        <is>
          <t>NIL</t>
        </is>
      </c>
      <c r="E19787" t="n">
        <v>450</v>
      </c>
    </row>
    <row r="19788">
      <c r="A19788" t="inlineStr">
        <is>
          <t>27BBBBB19788Z5</t>
        </is>
      </c>
      <c r="B19788" t="inlineStr">
        <is>
          <t>Jan-2021</t>
        </is>
      </c>
      <c r="C19788" s="2" t="n">
        <v>44758</v>
      </c>
      <c r="D19788" t="inlineStr">
        <is>
          <t>NON-NIL</t>
        </is>
      </c>
      <c r="E19788" t="n">
        <v>2374</v>
      </c>
    </row>
    <row r="19789">
      <c r="A19789" t="inlineStr">
        <is>
          <t>27BBBBB19789Z5</t>
        </is>
      </c>
      <c r="B19789" t="inlineStr">
        <is>
          <t>Apr-2020</t>
        </is>
      </c>
      <c r="C19789" s="2" t="n">
        <v>44751</v>
      </c>
      <c r="D19789" t="inlineStr">
        <is>
          <t>NIL</t>
        </is>
      </c>
      <c r="E19789" t="n">
        <v>1472</v>
      </c>
    </row>
    <row r="19790">
      <c r="A19790" t="inlineStr">
        <is>
          <t>27BBBBB19790Z5</t>
        </is>
      </c>
      <c r="B19790" t="inlineStr">
        <is>
          <t>Aug-2017</t>
        </is>
      </c>
      <c r="C19790" s="2" t="n">
        <v>44067</v>
      </c>
      <c r="D19790" t="inlineStr">
        <is>
          <t>NON-NIL</t>
        </is>
      </c>
      <c r="E19790" t="n">
        <v>137</v>
      </c>
    </row>
    <row r="19791">
      <c r="A19791" t="inlineStr">
        <is>
          <t>27BBBBB19791Z5</t>
        </is>
      </c>
      <c r="B19791" t="inlineStr">
        <is>
          <t>Sep-2018</t>
        </is>
      </c>
      <c r="C19791" s="2" t="n">
        <v>43749</v>
      </c>
      <c r="D19791" t="inlineStr">
        <is>
          <t>NON-NIL</t>
        </is>
      </c>
      <c r="E19791" t="n">
        <v>2531</v>
      </c>
    </row>
    <row r="19792">
      <c r="A19792" t="inlineStr">
        <is>
          <t>27BBBBB19792Z5</t>
        </is>
      </c>
      <c r="B19792" t="inlineStr">
        <is>
          <t>Sep-2018</t>
        </is>
      </c>
      <c r="C19792" s="2" t="n">
        <v>44160</v>
      </c>
      <c r="D19792" t="inlineStr">
        <is>
          <t>NIL</t>
        </is>
      </c>
      <c r="E19792" t="n">
        <v>1958</v>
      </c>
    </row>
    <row r="19793">
      <c r="A19793" t="inlineStr">
        <is>
          <t>27BBBBB19793Z5</t>
        </is>
      </c>
      <c r="B19793" t="inlineStr">
        <is>
          <t>Nov-2018</t>
        </is>
      </c>
      <c r="C19793" s="2" t="n">
        <v>43379</v>
      </c>
      <c r="D19793" t="inlineStr">
        <is>
          <t>NON-NIL</t>
        </is>
      </c>
      <c r="E19793" t="n">
        <v>1255</v>
      </c>
    </row>
    <row r="19794">
      <c r="A19794" t="inlineStr">
        <is>
          <t>27BBBBB19794Z5</t>
        </is>
      </c>
      <c r="B19794" t="inlineStr">
        <is>
          <t>Jul-2018</t>
        </is>
      </c>
      <c r="C19794" s="2" t="n">
        <v>44289</v>
      </c>
      <c r="D19794" t="inlineStr">
        <is>
          <t>NON-NIL</t>
        </is>
      </c>
      <c r="E19794" t="n">
        <v>995</v>
      </c>
    </row>
    <row r="19795">
      <c r="A19795" t="inlineStr">
        <is>
          <t>27BBBBB19795Z5</t>
        </is>
      </c>
      <c r="B19795" t="inlineStr">
        <is>
          <t>Nov-2018</t>
        </is>
      </c>
      <c r="C19795" s="2" t="n">
        <v>44411</v>
      </c>
      <c r="D19795" t="inlineStr">
        <is>
          <t>NIL</t>
        </is>
      </c>
      <c r="E19795" t="n">
        <v>885</v>
      </c>
    </row>
    <row r="19796">
      <c r="A19796" t="inlineStr">
        <is>
          <t>27BBBBB19796Z5</t>
        </is>
      </c>
      <c r="B19796" t="inlineStr">
        <is>
          <t>Aug-2018</t>
        </is>
      </c>
      <c r="C19796" s="2" t="n">
        <v>44209</v>
      </c>
      <c r="D19796" t="inlineStr">
        <is>
          <t>NON-NIL</t>
        </is>
      </c>
      <c r="E19796" t="n">
        <v>2636</v>
      </c>
    </row>
    <row r="19797">
      <c r="A19797" t="inlineStr">
        <is>
          <t>27BBBBB19797Z5</t>
        </is>
      </c>
      <c r="B19797" t="inlineStr">
        <is>
          <t>Nov-2017</t>
        </is>
      </c>
      <c r="C19797" s="2" t="n">
        <v>43309</v>
      </c>
      <c r="D19797" t="inlineStr">
        <is>
          <t>NIL</t>
        </is>
      </c>
      <c r="E19797" t="n">
        <v>163</v>
      </c>
    </row>
    <row r="19798">
      <c r="A19798" t="inlineStr">
        <is>
          <t>27BBBBB19798Z5</t>
        </is>
      </c>
      <c r="B19798" t="inlineStr">
        <is>
          <t>Sep-2018</t>
        </is>
      </c>
      <c r="C19798" s="2" t="n">
        <v>44172</v>
      </c>
      <c r="D19798" t="inlineStr">
        <is>
          <t>NIL</t>
        </is>
      </c>
      <c r="E19798" t="n">
        <v>1380</v>
      </c>
    </row>
    <row r="19799">
      <c r="A19799" t="inlineStr">
        <is>
          <t>27BBBBB19799Z5</t>
        </is>
      </c>
      <c r="B19799" t="inlineStr">
        <is>
          <t>Mar-2018</t>
        </is>
      </c>
      <c r="C19799" s="2" t="n">
        <v>43687</v>
      </c>
      <c r="D19799" t="inlineStr">
        <is>
          <t>NIL</t>
        </is>
      </c>
      <c r="E19799" t="n">
        <v>1681</v>
      </c>
    </row>
    <row r="19800">
      <c r="A19800" t="inlineStr">
        <is>
          <t>27BBBBB19800Z5</t>
        </is>
      </c>
      <c r="B19800" t="inlineStr">
        <is>
          <t>May-2020</t>
        </is>
      </c>
      <c r="C19800" s="2" t="n">
        <v>43843</v>
      </c>
      <c r="D19800" t="inlineStr">
        <is>
          <t>NIL</t>
        </is>
      </c>
      <c r="E19800" t="n">
        <v>1394</v>
      </c>
    </row>
    <row r="19801">
      <c r="A19801" t="inlineStr">
        <is>
          <t>27BBBBB19801Z5</t>
        </is>
      </c>
      <c r="B19801" t="inlineStr">
        <is>
          <t>Apr-2018</t>
        </is>
      </c>
      <c r="C19801" s="2" t="n">
        <v>44306</v>
      </c>
      <c r="D19801" t="inlineStr">
        <is>
          <t>NIL</t>
        </is>
      </c>
      <c r="E19801" t="n">
        <v>1841</v>
      </c>
    </row>
    <row r="19802">
      <c r="A19802" t="inlineStr">
        <is>
          <t>27BBBBB19802Z5</t>
        </is>
      </c>
      <c r="B19802" t="inlineStr">
        <is>
          <t>Mar-2023</t>
        </is>
      </c>
      <c r="C19802" s="2" t="n">
        <v>44108</v>
      </c>
      <c r="D19802" t="inlineStr">
        <is>
          <t>NIL</t>
        </is>
      </c>
      <c r="E19802" t="n">
        <v>39</v>
      </c>
    </row>
    <row r="19803">
      <c r="A19803" t="inlineStr">
        <is>
          <t>27BBBBB19803Z5</t>
        </is>
      </c>
      <c r="B19803" t="inlineStr">
        <is>
          <t>Jul-2017</t>
        </is>
      </c>
      <c r="C19803" s="2" t="n">
        <v>43797</v>
      </c>
      <c r="D19803" t="inlineStr">
        <is>
          <t>NON-NIL</t>
        </is>
      </c>
      <c r="E19803" t="n">
        <v>2866</v>
      </c>
    </row>
    <row r="19804">
      <c r="A19804" t="inlineStr">
        <is>
          <t>27BBBBB19804Z5</t>
        </is>
      </c>
      <c r="B19804" t="inlineStr">
        <is>
          <t>Mar-2023</t>
        </is>
      </c>
      <c r="C19804" s="2" t="n">
        <v>45515</v>
      </c>
      <c r="D19804" t="inlineStr">
        <is>
          <t>NON-NIL</t>
        </is>
      </c>
      <c r="E19804" t="n">
        <v>2053</v>
      </c>
    </row>
    <row r="19805">
      <c r="A19805" t="inlineStr">
        <is>
          <t>27BBBBB19805Z5</t>
        </is>
      </c>
      <c r="B19805" t="inlineStr">
        <is>
          <t>Apr-2018</t>
        </is>
      </c>
      <c r="C19805" s="2" t="n">
        <v>44005</v>
      </c>
      <c r="D19805" t="inlineStr">
        <is>
          <t>NIL</t>
        </is>
      </c>
      <c r="E19805" t="n">
        <v>235</v>
      </c>
    </row>
    <row r="19806">
      <c r="A19806" t="inlineStr">
        <is>
          <t>27BBBBB19806Z5</t>
        </is>
      </c>
      <c r="B19806" t="inlineStr">
        <is>
          <t>Jun-2020</t>
        </is>
      </c>
      <c r="C19806" s="2" t="n">
        <v>44919</v>
      </c>
      <c r="D19806" t="inlineStr">
        <is>
          <t>NON-NIL</t>
        </is>
      </c>
      <c r="E19806" t="n">
        <v>1025</v>
      </c>
    </row>
    <row r="19807">
      <c r="A19807" t="inlineStr">
        <is>
          <t>27BBBBB19807Z5</t>
        </is>
      </c>
      <c r="B19807" t="inlineStr">
        <is>
          <t>Aug-2018</t>
        </is>
      </c>
      <c r="C19807" s="2" t="n">
        <v>43900</v>
      </c>
      <c r="D19807" t="inlineStr">
        <is>
          <t>NON-NIL</t>
        </is>
      </c>
      <c r="E19807" t="n">
        <v>740</v>
      </c>
    </row>
    <row r="19808">
      <c r="A19808" t="inlineStr">
        <is>
          <t>27BBBBB19808Z5</t>
        </is>
      </c>
      <c r="B19808" t="inlineStr">
        <is>
          <t>Dec-2018</t>
        </is>
      </c>
      <c r="C19808" s="2" t="n">
        <v>42995</v>
      </c>
      <c r="D19808" t="inlineStr">
        <is>
          <t>NON-NIL</t>
        </is>
      </c>
      <c r="E19808" t="n">
        <v>1302</v>
      </c>
    </row>
    <row r="19809">
      <c r="A19809" t="inlineStr">
        <is>
          <t>27BBBBB19809Z5</t>
        </is>
      </c>
      <c r="B19809" t="inlineStr">
        <is>
          <t>Apr-2018</t>
        </is>
      </c>
      <c r="C19809" s="2" t="n">
        <v>43286</v>
      </c>
      <c r="D19809" t="inlineStr">
        <is>
          <t>NIL</t>
        </is>
      </c>
      <c r="E19809" t="n">
        <v>416</v>
      </c>
    </row>
    <row r="19810">
      <c r="A19810" t="inlineStr">
        <is>
          <t>27BBBBB19810Z5</t>
        </is>
      </c>
      <c r="B19810" t="inlineStr">
        <is>
          <t>Jul-2020</t>
        </is>
      </c>
      <c r="C19810" s="2" t="n">
        <v>44469</v>
      </c>
      <c r="D19810" t="inlineStr">
        <is>
          <t>NIL</t>
        </is>
      </c>
      <c r="E19810" t="n">
        <v>2380</v>
      </c>
    </row>
    <row r="19811">
      <c r="A19811" t="inlineStr">
        <is>
          <t>27BBBBB19811Z5</t>
        </is>
      </c>
      <c r="B19811" t="inlineStr">
        <is>
          <t>Mar-2021</t>
        </is>
      </c>
      <c r="C19811" s="2" t="n">
        <v>45148</v>
      </c>
      <c r="D19811" t="inlineStr">
        <is>
          <t>NON-NIL</t>
        </is>
      </c>
      <c r="E19811" t="n">
        <v>1891</v>
      </c>
    </row>
    <row r="19812">
      <c r="A19812" t="inlineStr">
        <is>
          <t>27BBBBB19812Z5</t>
        </is>
      </c>
      <c r="B19812" t="inlineStr">
        <is>
          <t>May-2020</t>
        </is>
      </c>
      <c r="C19812" s="2" t="n">
        <v>44277</v>
      </c>
      <c r="D19812" t="inlineStr">
        <is>
          <t>NIL</t>
        </is>
      </c>
      <c r="E19812" t="n">
        <v>1105</v>
      </c>
    </row>
    <row r="19813">
      <c r="A19813" t="inlineStr">
        <is>
          <t>27BBBBB19813Z5</t>
        </is>
      </c>
      <c r="B19813" t="inlineStr">
        <is>
          <t>Oct-2017</t>
        </is>
      </c>
      <c r="C19813" s="2" t="n">
        <v>43387</v>
      </c>
      <c r="D19813" t="inlineStr">
        <is>
          <t>NIL</t>
        </is>
      </c>
      <c r="E19813" t="n">
        <v>903</v>
      </c>
    </row>
    <row r="19814">
      <c r="A19814" t="inlineStr">
        <is>
          <t>27BBBBB19814Z5</t>
        </is>
      </c>
      <c r="B19814" t="inlineStr">
        <is>
          <t>Apr-2020</t>
        </is>
      </c>
      <c r="C19814" s="2" t="n">
        <v>44062</v>
      </c>
      <c r="D19814" t="inlineStr">
        <is>
          <t>NON-NIL</t>
        </is>
      </c>
      <c r="E19814" t="n">
        <v>107</v>
      </c>
    </row>
    <row r="19815">
      <c r="A19815" t="inlineStr">
        <is>
          <t>27BBBBB19815Z5</t>
        </is>
      </c>
      <c r="B19815" t="inlineStr">
        <is>
          <t>Jun-2018</t>
        </is>
      </c>
      <c r="C19815" s="2" t="n">
        <v>43484</v>
      </c>
      <c r="D19815" t="inlineStr">
        <is>
          <t>NON-NIL</t>
        </is>
      </c>
      <c r="E19815" t="n">
        <v>1767</v>
      </c>
    </row>
    <row r="19816">
      <c r="A19816" t="inlineStr">
        <is>
          <t>27BBBBB19816Z5</t>
        </is>
      </c>
      <c r="B19816" t="inlineStr">
        <is>
          <t>Dec-2018</t>
        </is>
      </c>
      <c r="C19816" s="2" t="n">
        <v>43109</v>
      </c>
      <c r="D19816" t="inlineStr">
        <is>
          <t>NIL</t>
        </is>
      </c>
      <c r="E19816" t="n">
        <v>2946</v>
      </c>
    </row>
    <row r="19817">
      <c r="A19817" t="inlineStr">
        <is>
          <t>27BBBBB19817Z5</t>
        </is>
      </c>
      <c r="B19817" t="inlineStr">
        <is>
          <t>Dec-2022</t>
        </is>
      </c>
      <c r="C19817" s="2" t="n">
        <v>44802</v>
      </c>
      <c r="D19817" t="inlineStr">
        <is>
          <t>NON-NIL</t>
        </is>
      </c>
      <c r="E19817" t="n">
        <v>196</v>
      </c>
    </row>
    <row r="19818">
      <c r="A19818" t="inlineStr">
        <is>
          <t>27BBBBB19818Z5</t>
        </is>
      </c>
      <c r="B19818" t="inlineStr">
        <is>
          <t>Oct-2017</t>
        </is>
      </c>
      <c r="C19818" s="2" t="n">
        <v>44473</v>
      </c>
      <c r="D19818" t="inlineStr">
        <is>
          <t>NIL</t>
        </is>
      </c>
      <c r="E19818" t="n">
        <v>1529</v>
      </c>
    </row>
    <row r="19819">
      <c r="A19819" t="inlineStr">
        <is>
          <t>27BBBBB19819Z5</t>
        </is>
      </c>
      <c r="B19819" t="inlineStr">
        <is>
          <t>Jan-2018</t>
        </is>
      </c>
      <c r="C19819" s="2" t="n">
        <v>43965</v>
      </c>
      <c r="D19819" t="inlineStr">
        <is>
          <t>NIL</t>
        </is>
      </c>
      <c r="E19819" t="n">
        <v>2413</v>
      </c>
    </row>
    <row r="19820">
      <c r="A19820" t="inlineStr">
        <is>
          <t>27BBBBB19820Z5</t>
        </is>
      </c>
      <c r="B19820" t="inlineStr">
        <is>
          <t>Oct-2018</t>
        </is>
      </c>
      <c r="C19820" s="2" t="n">
        <v>43193</v>
      </c>
      <c r="D19820" t="inlineStr">
        <is>
          <t>NIL</t>
        </is>
      </c>
      <c r="E19820" t="n">
        <v>1693</v>
      </c>
    </row>
    <row r="19821">
      <c r="A19821" t="inlineStr">
        <is>
          <t>27BBBBB19821Z5</t>
        </is>
      </c>
      <c r="B19821" t="inlineStr">
        <is>
          <t>Sep-2017</t>
        </is>
      </c>
      <c r="C19821" s="2" t="n">
        <v>43163</v>
      </c>
      <c r="D19821" t="inlineStr">
        <is>
          <t>NON-NIL</t>
        </is>
      </c>
      <c r="E19821" t="n">
        <v>1861</v>
      </c>
    </row>
    <row r="19822">
      <c r="A19822" t="inlineStr">
        <is>
          <t>27BBBBB19822Z5</t>
        </is>
      </c>
      <c r="B19822" t="inlineStr">
        <is>
          <t>Mar-2023</t>
        </is>
      </c>
      <c r="C19822" s="2" t="n">
        <v>45486</v>
      </c>
      <c r="D19822" t="inlineStr">
        <is>
          <t>NON-NIL</t>
        </is>
      </c>
      <c r="E19822" t="n">
        <v>2423</v>
      </c>
    </row>
    <row r="19823">
      <c r="A19823" t="inlineStr">
        <is>
          <t>27BBBBB19823Z5</t>
        </is>
      </c>
      <c r="B19823" t="inlineStr">
        <is>
          <t>May-2018</t>
        </is>
      </c>
      <c r="C19823" s="2" t="n">
        <v>43109</v>
      </c>
      <c r="D19823" t="inlineStr">
        <is>
          <t>NIL</t>
        </is>
      </c>
      <c r="E19823" t="n">
        <v>2718</v>
      </c>
    </row>
    <row r="19824">
      <c r="A19824" t="inlineStr">
        <is>
          <t>27BBBBB19824Z5</t>
        </is>
      </c>
      <c r="B19824" t="inlineStr">
        <is>
          <t>Apr-2018</t>
        </is>
      </c>
      <c r="C19824" s="2" t="n">
        <v>43095</v>
      </c>
      <c r="D19824" t="inlineStr">
        <is>
          <t>NON-NIL</t>
        </is>
      </c>
      <c r="E19824" t="n">
        <v>2766</v>
      </c>
    </row>
    <row r="19825">
      <c r="A19825" t="inlineStr">
        <is>
          <t>27BBBBB19825Z5</t>
        </is>
      </c>
      <c r="B19825" t="inlineStr">
        <is>
          <t>Apr-2020</t>
        </is>
      </c>
      <c r="C19825" s="2" t="n">
        <v>44372</v>
      </c>
      <c r="D19825" t="inlineStr">
        <is>
          <t>NIL</t>
        </is>
      </c>
      <c r="E19825" t="n">
        <v>886</v>
      </c>
    </row>
    <row r="19826">
      <c r="A19826" t="inlineStr">
        <is>
          <t>27BBBBB19826Z5</t>
        </is>
      </c>
      <c r="B19826" t="inlineStr">
        <is>
          <t>Jun-2020</t>
        </is>
      </c>
      <c r="C19826" s="2" t="n">
        <v>44196</v>
      </c>
      <c r="D19826" t="inlineStr">
        <is>
          <t>NIL</t>
        </is>
      </c>
      <c r="E19826" t="n">
        <v>2654</v>
      </c>
    </row>
    <row r="19827">
      <c r="A19827" t="inlineStr">
        <is>
          <t>27BBBBB19827Z5</t>
        </is>
      </c>
      <c r="B19827" t="inlineStr">
        <is>
          <t>Mar-2021</t>
        </is>
      </c>
      <c r="C19827" s="2" t="n">
        <v>43623</v>
      </c>
      <c r="D19827" t="inlineStr">
        <is>
          <t>NON-NIL</t>
        </is>
      </c>
      <c r="E19827" t="n">
        <v>2897</v>
      </c>
    </row>
    <row r="19828">
      <c r="A19828" t="inlineStr">
        <is>
          <t>27BBBBB19828Z5</t>
        </is>
      </c>
      <c r="B19828" t="inlineStr">
        <is>
          <t>Mar-2023</t>
        </is>
      </c>
      <c r="C19828" s="2" t="n">
        <v>43924</v>
      </c>
      <c r="D19828" t="inlineStr">
        <is>
          <t>NIL</t>
        </is>
      </c>
      <c r="E19828" t="n">
        <v>699</v>
      </c>
    </row>
    <row r="19829">
      <c r="A19829" t="inlineStr">
        <is>
          <t>27BBBBB19829Z5</t>
        </is>
      </c>
      <c r="B19829" t="inlineStr">
        <is>
          <t>Mar-2018</t>
        </is>
      </c>
      <c r="C19829" s="2" t="n">
        <v>44401</v>
      </c>
      <c r="D19829" t="inlineStr">
        <is>
          <t>NON-NIL</t>
        </is>
      </c>
      <c r="E19829" t="n">
        <v>50</v>
      </c>
    </row>
    <row r="19830">
      <c r="A19830" t="inlineStr">
        <is>
          <t>27BBBBB19830Z5</t>
        </is>
      </c>
      <c r="B19830" t="inlineStr">
        <is>
          <t>Jul-2020</t>
        </is>
      </c>
      <c r="C19830" s="2" t="n">
        <v>44632</v>
      </c>
      <c r="D19830" t="inlineStr">
        <is>
          <t>NON-NIL</t>
        </is>
      </c>
      <c r="E19830" t="n">
        <v>1100</v>
      </c>
    </row>
    <row r="19831">
      <c r="A19831" t="inlineStr">
        <is>
          <t>27BBBBB19831Z5</t>
        </is>
      </c>
      <c r="B19831" t="inlineStr">
        <is>
          <t>Dec-2017</t>
        </is>
      </c>
      <c r="C19831" s="2" t="n">
        <v>43407</v>
      </c>
      <c r="D19831" t="inlineStr">
        <is>
          <t>NON-NIL</t>
        </is>
      </c>
      <c r="E19831" t="n">
        <v>502</v>
      </c>
    </row>
    <row r="19832">
      <c r="A19832" t="inlineStr">
        <is>
          <t>27BBBBB19832Z5</t>
        </is>
      </c>
      <c r="B19832" t="inlineStr">
        <is>
          <t>Aug-2018</t>
        </is>
      </c>
      <c r="C19832" s="2" t="n">
        <v>44050</v>
      </c>
      <c r="D19832" t="inlineStr">
        <is>
          <t>NON-NIL</t>
        </is>
      </c>
      <c r="E19832" t="n">
        <v>128</v>
      </c>
    </row>
    <row r="19833">
      <c r="A19833" t="inlineStr">
        <is>
          <t>27BBBBB19833Z5</t>
        </is>
      </c>
      <c r="B19833" t="inlineStr">
        <is>
          <t>Dec-2017</t>
        </is>
      </c>
      <c r="C19833" s="2" t="n">
        <v>43945</v>
      </c>
      <c r="D19833" t="inlineStr">
        <is>
          <t>NIL</t>
        </is>
      </c>
      <c r="E19833" t="n">
        <v>300</v>
      </c>
    </row>
    <row r="19834">
      <c r="A19834" t="inlineStr">
        <is>
          <t>27BBBBB19834Z5</t>
        </is>
      </c>
      <c r="B19834" t="inlineStr">
        <is>
          <t>Jul-2018</t>
        </is>
      </c>
      <c r="C19834" s="2" t="n">
        <v>43915</v>
      </c>
      <c r="D19834" t="inlineStr">
        <is>
          <t>NON-NIL</t>
        </is>
      </c>
      <c r="E19834" t="n">
        <v>2580</v>
      </c>
    </row>
    <row r="19835">
      <c r="A19835" t="inlineStr">
        <is>
          <t>27BBBBB19835Z5</t>
        </is>
      </c>
      <c r="B19835" t="inlineStr">
        <is>
          <t>Jun-2020</t>
        </is>
      </c>
      <c r="C19835" s="2" t="n">
        <v>43904</v>
      </c>
      <c r="D19835" t="inlineStr">
        <is>
          <t>NIL</t>
        </is>
      </c>
      <c r="E19835" t="n">
        <v>601</v>
      </c>
    </row>
    <row r="19836">
      <c r="A19836" t="inlineStr">
        <is>
          <t>27BBBBB19836Z5</t>
        </is>
      </c>
      <c r="B19836" t="inlineStr">
        <is>
          <t>Jul-2017</t>
        </is>
      </c>
      <c r="C19836" s="2" t="n">
        <v>44476</v>
      </c>
      <c r="D19836" t="inlineStr">
        <is>
          <t>NIL</t>
        </is>
      </c>
      <c r="E19836" t="n">
        <v>1052</v>
      </c>
    </row>
    <row r="19837">
      <c r="A19837" t="inlineStr">
        <is>
          <t>27BBBBB19837Z5</t>
        </is>
      </c>
      <c r="B19837" t="inlineStr">
        <is>
          <t>Jul-2018</t>
        </is>
      </c>
      <c r="C19837" s="2" t="n">
        <v>43023</v>
      </c>
      <c r="D19837" t="inlineStr">
        <is>
          <t>NON-NIL</t>
        </is>
      </c>
      <c r="E19837" t="n">
        <v>1706</v>
      </c>
    </row>
    <row r="19838">
      <c r="A19838" t="inlineStr">
        <is>
          <t>27BBBBB19838Z5</t>
        </is>
      </c>
      <c r="B19838" t="inlineStr">
        <is>
          <t>Dec-2017</t>
        </is>
      </c>
      <c r="C19838" s="2" t="n">
        <v>43791</v>
      </c>
      <c r="D19838" t="inlineStr">
        <is>
          <t>NIL</t>
        </is>
      </c>
      <c r="E19838" t="n">
        <v>639</v>
      </c>
    </row>
    <row r="19839">
      <c r="A19839" t="inlineStr">
        <is>
          <t>27BBBBB19839Z5</t>
        </is>
      </c>
      <c r="B19839" t="inlineStr">
        <is>
          <t>Sep-2018</t>
        </is>
      </c>
      <c r="C19839" s="2" t="n">
        <v>43431</v>
      </c>
      <c r="D19839" t="inlineStr">
        <is>
          <t>NIL</t>
        </is>
      </c>
      <c r="E19839" t="n">
        <v>1412</v>
      </c>
    </row>
    <row r="19840">
      <c r="A19840" t="inlineStr">
        <is>
          <t>27BBBBB19840Z5</t>
        </is>
      </c>
      <c r="B19840" t="inlineStr">
        <is>
          <t>Jul-2018</t>
        </is>
      </c>
      <c r="C19840" s="2" t="n">
        <v>43164</v>
      </c>
      <c r="D19840" t="inlineStr">
        <is>
          <t>NIL</t>
        </is>
      </c>
      <c r="E19840" t="n">
        <v>2206</v>
      </c>
    </row>
    <row r="19841">
      <c r="A19841" t="inlineStr">
        <is>
          <t>27BBBBB19841Z5</t>
        </is>
      </c>
      <c r="B19841" t="inlineStr">
        <is>
          <t>May-2018</t>
        </is>
      </c>
      <c r="C19841" s="2" t="n">
        <v>43398</v>
      </c>
      <c r="D19841" t="inlineStr">
        <is>
          <t>NIL</t>
        </is>
      </c>
      <c r="E19841" t="n">
        <v>840</v>
      </c>
    </row>
    <row r="19842">
      <c r="A19842" t="inlineStr">
        <is>
          <t>27BBBBB19842Z5</t>
        </is>
      </c>
      <c r="B19842" t="inlineStr">
        <is>
          <t>Oct-2017</t>
        </is>
      </c>
      <c r="C19842" s="2" t="n">
        <v>43123</v>
      </c>
      <c r="D19842" t="inlineStr">
        <is>
          <t>NIL</t>
        </is>
      </c>
      <c r="E19842" t="n">
        <v>709</v>
      </c>
    </row>
    <row r="19843">
      <c r="A19843" t="inlineStr">
        <is>
          <t>27BBBBB19843Z5</t>
        </is>
      </c>
      <c r="B19843" t="inlineStr">
        <is>
          <t>Aug-2017</t>
        </is>
      </c>
      <c r="C19843" s="2" t="n">
        <v>42999</v>
      </c>
      <c r="D19843" t="inlineStr">
        <is>
          <t>NIL</t>
        </is>
      </c>
      <c r="E19843" t="n">
        <v>171</v>
      </c>
    </row>
    <row r="19844">
      <c r="A19844" t="inlineStr">
        <is>
          <t>27BBBBB19844Z5</t>
        </is>
      </c>
      <c r="B19844" t="inlineStr">
        <is>
          <t>Jan-2021</t>
        </is>
      </c>
      <c r="C19844" s="2" t="n">
        <v>44979</v>
      </c>
      <c r="D19844" t="inlineStr">
        <is>
          <t>NIL</t>
        </is>
      </c>
      <c r="E19844" t="n">
        <v>116</v>
      </c>
    </row>
    <row r="19845">
      <c r="A19845" t="inlineStr">
        <is>
          <t>27BBBBB19845Z5</t>
        </is>
      </c>
      <c r="B19845" t="inlineStr">
        <is>
          <t>Jun-2020</t>
        </is>
      </c>
      <c r="C19845" s="2" t="n">
        <v>44740</v>
      </c>
      <c r="D19845" t="inlineStr">
        <is>
          <t>NON-NIL</t>
        </is>
      </c>
      <c r="E19845" t="n">
        <v>2436</v>
      </c>
    </row>
    <row r="19846">
      <c r="A19846" t="inlineStr">
        <is>
          <t>27BBBBB19846Z5</t>
        </is>
      </c>
      <c r="B19846" t="inlineStr">
        <is>
          <t>Feb-2018</t>
        </is>
      </c>
      <c r="C19846" s="2" t="n">
        <v>44027</v>
      </c>
      <c r="D19846" t="inlineStr">
        <is>
          <t>NIL</t>
        </is>
      </c>
      <c r="E19846" t="n">
        <v>2788</v>
      </c>
    </row>
    <row r="19847">
      <c r="A19847" t="inlineStr">
        <is>
          <t>27BBBBB19847Z5</t>
        </is>
      </c>
      <c r="B19847" t="inlineStr">
        <is>
          <t>Feb-2018</t>
        </is>
      </c>
      <c r="C19847" s="2" t="n">
        <v>43698</v>
      </c>
      <c r="D19847" t="inlineStr">
        <is>
          <t>NIL</t>
        </is>
      </c>
      <c r="E19847" t="n">
        <v>2642</v>
      </c>
    </row>
    <row r="19848">
      <c r="A19848" t="inlineStr">
        <is>
          <t>27BBBBB19848Z5</t>
        </is>
      </c>
      <c r="B19848" t="inlineStr">
        <is>
          <t>Nov-2017</t>
        </is>
      </c>
      <c r="C19848" s="2" t="n">
        <v>44150</v>
      </c>
      <c r="D19848" t="inlineStr">
        <is>
          <t>NIL</t>
        </is>
      </c>
      <c r="E19848" t="n">
        <v>2529</v>
      </c>
    </row>
    <row r="19849">
      <c r="A19849" t="inlineStr">
        <is>
          <t>27BBBBB19849Z5</t>
        </is>
      </c>
      <c r="B19849" t="inlineStr">
        <is>
          <t>Aug-2018</t>
        </is>
      </c>
      <c r="C19849" s="2" t="n">
        <v>43149</v>
      </c>
      <c r="D19849" t="inlineStr">
        <is>
          <t>NON-NIL</t>
        </is>
      </c>
      <c r="E19849" t="n">
        <v>411</v>
      </c>
    </row>
    <row r="19850">
      <c r="A19850" t="inlineStr">
        <is>
          <t>27BBBBB19850Z5</t>
        </is>
      </c>
      <c r="B19850" t="inlineStr">
        <is>
          <t>Nov-2018</t>
        </is>
      </c>
      <c r="C19850" s="2" t="n">
        <v>43579</v>
      </c>
      <c r="D19850" t="inlineStr">
        <is>
          <t>NON-NIL</t>
        </is>
      </c>
      <c r="E19850" t="n">
        <v>1584</v>
      </c>
    </row>
    <row r="19851">
      <c r="A19851" t="inlineStr">
        <is>
          <t>27BBBBB19851Z5</t>
        </is>
      </c>
      <c r="B19851" t="inlineStr">
        <is>
          <t>Nov-2017</t>
        </is>
      </c>
      <c r="C19851" s="2" t="n">
        <v>43537</v>
      </c>
      <c r="D19851" t="inlineStr">
        <is>
          <t>NON-NIL</t>
        </is>
      </c>
      <c r="E19851" t="n">
        <v>620</v>
      </c>
    </row>
    <row r="19852">
      <c r="A19852" t="inlineStr">
        <is>
          <t>27BBBBB19852Z5</t>
        </is>
      </c>
      <c r="B19852" t="inlineStr">
        <is>
          <t>Jul-2020</t>
        </is>
      </c>
      <c r="C19852" s="2" t="n">
        <v>44802</v>
      </c>
      <c r="D19852" t="inlineStr">
        <is>
          <t>NON-NIL</t>
        </is>
      </c>
      <c r="E19852" t="n">
        <v>2732</v>
      </c>
    </row>
    <row r="19853">
      <c r="A19853" t="inlineStr">
        <is>
          <t>27BBBBB19853Z5</t>
        </is>
      </c>
      <c r="B19853" t="inlineStr">
        <is>
          <t>Dec-2018</t>
        </is>
      </c>
      <c r="C19853" s="2" t="n">
        <v>44331</v>
      </c>
      <c r="D19853" t="inlineStr">
        <is>
          <t>NIL</t>
        </is>
      </c>
      <c r="E19853" t="n">
        <v>2482</v>
      </c>
    </row>
    <row r="19854">
      <c r="A19854" t="inlineStr">
        <is>
          <t>27BBBBB19854Z5</t>
        </is>
      </c>
      <c r="B19854" t="inlineStr">
        <is>
          <t>Dec-2022</t>
        </is>
      </c>
      <c r="C19854" s="2" t="n">
        <v>43622</v>
      </c>
      <c r="D19854" t="inlineStr">
        <is>
          <t>NIL</t>
        </is>
      </c>
      <c r="E19854" t="n">
        <v>1346</v>
      </c>
    </row>
    <row r="19855">
      <c r="A19855" t="inlineStr">
        <is>
          <t>27BBBBB19855Z5</t>
        </is>
      </c>
      <c r="B19855" t="inlineStr">
        <is>
          <t>Mar-2021</t>
        </is>
      </c>
      <c r="C19855" s="2" t="n">
        <v>44666</v>
      </c>
      <c r="D19855" t="inlineStr">
        <is>
          <t>NON-NIL</t>
        </is>
      </c>
      <c r="E19855" t="n">
        <v>193</v>
      </c>
    </row>
    <row r="19856">
      <c r="A19856" t="inlineStr">
        <is>
          <t>27BBBBB19856Z5</t>
        </is>
      </c>
      <c r="B19856" t="inlineStr">
        <is>
          <t>May-2020</t>
        </is>
      </c>
      <c r="C19856" s="2" t="n">
        <v>43894</v>
      </c>
      <c r="D19856" t="inlineStr">
        <is>
          <t>NIL</t>
        </is>
      </c>
      <c r="E19856" t="n">
        <v>304</v>
      </c>
    </row>
    <row r="19857">
      <c r="A19857" t="inlineStr">
        <is>
          <t>27BBBBB19857Z5</t>
        </is>
      </c>
      <c r="B19857" t="inlineStr">
        <is>
          <t>Aug-2017</t>
        </is>
      </c>
      <c r="C19857" s="2" t="n">
        <v>44054</v>
      </c>
      <c r="D19857" t="inlineStr">
        <is>
          <t>NIL</t>
        </is>
      </c>
      <c r="E19857" t="n">
        <v>1798</v>
      </c>
    </row>
    <row r="19858">
      <c r="A19858" t="inlineStr">
        <is>
          <t>27BBBBB19858Z5</t>
        </is>
      </c>
      <c r="B19858" t="inlineStr">
        <is>
          <t>Jan-2021</t>
        </is>
      </c>
      <c r="C19858" s="2" t="n">
        <v>45295</v>
      </c>
      <c r="D19858" t="inlineStr">
        <is>
          <t>NIL</t>
        </is>
      </c>
      <c r="E19858" t="n">
        <v>453</v>
      </c>
    </row>
    <row r="19859">
      <c r="A19859" t="inlineStr">
        <is>
          <t>27BBBBB19859Z5</t>
        </is>
      </c>
      <c r="B19859" t="inlineStr">
        <is>
          <t>Jul-2018</t>
        </is>
      </c>
      <c r="C19859" s="2" t="n">
        <v>43503</v>
      </c>
      <c r="D19859" t="inlineStr">
        <is>
          <t>NIL</t>
        </is>
      </c>
      <c r="E19859" t="n">
        <v>2389</v>
      </c>
    </row>
    <row r="19860">
      <c r="A19860" t="inlineStr">
        <is>
          <t>27BBBBB19860Z5</t>
        </is>
      </c>
      <c r="B19860" t="inlineStr">
        <is>
          <t>Dec-2024</t>
        </is>
      </c>
      <c r="C19860" s="2" t="n">
        <v>45501</v>
      </c>
      <c r="D19860" t="inlineStr">
        <is>
          <t>NON-NIL</t>
        </is>
      </c>
      <c r="E19860" t="n">
        <v>1505</v>
      </c>
    </row>
    <row r="19861">
      <c r="A19861" t="inlineStr">
        <is>
          <t>27BBBBB19861Z5</t>
        </is>
      </c>
      <c r="B19861" t="inlineStr">
        <is>
          <t>Mar-2023</t>
        </is>
      </c>
      <c r="C19861" s="2" t="n">
        <v>45004</v>
      </c>
      <c r="D19861" t="inlineStr">
        <is>
          <t>NIL</t>
        </is>
      </c>
      <c r="E19861" t="n">
        <v>1216</v>
      </c>
    </row>
    <row r="19862">
      <c r="A19862" t="inlineStr">
        <is>
          <t>27BBBBB19862Z5</t>
        </is>
      </c>
      <c r="B19862" t="inlineStr">
        <is>
          <t>Jul-2017</t>
        </is>
      </c>
      <c r="C19862" s="2" t="n">
        <v>42951</v>
      </c>
      <c r="D19862" t="inlineStr">
        <is>
          <t>NIL</t>
        </is>
      </c>
      <c r="E19862" t="n">
        <v>813</v>
      </c>
    </row>
    <row r="19863">
      <c r="A19863" t="inlineStr">
        <is>
          <t>27BBBBB19863Z5</t>
        </is>
      </c>
      <c r="B19863" t="inlineStr">
        <is>
          <t>Apr-2018</t>
        </is>
      </c>
      <c r="C19863" s="2" t="n">
        <v>42949</v>
      </c>
      <c r="D19863" t="inlineStr">
        <is>
          <t>NON-NIL</t>
        </is>
      </c>
      <c r="E19863" t="n">
        <v>2087</v>
      </c>
    </row>
    <row r="19864">
      <c r="A19864" t="inlineStr">
        <is>
          <t>27BBBBB19864Z5</t>
        </is>
      </c>
      <c r="B19864" t="inlineStr">
        <is>
          <t>Nov-2018</t>
        </is>
      </c>
      <c r="C19864" s="2" t="n">
        <v>43533</v>
      </c>
      <c r="D19864" t="inlineStr">
        <is>
          <t>NON-NIL</t>
        </is>
      </c>
      <c r="E19864" t="n">
        <v>2996</v>
      </c>
    </row>
    <row r="19865">
      <c r="A19865" t="inlineStr">
        <is>
          <t>27BBBBB19865Z5</t>
        </is>
      </c>
      <c r="B19865" t="inlineStr">
        <is>
          <t>Dec-2018</t>
        </is>
      </c>
      <c r="C19865" s="2" t="n">
        <v>44129</v>
      </c>
      <c r="D19865" t="inlineStr">
        <is>
          <t>NON-NIL</t>
        </is>
      </c>
      <c r="E19865" t="n">
        <v>2613</v>
      </c>
    </row>
    <row r="19866">
      <c r="A19866" t="inlineStr">
        <is>
          <t>27BBBBB19866Z5</t>
        </is>
      </c>
      <c r="B19866" t="inlineStr">
        <is>
          <t>Sep-2018</t>
        </is>
      </c>
      <c r="C19866" s="2" t="n">
        <v>43379</v>
      </c>
      <c r="D19866" t="inlineStr">
        <is>
          <t>NIL</t>
        </is>
      </c>
      <c r="E19866" t="n">
        <v>2324</v>
      </c>
    </row>
    <row r="19867">
      <c r="A19867" t="inlineStr">
        <is>
          <t>27BBBBB19867Z5</t>
        </is>
      </c>
      <c r="B19867" t="inlineStr">
        <is>
          <t>Oct-2018</t>
        </is>
      </c>
      <c r="C19867" s="2" t="n">
        <v>43973</v>
      </c>
      <c r="D19867" t="inlineStr">
        <is>
          <t>NON-NIL</t>
        </is>
      </c>
      <c r="E19867" t="n">
        <v>2267</v>
      </c>
    </row>
    <row r="19868">
      <c r="A19868" t="inlineStr">
        <is>
          <t>27BBBBB19868Z5</t>
        </is>
      </c>
      <c r="B19868" t="inlineStr">
        <is>
          <t>Mar-2023</t>
        </is>
      </c>
      <c r="C19868" s="2" t="n">
        <v>44787</v>
      </c>
      <c r="D19868" t="inlineStr">
        <is>
          <t>NIL</t>
        </is>
      </c>
      <c r="E19868" t="n">
        <v>814</v>
      </c>
    </row>
    <row r="19869">
      <c r="A19869" t="inlineStr">
        <is>
          <t>27BBBBB19869Z5</t>
        </is>
      </c>
      <c r="B19869" t="inlineStr">
        <is>
          <t>Mar-2020</t>
        </is>
      </c>
      <c r="C19869" s="2" t="n">
        <v>44536</v>
      </c>
      <c r="D19869" t="inlineStr">
        <is>
          <t>NON-NIL</t>
        </is>
      </c>
      <c r="E19869" t="n">
        <v>2140</v>
      </c>
    </row>
    <row r="19870">
      <c r="A19870" t="inlineStr">
        <is>
          <t>27BBBBB19870Z5</t>
        </is>
      </c>
      <c r="B19870" t="inlineStr">
        <is>
          <t>Dec-2017</t>
        </is>
      </c>
      <c r="C19870" s="2" t="n">
        <v>43386</v>
      </c>
      <c r="D19870" t="inlineStr">
        <is>
          <t>NON-NIL</t>
        </is>
      </c>
      <c r="E19870" t="n">
        <v>307</v>
      </c>
    </row>
    <row r="19871">
      <c r="A19871" t="inlineStr">
        <is>
          <t>27BBBBB19871Z5</t>
        </is>
      </c>
      <c r="B19871" t="inlineStr">
        <is>
          <t>Sep-2017</t>
        </is>
      </c>
      <c r="C19871" s="2" t="n">
        <v>44283</v>
      </c>
      <c r="D19871" t="inlineStr">
        <is>
          <t>NON-NIL</t>
        </is>
      </c>
      <c r="E19871" t="n">
        <v>1527</v>
      </c>
    </row>
    <row r="19872">
      <c r="A19872" t="inlineStr">
        <is>
          <t>27BBBBB19872Z5</t>
        </is>
      </c>
      <c r="B19872" t="inlineStr">
        <is>
          <t>Dec-2024</t>
        </is>
      </c>
      <c r="C19872" s="2" t="n">
        <v>45418</v>
      </c>
      <c r="D19872" t="inlineStr">
        <is>
          <t>NON-NIL</t>
        </is>
      </c>
      <c r="E19872" t="n">
        <v>897</v>
      </c>
    </row>
    <row r="19873">
      <c r="A19873" t="inlineStr">
        <is>
          <t>27BBBBB19873Z5</t>
        </is>
      </c>
      <c r="B19873" t="inlineStr">
        <is>
          <t>May-2020</t>
        </is>
      </c>
      <c r="C19873" s="2" t="n">
        <v>44572</v>
      </c>
      <c r="D19873" t="inlineStr">
        <is>
          <t>NIL</t>
        </is>
      </c>
      <c r="E19873" t="n">
        <v>2726</v>
      </c>
    </row>
    <row r="19874">
      <c r="A19874" t="inlineStr">
        <is>
          <t>27BBBBB19874Z5</t>
        </is>
      </c>
      <c r="B19874" t="inlineStr">
        <is>
          <t>Nov-2017</t>
        </is>
      </c>
      <c r="C19874" s="2" t="n">
        <v>44418</v>
      </c>
      <c r="D19874" t="inlineStr">
        <is>
          <t>NIL</t>
        </is>
      </c>
      <c r="E19874" t="n">
        <v>431</v>
      </c>
    </row>
    <row r="19875">
      <c r="A19875" t="inlineStr">
        <is>
          <t>27BBBBB19875Z5</t>
        </is>
      </c>
      <c r="B19875" t="inlineStr">
        <is>
          <t>May-2018</t>
        </is>
      </c>
      <c r="C19875" s="2" t="n">
        <v>44416</v>
      </c>
      <c r="D19875" t="inlineStr">
        <is>
          <t>NIL</t>
        </is>
      </c>
      <c r="E19875" t="n">
        <v>879</v>
      </c>
    </row>
    <row r="19876">
      <c r="A19876" t="inlineStr">
        <is>
          <t>27BBBBB19876Z5</t>
        </is>
      </c>
      <c r="B19876" t="inlineStr">
        <is>
          <t>Aug-2017</t>
        </is>
      </c>
      <c r="C19876" s="2" t="n">
        <v>44459</v>
      </c>
      <c r="D19876" t="inlineStr">
        <is>
          <t>NIL</t>
        </is>
      </c>
      <c r="E19876" t="n">
        <v>1961</v>
      </c>
    </row>
    <row r="19877">
      <c r="A19877" t="inlineStr">
        <is>
          <t>27BBBBB19877Z5</t>
        </is>
      </c>
      <c r="B19877" t="inlineStr">
        <is>
          <t>Apr-2018</t>
        </is>
      </c>
      <c r="C19877" s="2" t="n">
        <v>44419</v>
      </c>
      <c r="D19877" t="inlineStr">
        <is>
          <t>NON-NIL</t>
        </is>
      </c>
      <c r="E19877" t="n">
        <v>1601</v>
      </c>
    </row>
    <row r="19878">
      <c r="A19878" t="inlineStr">
        <is>
          <t>27BBBBB19878Z5</t>
        </is>
      </c>
      <c r="B19878" t="inlineStr">
        <is>
          <t>Apr-2018</t>
        </is>
      </c>
      <c r="C19878" s="2" t="n">
        <v>44155</v>
      </c>
      <c r="D19878" t="inlineStr">
        <is>
          <t>NON-NIL</t>
        </is>
      </c>
      <c r="E19878" t="n">
        <v>2513</v>
      </c>
    </row>
    <row r="19879">
      <c r="A19879" t="inlineStr">
        <is>
          <t>27BBBBB19879Z5</t>
        </is>
      </c>
      <c r="B19879" t="inlineStr">
        <is>
          <t>Jun-2020</t>
        </is>
      </c>
      <c r="C19879" s="2" t="n">
        <v>44485</v>
      </c>
      <c r="D19879" t="inlineStr">
        <is>
          <t>NON-NIL</t>
        </is>
      </c>
      <c r="E19879" t="n">
        <v>620</v>
      </c>
    </row>
    <row r="19880">
      <c r="A19880" t="inlineStr">
        <is>
          <t>27BBBBB19880Z5</t>
        </is>
      </c>
      <c r="B19880" t="inlineStr">
        <is>
          <t>Nov-2018</t>
        </is>
      </c>
      <c r="C19880" s="2" t="n">
        <v>43852</v>
      </c>
      <c r="D19880" t="inlineStr">
        <is>
          <t>NON-NIL</t>
        </is>
      </c>
      <c r="E19880" t="n">
        <v>262</v>
      </c>
    </row>
    <row r="19881">
      <c r="A19881" t="inlineStr">
        <is>
          <t>27BBBBB19881Z5</t>
        </is>
      </c>
      <c r="B19881" t="inlineStr">
        <is>
          <t>Mar-2018</t>
        </is>
      </c>
      <c r="C19881" s="2" t="n">
        <v>43393</v>
      </c>
      <c r="D19881" t="inlineStr">
        <is>
          <t>NON-NIL</t>
        </is>
      </c>
      <c r="E19881" t="n">
        <v>610</v>
      </c>
    </row>
    <row r="19882">
      <c r="A19882" t="inlineStr">
        <is>
          <t>27BBBBB19882Z5</t>
        </is>
      </c>
      <c r="B19882" t="inlineStr">
        <is>
          <t>Nov-2018</t>
        </is>
      </c>
      <c r="C19882" s="2" t="n">
        <v>44416</v>
      </c>
      <c r="D19882" t="inlineStr">
        <is>
          <t>NON-NIL</t>
        </is>
      </c>
      <c r="E19882" t="n">
        <v>2989</v>
      </c>
    </row>
    <row r="19883">
      <c r="A19883" t="inlineStr">
        <is>
          <t>27BBBBB19883Z5</t>
        </is>
      </c>
      <c r="B19883" t="inlineStr">
        <is>
          <t>Aug-2018</t>
        </is>
      </c>
      <c r="C19883" s="2" t="n">
        <v>43045</v>
      </c>
      <c r="D19883" t="inlineStr">
        <is>
          <t>NIL</t>
        </is>
      </c>
      <c r="E19883" t="n">
        <v>2873</v>
      </c>
    </row>
    <row r="19884">
      <c r="A19884" t="inlineStr">
        <is>
          <t>27BBBBB19884Z5</t>
        </is>
      </c>
      <c r="B19884" t="inlineStr">
        <is>
          <t>Mar-2021</t>
        </is>
      </c>
      <c r="C19884" s="2" t="n">
        <v>43929</v>
      </c>
      <c r="D19884" t="inlineStr">
        <is>
          <t>NIL</t>
        </is>
      </c>
      <c r="E19884" t="n">
        <v>717</v>
      </c>
    </row>
    <row r="19885">
      <c r="A19885" t="inlineStr">
        <is>
          <t>27BBBBB19885Z5</t>
        </is>
      </c>
      <c r="B19885" t="inlineStr">
        <is>
          <t>Dec-2022</t>
        </is>
      </c>
      <c r="C19885" s="2" t="n">
        <v>44751</v>
      </c>
      <c r="D19885" t="inlineStr">
        <is>
          <t>NON-NIL</t>
        </is>
      </c>
      <c r="E19885" t="n">
        <v>557</v>
      </c>
    </row>
    <row r="19886">
      <c r="A19886" t="inlineStr">
        <is>
          <t>27BBBBB19886Z5</t>
        </is>
      </c>
      <c r="B19886" t="inlineStr">
        <is>
          <t>Nov-2017</t>
        </is>
      </c>
      <c r="C19886" s="2" t="n">
        <v>44171</v>
      </c>
      <c r="D19886" t="inlineStr">
        <is>
          <t>NIL</t>
        </is>
      </c>
      <c r="E19886" t="n">
        <v>1337</v>
      </c>
    </row>
    <row r="19887">
      <c r="A19887" t="inlineStr">
        <is>
          <t>27BBBBB19887Z5</t>
        </is>
      </c>
      <c r="B19887" t="inlineStr">
        <is>
          <t>May-2018</t>
        </is>
      </c>
      <c r="C19887" s="2" t="n">
        <v>43331</v>
      </c>
      <c r="D19887" t="inlineStr">
        <is>
          <t>NIL</t>
        </is>
      </c>
      <c r="E19887" t="n">
        <v>2891</v>
      </c>
    </row>
    <row r="19888">
      <c r="A19888" t="inlineStr">
        <is>
          <t>27BBBBB19888Z5</t>
        </is>
      </c>
      <c r="B19888" t="inlineStr">
        <is>
          <t>Aug-2018</t>
        </is>
      </c>
      <c r="C19888" s="2" t="n">
        <v>44297</v>
      </c>
      <c r="D19888" t="inlineStr">
        <is>
          <t>NIL</t>
        </is>
      </c>
      <c r="E19888" t="n">
        <v>2670</v>
      </c>
    </row>
    <row r="19889">
      <c r="A19889" t="inlineStr">
        <is>
          <t>27BBBBB19889Z5</t>
        </is>
      </c>
      <c r="B19889" t="inlineStr">
        <is>
          <t>Jun-2020</t>
        </is>
      </c>
      <c r="C19889" s="2" t="n">
        <v>44516</v>
      </c>
      <c r="D19889" t="inlineStr">
        <is>
          <t>NIL</t>
        </is>
      </c>
      <c r="E19889" t="n">
        <v>1624</v>
      </c>
    </row>
    <row r="19890">
      <c r="A19890" t="inlineStr">
        <is>
          <t>27BBBBB19890Z5</t>
        </is>
      </c>
      <c r="B19890" t="inlineStr">
        <is>
          <t>May-2020</t>
        </is>
      </c>
      <c r="C19890" s="2" t="n">
        <v>44879</v>
      </c>
      <c r="D19890" t="inlineStr">
        <is>
          <t>NON-NIL</t>
        </is>
      </c>
      <c r="E19890" t="n">
        <v>2045</v>
      </c>
    </row>
    <row r="19891">
      <c r="A19891" t="inlineStr">
        <is>
          <t>27BBBBB19891Z5</t>
        </is>
      </c>
      <c r="B19891" t="inlineStr">
        <is>
          <t>Mar-2023</t>
        </is>
      </c>
      <c r="C19891" s="2" t="n">
        <v>43642</v>
      </c>
      <c r="D19891" t="inlineStr">
        <is>
          <t>NON-NIL</t>
        </is>
      </c>
      <c r="E19891" t="n">
        <v>998</v>
      </c>
    </row>
    <row r="19892">
      <c r="A19892" t="inlineStr">
        <is>
          <t>27BBBBB19892Z5</t>
        </is>
      </c>
      <c r="B19892" t="inlineStr">
        <is>
          <t>Jul-2017</t>
        </is>
      </c>
      <c r="C19892" s="2" t="n">
        <v>44245</v>
      </c>
      <c r="D19892" t="inlineStr">
        <is>
          <t>NIL</t>
        </is>
      </c>
      <c r="E19892" t="n">
        <v>2617</v>
      </c>
    </row>
    <row r="19893">
      <c r="A19893" t="inlineStr">
        <is>
          <t>27BBBBB19893Z5</t>
        </is>
      </c>
      <c r="B19893" t="inlineStr">
        <is>
          <t>Mar-2021</t>
        </is>
      </c>
      <c r="C19893" s="2" t="n">
        <v>44324</v>
      </c>
      <c r="D19893" t="inlineStr">
        <is>
          <t>NON-NIL</t>
        </is>
      </c>
      <c r="E19893" t="n">
        <v>1222</v>
      </c>
    </row>
    <row r="19894">
      <c r="A19894" t="inlineStr">
        <is>
          <t>27BBBBB19894Z5</t>
        </is>
      </c>
      <c r="B19894" t="inlineStr">
        <is>
          <t>May-2018</t>
        </is>
      </c>
      <c r="C19894" s="2" t="n">
        <v>43052</v>
      </c>
      <c r="D19894" t="inlineStr">
        <is>
          <t>NON-NIL</t>
        </is>
      </c>
      <c r="E19894" t="n">
        <v>2131</v>
      </c>
    </row>
    <row r="19895">
      <c r="A19895" t="inlineStr">
        <is>
          <t>27BBBBB19895Z5</t>
        </is>
      </c>
      <c r="B19895" t="inlineStr">
        <is>
          <t>Sep-2017</t>
        </is>
      </c>
      <c r="C19895" s="2" t="n">
        <v>44044</v>
      </c>
      <c r="D19895" t="inlineStr">
        <is>
          <t>NIL</t>
        </is>
      </c>
      <c r="E19895" t="n">
        <v>1183</v>
      </c>
    </row>
    <row r="19896">
      <c r="A19896" t="inlineStr">
        <is>
          <t>27BBBBB19896Z5</t>
        </is>
      </c>
      <c r="B19896" t="inlineStr">
        <is>
          <t>Sep-2018</t>
        </is>
      </c>
      <c r="C19896" s="2" t="n">
        <v>44409</v>
      </c>
      <c r="D19896" t="inlineStr">
        <is>
          <t>NIL</t>
        </is>
      </c>
      <c r="E19896" t="n">
        <v>2759</v>
      </c>
    </row>
    <row r="19897">
      <c r="A19897" t="inlineStr">
        <is>
          <t>27BBBBB19897Z5</t>
        </is>
      </c>
      <c r="B19897" t="inlineStr">
        <is>
          <t>Nov-2017</t>
        </is>
      </c>
      <c r="C19897" s="2" t="n">
        <v>43163</v>
      </c>
      <c r="D19897" t="inlineStr">
        <is>
          <t>NON-NIL</t>
        </is>
      </c>
      <c r="E19897" t="n">
        <v>4</v>
      </c>
    </row>
    <row r="19898">
      <c r="A19898" t="inlineStr">
        <is>
          <t>27BBBBB19898Z5</t>
        </is>
      </c>
      <c r="B19898" t="inlineStr">
        <is>
          <t>May-2020</t>
        </is>
      </c>
      <c r="C19898" s="2" t="n">
        <v>43897</v>
      </c>
      <c r="D19898" t="inlineStr">
        <is>
          <t>NIL</t>
        </is>
      </c>
      <c r="E19898" t="n">
        <v>2925</v>
      </c>
    </row>
    <row r="19899">
      <c r="A19899" t="inlineStr">
        <is>
          <t>27BBBBB19899Z5</t>
        </is>
      </c>
      <c r="B19899" t="inlineStr">
        <is>
          <t>Jul-2020</t>
        </is>
      </c>
      <c r="C19899" s="2" t="n">
        <v>43938</v>
      </c>
      <c r="D19899" t="inlineStr">
        <is>
          <t>NIL</t>
        </is>
      </c>
      <c r="E19899" t="n">
        <v>871</v>
      </c>
    </row>
    <row r="19900">
      <c r="A19900" t="inlineStr">
        <is>
          <t>27BBBBB19900Z5</t>
        </is>
      </c>
      <c r="B19900" t="inlineStr">
        <is>
          <t>Sep-2018</t>
        </is>
      </c>
      <c r="C19900" s="2" t="n">
        <v>43937</v>
      </c>
      <c r="D19900" t="inlineStr">
        <is>
          <t>NIL</t>
        </is>
      </c>
      <c r="E19900" t="n">
        <v>2891</v>
      </c>
    </row>
    <row r="19901">
      <c r="A19901" t="inlineStr">
        <is>
          <t>27BBBBB19901Z5</t>
        </is>
      </c>
      <c r="B19901" t="inlineStr">
        <is>
          <t>Jul-2017</t>
        </is>
      </c>
      <c r="C19901" s="2" t="n">
        <v>44043</v>
      </c>
      <c r="D19901" t="inlineStr">
        <is>
          <t>NON-NIL</t>
        </is>
      </c>
      <c r="E19901" t="n">
        <v>273</v>
      </c>
    </row>
    <row r="19902">
      <c r="A19902" t="inlineStr">
        <is>
          <t>27BBBBB19902Z5</t>
        </is>
      </c>
      <c r="B19902" t="inlineStr">
        <is>
          <t>Sep-2017</t>
        </is>
      </c>
      <c r="C19902" s="2" t="n">
        <v>43474</v>
      </c>
      <c r="D19902" t="inlineStr">
        <is>
          <t>NIL</t>
        </is>
      </c>
      <c r="E19902" t="n">
        <v>748</v>
      </c>
    </row>
    <row r="19903">
      <c r="A19903" t="inlineStr">
        <is>
          <t>27BBBBB19903Z5</t>
        </is>
      </c>
      <c r="B19903" t="inlineStr">
        <is>
          <t>Jun-2018</t>
        </is>
      </c>
      <c r="C19903" s="2" t="n">
        <v>44255</v>
      </c>
      <c r="D19903" t="inlineStr">
        <is>
          <t>NIL</t>
        </is>
      </c>
      <c r="E19903" t="n">
        <v>2197</v>
      </c>
    </row>
    <row r="19904">
      <c r="A19904" t="inlineStr">
        <is>
          <t>27BBBBB19904Z5</t>
        </is>
      </c>
      <c r="B19904" t="inlineStr">
        <is>
          <t>Jan-2018</t>
        </is>
      </c>
      <c r="C19904" s="2" t="n">
        <v>44107</v>
      </c>
      <c r="D19904" t="inlineStr">
        <is>
          <t>NON-NIL</t>
        </is>
      </c>
      <c r="E19904" t="n">
        <v>1148</v>
      </c>
    </row>
    <row r="19905">
      <c r="A19905" t="inlineStr">
        <is>
          <t>27BBBBB19905Z5</t>
        </is>
      </c>
      <c r="B19905" t="inlineStr">
        <is>
          <t>Aug-2018</t>
        </is>
      </c>
      <c r="C19905" s="2" t="n">
        <v>44409</v>
      </c>
      <c r="D19905" t="inlineStr">
        <is>
          <t>NON-NIL</t>
        </is>
      </c>
      <c r="E19905" t="n">
        <v>2444</v>
      </c>
    </row>
    <row r="19906">
      <c r="A19906" t="inlineStr">
        <is>
          <t>27BBBBB19906Z5</t>
        </is>
      </c>
      <c r="B19906" t="inlineStr">
        <is>
          <t>Aug-2018</t>
        </is>
      </c>
      <c r="C19906" s="2" t="n">
        <v>43176</v>
      </c>
      <c r="D19906" t="inlineStr">
        <is>
          <t>NIL</t>
        </is>
      </c>
      <c r="E19906" t="n">
        <v>2026</v>
      </c>
    </row>
    <row r="19907">
      <c r="A19907" t="inlineStr">
        <is>
          <t>27BBBBB19907Z5</t>
        </is>
      </c>
      <c r="B19907" t="inlineStr">
        <is>
          <t>May-2018</t>
        </is>
      </c>
      <c r="C19907" s="2" t="n">
        <v>43653</v>
      </c>
      <c r="D19907" t="inlineStr">
        <is>
          <t>NIL</t>
        </is>
      </c>
      <c r="E19907" t="n">
        <v>672</v>
      </c>
    </row>
    <row r="19908">
      <c r="A19908" t="inlineStr">
        <is>
          <t>27BBBBB19908Z5</t>
        </is>
      </c>
      <c r="B19908" t="inlineStr">
        <is>
          <t>Aug-2017</t>
        </is>
      </c>
      <c r="C19908" s="2" t="n">
        <v>43481</v>
      </c>
      <c r="D19908" t="inlineStr">
        <is>
          <t>NIL</t>
        </is>
      </c>
      <c r="E19908" t="n">
        <v>1253</v>
      </c>
    </row>
    <row r="19909">
      <c r="A19909" t="inlineStr">
        <is>
          <t>27BBBBB19909Z5</t>
        </is>
      </c>
      <c r="B19909" t="inlineStr">
        <is>
          <t>Feb-2018</t>
        </is>
      </c>
      <c r="C19909" s="2" t="n">
        <v>43685</v>
      </c>
      <c r="D19909" t="inlineStr">
        <is>
          <t>NON-NIL</t>
        </is>
      </c>
      <c r="E19909" t="n">
        <v>2253</v>
      </c>
    </row>
    <row r="19910">
      <c r="A19910" t="inlineStr">
        <is>
          <t>27BBBBB19910Z5</t>
        </is>
      </c>
      <c r="B19910" t="inlineStr">
        <is>
          <t>Feb-2018</t>
        </is>
      </c>
      <c r="C19910" s="2" t="n">
        <v>42954</v>
      </c>
      <c r="D19910" t="inlineStr">
        <is>
          <t>NIL</t>
        </is>
      </c>
      <c r="E19910" t="n">
        <v>1203</v>
      </c>
    </row>
    <row r="19911">
      <c r="A19911" t="inlineStr">
        <is>
          <t>27BBBBB19911Z5</t>
        </is>
      </c>
      <c r="B19911" t="inlineStr">
        <is>
          <t>Feb-2018</t>
        </is>
      </c>
      <c r="C19911" s="2" t="n">
        <v>44164</v>
      </c>
      <c r="D19911" t="inlineStr">
        <is>
          <t>NIL</t>
        </is>
      </c>
      <c r="E19911" t="n">
        <v>2355</v>
      </c>
    </row>
    <row r="19912">
      <c r="A19912" t="inlineStr">
        <is>
          <t>27BBBBB19912Z5</t>
        </is>
      </c>
      <c r="B19912" t="inlineStr">
        <is>
          <t>Jun-2020</t>
        </is>
      </c>
      <c r="C19912" s="2" t="n">
        <v>44276</v>
      </c>
      <c r="D19912" t="inlineStr">
        <is>
          <t>NIL</t>
        </is>
      </c>
      <c r="E19912" t="n">
        <v>1510</v>
      </c>
    </row>
    <row r="19913">
      <c r="A19913" t="inlineStr">
        <is>
          <t>27BBBBB19913Z5</t>
        </is>
      </c>
      <c r="B19913" t="inlineStr">
        <is>
          <t>Mar-2021</t>
        </is>
      </c>
      <c r="C19913" s="2" t="n">
        <v>44051</v>
      </c>
      <c r="D19913" t="inlineStr">
        <is>
          <t>NON-NIL</t>
        </is>
      </c>
      <c r="E19913" t="n">
        <v>897</v>
      </c>
    </row>
    <row r="19914">
      <c r="A19914" t="inlineStr">
        <is>
          <t>27BBBBB19914Z5</t>
        </is>
      </c>
      <c r="B19914" t="inlineStr">
        <is>
          <t>Mar-2018</t>
        </is>
      </c>
      <c r="C19914" s="2" t="n">
        <v>43830</v>
      </c>
      <c r="D19914" t="inlineStr">
        <is>
          <t>NIL</t>
        </is>
      </c>
      <c r="E19914" t="n">
        <v>2051</v>
      </c>
    </row>
    <row r="19915">
      <c r="A19915" t="inlineStr">
        <is>
          <t>27BBBBB19915Z5</t>
        </is>
      </c>
      <c r="B19915" t="inlineStr">
        <is>
          <t>Mar-2020</t>
        </is>
      </c>
      <c r="C19915" s="2" t="n">
        <v>43887</v>
      </c>
      <c r="D19915" t="inlineStr">
        <is>
          <t>NIL</t>
        </is>
      </c>
      <c r="E19915" t="n">
        <v>528</v>
      </c>
    </row>
    <row r="19916">
      <c r="A19916" t="inlineStr">
        <is>
          <t>27BBBBB19916Z5</t>
        </is>
      </c>
      <c r="B19916" t="inlineStr">
        <is>
          <t>Apr-2018</t>
        </is>
      </c>
      <c r="C19916" s="2" t="n">
        <v>44405</v>
      </c>
      <c r="D19916" t="inlineStr">
        <is>
          <t>NON-NIL</t>
        </is>
      </c>
      <c r="E19916" t="n">
        <v>2357</v>
      </c>
    </row>
    <row r="19917">
      <c r="A19917" t="inlineStr">
        <is>
          <t>27BBBBB19917Z5</t>
        </is>
      </c>
      <c r="B19917" t="inlineStr">
        <is>
          <t>Feb-2018</t>
        </is>
      </c>
      <c r="C19917" s="2" t="n">
        <v>43913</v>
      </c>
      <c r="D19917" t="inlineStr">
        <is>
          <t>NIL</t>
        </is>
      </c>
      <c r="E19917" t="n">
        <v>1878</v>
      </c>
    </row>
    <row r="19918">
      <c r="A19918" t="inlineStr">
        <is>
          <t>27BBBBB19918Z5</t>
        </is>
      </c>
      <c r="B19918" t="inlineStr">
        <is>
          <t>Dec-2022</t>
        </is>
      </c>
      <c r="C19918" s="2" t="n">
        <v>45498</v>
      </c>
      <c r="D19918" t="inlineStr">
        <is>
          <t>NON-NIL</t>
        </is>
      </c>
      <c r="E19918" t="n">
        <v>1096</v>
      </c>
    </row>
    <row r="19919">
      <c r="A19919" t="inlineStr">
        <is>
          <t>27BBBBB19919Z5</t>
        </is>
      </c>
      <c r="B19919" t="inlineStr">
        <is>
          <t>Nov-2017</t>
        </is>
      </c>
      <c r="C19919" s="2" t="n">
        <v>44281</v>
      </c>
      <c r="D19919" t="inlineStr">
        <is>
          <t>NIL</t>
        </is>
      </c>
      <c r="E19919" t="n">
        <v>2236</v>
      </c>
    </row>
    <row r="19920">
      <c r="A19920" t="inlineStr">
        <is>
          <t>27BBBBB19920Z5</t>
        </is>
      </c>
      <c r="B19920" t="inlineStr">
        <is>
          <t>Mar-2018</t>
        </is>
      </c>
      <c r="C19920" s="2" t="n">
        <v>43471</v>
      </c>
      <c r="D19920" t="inlineStr">
        <is>
          <t>NON-NIL</t>
        </is>
      </c>
      <c r="E19920" t="n">
        <v>1101</v>
      </c>
    </row>
    <row r="19921">
      <c r="A19921" t="inlineStr">
        <is>
          <t>27BBBBB19921Z5</t>
        </is>
      </c>
      <c r="B19921" t="inlineStr">
        <is>
          <t>Aug-2017</t>
        </is>
      </c>
      <c r="C19921" s="2" t="n">
        <v>44268</v>
      </c>
      <c r="D19921" t="inlineStr">
        <is>
          <t>NIL</t>
        </is>
      </c>
      <c r="E19921" t="n">
        <v>1865</v>
      </c>
    </row>
    <row r="19922">
      <c r="A19922" t="inlineStr">
        <is>
          <t>27BBBBB19922Z5</t>
        </is>
      </c>
      <c r="B19922" t="inlineStr">
        <is>
          <t>Sep-2017</t>
        </is>
      </c>
      <c r="C19922" s="2" t="n">
        <v>43032</v>
      </c>
      <c r="D19922" t="inlineStr">
        <is>
          <t>NIL</t>
        </is>
      </c>
      <c r="E19922" t="n">
        <v>2037</v>
      </c>
    </row>
    <row r="19923">
      <c r="A19923" t="inlineStr">
        <is>
          <t>27BBBBB19923Z5</t>
        </is>
      </c>
      <c r="B19923" t="inlineStr">
        <is>
          <t>Mar-2020</t>
        </is>
      </c>
      <c r="C19923" s="2" t="n">
        <v>44526</v>
      </c>
      <c r="D19923" t="inlineStr">
        <is>
          <t>NON-NIL</t>
        </is>
      </c>
      <c r="E19923" t="n">
        <v>336</v>
      </c>
    </row>
    <row r="19924">
      <c r="A19924" t="inlineStr">
        <is>
          <t>27BBBBB19924Z5</t>
        </is>
      </c>
      <c r="B19924" t="inlineStr">
        <is>
          <t>Jun-2020</t>
        </is>
      </c>
      <c r="C19924" s="2" t="n">
        <v>44170</v>
      </c>
      <c r="D19924" t="inlineStr">
        <is>
          <t>NIL</t>
        </is>
      </c>
      <c r="E19924" t="n">
        <v>272</v>
      </c>
    </row>
    <row r="19925">
      <c r="A19925" t="inlineStr">
        <is>
          <t>27BBBBB19925Z5</t>
        </is>
      </c>
      <c r="B19925" t="inlineStr">
        <is>
          <t>Oct-2018</t>
        </is>
      </c>
      <c r="C19925" s="2" t="n">
        <v>43337</v>
      </c>
      <c r="D19925" t="inlineStr">
        <is>
          <t>NON-NIL</t>
        </is>
      </c>
      <c r="E19925" t="n">
        <v>770</v>
      </c>
    </row>
    <row r="19926">
      <c r="A19926" t="inlineStr">
        <is>
          <t>27BBBBB19926Z5</t>
        </is>
      </c>
      <c r="B19926" t="inlineStr">
        <is>
          <t>Mar-2023</t>
        </is>
      </c>
      <c r="C19926" s="2" t="n">
        <v>44542</v>
      </c>
      <c r="D19926" t="inlineStr">
        <is>
          <t>NON-NIL</t>
        </is>
      </c>
      <c r="E19926" t="n">
        <v>2166</v>
      </c>
    </row>
    <row r="19927">
      <c r="A19927" t="inlineStr">
        <is>
          <t>27BBBBB19927Z5</t>
        </is>
      </c>
      <c r="B19927" t="inlineStr">
        <is>
          <t>Dec-2024</t>
        </is>
      </c>
      <c r="C19927" s="2" t="n">
        <v>43793</v>
      </c>
      <c r="D19927" t="inlineStr">
        <is>
          <t>NIL</t>
        </is>
      </c>
      <c r="E19927" t="n">
        <v>1576</v>
      </c>
    </row>
    <row r="19928">
      <c r="A19928" t="inlineStr">
        <is>
          <t>27BBBBB19928Z5</t>
        </is>
      </c>
      <c r="B19928" t="inlineStr">
        <is>
          <t>Aug-2018</t>
        </is>
      </c>
      <c r="C19928" s="2" t="n">
        <v>44456</v>
      </c>
      <c r="D19928" t="inlineStr">
        <is>
          <t>NON-NIL</t>
        </is>
      </c>
      <c r="E19928" t="n">
        <v>1860</v>
      </c>
    </row>
    <row r="19929">
      <c r="A19929" t="inlineStr">
        <is>
          <t>27BBBBB19929Z5</t>
        </is>
      </c>
      <c r="B19929" t="inlineStr">
        <is>
          <t>Apr-2020</t>
        </is>
      </c>
      <c r="C19929" s="2" t="n">
        <v>44185</v>
      </c>
      <c r="D19929" t="inlineStr">
        <is>
          <t>NON-NIL</t>
        </is>
      </c>
      <c r="E19929" t="n">
        <v>201</v>
      </c>
    </row>
    <row r="19930">
      <c r="A19930" t="inlineStr">
        <is>
          <t>27BBBBB19930Z5</t>
        </is>
      </c>
      <c r="B19930" t="inlineStr">
        <is>
          <t>Dec-2018</t>
        </is>
      </c>
      <c r="C19930" s="2" t="n">
        <v>43160</v>
      </c>
      <c r="D19930" t="inlineStr">
        <is>
          <t>NIL</t>
        </is>
      </c>
      <c r="E19930" t="n">
        <v>1554</v>
      </c>
    </row>
    <row r="19931">
      <c r="A19931" t="inlineStr">
        <is>
          <t>27BBBBB19931Z5</t>
        </is>
      </c>
      <c r="B19931" t="inlineStr">
        <is>
          <t>Apr-2018</t>
        </is>
      </c>
      <c r="C19931" s="2" t="n">
        <v>43389</v>
      </c>
      <c r="D19931" t="inlineStr">
        <is>
          <t>NON-NIL</t>
        </is>
      </c>
      <c r="E19931" t="n">
        <v>2514</v>
      </c>
    </row>
    <row r="19932">
      <c r="A19932" t="inlineStr">
        <is>
          <t>27BBBBB19932Z5</t>
        </is>
      </c>
      <c r="B19932" t="inlineStr">
        <is>
          <t>Dec-2024</t>
        </is>
      </c>
      <c r="C19932" s="2" t="n">
        <v>44835</v>
      </c>
      <c r="D19932" t="inlineStr">
        <is>
          <t>NIL</t>
        </is>
      </c>
      <c r="E19932" t="n">
        <v>539</v>
      </c>
    </row>
    <row r="19933">
      <c r="A19933" t="inlineStr">
        <is>
          <t>27BBBBB19933Z5</t>
        </is>
      </c>
      <c r="B19933" t="inlineStr">
        <is>
          <t>Jul-2020</t>
        </is>
      </c>
      <c r="C19933" s="2" t="n">
        <v>44301</v>
      </c>
      <c r="D19933" t="inlineStr">
        <is>
          <t>NON-NIL</t>
        </is>
      </c>
      <c r="E19933" t="n">
        <v>1771</v>
      </c>
    </row>
    <row r="19934">
      <c r="A19934" t="inlineStr">
        <is>
          <t>27BBBBB19934Z5</t>
        </is>
      </c>
      <c r="B19934" t="inlineStr">
        <is>
          <t>Dec-2022</t>
        </is>
      </c>
      <c r="C19934" s="2" t="n">
        <v>44142</v>
      </c>
      <c r="D19934" t="inlineStr">
        <is>
          <t>NIL</t>
        </is>
      </c>
      <c r="E19934" t="n">
        <v>1991</v>
      </c>
    </row>
    <row r="19935">
      <c r="A19935" t="inlineStr">
        <is>
          <t>27BBBBB19935Z5</t>
        </is>
      </c>
      <c r="B19935" t="inlineStr">
        <is>
          <t>Mar-2018</t>
        </is>
      </c>
      <c r="C19935" s="2" t="n">
        <v>43031</v>
      </c>
      <c r="D19935" t="inlineStr">
        <is>
          <t>NON-NIL</t>
        </is>
      </c>
      <c r="E19935" t="n">
        <v>136</v>
      </c>
    </row>
    <row r="19936">
      <c r="A19936" t="inlineStr">
        <is>
          <t>27BBBBB19936Z5</t>
        </is>
      </c>
      <c r="B19936" t="inlineStr">
        <is>
          <t>Jan-2021</t>
        </is>
      </c>
      <c r="C19936" s="2" t="n">
        <v>45111</v>
      </c>
      <c r="D19936" t="inlineStr">
        <is>
          <t>NON-NIL</t>
        </is>
      </c>
      <c r="E19936" t="n">
        <v>1326</v>
      </c>
    </row>
    <row r="19937">
      <c r="A19937" t="inlineStr">
        <is>
          <t>27BBBBB19937Z5</t>
        </is>
      </c>
      <c r="B19937" t="inlineStr">
        <is>
          <t>Oct-2018</t>
        </is>
      </c>
      <c r="C19937" s="2" t="n">
        <v>43614</v>
      </c>
      <c r="D19937" t="inlineStr">
        <is>
          <t>NON-NIL</t>
        </is>
      </c>
      <c r="E19937" t="n">
        <v>298</v>
      </c>
    </row>
    <row r="19938">
      <c r="A19938" t="inlineStr">
        <is>
          <t>27BBBBB19938Z5</t>
        </is>
      </c>
      <c r="B19938" t="inlineStr">
        <is>
          <t>Dec-2024</t>
        </is>
      </c>
      <c r="C19938" s="2" t="n">
        <v>44928</v>
      </c>
      <c r="D19938" t="inlineStr">
        <is>
          <t>NON-NIL</t>
        </is>
      </c>
      <c r="E19938" t="n">
        <v>1908</v>
      </c>
    </row>
    <row r="19939">
      <c r="A19939" t="inlineStr">
        <is>
          <t>27BBBBB19939Z5</t>
        </is>
      </c>
      <c r="B19939" t="inlineStr">
        <is>
          <t>Jul-2017</t>
        </is>
      </c>
      <c r="C19939" s="2" t="n">
        <v>44545</v>
      </c>
      <c r="D19939" t="inlineStr">
        <is>
          <t>NIL</t>
        </is>
      </c>
      <c r="E19939" t="n">
        <v>1537</v>
      </c>
    </row>
    <row r="19940">
      <c r="A19940" t="inlineStr">
        <is>
          <t>27BBBBB19940Z5</t>
        </is>
      </c>
      <c r="B19940" t="inlineStr">
        <is>
          <t>Mar-2020</t>
        </is>
      </c>
      <c r="C19940" s="2" t="n">
        <v>44247</v>
      </c>
      <c r="D19940" t="inlineStr">
        <is>
          <t>NON-NIL</t>
        </is>
      </c>
      <c r="E19940" t="n">
        <v>408</v>
      </c>
    </row>
    <row r="19941">
      <c r="A19941" t="inlineStr">
        <is>
          <t>27BBBBB19941Z5</t>
        </is>
      </c>
      <c r="B19941" t="inlineStr">
        <is>
          <t>Sep-2018</t>
        </is>
      </c>
      <c r="C19941" s="2" t="n">
        <v>43443</v>
      </c>
      <c r="D19941" t="inlineStr">
        <is>
          <t>NIL</t>
        </is>
      </c>
      <c r="E19941" t="n">
        <v>734</v>
      </c>
    </row>
    <row r="19942">
      <c r="A19942" t="inlineStr">
        <is>
          <t>27BBBBB19942Z5</t>
        </is>
      </c>
      <c r="B19942" t="inlineStr">
        <is>
          <t>Jul-2018</t>
        </is>
      </c>
      <c r="C19942" s="2" t="n">
        <v>44034</v>
      </c>
      <c r="D19942" t="inlineStr">
        <is>
          <t>NIL</t>
        </is>
      </c>
      <c r="E19942" t="n">
        <v>272</v>
      </c>
    </row>
    <row r="19943">
      <c r="A19943" t="inlineStr">
        <is>
          <t>27BBBBB19943Z5</t>
        </is>
      </c>
      <c r="B19943" t="inlineStr">
        <is>
          <t>Nov-2018</t>
        </is>
      </c>
      <c r="C19943" s="2" t="n">
        <v>44200</v>
      </c>
      <c r="D19943" t="inlineStr">
        <is>
          <t>NIL</t>
        </is>
      </c>
      <c r="E19943" t="n">
        <v>579</v>
      </c>
    </row>
    <row r="19944">
      <c r="A19944" t="inlineStr">
        <is>
          <t>27BBBBB19944Z5</t>
        </is>
      </c>
      <c r="B19944" t="inlineStr">
        <is>
          <t>Feb-2018</t>
        </is>
      </c>
      <c r="C19944" s="2" t="n">
        <v>44305</v>
      </c>
      <c r="D19944" t="inlineStr">
        <is>
          <t>NON-NIL</t>
        </is>
      </c>
      <c r="E19944" t="n">
        <v>500</v>
      </c>
    </row>
    <row r="19945">
      <c r="A19945" t="inlineStr">
        <is>
          <t>27BBBBB19945Z5</t>
        </is>
      </c>
      <c r="B19945" t="inlineStr">
        <is>
          <t>Dec-2022</t>
        </is>
      </c>
      <c r="C19945" s="2" t="n">
        <v>44159</v>
      </c>
      <c r="D19945" t="inlineStr">
        <is>
          <t>NIL</t>
        </is>
      </c>
      <c r="E19945" t="n">
        <v>1454</v>
      </c>
    </row>
    <row r="19946">
      <c r="A19946" t="inlineStr">
        <is>
          <t>27BBBBB19946Z5</t>
        </is>
      </c>
      <c r="B19946" t="inlineStr">
        <is>
          <t>Mar-2021</t>
        </is>
      </c>
      <c r="C19946" s="2" t="n">
        <v>44301</v>
      </c>
      <c r="D19946" t="inlineStr">
        <is>
          <t>NIL</t>
        </is>
      </c>
      <c r="E19946" t="n">
        <v>2286</v>
      </c>
    </row>
    <row r="19947">
      <c r="A19947" t="inlineStr">
        <is>
          <t>27BBBBB19947Z5</t>
        </is>
      </c>
      <c r="B19947" t="inlineStr">
        <is>
          <t>May-2018</t>
        </is>
      </c>
      <c r="C19947" s="2" t="n">
        <v>43615</v>
      </c>
      <c r="D19947" t="inlineStr">
        <is>
          <t>NON-NIL</t>
        </is>
      </c>
      <c r="E19947" t="n">
        <v>1792</v>
      </c>
    </row>
    <row r="19948">
      <c r="A19948" t="inlineStr">
        <is>
          <t>27BBBBB19948Z5</t>
        </is>
      </c>
      <c r="B19948" t="inlineStr">
        <is>
          <t>Jun-2018</t>
        </is>
      </c>
      <c r="C19948" s="2" t="n">
        <v>43064</v>
      </c>
      <c r="D19948" t="inlineStr">
        <is>
          <t>NON-NIL</t>
        </is>
      </c>
      <c r="E19948" t="n">
        <v>1193</v>
      </c>
    </row>
    <row r="19949">
      <c r="A19949" t="inlineStr">
        <is>
          <t>27BBBBB19949Z5</t>
        </is>
      </c>
      <c r="B19949" t="inlineStr">
        <is>
          <t>Sep-2018</t>
        </is>
      </c>
      <c r="C19949" s="2" t="n">
        <v>43337</v>
      </c>
      <c r="D19949" t="inlineStr">
        <is>
          <t>NIL</t>
        </is>
      </c>
      <c r="E19949" t="n">
        <v>1055</v>
      </c>
    </row>
    <row r="19950">
      <c r="A19950" t="inlineStr">
        <is>
          <t>27BBBBB19950Z5</t>
        </is>
      </c>
      <c r="B19950" t="inlineStr">
        <is>
          <t>Mar-2021</t>
        </is>
      </c>
      <c r="C19950" s="2" t="n">
        <v>45762</v>
      </c>
      <c r="D19950" t="inlineStr">
        <is>
          <t>NON-NIL</t>
        </is>
      </c>
      <c r="E19950" t="n">
        <v>863</v>
      </c>
    </row>
    <row r="19951">
      <c r="A19951" t="inlineStr">
        <is>
          <t>27BBBBB19951Z5</t>
        </is>
      </c>
      <c r="B19951" t="inlineStr">
        <is>
          <t>Jun-2018</t>
        </is>
      </c>
      <c r="C19951" s="2" t="n">
        <v>43993</v>
      </c>
      <c r="D19951" t="inlineStr">
        <is>
          <t>NIL</t>
        </is>
      </c>
      <c r="E19951" t="n">
        <v>2034</v>
      </c>
    </row>
    <row r="19952">
      <c r="A19952" t="inlineStr">
        <is>
          <t>27BBBBB19952Z5</t>
        </is>
      </c>
      <c r="B19952" t="inlineStr">
        <is>
          <t>Nov-2017</t>
        </is>
      </c>
      <c r="C19952" s="2" t="n">
        <v>43385</v>
      </c>
      <c r="D19952" t="inlineStr">
        <is>
          <t>NIL</t>
        </is>
      </c>
      <c r="E19952" t="n">
        <v>2663</v>
      </c>
    </row>
    <row r="19953">
      <c r="A19953" t="inlineStr">
        <is>
          <t>27BBBBB19953Z5</t>
        </is>
      </c>
      <c r="B19953" t="inlineStr">
        <is>
          <t>Oct-2018</t>
        </is>
      </c>
      <c r="C19953" s="2" t="n">
        <v>43626</v>
      </c>
      <c r="D19953" t="inlineStr">
        <is>
          <t>NIL</t>
        </is>
      </c>
      <c r="E19953" t="n">
        <v>1038</v>
      </c>
    </row>
    <row r="19954">
      <c r="A19954" t="inlineStr">
        <is>
          <t>27BBBBB19954Z5</t>
        </is>
      </c>
      <c r="B19954" t="inlineStr">
        <is>
          <t>Aug-2017</t>
        </is>
      </c>
      <c r="C19954" s="2" t="n">
        <v>44554</v>
      </c>
      <c r="D19954" t="inlineStr">
        <is>
          <t>NIL</t>
        </is>
      </c>
      <c r="E19954" t="n">
        <v>2752</v>
      </c>
    </row>
    <row r="19955">
      <c r="A19955" t="inlineStr">
        <is>
          <t>27BBBBB19955Z5</t>
        </is>
      </c>
      <c r="B19955" t="inlineStr">
        <is>
          <t>Dec-2024</t>
        </is>
      </c>
      <c r="C19955" s="2" t="n">
        <v>44058</v>
      </c>
      <c r="D19955" t="inlineStr">
        <is>
          <t>NIL</t>
        </is>
      </c>
      <c r="E19955" t="n">
        <v>2530</v>
      </c>
    </row>
    <row r="19956">
      <c r="A19956" t="inlineStr">
        <is>
          <t>27BBBBB19956Z5</t>
        </is>
      </c>
      <c r="B19956" t="inlineStr">
        <is>
          <t>Apr-2018</t>
        </is>
      </c>
      <c r="C19956" s="2" t="n">
        <v>43905</v>
      </c>
      <c r="D19956" t="inlineStr">
        <is>
          <t>NIL</t>
        </is>
      </c>
      <c r="E19956" t="n">
        <v>2784</v>
      </c>
    </row>
    <row r="19957">
      <c r="A19957" t="inlineStr">
        <is>
          <t>27BBBBB19957Z5</t>
        </is>
      </c>
      <c r="B19957" t="inlineStr">
        <is>
          <t>Mar-2023</t>
        </is>
      </c>
      <c r="C19957" s="2" t="n">
        <v>44519</v>
      </c>
      <c r="D19957" t="inlineStr">
        <is>
          <t>NIL</t>
        </is>
      </c>
      <c r="E19957" t="n">
        <v>18</v>
      </c>
    </row>
    <row r="19958">
      <c r="A19958" t="inlineStr">
        <is>
          <t>27BBBBB19958Z5</t>
        </is>
      </c>
      <c r="B19958" t="inlineStr">
        <is>
          <t>Jun-2018</t>
        </is>
      </c>
      <c r="C19958" s="2" t="n">
        <v>43051</v>
      </c>
      <c r="D19958" t="inlineStr">
        <is>
          <t>NON-NIL</t>
        </is>
      </c>
      <c r="E19958" t="n">
        <v>1849</v>
      </c>
    </row>
    <row r="19959">
      <c r="A19959" t="inlineStr">
        <is>
          <t>27BBBBB19959Z5</t>
        </is>
      </c>
      <c r="B19959" t="inlineStr">
        <is>
          <t>Nov-2018</t>
        </is>
      </c>
      <c r="C19959" s="2" t="n">
        <v>43560</v>
      </c>
      <c r="D19959" t="inlineStr">
        <is>
          <t>NIL</t>
        </is>
      </c>
      <c r="E19959" t="n">
        <v>1573</v>
      </c>
    </row>
    <row r="19960">
      <c r="A19960" t="inlineStr">
        <is>
          <t>27BBBBB19960Z5</t>
        </is>
      </c>
      <c r="B19960" t="inlineStr">
        <is>
          <t>Jan-2018</t>
        </is>
      </c>
      <c r="C19960" s="2" t="n">
        <v>43866</v>
      </c>
      <c r="D19960" t="inlineStr">
        <is>
          <t>NIL</t>
        </is>
      </c>
      <c r="E19960" t="n">
        <v>249</v>
      </c>
    </row>
    <row r="19961">
      <c r="A19961" t="inlineStr">
        <is>
          <t>27BBBBB19961Z5</t>
        </is>
      </c>
      <c r="B19961" t="inlineStr">
        <is>
          <t>Nov-2017</t>
        </is>
      </c>
      <c r="C19961" s="2" t="n">
        <v>43372</v>
      </c>
      <c r="D19961" t="inlineStr">
        <is>
          <t>NON-NIL</t>
        </is>
      </c>
      <c r="E19961" t="n">
        <v>1399</v>
      </c>
    </row>
    <row r="19962">
      <c r="A19962" t="inlineStr">
        <is>
          <t>27BBBBB19962Z5</t>
        </is>
      </c>
      <c r="B19962" t="inlineStr">
        <is>
          <t>Jan-2018</t>
        </is>
      </c>
      <c r="C19962" s="2" t="n">
        <v>43305</v>
      </c>
      <c r="D19962" t="inlineStr">
        <is>
          <t>NON-NIL</t>
        </is>
      </c>
      <c r="E19962" t="n">
        <v>549</v>
      </c>
    </row>
    <row r="19963">
      <c r="A19963" t="inlineStr">
        <is>
          <t>27BBBBB19963Z5</t>
        </is>
      </c>
      <c r="B19963" t="inlineStr">
        <is>
          <t>Jan-2018</t>
        </is>
      </c>
      <c r="C19963" s="2" t="n">
        <v>43084</v>
      </c>
      <c r="D19963" t="inlineStr">
        <is>
          <t>NON-NIL</t>
        </is>
      </c>
      <c r="E19963" t="n">
        <v>2047</v>
      </c>
    </row>
    <row r="19964">
      <c r="A19964" t="inlineStr">
        <is>
          <t>27BBBBB19964Z5</t>
        </is>
      </c>
      <c r="B19964" t="inlineStr">
        <is>
          <t>Aug-2017</t>
        </is>
      </c>
      <c r="C19964" s="2" t="n">
        <v>43295</v>
      </c>
      <c r="D19964" t="inlineStr">
        <is>
          <t>NON-NIL</t>
        </is>
      </c>
      <c r="E19964" t="n">
        <v>342</v>
      </c>
    </row>
    <row r="19965">
      <c r="A19965" t="inlineStr">
        <is>
          <t>27BBBBB19965Z5</t>
        </is>
      </c>
      <c r="B19965" t="inlineStr">
        <is>
          <t>May-2018</t>
        </is>
      </c>
      <c r="C19965" s="2" t="n">
        <v>44499</v>
      </c>
      <c r="D19965" t="inlineStr">
        <is>
          <t>NIL</t>
        </is>
      </c>
      <c r="E19965" t="n">
        <v>2336</v>
      </c>
    </row>
    <row r="19966">
      <c r="A19966" t="inlineStr">
        <is>
          <t>27BBBBB19966Z5</t>
        </is>
      </c>
      <c r="B19966" t="inlineStr">
        <is>
          <t>Oct-2017</t>
        </is>
      </c>
      <c r="C19966" s="2" t="n">
        <v>44442</v>
      </c>
      <c r="D19966" t="inlineStr">
        <is>
          <t>NIL</t>
        </is>
      </c>
      <c r="E19966" t="n">
        <v>1677</v>
      </c>
    </row>
    <row r="19967">
      <c r="A19967" t="inlineStr">
        <is>
          <t>27BBBBB19967Z5</t>
        </is>
      </c>
      <c r="B19967" t="inlineStr">
        <is>
          <t>Oct-2017</t>
        </is>
      </c>
      <c r="C19967" s="2" t="n">
        <v>43161</v>
      </c>
      <c r="D19967" t="inlineStr">
        <is>
          <t>NIL</t>
        </is>
      </c>
      <c r="E19967" t="n">
        <v>836</v>
      </c>
    </row>
    <row r="19968">
      <c r="A19968" t="inlineStr">
        <is>
          <t>27BBBBB19968Z5</t>
        </is>
      </c>
      <c r="B19968" t="inlineStr">
        <is>
          <t>Oct-2018</t>
        </is>
      </c>
      <c r="C19968" s="2" t="n">
        <v>43394</v>
      </c>
      <c r="D19968" t="inlineStr">
        <is>
          <t>NIL</t>
        </is>
      </c>
      <c r="E19968" t="n">
        <v>7</v>
      </c>
    </row>
    <row r="19969">
      <c r="A19969" t="inlineStr">
        <is>
          <t>27BBBBB19969Z5</t>
        </is>
      </c>
      <c r="B19969" t="inlineStr">
        <is>
          <t>Oct-2017</t>
        </is>
      </c>
      <c r="C19969" s="2" t="n">
        <v>43811</v>
      </c>
      <c r="D19969" t="inlineStr">
        <is>
          <t>NIL</t>
        </is>
      </c>
      <c r="E19969" t="n">
        <v>431</v>
      </c>
    </row>
    <row r="19970">
      <c r="A19970" t="inlineStr">
        <is>
          <t>27BBBBB19970Z5</t>
        </is>
      </c>
      <c r="B19970" t="inlineStr">
        <is>
          <t>Mar-2018</t>
        </is>
      </c>
      <c r="C19970" s="2" t="n">
        <v>44474</v>
      </c>
      <c r="D19970" t="inlineStr">
        <is>
          <t>NIL</t>
        </is>
      </c>
      <c r="E19970" t="n">
        <v>1217</v>
      </c>
    </row>
    <row r="19971">
      <c r="A19971" t="inlineStr">
        <is>
          <t>27BBBBB19971Z5</t>
        </is>
      </c>
      <c r="B19971" t="inlineStr">
        <is>
          <t>Feb-2018</t>
        </is>
      </c>
      <c r="C19971" s="2" t="n">
        <v>43027</v>
      </c>
      <c r="D19971" t="inlineStr">
        <is>
          <t>NON-NIL</t>
        </is>
      </c>
      <c r="E19971" t="n">
        <v>1041</v>
      </c>
    </row>
    <row r="19972">
      <c r="A19972" t="inlineStr">
        <is>
          <t>27BBBBB19972Z5</t>
        </is>
      </c>
      <c r="B19972" t="inlineStr">
        <is>
          <t>Jun-2018</t>
        </is>
      </c>
      <c r="C19972" s="2" t="n">
        <v>44320</v>
      </c>
      <c r="D19972" t="inlineStr">
        <is>
          <t>NON-NIL</t>
        </is>
      </c>
      <c r="E19972" t="n">
        <v>1543</v>
      </c>
    </row>
    <row r="19973">
      <c r="A19973" t="inlineStr">
        <is>
          <t>27BBBBB19973Z5</t>
        </is>
      </c>
      <c r="B19973" t="inlineStr">
        <is>
          <t>Jun-2020</t>
        </is>
      </c>
      <c r="C19973" s="2" t="n">
        <v>44106</v>
      </c>
      <c r="D19973" t="inlineStr">
        <is>
          <t>NIL</t>
        </is>
      </c>
      <c r="E19973" t="n">
        <v>2962</v>
      </c>
    </row>
    <row r="19974">
      <c r="A19974" t="inlineStr">
        <is>
          <t>27BBBBB19974Z5</t>
        </is>
      </c>
      <c r="B19974" t="inlineStr">
        <is>
          <t>Jul-2020</t>
        </is>
      </c>
      <c r="C19974" s="2" t="n">
        <v>44095</v>
      </c>
      <c r="D19974" t="inlineStr">
        <is>
          <t>NIL</t>
        </is>
      </c>
      <c r="E19974" t="n">
        <v>648</v>
      </c>
    </row>
    <row r="19975">
      <c r="A19975" t="inlineStr">
        <is>
          <t>27BBBBB19975Z5</t>
        </is>
      </c>
      <c r="B19975" t="inlineStr">
        <is>
          <t>Jul-2018</t>
        </is>
      </c>
      <c r="C19975" s="2" t="n">
        <v>44356</v>
      </c>
      <c r="D19975" t="inlineStr">
        <is>
          <t>NIL</t>
        </is>
      </c>
      <c r="E19975" t="n">
        <v>2479</v>
      </c>
    </row>
    <row r="19976">
      <c r="A19976" t="inlineStr">
        <is>
          <t>27BBBBB19976Z5</t>
        </is>
      </c>
      <c r="B19976" t="inlineStr">
        <is>
          <t>Sep-2017</t>
        </is>
      </c>
      <c r="C19976" s="2" t="n">
        <v>43824</v>
      </c>
      <c r="D19976" t="inlineStr">
        <is>
          <t>NIL</t>
        </is>
      </c>
      <c r="E19976" t="n">
        <v>466</v>
      </c>
    </row>
    <row r="19977">
      <c r="A19977" t="inlineStr">
        <is>
          <t>27BBBBB19977Z5</t>
        </is>
      </c>
      <c r="B19977" t="inlineStr">
        <is>
          <t>Dec-2022</t>
        </is>
      </c>
      <c r="C19977" s="2" t="n">
        <v>43701</v>
      </c>
      <c r="D19977" t="inlineStr">
        <is>
          <t>NIL</t>
        </is>
      </c>
      <c r="E19977" t="n">
        <v>2413</v>
      </c>
    </row>
    <row r="19978">
      <c r="A19978" t="inlineStr">
        <is>
          <t>27BBBBB19978Z5</t>
        </is>
      </c>
      <c r="B19978" t="inlineStr">
        <is>
          <t>Apr-2018</t>
        </is>
      </c>
      <c r="C19978" s="2" t="n">
        <v>43674</v>
      </c>
      <c r="D19978" t="inlineStr">
        <is>
          <t>NIL</t>
        </is>
      </c>
      <c r="E19978" t="n">
        <v>535</v>
      </c>
    </row>
    <row r="19979">
      <c r="A19979" t="inlineStr">
        <is>
          <t>27BBBBB19979Z5</t>
        </is>
      </c>
      <c r="B19979" t="inlineStr">
        <is>
          <t>Jun-2018</t>
        </is>
      </c>
      <c r="C19979" s="2" t="n">
        <v>43461</v>
      </c>
      <c r="D19979" t="inlineStr">
        <is>
          <t>NIL</t>
        </is>
      </c>
      <c r="E19979" t="n">
        <v>2311</v>
      </c>
    </row>
    <row r="19980">
      <c r="A19980" t="inlineStr">
        <is>
          <t>27BBBBB19980Z5</t>
        </is>
      </c>
      <c r="B19980" t="inlineStr">
        <is>
          <t>Dec-2024</t>
        </is>
      </c>
      <c r="C19980" s="2" t="n">
        <v>45388</v>
      </c>
      <c r="D19980" t="inlineStr">
        <is>
          <t>NON-NIL</t>
        </is>
      </c>
      <c r="E19980" t="n">
        <v>1790</v>
      </c>
    </row>
    <row r="19981">
      <c r="A19981" t="inlineStr">
        <is>
          <t>27BBBBB19981Z5</t>
        </is>
      </c>
      <c r="B19981" t="inlineStr">
        <is>
          <t>May-2020</t>
        </is>
      </c>
      <c r="C19981" s="2" t="n">
        <v>44014</v>
      </c>
      <c r="D19981" t="inlineStr">
        <is>
          <t>NON-NIL</t>
        </is>
      </c>
      <c r="E19981" t="n">
        <v>1311</v>
      </c>
    </row>
    <row r="19982">
      <c r="A19982" t="inlineStr">
        <is>
          <t>27BBBBB19982Z5</t>
        </is>
      </c>
      <c r="B19982" t="inlineStr">
        <is>
          <t>Dec-2024</t>
        </is>
      </c>
      <c r="C19982" s="2" t="n">
        <v>44417</v>
      </c>
      <c r="D19982" t="inlineStr">
        <is>
          <t>NON-NIL</t>
        </is>
      </c>
      <c r="E19982" t="n">
        <v>1276</v>
      </c>
    </row>
    <row r="19983">
      <c r="A19983" t="inlineStr">
        <is>
          <t>27BBBBB19983Z5</t>
        </is>
      </c>
      <c r="B19983" t="inlineStr">
        <is>
          <t>Oct-2017</t>
        </is>
      </c>
      <c r="C19983" s="2" t="n">
        <v>43038</v>
      </c>
      <c r="D19983" t="inlineStr">
        <is>
          <t>NIL</t>
        </is>
      </c>
      <c r="E19983" t="n">
        <v>33</v>
      </c>
    </row>
    <row r="19984">
      <c r="A19984" t="inlineStr">
        <is>
          <t>27BBBBB19984Z5</t>
        </is>
      </c>
      <c r="B19984" t="inlineStr">
        <is>
          <t>Oct-2017</t>
        </is>
      </c>
      <c r="C19984" s="2" t="n">
        <v>44403</v>
      </c>
      <c r="D19984" t="inlineStr">
        <is>
          <t>NIL</t>
        </is>
      </c>
      <c r="E19984" t="n">
        <v>2710</v>
      </c>
    </row>
    <row r="19985">
      <c r="A19985" t="inlineStr">
        <is>
          <t>27BBBBB19985Z5</t>
        </is>
      </c>
      <c r="B19985" t="inlineStr">
        <is>
          <t>Jan-2018</t>
        </is>
      </c>
      <c r="C19985" s="2" t="n">
        <v>43567</v>
      </c>
      <c r="D19985" t="inlineStr">
        <is>
          <t>NIL</t>
        </is>
      </c>
      <c r="E19985" t="n">
        <v>579</v>
      </c>
    </row>
    <row r="19986">
      <c r="A19986" t="inlineStr">
        <is>
          <t>27BBBBB19986Z5</t>
        </is>
      </c>
      <c r="B19986" t="inlineStr">
        <is>
          <t>Sep-2018</t>
        </is>
      </c>
      <c r="C19986" s="2" t="n">
        <v>44213</v>
      </c>
      <c r="D19986" t="inlineStr">
        <is>
          <t>NIL</t>
        </is>
      </c>
      <c r="E19986" t="n">
        <v>1523</v>
      </c>
    </row>
    <row r="19987">
      <c r="A19987" t="inlineStr">
        <is>
          <t>27BBBBB19987Z5</t>
        </is>
      </c>
      <c r="B19987" t="inlineStr">
        <is>
          <t>Apr-2020</t>
        </is>
      </c>
      <c r="C19987" s="2" t="n">
        <v>44535</v>
      </c>
      <c r="D19987" t="inlineStr">
        <is>
          <t>NON-NIL</t>
        </is>
      </c>
      <c r="E19987" t="n">
        <v>2893</v>
      </c>
    </row>
    <row r="19988">
      <c r="A19988" t="inlineStr">
        <is>
          <t>27BBBBB19988Z5</t>
        </is>
      </c>
      <c r="B19988" t="inlineStr">
        <is>
          <t>Jul-2018</t>
        </is>
      </c>
      <c r="C19988" s="2" t="n">
        <v>44161</v>
      </c>
      <c r="D19988" t="inlineStr">
        <is>
          <t>NON-NIL</t>
        </is>
      </c>
      <c r="E19988" t="n">
        <v>824</v>
      </c>
    </row>
    <row r="19989">
      <c r="A19989" t="inlineStr">
        <is>
          <t>27BBBBB19989Z5</t>
        </is>
      </c>
      <c r="B19989" t="inlineStr">
        <is>
          <t>Mar-2021</t>
        </is>
      </c>
      <c r="C19989" s="2" t="n">
        <v>44819</v>
      </c>
      <c r="D19989" t="inlineStr">
        <is>
          <t>NON-NIL</t>
        </is>
      </c>
      <c r="E19989" t="n">
        <v>2698</v>
      </c>
    </row>
    <row r="19990">
      <c r="A19990" t="inlineStr">
        <is>
          <t>27BBBBB19990Z5</t>
        </is>
      </c>
      <c r="B19990" t="inlineStr">
        <is>
          <t>Jun-2020</t>
        </is>
      </c>
      <c r="C19990" s="2" t="n">
        <v>43846</v>
      </c>
      <c r="D19990" t="inlineStr">
        <is>
          <t>NIL</t>
        </is>
      </c>
      <c r="E19990" t="n">
        <v>1651</v>
      </c>
    </row>
    <row r="19991">
      <c r="A19991" t="inlineStr">
        <is>
          <t>27BBBBB19991Z5</t>
        </is>
      </c>
      <c r="B19991" t="inlineStr">
        <is>
          <t>Dec-2017</t>
        </is>
      </c>
      <c r="C19991" s="2" t="n">
        <v>43523</v>
      </c>
      <c r="D19991" t="inlineStr">
        <is>
          <t>NIL</t>
        </is>
      </c>
      <c r="E19991" t="n">
        <v>2194</v>
      </c>
    </row>
    <row r="19992">
      <c r="A19992" t="inlineStr">
        <is>
          <t>27BBBBB19992Z5</t>
        </is>
      </c>
      <c r="B19992" t="inlineStr">
        <is>
          <t>Apr-2020</t>
        </is>
      </c>
      <c r="C19992" s="2" t="n">
        <v>44697</v>
      </c>
      <c r="D19992" t="inlineStr">
        <is>
          <t>NIL</t>
        </is>
      </c>
      <c r="E19992" t="n">
        <v>939</v>
      </c>
    </row>
    <row r="19993">
      <c r="A19993" t="inlineStr">
        <is>
          <t>27BBBBB19993Z5</t>
        </is>
      </c>
      <c r="B19993" t="inlineStr">
        <is>
          <t>Jul-2017</t>
        </is>
      </c>
      <c r="C19993" s="2" t="n">
        <v>43300</v>
      </c>
      <c r="D19993" t="inlineStr">
        <is>
          <t>NON-NIL</t>
        </is>
      </c>
      <c r="E19993" t="n">
        <v>357</v>
      </c>
    </row>
    <row r="19994">
      <c r="A19994" t="inlineStr">
        <is>
          <t>27BBBBB19994Z5</t>
        </is>
      </c>
      <c r="B19994" t="inlineStr">
        <is>
          <t>Jul-2020</t>
        </is>
      </c>
      <c r="C19994" s="2" t="n">
        <v>44392</v>
      </c>
      <c r="D19994" t="inlineStr">
        <is>
          <t>NIL</t>
        </is>
      </c>
      <c r="E19994" t="n">
        <v>438</v>
      </c>
    </row>
    <row r="19995">
      <c r="A19995" t="inlineStr">
        <is>
          <t>27BBBBB19995Z5</t>
        </is>
      </c>
      <c r="B19995" t="inlineStr">
        <is>
          <t>Aug-2017</t>
        </is>
      </c>
      <c r="C19995" s="2" t="n">
        <v>42994</v>
      </c>
      <c r="D19995" t="inlineStr">
        <is>
          <t>NIL</t>
        </is>
      </c>
      <c r="E19995" t="n">
        <v>618</v>
      </c>
    </row>
    <row r="19996">
      <c r="A19996" t="inlineStr">
        <is>
          <t>27BBBBB19996Z5</t>
        </is>
      </c>
      <c r="B19996" t="inlineStr">
        <is>
          <t>Mar-2018</t>
        </is>
      </c>
      <c r="C19996" s="2" t="n">
        <v>43637</v>
      </c>
      <c r="D19996" t="inlineStr">
        <is>
          <t>NIL</t>
        </is>
      </c>
      <c r="E19996" t="n">
        <v>704</v>
      </c>
    </row>
    <row r="19997">
      <c r="A19997" t="inlineStr">
        <is>
          <t>27BBBBB19997Z5</t>
        </is>
      </c>
      <c r="B19997" t="inlineStr">
        <is>
          <t>Jul-2020</t>
        </is>
      </c>
      <c r="C19997" s="2" t="n">
        <v>44525</v>
      </c>
      <c r="D19997" t="inlineStr">
        <is>
          <t>NIL</t>
        </is>
      </c>
      <c r="E19997" t="n">
        <v>751</v>
      </c>
    </row>
    <row r="19998">
      <c r="A19998" t="inlineStr">
        <is>
          <t>27BBBBB19998Z5</t>
        </is>
      </c>
      <c r="B19998" t="inlineStr">
        <is>
          <t>Mar-2020</t>
        </is>
      </c>
      <c r="C19998" s="2" t="n">
        <v>44892</v>
      </c>
      <c r="D19998" t="inlineStr">
        <is>
          <t>NON-NIL</t>
        </is>
      </c>
      <c r="E19998" t="n">
        <v>2913</v>
      </c>
    </row>
    <row r="19999">
      <c r="A19999" t="inlineStr">
        <is>
          <t>27BBBBB19999Z5</t>
        </is>
      </c>
      <c r="B19999" t="inlineStr">
        <is>
          <t>Jan-2018</t>
        </is>
      </c>
      <c r="C19999" s="2" t="n">
        <v>44004</v>
      </c>
      <c r="D19999" t="inlineStr">
        <is>
          <t>NON-NIL</t>
        </is>
      </c>
      <c r="E19999" t="n">
        <v>1202</v>
      </c>
    </row>
    <row r="20000">
      <c r="A20000" t="inlineStr">
        <is>
          <t>27BBBBB20000Z5</t>
        </is>
      </c>
      <c r="B20000" t="inlineStr">
        <is>
          <t>May-2018</t>
        </is>
      </c>
      <c r="C20000" s="2" t="n">
        <v>43079</v>
      </c>
      <c r="D20000" t="inlineStr">
        <is>
          <t>NON-NIL</t>
        </is>
      </c>
      <c r="E20000" t="n">
        <v>2463</v>
      </c>
    </row>
    <row r="20001">
      <c r="A20001" t="inlineStr">
        <is>
          <t>27BBBBB20001Z5</t>
        </is>
      </c>
      <c r="B20001" t="inlineStr">
        <is>
          <t>Mar-2021</t>
        </is>
      </c>
      <c r="C20001" s="2" t="n">
        <v>44478</v>
      </c>
      <c r="D20001" t="inlineStr">
        <is>
          <t>NIL</t>
        </is>
      </c>
      <c r="E20001" t="n">
        <v>2218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</t>
        </is>
      </c>
      <c r="B1" s="1" t="inlineStr">
        <is>
          <t>Formula</t>
        </is>
      </c>
      <c r="C1" s="1" t="inlineStr">
        <is>
          <t>Result</t>
        </is>
      </c>
    </row>
    <row r="2">
      <c r="A2" t="inlineStr">
        <is>
          <t>Final LF &lt;= 10000</t>
        </is>
      </c>
      <c r="B2">
        <f>COUNTIF(Late_Fee_Calculator_3B!I2:I20001,"&gt;10000")</f>
        <v/>
      </c>
      <c r="C2">
        <f>IF(B2=0,"PASS","FAIL")</f>
        <v/>
      </c>
    </row>
    <row r="3">
      <c r="A3" t="inlineStr">
        <is>
          <t>No blank Final LF</t>
        </is>
      </c>
      <c r="B3">
        <f>COUNTBLANK(Late_Fee_Calculator_3B!I2:I20001)</f>
        <v/>
      </c>
      <c r="C3">
        <f>IF(B3=0,"PASS","FAIL")</f>
        <v/>
      </c>
    </row>
    <row r="4">
      <c r="A4" t="inlineStr">
        <is>
          <t>Final LF &lt;= Normal LF</t>
        </is>
      </c>
      <c r="B4">
        <f>COUNTIF(Late_Fee_Calculator_3B!I2:I20001,"&gt;"&amp;Late_Fee_Calculator_3B!F2:F20001)</f>
        <v/>
      </c>
      <c r="C4">
        <f>IF(B4=0,"PASS","FAIL")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2026-01-10T12:48:15Z</dcterms:created>
  <dcterms:modified xmlns:dcterms="http://purl.org/dc/terms/" xmlns:xsi="http://www.w3.org/2001/XMLSchema-instance" xsi:type="dcterms:W3CDTF">2026-01-10T16:52:38Z</dcterms:modified>
  <cp:lastModifiedBy>k35077</cp:lastModifiedBy>
</cp:coreProperties>
</file>